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Housewares" sheetId="2" r:id="rId5"/>
    <sheet state="visible" name="Miscellaneous" sheetId="3" r:id="rId6"/>
    <sheet state="visible" name="Wall-mounted" sheetId="4" r:id="rId7"/>
    <sheet state="visible" name="Wallpapers" sheetId="5" r:id="rId8"/>
    <sheet state="visible" name="Floors" sheetId="6" r:id="rId9"/>
    <sheet state="visible" name="Rugs" sheetId="7" r:id="rId10"/>
    <sheet state="visible" name="Fencing" sheetId="8" r:id="rId11"/>
    <sheet state="visible" name="Photos" sheetId="9" r:id="rId12"/>
    <sheet state="visible" name="Posters" sheetId="10" r:id="rId13"/>
    <sheet state="visible" name="Tools" sheetId="11" r:id="rId14"/>
    <sheet state="visible" name="Tops" sheetId="12" r:id="rId15"/>
    <sheet state="visible" name="Bottoms" sheetId="13" r:id="rId16"/>
    <sheet state="visible" name="Dresses" sheetId="14" r:id="rId17"/>
    <sheet state="visible" name="Headwear" sheetId="15" r:id="rId18"/>
    <sheet state="visible" name="Accessories" sheetId="16" r:id="rId19"/>
    <sheet state="visible" name="Socks" sheetId="17" r:id="rId20"/>
    <sheet state="visible" name="Shoes" sheetId="18" r:id="rId21"/>
    <sheet state="visible" name="Bags" sheetId="19" r:id="rId22"/>
    <sheet state="visible" name="Umbrellas" sheetId="20" r:id="rId23"/>
    <sheet state="visible" name="Music" sheetId="21" r:id="rId24"/>
    <sheet state="visible" name="Recipes" sheetId="22" r:id="rId25"/>
    <sheet state="visible" name="Bugs - North" sheetId="23" r:id="rId26"/>
    <sheet state="visible" name="Bugs - South" sheetId="24" r:id="rId27"/>
    <sheet state="visible" name="Fish - North" sheetId="25" r:id="rId28"/>
    <sheet state="visible" name="Fish - South" sheetId="26" r:id="rId29"/>
    <sheet state="visible" name="Fossils" sheetId="27" r:id="rId30"/>
    <sheet state="visible" name="Construction" sheetId="28" r:id="rId31"/>
    <sheet state="visible" name="Nook Miles" sheetId="29" r:id="rId32"/>
    <sheet state="visible" name="Achievements" sheetId="30" r:id="rId33"/>
    <sheet state="visible" name="Other" sheetId="31" r:id="rId34"/>
    <sheet state="visible" name="Villagers" sheetId="32" r:id="rId35"/>
  </sheets>
  <definedNames>
    <definedName hidden="1" localSheetId="13" name="Z_1655269C_F103_43E0_9DA3_959AAED839AC_.wvu.FilterData">Dresses!$A$1:$R$912</definedName>
  </definedNames>
  <calcPr/>
  <customWorkbookViews>
    <customWorkbookView activeSheetId="0" maximized="1" tabRatio="600" windowHeight="0" windowWidth="0" guid="{1655269C-F103-43E0-9DA3-959AAED839AC}"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M1050">
      <text>
        <t xml:space="preserve">missing color info on itemremake
	-Newcomber Cucumber</t>
      </text>
    </comment>
  </commentList>
</comments>
</file>

<file path=xl/comments2.xml><?xml version="1.0" encoding="utf-8"?>
<comments xmlns:r="http://schemas.openxmlformats.org/officeDocument/2006/relationships" xmlns="http://schemas.openxmlformats.org/spreadsheetml/2006/main">
  <authors>
    <author/>
  </authors>
  <commentList>
    <comment authorId="0" ref="M70">
      <text>
        <t xml:space="preserve">itemremake color does not match with itemparam color
	-Newcomber Cucumber</t>
      </text>
    </comment>
    <comment authorId="0" ref="M75">
      <text>
        <t xml:space="preserve">missing color info on itemremake
	-Newcomber Cucumber</t>
      </text>
    </comment>
  </commentList>
</comments>
</file>

<file path=xl/sharedStrings.xml><?xml version="1.0" encoding="utf-8"?>
<sst xmlns="http://schemas.openxmlformats.org/spreadsheetml/2006/main" count="262483" uniqueCount="22640">
  <si>
    <t>Name</t>
  </si>
  <si>
    <t>Image</t>
  </si>
  <si>
    <t>Variation</t>
  </si>
  <si>
    <t>Body Title</t>
  </si>
  <si>
    <t>Pattern</t>
  </si>
  <si>
    <t>Pattern Title</t>
  </si>
  <si>
    <t>DIY</t>
  </si>
  <si>
    <t>Body Customize</t>
  </si>
  <si>
    <t>Pattern Customize</t>
  </si>
  <si>
    <t>Kit Cost</t>
  </si>
  <si>
    <t>Buy</t>
  </si>
  <si>
    <t>Sell</t>
  </si>
  <si>
    <t>Color 1</t>
  </si>
  <si>
    <t>Color 2</t>
  </si>
  <si>
    <t>Size</t>
  </si>
  <si>
    <t>Source</t>
  </si>
  <si>
    <t>Source Notes</t>
  </si>
  <si>
    <t>Version</t>
  </si>
  <si>
    <t>HHA Concept 1</t>
  </si>
  <si>
    <t>HHA Concept 2</t>
  </si>
  <si>
    <t>HHA Series</t>
  </si>
  <si>
    <t>HHA Set</t>
  </si>
  <si>
    <t>Interact</t>
  </si>
  <si>
    <t>Tag</t>
  </si>
  <si>
    <t>Speaker Type</t>
  </si>
  <si>
    <t>Lighting Type</t>
  </si>
  <si>
    <t>Catalog</t>
  </si>
  <si>
    <t>Filename</t>
  </si>
  <si>
    <t>Variant ID</t>
  </si>
  <si>
    <t>Internal ID</t>
  </si>
  <si>
    <t>acoustic guitar</t>
  </si>
  <si>
    <r>
      <t xml:space="preserve">Welcome to our item spreadsheet! This is a spreadsheet for collecting item information that anyone can contribute to and use (for-free or for-profit). This data is available for everyone but please link back to the sheet if you use the data on other platforms to provide credit to those who contributed.
This spreadsheet is mostly complete, but still a work in progress. Please notify us if you see a mistake or have info to add.
</t>
    </r>
    <r>
      <rPr>
        <b/>
      </rPr>
      <t>4/18 - Internal color data added to all relevant tabs, model types being added to clothing tabs</t>
    </r>
    <r>
      <t xml:space="preserve">
Some other recent updates: Added villagers tab, Nook Miles achievements tab, item filenames and IDs, more precise source data, furniture/clothing colors/themes/styles, and more!
Note: You may not be able to see images due to heavy traffic and issues with Google Spreadsheets. You can try turning off adblock or clearing your cache. If problems persist, download your own copy of the spreadsheet and use a personal copy instead. You can download it below.
If you have spare time and would like to help out, we would wholeheartedly appreciate any extra hands, thanks!
If you want to contribute, please use one of the following methods (whichever you're most comfortable with):
Join Discord and ask
Send request to edit via e-mail with a short message
Message user/acspreadsheet on Reddit or sneeze#5244 on Discord</t>
    </r>
  </si>
  <si>
    <t>Natural</t>
  </si>
  <si>
    <t>Body</t>
  </si>
  <si>
    <t>NA</t>
  </si>
  <si>
    <t>Yes</t>
  </si>
  <si>
    <t>No</t>
  </si>
  <si>
    <t>NFS</t>
  </si>
  <si>
    <t>Beige</t>
  </si>
  <si>
    <t>Brown</t>
  </si>
  <si>
    <t>1x1</t>
  </si>
  <si>
    <t>Crafting</t>
  </si>
  <si>
    <t>1.0.0</t>
  </si>
  <si>
    <t>music</t>
  </si>
  <si>
    <t>None</t>
  </si>
  <si>
    <t>Musical Instrument</t>
  </si>
  <si>
    <t>Does not play music</t>
  </si>
  <si>
    <t>No lighting</t>
  </si>
  <si>
    <t>Not for sale</t>
  </si>
  <si>
    <t>FtrAcorsticguitar_Remake_0_0</t>
  </si>
  <si>
    <t>0_0</t>
  </si>
  <si>
    <t>Cherry</t>
  </si>
  <si>
    <t>Red</t>
  </si>
  <si>
    <t>accessories stand</t>
  </si>
  <si>
    <t>Black</t>
  </si>
  <si>
    <t>FtrAcorsticguitar_Remake_1_0</t>
  </si>
  <si>
    <t>1_0</t>
  </si>
  <si>
    <t>White</t>
  </si>
  <si>
    <t>Colorful</t>
  </si>
  <si>
    <t>Nook's Cranny</t>
  </si>
  <si>
    <t>Available in the re-buyable slot in Nook's Cranny</t>
  </si>
  <si>
    <t>fancy</t>
  </si>
  <si>
    <t>shop</t>
  </si>
  <si>
    <t>Beauty</t>
  </si>
  <si>
    <t>For sale</t>
  </si>
  <si>
    <t>FtrAcorsticguitar_Remake_2_0</t>
  </si>
  <si>
    <t>FtrJewelrystand_Remake_0_0</t>
  </si>
  <si>
    <t>2_0</t>
  </si>
  <si>
    <t>Blue</t>
  </si>
  <si>
    <t>Pink</t>
  </si>
  <si>
    <t>FtrAcorsticguitar_Remake_3_0</t>
  </si>
  <si>
    <t>3_0</t>
  </si>
  <si>
    <t>FtrJewelrystand_Remake_1_0</t>
  </si>
  <si>
    <t>Sources</t>
  </si>
  <si>
    <t>FtrAcorsticguitar_Remake_4_0</t>
  </si>
  <si>
    <t>4_0</t>
  </si>
  <si>
    <t>FtrJewelrystand_Remake_2_0</t>
  </si>
  <si>
    <t>Contributors</t>
  </si>
  <si>
    <t>FtrAcorsticguitar_Remake_5_0</t>
  </si>
  <si>
    <t>5_0</t>
  </si>
  <si>
    <t>sneeze
6480
noizhub
Ricky
chaiinchomp
saberslime
robotic_scarab
mollumisc
sunmarsh 
kyrokey 
obstinateRixatrix
jackiwi
Zalex
SuperHamster
kait
hyuum
Azarro
Czarcasm
cinnamon_swirlix
astronomyfortwo
Welcius
glowtopia
BriKun
Alyrei
dodocodes.com
StevieCoops</t>
  </si>
  <si>
    <t>FtrJewelrystand_Remake_3_0</t>
  </si>
  <si>
    <t>Abbreviations/Spreadsheet Help</t>
  </si>
  <si>
    <t>Light blue</t>
  </si>
  <si>
    <t>NFS = Not for sale
NA = Not available or unsellable, you must trash items with NA in the sell tab instead of selling
VFX = Visual effects for wallpaper and flooring, such as animation</t>
  </si>
  <si>
    <t>FtrAcorsticguitar_Remake_6_0</t>
  </si>
  <si>
    <t>6_0</t>
  </si>
  <si>
    <t>air circulator</t>
  </si>
  <si>
    <t>FtrJewelrystand_Remake_4_0</t>
  </si>
  <si>
    <t>Available in Nook's Cranny (either upgrade tier) in the unique furniture slot</t>
  </si>
  <si>
    <t>living room</t>
  </si>
  <si>
    <t>office</t>
  </si>
  <si>
    <t>Fan</t>
  </si>
  <si>
    <t>ACNH Nintendo Switch</t>
  </si>
  <si>
    <t>FtrCirculator_Remake_0_0</t>
  </si>
  <si>
    <t>Gray</t>
  </si>
  <si>
    <t>Green</t>
  </si>
  <si>
    <t>Nintendo
Nook Shopping</t>
  </si>
  <si>
    <t>1.1.0</t>
  </si>
  <si>
    <t>child's room</t>
  </si>
  <si>
    <t>FtrCirculator_Remake_1_0</t>
  </si>
  <si>
    <t>Game Console</t>
  </si>
  <si>
    <t>Emission</t>
  </si>
  <si>
    <t>FtrSwitchAC</t>
  </si>
  <si>
    <t>agrias butterfly model</t>
  </si>
  <si>
    <t>FtrCirculator_Remake_2_0</t>
  </si>
  <si>
    <t>Purple</t>
  </si>
  <si>
    <t>Flick</t>
  </si>
  <si>
    <t>Trade 3 insects to receive a model in the mail the next day</t>
  </si>
  <si>
    <t>Insect</t>
  </si>
  <si>
    <t>FtrInsectMiirotatehaToy</t>
  </si>
  <si>
    <t>aluminum briefcase</t>
  </si>
  <si>
    <t>FtrCirculator_Remake_3_0</t>
  </si>
  <si>
    <t>Stacks of cash</t>
  </si>
  <si>
    <t>Yellow</t>
  </si>
  <si>
    <t>Available in Nook's Cranny (upgraded only), in the third unique furniture slot</t>
  </si>
  <si>
    <t>expensive</t>
  </si>
  <si>
    <t>Office</t>
  </si>
  <si>
    <t>FtrDuralumincase_Remake_0_0</t>
  </si>
  <si>
    <t>FtrCirculator_Remake_4_0</t>
  </si>
  <si>
    <t>Gold bars</t>
  </si>
  <si>
    <t>alto saxophone</t>
  </si>
  <si>
    <t>Available in Nook's Cranny (upgraded only), in the unique furniture slot</t>
  </si>
  <si>
    <t>FtrDuralumincase_Remake_1_0</t>
  </si>
  <si>
    <t>amp</t>
  </si>
  <si>
    <t>Door Deco</t>
  </si>
  <si>
    <t>FtrAltosax</t>
  </si>
  <si>
    <t>anatomical model</t>
  </si>
  <si>
    <t>air conditioner</t>
  </si>
  <si>
    <t>concert</t>
  </si>
  <si>
    <t>school</t>
  </si>
  <si>
    <t>Hospital</t>
  </si>
  <si>
    <t>FtrAmp_Remake_0_0</t>
  </si>
  <si>
    <t>FtrAnatomicalmodel</t>
  </si>
  <si>
    <t>anchor statue</t>
  </si>
  <si>
    <t>Color</t>
  </si>
  <si>
    <t xml:space="preserve">2x1 </t>
  </si>
  <si>
    <t>Fishing Tourney</t>
  </si>
  <si>
    <t>ocean</t>
  </si>
  <si>
    <t>FtrAmp_Remake_1_0</t>
  </si>
  <si>
    <t>Seaside</t>
  </si>
  <si>
    <t>facility</t>
  </si>
  <si>
    <t>Orange</t>
  </si>
  <si>
    <t>FtrShipanchor_Remake_0_0</t>
  </si>
  <si>
    <t>Air Conditioning</t>
  </si>
  <si>
    <t>FtrAirconditioner_Remake_0_0</t>
  </si>
  <si>
    <t>Silver</t>
  </si>
  <si>
    <t>FtrAmp_Remake_2_0</t>
  </si>
  <si>
    <t>FtrAmp_Remake_3_0</t>
  </si>
  <si>
    <t>FtrShipanchor_Remake_1_0</t>
  </si>
  <si>
    <t>FtrAirconditioner_Remake_1_0</t>
  </si>
  <si>
    <t>Gold</t>
  </si>
  <si>
    <t>FtrAmp_Remake_4_0</t>
  </si>
  <si>
    <t>FtrShipanchor_Remake_2_0</t>
  </si>
  <si>
    <t>FtrAmp_Remake_5_0</t>
  </si>
  <si>
    <t>FtrAirconditioner_Remake_2_0</t>
  </si>
  <si>
    <t>FtrShipanchor_Remake_3_0</t>
  </si>
  <si>
    <t>FtrAmp_Remake_6_0</t>
  </si>
  <si>
    <t>analog kitchen scale</t>
  </si>
  <si>
    <t>kitchen</t>
  </si>
  <si>
    <t>Kitchen Things</t>
  </si>
  <si>
    <t>FtrWeighing_Remake_0_0</t>
  </si>
  <si>
    <t>FtrAirconditioner_Remake_3_0</t>
  </si>
  <si>
    <t>FtrShipanchor_Remake_4_0</t>
  </si>
  <si>
    <t>Retro</t>
  </si>
  <si>
    <t>FtrWeighing_Remake_1_0</t>
  </si>
  <si>
    <t>FtrShipanchor_Remake_5_0</t>
  </si>
  <si>
    <t>angled signpost</t>
  </si>
  <si>
    <t>FtrAirconditioner_Remake_4_0</t>
  </si>
  <si>
    <t>FtrWeighing_Remake_2_0</t>
  </si>
  <si>
    <t>Home</t>
  </si>
  <si>
    <t>Navigation</t>
  </si>
  <si>
    <t>garden</t>
  </si>
  <si>
    <t>Vehicle</t>
  </si>
  <si>
    <t>FtrSignpostTilt_Remake_0_0</t>
  </si>
  <si>
    <t>FtrAirconditioner_Remake_5_0</t>
  </si>
  <si>
    <t>FtrWeighing_Remake_3_0</t>
  </si>
  <si>
    <t>antique phone</t>
  </si>
  <si>
    <t>Forest</t>
  </si>
  <si>
    <t xml:space="preserve">1x1 </t>
  </si>
  <si>
    <t>FtrSignpostTilt_Remake_1_0</t>
  </si>
  <si>
    <t>antique</t>
  </si>
  <si>
    <t>Home Appliances</t>
  </si>
  <si>
    <t>Fishing Spot</t>
  </si>
  <si>
    <t>FtrWeighing_Remake_4_0</t>
  </si>
  <si>
    <t>FtrAntiquePhoneW_Remake_0_0</t>
  </si>
  <si>
    <t>Ivory</t>
  </si>
  <si>
    <t>FtrSignpostTilt_Remake_2_0</t>
  </si>
  <si>
    <t>Resident Services</t>
  </si>
  <si>
    <t>FtrWeighing_Remake_5_0</t>
  </si>
  <si>
    <t>FtrSignpostTilt_Remake_3_0</t>
  </si>
  <si>
    <t>FtrAntiquePhoneW_Remake_1_0</t>
  </si>
  <si>
    <t>Airport</t>
  </si>
  <si>
    <t>FtrSignpostTilt_Remake_4_0</t>
  </si>
  <si>
    <t>Shop</t>
  </si>
  <si>
    <t>FtrAntiquePhoneW_Remake_2_0</t>
  </si>
  <si>
    <t>autograph cards</t>
  </si>
  <si>
    <t>FtrWeighing_Remake_6_0</t>
  </si>
  <si>
    <t>Signature</t>
  </si>
  <si>
    <t>FtrSignpostTilt_Remake_5_0</t>
  </si>
  <si>
    <t>Musician's signature</t>
  </si>
  <si>
    <t>Tailors</t>
  </si>
  <si>
    <t>den</t>
  </si>
  <si>
    <t>Study</t>
  </si>
  <si>
    <t>FtrSignpostTilt_Remake_6_0</t>
  </si>
  <si>
    <t>FtrAutograph_Remake_0_0</t>
  </si>
  <si>
    <t>Museum</t>
  </si>
  <si>
    <t>FtrWeighing_Remake_7_0</t>
  </si>
  <si>
    <t>7_0</t>
  </si>
  <si>
    <t>anchovy model</t>
  </si>
  <si>
    <t>Comedian's signature</t>
  </si>
  <si>
    <t>FtrSignpostTilt_Remake_7_0</t>
  </si>
  <si>
    <t>antique bed</t>
  </si>
  <si>
    <t>C.J.</t>
  </si>
  <si>
    <t>2x2</t>
  </si>
  <si>
    <t>Trade 3 fish to receive a model in the mail the next day</t>
  </si>
  <si>
    <t>FtrAutograph_Remake_0_1</t>
  </si>
  <si>
    <t>0_1</t>
  </si>
  <si>
    <t>Bed</t>
  </si>
  <si>
    <t>Fish</t>
  </si>
  <si>
    <t>FtrAntiqueBedW_Remake_0_0</t>
  </si>
  <si>
    <t>FtrFishAntyobiToy</t>
  </si>
  <si>
    <t>angelfish model</t>
  </si>
  <si>
    <t>Handprints</t>
  </si>
  <si>
    <t>FtrAntiqueBedW_Remake_1_0</t>
  </si>
  <si>
    <t>FtrAutograph_Remake_1_0</t>
  </si>
  <si>
    <t>FtrFishAngelfishToy</t>
  </si>
  <si>
    <t>ant farm</t>
  </si>
  <si>
    <t>FtrAntiqueBedW_Remake_2_0</t>
  </si>
  <si>
    <t>antique bureau</t>
  </si>
  <si>
    <t>Desk</t>
  </si>
  <si>
    <t>FtrAntiqueBureau_Remake_0_0</t>
  </si>
  <si>
    <t>Special Insect</t>
  </si>
  <si>
    <t>FtrAutograph_Remake_1_1</t>
  </si>
  <si>
    <t>1_1</t>
  </si>
  <si>
    <t>FtrInsectAriFarm</t>
  </si>
  <si>
    <t>ant model</t>
  </si>
  <si>
    <t>Illustration</t>
  </si>
  <si>
    <t>FtrAntiqueBureau_Remake_1_0</t>
  </si>
  <si>
    <t>FtrAutograph_Remake_2_0</t>
  </si>
  <si>
    <t>FtrInsectAriToy</t>
  </si>
  <si>
    <t>anthurium plant</t>
  </si>
  <si>
    <t>FtrAntiqueBureau_Remake_2_0</t>
  </si>
  <si>
    <t>antique chair</t>
  </si>
  <si>
    <t>Plants</t>
  </si>
  <si>
    <t>FtrAutograph_Remake_2_1</t>
  </si>
  <si>
    <t>FtrPlantAnthurium_Remake_0_0</t>
  </si>
  <si>
    <t>2_1</t>
  </si>
  <si>
    <t>Chair</t>
  </si>
  <si>
    <t>FtrAntiqueChairS_Remake_0_0</t>
  </si>
  <si>
    <t>Words of wisdom</t>
  </si>
  <si>
    <t>FtrAntiqueChairS_Remake_1_0</t>
  </si>
  <si>
    <t>FtrPlantAnthurium_Remake_1_0</t>
  </si>
  <si>
    <t>FtrAutograph_Remake_3_0</t>
  </si>
  <si>
    <t>FtrAntiqueChairS_Remake_2_0</t>
  </si>
  <si>
    <t>antique clock</t>
  </si>
  <si>
    <t>FtrAutograph_Remake_3_1</t>
  </si>
  <si>
    <t>3_1</t>
  </si>
  <si>
    <t>FtrPlantAnthurium_Remake_2_0</t>
  </si>
  <si>
    <t>bamboo wall decoration</t>
  </si>
  <si>
    <t>Clock</t>
  </si>
  <si>
    <t>Green bamboo</t>
  </si>
  <si>
    <t>Bamboo</t>
  </si>
  <si>
    <t>FtrAntiqueClock_Remake_0_0</t>
  </si>
  <si>
    <t xml:space="preserve">0.5x1 </t>
  </si>
  <si>
    <t>Spring seasonal DIY using bamboo (from bamboo trees)</t>
  </si>
  <si>
    <t>zen-style</t>
  </si>
  <si>
    <t>bamboo</t>
  </si>
  <si>
    <t>FtrBambooFlowerwall_Remake_0_0</t>
  </si>
  <si>
    <t>FtrPlantAnthurium_Remake_3_0</t>
  </si>
  <si>
    <t>FtrAntiqueClock_Remake_1_0</t>
  </si>
  <si>
    <t>Dried bamboo</t>
  </si>
  <si>
    <t>FtrAntiqueClock_Remake_2_0</t>
  </si>
  <si>
    <t>antique console table</t>
  </si>
  <si>
    <t>FtrBambooFlowerwall_Remake_1_0</t>
  </si>
  <si>
    <t>FtrPlantAnthurium_Remake_4_0</t>
  </si>
  <si>
    <t>2x1</t>
  </si>
  <si>
    <t>arapaima model</t>
  </si>
  <si>
    <t>Table</t>
  </si>
  <si>
    <t>Smoke-cured bamboo</t>
  </si>
  <si>
    <t>FtrAntiqueConsole_Remake_0_0</t>
  </si>
  <si>
    <t>FtrAntiqueConsole_Remake_1_0</t>
  </si>
  <si>
    <t>FtrFishPirarukuToy</t>
  </si>
  <si>
    <t>FtrBambooFlowerwall_Remake_2_0</t>
  </si>
  <si>
    <t>aroma pot</t>
  </si>
  <si>
    <t>bathroom towel rack</t>
  </si>
  <si>
    <t>FtrAntiqueConsole_Remake_2_0</t>
  </si>
  <si>
    <t>antique mini table</t>
  </si>
  <si>
    <t>bathroom</t>
  </si>
  <si>
    <t>Bathroom Things</t>
  </si>
  <si>
    <t>FtrTowelrackWall_Remake_0_0</t>
  </si>
  <si>
    <t>FtrAlomapot_Remake_0_0</t>
  </si>
  <si>
    <t>FtrAntiqueTableS_Remake_0_0</t>
  </si>
  <si>
    <t>FtrAntiqueTableS_Remake_1_0</t>
  </si>
  <si>
    <t>FtrTowelrackWall_Remake_1_0</t>
  </si>
  <si>
    <t>FtrAlomapot_Remake_1_0</t>
  </si>
  <si>
    <t>Copper</t>
  </si>
  <si>
    <t>FtrAntiqueTableS_Remake_2_0</t>
  </si>
  <si>
    <t>antique table</t>
  </si>
  <si>
    <t>FtrTowelrackWall_Remake_2_0</t>
  </si>
  <si>
    <t>FtrAntiqueTableL_Remake_0_0</t>
  </si>
  <si>
    <t>FtrAlomapot_Remake_2_0</t>
  </si>
  <si>
    <t>FtrAntiqueTableL_Remake_1_0</t>
  </si>
  <si>
    <t>FtrAlomapot_Remake_3_0</t>
  </si>
  <si>
    <t>FtrTowelrackWall_Remake_3_0</t>
  </si>
  <si>
    <t>blue rose wreath</t>
  </si>
  <si>
    <t>FtrAntiqueTableL_Remake_2_0</t>
  </si>
  <si>
    <t>Cream</t>
  </si>
  <si>
    <t>antique vanity</t>
  </si>
  <si>
    <t>Dresser</t>
  </si>
  <si>
    <t>FtrAntiqueDresser_Remake_0_0</t>
  </si>
  <si>
    <t>flowers</t>
  </si>
  <si>
    <t>House Door Decor</t>
  </si>
  <si>
    <t>FtrAlomapot_Remake_4_0</t>
  </si>
  <si>
    <t>FtrDoorOrnamentWreathRoseUrtraRare</t>
  </si>
  <si>
    <t>bone doorplate</t>
  </si>
  <si>
    <t>FtrAntiqueDresser_Remake_1_0</t>
  </si>
  <si>
    <t>FtrAlomapot_Remake_5_0</t>
  </si>
  <si>
    <t>FtrAntiqueDresser_Remake_2_0</t>
  </si>
  <si>
    <t>arowana model</t>
  </si>
  <si>
    <t>FtrDoorPlateBone_Remake_0_0</t>
  </si>
  <si>
    <t>antique wardrobe</t>
  </si>
  <si>
    <t>Chest</t>
  </si>
  <si>
    <t>FtrAntiqueChest_Remake_0_0</t>
  </si>
  <si>
    <t>FtrFishArowanaToy</t>
  </si>
  <si>
    <t>Baby bear</t>
  </si>
  <si>
    <t>FtrDoorPlateBone_Remake_1_0</t>
  </si>
  <si>
    <t>Shirt</t>
  </si>
  <si>
    <t>FtrAntiqueChest_Remake_1_0</t>
  </si>
  <si>
    <t>bear</t>
  </si>
  <si>
    <t>Animal</t>
  </si>
  <si>
    <t>FtrBearS_Remake_0_0</t>
  </si>
  <si>
    <t>FtrDoorPlateBone_Remake_2_0</t>
  </si>
  <si>
    <t>FtrAntiqueChest_Remake_2_0</t>
  </si>
  <si>
    <t>Heart</t>
  </si>
  <si>
    <t>apple chair</t>
  </si>
  <si>
    <t>Red apple</t>
  </si>
  <si>
    <t>Fruit type</t>
  </si>
  <si>
    <t>fruits</t>
  </si>
  <si>
    <t>apple</t>
  </si>
  <si>
    <t>FtrBearS_Remake_0_1</t>
  </si>
  <si>
    <t>FtrFruitsChairApple_Remake_0_0</t>
  </si>
  <si>
    <t>Green apple</t>
  </si>
  <si>
    <t>FtrDoorPlateBone_Remake_3_0</t>
  </si>
  <si>
    <t>FtrFruitsChairApple_Remake_1_0</t>
  </si>
  <si>
    <t>FtrBearS_Remake_0_2</t>
  </si>
  <si>
    <t>Aquarius urn</t>
  </si>
  <si>
    <t>0_2</t>
  </si>
  <si>
    <t>Star</t>
  </si>
  <si>
    <t>stars</t>
  </si>
  <si>
    <t>FtrDoorPlateBone_Remake_4_0</t>
  </si>
  <si>
    <t>FtrZodiacAquarius</t>
  </si>
  <si>
    <t>arcade combat game</t>
  </si>
  <si>
    <t>FtrBearS_Remake_0_3</t>
  </si>
  <si>
    <t>0_3</t>
  </si>
  <si>
    <t>Caramel mocha</t>
  </si>
  <si>
    <t>Toy</t>
  </si>
  <si>
    <t>Monitor</t>
  </si>
  <si>
    <t>FtrArcadegameShooting</t>
  </si>
  <si>
    <t>arcade fighting game</t>
  </si>
  <si>
    <t>FtrDoorPlateBone_Remake_5_0</t>
  </si>
  <si>
    <t>FtrBearS_Remake_1_0</t>
  </si>
  <si>
    <t>FtrArcadegameFight</t>
  </si>
  <si>
    <t>arcade mahjong game</t>
  </si>
  <si>
    <t>FtrDoorPlateBone_Remake_6_0</t>
  </si>
  <si>
    <t>FtrBearS_Remake_1_1</t>
  </si>
  <si>
    <t>Natural wood</t>
  </si>
  <si>
    <t>FtrArcadegameMahjong</t>
  </si>
  <si>
    <t>arcade seat</t>
  </si>
  <si>
    <t>FtrBearS_Remake_1_2</t>
  </si>
  <si>
    <t>1_2</t>
  </si>
  <si>
    <t>FtrDoorPlateBone_Remake_7_0</t>
  </si>
  <si>
    <t>boomerang</t>
  </si>
  <si>
    <t>Design</t>
  </si>
  <si>
    <t>FtrGameChair_Remake_0_0</t>
  </si>
  <si>
    <t xml:space="preserve">1x0.5 </t>
  </si>
  <si>
    <t>FtrBearS_Remake_1_3</t>
  </si>
  <si>
    <t>1_3</t>
  </si>
  <si>
    <t>FtrBoomerang_Remake_0_0</t>
  </si>
  <si>
    <t>Choco</t>
  </si>
  <si>
    <t>FtrGameChair_Remake_1_0</t>
  </si>
  <si>
    <t>Green &amp; orange</t>
  </si>
  <si>
    <t>FtrBearS_Remake_2_0</t>
  </si>
  <si>
    <t>FtrGameChair_Remake_2_0</t>
  </si>
  <si>
    <t>Aries rocking chair</t>
  </si>
  <si>
    <t>FtrBoomerang_Remake_1_0</t>
  </si>
  <si>
    <t>FtrBearS_Remake_2_1</t>
  </si>
  <si>
    <t>Dark brown</t>
  </si>
  <si>
    <t>FtrZodiacAries</t>
  </si>
  <si>
    <t>FtrBearS_Remake_2_2</t>
  </si>
  <si>
    <t>2_2</t>
  </si>
  <si>
    <t>artisanal bug cage</t>
  </si>
  <si>
    <t>FtrBoomerang_Remake_2_0</t>
  </si>
  <si>
    <t>Bug-Off</t>
  </si>
  <si>
    <t>FtrBearS_Remake_2_3</t>
  </si>
  <si>
    <t>Ranch</t>
  </si>
  <si>
    <t>2_3</t>
  </si>
  <si>
    <t>Red &amp; black</t>
  </si>
  <si>
    <t>FtrEventobjInsectBox</t>
  </si>
  <si>
    <t>asteroid</t>
  </si>
  <si>
    <t>Floral</t>
  </si>
  <si>
    <t>space</t>
  </si>
  <si>
    <t>FtrBearS_Remake_3_0</t>
  </si>
  <si>
    <t>Space</t>
  </si>
  <si>
    <t>FtrBoomerang_Remake_3_0</t>
  </si>
  <si>
    <t>FtrMeteo</t>
  </si>
  <si>
    <t>astronaut suit</t>
  </si>
  <si>
    <t>White &amp; blue</t>
  </si>
  <si>
    <t>FtrBearS_Remake_3_1</t>
  </si>
  <si>
    <t>FtrSpacesuit</t>
  </si>
  <si>
    <t>automatic washer</t>
  </si>
  <si>
    <t>FtrBoomerang_Remake_4_0</t>
  </si>
  <si>
    <t>breaker</t>
  </si>
  <si>
    <t>FtrBearS_Remake_3_2</t>
  </si>
  <si>
    <t>3_2</t>
  </si>
  <si>
    <t>FtrWashingmachine_Remake_0_0</t>
  </si>
  <si>
    <t>garage</t>
  </si>
  <si>
    <t>FtrBearS_Remake_3_3</t>
  </si>
  <si>
    <t>3_3</t>
  </si>
  <si>
    <t>FtrBreaker</t>
  </si>
  <si>
    <t>FtrWashingmachine_Remake_1_0</t>
  </si>
  <si>
    <t>bronze HHA plaque</t>
  </si>
  <si>
    <t>Checkered</t>
  </si>
  <si>
    <t>HHA</t>
  </si>
  <si>
    <t>FtrBearS_Remake_4_0</t>
  </si>
  <si>
    <t>FtrWashingmachine_Remake_2_0</t>
  </si>
  <si>
    <t>FtrShieldHhaBronze</t>
  </si>
  <si>
    <t>broom and dustpan</t>
  </si>
  <si>
    <t>FtrBearS_Remake_4_1</t>
  </si>
  <si>
    <t>4_1</t>
  </si>
  <si>
    <t>FtrWashingmachine_Remake_3_0</t>
  </si>
  <si>
    <t xml:space="preserve">1x1.5 </t>
  </si>
  <si>
    <t>Supplies</t>
  </si>
  <si>
    <t>FtrBearS_Remake_4_2</t>
  </si>
  <si>
    <t>4_2</t>
  </si>
  <si>
    <t>FtrCleaningset_Remake_0_0</t>
  </si>
  <si>
    <t>FtrWashingmachine_Remake_4_0</t>
  </si>
  <si>
    <t>FtrBearS_Remake_4_3</t>
  </si>
  <si>
    <t>4_3</t>
  </si>
  <si>
    <t>Tweed</t>
  </si>
  <si>
    <t>FtrWashingmachine_Remake_5_0</t>
  </si>
  <si>
    <t>baby chair</t>
  </si>
  <si>
    <t>Bear</t>
  </si>
  <si>
    <t>Cushion</t>
  </si>
  <si>
    <t>FtrBearS_Remake_5_0</t>
  </si>
  <si>
    <t>FtrCleaningset_Remake_1_0</t>
  </si>
  <si>
    <t>FtrBabychair_Remake_0_0</t>
  </si>
  <si>
    <t>FtrBearS_Remake_5_1</t>
  </si>
  <si>
    <t>5_1</t>
  </si>
  <si>
    <t>Strawberry</t>
  </si>
  <si>
    <t>FtrCleaningset_Remake_2_0</t>
  </si>
  <si>
    <t>FtrBearS_Remake_5_2</t>
  </si>
  <si>
    <t>5_2</t>
  </si>
  <si>
    <t>FtrBabychair_Remake_0_1</t>
  </si>
  <si>
    <t>FtrBearS_Remake_5_3</t>
  </si>
  <si>
    <t>5_3</t>
  </si>
  <si>
    <t>Baby panda</t>
  </si>
  <si>
    <t>FtrCleaningset_Remake_3_0</t>
  </si>
  <si>
    <t>Bunny Day glowy garland</t>
  </si>
  <si>
    <t>Butterfly</t>
  </si>
  <si>
    <t>panda</t>
  </si>
  <si>
    <t>Obtained randomly from villager, egg message bottle or egg balloon during Bunny Day event</t>
  </si>
  <si>
    <t>FtrPandaS</t>
  </si>
  <si>
    <t>bagworm model</t>
  </si>
  <si>
    <t>FtrBabychair_Remake_0_2</t>
  </si>
  <si>
    <t>party</t>
  </si>
  <si>
    <t>Bunny Day</t>
  </si>
  <si>
    <t>Lamp</t>
  </si>
  <si>
    <t>FtrEggLampWall</t>
  </si>
  <si>
    <t>Train</t>
  </si>
  <si>
    <t>FtrInsectMinomushiToy</t>
  </si>
  <si>
    <t>ball</t>
  </si>
  <si>
    <t>Bunny Day wall clock</t>
  </si>
  <si>
    <t>Basketball</t>
  </si>
  <si>
    <t>fitness</t>
  </si>
  <si>
    <t>Sports</t>
  </si>
  <si>
    <t>FtrBabychair_Remake_0_3</t>
  </si>
  <si>
    <t>FtrBall_Remake_0_0</t>
  </si>
  <si>
    <t>1x1.5</t>
  </si>
  <si>
    <t>Soccer ball</t>
  </si>
  <si>
    <t>Paw print</t>
  </si>
  <si>
    <t>FtrEggClock</t>
  </si>
  <si>
    <t>Bunny Day wreath</t>
  </si>
  <si>
    <t>FtrBall_Remake_1_0</t>
  </si>
  <si>
    <t>Volleyball</t>
  </si>
  <si>
    <t>FtrBabychair_Remake_0_4</t>
  </si>
  <si>
    <t>0_4</t>
  </si>
  <si>
    <t>FtrBall_Remake_2_0</t>
  </si>
  <si>
    <t>FtrDoorOrnamentWreathEaster</t>
  </si>
  <si>
    <t>Dodgeball</t>
  </si>
  <si>
    <t>butterfly-fish model</t>
  </si>
  <si>
    <t>FtrBabychair_Remake_1_0</t>
  </si>
  <si>
    <t>FtrBall_Remake_3_0</t>
  </si>
  <si>
    <t>bamboo candleholder</t>
  </si>
  <si>
    <t>Special Fish</t>
  </si>
  <si>
    <t>Candle</t>
  </si>
  <si>
    <t>FtrBambooCandle_Remake_0_0</t>
  </si>
  <si>
    <t>FtrFishChouchouuoWall</t>
  </si>
  <si>
    <t>cherry lamp</t>
  </si>
  <si>
    <t>FtrBabychair_Remake_1_1</t>
  </si>
  <si>
    <t>FtrBambooCandle_Remake_1_0</t>
  </si>
  <si>
    <t>cherry</t>
  </si>
  <si>
    <t>Fluorescent</t>
  </si>
  <si>
    <t>FtrFruitsLampW_Remake_0_0</t>
  </si>
  <si>
    <t>FtrBambooCandle_Remake_2_0</t>
  </si>
  <si>
    <t>bamboo drum</t>
  </si>
  <si>
    <t>Black cherry</t>
  </si>
  <si>
    <t>FtrBabychair_Remake_1_2</t>
  </si>
  <si>
    <t>FtrBamboodrum_Remake_0_0</t>
  </si>
  <si>
    <t>FtrFruitsLampW_Remake_1_0</t>
  </si>
  <si>
    <t>cherry-blossom clock</t>
  </si>
  <si>
    <t>FtrBabychair_Remake_1_3</t>
  </si>
  <si>
    <t>FtrBamboodrum_Remake_1_0</t>
  </si>
  <si>
    <t>Cherry blossom seasonal DIY using cherry-blossom petals (caught with net)</t>
  </si>
  <si>
    <t>cherry blossoms</t>
  </si>
  <si>
    <t>FtrSakuraClockW_Remake_0_0</t>
  </si>
  <si>
    <t>FtrBamboodrum_Remake_2_0</t>
  </si>
  <si>
    <t>bamboo lunch box</t>
  </si>
  <si>
    <t>Pink-white</t>
  </si>
  <si>
    <t>FtrBabychair_Remake_1_4</t>
  </si>
  <si>
    <t>1_4</t>
  </si>
  <si>
    <t>Dining</t>
  </si>
  <si>
    <t>FtrBambooLunch_Remake_0_0</t>
  </si>
  <si>
    <t>FtrSakuraClockW_Remake_1_0</t>
  </si>
  <si>
    <t>chic cosmos wreath</t>
  </si>
  <si>
    <t>FtrBabychair_Remake_2_0</t>
  </si>
  <si>
    <t>FtrBambooLunch_Remake_1_0</t>
  </si>
  <si>
    <t>FtrBabychair_Remake_2_1</t>
  </si>
  <si>
    <t>FtrDoorOrnamentWreathCosmosRare</t>
  </si>
  <si>
    <t>chic windflower wreath</t>
  </si>
  <si>
    <t>FtrBambooLunch_Remake_2_0</t>
  </si>
  <si>
    <t>bamboo sphere</t>
  </si>
  <si>
    <t>FtrBabychair_Remake_2_2</t>
  </si>
  <si>
    <t>FtrBambooBall_Remake_0_0</t>
  </si>
  <si>
    <t>FtrDoorOrnamentWreathAnemoneRare</t>
  </si>
  <si>
    <t>coconut wall planter</t>
  </si>
  <si>
    <t>FtrBabychair_Remake_2_3</t>
  </si>
  <si>
    <t>FtrBambooBall_Remake_1_0</t>
  </si>
  <si>
    <t>FtrBambooBall_Remake_2_0</t>
  </si>
  <si>
    <t>FtrBabychair_Remake_2_4</t>
  </si>
  <si>
    <t>bamboo-shoot lamp</t>
  </si>
  <si>
    <t>2_4</t>
  </si>
  <si>
    <t>FtrPlanterPalm</t>
  </si>
  <si>
    <t>cool hyacinth wreath</t>
  </si>
  <si>
    <t>FtrBambooshootLamp</t>
  </si>
  <si>
    <t>barred knifejaw model</t>
  </si>
  <si>
    <t>FtrBabychair_Remake_3_0</t>
  </si>
  <si>
    <t>FtrFishIshidaiToy</t>
  </si>
  <si>
    <t>barreleye model</t>
  </si>
  <si>
    <t>FtrDoorOrnamentWreathHyacinthMix</t>
  </si>
  <si>
    <t>cool pansy wreath</t>
  </si>
  <si>
    <t>FtrBabychair_Remake_3_1</t>
  </si>
  <si>
    <t>FtrFishDemenigisuToy</t>
  </si>
  <si>
    <t>beach ball</t>
  </si>
  <si>
    <t>Available in all tiers of shops, including Timmy &amp; Tommy before the shop is opened</t>
  </si>
  <si>
    <t>FtrBabychair_Remake_3_2</t>
  </si>
  <si>
    <t>FtrBeachball_Remake_0_0</t>
  </si>
  <si>
    <t>FtrDoorOrnamentWreathPansyRare</t>
  </si>
  <si>
    <t>cool windflower wreath</t>
  </si>
  <si>
    <t>FtrBabychair_Remake_3_3</t>
  </si>
  <si>
    <t>FtrBeachball_Remake_1_0</t>
  </si>
  <si>
    <t>FtrDoorOrnamentWreathAnemoneMix</t>
  </si>
  <si>
    <t>FtrBabychair_Remake_3_4</t>
  </si>
  <si>
    <t>3_4</t>
  </si>
  <si>
    <t>corkboard</t>
  </si>
  <si>
    <t>FtrBeachball_Remake_2_0</t>
  </si>
  <si>
    <t>Watermelon</t>
  </si>
  <si>
    <t>Apple</t>
  </si>
  <si>
    <t>Favorite card</t>
  </si>
  <si>
    <t>FtrBabychair_Remake_4_0</t>
  </si>
  <si>
    <t>FtrBeachball_Remake_3_0</t>
  </si>
  <si>
    <t>bell cricket model</t>
  </si>
  <si>
    <t>FtrCorkboard_Remake_0_0</t>
  </si>
  <si>
    <t>FtrBabychair_Remake_4_1</t>
  </si>
  <si>
    <t>FtrInsectSuzumushiToy</t>
  </si>
  <si>
    <t>betta model</t>
  </si>
  <si>
    <t>FtrBabychair_Remake_4_2</t>
  </si>
  <si>
    <t>FtrCorkboard_Remake_0_1</t>
  </si>
  <si>
    <t>FtrFishBetaToy</t>
  </si>
  <si>
    <t>bingo wheel</t>
  </si>
  <si>
    <t>FtrBabychair_Remake_4_3</t>
  </si>
  <si>
    <t>Flower</t>
  </si>
  <si>
    <t>FtrBingo</t>
  </si>
  <si>
    <t>birthday cake</t>
  </si>
  <si>
    <t>FtrBabychair_Remake_4_4</t>
  </si>
  <si>
    <t>4_4</t>
  </si>
  <si>
    <t>FtrCorkboard_Remake_0_2</t>
  </si>
  <si>
    <t>Whipped-cream topping</t>
  </si>
  <si>
    <t>Birthday</t>
  </si>
  <si>
    <t>birthday</t>
  </si>
  <si>
    <t>Seasonal Decor</t>
  </si>
  <si>
    <t>FtrBirthdayCake_Remake_0_0</t>
  </si>
  <si>
    <t>FtrBabychair_Remake_5_0</t>
  </si>
  <si>
    <t>Chocolate buttercream</t>
  </si>
  <si>
    <t>FtrCorkboard_Remake_1_0</t>
  </si>
  <si>
    <t>FtrBirthdayCake_Remake_1_0</t>
  </si>
  <si>
    <t>FtrBabychair_Remake_5_1</t>
  </si>
  <si>
    <t>Strawberry buttercream</t>
  </si>
  <si>
    <t>FtrBirthdayCake_Remake_2_0</t>
  </si>
  <si>
    <t>birthday candles</t>
  </si>
  <si>
    <t>FtrBabychair_Remake_5_2</t>
  </si>
  <si>
    <t>FtrCorkboard_Remake_1_1</t>
  </si>
  <si>
    <t>FtrBirthdayCandle_Remake_0_0</t>
  </si>
  <si>
    <t>FtrBirthdayCandle_Remake_1_0</t>
  </si>
  <si>
    <t>FtrBabychair_Remake_5_3</t>
  </si>
  <si>
    <t>FtrCorkboard_Remake_1_2</t>
  </si>
  <si>
    <t>FtrBirthdayCandle_Remake_2_0</t>
  </si>
  <si>
    <t>FtrBirthdayCandle_Remake_3_0</t>
  </si>
  <si>
    <t>FtrBabychair_Remake_5_4</t>
  </si>
  <si>
    <t>5_4</t>
  </si>
  <si>
    <t>FtrCorkboard_Remake_2_0</t>
  </si>
  <si>
    <t>FtrBirthdayCandle_Remake_4_0</t>
  </si>
  <si>
    <t>Gorgeous</t>
  </si>
  <si>
    <t>FtrBabychair_Remake_6_0</t>
  </si>
  <si>
    <t>FtrBirthdayCandle_Remake_5_0</t>
  </si>
  <si>
    <t>bitterling model</t>
  </si>
  <si>
    <t>FtrCorkboard_Remake_2_1</t>
  </si>
  <si>
    <t>FtrFishTanagoToy</t>
  </si>
  <si>
    <t>black bass model</t>
  </si>
  <si>
    <t>FtrBabychair_Remake_6_1</t>
  </si>
  <si>
    <t>6_1</t>
  </si>
  <si>
    <t>FtrFishBlackbassToy</t>
  </si>
  <si>
    <t>FtrCorkboard_Remake_2_2</t>
  </si>
  <si>
    <t>blowfish model</t>
  </si>
  <si>
    <t>cosmos wreath</t>
  </si>
  <si>
    <t>FtrBabychair_Remake_6_2</t>
  </si>
  <si>
    <t>6_2</t>
  </si>
  <si>
    <t>FtrFishFuguToy</t>
  </si>
  <si>
    <t>FtrDoorOrnamentWreathCosmos</t>
  </si>
  <si>
    <t>blue marlin model</t>
  </si>
  <si>
    <t>crest doorplate</t>
  </si>
  <si>
    <t>FtrFishKajikiToy</t>
  </si>
  <si>
    <t>FtrBabychair_Remake_6_3</t>
  </si>
  <si>
    <t>blue weevil beetle model</t>
  </si>
  <si>
    <t>6_3</t>
  </si>
  <si>
    <t>FtrDoorOrnamentCrest_Remake_0_0</t>
  </si>
  <si>
    <t>FtrInsectHousekizoumushiToy</t>
  </si>
  <si>
    <t>Gold &amp; silver</t>
  </si>
  <si>
    <t>bluegill model</t>
  </si>
  <si>
    <t>FtrDoorOrnamentCrest_Remake_1_0</t>
  </si>
  <si>
    <t>FtrBabychair_Remake_6_4</t>
  </si>
  <si>
    <t>6_4</t>
  </si>
  <si>
    <t>bamboo basket</t>
  </si>
  <si>
    <t>FtrFishBlueguillToy</t>
  </si>
  <si>
    <t>Silver &amp; blue</t>
  </si>
  <si>
    <t>board game</t>
  </si>
  <si>
    <t>Simple path game</t>
  </si>
  <si>
    <t>FtrDoorOrnamentCrest_Remake_2_0</t>
  </si>
  <si>
    <t>FtrBoardgame_Remake_0_0</t>
  </si>
  <si>
    <t>Territory game</t>
  </si>
  <si>
    <t>Japanese Style</t>
  </si>
  <si>
    <t>Red &amp; white</t>
  </si>
  <si>
    <t>FtrBambooBasket_Remake_0_0</t>
  </si>
  <si>
    <t>FtrBoardgame_Remake_1_0</t>
  </si>
  <si>
    <t>FtrDoorOrnamentCrest_Remake_3_0</t>
  </si>
  <si>
    <t>Kids' game</t>
  </si>
  <si>
    <t>Silver &amp; green</t>
  </si>
  <si>
    <t>FtrBoardgame_Remake_2_0</t>
  </si>
  <si>
    <t>FtrBambooBasket_Remake_1_0</t>
  </si>
  <si>
    <t>FtrDoorOrnamentCrest_Remake_4_0</t>
  </si>
  <si>
    <t>book</t>
  </si>
  <si>
    <t>Western literature</t>
  </si>
  <si>
    <t>FtrDoorOrnamentCrest_Remake_5_0</t>
  </si>
  <si>
    <t>FtrBookOpened_Remake_0_0</t>
  </si>
  <si>
    <t>cuckoo clock</t>
  </si>
  <si>
    <t>FtrBambooBasket_Remake_2_0</t>
  </si>
  <si>
    <t>Japanese literature</t>
  </si>
  <si>
    <t>bamboo bench</t>
  </si>
  <si>
    <t>FtrBookOpened_Remake_1_0</t>
  </si>
  <si>
    <t>Encyclopedia</t>
  </si>
  <si>
    <t>FtrCuckooclock_Remake_0_0</t>
  </si>
  <si>
    <t>Sofa</t>
  </si>
  <si>
    <t>FtrBookOpened_Remake_2_0</t>
  </si>
  <si>
    <t>FtrBambooChairL_Remake_0_0</t>
  </si>
  <si>
    <t>Textbook</t>
  </si>
  <si>
    <t>FtrBookOpened_Remake_3_0</t>
  </si>
  <si>
    <t>book stands</t>
  </si>
  <si>
    <t>FtrCuckooclock_Remake_1_0</t>
  </si>
  <si>
    <t>FtrBambooChairL_Remake_1_0</t>
  </si>
  <si>
    <t>FtrBookstand_Remake_0_0</t>
  </si>
  <si>
    <t>FtrCuckooclock_Remake_2_0</t>
  </si>
  <si>
    <t>FtrBambooChairL_Remake_2_0</t>
  </si>
  <si>
    <t>bamboo doll</t>
  </si>
  <si>
    <t>FtrBookstand_Remake_1_0</t>
  </si>
  <si>
    <t>FtrCuckooclock_Remake_3_0</t>
  </si>
  <si>
    <t>FtrBambooSurprisedbox</t>
  </si>
  <si>
    <t>bamboo floor lamp</t>
  </si>
  <si>
    <t>FtrBookstand_Remake_2_0</t>
  </si>
  <si>
    <t>Pastel</t>
  </si>
  <si>
    <t>FtrCuckooclock_Remake_4_0</t>
  </si>
  <si>
    <t>FtrBambooLamp_Remake_0_0</t>
  </si>
  <si>
    <t>FtrBookstand_Remake_3_0</t>
  </si>
  <si>
    <t>bottled ship</t>
  </si>
  <si>
    <t>Trading ship</t>
  </si>
  <si>
    <t>FtrCuckooclock_Remake_5_0</t>
  </si>
  <si>
    <t>FtrBambooLamp_Remake_1_0</t>
  </si>
  <si>
    <t>folk art</t>
  </si>
  <si>
    <t>FtrBottleship_Remake_0_0</t>
  </si>
  <si>
    <t>Leisure boat</t>
  </si>
  <si>
    <t>FtrCuckooclock_Remake_6_0</t>
  </si>
  <si>
    <t>cute wall-mounted clock</t>
  </si>
  <si>
    <t>FtrBambooLamp_Remake_2_0</t>
  </si>
  <si>
    <t>bamboo noodle slide</t>
  </si>
  <si>
    <t>FtrBottleship_Remake_1_0</t>
  </si>
  <si>
    <t>cute</t>
  </si>
  <si>
    <t>Pirate ship</t>
  </si>
  <si>
    <t>FtrCuteClockW_Remake_0_0</t>
  </si>
  <si>
    <t>3x1</t>
  </si>
  <si>
    <t>Sky blue</t>
  </si>
  <si>
    <t>FtrBambooSomen</t>
  </si>
  <si>
    <t>bamboo partition</t>
  </si>
  <si>
    <t>FtrBottleship_Remake_2_0</t>
  </si>
  <si>
    <t>brine-shrimp aquarium</t>
  </si>
  <si>
    <t>FtrCuteClockW_Remake_1_0</t>
  </si>
  <si>
    <t>2x0.5</t>
  </si>
  <si>
    <t>Screen</t>
  </si>
  <si>
    <t>FtrBambooScreen_Remake_0_0</t>
  </si>
  <si>
    <t>FtrArtemiaAquarium</t>
  </si>
  <si>
    <t>bronze bug trophy</t>
  </si>
  <si>
    <t>FtrCuteClockW_Remake_2_0</t>
  </si>
  <si>
    <t>FtrBambooScreen_Remake_1_0</t>
  </si>
  <si>
    <t>FtrTrophyInsectBronz</t>
  </si>
  <si>
    <t>FtrCuteClockW_Remake_3_0</t>
  </si>
  <si>
    <t>bronze fish trophy</t>
  </si>
  <si>
    <t>FtrBambooScreen_Remake_2_0</t>
  </si>
  <si>
    <t>bamboo shelf</t>
  </si>
  <si>
    <t>FtrCuteClockW_Remake_4_0</t>
  </si>
  <si>
    <t>dark lily wreath</t>
  </si>
  <si>
    <t>FtrTrophyFishBronz</t>
  </si>
  <si>
    <t>bronze HHA trophy</t>
  </si>
  <si>
    <t>Shelf</t>
  </si>
  <si>
    <t>FtrBambooShelf_Remake_0_0</t>
  </si>
  <si>
    <t>horror</t>
  </si>
  <si>
    <t>FtrDoorOrnamentWreathYuriRare</t>
  </si>
  <si>
    <t>dark rose wreath</t>
  </si>
  <si>
    <t>FtrTrophyHhaBronze</t>
  </si>
  <si>
    <t>FtrBambooShelf_Remake_1_0</t>
  </si>
  <si>
    <t>brown cicada model</t>
  </si>
  <si>
    <t>FtrDoorOrnamentWreathRoseRare</t>
  </si>
  <si>
    <t>dark tulip wreath</t>
  </si>
  <si>
    <t>FtrBambooShelf_Remake_2_0</t>
  </si>
  <si>
    <t>bamboo speaker</t>
  </si>
  <si>
    <t>FtrInsectAburazemiToy</t>
  </si>
  <si>
    <t>Bunny Day basket</t>
  </si>
  <si>
    <t>FtrDoorOrnamentWreathTulipRare</t>
  </si>
  <si>
    <t>deer decoration</t>
  </si>
  <si>
    <t>Audio</t>
  </si>
  <si>
    <t>FtrBambooMusic_Remake_0_0</t>
  </si>
  <si>
    <t>Paint color</t>
  </si>
  <si>
    <t>From Zipper after trading one of every egg (all 6 types) during Bunny Day.</t>
  </si>
  <si>
    <t>Easter</t>
  </si>
  <si>
    <t>FtrEggBasket</t>
  </si>
  <si>
    <t>FtrHuntingtrophy_Remake_0_0</t>
  </si>
  <si>
    <t>Bunny Day lamp</t>
  </si>
  <si>
    <t>FtrBambooMusic_Remake_1_0</t>
  </si>
  <si>
    <t>Ash</t>
  </si>
  <si>
    <t>FtrHuntingtrophy_Remake_1_0</t>
  </si>
  <si>
    <t>FtrEggLamp</t>
  </si>
  <si>
    <t>FtrBambooMusic_Remake_2_0</t>
  </si>
  <si>
    <t>bamboo stool</t>
  </si>
  <si>
    <t>butterfly fish model</t>
  </si>
  <si>
    <t>FtrBambooStool_Remake_0_0</t>
  </si>
  <si>
    <t>FtrFishChouchouuoToy</t>
  </si>
  <si>
    <t>FtrHuntingtrophy_Remake_2_0</t>
  </si>
  <si>
    <t>camp stove</t>
  </si>
  <si>
    <t>outdoors</t>
  </si>
  <si>
    <t>FtrBambooStool_Remake_1_0</t>
  </si>
  <si>
    <t>Outdoors Decor</t>
  </si>
  <si>
    <t>FtrKocher_Remake_0_0</t>
  </si>
  <si>
    <t>FtrHuntingtrophy_Remake_3_0</t>
  </si>
  <si>
    <t>FtrBambooStool_Remake_2_0</t>
  </si>
  <si>
    <t>bamboo stopblock</t>
  </si>
  <si>
    <t>FtrKocher_Remake_1_0</t>
  </si>
  <si>
    <t>FtrHuntingtrophy_Remake_4_0</t>
  </si>
  <si>
    <t>diner neon clock</t>
  </si>
  <si>
    <t>1x0.5</t>
  </si>
  <si>
    <t>FtrBambooCarstop_Remake_0_0</t>
  </si>
  <si>
    <t>Red lines</t>
  </si>
  <si>
    <t>Clock face</t>
  </si>
  <si>
    <t>FtrKocher_Remake_2_0</t>
  </si>
  <si>
    <t>diner</t>
  </si>
  <si>
    <t>FtrBambooCarstop_Remake_1_0</t>
  </si>
  <si>
    <t>FtrKocher_Remake_3_0</t>
  </si>
  <si>
    <t>FtrAmeretroClock_Remake_0_0</t>
  </si>
  <si>
    <t>Blue bee</t>
  </si>
  <si>
    <t>FtrBambooCarstop_Remake_2_0</t>
  </si>
  <si>
    <t>barbecue</t>
  </si>
  <si>
    <t>FtrKocher_Remake_4_0</t>
  </si>
  <si>
    <t>FtrAmeretroClock_Remake_0_1</t>
  </si>
  <si>
    <t>B &amp; W numeral</t>
  </si>
  <si>
    <t>FtrBarbecuegrill_Remake_0_0</t>
  </si>
  <si>
    <t>FtrKocher_Remake_5_0</t>
  </si>
  <si>
    <t>candle</t>
  </si>
  <si>
    <t>FtrAmeretroClock_Remake_0_2</t>
  </si>
  <si>
    <t>FtrBarbecuegrill_Remake_1_0</t>
  </si>
  <si>
    <t>FtrCandle_Remake_0_0</t>
  </si>
  <si>
    <t>FtrAmeretroClock_Remake_1_0</t>
  </si>
  <si>
    <t>FtrBarbecuegrill_Remake_2_0</t>
  </si>
  <si>
    <t>FtrCandle_Remake_1_0</t>
  </si>
  <si>
    <t>FtrAmeretroClock_Remake_1_1</t>
  </si>
  <si>
    <t>FtrBarbecuegrill_Remake_3_0</t>
  </si>
  <si>
    <t>FtrCandle_Remake_2_0</t>
  </si>
  <si>
    <t>FtrAmeretroClock_Remake_1_2</t>
  </si>
  <si>
    <t>FtrBarbecuegrill_Remake_4_0</t>
  </si>
  <si>
    <t>barbell</t>
  </si>
  <si>
    <t>Plate color</t>
  </si>
  <si>
    <t>FtrCandle_Remake_3_0</t>
  </si>
  <si>
    <t>FtrAmeretroClock_Remake_2_0</t>
  </si>
  <si>
    <t>FtrBarbell_Remake_0_0</t>
  </si>
  <si>
    <t>FtrCandle_Remake_4_0</t>
  </si>
  <si>
    <t>cardboard box</t>
  </si>
  <si>
    <t>Plain</t>
  </si>
  <si>
    <t>FtrAmeretroClock_Remake_2_1</t>
  </si>
  <si>
    <t>FtrBarbell_Remake_1_0</t>
  </si>
  <si>
    <t>cardboard</t>
  </si>
  <si>
    <t>FtrCardboard_Remake_0_0</t>
  </si>
  <si>
    <t>FtrBarbell_Remake_2_0</t>
  </si>
  <si>
    <t>Labeled</t>
  </si>
  <si>
    <t>FtrAmeretroClock_Remake_2_2</t>
  </si>
  <si>
    <t>Aquamarine</t>
  </si>
  <si>
    <t>FtrCardboard_Remake_1_0</t>
  </si>
  <si>
    <t>Oranges</t>
  </si>
  <si>
    <t>FtrBarbell_Remake_3_0</t>
  </si>
  <si>
    <t>barrel</t>
  </si>
  <si>
    <t>FtrAmeretroClock_Remake_3_0</t>
  </si>
  <si>
    <t>FtrCardboard_Remake_2_0</t>
  </si>
  <si>
    <t>Apples</t>
  </si>
  <si>
    <t>FtrPirateBarrel</t>
  </si>
  <si>
    <t>basic teacher's desk</t>
  </si>
  <si>
    <t>FtrCardboard_Remake_3_0</t>
  </si>
  <si>
    <t>Standard</t>
  </si>
  <si>
    <t>Peaches</t>
  </si>
  <si>
    <t>FtrAmeretroClock_Remake_3_1</t>
  </si>
  <si>
    <t>FtrCardboard_Remake_4_0</t>
  </si>
  <si>
    <t>FtrSchoolTeachertable_Remake_0_0</t>
  </si>
  <si>
    <t>Pears</t>
  </si>
  <si>
    <t>Wooden</t>
  </si>
  <si>
    <t>FtrCardboard_Remake_5_0</t>
  </si>
  <si>
    <t>FtrAmeretroClock_Remake_3_2</t>
  </si>
  <si>
    <t>Cherries</t>
  </si>
  <si>
    <t>FtrSchoolTeachertable_Remake_1_0</t>
  </si>
  <si>
    <t>FtrCardboard_Remake_6_0</t>
  </si>
  <si>
    <t>carp model</t>
  </si>
  <si>
    <t>Monotone</t>
  </si>
  <si>
    <t>FtrFishKoiToy</t>
  </si>
  <si>
    <t>FtrAmeretroClock_Remake_4_0</t>
  </si>
  <si>
    <t>cartoonist's set</t>
  </si>
  <si>
    <t>FtrSchoolTeachertable_Remake_2_0</t>
  </si>
  <si>
    <t>basketball hoop</t>
  </si>
  <si>
    <t>Blank</t>
  </si>
  <si>
    <t>Manuscript paper</t>
  </si>
  <si>
    <t>FtrCartoonistset_Remake_0_0</t>
  </si>
  <si>
    <t>Comic plan</t>
  </si>
  <si>
    <t>FtrAmeretroClock_Remake_4_1</t>
  </si>
  <si>
    <t>FtrBasketgoal_Remake_0_0</t>
  </si>
  <si>
    <t>FtrCartoonistset_Remake_0_1</t>
  </si>
  <si>
    <t>Gag comic</t>
  </si>
  <si>
    <t>FtrCartoonistset_Remake_0_2</t>
  </si>
  <si>
    <t>FtrAmeretroClock_Remake_4_2</t>
  </si>
  <si>
    <t>FtrBasketgoal_Remake_1_0</t>
  </si>
  <si>
    <t>FtrCartoonistset_Remake_1_0</t>
  </si>
  <si>
    <t>FtrBasketgoal_Remake_2_0</t>
  </si>
  <si>
    <t>bathroom sink</t>
  </si>
  <si>
    <t>FtrAmeretroClock_Remake_5_0</t>
  </si>
  <si>
    <t>FtrCartoonistset_Remake_1_1</t>
  </si>
  <si>
    <t>FtrCartoonistset_Remake_1_2</t>
  </si>
  <si>
    <t>FtrWashstand_Remake_0_0</t>
  </si>
  <si>
    <t>FtrAmeretroClock_Remake_5_1</t>
  </si>
  <si>
    <t>FtrCartoonistset_Remake_2_0</t>
  </si>
  <si>
    <t>FtrWashstand_Remake_1_0</t>
  </si>
  <si>
    <t>FtrAmeretroClock_Remake_5_2</t>
  </si>
  <si>
    <t>FtrCartoonistset_Remake_2_1</t>
  </si>
  <si>
    <t>FtrWashstand_Remake_2_0</t>
  </si>
  <si>
    <t>beach chair</t>
  </si>
  <si>
    <t>FtrCartoonistset_Remake_2_2</t>
  </si>
  <si>
    <t>FtrAmeretroClock_Remake_6_0</t>
  </si>
  <si>
    <t>FtrCartoonistset_Remake_3_0</t>
  </si>
  <si>
    <t>FtrBeachbed_Remake_0_0</t>
  </si>
  <si>
    <t>FtrAmeretroClock_Remake_6_1</t>
  </si>
  <si>
    <t>FtrCartoonistset_Remake_3_1</t>
  </si>
  <si>
    <t>FtrCartoonistset_Remake_3_2</t>
  </si>
  <si>
    <t>cassette player</t>
  </si>
  <si>
    <t>FtrAmeretroClock_Remake_6_2</t>
  </si>
  <si>
    <t>double-sided wall clock</t>
  </si>
  <si>
    <t>FtrBeachbed_Remake_1_0</t>
  </si>
  <si>
    <t>Cheap</t>
  </si>
  <si>
    <t>FtrRadicaseW_Remake_0_0</t>
  </si>
  <si>
    <t>Light bue</t>
  </si>
  <si>
    <t>FtrBeachbed_Remake_2_0</t>
  </si>
  <si>
    <t>FtrBothsideclockWall_Remake_0_0</t>
  </si>
  <si>
    <t>FtrRadicaseW_Remake_1_0</t>
  </si>
  <si>
    <t>FtrBeachbed_Remake_3_0</t>
  </si>
  <si>
    <t>FtrRadicaseW_Remake_2_0</t>
  </si>
  <si>
    <t>FtrBothsideclockWall_Remake_1_0</t>
  </si>
  <si>
    <t>FtrBeachbed_Remake_4_0</t>
  </si>
  <si>
    <t>FtrRadicaseW_Remake_3_0</t>
  </si>
  <si>
    <t>FtrBothsideclockWall_Remake_2_0</t>
  </si>
  <si>
    <t>FtrRadicaseW_Remake_4_0</t>
  </si>
  <si>
    <t>FtrBeachbed_Remake_5_0</t>
  </si>
  <si>
    <t>beach towel</t>
  </si>
  <si>
    <t>Cyan zigzags</t>
  </si>
  <si>
    <t>Towel</t>
  </si>
  <si>
    <t>FtrRadicaseW_Remake_5_0</t>
  </si>
  <si>
    <t>FtrBothsideclockWall_Remake_3_0</t>
  </si>
  <si>
    <t>FtrBeachtowel_Remake_0_0</t>
  </si>
  <si>
    <t>FtrRadicaseW_Remake_6_0</t>
  </si>
  <si>
    <t>Red stripes</t>
  </si>
  <si>
    <t>FtrRadicaseW_Remake_7_0</t>
  </si>
  <si>
    <t>FtrBeachtowel_Remake_0_1</t>
  </si>
  <si>
    <t>cat grass</t>
  </si>
  <si>
    <t>FtrBothsideclockWall_Remake_4_0</t>
  </si>
  <si>
    <t>FtrCatgrass_Remake_0_0</t>
  </si>
  <si>
    <t>FtrBeachtowel_Remake_0_2</t>
  </si>
  <si>
    <t>FtrCatgrass_Remake_1_0</t>
  </si>
  <si>
    <t>FtrBothsideclockWall_Remake_5_0</t>
  </si>
  <si>
    <t>Shells</t>
  </si>
  <si>
    <t>exit sign</t>
  </si>
  <si>
    <t>FtrCatgrass_Remake_2_0</t>
  </si>
  <si>
    <t>←</t>
  </si>
  <si>
    <t>FtrBeachtowel_Remake_0_3</t>
  </si>
  <si>
    <t>FtrCatgrass_Remake_3_0</t>
  </si>
  <si>
    <t>Facility Decor</t>
  </si>
  <si>
    <t>FtrExit_Remake_0_0</t>
  </si>
  <si>
    <t>→</t>
  </si>
  <si>
    <t>FtrCatgrass_Remake_4_0</t>
  </si>
  <si>
    <t>catfish model</t>
  </si>
  <si>
    <t>FtrBeachtowel_Remake_0_4</t>
  </si>
  <si>
    <t>FtrExit_Remake_1_0</t>
  </si>
  <si>
    <t>FtrFishNamazuToy</t>
  </si>
  <si>
    <t>celebratory candles</t>
  </si>
  <si>
    <t>Red exit</t>
  </si>
  <si>
    <t>Season sale item
*Not available in Europe</t>
  </si>
  <si>
    <t>FtrBeachtowel_Remake_0_5</t>
  </si>
  <si>
    <t>FtrCelebratoryCandle_Remake_0_0</t>
  </si>
  <si>
    <t>0_5</t>
  </si>
  <si>
    <t>Light brown</t>
  </si>
  <si>
    <t>FtrCelebratoryCandle_Remake_1_0</t>
  </si>
  <si>
    <t>FtrBeachtowel_Remake_0_6</t>
  </si>
  <si>
    <t>0_6</t>
  </si>
  <si>
    <t>beekeeper's hive</t>
  </si>
  <si>
    <t>FtrExit_Remake_2_0</t>
  </si>
  <si>
    <t>← →</t>
  </si>
  <si>
    <t>FtrCelebratoryCandle_Remake_2_0</t>
  </si>
  <si>
    <t>FtrBeekeepingbox_Remake_0_0</t>
  </si>
  <si>
    <t>FtrCelebratoryCandle_Remake_3_0</t>
  </si>
  <si>
    <t>FtrExit_Remake_3_0</t>
  </si>
  <si>
    <t>fancy lily wreath</t>
  </si>
  <si>
    <t>FtrBeekeepingbox_Remake_1_0</t>
  </si>
  <si>
    <t>FtrCelebratoryCandle_Remake_4_0</t>
  </si>
  <si>
    <t>centipede model</t>
  </si>
  <si>
    <t>FtrBeekeepingbox_Remake_2_0</t>
  </si>
  <si>
    <t>FtrDoorOrnamentWreathYuriMix</t>
  </si>
  <si>
    <t>FtrInsectMukadeToy</t>
  </si>
  <si>
    <t>fancy mum wreath</t>
  </si>
  <si>
    <t>char model</t>
  </si>
  <si>
    <t>FtrBeekeepingbox_Remake_3_0</t>
  </si>
  <si>
    <t>FtrFishOoiwanaToy</t>
  </si>
  <si>
    <t>cherry salmon model</t>
  </si>
  <si>
    <t>FtrBeekeepingbox_Remake_4_0</t>
  </si>
  <si>
    <t>FtrDoorOrnamentWreathMumMix</t>
  </si>
  <si>
    <t>bidet</t>
  </si>
  <si>
    <t>fancy rose wreath</t>
  </si>
  <si>
    <t>FtrFishYamameToy</t>
  </si>
  <si>
    <t>cherry speakers</t>
  </si>
  <si>
    <t>FtrWCBidet</t>
  </si>
  <si>
    <t>big festive tree</t>
  </si>
  <si>
    <t>FtrFruitsMusic_Remake_0_0</t>
  </si>
  <si>
    <t>FtrDoorOrnamentWreathRoseMix</t>
  </si>
  <si>
    <t>fish doorplate</t>
  </si>
  <si>
    <t>Festive seasonal DIY using ornaments (from shaking trees)</t>
  </si>
  <si>
    <t>festive</t>
  </si>
  <si>
    <t>FtrTreeXmasL_Remake_0_0</t>
  </si>
  <si>
    <t>FtrFruitsMusic_Remake_1_0</t>
  </si>
  <si>
    <t>cherry-blossom bonsai</t>
  </si>
  <si>
    <t>FtrDoorOrnamentFish_Remake_0_0</t>
  </si>
  <si>
    <t>FtrTreeXmasL_Remake_1_0</t>
  </si>
  <si>
    <t>FtrBonsaiSakura</t>
  </si>
  <si>
    <t>chessboard</t>
  </si>
  <si>
    <t>FtrDoorOrnamentFish_Remake_1_0</t>
  </si>
  <si>
    <t>FtrTreeXmasL_Remake_2_0</t>
  </si>
  <si>
    <t>FtrChess_Remake_0_0</t>
  </si>
  <si>
    <t>FtrChess_Remake_1_0</t>
  </si>
  <si>
    <t>cicada shell model</t>
  </si>
  <si>
    <t>FtrTreeXmasL_Remake_3_0</t>
  </si>
  <si>
    <t>FtrDoorOrnamentFish_Remake_2_0</t>
  </si>
  <si>
    <t>FtrInsectSeminonukegaraToy</t>
  </si>
  <si>
    <t>citrus long-horned b. model</t>
  </si>
  <si>
    <t>FtrTreeXmasL_Remake_4_0</t>
  </si>
  <si>
    <t>FtrInsectGomadarakamikiriToy</t>
  </si>
  <si>
    <t>FtrDoorOrnamentFish_Remake_3_0</t>
  </si>
  <si>
    <t>classic pitcher</t>
  </si>
  <si>
    <t>FtrTreeXmasL_Remake_5_0</t>
  </si>
  <si>
    <t>Unglazed</t>
  </si>
  <si>
    <t>billiard table</t>
  </si>
  <si>
    <t>FtrPotteryjug_Remake_0_0</t>
  </si>
  <si>
    <t>Simple</t>
  </si>
  <si>
    <t>FtrBilliard_Remake_0_0</t>
  </si>
  <si>
    <t>FtrDoorOrnamentFish_Remake_4_0</t>
  </si>
  <si>
    <t>FtrPotteryjug_Remake_1_0</t>
  </si>
  <si>
    <t>FtrDoorOrnamentFish_Remake_5_0</t>
  </si>
  <si>
    <t>FtrBilliard_Remake_1_0</t>
  </si>
  <si>
    <t>FtrPotteryjug_Remake_2_0</t>
  </si>
  <si>
    <t>Yellow amber</t>
  </si>
  <si>
    <t>FtrPotteryjug_Remake_3_0</t>
  </si>
  <si>
    <t>FtrDoorOrnamentFish_Remake_6_0</t>
  </si>
  <si>
    <t>FtrBilliard_Remake_2_0</t>
  </si>
  <si>
    <t>Fruits</t>
  </si>
  <si>
    <t>birdbath</t>
  </si>
  <si>
    <t>Body color</t>
  </si>
  <si>
    <t>FtrPotteryjug_Remake_4_0</t>
  </si>
  <si>
    <t>Garden</t>
  </si>
  <si>
    <t>Artistic</t>
  </si>
  <si>
    <t>FtrBirdbus_Remake_0_0</t>
  </si>
  <si>
    <t>FtrDoorOrnamentFish_Remake_7_0</t>
  </si>
  <si>
    <t>fish print</t>
  </si>
  <si>
    <t>FtrBirdbus_Remake_1_0</t>
  </si>
  <si>
    <t>Giant trevally</t>
  </si>
  <si>
    <t>FtrPotteryjug_Remake_5_0</t>
  </si>
  <si>
    <t>clown fish model</t>
  </si>
  <si>
    <t>FtrBirdbus_Remake_2_0</t>
  </si>
  <si>
    <t>FtrFishprint_Remake_0_0</t>
  </si>
  <si>
    <t>Red snapper</t>
  </si>
  <si>
    <t>FtrFishKumanomiToy</t>
  </si>
  <si>
    <t>coconut juice</t>
  </si>
  <si>
    <t>FtrBirdbus_Remake_3_0</t>
  </si>
  <si>
    <t>birdcage</t>
  </si>
  <si>
    <t>FtrFishprint_Remake_1_0</t>
  </si>
  <si>
    <t>Blue marlin</t>
  </si>
  <si>
    <t>FtrCoconutjuice</t>
  </si>
  <si>
    <t>coelacanth model</t>
  </si>
  <si>
    <t>FtrBirdcage_Remake_0_0</t>
  </si>
  <si>
    <t>FtrFishprint_Remake_2_0</t>
  </si>
  <si>
    <t>Squid</t>
  </si>
  <si>
    <t>FtrFishSirakansuToy</t>
  </si>
  <si>
    <t>FtrBirdcage_Remake_1_0</t>
  </si>
  <si>
    <t>coffee cup</t>
  </si>
  <si>
    <t>FtrFishprint_Remake_3_0</t>
  </si>
  <si>
    <t>Black bass</t>
  </si>
  <si>
    <t>FtrBirdcage_Remake_2_0</t>
  </si>
  <si>
    <t>FtrCoffeecup_Remake_0_0</t>
  </si>
  <si>
    <t>FtrFishprint_Remake_4_0</t>
  </si>
  <si>
    <t>Carp</t>
  </si>
  <si>
    <t>FtrBirdcage_Remake_3_0</t>
  </si>
  <si>
    <t>FtrCoffeecup_Remake_1_0</t>
  </si>
  <si>
    <t>Polka dots</t>
  </si>
  <si>
    <t>FtrFishprint_Remake_5_0</t>
  </si>
  <si>
    <t>Giant snakehead</t>
  </si>
  <si>
    <t>FtrCoffeecup_Remake_2_0</t>
  </si>
  <si>
    <t>FtrBirdcage_Remake_4_0</t>
  </si>
  <si>
    <t>Rose</t>
  </si>
  <si>
    <t>birdhouse</t>
  </si>
  <si>
    <t>FtrFishprint_Remake_6_0</t>
  </si>
  <si>
    <t>fishing-boat flag</t>
  </si>
  <si>
    <t>FtrCoffeecup_Remake_3_0</t>
  </si>
  <si>
    <t>Royal</t>
  </si>
  <si>
    <t>Nintenmaru - Big Catch</t>
  </si>
  <si>
    <t>FtrBirdhouse_Remake_0_0</t>
  </si>
  <si>
    <t xml:space="preserve">2x1.5 </t>
  </si>
  <si>
    <t>FtrCoffeecup_Remake_4_0</t>
  </si>
  <si>
    <t>Elegant</t>
  </si>
  <si>
    <t>FtrBigcatchflag_Remake_0_0</t>
  </si>
  <si>
    <t>FtrCoffeecup_Remake_5_0</t>
  </si>
  <si>
    <t>coffee grinder</t>
  </si>
  <si>
    <t>Tsurukamemaru - Longevity</t>
  </si>
  <si>
    <t>FtrBirdhouse_Remake_1_0</t>
  </si>
  <si>
    <t>Natural &amp; white</t>
  </si>
  <si>
    <t>FtrCoffeemill</t>
  </si>
  <si>
    <t>common bluebottle model</t>
  </si>
  <si>
    <t>FtrBigcatchflag_Remake_1_0</t>
  </si>
  <si>
    <t>FtrBirdhouse_Remake_2_0</t>
  </si>
  <si>
    <t>Marufukumaru - Bounty</t>
  </si>
  <si>
    <t>FtrInsectAosujiagehaToy</t>
  </si>
  <si>
    <t>common butterfly model</t>
  </si>
  <si>
    <t>FtrBigcatchflag_Remake_2_0</t>
  </si>
  <si>
    <t>FtrBirdhouse_Remake_3_0</t>
  </si>
  <si>
    <t>FtrInsectMonshirochoToy</t>
  </si>
  <si>
    <t>cooler box</t>
  </si>
  <si>
    <t>Uomasamaru III - Launch</t>
  </si>
  <si>
    <t>FtrCoolerbox_Remake_0_0</t>
  </si>
  <si>
    <t>FtrBigcatchflag_Remake_3_0</t>
  </si>
  <si>
    <t>FtrBirdhouse_Remake_4_0</t>
  </si>
  <si>
    <t>floral swag</t>
  </si>
  <si>
    <t>FtrCoolerbox_Remake_1_0</t>
  </si>
  <si>
    <t>FtrBirdhouse_Remake_5_0</t>
  </si>
  <si>
    <t>birthday sign</t>
  </si>
  <si>
    <t>FtrFlowerSwag_Remake_0_0</t>
  </si>
  <si>
    <t>FtrCoolerbox_Remake_2_0</t>
  </si>
  <si>
    <t>FtrBirthdayBoard_Remake_0_0</t>
  </si>
  <si>
    <t>FtrFlowerSwag_Remake_1_0</t>
  </si>
  <si>
    <t>FtrCoolerbox_Remake_3_0</t>
  </si>
  <si>
    <t>cordless phone</t>
  </si>
  <si>
    <t>FtrBirthdayBoard_Remake_1_0</t>
  </si>
  <si>
    <t>FtrFlowerSwag_Remake_2_0</t>
  </si>
  <si>
    <t>FtrPhoneCordless_Remake_0_0</t>
  </si>
  <si>
    <t>FtrBirthdayBoard_Remake_2_0</t>
  </si>
  <si>
    <t>FtrFlowerSwag_Remake_3_0</t>
  </si>
  <si>
    <t>FtrPhoneCordless_Remake_1_0</t>
  </si>
  <si>
    <t>FtrBirthdayBoard_Remake_3_0</t>
  </si>
  <si>
    <t>FtrPhoneCordless_Remake_2_0</t>
  </si>
  <si>
    <t>FtrFlowerSwag_Remake_4_0</t>
  </si>
  <si>
    <t>formal paper</t>
  </si>
  <si>
    <t>FtrPhoneCordless_Remake_3_0</t>
  </si>
  <si>
    <t>FtrBirthdayBoard_Remake_4_0</t>
  </si>
  <si>
    <t>FtrTestimonial_Remake_0_0</t>
  </si>
  <si>
    <t>FtrPhoneCordless_Remake_4_0</t>
  </si>
  <si>
    <t>FtrPhoneCordless_Remake_5_0</t>
  </si>
  <si>
    <t>FtrBirthdayBoard_Remake_5_0</t>
  </si>
  <si>
    <t>birthday table</t>
  </si>
  <si>
    <t>FtrTestimonial_Remake_1_0</t>
  </si>
  <si>
    <t>FtrPhoneCordless_Remake_6_0</t>
  </si>
  <si>
    <t>crawfish model</t>
  </si>
  <si>
    <t>FtrBirthdayTable_Remake_0_0</t>
  </si>
  <si>
    <t>FtrFishZariganiToy</t>
  </si>
  <si>
    <t>cream and sugar</t>
  </si>
  <si>
    <t>FtrTestimonial_Remake_2_0</t>
  </si>
  <si>
    <t>fossil doorplate</t>
  </si>
  <si>
    <t>FtrBirthdayTable_Remake_1_0</t>
  </si>
  <si>
    <t>FtrSugermilk_Remake_0_0</t>
  </si>
  <si>
    <t>FtrDoorOrnamentFossil_Remake_0_0</t>
  </si>
  <si>
    <t>FtrBirthdayTable_Remake_2_0</t>
  </si>
  <si>
    <t>FtrSugermilk_Remake_1_0</t>
  </si>
  <si>
    <t>FtrBirthdayTable_Remake_3_0</t>
  </si>
  <si>
    <t>FtrDoorOrnamentFossil_Remake_1_0</t>
  </si>
  <si>
    <t>fruit wreath</t>
  </si>
  <si>
    <t>FtrSugermilk_Remake_2_0</t>
  </si>
  <si>
    <t>FtrBirthdayTable_Remake_4_0</t>
  </si>
  <si>
    <t>FtrSugermilk_Remake_3_0</t>
  </si>
  <si>
    <t>cricket model</t>
  </si>
  <si>
    <t>FtrDoorOrnamentWreathFruit</t>
  </si>
  <si>
    <t>FtrBirthdayTable_Remake_5_0</t>
  </si>
  <si>
    <t>gears</t>
  </si>
  <si>
    <t>blossom-viewing lantern</t>
  </si>
  <si>
    <t>Dark wood</t>
  </si>
  <si>
    <t>FtrInsectKohrogiToy</t>
  </si>
  <si>
    <t>crucian carp model</t>
  </si>
  <si>
    <t>FtrSakuraLantern_Remake_0_0</t>
  </si>
  <si>
    <t>FtrGearWall_Remake_0_0</t>
  </si>
  <si>
    <t>Light wood</t>
  </si>
  <si>
    <t>FtrFishFunaToy</t>
  </si>
  <si>
    <t>FtrSakuraLantern_Remake_1_0</t>
  </si>
  <si>
    <t>cushion</t>
  </si>
  <si>
    <t>blue corner</t>
  </si>
  <si>
    <t>Ring curtain</t>
  </si>
  <si>
    <t>Cover</t>
  </si>
  <si>
    <t>FtrGearWall_Remake_1_0</t>
  </si>
  <si>
    <t>sports ring</t>
  </si>
  <si>
    <t>FtrRingcornerBlue_Remake_0_0</t>
  </si>
  <si>
    <t>FtrCushion_Remake_0_0</t>
  </si>
  <si>
    <t>FtrGearWall_Remake_2_0</t>
  </si>
  <si>
    <t>FtrRingcornerBlue_Remake_0_1</t>
  </si>
  <si>
    <t>FtrCushion_Remake_0_1</t>
  </si>
  <si>
    <t>Alphabet</t>
  </si>
  <si>
    <t>FtrRingcornerBlue_Remake_0_2</t>
  </si>
  <si>
    <t>FtrCushion_Remake_0_2</t>
  </si>
  <si>
    <t>Paisley</t>
  </si>
  <si>
    <t>FtrGearWall_Remake_3_0</t>
  </si>
  <si>
    <t>FtrRingcornerBlue_Remake_0_3</t>
  </si>
  <si>
    <t>FtrCushion_Remake_0_3</t>
  </si>
  <si>
    <t>Rainbow colors</t>
  </si>
  <si>
    <t>FtrRingcornerBlue_Remake_0_4</t>
  </si>
  <si>
    <t>FtrGearWall_Remake_4_0</t>
  </si>
  <si>
    <t>bonfire</t>
  </si>
  <si>
    <t>gold HHA plaque</t>
  </si>
  <si>
    <t>FtrCushion_Remake_0_4</t>
  </si>
  <si>
    <t>Fireplace</t>
  </si>
  <si>
    <t>FtrCampfire</t>
  </si>
  <si>
    <t>bonsai shelf</t>
  </si>
  <si>
    <t>Pop</t>
  </si>
  <si>
    <t>FtrShieldHhaGold</t>
  </si>
  <si>
    <t>gold rose wreath</t>
  </si>
  <si>
    <t>FtrBonsaiShelf</t>
  </si>
  <si>
    <t>FtrCushion_Remake_0_5</t>
  </si>
  <si>
    <t>box corner sofa</t>
  </si>
  <si>
    <t>cute music player</t>
  </si>
  <si>
    <t>Turquoise</t>
  </si>
  <si>
    <t>Light Blue</t>
  </si>
  <si>
    <t>FtrBoxsofaCorner_Remake_0_0</t>
  </si>
  <si>
    <t>FtrCuteAudio_Remake_0_0</t>
  </si>
  <si>
    <t>FtrDoorOrnamentWreathRoseGold</t>
  </si>
  <si>
    <t>golden gears</t>
  </si>
  <si>
    <t>FtrBoxsofaCorner_Remake_1_0</t>
  </si>
  <si>
    <t>FtrCuteAudio_Remake_1_0</t>
  </si>
  <si>
    <t>golden</t>
  </si>
  <si>
    <t>FtrGearWallGold</t>
  </si>
  <si>
    <t>grasshopper-head model</t>
  </si>
  <si>
    <t>FtrBoxsofaCorner_Remake_2_0</t>
  </si>
  <si>
    <t>FtrCuteAudio_Remake_2_0</t>
  </si>
  <si>
    <t>Navy blue</t>
  </si>
  <si>
    <t>FtrInsectTonosamabattaFace</t>
  </si>
  <si>
    <t>hanging scroll</t>
  </si>
  <si>
    <t>FtrBoxsofaCorner_Remake_3_0</t>
  </si>
  <si>
    <t>FtrCuteAudio_Remake_3_0</t>
  </si>
  <si>
    <t>Calligraphy</t>
  </si>
  <si>
    <t xml:space="preserve">1x2 </t>
  </si>
  <si>
    <t>FtrBoxsofaCorner_Remake_4_0</t>
  </si>
  <si>
    <t>FtrHangingscroll_Remake_0_0</t>
  </si>
  <si>
    <t>Magenta</t>
  </si>
  <si>
    <t>FtrCuteAudio_Remake_4_0</t>
  </si>
  <si>
    <t>Mountains</t>
  </si>
  <si>
    <t>cutting board</t>
  </si>
  <si>
    <t>No finish</t>
  </si>
  <si>
    <t>Finish</t>
  </si>
  <si>
    <t>FtrBoxsofaCorner_Remake_5_0</t>
  </si>
  <si>
    <t>FtrHangingscroll_Remake_0_1</t>
  </si>
  <si>
    <t>FtrCuttingboard_Remake_0_0</t>
  </si>
  <si>
    <t>FtrBoxsofaCorner_Remake_6_0</t>
  </si>
  <si>
    <t>FtrHangingscroll_Remake_0_2</t>
  </si>
  <si>
    <t>FtrCuttingboard_Remake_0_1</t>
  </si>
  <si>
    <t>FtrBoxsofaCorner_Remake_7_0</t>
  </si>
  <si>
    <t>box sofa</t>
  </si>
  <si>
    <t>Bird</t>
  </si>
  <si>
    <t>FtrBoxsofa_Remake_0_0</t>
  </si>
  <si>
    <t>FtrCuttingboard_Remake_0_2</t>
  </si>
  <si>
    <t>FtrHangingscroll_Remake_0_3</t>
  </si>
  <si>
    <t>Cherry brown</t>
  </si>
  <si>
    <t>FtrBoxsofa_Remake_1_0</t>
  </si>
  <si>
    <t>FtrCuttingboard_Remake_1_0</t>
  </si>
  <si>
    <t>FtrBoxsofa_Remake_2_0</t>
  </si>
  <si>
    <t>FtrHangingscroll_Remake_0_4</t>
  </si>
  <si>
    <t>FtrBoxsofa_Remake_3_0</t>
  </si>
  <si>
    <t>FtrCuttingboard_Remake_1_1</t>
  </si>
  <si>
    <t>FtrHangingscroll_Remake_1_0</t>
  </si>
  <si>
    <t>FtrBoxsofa_Remake_4_0</t>
  </si>
  <si>
    <t>FtrCuttingboard_Remake_1_2</t>
  </si>
  <si>
    <t>FtrBoxsofa_Remake_5_0</t>
  </si>
  <si>
    <t>FtrHangingscroll_Remake_1_1</t>
  </si>
  <si>
    <t>Dark</t>
  </si>
  <si>
    <t>FtrCuttingboard_Remake_2_0</t>
  </si>
  <si>
    <t>FtrBoxsofa_Remake_6_0</t>
  </si>
  <si>
    <t>FtrHangingscroll_Remake_1_2</t>
  </si>
  <si>
    <t>FtrCuttingboard_Remake_2_1</t>
  </si>
  <si>
    <t>FtrBoxsofa_Remake_7_0</t>
  </si>
  <si>
    <t>Brake Tapper</t>
  </si>
  <si>
    <t>FtrCuttingboard_Remake_2_2</t>
  </si>
  <si>
    <t>Nook Shopping Promotion</t>
  </si>
  <si>
    <t>Link Nintendo Account to Pocket Camp, then redeem a 16-digit code on your Nintendo Switch</t>
  </si>
  <si>
    <t>Compass</t>
  </si>
  <si>
    <t>Not in catalog</t>
  </si>
  <si>
    <t>FtrCompassSlot</t>
  </si>
  <si>
    <t>brick oven</t>
  </si>
  <si>
    <t>FtrHangingscroll_Remake_1_3</t>
  </si>
  <si>
    <t>Brick color</t>
  </si>
  <si>
    <t>FtrCuttingboard_Remake_3_0</t>
  </si>
  <si>
    <t>1.5x1.5</t>
  </si>
  <si>
    <t>Kitchen</t>
  </si>
  <si>
    <t>FtrStoneoven_Remake_0_0</t>
  </si>
  <si>
    <t>FtrCuttingboard_Remake_3_1</t>
  </si>
  <si>
    <t>FtrHangingscroll_Remake_1_4</t>
  </si>
  <si>
    <t>FtrStoneoven_Remake_1_0</t>
  </si>
  <si>
    <t>FtrCuttingboard_Remake_3_2</t>
  </si>
  <si>
    <t>cyclommatus stag model</t>
  </si>
  <si>
    <t>FtrStoneoven_Remake_2_0</t>
  </si>
  <si>
    <t>FtrHangingscroll_Remake_2_0</t>
  </si>
  <si>
    <t>FtrInsectHosoakakuwagataToy</t>
  </si>
  <si>
    <t>dab model</t>
  </si>
  <si>
    <t>FtrStoneoven_Remake_3_0</t>
  </si>
  <si>
    <t>brick well</t>
  </si>
  <si>
    <t>FtrFishKareiToy</t>
  </si>
  <si>
    <t>dace model</t>
  </si>
  <si>
    <t>FtrHangingscroll_Remake_2_1</t>
  </si>
  <si>
    <t>FtrWellBrick_Remake_0_0</t>
  </si>
  <si>
    <t>FtrFishUguiToy</t>
  </si>
  <si>
    <t>DAL model plane</t>
  </si>
  <si>
    <t>Dodo Airlines</t>
  </si>
  <si>
    <t>Received in mail from DAL after taking certain numbers of flights</t>
  </si>
  <si>
    <t>FtrWellBrick_Remake_1_0</t>
  </si>
  <si>
    <t>FtrHangingscroll_Remake_2_2</t>
  </si>
  <si>
    <t>FtrDalFigure_Remake_0_0</t>
  </si>
  <si>
    <t>FtrWellBrick_Remake_2_0</t>
  </si>
  <si>
    <t>bunk bed</t>
  </si>
  <si>
    <t>FtrHangingscroll_Remake_2_3</t>
  </si>
  <si>
    <t>Bedding</t>
  </si>
  <si>
    <t>FtrDalFigure_Remake_1_0</t>
  </si>
  <si>
    <t>FtrBunkbed_Remake_0_0</t>
  </si>
  <si>
    <t>Striped</t>
  </si>
  <si>
    <t>FtrDalFigure_Remake_2_0</t>
  </si>
  <si>
    <t>FtrHangingscroll_Remake_2_4</t>
  </si>
  <si>
    <t>FtrBunkbed_Remake_0_1</t>
  </si>
  <si>
    <t>FtrDalFigure_Remake_3_0</t>
  </si>
  <si>
    <t>DAL mug</t>
  </si>
  <si>
    <t>FtrHangingscroll_Remake_3_0</t>
  </si>
  <si>
    <t>FtrBunkbed_Remake_0_2</t>
  </si>
  <si>
    <t>FtrDalMug</t>
  </si>
  <si>
    <t>Dala horse</t>
  </si>
  <si>
    <t>Gulliver</t>
  </si>
  <si>
    <t>Folk Craft Decor</t>
  </si>
  <si>
    <t>FtrDalecarlianhorse_Remake_0_0</t>
  </si>
  <si>
    <t>FtrHangingscroll_Remake_3_1</t>
  </si>
  <si>
    <t>FtrBunkbed_Remake_0_3</t>
  </si>
  <si>
    <t>Colorful lines</t>
  </si>
  <si>
    <t>FtrDalecarlianhorse_Remake_1_0</t>
  </si>
  <si>
    <t>FtrHangingscroll_Remake_3_2</t>
  </si>
  <si>
    <t>FtrBunkbed_Remake_0_4</t>
  </si>
  <si>
    <t>FtrDalecarlianhorse_Remake_2_0</t>
  </si>
  <si>
    <t>damselfly model</t>
  </si>
  <si>
    <t>FtrInsectItotonboToy</t>
  </si>
  <si>
    <t>darner dragonfly model</t>
  </si>
  <si>
    <t>FtrBunkbed_Remake_1_0</t>
  </si>
  <si>
    <t>FtrHangingscroll_Remake_3_3</t>
  </si>
  <si>
    <t>FtrInsectGinyanmaToy</t>
  </si>
  <si>
    <t>decoy duck</t>
  </si>
  <si>
    <t>FtrBunkbed_Remake_1_1</t>
  </si>
  <si>
    <t>FtrHangingscroll_Remake_3_4</t>
  </si>
  <si>
    <t>FtrDecoy_Remake_0_0</t>
  </si>
  <si>
    <t>FtrBunkbed_Remake_1_2</t>
  </si>
  <si>
    <t>FtrHangingscroll_Remake_4_0</t>
  </si>
  <si>
    <t>Mallard</t>
  </si>
  <si>
    <t>FtrDecoy_Remake_1_0</t>
  </si>
  <si>
    <t>Spot-billed</t>
  </si>
  <si>
    <t>FtrBunkbed_Remake_1_3</t>
  </si>
  <si>
    <t>FtrHangingscroll_Remake_4_1</t>
  </si>
  <si>
    <t>FtrDecoy_Remake_2_0</t>
  </si>
  <si>
    <t>Greater scaup</t>
  </si>
  <si>
    <t>FtrBunkbed_Remake_1_4</t>
  </si>
  <si>
    <t>FtrHangingscroll_Remake_4_2</t>
  </si>
  <si>
    <t>FtrDecoy_Remake_3_0</t>
  </si>
  <si>
    <t>FtrBunkbed_Remake_2_0</t>
  </si>
  <si>
    <t>Common pochard</t>
  </si>
  <si>
    <t>FtrHangingscroll_Remake_4_3</t>
  </si>
  <si>
    <t>FtrBunkbed_Remake_2_1</t>
  </si>
  <si>
    <t>FtrDecoy_Remake_4_0</t>
  </si>
  <si>
    <t>Steamer duck</t>
  </si>
  <si>
    <t>FtrBunkbed_Remake_2_2</t>
  </si>
  <si>
    <t>FtrHangingscroll_Remake_4_4</t>
  </si>
  <si>
    <t>hanging terrarium</t>
  </si>
  <si>
    <t>FtrDecoy_Remake_5_0</t>
  </si>
  <si>
    <t>FtrBunkbed_Remake_2_3</t>
  </si>
  <si>
    <t>Frame</t>
  </si>
  <si>
    <t>Duck</t>
  </si>
  <si>
    <t>FtrBunkbed_Remake_2_4</t>
  </si>
  <si>
    <t>FtrTerrariumWall_Remake_0_0</t>
  </si>
  <si>
    <t>FtrDecoy_Remake_6_0</t>
  </si>
  <si>
    <t>desk mirror</t>
  </si>
  <si>
    <t>FtrBunkbed_Remake_3_0</t>
  </si>
  <si>
    <t>FtrTerrariumWall_Remake_1_0</t>
  </si>
  <si>
    <t>FtrBunkbed_Remake_3_1</t>
  </si>
  <si>
    <t>FtrMirror_Remake_0_0</t>
  </si>
  <si>
    <t>FtrMirror_Remake_1_0</t>
  </si>
  <si>
    <t>FtrBunkbed_Remake_3_2</t>
  </si>
  <si>
    <t>FtrTerrariumWall_Remake_2_0</t>
  </si>
  <si>
    <t>heart doorplate</t>
  </si>
  <si>
    <t>FtrMirror_Remake_2_0</t>
  </si>
  <si>
    <t>FtrBunkbed_Remake_3_3</t>
  </si>
  <si>
    <t>FtrDoorOrnamentPlateHeart_Remake_0_0</t>
  </si>
  <si>
    <t>FtrMirror_Remake_3_0</t>
  </si>
  <si>
    <t>FtrBunkbed_Remake_3_4</t>
  </si>
  <si>
    <t>FtrMirror_Remake_4_0</t>
  </si>
  <si>
    <t>FtrDoorOrnamentPlateHeart_Remake_1_0</t>
  </si>
  <si>
    <t>FtrMirror_Remake_5_0</t>
  </si>
  <si>
    <t>desktop computer</t>
  </si>
  <si>
    <t>Desktop</t>
  </si>
  <si>
    <t>FtrBunkbed_Remake_4_0</t>
  </si>
  <si>
    <t>FtrDesktopPC_Remake_0_0</t>
  </si>
  <si>
    <t>FtrDoorOrnamentPlateHeart_Remake_2_0</t>
  </si>
  <si>
    <t>Search engine</t>
  </si>
  <si>
    <t>FtrBunkbed_Remake_4_1</t>
  </si>
  <si>
    <t>FtrDesktopPC_Remake_0_1</t>
  </si>
  <si>
    <t>Calculations</t>
  </si>
  <si>
    <t>FtrDesktopPC_Remake_0_2</t>
  </si>
  <si>
    <t>FtrDoorOrnamentPlateHeart_Remake_3_0</t>
  </si>
  <si>
    <t>Web browsing</t>
  </si>
  <si>
    <t>FtrBunkbed_Remake_4_2</t>
  </si>
  <si>
    <t>FtrDesktopPC_Remake_0_3</t>
  </si>
  <si>
    <t>Programming</t>
  </si>
  <si>
    <t>FtrDoorOrnamentPlateHeart_Remake_4_0</t>
  </si>
  <si>
    <t>FtrDesktopPC_Remake_0_4</t>
  </si>
  <si>
    <t>FtrBunkbed_Remake_4_3</t>
  </si>
  <si>
    <t>Art program</t>
  </si>
  <si>
    <t>FtrDesktopPC_Remake_0_5</t>
  </si>
  <si>
    <t>FtrDoorOrnamentPlateHeart_Remake_5_0</t>
  </si>
  <si>
    <t>FtrBunkbed_Remake_4_4</t>
  </si>
  <si>
    <t>Digital audio workstation</t>
  </si>
  <si>
    <t>FtrDesktopPC_Remake_0_6</t>
  </si>
  <si>
    <t>FtrBunkbed_Remake_5_0</t>
  </si>
  <si>
    <t>FtrDesktopPC_Remake_1_0</t>
  </si>
  <si>
    <t>FtrDoorOrnamentPlateHeart_Remake_6_0</t>
  </si>
  <si>
    <t>FtrDesktopPC_Remake_1_1</t>
  </si>
  <si>
    <t>FtrBunkbed_Remake_5_1</t>
  </si>
  <si>
    <t>FtrDoorOrnamentPlateHeart_Remake_7_0</t>
  </si>
  <si>
    <t>FtrDesktopPC_Remake_1_2</t>
  </si>
  <si>
    <t>HHA pennant</t>
  </si>
  <si>
    <t>FtrBunkbed_Remake_5_2</t>
  </si>
  <si>
    <t>FtrDesktopPC_Remake_1_3</t>
  </si>
  <si>
    <t>FtrBunkbed_Remake_5_3</t>
  </si>
  <si>
    <t>FtrPenantHha</t>
  </si>
  <si>
    <t>hyacinth wreath</t>
  </si>
  <si>
    <t>FtrDesktopPC_Remake_1_4</t>
  </si>
  <si>
    <t>FtrBunkbed_Remake_5_4</t>
  </si>
  <si>
    <t>FtrDesktopPC_Remake_1_5</t>
  </si>
  <si>
    <t>1_5</t>
  </si>
  <si>
    <t>FtrBunkbed_Remake_6_0</t>
  </si>
  <si>
    <t>FtrDoorOrnamentWreathHyacinth</t>
  </si>
  <si>
    <t>imperial decorative shelves</t>
  </si>
  <si>
    <t>FtrDesktopPC_Remake_1_6</t>
  </si>
  <si>
    <t>1_6</t>
  </si>
  <si>
    <t>zen</t>
  </si>
  <si>
    <t>FtrBunkbed_Remake_6_1</t>
  </si>
  <si>
    <t>FtrDesktopPC_Remake_2_0</t>
  </si>
  <si>
    <t>FtrOrientalShelfWall_Remake_0_0</t>
  </si>
  <si>
    <t>FtrDesktopPC_Remake_2_1</t>
  </si>
  <si>
    <t>FtrBunkbed_Remake_6_2</t>
  </si>
  <si>
    <t>FtrOrientalShelfWall_Remake_1_0</t>
  </si>
  <si>
    <t>FtrDesktopPC_Remake_2_2</t>
  </si>
  <si>
    <t>FtrBunkbed_Remake_6_3</t>
  </si>
  <si>
    <t>FtrDesktopPC_Remake_2_3</t>
  </si>
  <si>
    <t>FtrBunkbed_Remake_6_4</t>
  </si>
  <si>
    <t>Bunny Day arch</t>
  </si>
  <si>
    <t>FtrOrientalShelfWall_Remake_2_0</t>
  </si>
  <si>
    <t>FtrDesktopPC_Remake_2_4</t>
  </si>
  <si>
    <t>Obtained from Zipper on Bunny Day after collecting most Bunny Day recipes (first gift)</t>
  </si>
  <si>
    <t>1.1.0a</t>
  </si>
  <si>
    <t>Arch</t>
  </si>
  <si>
    <t>FtrEggArch</t>
  </si>
  <si>
    <t>Bunny Day bed</t>
  </si>
  <si>
    <t>FtrDesktopPC_Remake_2_5</t>
  </si>
  <si>
    <t>2_5</t>
  </si>
  <si>
    <t>FtrOrientalShelfWall_Remake_3_0</t>
  </si>
  <si>
    <t>imperial dining lantern</t>
  </si>
  <si>
    <t>First recipe obtained from Zipper upon meeting him for the first time during the Bunny Day event</t>
  </si>
  <si>
    <t>FtrEggBedW</t>
  </si>
  <si>
    <t>FtrDesktopPC_Remake_2_6</t>
  </si>
  <si>
    <t>2_6</t>
  </si>
  <si>
    <t>Bunny Day festive balloons</t>
  </si>
  <si>
    <t>imperial dining</t>
  </si>
  <si>
    <t>FtrChineseLampWall_Remake_0_0</t>
  </si>
  <si>
    <t>FtrDesktopPC_Remake_3_0</t>
  </si>
  <si>
    <t>FtrEggBalloonB</t>
  </si>
  <si>
    <t>Bunny Day merry balloons</t>
  </si>
  <si>
    <t>FtrDesktopPC_Remake_3_1</t>
  </si>
  <si>
    <t>FtrChineseLampWall_Remake_1_0</t>
  </si>
  <si>
    <t>FtrEggBalloonA</t>
  </si>
  <si>
    <t>FtrDesktopPC_Remake_3_2</t>
  </si>
  <si>
    <t>Bunny Day stool</t>
  </si>
  <si>
    <t>FtrChineseLampWall_Remake_2_0</t>
  </si>
  <si>
    <t>FtrEggStool</t>
  </si>
  <si>
    <t>FtrDesktopPC_Remake_3_3</t>
  </si>
  <si>
    <t>Bunny Day table</t>
  </si>
  <si>
    <t>FtrDesktopPC_Remake_3_4</t>
  </si>
  <si>
    <t>FtrChineseLampWall_Remake_3_0</t>
  </si>
  <si>
    <t>intercom monitor</t>
  </si>
  <si>
    <t>FtrEggTableS</t>
  </si>
  <si>
    <t>Bunny Day vanity</t>
  </si>
  <si>
    <t>FtrDesktopPC_Remake_3_5</t>
  </si>
  <si>
    <t>3_5</t>
  </si>
  <si>
    <t>FtrIntercom</t>
  </si>
  <si>
    <t>iron doorplate</t>
  </si>
  <si>
    <t>FtrEggDresser</t>
  </si>
  <si>
    <t>Bunny Day wardrobe</t>
  </si>
  <si>
    <t>iron</t>
  </si>
  <si>
    <t>FtrDesktopPC_Remake_3_6</t>
  </si>
  <si>
    <t>3_6</t>
  </si>
  <si>
    <t>FtrEggClosetLR</t>
  </si>
  <si>
    <t>digital alarm clock</t>
  </si>
  <si>
    <t>FtrDoorOrnamentIron_Remake_0_0</t>
  </si>
  <si>
    <t>butter churn</t>
  </si>
  <si>
    <t>Lumber type</t>
  </si>
  <si>
    <t>FtrDigitalclock_Remake_0_0</t>
  </si>
  <si>
    <t>FtrButtermixer_Remake_0_0</t>
  </si>
  <si>
    <t>Lime</t>
  </si>
  <si>
    <t>FtrDoorOrnamentIron_Remake_1_0</t>
  </si>
  <si>
    <t>FtrDigitalclock_Remake_1_0</t>
  </si>
  <si>
    <t>FtrButtermixer_Remake_1_0</t>
  </si>
  <si>
    <t>cacao tree</t>
  </si>
  <si>
    <t>FtrDigitalclock_Remake_2_0</t>
  </si>
  <si>
    <t>FtrDoorOrnamentIron_Remake_2_0</t>
  </si>
  <si>
    <t>FtrDigitalclock_Remake_3_0</t>
  </si>
  <si>
    <t>FtrPlantCacao</t>
  </si>
  <si>
    <t>campfire</t>
  </si>
  <si>
    <t>FtrDoorOrnamentIron_Remake_3_0</t>
  </si>
  <si>
    <t>FtrDigitalclock_Remake_4_0</t>
  </si>
  <si>
    <t>Ash brown</t>
  </si>
  <si>
    <t>FtrBonfire</t>
  </si>
  <si>
    <t>campfire cookware</t>
  </si>
  <si>
    <t>FtrDigitalclock_Remake_5_0</t>
  </si>
  <si>
    <t>FtrDoorOrnamentIron_Remake_4_0</t>
  </si>
  <si>
    <t>FtrMesstin</t>
  </si>
  <si>
    <t>FtrDigitalclock_Remake_6_0</t>
  </si>
  <si>
    <t>camping cot</t>
  </si>
  <si>
    <t>FtrDoorOrnamentIron_Remake_5_0</t>
  </si>
  <si>
    <t>Starting items</t>
  </si>
  <si>
    <t>FtrDigitalclock_Remake_7_0</t>
  </si>
  <si>
    <t>dinnerware</t>
  </si>
  <si>
    <t>FtrCampbed_Remake_0_0</t>
  </si>
  <si>
    <t>FtrDoorOrnamentIron_Remake_6_0</t>
  </si>
  <si>
    <t>FtrDishes</t>
  </si>
  <si>
    <t>FtrCampbed_Remake_1_0</t>
  </si>
  <si>
    <t>dish-drying rack</t>
  </si>
  <si>
    <t>FtrDoorOrnamentIron_Remake_7_0</t>
  </si>
  <si>
    <t>iron wall lamp</t>
  </si>
  <si>
    <t>FtrDrainerbasket_Remake_0_0</t>
  </si>
  <si>
    <t>FtrCampbed_Remake_2_0</t>
  </si>
  <si>
    <t>FtrIronLampW_Remake_0_0</t>
  </si>
  <si>
    <t>FtrDrainerbasket_Remake_1_0</t>
  </si>
  <si>
    <t>FtrCampbed_Remake_3_0</t>
  </si>
  <si>
    <t>Snow camouflage</t>
  </si>
  <si>
    <t>FtrIronLampW_Remake_1_0</t>
  </si>
  <si>
    <t>iron wall rack</t>
  </si>
  <si>
    <t>FtrDrainerbasket_Remake_2_0</t>
  </si>
  <si>
    <t>FtrCampbed_Remake_4_0</t>
  </si>
  <si>
    <t>Camouflage</t>
  </si>
  <si>
    <t>FtrIronShelfW_Remake_0_0</t>
  </si>
  <si>
    <t>FtrDrainerbasket_Remake_3_0</t>
  </si>
  <si>
    <t>FtrCampbed_Remake_5_0</t>
  </si>
  <si>
    <t>Simple pattern</t>
  </si>
  <si>
    <t>FtrCampbed_Remake_6_0</t>
  </si>
  <si>
    <t>FtrDrainerbasket_Remake_4_0</t>
  </si>
  <si>
    <t>FtrIronShelfW_Remake_1_0</t>
  </si>
  <si>
    <t>Pop pattern</t>
  </si>
  <si>
    <t>ironwood clock</t>
  </si>
  <si>
    <t>Birch</t>
  </si>
  <si>
    <t>FtrCampbed_Remake_7_0</t>
  </si>
  <si>
    <t>campsite sign</t>
  </si>
  <si>
    <t>ironwood</t>
  </si>
  <si>
    <t>FtrDrainerbasket_Remake_5_0</t>
  </si>
  <si>
    <t>diving beetle model</t>
  </si>
  <si>
    <t>FtrIronwoodClockW_Remake_0_0</t>
  </si>
  <si>
    <t>FtrCompassSignCamp</t>
  </si>
  <si>
    <t>Cancer table</t>
  </si>
  <si>
    <t>Teak</t>
  </si>
  <si>
    <t>FtrZodiacCancer</t>
  </si>
  <si>
    <t>candy machine</t>
  </si>
  <si>
    <t>FtrInsectGengorouToy</t>
  </si>
  <si>
    <t>FtrIronwoodClockW_Remake_1_0</t>
  </si>
  <si>
    <t>document stack</t>
  </si>
  <si>
    <t>Walnut</t>
  </si>
  <si>
    <t>Resource documents</t>
  </si>
  <si>
    <t>Writing</t>
  </si>
  <si>
    <t>FtrCandymachine_Remake_0_0</t>
  </si>
  <si>
    <t>FtrIronwoodClockW_Remake_2_0</t>
  </si>
  <si>
    <t>FtrOfficePapers_Remake_0_0</t>
  </si>
  <si>
    <t>FtrCandymachine_Remake_1_0</t>
  </si>
  <si>
    <t>Old</t>
  </si>
  <si>
    <t>Text documents</t>
  </si>
  <si>
    <t>FtrCandymachine_Remake_2_0</t>
  </si>
  <si>
    <t>FtrIronwoodClockW_Remake_3_0</t>
  </si>
  <si>
    <t>FtrOfficePapers_Remake_0_1</t>
  </si>
  <si>
    <t>Oak</t>
  </si>
  <si>
    <t>FtrCandymachine_Remake_3_0</t>
  </si>
  <si>
    <t>Exam papers</t>
  </si>
  <si>
    <t>Capricorn ornament</t>
  </si>
  <si>
    <t>FtrOfficePapers_Remake_0_2</t>
  </si>
  <si>
    <t>FtrIronwoodClockW_Remake_4_0</t>
  </si>
  <si>
    <t>FtrZodiacCapricornus</t>
  </si>
  <si>
    <t>cardboard bed</t>
  </si>
  <si>
    <t>key holder</t>
  </si>
  <si>
    <t>Cardboard</t>
  </si>
  <si>
    <t>Storyboards</t>
  </si>
  <si>
    <t>FtrOfficePapers_Remake_0_3</t>
  </si>
  <si>
    <t>FtrCardboardBedS_Remake_0_0</t>
  </si>
  <si>
    <t>dolly</t>
  </si>
  <si>
    <t>FtrKeyhanger_Remake_0_0</t>
  </si>
  <si>
    <t>Brown wood</t>
  </si>
  <si>
    <t>FtrCardboardBedS_Remake_1_0</t>
  </si>
  <si>
    <t>FtrDoll_Remake_0_0</t>
  </si>
  <si>
    <t>cardboard chair</t>
  </si>
  <si>
    <t>FtrKeyhanger_Remake_1_0</t>
  </si>
  <si>
    <t>FtrCardboardChairS_Remake_0_0</t>
  </si>
  <si>
    <t>FtrDoll_Remake_1_0</t>
  </si>
  <si>
    <t>FtrKeyhanger_Remake_2_0</t>
  </si>
  <si>
    <t>FtrCardboardChairS_Remake_1_0</t>
  </si>
  <si>
    <t>FtrDoll_Remake_2_0</t>
  </si>
  <si>
    <t>cardboard sofa</t>
  </si>
  <si>
    <t>FtrCardboardSofaL_Remake_0_0</t>
  </si>
  <si>
    <t>FtrDoll_Remake_3_0</t>
  </si>
  <si>
    <t>FtrKeyhanger_Remake_3_0</t>
  </si>
  <si>
    <t>Leo sculpture</t>
  </si>
  <si>
    <t>FtrDoll_Remake_4_0</t>
  </si>
  <si>
    <t>FtrCardboardSofaL_Remake_1_0</t>
  </si>
  <si>
    <t>cardboard table</t>
  </si>
  <si>
    <t>Sculpture</t>
  </si>
  <si>
    <t>FtrZodiacLeo</t>
  </si>
  <si>
    <t>lily wreath</t>
  </si>
  <si>
    <t>FtrDoll_Remake_5_0</t>
  </si>
  <si>
    <t>dorado model</t>
  </si>
  <si>
    <t>FtrCardboardTableL_Remake_0_0</t>
  </si>
  <si>
    <t>FtrFishDoladoToy</t>
  </si>
  <si>
    <t>FtrDoorOrnamentWreathYuri</t>
  </si>
  <si>
    <t>drone beetle model</t>
  </si>
  <si>
    <t>log wall-mounted clock</t>
  </si>
  <si>
    <t>FtrCardboardTableL_Remake_1_0</t>
  </si>
  <si>
    <t>cat tower</t>
  </si>
  <si>
    <t>FtrInsectKanabunToy</t>
  </si>
  <si>
    <t>dung beetle model</t>
  </si>
  <si>
    <t>log</t>
  </si>
  <si>
    <t>FtrLogClockWall_Remake_0_0</t>
  </si>
  <si>
    <t>FtrCattower_Remake_0_0</t>
  </si>
  <si>
    <t>FtrInsectFunkorogashiToy</t>
  </si>
  <si>
    <t>earth-boring dung b. model</t>
  </si>
  <si>
    <t>Orange wood</t>
  </si>
  <si>
    <t>FtrInsectSenchikoganeToy</t>
  </si>
  <si>
    <t>electronics kit</t>
  </si>
  <si>
    <t>FtrCattower_Remake_1_0</t>
  </si>
  <si>
    <t>FtrLogClockWall_Remake_1_0</t>
  </si>
  <si>
    <t>School</t>
  </si>
  <si>
    <t>FtrElectronicset_Remake_0_0</t>
  </si>
  <si>
    <t>White wood</t>
  </si>
  <si>
    <t>FtrCattower_Remake_2_0</t>
  </si>
  <si>
    <t>FtrElectronicset_Remake_1_0</t>
  </si>
  <si>
    <t>FtrLogClockWall_Remake_2_0</t>
  </si>
  <si>
    <t>emperor butterfly model</t>
  </si>
  <si>
    <t>White birch</t>
  </si>
  <si>
    <t>FtrInsectMorufuochoToy</t>
  </si>
  <si>
    <t>espresso maker</t>
  </si>
  <si>
    <t>FtrCattower_Remake_3_0</t>
  </si>
  <si>
    <t>FtrLogClockWall_Remake_3_0</t>
  </si>
  <si>
    <t>macrame tapestry</t>
  </si>
  <si>
    <t>FtrEspresso_Remake_0_0</t>
  </si>
  <si>
    <t>FtrCattower_Remake_4_0</t>
  </si>
  <si>
    <t>FtrEspresso_Remake_1_0</t>
  </si>
  <si>
    <t>FtrMacrametapestry_Remake_0_0</t>
  </si>
  <si>
    <t>FtrEspresso_Remake_2_0</t>
  </si>
  <si>
    <t>FtrCattower_Remake_5_0</t>
  </si>
  <si>
    <t>cello</t>
  </si>
  <si>
    <t>FtrMacrametapestry_Remake_1_0</t>
  </si>
  <si>
    <t>FtrEspresso_Remake_3_0</t>
  </si>
  <si>
    <t>FtrCello_Remake_0_0</t>
  </si>
  <si>
    <t>FtrMacrametapestry_Remake_2_0</t>
  </si>
  <si>
    <t>FtrEspresso_Remake_4_0</t>
  </si>
  <si>
    <t>FtrCello_Remake_1_0</t>
  </si>
  <si>
    <t>FtrMacrametapestry_Remake_3_0</t>
  </si>
  <si>
    <t>magnetic knife rack</t>
  </si>
  <si>
    <t>FtrEspresso_Remake_5_0</t>
  </si>
  <si>
    <t>Stainless steel</t>
  </si>
  <si>
    <t>FtrCello_Remake_2_0</t>
  </si>
  <si>
    <t>chalkboard</t>
  </si>
  <si>
    <t>FtrKniferackWall_Remake_0_0</t>
  </si>
  <si>
    <t>FtrBlackboard_Remake_0_0</t>
  </si>
  <si>
    <t>After school</t>
  </si>
  <si>
    <t>FtrEspresso_Remake_6_0</t>
  </si>
  <si>
    <t>essay set</t>
  </si>
  <si>
    <t>FtrBlackboard_Remake_1_0</t>
  </si>
  <si>
    <t>Foreign language</t>
  </si>
  <si>
    <t>FtrKniferackWall_Remake_1_0</t>
  </si>
  <si>
    <t>FtrBlackboard_Remake_2_0</t>
  </si>
  <si>
    <t>FtrWriterset_Remake_0_0</t>
  </si>
  <si>
    <t>Math</t>
  </si>
  <si>
    <t>Writer's block</t>
  </si>
  <si>
    <t>FtrBlackboard_Remake_3_0</t>
  </si>
  <si>
    <t>Music</t>
  </si>
  <si>
    <t>FtrKniferackWall_Remake_2_0</t>
  </si>
  <si>
    <t>FtrWriterset_Remake_1_0</t>
  </si>
  <si>
    <t>mantis-head model</t>
  </si>
  <si>
    <t>FtrBlackboard_Remake_4_0</t>
  </si>
  <si>
    <t>In progress</t>
  </si>
  <si>
    <t>Club activities</t>
  </si>
  <si>
    <t>FtrBlackboard_Remake_5_0</t>
  </si>
  <si>
    <t>FtrInsectKamakiriFace</t>
  </si>
  <si>
    <t>Art</t>
  </si>
  <si>
    <t>FtrWriterset_Remake_2_0</t>
  </si>
  <si>
    <t>mobile</t>
  </si>
  <si>
    <t>Hot air balloons</t>
  </si>
  <si>
    <t>FtrBlackboard_Remake_6_0</t>
  </si>
  <si>
    <t>Letter</t>
  </si>
  <si>
    <t>champion's pennant</t>
  </si>
  <si>
    <t>FtrVictoryflag_Remake_0_0</t>
  </si>
  <si>
    <t>FtrWriterset_Remake_3_0</t>
  </si>
  <si>
    <t>FtrMobile_Remake_0_0</t>
  </si>
  <si>
    <t>evening cicada model</t>
  </si>
  <si>
    <t>Sheep</t>
  </si>
  <si>
    <t>FtrVictoryflag_Remake_1_0</t>
  </si>
  <si>
    <t>FtrMobile_Remake_1_0</t>
  </si>
  <si>
    <t>FtrVictoryflag_Remake_2_0</t>
  </si>
  <si>
    <t>FtrInsectHigurashiToy</t>
  </si>
  <si>
    <t>fancy violin</t>
  </si>
  <si>
    <t>Ocean creatures</t>
  </si>
  <si>
    <t>FtrVictoryflag_Remake_3_0</t>
  </si>
  <si>
    <t>changing room</t>
  </si>
  <si>
    <t>Curtain</t>
  </si>
  <si>
    <t>FtrViolin_Remake_0_0</t>
  </si>
  <si>
    <t>FtrMobile_Remake_2_0</t>
  </si>
  <si>
    <t>FtrFittingroom_Remake_0_0</t>
  </si>
  <si>
    <t>FtrViolin_Remake_1_0</t>
  </si>
  <si>
    <t>FtrMobile_Remake_3_0</t>
  </si>
  <si>
    <t>FtrFittingroom_Remake_0_1</t>
  </si>
  <si>
    <t>FtrFittingroom_Remake_0_2</t>
  </si>
  <si>
    <t>FtrViolin_Remake_2_0</t>
  </si>
  <si>
    <t>fax machine</t>
  </si>
  <si>
    <t>FtrMobile_Remake_4_0</t>
  </si>
  <si>
    <t>Mom's art</t>
  </si>
  <si>
    <t>Document</t>
  </si>
  <si>
    <t>Printout</t>
  </si>
  <si>
    <t>FtrFittingroom_Remake_0_3</t>
  </si>
  <si>
    <t>Still Life</t>
  </si>
  <si>
    <t>FtrFax_Remake_0_0</t>
  </si>
  <si>
    <t>Mom</t>
  </si>
  <si>
    <t>FtrFittingroom_Remake_0_4</t>
  </si>
  <si>
    <t>motherly</t>
  </si>
  <si>
    <t>Graph</t>
  </si>
  <si>
    <t>FtrMomArt_Remake_0_0</t>
  </si>
  <si>
    <t>FtrFax_Remake_0_1</t>
  </si>
  <si>
    <t>Street with Trees</t>
  </si>
  <si>
    <t>FtrFittingroom_Remake_0_5</t>
  </si>
  <si>
    <t>FtrFax_Remake_0_2</t>
  </si>
  <si>
    <t>FtrMomArt_Remake_1_0</t>
  </si>
  <si>
    <t>FtrFittingroom_Remake_0_6</t>
  </si>
  <si>
    <t>Written note</t>
  </si>
  <si>
    <t>Nostalgia</t>
  </si>
  <si>
    <t>FtrFax_Remake_0_3</t>
  </si>
  <si>
    <t>FtrMomArt_Remake_2_0</t>
  </si>
  <si>
    <t>FtrFittingroom_Remake_0_7</t>
  </si>
  <si>
    <t>0_7</t>
  </si>
  <si>
    <t>Angel</t>
  </si>
  <si>
    <t>FtrFax_Remake_1_0</t>
  </si>
  <si>
    <t>FtrFittingroom_Remake_1_0</t>
  </si>
  <si>
    <t>FtrMomArt_Remake_3_0</t>
  </si>
  <si>
    <t>FtrFax_Remake_1_1</t>
  </si>
  <si>
    <t>Sweet Roses</t>
  </si>
  <si>
    <t>FtrFittingroom_Remake_1_1</t>
  </si>
  <si>
    <t>FtrFax_Remake_1_2</t>
  </si>
  <si>
    <t>FtrMomArt_Remake_4_0</t>
  </si>
  <si>
    <t>Field of Flowers</t>
  </si>
  <si>
    <t>FtrFittingroom_Remake_1_2</t>
  </si>
  <si>
    <t>FtrMomArt_Remake_5_0</t>
  </si>
  <si>
    <t>FtrFax_Remake_1_3</t>
  </si>
  <si>
    <t>Dog</t>
  </si>
  <si>
    <t>FtrFittingroom_Remake_1_3</t>
  </si>
  <si>
    <t>FtrFax_Remake_2_0</t>
  </si>
  <si>
    <t>FtrMomArt_Remake_6_0</t>
  </si>
  <si>
    <t>FtrFittingroom_Remake_1_4</t>
  </si>
  <si>
    <t>FtrFax_Remake_2_1</t>
  </si>
  <si>
    <t>Blooming</t>
  </si>
  <si>
    <t>FtrFittingroom_Remake_1_5</t>
  </si>
  <si>
    <t>FtrFax_Remake_2_2</t>
  </si>
  <si>
    <t>FtrMomArt_Remake_7_0</t>
  </si>
  <si>
    <t>Mom's embroidery</t>
  </si>
  <si>
    <t>FtrFittingroom_Remake_1_6</t>
  </si>
  <si>
    <t>Flowers</t>
  </si>
  <si>
    <t>FtrFax_Remake_2_3</t>
  </si>
  <si>
    <t>FtrFittingroom_Remake_1_7</t>
  </si>
  <si>
    <t>1_7</t>
  </si>
  <si>
    <t>FtrMomEmbroidery_Remake_0_0</t>
  </si>
  <si>
    <t>FtrFax_Remake_3_0</t>
  </si>
  <si>
    <t>FtrFittingroom_Remake_2_0</t>
  </si>
  <si>
    <t>FtrFax_Remake_3_1</t>
  </si>
  <si>
    <t>FtrFittingroom_Remake_2_1</t>
  </si>
  <si>
    <t>FtrMomEmbroidery_Remake_1_0</t>
  </si>
  <si>
    <t>Bouquet</t>
  </si>
  <si>
    <t>FtrFittingroom_Remake_2_2</t>
  </si>
  <si>
    <t>FtrFax_Remake_3_2</t>
  </si>
  <si>
    <t>FtrMomEmbroidery_Remake_2_0</t>
  </si>
  <si>
    <t>FtrFittingroom_Remake_2_3</t>
  </si>
  <si>
    <t>FtrFax_Remake_3_3</t>
  </si>
  <si>
    <t>Girl</t>
  </si>
  <si>
    <t>festive top set</t>
  </si>
  <si>
    <t>FtrFittingroom_Remake_2_4</t>
  </si>
  <si>
    <t>FtrFestivaltop</t>
  </si>
  <si>
    <t>FtrMomEmbroidery_Remake_3_0</t>
  </si>
  <si>
    <t>film projector</t>
  </si>
  <si>
    <t>Fairy tale</t>
  </si>
  <si>
    <t>Spotlight</t>
  </si>
  <si>
    <t>FtrFittingroom_Remake_2_5</t>
  </si>
  <si>
    <t>FtrProjector</t>
  </si>
  <si>
    <t>firefly model</t>
  </si>
  <si>
    <t>FtrMomEmbroidery_Remake_4_0</t>
  </si>
  <si>
    <t>FtrInsectHotaruToy</t>
  </si>
  <si>
    <t>FtrFittingroom_Remake_2_6</t>
  </si>
  <si>
    <t>firewood</t>
  </si>
  <si>
    <t>Trees</t>
  </si>
  <si>
    <t>FtrFittingroom_Remake_2_7</t>
  </si>
  <si>
    <t>2_7</t>
  </si>
  <si>
    <t>FtrFirewood</t>
  </si>
  <si>
    <t>flea model</t>
  </si>
  <si>
    <t>FtrMomEmbroidery_Remake_5_0</t>
  </si>
  <si>
    <t>FtrFittingroom_Remake_3_0</t>
  </si>
  <si>
    <t>FtrInsectNomiToy</t>
  </si>
  <si>
    <t>mounted black bass</t>
  </si>
  <si>
    <t>floating-biotope planter</t>
  </si>
  <si>
    <t>FtrBiotope_Remake_0_0</t>
  </si>
  <si>
    <t>FtrFittingroom_Remake_3_1</t>
  </si>
  <si>
    <t>FtrFishBlackbassWall</t>
  </si>
  <si>
    <t>FtrBiotope_Remake_1_0</t>
  </si>
  <si>
    <t>mounted blue marlin</t>
  </si>
  <si>
    <t>FtrFittingroom_Remake_3_2</t>
  </si>
  <si>
    <t>FtrFittingroom_Remake_3_3</t>
  </si>
  <si>
    <t>FtrBiotope_Remake_2_0</t>
  </si>
  <si>
    <t>FtrFishKajikiWall</t>
  </si>
  <si>
    <t>mum wreath</t>
  </si>
  <si>
    <t>FtrFittingroom_Remake_3_4</t>
  </si>
  <si>
    <t>FtrBiotope_Remake_3_0</t>
  </si>
  <si>
    <t>FtrDoorOrnamentWreathMum</t>
  </si>
  <si>
    <t>floor sign</t>
  </si>
  <si>
    <t>mushroom wreath</t>
  </si>
  <si>
    <t>FtrFittingroom_Remake_3_5</t>
  </si>
  <si>
    <t>Warning</t>
  </si>
  <si>
    <t>FtrSafetycone_Remake_0_0</t>
  </si>
  <si>
    <t>Mushroom seasonal DIY</t>
  </si>
  <si>
    <t>mush</t>
  </si>
  <si>
    <t>Stop</t>
  </si>
  <si>
    <t>FtrFittingroom_Remake_3_6</t>
  </si>
  <si>
    <t>FtrDoorOrnamentWreathMushroom</t>
  </si>
  <si>
    <t>natural mum wreath</t>
  </si>
  <si>
    <t>FtrFittingroom_Remake_3_7</t>
  </si>
  <si>
    <t>3_7</t>
  </si>
  <si>
    <t>FtrSafetycone_Remake_1_0</t>
  </si>
  <si>
    <t>No Entry</t>
  </si>
  <si>
    <t>FtrDoorOrnamentWreathMumRare</t>
  </si>
  <si>
    <t>orange wall-mounted clock</t>
  </si>
  <si>
    <t>FtrFittingroom_Remake_4_0</t>
  </si>
  <si>
    <t>FtrSafetycone_Remake_2_0</t>
  </si>
  <si>
    <t>Slippery</t>
  </si>
  <si>
    <t>FtrFittingroom_Remake_4_1</t>
  </si>
  <si>
    <t>orange</t>
  </si>
  <si>
    <t>FtrFruitsClockW_Remake_0_0</t>
  </si>
  <si>
    <t>Blood orange</t>
  </si>
  <si>
    <t>FtrFittingroom_Remake_4_2</t>
  </si>
  <si>
    <t>FtrSafetycone_Remake_3_0</t>
  </si>
  <si>
    <t>FtrFruitsClockW_Remake_1_0</t>
  </si>
  <si>
    <t>No Parking</t>
  </si>
  <si>
    <t>ornament mobile</t>
  </si>
  <si>
    <t>FtrFittingroom_Remake_4_3</t>
  </si>
  <si>
    <t>FtrSafetycone_Remake_4_0</t>
  </si>
  <si>
    <t>fly model</t>
  </si>
  <si>
    <t>FtrOrnamentMobile_Remake_0_0</t>
  </si>
  <si>
    <t>FtrFittingroom_Remake_4_4</t>
  </si>
  <si>
    <t>FtrFittingroom_Remake_4_5</t>
  </si>
  <si>
    <t>FtrInsectHaeToy</t>
  </si>
  <si>
    <t>4_5</t>
  </si>
  <si>
    <t>football</t>
  </si>
  <si>
    <t>FtrOrnamentMobile_Remake_1_0</t>
  </si>
  <si>
    <t>FtrFittingroom_Remake_4_6</t>
  </si>
  <si>
    <t>4_6</t>
  </si>
  <si>
    <t>FtrFootball</t>
  </si>
  <si>
    <t>football fish model</t>
  </si>
  <si>
    <t>FtrFittingroom_Remake_4_7</t>
  </si>
  <si>
    <t>FtrOrnamentMobile_Remake_2_0</t>
  </si>
  <si>
    <t>4_7</t>
  </si>
  <si>
    <t>FtrFishChouchinankouToy</t>
  </si>
  <si>
    <t>FtrFittingroom_Remake_5_0</t>
  </si>
  <si>
    <t>fortune-telling set</t>
  </si>
  <si>
    <t>FtrOrnamentMobile_Remake_3_0</t>
  </si>
  <si>
    <t>FtrFittingroom_Remake_5_1</t>
  </si>
  <si>
    <t>FtrPsychicset_Remake_0_0</t>
  </si>
  <si>
    <t>FtrFittingroom_Remake_5_2</t>
  </si>
  <si>
    <t>FtrOrnamentMobile_Remake_4_0</t>
  </si>
  <si>
    <t>FtrFittingroom_Remake_5_3</t>
  </si>
  <si>
    <t>FtrPsychicset_Remake_1_0</t>
  </si>
  <si>
    <t>fragrance diffuser</t>
  </si>
  <si>
    <t>FtrOrnamentMobile_Remake_5_0</t>
  </si>
  <si>
    <t>ornament wreath</t>
  </si>
  <si>
    <t>FtrFittingroom_Remake_5_4</t>
  </si>
  <si>
    <t>FtrAromadiffuser_Remake_0_0</t>
  </si>
  <si>
    <t>FtrDoorOrnamentWreathOrnament_Remake_0_0</t>
  </si>
  <si>
    <t>FtrFittingroom_Remake_5_5</t>
  </si>
  <si>
    <t>5_5</t>
  </si>
  <si>
    <t>FtrDoorOrnamentWreathOrnament_Remake_1_0</t>
  </si>
  <si>
    <t>FtrAromadiffuser_Remake_1_0</t>
  </si>
  <si>
    <t>FtrFittingroom_Remake_5_6</t>
  </si>
  <si>
    <t>5_6</t>
  </si>
  <si>
    <t>FtrDoorOrnamentWreathOrnament_Remake_2_0</t>
  </si>
  <si>
    <t>FtrFittingroom_Remake_5_7</t>
  </si>
  <si>
    <t>5_7</t>
  </si>
  <si>
    <t>FtrAromadiffuser_Remake_2_0</t>
  </si>
  <si>
    <t>FtrFittingroom_Remake_6_0</t>
  </si>
  <si>
    <t>FtrDoorOrnamentWreathOrnament_Remake_3_0</t>
  </si>
  <si>
    <t>FtrFittingroom_Remake_6_1</t>
  </si>
  <si>
    <t>FtrAromadiffuser_Remake_3_0</t>
  </si>
  <si>
    <t>FtrDoorOrnamentWreathOrnament_Remake_4_0</t>
  </si>
  <si>
    <t>Light green</t>
  </si>
  <si>
    <t>FtrFittingroom_Remake_6_2</t>
  </si>
  <si>
    <t>FtrDoorOrnamentWreathOrnament_Remake_5_0</t>
  </si>
  <si>
    <t>FtrAromadiffuser_Remake_4_0</t>
  </si>
  <si>
    <t>fragrance sticks</t>
  </si>
  <si>
    <t>FtrAromastick_Remake_0_0</t>
  </si>
  <si>
    <t>FtrFittingroom_Remake_6_3</t>
  </si>
  <si>
    <t>FtrDoorOrnamentWreathOrnament_Remake_6_0</t>
  </si>
  <si>
    <t>FtrFittingroom_Remake_6_4</t>
  </si>
  <si>
    <t>FtrAromastick_Remake_1_0</t>
  </si>
  <si>
    <t>FtrDoorOrnamentWreathOrnament_Remake_7_0</t>
  </si>
  <si>
    <t>pansy wreath</t>
  </si>
  <si>
    <t>FtrFittingroom_Remake_6_5</t>
  </si>
  <si>
    <t>6_5</t>
  </si>
  <si>
    <t>FtrAromastick_Remake_2_0</t>
  </si>
  <si>
    <t>FtrFittingroom_Remake_6_6</t>
  </si>
  <si>
    <t>6_6</t>
  </si>
  <si>
    <t>FtrDoorOrnamentWreathPansy</t>
  </si>
  <si>
    <t>party garland</t>
  </si>
  <si>
    <t>FtrAromastick_Remake_3_0</t>
  </si>
  <si>
    <t>freshwater goby model</t>
  </si>
  <si>
    <t>FtrFittingroom_Remake_6_7</t>
  </si>
  <si>
    <t>6_7</t>
  </si>
  <si>
    <t>FtrPartydecorationWall_Remake_0_0</t>
  </si>
  <si>
    <t>FtrFishDonkoToy</t>
  </si>
  <si>
    <t>frog model</t>
  </si>
  <si>
    <t>FtrFittingroom_Remake_7_0</t>
  </si>
  <si>
    <t>FtrPartydecorationWall_Remake_1_0</t>
  </si>
  <si>
    <t>FtrFishKaeruToy</t>
  </si>
  <si>
    <t>frozen-treat set</t>
  </si>
  <si>
    <t>Boating stripes</t>
  </si>
  <si>
    <t>Soda</t>
  </si>
  <si>
    <t>Flavor</t>
  </si>
  <si>
    <t>FtrFittingroom_Remake_7_1</t>
  </si>
  <si>
    <t>Snowman</t>
  </si>
  <si>
    <t>7_1</t>
  </si>
  <si>
    <t>Reward for making a perfect snow-person</t>
  </si>
  <si>
    <t>freezing cold</t>
  </si>
  <si>
    <t>frozen</t>
  </si>
  <si>
    <t>FtrIceCandy_Remake_0_0</t>
  </si>
  <si>
    <t>FtrPartydecorationWall_Remake_2_0</t>
  </si>
  <si>
    <t>Vanilla &amp; chocolate</t>
  </si>
  <si>
    <t>Orange &amp; black</t>
  </si>
  <si>
    <t>FtrFittingroom_Remake_7_2</t>
  </si>
  <si>
    <t>7_2</t>
  </si>
  <si>
    <t>FtrIceCandy_Remake_1_0</t>
  </si>
  <si>
    <t>FtrPartydecorationWall_Remake_3_0</t>
  </si>
  <si>
    <t>Citrus</t>
  </si>
  <si>
    <t>FtrFittingroom_Remake_7_3</t>
  </si>
  <si>
    <t>7_3</t>
  </si>
  <si>
    <t>FtrIceCandy_Remake_2_0</t>
  </si>
  <si>
    <t>Berry</t>
  </si>
  <si>
    <t>FtrFittingroom_Remake_7_4</t>
  </si>
  <si>
    <t>7_4</t>
  </si>
  <si>
    <t>FtrPartydecorationWall_Remake_4_0</t>
  </si>
  <si>
    <t>FtrIceCandy_Remake_3_0</t>
  </si>
  <si>
    <t>Kiwifruit</t>
  </si>
  <si>
    <t>FtrFittingroom_Remake_7_5</t>
  </si>
  <si>
    <t>7_5</t>
  </si>
  <si>
    <t>FtrIceCandy_Remake_4_0</t>
  </si>
  <si>
    <t>Chocolate mint</t>
  </si>
  <si>
    <t>FtrFittingroom_Remake_7_6</t>
  </si>
  <si>
    <t>7_6</t>
  </si>
  <si>
    <t>FtrPartydecorationWall_Remake_5_0</t>
  </si>
  <si>
    <t>paw-print doorplate</t>
  </si>
  <si>
    <t>FtrIceCandy_Remake_5_0</t>
  </si>
  <si>
    <t>fruit basket</t>
  </si>
  <si>
    <t>FtrFittingroom_Remake_7_7</t>
  </si>
  <si>
    <t>7_7</t>
  </si>
  <si>
    <t>cherry-blossom branches</t>
  </si>
  <si>
    <t>FtrFruitbasket</t>
  </si>
  <si>
    <t>frying pan</t>
  </si>
  <si>
    <t>FtrSakuraBranch</t>
  </si>
  <si>
    <t>Empty</t>
  </si>
  <si>
    <t>FtrDoorOrnamentPaw_Remake_0_0</t>
  </si>
  <si>
    <t>Dish</t>
  </si>
  <si>
    <t>cherry-blossom pond stone</t>
  </si>
  <si>
    <t>FtrStonewaterbowlSakura</t>
  </si>
  <si>
    <t>FtrPan_Remake_0_0</t>
  </si>
  <si>
    <t>cherry-blossom-petal pile</t>
  </si>
  <si>
    <t>Veggie sauté</t>
  </si>
  <si>
    <t>FtrSakuraPetal</t>
  </si>
  <si>
    <t>clackercart</t>
  </si>
  <si>
    <t>FtrDoorOrnamentPaw_Remake_1_0</t>
  </si>
  <si>
    <t>FtrPan_Remake_1_0</t>
  </si>
  <si>
    <t>Pasta</t>
  </si>
  <si>
    <t>Dark gray</t>
  </si>
  <si>
    <t>FtrKatakatatoy_Remake_0_0</t>
  </si>
  <si>
    <t>FtrPan_Remake_2_0</t>
  </si>
  <si>
    <t>Ratatouille</t>
  </si>
  <si>
    <t>FtrKatakatatoy_Remake_1_0</t>
  </si>
  <si>
    <t>FtrDoorOrnamentPaw_Remake_2_0</t>
  </si>
  <si>
    <t>FtrPan_Remake_3_0</t>
  </si>
  <si>
    <t>FtrKatakatatoy_Remake_2_0</t>
  </si>
  <si>
    <t>Pizza</t>
  </si>
  <si>
    <t>Cool</t>
  </si>
  <si>
    <t>FtrKatakatatoy_Remake_3_0</t>
  </si>
  <si>
    <t>FtrDoorOrnamentPaw_Remake_3_0</t>
  </si>
  <si>
    <t>FtrPan_Remake_4_0</t>
  </si>
  <si>
    <t>Failed attempt</t>
  </si>
  <si>
    <t>FtrKatakatatoy_Remake_4_0</t>
  </si>
  <si>
    <t>FtrPan_Remake_5_0</t>
  </si>
  <si>
    <t>Cute</t>
  </si>
  <si>
    <t>gar model</t>
  </si>
  <si>
    <t>FtrDoorOrnamentPaw_Remake_4_0</t>
  </si>
  <si>
    <t>FtrKatakatatoy_Remake_5_0</t>
  </si>
  <si>
    <t>claw-foot tub</t>
  </si>
  <si>
    <t>FtrFishGaToy</t>
  </si>
  <si>
    <t>garden gnome</t>
  </si>
  <si>
    <t>FtrDoorOrnamentPaw_Remake_5_0</t>
  </si>
  <si>
    <t>Sprightly gnome</t>
  </si>
  <si>
    <t>Bathtub</t>
  </si>
  <si>
    <t>FtrBathtubCabriole_Remake_0_0</t>
  </si>
  <si>
    <t>FtrDwarf_Remake_0_0</t>
  </si>
  <si>
    <t>FtrDoorOrnamentPaw_Remake_6_0</t>
  </si>
  <si>
    <t>Sleepy gnome</t>
  </si>
  <si>
    <t>FtrBathtubCabriole_Remake_1_0</t>
  </si>
  <si>
    <t>FtrDwarf_Remake_1_0</t>
  </si>
  <si>
    <t>Surprised gnome</t>
  </si>
  <si>
    <t>FtrDoorOrnamentPaw_Remake_7_0</t>
  </si>
  <si>
    <t>FtrBathtubCabriole_Remake_2_0</t>
  </si>
  <si>
    <t>pendulum clock</t>
  </si>
  <si>
    <t>FtrDwarf_Remake_2_0</t>
  </si>
  <si>
    <t>Reliable gnome</t>
  </si>
  <si>
    <t>FtrBathtubCabriole_Remake_3_0</t>
  </si>
  <si>
    <t>FtrClockPendulumWall</t>
  </si>
  <si>
    <t>FtrBathtubCabriole_Remake_4_0</t>
  </si>
  <si>
    <t>FtrDwarf_Remake_3_0</t>
  </si>
  <si>
    <t>pennant</t>
  </si>
  <si>
    <t>Hungry gnome</t>
  </si>
  <si>
    <t>FtrBathtubCabriole_Remake_5_0</t>
  </si>
  <si>
    <t>clay furnace</t>
  </si>
  <si>
    <t>FtrKitchenKamado</t>
  </si>
  <si>
    <t>FtrPennant_Remake_0_0</t>
  </si>
  <si>
    <t>FtrDwarf_Remake_4_0</t>
  </si>
  <si>
    <t>climbing wall</t>
  </si>
  <si>
    <t>Laid-back gnome</t>
  </si>
  <si>
    <t>University</t>
  </si>
  <si>
    <t>FtrClimbingwall_Remake_0_0</t>
  </si>
  <si>
    <t>FtrDwarf_Remake_5_0</t>
  </si>
  <si>
    <t>FtrPennant_Remake_1_0</t>
  </si>
  <si>
    <t>FtrClimbingwall_Remake_1_0</t>
  </si>
  <si>
    <t>Passionate gnome</t>
  </si>
  <si>
    <t>Classic</t>
  </si>
  <si>
    <t>FtrClimbingwall_Remake_2_0</t>
  </si>
  <si>
    <t>FtrDwarf_Remake_6_0</t>
  </si>
  <si>
    <t>FtrPennant_Remake_2_0</t>
  </si>
  <si>
    <t>FtrClimbingwall_Remake_3_0</t>
  </si>
  <si>
    <t>clothes closet</t>
  </si>
  <si>
    <t>Rebel gnome</t>
  </si>
  <si>
    <t>Sponsor</t>
  </si>
  <si>
    <t>FtrFashioncase_Remake_0_0</t>
  </si>
  <si>
    <t>FtrDwarf_Remake_7_0</t>
  </si>
  <si>
    <t>giant cicada model</t>
  </si>
  <si>
    <t>FtrPennant_Remake_3_0</t>
  </si>
  <si>
    <t>FtrFashioncase_Remake_1_0</t>
  </si>
  <si>
    <t>Souvenir</t>
  </si>
  <si>
    <t>FtrFashioncase_Remake_2_0</t>
  </si>
  <si>
    <t>FtrInsectKumazemiToy</t>
  </si>
  <si>
    <t>giant snakehead model</t>
  </si>
  <si>
    <t>FtrPennant_Remake_4_0</t>
  </si>
  <si>
    <t>pot rack</t>
  </si>
  <si>
    <t>FtrFashioncase_Remake_3_0</t>
  </si>
  <si>
    <t>FtrFashioncase_Remake_4_0</t>
  </si>
  <si>
    <t>FtrFishRaigyoToy</t>
  </si>
  <si>
    <t>giant stag model</t>
  </si>
  <si>
    <t>FtrPotrack_Remake_0_0</t>
  </si>
  <si>
    <t>FtrFashioncase_Remake_5_0</t>
  </si>
  <si>
    <t>clothesline</t>
  </si>
  <si>
    <t>Drying shirt</t>
  </si>
  <si>
    <t>FtrInsectOhkuwagataToy</t>
  </si>
  <si>
    <t>giant trevally model</t>
  </si>
  <si>
    <t>FtrPotrack_Remake_1_0</t>
  </si>
  <si>
    <t>FtrClothesline_Remake_0_0</t>
  </si>
  <si>
    <t>Well-used</t>
  </si>
  <si>
    <t>FtrClothesline_Remake_0_1</t>
  </si>
  <si>
    <t>Blue stripes</t>
  </si>
  <si>
    <t>FtrFishRouninajiToy</t>
  </si>
  <si>
    <t>giant water bug model</t>
  </si>
  <si>
    <t>FtrPotrack_Remake_2_0</t>
  </si>
  <si>
    <t>potted ivy</t>
  </si>
  <si>
    <t>FtrClothesline_Remake_0_2</t>
  </si>
  <si>
    <t>Red plaid</t>
  </si>
  <si>
    <t>FtrClothesline_Remake_0_3</t>
  </si>
  <si>
    <t>FtrInsectTagameToy</t>
  </si>
  <si>
    <t>Green plaid</t>
  </si>
  <si>
    <t>glass holder with candle</t>
  </si>
  <si>
    <t>FtrLeafWall_Remake_0_0</t>
  </si>
  <si>
    <t>FtrClothesline_Remake_0_4</t>
  </si>
  <si>
    <t>clothesline pole</t>
  </si>
  <si>
    <t>FtrClotheshorse_Remake_0_0</t>
  </si>
  <si>
    <t>FtrGlasscandle_Remake_0_0</t>
  </si>
  <si>
    <t>FtrLeafWall_Remake_1_0</t>
  </si>
  <si>
    <t>PE shirt</t>
  </si>
  <si>
    <t>FtrClotheshorse_Remake_0_1</t>
  </si>
  <si>
    <t>FtrGlasscandle_Remake_1_0</t>
  </si>
  <si>
    <t>FtrLeafWall_Remake_2_0</t>
  </si>
  <si>
    <t>FtrClotheshorse_Remake_0_2</t>
  </si>
  <si>
    <t>FtrGlasscandle_Remake_2_0</t>
  </si>
  <si>
    <t>Carrot</t>
  </si>
  <si>
    <t>FtrGlasscandle_Remake_3_0</t>
  </si>
  <si>
    <t>FtrLeafWall_Remake_3_0</t>
  </si>
  <si>
    <t>FtrClotheshorse_Remake_0_3</t>
  </si>
  <si>
    <t>pretty cosmos wreath</t>
  </si>
  <si>
    <t>FtrGlasscandle_Remake_4_0</t>
  </si>
  <si>
    <t>FtrClotheshorse_Remake_1_0</t>
  </si>
  <si>
    <t>FtrDoorOrnamentWreathCosmosMix</t>
  </si>
  <si>
    <t>pretty tulip wreath</t>
  </si>
  <si>
    <t>FtrGlasscandle_Remake_5_0</t>
  </si>
  <si>
    <t>globe</t>
  </si>
  <si>
    <t>FtrClotheshorse_Remake_1_1</t>
  </si>
  <si>
    <t>FtrGlobe_Remake_0_0</t>
  </si>
  <si>
    <t>FtrClotheshorse_Remake_1_2</t>
  </si>
  <si>
    <t>Sepia</t>
  </si>
  <si>
    <t>FtrDoorOrnamentWreathTulipMix</t>
  </si>
  <si>
    <t>purple hyacinth wreath</t>
  </si>
  <si>
    <t>FtrGlobe_Remake_1_0</t>
  </si>
  <si>
    <t>FtrClotheshorse_Remake_1_3</t>
  </si>
  <si>
    <t>colorful wheel</t>
  </si>
  <si>
    <t>Colorful numbers</t>
  </si>
  <si>
    <t>FtrGlobe_Remake_2_0</t>
  </si>
  <si>
    <t>FtrRoulette_Remake_0_0</t>
  </si>
  <si>
    <t>gold bars</t>
  </si>
  <si>
    <t>FtrDoorOrnamentWreathHyacinthRare</t>
  </si>
  <si>
    <t>Two-toned numbers</t>
  </si>
  <si>
    <t>retro radiator</t>
  </si>
  <si>
    <t>FtrGoldbar</t>
  </si>
  <si>
    <t>gold bug trophy</t>
  </si>
  <si>
    <t>FtrRoulette_Remake_1_0</t>
  </si>
  <si>
    <t>Win or lose</t>
  </si>
  <si>
    <t>Heating</t>
  </si>
  <si>
    <t>FtrTrophyInsectGold</t>
  </si>
  <si>
    <t>gold fish trophy</t>
  </si>
  <si>
    <t>FtrCentralheating</t>
  </si>
  <si>
    <t>rose wreath</t>
  </si>
  <si>
    <t>FtrRoulette_Remake_2_0</t>
  </si>
  <si>
    <t>Black &amp; red</t>
  </si>
  <si>
    <t>FtrTrophyFishGold</t>
  </si>
  <si>
    <t>FtrRoulette_Remake_3_0</t>
  </si>
  <si>
    <t>gold HHA trophy</t>
  </si>
  <si>
    <t>Items</t>
  </si>
  <si>
    <t>FtrDoorOrnamentWreathRose</t>
  </si>
  <si>
    <t>FtrRoulette_Remake_4_0</t>
  </si>
  <si>
    <t>FtrTrophyHhaGold</t>
  </si>
  <si>
    <t>cone</t>
  </si>
  <si>
    <t>Sagittarius arrow</t>
  </si>
  <si>
    <t>golden arowana model</t>
  </si>
  <si>
    <t>FtrFishArowanaGold</t>
  </si>
  <si>
    <t>FtrPylon_Remake_0_0</t>
  </si>
  <si>
    <t>golden candlestick</t>
  </si>
  <si>
    <t>FtrZodiacSagittarius</t>
  </si>
  <si>
    <t>shell wreath</t>
  </si>
  <si>
    <t>FtrPylon_Remake_1_0</t>
  </si>
  <si>
    <t>FtrGoldCandlestand</t>
  </si>
  <si>
    <t>golden dishes</t>
  </si>
  <si>
    <t>shell</t>
  </si>
  <si>
    <t>FtrDoorOrnamentWreathShell</t>
  </si>
  <si>
    <t>shower set</t>
  </si>
  <si>
    <t>FtrGoldDishes</t>
  </si>
  <si>
    <t>FtrPylon_Remake_2_0</t>
  </si>
  <si>
    <t>golden dung beetle</t>
  </si>
  <si>
    <t>FtrShowerWall_Remake_0_0</t>
  </si>
  <si>
    <t>FtrPylon_Remake_3_0</t>
  </si>
  <si>
    <t>FtrInsectKabutomushiGold</t>
  </si>
  <si>
    <t>golden stag model</t>
  </si>
  <si>
    <t>FtrPylon_Remake_4_0</t>
  </si>
  <si>
    <t>Green stripes</t>
  </si>
  <si>
    <t>FtrShowerWall_Remake_1_0</t>
  </si>
  <si>
    <t>FtrInsectOugononikuwagataToy</t>
  </si>
  <si>
    <t>golden trout model</t>
  </si>
  <si>
    <t>FtrPylon_Remake_5_0</t>
  </si>
  <si>
    <t>Reflective stripes</t>
  </si>
  <si>
    <t>FtrFishGoldenTorautoToy</t>
  </si>
  <si>
    <t>goldfish model</t>
  </si>
  <si>
    <t>FtrPylon_Remake_6_0</t>
  </si>
  <si>
    <t>FtrShowerWall_Remake_2_0</t>
  </si>
  <si>
    <t>Caution stripes</t>
  </si>
  <si>
    <t>FtrFishKingyoToy</t>
  </si>
  <si>
    <t>grand Atlas moth model</t>
  </si>
  <si>
    <t>FtrPylon_Remake_7_0</t>
  </si>
  <si>
    <t>construction sign</t>
  </si>
  <si>
    <t>Ongoing work</t>
  </si>
  <si>
    <t>FtrShowerWall_Remake_3_0</t>
  </si>
  <si>
    <t>Nook Miles Shop</t>
  </si>
  <si>
    <t>silver HHA plaque</t>
  </si>
  <si>
    <t>FtrInsectYonagunisanToy</t>
  </si>
  <si>
    <t>grand b. dragonfly model</t>
  </si>
  <si>
    <t>FtrSignConstruction_Remake_0_0</t>
  </si>
  <si>
    <t>Ongoing work - Little bro</t>
  </si>
  <si>
    <t>FtrSignConstruction_Remake_1_0</t>
  </si>
  <si>
    <t>FtrInsectOniyanmaToy</t>
  </si>
  <si>
    <t>grand giraffe stag model</t>
  </si>
  <si>
    <t>Ongoing work - Big bro</t>
  </si>
  <si>
    <t>FtrShieldHhaSilver</t>
  </si>
  <si>
    <t>skull doorplate</t>
  </si>
  <si>
    <t>FtrSignConstruction_Remake_2_0</t>
  </si>
  <si>
    <t>FtrInsectGirafanokogirikuwagataToy</t>
  </si>
  <si>
    <t>Construction ahead</t>
  </si>
  <si>
    <t>grand goliath beetle model</t>
  </si>
  <si>
    <t>FtrSignConstruction_Remake_3_0</t>
  </si>
  <si>
    <t>Construction warning</t>
  </si>
  <si>
    <t>FtrInsectGoraiasuohtsunohanamuguriToy</t>
  </si>
  <si>
    <t>FtrDoorPlateSkull_Remake_0_0</t>
  </si>
  <si>
    <t>grand h. hercules model</t>
  </si>
  <si>
    <t>FtrSignConstruction_Remake_4_0</t>
  </si>
  <si>
    <t>cosmos shower</t>
  </si>
  <si>
    <t>Flower color</t>
  </si>
  <si>
    <t>FtrInsectHerakuresuohkabutoToy</t>
  </si>
  <si>
    <t>grand Q. A. birdwing model</t>
  </si>
  <si>
    <t>FtrDoorPlateSkull_Remake_1_0</t>
  </si>
  <si>
    <t>snazzy pansy wreath</t>
  </si>
  <si>
    <t>FtrFlowerShower_Remake_0_0</t>
  </si>
  <si>
    <t>FtrInsectArekisandoratoribaneagehaToy</t>
  </si>
  <si>
    <t>grasshopper model</t>
  </si>
  <si>
    <t>FtrDoorOrnamentWreathPansyMix</t>
  </si>
  <si>
    <t>snowflake wreath</t>
  </si>
  <si>
    <t>FtrFlowerShower_Remake_1_0</t>
  </si>
  <si>
    <t>FtrInsectKirigirisuToy</t>
  </si>
  <si>
    <t>great purple emperor model</t>
  </si>
  <si>
    <t>Winter seasonal DIY using snowflakes (caught with net)</t>
  </si>
  <si>
    <t>FtrInsectOhmurasakiToy</t>
  </si>
  <si>
    <t>great white shark model</t>
  </si>
  <si>
    <t>FtrDoorOrnamentWreathIce</t>
  </si>
  <si>
    <t>spider doorplate</t>
  </si>
  <si>
    <t>FtrFlowerShower_Remake_2_0</t>
  </si>
  <si>
    <t>cotton-candy stall</t>
  </si>
  <si>
    <t>FtrFishSameToy</t>
  </si>
  <si>
    <t>guppy model</t>
  </si>
  <si>
    <t>FtrDoorOrnamentPlateInsect_Remake_0_0</t>
  </si>
  <si>
    <t>FtrCottoncandymachine_Remake_0_0</t>
  </si>
  <si>
    <t>FtrFishGuppiToy</t>
  </si>
  <si>
    <t>hammerhead shark model</t>
  </si>
  <si>
    <t>FtrFishShumokuzameToy</t>
  </si>
  <si>
    <t>FtrCottoncandymachine_Remake_1_0</t>
  </si>
  <si>
    <t>hamster cage</t>
  </si>
  <si>
    <t>FtrDoorOrnamentPlateInsect_Remake_1_0</t>
  </si>
  <si>
    <t>FtrCottoncandymachine_Remake_2_0</t>
  </si>
  <si>
    <t>crescent-moon chair</t>
  </si>
  <si>
    <t>FtrHamstercage_Remake_0_0</t>
  </si>
  <si>
    <t>FtrStarMoonChairL_Remake_0_0</t>
  </si>
  <si>
    <t>FtrDoorOrnamentPlateInsect_Remake_2_0</t>
  </si>
  <si>
    <t>FtrStarMoonChairL_Remake_1_0</t>
  </si>
  <si>
    <t>FtrHamstercage_Remake_1_0</t>
  </si>
  <si>
    <t>FtrStarMoonChairL_Remake_2_0</t>
  </si>
  <si>
    <t>FtrDoorOrnamentPlateInsect_Remake_3_0</t>
  </si>
  <si>
    <t>FtrHamstercage_Remake_2_0</t>
  </si>
  <si>
    <t>FtrStarMoonChairL_Remake_3_0</t>
  </si>
  <si>
    <t>FtrHamstercage_Remake_3_0</t>
  </si>
  <si>
    <t>FtrStarMoonChairL_Remake_4_0</t>
  </si>
  <si>
    <t>FtrDoorOrnamentPlateInsect_Remake_4_0</t>
  </si>
  <si>
    <t>FtrHamstercage_Remake_4_0</t>
  </si>
  <si>
    <t>FtrStarMoonChairL_Remake_5_0</t>
  </si>
  <si>
    <t>handy water cooler</t>
  </si>
  <si>
    <t>FtrDoorOrnamentPlateInsect_Remake_5_0</t>
  </si>
  <si>
    <t>FtrWaterjug_Remake_0_0</t>
  </si>
  <si>
    <t>FtrStarMoonChairL_Remake_6_0</t>
  </si>
  <si>
    <t>crewed spaceship</t>
  </si>
  <si>
    <t>FtrWaterjug_Remake_1_0</t>
  </si>
  <si>
    <t>FtrDoorOrnamentPlateInsect_Remake_6_0</t>
  </si>
  <si>
    <t>FtrWaterjug_Remake_2_0</t>
  </si>
  <si>
    <t>FtrSpacecraft</t>
  </si>
  <si>
    <t>cute bed</t>
  </si>
  <si>
    <t>FtrDoorOrnamentPlateInsect_Remake_7_0</t>
  </si>
  <si>
    <t>FtrWaterjug_Remake_3_0</t>
  </si>
  <si>
    <t>spider web</t>
  </si>
  <si>
    <t>Avocado</t>
  </si>
  <si>
    <t>FtrCuteBedW_Remake_0_0</t>
  </si>
  <si>
    <t>FtrWaterjug_Remake_4_0</t>
  </si>
  <si>
    <t>Plaid</t>
  </si>
  <si>
    <t>FtrSpiderweb</t>
  </si>
  <si>
    <t>starry garland</t>
  </si>
  <si>
    <t>FtrCuteBedW_Remake_1_0</t>
  </si>
  <si>
    <t>FtrWaterjug_Remake_5_0</t>
  </si>
  <si>
    <t>hermit crab model</t>
  </si>
  <si>
    <t>FtrStarDecorationWall_Remake_0_0</t>
  </si>
  <si>
    <t>FtrCuteBedW_Remake_2_0</t>
  </si>
  <si>
    <t>FtrInsectYadokariToy</t>
  </si>
  <si>
    <t>holiday candle</t>
  </si>
  <si>
    <t>FtrCuteBedW_Remake_3_0</t>
  </si>
  <si>
    <t>FtrStarDecorationWall_Remake_1_0</t>
  </si>
  <si>
    <t>FtrCandleXmas_Remake_0_0</t>
  </si>
  <si>
    <t>FtrCuteBedW_Remake_4_0</t>
  </si>
  <si>
    <t>cute chair</t>
  </si>
  <si>
    <t>FtrCandleXmas_Remake_1_0</t>
  </si>
  <si>
    <t>FtrStarDecorationWall_Remake_2_0</t>
  </si>
  <si>
    <t>FtrCuteChairS_Remake_0_0</t>
  </si>
  <si>
    <t>FtrCandleXmas_Remake_2_0</t>
  </si>
  <si>
    <t>FtrStarDecorationWall_Remake_3_0</t>
  </si>
  <si>
    <t>FtrCuteChairS_Remake_1_0</t>
  </si>
  <si>
    <t>FtrCandleXmas_Remake_3_0</t>
  </si>
  <si>
    <t>FtrCuteChairS_Remake_2_0</t>
  </si>
  <si>
    <t>FtrStarDecorationWall_Remake_4_0</t>
  </si>
  <si>
    <t>FtrCandleXmas_Remake_4_0</t>
  </si>
  <si>
    <t>homework set</t>
  </si>
  <si>
    <t>FtrCuteChairS_Remake_3_0</t>
  </si>
  <si>
    <t>FtrStarDecorationWall_Remake_5_0</t>
  </si>
  <si>
    <t>FtrStudySet</t>
  </si>
  <si>
    <t>honeybee model</t>
  </si>
  <si>
    <t>FtrCuteChairS_Remake_4_0</t>
  </si>
  <si>
    <t>cute DIY table</t>
  </si>
  <si>
    <t>FtrInsectMitsubachiToy</t>
  </si>
  <si>
    <t>FtrStarDecorationWall_Remake_6_0</t>
  </si>
  <si>
    <t>horned atlas model</t>
  </si>
  <si>
    <t>studio wall spotlight</t>
  </si>
  <si>
    <t>Work Bench</t>
  </si>
  <si>
    <t>FtrCuteWorkbench_Remake_0_0</t>
  </si>
  <si>
    <t>FtrInsectKohkasasuohkabutoToy</t>
  </si>
  <si>
    <t>horned dynastid model</t>
  </si>
  <si>
    <t>FtrLampSpotWall_Remake_0_0</t>
  </si>
  <si>
    <t>FtrCuteWorkbench_Remake_1_0</t>
  </si>
  <si>
    <t>FtrInsectKabutomushiToy</t>
  </si>
  <si>
    <t>horned elephant model</t>
  </si>
  <si>
    <t>FtrCuteWorkbench_Remake_2_0</t>
  </si>
  <si>
    <t>FtrLampSpotWall_Remake_1_0</t>
  </si>
  <si>
    <t>FtrCuteWorkbench_Remake_3_0</t>
  </si>
  <si>
    <t>FtrInsectZoukabutoToy</t>
  </si>
  <si>
    <t>horse mackerel model</t>
  </si>
  <si>
    <t>FtrCuteWorkbench_Remake_4_0</t>
  </si>
  <si>
    <t>FtrLampSpotWall_Remake_2_0</t>
  </si>
  <si>
    <t>FtrFishAjiToy</t>
  </si>
  <si>
    <t>hourglass</t>
  </si>
  <si>
    <t>cute floor lamp</t>
  </si>
  <si>
    <t>FtrCuteLamp_Remake_0_0</t>
  </si>
  <si>
    <t>FtrLampSpotWall_Remake_3_0</t>
  </si>
  <si>
    <t>FtrSandglass_Remake_0_0</t>
  </si>
  <si>
    <t>FtrCuteLamp_Remake_1_0</t>
  </si>
  <si>
    <t>FtrSandglass_Remake_1_0</t>
  </si>
  <si>
    <t>FtrCuteLamp_Remake_2_0</t>
  </si>
  <si>
    <t>FtrLampSpotWall_Remake_4_0</t>
  </si>
  <si>
    <t>FtrCuteLamp_Remake_3_0</t>
  </si>
  <si>
    <t>FtrSandglass_Remake_2_0</t>
  </si>
  <si>
    <t>FtrLampSpotWall_Remake_5_0</t>
  </si>
  <si>
    <t>FtrSandglass_Remake_3_0</t>
  </si>
  <si>
    <t>FtrCuteLamp_Remake_4_0</t>
  </si>
  <si>
    <t>hula doll</t>
  </si>
  <si>
    <t>cute sofa</t>
  </si>
  <si>
    <t>FtrCuteChairL_Remake_0_0</t>
  </si>
  <si>
    <t>FtrHuladoll_Remake_0_0</t>
  </si>
  <si>
    <t>FtrLampSpotWall_Remake_6_0</t>
  </si>
  <si>
    <t>FtrCuteChairL_Remake_1_0</t>
  </si>
  <si>
    <t>FtrCuteChairL_Remake_2_0</t>
  </si>
  <si>
    <t>FtrHuladoll_Remake_1_0</t>
  </si>
  <si>
    <t>FtrLampSpotWall_Remake_7_0</t>
  </si>
  <si>
    <t>surveillance camera</t>
  </si>
  <si>
    <t>FtrCuteChairL_Remake_3_0</t>
  </si>
  <si>
    <t>FtrHuladoll_Remake_2_0</t>
  </si>
  <si>
    <t>FtrCuteChairL_Remake_4_0</t>
  </si>
  <si>
    <t>cute tea table</t>
  </si>
  <si>
    <t>FtrSurveillance</t>
  </si>
  <si>
    <t>switch</t>
  </si>
  <si>
    <t>FtrHuladoll_Remake_3_0</t>
  </si>
  <si>
    <t>FtrCuteTableS_Remake_0_0</t>
  </si>
  <si>
    <t>FtrCuteTableS_Remake_1_0</t>
  </si>
  <si>
    <t>FtrHuladoll_Remake_4_0</t>
  </si>
  <si>
    <t>FtrSwitchWall_Remake_0_0</t>
  </si>
  <si>
    <t>FtrCuteTableS_Remake_2_0</t>
  </si>
  <si>
    <t>FtrHuladoll_Remake_5_0</t>
  </si>
  <si>
    <t>humidifier</t>
  </si>
  <si>
    <t>FtrCuteTableS_Remake_3_0</t>
  </si>
  <si>
    <t>FtrSwitchWall_Remake_1_0</t>
  </si>
  <si>
    <t>FtrCuteTableS_Remake_4_0</t>
  </si>
  <si>
    <t>cute vanity</t>
  </si>
  <si>
    <t>FtrHumidifier_Remake_0_0</t>
  </si>
  <si>
    <t>FtrSwitchWall_Remake_2_0</t>
  </si>
  <si>
    <t>Wood grain</t>
  </si>
  <si>
    <t>FtrCuteDresser_Remake_0_0</t>
  </si>
  <si>
    <t>FtrHumidifier_Remake_1_0</t>
  </si>
  <si>
    <t>FtrSwitchWall_Remake_3_0</t>
  </si>
  <si>
    <t>FtrCuteDresser_Remake_1_0</t>
  </si>
  <si>
    <t>tapestry</t>
  </si>
  <si>
    <t>Geometric pattern</t>
  </si>
  <si>
    <t>FtrCuteDresser_Remake_2_0</t>
  </si>
  <si>
    <t>FtrHumidifier_Remake_2_0</t>
  </si>
  <si>
    <t>FtrTapestry_Remake_0_0</t>
  </si>
  <si>
    <t>FtrCuteDresser_Remake_3_0</t>
  </si>
  <si>
    <t>FtrHumidifier_Remake_3_0</t>
  </si>
  <si>
    <t>FtrCuteDresser_Remake_4_0</t>
  </si>
  <si>
    <t>cute wardrobe</t>
  </si>
  <si>
    <t>FtrTapestry_Remake_1_0</t>
  </si>
  <si>
    <t>FtrCuteClosetLR_Remake_0_0</t>
  </si>
  <si>
    <t>FtrHumidifier_Remake_4_0</t>
  </si>
  <si>
    <t>FtrTapestry_Remake_2_0</t>
  </si>
  <si>
    <t>FtrCuteClosetLR_Remake_1_0</t>
  </si>
  <si>
    <t>FtrHumidifier_Remake_5_0</t>
  </si>
  <si>
    <t>FtrCuteClosetLR_Remake_2_0</t>
  </si>
  <si>
    <t>FtrTapestry_Remake_3_0</t>
  </si>
  <si>
    <t>FtrCuteClosetLR_Remake_3_0</t>
  </si>
  <si>
    <t>FtrHumidifier_Remake_6_0</t>
  </si>
  <si>
    <t>FtrCuteClosetLR_Remake_4_0</t>
  </si>
  <si>
    <t>cypress bathtub</t>
  </si>
  <si>
    <t>FtrTapestry_Remake_4_0</t>
  </si>
  <si>
    <t>FtrBathHinoki_Remake_0_0</t>
  </si>
  <si>
    <t>FtrHumidifier_Remake_7_0</t>
  </si>
  <si>
    <t>hyacinth lamp</t>
  </si>
  <si>
    <t>Snow</t>
  </si>
  <si>
    <t>FtrBathHinoki_Remake_1_0</t>
  </si>
  <si>
    <t>FtrTapestry_Remake_5_0</t>
  </si>
  <si>
    <t>FtrFlowerLamp_Remake_0_0</t>
  </si>
  <si>
    <t>throwback wall clock</t>
  </si>
  <si>
    <t>FtrBathHinoki_Remake_2_0</t>
  </si>
  <si>
    <t>cypress plant</t>
  </si>
  <si>
    <t>FtrPlantGoldcrest_Remake_0_0</t>
  </si>
  <si>
    <t>throwback</t>
  </si>
  <si>
    <t>FtrFlowerLamp_Remake_1_0</t>
  </si>
  <si>
    <t>FtrBoyClockWall_Remake_0_0</t>
  </si>
  <si>
    <t>FtrPlantGoldcrest_Remake_1_0</t>
  </si>
  <si>
    <t>FtrPlantGoldcrest_Remake_2_0</t>
  </si>
  <si>
    <t>FtrBoyClockWall_Remake_1_0</t>
  </si>
  <si>
    <t>FtrFlowerLamp_Remake_2_0</t>
  </si>
  <si>
    <t>incense burner</t>
  </si>
  <si>
    <t>FtrPlantGoldcrest_Remake_3_0</t>
  </si>
  <si>
    <t>FtrPlantGoldcrest_Remake_4_0</t>
  </si>
  <si>
    <t>dartboard</t>
  </si>
  <si>
    <t>FtrIncense_Remake_0_0</t>
  </si>
  <si>
    <t>FtrDarts</t>
  </si>
  <si>
    <t>Sandalwood</t>
  </si>
  <si>
    <t>deer scare</t>
  </si>
  <si>
    <t>FtrBoyClockWall_Remake_2_0</t>
  </si>
  <si>
    <t>FtrShishiodoshi_Remake_0_0</t>
  </si>
  <si>
    <t>FtrIncense_Remake_1_0</t>
  </si>
  <si>
    <t>Deep sea</t>
  </si>
  <si>
    <t>FtrShishiodoshi_Remake_1_0</t>
  </si>
  <si>
    <t>FtrBoyClockWall_Remake_3_0</t>
  </si>
  <si>
    <t>FtrIncense_Remake_2_0</t>
  </si>
  <si>
    <t>FtrShishiodoshi_Remake_2_0</t>
  </si>
  <si>
    <t>deluxe washer</t>
  </si>
  <si>
    <t>FtrWashingmachineDrum_Remake_0_0</t>
  </si>
  <si>
    <t>FtrIncense_Remake_3_0</t>
  </si>
  <si>
    <t>FtrBoyClockWall_Remake_4_0</t>
  </si>
  <si>
    <t>FtrWashingmachineDrum_Remake_1_0</t>
  </si>
  <si>
    <t>Cherry blossoms</t>
  </si>
  <si>
    <t>FtrWashingmachineDrum_Remake_2_0</t>
  </si>
  <si>
    <t>FtrIncense_Remake_4_0</t>
  </si>
  <si>
    <t>FtrBoyClockWall_Remake_5_0</t>
  </si>
  <si>
    <t>FtrWashingmachineDrum_Remake_3_0</t>
  </si>
  <si>
    <t>Tea</t>
  </si>
  <si>
    <t>FtrWashingmachineDrum_Remake_4_0</t>
  </si>
  <si>
    <t>FtrIncense_Remake_5_0</t>
  </si>
  <si>
    <t>FtrBoyClockWall_Remake_6_0</t>
  </si>
  <si>
    <t>infused-water dispenser</t>
  </si>
  <si>
    <t>timber doorplate</t>
  </si>
  <si>
    <t>FtrWashingmachineDrum_Remake_5_0</t>
  </si>
  <si>
    <t>den chair</t>
  </si>
  <si>
    <t>FtrFruitswater</t>
  </si>
  <si>
    <t>FtrDoorOrnamentLog_Remake_0_0</t>
  </si>
  <si>
    <t>ironing set</t>
  </si>
  <si>
    <t>Handkerchief design</t>
  </si>
  <si>
    <t>FtrDrawingChair_Remake_0_0</t>
  </si>
  <si>
    <t>FtrIron_Remake_0_0</t>
  </si>
  <si>
    <t>FtrDoorOrnamentLog_Remake_1_0</t>
  </si>
  <si>
    <t>FtrDrawingChair_Remake_1_0</t>
  </si>
  <si>
    <t>Camel</t>
  </si>
  <si>
    <t>FtrIron_Remake_0_1</t>
  </si>
  <si>
    <t>FtrDoorOrnamentLog_Remake_2_0</t>
  </si>
  <si>
    <t>FtrDrawingChair_Remake_2_0</t>
  </si>
  <si>
    <t>FtrIron_Remake_0_2</t>
  </si>
  <si>
    <t>FtrDoorOrnamentLog_Remake_3_0</t>
  </si>
  <si>
    <t>FtrDrawingChair_Remake_3_0</t>
  </si>
  <si>
    <t>FtrIron_Remake_0_3</t>
  </si>
  <si>
    <t>jewel beetle model</t>
  </si>
  <si>
    <t>FtrDoorOrnamentLog_Remake_4_0</t>
  </si>
  <si>
    <t>FtrDrawingChair_Remake_4_0</t>
  </si>
  <si>
    <t>FtrInsectTamamushiToy</t>
  </si>
  <si>
    <t>judge's bell</t>
  </si>
  <si>
    <t>FtrDrawingChair_Remake_5_0</t>
  </si>
  <si>
    <t>den desk</t>
  </si>
  <si>
    <t>FtrDoorOrnamentLog_Remake_5_0</t>
  </si>
  <si>
    <t>FtrGong</t>
  </si>
  <si>
    <t>FtrDrawingTable_Remake_0_0</t>
  </si>
  <si>
    <t>katana</t>
  </si>
  <si>
    <t>FtrDoorOrnamentLog_Remake_6_0</t>
  </si>
  <si>
    <t>FtrDrawingTable_Remake_1_0</t>
  </si>
  <si>
    <t>FtrJapanSword_Remake_0_0</t>
  </si>
  <si>
    <t>Red wood</t>
  </si>
  <si>
    <t>Dark blue</t>
  </si>
  <si>
    <t>FtrDrawingTable_Remake_2_0</t>
  </si>
  <si>
    <t>FtrDoorOrnamentLog_Remake_7_0</t>
  </si>
  <si>
    <t>tree branch wreath</t>
  </si>
  <si>
    <t>FtrJapanSword_Remake_1_0</t>
  </si>
  <si>
    <t>FtrDrawingTable_Remake_3_0</t>
  </si>
  <si>
    <t>FtrJapanSword_Remake_2_0</t>
  </si>
  <si>
    <t>FtrDrawingTable_Remake_4_0</t>
  </si>
  <si>
    <t>destinations signpost</t>
  </si>
  <si>
    <t>FtrDoorOrnamentWreathBranch</t>
  </si>
  <si>
    <t>tree's bounty mobile</t>
  </si>
  <si>
    <t>FtrSignpostWorld_Remake_0_0</t>
  </si>
  <si>
    <t>FtrJapanSword_Remake_3_0</t>
  </si>
  <si>
    <t>Nut color</t>
  </si>
  <si>
    <t>FtrSignpostWorld_Remake_1_0</t>
  </si>
  <si>
    <t>Fall seasonal DIY using acorns (from shaking trees)</t>
  </si>
  <si>
    <t>FtrJapanSword_Remake_4_0</t>
  </si>
  <si>
    <t xml:space="preserve">tree's bounty or leaves </t>
  </si>
  <si>
    <t>kettle</t>
  </si>
  <si>
    <t>FtrNutMobile_Remake_0_0</t>
  </si>
  <si>
    <t>FtrSignpostWorld_Remake_2_0</t>
  </si>
  <si>
    <t>FtrKettleJapan</t>
  </si>
  <si>
    <t>kettlebell</t>
  </si>
  <si>
    <t>FtrKettlebell_Remake_0_0</t>
  </si>
  <si>
    <t>FtrNutMobile_Remake_1_0</t>
  </si>
  <si>
    <t>FtrSignpostWorld_Remake_3_0</t>
  </si>
  <si>
    <t>tulip wreath</t>
  </si>
  <si>
    <t>Marine</t>
  </si>
  <si>
    <t>FtrKettlebell_Remake_1_0</t>
  </si>
  <si>
    <t>FtrSignpostWorld_Remake_4_0</t>
  </si>
  <si>
    <t>FtrDoorOrnamentWreathTulip</t>
  </si>
  <si>
    <t>ventilation fan</t>
  </si>
  <si>
    <t>FtrKettlebell_Remake_2_0</t>
  </si>
  <si>
    <t>FtrKettlebell_Remake_3_0</t>
  </si>
  <si>
    <t>FtrExtractorfan_Remake_0_0</t>
  </si>
  <si>
    <t>FtrSignpostWorld_Remake_5_0</t>
  </si>
  <si>
    <t>digital scale</t>
  </si>
  <si>
    <t>FtrKettlebell_Remake_4_0</t>
  </si>
  <si>
    <t>FtrExtractorfan_Remake_1_0</t>
  </si>
  <si>
    <t>FtrWeightscale_Remake_0_0</t>
  </si>
  <si>
    <t>FtrKettlebell_Remake_5_0</t>
  </si>
  <si>
    <t>killifish model</t>
  </si>
  <si>
    <t>FtrFishMedakaToy</t>
  </si>
  <si>
    <t>king salmon model</t>
  </si>
  <si>
    <t>FtrExtractorfan_Remake_2_0</t>
  </si>
  <si>
    <t>FtrWeightscale_Remake_0_1</t>
  </si>
  <si>
    <t>FtrFishKingsalmonToy</t>
  </si>
  <si>
    <t>knife block</t>
  </si>
  <si>
    <t>FtrKniferack_Remake_0_0</t>
  </si>
  <si>
    <t>FtrExtractorfan_Remake_3_0</t>
  </si>
  <si>
    <t>FtrWeightscale_Remake_0_2</t>
  </si>
  <si>
    <t>Black stripes</t>
  </si>
  <si>
    <t>FtrKniferack_Remake_1_0</t>
  </si>
  <si>
    <t>FtrExtractorfan_Remake_4_0</t>
  </si>
  <si>
    <t>wall clock</t>
  </si>
  <si>
    <t>FtrWeightscale_Remake_0_3</t>
  </si>
  <si>
    <t>FtrKniferack_Remake_2_0</t>
  </si>
  <si>
    <t>koi model</t>
  </si>
  <si>
    <t>Wood</t>
  </si>
  <si>
    <t>FtrOfficeClock_Remake_0_0</t>
  </si>
  <si>
    <t>FtrFishNishikigoiToy</t>
  </si>
  <si>
    <t>FtrWeightscale_Remake_0_4</t>
  </si>
  <si>
    <t>lab-experiments set</t>
  </si>
  <si>
    <t>FtrWeightscale_Remake_1_0</t>
  </si>
  <si>
    <t>FtrOfficeClock_Remake_1_0</t>
  </si>
  <si>
    <t>FtrExperimentset</t>
  </si>
  <si>
    <t>ladybug model</t>
  </si>
  <si>
    <t>FtrWeightscale_Remake_1_1</t>
  </si>
  <si>
    <t>FtrWeightscale_Remake_1_2</t>
  </si>
  <si>
    <t>FtrInsectTentoumushiToy</t>
  </si>
  <si>
    <t>FtrOfficeClock_Remake_2_0</t>
  </si>
  <si>
    <t>lantern</t>
  </si>
  <si>
    <t>FtrWeightscale_Remake_1_3</t>
  </si>
  <si>
    <t>FtrLantern_Remake_0_0</t>
  </si>
  <si>
    <t>FtrOfficeClock_Remake_3_0</t>
  </si>
  <si>
    <t>FtrWeightscale_Remake_1_4</t>
  </si>
  <si>
    <t>FtrLantern_Remake_1_0</t>
  </si>
  <si>
    <t>FtrWeightscale_Remake_2_0</t>
  </si>
  <si>
    <t>FtrOfficeClock_Remake_4_0</t>
  </si>
  <si>
    <t>wall fan</t>
  </si>
  <si>
    <t>FtrLantern_Remake_2_0</t>
  </si>
  <si>
    <t>FtrWeightscale_Remake_2_1</t>
  </si>
  <si>
    <t>FtrWeightscale_Remake_2_2</t>
  </si>
  <si>
    <t>FtrFanRetroWall_Remake_0_0</t>
  </si>
  <si>
    <t>FtrLantern_Remake_3_0</t>
  </si>
  <si>
    <t>FtrWeightscale_Remake_2_3</t>
  </si>
  <si>
    <t>FtrFanRetroWall_Remake_1_0</t>
  </si>
  <si>
    <t>FtrWeightscale_Remake_2_4</t>
  </si>
  <si>
    <t>FtrLantern_Remake_4_0</t>
  </si>
  <si>
    <t>FtrLantern_Remake_5_0</t>
  </si>
  <si>
    <t>FtrWeightscale_Remake_3_0</t>
  </si>
  <si>
    <t>FtrFanRetroWall_Remake_2_0</t>
  </si>
  <si>
    <t>FtrLantern_Remake_6_0</t>
  </si>
  <si>
    <t>FtrWeightscale_Remake_3_1</t>
  </si>
  <si>
    <t>FtrFanRetroWall_Remake_3_0</t>
  </si>
  <si>
    <t>FtrLantern_Remake_7_0</t>
  </si>
  <si>
    <t>laptop</t>
  </si>
  <si>
    <t>FtrWeightscale_Remake_3_2</t>
  </si>
  <si>
    <t>FtrFanRetroWall_Remake_4_0</t>
  </si>
  <si>
    <t>FtrWeightscale_Remake_3_3</t>
  </si>
  <si>
    <t>FtrLaptop_Remake_0_0</t>
  </si>
  <si>
    <t>FtrWeightscale_Remake_3_4</t>
  </si>
  <si>
    <t>FtrFanRetroWall_Remake_5_0</t>
  </si>
  <si>
    <t>FtrLaptop_Remake_0_1</t>
  </si>
  <si>
    <t>FtrWeightscale_Remake_4_0</t>
  </si>
  <si>
    <t>FtrLaptop_Remake_0_2</t>
  </si>
  <si>
    <t>FtrFanRetroWall_Remake_6_0</t>
  </si>
  <si>
    <t>FtrWeightscale_Remake_4_1</t>
  </si>
  <si>
    <t>FtrLaptop_Remake_0_3</t>
  </si>
  <si>
    <t>Online shopping</t>
  </si>
  <si>
    <t>FtrWeightscale_Remake_4_2</t>
  </si>
  <si>
    <t>FtrLaptop_Remake_0_4</t>
  </si>
  <si>
    <t>Chat tool</t>
  </si>
  <si>
    <t>FtrFanRetroWall_Remake_7_0</t>
  </si>
  <si>
    <t>wall-mounted candle</t>
  </si>
  <si>
    <t>FtrLaptop_Remake_0_5</t>
  </si>
  <si>
    <t>FtrWeightscale_Remake_4_3</t>
  </si>
  <si>
    <t>FtrLaptop_Remake_1_0</t>
  </si>
  <si>
    <t>FtrCandleWall_Remake_0_0</t>
  </si>
  <si>
    <t>FtrWeightscale_Remake_4_4</t>
  </si>
  <si>
    <t>FtrLaptop_Remake_1_1</t>
  </si>
  <si>
    <t>FtrCandleWall_Remake_1_0</t>
  </si>
  <si>
    <t>FtrWeightscale_Remake_5_0</t>
  </si>
  <si>
    <t>FtrWeightscale_Remake_5_1</t>
  </si>
  <si>
    <t>FtrLaptop_Remake_1_2</t>
  </si>
  <si>
    <t>FtrCandleWall_Remake_2_0</t>
  </si>
  <si>
    <t>FtrWeightscale_Remake_5_2</t>
  </si>
  <si>
    <t>FtrLaptop_Remake_1_3</t>
  </si>
  <si>
    <t>FtrWeightscale_Remake_5_3</t>
  </si>
  <si>
    <t>FtrLaptop_Remake_1_4</t>
  </si>
  <si>
    <t>FtrCandleWall_Remake_3_0</t>
  </si>
  <si>
    <t>FtrWeightscale_Remake_5_4</t>
  </si>
  <si>
    <t>FtrLaptop_Remake_1_5</t>
  </si>
  <si>
    <t>FtrWeightscale_Remake_6_0</t>
  </si>
  <si>
    <t>FtrCandleWall_Remake_4_0</t>
  </si>
  <si>
    <t>wall-mounted phone</t>
  </si>
  <si>
    <t>FtrLaptop_Remake_2_0</t>
  </si>
  <si>
    <t>FtrWeightscale_Remake_6_1</t>
  </si>
  <si>
    <t>FtrPhoneWall_Remake_0_0</t>
  </si>
  <si>
    <t>FtrLaptop_Remake_2_1</t>
  </si>
  <si>
    <t>FtrWeightscale_Remake_6_2</t>
  </si>
  <si>
    <t>FtrLaptop_Remake_2_2</t>
  </si>
  <si>
    <t>FtrWeightscale_Remake_6_3</t>
  </si>
  <si>
    <t>FtrPhoneWall_Remake_1_0</t>
  </si>
  <si>
    <t>FtrLaptop_Remake_2_3</t>
  </si>
  <si>
    <t>FtrWeightscale_Remake_6_4</t>
  </si>
  <si>
    <t>diner chair</t>
  </si>
  <si>
    <t>FtrLaptop_Remake_2_4</t>
  </si>
  <si>
    <t>FtrPhoneWall_Remake_2_0</t>
  </si>
  <si>
    <t>FtrAmeretroChairS_Remake_0_0</t>
  </si>
  <si>
    <t>FtrLaptop_Remake_2_5</t>
  </si>
  <si>
    <t>FtrAmeretroChairS_Remake_1_0</t>
  </si>
  <si>
    <t>FtrLaptop_Remake_3_0</t>
  </si>
  <si>
    <t>FtrPhoneWall_Remake_3_0</t>
  </si>
  <si>
    <t>FtrAmeretroChairS_Remake_2_0</t>
  </si>
  <si>
    <t>FtrLaptop_Remake_3_1</t>
  </si>
  <si>
    <t>FtrPhoneWall_Remake_4_0</t>
  </si>
  <si>
    <t>FtrAmeretroChairS_Remake_3_0</t>
  </si>
  <si>
    <t>FtrLaptop_Remake_3_2</t>
  </si>
  <si>
    <t>FtrAmeretroChairS_Remake_4_0</t>
  </si>
  <si>
    <t>FtrPhoneWall_Remake_5_0</t>
  </si>
  <si>
    <t>wall-mounted tool board</t>
  </si>
  <si>
    <t>FtrLaptop_Remake_3_3</t>
  </si>
  <si>
    <t>FtrAmeretroChairS_Remake_5_0</t>
  </si>
  <si>
    <t>FtrToolhanger_Remake_0_0</t>
  </si>
  <si>
    <t>FtrLaptop_Remake_3_4</t>
  </si>
  <si>
    <t>FtrAmeretroChairS_Remake_6_0</t>
  </si>
  <si>
    <t>diner counter chair</t>
  </si>
  <si>
    <t>FtrToolhanger_Remake_1_0</t>
  </si>
  <si>
    <t>FtrAmeretroCounterchair_Remake_0_0</t>
  </si>
  <si>
    <t>FtrLaptop_Remake_3_5</t>
  </si>
  <si>
    <t>FtrAmeretroCounterchair_Remake_1_0</t>
  </si>
  <si>
    <t>FtrLaptop_Remake_4_0</t>
  </si>
  <si>
    <t>FtrToolhanger_Remake_2_0</t>
  </si>
  <si>
    <t>FtrAmeretroCounterchair_Remake_2_0</t>
  </si>
  <si>
    <t>FtrLaptop_Remake_4_1</t>
  </si>
  <si>
    <t>FtrToolhanger_Remake_3_0</t>
  </si>
  <si>
    <t>FtrAmeretroCounterchair_Remake_3_0</t>
  </si>
  <si>
    <t>FtrLaptop_Remake_4_2</t>
  </si>
  <si>
    <t>FtrAmeretroCounterchair_Remake_4_0</t>
  </si>
  <si>
    <t>FtrToolhanger_Remake_4_0</t>
  </si>
  <si>
    <t>FtrLaptop_Remake_4_3</t>
  </si>
  <si>
    <t>FtrAmeretroCounterchair_Remake_5_0</t>
  </si>
  <si>
    <t>FtrToolhanger_Remake_5_0</t>
  </si>
  <si>
    <t>wall-mounted TV (20 in.)</t>
  </si>
  <si>
    <t>FtrLaptop_Remake_4_4</t>
  </si>
  <si>
    <t>FtrAmeretroCounterchair_Remake_6_0</t>
  </si>
  <si>
    <t>diner counter table</t>
  </si>
  <si>
    <t>TV</t>
  </si>
  <si>
    <t>FtrLaptop_Remake_4_5</t>
  </si>
  <si>
    <t>FtrTV20inchWall_Remake_0_0</t>
  </si>
  <si>
    <t>FtrAmeretroCounter_Remake_0_0</t>
  </si>
  <si>
    <t>FtrAmeretroCounter_Remake_1_0</t>
  </si>
  <si>
    <t>FtrLaptop_Remake_5_0</t>
  </si>
  <si>
    <t>FtrTV20inchWall_Remake_1_0</t>
  </si>
  <si>
    <t>FtrAmeretroCounter_Remake_2_0</t>
  </si>
  <si>
    <t>FtrLaptop_Remake_5_1</t>
  </si>
  <si>
    <t>FtrAmeretroCounter_Remake_3_0</t>
  </si>
  <si>
    <t>FtrTV20inchWall_Remake_2_0</t>
  </si>
  <si>
    <t>FtrAmeretroCounter_Remake_4_0</t>
  </si>
  <si>
    <t>FtrLaptop_Remake_5_2</t>
  </si>
  <si>
    <t>FtrTV20inchWall_Remake_3_0</t>
  </si>
  <si>
    <t>FtrLaptop_Remake_5_3</t>
  </si>
  <si>
    <t>FtrAmeretroCounter_Remake_5_0</t>
  </si>
  <si>
    <t>FtrAmeretroCounter_Remake_6_0</t>
  </si>
  <si>
    <t>FtrTV20inchWall_Remake_4_0</t>
  </si>
  <si>
    <t>diner dining table</t>
  </si>
  <si>
    <t>FtrLaptop_Remake_5_4</t>
  </si>
  <si>
    <t>FtrAmeretroTableM_Remake_0_0</t>
  </si>
  <si>
    <t>FtrTV20inchWall_Remake_5_0</t>
  </si>
  <si>
    <t>FtrLaptop_Remake_5_5</t>
  </si>
  <si>
    <t>FtrAmeretroTableM_Remake_1_0</t>
  </si>
  <si>
    <t>FtrAmeretroTableM_Remake_2_0</t>
  </si>
  <si>
    <t>FtrLaptop_Remake_6_0</t>
  </si>
  <si>
    <t>FtrTV20inchWall_Remake_6_0</t>
  </si>
  <si>
    <t>FtrAmeretroTableM_Remake_3_0</t>
  </si>
  <si>
    <t>FtrLaptop_Remake_6_1</t>
  </si>
  <si>
    <t>FtrAmeretroTableM_Remake_4_0</t>
  </si>
  <si>
    <t>FtrTV20inchWall_Remake_7_0</t>
  </si>
  <si>
    <t>wall-mounted TV (50 in.)</t>
  </si>
  <si>
    <t>FtrAmeretroTableM_Remake_5_0</t>
  </si>
  <si>
    <t>FtrLaptop_Remake_6_2</t>
  </si>
  <si>
    <t>FtrAmeretroTableM_Remake_6_0</t>
  </si>
  <si>
    <t>diner mini table</t>
  </si>
  <si>
    <t>FtrTV50inchWall_Remake_0_0</t>
  </si>
  <si>
    <t>FtrLaptop_Remake_6_3</t>
  </si>
  <si>
    <t>FtrLaptop_Remake_6_4</t>
  </si>
  <si>
    <t>FtrTV50inchWall_Remake_1_0</t>
  </si>
  <si>
    <t>FtrAmeretroTableS_Remake_0_0</t>
  </si>
  <si>
    <t>FtrLaptop_Remake_6_5</t>
  </si>
  <si>
    <t>FtrAmeretroTableS_Remake_1_0</t>
  </si>
  <si>
    <t>FtrTV50inchWall_Remake_2_0</t>
  </si>
  <si>
    <t>LCD TV (20 in.)</t>
  </si>
  <si>
    <t>FtrAmeretroTableS_Remake_2_0</t>
  </si>
  <si>
    <t>FtrTV50inchWall_Remake_3_0</t>
  </si>
  <si>
    <t>FtrTV20inch_Remake_0_0</t>
  </si>
  <si>
    <t>FtrAmeretroTableS_Remake_3_0</t>
  </si>
  <si>
    <t>FtrTV20inch_Remake_1_0</t>
  </si>
  <si>
    <t>FtrTV50inchWall_Remake_4_0</t>
  </si>
  <si>
    <t>wasp-head model</t>
  </si>
  <si>
    <t>FtrAmeretroTableS_Remake_4_0</t>
  </si>
  <si>
    <t>FtrTV20inch_Remake_2_0</t>
  </si>
  <si>
    <t>FtrAmeretroTableS_Remake_5_0</t>
  </si>
  <si>
    <t>FtrInsectHachiFace</t>
  </si>
  <si>
    <t>windflower wreath</t>
  </si>
  <si>
    <t>FtrTV20inch_Remake_3_0</t>
  </si>
  <si>
    <t>FtrAmeretroTableS_Remake_6_0</t>
  </si>
  <si>
    <t>diner neon sign</t>
  </si>
  <si>
    <t>FtrDoorOrnamentWreathAnemone</t>
  </si>
  <si>
    <t>wooden-block wall clock</t>
  </si>
  <si>
    <t>FtrAmeretroNeon_Remake_0_0</t>
  </si>
  <si>
    <t>FtrTV20inch_Remake_4_0</t>
  </si>
  <si>
    <t>Block color</t>
  </si>
  <si>
    <t>wooden block</t>
  </si>
  <si>
    <t>FtrBlockClock_Remake_0_0</t>
  </si>
  <si>
    <t>FtrAmeretroNeon_Remake_1_0</t>
  </si>
  <si>
    <t>FtrTV20inch_Remake_5_0</t>
  </si>
  <si>
    <t>Mixed wood</t>
  </si>
  <si>
    <t>FtrAmeretroNeon_Remake_2_0</t>
  </si>
  <si>
    <t>FtrTV20inch_Remake_6_0</t>
  </si>
  <si>
    <t>FtrBlockClock_Remake_1_0</t>
  </si>
  <si>
    <t>FtrAmeretroNeon_Remake_3_0</t>
  </si>
  <si>
    <t>FtrBlockClock_Remake_2_0</t>
  </si>
  <si>
    <t>FtrTV20inch_Remake_7_0</t>
  </si>
  <si>
    <t>LCD TV (50 in.)</t>
  </si>
  <si>
    <t>FtrAmeretroNeon_Remake_4_0</t>
  </si>
  <si>
    <t>diner sofa</t>
  </si>
  <si>
    <t>FtrAmeretroChairL_Remake_0_0</t>
  </si>
  <si>
    <t>FtrBlockClock_Remake_3_0</t>
  </si>
  <si>
    <t>FtrTV50inch_Remake_0_0</t>
  </si>
  <si>
    <t>FtrAmeretroChairL_Remake_1_0</t>
  </si>
  <si>
    <t>Vivid</t>
  </si>
  <si>
    <t>FtrAmeretroChairL_Remake_2_0</t>
  </si>
  <si>
    <t>FtrTV50inch_Remake_1_0</t>
  </si>
  <si>
    <t>FtrBlockClock_Remake_4_0</t>
  </si>
  <si>
    <t>wooden-plank sign</t>
  </si>
  <si>
    <t>FtrAmeretroChairL_Remake_3_0</t>
  </si>
  <si>
    <t>FtrAmeretroChairL_Remake_4_0</t>
  </si>
  <si>
    <t>FtrTV50inch_Remake_2_0</t>
  </si>
  <si>
    <t>FtrSignboardWood_Remake_0_0</t>
  </si>
  <si>
    <t>FtrAmeretroChairL_Remake_5_0</t>
  </si>
  <si>
    <t>FtrAmeretroChairL_Remake_6_0</t>
  </si>
  <si>
    <t>director's chair</t>
  </si>
  <si>
    <t>FtrTV50inch_Remake_3_0</t>
  </si>
  <si>
    <t>Natural white</t>
  </si>
  <si>
    <t>Fabric</t>
  </si>
  <si>
    <t>FtrSignboardWood_Remake_1_0</t>
  </si>
  <si>
    <t>FtrDirectorchair_Remake_0_0</t>
  </si>
  <si>
    <t>FtrTV50inch_Remake_4_0</t>
  </si>
  <si>
    <t>Libra scale</t>
  </si>
  <si>
    <t>Director black</t>
  </si>
  <si>
    <t>FtrSignboardWood_Remake_2_0</t>
  </si>
  <si>
    <t>FtrDirectorchair_Remake_0_1</t>
  </si>
  <si>
    <t>FtrZodiacLibra</t>
  </si>
  <si>
    <t>Chic pleather</t>
  </si>
  <si>
    <t>life ring</t>
  </si>
  <si>
    <t>FtrDirectorchair_Remake_0_2</t>
  </si>
  <si>
    <t>FtrSignboardWood_Remake_3_0</t>
  </si>
  <si>
    <t>writing poster</t>
  </si>
  <si>
    <t>FtrLifebelt_Remake_0_0</t>
  </si>
  <si>
    <t>FtrDirectorchair_Remake_1_0</t>
  </si>
  <si>
    <t>writing</t>
  </si>
  <si>
    <t>FtrLifebelt_Remake_1_0</t>
  </si>
  <si>
    <t>FtrStudyposter_Remake_0_0</t>
  </si>
  <si>
    <t>Multiplication tables</t>
  </si>
  <si>
    <t>FtrDirectorchair_Remake_1_1</t>
  </si>
  <si>
    <t>FtrLifebelt_Remake_2_0</t>
  </si>
  <si>
    <t>FtrStudyposter_Remake_1_0</t>
  </si>
  <si>
    <t>FtrLifebelt_Remake_3_0</t>
  </si>
  <si>
    <t>FtrDirectorchair_Remake_1_2</t>
  </si>
  <si>
    <t>loach model</t>
  </si>
  <si>
    <t>Periodic table</t>
  </si>
  <si>
    <t>FtrDirectorchair_Remake_2_0</t>
  </si>
  <si>
    <t>FtrStudyposter_Remake_2_0</t>
  </si>
  <si>
    <t>FtrFishDojouToy</t>
  </si>
  <si>
    <t>long locust model</t>
  </si>
  <si>
    <t>Constellations</t>
  </si>
  <si>
    <t>FtrDirectorchair_Remake_2_1</t>
  </si>
  <si>
    <t>FtrStudyposter_Remake_3_0</t>
  </si>
  <si>
    <t>FtrInsectShoryobattaToy</t>
  </si>
  <si>
    <t>lucky cat</t>
  </si>
  <si>
    <t>FtrDirectorchair_Remake_2_2</t>
  </si>
  <si>
    <t>FtrManekineko_Remake_0_0</t>
  </si>
  <si>
    <t>FtrDirectorchair_Remake_3_0</t>
  </si>
  <si>
    <t>FtrManekineko_Remake_1_0</t>
  </si>
  <si>
    <t>lucky gold cat</t>
  </si>
  <si>
    <t>FtrDirectorchair_Remake_3_1</t>
  </si>
  <si>
    <t>FtrManekinekoGold</t>
  </si>
  <si>
    <t>M. sunset moth model</t>
  </si>
  <si>
    <t>FtrDirectorchair_Remake_3_2</t>
  </si>
  <si>
    <t>DIY workbench</t>
  </si>
  <si>
    <t>FtrInsectNishikiohtsubamegaToy</t>
  </si>
  <si>
    <t>magazine</t>
  </si>
  <si>
    <t>FtrWorkbench_Remake_0_0</t>
  </si>
  <si>
    <t>Food</t>
  </si>
  <si>
    <t>Feature</t>
  </si>
  <si>
    <t>FtrMagagineOpened_Remake_0_0</t>
  </si>
  <si>
    <t>FtrWorkbench_Remake_1_0</t>
  </si>
  <si>
    <t>Cars</t>
  </si>
  <si>
    <t>FtrWorkbench_Remake_2_0</t>
  </si>
  <si>
    <t>FtrMagagineOpened_Remake_0_1</t>
  </si>
  <si>
    <t>VFX</t>
  </si>
  <si>
    <t>VFX Type</t>
  </si>
  <si>
    <t>Fashion</t>
  </si>
  <si>
    <t>Window Type</t>
  </si>
  <si>
    <t>Window Color</t>
  </si>
  <si>
    <t>Pane Type</t>
  </si>
  <si>
    <t>FtrWorkbench_Remake_3_0</t>
  </si>
  <si>
    <t>Curtain Type</t>
  </si>
  <si>
    <t>Curtain Color</t>
  </si>
  <si>
    <t>Ceiling Type</t>
  </si>
  <si>
    <t>FtrMagagineOpened_Remake_0_2</t>
  </si>
  <si>
    <t>abstract wall</t>
  </si>
  <si>
    <t>FtrWorkbench_Remake_4_0</t>
  </si>
  <si>
    <t>Outdoors</t>
  </si>
  <si>
    <t>Marine blue</t>
  </si>
  <si>
    <t>Four Pane</t>
  </si>
  <si>
    <t>Grey Wood</t>
  </si>
  <si>
    <t>Glass</t>
  </si>
  <si>
    <t>FtrMagagineOpened_Remake_0_3</t>
  </si>
  <si>
    <t>Roller Shades</t>
  </si>
  <si>
    <t>FtrWorkbench_Remake_5_0</t>
  </si>
  <si>
    <t>Cloth</t>
  </si>
  <si>
    <t>Resorts</t>
  </si>
  <si>
    <t>Cloth Walls</t>
  </si>
  <si>
    <t>RoomTexWallAbstract00</t>
  </si>
  <si>
    <t>ancient wall</t>
  </si>
  <si>
    <t>FtrWorkbench_Remake_6_0</t>
  </si>
  <si>
    <t>FtrMagagineOpened_Remake_0_4</t>
  </si>
  <si>
    <t>Saharah</t>
  </si>
  <si>
    <t>Stone</t>
  </si>
  <si>
    <t>FtrWorkbench_Remake_7_0</t>
  </si>
  <si>
    <t>DJ's turntable</t>
  </si>
  <si>
    <t>Asia</t>
  </si>
  <si>
    <t>RoomTexWallEgypt00</t>
  </si>
  <si>
    <t>FtrMagagineOpened_Remake_0_5</t>
  </si>
  <si>
    <t>apple wall</t>
  </si>
  <si>
    <t>Flag</t>
  </si>
  <si>
    <t>Pop stars</t>
  </si>
  <si>
    <t>Hi-fi</t>
  </si>
  <si>
    <t>FtrDJbooth_Remake_0_0</t>
  </si>
  <si>
    <t>FtrMagagineOpened_Remake_0_6</t>
  </si>
  <si>
    <t>magazine rack</t>
  </si>
  <si>
    <t>Fruit Walls</t>
  </si>
  <si>
    <t>RoomTexWallApple00</t>
  </si>
  <si>
    <t>Café</t>
  </si>
  <si>
    <t>Familiar logo</t>
  </si>
  <si>
    <t>Magazine</t>
  </si>
  <si>
    <t>aqua tile wall</t>
  </si>
  <si>
    <t>FtrMagazinerack_Remake_0_0</t>
  </si>
  <si>
    <t>FtrDJbooth_Remake_0_1</t>
  </si>
  <si>
    <t>Single Pane</t>
  </si>
  <si>
    <t>White Metal</t>
  </si>
  <si>
    <t>Slatted Blinds</t>
  </si>
  <si>
    <t>White Plastic</t>
  </si>
  <si>
    <t>Travel</t>
  </si>
  <si>
    <t>Chic logo</t>
  </si>
  <si>
    <t>Tile Walls</t>
  </si>
  <si>
    <t>RoomTexWallTile01</t>
  </si>
  <si>
    <t>arched-window wall</t>
  </si>
  <si>
    <t>FtrMagazinerack_Remake_0_1</t>
  </si>
  <si>
    <t>FtrDJbooth_Remake_0_2</t>
  </si>
  <si>
    <t>Rock logo</t>
  </si>
  <si>
    <t>Special Walls</t>
  </si>
  <si>
    <t>RoomSpWallGlass00</t>
  </si>
  <si>
    <t>autumn wall</t>
  </si>
  <si>
    <t>Random</t>
  </si>
  <si>
    <t>FtrDJbooth_Remake_0_3</t>
  </si>
  <si>
    <t>FtrMagazinerack_Remake_0_2</t>
  </si>
  <si>
    <t>Fall seasonal DIY using autumn leaves (caught with net)</t>
  </si>
  <si>
    <t>Emblem logo</t>
  </si>
  <si>
    <t>Special Warm Nature Walls</t>
  </si>
  <si>
    <t>RoomSpWallAutumun00</t>
  </si>
  <si>
    <t>backyard-fence wall</t>
  </si>
  <si>
    <t>Synchro</t>
  </si>
  <si>
    <t>FtrDJbooth_Remake_0_4</t>
  </si>
  <si>
    <t>FtrMagazinerack_Remake_0_3</t>
  </si>
  <si>
    <t>Handwritten logo</t>
  </si>
  <si>
    <t>Special Cool Nature Walls</t>
  </si>
  <si>
    <t>Comics</t>
  </si>
  <si>
    <t>RoomSpWallBackyard00</t>
  </si>
  <si>
    <t>bamboo wall</t>
  </si>
  <si>
    <t>FtrDJbooth_Remake_0_5</t>
  </si>
  <si>
    <t>FtrMagazinerack_Remake_0_4</t>
  </si>
  <si>
    <t>Pop logo</t>
  </si>
  <si>
    <t>Nature Walls</t>
  </si>
  <si>
    <t>RoomTexWallBamboo00</t>
  </si>
  <si>
    <t>Kids</t>
  </si>
  <si>
    <t>bamboo-grove wall</t>
  </si>
  <si>
    <t>FtrDJbooth_Remake_0_6</t>
  </si>
  <si>
    <t>FtrMagazinerack_Remake_0_5</t>
  </si>
  <si>
    <t>Weekly news</t>
  </si>
  <si>
    <t>Cute logo</t>
  </si>
  <si>
    <t>RoomTexWallChikurin00</t>
  </si>
  <si>
    <t>FtrMagazinerack_Remake_0_6</t>
  </si>
  <si>
    <t>bamboo-screen wall</t>
  </si>
  <si>
    <t>FtrDJbooth_Remake_0_7</t>
  </si>
  <si>
    <t>FtrMagazinerack_Remake_1_0</t>
  </si>
  <si>
    <t>FtrDJbooth_Remake_1_0</t>
  </si>
  <si>
    <t>Wood Walls</t>
  </si>
  <si>
    <t>RoomTexWallRattan00</t>
  </si>
  <si>
    <t>bank-vault wall</t>
  </si>
  <si>
    <t>FtrDJbooth_Remake_1_1</t>
  </si>
  <si>
    <t>FtrMagazinerack_Remake_1_1</t>
  </si>
  <si>
    <t>FtrDJbooth_Remake_1_2</t>
  </si>
  <si>
    <t>Tile</t>
  </si>
  <si>
    <t>Iron Walls</t>
  </si>
  <si>
    <t>RoomTexWallSafeBox00</t>
  </si>
  <si>
    <t>basic wall</t>
  </si>
  <si>
    <t>FtrDJbooth_Remake_1_3</t>
  </si>
  <si>
    <t>FtrMagazinerack_Remake_1_2</t>
  </si>
  <si>
    <t>FtrDJbooth_Remake_1_4</t>
  </si>
  <si>
    <t>RoomSpWallSimplePanel00</t>
  </si>
  <si>
    <t>beaded-curtain wall</t>
  </si>
  <si>
    <t>FtrMagazinerack_Remake_1_3</t>
  </si>
  <si>
    <t>FtrDJbooth_Remake_1_5</t>
  </si>
  <si>
    <t>Natural Wood</t>
  </si>
  <si>
    <t>Curtains</t>
  </si>
  <si>
    <t>White Lace</t>
  </si>
  <si>
    <t>FtrMagazinerack_Remake_1_4</t>
  </si>
  <si>
    <t>RoomTexWallBeadsCurtain00</t>
  </si>
  <si>
    <t>beige art-deco wall</t>
  </si>
  <si>
    <t>FtrDJbooth_Remake_1_6</t>
  </si>
  <si>
    <t>FtrMagazinerack_Remake_1_5</t>
  </si>
  <si>
    <t>Art Deco Walls</t>
  </si>
  <si>
    <t>FtrDJbooth_Remake_1_7</t>
  </si>
  <si>
    <t>RoomTexWallArtDeco00</t>
  </si>
  <si>
    <t>beige blossoming wall</t>
  </si>
  <si>
    <t>FtrMagazinerack_Remake_1_6</t>
  </si>
  <si>
    <t>Red Checkered</t>
  </si>
  <si>
    <t>FtrDJbooth_Remake_2_0</t>
  </si>
  <si>
    <t>Country</t>
  </si>
  <si>
    <t>RoomTexWallCountry00</t>
  </si>
  <si>
    <t>beige desert-tile wall</t>
  </si>
  <si>
    <t>FtrMagazinerack_Remake_2_0</t>
  </si>
  <si>
    <t>FtrDJbooth_Remake_2_1</t>
  </si>
  <si>
    <t>Sliding Pane</t>
  </si>
  <si>
    <t>FtrMagazinerack_Remake_2_1</t>
  </si>
  <si>
    <t>Morocco</t>
  </si>
  <si>
    <t>RoomTexWallMorocco00</t>
  </si>
  <si>
    <t>FtrDJbooth_Remake_2_2</t>
  </si>
  <si>
    <t>black botanical-tile wall</t>
  </si>
  <si>
    <t>Black Metal</t>
  </si>
  <si>
    <t>FtrMagazinerack_Remake_2_2</t>
  </si>
  <si>
    <t>FtrDJbooth_Remake_2_3</t>
  </si>
  <si>
    <t>Black Plastic</t>
  </si>
  <si>
    <t>Wood Tile Walls</t>
  </si>
  <si>
    <t>RoomTexWallWoodTile03</t>
  </si>
  <si>
    <t>black hallway wall</t>
  </si>
  <si>
    <t>FtrDJbooth_Remake_2_4</t>
  </si>
  <si>
    <t>FtrMagazinerack_Remake_2_3</t>
  </si>
  <si>
    <t>FtrDJbooth_Remake_2_5</t>
  </si>
  <si>
    <t>Hall Walls</t>
  </si>
  <si>
    <t>RoomTexWallHall03</t>
  </si>
  <si>
    <t>FtrMagazinerack_Remake_2_4</t>
  </si>
  <si>
    <t>black perforated-board wall</t>
  </si>
  <si>
    <t>FtrMagazinerack_Remake_2_5</t>
  </si>
  <si>
    <t>FtrDJbooth_Remake_2_6</t>
  </si>
  <si>
    <t>Pegboard Walls</t>
  </si>
  <si>
    <t>RoomTexWallPegboard02</t>
  </si>
  <si>
    <t>black two-toned tile wall</t>
  </si>
  <si>
    <t>FtrMagazinerack_Remake_2_6</t>
  </si>
  <si>
    <t>FtrDJbooth_Remake_2_7</t>
  </si>
  <si>
    <t>FtrMagazinerack_Remake_3_0</t>
  </si>
  <si>
    <t>Two-Tone Tile Walls</t>
  </si>
  <si>
    <t>RoomTexWallTwoToneTile06</t>
  </si>
  <si>
    <t>black-brick wall</t>
  </si>
  <si>
    <t>FtrDJbooth_Remake_3_0</t>
  </si>
  <si>
    <t>Dark Wood</t>
  </si>
  <si>
    <t>FtrMagazinerack_Remake_3_1</t>
  </si>
  <si>
    <t>Brick</t>
  </si>
  <si>
    <t>RoomTexWallBrick02</t>
  </si>
  <si>
    <t>FtrDJbooth_Remake_3_1</t>
  </si>
  <si>
    <t>black-crown wall</t>
  </si>
  <si>
    <t>FtrMagazinerack_Remake_3_2</t>
  </si>
  <si>
    <t>FtrDJbooth_Remake_3_2</t>
  </si>
  <si>
    <t>Crown Walls</t>
  </si>
  <si>
    <t>RoomTexWallCrown01</t>
  </si>
  <si>
    <t>blackboard wall</t>
  </si>
  <si>
    <t>FtrMagazinerack_Remake_3_3</t>
  </si>
  <si>
    <t>FtrDJbooth_Remake_3_3</t>
  </si>
  <si>
    <t>Neta Walls</t>
  </si>
  <si>
    <t>RoomTexWallBlackBoard00</t>
  </si>
  <si>
    <t>blue blossoming wall</t>
  </si>
  <si>
    <t>FtrDJbooth_Remake_3_4</t>
  </si>
  <si>
    <t>Blue Checkered</t>
  </si>
  <si>
    <t>FtrMagazinerack_Remake_3_4</t>
  </si>
  <si>
    <t>RoomTexWallCountry02</t>
  </si>
  <si>
    <t>blue camo wall</t>
  </si>
  <si>
    <t>FtrDJbooth_Remake_3_5</t>
  </si>
  <si>
    <t>RoomTexWallCamouflage01</t>
  </si>
  <si>
    <t>blue delicate-blooms wall</t>
  </si>
  <si>
    <t>FtrDJbooth_Remake_3_6</t>
  </si>
  <si>
    <t>FtrMagazinerack_Remake_3_5</t>
  </si>
  <si>
    <t>Undyed</t>
  </si>
  <si>
    <t>Manor Walls</t>
  </si>
  <si>
    <t>RoomTexWallManor03</t>
  </si>
  <si>
    <t>blue desert-tile wall</t>
  </si>
  <si>
    <t>FtrDJbooth_Remake_3_7</t>
  </si>
  <si>
    <t>doghouse</t>
  </si>
  <si>
    <t>FtrMagazinerack_Remake_3_6</t>
  </si>
  <si>
    <t>FtrDoghouse_Remake_0_0</t>
  </si>
  <si>
    <t>RoomTexWallMorocco01</t>
  </si>
  <si>
    <t>blue diner wall</t>
  </si>
  <si>
    <t>FtrMagazinerack_Remake_4_0</t>
  </si>
  <si>
    <t>FtrDoghouse_Remake_1_0</t>
  </si>
  <si>
    <t>Diner Walls</t>
  </si>
  <si>
    <t>RoomTexWallDiner00</t>
  </si>
  <si>
    <t>blue flower-print wall</t>
  </si>
  <si>
    <t>FtrMagazinerack_Remake_4_1</t>
  </si>
  <si>
    <t>FtrDoghouse_Remake_2_0</t>
  </si>
  <si>
    <t>Flower Walls</t>
  </si>
  <si>
    <t>RoomTexWallFlower03</t>
  </si>
  <si>
    <t>blue heart-pattern wall</t>
  </si>
  <si>
    <t>FtrMagazinerack_Remake_4_2</t>
  </si>
  <si>
    <t>White Wood</t>
  </si>
  <si>
    <t>FtrDoghouse_Remake_3_0</t>
  </si>
  <si>
    <t>FtrMagazinerack_Remake_4_3</t>
  </si>
  <si>
    <t>Heart Walls</t>
  </si>
  <si>
    <t>RoomTexWallHeart00</t>
  </si>
  <si>
    <t>blue honeycomb-tile wall</t>
  </si>
  <si>
    <t>FtrMagazinerack_Remake_4_4</t>
  </si>
  <si>
    <t>FtrDoghouse_Remake_4_0</t>
  </si>
  <si>
    <t>double sofa</t>
  </si>
  <si>
    <t>Honeycomb</t>
  </si>
  <si>
    <t>RoomTexWallHoneycomb01</t>
  </si>
  <si>
    <t>blue intricate wall</t>
  </si>
  <si>
    <t>FtrMagazinerack_Remake_4_5</t>
  </si>
  <si>
    <t>FtrSofaL_Remake_0_0</t>
  </si>
  <si>
    <t>Flower Pop Walls</t>
  </si>
  <si>
    <t>FtrSofaL_Remake_1_0</t>
  </si>
  <si>
    <t>RoomTexWallFlowerPop00</t>
  </si>
  <si>
    <t>blue molded-panel wall</t>
  </si>
  <si>
    <t>FtrMagazinerack_Remake_4_6</t>
  </si>
  <si>
    <t>FtrSofaL_Remake_2_0</t>
  </si>
  <si>
    <t>Panel Mold Walls</t>
  </si>
  <si>
    <t>RoomTexWallPanelMold01</t>
  </si>
  <si>
    <t>FtrMagazinerack_Remake_5_0</t>
  </si>
  <si>
    <t>blue painted-wood wall</t>
  </si>
  <si>
    <t>FtrSofaL_Remake_3_0</t>
  </si>
  <si>
    <t>FtrSofaL_Remake_4_0</t>
  </si>
  <si>
    <t>Painted Wood</t>
  </si>
  <si>
    <t>RoomTexWallPaintWood00</t>
  </si>
  <si>
    <t>FtrMagazinerack_Remake_5_1</t>
  </si>
  <si>
    <t>blue playroom wall</t>
  </si>
  <si>
    <t>FtrSofaL_Remake_5_0</t>
  </si>
  <si>
    <t>Toy Walls</t>
  </si>
  <si>
    <t>FtrMagazinerack_Remake_5_2</t>
  </si>
  <si>
    <t>RoomTexWallToy00</t>
  </si>
  <si>
    <t>blue quilt wall</t>
  </si>
  <si>
    <t>FtrSofaL_Remake_6_0</t>
  </si>
  <si>
    <t>FtrSofaL_Remake_7_0</t>
  </si>
  <si>
    <t>FtrMagazinerack_Remake_5_3</t>
  </si>
  <si>
    <t>double-door refrigerator</t>
  </si>
  <si>
    <t>Dollhouse Walls</t>
  </si>
  <si>
    <t>RoomTexWallDollhouse01</t>
  </si>
  <si>
    <t>blue shanty wall</t>
  </si>
  <si>
    <t>FtrRefrigeratorDoubledoor_Remake_0_0</t>
  </si>
  <si>
    <t>FtrMagazinerack_Remake_5_4</t>
  </si>
  <si>
    <t>Tin Walls</t>
  </si>
  <si>
    <t>RoomTexWallTin02</t>
  </si>
  <si>
    <t>blue simple-cloth wall</t>
  </si>
  <si>
    <t>FtrMagazinerack_Remake_5_5</t>
  </si>
  <si>
    <t>FtrRefrigeratorDoubledoor_Remake_1_0</t>
  </si>
  <si>
    <t>Simple Walls</t>
  </si>
  <si>
    <t>RoomTexWallSimple03</t>
  </si>
  <si>
    <t>FtrMagazinerack_Remake_5_6</t>
  </si>
  <si>
    <t>blue subway-tile wall</t>
  </si>
  <si>
    <t>FtrRefrigeratorDoubledoor_Remake_2_0</t>
  </si>
  <si>
    <t>Metro Walls</t>
  </si>
  <si>
    <t>RoomTexWallMetro00</t>
  </si>
  <si>
    <t>blue tile wall</t>
  </si>
  <si>
    <t>FtrMagazinerack_Remake_6_0</t>
  </si>
  <si>
    <t>RoomTexWallTile03</t>
  </si>
  <si>
    <t>blue two-toned tile wall</t>
  </si>
  <si>
    <t>FtrRefrigeratorDoubledoor_Remake_3_0</t>
  </si>
  <si>
    <t>drink machine</t>
  </si>
  <si>
    <t>FtrMagazinerack_Remake_6_1</t>
  </si>
  <si>
    <t>Orange juice</t>
  </si>
  <si>
    <t>Advertisement panel</t>
  </si>
  <si>
    <t>RoomTexWallTwoToneTile05</t>
  </si>
  <si>
    <t>blue-crown wall</t>
  </si>
  <si>
    <t>FtrDrinkmachine_Remake_0_0</t>
  </si>
  <si>
    <t>FtrMagazinerack_Remake_6_2</t>
  </si>
  <si>
    <t>Sports drink</t>
  </si>
  <si>
    <t>RoomTexWallCrown00</t>
  </si>
  <si>
    <t>FtrMagazinerack_Remake_6_3</t>
  </si>
  <si>
    <t>blue-paint wall</t>
  </si>
  <si>
    <t>FtrDrinkmachine_Remake_0_1</t>
  </si>
  <si>
    <t>FtrMagazinerack_Remake_6_4</t>
  </si>
  <si>
    <t>Sale</t>
  </si>
  <si>
    <t>Stucco Walls</t>
  </si>
  <si>
    <t>RoomTexWallStucco03</t>
  </si>
  <si>
    <t>blue-rose wall</t>
  </si>
  <si>
    <t>FtrDrinkmachine_Remake_0_2</t>
  </si>
  <si>
    <t>Grey Metal</t>
  </si>
  <si>
    <t>FtrMagazinerack_Remake_6_5</t>
  </si>
  <si>
    <t>Rose Walls</t>
  </si>
  <si>
    <t>FtrDrinkmachine_Remake_0_3</t>
  </si>
  <si>
    <t>RoomTexWallRose03</t>
  </si>
  <si>
    <t>blue-striped wall</t>
  </si>
  <si>
    <t>FtrMagazinerack_Remake_6_6</t>
  </si>
  <si>
    <t>Stripe Walls</t>
  </si>
  <si>
    <t>RoomTexWallStripe03</t>
  </si>
  <si>
    <t>botanical-tile wall</t>
  </si>
  <si>
    <t>FtrDrinkmachine_Remake_1_0</t>
  </si>
  <si>
    <t>FtrMagazinerack_Remake_7_0</t>
  </si>
  <si>
    <t>RoomTexWallWoodTile02</t>
  </si>
  <si>
    <t>brown botanical-tile wall</t>
  </si>
  <si>
    <t>FtrDrinkmachine_Remake_1_1</t>
  </si>
  <si>
    <t>Dark Brown Wood</t>
  </si>
  <si>
    <t>FtrMagazinerack_Remake_7_1</t>
  </si>
  <si>
    <t>RoomTexWallWoodTile01</t>
  </si>
  <si>
    <t>brown diner wall</t>
  </si>
  <si>
    <t>FtrDrinkmachine_Remake_1_2</t>
  </si>
  <si>
    <t>FtrMagazinerack_Remake_7_2</t>
  </si>
  <si>
    <t>RoomTexWallDiner03</t>
  </si>
  <si>
    <t>brown hallway wall</t>
  </si>
  <si>
    <t>FtrDrinkmachine_Remake_1_3</t>
  </si>
  <si>
    <t>RoomTexWallHall00</t>
  </si>
  <si>
    <t>FtrDrinkmachine_Remake_2_0</t>
  </si>
  <si>
    <t>brown herringbone wall</t>
  </si>
  <si>
    <t>FtrMagazinerack_Remake_7_3</t>
  </si>
  <si>
    <t>FtrDrinkmachine_Remake_2_1</t>
  </si>
  <si>
    <t>Brown Wood</t>
  </si>
  <si>
    <t>Herringbone</t>
  </si>
  <si>
    <t>RoomTexWallHerringbone00</t>
  </si>
  <si>
    <t>brown shanty wall</t>
  </si>
  <si>
    <t>FtrMagazinerack_Remake_7_4</t>
  </si>
  <si>
    <t>FtrDrinkmachine_Remake_2_2</t>
  </si>
  <si>
    <t>RoomTexWallTin03</t>
  </si>
  <si>
    <t>FtrDrinkmachine_Remake_2_3</t>
  </si>
  <si>
    <t>FtrMagazinerack_Remake_7_5</t>
  </si>
  <si>
    <t>brown-brick wall</t>
  </si>
  <si>
    <t>FtrDrinkmachine_Remake_3_0</t>
  </si>
  <si>
    <t>FtrMagazinerack_Remake_7_6</t>
  </si>
  <si>
    <t>magic kit</t>
  </si>
  <si>
    <t>RoomTexWallBrick03</t>
  </si>
  <si>
    <t>brown-crown wall</t>
  </si>
  <si>
    <t>FtrDrinkmachine_Remake_3_1</t>
  </si>
  <si>
    <t>FtrMagicset_Remake_0_0</t>
  </si>
  <si>
    <t>FtrDrinkmachine_Remake_3_2</t>
  </si>
  <si>
    <t>FtrMagicset_Remake_1_0</t>
  </si>
  <si>
    <t>mahi-mahi model</t>
  </si>
  <si>
    <t>RoomTexWallCrown03</t>
  </si>
  <si>
    <t>Bunny Day wall</t>
  </si>
  <si>
    <t>FtrDrinkmachine_Remake_3_3</t>
  </si>
  <si>
    <t>FtrFishShiiraToy</t>
  </si>
  <si>
    <t>man-faced stink bug model</t>
  </si>
  <si>
    <t>FtrDrinkmachine_Remake_4_0</t>
  </si>
  <si>
    <t>RoomTexWallEaster00</t>
  </si>
  <si>
    <t>butterflies wall</t>
  </si>
  <si>
    <t>FtrInsectJinmenkamemushiToy</t>
  </si>
  <si>
    <t>mantis model</t>
  </si>
  <si>
    <t>FtrDrinkmachine_Remake_4_1</t>
  </si>
  <si>
    <t>RoomTexWallInsect00</t>
  </si>
  <si>
    <t>FtrInsectKamakiriToy</t>
  </si>
  <si>
    <t>cabin wall</t>
  </si>
  <si>
    <t>matryoshka</t>
  </si>
  <si>
    <t>FtrDrinkmachine_Remake_4_2</t>
  </si>
  <si>
    <t>FtrMatryoshka_Remake_0_0</t>
  </si>
  <si>
    <t>FtrDrinkmachine_Remake_4_3</t>
  </si>
  <si>
    <t>RoomTexWallLog00</t>
  </si>
  <si>
    <t>café-curtain wall</t>
  </si>
  <si>
    <t>FtrMatryoshka_Remake_1_0</t>
  </si>
  <si>
    <t>FtrDrinkmachine_Remake_5_0</t>
  </si>
  <si>
    <t>FtrMatryoshka_Remake_2_0</t>
  </si>
  <si>
    <t>RoomSpWallCafe00</t>
  </si>
  <si>
    <t>camo wall</t>
  </si>
  <si>
    <t>FtrMatryoshka_Remake_3_0</t>
  </si>
  <si>
    <t>FtrDrinkmachine_Remake_5_1</t>
  </si>
  <si>
    <t>RoomTexWallCamouflage00</t>
  </si>
  <si>
    <t>chain-link fence</t>
  </si>
  <si>
    <t>FtrMatryoshka_Remake_4_0</t>
  </si>
  <si>
    <t>metal can</t>
  </si>
  <si>
    <t>FtrDrinkmachine_Remake_5_2</t>
  </si>
  <si>
    <t>RoomSpWallEmptyLot00</t>
  </si>
  <si>
    <t>cherry wall</t>
  </si>
  <si>
    <t>FtrIttocan</t>
  </si>
  <si>
    <t>metronome</t>
  </si>
  <si>
    <t>FtrDrinkmachine_Remake_5_3</t>
  </si>
  <si>
    <t>drinking fountain</t>
  </si>
  <si>
    <t>RoomTexWallCherry00</t>
  </si>
  <si>
    <t>cherry-blossom-trees wall</t>
  </si>
  <si>
    <t>FtrMetronome_Remake_0_0</t>
  </si>
  <si>
    <t>Playground</t>
  </si>
  <si>
    <t>FtrDrinkingfountain_Remake_0_0</t>
  </si>
  <si>
    <t>RoomSpWallSakura00</t>
  </si>
  <si>
    <t>chic tearoom wall</t>
  </si>
  <si>
    <t>Circle</t>
  </si>
  <si>
    <t>FtrMetronome_Remake_1_0</t>
  </si>
  <si>
    <t>Tea Room Walls</t>
  </si>
  <si>
    <t>FtrDrinkingfountain_Remake_1_0</t>
  </si>
  <si>
    <t>RoomTexWallMud03</t>
  </si>
  <si>
    <t>chic wall</t>
  </si>
  <si>
    <t>FtrMetronome_Remake_2_0</t>
  </si>
  <si>
    <t>FtrDrinkingfountain_Remake_2_0</t>
  </si>
  <si>
    <t>RoomTexWallClassic00</t>
  </si>
  <si>
    <t>chocolate hallway wall</t>
  </si>
  <si>
    <t>FtrMetronome_Remake_3_0</t>
  </si>
  <si>
    <t>FtrDrinkingfountain_Remake_3_0</t>
  </si>
  <si>
    <t>drum set</t>
  </si>
  <si>
    <t>Golden yellow</t>
  </si>
  <si>
    <t>Smooth white</t>
  </si>
  <si>
    <t>Bass drum head</t>
  </si>
  <si>
    <t>RoomTexWallHall01</t>
  </si>
  <si>
    <t>FtrMetronome_Remake_4_0</t>
  </si>
  <si>
    <t>chocolate herringbone wall</t>
  </si>
  <si>
    <t>microscope</t>
  </si>
  <si>
    <t>FtrDrumSet_Remake_0_0</t>
  </si>
  <si>
    <t>Glossy black</t>
  </si>
  <si>
    <t>RoomTexWallHerringbone01</t>
  </si>
  <si>
    <t>circuit-board wall</t>
  </si>
  <si>
    <t>FtrMicroscope_Remake_0_0</t>
  </si>
  <si>
    <t>FtrDrumSet_Remake_0_1</t>
  </si>
  <si>
    <t>Black with logo</t>
  </si>
  <si>
    <t>RoomTexWallGeek00</t>
  </si>
  <si>
    <t>cityscape wall</t>
  </si>
  <si>
    <t>FtrMicroscope_Remake_1_0</t>
  </si>
  <si>
    <t>FtrDrumSet_Remake_0_2</t>
  </si>
  <si>
    <t>White with logo</t>
  </si>
  <si>
    <t>RoomSpWallNightView00</t>
  </si>
  <si>
    <t>classic-library wall</t>
  </si>
  <si>
    <t>FtrMicroscope_Remake_2_0</t>
  </si>
  <si>
    <t>microwave</t>
  </si>
  <si>
    <t>FtrDrumSet_Remake_0_3</t>
  </si>
  <si>
    <t>Library Walls</t>
  </si>
  <si>
    <t>RoomTexWallLibrary00</t>
  </si>
  <si>
    <t>colorful puzzle wall</t>
  </si>
  <si>
    <t>FtrMicrowave_Remake_0_0</t>
  </si>
  <si>
    <t>FtrDrumSet_Remake_0_4</t>
  </si>
  <si>
    <t>Puzzle Walls</t>
  </si>
  <si>
    <t>Vintage logo</t>
  </si>
  <si>
    <t>RoomTexWallPuzzle01</t>
  </si>
  <si>
    <t>colorful-tile wall</t>
  </si>
  <si>
    <t>FtrMicrowave_Remake_1_0</t>
  </si>
  <si>
    <t>FtrDrumSet_Remake_0_5</t>
  </si>
  <si>
    <t>Cosmo black</t>
  </si>
  <si>
    <t>RoomTexWallTile02</t>
  </si>
  <si>
    <t>common wall</t>
  </si>
  <si>
    <t>FtrMicrowave_Remake_2_0</t>
  </si>
  <si>
    <t>FtrDrumSet_Remake_1_0</t>
  </si>
  <si>
    <t>Stone Walls</t>
  </si>
  <si>
    <t>RoomTexWallCommon00</t>
  </si>
  <si>
    <t>concrete wall</t>
  </si>
  <si>
    <t>FtrMicrowave_Remake_3_0</t>
  </si>
  <si>
    <t>migratory locust model</t>
  </si>
  <si>
    <t>FtrDrumSet_Remake_1_1</t>
  </si>
  <si>
    <t>RoomTexWallConcrete00</t>
  </si>
  <si>
    <t>construction-site wall</t>
  </si>
  <si>
    <t>FtrDrumSet_Remake_1_2</t>
  </si>
  <si>
    <t>FtrInsectTonosamabattaToy</t>
  </si>
  <si>
    <t>RoomTexWallBlueSheet00</t>
  </si>
  <si>
    <t>crepe-design wall</t>
  </si>
  <si>
    <t>mini-cactus set</t>
  </si>
  <si>
    <t>FtrDrumSet_Remake_1_3</t>
  </si>
  <si>
    <t>RoomTexWallCrepe00</t>
  </si>
  <si>
    <t>cute blue wall</t>
  </si>
  <si>
    <t>FtrCactusesMini</t>
  </si>
  <si>
    <t>mitten crab model</t>
  </si>
  <si>
    <t>FtrDrumSet_Remake_1_4</t>
  </si>
  <si>
    <t>Cute Walls</t>
  </si>
  <si>
    <t>RoomTexWallCute02</t>
  </si>
  <si>
    <t>cute red wall</t>
  </si>
  <si>
    <t>FtrFishSyanhaiganiToy</t>
  </si>
  <si>
    <t>mixer</t>
  </si>
  <si>
    <t>Tomatoes</t>
  </si>
  <si>
    <t>RoomTexWallCute01</t>
  </si>
  <si>
    <t>cute white wall</t>
  </si>
  <si>
    <t>FtrDrumSet_Remake_1_5</t>
  </si>
  <si>
    <t>FtrMixer_Remake_0_0</t>
  </si>
  <si>
    <t>RoomTexWallCute00</t>
  </si>
  <si>
    <t>Green smoothie</t>
  </si>
  <si>
    <t>cute yellow wall</t>
  </si>
  <si>
    <t>Pearl white</t>
  </si>
  <si>
    <t>FtrDrumSet_Remake_2_0</t>
  </si>
  <si>
    <t>RoomTexWallCute03</t>
  </si>
  <si>
    <t>dark wooden-mosaic wall</t>
  </si>
  <si>
    <t>FtrMixer_Remake_1_0</t>
  </si>
  <si>
    <t>FtrDrumSet_Remake_2_1</t>
  </si>
  <si>
    <t>Wood Plank Walls</t>
  </si>
  <si>
    <t>Carrots</t>
  </si>
  <si>
    <t>RoomTexWallMixPlankWood01</t>
  </si>
  <si>
    <t>dark-chocolate wall</t>
  </si>
  <si>
    <t>FtrDrumSet_Remake_2_2</t>
  </si>
  <si>
    <t>Chocolate</t>
  </si>
  <si>
    <t>RoomTexWallChocolate00</t>
  </si>
  <si>
    <t>FtrMixer_Remake_2_0</t>
  </si>
  <si>
    <t>desert vista</t>
  </si>
  <si>
    <t>FtrDrumSet_Remake_2_3</t>
  </si>
  <si>
    <t>RoomSpWallDesert00</t>
  </si>
  <si>
    <t>FtrMixer_Remake_3_0</t>
  </si>
  <si>
    <t>dig-site wall</t>
  </si>
  <si>
    <t>Blueberries</t>
  </si>
  <si>
    <t>FtrDrumSet_Remake_2_4</t>
  </si>
  <si>
    <t>RoomTexWallStratum00</t>
  </si>
  <si>
    <t>dirt-clod wall</t>
  </si>
  <si>
    <t>FtrMixer_Remake_4_0</t>
  </si>
  <si>
    <t>FtrDrumSet_Remake_2_5</t>
  </si>
  <si>
    <t>Bananas</t>
  </si>
  <si>
    <t>RoomTexWallOldSoil00</t>
  </si>
  <si>
    <t>dojo wall</t>
  </si>
  <si>
    <t>FtrMixer_Remake_5_0</t>
  </si>
  <si>
    <t>Strawberries</t>
  </si>
  <si>
    <t>FtrDrumSet_Remake_3_0</t>
  </si>
  <si>
    <t>RoomTexWallBaseboards00</t>
  </si>
  <si>
    <t>dungeon wall</t>
  </si>
  <si>
    <t>FtrMixer_Remake_6_0</t>
  </si>
  <si>
    <t>FtrDrumSet_Remake_3_1</t>
  </si>
  <si>
    <t>Special Inorganic Walls</t>
  </si>
  <si>
    <t>RoomSpWallJail00</t>
  </si>
  <si>
    <t>exquisite wall</t>
  </si>
  <si>
    <t>RoomTexWallChina00</t>
  </si>
  <si>
    <t>forest wall</t>
  </si>
  <si>
    <t>FtrMixer_Remake_7_0</t>
  </si>
  <si>
    <t>miyama stag model</t>
  </si>
  <si>
    <t>FtrDrumSet_Remake_3_2</t>
  </si>
  <si>
    <t>RoomTexWallMushForest00</t>
  </si>
  <si>
    <t>future-tech wall</t>
  </si>
  <si>
    <t>FtrInsectMiyamakuwagataToy</t>
  </si>
  <si>
    <t>modeling clay</t>
  </si>
  <si>
    <t>FtrDrumSet_Remake_3_3</t>
  </si>
  <si>
    <t>RoomSpWallTechnology00</t>
  </si>
  <si>
    <t>Beginning stages</t>
  </si>
  <si>
    <t>Creation</t>
  </si>
  <si>
    <t>garbage-heap wall</t>
  </si>
  <si>
    <t>FtrClaytoy_Remake_0_0</t>
  </si>
  <si>
    <t>FtrDrumSet_Remake_3_4</t>
  </si>
  <si>
    <t>RoomTexWallGarbage00</t>
  </si>
  <si>
    <t>gold-screen wall</t>
  </si>
  <si>
    <t>Dinosaur</t>
  </si>
  <si>
    <t>FtrClaytoy_Remake_1_0</t>
  </si>
  <si>
    <t>FtrDrumSet_Remake_3_5</t>
  </si>
  <si>
    <t>RoomTexWallFusumaGorgeous00</t>
  </si>
  <si>
    <t>golden wall</t>
  </si>
  <si>
    <t>Cake</t>
  </si>
  <si>
    <t>FtrDrumSet_Remake_4_0</t>
  </si>
  <si>
    <t>FtrClaytoy_Remake_2_0</t>
  </si>
  <si>
    <t>RoomTexWallGold00</t>
  </si>
  <si>
    <t>gray diner wall</t>
  </si>
  <si>
    <t>Colorful dinosaur</t>
  </si>
  <si>
    <t>FtrDrumSet_Remake_4_1</t>
  </si>
  <si>
    <t>RoomTexWallDiner02</t>
  </si>
  <si>
    <t>FtrClaytoy_Remake_3_0</t>
  </si>
  <si>
    <t>gray molded-panel wall</t>
  </si>
  <si>
    <t>Colorful cake</t>
  </si>
  <si>
    <t>FtrDrumSet_Remake_4_2</t>
  </si>
  <si>
    <t>RoomTexWallPanelMold02</t>
  </si>
  <si>
    <t>gray shanty wall</t>
  </si>
  <si>
    <t>FtrClaytoy_Remake_4_0</t>
  </si>
  <si>
    <t>Clay dinosaur</t>
  </si>
  <si>
    <t>RoomTexWallTin00</t>
  </si>
  <si>
    <t>FtrDrumSet_Remake_4_3</t>
  </si>
  <si>
    <t>gray-striped wall</t>
  </si>
  <si>
    <t>FtrClaytoy_Remake_5_0</t>
  </si>
  <si>
    <t>Clay cake</t>
  </si>
  <si>
    <t>RoomTexWallStripe02</t>
  </si>
  <si>
    <t>FtrDrumSet_Remake_4_4</t>
  </si>
  <si>
    <t>green blossoming wall</t>
  </si>
  <si>
    <t>FtrClaytoy_Remake_6_0</t>
  </si>
  <si>
    <t>mole cricket model</t>
  </si>
  <si>
    <t>Light Wood</t>
  </si>
  <si>
    <t>Green Checkered</t>
  </si>
  <si>
    <t>RoomTexWallCountry03</t>
  </si>
  <si>
    <t>green delicate-blooms wall</t>
  </si>
  <si>
    <t>FtrDrumSet_Remake_4_5</t>
  </si>
  <si>
    <t>FtrInsectOkeraToy</t>
  </si>
  <si>
    <t>Mom's candle set</t>
  </si>
  <si>
    <t>Cubes</t>
  </si>
  <si>
    <t>Rose pink</t>
  </si>
  <si>
    <t>RoomTexWallManor02</t>
  </si>
  <si>
    <t>green flower-print wall</t>
  </si>
  <si>
    <t>FtrDrumSet_Remake_5_0</t>
  </si>
  <si>
    <t>FtrMomCandle_Remake_0_0</t>
  </si>
  <si>
    <t>RoomTexWallFlower01</t>
  </si>
  <si>
    <t>Elegant flowers</t>
  </si>
  <si>
    <t>green honeycomb-tile wall</t>
  </si>
  <si>
    <t>FtrDrumSet_Remake_5_1</t>
  </si>
  <si>
    <t>FtrMomCandle_Remake_1_0</t>
  </si>
  <si>
    <t>RoomTexWallHoneycomb02</t>
  </si>
  <si>
    <t>green intricate wall</t>
  </si>
  <si>
    <t>Chic flowers</t>
  </si>
  <si>
    <t>FtrMomCandle_Remake_2_0</t>
  </si>
  <si>
    <t>FtrDrumSet_Remake_5_2</t>
  </si>
  <si>
    <t>RoomTexWallFlowerPop02</t>
  </si>
  <si>
    <t>green molded-panel wall</t>
  </si>
  <si>
    <t>RoomTexWallPanelMold03</t>
  </si>
  <si>
    <t>FtrDrumSet_Remake_5_3</t>
  </si>
  <si>
    <t>green painted-wood wall</t>
  </si>
  <si>
    <t>FtrMomCandle_Remake_3_0</t>
  </si>
  <si>
    <t>FtrDrumSet_Remake_5_4</t>
  </si>
  <si>
    <t>RoomTexWallPaintWood01</t>
  </si>
  <si>
    <t>green playroom wall</t>
  </si>
  <si>
    <t>FtrMomCandle_Remake_4_0</t>
  </si>
  <si>
    <t>FtrDrumSet_Remake_5_5</t>
  </si>
  <si>
    <t>RoomTexWallToy02</t>
  </si>
  <si>
    <t>green-paint wall</t>
  </si>
  <si>
    <t>Evergreen</t>
  </si>
  <si>
    <t>FtrMomCandle_Remake_5_0</t>
  </si>
  <si>
    <t>Mom's cushion</t>
  </si>
  <si>
    <t>Red with hearts</t>
  </si>
  <si>
    <t>Cover pattern</t>
  </si>
  <si>
    <t>FtrDrumSet_Remake_6_0</t>
  </si>
  <si>
    <t>RoomTexWallStucco04</t>
  </si>
  <si>
    <t>groovy wall</t>
  </si>
  <si>
    <t>FtrMomCushion_Remake_0_0</t>
  </si>
  <si>
    <t>Blue with flowers</t>
  </si>
  <si>
    <t>RoomTexWallPsyche00</t>
  </si>
  <si>
    <t>FtrDrumSet_Remake_6_1</t>
  </si>
  <si>
    <t>harmonious wall</t>
  </si>
  <si>
    <t>FtrMomCushion_Remake_1_0</t>
  </si>
  <si>
    <t>Colorful quilt</t>
  </si>
  <si>
    <t>RoomTexWallOriental00</t>
  </si>
  <si>
    <t>heavy-curtain wall</t>
  </si>
  <si>
    <t>FtrDrumSet_Remake_6_2</t>
  </si>
  <si>
    <t>FtrMomCushion_Remake_2_0</t>
  </si>
  <si>
    <t>Pop flowers</t>
  </si>
  <si>
    <t>RoomTexWallThickCurtain00</t>
  </si>
  <si>
    <t>honeycomb wall</t>
  </si>
  <si>
    <t>FtrDrumSet_Remake_6_3</t>
  </si>
  <si>
    <t>FtrMomCushion_Remake_3_0</t>
  </si>
  <si>
    <t>RoomTexWallHoney00</t>
  </si>
  <si>
    <t>honeycomb-tile wall</t>
  </si>
  <si>
    <t>FtrDrumSet_Remake_6_4</t>
  </si>
  <si>
    <t>RoomTexWallHoneycomb00</t>
  </si>
  <si>
    <t>ice wall</t>
  </si>
  <si>
    <t>FtrDrumSet_Remake_6_5</t>
  </si>
  <si>
    <t>FtrMomCushion_Remake_4_0</t>
  </si>
  <si>
    <t>Black &amp; white</t>
  </si>
  <si>
    <t>Denim</t>
  </si>
  <si>
    <t>RoomSpWallIce00</t>
  </si>
  <si>
    <t>iceberg wall</t>
  </si>
  <si>
    <t>FtrDrumSet_Remake_7_0</t>
  </si>
  <si>
    <t>FtrMomCushion_Remake_5_0</t>
  </si>
  <si>
    <t>Mom's homemade cake</t>
  </si>
  <si>
    <t>Cat</t>
  </si>
  <si>
    <t>Decorations</t>
  </si>
  <si>
    <t>RoomTexWallIceFloe00</t>
  </si>
  <si>
    <t>imperial wall</t>
  </si>
  <si>
    <t>FtrDrumSet_Remake_7_1</t>
  </si>
  <si>
    <t>FtrMomCake_Remake_0_0</t>
  </si>
  <si>
    <t>RoomTexWallDynasty00</t>
  </si>
  <si>
    <t>industrial wall</t>
  </si>
  <si>
    <t>Strawberry &amp; flowers</t>
  </si>
  <si>
    <t>FtrDrumSet_Remake_7_2</t>
  </si>
  <si>
    <t>FtrMomCake_Remake_1_0</t>
  </si>
  <si>
    <t>RoomTexWallFactory00</t>
  </si>
  <si>
    <t>ivy wall</t>
  </si>
  <si>
    <t>FtrDrumSet_Remake_7_3</t>
  </si>
  <si>
    <t>FtrMomCake_Remake_2_0</t>
  </si>
  <si>
    <t>RoomTexWallIvy00</t>
  </si>
  <si>
    <t>Jingle wall</t>
  </si>
  <si>
    <t>FtrDrumSet_Remake_7_4</t>
  </si>
  <si>
    <t>RoomSpWallXmas00</t>
  </si>
  <si>
    <t>FtrMomCake_Remake_3_0</t>
  </si>
  <si>
    <t>jungle wall</t>
  </si>
  <si>
    <t>RoomTexWallJungle00</t>
  </si>
  <si>
    <t>FtrDrumSet_Remake_7_5</t>
  </si>
  <si>
    <t>kisses wall</t>
  </si>
  <si>
    <t>drying rack</t>
  </si>
  <si>
    <t>FtrMomCake_Remake_4_0</t>
  </si>
  <si>
    <t>RoomTexWallKiss00</t>
  </si>
  <si>
    <t>laboratory wall</t>
  </si>
  <si>
    <t>FtrClothesstand_Remake_0_0</t>
  </si>
  <si>
    <t>FtrMomCake_Remake_5_0</t>
  </si>
  <si>
    <t>Mom's pen stand</t>
  </si>
  <si>
    <t>Striped house</t>
  </si>
  <si>
    <t>RoomSpWallLabo00</t>
  </si>
  <si>
    <t>lattice wall</t>
  </si>
  <si>
    <t>FtrClothesstand_Remake_1_0</t>
  </si>
  <si>
    <t>FtrMomPenstand_Remake_0_0</t>
  </si>
  <si>
    <t>RoomTexWallLattice00</t>
  </si>
  <si>
    <t>magma-cavern wall</t>
  </si>
  <si>
    <t>Stone house</t>
  </si>
  <si>
    <t>FtrClothesstand_Remake_2_0</t>
  </si>
  <si>
    <t>RoomSpWallVolcano00</t>
  </si>
  <si>
    <t>manga-library wall</t>
  </si>
  <si>
    <t>FtrMomPenstand_Remake_1_0</t>
  </si>
  <si>
    <t>Brick house</t>
  </si>
  <si>
    <t>FtrClothesstand_Remake_3_0</t>
  </si>
  <si>
    <t>effects rack</t>
  </si>
  <si>
    <t>RoomTexWallLibrary01</t>
  </si>
  <si>
    <t>mangrove wall</t>
  </si>
  <si>
    <t>Sticker area</t>
  </si>
  <si>
    <t>FtrMomPenstand_Remake_2_0</t>
  </si>
  <si>
    <t>Fairy-tale house</t>
  </si>
  <si>
    <t>FtrEffectorrack_Remake_0_0</t>
  </si>
  <si>
    <t>RoomTexWallMangrove00</t>
  </si>
  <si>
    <t>marine pop wall</t>
  </si>
  <si>
    <t>FtrMomPenstand_Remake_3_0</t>
  </si>
  <si>
    <t>Simple house</t>
  </si>
  <si>
    <t>FtrEffectorrack_Remake_0_1</t>
  </si>
  <si>
    <t>RoomTexWallFish00</t>
  </si>
  <si>
    <t>meadow vista</t>
  </si>
  <si>
    <t>FtrMomPenstand_Remake_4_0</t>
  </si>
  <si>
    <t>Wood house</t>
  </si>
  <si>
    <t>RoomSpWallHighLands00</t>
  </si>
  <si>
    <t>misty-garden wall</t>
  </si>
  <si>
    <t>FtrEffectorrack_Remake_0_2</t>
  </si>
  <si>
    <t>FtrMomPenstand_Remake_5_0</t>
  </si>
  <si>
    <t>Mom's plushie</t>
  </si>
  <si>
    <t>Bedford</t>
  </si>
  <si>
    <t>RoomSpWallRain00</t>
  </si>
  <si>
    <t>mod wall</t>
  </si>
  <si>
    <t>FtrEffectorrack_Remake_0_3</t>
  </si>
  <si>
    <t>FtrMomDoll_Remake_0_0</t>
  </si>
  <si>
    <t>RoomTexWallMod00</t>
  </si>
  <si>
    <t>Dot</t>
  </si>
  <si>
    <t>modern shoji-screen wall</t>
  </si>
  <si>
    <t>FtrEffectorrack_Remake_0_4</t>
  </si>
  <si>
    <t>FtrMomDoll_Remake_1_0</t>
  </si>
  <si>
    <t>RoomSpWallShojiModem00</t>
  </si>
  <si>
    <t>modern tearoom wall</t>
  </si>
  <si>
    <t>Puppers</t>
  </si>
  <si>
    <t>RoomTexWallMud02</t>
  </si>
  <si>
    <t>modern wood wall</t>
  </si>
  <si>
    <t>FtrEffectorrack_Remake_0_5</t>
  </si>
  <si>
    <t>FtrMomDoll_Remake_2_0</t>
  </si>
  <si>
    <t>RoomTexWallMixwood00</t>
  </si>
  <si>
    <t>monochromatic dotted wall</t>
  </si>
  <si>
    <t>Pippa</t>
  </si>
  <si>
    <t>FtrEffectorrack_Remake_0_6</t>
  </si>
  <si>
    <t>RoomTexWallDot00</t>
  </si>
  <si>
    <t>monochromatic-tile wall</t>
  </si>
  <si>
    <t>FtrMomDoll_Remake_3_0</t>
  </si>
  <si>
    <t>FtrEffectorrack_Remake_0_7</t>
  </si>
  <si>
    <t>RoomTexWallTile00</t>
  </si>
  <si>
    <t>Gertie</t>
  </si>
  <si>
    <t>mortar wall</t>
  </si>
  <si>
    <t>FtrMomDoll_Remake_4_0</t>
  </si>
  <si>
    <t>FtrEffectorrack_Remake_1_0</t>
  </si>
  <si>
    <t>RoomTexWallPlaster00</t>
  </si>
  <si>
    <t>mosaic-tile wall</t>
  </si>
  <si>
    <t>Roary</t>
  </si>
  <si>
    <t>FtrMomDoll_Remake_5_0</t>
  </si>
  <si>
    <t>RoomTexWallMosaicTile00</t>
  </si>
  <si>
    <t>Mom's tea cozy</t>
  </si>
  <si>
    <t>mossy-garden wall</t>
  </si>
  <si>
    <t>Patterned</t>
  </si>
  <si>
    <t>FtrEffectorrack_Remake_1_1</t>
  </si>
  <si>
    <t>RoomTexWallMoss00</t>
  </si>
  <si>
    <t>FtrMomPot_Remake_0_0</t>
  </si>
  <si>
    <t>mush wall</t>
  </si>
  <si>
    <t>Green &amp; white</t>
  </si>
  <si>
    <t>FtrEffectorrack_Remake_1_2</t>
  </si>
  <si>
    <t>RoomTexWallMush00</t>
  </si>
  <si>
    <t>Nook Inc. wall</t>
  </si>
  <si>
    <t>FtrMomPot_Remake_1_0</t>
  </si>
  <si>
    <t>FtrEffectorrack_Remake_1_3</t>
  </si>
  <si>
    <t>RoomTexWallFirst00</t>
  </si>
  <si>
    <t>ocean-horizon wall</t>
  </si>
  <si>
    <t>FtrMomPot_Remake_2_0</t>
  </si>
  <si>
    <t>FtrEffectorrack_Remake_1_4</t>
  </si>
  <si>
    <t>RoomSpWallHorizon00</t>
  </si>
  <si>
    <t>office wall</t>
  </si>
  <si>
    <t>FtrMomPot_Remake_3_0</t>
  </si>
  <si>
    <t>FtrEffectorrack_Remake_1_5</t>
  </si>
  <si>
    <t>Blue cat</t>
  </si>
  <si>
    <t>RoomTexWallOffice00</t>
  </si>
  <si>
    <t>old wallpaper</t>
  </si>
  <si>
    <t>FtrMomPot_Remake_4_0</t>
  </si>
  <si>
    <t>FtrEffectorrack_Remake_1_6</t>
  </si>
  <si>
    <t>Blue &amp; gray</t>
  </si>
  <si>
    <t>RoomTexWallOld00</t>
  </si>
  <si>
    <t>olive desert-tile wall</t>
  </si>
  <si>
    <t>FtrMomPot_Remake_5_0</t>
  </si>
  <si>
    <t>Mom's tissue box</t>
  </si>
  <si>
    <t>FtrEffectorrack_Remake_1_7</t>
  </si>
  <si>
    <t>Quilted pattern</t>
  </si>
  <si>
    <t>RoomTexWallMorocco03</t>
  </si>
  <si>
    <t>orange camo wall</t>
  </si>
  <si>
    <t>RoomTexWallCamouflage03</t>
  </si>
  <si>
    <t>FtrEffectorrack_Remake_2_0</t>
  </si>
  <si>
    <t>orange molded-panel wall</t>
  </si>
  <si>
    <t>FtrMomTissue_Remake_0_0</t>
  </si>
  <si>
    <t>FtrEffectorrack_Remake_2_1</t>
  </si>
  <si>
    <t>RoomTexWallPanelMold00</t>
  </si>
  <si>
    <t>orange wall</t>
  </si>
  <si>
    <t>FtrMomTissue_Remake_1_0</t>
  </si>
  <si>
    <t>FtrEffectorrack_Remake_2_2</t>
  </si>
  <si>
    <t>Quilted animals</t>
  </si>
  <si>
    <t>RoomTexWallOrange00</t>
  </si>
  <si>
    <t>orange-paint wall</t>
  </si>
  <si>
    <t>FtrMomTissue_Remake_2_0</t>
  </si>
  <si>
    <t>FtrEffectorrack_Remake_2_3</t>
  </si>
  <si>
    <t>Fanciful quilted pattern</t>
  </si>
  <si>
    <t>RoomTexWallStucco01</t>
  </si>
  <si>
    <t>paintball wall</t>
  </si>
  <si>
    <t>FtrEffectorrack_Remake_2_4</t>
  </si>
  <si>
    <t>FtrMomTissue_Remake_3_0</t>
  </si>
  <si>
    <t>Aluminium</t>
  </si>
  <si>
    <t>RoomTexWallAtelier00</t>
  </si>
  <si>
    <t>palace wall</t>
  </si>
  <si>
    <t>FtrEffectorrack_Remake_2_5</t>
  </si>
  <si>
    <t>FtrMomTissue_Remake_4_0</t>
  </si>
  <si>
    <t>RoomSpWallPalace00</t>
  </si>
  <si>
    <t>party wall</t>
  </si>
  <si>
    <t>Denim with stripes</t>
  </si>
  <si>
    <t>FtrEffectorrack_Remake_2_6</t>
  </si>
  <si>
    <t>FtrMomTissue_Remake_5_0</t>
  </si>
  <si>
    <t>RoomTexWallParty00</t>
  </si>
  <si>
    <t>monarch butterfly model</t>
  </si>
  <si>
    <t>pastel dotted wall</t>
  </si>
  <si>
    <t>FtrEffectorrack_Remake_2_7</t>
  </si>
  <si>
    <t>RoomTexWallDot01</t>
  </si>
  <si>
    <t>pastel puzzle wall</t>
  </si>
  <si>
    <t>FtrInsectOhkabamadaraToy</t>
  </si>
  <si>
    <t>moray eel model</t>
  </si>
  <si>
    <t>FtrEffectorrack_Remake_3_0</t>
  </si>
  <si>
    <t>RoomTexWallPuzzle00</t>
  </si>
  <si>
    <t>peach two-toned tile wall</t>
  </si>
  <si>
    <t>FtrFishUtsuboToy</t>
  </si>
  <si>
    <t>mosquito model</t>
  </si>
  <si>
    <t>RoomTexWallTwoToneTile04</t>
  </si>
  <si>
    <t>peach wall</t>
  </si>
  <si>
    <t>FtrEffectorrack_Remake_3_1</t>
  </si>
  <si>
    <t>RoomTexWallPeach00</t>
  </si>
  <si>
    <t>FtrInsectKaToy</t>
  </si>
  <si>
    <t>pear wall</t>
  </si>
  <si>
    <t>moss ball</t>
  </si>
  <si>
    <t>FtrEffectorrack_Remake_3_2</t>
  </si>
  <si>
    <t>RoomTexWallPear00</t>
  </si>
  <si>
    <t>perforated-board wall</t>
  </si>
  <si>
    <t>FtrBonsaiKokedama</t>
  </si>
  <si>
    <t>moth model</t>
  </si>
  <si>
    <t>RoomTexWallPegboard01</t>
  </si>
  <si>
    <t>pink blossoming wall</t>
  </si>
  <si>
    <t>FtrEffectorrack_Remake_3_3</t>
  </si>
  <si>
    <t>FtrInsectGaToy</t>
  </si>
  <si>
    <t>mug</t>
  </si>
  <si>
    <t>RoomTexWallCountry01</t>
  </si>
  <si>
    <t>pink diner wall</t>
  </si>
  <si>
    <t>FtrEffectorrack_Remake_3_4</t>
  </si>
  <si>
    <t>FtrMug_Remake_0_0</t>
  </si>
  <si>
    <t>RoomTexWallDiner01</t>
  </si>
  <si>
    <t>pink flower-print wall</t>
  </si>
  <si>
    <t>Square logo</t>
  </si>
  <si>
    <t>FtrEffectorrack_Remake_3_5</t>
  </si>
  <si>
    <t>FtrMug_Remake_0_1</t>
  </si>
  <si>
    <t>RoomTexWallFlower00</t>
  </si>
  <si>
    <t>pink heart-pattern wall</t>
  </si>
  <si>
    <t>Round logo</t>
  </si>
  <si>
    <t>FtrEffectorrack_Remake_3_6</t>
  </si>
  <si>
    <t>RoomTexWallHeart01</t>
  </si>
  <si>
    <t>pink painted-wood wall</t>
  </si>
  <si>
    <t>FtrMug_Remake_0_2</t>
  </si>
  <si>
    <t>FtrEffectorrack_Remake_3_7</t>
  </si>
  <si>
    <t>RoomTexWallPaintWood02</t>
  </si>
  <si>
    <t>pink playroom wall</t>
  </si>
  <si>
    <t>FtrMug_Remake_0_3</t>
  </si>
  <si>
    <t>FtrEffectorrack_Remake_4_0</t>
  </si>
  <si>
    <t>RoomTexWallToy01</t>
  </si>
  <si>
    <t>pink quilt wall</t>
  </si>
  <si>
    <t>FtrMug_Remake_0_4</t>
  </si>
  <si>
    <t>FtrEffectorrack_Remake_4_1</t>
  </si>
  <si>
    <t>Cheese</t>
  </si>
  <si>
    <t>RoomTexWallDollhouse00</t>
  </si>
  <si>
    <t>pink shanty wall</t>
  </si>
  <si>
    <t>FtrMug_Remake_0_5</t>
  </si>
  <si>
    <t>FtrEffectorrack_Remake_4_2</t>
  </si>
  <si>
    <t>RoomTexWallTin01</t>
  </si>
  <si>
    <t>pink simple-cloth wall</t>
  </si>
  <si>
    <t>FtrEffectorrack_Remake_4_3</t>
  </si>
  <si>
    <t>FtrMug_Remake_1_0</t>
  </si>
  <si>
    <t>RoomTexWallSimple02</t>
  </si>
  <si>
    <t>pink-crown wall</t>
  </si>
  <si>
    <t>FtrEffectorrack_Remake_4_4</t>
  </si>
  <si>
    <t>FtrMug_Remake_1_1</t>
  </si>
  <si>
    <t>RoomTexWallCrown02</t>
  </si>
  <si>
    <t>pink-striped wall</t>
  </si>
  <si>
    <t>FtrEffectorrack_Remake_4_5</t>
  </si>
  <si>
    <t>FtrMug_Remake_1_2</t>
  </si>
  <si>
    <t>FtrEffectorrack_Remake_4_6</t>
  </si>
  <si>
    <t>RoomTexWallStripe01</t>
  </si>
  <si>
    <t>purple camo wall</t>
  </si>
  <si>
    <t>FtrEffectorrack_Remake_4_7</t>
  </si>
  <si>
    <t>RoomTexWallCamouflage02</t>
  </si>
  <si>
    <t>FtrMug_Remake_1_3</t>
  </si>
  <si>
    <t>purple desert-tile wall</t>
  </si>
  <si>
    <t>FtrEffectorrack_Remake_5_0</t>
  </si>
  <si>
    <t>RoomTexWallMorocco02</t>
  </si>
  <si>
    <t>purple dotted wall</t>
  </si>
  <si>
    <t>FtrEffectorrack_Remake_5_1</t>
  </si>
  <si>
    <t>FtrMug_Remake_1_4</t>
  </si>
  <si>
    <t>RoomTexWallDot04</t>
  </si>
  <si>
    <t>purple puzzle wall</t>
  </si>
  <si>
    <t>FtrEffectorrack_Remake_5_2</t>
  </si>
  <si>
    <t>FtrMug_Remake_1_5</t>
  </si>
  <si>
    <t>RoomTexWallPuzzle03</t>
  </si>
  <si>
    <t>purple quilt wall</t>
  </si>
  <si>
    <t>FtrEffectorrack_Remake_5_3</t>
  </si>
  <si>
    <t>FtrMug_Remake_2_0</t>
  </si>
  <si>
    <t>RoomTexWallDollhouse03</t>
  </si>
  <si>
    <t>purple-rose wall</t>
  </si>
  <si>
    <t>FtrEffectorrack_Remake_5_4</t>
  </si>
  <si>
    <t>FtrMug_Remake_2_1</t>
  </si>
  <si>
    <t>RoomTexWallRose01</t>
  </si>
  <si>
    <t>rammed-earth wall</t>
  </si>
  <si>
    <t>FtrEffectorrack_Remake_5_5</t>
  </si>
  <si>
    <t>FtrMug_Remake_2_2</t>
  </si>
  <si>
    <t>RoomTexWallHanchiku00</t>
  </si>
  <si>
    <t>ramshackle wall</t>
  </si>
  <si>
    <t>FtrEffectorrack_Remake_5_6</t>
  </si>
  <si>
    <t>RoomTexWallRuins00</t>
  </si>
  <si>
    <t>red art-deco wall</t>
  </si>
  <si>
    <t>FtrEffectorrack_Remake_5_7</t>
  </si>
  <si>
    <t>FtrMug_Remake_2_3</t>
  </si>
  <si>
    <t>elaborate kimono stand</t>
  </si>
  <si>
    <t>Cranes</t>
  </si>
  <si>
    <t>RoomTexWallArtDeco01</t>
  </si>
  <si>
    <t>red delicate-blooms wall</t>
  </si>
  <si>
    <t>FtrKimonostandRich_Remake_0_0</t>
  </si>
  <si>
    <t>FtrMug_Remake_2_4</t>
  </si>
  <si>
    <t>Tree peonies</t>
  </si>
  <si>
    <t>RoomTexWallManor01</t>
  </si>
  <si>
    <t>red dotted wall</t>
  </si>
  <si>
    <t>FtrKimonostandRich_Remake_1_0</t>
  </si>
  <si>
    <t>FtrMug_Remake_2_5</t>
  </si>
  <si>
    <t>Wisteria</t>
  </si>
  <si>
    <t>RoomTexWallDot02</t>
  </si>
  <si>
    <t>red heart-pattern wall</t>
  </si>
  <si>
    <t>FtrKimonostandRich_Remake_2_0</t>
  </si>
  <si>
    <t>FtrMug_Remake_3_0</t>
  </si>
  <si>
    <t>Balls</t>
  </si>
  <si>
    <t>RoomTexWallHeart03</t>
  </si>
  <si>
    <t>red intricate wall</t>
  </si>
  <si>
    <t>FtrMug_Remake_3_1</t>
  </si>
  <si>
    <t>RoomTexWallFlowerPop03</t>
  </si>
  <si>
    <t>red perforated-board wall</t>
  </si>
  <si>
    <t>FtrKimonostandRich_Remake_3_0</t>
  </si>
  <si>
    <t>Hawk</t>
  </si>
  <si>
    <t>FtrMug_Remake_3_2</t>
  </si>
  <si>
    <t>RoomTexWallPegboard03</t>
  </si>
  <si>
    <t>red two-toned tile wall</t>
  </si>
  <si>
    <t>FtrKimonostandRich_Remake_4_0</t>
  </si>
  <si>
    <t>electric bass</t>
  </si>
  <si>
    <t>Chic white</t>
  </si>
  <si>
    <t>RoomTexWallTwoToneTile03</t>
  </si>
  <si>
    <t>red-brick wall</t>
  </si>
  <si>
    <t>FtrMug_Remake_3_3</t>
  </si>
  <si>
    <t>FtrElectricbass_Remake_0_0</t>
  </si>
  <si>
    <t>RoomTexWallBrick01</t>
  </si>
  <si>
    <t>retro flower-print wall</t>
  </si>
  <si>
    <t>FtrMug_Remake_3_4</t>
  </si>
  <si>
    <t>FtrElectricbass_Remake_1_0</t>
  </si>
  <si>
    <t>Sunburst</t>
  </si>
  <si>
    <t>FtrMug_Remake_3_5</t>
  </si>
  <si>
    <t>RoomTexWallKitsch00</t>
  </si>
  <si>
    <t>rice-paddy wall</t>
  </si>
  <si>
    <t>FtrElectricbass_Remake_2_0</t>
  </si>
  <si>
    <t>RoomSpWallFarm00</t>
  </si>
  <si>
    <t>ringside seating</t>
  </si>
  <si>
    <t>FtrMug_Remake_4_0</t>
  </si>
  <si>
    <t>FtrElectricbass_Remake_3_0</t>
  </si>
  <si>
    <t>RoomSpWallWrestling00</t>
  </si>
  <si>
    <t>Deep ocean</t>
  </si>
  <si>
    <t>rock-climbing wall</t>
  </si>
  <si>
    <t>FtrElectricbass_Remake_4_0</t>
  </si>
  <si>
    <t>RoomTexWallBouldering00</t>
  </si>
  <si>
    <t>Ash green</t>
  </si>
  <si>
    <t>rose wall</t>
  </si>
  <si>
    <t>FtrMug_Remake_4_1</t>
  </si>
  <si>
    <t>FtrElectricbass_Remake_5_0</t>
  </si>
  <si>
    <t>RoomTexWallRose00</t>
  </si>
  <si>
    <t>Shocking pink</t>
  </si>
  <si>
    <t>ruins wall</t>
  </si>
  <si>
    <t>FtrElectricbass_Remake_6_0</t>
  </si>
  <si>
    <t>RoomTexWallRemains00</t>
  </si>
  <si>
    <t>Space silver</t>
  </si>
  <si>
    <t>rustic-stone wall</t>
  </si>
  <si>
    <t>FtrMug_Remake_4_2</t>
  </si>
  <si>
    <t>FtrElectricbass_Remake_7_0</t>
  </si>
  <si>
    <t>electric guitar</t>
  </si>
  <si>
    <t>Dark red</t>
  </si>
  <si>
    <t>RoomTexWallStone00</t>
  </si>
  <si>
    <t>sakura-wood wall</t>
  </si>
  <si>
    <t>FtrElectricguitar2_Remake_0_0</t>
  </si>
  <si>
    <t>FtrMug_Remake_4_3</t>
  </si>
  <si>
    <t>RoomTexWallSolidWood00</t>
  </si>
  <si>
    <t>sci-fi wall</t>
  </si>
  <si>
    <t>RoomSpWallSF00</t>
  </si>
  <si>
    <t>screen wall</t>
  </si>
  <si>
    <t>FtrElectricguitar2_Remake_0_1</t>
  </si>
  <si>
    <t>FtrMug_Remake_4_4</t>
  </si>
  <si>
    <t>RoomTexWallFusuma00</t>
  </si>
  <si>
    <t>sea view</t>
  </si>
  <si>
    <t>FtrElectricguitar2_Remake_0_2</t>
  </si>
  <si>
    <t>FtrMug_Remake_4_5</t>
  </si>
  <si>
    <t>RoomSpWallSeaView00</t>
  </si>
  <si>
    <t>security-monitors wall</t>
  </si>
  <si>
    <t>FtrElectricguitar2_Remake_0_3</t>
  </si>
  <si>
    <t>FtrMug_Remake_5_0</t>
  </si>
  <si>
    <t>RoomSpWallMonitor00</t>
  </si>
  <si>
    <t>sepia puzzle wall</t>
  </si>
  <si>
    <t>FtrElectricguitar2_Remake_0_4</t>
  </si>
  <si>
    <t>FtrMug_Remake_5_1</t>
  </si>
  <si>
    <t>RoomTexWallPuzzle02</t>
  </si>
  <si>
    <t>server-room wall</t>
  </si>
  <si>
    <t>FtrElectricguitar2_Remake_0_5</t>
  </si>
  <si>
    <t>RoomSpWallServer00</t>
  </si>
  <si>
    <t>shoji screen</t>
  </si>
  <si>
    <t>FtrMug_Remake_5_2</t>
  </si>
  <si>
    <t>FtrElectricguitar2_Remake_0_6</t>
  </si>
  <si>
    <t>RoomSpWallShoji00</t>
  </si>
  <si>
    <t>shutter wall</t>
  </si>
  <si>
    <t>FtrElectricguitar2_Remake_0_7</t>
  </si>
  <si>
    <t>FtrMug_Remake_5_3</t>
  </si>
  <si>
    <t>RoomTexWallShutter00</t>
  </si>
  <si>
    <t>ski-slope wall</t>
  </si>
  <si>
    <t>FtrElectricguitar2_Remake_1_0</t>
  </si>
  <si>
    <t>FtrMug_Remake_5_4</t>
  </si>
  <si>
    <t>FtrElectricguitar2_Remake_1_1</t>
  </si>
  <si>
    <t>RoomSpWallGelande00</t>
  </si>
  <si>
    <t>skull wall</t>
  </si>
  <si>
    <t>LightOff</t>
  </si>
  <si>
    <t>FtrMug_Remake_5_5</t>
  </si>
  <si>
    <t>FtrElectricguitar2_Remake_1_2</t>
  </si>
  <si>
    <t>RoomSpWallSkull00</t>
  </si>
  <si>
    <t>sky wall</t>
  </si>
  <si>
    <t>FtrMug_Remake_6_0</t>
  </si>
  <si>
    <t>FtrElectricguitar2_Remake_1_3</t>
  </si>
  <si>
    <t>RoomSpWallCloud00</t>
  </si>
  <si>
    <t>skyscraper wall</t>
  </si>
  <si>
    <t>FtrMug_Remake_6_1</t>
  </si>
  <si>
    <t>FtrElectricguitar2_Remake_1_4</t>
  </si>
  <si>
    <t>RoomTexWallSkyscraper00</t>
  </si>
  <si>
    <t>snowflake wall</t>
  </si>
  <si>
    <t>FtrElectricguitar2_Remake_1_5</t>
  </si>
  <si>
    <t>FtrMug_Remake_6_2</t>
  </si>
  <si>
    <t>RoomTexWallSnowCrystal00</t>
  </si>
  <si>
    <t>soothing tearoom wall</t>
  </si>
  <si>
    <t>FtrElectricguitar2_Remake_1_6</t>
  </si>
  <si>
    <t>RoomTexWallMud01</t>
  </si>
  <si>
    <t>stacked-wood wall</t>
  </si>
  <si>
    <t>FtrMug_Remake_6_3</t>
  </si>
  <si>
    <t>FtrElectricguitar2_Remake_1_7</t>
  </si>
  <si>
    <t>RoomTexWallFireWood00</t>
  </si>
  <si>
    <t>stadium wall</t>
  </si>
  <si>
    <t>FtrMug_Remake_6_4</t>
  </si>
  <si>
    <t>FtrElectricguitar2_Remake_2_0</t>
  </si>
  <si>
    <t>RoomSpWallStadium00</t>
  </si>
  <si>
    <t>standard tearoom wall</t>
  </si>
  <si>
    <t>FtrMug_Remake_6_5</t>
  </si>
  <si>
    <t>FtrElectricguitar2_Remake_2_1</t>
  </si>
  <si>
    <t>RoomTexWallMud00</t>
  </si>
  <si>
    <t>starry wall</t>
  </si>
  <si>
    <t>FtrMug_Remake_7_0</t>
  </si>
  <si>
    <t>FtrElectricguitar2_Remake_2_2</t>
  </si>
  <si>
    <t>RoomSpWallStarPrint00</t>
  </si>
  <si>
    <t>starry-sky wall</t>
  </si>
  <si>
    <t>FtrMug_Remake_7_1</t>
  </si>
  <si>
    <t>FtrElectricguitar2_Remake_2_3</t>
  </si>
  <si>
    <t>RoomSpWallStarSky00</t>
  </si>
  <si>
    <t>FtrMug_Remake_7_2</t>
  </si>
  <si>
    <t>stately wall</t>
  </si>
  <si>
    <t>FtrElectricguitar2_Remake_2_4</t>
  </si>
  <si>
    <t>FtrMug_Remake_7_3</t>
  </si>
  <si>
    <t>RoomTexWallRenaissance00</t>
  </si>
  <si>
    <t>steel-frame wall</t>
  </si>
  <si>
    <t>FtrElectricguitar2_Remake_2_5</t>
  </si>
  <si>
    <t>RoomTexWallSteel00</t>
  </si>
  <si>
    <t>FtrElectricguitar2_Remake_2_6</t>
  </si>
  <si>
    <t>stone wall</t>
  </si>
  <si>
    <t>FtrMug_Remake_7_4</t>
  </si>
  <si>
    <t>FtrElectricguitar2_Remake_2_7</t>
  </si>
  <si>
    <t>RoomTexWallBasement00</t>
  </si>
  <si>
    <t>stormy-night wall</t>
  </si>
  <si>
    <t>FtrMug_Remake_7_5</t>
  </si>
  <si>
    <t>nail-art set</t>
  </si>
  <si>
    <t>FtrElectricguitar2_Remake_3_0</t>
  </si>
  <si>
    <t>RoomSpWallThunder00</t>
  </si>
  <si>
    <t>straw wall</t>
  </si>
  <si>
    <t>FtrNailartset_Remake_0_0</t>
  </si>
  <si>
    <t>RoomTexWallStraw00</t>
  </si>
  <si>
    <t>strawberry-chocolate wall</t>
  </si>
  <si>
    <t>FtrNailartset_Remake_1_0</t>
  </si>
  <si>
    <t>FtrElectricguitar2_Remake_3_1</t>
  </si>
  <si>
    <t>Napoleonfish model</t>
  </si>
  <si>
    <t>RoomTexWallChocolate02</t>
  </si>
  <si>
    <t>street-art wall</t>
  </si>
  <si>
    <t>FtrFishNaporeonfishToy</t>
  </si>
  <si>
    <t>neon tetra model</t>
  </si>
  <si>
    <t>FtrElectricguitar2_Remake_3_2</t>
  </si>
  <si>
    <t>RoomTexWallStreetArt00</t>
  </si>
  <si>
    <t>summit wall</t>
  </si>
  <si>
    <t>FtrFishNeontetoraToy</t>
  </si>
  <si>
    <t>Newton's cradle</t>
  </si>
  <si>
    <t>RoomSpWallMountainTop00</t>
  </si>
  <si>
    <t>tree-lined wall</t>
  </si>
  <si>
    <t>FtrElectricguitar2_Remake_3_3</t>
  </si>
  <si>
    <t>FtrCradleNewton</t>
  </si>
  <si>
    <t>RoomTexWallRoadsideTree00</t>
  </si>
  <si>
    <t>nibble fish model</t>
  </si>
  <si>
    <t>tropical vista</t>
  </si>
  <si>
    <t>Summer seasonal DIY using summer shells (found on beach)</t>
  </si>
  <si>
    <t>FtrElectricguitar2_Remake_3_4</t>
  </si>
  <si>
    <t>FtrFishDokutaafishToy</t>
  </si>
  <si>
    <t>RoomSpWallTropical00</t>
  </si>
  <si>
    <t>Nintendo Switch</t>
  </si>
  <si>
    <t>underwater wall</t>
  </si>
  <si>
    <t>Neon blue &amp; neon red</t>
  </si>
  <si>
    <t>Nintendo</t>
  </si>
  <si>
    <t>FtrElectricguitar2_Remake_3_5</t>
  </si>
  <si>
    <t>RoomSpWallFishTank00</t>
  </si>
  <si>
    <t>wavy-tile wall</t>
  </si>
  <si>
    <t>FtrSwitch_Remake_0_0</t>
  </si>
  <si>
    <t>RoomTexWallWaveTile00</t>
  </si>
  <si>
    <t>western vista</t>
  </si>
  <si>
    <t>FtrElectricguitar2_Remake_3_6</t>
  </si>
  <si>
    <t>FtrSwitch_Remake_1_0</t>
  </si>
  <si>
    <t>nova light</t>
  </si>
  <si>
    <t>RoomSpWallWilderness00</t>
  </si>
  <si>
    <t>white botanical-tile wall</t>
  </si>
  <si>
    <t>FtrStarLamp_Remake_0_0</t>
  </si>
  <si>
    <t>FtrElectricguitar2_Remake_3_7</t>
  </si>
  <si>
    <t>RoomTexWallWoodTile00</t>
  </si>
  <si>
    <t>white delicate-blooms wall</t>
  </si>
  <si>
    <t>Marine emerald</t>
  </si>
  <si>
    <t>FtrStarLamp_Remake_1_0</t>
  </si>
  <si>
    <t>FtrElectricguitar2_Remake_4_0</t>
  </si>
  <si>
    <t>RoomTexWallManor00</t>
  </si>
  <si>
    <t>white hallway wall</t>
  </si>
  <si>
    <t>FtrStarLamp_Remake_2_0</t>
  </si>
  <si>
    <t>RoomTexWallHall02</t>
  </si>
  <si>
    <t>white honeycomb-tile wall</t>
  </si>
  <si>
    <t>FtrStarLamp_Remake_3_0</t>
  </si>
  <si>
    <t>FtrElectricguitar2_Remake_4_1</t>
  </si>
  <si>
    <t>RoomTexWallHoneycomb03</t>
  </si>
  <si>
    <t>FtrStarLamp_Remake_4_0</t>
  </si>
  <si>
    <t>white painted-wood wall</t>
  </si>
  <si>
    <t>FtrElectricguitar2_Remake_4_2</t>
  </si>
  <si>
    <t>FtrStarLamp_Remake_5_0</t>
  </si>
  <si>
    <t>FtrElectricguitar2_Remake_4_3</t>
  </si>
  <si>
    <t>RoomTexWallPaintWood03</t>
  </si>
  <si>
    <t>white perforated-board wall</t>
  </si>
  <si>
    <t>FtrStarLamp_Remake_6_0</t>
  </si>
  <si>
    <t>nutcracker</t>
  </si>
  <si>
    <t>FtrElectricguitar2_Remake_4_4</t>
  </si>
  <si>
    <t>RoomTexWallPegboard00</t>
  </si>
  <si>
    <t>white simple-cloth wall</t>
  </si>
  <si>
    <t>FtrNutcracker_Remake_0_0</t>
  </si>
  <si>
    <t>FtrElectricguitar2_Remake_4_5</t>
  </si>
  <si>
    <t>RoomTexWallSimple00</t>
  </si>
  <si>
    <t>white subway-tile wall</t>
  </si>
  <si>
    <t>FtrElectricguitar2_Remake_4_6</t>
  </si>
  <si>
    <t>FtrNutcracker_Remake_1_0</t>
  </si>
  <si>
    <t>RoomTexWallMetro01</t>
  </si>
  <si>
    <t>oarfish model</t>
  </si>
  <si>
    <t>white-brick wall</t>
  </si>
  <si>
    <t>FtrFishRyuuguunotukaiToy</t>
  </si>
  <si>
    <t>FtrElectricguitar2_Remake_4_7</t>
  </si>
  <si>
    <t>ocean sunfish model</t>
  </si>
  <si>
    <t>RoomTexWallBrick00</t>
  </si>
  <si>
    <t>white-chocolate wall</t>
  </si>
  <si>
    <t>FtrFishManbouToy</t>
  </si>
  <si>
    <t>oil lamp</t>
  </si>
  <si>
    <t>FtrElectricguitar2_Remake_5_0</t>
  </si>
  <si>
    <t>RoomTexWallChocolate01</t>
  </si>
  <si>
    <t>white-rose wall</t>
  </si>
  <si>
    <t>FtrSpiritlamp</t>
  </si>
  <si>
    <t>old-fashioned alarm clock</t>
  </si>
  <si>
    <t>FtrClockBell_Remake_0_0</t>
  </si>
  <si>
    <t>RoomTexWallRose02</t>
  </si>
  <si>
    <t>FtrElectricguitar2_Remake_5_1</t>
  </si>
  <si>
    <t>wild-wood wall</t>
  </si>
  <si>
    <t>FtrClockBell_Remake_1_0</t>
  </si>
  <si>
    <t>RoomTexWallWildWood00</t>
  </si>
  <si>
    <t>wooden-knot wall</t>
  </si>
  <si>
    <t>FtrElectricguitar2_Remake_5_2</t>
  </si>
  <si>
    <t>FtrClockBell_Remake_2_0</t>
  </si>
  <si>
    <t>RoomTexWallCedar00</t>
  </si>
  <si>
    <t>wooden-mosaic wall</t>
  </si>
  <si>
    <t>FtrClockBell_Remake_3_0</t>
  </si>
  <si>
    <t>FtrElectricguitar2_Remake_5_3</t>
  </si>
  <si>
    <t>RoomTexWallMixPlankWood00</t>
  </si>
  <si>
    <t>FtrClockBell_Remake_4_0</t>
  </si>
  <si>
    <t>woodland wall</t>
  </si>
  <si>
    <t>FtrElectricguitar2_Remake_5_4</t>
  </si>
  <si>
    <t>FtrClockBell_Remake_5_0</t>
  </si>
  <si>
    <t>RoomTexWallJukai00</t>
  </si>
  <si>
    <t>yellow flower-print wall</t>
  </si>
  <si>
    <t>FtrElectricguitar2_Remake_5_5</t>
  </si>
  <si>
    <t>FtrClockBell_Remake_6_0</t>
  </si>
  <si>
    <t>RoomTexWallFlower02</t>
  </si>
  <si>
    <t>FtrClockBell_Remake_7_0</t>
  </si>
  <si>
    <t>yellow heart-pattern wall</t>
  </si>
  <si>
    <t>old-fashioned washtub</t>
  </si>
  <si>
    <t>FtrElectricguitar2_Remake_5_6</t>
  </si>
  <si>
    <t>FtrWashtub</t>
  </si>
  <si>
    <t>olive flounder model</t>
  </si>
  <si>
    <t>RoomTexWallHeart02</t>
  </si>
  <si>
    <t>yellow intricate wall</t>
  </si>
  <si>
    <t>FtrElectricguitar2_Remake_5_7</t>
  </si>
  <si>
    <t>FtrFishHirameToy</t>
  </si>
  <si>
    <t>orchid mantis model</t>
  </si>
  <si>
    <t>RoomTexWallFlowerPop01</t>
  </si>
  <si>
    <t>yellow playroom wall</t>
  </si>
  <si>
    <t>FtrInsectHanakamakiriToy</t>
  </si>
  <si>
    <t>painting set</t>
  </si>
  <si>
    <t>FtrElectricguitar2_Remake_6_0</t>
  </si>
  <si>
    <t>Drawing paper</t>
  </si>
  <si>
    <t>RoomTexWallToy03</t>
  </si>
  <si>
    <t>yellow quilt wall</t>
  </si>
  <si>
    <t>FtrPaintset_Remake_0_0</t>
  </si>
  <si>
    <t>Smile</t>
  </si>
  <si>
    <t>FtrElectricguitar2_Remake_6_1</t>
  </si>
  <si>
    <t>RoomTexWallDollhouse02</t>
  </si>
  <si>
    <t>yellow simple-cloth wall</t>
  </si>
  <si>
    <t>FtrPaintset_Remake_0_1</t>
  </si>
  <si>
    <t>Bug</t>
  </si>
  <si>
    <t>RoomTexWallSimple01</t>
  </si>
  <si>
    <t>yellow-paint wall</t>
  </si>
  <si>
    <t>FtrElectricguitar2_Remake_6_2</t>
  </si>
  <si>
    <t>FtrPaintset_Remake_0_2</t>
  </si>
  <si>
    <t>Still life</t>
  </si>
  <si>
    <t>RoomTexWallStucco00</t>
  </si>
  <si>
    <t>yellow-striped wall</t>
  </si>
  <si>
    <t>FtrPaintset_Remake_0_3</t>
  </si>
  <si>
    <t>FtrElectricguitar2_Remake_6_3</t>
  </si>
  <si>
    <t>RoomTexWallStripe04</t>
  </si>
  <si>
    <t>FtrPaintset_Remake_1_0</t>
  </si>
  <si>
    <t>FtrElectricguitar2_Remake_6_4</t>
  </si>
  <si>
    <t>FtrPaintset_Remake_1_1</t>
  </si>
  <si>
    <t>FtrPaintset_Remake_1_2</t>
  </si>
  <si>
    <t>FtrElectricguitar2_Remake_6_5</t>
  </si>
  <si>
    <t>FtrPaintset_Remake_1_3</t>
  </si>
  <si>
    <t>FtrElectricguitar2_Remake_6_6</t>
  </si>
  <si>
    <t>FtrPaintset_Remake_2_0</t>
  </si>
  <si>
    <t>aqua tile flooring</t>
  </si>
  <si>
    <t>FtrPaintset_Remake_2_1</t>
  </si>
  <si>
    <t>FtrElectricguitar2_Remake_6_7</t>
  </si>
  <si>
    <t>electric kick scooter</t>
  </si>
  <si>
    <t>Tile Floors</t>
  </si>
  <si>
    <t>RoomTexFloorTile01</t>
  </si>
  <si>
    <t>arabesque flooring</t>
  </si>
  <si>
    <t>FtrPaintset_Remake_2_2</t>
  </si>
  <si>
    <t>FtrKickboardElectric_Remake_0_0</t>
  </si>
  <si>
    <t>Cloth Floors</t>
  </si>
  <si>
    <t>RoomTexFloorArabesque00</t>
  </si>
  <si>
    <t>FtrPaintset_Remake_2_3</t>
  </si>
  <si>
    <t>arched-brick flooring</t>
  </si>
  <si>
    <t>Arched Brick</t>
  </si>
  <si>
    <t>RoomTexFloorArchBrick00</t>
  </si>
  <si>
    <t>argyle tile flooring</t>
  </si>
  <si>
    <t>FtrPaintset_Remake_3_0</t>
  </si>
  <si>
    <t>FtrKickboardElectric_Remake_1_0</t>
  </si>
  <si>
    <t>RoomTexFloorTileWood00</t>
  </si>
  <si>
    <t>artsy parquet flooring</t>
  </si>
  <si>
    <t>FtrPaintset_Remake_3_1</t>
  </si>
  <si>
    <t>FtrKickboardElectric_Remake_2_0</t>
  </si>
  <si>
    <t>Simple Parquet</t>
  </si>
  <si>
    <t>RoomTexFloorParquetArt00</t>
  </si>
  <si>
    <t>backyard lawn</t>
  </si>
  <si>
    <t>FtrPaintset_Remake_3_2</t>
  </si>
  <si>
    <t>FtrKickboardElectric_Remake_3_0</t>
  </si>
  <si>
    <t>Grassland</t>
  </si>
  <si>
    <t>RoomTexFloorLawn00</t>
  </si>
  <si>
    <t>bamboo flooring</t>
  </si>
  <si>
    <t>Nature - Green</t>
  </si>
  <si>
    <t>RoomTexFloorBamboo00</t>
  </si>
  <si>
    <t>basement flooring</t>
  </si>
  <si>
    <t>FtrKickboardElectric_Remake_4_0</t>
  </si>
  <si>
    <t>FtrPaintset_Remake_3_3</t>
  </si>
  <si>
    <t>pale chub model</t>
  </si>
  <si>
    <t>Stone Floors</t>
  </si>
  <si>
    <t>RoomTexFloorBasement00</t>
  </si>
  <si>
    <t>beige desert-tile flooring</t>
  </si>
  <si>
    <t>FtrKickboardElectric_Remake_5_0</t>
  </si>
  <si>
    <t>elephant slide</t>
  </si>
  <si>
    <t>FtrFishOikawaToy</t>
  </si>
  <si>
    <t>RoomTexFloorMorocco00</t>
  </si>
  <si>
    <t>berry-chocolates flooring</t>
  </si>
  <si>
    <t>paper kite butterfly model</t>
  </si>
  <si>
    <t>FtrSlideelephant_Remake_0_0</t>
  </si>
  <si>
    <t>RoomTexFloorChocolate02</t>
  </si>
  <si>
    <t>birch flooring</t>
  </si>
  <si>
    <t>FtrInsectOhgomamadaraToy</t>
  </si>
  <si>
    <t>paper tiger</t>
  </si>
  <si>
    <t>FtrSlideelephant_Remake_1_0</t>
  </si>
  <si>
    <t>Wood Floors</t>
  </si>
  <si>
    <t>RoomTexFloorBirch00</t>
  </si>
  <si>
    <t>black iron-parquet flooring</t>
  </si>
  <si>
    <t>FtrSlideelephant_Remake_2_0</t>
  </si>
  <si>
    <t>Iron Parquet</t>
  </si>
  <si>
    <t>RoomTexFloorParquetIron02</t>
  </si>
  <si>
    <t>black-brick flooring</t>
  </si>
  <si>
    <t>FtrHarikoTiger</t>
  </si>
  <si>
    <t>peach surprise box</t>
  </si>
  <si>
    <t>White peach</t>
  </si>
  <si>
    <t>RoomTexFloorBrick02</t>
  </si>
  <si>
    <t>FtrSlideelephant_Remake_3_0</t>
  </si>
  <si>
    <t>blue camo flooring</t>
  </si>
  <si>
    <t>peach</t>
  </si>
  <si>
    <t>FtrFruitsBox_Remake_0_0</t>
  </si>
  <si>
    <t>RoomTexFloorCamouflage01</t>
  </si>
  <si>
    <t>blue desert-tile flooring</t>
  </si>
  <si>
    <t>Yellow peach</t>
  </si>
  <si>
    <t>FtrSlideelephant_Remake_4_0</t>
  </si>
  <si>
    <t>RoomTexFloorMorocco01</t>
  </si>
  <si>
    <t>blue dot flooring</t>
  </si>
  <si>
    <t>FtrFruitsBox_Remake_1_0</t>
  </si>
  <si>
    <t>peacock butterfly model</t>
  </si>
  <si>
    <t>FtrSlideelephant_Remake_5_0</t>
  </si>
  <si>
    <t>RoomTexFloorDot04</t>
  </si>
  <si>
    <t>blue floral flooring</t>
  </si>
  <si>
    <t>Deco Wood</t>
  </si>
  <si>
    <t>RoomTexFloorDecoWood01</t>
  </si>
  <si>
    <t>blue honeycomb tile</t>
  </si>
  <si>
    <t>FtrSlideelephant_Remake_6_0</t>
  </si>
  <si>
    <t>FtrInsectKarasuagehaToy</t>
  </si>
  <si>
    <t>pedal board</t>
  </si>
  <si>
    <t>RoomTexFloorHoneycomb01</t>
  </si>
  <si>
    <t>FtrSlideelephant_Remake_7_0</t>
  </si>
  <si>
    <t>blue mosaic-tile flooring</t>
  </si>
  <si>
    <t>exercise ball</t>
  </si>
  <si>
    <t>FtrEffectorset_Remake_0_0</t>
  </si>
  <si>
    <t>RoomTexFloorTile03</t>
  </si>
  <si>
    <t>blue rubber flooring</t>
  </si>
  <si>
    <t>FtrBalanceball_Remake_0_0</t>
  </si>
  <si>
    <t>Rubber</t>
  </si>
  <si>
    <t>RoomTexFloorRubber01</t>
  </si>
  <si>
    <t>blue-paint flooring</t>
  </si>
  <si>
    <t>FtrEffectorset_Remake_1_0</t>
  </si>
  <si>
    <t>FtrBalanceball_Remake_1_0</t>
  </si>
  <si>
    <t>RoomTexFloorPaintWood00</t>
  </si>
  <si>
    <t>boxing-ring mat</t>
  </si>
  <si>
    <t>FtrBalanceball_Remake_2_0</t>
  </si>
  <si>
    <t>FtrEffectorset_Remake_2_0</t>
  </si>
  <si>
    <t>Sports Floor</t>
  </si>
  <si>
    <t>pet food bowl</t>
  </si>
  <si>
    <t>RoomTexFloorWrestling00</t>
  </si>
  <si>
    <t>brown argyle-tile flooring</t>
  </si>
  <si>
    <t>Argyle</t>
  </si>
  <si>
    <t>FtrBalanceball_Remake_3_0</t>
  </si>
  <si>
    <t>RoomTexFloorArgyleTile01</t>
  </si>
  <si>
    <t>brown floral flooring</t>
  </si>
  <si>
    <t>pet</t>
  </si>
  <si>
    <t>FtrPetFood_Remake_0_0</t>
  </si>
  <si>
    <t>RoomTexFloorDecoWood02</t>
  </si>
  <si>
    <t>FtrBalanceball_Remake_4_0</t>
  </si>
  <si>
    <t>brown honeycomb tile</t>
  </si>
  <si>
    <t>exercise bike</t>
  </si>
  <si>
    <t>FtrExercisebike_Remake_0_0</t>
  </si>
  <si>
    <t>FtrPetFood_Remake_1_0</t>
  </si>
  <si>
    <t>RoomTexFloorHoneycomb00</t>
  </si>
  <si>
    <t>brown iron-parquet flooring</t>
  </si>
  <si>
    <t>FtrExercisebike_Remake_1_0</t>
  </si>
  <si>
    <t>RoomTexFloorParquetIron01</t>
  </si>
  <si>
    <t>brown-brick flooring</t>
  </si>
  <si>
    <t>FtrPetFood_Remake_2_0</t>
  </si>
  <si>
    <t>RoomTexFloorBrick03</t>
  </si>
  <si>
    <t>FtrExercisebike_Remake_2_0</t>
  </si>
  <si>
    <t>Bunny Day flooring</t>
  </si>
  <si>
    <t>FtrPetFood_Remake_3_0</t>
  </si>
  <si>
    <t>RoomTexFloorEaster00</t>
  </si>
  <si>
    <t>camo flooring</t>
  </si>
  <si>
    <t>FtrExercisebike_Remake_3_0</t>
  </si>
  <si>
    <t>fan</t>
  </si>
  <si>
    <t>RoomTexFloorCamouflage00</t>
  </si>
  <si>
    <t>cherry-blossom flooring</t>
  </si>
  <si>
    <t>FtrPetFood_Remake_4_0</t>
  </si>
  <si>
    <t>FtrFan_Remake_0_0</t>
  </si>
  <si>
    <t>phonograph</t>
  </si>
  <si>
    <t>Nature - Fallen Leaves</t>
  </si>
  <si>
    <t>RoomTexFloorSakura00</t>
  </si>
  <si>
    <t>circuit-board flooring</t>
  </si>
  <si>
    <t>FtrFan_Remake_1_0</t>
  </si>
  <si>
    <t>Phono</t>
  </si>
  <si>
    <t>FtrPhonograph</t>
  </si>
  <si>
    <t>Machine Floor</t>
  </si>
  <si>
    <t>RoomTexFloorGeek00</t>
  </si>
  <si>
    <t>picnic basket</t>
  </si>
  <si>
    <t>cloud flooring</t>
  </si>
  <si>
    <t>FtrFan_Remake_2_0</t>
  </si>
  <si>
    <t>Special Nature Floors</t>
  </si>
  <si>
    <t>RoomSpFloorCloud00</t>
  </si>
  <si>
    <t>colored-leaves flooring</t>
  </si>
  <si>
    <t>FtrPicnicbasket_Remake_0_0</t>
  </si>
  <si>
    <t>FtrFan_Remake_3_0</t>
  </si>
  <si>
    <t>fan palm</t>
  </si>
  <si>
    <t>RoomTexFloorAutumun00</t>
  </si>
  <si>
    <t>colorful mosaic-tile flooring</t>
  </si>
  <si>
    <t>FtrPicnicbasket_Remake_1_0</t>
  </si>
  <si>
    <t>RoomTexFloorTile02</t>
  </si>
  <si>
    <t>colorful puzzle flooring</t>
  </si>
  <si>
    <t>FtrPlantYamadoriyashi_Remake_0_0</t>
  </si>
  <si>
    <t>Puzzle Mat</t>
  </si>
  <si>
    <t>RoomTexFloorPuzzleMat01</t>
  </si>
  <si>
    <t>colorful tile flooring</t>
  </si>
  <si>
    <t>FtrPlantYamadoriyashi_Remake_1_0</t>
  </si>
  <si>
    <t>Panel</t>
  </si>
  <si>
    <t>FtrPicnicbasket_Remake_2_0</t>
  </si>
  <si>
    <t>RoomTexFloorPanel01</t>
  </si>
  <si>
    <t>common flooring</t>
  </si>
  <si>
    <t>FtrPlantYamadoriyashi_Remake_2_0</t>
  </si>
  <si>
    <t>RoomTexFloorCommon00</t>
  </si>
  <si>
    <t>concrete flooring</t>
  </si>
  <si>
    <t>FtrPicnicbasket_Remake_3_0</t>
  </si>
  <si>
    <t>FtrPlantYamadoriyashi_Remake_3_0</t>
  </si>
  <si>
    <t>RoomTexFloorConcrete00</t>
  </si>
  <si>
    <t>construction-site flooring</t>
  </si>
  <si>
    <t>FtrPicnicbasket_Remake_4_0</t>
  </si>
  <si>
    <t>Sidewalk</t>
  </si>
  <si>
    <t>RoomTexFloorConstruction00</t>
  </si>
  <si>
    <t>cool vinyl flooring</t>
  </si>
  <si>
    <t>FtrPlantYamadoriyashi_Remake_4_0</t>
  </si>
  <si>
    <t>Tile Checker</t>
  </si>
  <si>
    <t>RoomTexFloorTileChecker03</t>
  </si>
  <si>
    <t>cool-paint flooring</t>
  </si>
  <si>
    <t>FtrPlantYamadoriyashi_Remake_5_0</t>
  </si>
  <si>
    <t>festive tree</t>
  </si>
  <si>
    <t>FtrPicnicbasket_Remake_5_0</t>
  </si>
  <si>
    <t>Colorful Wood</t>
  </si>
  <si>
    <t>RoomTexFloorColorfulWood01</t>
  </si>
  <si>
    <t>pike model</t>
  </si>
  <si>
    <t>cork flooring</t>
  </si>
  <si>
    <t>RoomTexFloorCork00</t>
  </si>
  <si>
    <t>FtrTreeXmasS_Remake_0_0</t>
  </si>
  <si>
    <t>crop-circles flooring</t>
  </si>
  <si>
    <t>FtrFishPaikuToy</t>
  </si>
  <si>
    <t>pill bug model</t>
  </si>
  <si>
    <t>RoomTexFloorCropCircles00</t>
  </si>
  <si>
    <t>crosswalk flooring</t>
  </si>
  <si>
    <t>FtrTreeXmasS_Remake_1_0</t>
  </si>
  <si>
    <t>RoomTexFloorSidewalk00</t>
  </si>
  <si>
    <t>cubic parquet flooring</t>
  </si>
  <si>
    <t>FtrInsectDangomushiToy</t>
  </si>
  <si>
    <t>pine bonsai tree</t>
  </si>
  <si>
    <t>FtrTreeXmasS_Remake_2_0</t>
  </si>
  <si>
    <t>RoomTexFloorHoneycombWood00</t>
  </si>
  <si>
    <t>FtrBonsaiPine</t>
  </si>
  <si>
    <t>cute blue-tile flooring</t>
  </si>
  <si>
    <t>piranha model</t>
  </si>
  <si>
    <t>FtrTreeXmasS_Remake_3_0</t>
  </si>
  <si>
    <t>RoomTexFloorCute02</t>
  </si>
  <si>
    <t>cute red-tile flooring</t>
  </si>
  <si>
    <t>FtrFishPiraniaToy</t>
  </si>
  <si>
    <t>plasma ball</t>
  </si>
  <si>
    <t>FtrTreeXmasS_Remake_4_0</t>
  </si>
  <si>
    <t>RoomTexFloorCute01</t>
  </si>
  <si>
    <t>cute white-tile flooring</t>
  </si>
  <si>
    <t>RoomTexFloorCute00</t>
  </si>
  <si>
    <t>cute yellow-tile flooring</t>
  </si>
  <si>
    <t>FtrPlasmaball</t>
  </si>
  <si>
    <t>plastic canister</t>
  </si>
  <si>
    <t>FtrTreeXmasS_Remake_5_0</t>
  </si>
  <si>
    <t>fire pit</t>
  </si>
  <si>
    <t>RoomTexFloorCute03</t>
  </si>
  <si>
    <t>cute-paint flooring</t>
  </si>
  <si>
    <t>RoomTexFloorColorfulWood00</t>
  </si>
  <si>
    <t>daisy meadow</t>
  </si>
  <si>
    <t>FtrPolytank_Remake_0_0</t>
  </si>
  <si>
    <t>FtrFirepit</t>
  </si>
  <si>
    <t>fireplace</t>
  </si>
  <si>
    <t>RoomTexFloorGrassland00</t>
  </si>
  <si>
    <t>dark herringbone flooring</t>
  </si>
  <si>
    <t>RoomTexFloorHerringbone01</t>
  </si>
  <si>
    <t>dark parquet flooring</t>
  </si>
  <si>
    <t>FtrFireplace_Remake_0_0</t>
  </si>
  <si>
    <t>FtrPolytank_Remake_1_0</t>
  </si>
  <si>
    <t>RoomTexFloorCountry01</t>
  </si>
  <si>
    <t>dark wood-pattern flooring</t>
  </si>
  <si>
    <t>FtrPolytank_Remake_2_0</t>
  </si>
  <si>
    <t>FtrFireplace_Remake_1_0</t>
  </si>
  <si>
    <t>RoomTexFloorSimpleParquet01</t>
  </si>
  <si>
    <t>dark-block flooring</t>
  </si>
  <si>
    <t>FtrPolytank_Remake_3_0</t>
  </si>
  <si>
    <t>FtrFireplace_Remake_2_0</t>
  </si>
  <si>
    <t>Parquet</t>
  </si>
  <si>
    <t>RoomTexFloorParquet01</t>
  </si>
  <si>
    <t>dark-chocolates flooring</t>
  </si>
  <si>
    <t>FtrFireplace_Remake_3_0</t>
  </si>
  <si>
    <t>fish-drying rack</t>
  </si>
  <si>
    <t>FtrPolytank_Remake_4_0</t>
  </si>
  <si>
    <t>Pocket modern camper</t>
  </si>
  <si>
    <t>RoomTexFloorChocolate00</t>
  </si>
  <si>
    <t>dig-site flooring</t>
  </si>
  <si>
    <t>Ketchup and mustard</t>
  </si>
  <si>
    <t>Paint</t>
  </si>
  <si>
    <t>FtrDriedfish_Remake_0_0</t>
  </si>
  <si>
    <t>Nature - Brown</t>
  </si>
  <si>
    <t>RoomTexFloorStratum00</t>
  </si>
  <si>
    <t>dirt flooring</t>
  </si>
  <si>
    <t>FtrDriedfish_Remake_1_0</t>
  </si>
  <si>
    <t>RoomTexFloorCottonSoil00</t>
  </si>
  <si>
    <t>field flooring</t>
  </si>
  <si>
    <t>FtrCompassCarB_Remake_0_0</t>
  </si>
  <si>
    <t>Octopus</t>
  </si>
  <si>
    <t>Lumberjack</t>
  </si>
  <si>
    <t>RoomTexFloorFarm00</t>
  </si>
  <si>
    <t>FtrDriedfish_Remake_2_0</t>
  </si>
  <si>
    <t>flagstone flooring</t>
  </si>
  <si>
    <t>fishing-rod stand</t>
  </si>
  <si>
    <t>FtrCompassCarB_Remake_1_0</t>
  </si>
  <si>
    <t>RoomTexFloorFlagStone00</t>
  </si>
  <si>
    <t>floral mosaic-tile flooring</t>
  </si>
  <si>
    <t>FtrRodstand_Remake_0_0</t>
  </si>
  <si>
    <t>Classic camo</t>
  </si>
  <si>
    <t>RoomTexFloorMosaicTile00</t>
  </si>
  <si>
    <t>FtrCompassCarB_Remake_2_0</t>
  </si>
  <si>
    <t>floral rush-mat flooring</t>
  </si>
  <si>
    <t>FtrRodstand_Remake_1_0</t>
  </si>
  <si>
    <t>Playtime</t>
  </si>
  <si>
    <t>RoomTexFloorRush00</t>
  </si>
  <si>
    <t>flowing-river flooring</t>
  </si>
  <si>
    <t>FtrCompassCarB_Remake_3_0</t>
  </si>
  <si>
    <t>FtrRodstand_Remake_2_0</t>
  </si>
  <si>
    <t>flashy-flower sign</t>
  </si>
  <si>
    <t>Splatter up</t>
  </si>
  <si>
    <t>RoomSpFloorRiver00</t>
  </si>
  <si>
    <t>forest flooring</t>
  </si>
  <si>
    <t>FtrCompassCarB_Remake_4_0</t>
  </si>
  <si>
    <t>FtrWreath_Remake_0_0</t>
  </si>
  <si>
    <t>Hot dog</t>
  </si>
  <si>
    <t>RoomTexFloorMushForest00</t>
  </si>
  <si>
    <t>future-tech flooring</t>
  </si>
  <si>
    <t>FtrWreath_Remake_1_0</t>
  </si>
  <si>
    <t>FtrCompassCarB_Remake_5_0</t>
  </si>
  <si>
    <t>Pocket vintage camper</t>
  </si>
  <si>
    <t>Special Inorganic Floors</t>
  </si>
  <si>
    <t>RoomSpFloorTechnology00</t>
  </si>
  <si>
    <t>galaxy flooring</t>
  </si>
  <si>
    <t>Polka-dot party</t>
  </si>
  <si>
    <t>FtrWreath_Remake_2_0</t>
  </si>
  <si>
    <t>flat garden rock</t>
  </si>
  <si>
    <t>RoomSpFloorGalaxy00</t>
  </si>
  <si>
    <t>garbage-heap flooring</t>
  </si>
  <si>
    <t>FtrCompassCarA_Remake_0_0</t>
  </si>
  <si>
    <t>Royal coach</t>
  </si>
  <si>
    <t>Decadence</t>
  </si>
  <si>
    <t>FtrGardenrockLow</t>
  </si>
  <si>
    <t>RoomTexFloorGarbage00</t>
  </si>
  <si>
    <t>floor lamp</t>
  </si>
  <si>
    <t>giraffe-print flooring</t>
  </si>
  <si>
    <t>Lampshade</t>
  </si>
  <si>
    <t>FtrCompassCarA_Remake_1_0</t>
  </si>
  <si>
    <t>FtrLamp_Remake_0_0</t>
  </si>
  <si>
    <t>Patched together</t>
  </si>
  <si>
    <t>Animal Floor</t>
  </si>
  <si>
    <t>RoomTexFloorAnimal01</t>
  </si>
  <si>
    <t>gold iron-parquet flooring</t>
  </si>
  <si>
    <t>FtrLamp_Remake_0_1</t>
  </si>
  <si>
    <t>RoomTexFloorParquetIron00</t>
  </si>
  <si>
    <t>FtrCompassCarA_Remake_2_0</t>
  </si>
  <si>
    <t>golden flooring</t>
  </si>
  <si>
    <t>Painter's palette</t>
  </si>
  <si>
    <t>FtrLamp_Remake_0_2</t>
  </si>
  <si>
    <t>Luxury</t>
  </si>
  <si>
    <t>RoomTexFloorGold00</t>
  </si>
  <si>
    <t>gravel flooring</t>
  </si>
  <si>
    <t>FtrCompassCarA_Remake_3_0</t>
  </si>
  <si>
    <t>RoomTexFloorGravel00</t>
  </si>
  <si>
    <t>gray argyle-tile flooring</t>
  </si>
  <si>
    <t>Retro ride</t>
  </si>
  <si>
    <t>FtrLamp_Remake_0_3</t>
  </si>
  <si>
    <t>Yellow design</t>
  </si>
  <si>
    <t>RoomTexFloorArgyleTile00</t>
  </si>
  <si>
    <t>gray vinyl flooring</t>
  </si>
  <si>
    <t>FtrCompassCarA_Remake_4_0</t>
  </si>
  <si>
    <t>FtrLamp_Remake_0_4</t>
  </si>
  <si>
    <t>Southwestern flair</t>
  </si>
  <si>
    <t>RoomTexFloorTileChecker00</t>
  </si>
  <si>
    <t>green floral flooring</t>
  </si>
  <si>
    <t>Green design</t>
  </si>
  <si>
    <t>FtrCompassCarA_Remake_5_0</t>
  </si>
  <si>
    <t>pond smelt model</t>
  </si>
  <si>
    <t>RoomTexFloorDecoWood03</t>
  </si>
  <si>
    <t>green honeycomb tile</t>
  </si>
  <si>
    <t>FtrLamp_Remake_0_5</t>
  </si>
  <si>
    <t>Orange design</t>
  </si>
  <si>
    <t>FtrFishWakasagiToy</t>
  </si>
  <si>
    <t>FtrLamp_Remake_0_6</t>
  </si>
  <si>
    <t>pondskater model</t>
  </si>
  <si>
    <t>RoomTexFloorHoneycomb02</t>
  </si>
  <si>
    <t>green retro flooring</t>
  </si>
  <si>
    <t>Navy design</t>
  </si>
  <si>
    <t>FtrLamp_Remake_0_7</t>
  </si>
  <si>
    <t>Kitchen Floors</t>
  </si>
  <si>
    <t>RoomTexFloorKitchen01</t>
  </si>
  <si>
    <t>green rubber flooring</t>
  </si>
  <si>
    <t>FtrInsectAmenboToy</t>
  </si>
  <si>
    <t>pop-eyed goldfish model</t>
  </si>
  <si>
    <t>FtrLamp_Remake_1_0</t>
  </si>
  <si>
    <t>RoomTexFloorRubber00</t>
  </si>
  <si>
    <t>green vinyl flooring</t>
  </si>
  <si>
    <t>FtrLamp_Remake_1_1</t>
  </si>
  <si>
    <t>FtrFishDemekinToy</t>
  </si>
  <si>
    <t>pop-up toaster</t>
  </si>
  <si>
    <t>RoomTexFloorTileChecker02</t>
  </si>
  <si>
    <t>green-paint flooring</t>
  </si>
  <si>
    <t>FtrLamp_Remake_1_2</t>
  </si>
  <si>
    <t>RoomTexFloorPaintWood01</t>
  </si>
  <si>
    <t>hexagonal floral flooring</t>
  </si>
  <si>
    <t>FtrToaster_Remake_0_0</t>
  </si>
  <si>
    <t>FtrLamp_Remake_1_3</t>
  </si>
  <si>
    <t>RoomTexFloorHempTile00</t>
  </si>
  <si>
    <t>highway flooring</t>
  </si>
  <si>
    <t>FtrLamp_Remake_1_4</t>
  </si>
  <si>
    <t>RoomTexFloorHighway00</t>
  </si>
  <si>
    <t>honeycomb flooring</t>
  </si>
  <si>
    <t>FtrToaster_Remake_1_0</t>
  </si>
  <si>
    <t>FtrLamp_Remake_1_5</t>
  </si>
  <si>
    <t>Neta</t>
  </si>
  <si>
    <t>RoomTexFloorHoney00</t>
  </si>
  <si>
    <t>FtrLamp_Remake_1_6</t>
  </si>
  <si>
    <t>ice flooring</t>
  </si>
  <si>
    <t>FtrToaster_Remake_2_0</t>
  </si>
  <si>
    <t>FtrLamp_Remake_1_7</t>
  </si>
  <si>
    <t>RoomSpFloorIce00</t>
  </si>
  <si>
    <t>iceberg flooring</t>
  </si>
  <si>
    <t>FtrToaster_Remake_3_0</t>
  </si>
  <si>
    <t>FtrLamp_Remake_2_0</t>
  </si>
  <si>
    <t>RoomSpFloorIceFloe00</t>
  </si>
  <si>
    <t>imperial tile</t>
  </si>
  <si>
    <t>FtrLamp_Remake_2_1</t>
  </si>
  <si>
    <t>FtrToaster_Remake_4_0</t>
  </si>
  <si>
    <t>RoomTexFloorDynasty00</t>
  </si>
  <si>
    <t>jointed-mat flooring</t>
  </si>
  <si>
    <t>FtrLamp_Remake_2_2</t>
  </si>
  <si>
    <t>RoomTexFloorJointMat00</t>
  </si>
  <si>
    <t>jungle flooring</t>
  </si>
  <si>
    <t>FtrToaster_Remake_5_0</t>
  </si>
  <si>
    <t>portable radio</t>
  </si>
  <si>
    <t>FtrLamp_Remake_2_3</t>
  </si>
  <si>
    <t>RoomTexFloorJungle00</t>
  </si>
  <si>
    <t>kitschy tile</t>
  </si>
  <si>
    <t>RoomTexFloorKitschTile00</t>
  </si>
  <si>
    <t>lava flooring</t>
  </si>
  <si>
    <t>FtrLamp_Remake_2_4</t>
  </si>
  <si>
    <t>FtrPortableradio_Remake_0_0</t>
  </si>
  <si>
    <t>RoomSpFloorVolcano00</t>
  </si>
  <si>
    <t>leopard-print flooring</t>
  </si>
  <si>
    <t>FtrLamp_Remake_2_5</t>
  </si>
  <si>
    <t>RoomTexFloorAnimal00</t>
  </si>
  <si>
    <t>light herringbone flooring</t>
  </si>
  <si>
    <t>FtrPortableradio_Remake_1_0</t>
  </si>
  <si>
    <t>RoomTexFloorHerringbone00</t>
  </si>
  <si>
    <t>light parquet flooring</t>
  </si>
  <si>
    <t>FtrLamp_Remake_2_6</t>
  </si>
  <si>
    <t>FtrPortableradio_Remake_2_0</t>
  </si>
  <si>
    <t>RoomTexFloorCountry00</t>
  </si>
  <si>
    <t>light wood-pattern flooring</t>
  </si>
  <si>
    <t>FtrLamp_Remake_2_7</t>
  </si>
  <si>
    <t>RoomTexFloorSimpleParquet00</t>
  </si>
  <si>
    <t>lobby flooring</t>
  </si>
  <si>
    <t>FtrPortableradio_Remake_3_0</t>
  </si>
  <si>
    <t>FtrLamp_Remake_3_0</t>
  </si>
  <si>
    <t>RoomTexFloorLobby00</t>
  </si>
  <si>
    <t>lunar surface</t>
  </si>
  <si>
    <t>FtrPortableradio_Remake_4_0</t>
  </si>
  <si>
    <t>Nature - White</t>
  </si>
  <si>
    <t>RoomTexFloorLunar00</t>
  </si>
  <si>
    <t>FtrLamp_Remake_3_1</t>
  </si>
  <si>
    <t>marine pop flooring</t>
  </si>
  <si>
    <t>FtrPortableradio_Remake_5_0</t>
  </si>
  <si>
    <t>RoomTexFloorFishPop00</t>
  </si>
  <si>
    <t>FtrLamp_Remake_3_2</t>
  </si>
  <si>
    <t>mint dot flooring</t>
  </si>
  <si>
    <t>RoomTexFloorDot01</t>
  </si>
  <si>
    <t>modern wood flooring</t>
  </si>
  <si>
    <t>FtrPortableradio_Remake_6_0</t>
  </si>
  <si>
    <t>FtrLamp_Remake_3_3</t>
  </si>
  <si>
    <t>RoomTexFloorMixwood00</t>
  </si>
  <si>
    <t>money flooring</t>
  </si>
  <si>
    <t>FtrLamp_Remake_3_4</t>
  </si>
  <si>
    <t>FtrPortableradio_Remake_7_0</t>
  </si>
  <si>
    <t>portable record player</t>
  </si>
  <si>
    <t>RoomTexFloorBill00</t>
  </si>
  <si>
    <t>monochromatic dot flooring</t>
  </si>
  <si>
    <t>FtrLamp_Remake_3_5</t>
  </si>
  <si>
    <t>FtrPortablerecordplayer_Remake_0_0</t>
  </si>
  <si>
    <t>RoomTexFloorDot00</t>
  </si>
  <si>
    <t>monochromatic tile flooring</t>
  </si>
  <si>
    <t>RoomTexFloorPanel00</t>
  </si>
  <si>
    <t>FtrLamp_Remake_3_6</t>
  </si>
  <si>
    <t>mossy-garden flooring</t>
  </si>
  <si>
    <t>FtrPortablerecordplayer_Remake_1_0</t>
  </si>
  <si>
    <t>RoomTexFloorMoss00</t>
  </si>
  <si>
    <t>natural-block flooring</t>
  </si>
  <si>
    <t>FtrLamp_Remake_3_7</t>
  </si>
  <si>
    <t>floor light</t>
  </si>
  <si>
    <t>FtrPortablerecordplayer_Remake_2_0</t>
  </si>
  <si>
    <t>RoomTexFloorParquet00</t>
  </si>
  <si>
    <t>Nook Inc. flooring</t>
  </si>
  <si>
    <t>FtrGrandlight_Remake_0_0</t>
  </si>
  <si>
    <t>RoomTexFloorFirst00</t>
  </si>
  <si>
    <t>FtrPortablerecordplayer_Remake_3_0</t>
  </si>
  <si>
    <t>oasis flooring</t>
  </si>
  <si>
    <t>FtrGrandlight_Remake_1_0</t>
  </si>
  <si>
    <t>RoomSpFloorOasis00</t>
  </si>
  <si>
    <t>olive desert-tile flooring</t>
  </si>
  <si>
    <t>FtrPortablerecordplayer_Remake_4_0</t>
  </si>
  <si>
    <t>RoomTexFloorMorocco03</t>
  </si>
  <si>
    <t>orange camo flooring</t>
  </si>
  <si>
    <t>FtrGrandlight_Remake_2_0</t>
  </si>
  <si>
    <t>FtrPortablerecordplayer_Remake_5_0</t>
  </si>
  <si>
    <t>RoomTexFloorCamouflage03</t>
  </si>
  <si>
    <t>orange retro flooring</t>
  </si>
  <si>
    <t>FtrGrandlight_Remake_3_0</t>
  </si>
  <si>
    <t>FtrPortablerecordplayer_Remake_6_0</t>
  </si>
  <si>
    <t>RoomTexFloorKitchen00</t>
  </si>
  <si>
    <t>pot</t>
  </si>
  <si>
    <t>paintball flooring</t>
  </si>
  <si>
    <t>FtrGrandlight_Remake_4_0</t>
  </si>
  <si>
    <t>RoomTexFloorAtelier00</t>
  </si>
  <si>
    <t>palace tile</t>
  </si>
  <si>
    <t>FtrKame_Remake_0_0</t>
  </si>
  <si>
    <t>FtrGrandlight_Remake_5_0</t>
  </si>
  <si>
    <t>RoomTexFloorPalace00</t>
  </si>
  <si>
    <t>parking flooring</t>
  </si>
  <si>
    <t>RoomTexFloorParking00</t>
  </si>
  <si>
    <t>FtrKame_Remake_1_0</t>
  </si>
  <si>
    <t>FtrGrandlight_Remake_6_0</t>
  </si>
  <si>
    <t>party flooring</t>
  </si>
  <si>
    <t>RoomTexFloorParty00</t>
  </si>
  <si>
    <t>pastel puzzle flooring</t>
  </si>
  <si>
    <t>FtrGrandlight_Remake_7_0</t>
  </si>
  <si>
    <t>FtrKame_Remake_2_0</t>
  </si>
  <si>
    <t>floor seat</t>
  </si>
  <si>
    <t>Pale grass green</t>
  </si>
  <si>
    <t>RoomTexFloorPuzzleMat00</t>
  </si>
  <si>
    <t>patchwork-tile flooring</t>
  </si>
  <si>
    <t>FtrFloorchair_Remake_0_0</t>
  </si>
  <si>
    <t>RoomTexFloorPatchworkTile00</t>
  </si>
  <si>
    <t>pine-board flooring</t>
  </si>
  <si>
    <t>Mustard yellow</t>
  </si>
  <si>
    <t>FtrKame_Remake_3_0</t>
  </si>
  <si>
    <t>FtrFloorchair_Remake_0_1</t>
  </si>
  <si>
    <t>RoomTexFloorSimple00</t>
  </si>
  <si>
    <t>pink-paint flooring</t>
  </si>
  <si>
    <t>Peach</t>
  </si>
  <si>
    <t>FtrKame_Remake_4_0</t>
  </si>
  <si>
    <t>pro tape recorder</t>
  </si>
  <si>
    <t>FtrFloorchair_Remake_0_2</t>
  </si>
  <si>
    <t>RoomTexFloorPaintWood02</t>
  </si>
  <si>
    <t>purple camo flooring</t>
  </si>
  <si>
    <t>Deep blue</t>
  </si>
  <si>
    <t>FtrReelrecorder_Remake_0_0</t>
  </si>
  <si>
    <t>RoomTexFloorCamouflage02</t>
  </si>
  <si>
    <t>FtrFloorchair_Remake_0_3</t>
  </si>
  <si>
    <t>purple desert-tile flooring</t>
  </si>
  <si>
    <t>RoomTexFloorMorocco02</t>
  </si>
  <si>
    <t>purple puzzle flooring</t>
  </si>
  <si>
    <t>FtrReelrecorder_Remake_1_0</t>
  </si>
  <si>
    <t>FtrFloorchair_Remake_1_0</t>
  </si>
  <si>
    <t>RoomTexFloorPuzzleMat03</t>
  </si>
  <si>
    <t>pyramid tile</t>
  </si>
  <si>
    <t>FtrFloorchair_Remake_1_1</t>
  </si>
  <si>
    <t>FtrReelrecorder_Remake_2_0</t>
  </si>
  <si>
    <t>protein shaker bottle</t>
  </si>
  <si>
    <t>RoomTexFloorEgypt00</t>
  </si>
  <si>
    <t>racetrack flooring</t>
  </si>
  <si>
    <t>RoomTexFloorAthletics00</t>
  </si>
  <si>
    <t>ramshackle flooring</t>
  </si>
  <si>
    <t>FtrFloorchair_Remake_1_2</t>
  </si>
  <si>
    <t>RoomTexFloorRuins00</t>
  </si>
  <si>
    <t>FtrProtein_Remake_0_0</t>
  </si>
  <si>
    <t>random-square-tile flooring</t>
  </si>
  <si>
    <t>Vanilla flavored</t>
  </si>
  <si>
    <t>RoomTexFloorSquareTile00</t>
  </si>
  <si>
    <t>rattan flooring</t>
  </si>
  <si>
    <t>FtrFloorchair_Remake_1_3</t>
  </si>
  <si>
    <t>rattan</t>
  </si>
  <si>
    <t>RoomTexFloorRattan00</t>
  </si>
  <si>
    <t>red dot flooring</t>
  </si>
  <si>
    <t>FtrProtein_Remake_1_0</t>
  </si>
  <si>
    <t>FtrFloorchair_Remake_2_0</t>
  </si>
  <si>
    <t>Cocoa flavored</t>
  </si>
  <si>
    <t>RoomTexFloorDot02</t>
  </si>
  <si>
    <t>red-and-black vinyl flooring</t>
  </si>
  <si>
    <t>FtrFloorchair_Remake_2_1</t>
  </si>
  <si>
    <t>RoomTexFloorTileChecker01</t>
  </si>
  <si>
    <t>red-brick flooring</t>
  </si>
  <si>
    <t>FtrProtein_Remake_2_0</t>
  </si>
  <si>
    <t>Strawberry flavored</t>
  </si>
  <si>
    <t>RoomTexFloorBrick01</t>
  </si>
  <si>
    <t>rocky-mountain flooring</t>
  </si>
  <si>
    <t>FtrFloorchair_Remake_2_2</t>
  </si>
  <si>
    <t>FtrProtein_Remake_3_0</t>
  </si>
  <si>
    <t>puffer fish model</t>
  </si>
  <si>
    <t>RoomTexFloorRock00</t>
  </si>
  <si>
    <t>rose flooring</t>
  </si>
  <si>
    <t>FtrFloorchair_Remake_2_3</t>
  </si>
  <si>
    <t>RoomTexFloorRoseCarpet00</t>
  </si>
  <si>
    <t>rosewood flooring</t>
  </si>
  <si>
    <t>FtrFishHarisenbonToy</t>
  </si>
  <si>
    <t>R. Brooke's birdwing model</t>
  </si>
  <si>
    <t>FtrFloorchair_Remake_3_0</t>
  </si>
  <si>
    <t>RoomTexFloorRoseWood00</t>
  </si>
  <si>
    <t>rubber-tile flooring</t>
  </si>
  <si>
    <t>FtrInsectAkaeritoribaneagehaToy</t>
  </si>
  <si>
    <t>rainbow stag model</t>
  </si>
  <si>
    <t>FtrFloorchair_Remake_3_1</t>
  </si>
  <si>
    <t>RoomTexFloorRubberTile00</t>
  </si>
  <si>
    <t>FtrInsectNijiirokuwagataToy</t>
  </si>
  <si>
    <t>rush tatami</t>
  </si>
  <si>
    <t>rainbowfish model</t>
  </si>
  <si>
    <t>FtrFloorchair_Remake_3_2</t>
  </si>
  <si>
    <t>FtrFloorchair_Remake_3_3</t>
  </si>
  <si>
    <t>Tatami</t>
  </si>
  <si>
    <t>FtrFishRainbowfishToy</t>
  </si>
  <si>
    <t>flower stand</t>
  </si>
  <si>
    <t>RoomTexFloorTatami01</t>
  </si>
  <si>
    <t>ranchu goldfish model</t>
  </si>
  <si>
    <t>rush tatami flooring</t>
  </si>
  <si>
    <t>Tatami Panel</t>
  </si>
  <si>
    <t>FtrStandflower_Remake_0_0</t>
  </si>
  <si>
    <t>RoomTexFloorTatamiPanel01</t>
  </si>
  <si>
    <t>FtrFishRanchuToy</t>
  </si>
  <si>
    <t>Saharah's desert</t>
  </si>
  <si>
    <t>rattan table lamp</t>
  </si>
  <si>
    <t>RoomTexFloorDesert00</t>
  </si>
  <si>
    <t>sakura-wood flooring</t>
  </si>
  <si>
    <t>FtrStandflower_Remake_1_0</t>
  </si>
  <si>
    <t>FtrRattanLamp_Remake_0_0</t>
  </si>
  <si>
    <t>Reddish brown</t>
  </si>
  <si>
    <t>RoomTexFloorSolidWood00</t>
  </si>
  <si>
    <t>sandlot</t>
  </si>
  <si>
    <t>FtrStandflower_Remake_2_0</t>
  </si>
  <si>
    <t>FtrRattanLamp_Remake_1_0</t>
  </si>
  <si>
    <t>RoomTexFloorEmptyLot00</t>
  </si>
  <si>
    <t>sandy-beach flooring</t>
  </si>
  <si>
    <t>FtrStandflower_Remake_3_0</t>
  </si>
  <si>
    <t>RoomTexFloorSand00</t>
  </si>
  <si>
    <t>FtrRattanLamp_Remake_2_0</t>
  </si>
  <si>
    <t>sci-fi flooring</t>
  </si>
  <si>
    <t>FtrStandflower_Remake_4_0</t>
  </si>
  <si>
    <t>RoomSpFloorSF00</t>
  </si>
  <si>
    <t>scramble crosswalk</t>
  </si>
  <si>
    <t>FtrRattanLamp_Remake_3_0</t>
  </si>
  <si>
    <t>RoomTexFloorScramble00</t>
  </si>
  <si>
    <t>FtrStandflower_Remake_5_0</t>
  </si>
  <si>
    <t>sepia puzzle flooring</t>
  </si>
  <si>
    <t>RoomTexFloorPuzzleMat02</t>
  </si>
  <si>
    <t>ship deck</t>
  </si>
  <si>
    <t>FtrStandflower_Remake_6_0</t>
  </si>
  <si>
    <t>FtrRattanLamp_Remake_4_0</t>
  </si>
  <si>
    <t>flying saucer</t>
  </si>
  <si>
    <t>RoomTexFloorSeaView00</t>
  </si>
  <si>
    <t>sidewalk flooring</t>
  </si>
  <si>
    <t>FtrUFO</t>
  </si>
  <si>
    <t>folding chair</t>
  </si>
  <si>
    <t>FtrRattanLamp_Remake_5_0</t>
  </si>
  <si>
    <t>rattan towel basket</t>
  </si>
  <si>
    <t>RoomTexFloorSidewalk01</t>
  </si>
  <si>
    <t>simple blue flooring</t>
  </si>
  <si>
    <t>FtrPipechair_Remake_0_0</t>
  </si>
  <si>
    <t>Simple Carpet</t>
  </si>
  <si>
    <t>FtrRattanBasket_Remake_0_0</t>
  </si>
  <si>
    <t>RoomTexFloorSimpleCarpet01</t>
  </si>
  <si>
    <t>simple purple flooring</t>
  </si>
  <si>
    <t>FtrPipechair_Remake_1_0</t>
  </si>
  <si>
    <t>FtrRattanBasket_Remake_1_0</t>
  </si>
  <si>
    <t>RoomTexFloorSimpleCarpet03</t>
  </si>
  <si>
    <t>simple red flooring</t>
  </si>
  <si>
    <t>FtrPipechair_Remake_2_0</t>
  </si>
  <si>
    <t>FtrRattanBasket_Remake_2_0</t>
  </si>
  <si>
    <t>FtrPipechair_Remake_3_0</t>
  </si>
  <si>
    <t>RoomTexFloorSimpleCarpet00</t>
  </si>
  <si>
    <t>simple white flooring</t>
  </si>
  <si>
    <t>FtrRattanBasket_Remake_3_0</t>
  </si>
  <si>
    <t>FtrPipechair_Remake_4_0</t>
  </si>
  <si>
    <t>RoomTexFloorSimpleCarpet04</t>
  </si>
  <si>
    <t>ski-slope flooring</t>
  </si>
  <si>
    <t>FtrPipechair_Remake_5_0</t>
  </si>
  <si>
    <t>folding floor lamp</t>
  </si>
  <si>
    <t>RoomTexFloorGelande00</t>
  </si>
  <si>
    <t>skull-print flooring</t>
  </si>
  <si>
    <t>FtrRattanBasket_Remake_4_0</t>
  </si>
  <si>
    <t>RoomTexFloorSkull00</t>
  </si>
  <si>
    <t>slate flooring</t>
  </si>
  <si>
    <t>FtrLampArm_Remake_0_0</t>
  </si>
  <si>
    <t>FtrRattanBasket_Remake_5_0</t>
  </si>
  <si>
    <t>RoomTexFloorSlate00</t>
  </si>
  <si>
    <t>starry-sands flooring</t>
  </si>
  <si>
    <t>ray model</t>
  </si>
  <si>
    <t>FtrLampArm_Remake_1_0</t>
  </si>
  <si>
    <t>RoomTexFloorSandStar00</t>
  </si>
  <si>
    <t>steel flooring</t>
  </si>
  <si>
    <t>FtrFishEiToy</t>
  </si>
  <si>
    <t>record box</t>
  </si>
  <si>
    <t>Sticker</t>
  </si>
  <si>
    <t>Iron</t>
  </si>
  <si>
    <t>FtrLampArm_Remake_2_0</t>
  </si>
  <si>
    <t>RoomTexFloorSteel00</t>
  </si>
  <si>
    <t>stone tile</t>
  </si>
  <si>
    <t>FtrRecordbox_Remake_0_0</t>
  </si>
  <si>
    <t>RoomTexFloorMarble00</t>
  </si>
  <si>
    <t>stripe flooring</t>
  </si>
  <si>
    <t>Logo</t>
  </si>
  <si>
    <t>FtrLampArm_Remake_3_0</t>
  </si>
  <si>
    <t>RoomTexFloorStripe00</t>
  </si>
  <si>
    <t>sumo ring</t>
  </si>
  <si>
    <t>FtrRecordbox_Remake_0_1</t>
  </si>
  <si>
    <t>Sunset</t>
  </si>
  <si>
    <t>RoomTexFloorArena00</t>
  </si>
  <si>
    <t>FtrLampArm_Remake_4_0</t>
  </si>
  <si>
    <t>swamp flooring</t>
  </si>
  <si>
    <t>FtrRecordbox_Remake_0_2</t>
  </si>
  <si>
    <t>RoomTexFloorBog00</t>
  </si>
  <si>
    <t>Various</t>
  </si>
  <si>
    <t>tatami</t>
  </si>
  <si>
    <t>FtrLampArm_Remake_5_0</t>
  </si>
  <si>
    <t>FtrRecordbox_Remake_0_3</t>
  </si>
  <si>
    <t>RoomTexFloorTatami00</t>
  </si>
  <si>
    <t>tatami flooring</t>
  </si>
  <si>
    <t>FtrRecordbox_Remake_1_0</t>
  </si>
  <si>
    <t>FtrLampArm_Remake_6_0</t>
  </si>
  <si>
    <t>RoomTexFloorTatamiPanel00</t>
  </si>
  <si>
    <t>terra-cotta flooring</t>
  </si>
  <si>
    <t>FtrRecordbox_Remake_1_1</t>
  </si>
  <si>
    <t>RoomTexFloorTileTerracotta00</t>
  </si>
  <si>
    <t>tiger-print flooring</t>
  </si>
  <si>
    <t>FtrLampArm_Remake_7_0</t>
  </si>
  <si>
    <t>foosball table</t>
  </si>
  <si>
    <t>FtrRecordbox_Remake_1_2</t>
  </si>
  <si>
    <t>RoomTexFloorAnimal03</t>
  </si>
  <si>
    <t>train-station flooring</t>
  </si>
  <si>
    <t>FtrTablesoccer_Remake_0_0</t>
  </si>
  <si>
    <t>FtrRecordbox_Remake_1_3</t>
  </si>
  <si>
    <t>RoomTexFloorPlatform00</t>
  </si>
  <si>
    <t>underwater flooring</t>
  </si>
  <si>
    <t>FtrTablesoccer_Remake_1_0</t>
  </si>
  <si>
    <t>FtrRecordbox_Remake_2_0</t>
  </si>
  <si>
    <t>RoomSpFloorFishTank00</t>
  </si>
  <si>
    <t>water flooring</t>
  </si>
  <si>
    <t>FtrTablesoccer_Remake_2_0</t>
  </si>
  <si>
    <t>fortune-cookie cart</t>
  </si>
  <si>
    <t>FtrRecordbox_Remake_2_1</t>
  </si>
  <si>
    <t>RoomSpFloorWater00</t>
  </si>
  <si>
    <t>western desert</t>
  </si>
  <si>
    <t>FtrRecordbox_Remake_2_2</t>
  </si>
  <si>
    <t>FtrCompassFortuneshop</t>
  </si>
  <si>
    <t>fountain</t>
  </si>
  <si>
    <t>RoomTexFloorWilderness00</t>
  </si>
  <si>
    <t>white honeycomb tile</t>
  </si>
  <si>
    <t>FtrRecordbox_Remake_2_3</t>
  </si>
  <si>
    <t>3x3</t>
  </si>
  <si>
    <t>FtrFountain_Remake_0_0</t>
  </si>
  <si>
    <t>RoomTexFloorHoneycomb03</t>
  </si>
  <si>
    <t>white iron-parquet flooring</t>
  </si>
  <si>
    <t>FtrRecordbox_Remake_3_0</t>
  </si>
  <si>
    <t>RoomTexFloorParquetIron03</t>
  </si>
  <si>
    <t>white mosaic-tile flooring</t>
  </si>
  <si>
    <t>FtrFountain_Remake_1_0</t>
  </si>
  <si>
    <t>FtrRecordbox_Remake_3_1</t>
  </si>
  <si>
    <t>RoomTexFloorTile00</t>
  </si>
  <si>
    <t>white-brick flooring</t>
  </si>
  <si>
    <t>FtrRecordbox_Remake_3_2</t>
  </si>
  <si>
    <t>FtrFountain_Remake_2_0</t>
  </si>
  <si>
    <t>RoomTexFloorBrick00</t>
  </si>
  <si>
    <t>white-chocolates flooring</t>
  </si>
  <si>
    <t>FtrRecordbox_Remake_3_3</t>
  </si>
  <si>
    <t>FtrFountain_Remake_3_0</t>
  </si>
  <si>
    <t>freezer</t>
  </si>
  <si>
    <t>RoomTexFloorChocolate01</t>
  </si>
  <si>
    <t>white-paint flooring</t>
  </si>
  <si>
    <t>FtrRecordbox_Remake_4_0</t>
  </si>
  <si>
    <t>FtrFreezer_Remake_0_0</t>
  </si>
  <si>
    <t>RoomTexFloorPaintWood03</t>
  </si>
  <si>
    <t>wildflower meadow</t>
  </si>
  <si>
    <t>FtrFreezer_Remake_1_0</t>
  </si>
  <si>
    <t>FtrRecordbox_Remake_4_1</t>
  </si>
  <si>
    <t>FtrFreezer_Remake_2_0</t>
  </si>
  <si>
    <t>RoomTexFloorGrassland01</t>
  </si>
  <si>
    <t>wooden-knot flooring</t>
  </si>
  <si>
    <t>FtrRecordbox_Remake_4_2</t>
  </si>
  <si>
    <t>FtrFreezer_Remake_3_0</t>
  </si>
  <si>
    <t>fresh cooler</t>
  </si>
  <si>
    <t>RoomTexFloorCedar00</t>
  </si>
  <si>
    <t>yellow floral flooring</t>
  </si>
  <si>
    <t>FtrRecordbox_Remake_4_3</t>
  </si>
  <si>
    <t>FtrEventobjFishBox</t>
  </si>
  <si>
    <t>frozen arch</t>
  </si>
  <si>
    <t>Ice</t>
  </si>
  <si>
    <t>RoomTexFloorDecoWood00</t>
  </si>
  <si>
    <t>Illumination</t>
  </si>
  <si>
    <t>zebra-print flooring</t>
  </si>
  <si>
    <t>FtrIceGate_Remake_0_0</t>
  </si>
  <si>
    <t>FtrRecordbox_Remake_5_0</t>
  </si>
  <si>
    <t>Ice blue</t>
  </si>
  <si>
    <t>RoomTexFloorAnimal02</t>
  </si>
  <si>
    <t>FtrIceGate_Remake_1_0</t>
  </si>
  <si>
    <t>FtrRecordbox_Remake_5_1</t>
  </si>
  <si>
    <t>Ice pink</t>
  </si>
  <si>
    <t>FtrIceGate_Remake_2_0</t>
  </si>
  <si>
    <t>Ice yellow</t>
  </si>
  <si>
    <t>FtrRecordbox_Remake_5_2</t>
  </si>
  <si>
    <t>FtrIceGate_Remake_3_0</t>
  </si>
  <si>
    <t>Ice orange</t>
  </si>
  <si>
    <t>FtrRecordbox_Remake_5_3</t>
  </si>
  <si>
    <t>FtrIceGate_Remake_4_0</t>
  </si>
  <si>
    <t>Ice green</t>
  </si>
  <si>
    <t>FtrRecordbox_Remake_6_0</t>
  </si>
  <si>
    <t>FtrIceGate_Remake_5_0</t>
  </si>
  <si>
    <t>Ice purple</t>
  </si>
  <si>
    <t>FtrIceGate_Remake_6_0</t>
  </si>
  <si>
    <t>FtrRecordbox_Remake_6_1</t>
  </si>
  <si>
    <t>frozen bed</t>
  </si>
  <si>
    <t>FtrIceBedW_Remake_0_0</t>
  </si>
  <si>
    <t>FtrRecordbox_Remake_6_2</t>
  </si>
  <si>
    <t>aluminum rug</t>
  </si>
  <si>
    <t>FtrIceBedW_Remake_0_1</t>
  </si>
  <si>
    <t xml:space="preserve">3x2 </t>
  </si>
  <si>
    <t>Medium rug</t>
  </si>
  <si>
    <t>FtrRecordbox_Remake_6_3</t>
  </si>
  <si>
    <t>Slender Rugs</t>
  </si>
  <si>
    <t>RugRectAluminumM00</t>
  </si>
  <si>
    <t>apple rug</t>
  </si>
  <si>
    <t>FtrIceBedW_Remake_0_2</t>
  </si>
  <si>
    <t>FtrRecordbox_Remake_7_0</t>
  </si>
  <si>
    <t xml:space="preserve">3x3 </t>
  </si>
  <si>
    <t>FtrIceBedW_Remake_0_3</t>
  </si>
  <si>
    <t>Fruit Rugs</t>
  </si>
  <si>
    <t>RugOtherAppleM00</t>
  </si>
  <si>
    <t>black blocks rug</t>
  </si>
  <si>
    <t>FtrIceBedW_Remake_1_0</t>
  </si>
  <si>
    <t>FtrRecordbox_Remake_7_1</t>
  </si>
  <si>
    <t>Pattern Rugs</t>
  </si>
  <si>
    <t>RugSquareBlockM03</t>
  </si>
  <si>
    <t>black wooden-deck rug</t>
  </si>
  <si>
    <t>FtrIceBedW_Remake_1_1</t>
  </si>
  <si>
    <t>Wood Rugs</t>
  </si>
  <si>
    <t>RugRectDeckM03</t>
  </si>
  <si>
    <t>FtrRecordbox_Remake_7_2</t>
  </si>
  <si>
    <t>black-design kitchen mat</t>
  </si>
  <si>
    <t>FtrIceBedW_Remake_1_2</t>
  </si>
  <si>
    <t>Small rug</t>
  </si>
  <si>
    <t>Kitchen Rugs</t>
  </si>
  <si>
    <t>RugRectNativeKitchenS03</t>
  </si>
  <si>
    <t>FtrIceBedW_Remake_1_3</t>
  </si>
  <si>
    <t>FtrRecordbox_Remake_7_3</t>
  </si>
  <si>
    <t>blue argyle rug</t>
  </si>
  <si>
    <t>recycled-can thumb piano</t>
  </si>
  <si>
    <t>Unlabeled can</t>
  </si>
  <si>
    <t>Can</t>
  </si>
  <si>
    <t xml:space="preserve">4x3 </t>
  </si>
  <si>
    <t>Large rug</t>
  </si>
  <si>
    <t>FtrIceBedW_Remake_2_0</t>
  </si>
  <si>
    <t>Slender Pattern Rugs</t>
  </si>
  <si>
    <t>FtrKalimbaCan_Remake_0_0</t>
  </si>
  <si>
    <t>RugRectArgyleL02</t>
  </si>
  <si>
    <t>blue blocks rug</t>
  </si>
  <si>
    <t>Canned olives</t>
  </si>
  <si>
    <t>FtrIceBedW_Remake_2_1</t>
  </si>
  <si>
    <t>RugSquareBlockM01</t>
  </si>
  <si>
    <t>FtrKalimbaCan_Remake_1_0</t>
  </si>
  <si>
    <t>blue dotted rug</t>
  </si>
  <si>
    <t>Canned fruit</t>
  </si>
  <si>
    <t>FtrIceBedW_Remake_2_2</t>
  </si>
  <si>
    <t>FtrKalimbaCan_Remake_2_0</t>
  </si>
  <si>
    <t>RugRectDotL03</t>
  </si>
  <si>
    <t>blue kilim-style carpet</t>
  </si>
  <si>
    <t>FtrIceBedW_Remake_2_3</t>
  </si>
  <si>
    <t>Canned fish</t>
  </si>
  <si>
    <t xml:space="preserve">5x5 </t>
  </si>
  <si>
    <t>FtrKalimbaCan_Remake_3_0</t>
  </si>
  <si>
    <t>RugSquareKirimL01</t>
  </si>
  <si>
    <t>FtrIceBedW_Remake_3_0</t>
  </si>
  <si>
    <t>Canned pasta sauce</t>
  </si>
  <si>
    <t>blue kitchen mat</t>
  </si>
  <si>
    <t>FtrKalimbaCan_Remake_4_0</t>
  </si>
  <si>
    <t>FtrIceBedW_Remake_3_1</t>
  </si>
  <si>
    <t>Canned pet food</t>
  </si>
  <si>
    <t>RugRectKitchenS02</t>
  </si>
  <si>
    <t>blue medium round mat</t>
  </si>
  <si>
    <t>FtrIceBedW_Remake_3_2</t>
  </si>
  <si>
    <t>FtrKalimbaCan_Remake_5_0</t>
  </si>
  <si>
    <t>red dragonfly model</t>
  </si>
  <si>
    <t>Shaggy Round Rugs</t>
  </si>
  <si>
    <t>RugRoundSimpleM02</t>
  </si>
  <si>
    <t>FtrIceBedW_Remake_3_3</t>
  </si>
  <si>
    <t>blue message mat</t>
  </si>
  <si>
    <t>FtrInsectAkiakaneToy</t>
  </si>
  <si>
    <t>red snapper model</t>
  </si>
  <si>
    <t>FtrIceBedW_Remake_4_0</t>
  </si>
  <si>
    <t>Message Mats</t>
  </si>
  <si>
    <t>RugOtherMessageS01</t>
  </si>
  <si>
    <t>blue Persian rug</t>
  </si>
  <si>
    <t>FtrFishTaiToy</t>
  </si>
  <si>
    <t>revolving spice rack</t>
  </si>
  <si>
    <t>FtrIceBedW_Remake_4_1</t>
  </si>
  <si>
    <t>FtrSeasoning_Remake_0_0</t>
  </si>
  <si>
    <t>RugSquarePersianL01</t>
  </si>
  <si>
    <t>blue shaggy rug</t>
  </si>
  <si>
    <t>FtrIceBedW_Remake_4_2</t>
  </si>
  <si>
    <t>FtrSeasoning_Remake_1_0</t>
  </si>
  <si>
    <t>RugSquareShaggyL02</t>
  </si>
  <si>
    <t>blue small round mat</t>
  </si>
  <si>
    <t>FtrSeasoning_Remake_2_0</t>
  </si>
  <si>
    <t>ribbon eel model</t>
  </si>
  <si>
    <t>FtrIceBedW_Remake_4_3</t>
  </si>
  <si>
    <t xml:space="preserve">2x2 </t>
  </si>
  <si>
    <t>RugRoundSimpleS02</t>
  </si>
  <si>
    <t>blue stripes rug</t>
  </si>
  <si>
    <t>FtrFishHanahigeutuboToy</t>
  </si>
  <si>
    <t>rice cooker</t>
  </si>
  <si>
    <t>FtrIceBedW_Remake_5_0</t>
  </si>
  <si>
    <t>RugRectBorderL02</t>
  </si>
  <si>
    <t>blue vinyl sheet</t>
  </si>
  <si>
    <t>FtrRiceCooker_Remake_0_0</t>
  </si>
  <si>
    <t>FtrIceBedW_Remake_5_1</t>
  </si>
  <si>
    <t>RugRectVinylM01</t>
  </si>
  <si>
    <t>blue wavy rug</t>
  </si>
  <si>
    <t>FtrIceBedW_Remake_5_2</t>
  </si>
  <si>
    <t>FtrRiceCooker_Remake_1_0</t>
  </si>
  <si>
    <t>RugRectWaveL02</t>
  </si>
  <si>
    <t>blue-design kitchen mat</t>
  </si>
  <si>
    <t>FtrIceBedW_Remake_5_3</t>
  </si>
  <si>
    <t>FtrRiceCooker_Remake_2_0</t>
  </si>
  <si>
    <t>FtrIceBedW_Remake_6_0</t>
  </si>
  <si>
    <t>RugRectNativeKitchenS01</t>
  </si>
  <si>
    <t>Berry red</t>
  </si>
  <si>
    <t>botanical rug</t>
  </si>
  <si>
    <t>FtrIceBedW_Remake_6_1</t>
  </si>
  <si>
    <t>RugRectBotanicalL00</t>
  </si>
  <si>
    <t>FtrRiceCooker_Remake_3_0</t>
  </si>
  <si>
    <t>brown argyle rug</t>
  </si>
  <si>
    <t>FtrIceBedW_Remake_6_2</t>
  </si>
  <si>
    <t>RugRectArgyleL03</t>
  </si>
  <si>
    <t>brown kitchen mat</t>
  </si>
  <si>
    <t>FtrRiceCooker_Remake_4_0</t>
  </si>
  <si>
    <t>rice grasshopper model</t>
  </si>
  <si>
    <t>RugRectKitchenS00</t>
  </si>
  <si>
    <t>brown shaggy rug</t>
  </si>
  <si>
    <t>FtrIceBedW_Remake_6_3</t>
  </si>
  <si>
    <t>frozen chair</t>
  </si>
  <si>
    <t>FtrInsectInagoToy</t>
  </si>
  <si>
    <t>RugSquareShaggyL01</t>
  </si>
  <si>
    <t>brown wooden-deck rug</t>
  </si>
  <si>
    <t>ring</t>
  </si>
  <si>
    <t>RugRectDeckM00</t>
  </si>
  <si>
    <t>Bunny Day rug</t>
  </si>
  <si>
    <t>FtrIceChairS_Remake_0_0</t>
  </si>
  <si>
    <t>FtrRing_Remake_0_0</t>
  </si>
  <si>
    <t>Icon Rugs</t>
  </si>
  <si>
    <t>RugOtherEasterM00</t>
  </si>
  <si>
    <t>cherry rug</t>
  </si>
  <si>
    <t>FtrRing_Remake_1_0</t>
  </si>
  <si>
    <t>RugOtherCherryM00</t>
  </si>
  <si>
    <t>colorful vinyl sheet</t>
  </si>
  <si>
    <t>FtrIceChairS_Remake_1_0</t>
  </si>
  <si>
    <t>RugRectVinylM00</t>
  </si>
  <si>
    <t>dark bamboo rug</t>
  </si>
  <si>
    <t>FtrRing_Remake_2_0</t>
  </si>
  <si>
    <t>RugRectBambooM01</t>
  </si>
  <si>
    <t>Earth rug</t>
  </si>
  <si>
    <t>FtrIceChairS_Remake_2_0</t>
  </si>
  <si>
    <t>RugRoundEarthM00</t>
  </si>
  <si>
    <t>FtrRing_Remake_3_0</t>
  </si>
  <si>
    <t>fish rug</t>
  </si>
  <si>
    <t>RugOtherFishM00</t>
  </si>
  <si>
    <t>fluffy rug</t>
  </si>
  <si>
    <t>FtrIceChairS_Remake_3_0</t>
  </si>
  <si>
    <t>RugOtherCloudM00</t>
  </si>
  <si>
    <t>FtrRing_Remake_4_0</t>
  </si>
  <si>
    <t>fossil rug</t>
  </si>
  <si>
    <t>Park Rugs</t>
  </si>
  <si>
    <t>RugOtherFossilM00</t>
  </si>
  <si>
    <t>FtrIceChairS_Remake_4_0</t>
  </si>
  <si>
    <t>green checked rug</t>
  </si>
  <si>
    <t xml:space="preserve">4x4 </t>
  </si>
  <si>
    <t>FtrRing_Remake_5_0</t>
  </si>
  <si>
    <t>RugSquareCheckQuiltL03</t>
  </si>
  <si>
    <t>green kilim-style carpet</t>
  </si>
  <si>
    <t>FtrIceChairS_Remake_5_0</t>
  </si>
  <si>
    <t>RugSquareKirimL02</t>
  </si>
  <si>
    <t>green kitchen mat</t>
  </si>
  <si>
    <t>RugRectKitchenS03</t>
  </si>
  <si>
    <t>FtrRing_Remake_6_0</t>
  </si>
  <si>
    <t>green shaggy rug</t>
  </si>
  <si>
    <t>FtrIceChairS_Remake_6_0</t>
  </si>
  <si>
    <t>RugSquareShaggyL00</t>
  </si>
  <si>
    <t>frozen counter</t>
  </si>
  <si>
    <t>green stripes rug</t>
  </si>
  <si>
    <t>FtrRing_Remake_7_0</t>
  </si>
  <si>
    <t>ringtoss</t>
  </si>
  <si>
    <t>RugRectBorderL03</t>
  </si>
  <si>
    <t>iron entrance mat</t>
  </si>
  <si>
    <t>FtrIceCounter_Remake_0_0</t>
  </si>
  <si>
    <t>RugRectIronmatS00</t>
  </si>
  <si>
    <t>ivory medium round mat</t>
  </si>
  <si>
    <t>FtrQuoits_Remake_0_0</t>
  </si>
  <si>
    <t>FtrIceCounter_Remake_1_0</t>
  </si>
  <si>
    <t>RugRoundSimpleM00</t>
  </si>
  <si>
    <t>ivory simple bath mat</t>
  </si>
  <si>
    <t>FtrQuoits_Remake_1_0</t>
  </si>
  <si>
    <t>RugRectBathmatS00</t>
  </si>
  <si>
    <t>ivory small round mat</t>
  </si>
  <si>
    <t>FtrIceCounter_Remake_2_0</t>
  </si>
  <si>
    <t>RugRoundSimpleS00</t>
  </si>
  <si>
    <t>lacy rug</t>
  </si>
  <si>
    <t>RugRoundLaceM00</t>
  </si>
  <si>
    <t>FtrQuoits_Remake_2_0</t>
  </si>
  <si>
    <t>ladybug rug</t>
  </si>
  <si>
    <t>FtrIceCounter_Remake_3_0</t>
  </si>
  <si>
    <t>RugRoundLadybirdM00</t>
  </si>
  <si>
    <t>light bamboo rug</t>
  </si>
  <si>
    <t>RugRectBambooM00</t>
  </si>
  <si>
    <t>magic-circle rug</t>
  </si>
  <si>
    <t>FtrIceCounter_Remake_4_0</t>
  </si>
  <si>
    <t>FtrQuoits_Remake_3_0</t>
  </si>
  <si>
    <t>robust cicada model</t>
  </si>
  <si>
    <t>RugRoundMagicM00</t>
  </si>
  <si>
    <t>modern wavy rug</t>
  </si>
  <si>
    <t>RugRectWaveL00</t>
  </si>
  <si>
    <t>FtrIceCounter_Remake_5_0</t>
  </si>
  <si>
    <t>Mom's cool kitchen mat</t>
  </si>
  <si>
    <t>FtrInsectMinminzemiToy</t>
  </si>
  <si>
    <t>rosalia batesi beetle model</t>
  </si>
  <si>
    <t>RugRectMomS00</t>
  </si>
  <si>
    <t>Mom's lively kitchen mat</t>
  </si>
  <si>
    <t>FtrIceCounter_Remake_6_0</t>
  </si>
  <si>
    <t>frozen partition</t>
  </si>
  <si>
    <t>RugRectMomS02</t>
  </si>
  <si>
    <t>Mom's playful kitchen mat</t>
  </si>
  <si>
    <t>FtrInsectRuriboshikamikiriToy</t>
  </si>
  <si>
    <t>rotary phone</t>
  </si>
  <si>
    <t>RugRectMomS01</t>
  </si>
  <si>
    <t>Mom's reliable kitchen mat</t>
  </si>
  <si>
    <t>FtrIceScreen_Remake_0_0</t>
  </si>
  <si>
    <t>RugRectMomS03</t>
  </si>
  <si>
    <t>monochromatic dotted rug</t>
  </si>
  <si>
    <t>FtrPhoneDial_Remake_0_0</t>
  </si>
  <si>
    <t>RugRectDotL00</t>
  </si>
  <si>
    <t>monochromatic wavy rug</t>
  </si>
  <si>
    <t>FtrIceScreen_Remake_1_0</t>
  </si>
  <si>
    <t>RugRectWaveL01</t>
  </si>
  <si>
    <t>mush rug</t>
  </si>
  <si>
    <t>RugOtherMushM00</t>
  </si>
  <si>
    <t>FtrPhoneDial_Remake_1_0</t>
  </si>
  <si>
    <t>natural wooden-deck rug</t>
  </si>
  <si>
    <t>FtrIceScreen_Remake_2_0</t>
  </si>
  <si>
    <t>RugRectDeckM01</t>
  </si>
  <si>
    <t>Nook Inc. botanical rug</t>
  </si>
  <si>
    <t>RugOtherTanukiM00</t>
  </si>
  <si>
    <t>Nook Inc. rug</t>
  </si>
  <si>
    <t>FtrPhoneDial_Remake_2_0</t>
  </si>
  <si>
    <t>FtrIceScreen_Remake_3_0</t>
  </si>
  <si>
    <t>RugOtherLeafM00</t>
  </si>
  <si>
    <t>Nook Inc. silk rug</t>
  </si>
  <si>
    <t>4x3</t>
  </si>
  <si>
    <t>RugRectTanukiL00</t>
  </si>
  <si>
    <t>orange rug</t>
  </si>
  <si>
    <t>FtrIceScreen_Remake_4_0</t>
  </si>
  <si>
    <t>FtrPhoneDial_Remake_3_0</t>
  </si>
  <si>
    <t>RugOtherOrangeM00</t>
  </si>
  <si>
    <t>oval entrance mat</t>
  </si>
  <si>
    <t>FtrIceScreen_Remake_5_0</t>
  </si>
  <si>
    <t>RugOtherCountryS00</t>
  </si>
  <si>
    <t>peach checked rug</t>
  </si>
  <si>
    <t>RugSquareCheckQuiltL02</t>
  </si>
  <si>
    <t>FtrIceScreen_Remake_6_0</t>
  </si>
  <si>
    <t>peach rug</t>
  </si>
  <si>
    <t>frozen pillar</t>
  </si>
  <si>
    <t>FtrPhoneDial_Remake_4_0</t>
  </si>
  <si>
    <t>RugOtherPeachM00</t>
  </si>
  <si>
    <t>peach stripes rug</t>
  </si>
  <si>
    <t>FtrIcePillar_Remake_0_0</t>
  </si>
  <si>
    <t>RugRectBorderL01</t>
  </si>
  <si>
    <t>pear rug</t>
  </si>
  <si>
    <t>FtrPhoneDial_Remake_5_0</t>
  </si>
  <si>
    <t>RugOtherPearM00</t>
  </si>
  <si>
    <t>pink heart rug</t>
  </si>
  <si>
    <t>FtrIcePillar_Remake_1_0</t>
  </si>
  <si>
    <t>Heart Rugs</t>
  </si>
  <si>
    <t>RugOtherHeartM00</t>
  </si>
  <si>
    <t>pink rose rug</t>
  </si>
  <si>
    <t>Rose Rug</t>
  </si>
  <si>
    <t>RugOtherRoseM00</t>
  </si>
  <si>
    <t>purple heart rug</t>
  </si>
  <si>
    <t>FtrIcePillar_Remake_2_0</t>
  </si>
  <si>
    <t>FtrPhoneDial_Remake_6_0</t>
  </si>
  <si>
    <t>RugOtherHeartM02</t>
  </si>
  <si>
    <t>purple Persian rug</t>
  </si>
  <si>
    <t>RugSquarePersianL03</t>
  </si>
  <si>
    <t>purple shaggy rug</t>
  </si>
  <si>
    <t>FtrIcePillar_Remake_3_0</t>
  </si>
  <si>
    <t>FtrPhoneDial_Remake_7_0</t>
  </si>
  <si>
    <t>saddled bichir model</t>
  </si>
  <si>
    <t>RugSquareShaggyL03</t>
  </si>
  <si>
    <t>red argyle rug</t>
  </si>
  <si>
    <t>RugRectArgyleL01</t>
  </si>
  <si>
    <t>FtrIcePillar_Remake_4_0</t>
  </si>
  <si>
    <t>red blocks rug</t>
  </si>
  <si>
    <t>RugSquareBlockM00</t>
  </si>
  <si>
    <t>red carpet</t>
  </si>
  <si>
    <t>FtrFishEndorikeriiToy</t>
  </si>
  <si>
    <t>FtrIcePillar_Remake_5_0</t>
  </si>
  <si>
    <t>salmon model</t>
  </si>
  <si>
    <t>RugRectElegantM00</t>
  </si>
  <si>
    <t>red dotted rug</t>
  </si>
  <si>
    <t>FtrIcePillar_Remake_6_0</t>
  </si>
  <si>
    <t>frozen sculpture</t>
  </si>
  <si>
    <t>RugRectDotL02</t>
  </si>
  <si>
    <t>red kilim-style carpet</t>
  </si>
  <si>
    <t>FtrFishSakeToy</t>
  </si>
  <si>
    <t>saw shark model</t>
  </si>
  <si>
    <t>RugSquareKirimL00</t>
  </si>
  <si>
    <t>red medium round mat</t>
  </si>
  <si>
    <t>FtrIceArt_Remake_0_0</t>
  </si>
  <si>
    <t>FtrFishNokogirizameToy</t>
  </si>
  <si>
    <t>RugRoundSimpleM01</t>
  </si>
  <si>
    <t>saw stag model</t>
  </si>
  <si>
    <t>red message mat</t>
  </si>
  <si>
    <t>FtrIceArt_Remake_1_0</t>
  </si>
  <si>
    <t>RugOtherMessageS03</t>
  </si>
  <si>
    <t>red Persian rug</t>
  </si>
  <si>
    <t>FtrInsectNokogirikuwagataToy</t>
  </si>
  <si>
    <t>scarab beetle model</t>
  </si>
  <si>
    <t>RugSquarePersianL00</t>
  </si>
  <si>
    <t>FtrIceArt_Remake_2_0</t>
  </si>
  <si>
    <t>red rose rug</t>
  </si>
  <si>
    <t>FtrInsectPurachinakoganeToy</t>
  </si>
  <si>
    <t>Scorpio lamp</t>
  </si>
  <si>
    <t>RugOtherRoseM01</t>
  </si>
  <si>
    <t>red small round mat</t>
  </si>
  <si>
    <t>FtrIceArt_Remake_3_0</t>
  </si>
  <si>
    <t>RugRoundSimpleS01</t>
  </si>
  <si>
    <t>red vinyl sheet</t>
  </si>
  <si>
    <t>FtrZodiacScorpio</t>
  </si>
  <si>
    <t>scorpion model</t>
  </si>
  <si>
    <t>FtrIceArt_Remake_4_0</t>
  </si>
  <si>
    <t>RugRectVinylM02</t>
  </si>
  <si>
    <t>red wavy rug</t>
  </si>
  <si>
    <t>FtrInsectSasoriToy</t>
  </si>
  <si>
    <t>sea bass model</t>
  </si>
  <si>
    <t>RugRectWaveL03</t>
  </si>
  <si>
    <t>red-and-blue checked rug</t>
  </si>
  <si>
    <t>FtrIceArt_Remake_5_0</t>
  </si>
  <si>
    <t>RugSquareCheckQuiltL00</t>
  </si>
  <si>
    <t>red-design kitchen mat</t>
  </si>
  <si>
    <t>FtrFishSuzukiToy</t>
  </si>
  <si>
    <t>sea butterfly model</t>
  </si>
  <si>
    <t>FtrIceArt_Remake_6_0</t>
  </si>
  <si>
    <t>frozen table</t>
  </si>
  <si>
    <t>RugRectNativeKitchenS00</t>
  </si>
  <si>
    <t>retro dotted rug</t>
  </si>
  <si>
    <t>RugRectDotL01</t>
  </si>
  <si>
    <t>rough rug</t>
  </si>
  <si>
    <t>FtrFishKurioneToy</t>
  </si>
  <si>
    <t>sea globe</t>
  </si>
  <si>
    <t>FtrIceTableL_Remake_0_0</t>
  </si>
  <si>
    <t>RugRectDoormatS00</t>
  </si>
  <si>
    <t>rubber mud mat</t>
  </si>
  <si>
    <t>FtrSeaglobe</t>
  </si>
  <si>
    <t>sea horse model</t>
  </si>
  <si>
    <t>FtrIceTableL_Remake_1_0</t>
  </si>
  <si>
    <t>RugRectRubberScraperS00</t>
  </si>
  <si>
    <t>shanty mat</t>
  </si>
  <si>
    <t>FtrIceTableL_Remake_2_0</t>
  </si>
  <si>
    <t>Simple Rugs</t>
  </si>
  <si>
    <t>FtrFishTatsunootoshigoToy</t>
  </si>
  <si>
    <t>RugSquareOldStrawL00</t>
  </si>
  <si>
    <t>sewing machine</t>
  </si>
  <si>
    <t>shell rug</t>
  </si>
  <si>
    <t>RugOtherShellM00</t>
  </si>
  <si>
    <t>simple green bath mat</t>
  </si>
  <si>
    <t>FtrIceTableL_Remake_3_0</t>
  </si>
  <si>
    <t>Sewing Table</t>
  </si>
  <si>
    <t>FtrSewingmachine_Remake_0_0</t>
  </si>
  <si>
    <t>RugRectBathmatS03</t>
  </si>
  <si>
    <t>simple medium avocado mat</t>
  </si>
  <si>
    <t>FtrIceTableL_Remake_4_0</t>
  </si>
  <si>
    <t>RugSquareSimpleM03</t>
  </si>
  <si>
    <t>FtrSewingmachine_Remake_1_0</t>
  </si>
  <si>
    <t>simple medium black mat</t>
  </si>
  <si>
    <t>FtrIceTableL_Remake_5_0</t>
  </si>
  <si>
    <t>RugSquareSimpleM07</t>
  </si>
  <si>
    <t>simple medium blue mat</t>
  </si>
  <si>
    <t>FtrSewingmachine_Remake_2_0</t>
  </si>
  <si>
    <t>RugSquareSimpleM02</t>
  </si>
  <si>
    <t>simple medium brown mat</t>
  </si>
  <si>
    <t>FtrSewingmachine_Remake_3_0</t>
  </si>
  <si>
    <t>FtrIceTableL_Remake_6_0</t>
  </si>
  <si>
    <t>RugSquareSimpleM01</t>
  </si>
  <si>
    <t>simple medium orange mat</t>
  </si>
  <si>
    <t>frozen tree</t>
  </si>
  <si>
    <t>RugSquareSimpleM05</t>
  </si>
  <si>
    <t>simple medium purple mat</t>
  </si>
  <si>
    <t>FtrSewingmachine_Remake_4_0</t>
  </si>
  <si>
    <t>FtrIceTree_Remake_0_0</t>
  </si>
  <si>
    <t>RugSquareSimpleM06</t>
  </si>
  <si>
    <t>simple medium red mat</t>
  </si>
  <si>
    <t>FtrIceTree_Remake_1_0</t>
  </si>
  <si>
    <t>FtrSewingmachine_Remake_5_0</t>
  </si>
  <si>
    <t>RugSquareSimpleM04</t>
  </si>
  <si>
    <t>simple navy bath mat</t>
  </si>
  <si>
    <t>RugRectBathmatS01</t>
  </si>
  <si>
    <t>simple pink bath mat</t>
  </si>
  <si>
    <t>FtrIceTree_Remake_2_0</t>
  </si>
  <si>
    <t>FtrSewingmachine_Remake_6_0</t>
  </si>
  <si>
    <t>sewing project</t>
  </si>
  <si>
    <t>RugRectBathmatS02</t>
  </si>
  <si>
    <t>simple small avocado mat</t>
  </si>
  <si>
    <t>FtrIceTree_Remake_3_0</t>
  </si>
  <si>
    <t>RugSquareSimpleS03</t>
  </si>
  <si>
    <t>simple small black mat</t>
  </si>
  <si>
    <t>FtrSewingset_Remake_0_0</t>
  </si>
  <si>
    <t>FtrIceTree_Remake_4_0</t>
  </si>
  <si>
    <t>RugSquareSimpleS07</t>
  </si>
  <si>
    <t>simple small blue mat</t>
  </si>
  <si>
    <t>FtrIceTree_Remake_5_0</t>
  </si>
  <si>
    <t>RugSquareSimpleS02</t>
  </si>
  <si>
    <t>simple small brown mat</t>
  </si>
  <si>
    <t>FtrSewingset_Remake_1_0</t>
  </si>
  <si>
    <t>FtrIceTree_Remake_6_0</t>
  </si>
  <si>
    <t>futon</t>
  </si>
  <si>
    <t>RugSquareSimpleS01</t>
  </si>
  <si>
    <t>simple small orange mat</t>
  </si>
  <si>
    <t>FtrFuton_Remake_0_0</t>
  </si>
  <si>
    <t>RugSquareSimpleS05</t>
  </si>
  <si>
    <t>simple small purple mat</t>
  </si>
  <si>
    <t>FtrSewingset_Remake_2_0</t>
  </si>
  <si>
    <t>RugSquareSimpleS06</t>
  </si>
  <si>
    <t>simple small red mat</t>
  </si>
  <si>
    <t>FtrFuton_Remake_0_1</t>
  </si>
  <si>
    <t>RugSquareSimpleS04</t>
  </si>
  <si>
    <t>sloppy rug</t>
  </si>
  <si>
    <t>FtrSewingset_Remake_3_0</t>
  </si>
  <si>
    <t>RugOtherSloppyL00</t>
  </si>
  <si>
    <t>snowflake rug</t>
  </si>
  <si>
    <t>FtrFuton_Remake_0_2</t>
  </si>
  <si>
    <t>RugRoundSnowM00</t>
  </si>
  <si>
    <t>tatami mat</t>
  </si>
  <si>
    <t>FtrSewingset_Remake_4_0</t>
  </si>
  <si>
    <t>RugRectTatamiM00</t>
  </si>
  <si>
    <t>tropical rug</t>
  </si>
  <si>
    <t>FtrFuton_Remake_0_3</t>
  </si>
  <si>
    <t>garbage bin</t>
  </si>
  <si>
    <t>FtrSewingset_Remake_5_0</t>
  </si>
  <si>
    <t>shaved-ice maker</t>
  </si>
  <si>
    <t>RugRoundIslandM00</t>
  </si>
  <si>
    <t>turquoise heart rug</t>
  </si>
  <si>
    <t>FtrPaleCaster_Remake_0_0</t>
  </si>
  <si>
    <t>RugOtherHeartM01</t>
  </si>
  <si>
    <t>white heart rug</t>
  </si>
  <si>
    <t>FtrIcemachine_Remake_0_0</t>
  </si>
  <si>
    <t>RugOtherHeartM03</t>
  </si>
  <si>
    <t>white message mat</t>
  </si>
  <si>
    <t>FtrPaleCaster_Remake_1_0</t>
  </si>
  <si>
    <t>RugOtherMessageS00</t>
  </si>
  <si>
    <t>white rose rug</t>
  </si>
  <si>
    <t>FtrIcemachine_Remake_1_0</t>
  </si>
  <si>
    <t>shell lamp</t>
  </si>
  <si>
    <t>Shell color</t>
  </si>
  <si>
    <t>RugOtherRoseM03</t>
  </si>
  <si>
    <t>white simple medium mat</t>
  </si>
  <si>
    <t>FtrShellLamp_Remake_0_0</t>
  </si>
  <si>
    <t>FtrPaleCaster_Remake_2_0</t>
  </si>
  <si>
    <t>RugSquareSimpleM00</t>
  </si>
  <si>
    <t>white simple small mat</t>
  </si>
  <si>
    <t>FtrShellLamp_Remake_1_0</t>
  </si>
  <si>
    <t>RugSquareSimpleS00</t>
  </si>
  <si>
    <t>white wooden-deck rug</t>
  </si>
  <si>
    <t>FtrPaleCaster_Remake_3_0</t>
  </si>
  <si>
    <t>RugRectDeckM02</t>
  </si>
  <si>
    <t>yellow argyle rug</t>
  </si>
  <si>
    <t>FtrShellLamp_Remake_2_0</t>
  </si>
  <si>
    <t>RugRectArgyleL00</t>
  </si>
  <si>
    <t>yellow blocks rug</t>
  </si>
  <si>
    <t>FtrShellLamp_Remake_3_0</t>
  </si>
  <si>
    <t>FtrPaleCaster_Remake_4_0</t>
  </si>
  <si>
    <t>RugSquareBlockM02</t>
  </si>
  <si>
    <t>yellow checked rug</t>
  </si>
  <si>
    <t>FtrShellLamp_Remake_4_0</t>
  </si>
  <si>
    <t>RugSquareCheckQuiltL01</t>
  </si>
  <si>
    <t>yellow kilim-style carpet</t>
  </si>
  <si>
    <t>Pearl</t>
  </si>
  <si>
    <t>RugSquareKirimL03</t>
  </si>
  <si>
    <t>yellow kitchen mat</t>
  </si>
  <si>
    <t>FtrPaleCaster_Remake_5_0</t>
  </si>
  <si>
    <t>FtrShellLamp_Remake_5_0</t>
  </si>
  <si>
    <t>RugRectKitchenS01</t>
  </si>
  <si>
    <t>yellow medium round mat</t>
  </si>
  <si>
    <t>shell speaker</t>
  </si>
  <si>
    <t>RugRoundSimpleM03</t>
  </si>
  <si>
    <t>yellow message mat</t>
  </si>
  <si>
    <t>FtrPaleCaster_Remake_6_0</t>
  </si>
  <si>
    <t>FtrShellMusic_Remake_0_0</t>
  </si>
  <si>
    <t>garbage can</t>
  </si>
  <si>
    <t>RugOtherMessageS02</t>
  </si>
  <si>
    <t>yellow Persian rug</t>
  </si>
  <si>
    <t>FtrShellMusic_Remake_1_0</t>
  </si>
  <si>
    <t>RugSquarePersianL02</t>
  </si>
  <si>
    <t>yellow rose rug</t>
  </si>
  <si>
    <t>FtrPaleTinplate</t>
  </si>
  <si>
    <t>garbage pail</t>
  </si>
  <si>
    <t>FtrShellMusic_Remake_2_0</t>
  </si>
  <si>
    <t>RugOtherRoseM02</t>
  </si>
  <si>
    <t>yellow small round mat</t>
  </si>
  <si>
    <t>RugRoundSimpleS03</t>
  </si>
  <si>
    <t>yellow stripes rug</t>
  </si>
  <si>
    <t>FtrShellMusic_Remake_3_0</t>
  </si>
  <si>
    <t>FtrPale</t>
  </si>
  <si>
    <t>garden bench</t>
  </si>
  <si>
    <t>RugRectBorderL00</t>
  </si>
  <si>
    <t>yellow vinyl sheet</t>
  </si>
  <si>
    <t>FtrShellMusic_Remake_4_0</t>
  </si>
  <si>
    <t>RugRectVinylM03</t>
  </si>
  <si>
    <t>yellow-design kitchen mat</t>
  </si>
  <si>
    <t>FtrParkbenche_Remake_0_0</t>
  </si>
  <si>
    <t>FtrShellMusic_Remake_5_0</t>
  </si>
  <si>
    <t>silver bug trophy</t>
  </si>
  <si>
    <t>RugRectNativeKitchenS02</t>
  </si>
  <si>
    <t>FtrTrophyInsectSilver</t>
  </si>
  <si>
    <t>FtrParkbenche_Remake_1_0</t>
  </si>
  <si>
    <t>silver fish trophy</t>
  </si>
  <si>
    <t>FtrParkbenche_Remake_2_0</t>
  </si>
  <si>
    <t>FtrTrophyFishSilver</t>
  </si>
  <si>
    <t>silver HHA trophy</t>
  </si>
  <si>
    <t>FtrParkbenche_Remake_3_0</t>
  </si>
  <si>
    <t>FtrTrophyHhaSilver</t>
  </si>
  <si>
    <t>FtrParkbenche_Remake_4_0</t>
  </si>
  <si>
    <t>simple kettle</t>
  </si>
  <si>
    <t>bamboo lattice fence</t>
  </si>
  <si>
    <t>FtrParkbenche_Remake_5_0</t>
  </si>
  <si>
    <t>garden faucet</t>
  </si>
  <si>
    <t>FtrKettle_Remake_0_0</t>
  </si>
  <si>
    <t>Nook Miles Exchange</t>
  </si>
  <si>
    <t>Red brick</t>
  </si>
  <si>
    <t>ItemFenceBamboo</t>
  </si>
  <si>
    <t>barbed-wire fence</t>
  </si>
  <si>
    <t>ItemFenceBarbedWire</t>
  </si>
  <si>
    <t>brick fence</t>
  </si>
  <si>
    <t>FtrWaterview_Remake_0_0</t>
  </si>
  <si>
    <t>FtrKettle_Remake_1_0</t>
  </si>
  <si>
    <t>Mosaic tile</t>
  </si>
  <si>
    <t>ItemFenceWallRenga</t>
  </si>
  <si>
    <t>Bunny Day fence</t>
  </si>
  <si>
    <t>ItemFenceEgg</t>
  </si>
  <si>
    <t>corral fence</t>
  </si>
  <si>
    <t>FtrWaterview_Remake_1_0</t>
  </si>
  <si>
    <t>FtrKettle_Remake_2_0</t>
  </si>
  <si>
    <t>ItemFenceHorizontalWood</t>
  </si>
  <si>
    <t>country fence</t>
  </si>
  <si>
    <t>ItemFenceLog</t>
  </si>
  <si>
    <t>FtrWaterview_Remake_2_0</t>
  </si>
  <si>
    <t>imperial fence</t>
  </si>
  <si>
    <t>Concrete</t>
  </si>
  <si>
    <t>FtrKettle_Remake_3_0</t>
  </si>
  <si>
    <t>ItemFenceChinese</t>
  </si>
  <si>
    <t>iron fence</t>
  </si>
  <si>
    <t>ItemFenceSteel</t>
  </si>
  <si>
    <t>FtrWaterview_Remake_3_0</t>
  </si>
  <si>
    <t>iron-and-stone fence</t>
  </si>
  <si>
    <t>Stainless</t>
  </si>
  <si>
    <t>ItemFenceIronAndStone</t>
  </si>
  <si>
    <t>FtrKettle_Remake_4_0</t>
  </si>
  <si>
    <t>lattice fence</t>
  </si>
  <si>
    <t>FtrWaterview_Remake_4_0</t>
  </si>
  <si>
    <t>garden lantern</t>
  </si>
  <si>
    <t>ItemFenceLatiiceNatural</t>
  </si>
  <si>
    <t>rope fence</t>
  </si>
  <si>
    <t>FtrKettle_Remake_5_0</t>
  </si>
  <si>
    <t>ItemFencePegRope</t>
  </si>
  <si>
    <t>simple wooden fence</t>
  </si>
  <si>
    <t>ItemFenceNatural</t>
  </si>
  <si>
    <t>spiky fence</t>
  </si>
  <si>
    <t>FtrLampGarden_Remake_0_0</t>
  </si>
  <si>
    <t>FtrKettle_Remake_6_0</t>
  </si>
  <si>
    <t>snail model</t>
  </si>
  <si>
    <t>ItemFenceSharply</t>
  </si>
  <si>
    <t>stone fence</t>
  </si>
  <si>
    <t>ItemFenceStone</t>
  </si>
  <si>
    <t>FtrLampGarden_Remake_1_0</t>
  </si>
  <si>
    <t>straw fence</t>
  </si>
  <si>
    <t>FtrInsectKatatsumuriToy</t>
  </si>
  <si>
    <t>snapping turtle model</t>
  </si>
  <si>
    <t>Bronze</t>
  </si>
  <si>
    <t>ItemFenceDriedStraw</t>
  </si>
  <si>
    <t>vertical-board fence</t>
  </si>
  <si>
    <t>ItemFenceVerticalWood</t>
  </si>
  <si>
    <t>zen fence</t>
  </si>
  <si>
    <t>FtrLampGarden_Remake_2_0</t>
  </si>
  <si>
    <t>garden rock</t>
  </si>
  <si>
    <t>FtrFishKamitsukigameToy</t>
  </si>
  <si>
    <t>ItemFenceJapanese</t>
  </si>
  <si>
    <t>snow globe</t>
  </si>
  <si>
    <t>FtrGardenrock</t>
  </si>
  <si>
    <t>garden wagon</t>
  </si>
  <si>
    <t>FtrSnowglobe</t>
  </si>
  <si>
    <t>soft-shelled turtle model</t>
  </si>
  <si>
    <t>FtrGardenwagon_Remake_0_0</t>
  </si>
  <si>
    <t>FtrFishSupponToy</t>
  </si>
  <si>
    <t>FtrGardenwagon_Remake_1_0</t>
  </si>
  <si>
    <t>soup kettle</t>
  </si>
  <si>
    <t>Customize</t>
  </si>
  <si>
    <t>Corn soup</t>
  </si>
  <si>
    <t>Admiral's photo</t>
  </si>
  <si>
    <t>FtrGardenwagon_Remake_2_0</t>
  </si>
  <si>
    <t>FtrSoupjar_Remake_0_0</t>
  </si>
  <si>
    <t>High Friendship</t>
  </si>
  <si>
    <t>Cream stew</t>
  </si>
  <si>
    <t>BromideNpcNmlBrd06_Remake_0_0</t>
  </si>
  <si>
    <t>FtrGardenwagon_Remake_3_0</t>
  </si>
  <si>
    <t>gas range</t>
  </si>
  <si>
    <t>FtrSoupjar_Remake_1_0</t>
  </si>
  <si>
    <t>BromideNpcNmlBrd06_Remake_1_0</t>
  </si>
  <si>
    <t>Curry</t>
  </si>
  <si>
    <t>FtrKitchenOven_Remake_0_0</t>
  </si>
  <si>
    <t>BromideNpcNmlBrd06_Remake_2_0</t>
  </si>
  <si>
    <t>FtrSoupjar_Remake_2_0</t>
  </si>
  <si>
    <t>Minestrone</t>
  </si>
  <si>
    <t>FtrKitchenOven_Remake_1_0</t>
  </si>
  <si>
    <t>BromideNpcNmlBrd06_Remake_3_0</t>
  </si>
  <si>
    <t>FtrSoupjar_Remake_3_0</t>
  </si>
  <si>
    <t>Borscht</t>
  </si>
  <si>
    <t>BromideNpcNmlBrd06_Remake_4_0</t>
  </si>
  <si>
    <t>FtrKitchenOven_Remake_2_0</t>
  </si>
  <si>
    <t>FtrSoupjar_Remake_4_0</t>
  </si>
  <si>
    <t>BromideNpcNmlBrd06_Remake_5_0</t>
  </si>
  <si>
    <t>Green curry</t>
  </si>
  <si>
    <t>FtrKitchenOven_Remake_3_0</t>
  </si>
  <si>
    <t>FtrSoupjar_Remake_5_0</t>
  </si>
  <si>
    <t>BromideNpcNmlBrd06_Remake_6_0</t>
  </si>
  <si>
    <t>Hot-and-sour soup</t>
  </si>
  <si>
    <t>FtrKitchenOven_Remake_4_0</t>
  </si>
  <si>
    <t>Gemini closet</t>
  </si>
  <si>
    <t>BromideNpcNmlBrd06_Remake_7_0</t>
  </si>
  <si>
    <t>Agent S's photo</t>
  </si>
  <si>
    <t>FtrSoupjar_Remake_6_0</t>
  </si>
  <si>
    <t>Congee</t>
  </si>
  <si>
    <t>FtrZodiacGemini</t>
  </si>
  <si>
    <t>giant teddy bear</t>
  </si>
  <si>
    <t>BromideNpcNmlSqu05_Remake_0_0</t>
  </si>
  <si>
    <t>Ribbon</t>
  </si>
  <si>
    <t>FtrSoupjar_Remake_7_0</t>
  </si>
  <si>
    <t>spider model</t>
  </si>
  <si>
    <t>FtrBearXL_Remake_0_0</t>
  </si>
  <si>
    <t>BromideNpcNmlSqu05_Remake_1_0</t>
  </si>
  <si>
    <t>FtrInsectKumoToy</t>
  </si>
  <si>
    <t>squid model</t>
  </si>
  <si>
    <t>BromideNpcNmlSqu05_Remake_2_0</t>
  </si>
  <si>
    <t>FtrBearXL_Remake_0_1</t>
  </si>
  <si>
    <t>BromideNpcNmlSqu05_Remake_3_0</t>
  </si>
  <si>
    <t>FtrFishIkaToy</t>
  </si>
  <si>
    <t>Giant dots</t>
  </si>
  <si>
    <t>stack of books</t>
  </si>
  <si>
    <t>Literature</t>
  </si>
  <si>
    <t>Genre</t>
  </si>
  <si>
    <t>FtrBearXL_Remake_0_2</t>
  </si>
  <si>
    <t>BromideNpcNmlSqu05_Remake_4_0</t>
  </si>
  <si>
    <t>Giant stripes</t>
  </si>
  <si>
    <t>FtrBooks_Remake_0_0</t>
  </si>
  <si>
    <t>FtrBearXL_Remake_0_3</t>
  </si>
  <si>
    <t>BromideNpcNmlSqu05_Remake_5_0</t>
  </si>
  <si>
    <t>FtrBooks_Remake_1_0</t>
  </si>
  <si>
    <t>Reference</t>
  </si>
  <si>
    <t>FtrBearXL_Remake_1_0</t>
  </si>
  <si>
    <t>BromideNpcNmlSqu05_Remake_6_0</t>
  </si>
  <si>
    <t>FtrBooks_Remake_2_0</t>
  </si>
  <si>
    <t>FtrBearXL_Remake_1_1</t>
  </si>
  <si>
    <t>BromideNpcNmlSqu05_Remake_7_0</t>
  </si>
  <si>
    <t>Agnes's photo</t>
  </si>
  <si>
    <t>FtrBooks_Remake_3_0</t>
  </si>
  <si>
    <t>stacked magazines</t>
  </si>
  <si>
    <t>FtrBearXL_Remake_1_2</t>
  </si>
  <si>
    <t>Gardening</t>
  </si>
  <si>
    <t>Covers</t>
  </si>
  <si>
    <t>BromideNpcNmlPig17_Remake_0_0</t>
  </si>
  <si>
    <t>FtrMagagine_Remake_0_0</t>
  </si>
  <si>
    <t>FtrBearXL_Remake_1_3</t>
  </si>
  <si>
    <t>BromideNpcNmlPig17_Remake_1_0</t>
  </si>
  <si>
    <t>FtrMagagine_Remake_0_1</t>
  </si>
  <si>
    <t>FtrBearXL_Remake_2_0</t>
  </si>
  <si>
    <t>FtrMagagine_Remake_0_2</t>
  </si>
  <si>
    <t>FtrBearXL_Remake_2_1</t>
  </si>
  <si>
    <t>BromideNpcNmlPig17_Remake_2_0</t>
  </si>
  <si>
    <t>FtrBearXL_Remake_2_2</t>
  </si>
  <si>
    <t>BromideNpcNmlPig17_Remake_3_0</t>
  </si>
  <si>
    <t>FtrMagagine_Remake_0_3</t>
  </si>
  <si>
    <t>BromideNpcNmlPig17_Remake_4_0</t>
  </si>
  <si>
    <t>FtrBearXL_Remake_2_3</t>
  </si>
  <si>
    <t>FtrMagagine_Remake_0_4</t>
  </si>
  <si>
    <t>BromideNpcNmlPig17_Remake_5_0</t>
  </si>
  <si>
    <t>FtrBearXL_Remake_3_0</t>
  </si>
  <si>
    <t>BromideNpcNmlPig17_Remake_6_0</t>
  </si>
  <si>
    <t>FtrMagagine_Remake_0_5</t>
  </si>
  <si>
    <t>FtrBearXL_Remake_3_1</t>
  </si>
  <si>
    <t>BromideNpcNmlPig17_Remake_7_0</t>
  </si>
  <si>
    <t>Al's photo</t>
  </si>
  <si>
    <t>FtrMagagine_Remake_0_6</t>
  </si>
  <si>
    <t>stand mixer</t>
  </si>
  <si>
    <t>FtrBearXL_Remake_3_2</t>
  </si>
  <si>
    <t>BromideNpcNmlGor08_Remake_0_0</t>
  </si>
  <si>
    <t>FtrBearXL_Remake_3_3</t>
  </si>
  <si>
    <t>BromideNpcNmlGor08_Remake_1_0</t>
  </si>
  <si>
    <t>FtrStandmixer_Remake_0_0</t>
  </si>
  <si>
    <t>BromideNpcNmlGor08_Remake_2_0</t>
  </si>
  <si>
    <t>FtrBearXL_Remake_4_0</t>
  </si>
  <si>
    <t>FtrStandmixer_Remake_1_0</t>
  </si>
  <si>
    <t>BromideNpcNmlGor08_Remake_3_0</t>
  </si>
  <si>
    <t>FtrStandmixer_Remake_2_0</t>
  </si>
  <si>
    <t>FtrBearXL_Remake_4_1</t>
  </si>
  <si>
    <t>BromideNpcNmlGor08_Remake_4_0</t>
  </si>
  <si>
    <t>FtrBearXL_Remake_4_2</t>
  </si>
  <si>
    <t>BromideNpcNmlGor08_Remake_5_0</t>
  </si>
  <si>
    <t>FtrStandmixer_Remake_3_0</t>
  </si>
  <si>
    <t>BromideNpcNmlGor08_Remake_6_0</t>
  </si>
  <si>
    <t>FtrBearXL_Remake_4_3</t>
  </si>
  <si>
    <t>BromideNpcNmlGor08_Remake_7_0</t>
  </si>
  <si>
    <t>Alfonso's photo</t>
  </si>
  <si>
    <t>FtrStandmixer_Remake_4_0</t>
  </si>
  <si>
    <t>BromideNpcNmlCrd00_Remake_0_0</t>
  </si>
  <si>
    <t>FtrBearXL_Remake_5_0</t>
  </si>
  <si>
    <t>BromideNpcNmlCrd00_Remake_1_0</t>
  </si>
  <si>
    <t>FtrStandmixer_Remake_5_0</t>
  </si>
  <si>
    <t>star clock</t>
  </si>
  <si>
    <t>BromideNpcNmlCrd00_Remake_2_0</t>
  </si>
  <si>
    <t>FtrBearXL_Remake_5_1</t>
  </si>
  <si>
    <t>BromideNpcNmlCrd00_Remake_3_0</t>
  </si>
  <si>
    <t>FtrStarClock_Remake_0_0</t>
  </si>
  <si>
    <t>FtrBearXL_Remake_5_2</t>
  </si>
  <si>
    <t>BromideNpcNmlCrd00_Remake_4_0</t>
  </si>
  <si>
    <t>BromideNpcNmlCrd00_Remake_5_0</t>
  </si>
  <si>
    <t>FtrStarClock_Remake_1_0</t>
  </si>
  <si>
    <t>FtrBearXL_Remake_5_3</t>
  </si>
  <si>
    <t>go board</t>
  </si>
  <si>
    <t>BromideNpcNmlCrd00_Remake_6_0</t>
  </si>
  <si>
    <t>FtrStarClock_Remake_2_0</t>
  </si>
  <si>
    <t>BromideNpcNmlCrd00_Remake_7_0</t>
  </si>
  <si>
    <t>Alice's photo</t>
  </si>
  <si>
    <t>FtrStarClock_Remake_3_0</t>
  </si>
  <si>
    <t>FtrGo</t>
  </si>
  <si>
    <t>BromideNpcNmlKal01_Remake_0_0</t>
  </si>
  <si>
    <t>golden casket</t>
  </si>
  <si>
    <t>BromideNpcNmlKal01_Remake_1_0</t>
  </si>
  <si>
    <t>FtrStarClock_Remake_4_0</t>
  </si>
  <si>
    <t>BromideNpcNmlKal01_Remake_2_0</t>
  </si>
  <si>
    <t>FtrGoldCoffin</t>
  </si>
  <si>
    <t>golden seat</t>
  </si>
  <si>
    <t>FtrStarClock_Remake_5_0</t>
  </si>
  <si>
    <t>BromideNpcNmlKal01_Remake_3_0</t>
  </si>
  <si>
    <t>FtrStarClock_Remake_6_0</t>
  </si>
  <si>
    <t>steamer-basket set</t>
  </si>
  <si>
    <t>FtrGoldbench</t>
  </si>
  <si>
    <t>golden toilet</t>
  </si>
  <si>
    <t>BromideNpcNmlKal01_Remake_4_0</t>
  </si>
  <si>
    <t>FtrBasketsteamer</t>
  </si>
  <si>
    <t>stinkbug model</t>
  </si>
  <si>
    <t>Toilet</t>
  </si>
  <si>
    <t>BromideNpcNmlKal01_Remake_5_0</t>
  </si>
  <si>
    <t>FtrGoldWC</t>
  </si>
  <si>
    <t>golf bag</t>
  </si>
  <si>
    <t>BromideNpcNmlKal01_Remake_6_0</t>
  </si>
  <si>
    <t>FtrInsectKamemushiToy</t>
  </si>
  <si>
    <t>stovetop espresso maker</t>
  </si>
  <si>
    <t>BromideNpcNmlKal01_Remake_7_0</t>
  </si>
  <si>
    <t>FtrGolfbag_Remake_0_0</t>
  </si>
  <si>
    <t>Alli's photo</t>
  </si>
  <si>
    <t>BromideNpcNmlCrd01_Remake_0_0</t>
  </si>
  <si>
    <t>FtrEspressomaker_Remake_0_0</t>
  </si>
  <si>
    <t>BromideNpcNmlCrd01_Remake_1_0</t>
  </si>
  <si>
    <t>FtrGolfbag_Remake_1_0</t>
  </si>
  <si>
    <t>BromideNpcNmlCrd01_Remake_2_0</t>
  </si>
  <si>
    <t>FtrEspressomaker_Remake_1_0</t>
  </si>
  <si>
    <t>BromideNpcNmlCrd01_Remake_3_0</t>
  </si>
  <si>
    <t>FtrGolfbag_Remake_2_0</t>
  </si>
  <si>
    <t>Multicolor</t>
  </si>
  <si>
    <t>BromideNpcNmlCrd01_Remake_4_0</t>
  </si>
  <si>
    <t>FtrEspressomaker_Remake_2_0</t>
  </si>
  <si>
    <t>stringfish model</t>
  </si>
  <si>
    <t>FtrGolfbag_Remake_3_0</t>
  </si>
  <si>
    <t>BromideNpcNmlCrd01_Remake_5_0</t>
  </si>
  <si>
    <t>BromideNpcNmlCrd01_Remake_6_0</t>
  </si>
  <si>
    <t>FtrFishItouToy</t>
  </si>
  <si>
    <t>FtrGolfbag_Remake_4_0</t>
  </si>
  <si>
    <t>sturdy sewing box</t>
  </si>
  <si>
    <t>BromideNpcNmlCrd01_Remake_7_0</t>
  </si>
  <si>
    <t>Amelia's photo</t>
  </si>
  <si>
    <t>BromideNpcNmlPbr01_Remake_0_0</t>
  </si>
  <si>
    <t>FtrSewingbox_Remake_0_0</t>
  </si>
  <si>
    <t>FtrGolfbag_Remake_5_0</t>
  </si>
  <si>
    <t>gong</t>
  </si>
  <si>
    <t>BromideNpcNmlPbr01_Remake_1_0</t>
  </si>
  <si>
    <t>FtrSewingbox_Remake_1_0</t>
  </si>
  <si>
    <t>BromideNpcNmlPbr01_Remake_2_0</t>
  </si>
  <si>
    <t>FtrTamtam_Remake_0_0</t>
  </si>
  <si>
    <t>BromideNpcNmlPbr01_Remake_3_0</t>
  </si>
  <si>
    <t>FtrSewingbox_Remake_2_0</t>
  </si>
  <si>
    <t>FtrTamtam_Remake_1_0</t>
  </si>
  <si>
    <t>grand piano</t>
  </si>
  <si>
    <t>BromideNpcNmlPbr01_Remake_4_0</t>
  </si>
  <si>
    <t>FtrSewingbox_Remake_3_0</t>
  </si>
  <si>
    <t>FtrPianoGrand_Remake_0_0</t>
  </si>
  <si>
    <t>BromideNpcNmlPbr01_Remake_5_0</t>
  </si>
  <si>
    <t>BromideNpcNmlPbr01_Remake_6_0</t>
  </si>
  <si>
    <t>FtrSewingbox_Remake_4_0</t>
  </si>
  <si>
    <t>FtrPianoGrand_Remake_1_0</t>
  </si>
  <si>
    <t>BromideNpcNmlPbr01_Remake_7_0</t>
  </si>
  <si>
    <t>Anabelle's photo</t>
  </si>
  <si>
    <t>FtrSewingbox_Remake_5_0</t>
  </si>
  <si>
    <t>sturgeon model</t>
  </si>
  <si>
    <t>FtrPianoGrand_Remake_2_0</t>
  </si>
  <si>
    <t>BromideNpcNmlAnt03_Remake_0_0</t>
  </si>
  <si>
    <t>FtrFishTyouzameToy</t>
  </si>
  <si>
    <t>succulent plant</t>
  </si>
  <si>
    <t>FtrPianoGrand_Remake_3_0</t>
  </si>
  <si>
    <t>grass standee</t>
  </si>
  <si>
    <t>FtrPlantSucculents</t>
  </si>
  <si>
    <t>BromideNpcNmlAnt03_Remake_1_0</t>
  </si>
  <si>
    <t>suckerfish model</t>
  </si>
  <si>
    <t>Spring</t>
  </si>
  <si>
    <t>Season</t>
  </si>
  <si>
    <t>standee</t>
  </si>
  <si>
    <t>BromideNpcNmlAnt03_Remake_2_0</t>
  </si>
  <si>
    <t>FtrFishKobanzameToy</t>
  </si>
  <si>
    <t>surgeonfish model</t>
  </si>
  <si>
    <t>FtrHariboteGrass_Remake_0_0</t>
  </si>
  <si>
    <t>Summer</t>
  </si>
  <si>
    <t>FtrFishNanyouhagiToy</t>
  </si>
  <si>
    <t>sweetfish model</t>
  </si>
  <si>
    <t>BromideNpcNmlAnt03_Remake_3_0</t>
  </si>
  <si>
    <t>FtrHariboteGrass_Remake_1_0</t>
  </si>
  <si>
    <t>FtrFishAyuToy</t>
  </si>
  <si>
    <t>Fall</t>
  </si>
  <si>
    <t>table lamp</t>
  </si>
  <si>
    <t>BromideNpcNmlAnt03_Remake_4_0</t>
  </si>
  <si>
    <t>FtrHariboteGrass_Remake_2_0</t>
  </si>
  <si>
    <t>FtrLampDesk_Remake_0_0</t>
  </si>
  <si>
    <t>Winter</t>
  </si>
  <si>
    <t>BromideNpcNmlAnt03_Remake_5_0</t>
  </si>
  <si>
    <t>FtrHariboteGrass_Remake_3_0</t>
  </si>
  <si>
    <t>FtrLampDesk_Remake_0_1</t>
  </si>
  <si>
    <t>green-leaf pile</t>
  </si>
  <si>
    <t>BromideNpcNmlAnt03_Remake_6_0</t>
  </si>
  <si>
    <t>Red flowers</t>
  </si>
  <si>
    <t>BromideNpcNmlAnt03_Remake_7_0</t>
  </si>
  <si>
    <t>FtrLampDesk_Remake_0_2</t>
  </si>
  <si>
    <t>Anchovy's photo</t>
  </si>
  <si>
    <t>FtrFallenleavesGreen</t>
  </si>
  <si>
    <t>hammock</t>
  </si>
  <si>
    <t>Blue flowers</t>
  </si>
  <si>
    <t>BromideNpcNmlBrd02_Remake_0_0</t>
  </si>
  <si>
    <t>FtrHammock_Remake_0_0</t>
  </si>
  <si>
    <t>FtrLampDesk_Remake_0_3</t>
  </si>
  <si>
    <t>BromideNpcNmlBrd02_Remake_1_0</t>
  </si>
  <si>
    <t>Green flowers</t>
  </si>
  <si>
    <t>FtrHammock_Remake_0_1</t>
  </si>
  <si>
    <t>BromideNpcNmlBrd02_Remake_2_0</t>
  </si>
  <si>
    <t>FtrLampDesk_Remake_0_4</t>
  </si>
  <si>
    <t>Hibiscus flowers</t>
  </si>
  <si>
    <t>Yellow flowers</t>
  </si>
  <si>
    <t>FtrHammock_Remake_0_2</t>
  </si>
  <si>
    <t>BromideNpcNmlBrd02_Remake_3_0</t>
  </si>
  <si>
    <t>FtrLampDesk_Remake_0_5</t>
  </si>
  <si>
    <t>BromideNpcNmlBrd02_Remake_4_0</t>
  </si>
  <si>
    <t>FtrHammock_Remake_0_3</t>
  </si>
  <si>
    <t>Pink flowers</t>
  </si>
  <si>
    <t>FtrLampDesk_Remake_0_6</t>
  </si>
  <si>
    <t>table setting</t>
  </si>
  <si>
    <t>BromideNpcNmlBrd02_Remake_5_0</t>
  </si>
  <si>
    <t>Placemat</t>
  </si>
  <si>
    <t>FtrHammock_Remake_1_0</t>
  </si>
  <si>
    <t>FtrTablesetting_Remake_0_0</t>
  </si>
  <si>
    <t>BromideNpcNmlBrd02_Remake_6_0</t>
  </si>
  <si>
    <t>FtrHammock_Remake_1_1</t>
  </si>
  <si>
    <t>FtrTablesetting_Remake_0_1</t>
  </si>
  <si>
    <t>BromideNpcNmlBrd02_Remake_7_0</t>
  </si>
  <si>
    <t>Angus's photo</t>
  </si>
  <si>
    <t>FtrTablesetting_Remake_0_2</t>
  </si>
  <si>
    <t>FtrHammock_Remake_1_2</t>
  </si>
  <si>
    <t>BromideNpcNmlBul00_Remake_0_0</t>
  </si>
  <si>
    <t>FtrTablesetting_Remake_0_3</t>
  </si>
  <si>
    <t>BromideNpcNmlBul00_Remake_1_0</t>
  </si>
  <si>
    <t>FtrHammock_Remake_1_3</t>
  </si>
  <si>
    <t>FtrTablesetting_Remake_0_4</t>
  </si>
  <si>
    <t>BromideNpcNmlBul00_Remake_2_0</t>
  </si>
  <si>
    <t>FtrHammock_Remake_2_0</t>
  </si>
  <si>
    <t>FtrTablesetting_Remake_1_0</t>
  </si>
  <si>
    <t>BromideNpcNmlBul00_Remake_3_0</t>
  </si>
  <si>
    <t>FtrHammock_Remake_2_1</t>
  </si>
  <si>
    <t>BromideNpcNmlBul00_Remake_4_0</t>
  </si>
  <si>
    <t>FtrTablesetting_Remake_1_1</t>
  </si>
  <si>
    <t>FtrHammock_Remake_2_2</t>
  </si>
  <si>
    <t>FtrTablesetting_Remake_1_2</t>
  </si>
  <si>
    <t>BromideNpcNmlBul00_Remake_5_0</t>
  </si>
  <si>
    <t>FtrTablesetting_Remake_1_3</t>
  </si>
  <si>
    <t>FtrHammock_Remake_2_3</t>
  </si>
  <si>
    <t>BromideNpcNmlBul00_Remake_6_0</t>
  </si>
  <si>
    <t>FtrTablesetting_Remake_1_4</t>
  </si>
  <si>
    <t>BromideNpcNmlBul00_Remake_7_0</t>
  </si>
  <si>
    <t>FtrHammock_Remake_3_0</t>
  </si>
  <si>
    <t>Anicotti's photo</t>
  </si>
  <si>
    <t>FtrTablesetting_Remake_2_0</t>
  </si>
  <si>
    <t>FtrHammock_Remake_3_1</t>
  </si>
  <si>
    <t>BromideNpcNmlMus10_Remake_0_0</t>
  </si>
  <si>
    <t>FtrTablesetting_Remake_2_1</t>
  </si>
  <si>
    <t>FtrHammock_Remake_3_2</t>
  </si>
  <si>
    <t>BromideNpcNmlMus10_Remake_1_0</t>
  </si>
  <si>
    <t>FtrTablesetting_Remake_2_2</t>
  </si>
  <si>
    <t>FtrHammock_Remake_3_3</t>
  </si>
  <si>
    <t>BromideNpcNmlMus10_Remake_2_0</t>
  </si>
  <si>
    <t>FtrTablesetting_Remake_2_3</t>
  </si>
  <si>
    <t>FtrHammock_Remake_4_0</t>
  </si>
  <si>
    <t>FtrHammock_Remake_4_1</t>
  </si>
  <si>
    <t>BromideNpcNmlMus10_Remake_3_0</t>
  </si>
  <si>
    <t>FtrTablesetting_Remake_2_4</t>
  </si>
  <si>
    <t>FtrHammock_Remake_4_2</t>
  </si>
  <si>
    <t>BromideNpcNmlMus10_Remake_4_0</t>
  </si>
  <si>
    <t>FtrTablesetting_Remake_3_0</t>
  </si>
  <si>
    <t>FtrHammock_Remake_4_3</t>
  </si>
  <si>
    <t>BromideNpcNmlMus10_Remake_5_0</t>
  </si>
  <si>
    <t>FtrTablesetting_Remake_3_1</t>
  </si>
  <si>
    <t>FtrHammock_Remake_5_0</t>
  </si>
  <si>
    <t>BromideNpcNmlMus10_Remake_6_0</t>
  </si>
  <si>
    <t>FtrHammock_Remake_5_1</t>
  </si>
  <si>
    <t>FtrTablesetting_Remake_3_2</t>
  </si>
  <si>
    <t>BromideNpcNmlMus10_Remake_7_0</t>
  </si>
  <si>
    <t>FtrHammock_Remake_5_2</t>
  </si>
  <si>
    <t>Ankha's photo</t>
  </si>
  <si>
    <t>FtrHammock_Remake_5_3</t>
  </si>
  <si>
    <t>FtrTablesetting_Remake_3_3</t>
  </si>
  <si>
    <t>BromideNpcNmlCat19_Remake_0_0</t>
  </si>
  <si>
    <t>FtrHammock_Remake_6_0</t>
  </si>
  <si>
    <t>BromideNpcNmlCat19_Remake_1_0</t>
  </si>
  <si>
    <t>FtrTablesetting_Remake_3_4</t>
  </si>
  <si>
    <t>FtrHammock_Remake_6_1</t>
  </si>
  <si>
    <t>FtrHammock_Remake_6_2</t>
  </si>
  <si>
    <t>BromideNpcNmlCat19_Remake_2_0</t>
  </si>
  <si>
    <t>FtrTablesetting_Remake_4_0</t>
  </si>
  <si>
    <t>BromideNpcNmlCat19_Remake_3_0</t>
  </si>
  <si>
    <t>FtrHammock_Remake_6_3</t>
  </si>
  <si>
    <t>handcart</t>
  </si>
  <si>
    <t>BromideNpcNmlCat19_Remake_4_0</t>
  </si>
  <si>
    <t>FtrTablesetting_Remake_4_1</t>
  </si>
  <si>
    <t>FtrHandcart_Remake_0_0</t>
  </si>
  <si>
    <t>BromideNpcNmlCat19_Remake_5_0</t>
  </si>
  <si>
    <t>FtrTablesetting_Remake_4_2</t>
  </si>
  <si>
    <t>FtrHandcart_Remake_1_0</t>
  </si>
  <si>
    <t>BromideNpcNmlCat19_Remake_6_0</t>
  </si>
  <si>
    <t>FtrTablesetting_Remake_4_3</t>
  </si>
  <si>
    <t>FtrHandcart_Remake_2_0</t>
  </si>
  <si>
    <t>FtrTablesetting_Remake_4_4</t>
  </si>
  <si>
    <t>tabletop festive tree</t>
  </si>
  <si>
    <t>BromideNpcNmlCat19_Remake_7_0</t>
  </si>
  <si>
    <t>Annalisa's photo</t>
  </si>
  <si>
    <t>FtrHandcart_Remake_3_0</t>
  </si>
  <si>
    <t>FtrTreeXmasMini_Remake_0_0</t>
  </si>
  <si>
    <t>BromideNpcNmlAnt08_Remake_0_0</t>
  </si>
  <si>
    <t>BromideNpcNmlAnt08_Remake_1_0</t>
  </si>
  <si>
    <t>FtrTreeXmasMini_Remake_1_0</t>
  </si>
  <si>
    <t>FtrHandcart_Remake_4_0</t>
  </si>
  <si>
    <t>BromideNpcNmlAnt08_Remake_2_0</t>
  </si>
  <si>
    <t>FtrHandcart_Remake_5_0</t>
  </si>
  <si>
    <t>FtrTreeXmasMini_Remake_2_0</t>
  </si>
  <si>
    <t>harp</t>
  </si>
  <si>
    <t>BromideNpcNmlAnt08_Remake_3_0</t>
  </si>
  <si>
    <t>FtrHarp_Remake_0_0</t>
  </si>
  <si>
    <t>FtrTreeXmasMini_Remake_3_0</t>
  </si>
  <si>
    <t>BromideNpcNmlAnt08_Remake_4_0</t>
  </si>
  <si>
    <t>FtrHarp_Remake_1_0</t>
  </si>
  <si>
    <t>FtrTreeXmasMini_Remake_4_0</t>
  </si>
  <si>
    <t>BromideNpcNmlAnt08_Remake_5_0</t>
  </si>
  <si>
    <t>FtrTreeXmasMini_Remake_5_0</t>
  </si>
  <si>
    <t>tadpole model</t>
  </si>
  <si>
    <t>FtrHarp_Remake_2_0</t>
  </si>
  <si>
    <t>BromideNpcNmlAnt08_Remake_6_0</t>
  </si>
  <si>
    <t>FtrFishOtamajakusiToy</t>
  </si>
  <si>
    <t>tape deck</t>
  </si>
  <si>
    <t>BromideNpcNmlAnt08_Remake_7_0</t>
  </si>
  <si>
    <t>Annalise's photo</t>
  </si>
  <si>
    <t>FtrHarp_Remake_3_0</t>
  </si>
  <si>
    <t>BromideNpcNmlHrs09_Remake_0_0</t>
  </si>
  <si>
    <t>FtrRadicase_Remake_0_0</t>
  </si>
  <si>
    <t>FtrHarp_Remake_4_0</t>
  </si>
  <si>
    <t>hay bed</t>
  </si>
  <si>
    <t>BromideNpcNmlHrs09_Remake_1_0</t>
  </si>
  <si>
    <t>Hay condition</t>
  </si>
  <si>
    <t>FtrRadicase_Remake_1_0</t>
  </si>
  <si>
    <t>FtrHaybed_Remake_0_0</t>
  </si>
  <si>
    <t>BromideNpcNmlHrs09_Remake_2_0</t>
  </si>
  <si>
    <t>Pale green</t>
  </si>
  <si>
    <t>BromideNpcNmlHrs09_Remake_3_0</t>
  </si>
  <si>
    <t>FtrHaybed_Remake_1_0</t>
  </si>
  <si>
    <t>FtrRadicase_Remake_2_0</t>
  </si>
  <si>
    <t>BromideNpcNmlHrs09_Remake_4_0</t>
  </si>
  <si>
    <t>FtrHaybed_Remake_2_0</t>
  </si>
  <si>
    <t>hearth</t>
  </si>
  <si>
    <t>FtrRadicase_Remake_3_0</t>
  </si>
  <si>
    <t>tarantula model</t>
  </si>
  <si>
    <t>BromideNpcNmlHrs09_Remake_5_0</t>
  </si>
  <si>
    <t>FtrIrori</t>
  </si>
  <si>
    <t>hedge standee</t>
  </si>
  <si>
    <t>FtrInsectTaranchuraToy</t>
  </si>
  <si>
    <t>tea set</t>
  </si>
  <si>
    <t>BromideNpcNmlHrs09_Remake_6_0</t>
  </si>
  <si>
    <t>Mat</t>
  </si>
  <si>
    <t>FtrHariboteHedge_Remake_0_0</t>
  </si>
  <si>
    <t>FtrTeaset_Remake_0_0</t>
  </si>
  <si>
    <t>Azalea</t>
  </si>
  <si>
    <t>BromideNpcNmlHrs09_Remake_7_0</t>
  </si>
  <si>
    <t>Antonio's photo</t>
  </si>
  <si>
    <t>BromideNpcNmlAnt01_Remake_0_0</t>
  </si>
  <si>
    <t>FtrHariboteHedge_Remake_1_0</t>
  </si>
  <si>
    <t>FtrTeaset_Remake_0_1</t>
  </si>
  <si>
    <t>BromideNpcNmlAnt01_Remake_1_0</t>
  </si>
  <si>
    <t>FtrHariboteHedge_Remake_2_0</t>
  </si>
  <si>
    <t>FtrTeaset_Remake_0_2</t>
  </si>
  <si>
    <t>Hydrangea</t>
  </si>
  <si>
    <t>BromideNpcNmlAnt01_Remake_2_0</t>
  </si>
  <si>
    <t>FtrTeaset_Remake_0_3</t>
  </si>
  <si>
    <t>BromideNpcNmlAnt01_Remake_3_0</t>
  </si>
  <si>
    <t>FtrHariboteHedge_Remake_3_0</t>
  </si>
  <si>
    <t>Hibiscus</t>
  </si>
  <si>
    <t>FtrTeaset_Remake_1_0</t>
  </si>
  <si>
    <t>BromideNpcNmlAnt01_Remake_4_0</t>
  </si>
  <si>
    <t>FtrHariboteHedge_Remake_4_0</t>
  </si>
  <si>
    <t>BromideNpcNmlAnt01_Remake_5_0</t>
  </si>
  <si>
    <t>FtrTeaset_Remake_1_1</t>
  </si>
  <si>
    <t>FtrHariboteHedge_Remake_5_0</t>
  </si>
  <si>
    <t>BromideNpcNmlAnt01_Remake_6_0</t>
  </si>
  <si>
    <t>FtrTeaset_Remake_1_2</t>
  </si>
  <si>
    <t>FtrHariboteHedge_Remake_6_0</t>
  </si>
  <si>
    <t>hi-fi stereo</t>
  </si>
  <si>
    <t>BromideNpcNmlAnt01_Remake_7_0</t>
  </si>
  <si>
    <t>Apollo's photo</t>
  </si>
  <si>
    <t>FtrTeaset_Remake_1_3</t>
  </si>
  <si>
    <t>BromideNpcNmlPbr00_Remake_0_0</t>
  </si>
  <si>
    <t>FtrComponentHighclass</t>
  </si>
  <si>
    <t>high-end stereo</t>
  </si>
  <si>
    <t>BromideNpcNmlPbr00_Remake_1_0</t>
  </si>
  <si>
    <t>FtrTeaset_Remake_2_0</t>
  </si>
  <si>
    <t>FtrComponentPro</t>
  </si>
  <si>
    <t>hose reel</t>
  </si>
  <si>
    <t>BromideNpcNmlPbr00_Remake_2_0</t>
  </si>
  <si>
    <t>FtrHosereel_Remake_0_0</t>
  </si>
  <si>
    <t>FtrTeaset_Remake_2_1</t>
  </si>
  <si>
    <t>BromideNpcNmlPbr00_Remake_3_0</t>
  </si>
  <si>
    <t>FtrHosereel_Remake_1_0</t>
  </si>
  <si>
    <t>FtrTeaset_Remake_2_2</t>
  </si>
  <si>
    <t>BromideNpcNmlPbr00_Remake_4_0</t>
  </si>
  <si>
    <t>FtrHosereel_Remake_2_0</t>
  </si>
  <si>
    <t>FtrTeaset_Remake_2_3</t>
  </si>
  <si>
    <t>BromideNpcNmlPbr00_Remake_5_0</t>
  </si>
  <si>
    <t>FtrHosereel_Remake_3_0</t>
  </si>
  <si>
    <t>BromideNpcNmlPbr00_Remake_6_0</t>
  </si>
  <si>
    <t>FtrTeaset_Remake_3_0</t>
  </si>
  <si>
    <t>FtrHosereel_Remake_4_0</t>
  </si>
  <si>
    <t>BromideNpcNmlPbr00_Remake_7_0</t>
  </si>
  <si>
    <t>Apple's photo</t>
  </si>
  <si>
    <t>FtrTeaset_Remake_3_1</t>
  </si>
  <si>
    <t>BromideNpcNmlHam01_Remake_0_0</t>
  </si>
  <si>
    <t>FtrTeaset_Remake_3_2</t>
  </si>
  <si>
    <t>FtrHosereel_Remake_5_0</t>
  </si>
  <si>
    <t>illuminated present</t>
  </si>
  <si>
    <t>BromideNpcNmlHam01_Remake_1_0</t>
  </si>
  <si>
    <t>Yellow with red ribbon</t>
  </si>
  <si>
    <t>Light color</t>
  </si>
  <si>
    <t>FtrTeaset_Remake_3_3</t>
  </si>
  <si>
    <t>terrarium</t>
  </si>
  <si>
    <t>BromideNpcNmlHam01_Remake_2_0</t>
  </si>
  <si>
    <t>FtrIllumiPresent_Remake_0_0</t>
  </si>
  <si>
    <t>FtrTerrarium_Remake_0_0</t>
  </si>
  <si>
    <t>Pink with green ribbon</t>
  </si>
  <si>
    <t>BromideNpcNmlHam01_Remake_3_0</t>
  </si>
  <si>
    <t>BromideNpcNmlHam01_Remake_4_0</t>
  </si>
  <si>
    <t>FtrIllumiPresent_Remake_1_0</t>
  </si>
  <si>
    <t>FtrTerrarium_Remake_1_0</t>
  </si>
  <si>
    <t>Blue with yellow ribbon</t>
  </si>
  <si>
    <t>BromideNpcNmlHam01_Remake_5_0</t>
  </si>
  <si>
    <t>FtrIllumiPresent_Remake_2_0</t>
  </si>
  <si>
    <t>White with blue ribbon</t>
  </si>
  <si>
    <t>FtrTerrarium_Remake_2_0</t>
  </si>
  <si>
    <t>BromideNpcNmlHam01_Remake_6_0</t>
  </si>
  <si>
    <t>throwback container</t>
  </si>
  <si>
    <t>FtrIllumiPresent_Remake_3_0</t>
  </si>
  <si>
    <t>illuminated reindeer</t>
  </si>
  <si>
    <t>FtrBoyBox_Remake_0_0</t>
  </si>
  <si>
    <t>BromideNpcNmlHam01_Remake_7_0</t>
  </si>
  <si>
    <t>Astrid's photo</t>
  </si>
  <si>
    <t>FtrBoyBox_Remake_1_0</t>
  </si>
  <si>
    <t>BromideNpcNmlKgr05_Remake_0_0</t>
  </si>
  <si>
    <t>FtrIllumiReindeer_Remake_0_0</t>
  </si>
  <si>
    <t>FtrBoyBox_Remake_2_0</t>
  </si>
  <si>
    <t>BromideNpcNmlKgr05_Remake_1_0</t>
  </si>
  <si>
    <t>FtrIllumiReindeer_Remake_1_0</t>
  </si>
  <si>
    <t>FtrBoyBox_Remake_3_0</t>
  </si>
  <si>
    <t>BromideNpcNmlKgr05_Remake_2_0</t>
  </si>
  <si>
    <t>FtrBoyBox_Remake_4_0</t>
  </si>
  <si>
    <t>FtrIllumiReindeer_Remake_2_0</t>
  </si>
  <si>
    <t>BromideNpcNmlKgr05_Remake_3_0</t>
  </si>
  <si>
    <t>FtrBoyBox_Remake_5_0</t>
  </si>
  <si>
    <t>FtrIllumiReindeer_Remake_3_0</t>
  </si>
  <si>
    <t>BromideNpcNmlKgr05_Remake_4_0</t>
  </si>
  <si>
    <t>FtrBoyBox_Remake_6_0</t>
  </si>
  <si>
    <t>throwback gothic mirror</t>
  </si>
  <si>
    <t>FtrBoyMirror_Remake_0_0</t>
  </si>
  <si>
    <t>BromideNpcNmlKgr05_Remake_5_0</t>
  </si>
  <si>
    <t>FtrIllumiReindeer_Remake_4_0</t>
  </si>
  <si>
    <t>illuminated snowflakes</t>
  </si>
  <si>
    <t>FtrBoyMirror_Remake_1_0</t>
  </si>
  <si>
    <t>BromideNpcNmlKgr05_Remake_6_0</t>
  </si>
  <si>
    <t>FtrIllumiSnow_Remake_0_0</t>
  </si>
  <si>
    <t>FtrBoyMirror_Remake_2_0</t>
  </si>
  <si>
    <t>throwback skull radio</t>
  </si>
  <si>
    <t>BromideNpcNmlKgr05_Remake_7_0</t>
  </si>
  <si>
    <t>Audie's photo</t>
  </si>
  <si>
    <t>FtrBoyAudio_Remake_0_0</t>
  </si>
  <si>
    <t>BromideNpcNmlWol12_Remake_0_0</t>
  </si>
  <si>
    <t>FtrIllumiSnow_Remake_1_0</t>
  </si>
  <si>
    <t>BromideNpcNmlWol12_Remake_1_0</t>
  </si>
  <si>
    <t>FtrBoyAudio_Remake_1_0</t>
  </si>
  <si>
    <t>FtrIllumiSnow_Remake_2_0</t>
  </si>
  <si>
    <t>Rainbow</t>
  </si>
  <si>
    <t>BromideNpcNmlWol12_Remake_2_0</t>
  </si>
  <si>
    <t>FtrBoyAudio_Remake_2_0</t>
  </si>
  <si>
    <t>FtrIllumiSnow_Remake_3_0</t>
  </si>
  <si>
    <t>illuminated tree</t>
  </si>
  <si>
    <t>BromideNpcNmlWol12_Remake_3_0</t>
  </si>
  <si>
    <t>FtrBoyAudio_Remake_3_0</t>
  </si>
  <si>
    <t>BromideNpcNmlWol12_Remake_4_0</t>
  </si>
  <si>
    <t>FtrIllumiTree_Remake_0_0</t>
  </si>
  <si>
    <t>FtrBoyAudio_Remake_4_0</t>
  </si>
  <si>
    <t>BromideNpcNmlWol12_Remake_5_0</t>
  </si>
  <si>
    <t>FtrIllumiTree_Remake_1_0</t>
  </si>
  <si>
    <t>FtrBoyAudio_Remake_5_0</t>
  </si>
  <si>
    <t>throwback wrestling figure</t>
  </si>
  <si>
    <t>BromideNpcNmlWol12_Remake_6_0</t>
  </si>
  <si>
    <t>FtrBoyFigure_Remake_0_0</t>
  </si>
  <si>
    <t>BromideNpcNmlWol12_Remake_7_0</t>
  </si>
  <si>
    <t>FtrIllumiTree_Remake_2_0</t>
  </si>
  <si>
    <t>Aurora's photo</t>
  </si>
  <si>
    <t>FtrBoyFigure_Remake_1_0</t>
  </si>
  <si>
    <t>BromideNpcNmlPgn00_Remake_0_0</t>
  </si>
  <si>
    <t>FtrBoyFigure_Remake_2_0</t>
  </si>
  <si>
    <t>BromideNpcNmlPgn00_Remake_1_0</t>
  </si>
  <si>
    <t>FtrIllumiTree_Remake_3_0</t>
  </si>
  <si>
    <t>FtrBoyFigure_Remake_3_0</t>
  </si>
  <si>
    <t>BromideNpcNmlPgn00_Remake_2_0</t>
  </si>
  <si>
    <t>FtrBoyFigure_Remake_4_0</t>
  </si>
  <si>
    <t>FtrIllumiTree_Remake_4_0</t>
  </si>
  <si>
    <t>BromideNpcNmlPgn00_Remake_3_0</t>
  </si>
  <si>
    <t>FtrBoyFigure_Remake_5_0</t>
  </si>
  <si>
    <t>tiger beetle model</t>
  </si>
  <si>
    <t>FtrIllumiTree_Remake_5_0</t>
  </si>
  <si>
    <t>imperial bed</t>
  </si>
  <si>
    <t>BromideNpcNmlPgn00_Remake_4_0</t>
  </si>
  <si>
    <t>FtrOrientalBedW_Remake_0_0</t>
  </si>
  <si>
    <t>FtrInsectHanmyouToy</t>
  </si>
  <si>
    <t>tiger butterfly model</t>
  </si>
  <si>
    <t>FtrInsectAgehachoToy</t>
  </si>
  <si>
    <t>FtrOrientalBedW_Remake_1_0</t>
  </si>
  <si>
    <t>BromideNpcNmlPgn00_Remake_5_0</t>
  </si>
  <si>
    <t>tilapia model</t>
  </si>
  <si>
    <t>FtrFishThirapiaToy</t>
  </si>
  <si>
    <t>tin bucket</t>
  </si>
  <si>
    <t>BromideNpcNmlPgn00_Remake_6_0</t>
  </si>
  <si>
    <t>FtrOrientalBedW_Remake_2_0</t>
  </si>
  <si>
    <t>FtrBucket</t>
  </si>
  <si>
    <t>tissue box</t>
  </si>
  <si>
    <t>BromideNpcNmlPgn00_Remake_7_0</t>
  </si>
  <si>
    <t>FtrOrientalBedW_Remake_3_0</t>
  </si>
  <si>
    <t>Ava's photo</t>
  </si>
  <si>
    <t>imperial chest</t>
  </si>
  <si>
    <t>FtrTissuebox_Remake_0_0</t>
  </si>
  <si>
    <t>FtrOrientalChest_Remake_0_0</t>
  </si>
  <si>
    <t>BromideNpcNmlChn05_Remake_0_0</t>
  </si>
  <si>
    <t>FtrTissuebox_Remake_1_0</t>
  </si>
  <si>
    <t>BromideNpcNmlChn05_Remake_1_0</t>
  </si>
  <si>
    <t>FtrOrientalChest_Remake_1_0</t>
  </si>
  <si>
    <t>FtrTissuebox_Remake_2_0</t>
  </si>
  <si>
    <t>BromideNpcNmlChn05_Remake_2_0</t>
  </si>
  <si>
    <t>FtrOrientalChest_Remake_2_0</t>
  </si>
  <si>
    <t>FtrTissuebox_Remake_3_0</t>
  </si>
  <si>
    <t>BromideNpcNmlChn05_Remake_3_0</t>
  </si>
  <si>
    <t>FtrTissuebox_Remake_4_0</t>
  </si>
  <si>
    <t>FtrOrientalChest_Remake_3_0</t>
  </si>
  <si>
    <t>Rattan</t>
  </si>
  <si>
    <t>imperial dining chair</t>
  </si>
  <si>
    <t>BromideNpcNmlChn05_Remake_4_0</t>
  </si>
  <si>
    <t>FtrTissuebox_Remake_5_0</t>
  </si>
  <si>
    <t>toolbox</t>
  </si>
  <si>
    <t>FtrChineseChair_Remake_0_0</t>
  </si>
  <si>
    <t>BromideNpcNmlChn05_Remake_5_0</t>
  </si>
  <si>
    <t>FtrToolbox_Remake_0_0</t>
  </si>
  <si>
    <t>BromideNpcNmlChn05_Remake_6_0</t>
  </si>
  <si>
    <t>FtrChineseChair_Remake_1_0</t>
  </si>
  <si>
    <t>FtrToolbox_Remake_1_0</t>
  </si>
  <si>
    <t>imperial dining table</t>
  </si>
  <si>
    <t>BromideNpcNmlChn05_Remake_7_0</t>
  </si>
  <si>
    <t>Avery's photo</t>
  </si>
  <si>
    <t>FtrToolbox_Remake_2_0</t>
  </si>
  <si>
    <t>BromideNpcNmlPbr05_Remake_0_0</t>
  </si>
  <si>
    <t>FtrLazysusan_Remake_0_0</t>
  </si>
  <si>
    <t>FtrToolbox_Remake_3_0</t>
  </si>
  <si>
    <t>BromideNpcNmlPbr05_Remake_1_0</t>
  </si>
  <si>
    <t>FtrToolbox_Remake_4_0</t>
  </si>
  <si>
    <t>FtrLazysusan_Remake_1_0</t>
  </si>
  <si>
    <t>BromideNpcNmlPbr05_Remake_2_0</t>
  </si>
  <si>
    <t>imperial low table</t>
  </si>
  <si>
    <t>FtrToolbox_Remake_5_0</t>
  </si>
  <si>
    <t>toy box</t>
  </si>
  <si>
    <t>BromideNpcNmlPbr05_Remake_3_0</t>
  </si>
  <si>
    <t>FtrOrientalTableM_Remake_0_0</t>
  </si>
  <si>
    <t>BromideNpcNmlPbr05_Remake_4_0</t>
  </si>
  <si>
    <t>FtrToybox_Remake_0_0</t>
  </si>
  <si>
    <t>BromideNpcNmlPbr05_Remake_5_0</t>
  </si>
  <si>
    <t>FtrToybox_Remake_1_0</t>
  </si>
  <si>
    <t>FtrOrientalTableM_Remake_1_0</t>
  </si>
  <si>
    <t>BromideNpcNmlPbr05_Remake_6_0</t>
  </si>
  <si>
    <t>FtrToybox_Remake_2_0</t>
  </si>
  <si>
    <t>BromideNpcNmlPbr05_Remake_7_0</t>
  </si>
  <si>
    <t>Axel's photo</t>
  </si>
  <si>
    <t>FtrOrientalTableM_Remake_2_0</t>
  </si>
  <si>
    <t>FtrToybox_Remake_3_0</t>
  </si>
  <si>
    <t>toy centipede</t>
  </si>
  <si>
    <t>BromideNpcNmlElp06_Remake_0_0</t>
  </si>
  <si>
    <t>BromideNpcNmlElp06_Remake_1_0</t>
  </si>
  <si>
    <t>FtrOrientalTableM_Remake_3_0</t>
  </si>
  <si>
    <t>FtrCentipedefake</t>
  </si>
  <si>
    <t>toy cockroach</t>
  </si>
  <si>
    <t>imperial partition</t>
  </si>
  <si>
    <t>BromideNpcNmlElp06_Remake_2_0</t>
  </si>
  <si>
    <t>FtrCockroachfake</t>
  </si>
  <si>
    <t>traditional balancing toy</t>
  </si>
  <si>
    <t>FtrOrientalScreen_Remake_0_0</t>
  </si>
  <si>
    <t>BromideNpcNmlElp06_Remake_3_0</t>
  </si>
  <si>
    <t>FtrBalancingtoy</t>
  </si>
  <si>
    <t>traditional tea set</t>
  </si>
  <si>
    <t>FtrOrientalScreen_Remake_1_0</t>
  </si>
  <si>
    <t>BromideNpcNmlElp06_Remake_4_0</t>
  </si>
  <si>
    <t>FtrTeasetChina_Remake_0_0</t>
  </si>
  <si>
    <t>BromideNpcNmlElp06_Remake_5_0</t>
  </si>
  <si>
    <t>Goldfish</t>
  </si>
  <si>
    <t>FtrOrientalScreen_Remake_2_0</t>
  </si>
  <si>
    <t>BromideNpcNmlElp06_Remake_6_0</t>
  </si>
  <si>
    <t>FtrTeasetChina_Remake_1_0</t>
  </si>
  <si>
    <t>BromideNpcNmlElp06_Remake_7_0</t>
  </si>
  <si>
    <t>Baabara's photo</t>
  </si>
  <si>
    <t>FtrOrientalScreen_Remake_3_0</t>
  </si>
  <si>
    <t>inflatable sofa</t>
  </si>
  <si>
    <t>FtrTeasetChina_Remake_2_0</t>
  </si>
  <si>
    <t>trash bags</t>
  </si>
  <si>
    <t>Bag color</t>
  </si>
  <si>
    <t>BromideNpcNmlShp01_Remake_0_0</t>
  </si>
  <si>
    <t>FtrGarbagebag_Remake_0_0</t>
  </si>
  <si>
    <t>FtrAirsofa_Remake_0_0</t>
  </si>
  <si>
    <t>BromideNpcNmlShp01_Remake_1_0</t>
  </si>
  <si>
    <t>FtrGarbagebag_Remake_1_0</t>
  </si>
  <si>
    <t>BromideNpcNmlShp01_Remake_2_0</t>
  </si>
  <si>
    <t>BromideNpcNmlShp01_Remake_3_0</t>
  </si>
  <si>
    <t>FtrGarbagebag_Remake_2_0</t>
  </si>
  <si>
    <t>FtrAirsofa_Remake_1_0</t>
  </si>
  <si>
    <t>BromideNpcNmlShp01_Remake_4_0</t>
  </si>
  <si>
    <t>FtrGarbagebag_Remake_3_0</t>
  </si>
  <si>
    <t>tree's bounty lamp</t>
  </si>
  <si>
    <t>BromideNpcNmlShp01_Remake_5_0</t>
  </si>
  <si>
    <t>FtrAirsofa_Remake_2_0</t>
  </si>
  <si>
    <t>FtrNutLamp_Remake_0_0</t>
  </si>
  <si>
    <t>BromideNpcNmlShp01_Remake_6_0</t>
  </si>
  <si>
    <t>BromideNpcNmlShp01_Remake_7_0</t>
  </si>
  <si>
    <t>Bam's photo</t>
  </si>
  <si>
    <t>FtrNutLamp_Remake_1_0</t>
  </si>
  <si>
    <t>FtrAirsofa_Remake_3_0</t>
  </si>
  <si>
    <t>tree's bounty little tree</t>
  </si>
  <si>
    <t>BromideNpcNmlDer01_Remake_0_0</t>
  </si>
  <si>
    <t>FtrNutTreeS_Remake_0_0</t>
  </si>
  <si>
    <t>BromideNpcNmlDer01_Remake_1_0</t>
  </si>
  <si>
    <t>FtrAirsofa_Remake_4_0</t>
  </si>
  <si>
    <t>FtrNutTreeS_Remake_1_0</t>
  </si>
  <si>
    <t>tuna model</t>
  </si>
  <si>
    <t>BromideNpcNmlDer01_Remake_2_0</t>
  </si>
  <si>
    <t>BromideNpcNmlDer01_Remake_3_0</t>
  </si>
  <si>
    <t>FtrFishMaguroToy</t>
  </si>
  <si>
    <t>typewriter</t>
  </si>
  <si>
    <t>FtrAirsofa_Remake_5_0</t>
  </si>
  <si>
    <t>BromideNpcNmlDer01_Remake_4_0</t>
  </si>
  <si>
    <t>FtrTypewriter_Remake_0_0</t>
  </si>
  <si>
    <t>BromideNpcNmlDer01_Remake_5_0</t>
  </si>
  <si>
    <t>FtrAirsofa_Remake_6_0</t>
  </si>
  <si>
    <t>FtrTypewriter_Remake_1_0</t>
  </si>
  <si>
    <t>BromideNpcNmlDer01_Remake_6_0</t>
  </si>
  <si>
    <t>FtrTypewriter_Remake_2_0</t>
  </si>
  <si>
    <t>BromideNpcNmlDer01_Remake_7_0</t>
  </si>
  <si>
    <t>Bangle's photo</t>
  </si>
  <si>
    <t>FtrAirsofa_Remake_7_0</t>
  </si>
  <si>
    <t>iron closet</t>
  </si>
  <si>
    <t>BromideNpcNmlTig03_Remake_0_0</t>
  </si>
  <si>
    <t>FtrTypewriter_Remake_3_0</t>
  </si>
  <si>
    <t>FtrIronClosetLR_Remake_0_0</t>
  </si>
  <si>
    <t>BromideNpcNmlTig03_Remake_1_0</t>
  </si>
  <si>
    <t>FtrTypewriter_Remake_4_0</t>
  </si>
  <si>
    <t>FtrIronClosetLR_Remake_1_0</t>
  </si>
  <si>
    <t>iron frame</t>
  </si>
  <si>
    <t>BromideNpcNmlTig03_Remake_2_0</t>
  </si>
  <si>
    <t>Coating</t>
  </si>
  <si>
    <t>FtrTypewriter_Remake_5_0</t>
  </si>
  <si>
    <t>ukulele</t>
  </si>
  <si>
    <t>FtrIronframe_Remake_0_0</t>
  </si>
  <si>
    <t>BromideNpcNmlTig03_Remake_3_0</t>
  </si>
  <si>
    <t>FtrUkulele_Remake_0_0</t>
  </si>
  <si>
    <t>FtrIronframe_Remake_1_0</t>
  </si>
  <si>
    <t>FtrUkulele_Remake_1_0</t>
  </si>
  <si>
    <t>BromideNpcNmlTig03_Remake_4_0</t>
  </si>
  <si>
    <t>FtrIronframe_Remake_2_0</t>
  </si>
  <si>
    <t>iron garden bench</t>
  </si>
  <si>
    <t>FtrUkulele_Remake_2_0</t>
  </si>
  <si>
    <t>Ocean blue</t>
  </si>
  <si>
    <t>BromideNpcNmlTig03_Remake_5_0</t>
  </si>
  <si>
    <t>FtrIrongardenBench_Remake_0_0</t>
  </si>
  <si>
    <t>FtrUkulele_Remake_3_0</t>
  </si>
  <si>
    <t>unfinished puzzle</t>
  </si>
  <si>
    <t>Puzzle image</t>
  </si>
  <si>
    <t>BromideNpcNmlTig03_Remake_6_0</t>
  </si>
  <si>
    <t>FtrPuzzle_Remake_0_0</t>
  </si>
  <si>
    <t>FtrIrongardenBench_Remake_1_0</t>
  </si>
  <si>
    <t>Light Through the Trees</t>
  </si>
  <si>
    <t>BromideNpcNmlTig03_Remake_7_0</t>
  </si>
  <si>
    <t>FtrIrongardenBench_Remake_2_0</t>
  </si>
  <si>
    <t>FtrPuzzle_Remake_0_1</t>
  </si>
  <si>
    <t>Barold's photo</t>
  </si>
  <si>
    <t>FtrIrongardenBench_Remake_3_0</t>
  </si>
  <si>
    <t>BromideNpcNmlCbr16_Remake_0_0</t>
  </si>
  <si>
    <t>FtrPuzzle_Remake_0_2</t>
  </si>
  <si>
    <t>Sepia art</t>
  </si>
  <si>
    <t>BromideNpcNmlCbr16_Remake_1_0</t>
  </si>
  <si>
    <t>FtrIrongardenBench_Remake_4_0</t>
  </si>
  <si>
    <t>iron garden chair</t>
  </si>
  <si>
    <t>FtrPuzzle_Remake_0_3</t>
  </si>
  <si>
    <t>Castle</t>
  </si>
  <si>
    <t>BromideNpcNmlCbr16_Remake_2_0</t>
  </si>
  <si>
    <t>FtrIrongardenChair_Remake_0_0</t>
  </si>
  <si>
    <t>FtrPuzzle_Remake_0_4</t>
  </si>
  <si>
    <t>unglazed dish set</t>
  </si>
  <si>
    <t>BromideNpcNmlCbr16_Remake_3_0</t>
  </si>
  <si>
    <t>FtrDishesUnglazed_Remake_0_0</t>
  </si>
  <si>
    <t>FtrIrongardenChair_Remake_1_0</t>
  </si>
  <si>
    <t>BromideNpcNmlCbr16_Remake_4_0</t>
  </si>
  <si>
    <t>Powder white</t>
  </si>
  <si>
    <t>BromideNpcNmlCbr16_Remake_5_0</t>
  </si>
  <si>
    <t>FtrIrongardenChair_Remake_2_0</t>
  </si>
  <si>
    <t>FtrDishesUnglazed_Remake_1_0</t>
  </si>
  <si>
    <t>BromideNpcNmlCbr16_Remake_6_0</t>
  </si>
  <si>
    <t>FtrIrongardenChair_Remake_3_0</t>
  </si>
  <si>
    <t>FtrDishesUnglazed_Remake_2_0</t>
  </si>
  <si>
    <t>Oribe-style</t>
  </si>
  <si>
    <t>BromideNpcNmlCbr16_Remake_7_0</t>
  </si>
  <si>
    <t>Bea's photo</t>
  </si>
  <si>
    <t>FtrIrongardenChair_Remake_4_0</t>
  </si>
  <si>
    <t>iron garden table</t>
  </si>
  <si>
    <t>FtrDishesUnglazed_Remake_3_0</t>
  </si>
  <si>
    <t>BromideNpcNmlDog10_Remake_0_0</t>
  </si>
  <si>
    <t>Modern</t>
  </si>
  <si>
    <t>FtrIrongardenTable_Remake_0_0</t>
  </si>
  <si>
    <t>BromideNpcNmlDog10_Remake_1_0</t>
  </si>
  <si>
    <t>FtrDishesUnglazed_Remake_4_0</t>
  </si>
  <si>
    <t>FtrIrongardenTable_Remake_1_0</t>
  </si>
  <si>
    <t>BromideNpcNmlDog10_Remake_2_0</t>
  </si>
  <si>
    <t>FtrDishesUnglazed_Remake_5_0</t>
  </si>
  <si>
    <t>violin beetle model</t>
  </si>
  <si>
    <t>BromideNpcNmlDog10_Remake_3_0</t>
  </si>
  <si>
    <t>FtrIrongardenTable_Remake_2_0</t>
  </si>
  <si>
    <t>FtrInsectBaiorinmushiToy</t>
  </si>
  <si>
    <t>walker cicada model</t>
  </si>
  <si>
    <t>BromideNpcNmlDog10_Remake_4_0</t>
  </si>
  <si>
    <t>FtrInsectTsukutsukuhousiToy</t>
  </si>
  <si>
    <t>walking leaf model</t>
  </si>
  <si>
    <t>BromideNpcNmlDog10_Remake_5_0</t>
  </si>
  <si>
    <t>FtrIrongardenTable_Remake_3_0</t>
  </si>
  <si>
    <t>FtrInsectKonohamushiToy</t>
  </si>
  <si>
    <t>walking stick model</t>
  </si>
  <si>
    <t>BromideNpcNmlDog10_Remake_6_0</t>
  </si>
  <si>
    <t>FtrIrongardenTable_Remake_4_0</t>
  </si>
  <si>
    <t>FtrInsectNanafushiToy</t>
  </si>
  <si>
    <t>wasp model</t>
  </si>
  <si>
    <t>iron hanger stand</t>
  </si>
  <si>
    <t>Navy</t>
  </si>
  <si>
    <t>Shawl</t>
  </si>
  <si>
    <t>FtrInsectHachiToy</t>
  </si>
  <si>
    <t>BromideNpcNmlDog10_Remake_7_0</t>
  </si>
  <si>
    <t>whale shark model</t>
  </si>
  <si>
    <t>Beardo's photo</t>
  </si>
  <si>
    <t>FtrIronHanger_Remake_0_0</t>
  </si>
  <si>
    <t>BromideNpcNmlBea13_Remake_0_0</t>
  </si>
  <si>
    <t>Shell pink</t>
  </si>
  <si>
    <t>FtrFishJinbeezameToy</t>
  </si>
  <si>
    <t>wharf roach model</t>
  </si>
  <si>
    <t>BromideNpcNmlBea13_Remake_1_0</t>
  </si>
  <si>
    <t>FtrIronHanger_Remake_0_1</t>
  </si>
  <si>
    <t>FtrInsectFunamushiToy</t>
  </si>
  <si>
    <t>windflower fan</t>
  </si>
  <si>
    <t>BromideNpcNmlBea13_Remake_2_0</t>
  </si>
  <si>
    <t>FtrFlowerFan_Remake_0_0</t>
  </si>
  <si>
    <t>FtrIronHanger_Remake_1_0</t>
  </si>
  <si>
    <t>BromideNpcNmlBea13_Remake_3_0</t>
  </si>
  <si>
    <t>FtrFlowerFan_Remake_1_0</t>
  </si>
  <si>
    <t>BromideNpcNmlBea13_Remake_4_0</t>
  </si>
  <si>
    <t>FtrIronHanger_Remake_1_1</t>
  </si>
  <si>
    <t>iron shelf</t>
  </si>
  <si>
    <t>FtrFlowerFan_Remake_2_0</t>
  </si>
  <si>
    <t>wobbling Zipper toy</t>
  </si>
  <si>
    <t>Obtained from Zipper on Bunny Day after collecting most Bunny Day recipes (second gift)</t>
  </si>
  <si>
    <t>FtrDollPyn</t>
  </si>
  <si>
    <t>FtrIronShelf_Remake_0_0</t>
  </si>
  <si>
    <t>wooden fish</t>
  </si>
  <si>
    <t>Camphor-tree wood</t>
  </si>
  <si>
    <t>BromideNpcNmlBea13_Remake_5_0</t>
  </si>
  <si>
    <t>FtrIronShelf_Remake_1_0</t>
  </si>
  <si>
    <t>FtrMokugyo_Remake_0_0</t>
  </si>
  <si>
    <t>iron worktable</t>
  </si>
  <si>
    <t>Unfinished wood</t>
  </si>
  <si>
    <t>BromideNpcNmlBea13_Remake_6_0</t>
  </si>
  <si>
    <t>FtrMokugyo_Remake_1_0</t>
  </si>
  <si>
    <t>FtrIronTableM_Remake_0_0</t>
  </si>
  <si>
    <t>Zelkova wood</t>
  </si>
  <si>
    <t>BromideNpcNmlBea13_Remake_7_0</t>
  </si>
  <si>
    <t>FtrMokugyo_Remake_2_0</t>
  </si>
  <si>
    <t>Beau's photo</t>
  </si>
  <si>
    <t>FtrIronTableM_Remake_1_0</t>
  </si>
  <si>
    <t>wooden table mirror</t>
  </si>
  <si>
    <t>ironing board</t>
  </si>
  <si>
    <t>Stripes</t>
  </si>
  <si>
    <t>Ironing board</t>
  </si>
  <si>
    <t>wooden</t>
  </si>
  <si>
    <t>FtrWoodenMirrorS_Remake_0_0</t>
  </si>
  <si>
    <t>BromideNpcNmlDer07_Remake_0_0</t>
  </si>
  <si>
    <t>FtrIronstand_Remake_0_0</t>
  </si>
  <si>
    <t>FtrWoodenMirrorS_Remake_1_0</t>
  </si>
  <si>
    <t>FtrIronstand_Remake_0_1</t>
  </si>
  <si>
    <t>Cherry wood</t>
  </si>
  <si>
    <t>BromideNpcNmlDer07_Remake_1_0</t>
  </si>
  <si>
    <t>Dots</t>
  </si>
  <si>
    <t>FtrWoodenMirrorS_Remake_2_0</t>
  </si>
  <si>
    <t>FtrIronstand_Remake_0_2</t>
  </si>
  <si>
    <t>Leaves</t>
  </si>
  <si>
    <t>BromideNpcNmlDer07_Remake_2_0</t>
  </si>
  <si>
    <t>FtrIronstand_Remake_0_3</t>
  </si>
  <si>
    <t>FtrWoodenMirrorS_Remake_3_0</t>
  </si>
  <si>
    <t>Triangles</t>
  </si>
  <si>
    <t>BromideNpcNmlDer07_Remake_3_0</t>
  </si>
  <si>
    <t>FtrIronstand_Remake_0_4</t>
  </si>
  <si>
    <t>ironwood bed</t>
  </si>
  <si>
    <t>FtrWoodenMirrorS_Remake_4_0</t>
  </si>
  <si>
    <t>FtrIronwoodBedS_Remake_0_0</t>
  </si>
  <si>
    <t>BromideNpcNmlDer07_Remake_4_0</t>
  </si>
  <si>
    <t>Blue-gray</t>
  </si>
  <si>
    <t>FtrIronwoodBedS_Remake_0_1</t>
  </si>
  <si>
    <t>FtrWoodenMirrorS_Remake_5_0</t>
  </si>
  <si>
    <t>BromideNpcNmlDer07_Remake_5_0</t>
  </si>
  <si>
    <t>FtrIronwoodBedS_Remake_0_2</t>
  </si>
  <si>
    <t>FtrWoodenMirrorS_Remake_6_0</t>
  </si>
  <si>
    <t>Pink wood</t>
  </si>
  <si>
    <t>BromideNpcNmlDer07_Remake_6_0</t>
  </si>
  <si>
    <t>FtrIronwoodBedS_Remake_1_0</t>
  </si>
  <si>
    <t>FtrWoodenMirrorS_Remake_7_0</t>
  </si>
  <si>
    <t>wooden toolbox</t>
  </si>
  <si>
    <t>FtrIronwoodBedS_Remake_1_1</t>
  </si>
  <si>
    <t>BromideNpcNmlDer07_Remake_7_0</t>
  </si>
  <si>
    <t>FtrToolboxWood_Remake_0_0</t>
  </si>
  <si>
    <t>Becky's photo</t>
  </si>
  <si>
    <t>FtrIronwoodBedS_Remake_1_2</t>
  </si>
  <si>
    <t>BromideNpcNmlChn09_Remake_0_0</t>
  </si>
  <si>
    <t>FtrToolboxWood_Remake_1_0</t>
  </si>
  <si>
    <t>BromideNpcNmlChn09_Remake_1_0</t>
  </si>
  <si>
    <t>FtrIronwoodBedS_Remake_2_0</t>
  </si>
  <si>
    <t>FtrToolboxWood_Remake_2_0</t>
  </si>
  <si>
    <t>BromideNpcNmlChn09_Remake_2_0</t>
  </si>
  <si>
    <t>FtrIronwoodBedS_Remake_2_1</t>
  </si>
  <si>
    <t>BromideNpcNmlChn09_Remake_3_0</t>
  </si>
  <si>
    <t>FtrToolboxWood_Remake_3_0</t>
  </si>
  <si>
    <t>wooden-block toy</t>
  </si>
  <si>
    <t>FtrIronwoodBedS_Remake_2_2</t>
  </si>
  <si>
    <t>BromideNpcNmlChn09_Remake_4_0</t>
  </si>
  <si>
    <t>FtrBlockBrick_Remake_0_0</t>
  </si>
  <si>
    <t>BromideNpcNmlChn09_Remake_5_0</t>
  </si>
  <si>
    <t>FtrIronwoodBedS_Remake_3_0</t>
  </si>
  <si>
    <t>FtrBlockBrick_Remake_1_0</t>
  </si>
  <si>
    <t>BromideNpcNmlChn09_Remake_6_0</t>
  </si>
  <si>
    <t>FtrIronwoodBedS_Remake_3_1</t>
  </si>
  <si>
    <t>BromideNpcNmlChn09_Remake_7_0</t>
  </si>
  <si>
    <t>Bella's photo</t>
  </si>
  <si>
    <t>FtrBlockBrick_Remake_2_0</t>
  </si>
  <si>
    <t>FtrIronwoodBedS_Remake_3_2</t>
  </si>
  <si>
    <t>BromideNpcNmlMus02_Remake_0_0</t>
  </si>
  <si>
    <t>FtrBlockBrick_Remake_3_0</t>
  </si>
  <si>
    <t>FtrIronwoodBedS_Remake_4_0</t>
  </si>
  <si>
    <t>BromideNpcNmlMus02_Remake_1_0</t>
  </si>
  <si>
    <t>FtrIronwoodBedS_Remake_4_1</t>
  </si>
  <si>
    <t>BromideNpcNmlMus02_Remake_2_0</t>
  </si>
  <si>
    <t>FtrBlockBrick_Remake_4_0</t>
  </si>
  <si>
    <t>yellow butterfly model</t>
  </si>
  <si>
    <t>BromideNpcNmlMus02_Remake_3_0</t>
  </si>
  <si>
    <t>FtrIronwoodBedS_Remake_4_2</t>
  </si>
  <si>
    <t>FtrInsectMonkichoToy</t>
  </si>
  <si>
    <t>yellow perch model</t>
  </si>
  <si>
    <t>ironwood cart</t>
  </si>
  <si>
    <t>BromideNpcNmlMus02_Remake_4_0</t>
  </si>
  <si>
    <t>FtrFishYellowparchToy</t>
  </si>
  <si>
    <t>FtrIronwoodServingcart_Remake_0_0</t>
  </si>
  <si>
    <t>zebra turkeyfish model</t>
  </si>
  <si>
    <t>BromideNpcNmlMus02_Remake_5_0</t>
  </si>
  <si>
    <t>FtrFishMinokasagoToy</t>
  </si>
  <si>
    <t>FtrIronwoodServingcart_Remake_1_0</t>
  </si>
  <si>
    <t>BromideNpcNmlMus02_Remake_6_0</t>
  </si>
  <si>
    <t>FtrIronwoodServingcart_Remake_2_0</t>
  </si>
  <si>
    <t>BromideNpcNmlMus02_Remake_7_0</t>
  </si>
  <si>
    <t>Benedict's photo</t>
  </si>
  <si>
    <t>FtrIronwoodServingcart_Remake_3_0</t>
  </si>
  <si>
    <t>BromideNpcNmlChn01_Remake_0_0</t>
  </si>
  <si>
    <t>BromideNpcNmlChn01_Remake_1_0</t>
  </si>
  <si>
    <t>FtrIronwoodServingcart_Remake_4_0</t>
  </si>
  <si>
    <t>ironwood chair</t>
  </si>
  <si>
    <t>BromideNpcNmlChn01_Remake_2_0</t>
  </si>
  <si>
    <t>BromideNpcNmlChn01_Remake_3_0</t>
  </si>
  <si>
    <t>FtrIronwoodChairS_Remake_0_0</t>
  </si>
  <si>
    <t>BromideNpcNmlChn01_Remake_4_0</t>
  </si>
  <si>
    <t>Admiral's poster</t>
  </si>
  <si>
    <t>BromideNpcNmlChn01_Remake_5_0</t>
  </si>
  <si>
    <t>FtrIronwoodChairS_Remake_1_0</t>
  </si>
  <si>
    <t>Amiibo</t>
  </si>
  <si>
    <t>In the Special Items section in Nook Shopping, after scanning the related Amiibo on Photopia</t>
  </si>
  <si>
    <t>PosterNpcNmlBrd06</t>
  </si>
  <si>
    <t>Agent S's poster</t>
  </si>
  <si>
    <t>BromideNpcNmlChn01_Remake_6_0</t>
  </si>
  <si>
    <t>PosterNpcNmlSqu05</t>
  </si>
  <si>
    <t>Agnes's poster</t>
  </si>
  <si>
    <t>FtrIronwoodChairS_Remake_2_0</t>
  </si>
  <si>
    <t>PosterNpcNmlPig17</t>
  </si>
  <si>
    <t>BromideNpcNmlChn01_Remake_7_0</t>
  </si>
  <si>
    <t>Al's poster</t>
  </si>
  <si>
    <t>Benjamin's photo</t>
  </si>
  <si>
    <t>PosterNpcNmlGor08</t>
  </si>
  <si>
    <t>Alfonso's poster</t>
  </si>
  <si>
    <t>BromideNpcNmlDog16_Remake_0_0</t>
  </si>
  <si>
    <t>FtrIronwoodChairS_Remake_3_0</t>
  </si>
  <si>
    <t>PosterNpcNmlCrd00</t>
  </si>
  <si>
    <t>Alice's poster</t>
  </si>
  <si>
    <t>BromideNpcNmlDog16_Remake_1_0</t>
  </si>
  <si>
    <t>PosterNpcNmlKal01</t>
  </si>
  <si>
    <t>Alli's poster</t>
  </si>
  <si>
    <t>FtrIronwoodChairS_Remake_4_0</t>
  </si>
  <si>
    <t>ironwood cupboard</t>
  </si>
  <si>
    <t>PosterNpcNmlCrd01</t>
  </si>
  <si>
    <t>Amelia's poster</t>
  </si>
  <si>
    <t>BromideNpcNmlDog16_Remake_2_0</t>
  </si>
  <si>
    <t>PosterNpcNmlPbr01</t>
  </si>
  <si>
    <t>Anabelle's poster</t>
  </si>
  <si>
    <t>BromideNpcNmlDog16_Remake_3_0</t>
  </si>
  <si>
    <t>FtrIronwoodCupboard_Remake_0_0</t>
  </si>
  <si>
    <t>PosterNpcNmlAnt03</t>
  </si>
  <si>
    <t>Anchovy's poster</t>
  </si>
  <si>
    <t>PosterNpcNmlBrd02</t>
  </si>
  <si>
    <t>Angus's poster</t>
  </si>
  <si>
    <t>BromideNpcNmlDog16_Remake_4_0</t>
  </si>
  <si>
    <t>FtrIronwoodCupboard_Remake_1_0</t>
  </si>
  <si>
    <t>PosterNpcNmlBul00</t>
  </si>
  <si>
    <t>BromideNpcNmlDog16_Remake_5_0</t>
  </si>
  <si>
    <t>Anicotti's poster</t>
  </si>
  <si>
    <t>PosterNpcNmlMus10</t>
  </si>
  <si>
    <t>Ankha's poster</t>
  </si>
  <si>
    <t>BromideNpcNmlDog16_Remake_6_0</t>
  </si>
  <si>
    <t>FtrIronwoodCupboard_Remake_2_0</t>
  </si>
  <si>
    <t>BromideNpcNmlDog16_Remake_7_0</t>
  </si>
  <si>
    <t>PosterNpcNmlCat19</t>
  </si>
  <si>
    <t>Bertha's photo</t>
  </si>
  <si>
    <t>Annalisa's poster</t>
  </si>
  <si>
    <t>PosterNpcNmlAnt08</t>
  </si>
  <si>
    <t>Annalise's poster</t>
  </si>
  <si>
    <t>BromideNpcNmlHip03_Remake_0_0</t>
  </si>
  <si>
    <t>FtrIronwoodCupboard_Remake_3_0</t>
  </si>
  <si>
    <t>PosterNpcNmlHrs09</t>
  </si>
  <si>
    <t>Antonio's poster</t>
  </si>
  <si>
    <t>BromideNpcNmlHip03_Remake_1_0</t>
  </si>
  <si>
    <t>PosterNpcNmlAnt01</t>
  </si>
  <si>
    <t>Apollo's poster</t>
  </si>
  <si>
    <t>BromideNpcNmlHip03_Remake_2_0</t>
  </si>
  <si>
    <t>FtrIronwoodCupboard_Remake_4_0</t>
  </si>
  <si>
    <t>ironwood DIY workbench</t>
  </si>
  <si>
    <t>PosterNpcNmlPbr00</t>
  </si>
  <si>
    <t>Apple's poster</t>
  </si>
  <si>
    <t>BromideNpcNmlHip03_Remake_3_0</t>
  </si>
  <si>
    <t>FtrWorkbenchIronwood_Remake_0_0</t>
  </si>
  <si>
    <t>PosterNpcNmlHam01</t>
  </si>
  <si>
    <t>Astrid's poster</t>
  </si>
  <si>
    <t>BromideNpcNmlHip03_Remake_4_0</t>
  </si>
  <si>
    <t>PosterNpcNmlKgr05</t>
  </si>
  <si>
    <t>Audie's poster</t>
  </si>
  <si>
    <t>PosterNpcNmlWol12</t>
  </si>
  <si>
    <t>FtrWorkbenchIronwood_Remake_1_0</t>
  </si>
  <si>
    <t>Aurora's poster</t>
  </si>
  <si>
    <t>BromideNpcNmlHip03_Remake_5_0</t>
  </si>
  <si>
    <t>PosterNpcNmlPgn00</t>
  </si>
  <si>
    <t>Ava's poster</t>
  </si>
  <si>
    <t>BromideNpcNmlHip03_Remake_6_0</t>
  </si>
  <si>
    <t>FtrWorkbenchIronwood_Remake_2_0</t>
  </si>
  <si>
    <t>PosterNpcNmlChn05</t>
  </si>
  <si>
    <t>Avery's poster</t>
  </si>
  <si>
    <t>BromideNpcNmlHip03_Remake_7_0</t>
  </si>
  <si>
    <t>Bettina's photo</t>
  </si>
  <si>
    <t>FtrWorkbenchIronwood_Remake_3_0</t>
  </si>
  <si>
    <t>PosterNpcNmlPbr05</t>
  </si>
  <si>
    <t>Axel's poster</t>
  </si>
  <si>
    <t>BromideNpcNmlMus15_Remake_0_0</t>
  </si>
  <si>
    <t>PosterNpcNmlElp06</t>
  </si>
  <si>
    <t>Baabara's poster</t>
  </si>
  <si>
    <t>FtrWorkbenchIronwood_Remake_4_0</t>
  </si>
  <si>
    <t>ironwood dresser</t>
  </si>
  <si>
    <t>PosterNpcNmlShp01</t>
  </si>
  <si>
    <t>BromideNpcNmlMus15_Remake_1_0</t>
  </si>
  <si>
    <t>Bam's poster</t>
  </si>
  <si>
    <t>PosterNpcNmlDer01</t>
  </si>
  <si>
    <t>Bangle's poster</t>
  </si>
  <si>
    <t>BromideNpcNmlMus15_Remake_2_0</t>
  </si>
  <si>
    <t>PosterNpcNmlTig03</t>
  </si>
  <si>
    <t>Barold's poster</t>
  </si>
  <si>
    <t>FtrIronwoodChest_Remake_0_0</t>
  </si>
  <si>
    <t>PosterNpcNmlCbr16</t>
  </si>
  <si>
    <t>Bea's poster</t>
  </si>
  <si>
    <t>BromideNpcNmlMus15_Remake_3_0</t>
  </si>
  <si>
    <t>PosterNpcNmlDog10</t>
  </si>
  <si>
    <t>Beardo's poster</t>
  </si>
  <si>
    <t>FtrIronwoodChest_Remake_1_0</t>
  </si>
  <si>
    <t>BromideNpcNmlMus15_Remake_4_0</t>
  </si>
  <si>
    <t>PosterNpcNmlBea13</t>
  </si>
  <si>
    <t>Beau's poster</t>
  </si>
  <si>
    <t>BromideNpcNmlMus15_Remake_5_0</t>
  </si>
  <si>
    <t>FtrIronwoodChest_Remake_2_0</t>
  </si>
  <si>
    <t>PosterNpcNmlDer07</t>
  </si>
  <si>
    <t>Becky's poster</t>
  </si>
  <si>
    <t>BromideNpcNmlMus15_Remake_6_0</t>
  </si>
  <si>
    <t>PosterNpcNmlChn09</t>
  </si>
  <si>
    <t>Bella's poster</t>
  </si>
  <si>
    <t>FtrIronwoodChest_Remake_3_0</t>
  </si>
  <si>
    <t>BromideNpcNmlMus15_Remake_7_0</t>
  </si>
  <si>
    <t>PosterNpcNmlMus02</t>
  </si>
  <si>
    <t>Bianca's photo</t>
  </si>
  <si>
    <t>Benedict's poster</t>
  </si>
  <si>
    <t>FtrIronwoodChest_Remake_4_0</t>
  </si>
  <si>
    <t>ironwood kitchenette</t>
  </si>
  <si>
    <t>PosterNpcNmlChn01</t>
  </si>
  <si>
    <t>Benjamin's poster</t>
  </si>
  <si>
    <t>BromideNpcNmlTig06_Remake_0_0</t>
  </si>
  <si>
    <t>FtrIronwoodKitchen_Remake_0_0</t>
  </si>
  <si>
    <t>PosterNpcNmlDog16</t>
  </si>
  <si>
    <t>Bertha's poster</t>
  </si>
  <si>
    <t>FtrIronwoodKitchen_Remake_1_0</t>
  </si>
  <si>
    <t>BromideNpcNmlTig06_Remake_1_0</t>
  </si>
  <si>
    <t>PosterNpcNmlHip03</t>
  </si>
  <si>
    <t>Bettina's poster</t>
  </si>
  <si>
    <t>FtrIronwoodKitchen_Remake_2_0</t>
  </si>
  <si>
    <t>BromideNpcNmlTig06_Remake_2_0</t>
  </si>
  <si>
    <t>PosterNpcNmlMus15</t>
  </si>
  <si>
    <t>Bianca's poster</t>
  </si>
  <si>
    <t>BromideNpcNmlTig06_Remake_3_0</t>
  </si>
  <si>
    <t>PosterNpcNmlTig06</t>
  </si>
  <si>
    <t>Biff's poster</t>
  </si>
  <si>
    <t>FtrIronwoodKitchen_Remake_3_0</t>
  </si>
  <si>
    <t>BromideNpcNmlTig06_Remake_4_0</t>
  </si>
  <si>
    <t>PosterNpcNmlHip04</t>
  </si>
  <si>
    <t>Big Top's poster</t>
  </si>
  <si>
    <t>FtrIronwoodKitchen_Remake_4_0</t>
  </si>
  <si>
    <t>BromideNpcNmlTig06_Remake_5_0</t>
  </si>
  <si>
    <t>ironwood low table</t>
  </si>
  <si>
    <t>PosterNpcNmlElp02</t>
  </si>
  <si>
    <t>Bill's poster</t>
  </si>
  <si>
    <t>BromideNpcNmlTig06_Remake_6_0</t>
  </si>
  <si>
    <t>FtrIronwoodTableM_Remake_0_0</t>
  </si>
  <si>
    <t>PosterNpcNmlDuk00</t>
  </si>
  <si>
    <t>Billy's poster</t>
  </si>
  <si>
    <t>FtrIronwoodTableM_Remake_1_0</t>
  </si>
  <si>
    <t>BromideNpcNmlTig06_Remake_7_0</t>
  </si>
  <si>
    <t>PosterNpcNmlGoa02</t>
  </si>
  <si>
    <t>Biskit's poster</t>
  </si>
  <si>
    <t>Biff's photo</t>
  </si>
  <si>
    <t>FtrIronwoodTableM_Remake_2_0</t>
  </si>
  <si>
    <t>PosterNpcNmlDog03</t>
  </si>
  <si>
    <t>Bitty's poster</t>
  </si>
  <si>
    <t>BromideNpcNmlHip04_Remake_0_0</t>
  </si>
  <si>
    <t>FtrIronwoodTableM_Remake_3_0</t>
  </si>
  <si>
    <t>PosterNpcNmlHip05</t>
  </si>
  <si>
    <t>Blaire's poster</t>
  </si>
  <si>
    <t>BromideNpcNmlHip04_Remake_1_0</t>
  </si>
  <si>
    <t>FtrIronwoodTableM_Remake_4_0</t>
  </si>
  <si>
    <t>PosterNpcNmlSqu01</t>
  </si>
  <si>
    <t>ironwood table</t>
  </si>
  <si>
    <t>Blanca's poster</t>
  </si>
  <si>
    <t>BromideNpcNmlHip04_Remake_2_0</t>
  </si>
  <si>
    <t>PosterNpcSpMka</t>
  </si>
  <si>
    <t>Blanche's poster</t>
  </si>
  <si>
    <t>FtrIronwoodTableL_Remake_0_0</t>
  </si>
  <si>
    <t>BromideNpcNmlHip04_Remake_3_0</t>
  </si>
  <si>
    <t>PosterNpcNmlOst08</t>
  </si>
  <si>
    <t>Blathers's poster</t>
  </si>
  <si>
    <t>FtrIronwoodTableL_Remake_1_0</t>
  </si>
  <si>
    <t>BromideNpcNmlHip04_Remake_4_0</t>
  </si>
  <si>
    <t>PosterNpcSpOwl</t>
  </si>
  <si>
    <t>Bluebear's poster</t>
  </si>
  <si>
    <t>FtrIronwoodTableL_Remake_2_0</t>
  </si>
  <si>
    <t>PosterNpcNmlCbr00</t>
  </si>
  <si>
    <t>Bob's poster</t>
  </si>
  <si>
    <t>BromideNpcNmlHip04_Remake_5_0</t>
  </si>
  <si>
    <t>FtrIronwoodTableL_Remake_3_0</t>
  </si>
  <si>
    <t>PosterNpcNmlCat00</t>
  </si>
  <si>
    <t>Bonbon's poster</t>
  </si>
  <si>
    <t>BromideNpcNmlHip04_Remake_6_0</t>
  </si>
  <si>
    <t>FtrIronwoodTableL_Remake_4_0</t>
  </si>
  <si>
    <t>jail bars</t>
  </si>
  <si>
    <t>PosterNpcNmlRbt17</t>
  </si>
  <si>
    <t>Bones's poster</t>
  </si>
  <si>
    <t>FtrScreenCage_Remake_0_0</t>
  </si>
  <si>
    <t>PosterNpcNmlDog04</t>
  </si>
  <si>
    <t>BromideNpcNmlHip04_Remake_7_0</t>
  </si>
  <si>
    <t>Booker's poster</t>
  </si>
  <si>
    <t>Big Top's photo</t>
  </si>
  <si>
    <t>BromideNpcNmlElp02_Remake_0_0</t>
  </si>
  <si>
    <t>PosterNpcSpDgb</t>
  </si>
  <si>
    <t>Boomer's poster</t>
  </si>
  <si>
    <t>FtrScreenCage_Remake_1_0</t>
  </si>
  <si>
    <t>BromideNpcNmlElp02_Remake_1_0</t>
  </si>
  <si>
    <t>Rusted iron</t>
  </si>
  <si>
    <t>PosterNpcNmlPgn10</t>
  </si>
  <si>
    <t>Boone's poster</t>
  </si>
  <si>
    <t>FtrScreenCage_Remake_2_0</t>
  </si>
  <si>
    <t>juicy-apple TV</t>
  </si>
  <si>
    <t>BromideNpcNmlElp02_Remake_2_0</t>
  </si>
  <si>
    <t>PosterNpcNmlGor02</t>
  </si>
  <si>
    <t>Boots's poster</t>
  </si>
  <si>
    <t>BromideNpcNmlElp02_Remake_3_0</t>
  </si>
  <si>
    <t>PosterNpcNmlCrd02</t>
  </si>
  <si>
    <t>FtrFruitsTV_Remake_0_0</t>
  </si>
  <si>
    <t>Boris's poster</t>
  </si>
  <si>
    <t>BromideNpcNmlElp02_Remake_4_0</t>
  </si>
  <si>
    <t>PosterNpcNmlPig09</t>
  </si>
  <si>
    <t>Boyd's poster</t>
  </si>
  <si>
    <t>FtrFruitsTV_Remake_1_0</t>
  </si>
  <si>
    <t>jukebox</t>
  </si>
  <si>
    <t>BromideNpcNmlElp02_Remake_5_0</t>
  </si>
  <si>
    <t>PosterNpcNmlGor05</t>
  </si>
  <si>
    <t>Bree's poster</t>
  </si>
  <si>
    <t>BromideNpcNmlElp02_Remake_6_0</t>
  </si>
  <si>
    <t>FtrJukebox</t>
  </si>
  <si>
    <t>kettle bathtub</t>
  </si>
  <si>
    <t>PosterNpcNmlMus03</t>
  </si>
  <si>
    <t>Brewster's poster</t>
  </si>
  <si>
    <t>BromideNpcNmlElp02_Remake_7_0</t>
  </si>
  <si>
    <t>Bill's photo</t>
  </si>
  <si>
    <t>FtrGoemonburo</t>
  </si>
  <si>
    <t>kimono stand</t>
  </si>
  <si>
    <t>PosterNpcSpPge</t>
  </si>
  <si>
    <t>Broccolo's poster</t>
  </si>
  <si>
    <t>Kimono</t>
  </si>
  <si>
    <t>BromideNpcNmlDuk00_Remake_0_0</t>
  </si>
  <si>
    <t>PosterNpcNmlMus12</t>
  </si>
  <si>
    <t>Broffina's poster</t>
  </si>
  <si>
    <t>BromideNpcNmlDuk00_Remake_1_0</t>
  </si>
  <si>
    <t>FtrKimonostand_Remake_0_0</t>
  </si>
  <si>
    <t>PosterNpcNmlChn12</t>
  </si>
  <si>
    <t>Bruce's poster</t>
  </si>
  <si>
    <t>BromideNpcNmlDuk00_Remake_2_0</t>
  </si>
  <si>
    <t>FtrKimonostand_Remake_0_1</t>
  </si>
  <si>
    <t>PosterNpcNmlDer03</t>
  </si>
  <si>
    <t>Bubbles's poster</t>
  </si>
  <si>
    <t>Camellia</t>
  </si>
  <si>
    <t>PosterNpcNmlHip02</t>
  </si>
  <si>
    <t>BromideNpcNmlDuk00_Remake_3_0</t>
  </si>
  <si>
    <t>Buck's poster</t>
  </si>
  <si>
    <t>FtrKimonostand_Remake_0_2</t>
  </si>
  <si>
    <t>PosterNpcNmlHrs00</t>
  </si>
  <si>
    <t>Bud's poster</t>
  </si>
  <si>
    <t>Chain print</t>
  </si>
  <si>
    <t>BromideNpcNmlDuk00_Remake_4_0</t>
  </si>
  <si>
    <t>PosterNpcNmlLon00</t>
  </si>
  <si>
    <t>Bunnie's poster</t>
  </si>
  <si>
    <t>FtrKimonostand_Remake_0_3</t>
  </si>
  <si>
    <t>kitchen island</t>
  </si>
  <si>
    <t>PosterNpcNmlRbt00</t>
  </si>
  <si>
    <t>BromideNpcNmlDuk00_Remake_5_0</t>
  </si>
  <si>
    <t>Butch's poster</t>
  </si>
  <si>
    <t>PosterNpcNmlDog01</t>
  </si>
  <si>
    <t>Buzz's poster</t>
  </si>
  <si>
    <t>FtrKitchenIsland_Remake_0_0</t>
  </si>
  <si>
    <t>BromideNpcNmlDuk00_Remake_6_0</t>
  </si>
  <si>
    <t>PosterNpcNmlPbr03</t>
  </si>
  <si>
    <t>Cally's poster</t>
  </si>
  <si>
    <t>BromideNpcNmlDuk00_Remake_7_0</t>
  </si>
  <si>
    <t>FtrKitchenIsland_Remake_1_0</t>
  </si>
  <si>
    <t>PosterNpcNmlSqu11</t>
  </si>
  <si>
    <t>Camofrog's poster</t>
  </si>
  <si>
    <t>Billy's photo</t>
  </si>
  <si>
    <t>PosterNpcNmlFlg03</t>
  </si>
  <si>
    <t>Canberra's poster</t>
  </si>
  <si>
    <t>BromideNpcNmlGoa02_Remake_0_0</t>
  </si>
  <si>
    <t>FtrKitchenIsland_Remake_2_0</t>
  </si>
  <si>
    <t>PosterNpcNmlKal08</t>
  </si>
  <si>
    <t>Candi's poster</t>
  </si>
  <si>
    <t>PosterNpcNmlMus08</t>
  </si>
  <si>
    <t>Carmen's poster</t>
  </si>
  <si>
    <t>FtrKitchenIsland_Remake_3_0</t>
  </si>
  <si>
    <t>BromideNpcNmlGoa02_Remake_1_0</t>
  </si>
  <si>
    <t>PosterNpcNmlRbt16</t>
  </si>
  <si>
    <t>FtrKitchenIsland_Remake_4_0</t>
  </si>
  <si>
    <t>Caroline's poster</t>
  </si>
  <si>
    <t>BromideNpcNmlGoa02_Remake_2_0</t>
  </si>
  <si>
    <t>PosterNpcNmlSqu06</t>
  </si>
  <si>
    <t>Carrie's poster</t>
  </si>
  <si>
    <t>BromideNpcNmlGoa02_Remake_3_0</t>
  </si>
  <si>
    <t>FtrKitchenIsland_Remake_5_0</t>
  </si>
  <si>
    <t>PosterNpcNmlKgr02</t>
  </si>
  <si>
    <t>Cashmere's poster</t>
  </si>
  <si>
    <t>BromideNpcNmlGoa02_Remake_4_0</t>
  </si>
  <si>
    <t>FtrKitchenIsland_Remake_6_0</t>
  </si>
  <si>
    <t>kitty litter box</t>
  </si>
  <si>
    <t>PosterNpcNmlShp04</t>
  </si>
  <si>
    <t>Celeste's poster</t>
  </si>
  <si>
    <t>BromideNpcNmlGoa02_Remake_5_0</t>
  </si>
  <si>
    <t>FtrPetWC_Remake_0_0</t>
  </si>
  <si>
    <t>BromideNpcNmlGoa02_Remake_6_0</t>
  </si>
  <si>
    <t>PosterNpcSpOws</t>
  </si>
  <si>
    <t>Celia's poster</t>
  </si>
  <si>
    <t>FtrPetWC_Remake_1_0</t>
  </si>
  <si>
    <t>PosterNpcNmlPbr09</t>
  </si>
  <si>
    <t>BromideNpcNmlGoa02_Remake_7_0</t>
  </si>
  <si>
    <t>Cesar's poster</t>
  </si>
  <si>
    <t>Biskit's photo</t>
  </si>
  <si>
    <t>FtrPetWC_Remake_2_0</t>
  </si>
  <si>
    <t>BromideNpcNmlDog03_Remake_0_0</t>
  </si>
  <si>
    <t>PosterNpcNmlGor00</t>
  </si>
  <si>
    <t>Chadder's poster</t>
  </si>
  <si>
    <t>FtrPetWC_Remake_3_0</t>
  </si>
  <si>
    <t>PosterNpcNmlMus18</t>
  </si>
  <si>
    <t>Charlise's poster</t>
  </si>
  <si>
    <t>BromideNpcNmlDog03_Remake_1_0</t>
  </si>
  <si>
    <t>FtrPetWC_Remake_4_0</t>
  </si>
  <si>
    <t>PosterNpcNmlBea12</t>
  </si>
  <si>
    <t>Cheri's poster</t>
  </si>
  <si>
    <t>FtrPetWC_Remake_5_0</t>
  </si>
  <si>
    <t>BromideNpcNmlDog03_Remake_2_0</t>
  </si>
  <si>
    <t>PosterNpcNmlCbr10</t>
  </si>
  <si>
    <t>Cherry's poster</t>
  </si>
  <si>
    <t>PosterNpcNmlDog17</t>
  </si>
  <si>
    <t>Chester's poster</t>
  </si>
  <si>
    <t>FtrPetWC_Remake_6_0</t>
  </si>
  <si>
    <t>BromideNpcNmlDog03_Remake_3_0</t>
  </si>
  <si>
    <t>kotatsu</t>
  </si>
  <si>
    <t>Tic-tac-toe pattern</t>
  </si>
  <si>
    <t>Blanket</t>
  </si>
  <si>
    <t>PosterNpcNmlCbr15</t>
  </si>
  <si>
    <t>Chevre's poster</t>
  </si>
  <si>
    <t>BromideNpcNmlDog03_Remake_4_0</t>
  </si>
  <si>
    <t>FtrKotatsu_Remake_0_0</t>
  </si>
  <si>
    <t>PosterNpcNmlGoa00</t>
  </si>
  <si>
    <t>Chief's poster</t>
  </si>
  <si>
    <t>BromideNpcNmlDog03_Remake_5_0</t>
  </si>
  <si>
    <t>FtrKotatsu_Remake_0_1</t>
  </si>
  <si>
    <t>PosterNpcNmlWol00</t>
  </si>
  <si>
    <t>FtrKotatsu_Remake_0_2</t>
  </si>
  <si>
    <t>Chip's poster</t>
  </si>
  <si>
    <t>BromideNpcNmlDog03_Remake_6_0</t>
  </si>
  <si>
    <t>PosterNpcSpBev</t>
  </si>
  <si>
    <t>Chops's poster</t>
  </si>
  <si>
    <t>FtrKotatsu_Remake_0_3</t>
  </si>
  <si>
    <t>large cardboard boxes</t>
  </si>
  <si>
    <t>FtrMovingboxL</t>
  </si>
  <si>
    <t>BromideNpcNmlDog03_Remake_7_0</t>
  </si>
  <si>
    <t>lawn chair</t>
  </si>
  <si>
    <t>PosterNpcNmlPig14</t>
  </si>
  <si>
    <t>Bitty's photo</t>
  </si>
  <si>
    <t>Chow's poster</t>
  </si>
  <si>
    <t>FtrVinylchair_Remake_0_0</t>
  </si>
  <si>
    <t>PosterNpcNmlBea03</t>
  </si>
  <si>
    <t>Chrissy's poster</t>
  </si>
  <si>
    <t>Red &amp; white &amp; blue</t>
  </si>
  <si>
    <t>BromideNpcNmlHip05_Remake_0_0</t>
  </si>
  <si>
    <t>FtrVinylchair_Remake_1_0</t>
  </si>
  <si>
    <t>PosterNpcNmlRbt13</t>
  </si>
  <si>
    <t>Cinnamoroll poster</t>
  </si>
  <si>
    <t>FtrVinylchair_Remake_2_0</t>
  </si>
  <si>
    <t>BromideNpcNmlHip05_Remake_1_0</t>
  </si>
  <si>
    <t>PosterNpcNmlElp11</t>
  </si>
  <si>
    <t>Claude's poster</t>
  </si>
  <si>
    <t>FtrVinylchair_Remake_3_0</t>
  </si>
  <si>
    <t>PosterNpcNmlRbt11</t>
  </si>
  <si>
    <t>Claudia's poster</t>
  </si>
  <si>
    <t>BromideNpcNmlHip05_Remake_2_0</t>
  </si>
  <si>
    <t>FtrVinylchair_Remake_4_0</t>
  </si>
  <si>
    <t>PosterNpcNmlTig05</t>
  </si>
  <si>
    <t>Clay's poster</t>
  </si>
  <si>
    <t>BromideNpcNmlHip05_Remake_3_0</t>
  </si>
  <si>
    <t>FtrVinylchair_Remake_5_0</t>
  </si>
  <si>
    <t>lawn mower</t>
  </si>
  <si>
    <t>PosterNpcNmlHam05</t>
  </si>
  <si>
    <t>Cleo's poster</t>
  </si>
  <si>
    <t>FtrLawnmower_Remake_0_0</t>
  </si>
  <si>
    <t>BromideNpcNmlHip05_Remake_4_0</t>
  </si>
  <si>
    <t>PosterNpcNmlHrs07</t>
  </si>
  <si>
    <t>Clyde's poster</t>
  </si>
  <si>
    <t>FtrLawnmower_Remake_1_0</t>
  </si>
  <si>
    <t>PosterNpcNmlHrs10</t>
  </si>
  <si>
    <t>Coach's poster</t>
  </si>
  <si>
    <t>BromideNpcNmlHip05_Remake_5_0</t>
  </si>
  <si>
    <t>FtrLawnmower_Remake_2_0</t>
  </si>
  <si>
    <t>PosterNpcNmlBul07</t>
  </si>
  <si>
    <t>Cobb's poster</t>
  </si>
  <si>
    <t>BromideNpcNmlHip05_Remake_6_0</t>
  </si>
  <si>
    <t>FtrLawnmower_Remake_3_0</t>
  </si>
  <si>
    <t>PosterNpcNmlPig08</t>
  </si>
  <si>
    <t>Coco's poster</t>
  </si>
  <si>
    <t>BromideNpcNmlHip05_Remake_7_0</t>
  </si>
  <si>
    <t>Blaire's photo</t>
  </si>
  <si>
    <t>PosterNpcNmlRbt02</t>
  </si>
  <si>
    <t>Cole's poster</t>
  </si>
  <si>
    <t>BromideNpcNmlSqu01_Remake_0_0</t>
  </si>
  <si>
    <t>FtrLawnmower_Remake_4_0</t>
  </si>
  <si>
    <t>leaf campfire</t>
  </si>
  <si>
    <t>PosterNpcNmlRbt18</t>
  </si>
  <si>
    <t>Colton's poster</t>
  </si>
  <si>
    <t>BromideNpcNmlSqu01_Remake_1_0</t>
  </si>
  <si>
    <t>FtrFallenleavesfire_Remake_0_0</t>
  </si>
  <si>
    <t>PosterNpcNmlHrs11</t>
  </si>
  <si>
    <t>BromideNpcNmlSqu01_Remake_2_0</t>
  </si>
  <si>
    <t>Cookie's poster</t>
  </si>
  <si>
    <t>Roasting marshmallows</t>
  </si>
  <si>
    <t>FtrFallenleavesfire_Remake_1_0</t>
  </si>
  <si>
    <t>leaf stool</t>
  </si>
  <si>
    <t>PosterNpcNmlDog08</t>
  </si>
  <si>
    <t>BromideNpcNmlSqu01_Remake_3_0</t>
  </si>
  <si>
    <t>Copper's poster</t>
  </si>
  <si>
    <t>FtrFallenleavesChairS_Remake_0_0</t>
  </si>
  <si>
    <t>BromideNpcNmlSqu01_Remake_4_0</t>
  </si>
  <si>
    <t>PosterNpcSpDga</t>
  </si>
  <si>
    <t>Cousteau's poster</t>
  </si>
  <si>
    <t>BromideNpcNmlSqu01_Remake_5_0</t>
  </si>
  <si>
    <t>FtrFallenleavesChairS_Remake_1_0</t>
  </si>
  <si>
    <t>PosterNpcNmlFlg10</t>
  </si>
  <si>
    <t>Crackle's poster</t>
  </si>
  <si>
    <t>BromideNpcNmlSqu01_Remake_6_0</t>
  </si>
  <si>
    <t>FtrFallenleavesChairS_Remake_2_0</t>
  </si>
  <si>
    <t>PosterNpcNmlPig05</t>
  </si>
  <si>
    <t>Cranston's poster</t>
  </si>
  <si>
    <t>BromideNpcNmlSqu01_Remake_7_0</t>
  </si>
  <si>
    <t>Blanche's photo</t>
  </si>
  <si>
    <t>PosterNpcNmlOst06</t>
  </si>
  <si>
    <t>FtrFallenleavesChairS_Remake_3_0</t>
  </si>
  <si>
    <t>BromideNpcNmlOst08_Remake_0_0</t>
  </si>
  <si>
    <t>Croque's poster</t>
  </si>
  <si>
    <t>lecture-hall bench</t>
  </si>
  <si>
    <t>PosterNpcNmlFlg17</t>
  </si>
  <si>
    <t>BromideNpcNmlOst08_Remake_1_0</t>
  </si>
  <si>
    <t>Cube's poster</t>
  </si>
  <si>
    <t>lecture hall</t>
  </si>
  <si>
    <t>FtrChairCollage_Remake_0_0</t>
  </si>
  <si>
    <t>BromideNpcNmlOst08_Remake_2_0</t>
  </si>
  <si>
    <t>PosterNpcNmlPgn02</t>
  </si>
  <si>
    <t>Curlos's poster</t>
  </si>
  <si>
    <t>BromideNpcNmlOst08_Remake_3_0</t>
  </si>
  <si>
    <t>FtrChairCollage_Remake_1_0</t>
  </si>
  <si>
    <t>PosterNpcNmlShp08</t>
  </si>
  <si>
    <t>Curly's poster</t>
  </si>
  <si>
    <t>lecture-hall desk</t>
  </si>
  <si>
    <t>BromideNpcNmlOst08_Remake_4_0</t>
  </si>
  <si>
    <t>PosterNpcNmlPig00</t>
  </si>
  <si>
    <t>Curt's poster</t>
  </si>
  <si>
    <t>FtrTableCollage_Remake_0_0</t>
  </si>
  <si>
    <t>BromideNpcNmlOst08_Remake_5_0</t>
  </si>
  <si>
    <t>PosterNpcNmlBea02</t>
  </si>
  <si>
    <t>Cyd's poster</t>
  </si>
  <si>
    <t>PosterNpcNmlElp12</t>
  </si>
  <si>
    <t>BromideNpcNmlOst08_Remake_6_0</t>
  </si>
  <si>
    <t>Cyrano's poster</t>
  </si>
  <si>
    <t>FtrTableCollage_Remake_1_0</t>
  </si>
  <si>
    <t>PosterNpcNmlAnt00</t>
  </si>
  <si>
    <t>Cyrus's poster</t>
  </si>
  <si>
    <t>BromideNpcNmlOst08_Remake_7_0</t>
  </si>
  <si>
    <t>Bluebear's photo</t>
  </si>
  <si>
    <t>PosterNpcSpAlp</t>
  </si>
  <si>
    <t>Daisy's poster</t>
  </si>
  <si>
    <t>BromideNpcNmlCbr00_Remake_0_0</t>
  </si>
  <si>
    <t>FtrTableCollage_Remake_2_0</t>
  </si>
  <si>
    <t>PosterNpcNmlDog07</t>
  </si>
  <si>
    <t>lifeguard chair</t>
  </si>
  <si>
    <t>Deena's poster</t>
  </si>
  <si>
    <t>BromideNpcNmlCbr00_Remake_1_0</t>
  </si>
  <si>
    <t>PosterNpcNmlDuk04</t>
  </si>
  <si>
    <t>Deirdre's poster</t>
  </si>
  <si>
    <t>FtrMonitoringchair_Remake_0_0</t>
  </si>
  <si>
    <t>PosterNpcNmlDer04</t>
  </si>
  <si>
    <t>Del's poster</t>
  </si>
  <si>
    <t>BromideNpcNmlCbr00_Remake_2_0</t>
  </si>
  <si>
    <t>PosterNpcNmlCrd04</t>
  </si>
  <si>
    <t>Deli's poster</t>
  </si>
  <si>
    <t>BromideNpcNmlCbr00_Remake_3_0</t>
  </si>
  <si>
    <t>PosterNpcNmlMnk08</t>
  </si>
  <si>
    <t>Derwin's poster</t>
  </si>
  <si>
    <t>FtrMonitoringchair_Remake_1_0</t>
  </si>
  <si>
    <t>BromideNpcNmlCbr00_Remake_4_0</t>
  </si>
  <si>
    <t>PosterNpcNmlDuk08</t>
  </si>
  <si>
    <t>Diana's poster</t>
  </si>
  <si>
    <t>PosterNpcNmlDer08</t>
  </si>
  <si>
    <t>Digby's poster</t>
  </si>
  <si>
    <t>BromideNpcNmlCbr00_Remake_5_0</t>
  </si>
  <si>
    <t>FtrMonitoringchair_Remake_2_0</t>
  </si>
  <si>
    <t>PosterNpcSpSzo</t>
  </si>
  <si>
    <t>Diva's poster</t>
  </si>
  <si>
    <t>BromideNpcNmlCbr00_Remake_6_0</t>
  </si>
  <si>
    <t>PosterNpcNmlFlg18</t>
  </si>
  <si>
    <t>Dizzy's poster</t>
  </si>
  <si>
    <t>FtrMonitoringchair_Remake_3_0</t>
  </si>
  <si>
    <t>PosterNpcNmlElp01</t>
  </si>
  <si>
    <t>DJ KK's poster</t>
  </si>
  <si>
    <t>BromideNpcNmlCbr00_Remake_7_0</t>
  </si>
  <si>
    <t>Bob's photo</t>
  </si>
  <si>
    <t>PosterNpcSpTkkB</t>
  </si>
  <si>
    <t>Dobie's poster</t>
  </si>
  <si>
    <t>FtrMonitoringchair_Remake_4_0</t>
  </si>
  <si>
    <t>lighthouse</t>
  </si>
  <si>
    <t>PosterNpcNmlWol04</t>
  </si>
  <si>
    <t>Doc's poster</t>
  </si>
  <si>
    <t>BromideNpcNmlCat00_Remake_0_0</t>
  </si>
  <si>
    <t>PosterNpcNmlRbt10</t>
  </si>
  <si>
    <t>Dom's poster</t>
  </si>
  <si>
    <t>FtrLighthouse_Remake_0_0</t>
  </si>
  <si>
    <t>BromideNpcNmlCat00_Remake_1_0</t>
  </si>
  <si>
    <t>PosterNpcNmlShp15</t>
  </si>
  <si>
    <t>Don's poster</t>
  </si>
  <si>
    <t>PosterNpcSpMob</t>
  </si>
  <si>
    <t>Dora's poster</t>
  </si>
  <si>
    <t>BromideNpcNmlCat00_Remake_2_0</t>
  </si>
  <si>
    <t>FtrLighthouse_Remake_1_0</t>
  </si>
  <si>
    <t>PosterNpcNmlMus00</t>
  </si>
  <si>
    <t>Dotty's poster</t>
  </si>
  <si>
    <t>BromideNpcNmlCat00_Remake_3_0</t>
  </si>
  <si>
    <t>PosterNpcNmlRbt01</t>
  </si>
  <si>
    <t>Drago's poster</t>
  </si>
  <si>
    <t>FtrLighthouse_Remake_2_0</t>
  </si>
  <si>
    <t>PosterNpcNmlCrd08</t>
  </si>
  <si>
    <t>Drake's poster</t>
  </si>
  <si>
    <t>BromideNpcNmlCat00_Remake_4_0</t>
  </si>
  <si>
    <t>PosterNpcNmlDuk09</t>
  </si>
  <si>
    <t>Drift's poster</t>
  </si>
  <si>
    <t>BromideNpcNmlCat00_Remake_5_0</t>
  </si>
  <si>
    <t>FtrLighthouse_Remake_3_0</t>
  </si>
  <si>
    <t>PosterNpcNmlFlg04</t>
  </si>
  <si>
    <t>Ed's poster</t>
  </si>
  <si>
    <t>PosterNpcNmlHrs06</t>
  </si>
  <si>
    <t>BromideNpcNmlCat00_Remake_6_0</t>
  </si>
  <si>
    <t>Egbert's poster</t>
  </si>
  <si>
    <t>FtrLighthouse_Remake_4_0</t>
  </si>
  <si>
    <t>PosterNpcNmlChn02</t>
  </si>
  <si>
    <t>Elise's poster</t>
  </si>
  <si>
    <t>BromideNpcNmlCat00_Remake_7_0</t>
  </si>
  <si>
    <t>Bonbon's photo</t>
  </si>
  <si>
    <t>PosterNpcNmlMnk05</t>
  </si>
  <si>
    <t>Ellie's poster</t>
  </si>
  <si>
    <t>FtrLighthouse_Remake_5_0</t>
  </si>
  <si>
    <t>PosterNpcNmlElp07</t>
  </si>
  <si>
    <t>lily record player</t>
  </si>
  <si>
    <t>Elmer's poster</t>
  </si>
  <si>
    <t>BromideNpcNmlRbt17_Remake_0_0</t>
  </si>
  <si>
    <t>PosterNpcNmlHrs03</t>
  </si>
  <si>
    <t>Eloise's poster</t>
  </si>
  <si>
    <t>BromideNpcNmlRbt17_Remake_1_0</t>
  </si>
  <si>
    <t>PosterNpcNmlElp03</t>
  </si>
  <si>
    <t>Elvis's poster</t>
  </si>
  <si>
    <t>FtrFlowerRecordplayer_Remake_0_0</t>
  </si>
  <si>
    <t>PosterNpcNmlLon01</t>
  </si>
  <si>
    <t>Erik's poster</t>
  </si>
  <si>
    <t>BromideNpcNmlRbt17_Remake_2_0</t>
  </si>
  <si>
    <t>PosterNpcNmlDer09</t>
  </si>
  <si>
    <t>Eugene's poster</t>
  </si>
  <si>
    <t>FtrFlowerRecordplayer_Remake_1_0</t>
  </si>
  <si>
    <t>BromideNpcNmlRbt17_Remake_3_0</t>
  </si>
  <si>
    <t>PosterNpcNmlKal10</t>
  </si>
  <si>
    <t>Eunice's poster</t>
  </si>
  <si>
    <t>PosterNpcNmlShp02</t>
  </si>
  <si>
    <t>Fang's poster</t>
  </si>
  <si>
    <t>BromideNpcNmlRbt17_Remake_4_0</t>
  </si>
  <si>
    <t>FtrFlowerRecordplayer_Remake_2_0</t>
  </si>
  <si>
    <t>loft bed with desk</t>
  </si>
  <si>
    <t>PosterNpcNmlWol06</t>
  </si>
  <si>
    <t>Fauna's poster</t>
  </si>
  <si>
    <t>BromideNpcNmlRbt17_Remake_5_0</t>
  </si>
  <si>
    <t>PosterNpcNmlDer00</t>
  </si>
  <si>
    <t>Felicity's poster</t>
  </si>
  <si>
    <t>FtrBeddesk_Remake_0_0</t>
  </si>
  <si>
    <t>PosterNpcNmlCat17</t>
  </si>
  <si>
    <t>Filbert's poster</t>
  </si>
  <si>
    <t>BromideNpcNmlRbt17_Remake_6_0</t>
  </si>
  <si>
    <t>PosterNpcNmlSqu02</t>
  </si>
  <si>
    <t>Flip's poster</t>
  </si>
  <si>
    <t>FtrBeddesk_Remake_0_1</t>
  </si>
  <si>
    <t>BromideNpcNmlRbt17_Remake_7_0</t>
  </si>
  <si>
    <t>Bones's photo</t>
  </si>
  <si>
    <t>PosterNpcNmlMnk06</t>
  </si>
  <si>
    <t>Flo's poster</t>
  </si>
  <si>
    <t>FtrBeddesk_Remake_0_2</t>
  </si>
  <si>
    <t>BromideNpcNmlDog04_Remake_0_0</t>
  </si>
  <si>
    <t>PosterNpcNmlPgn13</t>
  </si>
  <si>
    <t>Flora's poster</t>
  </si>
  <si>
    <t>PosterNpcNmlOst09</t>
  </si>
  <si>
    <t>Flurry's poster</t>
  </si>
  <si>
    <t>BromideNpcNmlDog04_Remake_1_0</t>
  </si>
  <si>
    <t>FtrBeddesk_Remake_0_3</t>
  </si>
  <si>
    <t>PosterNpcNmlHam06</t>
  </si>
  <si>
    <t>Francine's poster</t>
  </si>
  <si>
    <t>BromideNpcNmlDog04_Remake_2_0</t>
  </si>
  <si>
    <t>FtrBeddesk_Remake_0_4</t>
  </si>
  <si>
    <t>PosterNpcNmlRbt12</t>
  </si>
  <si>
    <t>Frank's poster</t>
  </si>
  <si>
    <t>BromideNpcNmlDog04_Remake_3_0</t>
  </si>
  <si>
    <t>PosterNpcNmlPbr06</t>
  </si>
  <si>
    <t>Franklin's poster</t>
  </si>
  <si>
    <t>FtrBeddesk_Remake_0_5</t>
  </si>
  <si>
    <t>BromideNpcNmlDog04_Remake_4_0</t>
  </si>
  <si>
    <t>PosterNpcSpTuk</t>
  </si>
  <si>
    <t>Freckles's poster</t>
  </si>
  <si>
    <t>BromideNpcNmlDog04_Remake_5_0</t>
  </si>
  <si>
    <t>PosterNpcNmlDuk07</t>
  </si>
  <si>
    <t>Freya's poster</t>
  </si>
  <si>
    <t>FtrBeddesk_Remake_0_6</t>
  </si>
  <si>
    <t>PosterNpcNmlWol05</t>
  </si>
  <si>
    <t>Friga's poster</t>
  </si>
  <si>
    <t>BromideNpcNmlDog04_Remake_6_0</t>
  </si>
  <si>
    <t>PosterNpcNmlPgn04</t>
  </si>
  <si>
    <t>Frita's poster</t>
  </si>
  <si>
    <t>PosterNpcNmlShp11</t>
  </si>
  <si>
    <t>BromideNpcNmlDog04_Remake_7_0</t>
  </si>
  <si>
    <t>Frobert's poster</t>
  </si>
  <si>
    <t>Boomer's photo</t>
  </si>
  <si>
    <t>FtrBeddesk_Remake_0_7</t>
  </si>
  <si>
    <t>PosterNpcNmlFlg02</t>
  </si>
  <si>
    <t>Fuchsia's poster</t>
  </si>
  <si>
    <t>BromideNpcNmlPgn10_Remake_0_0</t>
  </si>
  <si>
    <t>PosterNpcNmlDer06</t>
  </si>
  <si>
    <t>Gabi's poster</t>
  </si>
  <si>
    <t>BromideNpcNmlPgn10_Remake_1_0</t>
  </si>
  <si>
    <t>PosterNpcNmlRbt05</t>
  </si>
  <si>
    <t>Gala's poster</t>
  </si>
  <si>
    <t>FtrBeddesk_Remake_1_0</t>
  </si>
  <si>
    <t>PosterNpcNmlPig13</t>
  </si>
  <si>
    <t>Gaston's poster</t>
  </si>
  <si>
    <t>BromideNpcNmlPgn10_Remake_2_0</t>
  </si>
  <si>
    <t>PosterNpcNmlRbt04</t>
  </si>
  <si>
    <t>Gayle's poster</t>
  </si>
  <si>
    <t>FtrBeddesk_Remake_1_1</t>
  </si>
  <si>
    <t>BromideNpcNmlPgn10_Remake_3_0</t>
  </si>
  <si>
    <t>PosterNpcNmlCrd07</t>
  </si>
  <si>
    <t>Genji's poster</t>
  </si>
  <si>
    <t>PosterNpcNmlRbt08</t>
  </si>
  <si>
    <t>Gigi's poster</t>
  </si>
  <si>
    <t>FtrBeddesk_Remake_1_2</t>
  </si>
  <si>
    <t>BromideNpcNmlPgn10_Remake_4_0</t>
  </si>
  <si>
    <t>PosterNpcNmlFlg16</t>
  </si>
  <si>
    <t>Gladys's poster</t>
  </si>
  <si>
    <t>BromideNpcNmlPgn10_Remake_5_0</t>
  </si>
  <si>
    <t>PosterNpcNmlOst01</t>
  </si>
  <si>
    <t>Gloria's poster</t>
  </si>
  <si>
    <t>FtrBeddesk_Remake_1_3</t>
  </si>
  <si>
    <t>PosterNpcNmlDuk15</t>
  </si>
  <si>
    <t>Goldie's poster</t>
  </si>
  <si>
    <t>BromideNpcNmlPgn10_Remake_6_0</t>
  </si>
  <si>
    <t>PosterNpcNmlDog00</t>
  </si>
  <si>
    <t>Gonzo's poster</t>
  </si>
  <si>
    <t>FtrBeddesk_Remake_1_4</t>
  </si>
  <si>
    <t>PosterNpcNmlKal04</t>
  </si>
  <si>
    <t>Goose's poster</t>
  </si>
  <si>
    <t>BromideNpcNmlPgn10_Remake_7_0</t>
  </si>
  <si>
    <t>Boone's photo</t>
  </si>
  <si>
    <t>PosterNpcNmlChn00</t>
  </si>
  <si>
    <t>Gracie's poster</t>
  </si>
  <si>
    <t>FtrBeddesk_Remake_1_5</t>
  </si>
  <si>
    <t>BromideNpcNmlGor02_Remake_0_0</t>
  </si>
  <si>
    <t>PosterNpcSpGrf</t>
  </si>
  <si>
    <t>Graham's poster</t>
  </si>
  <si>
    <t>FtrBeddesk_Remake_1_6</t>
  </si>
  <si>
    <t>PosterNpcNmlHam02</t>
  </si>
  <si>
    <t>BromideNpcNmlGor02_Remake_1_0</t>
  </si>
  <si>
    <t>Grams's poster</t>
  </si>
  <si>
    <t>BromideNpcNmlGor02_Remake_2_0</t>
  </si>
  <si>
    <t>PosterNpcSpKpg</t>
  </si>
  <si>
    <t>Greta's poster</t>
  </si>
  <si>
    <t>FtrBeddesk_Remake_1_7</t>
  </si>
  <si>
    <t>PosterNpcNmlMus16</t>
  </si>
  <si>
    <t>BromideNpcNmlGor02_Remake_3_0</t>
  </si>
  <si>
    <t>Grizzly's poster</t>
  </si>
  <si>
    <t>PosterNpcNmlBea09</t>
  </si>
  <si>
    <t>Groucho's poster</t>
  </si>
  <si>
    <t>BromideNpcNmlGor02_Remake_4_0</t>
  </si>
  <si>
    <t>FtrBeddesk_Remake_2_0</t>
  </si>
  <si>
    <t>PosterNpcNmlBea06</t>
  </si>
  <si>
    <t>Gruff's poster</t>
  </si>
  <si>
    <t>PosterNpcNmlGoa04</t>
  </si>
  <si>
    <t>Gulliver's poster</t>
  </si>
  <si>
    <t>FtrBeddesk_Remake_2_1</t>
  </si>
  <si>
    <t>BromideNpcNmlGor02_Remake_5_0</t>
  </si>
  <si>
    <t>PosterNpcSpGul</t>
  </si>
  <si>
    <t>Gwen's poster</t>
  </si>
  <si>
    <t>PosterNpcNmlPgn05</t>
  </si>
  <si>
    <t>FtrBeddesk_Remake_2_2</t>
  </si>
  <si>
    <t>Hamlet's poster</t>
  </si>
  <si>
    <t>BromideNpcNmlGor02_Remake_6_0</t>
  </si>
  <si>
    <t>PosterNpcNmlHam00</t>
  </si>
  <si>
    <t>Hamphrey's poster</t>
  </si>
  <si>
    <t>FtrBeddesk_Remake_2_3</t>
  </si>
  <si>
    <t>PosterNpcNmlHam07</t>
  </si>
  <si>
    <t>Hans's poster</t>
  </si>
  <si>
    <t>BromideNpcNmlGor02_Remake_7_0</t>
  </si>
  <si>
    <t>Boots's photo</t>
  </si>
  <si>
    <t>PosterNpcNmlGor10</t>
  </si>
  <si>
    <t>Harriet's poster</t>
  </si>
  <si>
    <t>FtrBeddesk_Remake_2_4</t>
  </si>
  <si>
    <t>BromideNpcNmlCrd02_Remake_0_0</t>
  </si>
  <si>
    <t>PosterNpcSpPoo</t>
  </si>
  <si>
    <t>Harry's poster</t>
  </si>
  <si>
    <t>PosterNpcNmlHip08</t>
  </si>
  <si>
    <t>Hazel's poster</t>
  </si>
  <si>
    <t>BromideNpcNmlCrd02_Remake_1_0</t>
  </si>
  <si>
    <t>FtrBeddesk_Remake_2_5</t>
  </si>
  <si>
    <t>PosterNpcNmlSqu18</t>
  </si>
  <si>
    <t>Hello Kitty poster</t>
  </si>
  <si>
    <t>BromideNpcNmlCrd02_Remake_2_0</t>
  </si>
  <si>
    <t>PosterNpcNmlGor11</t>
  </si>
  <si>
    <t>Henry's poster</t>
  </si>
  <si>
    <t>FtrBeddesk_Remake_2_6</t>
  </si>
  <si>
    <t>PosterNpcNmlFlg19</t>
  </si>
  <si>
    <t>Hippeux's poster</t>
  </si>
  <si>
    <t>PosterNpcNmlHip09</t>
  </si>
  <si>
    <t>Hopkins's poster</t>
  </si>
  <si>
    <t>FtrBeddesk_Remake_2_7</t>
  </si>
  <si>
    <t>BromideNpcNmlCrd02_Remake_3_0</t>
  </si>
  <si>
    <t>PosterNpcNmlRbt14</t>
  </si>
  <si>
    <t>Hopper's poster</t>
  </si>
  <si>
    <t>PosterNpcNmlPgn03</t>
  </si>
  <si>
    <t>FtrBeddesk_Remake_3_0</t>
  </si>
  <si>
    <t>Hornsby's poster</t>
  </si>
  <si>
    <t>BromideNpcNmlCrd02_Remake_4_0</t>
  </si>
  <si>
    <t>PosterNpcNmlRhn04</t>
  </si>
  <si>
    <t>Huck's poster</t>
  </si>
  <si>
    <t>PosterNpcNmlFlg11</t>
  </si>
  <si>
    <t>Hugh's poster</t>
  </si>
  <si>
    <t>FtrBeddesk_Remake_3_1</t>
  </si>
  <si>
    <t>PosterNpcNmlPig03</t>
  </si>
  <si>
    <t>Iggly's poster</t>
  </si>
  <si>
    <t>BromideNpcNmlCrd02_Remake_5_0</t>
  </si>
  <si>
    <t>PosterNpcNmlPgn11</t>
  </si>
  <si>
    <t>Ike's poster</t>
  </si>
  <si>
    <t>FtrBeddesk_Remake_3_2</t>
  </si>
  <si>
    <t>PosterNpcNmlBea11</t>
  </si>
  <si>
    <t>BromideNpcNmlCrd02_Remake_6_0</t>
  </si>
  <si>
    <t>Isabelle's poster</t>
  </si>
  <si>
    <t>FtrBeddesk_Remake_3_3</t>
  </si>
  <si>
    <t>PosterNpcSpSza</t>
  </si>
  <si>
    <t>Jack's poster</t>
  </si>
  <si>
    <t>BromideNpcNmlCrd02_Remake_7_0</t>
  </si>
  <si>
    <t>Boris's photo</t>
  </si>
  <si>
    <t>FtrBeddesk_Remake_3_4</t>
  </si>
  <si>
    <t>PosterNpcSpPkn</t>
  </si>
  <si>
    <t>Jacques's poster</t>
  </si>
  <si>
    <t>BromideNpcNmlPig09_Remake_0_0</t>
  </si>
  <si>
    <t>PosterNpcNmlBrd16</t>
  </si>
  <si>
    <t>Jakey's poster</t>
  </si>
  <si>
    <t>BromideNpcNmlPig09_Remake_1_0</t>
  </si>
  <si>
    <t>PosterNpcNmlBrd11</t>
  </si>
  <si>
    <t>Jambette's poster</t>
  </si>
  <si>
    <t>FtrBeddesk_Remake_3_5</t>
  </si>
  <si>
    <t>PosterNpcNmlFlg13</t>
  </si>
  <si>
    <t>Jay's poster</t>
  </si>
  <si>
    <t>BromideNpcNmlPig09_Remake_2_0</t>
  </si>
  <si>
    <t>PosterNpcNmlBrd00</t>
  </si>
  <si>
    <t>BromideNpcNmlPig09_Remake_3_0</t>
  </si>
  <si>
    <t>Jeremiah's poster</t>
  </si>
  <si>
    <t>FtrBeddesk_Remake_3_6</t>
  </si>
  <si>
    <t>BromideNpcNmlPig09_Remake_4_0</t>
  </si>
  <si>
    <t>PosterNpcNmlFlg07</t>
  </si>
  <si>
    <t>Jingle's poster</t>
  </si>
  <si>
    <t>BromideNpcNmlPig09_Remake_5_0</t>
  </si>
  <si>
    <t>FtrBeddesk_Remake_3_7</t>
  </si>
  <si>
    <t>PosterNpcSpRei</t>
  </si>
  <si>
    <t>Jitters's poster</t>
  </si>
  <si>
    <t>BromideNpcNmlPig09_Remake_6_0</t>
  </si>
  <si>
    <t>PosterNpcNmlBrd04</t>
  </si>
  <si>
    <t>FtrBeddesk_Remake_4_0</t>
  </si>
  <si>
    <t>Joan's poster</t>
  </si>
  <si>
    <t>PosterNpcSpBoa</t>
  </si>
  <si>
    <t>Joey's poster</t>
  </si>
  <si>
    <t>FtrBeddesk_Remake_4_1</t>
  </si>
  <si>
    <t>BromideNpcNmlPig09_Remake_7_0</t>
  </si>
  <si>
    <t>Boyd's photo</t>
  </si>
  <si>
    <t>PosterNpcNmlDuk01</t>
  </si>
  <si>
    <t>Judy's poster</t>
  </si>
  <si>
    <t>BromideNpcNmlGor05_Remake_0_0</t>
  </si>
  <si>
    <t>FtrBeddesk_Remake_4_2</t>
  </si>
  <si>
    <t>PosterNpcNmlCbr19</t>
  </si>
  <si>
    <t>Julia's poster</t>
  </si>
  <si>
    <t>BromideNpcNmlGor05_Remake_1_0</t>
  </si>
  <si>
    <t>PosterNpcNmlOst05</t>
  </si>
  <si>
    <t>FtrBeddesk_Remake_4_3</t>
  </si>
  <si>
    <t>Julian's poster</t>
  </si>
  <si>
    <t>PosterNpcNmlHrs13</t>
  </si>
  <si>
    <t>BromideNpcNmlGor05_Remake_2_0</t>
  </si>
  <si>
    <t>June's poster</t>
  </si>
  <si>
    <t>FtrBeddesk_Remake_4_4</t>
  </si>
  <si>
    <t>PosterNpcNmlCbr13</t>
  </si>
  <si>
    <t>K.K.'s poster</t>
  </si>
  <si>
    <t>BromideNpcNmlGor05_Remake_3_0</t>
  </si>
  <si>
    <t>PosterNpcSpTkkA</t>
  </si>
  <si>
    <t>Kabuki's poster</t>
  </si>
  <si>
    <t>FtrBeddesk_Remake_4_5</t>
  </si>
  <si>
    <t>PosterNpcNmlCat09</t>
  </si>
  <si>
    <t>Kapp'n's poster</t>
  </si>
  <si>
    <t>BromideNpcNmlGor05_Remake_4_0</t>
  </si>
  <si>
    <t>FtrBeddesk_Remake_4_6</t>
  </si>
  <si>
    <t>PosterNpcSpKpp</t>
  </si>
  <si>
    <t>BromideNpcNmlGor05_Remake_5_0</t>
  </si>
  <si>
    <t>Katie's poster</t>
  </si>
  <si>
    <t>BromideNpcNmlGor05_Remake_6_0</t>
  </si>
  <si>
    <t>FtrBeddesk_Remake_4_7</t>
  </si>
  <si>
    <t>PosterNpcSpLom</t>
  </si>
  <si>
    <t>Katrina's poster</t>
  </si>
  <si>
    <t>BromideNpcNmlGor05_Remake_7_0</t>
  </si>
  <si>
    <t>PosterNpcSpBpt</t>
  </si>
  <si>
    <t>Bree's photo</t>
  </si>
  <si>
    <t>FtrBeddesk_Remake_5_0</t>
  </si>
  <si>
    <t>Katt's poster</t>
  </si>
  <si>
    <t>BromideNpcNmlMus03_Remake_0_0</t>
  </si>
  <si>
    <t>PosterNpcNmlCat21</t>
  </si>
  <si>
    <t>Keaton's poster</t>
  </si>
  <si>
    <t>FtrBeddesk_Remake_5_1</t>
  </si>
  <si>
    <t>BromideNpcNmlMus03_Remake_1_0</t>
  </si>
  <si>
    <t>PosterNpcNmlPbr08</t>
  </si>
  <si>
    <t>Ken's poster</t>
  </si>
  <si>
    <t>BromideNpcNmlMus03_Remake_2_0</t>
  </si>
  <si>
    <t>PosterNpcNmlChn13</t>
  </si>
  <si>
    <t>Kerokerokeroppi poster</t>
  </si>
  <si>
    <t>FtrBeddesk_Remake_5_2</t>
  </si>
  <si>
    <t>PosterNpcNmlRbt20</t>
  </si>
  <si>
    <t>BromideNpcNmlMus03_Remake_3_0</t>
  </si>
  <si>
    <t>Ketchup's poster</t>
  </si>
  <si>
    <t>PosterNpcNmlDuk13</t>
  </si>
  <si>
    <t>Kevin's poster</t>
  </si>
  <si>
    <t>BromideNpcNmlMus03_Remake_4_0</t>
  </si>
  <si>
    <t>PosterNpcNmlPig15</t>
  </si>
  <si>
    <t>Kicks's poster</t>
  </si>
  <si>
    <t>FtrBeddesk_Remake_5_3</t>
  </si>
  <si>
    <t>BromideNpcNmlMus03_Remake_5_0</t>
  </si>
  <si>
    <t>PosterNpcSpSkk</t>
  </si>
  <si>
    <t>Kid Cat's poster</t>
  </si>
  <si>
    <t>BromideNpcNmlMus03_Remake_6_0</t>
  </si>
  <si>
    <t>PosterNpcNmlCat10</t>
  </si>
  <si>
    <t>Kidd's poster</t>
  </si>
  <si>
    <t>FtrBeddesk_Remake_5_4</t>
  </si>
  <si>
    <t>BromideNpcNmlMus03_Remake_7_0</t>
  </si>
  <si>
    <t>Broccolo's photo</t>
  </si>
  <si>
    <t>PosterNpcNmlGoa07</t>
  </si>
  <si>
    <t>Kiki &amp; Lala poster</t>
  </si>
  <si>
    <t>PosterNpcNmlShp14</t>
  </si>
  <si>
    <t>Kiki's poster</t>
  </si>
  <si>
    <t>BromideNpcNmlMus12_Remake_0_0</t>
  </si>
  <si>
    <t>PosterNpcNmlCat04</t>
  </si>
  <si>
    <t>Kitt's poster</t>
  </si>
  <si>
    <t>PosterNpcNmlKgr00</t>
  </si>
  <si>
    <t>Kitty's poster</t>
  </si>
  <si>
    <t>BromideNpcNmlMus12_Remake_1_0</t>
  </si>
  <si>
    <t>FtrBeddesk_Remake_5_5</t>
  </si>
  <si>
    <t>PosterNpcNmlCat14</t>
  </si>
  <si>
    <t>Klaus's poster</t>
  </si>
  <si>
    <t>PosterNpcNmlBea14</t>
  </si>
  <si>
    <t>Knox's poster</t>
  </si>
  <si>
    <t>BromideNpcNmlMus12_Remake_2_0</t>
  </si>
  <si>
    <t>PosterNpcNmlChn11</t>
  </si>
  <si>
    <t>Kody's poster</t>
  </si>
  <si>
    <t>FtrBeddesk_Remake_5_6</t>
  </si>
  <si>
    <t>PosterNpcNmlCbr04</t>
  </si>
  <si>
    <t>Kyle's poster</t>
  </si>
  <si>
    <t>BromideNpcNmlMus12_Remake_3_0</t>
  </si>
  <si>
    <t>FtrBeddesk_Remake_5_7</t>
  </si>
  <si>
    <t>PosterNpcNmlWol10</t>
  </si>
  <si>
    <t>Label's poster</t>
  </si>
  <si>
    <t>BromideNpcNmlMus12_Remake_4_0</t>
  </si>
  <si>
    <t>FtrBeddesk_Remake_6_0</t>
  </si>
  <si>
    <t>PosterNpcSpHgc</t>
  </si>
  <si>
    <t>Leif's poster</t>
  </si>
  <si>
    <t>PosterNpcSpSlo</t>
  </si>
  <si>
    <t>BromideNpcNmlMus12_Remake_5_0</t>
  </si>
  <si>
    <t>Leila's poster</t>
  </si>
  <si>
    <t>PosterNpcSpKps</t>
  </si>
  <si>
    <t>Leilani's poster</t>
  </si>
  <si>
    <t>BromideNpcNmlMus12_Remake_6_0</t>
  </si>
  <si>
    <t>FtrBeddesk_Remake_6_1</t>
  </si>
  <si>
    <t>PosterNpcSpKpm</t>
  </si>
  <si>
    <t>Leonardo's poster</t>
  </si>
  <si>
    <t>BromideNpcNmlMus12_Remake_7_0</t>
  </si>
  <si>
    <t>PosterNpcNmlTig04</t>
  </si>
  <si>
    <t>Leopold's poster</t>
  </si>
  <si>
    <t>Broffina's photo</t>
  </si>
  <si>
    <t>PosterNpcNmlLon04</t>
  </si>
  <si>
    <t>Lily's poster</t>
  </si>
  <si>
    <t>BromideNpcNmlChn12_Remake_0_0</t>
  </si>
  <si>
    <t>FtrBeddesk_Remake_6_2</t>
  </si>
  <si>
    <t>PosterNpcNmlFlg00</t>
  </si>
  <si>
    <t>Limberg's poster</t>
  </si>
  <si>
    <t>PosterNpcNmlMus01</t>
  </si>
  <si>
    <t>Lionel's poster</t>
  </si>
  <si>
    <t>BromideNpcNmlChn12_Remake_1_0</t>
  </si>
  <si>
    <t>PosterNpcNmlLon08</t>
  </si>
  <si>
    <t>Lobo's poster</t>
  </si>
  <si>
    <t>FtrBeddesk_Remake_6_3</t>
  </si>
  <si>
    <t>BromideNpcNmlChn12_Remake_2_0</t>
  </si>
  <si>
    <t>PosterNpcNmlWol01</t>
  </si>
  <si>
    <t>Lolly's poster</t>
  </si>
  <si>
    <t>PosterNpcNmlCat18</t>
  </si>
  <si>
    <t>Lopez's poster</t>
  </si>
  <si>
    <t>FtrBeddesk_Remake_6_4</t>
  </si>
  <si>
    <t>BromideNpcNmlChn12_Remake_3_0</t>
  </si>
  <si>
    <t>PosterNpcNmlDer05</t>
  </si>
  <si>
    <t>Lottie's poster</t>
  </si>
  <si>
    <t>PosterNpcSpOtg</t>
  </si>
  <si>
    <t>Louie's poster</t>
  </si>
  <si>
    <t>FtrBeddesk_Remake_6_5</t>
  </si>
  <si>
    <t>PosterNpcNmlGor04</t>
  </si>
  <si>
    <t>BromideNpcNmlChn12_Remake_4_0</t>
  </si>
  <si>
    <t>Lucha's poster</t>
  </si>
  <si>
    <t>FtrBeddesk_Remake_6_6</t>
  </si>
  <si>
    <t>PosterNpcNmlBrd15</t>
  </si>
  <si>
    <t>Lucky's poster</t>
  </si>
  <si>
    <t>BromideNpcNmlChn12_Remake_5_0</t>
  </si>
  <si>
    <t>PosterNpcNmlDog02</t>
  </si>
  <si>
    <t>Lucy's poster</t>
  </si>
  <si>
    <t>FtrBeddesk_Remake_6_7</t>
  </si>
  <si>
    <t>BromideNpcNmlChn12_Remake_6_0</t>
  </si>
  <si>
    <t>PosterNpcNmlPig04</t>
  </si>
  <si>
    <t>Luna's poster</t>
  </si>
  <si>
    <t>BromideNpcNmlChn12_Remake_7_0</t>
  </si>
  <si>
    <t>Bruce's photo</t>
  </si>
  <si>
    <t>PosterNpcSpTap</t>
  </si>
  <si>
    <t>Lyle's poster</t>
  </si>
  <si>
    <t>FtrBeddesk_Remake_7_0</t>
  </si>
  <si>
    <t>PosterNpcSpOtt</t>
  </si>
  <si>
    <t>Lyman's poster</t>
  </si>
  <si>
    <t>BromideNpcNmlDer03_Remake_0_0</t>
  </si>
  <si>
    <t>PosterNpcNmlKal09</t>
  </si>
  <si>
    <t>FtrBeddesk_Remake_7_1</t>
  </si>
  <si>
    <t>Mabel's poster</t>
  </si>
  <si>
    <t>BromideNpcNmlDer03_Remake_1_0</t>
  </si>
  <si>
    <t>PosterNpcSpHgh</t>
  </si>
  <si>
    <t>Mac's poster</t>
  </si>
  <si>
    <t>BromideNpcNmlDer03_Remake_2_0</t>
  </si>
  <si>
    <t>FtrBeddesk_Remake_7_2</t>
  </si>
  <si>
    <t>PosterNpcNmlDog14</t>
  </si>
  <si>
    <t>BromideNpcNmlDer03_Remake_3_0</t>
  </si>
  <si>
    <t>Maddie's poster</t>
  </si>
  <si>
    <t>FtrBeddesk_Remake_7_3</t>
  </si>
  <si>
    <t>BromideNpcNmlDer03_Remake_4_0</t>
  </si>
  <si>
    <t>PosterNpcNmlDog09</t>
  </si>
  <si>
    <t>Maelle's poster</t>
  </si>
  <si>
    <t>FtrBeddesk_Remake_7_4</t>
  </si>
  <si>
    <t>PosterNpcNmlDuk03</t>
  </si>
  <si>
    <t>BromideNpcNmlDer03_Remake_5_0</t>
  </si>
  <si>
    <t>Maggie's poster</t>
  </si>
  <si>
    <t>FtrBeddesk_Remake_7_5</t>
  </si>
  <si>
    <t>PosterNpcNmlPig10</t>
  </si>
  <si>
    <t>BromideNpcNmlDer03_Remake_6_0</t>
  </si>
  <si>
    <t>Mallary's poster</t>
  </si>
  <si>
    <t>BromideNpcNmlDer03_Remake_7_0</t>
  </si>
  <si>
    <t>PosterNpcNmlDuk06</t>
  </si>
  <si>
    <t>Bubbles's photo</t>
  </si>
  <si>
    <t>FtrBeddesk_Remake_7_6</t>
  </si>
  <si>
    <t>Maple's poster</t>
  </si>
  <si>
    <t>PosterNpcNmlCbr01</t>
  </si>
  <si>
    <t>Marcel's poster</t>
  </si>
  <si>
    <t>BromideNpcNmlHip02_Remake_0_0</t>
  </si>
  <si>
    <t>FtrBeddesk_Remake_7_7</t>
  </si>
  <si>
    <t>log bed</t>
  </si>
  <si>
    <t>PosterNpcNmlDog15</t>
  </si>
  <si>
    <t>Marcie's poster</t>
  </si>
  <si>
    <t>BromideNpcNmlHip02_Remake_1_0</t>
  </si>
  <si>
    <t>FtrLogBedW_Remake_0_0</t>
  </si>
  <si>
    <t>BromideNpcNmlHip02_Remake_2_0</t>
  </si>
  <si>
    <t>PosterNpcNmlKgr10</t>
  </si>
  <si>
    <t>Geometric print</t>
  </si>
  <si>
    <t>Margie's poster</t>
  </si>
  <si>
    <t>FtrLogBedW_Remake_0_1</t>
  </si>
  <si>
    <t>BromideNpcNmlHip02_Remake_3_0</t>
  </si>
  <si>
    <t>PosterNpcNmlElp04</t>
  </si>
  <si>
    <t>Marina's poster</t>
  </si>
  <si>
    <t>Bears</t>
  </si>
  <si>
    <t>BromideNpcNmlHip02_Remake_4_0</t>
  </si>
  <si>
    <t>FtrLogBedW_Remake_0_2</t>
  </si>
  <si>
    <t>PosterNpcNmlOcp01</t>
  </si>
  <si>
    <t>Marshal's poster</t>
  </si>
  <si>
    <t>Quilted</t>
  </si>
  <si>
    <t>BromideNpcNmlHip02_Remake_5_0</t>
  </si>
  <si>
    <t>FtrLogBedW_Remake_0_3</t>
  </si>
  <si>
    <t>PosterNpcNmlSqu17</t>
  </si>
  <si>
    <t>Mathilda's poster</t>
  </si>
  <si>
    <t>BromideNpcNmlHip02_Remake_6_0</t>
  </si>
  <si>
    <t>FtrLogBedW_Remake_1_0</t>
  </si>
  <si>
    <t>PosterNpcNmlKgr01</t>
  </si>
  <si>
    <t>Megan's poster</t>
  </si>
  <si>
    <t>BromideNpcNmlHip02_Remake_7_0</t>
  </si>
  <si>
    <t>Buck's photo</t>
  </si>
  <si>
    <t>FtrLogBedW_Remake_1_1</t>
  </si>
  <si>
    <t>PosterNpcNmlBea15</t>
  </si>
  <si>
    <t>Melba's poster</t>
  </si>
  <si>
    <t>BromideNpcNmlHrs00_Remake_0_0</t>
  </si>
  <si>
    <t>FtrLogBedW_Remake_1_2</t>
  </si>
  <si>
    <t>PosterNpcNmlKal02</t>
  </si>
  <si>
    <t>BromideNpcNmlHrs00_Remake_1_0</t>
  </si>
  <si>
    <t>Merengue's poster</t>
  </si>
  <si>
    <t>FtrLogBedW_Remake_1_3</t>
  </si>
  <si>
    <t>PosterNpcNmlRhn07</t>
  </si>
  <si>
    <t>BromideNpcNmlHrs00_Remake_2_0</t>
  </si>
  <si>
    <t>Merry's poster</t>
  </si>
  <si>
    <t>FtrLogBedW_Remake_2_0</t>
  </si>
  <si>
    <t>PosterNpcNmlCat16</t>
  </si>
  <si>
    <t>Midge's poster</t>
  </si>
  <si>
    <t>BromideNpcNmlHrs00_Remake_3_0</t>
  </si>
  <si>
    <t>FtrLogBedW_Remake_2_1</t>
  </si>
  <si>
    <t>PosterNpcNmlBrd08</t>
  </si>
  <si>
    <t>Mint's poster</t>
  </si>
  <si>
    <t>BromideNpcNmlHrs00_Remake_4_0</t>
  </si>
  <si>
    <t>PosterNpcNmlSqu09</t>
  </si>
  <si>
    <t>Mira's poster</t>
  </si>
  <si>
    <t>FtrLogBedW_Remake_2_2</t>
  </si>
  <si>
    <t>BromideNpcNmlHrs00_Remake_5_0</t>
  </si>
  <si>
    <t>PosterNpcNmlRbt19</t>
  </si>
  <si>
    <t>Miranda's poster</t>
  </si>
  <si>
    <t>FtrLogBedW_Remake_2_3</t>
  </si>
  <si>
    <t>BromideNpcNmlHrs00_Remake_6_0</t>
  </si>
  <si>
    <t>PosterNpcNmlDuk12</t>
  </si>
  <si>
    <t>Mitzi's poster</t>
  </si>
  <si>
    <t>BromideNpcNmlHrs00_Remake_7_0</t>
  </si>
  <si>
    <t>Bud's photo</t>
  </si>
  <si>
    <t>FtrLogBedW_Remake_3_0</t>
  </si>
  <si>
    <t>PosterNpcNmlCat01</t>
  </si>
  <si>
    <t>Moe's poster</t>
  </si>
  <si>
    <t>BromideNpcNmlLon00_Remake_0_0</t>
  </si>
  <si>
    <t>FtrLogBedW_Remake_3_1</t>
  </si>
  <si>
    <t>PosterNpcNmlCat08</t>
  </si>
  <si>
    <t>Molly's poster</t>
  </si>
  <si>
    <t>BromideNpcNmlLon00_Remake_1_0</t>
  </si>
  <si>
    <t>FtrLogBedW_Remake_3_2</t>
  </si>
  <si>
    <t>BromideNpcNmlLon00_Remake_2_0</t>
  </si>
  <si>
    <t>PosterNpcNmlDuk16</t>
  </si>
  <si>
    <t>Monique's poster</t>
  </si>
  <si>
    <t>FtrLogBedW_Remake_3_3</t>
  </si>
  <si>
    <t>BromideNpcNmlLon00_Remake_3_0</t>
  </si>
  <si>
    <t>log bench</t>
  </si>
  <si>
    <t>PosterNpcNmlCat11</t>
  </si>
  <si>
    <t>Monty's poster</t>
  </si>
  <si>
    <t>BromideNpcNmlLon00_Remake_4_0</t>
  </si>
  <si>
    <t>FtrLogStoolL_Remake_0_0</t>
  </si>
  <si>
    <t>PosterNpcNmlMnk04</t>
  </si>
  <si>
    <t>Moose's poster</t>
  </si>
  <si>
    <t>BromideNpcNmlLon00_Remake_5_0</t>
  </si>
  <si>
    <t>FtrLogStoolL_Remake_1_0</t>
  </si>
  <si>
    <t>PosterNpcNmlMus14</t>
  </si>
  <si>
    <t>Mott's poster</t>
  </si>
  <si>
    <t>BromideNpcNmlLon00_Remake_6_0</t>
  </si>
  <si>
    <t>PosterNpcNmlLon06</t>
  </si>
  <si>
    <t>Muffy's poster</t>
  </si>
  <si>
    <t>FtrLogStoolL_Remake_2_0</t>
  </si>
  <si>
    <t>BromideNpcNmlLon00_Remake_7_0</t>
  </si>
  <si>
    <t>Bunnie's photo</t>
  </si>
  <si>
    <t>PosterNpcNmlShp12</t>
  </si>
  <si>
    <t>Murphy's poster</t>
  </si>
  <si>
    <t>BromideNpcNmlRbt00_Remake_0_0</t>
  </si>
  <si>
    <t>FtrLogStoolL_Remake_3_0</t>
  </si>
  <si>
    <t>PosterNpcNmlCbr07</t>
  </si>
  <si>
    <t>log decorative shelves</t>
  </si>
  <si>
    <t>My Melody poster</t>
  </si>
  <si>
    <t>FtrLogShelf_Remake_0_0</t>
  </si>
  <si>
    <t>BromideNpcNmlRbt00_Remake_1_0</t>
  </si>
  <si>
    <t>PosterNpcNmlDer10</t>
  </si>
  <si>
    <t>Nan's poster</t>
  </si>
  <si>
    <t>BromideNpcNmlRbt00_Remake_2_0</t>
  </si>
  <si>
    <t>PosterNpcNmlGoa01</t>
  </si>
  <si>
    <t>FtrLogShelf_Remake_0_1</t>
  </si>
  <si>
    <t>Nana's poster</t>
  </si>
  <si>
    <t>BromideNpcNmlRbt00_Remake_3_0</t>
  </si>
  <si>
    <t>PosterNpcNmlMnk01</t>
  </si>
  <si>
    <t>Naomi's poster</t>
  </si>
  <si>
    <t>BromideNpcNmlRbt00_Remake_4_0</t>
  </si>
  <si>
    <t>PosterNpcNmlCow07</t>
  </si>
  <si>
    <t>Nat's poster</t>
  </si>
  <si>
    <t>FtrLogShelf_Remake_0_2</t>
  </si>
  <si>
    <t>BromideNpcNmlRbt00_Remake_5_0</t>
  </si>
  <si>
    <t>PosterNpcSpChm</t>
  </si>
  <si>
    <t>Nate's poster</t>
  </si>
  <si>
    <t>BromideNpcNmlRbt00_Remake_6_0</t>
  </si>
  <si>
    <t>PosterNpcNmlBea05</t>
  </si>
  <si>
    <t>BromideNpcNmlRbt00_Remake_7_0</t>
  </si>
  <si>
    <t>Nibbles's poster</t>
  </si>
  <si>
    <t>Butch's photo</t>
  </si>
  <si>
    <t>FtrLogShelf_Remake_0_3</t>
  </si>
  <si>
    <t>BromideNpcNmlDog01_Remake_0_0</t>
  </si>
  <si>
    <t>PosterNpcNmlSqu04</t>
  </si>
  <si>
    <t>Norma's poster</t>
  </si>
  <si>
    <t>BromideNpcNmlDog01_Remake_1_0</t>
  </si>
  <si>
    <t>PosterNpcNmlCow06</t>
  </si>
  <si>
    <t>O'Hare's poster</t>
  </si>
  <si>
    <t>FtrLogShelf_Remake_0_4</t>
  </si>
  <si>
    <t>BromideNpcNmlDog01_Remake_2_0</t>
  </si>
  <si>
    <t>PosterNpcNmlRbt15</t>
  </si>
  <si>
    <t>Octavian's poster</t>
  </si>
  <si>
    <t>BromideNpcNmlDog01_Remake_3_0</t>
  </si>
  <si>
    <t>PosterNpcNmlOcp00</t>
  </si>
  <si>
    <t>Olaf's poster</t>
  </si>
  <si>
    <t>FtrLogShelf_Remake_1_0</t>
  </si>
  <si>
    <t>BromideNpcNmlDog01_Remake_4_0</t>
  </si>
  <si>
    <t>PosterNpcNmlAnt09</t>
  </si>
  <si>
    <t>Olive's poster</t>
  </si>
  <si>
    <t>BromideNpcNmlDog01_Remake_5_0</t>
  </si>
  <si>
    <t>FtrLogShelf_Remake_1_1</t>
  </si>
  <si>
    <t>PosterNpcNmlCbr09</t>
  </si>
  <si>
    <t>Olivia's poster</t>
  </si>
  <si>
    <t>BromideNpcNmlDog01_Remake_6_0</t>
  </si>
  <si>
    <t>PosterNpcNmlCat03</t>
  </si>
  <si>
    <t>Opal's poster</t>
  </si>
  <si>
    <t>FtrLogShelf_Remake_1_2</t>
  </si>
  <si>
    <t>BromideNpcNmlDog01_Remake_7_0</t>
  </si>
  <si>
    <t>PosterNpcNmlElp00</t>
  </si>
  <si>
    <t>Buzz's photo</t>
  </si>
  <si>
    <t>Ozzie's poster</t>
  </si>
  <si>
    <t>PosterNpcNmlKal05</t>
  </si>
  <si>
    <t>Pancetti's poster</t>
  </si>
  <si>
    <t>FtrLogShelf_Remake_1_3</t>
  </si>
  <si>
    <t>BromideNpcNmlPbr03_Remake_0_0</t>
  </si>
  <si>
    <t>PosterNpcNmlPig16</t>
  </si>
  <si>
    <t>Pango's poster</t>
  </si>
  <si>
    <t>BromideNpcNmlPbr03_Remake_1_0</t>
  </si>
  <si>
    <t>PosterNpcNmlAnt02</t>
  </si>
  <si>
    <t>Paolo's poster</t>
  </si>
  <si>
    <t>FtrLogShelf_Remake_1_4</t>
  </si>
  <si>
    <t>BromideNpcNmlPbr03_Remake_2_0</t>
  </si>
  <si>
    <t>PosterNpcNmlElp05</t>
  </si>
  <si>
    <t>Papi's poster</t>
  </si>
  <si>
    <t>PosterNpcNmlHrs12</t>
  </si>
  <si>
    <t>BromideNpcNmlPbr03_Remake_3_0</t>
  </si>
  <si>
    <t>Pascal's poster</t>
  </si>
  <si>
    <t>FtrLogShelf_Remake_2_0</t>
  </si>
  <si>
    <t>PosterNpcSpSeo</t>
  </si>
  <si>
    <t>Pashmina's poster</t>
  </si>
  <si>
    <t>BromideNpcNmlPbr03_Remake_4_0</t>
  </si>
  <si>
    <t>FtrLogShelf_Remake_2_1</t>
  </si>
  <si>
    <t>PosterNpcNmlGoa08</t>
  </si>
  <si>
    <t>BromideNpcNmlPbr03_Remake_5_0</t>
  </si>
  <si>
    <t>Pate's poster</t>
  </si>
  <si>
    <t>PosterNpcNmlDuk02</t>
  </si>
  <si>
    <t>Patty's poster</t>
  </si>
  <si>
    <t>FtrLogShelf_Remake_2_2</t>
  </si>
  <si>
    <t>BromideNpcNmlPbr03_Remake_6_0</t>
  </si>
  <si>
    <t>PosterNpcNmlCow00</t>
  </si>
  <si>
    <t>Paula's poster</t>
  </si>
  <si>
    <t>PosterNpcNmlBea10</t>
  </si>
  <si>
    <t>Pavé's poster</t>
  </si>
  <si>
    <t>BromideNpcNmlPbr03_Remake_7_0</t>
  </si>
  <si>
    <t>Cally's photo</t>
  </si>
  <si>
    <t>PosterNpcSpPck</t>
  </si>
  <si>
    <t>Peaches's poster</t>
  </si>
  <si>
    <t>FtrLogShelf_Remake_2_3</t>
  </si>
  <si>
    <t>BromideNpcNmlSqu11_Remake_0_0</t>
  </si>
  <si>
    <t>PosterNpcNmlHrs08</t>
  </si>
  <si>
    <t>Peanut's poster</t>
  </si>
  <si>
    <t>PosterNpcNmlSqu00</t>
  </si>
  <si>
    <t>Pecan's poster</t>
  </si>
  <si>
    <t>BromideNpcNmlSqu11_Remake_1_0</t>
  </si>
  <si>
    <t>FtrLogShelf_Remake_2_4</t>
  </si>
  <si>
    <t>PosterNpcNmlSqu03</t>
  </si>
  <si>
    <t>Peck's poster</t>
  </si>
  <si>
    <t>BromideNpcNmlSqu11_Remake_2_0</t>
  </si>
  <si>
    <t>PosterNpcNmlBrd17</t>
  </si>
  <si>
    <t>Peewee's poster</t>
  </si>
  <si>
    <t>PosterNpcNmlGor01</t>
  </si>
  <si>
    <t>Peggy's poster</t>
  </si>
  <si>
    <t>FtrLogShelf_Remake_3_0</t>
  </si>
  <si>
    <t>BromideNpcNmlSqu11_Remake_3_0</t>
  </si>
  <si>
    <t>PosterNpcNmlPig11</t>
  </si>
  <si>
    <t>Pekoe's poster</t>
  </si>
  <si>
    <t>PosterNpcNmlCbr14</t>
  </si>
  <si>
    <t>Pelly's poster</t>
  </si>
  <si>
    <t>BromideNpcNmlSqu11_Remake_4_0</t>
  </si>
  <si>
    <t>PosterNpcSpPlk</t>
  </si>
  <si>
    <t>FtrLogShelf_Remake_3_1</t>
  </si>
  <si>
    <t>Penelope's poster</t>
  </si>
  <si>
    <t>BromideNpcNmlSqu11_Remake_5_0</t>
  </si>
  <si>
    <t>PosterNpcNmlMus17</t>
  </si>
  <si>
    <t>Pete's poster</t>
  </si>
  <si>
    <t>BromideNpcNmlSqu11_Remake_6_0</t>
  </si>
  <si>
    <t>PosterNpcSpPlo</t>
  </si>
  <si>
    <t>Phil's poster</t>
  </si>
  <si>
    <t>FtrLogShelf_Remake_3_2</t>
  </si>
  <si>
    <t>BromideNpcNmlSqu11_Remake_7_0</t>
  </si>
  <si>
    <t>PosterNpcNmlOst07</t>
  </si>
  <si>
    <t>Phineas's poster</t>
  </si>
  <si>
    <t>Camofrog's photo</t>
  </si>
  <si>
    <t>PosterNpcSpFsl</t>
  </si>
  <si>
    <t>Phoebe's poster</t>
  </si>
  <si>
    <t>BromideNpcNmlFlg03_Remake_0_0</t>
  </si>
  <si>
    <t>PosterNpcNmlOst10</t>
  </si>
  <si>
    <t>Phyllis's poster</t>
  </si>
  <si>
    <t>FtrLogShelf_Remake_3_3</t>
  </si>
  <si>
    <t>PosterNpcSpPlm</t>
  </si>
  <si>
    <t>Pierce's poster</t>
  </si>
  <si>
    <t>BromideNpcNmlFlg03_Remake_1_0</t>
  </si>
  <si>
    <t>PosterNpcNmlPbr02</t>
  </si>
  <si>
    <t>Pietro's poster</t>
  </si>
  <si>
    <t>BromideNpcNmlFlg03_Remake_2_0</t>
  </si>
  <si>
    <t>PosterNpcNmlShp13</t>
  </si>
  <si>
    <t>Pinky's poster</t>
  </si>
  <si>
    <t>FtrLogShelf_Remake_3_4</t>
  </si>
  <si>
    <t>log dining table</t>
  </si>
  <si>
    <t>PosterNpcNmlBea01</t>
  </si>
  <si>
    <t>BromideNpcNmlFlg03_Remake_3_0</t>
  </si>
  <si>
    <t>Piper's poster</t>
  </si>
  <si>
    <t>Placemats</t>
  </si>
  <si>
    <t>PosterNpcNmlBrd05</t>
  </si>
  <si>
    <t>Pippy's poster</t>
  </si>
  <si>
    <t>FtrLogTableL_Remake_0_0</t>
  </si>
  <si>
    <t>BromideNpcNmlFlg03_Remake_4_0</t>
  </si>
  <si>
    <t>PosterNpcNmlRbt06</t>
  </si>
  <si>
    <t>Plucky's poster</t>
  </si>
  <si>
    <t>PosterNpcNmlChn10</t>
  </si>
  <si>
    <t>BromideNpcNmlFlg03_Remake_5_0</t>
  </si>
  <si>
    <t>FtrLogTableL_Remake_0_1</t>
  </si>
  <si>
    <t>Pompom's poster</t>
  </si>
  <si>
    <t>BromideNpcNmlFlg03_Remake_6_0</t>
  </si>
  <si>
    <t>PosterNpcNmlDuk05</t>
  </si>
  <si>
    <t>FtrLogTableL_Remake_0_2</t>
  </si>
  <si>
    <t>Pompompurin poster</t>
  </si>
  <si>
    <t>BromideNpcNmlFlg03_Remake_7_0</t>
  </si>
  <si>
    <t>Canberra's photo</t>
  </si>
  <si>
    <t>PosterNpcNmlCbr18</t>
  </si>
  <si>
    <t>Poncho's poster</t>
  </si>
  <si>
    <t>FtrLogTableL_Remake_0_3</t>
  </si>
  <si>
    <t>BromideNpcNmlKal08_Remake_0_0</t>
  </si>
  <si>
    <t>PosterNpcNmlCbr02</t>
  </si>
  <si>
    <t>Poppy's poster</t>
  </si>
  <si>
    <t>BromideNpcNmlKal08_Remake_1_0</t>
  </si>
  <si>
    <t>FtrLogTableL_Remake_0_4</t>
  </si>
  <si>
    <t>PosterNpcNmlSqu15</t>
  </si>
  <si>
    <t>Porter's poster</t>
  </si>
  <si>
    <t>BromideNpcNmlKal08_Remake_2_0</t>
  </si>
  <si>
    <t>PosterNpcSpMnk</t>
  </si>
  <si>
    <t>Portia's poster</t>
  </si>
  <si>
    <t>FtrLogTableL_Remake_1_0</t>
  </si>
  <si>
    <t>PosterNpcNmlDog05</t>
  </si>
  <si>
    <t>Prince's poster</t>
  </si>
  <si>
    <t>BromideNpcNmlKal08_Remake_3_0</t>
  </si>
  <si>
    <t>PosterNpcNmlFlg12</t>
  </si>
  <si>
    <t>Puck's poster</t>
  </si>
  <si>
    <t>BromideNpcNmlKal08_Remake_4_0</t>
  </si>
  <si>
    <t>PosterNpcNmlPgn06</t>
  </si>
  <si>
    <t>Puddles's poster</t>
  </si>
  <si>
    <t>FtrLogTableL_Remake_1_1</t>
  </si>
  <si>
    <t>BromideNpcNmlKal08_Remake_5_0</t>
  </si>
  <si>
    <t>PosterNpcNmlFlg06</t>
  </si>
  <si>
    <t>Pudge's poster</t>
  </si>
  <si>
    <t>PosterNpcNmlCbr03</t>
  </si>
  <si>
    <t>Punchy's poster</t>
  </si>
  <si>
    <t>BromideNpcNmlKal08_Remake_6_0</t>
  </si>
  <si>
    <t>FtrLogTableL_Remake_1_2</t>
  </si>
  <si>
    <t>PosterNpcNmlCat06</t>
  </si>
  <si>
    <t>Purrl's poster</t>
  </si>
  <si>
    <t>BromideNpcNmlKal08_Remake_7_0</t>
  </si>
  <si>
    <t>PosterNpcNmlCat07</t>
  </si>
  <si>
    <t>Queenie's poster</t>
  </si>
  <si>
    <t>Candi's photo</t>
  </si>
  <si>
    <t>FtrLogTableL_Remake_1_3</t>
  </si>
  <si>
    <t>PosterNpcNmlOst00</t>
  </si>
  <si>
    <t>Quillson's poster</t>
  </si>
  <si>
    <t>BromideNpcNmlMus08_Remake_0_0</t>
  </si>
  <si>
    <t>FtrLogTableL_Remake_1_4</t>
  </si>
  <si>
    <t>PosterNpcNmlDuk17</t>
  </si>
  <si>
    <t>Raddle's poster</t>
  </si>
  <si>
    <t>PosterNpcNmlFlg15</t>
  </si>
  <si>
    <t>BromideNpcNmlMus08_Remake_1_0</t>
  </si>
  <si>
    <t>Rasher's poster</t>
  </si>
  <si>
    <t>FtrLogTableL_Remake_2_0</t>
  </si>
  <si>
    <t>PosterNpcNmlPig02</t>
  </si>
  <si>
    <t>Raymond's poster</t>
  </si>
  <si>
    <t>PosterNpcNmlCat23</t>
  </si>
  <si>
    <t>BromideNpcNmlMus08_Remake_2_0</t>
  </si>
  <si>
    <t>Redd's poster</t>
  </si>
  <si>
    <t>FtrLogTableL_Remake_2_1</t>
  </si>
  <si>
    <t>PosterNpcSpFox</t>
  </si>
  <si>
    <t>Reese's poster</t>
  </si>
  <si>
    <t>BromideNpcNmlMus08_Remake_3_0</t>
  </si>
  <si>
    <t>PosterNpcSpAlw</t>
  </si>
  <si>
    <t>Renée's poster</t>
  </si>
  <si>
    <t>FtrLogTableL_Remake_2_2</t>
  </si>
  <si>
    <t>BromideNpcNmlMus08_Remake_4_0</t>
  </si>
  <si>
    <t>PosterNpcNmlRhn08</t>
  </si>
  <si>
    <t>Reneigh's poster</t>
  </si>
  <si>
    <t>FtrLogTableL_Remake_2_3</t>
  </si>
  <si>
    <t>BromideNpcNmlMus08_Remake_5_0</t>
  </si>
  <si>
    <t>PosterNpcNmlHrs16</t>
  </si>
  <si>
    <t>Resetti's poster</t>
  </si>
  <si>
    <t>PosterNpcSpMol</t>
  </si>
  <si>
    <t>Rex's poster</t>
  </si>
  <si>
    <t>FtrLogTableL_Remake_2_4</t>
  </si>
  <si>
    <t>BromideNpcNmlMus08_Remake_6_0</t>
  </si>
  <si>
    <t>PosterNpcNmlLon02</t>
  </si>
  <si>
    <t>Rhonda's poster</t>
  </si>
  <si>
    <t>BromideNpcNmlMus08_Remake_7_0</t>
  </si>
  <si>
    <t>PosterNpcNmlRhn01</t>
  </si>
  <si>
    <t>Carmen's photo</t>
  </si>
  <si>
    <t>Ribbot's poster</t>
  </si>
  <si>
    <t>FtrLogTableL_Remake_3_0</t>
  </si>
  <si>
    <t>PosterNpcNmlFlg01</t>
  </si>
  <si>
    <t>Ricky's poster</t>
  </si>
  <si>
    <t>BromideNpcNmlRbt16_Remake_0_0</t>
  </si>
  <si>
    <t>FtrLogTableL_Remake_3_1</t>
  </si>
  <si>
    <t>PosterNpcNmlSqu10</t>
  </si>
  <si>
    <t>Rizzo's poster</t>
  </si>
  <si>
    <t>BromideNpcNmlRbt16_Remake_1_0</t>
  </si>
  <si>
    <t>PosterNpcNmlMus09</t>
  </si>
  <si>
    <t>Roald's poster</t>
  </si>
  <si>
    <t>FtrLogTableL_Remake_3_2</t>
  </si>
  <si>
    <t>PosterNpcNmlPgn01</t>
  </si>
  <si>
    <t>Robin's poster</t>
  </si>
  <si>
    <t>BromideNpcNmlRbt16_Remake_2_0</t>
  </si>
  <si>
    <t>PosterNpcNmlBrd01</t>
  </si>
  <si>
    <t>Rocco's poster</t>
  </si>
  <si>
    <t>BromideNpcNmlRbt16_Remake_3_0</t>
  </si>
  <si>
    <t>PosterNpcNmlHip00</t>
  </si>
  <si>
    <t>FtrLogTableL_Remake_3_3</t>
  </si>
  <si>
    <t>Rocket's poster</t>
  </si>
  <si>
    <t>PosterNpcNmlGor09</t>
  </si>
  <si>
    <t>Rod's poster</t>
  </si>
  <si>
    <t>BromideNpcNmlRbt16_Remake_4_0</t>
  </si>
  <si>
    <t>FtrLogTableL_Remake_3_4</t>
  </si>
  <si>
    <t>PosterNpcNmlMus05</t>
  </si>
  <si>
    <t>Rodeo's poster</t>
  </si>
  <si>
    <t>BromideNpcNmlRbt16_Remake_5_0</t>
  </si>
  <si>
    <t>log extra-long sofa</t>
  </si>
  <si>
    <t>PosterNpcNmlBul01</t>
  </si>
  <si>
    <t>Cushions</t>
  </si>
  <si>
    <t>Rodney's poster</t>
  </si>
  <si>
    <t>BromideNpcNmlRbt16_Remake_6_0</t>
  </si>
  <si>
    <t>PosterNpcNmlHam03</t>
  </si>
  <si>
    <t>Rolf's poster</t>
  </si>
  <si>
    <t>FtrLogSofaL_Remake_0_0</t>
  </si>
  <si>
    <t>BromideNpcNmlRbt16_Remake_7_0</t>
  </si>
  <si>
    <t>PosterNpcNmlTig00</t>
  </si>
  <si>
    <t>Rooney's poster</t>
  </si>
  <si>
    <t>Caroline's photo</t>
  </si>
  <si>
    <t>PosterNpcNmlKgr09</t>
  </si>
  <si>
    <t>Rory's poster</t>
  </si>
  <si>
    <t>BromideNpcNmlSqu06_Remake_0_0</t>
  </si>
  <si>
    <t>FtrLogSofaL_Remake_0_1</t>
  </si>
  <si>
    <t>PosterNpcNmlLon07</t>
  </si>
  <si>
    <t>Roscoe's poster</t>
  </si>
  <si>
    <t>BromideNpcNmlSqu06_Remake_1_0</t>
  </si>
  <si>
    <t>PosterNpcNmlHrs04</t>
  </si>
  <si>
    <t>Rosie's poster</t>
  </si>
  <si>
    <t>FtrLogSofaL_Remake_0_2</t>
  </si>
  <si>
    <t>PosterNpcNmlCat02</t>
  </si>
  <si>
    <t>Rover's poster</t>
  </si>
  <si>
    <t>BromideNpcNmlSqu06_Remake_2_0</t>
  </si>
  <si>
    <t>PosterNpcSpXct</t>
  </si>
  <si>
    <t>Rowan's poster</t>
  </si>
  <si>
    <t>PosterNpcNmlTig01</t>
  </si>
  <si>
    <t>Ruby's poster</t>
  </si>
  <si>
    <t>FtrLogSofaL_Remake_0_3</t>
  </si>
  <si>
    <t>BromideNpcNmlSqu06_Remake_3_0</t>
  </si>
  <si>
    <t>PosterNpcNmlRbt09</t>
  </si>
  <si>
    <t>Rudy's poster</t>
  </si>
  <si>
    <t>PosterNpcNmlCat20</t>
  </si>
  <si>
    <t>BromideNpcNmlSqu06_Remake_4_0</t>
  </si>
  <si>
    <t>Sable's poster</t>
  </si>
  <si>
    <t>FtrLogSofaL_Remake_0_4</t>
  </si>
  <si>
    <t>PosterNpcSpHgs</t>
  </si>
  <si>
    <t>Saharah's poster</t>
  </si>
  <si>
    <t>FtrLogSofaL_Remake_1_0</t>
  </si>
  <si>
    <t>BromideNpcNmlSqu06_Remake_5_0</t>
  </si>
  <si>
    <t>PosterNpcSpCml</t>
  </si>
  <si>
    <t>Sally's poster</t>
  </si>
  <si>
    <t>PosterNpcNmlSqu07</t>
  </si>
  <si>
    <t>Samson's poster</t>
  </si>
  <si>
    <t>FtrLogSofaL_Remake_1_1</t>
  </si>
  <si>
    <t>BromideNpcNmlSqu06_Remake_6_0</t>
  </si>
  <si>
    <t>PosterNpcNmlMus04</t>
  </si>
  <si>
    <t>Sandy's poster</t>
  </si>
  <si>
    <t>PosterNpcNmlOst02</t>
  </si>
  <si>
    <t>Savannah's poster</t>
  </si>
  <si>
    <t>FtrLogSofaL_Remake_1_2</t>
  </si>
  <si>
    <t>PosterNpcNmlHrs02</t>
  </si>
  <si>
    <t>Scoot's poster</t>
  </si>
  <si>
    <t>BromideNpcNmlSqu06_Remake_7_0</t>
  </si>
  <si>
    <t>Carrie's photo</t>
  </si>
  <si>
    <t>PosterNpcNmlDuk10</t>
  </si>
  <si>
    <t>Shari's poster</t>
  </si>
  <si>
    <t>FtrLogSofaL_Remake_1_3</t>
  </si>
  <si>
    <t>PosterNpcNmlMnk07</t>
  </si>
  <si>
    <t>Sheldon's poster</t>
  </si>
  <si>
    <t>BromideNpcNmlKgr02_Remake_0_0</t>
  </si>
  <si>
    <t>PosterNpcNmlSqu16</t>
  </si>
  <si>
    <t>Shep's poster</t>
  </si>
  <si>
    <t>FtrLogSofaL_Remake_1_4</t>
  </si>
  <si>
    <t>PosterNpcNmlDog18</t>
  </si>
  <si>
    <t>Sherb's poster</t>
  </si>
  <si>
    <t>BromideNpcNmlKgr02_Remake_1_0</t>
  </si>
  <si>
    <t>PosterNpcNmlGoa09</t>
  </si>
  <si>
    <t>FtrLogSofaL_Remake_2_0</t>
  </si>
  <si>
    <t>Shrunk's poster</t>
  </si>
  <si>
    <t>BromideNpcNmlKgr02_Remake_2_0</t>
  </si>
  <si>
    <t>PosterNpcSpUpa</t>
  </si>
  <si>
    <t>Simon's poster</t>
  </si>
  <si>
    <t>FtrLogSofaL_Remake_2_1</t>
  </si>
  <si>
    <t>PosterNpcNmlMnk02</t>
  </si>
  <si>
    <t>Skye's poster</t>
  </si>
  <si>
    <t>BromideNpcNmlKgr02_Remake_3_0</t>
  </si>
  <si>
    <t>PosterNpcNmlWol09</t>
  </si>
  <si>
    <t>FtrLogSofaL_Remake_2_2</t>
  </si>
  <si>
    <t>Sly's poster</t>
  </si>
  <si>
    <t>PosterNpcNmlCrd06</t>
  </si>
  <si>
    <t>Snake's poster</t>
  </si>
  <si>
    <t>BromideNpcNmlKgr02_Remake_4_0</t>
  </si>
  <si>
    <t>FtrLogSofaL_Remake_2_3</t>
  </si>
  <si>
    <t>PosterNpcNmlRbt03</t>
  </si>
  <si>
    <t>Snooty's poster</t>
  </si>
  <si>
    <t>PosterNpcNmlAnt06</t>
  </si>
  <si>
    <t>Soleil's poster</t>
  </si>
  <si>
    <t>FtrLogSofaL_Remake_2_4</t>
  </si>
  <si>
    <t>BromideNpcNmlKgr02_Remake_5_0</t>
  </si>
  <si>
    <t>PosterNpcNmlHam04</t>
  </si>
  <si>
    <t>Sparro's poster</t>
  </si>
  <si>
    <t>FtrLogSofaL_Remake_3_0</t>
  </si>
  <si>
    <t>PosterNpcNmlBrd18</t>
  </si>
  <si>
    <t>Spike's poster</t>
  </si>
  <si>
    <t>BromideNpcNmlKgr02_Remake_6_0</t>
  </si>
  <si>
    <t>PosterNpcNmlRhn02</t>
  </si>
  <si>
    <t>Sprinkle's poster</t>
  </si>
  <si>
    <t>FtrLogSofaL_Remake_3_1</t>
  </si>
  <si>
    <t>PosterNpcNmlPgn14</t>
  </si>
  <si>
    <t>Sprocket's poster</t>
  </si>
  <si>
    <t>BromideNpcNmlKgr02_Remake_7_0</t>
  </si>
  <si>
    <t>PosterNpcNmlOst03</t>
  </si>
  <si>
    <t>Cashmere's photo</t>
  </si>
  <si>
    <t>Static's poster</t>
  </si>
  <si>
    <t>PosterNpcNmlSqu08</t>
  </si>
  <si>
    <t>Stella's poster</t>
  </si>
  <si>
    <t>FtrLogSofaL_Remake_3_2</t>
  </si>
  <si>
    <t>BromideNpcNmlShp04_Remake_0_0</t>
  </si>
  <si>
    <t>PosterNpcNmlShp03</t>
  </si>
  <si>
    <t>Sterling's poster</t>
  </si>
  <si>
    <t>FtrLogSofaL_Remake_3_3</t>
  </si>
  <si>
    <t>PosterNpcNmlPbr07</t>
  </si>
  <si>
    <t>Stinky's poster</t>
  </si>
  <si>
    <t>BromideNpcNmlShp04_Remake_1_0</t>
  </si>
  <si>
    <t>PosterNpcNmlCat13</t>
  </si>
  <si>
    <t>Stitches's poster</t>
  </si>
  <si>
    <t>FtrLogSofaL_Remake_3_4</t>
  </si>
  <si>
    <t>log garden lounge</t>
  </si>
  <si>
    <t>BromideNpcNmlShp04_Remake_2_0</t>
  </si>
  <si>
    <t>Pillow</t>
  </si>
  <si>
    <t>PosterNpcNmlCbr05</t>
  </si>
  <si>
    <t>Stu's poster</t>
  </si>
  <si>
    <t>FtrLogBedS_Remake_0_0</t>
  </si>
  <si>
    <t>PosterNpcNmlBul03</t>
  </si>
  <si>
    <t>Sydney's poster</t>
  </si>
  <si>
    <t>BromideNpcNmlShp04_Remake_3_0</t>
  </si>
  <si>
    <t>PosterNpcNmlKal03</t>
  </si>
  <si>
    <t>Sylvana's poster</t>
  </si>
  <si>
    <t>PosterNpcNmlSqu14</t>
  </si>
  <si>
    <t>Sylvia's poster</t>
  </si>
  <si>
    <t>FtrLogBedS_Remake_0_1</t>
  </si>
  <si>
    <t>BromideNpcNmlShp04_Remake_4_0</t>
  </si>
  <si>
    <t>PosterNpcNmlKgr06</t>
  </si>
  <si>
    <t>T-Bone's poster</t>
  </si>
  <si>
    <t>PosterNpcNmlBul05</t>
  </si>
  <si>
    <t>Tabby's poster</t>
  </si>
  <si>
    <t>BromideNpcNmlShp04_Remake_5_0</t>
  </si>
  <si>
    <t>PosterNpcNmlCat12</t>
  </si>
  <si>
    <t>Tad's poster</t>
  </si>
  <si>
    <t>FtrLogBedS_Remake_0_2</t>
  </si>
  <si>
    <t>PosterNpcNmlFlg09</t>
  </si>
  <si>
    <t>Tammi's poster</t>
  </si>
  <si>
    <t>BromideNpcNmlShp04_Remake_6_0</t>
  </si>
  <si>
    <t>PosterNpcNmlMnk03</t>
  </si>
  <si>
    <t>Tammy's poster</t>
  </si>
  <si>
    <t>BromideNpcNmlShp04_Remake_7_0</t>
  </si>
  <si>
    <t>PosterNpcNmlCbr17</t>
  </si>
  <si>
    <t>Celia's photo</t>
  </si>
  <si>
    <t>Tangy's poster</t>
  </si>
  <si>
    <t>FtrLogBedS_Remake_0_3</t>
  </si>
  <si>
    <t>PosterNpcNmlCat05</t>
  </si>
  <si>
    <t>Tank's poster</t>
  </si>
  <si>
    <t>BromideNpcNmlPbr09_Remake_0_0</t>
  </si>
  <si>
    <t>PosterNpcNmlRhn00</t>
  </si>
  <si>
    <t>Tasha's poster</t>
  </si>
  <si>
    <t>FtrLogBedS_Remake_0_4</t>
  </si>
  <si>
    <t>PosterNpcNmlSqu13</t>
  </si>
  <si>
    <t>Teddy's poster</t>
  </si>
  <si>
    <t>PosterNpcNmlBea00</t>
  </si>
  <si>
    <t>BromideNpcNmlPbr09_Remake_1_0</t>
  </si>
  <si>
    <t>Tex's poster</t>
  </si>
  <si>
    <t>PosterNpcNmlPgn12</t>
  </si>
  <si>
    <t>Tia's poster</t>
  </si>
  <si>
    <t>FtrLogBedS_Remake_1_0</t>
  </si>
  <si>
    <t>PosterNpcNmlElp10</t>
  </si>
  <si>
    <t>Tiffany's poster</t>
  </si>
  <si>
    <t>BromideNpcNmlPbr09_Remake_2_0</t>
  </si>
  <si>
    <t>PosterNpcNmlRbt07</t>
  </si>
  <si>
    <t>Timbra's poster</t>
  </si>
  <si>
    <t>PosterNpcNmlShp10</t>
  </si>
  <si>
    <t>Timmy's poster</t>
  </si>
  <si>
    <t>FtrLogBedS_Remake_1_1</t>
  </si>
  <si>
    <t>BromideNpcNmlPbr09_Remake_3_0</t>
  </si>
  <si>
    <t>PosterNpcSpRcm</t>
  </si>
  <si>
    <t>Tipper's poster</t>
  </si>
  <si>
    <t>PosterNpcNmlCow01</t>
  </si>
  <si>
    <t>Tom Nook's poster</t>
  </si>
  <si>
    <t>FtrLogBedS_Remake_1_2</t>
  </si>
  <si>
    <t>BromideNpcNmlPbr09_Remake_4_0</t>
  </si>
  <si>
    <t>PosterNpcSpRco</t>
  </si>
  <si>
    <t>Tom's poster</t>
  </si>
  <si>
    <t>PosterNpcNmlCat15</t>
  </si>
  <si>
    <t>BromideNpcNmlPbr09_Remake_5_0</t>
  </si>
  <si>
    <t>FtrLogBedS_Remake_1_3</t>
  </si>
  <si>
    <t>Tommy's poster</t>
  </si>
  <si>
    <t>PosterNpcSpRct</t>
  </si>
  <si>
    <t>Tortimer's poster</t>
  </si>
  <si>
    <t>BromideNpcNmlPbr09_Remake_6_0</t>
  </si>
  <si>
    <t>PosterNpcSpTtlA</t>
  </si>
  <si>
    <t>Truffles's poster</t>
  </si>
  <si>
    <t>FtrLogBedS_Remake_1_4</t>
  </si>
  <si>
    <t>PosterNpcNmlPig01</t>
  </si>
  <si>
    <t>Tucker's poster</t>
  </si>
  <si>
    <t>BromideNpcNmlPbr09_Remake_7_0</t>
  </si>
  <si>
    <t>Cesar's photo</t>
  </si>
  <si>
    <t>PosterNpcNmlElp09</t>
  </si>
  <si>
    <t>Tutu's poster</t>
  </si>
  <si>
    <t>FtrLogBedS_Remake_2_0</t>
  </si>
  <si>
    <t>BromideNpcNmlGor00_Remake_0_0</t>
  </si>
  <si>
    <t>PosterNpcNmlBea07</t>
  </si>
  <si>
    <t>Twiggy's poster</t>
  </si>
  <si>
    <t>PosterNpcNmlBrd03</t>
  </si>
  <si>
    <t>Tybalt's poster</t>
  </si>
  <si>
    <t>FtrLogBedS_Remake_2_1</t>
  </si>
  <si>
    <t>BromideNpcNmlGor00_Remake_1_0</t>
  </si>
  <si>
    <t>PosterNpcNmlTig02</t>
  </si>
  <si>
    <t>Ursala's poster</t>
  </si>
  <si>
    <t>PosterNpcNmlBea08</t>
  </si>
  <si>
    <t>Velma's poster</t>
  </si>
  <si>
    <t>PosterNpcNmlGoa06</t>
  </si>
  <si>
    <t>Vesta's poster</t>
  </si>
  <si>
    <t>FtrLogBedS_Remake_2_2</t>
  </si>
  <si>
    <t>BromideNpcNmlGor00_Remake_2_0</t>
  </si>
  <si>
    <t>PosterNpcNmlShp00</t>
  </si>
  <si>
    <t>Vic's poster</t>
  </si>
  <si>
    <t>PosterNpcNmlBul08</t>
  </si>
  <si>
    <t>Victoria's poster</t>
  </si>
  <si>
    <t>BromideNpcNmlGor00_Remake_3_0</t>
  </si>
  <si>
    <t>PosterNpcNmlHrs01</t>
  </si>
  <si>
    <t>Villager's poster</t>
  </si>
  <si>
    <t>FtrLogBedS_Remake_2_3</t>
  </si>
  <si>
    <t>PosterVillager</t>
  </si>
  <si>
    <t>Violet's poster</t>
  </si>
  <si>
    <t>BromideNpcNmlGor00_Remake_4_0</t>
  </si>
  <si>
    <t>FtrLogBedS_Remake_2_4</t>
  </si>
  <si>
    <t>PosterNpcNmlGor07</t>
  </si>
  <si>
    <t>Vivian's poster</t>
  </si>
  <si>
    <t>BromideNpcNmlGor00_Remake_5_0</t>
  </si>
  <si>
    <t>PosterNpcNmlWol08</t>
  </si>
  <si>
    <t>FtrLogBedS_Remake_3_0</t>
  </si>
  <si>
    <t>Vladimir's poster</t>
  </si>
  <si>
    <t>BromideNpcNmlGor00_Remake_6_0</t>
  </si>
  <si>
    <t>PosterNpcNmlCbr06</t>
  </si>
  <si>
    <t>Wade's poster</t>
  </si>
  <si>
    <t>FtrLogBedS_Remake_3_1</t>
  </si>
  <si>
    <t>PosterNpcNmlPgn09</t>
  </si>
  <si>
    <t>BromideNpcNmlGor00_Remake_7_0</t>
  </si>
  <si>
    <t>Walker's poster</t>
  </si>
  <si>
    <t>Chadder's photo</t>
  </si>
  <si>
    <t>FtrLogBedS_Remake_3_2</t>
  </si>
  <si>
    <t>PosterNpcNmlDog06</t>
  </si>
  <si>
    <t>Walt's poster</t>
  </si>
  <si>
    <t>BromideNpcNmlMus18_Remake_0_0</t>
  </si>
  <si>
    <t>PosterNpcNmlKgr08</t>
  </si>
  <si>
    <t>FtrLogBedS_Remake_3_3</t>
  </si>
  <si>
    <t>Wart Jr.'s poster</t>
  </si>
  <si>
    <t>BromideNpcNmlMus18_Remake_1_0</t>
  </si>
  <si>
    <t>PosterNpcNmlFlg05</t>
  </si>
  <si>
    <t>Weber's poster</t>
  </si>
  <si>
    <t>PosterNpcNmlDuk11</t>
  </si>
  <si>
    <t>FtrLogBedS_Remake_3_4</t>
  </si>
  <si>
    <t>Wendell's poster</t>
  </si>
  <si>
    <t>log round table</t>
  </si>
  <si>
    <t>BromideNpcNmlMus18_Remake_2_0</t>
  </si>
  <si>
    <t>Tablecloth</t>
  </si>
  <si>
    <t>PosterNpcSpWrl</t>
  </si>
  <si>
    <t>Wendy's poster</t>
  </si>
  <si>
    <t>FtrLogTableLRound_Remake_0_0</t>
  </si>
  <si>
    <t>PosterNpcNmlShp09</t>
  </si>
  <si>
    <t>Whitney's poster</t>
  </si>
  <si>
    <t>BromideNpcNmlMus18_Remake_3_0</t>
  </si>
  <si>
    <t>PosterNpcNmlWol03</t>
  </si>
  <si>
    <t>Willow's poster</t>
  </si>
  <si>
    <t>FtrLogTableLRound_Remake_0_1</t>
  </si>
  <si>
    <t>PosterNpcNmlShp07</t>
  </si>
  <si>
    <t>Winnie's poster</t>
  </si>
  <si>
    <t>BromideNpcNmlMus18_Remake_4_0</t>
  </si>
  <si>
    <t>PosterNpcNmlHrs05</t>
  </si>
  <si>
    <t>Wolfgang's poster</t>
  </si>
  <si>
    <t>FtrLogTableLRound_Remake_0_2</t>
  </si>
  <si>
    <t>PosterNpcNmlWol02</t>
  </si>
  <si>
    <t>Yuka's poster</t>
  </si>
  <si>
    <t>PosterNpcNmlKal00</t>
  </si>
  <si>
    <t>Zell's poster</t>
  </si>
  <si>
    <t>FtrLogTableLRound_Remake_0_3</t>
  </si>
  <si>
    <t>BromideNpcNmlMus18_Remake_5_0</t>
  </si>
  <si>
    <t>PosterNpcNmlDer02</t>
  </si>
  <si>
    <t>Zipper's poster</t>
  </si>
  <si>
    <t>FtrLogTableLRound_Remake_0_4</t>
  </si>
  <si>
    <t>PosterNpcSpPyn</t>
  </si>
  <si>
    <t>Zucker's poster</t>
  </si>
  <si>
    <t>BromideNpcNmlMus18_Remake_6_0</t>
  </si>
  <si>
    <t>PosterNpcNmlOcp02</t>
  </si>
  <si>
    <t>FtrLogTableLRound_Remake_1_0</t>
  </si>
  <si>
    <t>BromideNpcNmlMus18_Remake_7_0</t>
  </si>
  <si>
    <t>Charlise's photo</t>
  </si>
  <si>
    <t>FtrLogTableLRound_Remake_1_1</t>
  </si>
  <si>
    <t>BromideNpcNmlBea12_Remake_0_0</t>
  </si>
  <si>
    <t>FtrLogTableLRound_Remake_1_2</t>
  </si>
  <si>
    <t>FtrLogTableLRound_Remake_1_3</t>
  </si>
  <si>
    <t>BromideNpcNmlBea12_Remake_1_0</t>
  </si>
  <si>
    <t>FtrLogTableLRound_Remake_1_4</t>
  </si>
  <si>
    <t>BromideNpcNmlBea12_Remake_2_0</t>
  </si>
  <si>
    <t>Uses</t>
  </si>
  <si>
    <t>BromideNpcNmlBea12_Remake_3_0</t>
  </si>
  <si>
    <t>FtrLogTableLRound_Remake_2_0</t>
  </si>
  <si>
    <t>Set</t>
  </si>
  <si>
    <t>axe</t>
  </si>
  <si>
    <t>BromideNpcNmlBea12_Remake_4_0</t>
  </si>
  <si>
    <t>FtrLogTableLRound_Remake_2_1</t>
  </si>
  <si>
    <t>Nook's Cranny
Crafting</t>
  </si>
  <si>
    <t>BromideNpcNmlBea12_Remake_5_0</t>
  </si>
  <si>
    <t>ToolAxeFirst</t>
  </si>
  <si>
    <t>bamboo wand</t>
  </si>
  <si>
    <t>Unlimited</t>
  </si>
  <si>
    <t>BromideNpcNmlBea12_Remake_6_0</t>
  </si>
  <si>
    <t>ToolStickBamboo</t>
  </si>
  <si>
    <t>bug wand</t>
  </si>
  <si>
    <t>BromideNpcNmlBea12_Remake_7_0</t>
  </si>
  <si>
    <t>Cheri's photo</t>
  </si>
  <si>
    <t>FtrLogTableLRound_Remake_2_2</t>
  </si>
  <si>
    <t>ToolStcikInsect</t>
  </si>
  <si>
    <t>Bunny Day wand</t>
  </si>
  <si>
    <t>BromideNpcNmlCbr10_Remake_0_0</t>
  </si>
  <si>
    <t>Obtained from Zipper on Bunny Day after collecting most Bunny Day recipes (third gift)</t>
  </si>
  <si>
    <t>ToolStickEgg</t>
  </si>
  <si>
    <t>cherry-blossom wand</t>
  </si>
  <si>
    <t>BromideNpcNmlCbr10_Remake_1_0</t>
  </si>
  <si>
    <t>FtrLogTableLRound_Remake_2_3</t>
  </si>
  <si>
    <t>ToolStickCherryblossom</t>
  </si>
  <si>
    <t>colorful fishing rod</t>
  </si>
  <si>
    <t>BromideNpcNmlCbr10_Remake_2_0</t>
  </si>
  <si>
    <t>Colorful Tools</t>
  </si>
  <si>
    <t>Available in Nook's Cranny (upgraded only)</t>
  </si>
  <si>
    <t>ToolFishingrodDuck_Remake_0_0</t>
  </si>
  <si>
    <t>BromideNpcNmlCbr10_Remake_3_0</t>
  </si>
  <si>
    <t>FtrLogTableLRound_Remake_2_4</t>
  </si>
  <si>
    <t>ToolFishingrodDuck_Remake_1_0</t>
  </si>
  <si>
    <t>BromideNpcNmlCbr10_Remake_4_0</t>
  </si>
  <si>
    <t>ToolFishingrodDuck_Remake_2_0</t>
  </si>
  <si>
    <t>BromideNpcNmlCbr10_Remake_5_0</t>
  </si>
  <si>
    <t>ToolFishingrodDuck_Remake_3_0</t>
  </si>
  <si>
    <t>FtrLogTableLRound_Remake_3_0</t>
  </si>
  <si>
    <t>BromideNpcNmlCbr10_Remake_6_0</t>
  </si>
  <si>
    <t>ToolFishingrodDuck_Remake_4_0</t>
  </si>
  <si>
    <t>BromideNpcNmlCbr10_Remake_7_0</t>
  </si>
  <si>
    <t>ToolFishingrodDuck_Remake_5_0</t>
  </si>
  <si>
    <t>FtrLogTableLRound_Remake_3_1</t>
  </si>
  <si>
    <t>Cherry's photo</t>
  </si>
  <si>
    <t>ToolFishingrodDuck_Remake_6_0</t>
  </si>
  <si>
    <t>FtrLogTableLRound_Remake_3_2</t>
  </si>
  <si>
    <t>BromideNpcNmlDog17_Remake_0_0</t>
  </si>
  <si>
    <t>ToolFishingrodDuck_Remake_7_0</t>
  </si>
  <si>
    <t>colorful net</t>
  </si>
  <si>
    <t>Yellow &amp; orange</t>
  </si>
  <si>
    <t>BromideNpcNmlDog17_Remake_1_0</t>
  </si>
  <si>
    <t>FtrLogTableLRound_Remake_3_3</t>
  </si>
  <si>
    <t>ToolNetPattern_Remake_0_0</t>
  </si>
  <si>
    <t>BromideNpcNmlDog17_Remake_2_0</t>
  </si>
  <si>
    <t>Red &amp; yellow</t>
  </si>
  <si>
    <t>ToolNetPattern_Remake_1_0</t>
  </si>
  <si>
    <t>BromideNpcNmlDog17_Remake_3_0</t>
  </si>
  <si>
    <t>FtrLogTableLRound_Remake_3_4</t>
  </si>
  <si>
    <t>log sofa</t>
  </si>
  <si>
    <t>Orange &amp; blue</t>
  </si>
  <si>
    <t>BromideNpcNmlDog17_Remake_4_0</t>
  </si>
  <si>
    <t>ToolNetPattern_Remake_2_0</t>
  </si>
  <si>
    <t>FtrLogSofaS_Remake_0_0</t>
  </si>
  <si>
    <t>Pink &amp; yellow</t>
  </si>
  <si>
    <t>ToolNetPattern_Remake_3_0</t>
  </si>
  <si>
    <t>FtrLogSofaS_Remake_0_1</t>
  </si>
  <si>
    <t>BromideNpcNmlDog17_Remake_5_0</t>
  </si>
  <si>
    <t>Green &amp; blue</t>
  </si>
  <si>
    <t>FtrLogSofaS_Remake_0_2</t>
  </si>
  <si>
    <t>ToolNetPattern_Remake_4_0</t>
  </si>
  <si>
    <t>BromideNpcNmlDog17_Remake_6_0</t>
  </si>
  <si>
    <t>Purple &amp; pink</t>
  </si>
  <si>
    <t>FtrLogSofaS_Remake_0_3</t>
  </si>
  <si>
    <t>ToolNetPattern_Remake_5_0</t>
  </si>
  <si>
    <t>BromideNpcNmlDog17_Remake_7_0</t>
  </si>
  <si>
    <t>FtrLogSofaS_Remake_0_4</t>
  </si>
  <si>
    <t>Chester's photo</t>
  </si>
  <si>
    <t>ToolNetPattern_Remake_6_0</t>
  </si>
  <si>
    <t>Gray &amp; green</t>
  </si>
  <si>
    <t>ToolNetPattern_Remake_7_0</t>
  </si>
  <si>
    <t>colorful shovel</t>
  </si>
  <si>
    <t>BromideNpcNmlCbr15_Remake_0_0</t>
  </si>
  <si>
    <t>FtrLogSofaS_Remake_1_0</t>
  </si>
  <si>
    <t>ToolScoopColorful_Remake_0_0</t>
  </si>
  <si>
    <t>FtrLogSofaS_Remake_1_1</t>
  </si>
  <si>
    <t>ToolScoopColorful_Remake_1_0</t>
  </si>
  <si>
    <t>BromideNpcNmlCbr15_Remake_1_0</t>
  </si>
  <si>
    <t>ToolScoopColorful_Remake_2_0</t>
  </si>
  <si>
    <t>FtrLogSofaS_Remake_1_2</t>
  </si>
  <si>
    <t>BromideNpcNmlCbr15_Remake_2_0</t>
  </si>
  <si>
    <t>ToolScoopColorful_Remake_3_0</t>
  </si>
  <si>
    <t>FtrLogSofaS_Remake_1_3</t>
  </si>
  <si>
    <t>BromideNpcNmlCbr15_Remake_3_0</t>
  </si>
  <si>
    <t>ToolScoopColorful_Remake_4_0</t>
  </si>
  <si>
    <t>BromideNpcNmlCbr15_Remake_4_0</t>
  </si>
  <si>
    <t>ToolScoopColorful_Remake_5_0</t>
  </si>
  <si>
    <t>FtrLogSofaS_Remake_1_4</t>
  </si>
  <si>
    <t>BromideNpcNmlCbr15_Remake_5_0</t>
  </si>
  <si>
    <t>ToolScoopColorful_Remake_6_0</t>
  </si>
  <si>
    <t>ToolScoopColorful_Remake_7_0</t>
  </si>
  <si>
    <t>BromideNpcNmlCbr15_Remake_6_0</t>
  </si>
  <si>
    <t>colorful slingshot</t>
  </si>
  <si>
    <t>FtrLogSofaS_Remake_2_0</t>
  </si>
  <si>
    <t>ToolSlingshotColorful_Remake_0_0</t>
  </si>
  <si>
    <t>BromideNpcNmlCbr15_Remake_7_0</t>
  </si>
  <si>
    <t>Chevre's photo</t>
  </si>
  <si>
    <t>FtrLogSofaS_Remake_2_1</t>
  </si>
  <si>
    <t>BromideNpcNmlGoa00_Remake_0_0</t>
  </si>
  <si>
    <t>ToolSlingshotColorful_Remake_1_0</t>
  </si>
  <si>
    <t>FtrLogSofaS_Remake_2_2</t>
  </si>
  <si>
    <t>BromideNpcNmlGoa00_Remake_1_0</t>
  </si>
  <si>
    <t>ToolSlingshotColorful_Remake_2_0</t>
  </si>
  <si>
    <t>FtrLogSofaS_Remake_2_3</t>
  </si>
  <si>
    <t>BromideNpcNmlGoa00_Remake_2_0</t>
  </si>
  <si>
    <t>ToolSlingshotColorful_Remake_3_0</t>
  </si>
  <si>
    <t>BromideNpcNmlGoa00_Remake_3_0</t>
  </si>
  <si>
    <t>FtrLogSofaS_Remake_2_4</t>
  </si>
  <si>
    <t>ToolSlingshotColorful_Remake_4_0</t>
  </si>
  <si>
    <t>BromideNpcNmlGoa00_Remake_4_0</t>
  </si>
  <si>
    <t>ToolSlingshotColorful_Remake_5_0</t>
  </si>
  <si>
    <t>FtrLogSofaS_Remake_3_0</t>
  </si>
  <si>
    <t>BromideNpcNmlGoa00_Remake_5_0</t>
  </si>
  <si>
    <t>ToolSlingshotColorful_Remake_6_0</t>
  </si>
  <si>
    <t>BromideNpcNmlGoa00_Remake_6_0</t>
  </si>
  <si>
    <t>FtrLogSofaS_Remake_3_1</t>
  </si>
  <si>
    <t>ToolSlingshotColorful_Remake_7_0</t>
  </si>
  <si>
    <t>colorful watering can</t>
  </si>
  <si>
    <t>BromideNpcNmlGoa00_Remake_7_0</t>
  </si>
  <si>
    <t>Chief's photo</t>
  </si>
  <si>
    <t>FtrLogSofaS_Remake_3_2</t>
  </si>
  <si>
    <t>ToolWateringColorful_Remake_0_0</t>
  </si>
  <si>
    <t>BromideNpcNmlWol00_Remake_0_0</t>
  </si>
  <si>
    <t>ToolWateringColorful_Remake_1_0</t>
  </si>
  <si>
    <t>FtrLogSofaS_Remake_3_3</t>
  </si>
  <si>
    <t>BromideNpcNmlWol00_Remake_1_0</t>
  </si>
  <si>
    <t>ToolWateringColorful_Remake_2_0</t>
  </si>
  <si>
    <t>BromideNpcNmlWol00_Remake_2_0</t>
  </si>
  <si>
    <t>FtrLogSofaS_Remake_3_4</t>
  </si>
  <si>
    <t>log stakes</t>
  </si>
  <si>
    <t>ToolWateringColorful_Remake_3_0</t>
  </si>
  <si>
    <t>BromideNpcNmlWol00_Remake_3_0</t>
  </si>
  <si>
    <t>FtrWoodPile_Remake_0_0</t>
  </si>
  <si>
    <t>ToolWateringColorful_Remake_4_0</t>
  </si>
  <si>
    <t>BromideNpcNmlWol00_Remake_4_0</t>
  </si>
  <si>
    <t>FtrWoodPile_Remake_1_0</t>
  </si>
  <si>
    <t>ToolWateringColorful_Remake_5_0</t>
  </si>
  <si>
    <t>BromideNpcNmlWol00_Remake_5_0</t>
  </si>
  <si>
    <t>FtrWoodPile_Remake_2_0</t>
  </si>
  <si>
    <t>ToolWateringColorful_Remake_6_0</t>
  </si>
  <si>
    <t>BromideNpcNmlWol00_Remake_6_0</t>
  </si>
  <si>
    <t>ToolWateringColorful_Remake_7_0</t>
  </si>
  <si>
    <t>FtrWoodPile_Remake_3_0</t>
  </si>
  <si>
    <t>cosmos wand</t>
  </si>
  <si>
    <t>log stool</t>
  </si>
  <si>
    <t>BromideNpcNmlWol00_Remake_7_0</t>
  </si>
  <si>
    <t>Chops's photo</t>
  </si>
  <si>
    <t>ToolStickCosmos</t>
  </si>
  <si>
    <t>elephant watering can</t>
  </si>
  <si>
    <t>BromideNpcNmlPig14_Remake_0_0</t>
  </si>
  <si>
    <t>FtrLogStoolS_Remake_0_0</t>
  </si>
  <si>
    <t>ToolWateringElephant_Remake_0_0</t>
  </si>
  <si>
    <t>BromideNpcNmlPig14_Remake_1_0</t>
  </si>
  <si>
    <t>FtrLogStoolS_Remake_1_0</t>
  </si>
  <si>
    <t>ToolWateringElephant_Remake_1_0</t>
  </si>
  <si>
    <t>BromideNpcNmlPig14_Remake_2_0</t>
  </si>
  <si>
    <t>BromideNpcNmlPig14_Remake_3_0</t>
  </si>
  <si>
    <t>FtrLogStoolS_Remake_2_0</t>
  </si>
  <si>
    <t>ToolWateringElephant_Remake_2_0</t>
  </si>
  <si>
    <t>BromideNpcNmlPig14_Remake_4_0</t>
  </si>
  <si>
    <t>FtrLogStoolS_Remake_3_0</t>
  </si>
  <si>
    <t>long bathtub</t>
  </si>
  <si>
    <t>ToolWateringElephant_Remake_3_0</t>
  </si>
  <si>
    <t>ToolWateringElephant_Remake_4_0</t>
  </si>
  <si>
    <t>BromideNpcNmlPig14_Remake_5_0</t>
  </si>
  <si>
    <t>FtrBathtub_Remake_0_0</t>
  </si>
  <si>
    <t>Black marble</t>
  </si>
  <si>
    <t>BromideNpcNmlPig14_Remake_6_0</t>
  </si>
  <si>
    <t>ToolWateringElephant_Remake_5_0</t>
  </si>
  <si>
    <t>FtrBathtub_Remake_1_0</t>
  </si>
  <si>
    <t>White marble</t>
  </si>
  <si>
    <t>BromideNpcNmlPig14_Remake_7_0</t>
  </si>
  <si>
    <t>Chow's photo</t>
  </si>
  <si>
    <t>ToolWateringElephant_Remake_6_0</t>
  </si>
  <si>
    <t>FtrBathtub_Remake_2_0</t>
  </si>
  <si>
    <t>ToolWateringElephant_Remake_7_0</t>
  </si>
  <si>
    <t>BromideNpcNmlBea03_Remake_0_0</t>
  </si>
  <si>
    <t>fish fishing rod</t>
  </si>
  <si>
    <t>FtrBathtub_Remake_3_0</t>
  </si>
  <si>
    <t>ToolFishingrodColorful_Remake_0_0</t>
  </si>
  <si>
    <t>FtrBathtub_Remake_4_0</t>
  </si>
  <si>
    <t>ToolFishingrodColorful_Remake_1_0</t>
  </si>
  <si>
    <t>BromideNpcNmlBea03_Remake_1_0</t>
  </si>
  <si>
    <t>ToolFishingrodColorful_Remake_2_0</t>
  </si>
  <si>
    <t>BromideNpcNmlBea03_Remake_2_0</t>
  </si>
  <si>
    <t>FtrBathtub_Remake_5_0</t>
  </si>
  <si>
    <t>Two-toned tile</t>
  </si>
  <si>
    <t>ToolFishingrodColorful_Remake_3_0</t>
  </si>
  <si>
    <t>BromideNpcNmlBea03_Remake_3_0</t>
  </si>
  <si>
    <t>FtrBathtub_Remake_6_0</t>
  </si>
  <si>
    <t>loom</t>
  </si>
  <si>
    <t>BromideNpcNmlBea03_Remake_4_0</t>
  </si>
  <si>
    <t>ToolFishingrodColorful_Remake_4_0</t>
  </si>
  <si>
    <t>Knitting</t>
  </si>
  <si>
    <t>BromideNpcNmlBea03_Remake_5_0</t>
  </si>
  <si>
    <t>FtrLoom_Remake_0_0</t>
  </si>
  <si>
    <t>ToolFishingrodColorful_Remake_5_0</t>
  </si>
  <si>
    <t>BromideNpcNmlBea03_Remake_6_0</t>
  </si>
  <si>
    <t>FtrLoom_Remake_0_1</t>
  </si>
  <si>
    <t>ToolFishingrodColorful_Remake_6_0</t>
  </si>
  <si>
    <t>BromideNpcNmlBea03_Remake_7_0</t>
  </si>
  <si>
    <t>Chrissy's photo</t>
  </si>
  <si>
    <t>FtrLoom_Remake_0_2</t>
  </si>
  <si>
    <t>ToolFishingrodColorful_Remake_7_0</t>
  </si>
  <si>
    <t>BromideNpcNmlRbt13_Remake_0_0</t>
  </si>
  <si>
    <t>fish wand</t>
  </si>
  <si>
    <t>ToolStickFish</t>
  </si>
  <si>
    <t>FtrLoom_Remake_0_3</t>
  </si>
  <si>
    <t>fishing rod</t>
  </si>
  <si>
    <t>low screen</t>
  </si>
  <si>
    <t>BromideNpcNmlRbt13_Remake_1_0</t>
  </si>
  <si>
    <t>ToolAngling_Remake_0_0</t>
  </si>
  <si>
    <t>BromideNpcNmlRbt13_Remake_2_0</t>
  </si>
  <si>
    <t>ToolAngling_Remake_1_0</t>
  </si>
  <si>
    <t>FtrScreenJapanLow_Remake_0_0</t>
  </si>
  <si>
    <t>BromideNpcNmlRbt13_Remake_3_0</t>
  </si>
  <si>
    <t>ToolAngling_Remake_2_0</t>
  </si>
  <si>
    <t>BromideNpcNmlRbt13_Remake_4_0</t>
  </si>
  <si>
    <t>ToolAngling_Remake_3_0</t>
  </si>
  <si>
    <t>FtrScreenJapanLow_Remake_0_1</t>
  </si>
  <si>
    <t>BromideNpcNmlRbt13_Remake_5_0</t>
  </si>
  <si>
    <t>ToolAngling_Remake_4_0</t>
  </si>
  <si>
    <t>FtrScreenJapanLow_Remake_0_2</t>
  </si>
  <si>
    <t>BromideNpcNmlRbt13_Remake_6_0</t>
  </si>
  <si>
    <t>ToolAngling_Remake_5_0</t>
  </si>
  <si>
    <t>FtrScreenJapanLow_Remake_0_3</t>
  </si>
  <si>
    <t>BromideNpcNmlRbt13_Remake_7_0</t>
  </si>
  <si>
    <t>Claude's photo</t>
  </si>
  <si>
    <t>ToolAngling_Remake_6_0</t>
  </si>
  <si>
    <t>FtrScreenJapanLow_Remake_0_4</t>
  </si>
  <si>
    <t>BromideNpcNmlRbt11_Remake_0_0</t>
  </si>
  <si>
    <t>ToolAngling_Remake_7_0</t>
  </si>
  <si>
    <t>flimsy axe</t>
  </si>
  <si>
    <t>BromideNpcNmlRbt11_Remake_1_0</t>
  </si>
  <si>
    <t>Available after unlocking the axe in the story</t>
  </si>
  <si>
    <t>ToolStoneaxeWood</t>
  </si>
  <si>
    <t>flimsy fishing rod</t>
  </si>
  <si>
    <t>FtrScreenJapanLow_Remake_1_0</t>
  </si>
  <si>
    <t>9.5?</t>
  </si>
  <si>
    <t>BromideNpcNmlRbt11_Remake_2_0</t>
  </si>
  <si>
    <t>ToolFishingrodWood</t>
  </si>
  <si>
    <t>flimsy net</t>
  </si>
  <si>
    <t>BromideNpcNmlRbt11_Remake_3_0</t>
  </si>
  <si>
    <t>FtrScreenJapanLow_Remake_1_1</t>
  </si>
  <si>
    <t>ToolNetWood</t>
  </si>
  <si>
    <t>flimsy shovel</t>
  </si>
  <si>
    <t>BromideNpcNmlRbt11_Remake_4_0</t>
  </si>
  <si>
    <t>Available after unlocking the shovel in the story</t>
  </si>
  <si>
    <t>FtrScreenJapanLow_Remake_1_2</t>
  </si>
  <si>
    <t>ToolScoopWood</t>
  </si>
  <si>
    <t>flimsy watering can</t>
  </si>
  <si>
    <t>BromideNpcNmlRbt11_Remake_5_0</t>
  </si>
  <si>
    <t>BromideNpcNmlRbt11_Remake_6_0</t>
  </si>
  <si>
    <t>ToolWateringWood</t>
  </si>
  <si>
    <t>golden axe</t>
  </si>
  <si>
    <t>FtrScreenJapanLow_Remake_1_3</t>
  </si>
  <si>
    <t>BromideNpcNmlRbt11_Remake_7_0</t>
  </si>
  <si>
    <t>Claudia's photo</t>
  </si>
  <si>
    <t>ToolAxeGold</t>
  </si>
  <si>
    <t>golden net</t>
  </si>
  <si>
    <t>FtrScreenJapanLow_Remake_1_4</t>
  </si>
  <si>
    <t>BromideNpcNmlTig05_Remake_0_0</t>
  </si>
  <si>
    <t>FtrScreenJapanLow_Remake_2_0</t>
  </si>
  <si>
    <t>ToolNetGold</t>
  </si>
  <si>
    <t>BromideNpcNmlTig05_Remake_1_0</t>
  </si>
  <si>
    <t>golden rod</t>
  </si>
  <si>
    <t>BromideNpcNmlTig05_Remake_2_0</t>
  </si>
  <si>
    <t>FtrScreenJapanLow_Remake_2_1</t>
  </si>
  <si>
    <t>ToolFishingrodGold</t>
  </si>
  <si>
    <t>golden shovel</t>
  </si>
  <si>
    <t>BromideNpcNmlTig05_Remake_3_0</t>
  </si>
  <si>
    <t>FtrScreenJapanLow_Remake_2_2</t>
  </si>
  <si>
    <t>ToolScoopGold</t>
  </si>
  <si>
    <t>golden slingshot</t>
  </si>
  <si>
    <t>BromideNpcNmlTig05_Remake_4_0</t>
  </si>
  <si>
    <t>ToolSlingshotGold</t>
  </si>
  <si>
    <t>golden wand</t>
  </si>
  <si>
    <t>BromideNpcNmlTig05_Remake_5_0</t>
  </si>
  <si>
    <t>FtrScreenJapanLow_Remake_2_3</t>
  </si>
  <si>
    <t>ToolStickGolden</t>
  </si>
  <si>
    <t>golden watering can</t>
  </si>
  <si>
    <t>BromideNpcNmlTig05_Remake_6_0</t>
  </si>
  <si>
    <t>ToolWateringGold</t>
  </si>
  <si>
    <t>hyacinth wand</t>
  </si>
  <si>
    <t>BromideNpcNmlTig05_Remake_7_0</t>
  </si>
  <si>
    <t>Clay's photo</t>
  </si>
  <si>
    <t>FtrScreenJapanLow_Remake_2_4</t>
  </si>
  <si>
    <t>lunar lander</t>
  </si>
  <si>
    <t>ToolStickHyacinth</t>
  </si>
  <si>
    <t>ice wand</t>
  </si>
  <si>
    <t>BromideNpcNmlHam05_Remake_0_0</t>
  </si>
  <si>
    <t>ToolStickSnow</t>
  </si>
  <si>
    <t>iron wand</t>
  </si>
  <si>
    <t>FtrModule</t>
  </si>
  <si>
    <t>lunar rover</t>
  </si>
  <si>
    <t>BromideNpcNmlHam05_Remake_1_0</t>
  </si>
  <si>
    <t>ToolStickIron</t>
  </si>
  <si>
    <t>ladder</t>
  </si>
  <si>
    <t>FtrMoonrover</t>
  </si>
  <si>
    <t>Mama bear</t>
  </si>
  <si>
    <t>BromideNpcNmlHam05_Remake_2_0</t>
  </si>
  <si>
    <t>ToolLadder</t>
  </si>
  <si>
    <t>light stick</t>
  </si>
  <si>
    <t>BromideNpcNmlHam05_Remake_3_0</t>
  </si>
  <si>
    <t>FtrBearM_Remake_0_0</t>
  </si>
  <si>
    <t>ToolSticklight</t>
  </si>
  <si>
    <t>lily wand</t>
  </si>
  <si>
    <t>BromideNpcNmlHam05_Remake_4_0</t>
  </si>
  <si>
    <t>ToolStickLily</t>
  </si>
  <si>
    <t>FtrBearM_Remake_0_1</t>
  </si>
  <si>
    <t>mums wand</t>
  </si>
  <si>
    <t>BromideNpcNmlHam05_Remake_5_0</t>
  </si>
  <si>
    <t>ToolStickChrysanthemum</t>
  </si>
  <si>
    <t>mushroom wand</t>
  </si>
  <si>
    <t>FtrBearM_Remake_0_2</t>
  </si>
  <si>
    <t>Ordinary mushroom</t>
  </si>
  <si>
    <t>Mushroom type</t>
  </si>
  <si>
    <t>Yellow stripes</t>
  </si>
  <si>
    <t>ToolStickMushroom_Remake_0_0</t>
  </si>
  <si>
    <t>BromideNpcNmlHam05_Remake_6_0</t>
  </si>
  <si>
    <t>White mushroom</t>
  </si>
  <si>
    <t>FtrBearM_Remake_0_3</t>
  </si>
  <si>
    <t>BromideNpcNmlHam05_Remake_7_0</t>
  </si>
  <si>
    <t>ToolStickMushroom_Remake_1_0</t>
  </si>
  <si>
    <t>Cleo's photo</t>
  </si>
  <si>
    <t>Strange mushroom</t>
  </si>
  <si>
    <t>ToolStickMushroom_Remake_2_0</t>
  </si>
  <si>
    <t>BromideNpcNmlHrs07_Remake_0_0</t>
  </si>
  <si>
    <t>Red mushroom</t>
  </si>
  <si>
    <t>ToolStickMushroom_Remake_3_0</t>
  </si>
  <si>
    <t>FtrBearM_Remake_1_0</t>
  </si>
  <si>
    <t>Yellow mushroom</t>
  </si>
  <si>
    <t>BromideNpcNmlHrs07_Remake_1_0</t>
  </si>
  <si>
    <t>ToolStickMushroom_Remake_4_0</t>
  </si>
  <si>
    <t>net</t>
  </si>
  <si>
    <t>FtrBearM_Remake_1_1</t>
  </si>
  <si>
    <t>ToolNetNormal_Remake_0_0</t>
  </si>
  <si>
    <t>BromideNpcNmlHrs07_Remake_2_0</t>
  </si>
  <si>
    <t>FtrBearM_Remake_1_2</t>
  </si>
  <si>
    <t>BromideNpcNmlHrs07_Remake_3_0</t>
  </si>
  <si>
    <t>ToolNetNormal_Remake_1_0</t>
  </si>
  <si>
    <t>ToolNetNormal_Remake_2_0</t>
  </si>
  <si>
    <t>BromideNpcNmlHrs07_Remake_4_0</t>
  </si>
  <si>
    <t>FtrBearM_Remake_1_3</t>
  </si>
  <si>
    <t>ToolNetNormal_Remake_3_0</t>
  </si>
  <si>
    <t>BromideNpcNmlHrs07_Remake_5_0</t>
  </si>
  <si>
    <t>ToolNetNormal_Remake_4_0</t>
  </si>
  <si>
    <t>BromideNpcNmlHrs07_Remake_6_0</t>
  </si>
  <si>
    <t>FtrBearM_Remake_2_0</t>
  </si>
  <si>
    <t>ToolNetNormal_Remake_5_0</t>
  </si>
  <si>
    <t>BromideNpcNmlHrs07_Remake_7_0</t>
  </si>
  <si>
    <t>Clyde's photo</t>
  </si>
  <si>
    <t>FtrBearM_Remake_2_1</t>
  </si>
  <si>
    <t>ToolNetNormal_Remake_6_0</t>
  </si>
  <si>
    <t>BromideNpcNmlHrs10_Remake_0_0</t>
  </si>
  <si>
    <t>ToolNetNormal_Remake_7_0</t>
  </si>
  <si>
    <t>Nook Inc. uchiwa fan</t>
  </si>
  <si>
    <t>FtrBearM_Remake_2_2</t>
  </si>
  <si>
    <t>BromideNpcNmlHrs10_Remake_1_0</t>
  </si>
  <si>
    <t>ToolFanNook0</t>
  </si>
  <si>
    <t>ocarina</t>
  </si>
  <si>
    <t>FtrBearM_Remake_2_3</t>
  </si>
  <si>
    <t>BromideNpcNmlHrs10_Remake_2_0</t>
  </si>
  <si>
    <t>ToolOcarina</t>
  </si>
  <si>
    <t>outdoorsy fishing rod</t>
  </si>
  <si>
    <t>BromideNpcNmlHrs10_Remake_3_0</t>
  </si>
  <si>
    <t>Outdoor Tools</t>
  </si>
  <si>
    <t>FtrBearM_Remake_3_0</t>
  </si>
  <si>
    <t>ToolFishingrodOutdoor_Remake_0_0</t>
  </si>
  <si>
    <t>BromideNpcNmlHrs10_Remake_4_0</t>
  </si>
  <si>
    <t>ToolFishingrodOutdoor_Remake_1_0</t>
  </si>
  <si>
    <t>BromideNpcNmlHrs10_Remake_5_0</t>
  </si>
  <si>
    <t>FtrBearM_Remake_3_1</t>
  </si>
  <si>
    <t>ToolFishingrodOutdoor_Remake_2_0</t>
  </si>
  <si>
    <t>BromideNpcNmlHrs10_Remake_6_0</t>
  </si>
  <si>
    <t>ToolFishingrodOutdoor_Remake_3_0</t>
  </si>
  <si>
    <t>FtrBearM_Remake_3_2</t>
  </si>
  <si>
    <t>BromideNpcNmlHrs10_Remake_7_0</t>
  </si>
  <si>
    <t>Coach's photo</t>
  </si>
  <si>
    <t>ToolFishingrodOutdoor_Remake_4_0</t>
  </si>
  <si>
    <t>BromideNpcNmlBul07_Remake_0_0</t>
  </si>
  <si>
    <t>ToolFishingrodOutdoor_Remake_5_0</t>
  </si>
  <si>
    <t>FtrBearM_Remake_3_3</t>
  </si>
  <si>
    <t>BromideNpcNmlBul07_Remake_1_0</t>
  </si>
  <si>
    <t>ToolFishingrodOutdoor_Remake_6_0</t>
  </si>
  <si>
    <t>FtrBearM_Remake_4_0</t>
  </si>
  <si>
    <t>ToolFishingrodOutdoor_Remake_7_0</t>
  </si>
  <si>
    <t>outdoorsy net</t>
  </si>
  <si>
    <t>BromideNpcNmlBul07_Remake_2_0</t>
  </si>
  <si>
    <t>FtrBearM_Remake_4_1</t>
  </si>
  <si>
    <t>ToolNetOutdoor_Remake_0_0</t>
  </si>
  <si>
    <t>FtrBearM_Remake_4_2</t>
  </si>
  <si>
    <t>BromideNpcNmlBul07_Remake_3_0</t>
  </si>
  <si>
    <t>ToolNetOutdoor_Remake_1_0</t>
  </si>
  <si>
    <t>FtrBearM_Remake_4_3</t>
  </si>
  <si>
    <t>ToolNetOutdoor_Remake_2_0</t>
  </si>
  <si>
    <t>BromideNpcNmlBul07_Remake_4_0</t>
  </si>
  <si>
    <t>ToolNetOutdoor_Remake_3_0</t>
  </si>
  <si>
    <t>BromideNpcNmlBul07_Remake_5_0</t>
  </si>
  <si>
    <t>FtrBearM_Remake_5_0</t>
  </si>
  <si>
    <t>ToolNetOutdoor_Remake_4_0</t>
  </si>
  <si>
    <t>BromideNpcNmlBul07_Remake_6_0</t>
  </si>
  <si>
    <t>ToolNetOutdoor_Remake_5_0</t>
  </si>
  <si>
    <t>BromideNpcNmlBul07_Remake_7_0</t>
  </si>
  <si>
    <t>FtrBearM_Remake_5_1</t>
  </si>
  <si>
    <t>Cobb's photo</t>
  </si>
  <si>
    <t>ToolNetOutdoor_Remake_6_0</t>
  </si>
  <si>
    <t>ToolNetOutdoor_Remake_7_0</t>
  </si>
  <si>
    <t>BromideNpcNmlPig08_Remake_0_0</t>
  </si>
  <si>
    <t>outdoorsy shovel</t>
  </si>
  <si>
    <t>FtrBearM_Remake_5_2</t>
  </si>
  <si>
    <t>ToolScoopOutdoor_Remake_0_0</t>
  </si>
  <si>
    <t>BromideNpcNmlPig08_Remake_1_0</t>
  </si>
  <si>
    <t>FtrBearM_Remake_5_3</t>
  </si>
  <si>
    <t>Mama panda</t>
  </si>
  <si>
    <t>BromideNpcNmlPig08_Remake_2_0</t>
  </si>
  <si>
    <t>ToolScoopOutdoor_Remake_1_0</t>
  </si>
  <si>
    <t>BromideNpcNmlPig08_Remake_3_0</t>
  </si>
  <si>
    <t>FtrPandaM</t>
  </si>
  <si>
    <t>manhole cover</t>
  </si>
  <si>
    <t>Cover design</t>
  </si>
  <si>
    <t>ToolScoopOutdoor_Remake_2_0</t>
  </si>
  <si>
    <t>BromideNpcNmlPig08_Remake_4_0</t>
  </si>
  <si>
    <t>FtrManhole_Remake_0_0</t>
  </si>
  <si>
    <t>ToolScoopOutdoor_Remake_3_0</t>
  </si>
  <si>
    <t>BromideNpcNmlPig08_Remake_5_0</t>
  </si>
  <si>
    <t>ToolScoopOutdoor_Remake_4_0</t>
  </si>
  <si>
    <t>BromideNpcNmlPig08_Remake_6_0</t>
  </si>
  <si>
    <t>FtrManhole_Remake_1_0</t>
  </si>
  <si>
    <t>ToolScoopOutdoor_Remake_5_0</t>
  </si>
  <si>
    <t>Mountain</t>
  </si>
  <si>
    <t>BromideNpcNmlPig08_Remake_7_0</t>
  </si>
  <si>
    <t>Coco's photo</t>
  </si>
  <si>
    <t>ToolScoopOutdoor_Remake_6_0</t>
  </si>
  <si>
    <t>FtrManhole_Remake_2_0</t>
  </si>
  <si>
    <t>BromideNpcNmlRbt02_Remake_0_0</t>
  </si>
  <si>
    <t>ToolScoopOutdoor_Remake_7_0</t>
  </si>
  <si>
    <t>outdoorsy slingshot</t>
  </si>
  <si>
    <t>Boat</t>
  </si>
  <si>
    <t>BromideNpcNmlRbt02_Remake_1_0</t>
  </si>
  <si>
    <t>ToolSlingshotOutdoor_Remake_0_0</t>
  </si>
  <si>
    <t>FtrManhole_Remake_3_0</t>
  </si>
  <si>
    <t>BromideNpcNmlRbt02_Remake_2_0</t>
  </si>
  <si>
    <t>ToolSlingshotOutdoor_Remake_1_0</t>
  </si>
  <si>
    <t>FtrManhole_Remake_4_0</t>
  </si>
  <si>
    <t>BromideNpcNmlRbt02_Remake_3_0</t>
  </si>
  <si>
    <t>maple-leaf pond stone</t>
  </si>
  <si>
    <t>ToolSlingshotOutdoor_Remake_2_0</t>
  </si>
  <si>
    <t>BromideNpcNmlRbt02_Remake_4_0</t>
  </si>
  <si>
    <t>FtrStonewaterbowlAutumun</t>
  </si>
  <si>
    <t>marimba</t>
  </si>
  <si>
    <t>ToolSlingshotOutdoor_Remake_3_0</t>
  </si>
  <si>
    <t>BromideNpcNmlRbt02_Remake_5_0</t>
  </si>
  <si>
    <t>FtrMarimba</t>
  </si>
  <si>
    <t>Market Place decoration</t>
  </si>
  <si>
    <t>ToolSlingshotOutdoor_Remake_4_0</t>
  </si>
  <si>
    <t>BromideNpcNmlRbt02_Remake_6_0</t>
  </si>
  <si>
    <t>FtrCompassPole</t>
  </si>
  <si>
    <t>medium cardboard boxes</t>
  </si>
  <si>
    <t>ToolSlingshotOutdoor_Remake_5_0</t>
  </si>
  <si>
    <t>BromideNpcNmlRbt02_Remake_7_0</t>
  </si>
  <si>
    <t>Cole's photo</t>
  </si>
  <si>
    <t>ToolSlingshotOutdoor_Remake_6_0</t>
  </si>
  <si>
    <t>BromideNpcNmlRbt18_Remake_0_0</t>
  </si>
  <si>
    <t>FtrMovingboxM</t>
  </si>
  <si>
    <t>menu chalkboard</t>
  </si>
  <si>
    <t>ToolSlingshotOutdoor_Remake_7_0</t>
  </si>
  <si>
    <t>outdoorsy watering can</t>
  </si>
  <si>
    <t>BromideNpcNmlRbt18_Remake_1_0</t>
  </si>
  <si>
    <t>ToolWateringOutdoor_Remake_0_0</t>
  </si>
  <si>
    <t>FtrMenuboard_Remake_0_0</t>
  </si>
  <si>
    <t>BromideNpcNmlRbt18_Remake_2_0</t>
  </si>
  <si>
    <t>ToolWateringOutdoor_Remake_1_0</t>
  </si>
  <si>
    <t>FtrMenuboard_Remake_1_0</t>
  </si>
  <si>
    <t>BromideNpcNmlRbt18_Remake_3_0</t>
  </si>
  <si>
    <t>ToolWateringOutdoor_Remake_2_0</t>
  </si>
  <si>
    <t>BromideNpcNmlRbt18_Remake_4_0</t>
  </si>
  <si>
    <t>ToolWateringOutdoor_Remake_3_0</t>
  </si>
  <si>
    <t>FtrMenuboard_Remake_2_0</t>
  </si>
  <si>
    <t>ToolWateringOutdoor_Remake_4_0</t>
  </si>
  <si>
    <t>BromideNpcNmlRbt18_Remake_5_0</t>
  </si>
  <si>
    <t>BromideNpcNmlRbt18_Remake_6_0</t>
  </si>
  <si>
    <t>ToolWateringOutdoor_Remake_5_0</t>
  </si>
  <si>
    <t>FtrMenuboard_Remake_3_0</t>
  </si>
  <si>
    <t>BromideNpcNmlRbt18_Remake_7_0</t>
  </si>
  <si>
    <t>ToolWateringOutdoor_Remake_6_0</t>
  </si>
  <si>
    <t>Colton's photo</t>
  </si>
  <si>
    <t>FtrMenuboard_Remake_4_0</t>
  </si>
  <si>
    <t>mic stand</t>
  </si>
  <si>
    <t>ToolWateringOutdoor_Remake_7_0</t>
  </si>
  <si>
    <t>BromideNpcNmlHrs11_Remake_0_0</t>
  </si>
  <si>
    <t>pan flute</t>
  </si>
  <si>
    <t>ToolPanpipe</t>
  </si>
  <si>
    <t>pansy wand</t>
  </si>
  <si>
    <t>BromideNpcNmlHrs11_Remake_1_0</t>
  </si>
  <si>
    <t>FtrMikeStand</t>
  </si>
  <si>
    <t>mini DIY workbench</t>
  </si>
  <si>
    <t>ToolStickPansy</t>
  </si>
  <si>
    <t>party popper</t>
  </si>
  <si>
    <t>BromideNpcNmlHrs11_Remake_2_0</t>
  </si>
  <si>
    <t>Only available close to new year holiday</t>
  </si>
  <si>
    <t>ToolCracker</t>
  </si>
  <si>
    <t>printed-design shovel</t>
  </si>
  <si>
    <t>FtrWorkbenchS_Remake_0_0</t>
  </si>
  <si>
    <t>ToolScoopPattern_Remake_0_0</t>
  </si>
  <si>
    <t>BromideNpcNmlHrs11_Remake_3_0</t>
  </si>
  <si>
    <t>ToolScoopPattern_Remake_1_0</t>
  </si>
  <si>
    <t>BromideNpcNmlHrs11_Remake_4_0</t>
  </si>
  <si>
    <t>FtrWorkbenchS_Remake_1_0</t>
  </si>
  <si>
    <t>ToolScoopPattern_Remake_2_0</t>
  </si>
  <si>
    <t>ToolScoopPattern_Remake_3_0</t>
  </si>
  <si>
    <t>BromideNpcNmlHrs11_Remake_5_0</t>
  </si>
  <si>
    <t>FtrWorkbenchS_Remake_2_0</t>
  </si>
  <si>
    <t>ToolScoopPattern_Remake_4_0</t>
  </si>
  <si>
    <t>BromideNpcNmlHrs11_Remake_6_0</t>
  </si>
  <si>
    <t>ToolScoopPattern_Remake_5_0</t>
  </si>
  <si>
    <t>BromideNpcNmlHrs11_Remake_7_0</t>
  </si>
  <si>
    <t>Cookie's photo</t>
  </si>
  <si>
    <t>FtrWorkbenchS_Remake_3_0</t>
  </si>
  <si>
    <t>ToolScoopPattern_Remake_6_0</t>
  </si>
  <si>
    <t>BromideNpcNmlDog08_Remake_0_0</t>
  </si>
  <si>
    <t>ToolScoopPattern_Remake_7_0</t>
  </si>
  <si>
    <t>rose wand</t>
  </si>
  <si>
    <t>BromideNpcNmlDog08_Remake_1_0</t>
  </si>
  <si>
    <t>FtrWorkbenchS_Remake_4_0</t>
  </si>
  <si>
    <t>ToolStickRose</t>
  </si>
  <si>
    <t>shell wand</t>
  </si>
  <si>
    <t>BromideNpcNmlDog08_Remake_2_0</t>
  </si>
  <si>
    <t>ToolStickShell</t>
  </si>
  <si>
    <t>shovel</t>
  </si>
  <si>
    <t>BromideNpcNmlDog08_Remake_3_0</t>
  </si>
  <si>
    <t>FtrWorkbenchS_Remake_5_0</t>
  </si>
  <si>
    <t>ToolScoop_Remake_0_0</t>
  </si>
  <si>
    <t>BromideNpcNmlDog08_Remake_4_0</t>
  </si>
  <si>
    <t>ToolScoop_Remake_1_0</t>
  </si>
  <si>
    <t>FtrWorkbenchS_Remake_6_0</t>
  </si>
  <si>
    <t>BromideNpcNmlDog08_Remake_5_0</t>
  </si>
  <si>
    <t>ToolScoop_Remake_2_0</t>
  </si>
  <si>
    <t>BromideNpcNmlDog08_Remake_6_0</t>
  </si>
  <si>
    <t>ToolScoop_Remake_3_0</t>
  </si>
  <si>
    <t>FtrWorkbenchS_Remake_7_0</t>
  </si>
  <si>
    <t>mini fridge</t>
  </si>
  <si>
    <t>ToolScoop_Remake_4_0</t>
  </si>
  <si>
    <t>BromideNpcNmlDog08_Remake_7_0</t>
  </si>
  <si>
    <t>Cousteau's photo</t>
  </si>
  <si>
    <t>ToolScoop_Remake_5_0</t>
  </si>
  <si>
    <t>FtrRefrigeratorMini_Remake_0_0</t>
  </si>
  <si>
    <t>ToolScoop_Remake_6_0</t>
  </si>
  <si>
    <t>BromideNpcNmlFlg10_Remake_0_0</t>
  </si>
  <si>
    <t>ToolScoop_Remake_7_0</t>
  </si>
  <si>
    <t>slingshot</t>
  </si>
  <si>
    <t>FtrRefrigeratorMini_Remake_1_0</t>
  </si>
  <si>
    <t>BromideNpcNmlFlg10_Remake_1_0</t>
  </si>
  <si>
    <t>ToolSlingshot_Remake_0_0</t>
  </si>
  <si>
    <t>BromideNpcNmlFlg10_Remake_2_0</t>
  </si>
  <si>
    <t>FtrRefrigeratorMini_Remake_2_0</t>
  </si>
  <si>
    <t>ToolSlingshot_Remake_1_0</t>
  </si>
  <si>
    <t>ToolSlingshot_Remake_2_0</t>
  </si>
  <si>
    <t>BromideNpcNmlFlg10_Remake_3_0</t>
  </si>
  <si>
    <t>FtrRefrigeratorMini_Remake_3_0</t>
  </si>
  <si>
    <t>ToolSlingshot_Remake_3_0</t>
  </si>
  <si>
    <t>BromideNpcNmlFlg10_Remake_4_0</t>
  </si>
  <si>
    <t>ToolSlingshot_Remake_4_0</t>
  </si>
  <si>
    <t>FtrRefrigeratorMini_Remake_4_0</t>
  </si>
  <si>
    <t>BromideNpcNmlFlg10_Remake_5_0</t>
  </si>
  <si>
    <t>ToolSlingshot_Remake_5_0</t>
  </si>
  <si>
    <t>FtrRefrigeratorMini_Remake_5_0</t>
  </si>
  <si>
    <t>BromideNpcNmlFlg10_Remake_6_0</t>
  </si>
  <si>
    <t>ToolSlingshot_Remake_6_0</t>
  </si>
  <si>
    <t>BromideNpcNmlFlg10_Remake_7_0</t>
  </si>
  <si>
    <t>FtrRefrigeratorMini_Remake_6_0</t>
  </si>
  <si>
    <t>Crackle's photo</t>
  </si>
  <si>
    <t>ToolSlingshot_Remake_7_0</t>
  </si>
  <si>
    <t>star net</t>
  </si>
  <si>
    <t>BromideNpcNmlPig05_Remake_0_0</t>
  </si>
  <si>
    <t>FtrRefrigeratorMini_Remake_7_0</t>
  </si>
  <si>
    <t>ToolNetStar_Remake_0_0</t>
  </si>
  <si>
    <t>moai statue</t>
  </si>
  <si>
    <t>BromideNpcNmlPig05_Remake_1_0</t>
  </si>
  <si>
    <t>ToolNetStar_Remake_1_0</t>
  </si>
  <si>
    <t>FtrMoai</t>
  </si>
  <si>
    <t>modern office chair</t>
  </si>
  <si>
    <t>ToolNetStar_Remake_2_0</t>
  </si>
  <si>
    <t>BromideNpcNmlPig05_Remake_2_0</t>
  </si>
  <si>
    <t>FtrOfficeChair_Remake_0_0</t>
  </si>
  <si>
    <t>ToolNetStar_Remake_3_0</t>
  </si>
  <si>
    <t>BromideNpcNmlPig05_Remake_3_0</t>
  </si>
  <si>
    <t>ToolNetStar_Remake_4_0</t>
  </si>
  <si>
    <t>BromideNpcNmlPig05_Remake_4_0</t>
  </si>
  <si>
    <t>FtrOfficeChair_Remake_1_0</t>
  </si>
  <si>
    <t>ToolNetStar_Remake_5_0</t>
  </si>
  <si>
    <t>BromideNpcNmlPig05_Remake_5_0</t>
  </si>
  <si>
    <t>ToolNetStar_Remake_6_0</t>
  </si>
  <si>
    <t>BromideNpcNmlPig05_Remake_6_0</t>
  </si>
  <si>
    <t>FtrOfficeChair_Remake_2_0</t>
  </si>
  <si>
    <t>ToolNetStar_Remake_7_0</t>
  </si>
  <si>
    <t>BromideNpcNmlPig05_Remake_7_0</t>
  </si>
  <si>
    <t>star wand</t>
  </si>
  <si>
    <t>Cranston's photo</t>
  </si>
  <si>
    <t>FtrOfficeChair_Remake_3_0</t>
  </si>
  <si>
    <t>ToolStickStar</t>
  </si>
  <si>
    <t>BromideNpcNmlOst06_Remake_0_0</t>
  </si>
  <si>
    <t>stone axe</t>
  </si>
  <si>
    <t>ToolStoneaxeFirst</t>
  </si>
  <si>
    <t>tambourine</t>
  </si>
  <si>
    <t>BromideNpcNmlOst06_Remake_1_0</t>
  </si>
  <si>
    <t>FtrOfficeChair_Remake_4_0</t>
  </si>
  <si>
    <t>ToolTambourine</t>
  </si>
  <si>
    <t>timer</t>
  </si>
  <si>
    <t>BromideNpcNmlOst06_Remake_2_0</t>
  </si>
  <si>
    <t>ToolTimer</t>
  </si>
  <si>
    <t>tree-branch wand</t>
  </si>
  <si>
    <t>BromideNpcNmlOst06_Remake_3_0</t>
  </si>
  <si>
    <t>FtrOfficeChair_Remake_5_0</t>
  </si>
  <si>
    <t>ToolStickTree</t>
  </si>
  <si>
    <t>tulip wand</t>
  </si>
  <si>
    <t>BromideNpcNmlOst06_Remake_4_0</t>
  </si>
  <si>
    <t>BromideNpcNmlOst06_Remake_5_0</t>
  </si>
  <si>
    <t>ToolStickTulip</t>
  </si>
  <si>
    <t>FtrOfficeChair_Remake_6_0</t>
  </si>
  <si>
    <t>vaulting pole</t>
  </si>
  <si>
    <t>monster statue</t>
  </si>
  <si>
    <t>BromideNpcNmlOst06_Remake_6_0</t>
  </si>
  <si>
    <t>ToolLongwoodenstick</t>
  </si>
  <si>
    <t>wand</t>
  </si>
  <si>
    <t>BromideNpcNmlOst06_Remake_7_0</t>
  </si>
  <si>
    <t>Croque's photo</t>
  </si>
  <si>
    <t>FtrMonster_Remake_0_0</t>
  </si>
  <si>
    <t>BromideNpcNmlFlg17_Remake_0_0</t>
  </si>
  <si>
    <t>ToolStickWood</t>
  </si>
  <si>
    <t>watering can</t>
  </si>
  <si>
    <t>BromideNpcNmlFlg17_Remake_1_0</t>
  </si>
  <si>
    <t>ToolWatering_Remake_0_0</t>
  </si>
  <si>
    <t>FtrMonster_Remake_1_0</t>
  </si>
  <si>
    <t>BromideNpcNmlFlg17_Remake_2_0</t>
  </si>
  <si>
    <t>ToolWatering_Remake_1_0</t>
  </si>
  <si>
    <t>BromideNpcNmlFlg17_Remake_3_0</t>
  </si>
  <si>
    <t>FtrMonster_Remake_2_0</t>
  </si>
  <si>
    <t>BromideNpcNmlFlg17_Remake_4_0</t>
  </si>
  <si>
    <t>ToolWatering_Remake_2_0</t>
  </si>
  <si>
    <t>BromideNpcNmlFlg17_Remake_5_0</t>
  </si>
  <si>
    <t>FtrMonster_Remake_3_0</t>
  </si>
  <si>
    <t>BromideNpcNmlFlg17_Remake_6_0</t>
  </si>
  <si>
    <t>ToolWatering_Remake_3_0</t>
  </si>
  <si>
    <t>monstera</t>
  </si>
  <si>
    <t>ToolWatering_Remake_4_0</t>
  </si>
  <si>
    <t>FtrPlantMonstera_Remake_0_0</t>
  </si>
  <si>
    <t>BromideNpcNmlFlg17_Remake_7_0</t>
  </si>
  <si>
    <t>Cube's photo</t>
  </si>
  <si>
    <t>BromideNpcNmlPgn02_Remake_0_0</t>
  </si>
  <si>
    <t>ToolWatering_Remake_6_0</t>
  </si>
  <si>
    <t>FtrPlantMonstera_Remake_1_0</t>
  </si>
  <si>
    <t>BromideNpcNmlPgn02_Remake_1_0</t>
  </si>
  <si>
    <t>ToolWatering_Remake_7_0</t>
  </si>
  <si>
    <t>windflower wand</t>
  </si>
  <si>
    <t>BromideNpcNmlPgn02_Remake_2_0</t>
  </si>
  <si>
    <t>FtrPlantMonstera_Remake_2_0</t>
  </si>
  <si>
    <t>BromideNpcNmlPgn02_Remake_3_0</t>
  </si>
  <si>
    <t>ToolStickAnemones</t>
  </si>
  <si>
    <t>FtrPlantMonstera_Remake_3_0</t>
  </si>
  <si>
    <t>BromideNpcNmlPgn02_Remake_4_0</t>
  </si>
  <si>
    <t>BromideNpcNmlPgn02_Remake_5_0</t>
  </si>
  <si>
    <t>FtrPlantMonstera_Remake_4_0</t>
  </si>
  <si>
    <t>BromideNpcNmlPgn02_Remake_6_0</t>
  </si>
  <si>
    <t>BromideNpcNmlPgn02_Remake_7_0</t>
  </si>
  <si>
    <t>Curlos's photo</t>
  </si>
  <si>
    <t>FtrPlantMonstera_Remake_5_0</t>
  </si>
  <si>
    <t>moon</t>
  </si>
  <si>
    <t>BromideNpcNmlShp08_Remake_0_0</t>
  </si>
  <si>
    <t>BromideNpcNmlShp08_Remake_1_0</t>
  </si>
  <si>
    <t>FtrMoon</t>
  </si>
  <si>
    <t>mossy garden rock</t>
  </si>
  <si>
    <t>Style</t>
  </si>
  <si>
    <t>BromideNpcNmlShp08_Remake_2_0</t>
  </si>
  <si>
    <t>A tee</t>
  </si>
  <si>
    <t>Nook Shopping Catalog</t>
  </si>
  <si>
    <t>BromideNpcNmlShp08_Remake_3_0</t>
  </si>
  <si>
    <t>TopsTexTopTshirtsHAce0</t>
  </si>
  <si>
    <t>acid-washed jacket</t>
  </si>
  <si>
    <t>FtrGardenrockMoss</t>
  </si>
  <si>
    <t>mountain bike</t>
  </si>
  <si>
    <t>BromideNpcNmlShp08_Remake_4_0</t>
  </si>
  <si>
    <t>Able Sisters</t>
  </si>
  <si>
    <t>Available from Able Sisters shop only</t>
  </si>
  <si>
    <t>TopsTexTopOuterLChemical1</t>
  </si>
  <si>
    <t>BromideNpcNmlShp08_Remake_5_0</t>
  </si>
  <si>
    <t>FtrMountainbike_Remake_0_0</t>
  </si>
  <si>
    <t>TopsTexTopOuterLChemical0</t>
  </si>
  <si>
    <t>after-school jacket</t>
  </si>
  <si>
    <t>BromideNpcNmlShp08_Remake_6_0</t>
  </si>
  <si>
    <t>FtrMountainbike_Remake_1_0</t>
  </si>
  <si>
    <t>TopsTexTopYshirtsLGakuranopen0</t>
  </si>
  <si>
    <t>BromideNpcNmlShp08_Remake_7_0</t>
  </si>
  <si>
    <t>Curly's photo</t>
  </si>
  <si>
    <t>BromideNpcNmlPig00_Remake_0_0</t>
  </si>
  <si>
    <t>TopsTexTopYshirtsLGakuranopen1</t>
  </si>
  <si>
    <t>FtrMountainbike_Remake_2_0</t>
  </si>
  <si>
    <t>BromideNpcNmlPig00_Remake_1_0</t>
  </si>
  <si>
    <t>TopsTexTopYshirtsLGakuranopen2</t>
  </si>
  <si>
    <t>FtrMountainbike_Remake_3_0</t>
  </si>
  <si>
    <t>BromideNpcNmlPig00_Remake_2_0</t>
  </si>
  <si>
    <t>TopsTexTopYshirtsLGakuranopen3</t>
  </si>
  <si>
    <t>BromideNpcNmlPig00_Remake_3_0</t>
  </si>
  <si>
    <t>FtrMountainbike_Remake_4_0</t>
  </si>
  <si>
    <t>BromideNpcNmlPig00_Remake_4_0</t>
  </si>
  <si>
    <t>TopsTexTopYshirtsLGakuranopen4</t>
  </si>
  <si>
    <t>BromideNpcNmlPig00_Remake_5_0</t>
  </si>
  <si>
    <t>FtrMountainbike_Remake_5_0</t>
  </si>
  <si>
    <t>mountain standee</t>
  </si>
  <si>
    <t>TopsTexTopYshirtsLGakuranopen5</t>
  </si>
  <si>
    <t>BromideNpcNmlPig00_Remake_6_0</t>
  </si>
  <si>
    <t>TopsTexTopYshirtsLGakuranopen6</t>
  </si>
  <si>
    <t>animal-print coat</t>
  </si>
  <si>
    <t>BromideNpcNmlPig00_Remake_7_0</t>
  </si>
  <si>
    <t>Curt's photo</t>
  </si>
  <si>
    <t>FtrHariboteMountain_Remake_0_0</t>
  </si>
  <si>
    <t>TopsTexTopCoatLAnimal0</t>
  </si>
  <si>
    <t>BromideNpcNmlBea02_Remake_0_0</t>
  </si>
  <si>
    <t>FtrHariboteMountain_Remake_1_0</t>
  </si>
  <si>
    <t>TopsTexTopCoatLAnimal1</t>
  </si>
  <si>
    <t>BromideNpcNmlBea02_Remake_1_0</t>
  </si>
  <si>
    <t>TopsTexTopCoatLAnimal2</t>
  </si>
  <si>
    <t>FtrHariboteMountain_Remake_2_0</t>
  </si>
  <si>
    <t>BromideNpcNmlBea02_Remake_2_0</t>
  </si>
  <si>
    <t>Kyoto in summer</t>
  </si>
  <si>
    <t>TopsTexTopCoatLAnimal3</t>
  </si>
  <si>
    <t>animal-stripes tee</t>
  </si>
  <si>
    <t>Tiger</t>
  </si>
  <si>
    <t>FtrHariboteMountain_Remake_3_0</t>
  </si>
  <si>
    <t>Available from either Mable's temporary shop or Able Sisters shop</t>
  </si>
  <si>
    <t>BromideNpcNmlBea02_Remake_3_0</t>
  </si>
  <si>
    <t>TopsTexTopTshirtsHStripe0</t>
  </si>
  <si>
    <t>Zebra</t>
  </si>
  <si>
    <t>TopsTexTopTshirtsHStripe1</t>
  </si>
  <si>
    <t>BromideNpcNmlBea02_Remake_4_0</t>
  </si>
  <si>
    <t>annyeong tee</t>
  </si>
  <si>
    <t>FtrHariboteMountain_Remake_4_0</t>
  </si>
  <si>
    <t>BromideNpcNmlBea02_Remake_5_0</t>
  </si>
  <si>
    <t>TopsTexTopTshirtsHHellokr0</t>
  </si>
  <si>
    <t>FtrHariboteMountain_Remake_5_0</t>
  </si>
  <si>
    <t>anorak jacket</t>
  </si>
  <si>
    <t>Mr. Flamingo</t>
  </si>
  <si>
    <t>BromideNpcNmlBea02_Remake_6_0</t>
  </si>
  <si>
    <t>TopsTexTopCoatLAnorak1</t>
  </si>
  <si>
    <t>FtrFlamingoMale_Remake_0_0</t>
  </si>
  <si>
    <t>BromideNpcNmlBea02_Remake_7_0</t>
  </si>
  <si>
    <t>Cyd's photo</t>
  </si>
  <si>
    <t>TopsTexTopCoatLAnorak2</t>
  </si>
  <si>
    <t>FtrFlamingoMale_Remake_1_0</t>
  </si>
  <si>
    <t>Mrs. Flamingo</t>
  </si>
  <si>
    <t>BromideNpcNmlElp12_Remake_0_0</t>
  </si>
  <si>
    <t>TopsTexTopCoatLAnorak0</t>
  </si>
  <si>
    <t>apron</t>
  </si>
  <si>
    <t>TopsTexTopCoatHApron1</t>
  </si>
  <si>
    <t>BromideNpcNmlElp12_Remake_1_0</t>
  </si>
  <si>
    <t>FtrFlamingoFemale_Remake_0_0</t>
  </si>
  <si>
    <t>TopsTexTopCoatHApron2</t>
  </si>
  <si>
    <t>BromideNpcNmlElp12_Remake_2_0</t>
  </si>
  <si>
    <t>FtrFlamingoFemale_Remake_1_0</t>
  </si>
  <si>
    <t>mum cushion</t>
  </si>
  <si>
    <t>TopsTexTopCoatHApron3</t>
  </si>
  <si>
    <t>BromideNpcNmlElp12_Remake_3_0</t>
  </si>
  <si>
    <t>TopsTexTopCoatHApron4</t>
  </si>
  <si>
    <t>BromideNpcNmlElp12_Remake_4_0</t>
  </si>
  <si>
    <t>TopsTexTopCoatHApron5</t>
  </si>
  <si>
    <t>FtrFlowerStoolS_Remake_0_0</t>
  </si>
  <si>
    <t>TopsTexTopCoatHApron0</t>
  </si>
  <si>
    <t>BromideNpcNmlElp12_Remake_5_0</t>
  </si>
  <si>
    <t>TopsTexTopCoatHApron6</t>
  </si>
  <si>
    <t>BromideNpcNmlElp12_Remake_6_0</t>
  </si>
  <si>
    <t>FtrFlowerStoolS_Remake_1_0</t>
  </si>
  <si>
    <t>TopsTexTopCoatHApron7</t>
  </si>
  <si>
    <t>Aran-knit cardigan</t>
  </si>
  <si>
    <t>BromideNpcNmlElp12_Remake_7_0</t>
  </si>
  <si>
    <t>Cyrano's photo</t>
  </si>
  <si>
    <t>TopsTexTopOuterLArancardigan1</t>
  </si>
  <si>
    <t>FtrFlowerStoolS_Remake_2_0</t>
  </si>
  <si>
    <t>BromideNpcNmlAnt00_Remake_0_0</t>
  </si>
  <si>
    <t>TopsTexTopOuterLArancardigan2</t>
  </si>
  <si>
    <t>mush lamp</t>
  </si>
  <si>
    <t>TopsTexTopOuterLArancardigan0</t>
  </si>
  <si>
    <t>BromideNpcNmlAnt00_Remake_1_0</t>
  </si>
  <si>
    <t>TopsTexTopOuterLArancardigan3</t>
  </si>
  <si>
    <t>Aran-knit sweater</t>
  </si>
  <si>
    <t>BromideNpcNmlAnt00_Remake_2_0</t>
  </si>
  <si>
    <t>FtrMushroomLamp_Remake_0_0</t>
  </si>
  <si>
    <t>TopsTexTopOuterLAran1</t>
  </si>
  <si>
    <t>BromideNpcNmlAnt00_Remake_3_0</t>
  </si>
  <si>
    <t>TopsTexTopOuterLAran2</t>
  </si>
  <si>
    <t>FtrMushroomLamp_Remake_1_0</t>
  </si>
  <si>
    <t>BromideNpcNmlAnt00_Remake_4_0</t>
  </si>
  <si>
    <t>TopsTexTopOuterLAran3</t>
  </si>
  <si>
    <t>BromideNpcNmlAnt00_Remake_5_0</t>
  </si>
  <si>
    <t>TopsTexTopOuterLAran4</t>
  </si>
  <si>
    <t>FtrMushroomLamp_Remake_2_0</t>
  </si>
  <si>
    <t>BromideNpcNmlAnt00_Remake_6_0</t>
  </si>
  <si>
    <t>TopsTexTopOuterLAran5</t>
  </si>
  <si>
    <t>BromideNpcNmlAnt00_Remake_7_0</t>
  </si>
  <si>
    <t>Daisy's photo</t>
  </si>
  <si>
    <t>TopsTexTopOuterLAran6</t>
  </si>
  <si>
    <t>FtrMushroomLamp_Remake_3_0</t>
  </si>
  <si>
    <t>BromideNpcNmlDog07_Remake_0_0</t>
  </si>
  <si>
    <t>TopsTexTopOuterLAran0</t>
  </si>
  <si>
    <t>argyle sweater</t>
  </si>
  <si>
    <t>BromideNpcNmlDog07_Remake_1_0</t>
  </si>
  <si>
    <t>TopsTexTopOuterLArgyle1</t>
  </si>
  <si>
    <t>Mustard</t>
  </si>
  <si>
    <t>FtrMushroomLamp_Remake_4_0</t>
  </si>
  <si>
    <t>mush log</t>
  </si>
  <si>
    <t>TopsTexTopOuterLArgyle2</t>
  </si>
  <si>
    <t>BromideNpcNmlDog07_Remake_2_0</t>
  </si>
  <si>
    <t>TopsTexTopOuterLArgyle3</t>
  </si>
  <si>
    <t>BromideNpcNmlDog07_Remake_3_0</t>
  </si>
  <si>
    <t>FtrMushroomPulpwood_Remake_0_0</t>
  </si>
  <si>
    <t>BromideNpcNmlDog07_Remake_4_0</t>
  </si>
  <si>
    <t>TopsTexTopOuterLArgyle4</t>
  </si>
  <si>
    <t>BromideNpcNmlDog07_Remake_5_0</t>
  </si>
  <si>
    <t>TopsTexTopOuterLArgyle5</t>
  </si>
  <si>
    <t>FtrMushroomPulpwood_Remake_1_0</t>
  </si>
  <si>
    <t>BromideNpcNmlDog07_Remake_6_0</t>
  </si>
  <si>
    <t>TopsTexTopOuterLArgyle6</t>
  </si>
  <si>
    <t>TopsTexTopOuterLArgyle7</t>
  </si>
  <si>
    <t>BromideNpcNmlDog07_Remake_7_0</t>
  </si>
  <si>
    <t>Deena's photo</t>
  </si>
  <si>
    <t>FtrMushroomPulpwood_Remake_2_0</t>
  </si>
  <si>
    <t>TopsTexTopOuterLArgyle0</t>
  </si>
  <si>
    <t>BromideNpcNmlDuk04_Remake_0_0</t>
  </si>
  <si>
    <t>argyle vest</t>
  </si>
  <si>
    <t>TopsTexTopYshirtsLArgyle0</t>
  </si>
  <si>
    <t>BromideNpcNmlDuk04_Remake_1_0</t>
  </si>
  <si>
    <t>TopsTexTopYshirtsLArgyle1</t>
  </si>
  <si>
    <t>BromideNpcNmlDuk04_Remake_2_0</t>
  </si>
  <si>
    <t>FtrMushroomPulpwood_Remake_3_0</t>
  </si>
  <si>
    <t>TopsTexTopYshirtsLArgyle2</t>
  </si>
  <si>
    <t>BromideNpcNmlDuk04_Remake_3_0</t>
  </si>
  <si>
    <t>TopsTexTopYshirtsLArgyle3</t>
  </si>
  <si>
    <t>BromideNpcNmlDuk04_Remake_4_0</t>
  </si>
  <si>
    <t>TopsTexTopYshirtsLArgyle4</t>
  </si>
  <si>
    <t>FtrMushroomPulpwood_Remake_4_0</t>
  </si>
  <si>
    <t>mush low stool</t>
  </si>
  <si>
    <t>BromideNpcNmlDuk04_Remake_5_0</t>
  </si>
  <si>
    <t>TopsTexTopYshirtsLArgyle5</t>
  </si>
  <si>
    <t>athletic jacket</t>
  </si>
  <si>
    <t>Active</t>
  </si>
  <si>
    <t>BromideNpcNmlDuk04_Remake_6_0</t>
  </si>
  <si>
    <t>TopsTexTopOuterLJersey1</t>
  </si>
  <si>
    <t>FtrMushroomChairS_Remake_0_0</t>
  </si>
  <si>
    <t>TopsTexTopOuterLJersey2</t>
  </si>
  <si>
    <t>BromideNpcNmlDuk04_Remake_7_0</t>
  </si>
  <si>
    <t>Deirdre's photo</t>
  </si>
  <si>
    <t>TopsTexTopOuterLJersey0</t>
  </si>
  <si>
    <t>BromideNpcNmlDer04_Remake_0_0</t>
  </si>
  <si>
    <t>TopsTexTopOuterLJersey3</t>
  </si>
  <si>
    <t>FtrMushroomChairS_Remake_1_0</t>
  </si>
  <si>
    <t>BromideNpcNmlDer04_Remake_1_0</t>
  </si>
  <si>
    <t>TopsTexTopOuterLJersey4</t>
  </si>
  <si>
    <t>BromideNpcNmlDer04_Remake_2_0</t>
  </si>
  <si>
    <t>TopsTexTopOuterLJersey5</t>
  </si>
  <si>
    <t>baggy shirt</t>
  </si>
  <si>
    <t>FtrMushroomChairS_Remake_2_0</t>
  </si>
  <si>
    <t>Recycle bin</t>
  </si>
  <si>
    <t>BromideNpcNmlDer04_Remake_3_0</t>
  </si>
  <si>
    <t>TopsTexTopTshirtsLLoose1</t>
  </si>
  <si>
    <t>TopsTexTopTshirtsLLoose2</t>
  </si>
  <si>
    <t>BromideNpcNmlDer04_Remake_4_0</t>
  </si>
  <si>
    <t>FtrMushroomChairS_Remake_3_0</t>
  </si>
  <si>
    <t>TopsTexTopTshirtsLLoose0</t>
  </si>
  <si>
    <t>baseball shirt</t>
  </si>
  <si>
    <t>BromideNpcNmlDer04_Remake_5_0</t>
  </si>
  <si>
    <t>FtrMushroomChairS_Remake_4_0</t>
  </si>
  <si>
    <t>mush parasol</t>
  </si>
  <si>
    <t>TopsTexTopTshirtsHBaseball1</t>
  </si>
  <si>
    <t>BromideNpcNmlDer04_Remake_6_0</t>
  </si>
  <si>
    <t>TopsTexTopTshirtsHBaseball2</t>
  </si>
  <si>
    <t>FtrMushroomParasol_Remake_0_0</t>
  </si>
  <si>
    <t>BromideNpcNmlDer04_Remake_7_0</t>
  </si>
  <si>
    <t>Del's photo</t>
  </si>
  <si>
    <t>TopsTexTopTshirtsHBaseball3</t>
  </si>
  <si>
    <t>BromideNpcNmlCrd04_Remake_0_0</t>
  </si>
  <si>
    <t>TopsTexTopTshirtsHBaseball4</t>
  </si>
  <si>
    <t>FtrMushroomParasol_Remake_1_0</t>
  </si>
  <si>
    <t>BromideNpcNmlCrd04_Remake_1_0</t>
  </si>
  <si>
    <t>TopsTexTopTshirtsHBaseball5</t>
  </si>
  <si>
    <t>TopsTexTopTshirtsHBaseball0</t>
  </si>
  <si>
    <t>BromideNpcNmlCrd04_Remake_2_0</t>
  </si>
  <si>
    <t>basketball tank</t>
  </si>
  <si>
    <t>FtrMushroomParasol_Remake_2_0</t>
  </si>
  <si>
    <t>TopsTexTopTshirtsNBasketballshirts0</t>
  </si>
  <si>
    <t>BromideNpcNmlCrd04_Remake_3_0</t>
  </si>
  <si>
    <t>TopsTexTopTshirtsNBasketballshirts3</t>
  </si>
  <si>
    <t>BromideNpcNmlCrd04_Remake_4_0</t>
  </si>
  <si>
    <t>FtrMushroomParasol_Remake_3_0</t>
  </si>
  <si>
    <t>TopsTexTopTshirtsNBasketballshirts4</t>
  </si>
  <si>
    <t>BromideNpcNmlCrd04_Remake_5_0</t>
  </si>
  <si>
    <t>TopsTexTopTshirtsNBasketballshirts5</t>
  </si>
  <si>
    <t>FtrMushroomParasol_Remake_4_0</t>
  </si>
  <si>
    <t>BromideNpcNmlCrd04_Remake_6_0</t>
  </si>
  <si>
    <t>mush partition</t>
  </si>
  <si>
    <t>TopsTexTopTshirtsNBasketballshirts6</t>
  </si>
  <si>
    <t>BromideNpcNmlCrd04_Remake_7_0</t>
  </si>
  <si>
    <t>TopsTexTopTshirtsNBasketballshirts7</t>
  </si>
  <si>
    <t>Deli's photo</t>
  </si>
  <si>
    <t>TopsTexTopTshirtsNBasketballshirts1</t>
  </si>
  <si>
    <t>BromideNpcNmlMnk08_Remake_0_0</t>
  </si>
  <si>
    <t>FtrMushroomScreen_Remake_0_0</t>
  </si>
  <si>
    <t>TopsTexTopTshirtsNBasketballshirts2</t>
  </si>
  <si>
    <t>bear tee</t>
  </si>
  <si>
    <t>BromideNpcNmlMnk08_Remake_1_0</t>
  </si>
  <si>
    <t>TopsTexTopTshirtsHBear0</t>
  </si>
  <si>
    <t>big-star tee</t>
  </si>
  <si>
    <t>BromideNpcNmlMnk08_Remake_2_0</t>
  </si>
  <si>
    <t>TopsTexTopTshirtsHStar0</t>
  </si>
  <si>
    <t>FtrMushroomScreen_Remake_1_0</t>
  </si>
  <si>
    <t>biker jacket</t>
  </si>
  <si>
    <t>BromideNpcNmlMnk08_Remake_3_0</t>
  </si>
  <si>
    <t>TopsTexTopYshirtsLRiders1</t>
  </si>
  <si>
    <t>TopsTexTopYshirtsLRiders2</t>
  </si>
  <si>
    <t>BromideNpcNmlMnk08_Remake_4_0</t>
  </si>
  <si>
    <t>FtrMushroomScreen_Remake_2_0</t>
  </si>
  <si>
    <t>TopsTexTopYshirtsLRiders3</t>
  </si>
  <si>
    <t>BromideNpcNmlMnk08_Remake_5_0</t>
  </si>
  <si>
    <t>TopsTexTopYshirtsLRiders4</t>
  </si>
  <si>
    <t>BromideNpcNmlMnk08_Remake_6_0</t>
  </si>
  <si>
    <t>FtrMushroomScreen_Remake_3_0</t>
  </si>
  <si>
    <t>TopsTexTopYshirtsLRiders5</t>
  </si>
  <si>
    <t>TopsTexTopYshirtsLRiders0</t>
  </si>
  <si>
    <t>blossom tee</t>
  </si>
  <si>
    <t>BromideNpcNmlMnk08_Remake_7_0</t>
  </si>
  <si>
    <t>Derwin's photo</t>
  </si>
  <si>
    <t>TopsTexTopTshirtsHFlower0</t>
  </si>
  <si>
    <t>FtrMushroomScreen_Remake_4_0</t>
  </si>
  <si>
    <t>mush table</t>
  </si>
  <si>
    <t>BromideNpcNmlDuk08_Remake_0_0</t>
  </si>
  <si>
    <t>TopsTexTopTshirtsHFlower1</t>
  </si>
  <si>
    <t>TopsTexTopTshirtsHFlower2</t>
  </si>
  <si>
    <t>BromideNpcNmlDuk08_Remake_1_0</t>
  </si>
  <si>
    <t>FtrMushroomTableL_Remake_0_0</t>
  </si>
  <si>
    <t>TopsTexTopTshirtsHFlower3</t>
  </si>
  <si>
    <t>BromideNpcNmlDuk08_Remake_2_0</t>
  </si>
  <si>
    <t>TopsTexTopTshirtsHFlower4</t>
  </si>
  <si>
    <t>boa blouson</t>
  </si>
  <si>
    <t>FtrMushroomTableL_Remake_1_0</t>
  </si>
  <si>
    <t>BromideNpcNmlDuk08_Remake_3_0</t>
  </si>
  <si>
    <t>TopsTexTopOuterLBlouson1</t>
  </si>
  <si>
    <t>TopsTexTopOuterLBlouson2</t>
  </si>
  <si>
    <t>BromideNpcNmlDuk08_Remake_4_0</t>
  </si>
  <si>
    <t>FtrMushroomTableL_Remake_2_0</t>
  </si>
  <si>
    <t>TopsTexTopOuterLBlouson3</t>
  </si>
  <si>
    <t>BromideNpcNmlDuk08_Remake_5_0</t>
  </si>
  <si>
    <t>FtrMushroomTableL_Remake_3_0</t>
  </si>
  <si>
    <t>TopsTexTopOuterLBlouson0</t>
  </si>
  <si>
    <t>boa fleece</t>
  </si>
  <si>
    <t>BromideNpcNmlDuk08_Remake_6_0</t>
  </si>
  <si>
    <t>TopsTexTopYshirtsLFleece0</t>
  </si>
  <si>
    <t>FtrMushroomTableL_Remake_4_0</t>
  </si>
  <si>
    <t>music stand</t>
  </si>
  <si>
    <t>BromideNpcNmlDuk08_Remake_7_0</t>
  </si>
  <si>
    <t>TopsTexTopYshirtsLFleece6</t>
  </si>
  <si>
    <t>Diana's photo</t>
  </si>
  <si>
    <t>TopsTexTopYshirtsLFleece7</t>
  </si>
  <si>
    <t>FtrMusicstand_Remake_0_0</t>
  </si>
  <si>
    <t>BromideNpcNmlDer08_Remake_0_0</t>
  </si>
  <si>
    <t>TopsTexTopYshirtsLFleece1</t>
  </si>
  <si>
    <t>BromideNpcNmlDer08_Remake_1_0</t>
  </si>
  <si>
    <t>FtrMusicstand_Remake_1_0</t>
  </si>
  <si>
    <t>TopsTexTopYshirtsLFleece2</t>
  </si>
  <si>
    <t>BromideNpcNmlDer08_Remake_2_0</t>
  </si>
  <si>
    <t>TopsTexTopYshirtsLFleece3</t>
  </si>
  <si>
    <t>FtrMusicstand_Remake_2_0</t>
  </si>
  <si>
    <t>TopsTexTopYshirtsLFleece4</t>
  </si>
  <si>
    <t>BromideNpcNmlDer08_Remake_3_0</t>
  </si>
  <si>
    <t>FtrMusicstand_Remake_3_0</t>
  </si>
  <si>
    <t>TopsTexTopYshirtsLFleece5</t>
  </si>
  <si>
    <t>natural garden chair</t>
  </si>
  <si>
    <t>bold aloha shirt</t>
  </si>
  <si>
    <t>BromideNpcNmlDer08_Remake_4_0</t>
  </si>
  <si>
    <t>Chair back and seat</t>
  </si>
  <si>
    <t>TopsTexTopYshirtsHPolynesia0</t>
  </si>
  <si>
    <t>natural</t>
  </si>
  <si>
    <t>FtrGardenChairNatural_Remake_0_0</t>
  </si>
  <si>
    <t>BromideNpcNmlDer08_Remake_5_0</t>
  </si>
  <si>
    <t>TopsTexTopYshirtsHPolynesia1</t>
  </si>
  <si>
    <t>bomber-style jacket</t>
  </si>
  <si>
    <t>BromideNpcNmlDer08_Remake_6_0</t>
  </si>
  <si>
    <t>FtrGardenChairNatural_Remake_1_0</t>
  </si>
  <si>
    <t>TopsTexTopOuterLMaone0</t>
  </si>
  <si>
    <t>Shabby</t>
  </si>
  <si>
    <t>BromideNpcNmlDer08_Remake_7_0</t>
  </si>
  <si>
    <t>TopsTexTopOuterLMaone1</t>
  </si>
  <si>
    <t>Diva's photo</t>
  </si>
  <si>
    <t>FtrGardenChairNatural_Remake_2_0</t>
  </si>
  <si>
    <t>TopsTexTopOuterLMaone2</t>
  </si>
  <si>
    <t>natural garden table</t>
  </si>
  <si>
    <t>BromideNpcNmlFlg18_Remake_0_0</t>
  </si>
  <si>
    <t>Tabletop</t>
  </si>
  <si>
    <t>TopsTexTopOuterLMaone3</t>
  </si>
  <si>
    <t>bone tee</t>
  </si>
  <si>
    <t>BromideNpcNmlFlg18_Remake_1_0</t>
  </si>
  <si>
    <t>FtrGardenTableNatural_Remake_0_0</t>
  </si>
  <si>
    <t>TopsTexTopTshirtsHMeat0</t>
  </si>
  <si>
    <t>bonjour tee</t>
  </si>
  <si>
    <t>BromideNpcNmlFlg18_Remake_2_0</t>
  </si>
  <si>
    <t>TopsTexTopTshirtsHHellofr0</t>
  </si>
  <si>
    <t>botanical tee</t>
  </si>
  <si>
    <t>FtrGardenTableNatural_Remake_1_0</t>
  </si>
  <si>
    <t>BromideNpcNmlFlg18_Remake_3_0</t>
  </si>
  <si>
    <t>TopsTexTopTshirtsHBotanical1</t>
  </si>
  <si>
    <t>BromideNpcNmlFlg18_Remake_4_0</t>
  </si>
  <si>
    <t>FtrGardenTableNatural_Remake_2_0</t>
  </si>
  <si>
    <t>natural square table</t>
  </si>
  <si>
    <t>BromideNpcNmlFlg18_Remake_5_0</t>
  </si>
  <si>
    <t>TopsTexTopTshirtsHBotanical0</t>
  </si>
  <si>
    <t>bowling shirt</t>
  </si>
  <si>
    <t>FtrGardenTableSNatural_Remake_0_0</t>
  </si>
  <si>
    <t>TopsTexTopYshirtsHBowling4</t>
  </si>
  <si>
    <t>BromideNpcNmlFlg18_Remake_6_0</t>
  </si>
  <si>
    <t>TopsTexTopYshirtsHBowling5</t>
  </si>
  <si>
    <t>BromideNpcNmlFlg18_Remake_7_0</t>
  </si>
  <si>
    <t>Dizzy's photo</t>
  </si>
  <si>
    <t>FtrGardenTableSNatural_Remake_1_0</t>
  </si>
  <si>
    <t>TopsTexTopYshirtsHBowling6</t>
  </si>
  <si>
    <t>BromideNpcNmlElp01_Remake_0_0</t>
  </si>
  <si>
    <t>TopsTexTopYshirtsHBowling7</t>
  </si>
  <si>
    <t>BromideNpcNmlElp01_Remake_1_0</t>
  </si>
  <si>
    <t>TopsTexTopYshirtsHBowling1</t>
  </si>
  <si>
    <t>FtrGardenTableSNatural_Remake_2_0</t>
  </si>
  <si>
    <t>neutral corner</t>
  </si>
  <si>
    <t>TopsTexTopYshirtsHBowling2</t>
  </si>
  <si>
    <t>BromideNpcNmlElp01_Remake_2_0</t>
  </si>
  <si>
    <t>FtrRingcornerNeutral_Remake_0_0</t>
  </si>
  <si>
    <t>TopsTexTopYshirtsHBowling3</t>
  </si>
  <si>
    <t>BromideNpcNmlElp01_Remake_3_0</t>
  </si>
  <si>
    <t>TopsTexTopYshirtsHBowling0</t>
  </si>
  <si>
    <t>bug aloha shirt</t>
  </si>
  <si>
    <t>FtrRingcornerNeutral_Remake_0_1</t>
  </si>
  <si>
    <t>BromideNpcNmlElp01_Remake_4_0</t>
  </si>
  <si>
    <t>TopsTexTopYshirtsHInsect0</t>
  </si>
  <si>
    <t>bulldog jacket</t>
  </si>
  <si>
    <t>BromideNpcNmlElp01_Remake_5_0</t>
  </si>
  <si>
    <t>TopsTexTopOuterLBulldog0</t>
  </si>
  <si>
    <t>FtrRingcornerNeutral_Remake_0_2</t>
  </si>
  <si>
    <t>TopsTexTopOuterLBulldog1</t>
  </si>
  <si>
    <t>BromideNpcNmlElp01_Remake_6_0</t>
  </si>
  <si>
    <t>FtrRingcornerNeutral_Remake_0_3</t>
  </si>
  <si>
    <t>TopsTexTopOuterLBulldog2</t>
  </si>
  <si>
    <t>business suitcoat</t>
  </si>
  <si>
    <t>BromideNpcNmlElp01_Remake_7_0</t>
  </si>
  <si>
    <t>Dobie's photo</t>
  </si>
  <si>
    <t>TopsTexTopYshirtsLSuits2</t>
  </si>
  <si>
    <t>FtrRingcornerNeutral_Remake_0_4</t>
  </si>
  <si>
    <t>office desk</t>
  </si>
  <si>
    <t>BromideNpcNmlWol04_Remake_0_0</t>
  </si>
  <si>
    <t>BromideNpcNmlWol04_Remake_1_0</t>
  </si>
  <si>
    <t>FtrOfficeTable_Remake_0_0</t>
  </si>
  <si>
    <t>TopsTexTopYshirtsLSuits3</t>
  </si>
  <si>
    <t>Beige &amp; white</t>
  </si>
  <si>
    <t>BromideNpcNmlWol04_Remake_2_0</t>
  </si>
  <si>
    <t>TopsTexTopYshirtsLSuits4</t>
  </si>
  <si>
    <t>FtrOfficeTable_Remake_1_0</t>
  </si>
  <si>
    <t>Brown &amp; black</t>
  </si>
  <si>
    <t>BromideNpcNmlWol04_Remake_3_0</t>
  </si>
  <si>
    <t>TopsTexTopYshirtsLSuits1</t>
  </si>
  <si>
    <t>FtrOfficeTable_Remake_2_0</t>
  </si>
  <si>
    <t>BromideNpcNmlWol04_Remake_4_0</t>
  </si>
  <si>
    <t>TopsTexTopYshirtsLSuits0</t>
  </si>
  <si>
    <t>café uniform</t>
  </si>
  <si>
    <t>BromideNpcNmlWol04_Remake_5_0</t>
  </si>
  <si>
    <t>FtrOfficeTable_Remake_3_0</t>
  </si>
  <si>
    <t>oil barrel</t>
  </si>
  <si>
    <t>TopsTexTopCoatLCafe1</t>
  </si>
  <si>
    <t>BromideNpcNmlWol04_Remake_6_0</t>
  </si>
  <si>
    <t>TopsTexTopCoatLCafe2</t>
  </si>
  <si>
    <t>BromideNpcNmlWol04_Remake_7_0</t>
  </si>
  <si>
    <t>Doc's photo</t>
  </si>
  <si>
    <t>FtrDrumcan_Remake_0_0</t>
  </si>
  <si>
    <t>BromideNpcNmlRbt10_Remake_0_0</t>
  </si>
  <si>
    <t>TopsTexTopCoatLCafe3</t>
  </si>
  <si>
    <t>BromideNpcNmlRbt10_Remake_1_0</t>
  </si>
  <si>
    <t>FtrDrumcan_Remake_1_0</t>
  </si>
  <si>
    <t>TopsTexTopCoatLCafe0</t>
  </si>
  <si>
    <t>camo bomber-style jacket</t>
  </si>
  <si>
    <t>BromideNpcNmlRbt10_Remake_2_0</t>
  </si>
  <si>
    <t>TopsTexTopOuterLCamo0</t>
  </si>
  <si>
    <t>BromideNpcNmlRbt10_Remake_3_0</t>
  </si>
  <si>
    <t>TopsTexTopOuterLCamo1</t>
  </si>
  <si>
    <t>FtrDrumcan_Remake_2_0</t>
  </si>
  <si>
    <t>TopsTexTopOuterLCamo2</t>
  </si>
  <si>
    <t>BromideNpcNmlRbt10_Remake_4_0</t>
  </si>
  <si>
    <t>camo tee</t>
  </si>
  <si>
    <t>TopsTexTopTshirtsHCamouflage0</t>
  </si>
  <si>
    <t>BromideNpcNmlRbt10_Remake_5_0</t>
  </si>
  <si>
    <t>FtrDrumcan_Remake_3_0</t>
  </si>
  <si>
    <t>TopsTexTopTshirtsHCamouflage1</t>
  </si>
  <si>
    <t>Caution</t>
  </si>
  <si>
    <t>BromideNpcNmlRbt10_Remake_6_0</t>
  </si>
  <si>
    <t>TopsTexTopTshirtsHCamouflage2</t>
  </si>
  <si>
    <t>FtrDrumcan_Remake_4_0</t>
  </si>
  <si>
    <t>BromideNpcNmlRbt10_Remake_7_0</t>
  </si>
  <si>
    <t>TopsTexTopTshirtsHCamouflage3</t>
  </si>
  <si>
    <t>Dom's photo</t>
  </si>
  <si>
    <t>TopsTexTopTshirtsHCamouflage4</t>
  </si>
  <si>
    <t>BromideNpcNmlShp15_Remake_0_0</t>
  </si>
  <si>
    <t>FtrDrumcan_Remake_5_0</t>
  </si>
  <si>
    <t>TopsTexTopTshirtsHCamouflage5</t>
  </si>
  <si>
    <t>BromideNpcNmlShp15_Remake_1_0</t>
  </si>
  <si>
    <t>TopsTexTopTshirtsHCamouflage6</t>
  </si>
  <si>
    <t>camper tee</t>
  </si>
  <si>
    <t>FtrDrumcan_Remake_6_0</t>
  </si>
  <si>
    <t>Damaged</t>
  </si>
  <si>
    <t>BromideNpcNmlShp15_Remake_2_0</t>
  </si>
  <si>
    <t>TopsTexTopTshirtsHOkmotors0</t>
  </si>
  <si>
    <t>cardigan-shirt combo</t>
  </si>
  <si>
    <t>BromideNpcNmlShp15_Remake_3_0</t>
  </si>
  <si>
    <t>FtrDrumcan_Remake_7_0</t>
  </si>
  <si>
    <t>oil-barrel bathtub</t>
  </si>
  <si>
    <t>TopsTexTopYshirtsLCardiganyshirt0</t>
  </si>
  <si>
    <t>No coating</t>
  </si>
  <si>
    <t>Barrel color</t>
  </si>
  <si>
    <t>Mint</t>
  </si>
  <si>
    <t>BromideNpcNmlShp15_Remake_4_0</t>
  </si>
  <si>
    <t>TopsTexTopYshirtsLCardiganyshirt1</t>
  </si>
  <si>
    <t>FtrDrumcanbath_Remake_0_0</t>
  </si>
  <si>
    <t>TopsTexTopYshirtsLCardiganyshirt2</t>
  </si>
  <si>
    <t>BromideNpcNmlShp15_Remake_5_0</t>
  </si>
  <si>
    <t>FtrDrumcanbath_Remake_1_0</t>
  </si>
  <si>
    <t>TopsTexTopYshirtsLCardiganyshirt3</t>
  </si>
  <si>
    <t>BromideNpcNmlShp15_Remake_6_0</t>
  </si>
  <si>
    <t>BromideNpcNmlShp15_Remake_7_0</t>
  </si>
  <si>
    <t>FtrDrumcanbath_Remake_2_0</t>
  </si>
  <si>
    <t>Dora's photo</t>
  </si>
  <si>
    <t>TopsTexTopYshirtsLCardiganyshirt4</t>
  </si>
  <si>
    <t>BromideNpcNmlMus00_Remake_0_0</t>
  </si>
  <si>
    <t>TopsTexTopYshirtsLCardiganyshirt5</t>
  </si>
  <si>
    <t>career jacket</t>
  </si>
  <si>
    <t>FtrDrumcanbath_Remake_3_0</t>
  </si>
  <si>
    <t>BromideNpcNmlMus00_Remake_1_0</t>
  </si>
  <si>
    <t>TopsTexTopYshirtsLCareer0</t>
  </si>
  <si>
    <t>FtrDrumcanbath_Remake_4_0</t>
  </si>
  <si>
    <t>TopsTexTopYshirtsLCareer1</t>
  </si>
  <si>
    <t>BromideNpcNmlMus00_Remake_2_0</t>
  </si>
  <si>
    <t>TopsTexTopYshirtsLCareer2</t>
  </si>
  <si>
    <t>BromideNpcNmlMus00_Remake_3_0</t>
  </si>
  <si>
    <t>FtrDrumcanbath_Remake_5_0</t>
  </si>
  <si>
    <t>OK Motors sign</t>
  </si>
  <si>
    <t>TopsTexTopYshirtsLCareer3</t>
  </si>
  <si>
    <t>BromideNpcNmlMus00_Remake_4_0</t>
  </si>
  <si>
    <t>TopsTexTopYshirtsLCareer4</t>
  </si>
  <si>
    <t>FtrCompassSignOK</t>
  </si>
  <si>
    <t>old sewing machine</t>
  </si>
  <si>
    <t>BromideNpcNmlMus00_Remake_5_0</t>
  </si>
  <si>
    <t>TopsTexTopYshirtsLCareer5</t>
  </si>
  <si>
    <t>TopsTexTopYshirtsLCareer6</t>
  </si>
  <si>
    <t>BromideNpcNmlMus00_Remake_6_0</t>
  </si>
  <si>
    <t>FtrSewingmachineRetro_Remake_0_0</t>
  </si>
  <si>
    <t>TopsTexTopYshirtsLCareer7</t>
  </si>
  <si>
    <t>cavalier shirt</t>
  </si>
  <si>
    <t>BromideNpcNmlMus00_Remake_7_0</t>
  </si>
  <si>
    <t>Dotty's photo</t>
  </si>
  <si>
    <t>TopsTexTopCoatLGunknight2</t>
  </si>
  <si>
    <t>FtrSewingmachineRetro_Remake_1_0</t>
  </si>
  <si>
    <t>BromideNpcNmlRbt01_Remake_0_0</t>
  </si>
  <si>
    <t>TopsTexTopCoatLGunknight0</t>
  </si>
  <si>
    <t>BromideNpcNmlRbt01_Remake_1_0</t>
  </si>
  <si>
    <t>TopsTexTopCoatLGunknight1</t>
  </si>
  <si>
    <t>checkered chesterfield coat</t>
  </si>
  <si>
    <t>FtrSewingmachineRetro_Remake_2_0</t>
  </si>
  <si>
    <t>open-frame kitchen</t>
  </si>
  <si>
    <t>TopsTexTopCoatLChestercheck0</t>
  </si>
  <si>
    <t>BromideNpcNmlRbt01_Remake_2_0</t>
  </si>
  <si>
    <t>TopsTexTopCoatLChestercheck1</t>
  </si>
  <si>
    <t>FtrKitchenFlame</t>
  </si>
  <si>
    <t>orange end table</t>
  </si>
  <si>
    <t>BromideNpcNmlRbt01_Remake_3_0</t>
  </si>
  <si>
    <t>TopsTexTopCoatLChestercheck2</t>
  </si>
  <si>
    <t>FtrFruitsTableS_Remake_0_0</t>
  </si>
  <si>
    <t>BromideNpcNmlRbt01_Remake_4_0</t>
  </si>
  <si>
    <t>TopsTexTopCoatLChestercheck3</t>
  </si>
  <si>
    <t>checkered muffler</t>
  </si>
  <si>
    <t>TopsTexTopOuterLMuffler0</t>
  </si>
  <si>
    <t>FtrFruitsTableS_Remake_1_0</t>
  </si>
  <si>
    <t>outdoor air conditioner</t>
  </si>
  <si>
    <t>BromideNpcNmlRbt01_Remake_5_0</t>
  </si>
  <si>
    <t>TopsTexTopOuterLMuffler1</t>
  </si>
  <si>
    <t>FtrOutdoorunit</t>
  </si>
  <si>
    <t>outdoor bath</t>
  </si>
  <si>
    <t>BromideNpcNmlRbt01_Remake_6_0</t>
  </si>
  <si>
    <t>TopsTexTopOuterLMuffler2</t>
  </si>
  <si>
    <t>FtrOpenairbath_Remake_0_0</t>
  </si>
  <si>
    <t>TopsTexTopOuterLMuffler3</t>
  </si>
  <si>
    <t>chef's outfit</t>
  </si>
  <si>
    <t>BromideNpcNmlRbt01_Remake_7_0</t>
  </si>
  <si>
    <t>Drago's photo</t>
  </si>
  <si>
    <t>TopsTexTopCoatHCook0</t>
  </si>
  <si>
    <t>FtrOpenairbath_Remake_1_0</t>
  </si>
  <si>
    <t>BromideNpcNmlCrd08_Remake_0_0</t>
  </si>
  <si>
    <t>TopsTexTopCoatHCook3</t>
  </si>
  <si>
    <t>BromideNpcNmlCrd08_Remake_1_0</t>
  </si>
  <si>
    <t>FtrOpenairbath_Remake_2_0</t>
  </si>
  <si>
    <t>TopsTexTopCoatHCook4</t>
  </si>
  <si>
    <t>TopsTexTopCoatHCook5</t>
  </si>
  <si>
    <t>BromideNpcNmlCrd08_Remake_2_0</t>
  </si>
  <si>
    <t>FtrOpenairbath_Remake_3_0</t>
  </si>
  <si>
    <t>TopsTexTopCoatHCook6</t>
  </si>
  <si>
    <t>outdoor bench</t>
  </si>
  <si>
    <t>Seat</t>
  </si>
  <si>
    <t>TopsTexTopCoatHCook1</t>
  </si>
  <si>
    <t>BromideNpcNmlCrd08_Remake_3_0</t>
  </si>
  <si>
    <t>TopsTexTopCoatHCook2</t>
  </si>
  <si>
    <t>chesterfield coat</t>
  </si>
  <si>
    <t>BromideNpcNmlCrd08_Remake_4_0</t>
  </si>
  <si>
    <t>FtrOutdoorchairM_Remake_0_0</t>
  </si>
  <si>
    <t>TopsTexTopCoatLChester0</t>
  </si>
  <si>
    <t>BromideNpcNmlCrd08_Remake_5_0</t>
  </si>
  <si>
    <t>FtrOutdoorchairM_Remake_0_1</t>
  </si>
  <si>
    <t>TopsTexTopCoatLChester1</t>
  </si>
  <si>
    <t>BromideNpcNmlCrd08_Remake_6_0</t>
  </si>
  <si>
    <t>FtrOutdoorchairM_Remake_0_2</t>
  </si>
  <si>
    <t>TopsTexTopCoatLChester2</t>
  </si>
  <si>
    <t>BromideNpcNmlCrd08_Remake_7_0</t>
  </si>
  <si>
    <t>Drake's photo</t>
  </si>
  <si>
    <t>TopsTexTopCoatLChester3</t>
  </si>
  <si>
    <t>FtrOutdoorchairM_Remake_0_3</t>
  </si>
  <si>
    <t>chick tee</t>
  </si>
  <si>
    <t>BromideNpcNmlDuk09_Remake_0_0</t>
  </si>
  <si>
    <t>TopsTexTopTshirtsHChickBlue</t>
  </si>
  <si>
    <t>Chimayo vest</t>
  </si>
  <si>
    <t>BromideNpcNmlDuk09_Remake_1_0</t>
  </si>
  <si>
    <t>FtrOutdoorchairM_Remake_0_4</t>
  </si>
  <si>
    <t>TopsTexTopYshirtsLChimayo1</t>
  </si>
  <si>
    <t>BromideNpcNmlDuk09_Remake_2_0</t>
  </si>
  <si>
    <t>TopsTexTopYshirtsLChimayo2</t>
  </si>
  <si>
    <t>FtrOutdoorchairM_Remake_0_5</t>
  </si>
  <si>
    <t>BromideNpcNmlDuk09_Remake_3_0</t>
  </si>
  <si>
    <t>TopsTexTopYshirtsLChimayo0</t>
  </si>
  <si>
    <t>FtrOutdoorchairM_Remake_0_6</t>
  </si>
  <si>
    <t>BromideNpcNmlDuk09_Remake_4_0</t>
  </si>
  <si>
    <t>TopsTexTopYshirtsLChimayo3</t>
  </si>
  <si>
    <t>ciao tee</t>
  </si>
  <si>
    <t>FtrOutdoorchairM_Remake_1_0</t>
  </si>
  <si>
    <t>TopsTexTopTshirtsHHelloit0</t>
  </si>
  <si>
    <t>coatigan</t>
  </si>
  <si>
    <t>BromideNpcNmlDuk09_Remake_5_0</t>
  </si>
  <si>
    <t>FtrOutdoorchairM_Remake_1_1</t>
  </si>
  <si>
    <t>TopsTexTopCoatLCoadigan0</t>
  </si>
  <si>
    <t>BromideNpcNmlDuk09_Remake_6_0</t>
  </si>
  <si>
    <t>FtrOutdoorchairM_Remake_1_2</t>
  </si>
  <si>
    <t>TopsTexTopCoatLCoadigan1</t>
  </si>
  <si>
    <t>TopsTexTopCoatLCoadigan2</t>
  </si>
  <si>
    <t>FtrOutdoorchairM_Remake_1_3</t>
  </si>
  <si>
    <t>BromideNpcNmlDuk09_Remake_7_0</t>
  </si>
  <si>
    <t>TopsTexTopCoatLCoadigan3</t>
  </si>
  <si>
    <t>Drift's photo</t>
  </si>
  <si>
    <t>TopsTexTopCoatLCoadigan4</t>
  </si>
  <si>
    <t>collarless coat</t>
  </si>
  <si>
    <t>BromideNpcNmlFlg04_Remake_0_0</t>
  </si>
  <si>
    <t>FtrOutdoorchairM_Remake_1_4</t>
  </si>
  <si>
    <t>TopsTexTopCoatLNocollar1</t>
  </si>
  <si>
    <t>TopsTexTopCoatLNocollar2</t>
  </si>
  <si>
    <t>FtrOutdoorchairM_Remake_1_5</t>
  </si>
  <si>
    <t>BromideNpcNmlFlg04_Remake_1_0</t>
  </si>
  <si>
    <t>TopsTexTopCoatLNocollar0</t>
  </si>
  <si>
    <t>collarless shirt</t>
  </si>
  <si>
    <t>TopsTexTopYshirtsLNocollar1</t>
  </si>
  <si>
    <t>BromideNpcNmlFlg04_Remake_2_0</t>
  </si>
  <si>
    <t>FtrOutdoorchairM_Remake_1_6</t>
  </si>
  <si>
    <t>TopsTexTopYshirtsLNocollar0</t>
  </si>
  <si>
    <t>college cardigan</t>
  </si>
  <si>
    <t>TopsTexTopOuterLCollegecardigan0</t>
  </si>
  <si>
    <t>BromideNpcNmlFlg04_Remake_3_0</t>
  </si>
  <si>
    <t>FtrOutdoorchairM_Remake_2_0</t>
  </si>
  <si>
    <t>TopsTexTopOuterLCollegecardigan1</t>
  </si>
  <si>
    <t>TopsTexTopOuterLCollegecardigan2</t>
  </si>
  <si>
    <t>FtrOutdoorchairM_Remake_2_1</t>
  </si>
  <si>
    <t>BromideNpcNmlFlg04_Remake_4_0</t>
  </si>
  <si>
    <t>TopsTexTopOuterLCollegecardigan3</t>
  </si>
  <si>
    <t>TopsTexTopOuterLCollegecardigan4</t>
  </si>
  <si>
    <t>color-block dress shirt</t>
  </si>
  <si>
    <t>FtrOutdoorchairM_Remake_2_2</t>
  </si>
  <si>
    <t>BromideNpcNmlFlg04_Remake_5_0</t>
  </si>
  <si>
    <t>TopsTexTopYshirtsLTwotone0</t>
  </si>
  <si>
    <t>FtrOutdoorchairM_Remake_2_3</t>
  </si>
  <si>
    <t>TopsTexTopYshirtsLTwotone2</t>
  </si>
  <si>
    <t>BromideNpcNmlFlg04_Remake_6_0</t>
  </si>
  <si>
    <t>TopsTexTopYshirtsLTwotone3</t>
  </si>
  <si>
    <t>FtrOutdoorchairM_Remake_2_4</t>
  </si>
  <si>
    <t>TopsTexTopYshirtsLTwotone4</t>
  </si>
  <si>
    <t>BromideNpcNmlFlg04_Remake_7_0</t>
  </si>
  <si>
    <t>Ed's photo</t>
  </si>
  <si>
    <t>TopsTexTopYshirtsLTwotone5</t>
  </si>
  <si>
    <t>FtrOutdoorchairM_Remake_2_5</t>
  </si>
  <si>
    <t>BromideNpcNmlHrs06_Remake_0_0</t>
  </si>
  <si>
    <t>TopsTexTopYshirtsLTwotone1</t>
  </si>
  <si>
    <t>colorful striped sweater</t>
  </si>
  <si>
    <t>White, yellow &amp; red</t>
  </si>
  <si>
    <t>FtrOutdoorchairM_Remake_2_6</t>
  </si>
  <si>
    <t>TopsTexTopTshirtsLMulti2</t>
  </si>
  <si>
    <t>Black, coral &amp; pink</t>
  </si>
  <si>
    <t>BromideNpcNmlHrs06_Remake_1_0</t>
  </si>
  <si>
    <t>TopsTexTopTshirtsLMulti3</t>
  </si>
  <si>
    <t>FtrOutdoorchairM_Remake_3_0</t>
  </si>
  <si>
    <t>Orange, yellow &amp; black</t>
  </si>
  <si>
    <t>BromideNpcNmlHrs06_Remake_2_0</t>
  </si>
  <si>
    <t>TopsTexTopTshirtsLMulti4</t>
  </si>
  <si>
    <t>FtrOutdoorchairM_Remake_3_1</t>
  </si>
  <si>
    <t>Gray, white &amp; light blue</t>
  </si>
  <si>
    <t>BromideNpcNmlHrs06_Remake_3_0</t>
  </si>
  <si>
    <t>TopsTexTopTshirtsLMulti5</t>
  </si>
  <si>
    <t>FtrOutdoorchairM_Remake_3_2</t>
  </si>
  <si>
    <t>White, blue &amp; green</t>
  </si>
  <si>
    <t>TopsTexTopTshirtsLMulti1</t>
  </si>
  <si>
    <t>BromideNpcNmlHrs06_Remake_4_0</t>
  </si>
  <si>
    <t>Navy, light blue &amp; pink</t>
  </si>
  <si>
    <t>FtrOutdoorchairM_Remake_3_3</t>
  </si>
  <si>
    <t>TopsTexTopTshirtsLMulti0</t>
  </si>
  <si>
    <t>comedian's outfit</t>
  </si>
  <si>
    <t>BromideNpcNmlHrs06_Remake_5_0</t>
  </si>
  <si>
    <t>TopsTexTopYshirtsLComedian0</t>
  </si>
  <si>
    <t>FtrOutdoorchairM_Remake_3_4</t>
  </si>
  <si>
    <t>BromideNpcNmlHrs06_Remake_6_0</t>
  </si>
  <si>
    <t>TopsTexTopYshirtsLComedian1</t>
  </si>
  <si>
    <t>BromideNpcNmlHrs06_Remake_7_0</t>
  </si>
  <si>
    <t>TopsTexTopYshirtsLComedian2</t>
  </si>
  <si>
    <t>Egbert's photo</t>
  </si>
  <si>
    <t>FtrOutdoorchairM_Remake_3_5</t>
  </si>
  <si>
    <t>TopsTexTopYshirtsLComedian3</t>
  </si>
  <si>
    <t>BromideNpcNmlChn02_Remake_0_0</t>
  </si>
  <si>
    <t>FtrOutdoorchairM_Remake_3_6</t>
  </si>
  <si>
    <t>TopsTexTopYshirtsLComedian4</t>
  </si>
  <si>
    <t>BromideNpcNmlChn02_Remake_1_0</t>
  </si>
  <si>
    <t>TopsTexTopYshirtsLComedian5</t>
  </si>
  <si>
    <t>BromideNpcNmlChn02_Remake_2_0</t>
  </si>
  <si>
    <t>TopsTexTopYshirtsLComedian6</t>
  </si>
  <si>
    <t>FtrOutdoorchairM_Remake_4_0</t>
  </si>
  <si>
    <t>TopsTexTopYshirtsLComedian7</t>
  </si>
  <si>
    <t>coverall coat</t>
  </si>
  <si>
    <t>BromideNpcNmlChn02_Remake_3_0</t>
  </si>
  <si>
    <t>TopsTexTopCoatLCoverall0</t>
  </si>
  <si>
    <t>BromideNpcNmlChn02_Remake_4_0</t>
  </si>
  <si>
    <t>TopsTexTopCoatLCoverall3</t>
  </si>
  <si>
    <t>FtrOutdoorchairM_Remake_4_1</t>
  </si>
  <si>
    <t>BromideNpcNmlChn02_Remake_5_0</t>
  </si>
  <si>
    <t>TopsTexTopCoatLCoverall1</t>
  </si>
  <si>
    <t>BromideNpcNmlChn02_Remake_6_0</t>
  </si>
  <si>
    <t>TopsTexTopCoatLCoverall2</t>
  </si>
  <si>
    <t>cowboy shirt</t>
  </si>
  <si>
    <t>FtrOutdoorchairM_Remake_4_2</t>
  </si>
  <si>
    <t>TopsTexTopYshirtsLCowboy0</t>
  </si>
  <si>
    <t>BromideNpcNmlChn02_Remake_7_0</t>
  </si>
  <si>
    <t>TopsTexTopYshirtsLCowboy1</t>
  </si>
  <si>
    <t>Elise's photo</t>
  </si>
  <si>
    <t>TopsTexTopYshirtsLCowboy2</t>
  </si>
  <si>
    <t>BromideNpcNmlMnk05_Remake_0_0</t>
  </si>
  <si>
    <t>FtrOutdoorchairM_Remake_4_3</t>
  </si>
  <si>
    <t>TopsTexTopYshirtsLCowboy3</t>
  </si>
  <si>
    <t>BromideNpcNmlMnk05_Remake_1_0</t>
  </si>
  <si>
    <t>TopsTexTopYshirtsLCowboy4</t>
  </si>
  <si>
    <t>cycling shirt</t>
  </si>
  <si>
    <t>Black &amp; blue</t>
  </si>
  <si>
    <t>BromideNpcNmlMnk05_Remake_2_0</t>
  </si>
  <si>
    <t>TopsTexTopTshirtsHCycle1</t>
  </si>
  <si>
    <t>FtrOutdoorchairM_Remake_4_4</t>
  </si>
  <si>
    <t>TopsTexTopTshirtsHCycle2</t>
  </si>
  <si>
    <t>Yellow &amp; black</t>
  </si>
  <si>
    <t>BromideNpcNmlMnk05_Remake_3_0</t>
  </si>
  <si>
    <t>TopsTexTopTshirtsHCycle3</t>
  </si>
  <si>
    <t>Red &amp; green</t>
  </si>
  <si>
    <t>FtrOutdoorchairM_Remake_4_5</t>
  </si>
  <si>
    <t>TopsTexTopTshirtsHCycle4</t>
  </si>
  <si>
    <t>BromideNpcNmlMnk05_Remake_4_0</t>
  </si>
  <si>
    <t>Blue &amp; white</t>
  </si>
  <si>
    <t>TopsTexTopTshirtsHCycle0</t>
  </si>
  <si>
    <t>Red &amp; orange</t>
  </si>
  <si>
    <t>TopsTexTopTshirtsHCycle5</t>
  </si>
  <si>
    <t>BromideNpcNmlMnk05_Remake_5_0</t>
  </si>
  <si>
    <t>Lime &amp; light blue</t>
  </si>
  <si>
    <t>FtrOutdoorchairM_Remake_4_6</t>
  </si>
  <si>
    <t>TopsTexTopTshirtsHCycle6</t>
  </si>
  <si>
    <t>outdoor generator</t>
  </si>
  <si>
    <t>BromideNpcNmlMnk05_Remake_6_0</t>
  </si>
  <si>
    <t>TopsTexTopTshirtsHCycle7</t>
  </si>
  <si>
    <t>DAL apron</t>
  </si>
  <si>
    <t>BromideNpcNmlMnk05_Remake_7_0</t>
  </si>
  <si>
    <t>Ellie's photo</t>
  </si>
  <si>
    <t>TopsTexTopCoatHDal0</t>
  </si>
  <si>
    <t>DAL pilot jacket</t>
  </si>
  <si>
    <t>FtrOutdoorgenerator_Remake_0_0</t>
  </si>
  <si>
    <t>BromideNpcNmlElp07_Remake_0_0</t>
  </si>
  <si>
    <t>TopsTexTopOuterLDal0</t>
  </si>
  <si>
    <t>DAL tee</t>
  </si>
  <si>
    <t>BromideNpcNmlElp07_Remake_1_0</t>
  </si>
  <si>
    <t>TopsTexTopTshirtsHDal0</t>
  </si>
  <si>
    <t>dance-team jacket</t>
  </si>
  <si>
    <t>TopsTexTopYshirtsLCool1</t>
  </si>
  <si>
    <t>BromideNpcNmlElp07_Remake_2_0</t>
  </si>
  <si>
    <t>FtrOutdoorgenerator_Remake_1_0</t>
  </si>
  <si>
    <t>TopsTexTopYshirtsLCool2</t>
  </si>
  <si>
    <t>BromideNpcNmlElp07_Remake_3_0</t>
  </si>
  <si>
    <t>TopsTexTopYshirtsLCool3</t>
  </si>
  <si>
    <t>TopsTexTopYshirtsLCool0</t>
  </si>
  <si>
    <t>danger tank</t>
  </si>
  <si>
    <t>FtrOutdoorgenerator_Remake_2_0</t>
  </si>
  <si>
    <t>BromideNpcNmlElp07_Remake_4_0</t>
  </si>
  <si>
    <t>TopsTexTopTshirtsNDanger0</t>
  </si>
  <si>
    <t>denim jacket</t>
  </si>
  <si>
    <t>BromideNpcNmlElp07_Remake_5_0</t>
  </si>
  <si>
    <t>TopsTexTopYshirtsLDenim2</t>
  </si>
  <si>
    <t>TopsTexTopYshirtsLDenim3</t>
  </si>
  <si>
    <t>BromideNpcNmlElp07_Remake_6_0</t>
  </si>
  <si>
    <t>FtrOutdoorgenerator_Remake_3_0</t>
  </si>
  <si>
    <t>TopsTexTopYshirtsLDenim4</t>
  </si>
  <si>
    <t>BromideNpcNmlElp07_Remake_7_0</t>
  </si>
  <si>
    <t>Elmer's photo</t>
  </si>
  <si>
    <t>TopsTexTopYshirtsLDenim1</t>
  </si>
  <si>
    <t>BromideNpcNmlHrs03_Remake_0_0</t>
  </si>
  <si>
    <t>FtrOutdoorgenerator_Remake_4_0</t>
  </si>
  <si>
    <t>TopsTexTopYshirtsLDenim0</t>
  </si>
  <si>
    <t>denim vest</t>
  </si>
  <si>
    <t>BromideNpcNmlHrs03_Remake_1_0</t>
  </si>
  <si>
    <t>TopsTexTopYshirtsNDenim1</t>
  </si>
  <si>
    <t>FtrOutdoorgenerator_Remake_5_0</t>
  </si>
  <si>
    <t>TopsTexTopYshirtsNDenim2</t>
  </si>
  <si>
    <t>BromideNpcNmlHrs03_Remake_2_0</t>
  </si>
  <si>
    <t>outdoor picnic set</t>
  </si>
  <si>
    <t>Washed out</t>
  </si>
  <si>
    <t>BromideNpcNmlHrs03_Remake_3_0</t>
  </si>
  <si>
    <t>TopsTexTopYshirtsNDenim0</t>
  </si>
  <si>
    <t>FtrSakuraPicnicset</t>
  </si>
  <si>
    <t>outdoor table</t>
  </si>
  <si>
    <t>BromideNpcNmlHrs03_Remake_4_0</t>
  </si>
  <si>
    <t>TopsTexTopYshirtsNDenim3</t>
  </si>
  <si>
    <t>FtrOutdoortableM_Remake_0_0</t>
  </si>
  <si>
    <t>TopsTexTopYshirtsNDenim4</t>
  </si>
  <si>
    <t>detective's coat</t>
  </si>
  <si>
    <t>BromideNpcNmlHrs03_Remake_5_0</t>
  </si>
  <si>
    <t>FtrOutdoortableM_Remake_0_1</t>
  </si>
  <si>
    <t>TopsTexTopCoatLDetective0</t>
  </si>
  <si>
    <t>TopsTexTopCoatLDetective1</t>
  </si>
  <si>
    <t>BromideNpcNmlHrs03_Remake_6_0</t>
  </si>
  <si>
    <t>FtrOutdoortableM_Remake_0_2</t>
  </si>
  <si>
    <t>TopsTexTopCoatLDetective2</t>
  </si>
  <si>
    <t>diner apron</t>
  </si>
  <si>
    <t>TopsTexTopCoatLDiner1</t>
  </si>
  <si>
    <t>BromideNpcNmlHrs03_Remake_7_0</t>
  </si>
  <si>
    <t>FtrOutdoortableM_Remake_0_3</t>
  </si>
  <si>
    <t>Eloise's photo</t>
  </si>
  <si>
    <t>TopsTexTopCoatLDiner2</t>
  </si>
  <si>
    <t>BromideNpcNmlElp03_Remake_0_0</t>
  </si>
  <si>
    <t>FtrOutdoortableM_Remake_0_4</t>
  </si>
  <si>
    <t>TopsTexTopCoatLDiner3</t>
  </si>
  <si>
    <t>TopsTexTopCoatLDiner4</t>
  </si>
  <si>
    <t>BromideNpcNmlElp03_Remake_1_0</t>
  </si>
  <si>
    <t>FtrOutdoortableM_Remake_0_5</t>
  </si>
  <si>
    <t>TopsTexTopCoatLDiner0</t>
  </si>
  <si>
    <t>TopsTexTopCoatLDiner5</t>
  </si>
  <si>
    <t>BromideNpcNmlElp03_Remake_2_0</t>
  </si>
  <si>
    <t>FtrOutdoortableM_Remake_0_6</t>
  </si>
  <si>
    <t>TopsTexTopCoatLDiner6</t>
  </si>
  <si>
    <t>doctor's coat</t>
  </si>
  <si>
    <t>Red necktie</t>
  </si>
  <si>
    <t>TopsTexTopCoatLWhitecoat0</t>
  </si>
  <si>
    <t>BromideNpcNmlElp03_Remake_3_0</t>
  </si>
  <si>
    <t>FtrOutdoortableM_Remake_1_0</t>
  </si>
  <si>
    <t>Black necktie</t>
  </si>
  <si>
    <t>TopsTexTopCoatLWhitecoat1</t>
  </si>
  <si>
    <t>dolly shirt</t>
  </si>
  <si>
    <t>TopsTexTopPuffHDolly0</t>
  </si>
  <si>
    <t>FtrOutdoortableM_Remake_1_1</t>
  </si>
  <si>
    <t>BromideNpcNmlElp03_Remake_4_0</t>
  </si>
  <si>
    <t>TopsTexTopPuffHDolly1</t>
  </si>
  <si>
    <t>FtrOutdoortableM_Remake_1_2</t>
  </si>
  <si>
    <t>TopsTexTopPuffHDolly2</t>
  </si>
  <si>
    <t>BromideNpcNmlElp03_Remake_5_0</t>
  </si>
  <si>
    <t>TopsTexTopPuffHDolly3</t>
  </si>
  <si>
    <t>dotted raincoat</t>
  </si>
  <si>
    <t>FtrOutdoortableM_Remake_1_3</t>
  </si>
  <si>
    <t>TopsTexTopCoatLRaindot1</t>
  </si>
  <si>
    <t>BromideNpcNmlElp03_Remake_6_0</t>
  </si>
  <si>
    <t>TopsTexTopCoatLRaindot2</t>
  </si>
  <si>
    <t>FtrOutdoortableM_Remake_1_4</t>
  </si>
  <si>
    <t>TopsTexTopCoatLRaindot3</t>
  </si>
  <si>
    <t>BromideNpcNmlElp03_Remake_7_0</t>
  </si>
  <si>
    <t>Elvis's photo</t>
  </si>
  <si>
    <t>TopsTexTopCoatLRaindot4</t>
  </si>
  <si>
    <t>FtrOutdoortableM_Remake_1_5</t>
  </si>
  <si>
    <t>TopsTexTopCoatLRaindot5</t>
  </si>
  <si>
    <t>BromideNpcNmlLon01_Remake_0_0</t>
  </si>
  <si>
    <t>FtrOutdoortableM_Remake_1_6</t>
  </si>
  <si>
    <t>TopsTexTopCoatLRaindot0</t>
  </si>
  <si>
    <t>doublet</t>
  </si>
  <si>
    <t>TopsTexTopYshirtsLDoublet1</t>
  </si>
  <si>
    <t>BromideNpcNmlLon01_Remake_1_0</t>
  </si>
  <si>
    <t>TopsTexTopYshirtsLDoublet2</t>
  </si>
  <si>
    <t>FtrOutdoortableM_Remake_2_0</t>
  </si>
  <si>
    <t>TopsTexTopYshirtsLDoublet3</t>
  </si>
  <si>
    <t>BromideNpcNmlLon01_Remake_2_0</t>
  </si>
  <si>
    <t>TopsTexTopYshirtsLDoublet0</t>
  </si>
  <si>
    <t>FtrOutdoortableM_Remake_2_1</t>
  </si>
  <si>
    <t>down jacket</t>
  </si>
  <si>
    <t>TopsTexTopOuterLDownjacket0</t>
  </si>
  <si>
    <t>BromideNpcNmlLon01_Remake_3_0</t>
  </si>
  <si>
    <t>FtrOutdoortableM_Remake_2_2</t>
  </si>
  <si>
    <t>TopsTexTopOuterLDownjacket3</t>
  </si>
  <si>
    <t>TopsTexTopOuterLDownjacket4</t>
  </si>
  <si>
    <t>FtrOutdoortableM_Remake_2_3</t>
  </si>
  <si>
    <t>BromideNpcNmlLon01_Remake_4_0</t>
  </si>
  <si>
    <t>TopsTexTopOuterLDownjacket5</t>
  </si>
  <si>
    <t>FtrOutdoortableM_Remake_2_4</t>
  </si>
  <si>
    <t>TopsTexTopOuterLDownjacket6</t>
  </si>
  <si>
    <t>BromideNpcNmlLon01_Remake_5_0</t>
  </si>
  <si>
    <t>TopsTexTopOuterLDownjacket7</t>
  </si>
  <si>
    <t>FtrOutdoortableM_Remake_2_5</t>
  </si>
  <si>
    <t>TopsTexTopOuterLDownjacket1</t>
  </si>
  <si>
    <t>BromideNpcNmlLon01_Remake_6_0</t>
  </si>
  <si>
    <t>TopsTexTopOuterLDownjacket2</t>
  </si>
  <si>
    <t>down ski jacket</t>
  </si>
  <si>
    <t>TopsTexTopOuterLSkidown0</t>
  </si>
  <si>
    <t>FtrOutdoortableM_Remake_2_6</t>
  </si>
  <si>
    <t>Blue &amp; green</t>
  </si>
  <si>
    <t>TopsTexTopOuterLSkidown1</t>
  </si>
  <si>
    <t>BromideNpcNmlLon01_Remake_7_0</t>
  </si>
  <si>
    <t>Navy &amp; blue</t>
  </si>
  <si>
    <t>Erik's photo</t>
  </si>
  <si>
    <t>FtrOutdoortableM_Remake_3_0</t>
  </si>
  <si>
    <t>TopsTexTopOuterLSkidown2</t>
  </si>
  <si>
    <t>Navy &amp; red</t>
  </si>
  <si>
    <t>TopsTexTopOuterLSkidown3</t>
  </si>
  <si>
    <t>dragon jacket</t>
  </si>
  <si>
    <t>BromideNpcNmlDer09_Remake_0_0</t>
  </si>
  <si>
    <t>FtrOutdoortableM_Remake_3_1</t>
  </si>
  <si>
    <t>TopsTexTopOuterLSukajandragonBlack</t>
  </si>
  <si>
    <t>dreamy sweater</t>
  </si>
  <si>
    <t>TopsTexTopOuterLYumekawa0</t>
  </si>
  <si>
    <t>FtrOutdoortableM_Remake_3_2</t>
  </si>
  <si>
    <t>BromideNpcNmlDer09_Remake_1_0</t>
  </si>
  <si>
    <t>TopsTexTopOuterLYumekawa1</t>
  </si>
  <si>
    <t>dress shirt</t>
  </si>
  <si>
    <t>BromideNpcNmlDer09_Remake_2_0</t>
  </si>
  <si>
    <t>FtrOutdoortableM_Remake_3_3</t>
  </si>
  <si>
    <t>TopsTexTopYshirtsLStandard1</t>
  </si>
  <si>
    <t>BromideNpcNmlDer09_Remake_3_0</t>
  </si>
  <si>
    <t>TopsTexTopYshirtsLStandard2</t>
  </si>
  <si>
    <t>FtrOutdoortableM_Remake_3_4</t>
  </si>
  <si>
    <t>BromideNpcNmlDer09_Remake_4_0</t>
  </si>
  <si>
    <t>TopsTexTopYshirtsLStandard3</t>
  </si>
  <si>
    <t>FtrOutdoortableM_Remake_3_5</t>
  </si>
  <si>
    <t>TopsTexTopYshirtsLStandard0</t>
  </si>
  <si>
    <t>TopsTexTopYshirtsLStandard4</t>
  </si>
  <si>
    <t>BromideNpcNmlDer09_Remake_5_0</t>
  </si>
  <si>
    <t>earbuds combo</t>
  </si>
  <si>
    <t>FtrOutdoortableM_Remake_3_6</t>
  </si>
  <si>
    <t>TopsTexTopTshirtsLEarphone1</t>
  </si>
  <si>
    <t>BromideNpcNmlDer09_Remake_6_0</t>
  </si>
  <si>
    <t>TopsTexTopTshirtsLEarphone2</t>
  </si>
  <si>
    <t>FtrOutdoortableM_Remake_4_0</t>
  </si>
  <si>
    <t>TopsTexTopTshirtsLEarphone3</t>
  </si>
  <si>
    <t>BromideNpcNmlDer09_Remake_7_0</t>
  </si>
  <si>
    <t>TopsTexTopTshirtsLEarphone0</t>
  </si>
  <si>
    <t>eight-ball tee</t>
  </si>
  <si>
    <t>Eugene's photo</t>
  </si>
  <si>
    <t>FtrOutdoortableM_Remake_4_1</t>
  </si>
  <si>
    <t>TopsTexTopTshirtsHNumberball8</t>
  </si>
  <si>
    <t>emblem blazer</t>
  </si>
  <si>
    <t>BromideNpcNmlKal10_Remake_0_0</t>
  </si>
  <si>
    <t>FtrOutdoortableM_Remake_4_2</t>
  </si>
  <si>
    <t>TopsTexTopYshirtsLBlazer2</t>
  </si>
  <si>
    <t>BromideNpcNmlKal10_Remake_1_0</t>
  </si>
  <si>
    <t>TopsTexTopYshirtsLBlazer3</t>
  </si>
  <si>
    <t>FtrOutdoortableM_Remake_4_3</t>
  </si>
  <si>
    <t>BromideNpcNmlKal10_Remake_2_0</t>
  </si>
  <si>
    <t>TopsTexTopYshirtsLBlazer1</t>
  </si>
  <si>
    <t>TopsTexTopYshirtsLBlazer0</t>
  </si>
  <si>
    <t>embroidered tank</t>
  </si>
  <si>
    <t>BromideNpcNmlKal10_Remake_3_0</t>
  </si>
  <si>
    <t>FtrOutdoortableM_Remake_4_4</t>
  </si>
  <si>
    <t>TopsTexTopTshirtsNEmbroidery0</t>
  </si>
  <si>
    <t>FtrOutdoortableM_Remake_4_5</t>
  </si>
  <si>
    <t>TopsTexTopTshirtsNEmbroidery1</t>
  </si>
  <si>
    <t>BromideNpcNmlKal10_Remake_4_0</t>
  </si>
  <si>
    <t>TopsTexTopTshirtsNEmbroidery2</t>
  </si>
  <si>
    <t>BromideNpcNmlKal10_Remake_5_0</t>
  </si>
  <si>
    <t>FtrOutdoortableM_Remake_4_6</t>
  </si>
  <si>
    <t>TopsTexTopTshirtsNEmbroidery3</t>
  </si>
  <si>
    <t>pagoda</t>
  </si>
  <si>
    <t>TopsTexTopTshirtsNEmbroidery4</t>
  </si>
  <si>
    <t>BromideNpcNmlKal10_Remake_6_0</t>
  </si>
  <si>
    <t>TopsTexTopTshirtsNEmbroidery5</t>
  </si>
  <si>
    <t>FtrGojyu_Remake_0_0</t>
  </si>
  <si>
    <t>TopsTexTopTshirtsNEmbroidery6</t>
  </si>
  <si>
    <t>energetic sweater</t>
  </si>
  <si>
    <t>TopsTexTopYshirtsLKids0</t>
  </si>
  <si>
    <t>BromideNpcNmlKal10_Remake_7_0</t>
  </si>
  <si>
    <t>FtrGojyu_Remake_1_0</t>
  </si>
  <si>
    <t>Eunice's photo</t>
  </si>
  <si>
    <t>TopsTexTopYshirtsLKids1</t>
  </si>
  <si>
    <t>TopsTexTopYshirtsLKids2</t>
  </si>
  <si>
    <t>BromideNpcNmlShp02_Remake_0_0</t>
  </si>
  <si>
    <t>FtrGojyu_Remake_2_0</t>
  </si>
  <si>
    <t>palm-tree lamp</t>
  </si>
  <si>
    <t>TopsTexTopYshirtsLKids3</t>
  </si>
  <si>
    <t>explorer tee</t>
  </si>
  <si>
    <t>TopsTexTopYshirtsHExplorer1</t>
  </si>
  <si>
    <t>BromideNpcNmlShp02_Remake_1_0</t>
  </si>
  <si>
    <t>TopsTexTopYshirtsHExplorer2</t>
  </si>
  <si>
    <t>FtrPalmtreelamp_Remake_0_0</t>
  </si>
  <si>
    <t>Tropical</t>
  </si>
  <si>
    <t>TopsTexTopYshirtsHExplorer3</t>
  </si>
  <si>
    <t>BromideNpcNmlShp02_Remake_2_0</t>
  </si>
  <si>
    <t>TopsTexTopYshirtsHExplorer0</t>
  </si>
  <si>
    <t>FtrPalmtreelamp_Remake_1_0</t>
  </si>
  <si>
    <t>faux-hair sweater</t>
  </si>
  <si>
    <t>TopsTexTopOuterLMohair1</t>
  </si>
  <si>
    <t>BromideNpcNmlShp02_Remake_3_0</t>
  </si>
  <si>
    <t>FtrPalmtreelamp_Remake_2_0</t>
  </si>
  <si>
    <t>TopsTexTopOuterLMohair0</t>
  </si>
  <si>
    <t>faux-shearling coat</t>
  </si>
  <si>
    <t>TopsTexTopCoatLMouton2</t>
  </si>
  <si>
    <t>BromideNpcNmlShp02_Remake_4_0</t>
  </si>
  <si>
    <t>FtrPalmtreelamp_Remake_3_0</t>
  </si>
  <si>
    <t>pansy table</t>
  </si>
  <si>
    <t>TopsTexTopCoatLMouton3</t>
  </si>
  <si>
    <t>TopsTexTopCoatLMouton4</t>
  </si>
  <si>
    <t>BromideNpcNmlShp02_Remake_5_0</t>
  </si>
  <si>
    <t>TopsTexTopCoatLMouton0</t>
  </si>
  <si>
    <t>FtrFlowerTableS_Remake_0_0</t>
  </si>
  <si>
    <t>TopsTexTopCoatLMouton1</t>
  </si>
  <si>
    <t>fischerhemd</t>
  </si>
  <si>
    <t>BromideNpcNmlShp02_Remake_6_0</t>
  </si>
  <si>
    <t>TopsTexTopYshirtsLFischerhemdBlue</t>
  </si>
  <si>
    <t>fish-print tee</t>
  </si>
  <si>
    <t>FtrFlowerTableS_Remake_1_0</t>
  </si>
  <si>
    <t>BromideNpcNmlShp02_Remake_7_0</t>
  </si>
  <si>
    <t>TopsTexTopTshirtsHFish0</t>
  </si>
  <si>
    <t>fishing vest</t>
  </si>
  <si>
    <t>Fang's photo</t>
  </si>
  <si>
    <t>FtrFlowerTableS_Remake_2_0</t>
  </si>
  <si>
    <t>pants press</t>
  </si>
  <si>
    <t>TopsTexTopTshirtsHFishing1</t>
  </si>
  <si>
    <t>BromideNpcNmlWol06_Remake_0_0</t>
  </si>
  <si>
    <t>TopsTexTopTshirtsHFishing2</t>
  </si>
  <si>
    <t>FtrPantspresser_Remake_0_0</t>
  </si>
  <si>
    <t>TopsTexTopTshirtsHFishing3</t>
  </si>
  <si>
    <t>BromideNpcNmlWol06_Remake_1_0</t>
  </si>
  <si>
    <t>TopsTexTopTshirtsHFishing0</t>
  </si>
  <si>
    <t>FtrPantspresser_Remake_1_0</t>
  </si>
  <si>
    <t>BromideNpcNmlWol06_Remake_2_0</t>
  </si>
  <si>
    <t>TopsTexTopTshirtsHFishing4</t>
  </si>
  <si>
    <t>BromideNpcNmlWol06_Remake_3_0</t>
  </si>
  <si>
    <t>TopsTexTopTshirtsHFishing5</t>
  </si>
  <si>
    <t>FtrPantspresser_Remake_2_0</t>
  </si>
  <si>
    <t>Papa bear</t>
  </si>
  <si>
    <t>TopsTexTopTshirtsHFishing6</t>
  </si>
  <si>
    <t>BromideNpcNmlWol06_Remake_4_0</t>
  </si>
  <si>
    <t>TopsTexTopTshirtsHFishing7</t>
  </si>
  <si>
    <t>fitness tank</t>
  </si>
  <si>
    <t>BromideNpcNmlWol06_Remake_5_0</t>
  </si>
  <si>
    <t>TopsTexTopTshirtsNFitness0</t>
  </si>
  <si>
    <t>FtrBearL_Remake_0_0</t>
  </si>
  <si>
    <t>BromideNpcNmlWol06_Remake_6_0</t>
  </si>
  <si>
    <t>TopsTexTopTshirtsNFitness6</t>
  </si>
  <si>
    <t>BromideNpcNmlWol06_Remake_7_0</t>
  </si>
  <si>
    <t>FtrBearL_Remake_0_1</t>
  </si>
  <si>
    <t>TopsTexTopTshirtsNFitness7</t>
  </si>
  <si>
    <t>Fauna's photo</t>
  </si>
  <si>
    <t>TopsTexTopTshirtsNFitness1</t>
  </si>
  <si>
    <t>BromideNpcNmlDer00_Remake_0_0</t>
  </si>
  <si>
    <t>FtrBearL_Remake_0_2</t>
  </si>
  <si>
    <t>TopsTexTopTshirtsNFitness2</t>
  </si>
  <si>
    <t>BromideNpcNmlDer00_Remake_1_0</t>
  </si>
  <si>
    <t>TopsTexTopTshirtsNFitness3</t>
  </si>
  <si>
    <t>FtrBearL_Remake_0_3</t>
  </si>
  <si>
    <t>TopsTexTopTshirtsNFitness4</t>
  </si>
  <si>
    <t>BromideNpcNmlDer00_Remake_2_0</t>
  </si>
  <si>
    <t>TopsTexTopTshirtsNFitness5</t>
  </si>
  <si>
    <t>five-ball tee</t>
  </si>
  <si>
    <t>FtrBearL_Remake_1_0</t>
  </si>
  <si>
    <t>BromideNpcNmlDer00_Remake_3_0</t>
  </si>
  <si>
    <t>TopsTexTopTshirtsHNumberball5</t>
  </si>
  <si>
    <t>flame tee</t>
  </si>
  <si>
    <t>BromideNpcNmlDer00_Remake_4_0</t>
  </si>
  <si>
    <t>TopsTexTopTshirtsHFire0</t>
  </si>
  <si>
    <t>flannel shirt</t>
  </si>
  <si>
    <t>BromideNpcNmlDer00_Remake_5_0</t>
  </si>
  <si>
    <t>FtrBearL_Remake_1_1</t>
  </si>
  <si>
    <t>TopsTexTopYshirtsLFlannel0</t>
  </si>
  <si>
    <t>BromideNpcNmlDer00_Remake_6_0</t>
  </si>
  <si>
    <t>TopsTexTopYshirtsLFlannel1</t>
  </si>
  <si>
    <t>TopsTexTopYshirtsLFlannel2</t>
  </si>
  <si>
    <t>BromideNpcNmlDer00_Remake_7_0</t>
  </si>
  <si>
    <t>Felicity's photo</t>
  </si>
  <si>
    <t>FtrBearL_Remake_1_2</t>
  </si>
  <si>
    <t>TopsTexTopYshirtsLFlannel3</t>
  </si>
  <si>
    <t>BromideNpcNmlCat17_Remake_0_0</t>
  </si>
  <si>
    <t>TopsTexTopYshirtsLFlannel4</t>
  </si>
  <si>
    <t>flashy cardigan</t>
  </si>
  <si>
    <t>BromideNpcNmlCat17_Remake_1_0</t>
  </si>
  <si>
    <t>TopsTexTopOuterLPsychedelic1</t>
  </si>
  <si>
    <t>FtrBearL_Remake_1_3</t>
  </si>
  <si>
    <t>TopsTexTopOuterLPsychedelic0</t>
  </si>
  <si>
    <t>flashy jacket</t>
  </si>
  <si>
    <t>BromideNpcNmlCat17_Remake_2_0</t>
  </si>
  <si>
    <t>TopsTexTopYshirtsLJacketgaudy1</t>
  </si>
  <si>
    <t>TopsTexTopYshirtsLJacketgaudy2</t>
  </si>
  <si>
    <t>BromideNpcNmlCat17_Remake_3_0</t>
  </si>
  <si>
    <t>FtrBearL_Remake_2_0</t>
  </si>
  <si>
    <t>TopsTexTopYshirtsLJacketgaudy3</t>
  </si>
  <si>
    <t>TopsTexTopYshirtsLJacketgaudy4</t>
  </si>
  <si>
    <t>BromideNpcNmlCat17_Remake_4_0</t>
  </si>
  <si>
    <t>TopsTexTopYshirtsLJacketgaudy5</t>
  </si>
  <si>
    <t>FtrBearL_Remake_2_1</t>
  </si>
  <si>
    <t>BromideNpcNmlCat17_Remake_5_0</t>
  </si>
  <si>
    <t>TopsTexTopYshirtsLJacketgaudy0</t>
  </si>
  <si>
    <t>flight jacket</t>
  </si>
  <si>
    <t>BromideNpcNmlCat17_Remake_6_0</t>
  </si>
  <si>
    <t>FtrBearL_Remake_2_2</t>
  </si>
  <si>
    <t>TopsTexTopOuterLFlight0</t>
  </si>
  <si>
    <t>BromideNpcNmlCat17_Remake_7_0</t>
  </si>
  <si>
    <t>TopsTexTopOuterLFlight1</t>
  </si>
  <si>
    <t>Filbert's photo</t>
  </si>
  <si>
    <t>FtrBearL_Remake_2_3</t>
  </si>
  <si>
    <t>TopsTexTopOuterLFlight2</t>
  </si>
  <si>
    <t>flower sweater</t>
  </si>
  <si>
    <t>BromideNpcNmlSqu02_Remake_0_0</t>
  </si>
  <si>
    <t>TopsTexTopOuterLFlowerknit1</t>
  </si>
  <si>
    <t>FtrBearL_Remake_3_0</t>
  </si>
  <si>
    <t>BromideNpcNmlSqu02_Remake_1_0</t>
  </si>
  <si>
    <t>TopsTexTopOuterLFlowerknit2</t>
  </si>
  <si>
    <t>TopsTexTopOuterLFlowerknit3</t>
  </si>
  <si>
    <t>FtrBearL_Remake_3_1</t>
  </si>
  <si>
    <t>BromideNpcNmlSqu02_Remake_2_0</t>
  </si>
  <si>
    <t>TopsTexTopOuterLFlowerknit0</t>
  </si>
  <si>
    <t>folk shirt</t>
  </si>
  <si>
    <t>TopsTexTopOuterLNative1</t>
  </si>
  <si>
    <t>BromideNpcNmlSqu02_Remake_3_0</t>
  </si>
  <si>
    <t>FtrBearL_Remake_3_2</t>
  </si>
  <si>
    <t>TopsTexTopOuterLNative0</t>
  </si>
  <si>
    <t>BromideNpcNmlSqu02_Remake_4_0</t>
  </si>
  <si>
    <t>TopsTexTopOuterLNative2</t>
  </si>
  <si>
    <t>football shirt</t>
  </si>
  <si>
    <t>FtrBearL_Remake_3_3</t>
  </si>
  <si>
    <t>TopsTexTopTshirtsHAmericanfootball0</t>
  </si>
  <si>
    <t>BromideNpcNmlSqu02_Remake_5_0</t>
  </si>
  <si>
    <t>TopsTexTopTshirtsHAmericanfootball1</t>
  </si>
  <si>
    <t>FtrBearL_Remake_4_0</t>
  </si>
  <si>
    <t>BromideNpcNmlSqu02_Remake_6_0</t>
  </si>
  <si>
    <t>TopsTexTopTshirtsHAmericanfootball2</t>
  </si>
  <si>
    <t>BromideNpcNmlSqu02_Remake_7_0</t>
  </si>
  <si>
    <t>Flip's photo</t>
  </si>
  <si>
    <t>TopsTexTopTshirtsHAmericanfootball3</t>
  </si>
  <si>
    <t>TopsTexTopTshirtsHAmericanfootball4</t>
  </si>
  <si>
    <t>FtrBearL_Remake_4_1</t>
  </si>
  <si>
    <t>BromideNpcNmlMnk06_Remake_0_0</t>
  </si>
  <si>
    <t>TopsTexTopTshirtsHAmericanfootball5</t>
  </si>
  <si>
    <t>TopsTexTopTshirtsHAmericanfootball6</t>
  </si>
  <si>
    <t>BromideNpcNmlMnk06_Remake_1_0</t>
  </si>
  <si>
    <t>TopsTexTopTshirtsHAmericanfootball7</t>
  </si>
  <si>
    <t>four-ball tee</t>
  </si>
  <si>
    <t>FtrBearL_Remake_4_2</t>
  </si>
  <si>
    <t>TopsTexTopTshirtsHNumberball4</t>
  </si>
  <si>
    <t>frog tee</t>
  </si>
  <si>
    <t>BromideNpcNmlMnk06_Remake_2_0</t>
  </si>
  <si>
    <t>TopsTexTopTshirtsHFrog0</t>
  </si>
  <si>
    <t>front-tie button-down shirt</t>
  </si>
  <si>
    <t>BromideNpcNmlMnk06_Remake_3_0</t>
  </si>
  <si>
    <t>FtrBearL_Remake_4_3</t>
  </si>
  <si>
    <t>TopsTexTopYshirtsHKnot1</t>
  </si>
  <si>
    <t>TopsTexTopYshirtsHKnot2</t>
  </si>
  <si>
    <t>BromideNpcNmlMnk06_Remake_4_0</t>
  </si>
  <si>
    <t>TopsTexTopYshirtsHKnot3</t>
  </si>
  <si>
    <t>FtrBearL_Remake_5_0</t>
  </si>
  <si>
    <t>BromideNpcNmlMnk06_Remake_5_0</t>
  </si>
  <si>
    <t>BromideNpcNmlMnk06_Remake_6_0</t>
  </si>
  <si>
    <t>TopsTexTopYshirtsHKnot0</t>
  </si>
  <si>
    <t>front-tie tee</t>
  </si>
  <si>
    <t>BromideNpcNmlMnk06_Remake_7_0</t>
  </si>
  <si>
    <t>Flo's photo</t>
  </si>
  <si>
    <t>FtrBearL_Remake_5_1</t>
  </si>
  <si>
    <t>TopsTexTopTshirtsHKnot0</t>
  </si>
  <si>
    <t>BromideNpcNmlPgn13_Remake_0_0</t>
  </si>
  <si>
    <t>TopsTexTopTshirtsHKnot1</t>
  </si>
  <si>
    <t>BromideNpcNmlPgn13_Remake_1_0</t>
  </si>
  <si>
    <t>FtrBearL_Remake_5_2</t>
  </si>
  <si>
    <t>TopsTexTopTshirtsHKnot2</t>
  </si>
  <si>
    <t>TopsTexTopTshirtsHKnot3</t>
  </si>
  <si>
    <t>fuzzy vest</t>
  </si>
  <si>
    <t>BromideNpcNmlPgn13_Remake_2_0</t>
  </si>
  <si>
    <t>TopsTexTopYshirtsLBoavest0</t>
  </si>
  <si>
    <t>FtrBearL_Remake_5_3</t>
  </si>
  <si>
    <t>Papa panda</t>
  </si>
  <si>
    <t>BromideNpcNmlPgn13_Remake_3_0</t>
  </si>
  <si>
    <t>TopsTexTopYshirtsLBoavest1</t>
  </si>
  <si>
    <t>TopsTexTopYshirtsLBoavest2</t>
  </si>
  <si>
    <t>BromideNpcNmlPgn13_Remake_4_0</t>
  </si>
  <si>
    <t>TopsTexTopYshirtsLBoavest3</t>
  </si>
  <si>
    <t>FtrPandaL</t>
  </si>
  <si>
    <t>paper lantern</t>
  </si>
  <si>
    <t>BromideNpcNmlPgn13_Remake_5_0</t>
  </si>
  <si>
    <t>TopsTexTopYshirtsLBoavest4</t>
  </si>
  <si>
    <t>Paper</t>
  </si>
  <si>
    <t>garden tank</t>
  </si>
  <si>
    <t>BromideNpcNmlPgn13_Remake_6_0</t>
  </si>
  <si>
    <t>FtrLampJapan_Remake_0_0</t>
  </si>
  <si>
    <t>TopsTexTopTshirtsNCamisoleprint0</t>
  </si>
  <si>
    <t>BromideNpcNmlPgn13_Remake_7_0</t>
  </si>
  <si>
    <t>Flora's photo</t>
  </si>
  <si>
    <t>TopsTexTopTshirtsNCamisoleprint1</t>
  </si>
  <si>
    <t>BromideNpcNmlOst09_Remake_0_0</t>
  </si>
  <si>
    <t>FtrLampJapan_Remake_0_1</t>
  </si>
  <si>
    <t>TopsTexTopTshirtsNCamisoleprint2</t>
  </si>
  <si>
    <t>BromideNpcNmlOst09_Remake_1_0</t>
  </si>
  <si>
    <t>TopsTexTopTshirtsNCamisoleprint3</t>
  </si>
  <si>
    <t>gilet and shirt</t>
  </si>
  <si>
    <t>BromideNpcNmlOst09_Remake_2_0</t>
  </si>
  <si>
    <t>FtrLampJapan_Remake_0_2</t>
  </si>
  <si>
    <t>TopsTexTopTshirtsHGillet1</t>
  </si>
  <si>
    <t>BromideNpcNmlOst09_Remake_3_0</t>
  </si>
  <si>
    <t>BromideNpcNmlOst09_Remake_4_0</t>
  </si>
  <si>
    <t>TopsTexTopTshirtsHGillet2</t>
  </si>
  <si>
    <t>FtrLampJapan_Remake_0_3</t>
  </si>
  <si>
    <t>BromideNpcNmlOst09_Remake_5_0</t>
  </si>
  <si>
    <t>TopsTexTopTshirtsHGillet3</t>
  </si>
  <si>
    <t>FtrLampJapan_Remake_0_4</t>
  </si>
  <si>
    <t>BromideNpcNmlOst09_Remake_6_0</t>
  </si>
  <si>
    <t>TopsTexTopTshirtsHGillet0</t>
  </si>
  <si>
    <t>gingham picnic shirt</t>
  </si>
  <si>
    <t>FtrLampJapan_Remake_1_0</t>
  </si>
  <si>
    <t>BromideNpcNmlOst09_Remake_7_0</t>
  </si>
  <si>
    <t>Flurry's photo</t>
  </si>
  <si>
    <t>BromideNpcNmlHam06_Remake_0_0</t>
  </si>
  <si>
    <t>TopsTexTopYshirtsLGingham0</t>
  </si>
  <si>
    <t>FtrLampJapan_Remake_1_1</t>
  </si>
  <si>
    <t>BromideNpcNmlHam06_Remake_1_0</t>
  </si>
  <si>
    <t>TopsTexTopYshirtsLGingham1</t>
  </si>
  <si>
    <t>BromideNpcNmlHam06_Remake_2_0</t>
  </si>
  <si>
    <t>TopsTexTopYshirtsLGingham2</t>
  </si>
  <si>
    <t>FtrLampJapan_Remake_1_2</t>
  </si>
  <si>
    <t>BromideNpcNmlHam06_Remake_3_0</t>
  </si>
  <si>
    <t>TopsTexTopYshirtsLGingham3</t>
  </si>
  <si>
    <t>FtrLampJapan_Remake_1_3</t>
  </si>
  <si>
    <t>BromideNpcNmlHam06_Remake_4_0</t>
  </si>
  <si>
    <t>TopsTexTopYshirtsLGingham4</t>
  </si>
  <si>
    <t>BromideNpcNmlHam06_Remake_5_0</t>
  </si>
  <si>
    <t>TopsTexTopYshirtsLGingham5</t>
  </si>
  <si>
    <t>FtrLampJapan_Remake_1_4</t>
  </si>
  <si>
    <t>BromideNpcNmlHam06_Remake_6_0</t>
  </si>
  <si>
    <t>TopsTexTopYshirtsLGingham6</t>
  </si>
  <si>
    <t>BromideNpcNmlHam06_Remake_7_0</t>
  </si>
  <si>
    <t>Francine's photo</t>
  </si>
  <si>
    <t>FtrLampJapan_Remake_2_0</t>
  </si>
  <si>
    <t>BromideNpcNmlRbt12_Remake_0_0</t>
  </si>
  <si>
    <t>TopsTexTopYshirtsLGingham7</t>
  </si>
  <si>
    <t>gold-print tee</t>
  </si>
  <si>
    <t>BromideNpcNmlRbt12_Remake_1_0</t>
  </si>
  <si>
    <t>TopsTexTopTshirtsHGoldprint1</t>
  </si>
  <si>
    <t>FtrLampJapan_Remake_2_1</t>
  </si>
  <si>
    <t>BromideNpcNmlRbt12_Remake_2_0</t>
  </si>
  <si>
    <t>TopsTexTopTshirtsHGoldprint0</t>
  </si>
  <si>
    <t>gown coat</t>
  </si>
  <si>
    <t>BromideNpcNmlRbt12_Remake_3_0</t>
  </si>
  <si>
    <t>FtrLampJapan_Remake_2_2</t>
  </si>
  <si>
    <t>TopsTexTopCoatLGowncoat1</t>
  </si>
  <si>
    <t>BromideNpcNmlRbt12_Remake_4_0</t>
  </si>
  <si>
    <t>BromideNpcNmlRbt12_Remake_5_0</t>
  </si>
  <si>
    <t>TopsTexTopCoatLGowncoat2</t>
  </si>
  <si>
    <t>FtrLampJapan_Remake_2_3</t>
  </si>
  <si>
    <t>BromideNpcNmlRbt12_Remake_6_0</t>
  </si>
  <si>
    <t>TopsTexTopCoatLGowncoat3</t>
  </si>
  <si>
    <t>FtrLampJapan_Remake_2_4</t>
  </si>
  <si>
    <t>parabolic antenna</t>
  </si>
  <si>
    <t>BromideNpcNmlRbt12_Remake_7_0</t>
  </si>
  <si>
    <t>Frank's photo</t>
  </si>
  <si>
    <t>TopsTexTopCoatLGowncoat0</t>
  </si>
  <si>
    <t>graduation gown</t>
  </si>
  <si>
    <t>FtrParabolicantenna_Remake_0_0</t>
  </si>
  <si>
    <t>BromideNpcNmlPbr06_Remake_0_0</t>
  </si>
  <si>
    <t>Red logo</t>
  </si>
  <si>
    <t>TopsTexTopCoatLAcademicdress1</t>
  </si>
  <si>
    <t>FtrParabolicantenna_Remake_1_0</t>
  </si>
  <si>
    <t>TopsTexTopCoatLAcademicdress2</t>
  </si>
  <si>
    <t>BromideNpcNmlPbr06_Remake_1_0</t>
  </si>
  <si>
    <t>Green logo</t>
  </si>
  <si>
    <t>TopsTexTopCoatLAcademicdress3</t>
  </si>
  <si>
    <t>BromideNpcNmlPbr06_Remake_2_0</t>
  </si>
  <si>
    <t>FtrParabolicantenna_Remake_2_0</t>
  </si>
  <si>
    <t>park clock</t>
  </si>
  <si>
    <t>TopsTexTopCoatLAcademicdress0</t>
  </si>
  <si>
    <t>groovy shirt</t>
  </si>
  <si>
    <t>BromideNpcNmlPbr06_Remake_3_0</t>
  </si>
  <si>
    <t>TopsTexTopYshirtsLPsychedelic0</t>
  </si>
  <si>
    <t>FtrParkclock_Remake_0_0</t>
  </si>
  <si>
    <t>TopsTexTopYshirtsLPsychedelic1</t>
  </si>
  <si>
    <t>BromideNpcNmlPbr06_Remake_4_0</t>
  </si>
  <si>
    <t>TopsTexTopYshirtsLPsychedelic2</t>
  </si>
  <si>
    <t>groovy tunic</t>
  </si>
  <si>
    <t>FtrParkclock_Remake_1_0</t>
  </si>
  <si>
    <t>BromideNpcNmlPbr06_Remake_5_0</t>
  </si>
  <si>
    <t>TopsTexTopCoatLHippie0</t>
  </si>
  <si>
    <t>FtrParkclock_Remake_2_0</t>
  </si>
  <si>
    <t>BromideNpcNmlPbr06_Remake_6_0</t>
  </si>
  <si>
    <t>TopsTexTopCoatLHippie2</t>
  </si>
  <si>
    <t>TopsTexTopCoatLHippie1</t>
  </si>
  <si>
    <t>guayabera shirt</t>
  </si>
  <si>
    <t>BromideNpcNmlPbr06_Remake_7_0</t>
  </si>
  <si>
    <t>FtrParkclock_Remake_3_0</t>
  </si>
  <si>
    <t>TopsTexTopYshirtsHCuba1</t>
  </si>
  <si>
    <t>Freckles's photo</t>
  </si>
  <si>
    <t>peach chair</t>
  </si>
  <si>
    <t>TopsTexTopYshirtsHCuba2</t>
  </si>
  <si>
    <t>BromideNpcNmlDuk07_Remake_0_0</t>
  </si>
  <si>
    <t>TopsTexTopYshirtsHCuba3</t>
  </si>
  <si>
    <t>FtrFruitsChairPeach_Remake_0_0</t>
  </si>
  <si>
    <t>TopsTexTopYshirtsHCuba0</t>
  </si>
  <si>
    <t>guide shirt</t>
  </si>
  <si>
    <t>BromideNpcNmlDuk07_Remake_1_0</t>
  </si>
  <si>
    <t>TopsTexTopYshirtsLGuide0</t>
  </si>
  <si>
    <t>TopsTexTopYshirtsLGuide1</t>
  </si>
  <si>
    <t>FtrFruitsChairPeach_Remake_1_0</t>
  </si>
  <si>
    <t>BromideNpcNmlDuk07_Remake_2_0</t>
  </si>
  <si>
    <t>pear bed</t>
  </si>
  <si>
    <t>TopsTexTopYshirtsLGuide2</t>
  </si>
  <si>
    <t>gym tee</t>
  </si>
  <si>
    <t>La France</t>
  </si>
  <si>
    <t>TopsTexTopTshirtsHGym1</t>
  </si>
  <si>
    <t>BromideNpcNmlDuk07_Remake_3_0</t>
  </si>
  <si>
    <t>TopsTexTopTshirtsHGym2</t>
  </si>
  <si>
    <t>pear</t>
  </si>
  <si>
    <t>FtrFruitsBedS_Remake_0_0</t>
  </si>
  <si>
    <t>TopsTexTopTshirtsHGym3</t>
  </si>
  <si>
    <t>Le Lectier</t>
  </si>
  <si>
    <t>BromideNpcNmlDuk07_Remake_4_0</t>
  </si>
  <si>
    <t>TopsTexTopTshirtsHGym0</t>
  </si>
  <si>
    <t>BromideNpcNmlDuk07_Remake_5_0</t>
  </si>
  <si>
    <t>hallo tee</t>
  </si>
  <si>
    <t>FtrFruitsBedS_Remake_1_0</t>
  </si>
  <si>
    <t>pear wardrobe</t>
  </si>
  <si>
    <t>BromideNpcNmlDuk07_Remake_6_0</t>
  </si>
  <si>
    <t>TopsTexTopTshirtsHHelloge0</t>
  </si>
  <si>
    <t>hand-knit tank</t>
  </si>
  <si>
    <t>BromideNpcNmlDuk07_Remake_7_0</t>
  </si>
  <si>
    <t>FtrFruitsClosetLR_Remake_0_0</t>
  </si>
  <si>
    <t>Freya's photo</t>
  </si>
  <si>
    <t>TopsTexTopOuterNKnit2</t>
  </si>
  <si>
    <t>BromideNpcNmlWol05_Remake_0_0</t>
  </si>
  <si>
    <t>TopsTexTopOuterNKnit3</t>
  </si>
  <si>
    <t>FtrFruitsClosetLR_Remake_1_0</t>
  </si>
  <si>
    <t>pet bed</t>
  </si>
  <si>
    <t>TopsTexTopOuterNKnit4</t>
  </si>
  <si>
    <t>BromideNpcNmlWol05_Remake_1_0</t>
  </si>
  <si>
    <t>FtrPetBed_Remake_0_0</t>
  </si>
  <si>
    <t>TopsTexTopOuterNKnit5</t>
  </si>
  <si>
    <t>Moss green</t>
  </si>
  <si>
    <t>BromideNpcNmlWol05_Remake_2_0</t>
  </si>
  <si>
    <t>TopsTexTopOuterNKnit0</t>
  </si>
  <si>
    <t>BromideNpcNmlWol05_Remake_3_0</t>
  </si>
  <si>
    <t>FtrPetBed_Remake_0_1</t>
  </si>
  <si>
    <t>TopsTexTopOuterNKnit1</t>
  </si>
  <si>
    <t>hanten jacket</t>
  </si>
  <si>
    <t>BromideNpcNmlWol05_Remake_4_0</t>
  </si>
  <si>
    <t>FtrPetBed_Remake_0_2</t>
  </si>
  <si>
    <t>TopsTexTopCoatLHanten0</t>
  </si>
  <si>
    <t>BromideNpcNmlWol05_Remake_5_0</t>
  </si>
  <si>
    <t>TopsTexTopCoatLHanten1</t>
  </si>
  <si>
    <t>FtrPetBed_Remake_0_3</t>
  </si>
  <si>
    <t>BromideNpcNmlWol05_Remake_6_0</t>
  </si>
  <si>
    <t>TopsTexTopCoatLHanten2</t>
  </si>
  <si>
    <t>FtrPetBed_Remake_0_4</t>
  </si>
  <si>
    <t>TopsTexTopCoatLHanten3</t>
  </si>
  <si>
    <t>happi tee</t>
  </si>
  <si>
    <t>BromideNpcNmlWol05_Remake_7_0</t>
  </si>
  <si>
    <t>Friga's photo</t>
  </si>
  <si>
    <t>TopsTexTopYshirtsHHappi0</t>
  </si>
  <si>
    <t>BromideNpcNmlPgn04_Remake_0_0</t>
  </si>
  <si>
    <t>FtrPetBed_Remake_1_0</t>
  </si>
  <si>
    <t>TopsTexTopYshirtsHHappi1</t>
  </si>
  <si>
    <t>BromideNpcNmlPgn04_Remake_1_0</t>
  </si>
  <si>
    <t>TopsTexTopYshirtsHHappi2</t>
  </si>
  <si>
    <t>BromideNpcNmlPgn04_Remake_2_0</t>
  </si>
  <si>
    <t>FtrPetBed_Remake_1_1</t>
  </si>
  <si>
    <t>BromideNpcNmlPgn04_Remake_3_0</t>
  </si>
  <si>
    <t>TopsTexTopYshirtsHHappi3</t>
  </si>
  <si>
    <t>BromideNpcNmlPgn04_Remake_4_0</t>
  </si>
  <si>
    <t>TopsTexTopYshirtsHHappi4</t>
  </si>
  <si>
    <t>hawk jacket</t>
  </si>
  <si>
    <t>FtrPetBed_Remake_1_2</t>
  </si>
  <si>
    <t>TopsTexTopOuterLSukajanhawkRed</t>
  </si>
  <si>
    <t>BromideNpcNmlPgn04_Remake_5_0</t>
  </si>
  <si>
    <t>heart apron</t>
  </si>
  <si>
    <t>BromideNpcNmlPgn04_Remake_6_0</t>
  </si>
  <si>
    <t>FtrPetBed_Remake_1_3</t>
  </si>
  <si>
    <t>TopsTexTopCoatLHeartapron1</t>
  </si>
  <si>
    <t>BromideNpcNmlPgn04_Remake_7_0</t>
  </si>
  <si>
    <t>Frita's photo</t>
  </si>
  <si>
    <t>TopsTexTopCoatLHeartapron2</t>
  </si>
  <si>
    <t>FtrPetBed_Remake_1_4</t>
  </si>
  <si>
    <t>BromideNpcNmlShp11_Remake_0_0</t>
  </si>
  <si>
    <t>TopsTexTopCoatLHeartapron3</t>
  </si>
  <si>
    <t>BromideNpcNmlShp11_Remake_1_0</t>
  </si>
  <si>
    <t>FtrPetBed_Remake_2_0</t>
  </si>
  <si>
    <t>BromideNpcNmlShp11_Remake_2_0</t>
  </si>
  <si>
    <t>TopsTexTopCoatLHeartapron4</t>
  </si>
  <si>
    <t>TopsTexTopCoatLHeartapron0</t>
  </si>
  <si>
    <t>BromideNpcNmlShp11_Remake_3_0</t>
  </si>
  <si>
    <t>heart sweater</t>
  </si>
  <si>
    <t>FtrPetBed_Remake_2_1</t>
  </si>
  <si>
    <t>BromideNpcNmlShp11_Remake_4_0</t>
  </si>
  <si>
    <t>TopsTexTopOuterLHeart1</t>
  </si>
  <si>
    <t>TopsTexTopOuterLHeart0</t>
  </si>
  <si>
    <t>BromideNpcNmlShp11_Remake_5_0</t>
  </si>
  <si>
    <t>heavy-duty shirt</t>
  </si>
  <si>
    <t>Ochre</t>
  </si>
  <si>
    <t>TopsTexTopYshirtsLWork0</t>
  </si>
  <si>
    <t>BromideNpcNmlShp11_Remake_6_0</t>
  </si>
  <si>
    <t>FtrPetBed_Remake_2_2</t>
  </si>
  <si>
    <t>TopsTexTopYshirtsLWork1</t>
  </si>
  <si>
    <t>BromideNpcNmlShp11_Remake_7_0</t>
  </si>
  <si>
    <t>Frobert's photo</t>
  </si>
  <si>
    <t>TopsTexTopYshirtsLWork2</t>
  </si>
  <si>
    <t>BromideNpcNmlFlg02_Remake_0_0</t>
  </si>
  <si>
    <t>TopsTexTopYshirtsLWork3</t>
  </si>
  <si>
    <t>hello tee</t>
  </si>
  <si>
    <t>FtrPetBed_Remake_2_3</t>
  </si>
  <si>
    <t>BromideNpcNmlFlg02_Remake_1_0</t>
  </si>
  <si>
    <t>TopsTexTopTshirtsHHelloen0</t>
  </si>
  <si>
    <t>henley shirt</t>
  </si>
  <si>
    <t>TopsTexTopTshirtsLHenley1</t>
  </si>
  <si>
    <t>BromideNpcNmlFlg02_Remake_2_0</t>
  </si>
  <si>
    <t>TopsTexTopTshirtsLHenley2</t>
  </si>
  <si>
    <t>FtrPetBed_Remake_2_4</t>
  </si>
  <si>
    <t>BromideNpcNmlFlg02_Remake_3_0</t>
  </si>
  <si>
    <t>phone box</t>
  </si>
  <si>
    <t>TopsTexTopTshirtsLHenley3</t>
  </si>
  <si>
    <t>BromideNpcNmlFlg02_Remake_4_0</t>
  </si>
  <si>
    <t>TopsTexTopTshirtsLHenley0</t>
  </si>
  <si>
    <t>hi tee</t>
  </si>
  <si>
    <t>FtrTelephonebox_Remake_0_0</t>
  </si>
  <si>
    <t>BromideNpcNmlFlg02_Remake_5_0</t>
  </si>
  <si>
    <t>TopsTexTopTshirtsHHellotw0</t>
  </si>
  <si>
    <t>hip-wrap shirt</t>
  </si>
  <si>
    <t>BromideNpcNmlFlg02_Remake_6_0</t>
  </si>
  <si>
    <t>TopsTexTopCoatHWaistshirt0</t>
  </si>
  <si>
    <t>TopsTexTopCoatHWaistshirt1</t>
  </si>
  <si>
    <t>BromideNpcNmlFlg02_Remake_7_0</t>
  </si>
  <si>
    <t>Fuchsia's photo</t>
  </si>
  <si>
    <t>FtrTelephonebox_Remake_1_0</t>
  </si>
  <si>
    <t>TopsTexTopCoatHWaistshirt2</t>
  </si>
  <si>
    <t>hoi tee</t>
  </si>
  <si>
    <t>BromideNpcNmlDer06_Remake_0_0</t>
  </si>
  <si>
    <t>TopsTexTopTshirtsHHelloNr0</t>
  </si>
  <si>
    <t>BromideNpcNmlDer06_Remake_1_0</t>
  </si>
  <si>
    <t>hola tee</t>
  </si>
  <si>
    <t>TopsTexTopTshirtsHHellosp0</t>
  </si>
  <si>
    <t>FtrTelephonebox_Remake_2_0</t>
  </si>
  <si>
    <t>holiday sweater</t>
  </si>
  <si>
    <t>BromideNpcNmlDer06_Remake_2_0</t>
  </si>
  <si>
    <t>TopsTexTopOuterLChristmas0</t>
  </si>
  <si>
    <t>BromideNpcNmlDer06_Remake_3_0</t>
  </si>
  <si>
    <t>TopsTexTopOuterLChristmas1</t>
  </si>
  <si>
    <t>FtrTelephonebox_Remake_3_0</t>
  </si>
  <si>
    <t>BromideNpcNmlDer06_Remake_4_0</t>
  </si>
  <si>
    <t>TopsTexTopOuterLChristmas2</t>
  </si>
  <si>
    <t>hula top</t>
  </si>
  <si>
    <t>BromideNpcNmlDer06_Remake_5_0</t>
  </si>
  <si>
    <t>TopsTexTopTshirtsNHula1</t>
  </si>
  <si>
    <t>FtrTelephonebox_Remake_4_0</t>
  </si>
  <si>
    <t>BromideNpcNmlDer06_Remake_6_0</t>
  </si>
  <si>
    <t>TopsTexTopTshirtsNHula2</t>
  </si>
  <si>
    <t>FtrTelephonebox_Remake_5_0</t>
  </si>
  <si>
    <t>TopsTexTopTshirtsNHula3</t>
  </si>
  <si>
    <t>BromideNpcNmlDer06_Remake_7_0</t>
  </si>
  <si>
    <t>Gabi's photo</t>
  </si>
  <si>
    <t>TopsTexTopTshirtsNHula4</t>
  </si>
  <si>
    <t>BromideNpcNmlRbt05_Remake_0_0</t>
  </si>
  <si>
    <t>FtrTelephonebox_Remake_6_0</t>
  </si>
  <si>
    <t>TopsTexTopTshirtsNHula0</t>
  </si>
  <si>
    <t>humble sweater</t>
  </si>
  <si>
    <t>BromideNpcNmlRbt05_Remake_1_0</t>
  </si>
  <si>
    <t>FtrTelephonebox_Remake_7_0</t>
  </si>
  <si>
    <t>piano bench</t>
  </si>
  <si>
    <t>BromideNpcNmlRbt05_Remake_2_0</t>
  </si>
  <si>
    <t>TopsTexTopTshirtsLQuiet2</t>
  </si>
  <si>
    <t>FtrPianochair_Remake_0_0</t>
  </si>
  <si>
    <t>TopsTexTopTshirtsLQuiet3</t>
  </si>
  <si>
    <t>BromideNpcNmlRbt05_Remake_3_0</t>
  </si>
  <si>
    <t>FtrPianochair_Remake_1_0</t>
  </si>
  <si>
    <t>TopsTexTopTshirtsLQuiet0</t>
  </si>
  <si>
    <t>BromideNpcNmlRbt05_Remake_4_0</t>
  </si>
  <si>
    <t>TopsTexTopTshirtsLQuiet1</t>
  </si>
  <si>
    <t>kanji tee</t>
  </si>
  <si>
    <t>BromideNpcNmlRbt05_Remake_5_0</t>
  </si>
  <si>
    <t>FtrPianochair_Remake_2_0</t>
  </si>
  <si>
    <t>TopsTexTopTshirtsHKanji1</t>
  </si>
  <si>
    <t>BromideNpcNmlRbt05_Remake_6_0</t>
  </si>
  <si>
    <t>FtrPianochair_Remake_3_0</t>
  </si>
  <si>
    <t>TopsTexTopTshirtsHKanji2</t>
  </si>
  <si>
    <t>BromideNpcNmlRbt05_Remake_7_0</t>
  </si>
  <si>
    <t>Gala's photo</t>
  </si>
  <si>
    <t>TopsTexTopTshirtsHKanji3</t>
  </si>
  <si>
    <t>BromideNpcNmlPig13_Remake_0_0</t>
  </si>
  <si>
    <t>FtrPianochair_Remake_4_0</t>
  </si>
  <si>
    <t>TopsTexTopTshirtsHKanji0</t>
  </si>
  <si>
    <t>kids' smock</t>
  </si>
  <si>
    <t>Tulip</t>
  </si>
  <si>
    <t>BromideNpcNmlPig13_Remake_1_0</t>
  </si>
  <si>
    <t>TopsTexTopTshirtsLSmock0</t>
  </si>
  <si>
    <t>FtrPianochair_Remake_5_0</t>
  </si>
  <si>
    <t>Chick</t>
  </si>
  <si>
    <t>BromideNpcNmlPig13_Remake_2_0</t>
  </si>
  <si>
    <t>TopsTexTopTshirtsLSmock1</t>
  </si>
  <si>
    <t>Cherry blossom</t>
  </si>
  <si>
    <t>FtrPianochair_Remake_6_0</t>
  </si>
  <si>
    <t>BromideNpcNmlPig13_Remake_3_0</t>
  </si>
  <si>
    <t>TopsTexTopTshirtsLSmock2</t>
  </si>
  <si>
    <t>Frog</t>
  </si>
  <si>
    <t>FtrPianochair_Remake_7_0</t>
  </si>
  <si>
    <t>TopsTexTopTshirtsLSmock3</t>
  </si>
  <si>
    <t>BromideNpcNmlPig13_Remake_4_0</t>
  </si>
  <si>
    <t>pile of leaves</t>
  </si>
  <si>
    <t>konnichiwa tee</t>
  </si>
  <si>
    <t>TopsTexTopTshirtsHHellojp0</t>
  </si>
  <si>
    <t>kung-fu tee</t>
  </si>
  <si>
    <t>BromideNpcNmlPig13_Remake_5_0</t>
  </si>
  <si>
    <t>FtrFallenleaves</t>
  </si>
  <si>
    <t>pile of zen cushions</t>
  </si>
  <si>
    <t>BromideNpcNmlPig13_Remake_6_0</t>
  </si>
  <si>
    <t>TopsTexTopTshirtsHKungfu0</t>
  </si>
  <si>
    <t>Upholstery</t>
  </si>
  <si>
    <t>BromideNpcNmlPig13_Remake_7_0</t>
  </si>
  <si>
    <t>Gaston's photo</t>
  </si>
  <si>
    <t>TopsTexTopTshirtsHKungfu1</t>
  </si>
  <si>
    <t>FtrCushionJapanPile_Remake_0_0</t>
  </si>
  <si>
    <t>BromideNpcNmlRbt04_Remake_0_0</t>
  </si>
  <si>
    <t>TopsTexTopTshirtsHKungfu2</t>
  </si>
  <si>
    <t>Indigo</t>
  </si>
  <si>
    <t>BromideNpcNmlRbt04_Remake_1_0</t>
  </si>
  <si>
    <t>TopsTexTopTshirtsHKungfu3</t>
  </si>
  <si>
    <t>FtrCushionJapanPile_Remake_0_1</t>
  </si>
  <si>
    <t>BromideNpcNmlRbt04_Remake_2_0</t>
  </si>
  <si>
    <t>TopsTexTopTshirtsHKungfu4</t>
  </si>
  <si>
    <t>kurta</t>
  </si>
  <si>
    <t>Azuki red</t>
  </si>
  <si>
    <t>BromideNpcNmlRbt04_Remake_3_0</t>
  </si>
  <si>
    <t>TopsTexTopCoatLKuruta1</t>
  </si>
  <si>
    <t>FtrCushionJapanPile_Remake_0_2</t>
  </si>
  <si>
    <t>BromideNpcNmlRbt04_Remake_4_0</t>
  </si>
  <si>
    <t>Deep green</t>
  </si>
  <si>
    <t>TopsTexTopCoatLKuruta2</t>
  </si>
  <si>
    <t>FtrCushionJapanPile_Remake_0_3</t>
  </si>
  <si>
    <t>BromideNpcNmlRbt04_Remake_5_0</t>
  </si>
  <si>
    <t>TopsTexTopCoatLKuruta3</t>
  </si>
  <si>
    <t>BromideNpcNmlRbt04_Remake_6_0</t>
  </si>
  <si>
    <t>FtrCushionJapanPile_Remake_0_4</t>
  </si>
  <si>
    <t>TopsTexTopCoatLKuruta0</t>
  </si>
  <si>
    <t>Labelle coat</t>
  </si>
  <si>
    <t>Twilight</t>
  </si>
  <si>
    <t>Crane</t>
  </si>
  <si>
    <t>BromideNpcNmlRbt04_Remake_7_0</t>
  </si>
  <si>
    <t>Labelle</t>
  </si>
  <si>
    <t>Gayle's photo</t>
  </si>
  <si>
    <t>TopsTexTopCoatLKate0</t>
  </si>
  <si>
    <t>Midnight</t>
  </si>
  <si>
    <t>FtrCushionJapanPile_Remake_0_5</t>
  </si>
  <si>
    <t>BromideNpcNmlCrd07_Remake_0_0</t>
  </si>
  <si>
    <t>TopsTexTopCoatLKate1</t>
  </si>
  <si>
    <t>Passion</t>
  </si>
  <si>
    <t>BromideNpcNmlCrd07_Remake_1_0</t>
  </si>
  <si>
    <t>TopsTexTopCoatLKate2</t>
  </si>
  <si>
    <t>FtrCushionJapanPile_Remake_0_6</t>
  </si>
  <si>
    <t>Ocean</t>
  </si>
  <si>
    <t>pinball machine</t>
  </si>
  <si>
    <t>TopsTexTopCoatLKate3</t>
  </si>
  <si>
    <t>BromideNpcNmlCrd07_Remake_2_0</t>
  </si>
  <si>
    <t>FtrPinball_Remake_0_0</t>
  </si>
  <si>
    <t>TopsTexTopCoatLKate4</t>
  </si>
  <si>
    <t>Love</t>
  </si>
  <si>
    <t>BromideNpcNmlCrd07_Remake_3_0</t>
  </si>
  <si>
    <t>FtrPinball_Remake_1_0</t>
  </si>
  <si>
    <t>TopsTexTopCoatLKate5</t>
  </si>
  <si>
    <t>Labelle knit shirt</t>
  </si>
  <si>
    <t>BromideNpcNmlCrd07_Remake_4_0</t>
  </si>
  <si>
    <t>TopsTexTopTshirtsHKate0</t>
  </si>
  <si>
    <t>FtrPinball_Remake_2_0</t>
  </si>
  <si>
    <t>BromideNpcNmlCrd07_Remake_5_0</t>
  </si>
  <si>
    <t>TopsTexTopTshirtsHKate1</t>
  </si>
  <si>
    <t>BromideNpcNmlCrd07_Remake_6_0</t>
  </si>
  <si>
    <t>FtrPinball_Remake_3_0</t>
  </si>
  <si>
    <t>BromideNpcNmlCrd07_Remake_7_0</t>
  </si>
  <si>
    <t>TopsTexTopTshirtsHKate2</t>
  </si>
  <si>
    <t>Genji's photo</t>
  </si>
  <si>
    <t>FtrPinball_Remake_4_0</t>
  </si>
  <si>
    <t>Pisces lamp</t>
  </si>
  <si>
    <t>TopsTexTopTshirtsHKate3</t>
  </si>
  <si>
    <t>BromideNpcNmlRbt08_Remake_0_0</t>
  </si>
  <si>
    <t>FtrZodiacPisces</t>
  </si>
  <si>
    <t>TopsTexTopTshirtsHKate4</t>
  </si>
  <si>
    <t>plain sink</t>
  </si>
  <si>
    <t>BromideNpcNmlRbt08_Remake_1_0</t>
  </si>
  <si>
    <t>FtrWashstandBowl_Remake_0_0</t>
  </si>
  <si>
    <t>TopsTexTopTshirtsHKate5</t>
  </si>
  <si>
    <t>lacy shirt</t>
  </si>
  <si>
    <t>BromideNpcNmlRbt08_Remake_2_0</t>
  </si>
  <si>
    <t>FtrWashstandBowl_Remake_1_0</t>
  </si>
  <si>
    <t>TopsTexTopTshirtsHLace1</t>
  </si>
  <si>
    <t>BromideNpcNmlRbt08_Remake_3_0</t>
  </si>
  <si>
    <t>BromideNpcNmlRbt08_Remake_4_0</t>
  </si>
  <si>
    <t>FtrWashstandBowl_Remake_2_0</t>
  </si>
  <si>
    <t>TopsTexTopTshirtsHLace0</t>
  </si>
  <si>
    <t>lacy tank</t>
  </si>
  <si>
    <t>White wood &amp; tile</t>
  </si>
  <si>
    <t>BromideNpcNmlRbt08_Remake_5_0</t>
  </si>
  <si>
    <t>FtrWashstandBowl_Remake_3_0</t>
  </si>
  <si>
    <t>TopsTexTopTshirtsNCamisolelace3</t>
  </si>
  <si>
    <t>BromideNpcNmlRbt08_Remake_6_0</t>
  </si>
  <si>
    <t>Gray wood &amp; tile</t>
  </si>
  <si>
    <t>FtrWashstandBowl_Remake_4_0</t>
  </si>
  <si>
    <t>TopsTexTopTshirtsNCamisolelace4</t>
  </si>
  <si>
    <t>BromideNpcNmlRbt08_Remake_7_0</t>
  </si>
  <si>
    <t>Black wood &amp; tile</t>
  </si>
  <si>
    <t>Gigi's photo</t>
  </si>
  <si>
    <t>FtrWashstandBowl_Remake_5_0</t>
  </si>
  <si>
    <t>plain wooden shop sign</t>
  </si>
  <si>
    <t>TopsTexTopTshirtsNCamisolelace0</t>
  </si>
  <si>
    <t>BromideNpcNmlFlg16_Remake_0_0</t>
  </si>
  <si>
    <t>Sign</t>
  </si>
  <si>
    <t>Pet</t>
  </si>
  <si>
    <t>Flier</t>
  </si>
  <si>
    <t>BromideNpcNmlFlg16_Remake_1_0</t>
  </si>
  <si>
    <t>FtrSignWood_Remake_0_0</t>
  </si>
  <si>
    <t>TopsTexTopTshirtsNCamisolelace1</t>
  </si>
  <si>
    <t>BromideNpcNmlFlg16_Remake_2_0</t>
  </si>
  <si>
    <t>Wanted</t>
  </si>
  <si>
    <t>TopsTexTopTshirtsNCamisolelace2</t>
  </si>
  <si>
    <t>layered shirt</t>
  </si>
  <si>
    <t>FtrSignWood_Remake_0_1</t>
  </si>
  <si>
    <t>BromideNpcNmlFlg16_Remake_3_0</t>
  </si>
  <si>
    <t>Ad</t>
  </si>
  <si>
    <t>TopsTexTopTshirtsLLayeredtshirts2</t>
  </si>
  <si>
    <t>BromideNpcNmlFlg16_Remake_4_0</t>
  </si>
  <si>
    <t>BromideNpcNmlFlg16_Remake_5_0</t>
  </si>
  <si>
    <t>FtrSignWood_Remake_0_2</t>
  </si>
  <si>
    <t>TopsTexTopTshirtsLLayeredtshirts3</t>
  </si>
  <si>
    <t>BromideNpcNmlFlg16_Remake_6_0</t>
  </si>
  <si>
    <t>BromideNpcNmlFlg16_Remake_7_0</t>
  </si>
  <si>
    <t>TopsTexTopTshirtsLLayeredtshirts1</t>
  </si>
  <si>
    <t>Gladys's photo</t>
  </si>
  <si>
    <t>BromideNpcNmlOst01_Remake_0_0</t>
  </si>
  <si>
    <t>FtrSignWood_Remake_0_3</t>
  </si>
  <si>
    <t>TopsTexTopTshirtsLLayeredtshirts0</t>
  </si>
  <si>
    <t>layered tank</t>
  </si>
  <si>
    <t>BromideNpcNmlOst01_Remake_1_0</t>
  </si>
  <si>
    <t>FtrSignWood_Remake_1_0</t>
  </si>
  <si>
    <t>BromideNpcNmlOst01_Remake_2_0</t>
  </si>
  <si>
    <t>TopsTexTopTshirtsNCamisole3</t>
  </si>
  <si>
    <t>BromideNpcNmlOst01_Remake_3_0</t>
  </si>
  <si>
    <t>FtrSignWood_Remake_1_1</t>
  </si>
  <si>
    <t>TopsTexTopTshirtsNCamisole4</t>
  </si>
  <si>
    <t>BromideNpcNmlOst01_Remake_4_0</t>
  </si>
  <si>
    <t>TopsTexTopTshirtsNCamisole5</t>
  </si>
  <si>
    <t>FtrSignWood_Remake_1_2</t>
  </si>
  <si>
    <t>BromideNpcNmlOst01_Remake_5_0</t>
  </si>
  <si>
    <t>TopsTexTopTshirtsNCamisole6</t>
  </si>
  <si>
    <t>BromideNpcNmlOst01_Remake_6_0</t>
  </si>
  <si>
    <t>FtrSignWood_Remake_1_3</t>
  </si>
  <si>
    <t>BromideNpcNmlOst01_Remake_7_0</t>
  </si>
  <si>
    <t>Gloria's photo</t>
  </si>
  <si>
    <t>TopsTexTopTshirtsNCamisole7</t>
  </si>
  <si>
    <t>BromideNpcNmlDuk15_Remake_0_0</t>
  </si>
  <si>
    <t>BromideNpcNmlDuk15_Remake_1_0</t>
  </si>
  <si>
    <t>TopsTexTopTshirtsNCamisole0</t>
  </si>
  <si>
    <t>FtrSignWood_Remake_2_0</t>
  </si>
  <si>
    <t>BromideNpcNmlDuk15_Remake_2_0</t>
  </si>
  <si>
    <t>TopsTexTopTshirtsNCamisole1</t>
  </si>
  <si>
    <t>BromideNpcNmlDuk15_Remake_3_0</t>
  </si>
  <si>
    <t>TopsTexTopTshirtsNCamisole2</t>
  </si>
  <si>
    <t>leopard tee</t>
  </si>
  <si>
    <t>FtrSignWood_Remake_2_1</t>
  </si>
  <si>
    <t>BromideNpcNmlDuk15_Remake_4_0</t>
  </si>
  <si>
    <t>TopsTexTopTshirtsHLeopard1</t>
  </si>
  <si>
    <t>BromideNpcNmlDuk15_Remake_5_0</t>
  </si>
  <si>
    <t>FtrSignWood_Remake_2_2</t>
  </si>
  <si>
    <t>BromideNpcNmlDuk15_Remake_6_0</t>
  </si>
  <si>
    <t>TopsTexTopTshirtsHLeopard2</t>
  </si>
  <si>
    <t>BromideNpcNmlDuk15_Remake_7_0</t>
  </si>
  <si>
    <t>Goldie's photo</t>
  </si>
  <si>
    <t>TopsTexTopTshirtsHLeopard3</t>
  </si>
  <si>
    <t>BromideNpcNmlDog00_Remake_0_0</t>
  </si>
  <si>
    <t>TopsTexTopTshirtsHLeopard0</t>
  </si>
  <si>
    <t>letter jacket</t>
  </si>
  <si>
    <t>FtrSignWood_Remake_2_3</t>
  </si>
  <si>
    <t>plastic pool</t>
  </si>
  <si>
    <t>BromideNpcNmlDog00_Remake_1_0</t>
  </si>
  <si>
    <t>TopsTexTopOuterLStajan1</t>
  </si>
  <si>
    <t>BromideNpcNmlDog00_Remake_2_0</t>
  </si>
  <si>
    <t>BromideNpcNmlDog00_Remake_3_0</t>
  </si>
  <si>
    <t>FtrGardenpool_Remake_0_0</t>
  </si>
  <si>
    <t>TopsTexTopOuterLStajan2</t>
  </si>
  <si>
    <t>BromideNpcNmlDog00_Remake_4_0</t>
  </si>
  <si>
    <t>BromideNpcNmlDog00_Remake_5_0</t>
  </si>
  <si>
    <t>TopsTexTopOuterLStajan3</t>
  </si>
  <si>
    <t>BromideNpcNmlDog00_Remake_6_0</t>
  </si>
  <si>
    <t>TopsTexTopOuterLStajan0</t>
  </si>
  <si>
    <t>madras plaid shirt</t>
  </si>
  <si>
    <t>FtrGardenpool_Remake_1_0</t>
  </si>
  <si>
    <t>BromideNpcNmlDog00_Remake_7_0</t>
  </si>
  <si>
    <t>Gonzo's photo</t>
  </si>
  <si>
    <t>TopsTexTopYshirtsHMadras0</t>
  </si>
  <si>
    <t>BromideNpcNmlKal04_Remake_0_0</t>
  </si>
  <si>
    <t>TopsTexTopYshirtsHMadras1</t>
  </si>
  <si>
    <t>FtrGardenpool_Remake_2_0</t>
  </si>
  <si>
    <t>TopsTexTopYshirtsHMadras2</t>
  </si>
  <si>
    <t>BromideNpcNmlKal04_Remake_1_0</t>
  </si>
  <si>
    <t>TopsTexTopYshirtsHMadras3</t>
  </si>
  <si>
    <t>FtrGardenpool_Remake_3_0</t>
  </si>
  <si>
    <t>BromideNpcNmlKal04_Remake_2_0</t>
  </si>
  <si>
    <t>TopsTexTopYshirtsHMadras4</t>
  </si>
  <si>
    <t>TopsTexTopYshirtsHMadras5</t>
  </si>
  <si>
    <t>marble-dots tee</t>
  </si>
  <si>
    <t>BromideNpcNmlKal04_Remake_3_0</t>
  </si>
  <si>
    <t>FtrGardenpool_Remake_4_0</t>
  </si>
  <si>
    <t>TopsTexTopTshirtsHMarbledot0</t>
  </si>
  <si>
    <t>BromideNpcNmlKal04_Remake_4_0</t>
  </si>
  <si>
    <t>BromideNpcNmlKal04_Remake_5_0</t>
  </si>
  <si>
    <t>TopsTexTopTshirtsHMarbledot1</t>
  </si>
  <si>
    <t>meme shirt</t>
  </si>
  <si>
    <t>FtrGardenpool_Remake_5_0</t>
  </si>
  <si>
    <t>playground gym</t>
  </si>
  <si>
    <t>BromideNpcNmlKal04_Remake_6_0</t>
  </si>
  <si>
    <t>TopsTexTopTshirtsHMeme1</t>
  </si>
  <si>
    <t>FtrJunglegym_Remake_0_0</t>
  </si>
  <si>
    <t>TopsTexTopTshirtsHMeme2</t>
  </si>
  <si>
    <t>BromideNpcNmlKal04_Remake_7_0</t>
  </si>
  <si>
    <t>Goose's photo</t>
  </si>
  <si>
    <t>TopsTexTopTshirtsHMeme0</t>
  </si>
  <si>
    <t>FtrJunglegym_Remake_1_0</t>
  </si>
  <si>
    <t>BromideNpcNmlChn00_Remake_0_0</t>
  </si>
  <si>
    <t>TopsTexTopTshirtsHMeme3</t>
  </si>
  <si>
    <t>military uniform</t>
  </si>
  <si>
    <t>TopsTexTopCoatLInfantry0</t>
  </si>
  <si>
    <t>BromideNpcNmlChn00_Remake_1_0</t>
  </si>
  <si>
    <t>FtrJunglegym_Remake_2_0</t>
  </si>
  <si>
    <t>TopsTexTopCoatLInfantry1</t>
  </si>
  <si>
    <t>BromideNpcNmlChn00_Remake_2_0</t>
  </si>
  <si>
    <t>FtrJunglegym_Remake_3_0</t>
  </si>
  <si>
    <t>TopsTexTopCoatLInfantry2</t>
  </si>
  <si>
    <t>BromideNpcNmlChn00_Remake_3_0</t>
  </si>
  <si>
    <t>BromideNpcNmlChn00_Remake_4_0</t>
  </si>
  <si>
    <t>TopsTexTopCoatLInfantry3</t>
  </si>
  <si>
    <t>FtrJunglegym_Remake_4_0</t>
  </si>
  <si>
    <t>misty tee</t>
  </si>
  <si>
    <t>podium</t>
  </si>
  <si>
    <t>BromideNpcNmlChn00_Remake_5_0</t>
  </si>
  <si>
    <t>TopsTexTopTshirtsHHaze0</t>
  </si>
  <si>
    <t>mod parka</t>
  </si>
  <si>
    <t>BromideNpcNmlChn00_Remake_6_0</t>
  </si>
  <si>
    <t>TopsTexTopCoatLMod1</t>
  </si>
  <si>
    <t>FtrLectern</t>
  </si>
  <si>
    <t>pond stone</t>
  </si>
  <si>
    <t>TopsTexTopCoatLMod0</t>
  </si>
  <si>
    <t>Mom's hand-knit sweater</t>
  </si>
  <si>
    <t>BromideNpcNmlChn00_Remake_7_0</t>
  </si>
  <si>
    <t>TopsTexTopOuterLMother1</t>
  </si>
  <si>
    <t>Graham's photo</t>
  </si>
  <si>
    <t>FtrStonewaterbowl_Remake_0_0</t>
  </si>
  <si>
    <t>TopsTexTopOuterLMother2</t>
  </si>
  <si>
    <t>BromideNpcNmlHam02_Remake_0_0</t>
  </si>
  <si>
    <t>Mossy</t>
  </si>
  <si>
    <t>TopsTexTopOuterLMother3</t>
  </si>
  <si>
    <t>Teddy bear</t>
  </si>
  <si>
    <t>BromideNpcNmlHam02_Remake_1_0</t>
  </si>
  <si>
    <t>TopsTexTopOuterLMother4</t>
  </si>
  <si>
    <t>FtrStonewaterbowl_Remake_1_0</t>
  </si>
  <si>
    <t>M</t>
  </si>
  <si>
    <t>pool</t>
  </si>
  <si>
    <t>BromideNpcNmlHam02_Remake_2_0</t>
  </si>
  <si>
    <t>TopsTexTopOuterLMother0</t>
  </si>
  <si>
    <t>Accent patch</t>
  </si>
  <si>
    <t>BromideNpcNmlHam02_Remake_3_0</t>
  </si>
  <si>
    <t>TopsTexTopOuterLMother5</t>
  </si>
  <si>
    <t>FtrPool_Remake_0_0</t>
  </si>
  <si>
    <t>BromideNpcNmlHam02_Remake_4_0</t>
  </si>
  <si>
    <t>TopsTexTopOuterLMother6</t>
  </si>
  <si>
    <t>Chicks</t>
  </si>
  <si>
    <t>TopsTexTopOuterLMother7</t>
  </si>
  <si>
    <t>FtrPool_Remake_1_0</t>
  </si>
  <si>
    <t>Mom's handmade apron</t>
  </si>
  <si>
    <t>BromideNpcNmlHam02_Remake_5_0</t>
  </si>
  <si>
    <t>Forest print</t>
  </si>
  <si>
    <t>TopsTexTopCoatLMother6</t>
  </si>
  <si>
    <t>FtrPool_Remake_2_0</t>
  </si>
  <si>
    <t>BromideNpcNmlHam02_Remake_6_0</t>
  </si>
  <si>
    <t>poolside bed</t>
  </si>
  <si>
    <t>TopsTexTopCoatLMother0</t>
  </si>
  <si>
    <t>Bed mat</t>
  </si>
  <si>
    <t>Animals</t>
  </si>
  <si>
    <t>TopsTexTopCoatLMother2</t>
  </si>
  <si>
    <t>BromideNpcNmlHam02_Remake_7_0</t>
  </si>
  <si>
    <t>Greta's photo</t>
  </si>
  <si>
    <t>FtrPoolsidebed_Remake_0_0</t>
  </si>
  <si>
    <t>Family</t>
  </si>
  <si>
    <t>TopsTexTopCoatLMother7</t>
  </si>
  <si>
    <t>BromideNpcNmlMus16_Remake_0_0</t>
  </si>
  <si>
    <t>TopsTexTopCoatLMother1</t>
  </si>
  <si>
    <t>FtrPoolsidebed_Remake_0_1</t>
  </si>
  <si>
    <t>BromideNpcNmlMus16_Remake_1_0</t>
  </si>
  <si>
    <t>TopsTexTopCoatLMother3</t>
  </si>
  <si>
    <t>FtrPoolsidebed_Remake_0_2</t>
  </si>
  <si>
    <t>TopsTexTopCoatLMother4</t>
  </si>
  <si>
    <t>BromideNpcNmlMus16_Remake_2_0</t>
  </si>
  <si>
    <t>TopsTexTopCoatLMother5</t>
  </si>
  <si>
    <t>BromideNpcNmlMus16_Remake_3_0</t>
  </si>
  <si>
    <t>morning coat</t>
  </si>
  <si>
    <t>FtrPoolsidebed_Remake_0_3</t>
  </si>
  <si>
    <t>TopsTexTopCoatLMorningcoatBlack</t>
  </si>
  <si>
    <t>mountain parka</t>
  </si>
  <si>
    <t>BromideNpcNmlMus16_Remake_4_0</t>
  </si>
  <si>
    <t>TopsTexTopYshirtsLMountain1</t>
  </si>
  <si>
    <t>FtrPoolsidebed_Remake_0_4</t>
  </si>
  <si>
    <t>BromideNpcNmlMus16_Remake_5_0</t>
  </si>
  <si>
    <t>TopsTexTopYshirtsLMountain0</t>
  </si>
  <si>
    <t>BromideNpcNmlMus16_Remake_6_0</t>
  </si>
  <si>
    <t>FtrPoolsidebed_Remake_1_0</t>
  </si>
  <si>
    <t>TopsTexTopYshirtsLMountain2</t>
  </si>
  <si>
    <t>TopsTexTopYshirtsLMountain3</t>
  </si>
  <si>
    <t>multipurpose vest</t>
  </si>
  <si>
    <t>BromideNpcNmlMus16_Remake_7_0</t>
  </si>
  <si>
    <t>Grizzly's photo</t>
  </si>
  <si>
    <t>FtrPoolsidebed_Remake_1_1</t>
  </si>
  <si>
    <t>TopsTexTopYshirtsLMultivest1</t>
  </si>
  <si>
    <t>BromideNpcNmlBea09_Remake_0_0</t>
  </si>
  <si>
    <t>TopsTexTopYshirtsLMultivest2</t>
  </si>
  <si>
    <t>BromideNpcNmlBea09_Remake_1_0</t>
  </si>
  <si>
    <t>FtrPoolsidebed_Remake_1_2</t>
  </si>
  <si>
    <t>TopsTexTopYshirtsLMultivest0</t>
  </si>
  <si>
    <t>muscle tank</t>
  </si>
  <si>
    <t>BromideNpcNmlBea09_Remake_2_0</t>
  </si>
  <si>
    <t>FtrPoolsidebed_Remake_1_3</t>
  </si>
  <si>
    <t>TopsTexTopTshirtsNMuscle1</t>
  </si>
  <si>
    <t>TopsTexTopTshirtsNMuscle2</t>
  </si>
  <si>
    <t>FtrPoolsidebed_Remake_1_4</t>
  </si>
  <si>
    <t>BromideNpcNmlBea09_Remake_3_0</t>
  </si>
  <si>
    <t>TopsTexTopTshirtsNMuscle3</t>
  </si>
  <si>
    <t>TopsTexTopTshirtsNMuscle4</t>
  </si>
  <si>
    <t>FtrPoolsidebed_Remake_2_0</t>
  </si>
  <si>
    <t>BromideNpcNmlBea09_Remake_4_0</t>
  </si>
  <si>
    <t>TopsTexTopTshirtsNMuscle5</t>
  </si>
  <si>
    <t>FtrPoolsidebed_Remake_2_1</t>
  </si>
  <si>
    <t>TopsTexTopTshirtsNMuscle6</t>
  </si>
  <si>
    <t>BromideNpcNmlBea09_Remake_5_0</t>
  </si>
  <si>
    <t>TopsTexTopTshirtsNMuscle7</t>
  </si>
  <si>
    <t>FtrPoolsidebed_Remake_2_2</t>
  </si>
  <si>
    <t>TopsTexTopTshirtsNMuscle0</t>
  </si>
  <si>
    <t>music-fest shirt</t>
  </si>
  <si>
    <t>BromideNpcNmlBea09_Remake_6_0</t>
  </si>
  <si>
    <t>TopsTexTopTshirtsLLive1</t>
  </si>
  <si>
    <t>FtrPoolsidebed_Remake_2_3</t>
  </si>
  <si>
    <t>TopsTexTopTshirtsLLive2</t>
  </si>
  <si>
    <t>BromideNpcNmlBea09_Remake_7_0</t>
  </si>
  <si>
    <t>Groucho's photo</t>
  </si>
  <si>
    <t>TopsTexTopTshirtsLLive3</t>
  </si>
  <si>
    <t>FtrPoolsidebed_Remake_2_4</t>
  </si>
  <si>
    <t>popcorn machine</t>
  </si>
  <si>
    <t>TopsTexTopTshirtsLLive0</t>
  </si>
  <si>
    <t>MVP tee</t>
  </si>
  <si>
    <t>BromideNpcNmlBea06_Remake_0_0</t>
  </si>
  <si>
    <t>FtrPopcornmachine_Remake_0_0</t>
  </si>
  <si>
    <t>TopsTexTopTshirtsHMvp0</t>
  </si>
  <si>
    <t>ni hao tee</t>
  </si>
  <si>
    <t>TopsTexTopTshirtsHHelloch0</t>
  </si>
  <si>
    <t>nine-ball tee</t>
  </si>
  <si>
    <t>BromideNpcNmlBea06_Remake_1_0</t>
  </si>
  <si>
    <t>FtrPopcornmachine_Remake_1_0</t>
  </si>
  <si>
    <t>TopsTexTopTshirtsHNumberball9</t>
  </si>
  <si>
    <t>No. 1 shirt</t>
  </si>
  <si>
    <t>BromideNpcNmlBea06_Remake_2_0</t>
  </si>
  <si>
    <t>FtrPopcornmachine_Remake_2_0</t>
  </si>
  <si>
    <t>TopsTexTopTshirtsHOne0</t>
  </si>
  <si>
    <t>No. 2 shirt</t>
  </si>
  <si>
    <t>BromideNpcNmlBea06_Remake_3_0</t>
  </si>
  <si>
    <t>TopsTexTopTshirtsHTwo0</t>
  </si>
  <si>
    <t>No. 3 shirt</t>
  </si>
  <si>
    <t>FtrPopcornmachine_Remake_3_0</t>
  </si>
  <si>
    <t>BromideNpcNmlBea06_Remake_4_0</t>
  </si>
  <si>
    <t>TopsTexTopTshirtsHThree0</t>
  </si>
  <si>
    <t>FtrPopcornmachine_Remake_4_0</t>
  </si>
  <si>
    <t>No. 4 shirt</t>
  </si>
  <si>
    <t>portable toilet</t>
  </si>
  <si>
    <t>BromideNpcNmlBea06_Remake_5_0</t>
  </si>
  <si>
    <t>TopsTexTopTshirtsHFour0</t>
  </si>
  <si>
    <t>noble coat</t>
  </si>
  <si>
    <t>FtrWCPortable_Remake_0_0</t>
  </si>
  <si>
    <t>BromideNpcNmlBea06_Remake_6_0</t>
  </si>
  <si>
    <t>TopsTexTopCoatLNoble2</t>
  </si>
  <si>
    <t>FtrWCPortable_Remake_1_0</t>
  </si>
  <si>
    <t>BromideNpcNmlBea06_Remake_7_0</t>
  </si>
  <si>
    <t>Gruff's photo</t>
  </si>
  <si>
    <t>TopsTexTopCoatLNoble3</t>
  </si>
  <si>
    <t>FtrWCPortable_Remake_2_0</t>
  </si>
  <si>
    <t>Yellow-green</t>
  </si>
  <si>
    <t>TopsTexTopCoatLNoble4</t>
  </si>
  <si>
    <t>BromideNpcNmlGoa04_Remake_0_0</t>
  </si>
  <si>
    <t>FtrWCPortable_Remake_3_0</t>
  </si>
  <si>
    <t>TopsTexTopCoatLNoble5</t>
  </si>
  <si>
    <t>TopsTexTopCoatLNoble6</t>
  </si>
  <si>
    <t>BromideNpcNmlGoa04_Remake_1_0</t>
  </si>
  <si>
    <t>FtrWCPortable_Remake_4_0</t>
  </si>
  <si>
    <t>public bench</t>
  </si>
  <si>
    <t>TopsTexTopCoatLNoble7</t>
  </si>
  <si>
    <t>TopsTexTopCoatLNoble0</t>
  </si>
  <si>
    <t>BromideNpcNmlGoa04_Remake_2_0</t>
  </si>
  <si>
    <t>Ruby red</t>
  </si>
  <si>
    <t>FtrPublicbench_Remake_0_0</t>
  </si>
  <si>
    <t>TopsTexTopCoatLNoble1</t>
  </si>
  <si>
    <t>Nook Inc. aloha shirt</t>
  </si>
  <si>
    <t>BromideNpcNmlGoa04_Remake_3_0</t>
  </si>
  <si>
    <t>FtrPublicbench_Remake_1_0</t>
  </si>
  <si>
    <t>TopsTexTopTshirtsHRco</t>
  </si>
  <si>
    <t>Nook Inc. blouson</t>
  </si>
  <si>
    <t>BromideNpcNmlGoa04_Remake_4_0</t>
  </si>
  <si>
    <t>FtrPublicbench_Remake_2_0</t>
  </si>
  <si>
    <t>TopsTexTopOuterLRco</t>
  </si>
  <si>
    <t>Nook Inc. tee</t>
  </si>
  <si>
    <t>BromideNpcNmlGoa04_Remake_5_0</t>
  </si>
  <si>
    <t>FtrPublicbench_Remake_3_0</t>
  </si>
  <si>
    <t>Blue &amp; yellow</t>
  </si>
  <si>
    <t>TopsTexTopTshirtsHNook0</t>
  </si>
  <si>
    <t>nurse's jacket</t>
  </si>
  <si>
    <t>BromideNpcNmlGoa04_Remake_6_0</t>
  </si>
  <si>
    <t>FtrPublicbench_Remake_4_0</t>
  </si>
  <si>
    <t>TopsTexTopYshirtsHNurse1</t>
  </si>
  <si>
    <t>BromideNpcNmlGoa04_Remake_7_0</t>
  </si>
  <si>
    <t>Gwen's photo</t>
  </si>
  <si>
    <t>FtrPublicbench_Remake_5_0</t>
  </si>
  <si>
    <t>TopsTexTopYshirtsHNurse2</t>
  </si>
  <si>
    <t>Light blue &amp; pink</t>
  </si>
  <si>
    <t>BromideNpcNmlPgn05_Remake_0_0</t>
  </si>
  <si>
    <t>FtrPublicbench_Remake_6_0</t>
  </si>
  <si>
    <t>TopsTexTopYshirtsHNurse0</t>
  </si>
  <si>
    <t>nylon jacket</t>
  </si>
  <si>
    <t>BromideNpcNmlPgn05_Remake_1_0</t>
  </si>
  <si>
    <t>FtrPublicbench_Remake_7_0</t>
  </si>
  <si>
    <t>pull-up-bar stand</t>
  </si>
  <si>
    <t>TopsTexTopYshirtsLCoach1</t>
  </si>
  <si>
    <t>BromideNpcNmlPgn05_Remake_2_0</t>
  </si>
  <si>
    <t>FtrPullupstand_Remake_0_0</t>
  </si>
  <si>
    <t>TopsTexTopYshirtsLCoach2</t>
  </si>
  <si>
    <t>BromideNpcNmlPgn05_Remake_3_0</t>
  </si>
  <si>
    <t>FtrPullupstand_Remake_1_0</t>
  </si>
  <si>
    <t>TopsTexTopYshirtsLCoach0</t>
  </si>
  <si>
    <t>BromideNpcNmlPgn05_Remake_4_0</t>
  </si>
  <si>
    <t>FtrPullupstand_Remake_2_0</t>
  </si>
  <si>
    <t>TopsTexTopYshirtsLCoach3</t>
  </si>
  <si>
    <t>oilskin coat</t>
  </si>
  <si>
    <t>BromideNpcNmlPgn05_Remake_5_0</t>
  </si>
  <si>
    <t>FtrPullupstand_Remake_3_0</t>
  </si>
  <si>
    <t>punching bag</t>
  </si>
  <si>
    <t>TopsTexTopCoatLOilskin1</t>
  </si>
  <si>
    <t>BromideNpcNmlPgn05_Remake_6_0</t>
  </si>
  <si>
    <t>TopsTexTopCoatLOilskin2</t>
  </si>
  <si>
    <t>FtrSandbag_Remake_0_0</t>
  </si>
  <si>
    <t>BromideNpcNmlPgn05_Remake_7_0</t>
  </si>
  <si>
    <t>Hamlet's photo</t>
  </si>
  <si>
    <t>TopsTexTopCoatLOilskin0</t>
  </si>
  <si>
    <t>FtrSandbag_Remake_1_0</t>
  </si>
  <si>
    <t>OK Motors jacket</t>
  </si>
  <si>
    <t>BromideNpcNmlHam00_Remake_0_0</t>
  </si>
  <si>
    <t>TopsTexTopYshirtsHOkmotors0</t>
  </si>
  <si>
    <t>old-school jacket</t>
  </si>
  <si>
    <t>BromideNpcNmlHam00_Remake_1_0</t>
  </si>
  <si>
    <t>TopsTexTopOuterLRepresent1</t>
  </si>
  <si>
    <t>FtrSandbag_Remake_2_0</t>
  </si>
  <si>
    <t>pyramid</t>
  </si>
  <si>
    <t>BromideNpcNmlHam00_Remake_2_0</t>
  </si>
  <si>
    <t>TopsTexTopOuterLRepresent0</t>
  </si>
  <si>
    <t>BromideNpcNmlHam00_Remake_3_0</t>
  </si>
  <si>
    <t>FtrPyramid</t>
  </si>
  <si>
    <t>TopsTexTopOuterLRepresent2</t>
  </si>
  <si>
    <t>raccoon figurine</t>
  </si>
  <si>
    <t>one-ball tee</t>
  </si>
  <si>
    <t>BromideNpcNmlHam00_Remake_4_0</t>
  </si>
  <si>
    <t>BromideNpcNmlHam00_Remake_5_0</t>
  </si>
  <si>
    <t>TopsTexTopTshirtsHNumberball1</t>
  </si>
  <si>
    <t>FtrOrnamentTanuki</t>
  </si>
  <si>
    <t>open-collar shirt</t>
  </si>
  <si>
    <t>rattan armchair</t>
  </si>
  <si>
    <t>BromideNpcNmlHam00_Remake_6_0</t>
  </si>
  <si>
    <t>Coral</t>
  </si>
  <si>
    <t>TopsTexTopYshirtsLOpencollar0</t>
  </si>
  <si>
    <t>BromideNpcNmlHam00_Remake_7_0</t>
  </si>
  <si>
    <t>FtrRattanChairS_Remake_0_0</t>
  </si>
  <si>
    <t>Hamphrey's photo</t>
  </si>
  <si>
    <t>BromideNpcNmlHam07_Remake_0_0</t>
  </si>
  <si>
    <t>TopsTexTopYshirtsLOpencollar1</t>
  </si>
  <si>
    <t>BromideNpcNmlHam07_Remake_1_0</t>
  </si>
  <si>
    <t>TopsTexTopYshirtsLOpencollar2</t>
  </si>
  <si>
    <t>FtrRattanChairS_Remake_1_0</t>
  </si>
  <si>
    <t>BromideNpcNmlHam07_Remake_2_0</t>
  </si>
  <si>
    <t>TopsTexTopYshirtsLOpencollar3</t>
  </si>
  <si>
    <t>oversized shawl overshirt</t>
  </si>
  <si>
    <t>TopsTexTopYshirtsHBigstole1</t>
  </si>
  <si>
    <t>BromideNpcNmlHam07_Remake_3_0</t>
  </si>
  <si>
    <t>TopsTexTopYshirtsHBigstole2</t>
  </si>
  <si>
    <t>FtrRattanChairS_Remake_2_0</t>
  </si>
  <si>
    <t>TopsTexTopYshirtsHBigstole0</t>
  </si>
  <si>
    <t>parka undercoat</t>
  </si>
  <si>
    <t>BromideNpcNmlHam07_Remake_4_0</t>
  </si>
  <si>
    <t>TopsTexTopCoatLInparker0</t>
  </si>
  <si>
    <t>BromideNpcNmlHam07_Remake_5_0</t>
  </si>
  <si>
    <t>FtrRattanChairS_Remake_3_0</t>
  </si>
  <si>
    <t>TopsTexTopCoatLInparker1</t>
  </si>
  <si>
    <t>BromideNpcNmlHam07_Remake_6_0</t>
  </si>
  <si>
    <t>TopsTexTopCoatLInparker2</t>
  </si>
  <si>
    <t>TopsTexTopCoatLInparker3</t>
  </si>
  <si>
    <t>FtrRattanChairS_Remake_4_0</t>
  </si>
  <si>
    <t>BromideNpcNmlHam07_Remake_7_0</t>
  </si>
  <si>
    <t>Hans's photo</t>
  </si>
  <si>
    <t>TopsTexTopCoatLInparker4</t>
  </si>
  <si>
    <t>BromideNpcNmlGor10_Remake_0_0</t>
  </si>
  <si>
    <t>TopsTexTopCoatLInparker5</t>
  </si>
  <si>
    <t>patchwork coat</t>
  </si>
  <si>
    <t>FtrRattanChairS_Remake_5_0</t>
  </si>
  <si>
    <t>rattan bed</t>
  </si>
  <si>
    <t>BromideNpcNmlGor10_Remake_1_0</t>
  </si>
  <si>
    <t>TopsTexTopCoatLPatchwork0</t>
  </si>
  <si>
    <t>BromideNpcNmlGor10_Remake_2_0</t>
  </si>
  <si>
    <t>FtrRattanBedW_Remake_0_0</t>
  </si>
  <si>
    <t>TopsTexTopCoatLPatchwork1</t>
  </si>
  <si>
    <t>BromideNpcNmlGor10_Remake_3_0</t>
  </si>
  <si>
    <t>BromideNpcNmlGor10_Remake_4_0</t>
  </si>
  <si>
    <t>TopsTexTopCoatLPatchwork2</t>
  </si>
  <si>
    <t>peacoat</t>
  </si>
  <si>
    <t>FtrRattanBedW_Remake_1_0</t>
  </si>
  <si>
    <t>BromideNpcNmlGor10_Remake_5_0</t>
  </si>
  <si>
    <t>BromideNpcNmlGor10_Remake_6_0</t>
  </si>
  <si>
    <t>TopsTexTopCoatLDuffleRed</t>
  </si>
  <si>
    <t>BromideNpcNmlGor10_Remake_7_0</t>
  </si>
  <si>
    <t>Harry's photo</t>
  </si>
  <si>
    <t>FtrRattanBedW_Remake_2_0</t>
  </si>
  <si>
    <t>BromideNpcNmlHip08_Remake_0_0</t>
  </si>
  <si>
    <t>TopsTexTopCoatLDuffleBeige</t>
  </si>
  <si>
    <t>BromideNpcNmlHip08_Remake_1_0</t>
  </si>
  <si>
    <t>TopsTexTopCoatLDuffleGray</t>
  </si>
  <si>
    <t>BromideNpcNmlHip08_Remake_2_0</t>
  </si>
  <si>
    <t>FtrRattanBedW_Remake_3_0</t>
  </si>
  <si>
    <t>BromideNpcNmlHip08_Remake_3_0</t>
  </si>
  <si>
    <t>TopsTexTopCoatLDuffleNavy</t>
  </si>
  <si>
    <t>peasant blouse</t>
  </si>
  <si>
    <t>BromideNpcNmlHip08_Remake_4_0</t>
  </si>
  <si>
    <t>BromideNpcNmlHip08_Remake_5_0</t>
  </si>
  <si>
    <t>FtrRattanBedW_Remake_4_0</t>
  </si>
  <si>
    <t>TopsTexTopTshirtsLPeasant1</t>
  </si>
  <si>
    <t>BromideNpcNmlHip08_Remake_6_0</t>
  </si>
  <si>
    <t>BromideNpcNmlHip08_Remake_7_0</t>
  </si>
  <si>
    <t>TopsTexTopTshirtsLPeasant2</t>
  </si>
  <si>
    <t>Hazel's photo</t>
  </si>
  <si>
    <t>FtrRattanBedW_Remake_5_0</t>
  </si>
  <si>
    <t>BromideNpcNmlSqu18_Remake_0_0</t>
  </si>
  <si>
    <t>rattan end table</t>
  </si>
  <si>
    <t>TopsTexTopTshirtsLPeasant3</t>
  </si>
  <si>
    <t>BromideNpcNmlSqu18_Remake_1_0</t>
  </si>
  <si>
    <t>BromideNpcNmlSqu18_Remake_2_0</t>
  </si>
  <si>
    <t>TopsTexTopTshirtsLPeasant4</t>
  </si>
  <si>
    <t>FtrRattanTableS_Remake_0_0</t>
  </si>
  <si>
    <t>TopsTexTopTshirtsLPeasant0</t>
  </si>
  <si>
    <t>pineapple aloha shirt</t>
  </si>
  <si>
    <t>BromideNpcNmlSqu18_Remake_3_0</t>
  </si>
  <si>
    <t>TopsTexTopYshirtsHAloha6</t>
  </si>
  <si>
    <t>BromideNpcNmlSqu18_Remake_4_0</t>
  </si>
  <si>
    <t>FtrRattanTableS_Remake_1_0</t>
  </si>
  <si>
    <t>TopsTexTopYshirtsHAloha1</t>
  </si>
  <si>
    <t>TopsTexTopYshirtsHAloha2</t>
  </si>
  <si>
    <t>BromideNpcNmlSqu18_Remake_5_0</t>
  </si>
  <si>
    <t>TopsTexTopYshirtsHAloha3</t>
  </si>
  <si>
    <t>BromideNpcNmlSqu18_Remake_6_0</t>
  </si>
  <si>
    <t>FtrRattanTableS_Remake_2_0</t>
  </si>
  <si>
    <t>TopsTexTopYshirtsHAloha0</t>
  </si>
  <si>
    <t>BromideNpcNmlSqu18_Remake_7_0</t>
  </si>
  <si>
    <t>Henry's photo</t>
  </si>
  <si>
    <t>BromideNpcNmlFlg19_Remake_0_0</t>
  </si>
  <si>
    <t>TopsTexTopYshirtsHAloha4</t>
  </si>
  <si>
    <t>FtrRattanTableS_Remake_3_0</t>
  </si>
  <si>
    <t>TopsTexTopYshirtsHAloha5</t>
  </si>
  <si>
    <t>plaid puffed-sleeve shirt</t>
  </si>
  <si>
    <t>BromideNpcNmlFlg19_Remake_1_0</t>
  </si>
  <si>
    <t>Fancy plaid</t>
  </si>
  <si>
    <t>TopsTexTopPuffHPlaid0</t>
  </si>
  <si>
    <t>BromideNpcNmlFlg19_Remake_2_0</t>
  </si>
  <si>
    <t>Energetic plaid</t>
  </si>
  <si>
    <t>TopsTexTopPuffHPlaid1</t>
  </si>
  <si>
    <t>FtrRattanTableS_Remake_4_0</t>
  </si>
  <si>
    <t>BromideNpcNmlFlg19_Remake_3_0</t>
  </si>
  <si>
    <t>Dreamy plaid</t>
  </si>
  <si>
    <t>TopsTexTopPuffHPlaid2</t>
  </si>
  <si>
    <t>BromideNpcNmlFlg19_Remake_4_0</t>
  </si>
  <si>
    <t>Sweet plaid</t>
  </si>
  <si>
    <t>FtrRattanTableS_Remake_5_0</t>
  </si>
  <si>
    <t>TopsTexTopPuffHPlaid3</t>
  </si>
  <si>
    <t>rattan low table</t>
  </si>
  <si>
    <t>pleather trench coat</t>
  </si>
  <si>
    <t>BromideNpcNmlFlg19_Remake_5_0</t>
  </si>
  <si>
    <t>TopsTexTopCoatLLeathertrench1</t>
  </si>
  <si>
    <t>FtrRattanTableM_Remake_0_0</t>
  </si>
  <si>
    <t>TopsTexTopCoatLLeathertrench2</t>
  </si>
  <si>
    <t>BromideNpcNmlFlg19_Remake_6_0</t>
  </si>
  <si>
    <t>TopsTexTopCoatLLeathertrench0</t>
  </si>
  <si>
    <t>plover cardigan</t>
  </si>
  <si>
    <t>FtrRattanTableM_Remake_1_0</t>
  </si>
  <si>
    <t>BromideNpcNmlFlg19_Remake_7_0</t>
  </si>
  <si>
    <t>TopsTexTopTshirtsLChidori1</t>
  </si>
  <si>
    <t>Hippeux's photo</t>
  </si>
  <si>
    <t>TopsTexTopTshirtsLChidori2</t>
  </si>
  <si>
    <t>BromideNpcNmlHip09_Remake_0_0</t>
  </si>
  <si>
    <t>FtrRattanTableM_Remake_2_0</t>
  </si>
  <si>
    <t>TopsTexTopTshirtsLChidori0</t>
  </si>
  <si>
    <t>plushie-muffler coat</t>
  </si>
  <si>
    <t>BromideNpcNmlHip09_Remake_1_0</t>
  </si>
  <si>
    <t>TopsTexTopCoatLDoll2</t>
  </si>
  <si>
    <t>FtrRattanTableM_Remake_3_0</t>
  </si>
  <si>
    <t>BromideNpcNmlHip09_Remake_2_0</t>
  </si>
  <si>
    <t>TopsTexTopCoatLDoll0</t>
  </si>
  <si>
    <t>BromideNpcNmlHip09_Remake_3_0</t>
  </si>
  <si>
    <t>FtrRattanTableM_Remake_4_0</t>
  </si>
  <si>
    <t>BromideNpcNmlHip09_Remake_4_0</t>
  </si>
  <si>
    <t>TopsTexTopCoatLDoll1</t>
  </si>
  <si>
    <t>pocket tee</t>
  </si>
  <si>
    <t>BromideNpcNmlHip09_Remake_5_0</t>
  </si>
  <si>
    <t>TopsTexTopTshirtsHPocketshirts1</t>
  </si>
  <si>
    <t>BromideNpcNmlHip09_Remake_6_0</t>
  </si>
  <si>
    <t>FtrRattanTableM_Remake_5_0</t>
  </si>
  <si>
    <t>TopsTexTopTshirtsHPocketshirts2</t>
  </si>
  <si>
    <t>rattan stool</t>
  </si>
  <si>
    <t>BromideNpcNmlHip09_Remake_7_0</t>
  </si>
  <si>
    <t>TopsTexTopTshirtsHPocketshirts3</t>
  </si>
  <si>
    <t>Hopkins's photo</t>
  </si>
  <si>
    <t>TopsTexTopTshirtsHPocketshirts4</t>
  </si>
  <si>
    <t>FtrRattanStool_Remake_0_0</t>
  </si>
  <si>
    <t>BromideNpcNmlRbt14_Remake_0_0</t>
  </si>
  <si>
    <t>TopsTexTopTshirtsHPocketshirts5</t>
  </si>
  <si>
    <t>BromideNpcNmlRbt14_Remake_1_0</t>
  </si>
  <si>
    <t>TopsTexTopTshirtsHPocketshirts6</t>
  </si>
  <si>
    <t>FtrRattanStool_Remake_1_0</t>
  </si>
  <si>
    <t>BromideNpcNmlRbt14_Remake_2_0</t>
  </si>
  <si>
    <t>TopsTexTopTshirtsHPocketshirts7</t>
  </si>
  <si>
    <t>BromideNpcNmlRbt14_Remake_3_0</t>
  </si>
  <si>
    <t>TopsTexTopTshirtsHPocketshirts0</t>
  </si>
  <si>
    <t>polo shirt</t>
  </si>
  <si>
    <t>BromideNpcNmlRbt14_Remake_4_0</t>
  </si>
  <si>
    <t>TopsTexTopYshirtsHPolo1</t>
  </si>
  <si>
    <t>FtrRattanStool_Remake_2_0</t>
  </si>
  <si>
    <t>BromideNpcNmlRbt14_Remake_5_0</t>
  </si>
  <si>
    <t>TopsTexTopYshirtsHPolo2</t>
  </si>
  <si>
    <t>BromideNpcNmlRbt14_Remake_6_0</t>
  </si>
  <si>
    <t>TopsTexTopYshirtsHPolo3</t>
  </si>
  <si>
    <t>BromideNpcNmlRbt14_Remake_7_0</t>
  </si>
  <si>
    <t>Hopper's photo</t>
  </si>
  <si>
    <t>TopsTexTopYshirtsHPolo0</t>
  </si>
  <si>
    <t>FtrRattanStool_Remake_3_0</t>
  </si>
  <si>
    <t>TopsTexTopYshirtsHPolo4</t>
  </si>
  <si>
    <t>BromideNpcNmlPgn03_Remake_0_0</t>
  </si>
  <si>
    <t>TopsTexTopYshirtsHPolo5</t>
  </si>
  <si>
    <t>BromideNpcNmlPgn03_Remake_1_0</t>
  </si>
  <si>
    <t>BromideNpcNmlPgn03_Remake_2_0</t>
  </si>
  <si>
    <t>TopsTexTopYshirtsHPolo6</t>
  </si>
  <si>
    <t>FtrRattanStool_Remake_4_0</t>
  </si>
  <si>
    <t>BromideNpcNmlPgn03_Remake_3_0</t>
  </si>
  <si>
    <t>TopsTexTopYshirtsHPolo7</t>
  </si>
  <si>
    <t>pom-pom sweater</t>
  </si>
  <si>
    <t>BromideNpcNmlPgn03_Remake_4_0</t>
  </si>
  <si>
    <t>TopsTexTopOuterLBobble1</t>
  </si>
  <si>
    <t>FtrRattanStool_Remake_5_0</t>
  </si>
  <si>
    <t>rattan vanity</t>
  </si>
  <si>
    <t>BromideNpcNmlPgn03_Remake_5_0</t>
  </si>
  <si>
    <t>TopsTexTopOuterLBobble2</t>
  </si>
  <si>
    <t>TopsTexTopOuterLBobble0</t>
  </si>
  <si>
    <t>poncho coat</t>
  </si>
  <si>
    <t>BromideNpcNmlPgn03_Remake_6_0</t>
  </si>
  <si>
    <t>TopsTexTopCoatLPompom0</t>
  </si>
  <si>
    <t>BromideNpcNmlPgn03_Remake_7_0</t>
  </si>
  <si>
    <t>FtrRattanDresser_Remake_0_0</t>
  </si>
  <si>
    <t>Hornsby's photo</t>
  </si>
  <si>
    <t>TopsTexTopCoatLPompom1</t>
  </si>
  <si>
    <t>BromideNpcNmlRhn04_Remake_0_0</t>
  </si>
  <si>
    <t>TopsTexTopCoatLPompom2</t>
  </si>
  <si>
    <t>BromideNpcNmlRhn04_Remake_1_0</t>
  </si>
  <si>
    <t>TopsTexTopCoatLPompom3</t>
  </si>
  <si>
    <t>poncho-style sweater</t>
  </si>
  <si>
    <t>FtrRattanDresser_Remake_1_0</t>
  </si>
  <si>
    <t>BromideNpcNmlRhn04_Remake_2_0</t>
  </si>
  <si>
    <t>TopsTexTopCoatLPoncho0</t>
  </si>
  <si>
    <t>Peacock blue</t>
  </si>
  <si>
    <t>BromideNpcNmlRhn04_Remake_3_0</t>
  </si>
  <si>
    <t>TopsTexTopCoatLPoncho1</t>
  </si>
  <si>
    <t>BromideNpcNmlRhn04_Remake_4_0</t>
  </si>
  <si>
    <t>FtrRattanDresser_Remake_2_0</t>
  </si>
  <si>
    <t>TopsTexTopCoatLPoncho2</t>
  </si>
  <si>
    <t>BromideNpcNmlRhn04_Remake_5_0</t>
  </si>
  <si>
    <t>TopsTexTopCoatLPoncho3</t>
  </si>
  <si>
    <t>BromideNpcNmlRhn04_Remake_6_0</t>
  </si>
  <si>
    <t>TopsTexTopCoatLPoncho4</t>
  </si>
  <si>
    <t>prince's tunic</t>
  </si>
  <si>
    <t>FtrRattanDresser_Remake_3_0</t>
  </si>
  <si>
    <t>TopsTexTopCoatLPrince0</t>
  </si>
  <si>
    <t>BromideNpcNmlRhn04_Remake_7_0</t>
  </si>
  <si>
    <t>Huck's photo</t>
  </si>
  <si>
    <t>TopsTexTopCoatLPrince1</t>
  </si>
  <si>
    <t>BromideNpcNmlFlg11_Remake_0_0</t>
  </si>
  <si>
    <t>TopsTexTopCoatLPrince2</t>
  </si>
  <si>
    <t>BromideNpcNmlFlg11_Remake_1_0</t>
  </si>
  <si>
    <t>FtrRattanDresser_Remake_4_0</t>
  </si>
  <si>
    <t>TopsTexTopCoatLPrince3</t>
  </si>
  <si>
    <t>BromideNpcNmlFlg11_Remake_2_0</t>
  </si>
  <si>
    <t>TopsTexTopCoatLPrince4</t>
  </si>
  <si>
    <t>printed fleece sweater</t>
  </si>
  <si>
    <t>BromideNpcNmlFlg11_Remake_3_0</t>
  </si>
  <si>
    <t>FtrRattanDresser_Remake_5_0</t>
  </si>
  <si>
    <t>rattan wardrobe</t>
  </si>
  <si>
    <t>TopsTexTopOuterLFleece1</t>
  </si>
  <si>
    <t>BromideNpcNmlFlg11_Remake_4_0</t>
  </si>
  <si>
    <t>TopsTexTopOuterLFleece2</t>
  </si>
  <si>
    <t>BromideNpcNmlFlg11_Remake_5_0</t>
  </si>
  <si>
    <t>TopsTexTopOuterLFleece3</t>
  </si>
  <si>
    <t>FtrRattanClosetLR_Remake_0_0</t>
  </si>
  <si>
    <t>BromideNpcNmlFlg11_Remake_6_0</t>
  </si>
  <si>
    <t>TopsTexTopOuterLFleece4</t>
  </si>
  <si>
    <t>BromideNpcNmlFlg11_Remake_7_0</t>
  </si>
  <si>
    <t>Hugh's photo</t>
  </si>
  <si>
    <t>TopsTexTopOuterLFleece0</t>
  </si>
  <si>
    <t>printed layered shirt</t>
  </si>
  <si>
    <t>TopsTexTopTshirtsLLayeredlogoa1</t>
  </si>
  <si>
    <t>BromideNpcNmlPig03_Remake_0_0</t>
  </si>
  <si>
    <t>FtrRattanClosetLR_Remake_1_0</t>
  </si>
  <si>
    <t>BromideNpcNmlPig03_Remake_1_0</t>
  </si>
  <si>
    <t>TopsTexTopTshirtsLLayeredlogoa2</t>
  </si>
  <si>
    <t>FtrRattanClosetLR_Remake_2_0</t>
  </si>
  <si>
    <t>BromideNpcNmlPig03_Remake_2_0</t>
  </si>
  <si>
    <t>TopsTexTopTshirtsLLayeredlogoa0</t>
  </si>
  <si>
    <t>printed-sleeve sweater</t>
  </si>
  <si>
    <t>BromideNpcNmlPig03_Remake_3_0</t>
  </si>
  <si>
    <t>FtrRattanClosetLR_Remake_3_0</t>
  </si>
  <si>
    <t>TopsTexTopTshirtsLLogoa0</t>
  </si>
  <si>
    <t>BromideNpcNmlPig03_Remake_4_0</t>
  </si>
  <si>
    <t>TopsTexTopTshirtsLLogoa1</t>
  </si>
  <si>
    <t>FtrRattanClosetLR_Remake_4_0</t>
  </si>
  <si>
    <t>BromideNpcNmlPig03_Remake_5_0</t>
  </si>
  <si>
    <t>TopsTexTopTshirtsLLogoa2</t>
  </si>
  <si>
    <t>privét tee</t>
  </si>
  <si>
    <t>FtrRattanClosetLR_Remake_5_0</t>
  </si>
  <si>
    <t>rattan waste bin</t>
  </si>
  <si>
    <t>TopsTexTopTshirtsHHellors0</t>
  </si>
  <si>
    <t>puffy vest</t>
  </si>
  <si>
    <t>BromideNpcNmlPig03_Remake_6_0</t>
  </si>
  <si>
    <t>TopsTexTopOuterLDownvest1</t>
  </si>
  <si>
    <t>BromideNpcNmlPig03_Remake_7_0</t>
  </si>
  <si>
    <t>FtrRattanTrashbox_Remake_0_0</t>
  </si>
  <si>
    <t>Iggly's photo</t>
  </si>
  <si>
    <t>TopsTexTopOuterLDownvest2</t>
  </si>
  <si>
    <t>FtrRattanTrashbox_Remake_1_0</t>
  </si>
  <si>
    <t>Olive</t>
  </si>
  <si>
    <t>BromideNpcNmlPgn11_Remake_0_0</t>
  </si>
  <si>
    <t>FtrRattanTrashbox_Remake_2_0</t>
  </si>
  <si>
    <t>TopsTexTopOuterLDownvest3</t>
  </si>
  <si>
    <t>BromideNpcNmlPgn11_Remake_1_0</t>
  </si>
  <si>
    <t>FtrRattanTrashbox_Remake_3_0</t>
  </si>
  <si>
    <t>TopsTexTopOuterLDownvest0</t>
  </si>
  <si>
    <t>BromideNpcNmlPgn11_Remake_2_0</t>
  </si>
  <si>
    <t>TopsTexTopOuterLDownvest4</t>
  </si>
  <si>
    <t>FtrRattanTrashbox_Remake_4_0</t>
  </si>
  <si>
    <t>puffy-sleeve blouse</t>
  </si>
  <si>
    <t>BromideNpcNmlPgn11_Remake_3_0</t>
  </si>
  <si>
    <t>TopsTexTopPuffHFrill0</t>
  </si>
  <si>
    <t>FtrRattanTrashbox_Remake_5_0</t>
  </si>
  <si>
    <t>red corner</t>
  </si>
  <si>
    <t>TopsTexTopPuffHFrill1</t>
  </si>
  <si>
    <t>BromideNpcNmlPgn11_Remake_4_0</t>
  </si>
  <si>
    <t>TopsTexTopPuffHFrill2</t>
  </si>
  <si>
    <t>BromideNpcNmlPgn11_Remake_5_0</t>
  </si>
  <si>
    <t>FtrRingcornerRed_Remake_0_0</t>
  </si>
  <si>
    <t>BromideNpcNmlPgn11_Remake_6_0</t>
  </si>
  <si>
    <t>TopsTexTopPuffHFrill3</t>
  </si>
  <si>
    <t>pullover jacket</t>
  </si>
  <si>
    <t>BromideNpcNmlPgn11_Remake_7_0</t>
  </si>
  <si>
    <t>Ike's photo</t>
  </si>
  <si>
    <t>FtrRingcornerRed_Remake_0_1</t>
  </si>
  <si>
    <t>TopsTexTopOuterLPullover0</t>
  </si>
  <si>
    <t>BromideNpcNmlBea11_Remake_0_0</t>
  </si>
  <si>
    <t>TopsTexTopOuterLPullover1</t>
  </si>
  <si>
    <t>FtrRingcornerRed_Remake_0_2</t>
  </si>
  <si>
    <t>TopsTexTopOuterLPullover2</t>
  </si>
  <si>
    <t>BromideNpcNmlBea11_Remake_1_0</t>
  </si>
  <si>
    <t>FtrRingcornerRed_Remake_0_3</t>
  </si>
  <si>
    <t>TopsTexTopOuterLPullover3</t>
  </si>
  <si>
    <t>BromideNpcNmlBea11_Remake_2_0</t>
  </si>
  <si>
    <t>TopsTexTopOuterLPullover4</t>
  </si>
  <si>
    <t>FtrRingcornerRed_Remake_0_4</t>
  </si>
  <si>
    <t>quilted down jacket</t>
  </si>
  <si>
    <t>BromideNpcNmlBea11_Remake_3_0</t>
  </si>
  <si>
    <t>red-leaf pile</t>
  </si>
  <si>
    <t>TopsTexTopCoatLQuilting0</t>
  </si>
  <si>
    <t>BromideNpcNmlBea11_Remake_4_0</t>
  </si>
  <si>
    <t>FtrFallenleavesRed</t>
  </si>
  <si>
    <t>refrigerator</t>
  </si>
  <si>
    <t>TopsTexTopCoatLQuilting1</t>
  </si>
  <si>
    <t>BromideNpcNmlBea11_Remake_5_0</t>
  </si>
  <si>
    <t>BromideNpcNmlBea11_Remake_6_0</t>
  </si>
  <si>
    <t>TopsTexTopCoatLQuilting2</t>
  </si>
  <si>
    <t>FtrRefrigerator_Remake_0_0</t>
  </si>
  <si>
    <t>BromideNpcNmlBea11_Remake_7_0</t>
  </si>
  <si>
    <t>Jacques's photo</t>
  </si>
  <si>
    <t>FtrRefrigerator_Remake_0_1</t>
  </si>
  <si>
    <t>TopsTexTopCoatLQuilting3</t>
  </si>
  <si>
    <t>BromideNpcNmlBrd16_Remake_0_0</t>
  </si>
  <si>
    <t>Rock</t>
  </si>
  <si>
    <t>BromideNpcNmlBrd16_Remake_1_0</t>
  </si>
  <si>
    <t>TopsTexTopCoatLQuilting4</t>
  </si>
  <si>
    <t>FtrRefrigerator_Remake_0_2</t>
  </si>
  <si>
    <t>quilted jacket</t>
  </si>
  <si>
    <t>BromideNpcNmlBrd16_Remake_2_0</t>
  </si>
  <si>
    <t>TopsTexTopYshirtsLQuilting2</t>
  </si>
  <si>
    <t>FtrRefrigerator_Remake_0_3</t>
  </si>
  <si>
    <t>BromideNpcNmlBrd16_Remake_3_0</t>
  </si>
  <si>
    <t>TopsTexTopYshirtsLQuilting3</t>
  </si>
  <si>
    <t>Notices</t>
  </si>
  <si>
    <t>BromideNpcNmlBrd16_Remake_4_0</t>
  </si>
  <si>
    <t>TopsTexTopYshirtsLQuilting4</t>
  </si>
  <si>
    <t>FtrRefrigerator_Remake_0_4</t>
  </si>
  <si>
    <t>BromideNpcNmlBrd16_Remake_5_0</t>
  </si>
  <si>
    <t>TopsTexTopYshirtsLQuilting0</t>
  </si>
  <si>
    <t>BromideNpcNmlBrd16_Remake_6_0</t>
  </si>
  <si>
    <t>TopsTexTopYshirtsLQuilting1</t>
  </si>
  <si>
    <t>rabbit tee</t>
  </si>
  <si>
    <t>BromideNpcNmlBrd16_Remake_7_0</t>
  </si>
  <si>
    <t>Jakey's photo</t>
  </si>
  <si>
    <t>FtrRefrigerator_Remake_1_0</t>
  </si>
  <si>
    <t>BromideNpcNmlBrd11_Remake_0_0</t>
  </si>
  <si>
    <t>TopsTexTopTshirtsHRabbit0</t>
  </si>
  <si>
    <t>raglan tee</t>
  </si>
  <si>
    <t>BromideNpcNmlBrd11_Remake_1_0</t>
  </si>
  <si>
    <t>FtrRefrigerator_Remake_1_1</t>
  </si>
  <si>
    <t>TopsTexTopTshirtsLRaglan0</t>
  </si>
  <si>
    <t>BromideNpcNmlBrd11_Remake_2_0</t>
  </si>
  <si>
    <t>FtrRefrigerator_Remake_1_2</t>
  </si>
  <si>
    <t>TopsTexTopTshirtsLRaglan1</t>
  </si>
  <si>
    <t>BromideNpcNmlBrd11_Remake_3_0</t>
  </si>
  <si>
    <t>FtrRefrigerator_Remake_1_3</t>
  </si>
  <si>
    <t>BromideNpcNmlBrd11_Remake_4_0</t>
  </si>
  <si>
    <t>TopsTexTopTshirtsLRaglan2</t>
  </si>
  <si>
    <t>BromideNpcNmlBrd11_Remake_5_0</t>
  </si>
  <si>
    <t>TopsTexTopTshirtsLRaglan3</t>
  </si>
  <si>
    <t>FtrRefrigerator_Remake_1_4</t>
  </si>
  <si>
    <t>BromideNpcNmlBrd11_Remake_6_0</t>
  </si>
  <si>
    <t>TopsTexTopTshirtsLRaglan4</t>
  </si>
  <si>
    <t>rainbow sweater</t>
  </si>
  <si>
    <t>BromideNpcNmlBrd11_Remake_7_0</t>
  </si>
  <si>
    <t>FtrRefrigerator_Remake_2_0</t>
  </si>
  <si>
    <t>Jambette's photo</t>
  </si>
  <si>
    <t>TopsTexTopOuterLRainbow1</t>
  </si>
  <si>
    <t>BromideNpcNmlFlg13_Remake_0_0</t>
  </si>
  <si>
    <t>FtrRefrigerator_Remake_2_1</t>
  </si>
  <si>
    <t>TopsTexTopOuterLRainbow2</t>
  </si>
  <si>
    <t>BromideNpcNmlFlg13_Remake_1_0</t>
  </si>
  <si>
    <t>FtrRefrigerator_Remake_2_2</t>
  </si>
  <si>
    <t>TopsTexTopOuterLRainbow3</t>
  </si>
  <si>
    <t>FtrRefrigerator_Remake_2_3</t>
  </si>
  <si>
    <t>BromideNpcNmlFlg13_Remake_2_0</t>
  </si>
  <si>
    <t>TopsTexTopOuterLRainbow4</t>
  </si>
  <si>
    <t>BromideNpcNmlFlg13_Remake_3_0</t>
  </si>
  <si>
    <t>TopsTexTopOuterLRainbow0</t>
  </si>
  <si>
    <t>FtrRefrigerator_Remake_2_4</t>
  </si>
  <si>
    <t>BromideNpcNmlFlg13_Remake_4_0</t>
  </si>
  <si>
    <t>raincoat</t>
  </si>
  <si>
    <t>BromideNpcNmlFlg13_Remake_5_0</t>
  </si>
  <si>
    <t>TopsTexTopCoatLRain0</t>
  </si>
  <si>
    <t>FtrRefrigerator_Remake_3_0</t>
  </si>
  <si>
    <t>BromideNpcNmlFlg13_Remake_6_0</t>
  </si>
  <si>
    <t>TopsTexTopCoatLRain3</t>
  </si>
  <si>
    <t>FtrRefrigerator_Remake_3_1</t>
  </si>
  <si>
    <t>BromideNpcNmlFlg13_Remake_7_0</t>
  </si>
  <si>
    <t>Jay's photo</t>
  </si>
  <si>
    <t>TopsTexTopCoatLRain4</t>
  </si>
  <si>
    <t>BromideNpcNmlBrd00_Remake_0_0</t>
  </si>
  <si>
    <t>TopsTexTopCoatLRain5</t>
  </si>
  <si>
    <t>FtrRefrigerator_Remake_3_2</t>
  </si>
  <si>
    <t>BromideNpcNmlBrd00_Remake_1_0</t>
  </si>
  <si>
    <t>TopsTexTopCoatLRain6</t>
  </si>
  <si>
    <t>BromideNpcNmlBrd00_Remake_2_0</t>
  </si>
  <si>
    <t>TopsTexTopCoatLRain7</t>
  </si>
  <si>
    <t>FtrRefrigerator_Remake_3_3</t>
  </si>
  <si>
    <t>BromideNpcNmlBrd00_Remake_3_0</t>
  </si>
  <si>
    <t>TopsTexTopCoatLRain1</t>
  </si>
  <si>
    <t>FtrRefrigerator_Remake_3_4</t>
  </si>
  <si>
    <t>BromideNpcNmlBrd00_Remake_4_0</t>
  </si>
  <si>
    <t>TopsTexTopCoatLRain2</t>
  </si>
  <si>
    <t>reindeer sweater</t>
  </si>
  <si>
    <t>TopsTexTopOuterLReindeer0</t>
  </si>
  <si>
    <t>BromideNpcNmlBrd00_Remake_5_0</t>
  </si>
  <si>
    <t>TopsTexTopOuterLReindeer1</t>
  </si>
  <si>
    <t>FtrRefrigerator_Remake_4_0</t>
  </si>
  <si>
    <t>BromideNpcNmlBrd00_Remake_6_0</t>
  </si>
  <si>
    <t>TopsTexTopOuterLReindeer2</t>
  </si>
  <si>
    <t>relay tank</t>
  </si>
  <si>
    <t>FtrRefrigerator_Remake_4_1</t>
  </si>
  <si>
    <t>TopsTexTopTshirtsNEkiden1</t>
  </si>
  <si>
    <t>BromideNpcNmlBrd00_Remake_7_0</t>
  </si>
  <si>
    <t>Jeremiah's photo</t>
  </si>
  <si>
    <t>BromideNpcNmlFlg07_Remake_0_0</t>
  </si>
  <si>
    <t>TopsTexTopTshirtsNEkiden2</t>
  </si>
  <si>
    <t>FtrRefrigerator_Remake_4_2</t>
  </si>
  <si>
    <t>BromideNpcNmlFlg07_Remake_1_0</t>
  </si>
  <si>
    <t>TopsTexTopTshirtsNEkiden3</t>
  </si>
  <si>
    <t>FtrRefrigerator_Remake_4_3</t>
  </si>
  <si>
    <t>BromideNpcNmlFlg07_Remake_2_0</t>
  </si>
  <si>
    <t>TopsTexTopTshirtsNEkiden4</t>
  </si>
  <si>
    <t>BromideNpcNmlFlg07_Remake_3_0</t>
  </si>
  <si>
    <t>FtrRefrigerator_Remake_4_4</t>
  </si>
  <si>
    <t>TopsTexTopTshirtsNEkiden5</t>
  </si>
  <si>
    <t>BromideNpcNmlFlg07_Remake_4_0</t>
  </si>
  <si>
    <t>FtrRefrigerator_Remake_5_0</t>
  </si>
  <si>
    <t>TopsTexTopTshirtsNEkiden6</t>
  </si>
  <si>
    <t>BromideNpcNmlFlg07_Remake_5_0</t>
  </si>
  <si>
    <t>FtrRefrigerator_Remake_5_1</t>
  </si>
  <si>
    <t>BromideNpcNmlFlg07_Remake_6_0</t>
  </si>
  <si>
    <t>TopsTexTopTshirtsNEkiden7</t>
  </si>
  <si>
    <t>BromideNpcNmlFlg07_Remake_7_0</t>
  </si>
  <si>
    <t>Jitters's photo</t>
  </si>
  <si>
    <t>FtrRefrigerator_Remake_5_2</t>
  </si>
  <si>
    <t>TopsTexTopTshirtsNEkiden0</t>
  </si>
  <si>
    <t>retro coat</t>
  </si>
  <si>
    <t>BromideNpcNmlBrd04_Remake_0_0</t>
  </si>
  <si>
    <t>TopsTexTopCoatLRetro1</t>
  </si>
  <si>
    <t>BromideNpcNmlBrd04_Remake_1_0</t>
  </si>
  <si>
    <t>FtrRefrigerator_Remake_5_3</t>
  </si>
  <si>
    <t>TopsTexTopCoatLRetro2</t>
  </si>
  <si>
    <t>BromideNpcNmlBrd04_Remake_2_0</t>
  </si>
  <si>
    <t>FtrRefrigerator_Remake_5_4</t>
  </si>
  <si>
    <t>TopsTexTopCoatLRetro3</t>
  </si>
  <si>
    <t>BromideNpcNmlBrd04_Remake_3_0</t>
  </si>
  <si>
    <t>TopsTexTopCoatLRetro0</t>
  </si>
  <si>
    <t>retro sweater</t>
  </si>
  <si>
    <t>FtrRefrigerator_Remake_6_0</t>
  </si>
  <si>
    <t>BromideNpcNmlBrd04_Remake_4_0</t>
  </si>
  <si>
    <t>TopsTexTopOuterLHighsence1</t>
  </si>
  <si>
    <t>FtrRefrigerator_Remake_6_1</t>
  </si>
  <si>
    <t>BromideNpcNmlBrd04_Remake_5_0</t>
  </si>
  <si>
    <t>TopsTexTopOuterLHighsence2</t>
  </si>
  <si>
    <t>BromideNpcNmlBrd04_Remake_6_0</t>
  </si>
  <si>
    <t>FtrRefrigerator_Remake_6_2</t>
  </si>
  <si>
    <t>TopsTexTopOuterLHighsence3</t>
  </si>
  <si>
    <t>BromideNpcNmlBrd04_Remake_7_0</t>
  </si>
  <si>
    <t>FtrRefrigerator_Remake_6_3</t>
  </si>
  <si>
    <t>Joey's photo</t>
  </si>
  <si>
    <t>TopsTexTopOuterLHighsence0</t>
  </si>
  <si>
    <t>ribbon-straps tank</t>
  </si>
  <si>
    <t>BromideNpcNmlDuk01_Remake_0_0</t>
  </si>
  <si>
    <t>FtrRefrigerator_Remake_6_4</t>
  </si>
  <si>
    <t>TopsTexTopYshirtsNRibnoncami0</t>
  </si>
  <si>
    <t>BromideNpcNmlDuk01_Remake_1_0</t>
  </si>
  <si>
    <t>FtrRefrigerator_Remake_7_0</t>
  </si>
  <si>
    <t>TopsTexTopYshirtsNRibnoncami1</t>
  </si>
  <si>
    <t>BromideNpcNmlDuk01_Remake_2_0</t>
  </si>
  <si>
    <t>FtrRefrigerator_Remake_7_1</t>
  </si>
  <si>
    <t>TopsTexTopYshirtsNRibnoncami2</t>
  </si>
  <si>
    <t>royal shirt</t>
  </si>
  <si>
    <t>BromideNpcNmlDuk01_Remake_3_0</t>
  </si>
  <si>
    <t>FtrRefrigerator_Remake_7_2</t>
  </si>
  <si>
    <t>TopsTexTopCoatLKingRed</t>
  </si>
  <si>
    <t>rubber apron</t>
  </si>
  <si>
    <t>TopsTexTopCoatHRubberapron0</t>
  </si>
  <si>
    <t>FtrRefrigerator_Remake_7_3</t>
  </si>
  <si>
    <t>BromideNpcNmlDuk01_Remake_4_0</t>
  </si>
  <si>
    <t>BromideNpcNmlDuk01_Remake_5_0</t>
  </si>
  <si>
    <t>TopsTexTopCoatHRubberapron1</t>
  </si>
  <si>
    <t>safety vest</t>
  </si>
  <si>
    <t>FtrRefrigerator_Remake_7_4</t>
  </si>
  <si>
    <t>retro fan</t>
  </si>
  <si>
    <t>TopsTexTopYshirtsHTraffic0</t>
  </si>
  <si>
    <t>BromideNpcNmlDuk01_Remake_6_0</t>
  </si>
  <si>
    <t>Season sale item</t>
  </si>
  <si>
    <t>FtrFanRetro_Remake_0_0</t>
  </si>
  <si>
    <t>TopsTexTopYshirtsHTraffic1</t>
  </si>
  <si>
    <t>sailor-style shirt</t>
  </si>
  <si>
    <t>BromideNpcNmlDuk01_Remake_7_0</t>
  </si>
  <si>
    <t>FtrFanRetro_Remake_1_0</t>
  </si>
  <si>
    <t>Judy's photo</t>
  </si>
  <si>
    <t>TopsTexTopTshirtsLSailor0</t>
  </si>
  <si>
    <t>BromideNpcNmlCbr19_Remake_0_0</t>
  </si>
  <si>
    <t>FtrFanRetro_Remake_2_0</t>
  </si>
  <si>
    <t>TopsTexTopTshirtsLSailor1</t>
  </si>
  <si>
    <t>retro gas pump</t>
  </si>
  <si>
    <t>Yellow oil</t>
  </si>
  <si>
    <t>BromideNpcNmlCbr19_Remake_1_0</t>
  </si>
  <si>
    <t>TopsTexTopTshirtsLSailor2</t>
  </si>
  <si>
    <t>sailor's tee</t>
  </si>
  <si>
    <t>FtrAmeretroGasstand_Remake_0_0</t>
  </si>
  <si>
    <t>Green with animal</t>
  </si>
  <si>
    <t>TopsTexTopTshirtsHSailor0</t>
  </si>
  <si>
    <t>BromideNpcNmlCbr19_Remake_2_0</t>
  </si>
  <si>
    <t>FtrAmeretroGasstand_Remake_0_1</t>
  </si>
  <si>
    <t>Black retro</t>
  </si>
  <si>
    <t>BromideNpcNmlCbr19_Remake_3_0</t>
  </si>
  <si>
    <t>TopsTexTopTshirtsHSailor1</t>
  </si>
  <si>
    <t>FtrAmeretroGasstand_Remake_0_2</t>
  </si>
  <si>
    <t>BromideNpcNmlCbr19_Remake_4_0</t>
  </si>
  <si>
    <t>TopsTexTopTshirtsHSailor2</t>
  </si>
  <si>
    <t>BromideNpcNmlCbr19_Remake_5_0</t>
  </si>
  <si>
    <t>FtrAmeretroGasstand_Remake_1_0</t>
  </si>
  <si>
    <t>TopsTexTopTshirtsHSailor3</t>
  </si>
  <si>
    <t>BromideNpcNmlCbr19_Remake_6_0</t>
  </si>
  <si>
    <t>FtrAmeretroGasstand_Remake_1_1</t>
  </si>
  <si>
    <t>TopsTexTopTshirtsHSailor4</t>
  </si>
  <si>
    <t>BromideNpcNmlCbr19_Remake_7_0</t>
  </si>
  <si>
    <t>Julia's photo</t>
  </si>
  <si>
    <t>FtrAmeretroGasstand_Remake_1_2</t>
  </si>
  <si>
    <t>TopsTexTopTshirtsHSailor5</t>
  </si>
  <si>
    <t>BromideNpcNmlOst05_Remake_0_0</t>
  </si>
  <si>
    <t>FtrAmeretroGasstand_Remake_2_0</t>
  </si>
  <si>
    <t>TopsTexTopTshirtsHSailor6</t>
  </si>
  <si>
    <t>BromideNpcNmlOst05_Remake_1_0</t>
  </si>
  <si>
    <t>FtrAmeretroGasstand_Remake_2_1</t>
  </si>
  <si>
    <t>TopsTexTopTshirtsHSailor7</t>
  </si>
  <si>
    <t>samurai shirt</t>
  </si>
  <si>
    <t>BromideNpcNmlOst05_Remake_2_0</t>
  </si>
  <si>
    <t>TopsTexTopCoatLSamurai1</t>
  </si>
  <si>
    <t>FtrAmeretroGasstand_Remake_2_2</t>
  </si>
  <si>
    <t>BromideNpcNmlOst05_Remake_3_0</t>
  </si>
  <si>
    <t>TopsTexTopCoatLSamurai2</t>
  </si>
  <si>
    <t>FtrAmeretroGasstand_Remake_3_0</t>
  </si>
  <si>
    <t>BromideNpcNmlOst05_Remake_4_0</t>
  </si>
  <si>
    <t>TopsTexTopCoatLSamurai3</t>
  </si>
  <si>
    <t>BromideNpcNmlOst05_Remake_5_0</t>
  </si>
  <si>
    <t>BromideNpcNmlOst05_Remake_6_0</t>
  </si>
  <si>
    <t>TopsTexTopCoatLSamurai4</t>
  </si>
  <si>
    <t>FtrAmeretroGasstand_Remake_3_1</t>
  </si>
  <si>
    <t>BromideNpcNmlOst05_Remake_7_0</t>
  </si>
  <si>
    <t>Julian's photo</t>
  </si>
  <si>
    <t>TopsTexTopCoatLSamurai0</t>
  </si>
  <si>
    <t>FtrAmeretroGasstand_Remake_3_2</t>
  </si>
  <si>
    <t>school jacket</t>
  </si>
  <si>
    <t>BromideNpcNmlHrs13_Remake_0_0</t>
  </si>
  <si>
    <t>BromideNpcNmlHrs13_Remake_1_0</t>
  </si>
  <si>
    <t>TopsTexTopYshirtsLGakuran3</t>
  </si>
  <si>
    <t>FtrAmeretroGasstand_Remake_4_0</t>
  </si>
  <si>
    <t>BromideNpcNmlHrs13_Remake_2_0</t>
  </si>
  <si>
    <t>TopsTexTopYshirtsLGakuran0</t>
  </si>
  <si>
    <t>FtrAmeretroGasstand_Remake_4_1</t>
  </si>
  <si>
    <t>TopsTexTopYshirtsLGakuran4</t>
  </si>
  <si>
    <t>BromideNpcNmlHrs13_Remake_3_0</t>
  </si>
  <si>
    <t>FtrAmeretroGasstand_Remake_4_2</t>
  </si>
  <si>
    <t>TopsTexTopYshirtsLGakuran5</t>
  </si>
  <si>
    <t>FtrAmeretroGasstand_Remake_5_0</t>
  </si>
  <si>
    <t>BromideNpcNmlHrs13_Remake_4_0</t>
  </si>
  <si>
    <t>TopsTexTopYshirtsLGakuran6</t>
  </si>
  <si>
    <t>FtrAmeretroGasstand_Remake_5_1</t>
  </si>
  <si>
    <t>BromideNpcNmlHrs13_Remake_5_0</t>
  </si>
  <si>
    <t>TopsTexTopYshirtsLGakuran1</t>
  </si>
  <si>
    <t>FtrAmeretroGasstand_Remake_5_2</t>
  </si>
  <si>
    <t>retro stereo</t>
  </si>
  <si>
    <t>BromideNpcNmlHrs13_Remake_6_0</t>
  </si>
  <si>
    <t>TopsTexTopYshirtsLGakuran2</t>
  </si>
  <si>
    <t>sea hanten shirt</t>
  </si>
  <si>
    <t>FtrStereoRetro_Remake_0_0</t>
  </si>
  <si>
    <t>TopsTexTopYshirtsLHanten0</t>
  </si>
  <si>
    <t>BromideNpcNmlHrs13_Remake_7_0</t>
  </si>
  <si>
    <t>June's photo</t>
  </si>
  <si>
    <t>FtrStereoRetro_Remake_1_0</t>
  </si>
  <si>
    <t>TopsTexTopYshirtsLHanten1</t>
  </si>
  <si>
    <t>robot hero</t>
  </si>
  <si>
    <t>seven-ball tee</t>
  </si>
  <si>
    <t>BromideNpcNmlCbr13_Remake_0_0</t>
  </si>
  <si>
    <t>TopsTexTopTshirtsHNumberball7</t>
  </si>
  <si>
    <t>shirt with camera</t>
  </si>
  <si>
    <t>FtrHerorobot_Remake_0_0</t>
  </si>
  <si>
    <t>BromideNpcNmlCbr13_Remake_1_0</t>
  </si>
  <si>
    <t>TopsTexTopYshirtsLCamera0</t>
  </si>
  <si>
    <t>FtrHerorobot_Remake_1_0</t>
  </si>
  <si>
    <t>BromideNpcNmlCbr13_Remake_2_0</t>
  </si>
  <si>
    <t>TopsTexTopYshirtsLCamera1</t>
  </si>
  <si>
    <t>short peacoat</t>
  </si>
  <si>
    <t>FtrHerorobot_Remake_2_0</t>
  </si>
  <si>
    <t>TopsTexTopCoatLPcoat0</t>
  </si>
  <si>
    <t>BromideNpcNmlCbr13_Remake_3_0</t>
  </si>
  <si>
    <t>FtrHerorobot_Remake_3_0</t>
  </si>
  <si>
    <t>TopsTexTopCoatLPcoat1</t>
  </si>
  <si>
    <t>FtrHerorobot_Remake_4_0</t>
  </si>
  <si>
    <t>BromideNpcNmlCbr13_Remake_4_0</t>
  </si>
  <si>
    <t>TopsTexTopCoatLPcoat2</t>
  </si>
  <si>
    <t>BromideNpcNmlCbr13_Remake_5_0</t>
  </si>
  <si>
    <t>FtrHerorobot_Remake_5_0</t>
  </si>
  <si>
    <t>TopsTexTopCoatLPcoat3</t>
  </si>
  <si>
    <t>FtrHerorobot_Remake_6_0</t>
  </si>
  <si>
    <t>TopsTexTopCoatLPcoat4</t>
  </si>
  <si>
    <t>BromideNpcNmlCbr13_Remake_6_0</t>
  </si>
  <si>
    <t>FtrHerorobot_Remake_7_0</t>
  </si>
  <si>
    <t>TopsTexTopCoatLPcoat5</t>
  </si>
  <si>
    <t>rock guitar</t>
  </si>
  <si>
    <t>BromideNpcNmlCbr13_Remake_7_0</t>
  </si>
  <si>
    <t>Kabuki's photo</t>
  </si>
  <si>
    <t>TopsTexTopCoatLPcoat6</t>
  </si>
  <si>
    <t>short-sleeve dress shirt</t>
  </si>
  <si>
    <t>FtrElectricguitar1_Remake_0_0</t>
  </si>
  <si>
    <t>BromideNpcNmlCat09_Remake_0_0</t>
  </si>
  <si>
    <t>TopsTexTopYshirtsHStandard1</t>
  </si>
  <si>
    <t>FtrElectricguitar1_Remake_0_1</t>
  </si>
  <si>
    <t>TopsTexTopYshirtsHStandard2</t>
  </si>
  <si>
    <t>BromideNpcNmlCat09_Remake_1_0</t>
  </si>
  <si>
    <t>FtrElectricguitar1_Remake_0_2</t>
  </si>
  <si>
    <t>TopsTexTopYshirtsHStandard3</t>
  </si>
  <si>
    <t>BromideNpcNmlCat09_Remake_2_0</t>
  </si>
  <si>
    <t>FtrElectricguitar1_Remake_0_3</t>
  </si>
  <si>
    <t>TopsTexTopYshirtsHStandard4</t>
  </si>
  <si>
    <t>FtrElectricguitar1_Remake_0_4</t>
  </si>
  <si>
    <t>BromideNpcNmlCat09_Remake_3_0</t>
  </si>
  <si>
    <t>TopsTexTopYshirtsHStandard0</t>
  </si>
  <si>
    <t>silk floral-print shirt</t>
  </si>
  <si>
    <t>FtrElectricguitar1_Remake_0_5</t>
  </si>
  <si>
    <t>BromideNpcNmlCat09_Remake_4_0</t>
  </si>
  <si>
    <t>TopsTexTopYshirtsHChina6</t>
  </si>
  <si>
    <t>FtrElectricguitar1_Remake_0_6</t>
  </si>
  <si>
    <t>BromideNpcNmlCat09_Remake_5_0</t>
  </si>
  <si>
    <t>TopsTexTopYshirtsHChina1</t>
  </si>
  <si>
    <t>TopsTexTopYshirtsHChina2</t>
  </si>
  <si>
    <t>BromideNpcNmlCat09_Remake_6_0</t>
  </si>
  <si>
    <t>FtrElectricguitar1_Remake_0_7</t>
  </si>
  <si>
    <t>Coral pink</t>
  </si>
  <si>
    <t>TopsTexTopYshirtsHChina3</t>
  </si>
  <si>
    <t>BromideNpcNmlCat09_Remake_7_0</t>
  </si>
  <si>
    <t>Katt's photo</t>
  </si>
  <si>
    <t>TopsTexTopYshirtsHChina4</t>
  </si>
  <si>
    <t>FtrElectricguitar1_Remake_1_0</t>
  </si>
  <si>
    <t>TopsTexTopYshirtsHChina5</t>
  </si>
  <si>
    <t>BromideNpcNmlCat21_Remake_0_0</t>
  </si>
  <si>
    <t>FtrElectricguitar1_Remake_1_1</t>
  </si>
  <si>
    <t>TopsTexTopYshirtsHChina0</t>
  </si>
  <si>
    <t>silk shirt</t>
  </si>
  <si>
    <t>BromideNpcNmlCat21_Remake_1_0</t>
  </si>
  <si>
    <t>TopsTexTopYshirtsLChina0</t>
  </si>
  <si>
    <t>FtrElectricguitar1_Remake_1_2</t>
  </si>
  <si>
    <t>BromideNpcNmlCat21_Remake_2_0</t>
  </si>
  <si>
    <t>TopsTexTopYshirtsLChina4</t>
  </si>
  <si>
    <t>FtrElectricguitar1_Remake_1_3</t>
  </si>
  <si>
    <t>BromideNpcNmlCat21_Remake_3_0</t>
  </si>
  <si>
    <t>TopsTexTopYshirtsLChina1</t>
  </si>
  <si>
    <t>BromideNpcNmlCat21_Remake_4_0</t>
  </si>
  <si>
    <t>TopsTexTopYshirtsLChina2</t>
  </si>
  <si>
    <t>FtrElectricguitar1_Remake_1_4</t>
  </si>
  <si>
    <t>TopsTexTopYshirtsLChina3</t>
  </si>
  <si>
    <t>simple knit sweater</t>
  </si>
  <si>
    <t>BromideNpcNmlCat21_Remake_5_0</t>
  </si>
  <si>
    <t>FtrElectricguitar1_Remake_1_5</t>
  </si>
  <si>
    <t>TopsTexTopOuterLKnit0</t>
  </si>
  <si>
    <t>BromideNpcNmlCat21_Remake_6_0</t>
  </si>
  <si>
    <t>FtrElectricguitar1_Remake_1_6</t>
  </si>
  <si>
    <t>TopsTexTopOuterLKnit2</t>
  </si>
  <si>
    <t>BromideNpcNmlCat21_Remake_7_0</t>
  </si>
  <si>
    <t>Keaton's photo</t>
  </si>
  <si>
    <t>FtrElectricguitar1_Remake_1_7</t>
  </si>
  <si>
    <t>TopsTexTopOuterLKnit1</t>
  </si>
  <si>
    <t>simple parka</t>
  </si>
  <si>
    <t>BromideNpcNmlPbr08_Remake_0_0</t>
  </si>
  <si>
    <t>TopsTexTopOuterLParka2</t>
  </si>
  <si>
    <t>FtrElectricguitar1_Remake_2_0</t>
  </si>
  <si>
    <t>TopsTexTopOuterLParka3</t>
  </si>
  <si>
    <t>BromideNpcNmlPbr08_Remake_1_0</t>
  </si>
  <si>
    <t>FtrElectricguitar1_Remake_2_1</t>
  </si>
  <si>
    <t>TopsTexTopOuterLParka4</t>
  </si>
  <si>
    <t>BromideNpcNmlPbr08_Remake_2_0</t>
  </si>
  <si>
    <t>TopsTexTopOuterLParka5</t>
  </si>
  <si>
    <t>BromideNpcNmlPbr08_Remake_3_0</t>
  </si>
  <si>
    <t>TopsTexTopOuterLParka6</t>
  </si>
  <si>
    <t>FtrElectricguitar1_Remake_2_2</t>
  </si>
  <si>
    <t>TopsTexTopOuterLParka7</t>
  </si>
  <si>
    <t>BromideNpcNmlPbr08_Remake_4_0</t>
  </si>
  <si>
    <t>FtrElectricguitar1_Remake_2_3</t>
  </si>
  <si>
    <t>TopsTexTopOuterLParka0</t>
  </si>
  <si>
    <t>BromideNpcNmlPbr08_Remake_5_0</t>
  </si>
  <si>
    <t>FtrElectricguitar1_Remake_2_4</t>
  </si>
  <si>
    <t>TopsTexTopOuterLParka1</t>
  </si>
  <si>
    <t>simple-dots tee</t>
  </si>
  <si>
    <t>BromideNpcNmlPbr08_Remake_6_0</t>
  </si>
  <si>
    <t>TopsTexTopTshirtsHSimpledot1</t>
  </si>
  <si>
    <t>FtrElectricguitar1_Remake_2_5</t>
  </si>
  <si>
    <t>BromideNpcNmlPbr08_Remake_7_0</t>
  </si>
  <si>
    <t>Ken's photo</t>
  </si>
  <si>
    <t>TopsTexTopTshirtsHSimpledot2</t>
  </si>
  <si>
    <t>BromideNpcNmlChn13_Remake_0_0</t>
  </si>
  <si>
    <t>FtrElectricguitar1_Remake_2_6</t>
  </si>
  <si>
    <t>TopsTexTopTshirtsHSimpledot3</t>
  </si>
  <si>
    <t>TopsTexTopTshirtsHSimpledot4</t>
  </si>
  <si>
    <t>BromideNpcNmlChn13_Remake_1_0</t>
  </si>
  <si>
    <t>FtrElectricguitar1_Remake_2_7</t>
  </si>
  <si>
    <t>TopsTexTopTshirtsHSimpledot0</t>
  </si>
  <si>
    <t>six-ball tee</t>
  </si>
  <si>
    <t>Fire red</t>
  </si>
  <si>
    <t>BromideNpcNmlChn13_Remake_2_0</t>
  </si>
  <si>
    <t>TopsTexTopTshirtsHNumberball6</t>
  </si>
  <si>
    <t>skiwear</t>
  </si>
  <si>
    <t>FtrElectricguitar1_Remake_3_0</t>
  </si>
  <si>
    <t>BromideNpcNmlChn13_Remake_3_0</t>
  </si>
  <si>
    <t>TopsTexTopYshirtsLSki1</t>
  </si>
  <si>
    <t>FtrElectricguitar1_Remake_3_1</t>
  </si>
  <si>
    <t>BromideNpcNmlChn13_Remake_4_0</t>
  </si>
  <si>
    <t>TopsTexTopYshirtsLSki2</t>
  </si>
  <si>
    <t>TopsTexTopYshirtsLSki3</t>
  </si>
  <si>
    <t>BromideNpcNmlChn13_Remake_5_0</t>
  </si>
  <si>
    <t>FtrElectricguitar1_Remake_3_2</t>
  </si>
  <si>
    <t>TopsTexTopYshirtsLSki4</t>
  </si>
  <si>
    <t>BromideNpcNmlChn13_Remake_6_0</t>
  </si>
  <si>
    <t>TopsTexTopYshirtsLSki5</t>
  </si>
  <si>
    <t>FtrElectricguitar1_Remake_3_3</t>
  </si>
  <si>
    <t>BromideNpcNmlChn13_Remake_7_0</t>
  </si>
  <si>
    <t>TopsTexTopYshirtsLSki0</t>
  </si>
  <si>
    <t>Ketchup's photo</t>
  </si>
  <si>
    <t>skull tee</t>
  </si>
  <si>
    <t>FtrElectricguitar1_Remake_3_4</t>
  </si>
  <si>
    <t>BromideNpcNmlDuk13_Remake_0_0</t>
  </si>
  <si>
    <t>TopsTexTopTshirtsHSkull0</t>
  </si>
  <si>
    <t>BromideNpcNmlDuk13_Remake_1_0</t>
  </si>
  <si>
    <t>FtrElectricguitar1_Remake_3_5</t>
  </si>
  <si>
    <t>TopsTexTopTshirtsHSkull1</t>
  </si>
  <si>
    <t>BromideNpcNmlDuk13_Remake_2_0</t>
  </si>
  <si>
    <t>TopsTexTopTshirtsHSkull2</t>
  </si>
  <si>
    <t>FtrElectricguitar1_Remake_3_6</t>
  </si>
  <si>
    <t>sleeved apron</t>
  </si>
  <si>
    <t>BromideNpcNmlDuk13_Remake_3_0</t>
  </si>
  <si>
    <t>TopsTexTopCoatLHandcover1</t>
  </si>
  <si>
    <t>FtrElectricguitar1_Remake_3_7</t>
  </si>
  <si>
    <t>BromideNpcNmlDuk13_Remake_4_0</t>
  </si>
  <si>
    <t>Orange-yellow</t>
  </si>
  <si>
    <t>BromideNpcNmlDuk13_Remake_5_0</t>
  </si>
  <si>
    <t>TopsTexTopCoatLHandcover2</t>
  </si>
  <si>
    <t>FtrElectricguitar1_Remake_4_0</t>
  </si>
  <si>
    <t>BromideNpcNmlDuk13_Remake_6_0</t>
  </si>
  <si>
    <t>TopsTexTopCoatLHandcover3</t>
  </si>
  <si>
    <t>FtrElectricguitar1_Remake_4_1</t>
  </si>
  <si>
    <t>BromideNpcNmlDuk13_Remake_7_0</t>
  </si>
  <si>
    <t>Kevin's photo</t>
  </si>
  <si>
    <t>TopsTexTopCoatLHandcover4</t>
  </si>
  <si>
    <t>BromideNpcNmlPig15_Remake_0_0</t>
  </si>
  <si>
    <t>FtrElectricguitar1_Remake_4_2</t>
  </si>
  <si>
    <t>TopsTexTopCoatLHandcover0</t>
  </si>
  <si>
    <t>BromideNpcNmlPig15_Remake_1_0</t>
  </si>
  <si>
    <t>sleeveless dress shirt</t>
  </si>
  <si>
    <t>BromideNpcNmlPig15_Remake_2_0</t>
  </si>
  <si>
    <t>FtrElectricguitar1_Remake_4_3</t>
  </si>
  <si>
    <t>TopsTexTopYshirtsNStandard0</t>
  </si>
  <si>
    <t>BromideNpcNmlPig15_Remake_3_0</t>
  </si>
  <si>
    <t>TopsTexTopYshirtsNStandard1</t>
  </si>
  <si>
    <t>FtrElectricguitar1_Remake_4_4</t>
  </si>
  <si>
    <t>BromideNpcNmlPig15_Remake_4_0</t>
  </si>
  <si>
    <t>TopsTexTopYshirtsNStandard2</t>
  </si>
  <si>
    <t>BromideNpcNmlPig15_Remake_5_0</t>
  </si>
  <si>
    <t>FtrElectricguitar1_Remake_4_5</t>
  </si>
  <si>
    <t>BromideNpcNmlPig15_Remake_6_0</t>
  </si>
  <si>
    <t>TopsTexTopYshirtsNStandard3</t>
  </si>
  <si>
    <t>FtrElectricguitar1_Remake_4_6</t>
  </si>
  <si>
    <t>BromideNpcNmlPig15_Remake_7_0</t>
  </si>
  <si>
    <t>Kid Cat's photo</t>
  </si>
  <si>
    <t>TopsTexTopYshirtsNStandard4</t>
  </si>
  <si>
    <t>sleeveless parka</t>
  </si>
  <si>
    <t>FtrElectricguitar1_Remake_4_7</t>
  </si>
  <si>
    <t>TopsTexTopOuterNNosleeve0</t>
  </si>
  <si>
    <t>FtrElectricguitar1_Remake_5_0</t>
  </si>
  <si>
    <t>BromideNpcNmlCat10_Remake_0_0</t>
  </si>
  <si>
    <t>TopsTexTopOuterNNosleeve1</t>
  </si>
  <si>
    <t>BromideNpcNmlCat10_Remake_1_0</t>
  </si>
  <si>
    <t>FtrElectricguitar1_Remake_5_1</t>
  </si>
  <si>
    <t>TopsTexTopOuterNNosleeve2</t>
  </si>
  <si>
    <t>BromideNpcNmlCat10_Remake_2_0</t>
  </si>
  <si>
    <t>FtrElectricguitar1_Remake_5_2</t>
  </si>
  <si>
    <t>BromideNpcNmlCat10_Remake_3_0</t>
  </si>
  <si>
    <t>TopsTexTopOuterNNosleeve3</t>
  </si>
  <si>
    <t>BromideNpcNmlCat10_Remake_4_0</t>
  </si>
  <si>
    <t>FtrElectricguitar1_Remake_5_3</t>
  </si>
  <si>
    <t>TopsTexTopOuterNNosleeve4</t>
  </si>
  <si>
    <t>sleeveless tunic</t>
  </si>
  <si>
    <t>BromideNpcNmlCat10_Remake_5_0</t>
  </si>
  <si>
    <t>FtrElectricguitar1_Remake_5_4</t>
  </si>
  <si>
    <t>TopsTexTopCoatNShirt2</t>
  </si>
  <si>
    <t>BromideNpcNmlCat10_Remake_6_0</t>
  </si>
  <si>
    <t>FtrElectricguitar1_Remake_5_5</t>
  </si>
  <si>
    <t>TopsTexTopCoatNShirt3</t>
  </si>
  <si>
    <t>BromideNpcNmlCat10_Remake_7_0</t>
  </si>
  <si>
    <t>Kidd's photo</t>
  </si>
  <si>
    <t>BromideNpcNmlGoa07_Remake_0_0</t>
  </si>
  <si>
    <t>TopsTexTopCoatNShirt4</t>
  </si>
  <si>
    <t>FtrElectricguitar1_Remake_5_6</t>
  </si>
  <si>
    <t>BromideNpcNmlGoa07_Remake_1_0</t>
  </si>
  <si>
    <t>BromideNpcNmlGoa07_Remake_2_0</t>
  </si>
  <si>
    <t>TopsTexTopCoatNShirt5</t>
  </si>
  <si>
    <t>BromideNpcNmlGoa07_Remake_3_0</t>
  </si>
  <si>
    <t>FtrElectricguitar1_Remake_5_7</t>
  </si>
  <si>
    <t>TopsTexTopCoatNShirt1</t>
  </si>
  <si>
    <t>BromideNpcNmlGoa07_Remake_4_0</t>
  </si>
  <si>
    <t>TopsTexTopCoatNShirt0</t>
  </si>
  <si>
    <t>snowflake sweater</t>
  </si>
  <si>
    <t>BromideNpcNmlGoa07_Remake_5_0</t>
  </si>
  <si>
    <t>FtrElectricguitar1_Remake_6_0</t>
  </si>
  <si>
    <t>BromideNpcNmlGoa07_Remake_6_0</t>
  </si>
  <si>
    <t>TopsTexTopOuterLSnowcrystal0</t>
  </si>
  <si>
    <t>BromideNpcNmlGoa07_Remake_7_0</t>
  </si>
  <si>
    <t>Kiki's photo</t>
  </si>
  <si>
    <t>TopsTexTopOuterLSnowcrystal1</t>
  </si>
  <si>
    <t>FtrElectricguitar1_Remake_6_1</t>
  </si>
  <si>
    <t>snowy sweater</t>
  </si>
  <si>
    <t>BromideNpcNmlCat04_Remake_0_0</t>
  </si>
  <si>
    <t>TopsTexTopOuterLSnow1</t>
  </si>
  <si>
    <t>BromideNpcNmlCat04_Remake_1_0</t>
  </si>
  <si>
    <t>FtrElectricguitar1_Remake_6_2</t>
  </si>
  <si>
    <t>TopsTexTopOuterLSnow2</t>
  </si>
  <si>
    <t>BromideNpcNmlCat04_Remake_2_0</t>
  </si>
  <si>
    <t>FtrElectricguitar1_Remake_6_3</t>
  </si>
  <si>
    <t>TopsTexTopOuterLSnow0</t>
  </si>
  <si>
    <t>soccer-uniform top</t>
  </si>
  <si>
    <t>BromideNpcNmlCat04_Remake_3_0</t>
  </si>
  <si>
    <t>TopsTexTopTshirtsHSoccer1</t>
  </si>
  <si>
    <t>FtrElectricguitar1_Remake_6_4</t>
  </si>
  <si>
    <t>BromideNpcNmlCat04_Remake_4_0</t>
  </si>
  <si>
    <t>TopsTexTopTshirtsHSoccer0</t>
  </si>
  <si>
    <t>BromideNpcNmlCat04_Remake_5_0</t>
  </si>
  <si>
    <t>TopsTexTopTshirtsHSoccer2</t>
  </si>
  <si>
    <t>FtrElectricguitar1_Remake_6_5</t>
  </si>
  <si>
    <t>TopsTexTopTshirtsHSoccer3</t>
  </si>
  <si>
    <t>BromideNpcNmlCat04_Remake_6_0</t>
  </si>
  <si>
    <t>FtrElectricguitar1_Remake_6_6</t>
  </si>
  <si>
    <t>TopsTexTopTshirtsHSoccer4</t>
  </si>
  <si>
    <t>BromideNpcNmlCat04_Remake_7_0</t>
  </si>
  <si>
    <t>Kitt's photo</t>
  </si>
  <si>
    <t>TopsTexTopTshirtsHSoccer5</t>
  </si>
  <si>
    <t>FtrElectricguitar1_Remake_6_7</t>
  </si>
  <si>
    <t>BromideNpcNmlKgr00_Remake_0_0</t>
  </si>
  <si>
    <t>Cool blue</t>
  </si>
  <si>
    <t>TopsTexTopTshirtsHSoccer6</t>
  </si>
  <si>
    <t>BromideNpcNmlKgr00_Remake_1_0</t>
  </si>
  <si>
    <t>FtrElectricguitar1_Remake_7_0</t>
  </si>
  <si>
    <t>TopsTexTopTshirtsHSoccer7</t>
  </si>
  <si>
    <t>space parka</t>
  </si>
  <si>
    <t>BromideNpcNmlKgr00_Remake_2_0</t>
  </si>
  <si>
    <t>TopsTexTopOuterLSpaceparker0</t>
  </si>
  <si>
    <t>BromideNpcNmlKgr00_Remake_3_0</t>
  </si>
  <si>
    <t>FtrElectricguitar1_Remake_7_1</t>
  </si>
  <si>
    <t>TopsTexTopOuterLSpaceparker1</t>
  </si>
  <si>
    <t>sparkly embroidered tank</t>
  </si>
  <si>
    <t>BromideNpcNmlKgr00_Remake_4_0</t>
  </si>
  <si>
    <t>TopsTexTopCoatNSequins0</t>
  </si>
  <si>
    <t>BromideNpcNmlKgr00_Remake_5_0</t>
  </si>
  <si>
    <t>FtrElectricguitar1_Remake_7_2</t>
  </si>
  <si>
    <t>BromideNpcNmlKgr00_Remake_6_0</t>
  </si>
  <si>
    <t>TopsTexTopCoatNSequins1</t>
  </si>
  <si>
    <t>BromideNpcNmlKgr00_Remake_7_0</t>
  </si>
  <si>
    <t>Kitty's photo</t>
  </si>
  <si>
    <t>TopsTexTopCoatNSequins2</t>
  </si>
  <si>
    <t>spider-web tee</t>
  </si>
  <si>
    <t>FtrElectricguitar1_Remake_7_3</t>
  </si>
  <si>
    <t>BromideNpcNmlCat14_Remake_0_0</t>
  </si>
  <si>
    <t>BromideNpcNmlCat14_Remake_1_0</t>
  </si>
  <si>
    <t>TopsTexTopTshirtsHSpider0</t>
  </si>
  <si>
    <t>sports tank</t>
  </si>
  <si>
    <t>BromideNpcNmlCat14_Remake_2_0</t>
  </si>
  <si>
    <t>FtrElectricguitar1_Remake_7_4</t>
  </si>
  <si>
    <t>TopsTexTopTshirtsNBibs0</t>
  </si>
  <si>
    <t>BromideNpcNmlCat14_Remake_3_0</t>
  </si>
  <si>
    <t>BromideNpcNmlCat14_Remake_4_0</t>
  </si>
  <si>
    <t>TopsTexTopTshirtsNBibs1</t>
  </si>
  <si>
    <t>FtrElectricguitar1_Remake_7_5</t>
  </si>
  <si>
    <t>TopsTexTopTshirtsNBibs2</t>
  </si>
  <si>
    <t>BromideNpcNmlCat14_Remake_5_0</t>
  </si>
  <si>
    <t>FtrElectricguitar1_Remake_7_6</t>
  </si>
  <si>
    <t>TopsTexTopTshirtsNBibs3</t>
  </si>
  <si>
    <t>BromideNpcNmlCat14_Remake_6_0</t>
  </si>
  <si>
    <t>BromideNpcNmlCat14_Remake_7_0</t>
  </si>
  <si>
    <t>TopsTexTopTshirtsNBibs4</t>
  </si>
  <si>
    <t>Klaus's photo</t>
  </si>
  <si>
    <t>FtrElectricguitar1_Remake_7_7</t>
  </si>
  <si>
    <t>rocket</t>
  </si>
  <si>
    <t>BromideNpcNmlBea14_Remake_0_0</t>
  </si>
  <si>
    <t>TopsTexTopTshirtsNBibs5</t>
  </si>
  <si>
    <t>BromideNpcNmlBea14_Remake_1_0</t>
  </si>
  <si>
    <t>TopsTexTopTshirtsNBibs6</t>
  </si>
  <si>
    <t>BromideNpcNmlBea14_Remake_2_0</t>
  </si>
  <si>
    <t>FtrRocket</t>
  </si>
  <si>
    <t>rocket lamp</t>
  </si>
  <si>
    <t>BromideNpcNmlBea14_Remake_3_0</t>
  </si>
  <si>
    <t>TopsTexTopTshirtsNBibs7</t>
  </si>
  <si>
    <t>staff uniform</t>
  </si>
  <si>
    <t>BromideNpcNmlBea14_Remake_4_0</t>
  </si>
  <si>
    <t>FtrLavalamp_Remake_0_0</t>
  </si>
  <si>
    <t>TopsTexTopTshirtsHStaff0</t>
  </si>
  <si>
    <t>BromideNpcNmlBea14_Remake_5_0</t>
  </si>
  <si>
    <t>BromideNpcNmlBea14_Remake_6_0</t>
  </si>
  <si>
    <t>TopsTexTopTshirtsHStaff1</t>
  </si>
  <si>
    <t>FtrLavalamp_Remake_1_0</t>
  </si>
  <si>
    <t>BromideNpcNmlBea14_Remake_7_0</t>
  </si>
  <si>
    <t>TopsTexTopTshirtsHStaff2</t>
  </si>
  <si>
    <t>Knox's photo</t>
  </si>
  <si>
    <t>starry tank</t>
  </si>
  <si>
    <t>BromideNpcNmlChn11_Remake_0_0</t>
  </si>
  <si>
    <t>FtrLavalamp_Remake_2_0</t>
  </si>
  <si>
    <t>TopsTexTopTshirtsNStar0</t>
  </si>
  <si>
    <t>BromideNpcNmlChn11_Remake_1_0</t>
  </si>
  <si>
    <t>striped shirt</t>
  </si>
  <si>
    <t>BromideNpcNmlChn11_Remake_2_0</t>
  </si>
  <si>
    <t>TopsTexTopTshirtsLBorder0</t>
  </si>
  <si>
    <t>FtrLavalamp_Remake_3_0</t>
  </si>
  <si>
    <t>BromideNpcNmlChn11_Remake_3_0</t>
  </si>
  <si>
    <t>TopsTexTopTshirtsLBorder1</t>
  </si>
  <si>
    <t>BromideNpcNmlChn11_Remake_4_0</t>
  </si>
  <si>
    <t>TopsTexTopTshirtsLBorder2</t>
  </si>
  <si>
    <t>FtrLavalamp_Remake_4_0</t>
  </si>
  <si>
    <t>BromideNpcNmlChn11_Remake_5_0</t>
  </si>
  <si>
    <t>BromideNpcNmlChn11_Remake_6_0</t>
  </si>
  <si>
    <t>TopsTexTopTshirtsLBorder3</t>
  </si>
  <si>
    <t>BromideNpcNmlChn11_Remake_7_0</t>
  </si>
  <si>
    <t>Kody's photo</t>
  </si>
  <si>
    <t>FtrLavalamp_Remake_5_0</t>
  </si>
  <si>
    <t>TopsTexTopTshirtsLBorder4</t>
  </si>
  <si>
    <t>BromideNpcNmlCbr04_Remake_0_0</t>
  </si>
  <si>
    <t>TopsTexTopTshirtsLBorder5</t>
  </si>
  <si>
    <t>BromideNpcNmlCbr04_Remake_1_0</t>
  </si>
  <si>
    <t>striped tank</t>
  </si>
  <si>
    <t>FtrLavalamp_Remake_6_0</t>
  </si>
  <si>
    <t>BromideNpcNmlCbr04_Remake_2_0</t>
  </si>
  <si>
    <t>rocking chair</t>
  </si>
  <si>
    <t>TopsTexTopTshirtsNBorder1</t>
  </si>
  <si>
    <t>BromideNpcNmlCbr04_Remake_3_0</t>
  </si>
  <si>
    <t>TopsTexTopTshirtsNBorder2</t>
  </si>
  <si>
    <t>BromideNpcNmlCbr04_Remake_4_0</t>
  </si>
  <si>
    <t>FtrRockingchair_Remake_0_0</t>
  </si>
  <si>
    <t>BromideNpcNmlCbr04_Remake_5_0</t>
  </si>
  <si>
    <t>TopsTexTopTshirtsNBorder3</t>
  </si>
  <si>
    <t>TopsTexTopTshirtsNBorder4</t>
  </si>
  <si>
    <t>BromideNpcNmlCbr04_Remake_6_0</t>
  </si>
  <si>
    <t>FtrRockingchair_Remake_1_0</t>
  </si>
  <si>
    <t>BromideNpcNmlCbr04_Remake_7_0</t>
  </si>
  <si>
    <t>Kyle's photo</t>
  </si>
  <si>
    <t>TopsTexTopTshirtsNBorder5</t>
  </si>
  <si>
    <t>BromideNpcNmlWol10_Remake_0_0</t>
  </si>
  <si>
    <t>FtrRockingchair_Remake_2_0</t>
  </si>
  <si>
    <t>BromideNpcNmlWol10_Remake_1_0</t>
  </si>
  <si>
    <t>TopsTexTopTshirtsNBorder6</t>
  </si>
  <si>
    <t>BromideNpcNmlWol10_Remake_2_0</t>
  </si>
  <si>
    <t>TopsTexTopTshirtsNBorder7</t>
  </si>
  <si>
    <t>FtrRockingchair_Remake_3_0</t>
  </si>
  <si>
    <t>BromideNpcNmlWol10_Remake_3_0</t>
  </si>
  <si>
    <t>TopsTexTopTshirtsNBorder0</t>
  </si>
  <si>
    <t>striped tee</t>
  </si>
  <si>
    <t>FtrRockingchair_Remake_4_0</t>
  </si>
  <si>
    <t>rocking horse</t>
  </si>
  <si>
    <t>BromideNpcNmlWol10_Remake_4_0</t>
  </si>
  <si>
    <t>TopsTexTopTshirtsHBorder4</t>
  </si>
  <si>
    <t>TopsTexTopTshirtsHBorder5</t>
  </si>
  <si>
    <t>BromideNpcNmlWol10_Remake_5_0</t>
  </si>
  <si>
    <t>FtrRockinghorse_Remake_0_0</t>
  </si>
  <si>
    <t>TopsTexTopTshirtsHBorder1</t>
  </si>
  <si>
    <t>BromideNpcNmlWol10_Remake_6_0</t>
  </si>
  <si>
    <t>TopsTexTopTshirtsHBorder2</t>
  </si>
  <si>
    <t>BromideNpcNmlWol10_Remake_7_0</t>
  </si>
  <si>
    <t>Leonardo's photo</t>
  </si>
  <si>
    <t>FtrRockinghorse_Remake_1_0</t>
  </si>
  <si>
    <t>BromideNpcNmlTig04_Remake_0_0</t>
  </si>
  <si>
    <t>TopsTexTopTshirtsHBorder3</t>
  </si>
  <si>
    <t>BromideNpcNmlTig04_Remake_1_0</t>
  </si>
  <si>
    <t>FtrRockinghorse_Remake_2_0</t>
  </si>
  <si>
    <t>TopsTexTopTshirtsHBorder0</t>
  </si>
  <si>
    <t>sushi chef's outfit</t>
  </si>
  <si>
    <t>BromideNpcNmlTig04_Remake_2_0</t>
  </si>
  <si>
    <t>BromideNpcNmlTig04_Remake_3_0</t>
  </si>
  <si>
    <t>TopsTexTopCoatHItamae1</t>
  </si>
  <si>
    <t>FtrRockinghorse_Remake_3_0</t>
  </si>
  <si>
    <t>BromideNpcNmlTig04_Remake_4_0</t>
  </si>
  <si>
    <t>TopsTexTopCoatHItamae0</t>
  </si>
  <si>
    <t>sweater on shirt</t>
  </si>
  <si>
    <t>BromideNpcNmlTig04_Remake_5_0</t>
  </si>
  <si>
    <t>FtrRockinghorse_Remake_4_0</t>
  </si>
  <si>
    <t>BromideNpcNmlTig04_Remake_6_0</t>
  </si>
  <si>
    <t>TopsTexTopYshirtsLTiedsweater1</t>
  </si>
  <si>
    <t>BromideNpcNmlTig04_Remake_7_0</t>
  </si>
  <si>
    <t>Leopold's photo</t>
  </si>
  <si>
    <t>TopsTexTopYshirtsLTiedsweater2</t>
  </si>
  <si>
    <t>FtrRockinghorse_Remake_5_0</t>
  </si>
  <si>
    <t>BromideNpcNmlLon04_Remake_0_0</t>
  </si>
  <si>
    <t>rose bed</t>
  </si>
  <si>
    <t>TopsTexTopYshirtsLTiedsweater3</t>
  </si>
  <si>
    <t>BromideNpcNmlLon04_Remake_1_0</t>
  </si>
  <si>
    <t>BromideNpcNmlLon04_Remake_2_0</t>
  </si>
  <si>
    <t>TopsTexTopYshirtsLTiedsweater4</t>
  </si>
  <si>
    <t>FtrFlowerBedW_Remake_0_0</t>
  </si>
  <si>
    <t>BromideNpcNmlLon04_Remake_3_0</t>
  </si>
  <si>
    <t>TopsTexTopYshirtsLTiedsweater0</t>
  </si>
  <si>
    <t>sweater-vest</t>
  </si>
  <si>
    <t>BromideNpcNmlLon04_Remake_4_0</t>
  </si>
  <si>
    <t>TopsTexTopYshirtsLVest1</t>
  </si>
  <si>
    <t>FtrFlowerBedW_Remake_1_0</t>
  </si>
  <si>
    <t>TopsTexTopYshirtsLVest2</t>
  </si>
  <si>
    <t>BromideNpcNmlLon04_Remake_5_0</t>
  </si>
  <si>
    <t>FtrFlowerBedW_Remake_2_0</t>
  </si>
  <si>
    <t>round space heater</t>
  </si>
  <si>
    <t>BromideNpcNmlLon04_Remake_6_0</t>
  </si>
  <si>
    <t>TopsTexTopYshirtsLVest3</t>
  </si>
  <si>
    <t>BromideNpcNmlLon04_Remake_7_0</t>
  </si>
  <si>
    <t>Lily's photo</t>
  </si>
  <si>
    <t>TopsTexTopYshirtsLVest0</t>
  </si>
  <si>
    <t>sweatshirt</t>
  </si>
  <si>
    <t>FtrStoveRound_Remake_0_0</t>
  </si>
  <si>
    <t>BromideNpcNmlFlg00_Remake_0_0</t>
  </si>
  <si>
    <t>TopsTexTopOuterLSweat0</t>
  </si>
  <si>
    <t>BromideNpcNmlFlg00_Remake_1_0</t>
  </si>
  <si>
    <t>FtrStoveRound_Remake_1_0</t>
  </si>
  <si>
    <t>TopsTexTopOuterLSweat5</t>
  </si>
  <si>
    <t>BromideNpcNmlFlg00_Remake_2_0</t>
  </si>
  <si>
    <t>TopsTexTopOuterLSweat1</t>
  </si>
  <si>
    <t>BromideNpcNmlFlg00_Remake_3_0</t>
  </si>
  <si>
    <t>FtrStoveRound_Remake_2_0</t>
  </si>
  <si>
    <t>BromideNpcNmlFlg00_Remake_4_0</t>
  </si>
  <si>
    <t>TopsTexTopOuterLSweat2</t>
  </si>
  <si>
    <t>BromideNpcNmlFlg00_Remake_5_0</t>
  </si>
  <si>
    <t>TopsTexTopOuterLSweat3</t>
  </si>
  <si>
    <t>FtrStoveRound_Remake_3_0</t>
  </si>
  <si>
    <t>BromideNpcNmlFlg00_Remake_6_0</t>
  </si>
  <si>
    <t>TopsTexTopOuterLSweat4</t>
  </si>
  <si>
    <t>BromideNpcNmlFlg00_Remake_7_0</t>
  </si>
  <si>
    <t>sweetheart tank and shirt</t>
  </si>
  <si>
    <t>Limberg's photo</t>
  </si>
  <si>
    <t>BromideNpcNmlMus01_Remake_0_0</t>
  </si>
  <si>
    <t>TopsTexTopYshirtsLBustier0</t>
  </si>
  <si>
    <t>FtrStoveRound_Remake_4_0</t>
  </si>
  <si>
    <t>BromideNpcNmlMus01_Remake_1_0</t>
  </si>
  <si>
    <t>TopsTexTopYshirtsLBustier1</t>
  </si>
  <si>
    <t>BromideNpcNmlMus01_Remake_2_0</t>
  </si>
  <si>
    <t>FtrStoveRound_Remake_5_0</t>
  </si>
  <si>
    <t>safe</t>
  </si>
  <si>
    <t>TopsTexTopYshirtsLBustier2</t>
  </si>
  <si>
    <t>BromideNpcNmlMus01_Remake_3_0</t>
  </si>
  <si>
    <t>FtrSafebox_Remake_0_0</t>
  </si>
  <si>
    <t>BromideNpcNmlMus01_Remake_4_0</t>
  </si>
  <si>
    <t>TopsTexTopYshirtsLBustier3</t>
  </si>
  <si>
    <t>FtrSafebox_Remake_1_0</t>
  </si>
  <si>
    <t>BromideNpcNmlMus01_Remake_5_0</t>
  </si>
  <si>
    <t>TopsTexTopYshirtsLBustier4</t>
  </si>
  <si>
    <t>tailcoat</t>
  </si>
  <si>
    <t>BromideNpcNmlMus01_Remake_6_0</t>
  </si>
  <si>
    <t>FtrSafebox_Remake_2_0</t>
  </si>
  <si>
    <t>BromideNpcNmlMus01_Remake_7_0</t>
  </si>
  <si>
    <t>TopsTexTopCoatLTailcoat1</t>
  </si>
  <si>
    <t>Lionel's photo</t>
  </si>
  <si>
    <t>FtrSafebox_Remake_3_0</t>
  </si>
  <si>
    <t>sand castle</t>
  </si>
  <si>
    <t>BromideNpcNmlLon08_Remake_0_0</t>
  </si>
  <si>
    <t>Natural sand</t>
  </si>
  <si>
    <t>TopsTexTopCoatLTailcoat0</t>
  </si>
  <si>
    <t>tailored jacket</t>
  </si>
  <si>
    <t>BromideNpcNmlLon08_Remake_1_0</t>
  </si>
  <si>
    <t>FtrSandcastle_Remake_0_0</t>
  </si>
  <si>
    <t>White sand</t>
  </si>
  <si>
    <t>BromideNpcNmlLon08_Remake_2_0</t>
  </si>
  <si>
    <t>TopsTexTopYshirtsLTailored1</t>
  </si>
  <si>
    <t>FtrSandcastle_Remake_1_0</t>
  </si>
  <si>
    <t>sandbox</t>
  </si>
  <si>
    <t>BromideNpcNmlLon08_Remake_3_0</t>
  </si>
  <si>
    <t>TopsTexTopYshirtsLTailored2</t>
  </si>
  <si>
    <t>3x2</t>
  </si>
  <si>
    <t>BromideNpcNmlLon08_Remake_4_0</t>
  </si>
  <si>
    <t>TopsTexTopYshirtsLTailored0</t>
  </si>
  <si>
    <t>FtrSandbox</t>
  </si>
  <si>
    <t>satellite</t>
  </si>
  <si>
    <t>BromideNpcNmlLon08_Remake_5_0</t>
  </si>
  <si>
    <t>TopsTexTopYshirtsLTailored3</t>
  </si>
  <si>
    <t>FtrSatellite</t>
  </si>
  <si>
    <t>BromideNpcNmlLon08_Remake_6_0</t>
  </si>
  <si>
    <t>sauna heater</t>
  </si>
  <si>
    <t>BromideNpcNmlLon08_Remake_7_0</t>
  </si>
  <si>
    <t>Lobo's photo</t>
  </si>
  <si>
    <t>TopsTexTopYshirtsLTailored4</t>
  </si>
  <si>
    <t>tank</t>
  </si>
  <si>
    <t>FtrStoveSauna</t>
  </si>
  <si>
    <t>BromideNpcNmlWol01_Remake_0_0</t>
  </si>
  <si>
    <t>scarecrow</t>
  </si>
  <si>
    <t>TopsTexTopTshirtsNTanktop1</t>
  </si>
  <si>
    <t>BromideNpcNmlWol01_Remake_1_0</t>
  </si>
  <si>
    <t>TopsTexTopTshirtsNTanktop2</t>
  </si>
  <si>
    <t>FtrScarecrow</t>
  </si>
  <si>
    <t>scattered papers</t>
  </si>
  <si>
    <t>Essays</t>
  </si>
  <si>
    <t>TopsTexTopTshirtsNTanktop3</t>
  </si>
  <si>
    <t>BromideNpcNmlWol01_Remake_2_0</t>
  </si>
  <si>
    <t>FtrFloorpapers_Remake_0_0</t>
  </si>
  <si>
    <t>FtrFloorpapers_Remake_0_1</t>
  </si>
  <si>
    <t>TopsTexTopTshirtsNTanktop4</t>
  </si>
  <si>
    <t>BromideNpcNmlWol01_Remake_3_0</t>
  </si>
  <si>
    <t>Illustrations</t>
  </si>
  <si>
    <t>FtrFloorpapers_Remake_0_2</t>
  </si>
  <si>
    <t>Plans</t>
  </si>
  <si>
    <t>BromideNpcNmlWol01_Remake_4_0</t>
  </si>
  <si>
    <t>TopsTexTopTshirtsNTanktop0</t>
  </si>
  <si>
    <t>tee-parka combo</t>
  </si>
  <si>
    <t>FtrFloorpapers_Remake_0_3</t>
  </si>
  <si>
    <t>school chair</t>
  </si>
  <si>
    <t>Natural &amp; silver</t>
  </si>
  <si>
    <t>TopsTexTopOuterLParkertshirt1</t>
  </si>
  <si>
    <t>BromideNpcNmlWol01_Remake_5_0</t>
  </si>
  <si>
    <t>FtrSchoolChairS_Remake_0_0</t>
  </si>
  <si>
    <t>Brown &amp; white</t>
  </si>
  <si>
    <t>TopsTexTopOuterLParkertshirt2</t>
  </si>
  <si>
    <t>BromideNpcNmlWol01_Remake_6_0</t>
  </si>
  <si>
    <t>FtrSchoolChairS_Remake_1_0</t>
  </si>
  <si>
    <t>TopsTexTopOuterLParkertshirt3</t>
  </si>
  <si>
    <t>Light brown &amp; black</t>
  </si>
  <si>
    <t>BromideNpcNmlWol01_Remake_7_0</t>
  </si>
  <si>
    <t>Lolly's photo</t>
  </si>
  <si>
    <t>TopsTexTopOuterLParkertshirt4</t>
  </si>
  <si>
    <t>FtrSchoolChairS_Remake_2_0</t>
  </si>
  <si>
    <t>BromideNpcNmlCat18_Remake_0_0</t>
  </si>
  <si>
    <t>TopsTexTopOuterLParkertshirt0</t>
  </si>
  <si>
    <t>tennis sweater</t>
  </si>
  <si>
    <t>White &amp; red</t>
  </si>
  <si>
    <t>BromideNpcNmlCat18_Remake_1_0</t>
  </si>
  <si>
    <t>FtrSchoolChairS_Remake_3_0</t>
  </si>
  <si>
    <t>TopsTexTopOuterLTennis0</t>
  </si>
  <si>
    <t>Gray &amp; blue</t>
  </si>
  <si>
    <t>BromideNpcNmlCat18_Remake_2_0</t>
  </si>
  <si>
    <t>TopsTexTopOuterLTennis1</t>
  </si>
  <si>
    <t>FtrSchoolChairS_Remake_4_0</t>
  </si>
  <si>
    <t>Beige &amp; green</t>
  </si>
  <si>
    <t>TopsTexTopOuterLTennis2</t>
  </si>
  <si>
    <t>BromideNpcNmlCat18_Remake_3_0</t>
  </si>
  <si>
    <t>TopsTexTopOuterLTennis3</t>
  </si>
  <si>
    <t>terry-cloth nightgown</t>
  </si>
  <si>
    <t>FtrSchoolChairS_Remake_5_0</t>
  </si>
  <si>
    <t>school desk</t>
  </si>
  <si>
    <t>BromideNpcNmlCat18_Remake_4_0</t>
  </si>
  <si>
    <t>TopsTexTopCoatLPajamas1</t>
  </si>
  <si>
    <t>BromideNpcNmlCat18_Remake_5_0</t>
  </si>
  <si>
    <t>TopsTexTopCoatLPajamas2</t>
  </si>
  <si>
    <t>FtrSchoolTableS_Remake_0_0</t>
  </si>
  <si>
    <t>TopsTexTopCoatLPajamas3</t>
  </si>
  <si>
    <t>BromideNpcNmlCat18_Remake_6_0</t>
  </si>
  <si>
    <t>FtrSchoolTableS_Remake_1_0</t>
  </si>
  <si>
    <t>TopsTexTopCoatLPajamas6</t>
  </si>
  <si>
    <t>BromideNpcNmlCat18_Remake_7_0</t>
  </si>
  <si>
    <t>Lopez's photo</t>
  </si>
  <si>
    <t>TopsTexTopCoatLPajamas7</t>
  </si>
  <si>
    <t>BromideNpcNmlDer05_Remake_0_0</t>
  </si>
  <si>
    <t>FtrSchoolTableS_Remake_2_0</t>
  </si>
  <si>
    <t>TopsTexTopCoatLPajamas4</t>
  </si>
  <si>
    <t>BromideNpcNmlDer05_Remake_1_0</t>
  </si>
  <si>
    <t>FtrSchoolTableS_Remake_3_0</t>
  </si>
  <si>
    <t>TopsTexTopCoatLPajamas5</t>
  </si>
  <si>
    <t>FtrSchoolTableS_Remake_4_0</t>
  </si>
  <si>
    <t>BromideNpcNmlDer05_Remake_2_0</t>
  </si>
  <si>
    <t>TopsTexTopCoatLPajamas0</t>
  </si>
  <si>
    <t>text shirt</t>
  </si>
  <si>
    <t>FtrSchoolTableS_Remake_5_0</t>
  </si>
  <si>
    <t>screen</t>
  </si>
  <si>
    <t>TopsTexTopTshirtsLAlphabet0</t>
  </si>
  <si>
    <t>FtrScreenByoubu_Remake_0_0</t>
  </si>
  <si>
    <t>TopsTexTopTshirtsLAlphabet1</t>
  </si>
  <si>
    <t>BromideNpcNmlDer05_Remake_3_0</t>
  </si>
  <si>
    <t>Plum</t>
  </si>
  <si>
    <t>FtrScreenByoubu_Remake_1_0</t>
  </si>
  <si>
    <t>TopsTexTopTshirtsLAlphabet2</t>
  </si>
  <si>
    <t>thick-stripes shirt</t>
  </si>
  <si>
    <t>Pine</t>
  </si>
  <si>
    <t>Green &amp; navy</t>
  </si>
  <si>
    <t>BromideNpcNmlDer05_Remake_4_0</t>
  </si>
  <si>
    <t>FtrScreenByoubu_Remake_2_0</t>
  </si>
  <si>
    <t>TopsTexTopYshirtsLRugby1</t>
  </si>
  <si>
    <t>Rose red &amp; navy</t>
  </si>
  <si>
    <t>FtrScreenByoubu_Remake_3_0</t>
  </si>
  <si>
    <t>TopsTexTopYshirtsLRugby2</t>
  </si>
  <si>
    <t>BromideNpcNmlDer05_Remake_5_0</t>
  </si>
  <si>
    <t>Dragon</t>
  </si>
  <si>
    <t>Beige &amp; navy</t>
  </si>
  <si>
    <t>FtrScreenByoubu_Remake_4_0</t>
  </si>
  <si>
    <t>TopsTexTopYshirtsLRugby3</t>
  </si>
  <si>
    <t>server</t>
  </si>
  <si>
    <t>Green &amp; purple</t>
  </si>
  <si>
    <t>BromideNpcNmlDer05_Remake_6_0</t>
  </si>
  <si>
    <t>TopsTexTopYshirtsLRugby4</t>
  </si>
  <si>
    <t>FtrServer</t>
  </si>
  <si>
    <t>serving cart</t>
  </si>
  <si>
    <t>Yellow &amp; red</t>
  </si>
  <si>
    <t>BromideNpcNmlDer05_Remake_7_0</t>
  </si>
  <si>
    <t>TopsTexTopYshirtsLRugby5</t>
  </si>
  <si>
    <t>Louie's photo</t>
  </si>
  <si>
    <t>FtrServingcart_Remake_0_0</t>
  </si>
  <si>
    <t>Navy &amp; gray</t>
  </si>
  <si>
    <t>TopsTexTopYshirtsLRugby6</t>
  </si>
  <si>
    <t>BromideNpcNmlGor04_Remake_0_0</t>
  </si>
  <si>
    <t>Light blue &amp; black</t>
  </si>
  <si>
    <t>FtrServingcart_Remake_1_0</t>
  </si>
  <si>
    <t>TopsTexTopYshirtsLRugby7</t>
  </si>
  <si>
    <t>Yellow &amp; navy</t>
  </si>
  <si>
    <t>BromideNpcNmlGor04_Remake_1_0</t>
  </si>
  <si>
    <t>FtrServingcart_Remake_2_0</t>
  </si>
  <si>
    <t>TopsTexTopYshirtsLRugby0</t>
  </si>
  <si>
    <t>White &amp; silver</t>
  </si>
  <si>
    <t>thief's costume</t>
  </si>
  <si>
    <t>FtrServingcart_Remake_3_0</t>
  </si>
  <si>
    <t>BromideNpcNmlGor04_Remake_2_0</t>
  </si>
  <si>
    <t>TopsTexTopCoatLThiefBlack</t>
  </si>
  <si>
    <t>thread-worn sweater</t>
  </si>
  <si>
    <t>FtrServingcart_Remake_4_0</t>
  </si>
  <si>
    <t>TopsTexTopTshirtsLDamage0</t>
  </si>
  <si>
    <t>BromideNpcNmlGor04_Remake_3_0</t>
  </si>
  <si>
    <t>TopsTexTopTshirtsLDamage1</t>
  </si>
  <si>
    <t>BromideNpcNmlGor04_Remake_4_0</t>
  </si>
  <si>
    <t>FtrServingcart_Remake_5_0</t>
  </si>
  <si>
    <t>shaded floor lamp</t>
  </si>
  <si>
    <t>TopsTexTopTshirtsLDamage2</t>
  </si>
  <si>
    <t>BromideNpcNmlGor04_Remake_5_0</t>
  </si>
  <si>
    <t>TopsTexTopTshirtsLDamage3</t>
  </si>
  <si>
    <t>three-ball tee</t>
  </si>
  <si>
    <t>FtrLampMount_Remake_0_0</t>
  </si>
  <si>
    <t>BromideNpcNmlGor04_Remake_6_0</t>
  </si>
  <si>
    <t>TopsTexTopTshirtsHNumberball3</t>
  </si>
  <si>
    <t>tie-dye shirt</t>
  </si>
  <si>
    <t>TopsTexTopTshirtsHTiedyeRainbow</t>
  </si>
  <si>
    <t>BromideNpcNmlGor04_Remake_7_0</t>
  </si>
  <si>
    <t>tiger jacket</t>
  </si>
  <si>
    <t>Lucha's photo</t>
  </si>
  <si>
    <t>FtrLampMount_Remake_1_0</t>
  </si>
  <si>
    <t>TopsTexTopOuterLSukajantigerGreen</t>
  </si>
  <si>
    <t>tight-knit sweater</t>
  </si>
  <si>
    <t>BromideNpcNmlBrd15_Remake_0_0</t>
  </si>
  <si>
    <t>TopsTexTopYshirtsLSlimknit0</t>
  </si>
  <si>
    <t>BromideNpcNmlBrd15_Remake_1_0</t>
  </si>
  <si>
    <t>FtrLampMount_Remake_2_0</t>
  </si>
  <si>
    <t>TopsTexTopYshirtsLSlimknit1</t>
  </si>
  <si>
    <t>BromideNpcNmlBrd15_Remake_2_0</t>
  </si>
  <si>
    <t>TopsTexTopYshirtsLSlimknit2</t>
  </si>
  <si>
    <t>top coat</t>
  </si>
  <si>
    <t>FtrLampMount_Remake_3_0</t>
  </si>
  <si>
    <t>BromideNpcNmlBrd15_Remake_3_0</t>
  </si>
  <si>
    <t>TopsTexTopCoatLSoutiencollar1</t>
  </si>
  <si>
    <t>BromideNpcNmlBrd15_Remake_4_0</t>
  </si>
  <si>
    <t>TopsTexTopCoatLSoutiencollar2</t>
  </si>
  <si>
    <t>FtrLampMount_Remake_4_0</t>
  </si>
  <si>
    <t>TopsTexTopCoatLSoutiencollar3</t>
  </si>
  <si>
    <t>BromideNpcNmlBrd15_Remake_5_0</t>
  </si>
  <si>
    <t>FtrLampMount_Remake_5_0</t>
  </si>
  <si>
    <t>BromideNpcNmlBrd15_Remake_6_0</t>
  </si>
  <si>
    <t>TopsTexTopCoatLSoutiencollar0</t>
  </si>
  <si>
    <t>track jacket</t>
  </si>
  <si>
    <t>TopsTexTopYshirtsLSportsjersey1</t>
  </si>
  <si>
    <t>BromideNpcNmlBrd15_Remake_7_0</t>
  </si>
  <si>
    <t>Lucky's photo</t>
  </si>
  <si>
    <t>FtrLampMount_Remake_6_0</t>
  </si>
  <si>
    <t>BromideNpcNmlDog02_Remake_0_0</t>
  </si>
  <si>
    <t>TopsTexTopYshirtsLSportsjersey2</t>
  </si>
  <si>
    <t>BromideNpcNmlDog02_Remake_1_0</t>
  </si>
  <si>
    <t>TopsTexTopYshirtsLSportsjersey3</t>
  </si>
  <si>
    <t>FtrLampMount_Remake_7_0</t>
  </si>
  <si>
    <t>shell arch</t>
  </si>
  <si>
    <t>BromideNpcNmlDog02_Remake_2_0</t>
  </si>
  <si>
    <t>TopsTexTopYshirtsLSportsjersey4</t>
  </si>
  <si>
    <t>BromideNpcNmlDog02_Remake_3_0</t>
  </si>
  <si>
    <t>TopsTexTopYshirtsLSportsjersey5</t>
  </si>
  <si>
    <t>FtrShellArch_Remake_0_0</t>
  </si>
  <si>
    <t>BromideNpcNmlDog02_Remake_4_0</t>
  </si>
  <si>
    <t>BromideNpcNmlDog02_Remake_5_0</t>
  </si>
  <si>
    <t>TopsTexTopYshirtsLSportsjersey6</t>
  </si>
  <si>
    <t>BromideNpcNmlDog02_Remake_6_0</t>
  </si>
  <si>
    <t>FtrShellArch_Remake_1_0</t>
  </si>
  <si>
    <t>TopsTexTopYshirtsLSportsjersey0</t>
  </si>
  <si>
    <t>traditional straw coat</t>
  </si>
  <si>
    <t>BromideNpcNmlDog02_Remake_7_0</t>
  </si>
  <si>
    <t>Lucy's photo</t>
  </si>
  <si>
    <t>TopsTexTopCoatLStrawBeige</t>
  </si>
  <si>
    <t>BromideNpcNmlPig04_Remake_0_0</t>
  </si>
  <si>
    <t>tree sweater</t>
  </si>
  <si>
    <t>FtrShellArch_Remake_2_0</t>
  </si>
  <si>
    <t>BromideNpcNmlPig04_Remake_1_0</t>
  </si>
  <si>
    <t>TopsTexTopOuterLTree0</t>
  </si>
  <si>
    <t>trench coat</t>
  </si>
  <si>
    <t>BromideNpcNmlPig04_Remake_2_0</t>
  </si>
  <si>
    <t>FtrShellArch_Remake_3_0</t>
  </si>
  <si>
    <t>TopsTexTopCoatLTrench1</t>
  </si>
  <si>
    <t>BromideNpcNmlPig04_Remake_3_0</t>
  </si>
  <si>
    <t>TopsTexTopCoatLTrench2</t>
  </si>
  <si>
    <t>BromideNpcNmlPig04_Remake_4_0</t>
  </si>
  <si>
    <t>FtrShellArch_Remake_4_0</t>
  </si>
  <si>
    <t>TopsTexTopCoatLTrench3</t>
  </si>
  <si>
    <t>BromideNpcNmlPig04_Remake_5_0</t>
  </si>
  <si>
    <t>BromideNpcNmlPig04_Remake_6_0</t>
  </si>
  <si>
    <t>FtrShellArch_Remake_5_0</t>
  </si>
  <si>
    <t>shell bed</t>
  </si>
  <si>
    <t>TopsTexTopCoatLTrench4</t>
  </si>
  <si>
    <t>BromideNpcNmlPig04_Remake_7_0</t>
  </si>
  <si>
    <t>Lyman's photo</t>
  </si>
  <si>
    <t>FtrShellBedW_Remake_0_0</t>
  </si>
  <si>
    <t>TopsTexTopCoatLTrench0</t>
  </si>
  <si>
    <t>tube top</t>
  </si>
  <si>
    <t>BromideNpcNmlKal09_Remake_0_0</t>
  </si>
  <si>
    <t>TopsTexTopTshirtsNTubetop1</t>
  </si>
  <si>
    <t>FtrShellBedW_Remake_1_0</t>
  </si>
  <si>
    <t>BromideNpcNmlKal09_Remake_1_0</t>
  </si>
  <si>
    <t>TopsTexTopTshirtsNTubetop2</t>
  </si>
  <si>
    <t>FtrShellBedW_Remake_2_0</t>
  </si>
  <si>
    <t>BromideNpcNmlKal09_Remake_2_0</t>
  </si>
  <si>
    <t>TopsTexTopTshirtsNTubetop3</t>
  </si>
  <si>
    <t>BromideNpcNmlKal09_Remake_3_0</t>
  </si>
  <si>
    <t>FtrShellBedW_Remake_3_0</t>
  </si>
  <si>
    <t>TopsTexTopTshirtsNTubetop4</t>
  </si>
  <si>
    <t>BromideNpcNmlKal09_Remake_4_0</t>
  </si>
  <si>
    <t>FtrShellBedW_Remake_4_0</t>
  </si>
  <si>
    <t>BromideNpcNmlKal09_Remake_5_0</t>
  </si>
  <si>
    <t>TopsTexTopTshirtsNTubetop0</t>
  </si>
  <si>
    <t>FtrShellBedW_Remake_5_0</t>
  </si>
  <si>
    <t>BromideNpcNmlKal09_Remake_6_0</t>
  </si>
  <si>
    <t>shell fountain</t>
  </si>
  <si>
    <t>TopsTexTopTshirtsNTubetop5</t>
  </si>
  <si>
    <t>BromideNpcNmlKal09_Remake_7_0</t>
  </si>
  <si>
    <t>Mac's photo</t>
  </si>
  <si>
    <t>FtrShellFountain_Remake_0_0</t>
  </si>
  <si>
    <t>TopsTexTopTshirtsNTubetop6</t>
  </si>
  <si>
    <t>tunic tank</t>
  </si>
  <si>
    <t>BromideNpcNmlDog14_Remake_0_0</t>
  </si>
  <si>
    <t>FtrShellFountain_Remake_1_0</t>
  </si>
  <si>
    <t>TopsTexTopCoatNTanktunic1</t>
  </si>
  <si>
    <t>BromideNpcNmlDog14_Remake_1_0</t>
  </si>
  <si>
    <t>TopsTexTopCoatNTanktunic2</t>
  </si>
  <si>
    <t>FtrShellFountain_Remake_2_0</t>
  </si>
  <si>
    <t>BromideNpcNmlDog14_Remake_2_0</t>
  </si>
  <si>
    <t>TopsTexTopCoatNTanktunic3</t>
  </si>
  <si>
    <t>BromideNpcNmlDog14_Remake_3_0</t>
  </si>
  <si>
    <t>FtrShellFountain_Remake_3_0</t>
  </si>
  <si>
    <t>TopsTexTopCoatNTanktunic0</t>
  </si>
  <si>
    <t>BromideNpcNmlDog14_Remake_4_0</t>
  </si>
  <si>
    <t>tuxedo jacket</t>
  </si>
  <si>
    <t>BromideNpcNmlDog14_Remake_5_0</t>
  </si>
  <si>
    <t>TopsTexTopYshirtsLTuxedo1</t>
  </si>
  <si>
    <t>FtrShellFountain_Remake_4_0</t>
  </si>
  <si>
    <t>BromideNpcNmlDog14_Remake_6_0</t>
  </si>
  <si>
    <t>BromideNpcNmlDog14_Remake_7_0</t>
  </si>
  <si>
    <t>TopsTexTopYshirtsLTuxedo2</t>
  </si>
  <si>
    <t>Maddie's photo</t>
  </si>
  <si>
    <t>FtrShellFountain_Remake_5_0</t>
  </si>
  <si>
    <t>shell partition</t>
  </si>
  <si>
    <t>BromideNpcNmlDog09_Remake_0_0</t>
  </si>
  <si>
    <t>TopsTexTopYshirtsLTuxedo0</t>
  </si>
  <si>
    <t>tweed jacket</t>
  </si>
  <si>
    <t>FtrShellScreen_Remake_0_0</t>
  </si>
  <si>
    <t>BromideNpcNmlDog09_Remake_1_0</t>
  </si>
  <si>
    <t>TopsTexTopYshirtsLTweed1</t>
  </si>
  <si>
    <t>BromideNpcNmlDog09_Remake_2_0</t>
  </si>
  <si>
    <t>FtrShellScreen_Remake_1_0</t>
  </si>
  <si>
    <t>TopsTexTopYshirtsLTweed2</t>
  </si>
  <si>
    <t>BromideNpcNmlDog09_Remake_3_0</t>
  </si>
  <si>
    <t>FtrShellScreen_Remake_2_0</t>
  </si>
  <si>
    <t>BromideNpcNmlDog09_Remake_4_0</t>
  </si>
  <si>
    <t>TopsTexTopYshirtsLTweed3</t>
  </si>
  <si>
    <t>FtrShellScreen_Remake_3_0</t>
  </si>
  <si>
    <t>BromideNpcNmlDog09_Remake_5_0</t>
  </si>
  <si>
    <t>TopsTexTopYshirtsLTweed4</t>
  </si>
  <si>
    <t>FtrShellScreen_Remake_4_0</t>
  </si>
  <si>
    <t>BromideNpcNmlDog09_Remake_6_0</t>
  </si>
  <si>
    <t>TopsTexTopYshirtsLTweed5</t>
  </si>
  <si>
    <t>BromideNpcNmlDog09_Remake_7_0</t>
  </si>
  <si>
    <t>Maelle's photo</t>
  </si>
  <si>
    <t>FtrShellScreen_Remake_5_0</t>
  </si>
  <si>
    <t>shell stool</t>
  </si>
  <si>
    <t>TopsTexTopYshirtsLTweed0</t>
  </si>
  <si>
    <t>tweed vest</t>
  </si>
  <si>
    <t>BromideNpcNmlDuk03_Remake_0_0</t>
  </si>
  <si>
    <t>FtrShellStoolS_Remake_0_0</t>
  </si>
  <si>
    <t>BromideNpcNmlDuk03_Remake_1_0</t>
  </si>
  <si>
    <t>TopsTexTopYshirtsLTweedvest1</t>
  </si>
  <si>
    <t>BromideNpcNmlDuk03_Remake_2_0</t>
  </si>
  <si>
    <t>FtrShellStoolS_Remake_1_0</t>
  </si>
  <si>
    <t>TopsTexTopYshirtsLTweedvest2</t>
  </si>
  <si>
    <t>BromideNpcNmlDuk03_Remake_3_0</t>
  </si>
  <si>
    <t>FtrShellStoolS_Remake_2_0</t>
  </si>
  <si>
    <t>TopsTexTopYshirtsLTweedvest0</t>
  </si>
  <si>
    <t>two-ball tee</t>
  </si>
  <si>
    <t>BromideNpcNmlDuk03_Remake_4_0</t>
  </si>
  <si>
    <t>FtrShellStoolS_Remake_3_0</t>
  </si>
  <si>
    <t>BromideNpcNmlDuk03_Remake_5_0</t>
  </si>
  <si>
    <t>BromideNpcNmlDuk03_Remake_6_0</t>
  </si>
  <si>
    <t>FtrShellStoolS_Remake_4_0</t>
  </si>
  <si>
    <t>TopsTexTopTshirtsHNumberball2</t>
  </si>
  <si>
    <t>BromideNpcNmlDuk03_Remake_7_0</t>
  </si>
  <si>
    <t>V-neck sweater</t>
  </si>
  <si>
    <t>Maggie's photo</t>
  </si>
  <si>
    <t>BromideNpcNmlPig10_Remake_0_0</t>
  </si>
  <si>
    <t>TopsTexTopTshirtsLVnecksweater0</t>
  </si>
  <si>
    <t>BromideNpcNmlPig10_Remake_1_0</t>
  </si>
  <si>
    <t>FtrShellStoolS_Remake_5_0</t>
  </si>
  <si>
    <t>shell table</t>
  </si>
  <si>
    <t>BromideNpcNmlPig10_Remake_2_0</t>
  </si>
  <si>
    <t>TopsTexTopTshirtsLVnecksweater1</t>
  </si>
  <si>
    <t>FtrShellTableL_Remake_0_0</t>
  </si>
  <si>
    <t>BromideNpcNmlPig10_Remake_3_0</t>
  </si>
  <si>
    <t>TopsTexTopTshirtsLVnecksweater2</t>
  </si>
  <si>
    <t>vampire costume</t>
  </si>
  <si>
    <t>FtrShellTableL_Remake_1_0</t>
  </si>
  <si>
    <t>BromideNpcNmlPig10_Remake_4_0</t>
  </si>
  <si>
    <t>TopsTexTopCoatLVampire0</t>
  </si>
  <si>
    <t>BromideNpcNmlPig10_Remake_5_0</t>
  </si>
  <si>
    <t>FtrShellTableL_Remake_2_0</t>
  </si>
  <si>
    <t>BromideNpcNmlPig10_Remake_6_0</t>
  </si>
  <si>
    <t>TopsTexTopCoatLVampire1</t>
  </si>
  <si>
    <t>vertical-stripes shirt</t>
  </si>
  <si>
    <t>BromideNpcNmlPig10_Remake_7_0</t>
  </si>
  <si>
    <t>Mallary's photo</t>
  </si>
  <si>
    <t>FtrShellTableL_Remake_3_0</t>
  </si>
  <si>
    <t>TopsTexTopCoatHStripeshirts0</t>
  </si>
  <si>
    <t>BromideNpcNmlDuk06_Remake_0_0</t>
  </si>
  <si>
    <t>FtrShellTableL_Remake_4_0</t>
  </si>
  <si>
    <t>BromideNpcNmlDuk06_Remake_1_0</t>
  </si>
  <si>
    <t>TopsTexTopCoatHStripeshirts5</t>
  </si>
  <si>
    <t>BromideNpcNmlDuk06_Remake_2_0</t>
  </si>
  <si>
    <t>FtrShellTableL_Remake_5_0</t>
  </si>
  <si>
    <t>shower booth</t>
  </si>
  <si>
    <t>BromideNpcNmlDuk06_Remake_3_0</t>
  </si>
  <si>
    <t>TopsTexTopCoatHStripeshirts6</t>
  </si>
  <si>
    <t>FtrShowerboothSquare_Remake_0_0</t>
  </si>
  <si>
    <t>BromideNpcNmlDuk06_Remake_4_0</t>
  </si>
  <si>
    <t>TopsTexTopCoatHStripeshirts1</t>
  </si>
  <si>
    <t>BromideNpcNmlDuk06_Remake_5_0</t>
  </si>
  <si>
    <t>FtrShowerboothSquare_Remake_1_0</t>
  </si>
  <si>
    <t>BromideNpcNmlDuk06_Remake_6_0</t>
  </si>
  <si>
    <t>TopsTexTopCoatHStripeshirts2</t>
  </si>
  <si>
    <t>FtrShowerboothSquare_Remake_2_0</t>
  </si>
  <si>
    <t>BromideNpcNmlDuk06_Remake_7_0</t>
  </si>
  <si>
    <t>Maple's photo</t>
  </si>
  <si>
    <t>TopsTexTopCoatHStripeshirts3</t>
  </si>
  <si>
    <t>BromideNpcNmlCbr01_Remake_0_0</t>
  </si>
  <si>
    <t>FtrShowerboothSquare_Remake_3_0</t>
  </si>
  <si>
    <t>signpost</t>
  </si>
  <si>
    <t>BromideNpcNmlCbr01_Remake_1_0</t>
  </si>
  <si>
    <t>TopsTexTopCoatHStripeshirts4</t>
  </si>
  <si>
    <t>vest with binoculars</t>
  </si>
  <si>
    <t>FtrSignpost_Remake_0_0</t>
  </si>
  <si>
    <t>BromideNpcNmlCbr01_Remake_2_0</t>
  </si>
  <si>
    <t>TopsTexTopYshirtsLGlassBeige</t>
  </si>
  <si>
    <t>viking top</t>
  </si>
  <si>
    <t>FtrSignpost_Remake_1_0</t>
  </si>
  <si>
    <t>BromideNpcNmlCbr01_Remake_3_0</t>
  </si>
  <si>
    <t>TopsTexTopCoatLViking1</t>
  </si>
  <si>
    <t>FtrSignpost_Remake_2_0</t>
  </si>
  <si>
    <t>BromideNpcNmlCbr01_Remake_4_0</t>
  </si>
  <si>
    <t>BromideNpcNmlCbr01_Remake_5_0</t>
  </si>
  <si>
    <t>TopsTexTopCoatLViking2</t>
  </si>
  <si>
    <t>FtrSignpost_Remake_3_0</t>
  </si>
  <si>
    <t>BromideNpcNmlCbr01_Remake_6_0</t>
  </si>
  <si>
    <t>TopsTexTopCoatLViking0</t>
  </si>
  <si>
    <t>FtrSignpost_Remake_4_0</t>
  </si>
  <si>
    <t>waistcoat</t>
  </si>
  <si>
    <t>BromideNpcNmlCbr01_Remake_7_0</t>
  </si>
  <si>
    <t>Marcel's photo</t>
  </si>
  <si>
    <t>BromideNpcNmlDog15_Remake_0_0</t>
  </si>
  <si>
    <t>FtrSignpost_Remake_5_0</t>
  </si>
  <si>
    <t>TopsTexTopYshirtsLGilet1</t>
  </si>
  <si>
    <t>BromideNpcNmlDog15_Remake_1_0</t>
  </si>
  <si>
    <t>FtrSignpost_Remake_6_0</t>
  </si>
  <si>
    <t>TopsTexTopYshirtsLGilet2</t>
  </si>
  <si>
    <t>BromideNpcNmlDog15_Remake_2_0</t>
  </si>
  <si>
    <t>FtrSignpost_Remake_7_0</t>
  </si>
  <si>
    <t>silo</t>
  </si>
  <si>
    <t>TopsTexTopYshirtsLGilet3</t>
  </si>
  <si>
    <t>Red roof</t>
  </si>
  <si>
    <t>Roof color</t>
  </si>
  <si>
    <t>BromideNpcNmlDog15_Remake_3_0</t>
  </si>
  <si>
    <t>FtrSilo_Remake_0_0</t>
  </si>
  <si>
    <t>TopsTexTopYshirtsLGilet4</t>
  </si>
  <si>
    <t>Green roof</t>
  </si>
  <si>
    <t>BromideNpcNmlDog15_Remake_4_0</t>
  </si>
  <si>
    <t>FtrSilo_Remake_1_0</t>
  </si>
  <si>
    <t>TopsTexTopYshirtsLGilet0</t>
  </si>
  <si>
    <t>western shirt</t>
  </si>
  <si>
    <t>Blue roof</t>
  </si>
  <si>
    <t>BromideNpcNmlDog15_Remake_5_0</t>
  </si>
  <si>
    <t>FtrSilo_Remake_2_0</t>
  </si>
  <si>
    <t>TopsTexTopYshirtsLWestern0</t>
  </si>
  <si>
    <t>Black roof</t>
  </si>
  <si>
    <t>BromideNpcNmlDog15_Remake_6_0</t>
  </si>
  <si>
    <t>FtrSilo_Remake_3_0</t>
  </si>
  <si>
    <t>TopsTexTopYshirtsLWestern1</t>
  </si>
  <si>
    <t>Aqua roof</t>
  </si>
  <si>
    <t>FtrSilo_Remake_4_0</t>
  </si>
  <si>
    <t>BromideNpcNmlDog15_Remake_7_0</t>
  </si>
  <si>
    <t>TopsTexTopYshirtsLWestern2</t>
  </si>
  <si>
    <t>silver mic</t>
  </si>
  <si>
    <t>Marcie's photo</t>
  </si>
  <si>
    <t>TopsTexTopYshirtsLWestern3</t>
  </si>
  <si>
    <t>work apron</t>
  </si>
  <si>
    <t>BromideNpcNmlKgr10_Remake_0_0</t>
  </si>
  <si>
    <t>FtrMikeBone</t>
  </si>
  <si>
    <t>simple DIY workbench</t>
  </si>
  <si>
    <t>TopsTexTopCoatLWorkapron1</t>
  </si>
  <si>
    <t>BromideNpcNmlKgr10_Remake_1_0</t>
  </si>
  <si>
    <t>TopsTexTopCoatLWorkapron0</t>
  </si>
  <si>
    <t>work shirt</t>
  </si>
  <si>
    <t>FtrWorkbenchStump</t>
  </si>
  <si>
    <t>Red-striped necktie</t>
  </si>
  <si>
    <t>simple panel</t>
  </si>
  <si>
    <t>BromideNpcNmlKgr10_Remake_2_0</t>
  </si>
  <si>
    <t>TopsTexTopYshirtsLNecktie0</t>
  </si>
  <si>
    <t>Light gray</t>
  </si>
  <si>
    <t>Plain panel</t>
  </si>
  <si>
    <t>Panel design</t>
  </si>
  <si>
    <t>Blue-striped necktie</t>
  </si>
  <si>
    <t>FtrScreenSimple_Remake_0_0</t>
  </si>
  <si>
    <t>TopsTexTopYshirtsLNecktie1</t>
  </si>
  <si>
    <t>BromideNpcNmlKgr10_Remake_3_0</t>
  </si>
  <si>
    <t>Lined panel</t>
  </si>
  <si>
    <t>Purple-striped necktie</t>
  </si>
  <si>
    <t>TopsTexTopYshirtsLNecktie2</t>
  </si>
  <si>
    <t>FtrScreenSimple_Remake_0_1</t>
  </si>
  <si>
    <t>BromideNpcNmlKgr10_Remake_4_0</t>
  </si>
  <si>
    <t>Green-striped necktie</t>
  </si>
  <si>
    <t>Pegboard</t>
  </si>
  <si>
    <t>TopsTexTopYshirtsLNecktie3</t>
  </si>
  <si>
    <t>BromideNpcNmlKgr10_Remake_5_0</t>
  </si>
  <si>
    <t>White-striped necktie</t>
  </si>
  <si>
    <t>FtrScreenSimple_Remake_0_2</t>
  </si>
  <si>
    <t>TopsTexTopYshirtsLNecktie4</t>
  </si>
  <si>
    <t>worker's jacket</t>
  </si>
  <si>
    <t>Horizontal planks</t>
  </si>
  <si>
    <t>BromideNpcNmlKgr10_Remake_6_0</t>
  </si>
  <si>
    <t>TopsTexTopYshirtsLFactory0</t>
  </si>
  <si>
    <t>FtrScreenSimple_Remake_0_3</t>
  </si>
  <si>
    <t>BromideNpcNmlKgr10_Remake_7_0</t>
  </si>
  <si>
    <t>Margie's photo</t>
  </si>
  <si>
    <t>TopsTexTopYshirtsLFactory1</t>
  </si>
  <si>
    <t>Lattice</t>
  </si>
  <si>
    <t>BromideNpcNmlElp04_Remake_0_0</t>
  </si>
  <si>
    <t>FtrScreenSimple_Remake_0_4</t>
  </si>
  <si>
    <t>TopsTexTopYshirtsLFactory2</t>
  </si>
  <si>
    <t>workout top</t>
  </si>
  <si>
    <t>Mud wall</t>
  </si>
  <si>
    <t>TopsTexTopTshirtsNTraining2</t>
  </si>
  <si>
    <t>BromideNpcNmlElp04_Remake_1_0</t>
  </si>
  <si>
    <t>FtrScreenSimple_Remake_0_5</t>
  </si>
  <si>
    <t>TopsTexTopTshirtsNTraining0</t>
  </si>
  <si>
    <t>BromideNpcNmlElp04_Remake_2_0</t>
  </si>
  <si>
    <t>FtrScreenSimple_Remake_0_6</t>
  </si>
  <si>
    <t>TopsTexTopTshirtsNTraining1</t>
  </si>
  <si>
    <t>yodel cardigan</t>
  </si>
  <si>
    <t>BromideNpcNmlElp04_Remake_3_0</t>
  </si>
  <si>
    <t>TopsTexTopOuterLNordiccardigan1</t>
  </si>
  <si>
    <t>FtrScreenSimple_Remake_0_7</t>
  </si>
  <si>
    <t>BromideNpcNmlElp04_Remake_4_0</t>
  </si>
  <si>
    <t>TopsTexTopOuterLNordiccardigan2</t>
  </si>
  <si>
    <t>TopsTexTopOuterLNordiccardigan3</t>
  </si>
  <si>
    <t>FtrScreenSimple_Remake_1_0</t>
  </si>
  <si>
    <t>BromideNpcNmlElp04_Remake_5_0</t>
  </si>
  <si>
    <t>FtrScreenSimple_Remake_1_1</t>
  </si>
  <si>
    <t>TopsTexTopOuterLNordiccardigan4</t>
  </si>
  <si>
    <t>BromideNpcNmlElp04_Remake_6_0</t>
  </si>
  <si>
    <t>FtrScreenSimple_Remake_1_2</t>
  </si>
  <si>
    <t>TopsTexTopOuterLNordiccardigan5</t>
  </si>
  <si>
    <t>BromideNpcNmlElp04_Remake_7_0</t>
  </si>
  <si>
    <t>Marina's photo</t>
  </si>
  <si>
    <t>TopsTexTopOuterLNordiccardigan0</t>
  </si>
  <si>
    <t>FtrScreenSimple_Remake_1_3</t>
  </si>
  <si>
    <t>yodel sweater</t>
  </si>
  <si>
    <t>BromideNpcNmlOcp01_Remake_0_0</t>
  </si>
  <si>
    <t>FtrScreenSimple_Remake_1_4</t>
  </si>
  <si>
    <t>TopsTexTopOuterLNordic0</t>
  </si>
  <si>
    <t>BromideNpcNmlOcp01_Remake_1_0</t>
  </si>
  <si>
    <t>FtrScreenSimple_Remake_1_5</t>
  </si>
  <si>
    <t>TopsTexTopOuterLNordic1</t>
  </si>
  <si>
    <t>BromideNpcNmlOcp01_Remake_2_0</t>
  </si>
  <si>
    <t>FtrScreenSimple_Remake_1_6</t>
  </si>
  <si>
    <t>TopsTexTopOuterLNordic2</t>
  </si>
  <si>
    <t>FtrScreenSimple_Remake_1_7</t>
  </si>
  <si>
    <t>BromideNpcNmlOcp01_Remake_3_0</t>
  </si>
  <si>
    <t>TopsTexTopOuterLNordic3</t>
  </si>
  <si>
    <t>Off-white</t>
  </si>
  <si>
    <t>FtrScreenSimple_Remake_2_0</t>
  </si>
  <si>
    <t>BromideNpcNmlOcp01_Remake_4_0</t>
  </si>
  <si>
    <t>TopsTexTopOuterLNordic4</t>
  </si>
  <si>
    <t>young-royal shirt</t>
  </si>
  <si>
    <t>BromideNpcNmlOcp01_Remake_5_0</t>
  </si>
  <si>
    <t>TopsTexTopYshirtsLPrince1</t>
  </si>
  <si>
    <t>FtrScreenSimple_Remake_2_1</t>
  </si>
  <si>
    <t>TopsTexTopYshirtsLPrince2</t>
  </si>
  <si>
    <t>BromideNpcNmlOcp01_Remake_6_0</t>
  </si>
  <si>
    <t>FtrScreenSimple_Remake_2_2</t>
  </si>
  <si>
    <t>BromideNpcNmlOcp01_Remake_7_0</t>
  </si>
  <si>
    <t>TopsTexTopYshirtsLPrince3</t>
  </si>
  <si>
    <t>Marshal's photo</t>
  </si>
  <si>
    <t>FtrScreenSimple_Remake_2_3</t>
  </si>
  <si>
    <t>BromideNpcNmlSqu17_Remake_0_0</t>
  </si>
  <si>
    <t>TopsTexTopYshirtsLPrince4</t>
  </si>
  <si>
    <t>BromideNpcNmlSqu17_Remake_1_0</t>
  </si>
  <si>
    <t>TopsTexTopYshirtsLPrince0</t>
  </si>
  <si>
    <t>zigzag shirt</t>
  </si>
  <si>
    <t>FtrScreenSimple_Remake_2_4</t>
  </si>
  <si>
    <t>TopsTexTopTshirtsLJagged0</t>
  </si>
  <si>
    <t>BromideNpcNmlSqu17_Remake_2_0</t>
  </si>
  <si>
    <t>BromideNpcNmlSqu17_Remake_3_0</t>
  </si>
  <si>
    <t>FtrScreenSimple_Remake_2_5</t>
  </si>
  <si>
    <t>BromideNpcNmlSqu17_Remake_4_0</t>
  </si>
  <si>
    <t>FtrScreenSimple_Remake_2_6</t>
  </si>
  <si>
    <t>BromideNpcNmlSqu17_Remake_5_0</t>
  </si>
  <si>
    <t>BromideNpcNmlSqu17_Remake_6_0</t>
  </si>
  <si>
    <t>FtrScreenSimple_Remake_2_7</t>
  </si>
  <si>
    <t>BromideNpcNmlSqu17_Remake_7_0</t>
  </si>
  <si>
    <t>Mathilda's photo</t>
  </si>
  <si>
    <t>FtrScreenSimple_Remake_3_0</t>
  </si>
  <si>
    <t>BromideNpcNmlKgr01_Remake_0_0</t>
  </si>
  <si>
    <t>BromideNpcNmlKgr01_Remake_1_0</t>
  </si>
  <si>
    <t>acid-washed jeans</t>
  </si>
  <si>
    <t>FtrScreenSimple_Remake_3_1</t>
  </si>
  <si>
    <t>BottomsTexPantsNormalChemical0</t>
  </si>
  <si>
    <t>BromideNpcNmlKgr01_Remake_2_0</t>
  </si>
  <si>
    <t>BottomsTexPantsNormalChemical1</t>
  </si>
  <si>
    <t>FtrScreenSimple_Remake_3_2</t>
  </si>
  <si>
    <t>BromideNpcNmlKgr01_Remake_3_0</t>
  </si>
  <si>
    <t>animal-stripes skirt</t>
  </si>
  <si>
    <t>BottomsTexSkirtBoxStripe0</t>
  </si>
  <si>
    <t>BromideNpcNmlKgr01_Remake_4_0</t>
  </si>
  <si>
    <t>FtrScreenSimple_Remake_3_3</t>
  </si>
  <si>
    <t>BottomsTexSkirtBoxStripe1</t>
  </si>
  <si>
    <t>apron skirt</t>
  </si>
  <si>
    <t>BromideNpcNmlKgr01_Remake_5_0</t>
  </si>
  <si>
    <t>BottomsTexSkirtBoxApron0</t>
  </si>
  <si>
    <t>FtrScreenSimple_Remake_3_4</t>
  </si>
  <si>
    <t>BromideNpcNmlKgr01_Remake_6_0</t>
  </si>
  <si>
    <t>BottomsTexSkirtBoxApron1</t>
  </si>
  <si>
    <t>FtrScreenSimple_Remake_3_5</t>
  </si>
  <si>
    <t>BottomsTexSkirtBoxApron2</t>
  </si>
  <si>
    <t>BromideNpcNmlKgr01_Remake_7_0</t>
  </si>
  <si>
    <t>athletic pants</t>
  </si>
  <si>
    <t>Megan's photo</t>
  </si>
  <si>
    <t>BromideNpcNmlBea15_Remake_0_0</t>
  </si>
  <si>
    <t>FtrScreenSimple_Remake_3_6</t>
  </si>
  <si>
    <t>BottomsTexPantsNormalJersey0</t>
  </si>
  <si>
    <t>BromideNpcNmlBea15_Remake_1_0</t>
  </si>
  <si>
    <t>BromideNpcNmlBea15_Remake_2_0</t>
  </si>
  <si>
    <t>BottomsTexPantsNormalJersey1</t>
  </si>
  <si>
    <t>FtrScreenSimple_Remake_3_7</t>
  </si>
  <si>
    <t>BromideNpcNmlBea15_Remake_3_0</t>
  </si>
  <si>
    <t>BottomsTexPantsNormalJersey2</t>
  </si>
  <si>
    <t>BromideNpcNmlBea15_Remake_4_0</t>
  </si>
  <si>
    <t>BromideNpcNmlBea15_Remake_5_0</t>
  </si>
  <si>
    <t>BottomsTexPantsNormalJersey3</t>
  </si>
  <si>
    <t>FtrScreenSimple_Remake_4_0</t>
  </si>
  <si>
    <t>BromideNpcNmlBea15_Remake_6_0</t>
  </si>
  <si>
    <t>BottomsTexPantsNormalJersey4</t>
  </si>
  <si>
    <t>BromideNpcNmlBea15_Remake_7_0</t>
  </si>
  <si>
    <t>Melba's photo</t>
  </si>
  <si>
    <t>FtrScreenSimple_Remake_4_1</t>
  </si>
  <si>
    <t>BottomsTexPantsNormalJersey5</t>
  </si>
  <si>
    <t>BromideNpcNmlKal02_Remake_0_0</t>
  </si>
  <si>
    <t>athletic shorts</t>
  </si>
  <si>
    <t>BromideNpcNmlKal02_Remake_1_0</t>
  </si>
  <si>
    <t>FtrScreenSimple_Remake_4_2</t>
  </si>
  <si>
    <t>BottomsTexPantsHalfJersey0</t>
  </si>
  <si>
    <t>BromideNpcNmlKal02_Remake_2_0</t>
  </si>
  <si>
    <t>BottomsTexPantsHalfJersey1</t>
  </si>
  <si>
    <t>BromideNpcNmlKal02_Remake_3_0</t>
  </si>
  <si>
    <t>FtrScreenSimple_Remake_4_3</t>
  </si>
  <si>
    <t>BromideNpcNmlKal02_Remake_4_0</t>
  </si>
  <si>
    <t>BottomsTexPantsHalfJersey2</t>
  </si>
  <si>
    <t>BromideNpcNmlKal02_Remake_5_0</t>
  </si>
  <si>
    <t>BromideNpcNmlKal02_Remake_6_0</t>
  </si>
  <si>
    <t>FtrScreenSimple_Remake_4_4</t>
  </si>
  <si>
    <t>BottomsTexPantsHalfJersey3</t>
  </si>
  <si>
    <t>BromideNpcNmlKal02_Remake_7_0</t>
  </si>
  <si>
    <t>Merengue's photo</t>
  </si>
  <si>
    <t>BottomsTexPantsHalfJersey4</t>
  </si>
  <si>
    <t>BromideNpcNmlRhn07_Remake_0_0</t>
  </si>
  <si>
    <t>FtrScreenSimple_Remake_4_5</t>
  </si>
  <si>
    <t>BromideNpcNmlRhn07_Remake_1_0</t>
  </si>
  <si>
    <t>BottomsTexPantsHalfJersey5</t>
  </si>
  <si>
    <t>basketball shorts</t>
  </si>
  <si>
    <t>BromideNpcNmlRhn07_Remake_2_0</t>
  </si>
  <si>
    <t>FtrScreenSimple_Remake_4_6</t>
  </si>
  <si>
    <t>BromideNpcNmlRhn07_Remake_3_0</t>
  </si>
  <si>
    <t>BottomsTexPantsHalfBasketball0</t>
  </si>
  <si>
    <t>BromideNpcNmlRhn07_Remake_4_0</t>
  </si>
  <si>
    <t>BottomsTexPantsHalfBasketball1</t>
  </si>
  <si>
    <t>BromideNpcNmlRhn07_Remake_5_0</t>
  </si>
  <si>
    <t>FtrScreenSimple_Remake_4_7</t>
  </si>
  <si>
    <t>BottomsTexPantsHalfBasketball2</t>
  </si>
  <si>
    <t>BromideNpcNmlRhn07_Remake_6_0</t>
  </si>
  <si>
    <t>FtrScreenSimple_Remake_5_0</t>
  </si>
  <si>
    <t>BromideNpcNmlRhn07_Remake_7_0</t>
  </si>
  <si>
    <t>Merry's photo</t>
  </si>
  <si>
    <t>BottomsTexPantsHalfBasketball3</t>
  </si>
  <si>
    <t>BromideNpcNmlCat16_Remake_0_0</t>
  </si>
  <si>
    <t>FtrScreenSimple_Remake_5_1</t>
  </si>
  <si>
    <t>BottomsTexPantsHalfBasketball4</t>
  </si>
  <si>
    <t>BromideNpcNmlCat16_Remake_1_0</t>
  </si>
  <si>
    <t>FtrScreenSimple_Remake_5_2</t>
  </si>
  <si>
    <t>BottomsTexPantsHalfBasketball5</t>
  </si>
  <si>
    <t>BromideNpcNmlCat16_Remake_2_0</t>
  </si>
  <si>
    <t>FtrScreenSimple_Remake_5_3</t>
  </si>
  <si>
    <t>BottomsTexPantsHalfBasketball6</t>
  </si>
  <si>
    <t>BromideNpcNmlCat16_Remake_3_0</t>
  </si>
  <si>
    <t>FtrScreenSimple_Remake_5_4</t>
  </si>
  <si>
    <t>BottomsTexPantsHalfBasketball7</t>
  </si>
  <si>
    <t>bell-bottoms</t>
  </si>
  <si>
    <t>BromideNpcNmlCat16_Remake_4_0</t>
  </si>
  <si>
    <t>FtrScreenSimple_Remake_5_5</t>
  </si>
  <si>
    <t>BottomsTexPantsWideBellbottoms0</t>
  </si>
  <si>
    <t>BromideNpcNmlCat16_Remake_5_0</t>
  </si>
  <si>
    <t>FtrScreenSimple_Remake_5_6</t>
  </si>
  <si>
    <t>BottomsTexPantsWideBellbottoms1</t>
  </si>
  <si>
    <t>BromideNpcNmlCat16_Remake_6_0</t>
  </si>
  <si>
    <t>BottomsTexPantsWideBellbottoms2</t>
  </si>
  <si>
    <t>BromideNpcNmlCat16_Remake_7_0</t>
  </si>
  <si>
    <t>Midge's photo</t>
  </si>
  <si>
    <t>FtrScreenSimple_Remake_5_7</t>
  </si>
  <si>
    <t>BromideNpcNmlBrd08_Remake_0_0</t>
  </si>
  <si>
    <t>BottomsTexPantsWideBellbottoms3</t>
  </si>
  <si>
    <t>BromideNpcNmlBrd08_Remake_1_0</t>
  </si>
  <si>
    <t>BottomsTexPantsWideBellbottoms4</t>
  </si>
  <si>
    <t>belted wraparound skirt</t>
  </si>
  <si>
    <t>FtrScreenSimple_Remake_6_0</t>
  </si>
  <si>
    <t>BromideNpcNmlBrd08_Remake_2_0</t>
  </si>
  <si>
    <t>BromideNpcNmlBrd08_Remake_3_0</t>
  </si>
  <si>
    <t>BottomsTexSkirtLongWrap0</t>
  </si>
  <si>
    <t>FtrScreenSimple_Remake_6_1</t>
  </si>
  <si>
    <t>BromideNpcNmlBrd08_Remake_4_0</t>
  </si>
  <si>
    <t>BottomsTexSkirtLongWrap1</t>
  </si>
  <si>
    <t>BromideNpcNmlBrd08_Remake_5_0</t>
  </si>
  <si>
    <t>BromideNpcNmlBrd08_Remake_6_0</t>
  </si>
  <si>
    <t>BottomsTexSkirtLongWrap2</t>
  </si>
  <si>
    <t>FtrScreenSimple_Remake_6_2</t>
  </si>
  <si>
    <t>BromideNpcNmlBrd08_Remake_7_0</t>
  </si>
  <si>
    <t>Mint's photo</t>
  </si>
  <si>
    <t>BottomsTexSkirtLongWrap3</t>
  </si>
  <si>
    <t>boa shorts</t>
  </si>
  <si>
    <t>BromideNpcNmlSqu09_Remake_0_0</t>
  </si>
  <si>
    <t>FtrScreenSimple_Remake_6_3</t>
  </si>
  <si>
    <t>BottomsTexPantsHalfBoa0</t>
  </si>
  <si>
    <t>BromideNpcNmlSqu09_Remake_1_0</t>
  </si>
  <si>
    <t>BromideNpcNmlSqu09_Remake_2_0</t>
  </si>
  <si>
    <t>FtrScreenSimple_Remake_6_4</t>
  </si>
  <si>
    <t>BottomsTexPantsHalfBoa1</t>
  </si>
  <si>
    <t>BromideNpcNmlSqu09_Remake_3_0</t>
  </si>
  <si>
    <t>BottomsTexPantsHalfBoa2</t>
  </si>
  <si>
    <t>BromideNpcNmlSqu09_Remake_4_0</t>
  </si>
  <si>
    <t>FtrScreenSimple_Remake_6_5</t>
  </si>
  <si>
    <t>BromideNpcNmlSqu09_Remake_5_0</t>
  </si>
  <si>
    <t>BottomsTexPantsHalfBoa3</t>
  </si>
  <si>
    <t>BromideNpcNmlSqu09_Remake_6_0</t>
  </si>
  <si>
    <t>BottomsTexPantsHalfBoa4</t>
  </si>
  <si>
    <t>BromideNpcNmlSqu09_Remake_7_0</t>
  </si>
  <si>
    <t>Mira's photo</t>
  </si>
  <si>
    <t>FtrScreenSimple_Remake_6_6</t>
  </si>
  <si>
    <t>BottomsTexPantsHalfBoa5</t>
  </si>
  <si>
    <t>BromideNpcNmlRbt19_Remake_0_0</t>
  </si>
  <si>
    <t>BromideNpcNmlRbt19_Remake_1_0</t>
  </si>
  <si>
    <t>BottomsTexPantsHalfBoa6</t>
  </si>
  <si>
    <t>FtrScreenSimple_Remake_6_7</t>
  </si>
  <si>
    <t>BromideNpcNmlRbt19_Remake_2_0</t>
  </si>
  <si>
    <t>BottomsTexPantsHalfBoa7</t>
  </si>
  <si>
    <t>boa skirt</t>
  </si>
  <si>
    <t>BromideNpcNmlRbt19_Remake_3_0</t>
  </si>
  <si>
    <t>BottomsTexSkirtBoxBoa0</t>
  </si>
  <si>
    <t>FtrScreenSimple_Remake_7_0</t>
  </si>
  <si>
    <t>BromideNpcNmlRbt19_Remake_4_0</t>
  </si>
  <si>
    <t>BottomsTexSkirtBoxBoa1</t>
  </si>
  <si>
    <t>FtrScreenSimple_Remake_7_1</t>
  </si>
  <si>
    <t>BromideNpcNmlRbt19_Remake_5_0</t>
  </si>
  <si>
    <t>BottomsTexSkirtBoxBoa2</t>
  </si>
  <si>
    <t>BromideNpcNmlRbt19_Remake_6_0</t>
  </si>
  <si>
    <t>FtrScreenSimple_Remake_7_2</t>
  </si>
  <si>
    <t>BromideNpcNmlRbt19_Remake_7_0</t>
  </si>
  <si>
    <t>Miranda's photo</t>
  </si>
  <si>
    <t>BottomsTexSkirtBoxBoa3</t>
  </si>
  <si>
    <t>BromideNpcNmlDuk12_Remake_0_0</t>
  </si>
  <si>
    <t>BottomsTexSkirtBoxBoa4</t>
  </si>
  <si>
    <t>BromideNpcNmlDuk12_Remake_1_0</t>
  </si>
  <si>
    <t>FtrScreenSimple_Remake_7_3</t>
  </si>
  <si>
    <t>BromideNpcNmlDuk12_Remake_2_0</t>
  </si>
  <si>
    <t>BottomsTexSkirtBoxBoa5</t>
  </si>
  <si>
    <t>BromideNpcNmlDuk12_Remake_3_0</t>
  </si>
  <si>
    <t>BottomsTexSkirtBoxBoa6</t>
  </si>
  <si>
    <t>FtrScreenSimple_Remake_7_4</t>
  </si>
  <si>
    <t>BromideNpcNmlDuk12_Remake_4_0</t>
  </si>
  <si>
    <t>BromideNpcNmlDuk12_Remake_5_0</t>
  </si>
  <si>
    <t>BottomsTexSkirtBoxBoa7</t>
  </si>
  <si>
    <t>bomber-style skirt</t>
  </si>
  <si>
    <t>BromideNpcNmlDuk12_Remake_6_0</t>
  </si>
  <si>
    <t>BottomsTexSkirtLongMaone0</t>
  </si>
  <si>
    <t>FtrScreenSimple_Remake_7_5</t>
  </si>
  <si>
    <t>BromideNpcNmlDuk12_Remake_7_0</t>
  </si>
  <si>
    <t>Mitzi's photo</t>
  </si>
  <si>
    <t>BottomsTexSkirtLongMaone1</t>
  </si>
  <si>
    <t>BromideNpcNmlCat01_Remake_0_0</t>
  </si>
  <si>
    <t>BromideNpcNmlCat01_Remake_1_0</t>
  </si>
  <si>
    <t>BottomsTexSkirtLongMaone2</t>
  </si>
  <si>
    <t>FtrScreenSimple_Remake_7_6</t>
  </si>
  <si>
    <t>BromideNpcNmlCat01_Remake_2_0</t>
  </si>
  <si>
    <t>BottomsTexSkirtLongMaone3</t>
  </si>
  <si>
    <t>botanical shorts</t>
  </si>
  <si>
    <t>BromideNpcNmlCat01_Remake_3_0</t>
  </si>
  <si>
    <t>BottomsTexPantsHalfBotanical0</t>
  </si>
  <si>
    <t>BromideNpcNmlCat01_Remake_4_0</t>
  </si>
  <si>
    <t>FtrScreenSimple_Remake_7_7</t>
  </si>
  <si>
    <t>simple well</t>
  </si>
  <si>
    <t>BottomsTexPantsHalfBotanical1</t>
  </si>
  <si>
    <t>box-pleated skirt</t>
  </si>
  <si>
    <t>BromideNpcNmlCat01_Remake_5_0</t>
  </si>
  <si>
    <t>BottomsTexSkirtBoxBoxpleats0</t>
  </si>
  <si>
    <t>FtrWell</t>
  </si>
  <si>
    <t>BromideNpcNmlCat01_Remake_6_0</t>
  </si>
  <si>
    <t>skeleton</t>
  </si>
  <si>
    <t>BottomsTexSkirtBoxBoxpleats1</t>
  </si>
  <si>
    <t>BromideNpcNmlCat01_Remake_7_0</t>
  </si>
  <si>
    <t>Moe's photo</t>
  </si>
  <si>
    <t>FtrSchoolSkeleton</t>
  </si>
  <si>
    <t>sleeping bag</t>
  </si>
  <si>
    <t>BottomsTexSkirtBoxBoxpleats2</t>
  </si>
  <si>
    <t>BottomsTexSkirtBoxBoxpleats3</t>
  </si>
  <si>
    <t>buttoned lace skirt</t>
  </si>
  <si>
    <t>FtrSleepingbag_Remake_0_0</t>
  </si>
  <si>
    <t>BromideNpcNmlCat08_Remake_0_0</t>
  </si>
  <si>
    <t>BottomsTexSkirtLongLace0</t>
  </si>
  <si>
    <t>FtrSleepingbag_Remake_1_0</t>
  </si>
  <si>
    <t>BromideNpcNmlCat08_Remake_1_0</t>
  </si>
  <si>
    <t>BottomsTexSkirtLongLace1</t>
  </si>
  <si>
    <t>BromideNpcNmlCat08_Remake_2_0</t>
  </si>
  <si>
    <t>FtrSleepingbag_Remake_2_0</t>
  </si>
  <si>
    <t>BottomsTexSkirtLongLace2</t>
  </si>
  <si>
    <t>BottomsTexSkirtLongLace3</t>
  </si>
  <si>
    <t>BromideNpcNmlCat08_Remake_3_0</t>
  </si>
  <si>
    <t>FtrSleepingbag_Remake_3_0</t>
  </si>
  <si>
    <t>BottomsTexSkirtLongLace4</t>
  </si>
  <si>
    <t>buttoned wraparound skirt</t>
  </si>
  <si>
    <t>BromideNpcNmlCat08_Remake_4_0</t>
  </si>
  <si>
    <t>FtrSleepingbag_Remake_4_0</t>
  </si>
  <si>
    <t>BromideNpcNmlCat08_Remake_5_0</t>
  </si>
  <si>
    <t>BottomsTexSkirtLongWrapbicolor0</t>
  </si>
  <si>
    <t>BromideNpcNmlCat08_Remake_6_0</t>
  </si>
  <si>
    <t>BottomsTexSkirtLongWrapbicolor1</t>
  </si>
  <si>
    <t>FtrSleepingbag_Remake_5_0</t>
  </si>
  <si>
    <t>BromideNpcNmlCat08_Remake_7_0</t>
  </si>
  <si>
    <t>Molly's photo</t>
  </si>
  <si>
    <t>BottomsTexSkirtLongWrapbicolor2</t>
  </si>
  <si>
    <t>BromideNpcNmlDuk16_Remake_0_0</t>
  </si>
  <si>
    <t>FtrSleepingbag_Remake_6_0</t>
  </si>
  <si>
    <t>BromideNpcNmlDuk16_Remake_1_0</t>
  </si>
  <si>
    <t>BottomsTexSkirtLongWrapbicolor3</t>
  </si>
  <si>
    <t>FtrSleepingbag_Remake_7_0</t>
  </si>
  <si>
    <t>BromideNpcNmlDuk16_Remake_2_0</t>
  </si>
  <si>
    <t>sleigh</t>
  </si>
  <si>
    <t>BottomsTexSkirtLongWrapbicolor4</t>
  </si>
  <si>
    <t>BromideNpcNmlDuk16_Remake_3_0</t>
  </si>
  <si>
    <t>BottomsTexSkirtLongWrapbicolor5</t>
  </si>
  <si>
    <t>camo pants</t>
  </si>
  <si>
    <t>BromideNpcNmlDuk16_Remake_4_0</t>
  </si>
  <si>
    <t>FtrSled_Remake_0_0</t>
  </si>
  <si>
    <t>BromideNpcNmlDuk16_Remake_5_0</t>
  </si>
  <si>
    <t>BottomsTexPantsNormalCamouflage0</t>
  </si>
  <si>
    <t>BromideNpcNmlDuk16_Remake_6_0</t>
  </si>
  <si>
    <t>FtrSled_Remake_1_0</t>
  </si>
  <si>
    <t>BottomsTexPantsNormalCamouflage1</t>
  </si>
  <si>
    <t>BromideNpcNmlDuk16_Remake_7_0</t>
  </si>
  <si>
    <t>Monique's photo</t>
  </si>
  <si>
    <t>FtrSled_Remake_2_0</t>
  </si>
  <si>
    <t>BottomsTexPantsNormalCamouflage2</t>
  </si>
  <si>
    <t>BromideNpcNmlCat11_Remake_0_0</t>
  </si>
  <si>
    <t>BromideNpcNmlCat11_Remake_1_0</t>
  </si>
  <si>
    <t>FtrSled_Remake_3_0</t>
  </si>
  <si>
    <t>BottomsTexPantsNormalCamouflage3</t>
  </si>
  <si>
    <t>small cardboard boxes</t>
  </si>
  <si>
    <t>BromideNpcNmlCat11_Remake_2_0</t>
  </si>
  <si>
    <t>FtrMovingboxS</t>
  </si>
  <si>
    <t>BottomsTexPantsNormalCamouflage4</t>
  </si>
  <si>
    <t>smoker</t>
  </si>
  <si>
    <t>BromideNpcNmlCat11_Remake_3_0</t>
  </si>
  <si>
    <t>BromideNpcNmlCat11_Remake_4_0</t>
  </si>
  <si>
    <t>FtrSmoker_Remake_0_0</t>
  </si>
  <si>
    <t>BottomsTexPantsNormalCamouflage5</t>
  </si>
  <si>
    <t>BromideNpcNmlCat11_Remake_5_0</t>
  </si>
  <si>
    <t>BottomsTexPantsNormalCamouflage6</t>
  </si>
  <si>
    <t>BromideNpcNmlCat11_Remake_6_0</t>
  </si>
  <si>
    <t>camo skirt</t>
  </si>
  <si>
    <t>FtrSmoker_Remake_1_0</t>
  </si>
  <si>
    <t>BromideNpcNmlCat11_Remake_7_0</t>
  </si>
  <si>
    <t>Monty's photo</t>
  </si>
  <si>
    <t>BottomsTexSkirtBoxCamo0</t>
  </si>
  <si>
    <t>BromideNpcNmlMnk04_Remake_0_0</t>
  </si>
  <si>
    <t>BottomsTexSkirtBoxCamo1</t>
  </si>
  <si>
    <t>FtrSmoker_Remake_2_0</t>
  </si>
  <si>
    <t>snack machine</t>
  </si>
  <si>
    <t>BromideNpcNmlMnk04_Remake_1_0</t>
  </si>
  <si>
    <t>BromideNpcNmlMnk04_Remake_2_0</t>
  </si>
  <si>
    <t>BottomsTexSkirtBoxCamo2</t>
  </si>
  <si>
    <t>FtrFoodmachine_Remake_0_0</t>
  </si>
  <si>
    <t>BromideNpcNmlMnk04_Remake_3_0</t>
  </si>
  <si>
    <t>FtrFoodmachine_Remake_1_0</t>
  </si>
  <si>
    <t>BottomsTexSkirtBoxCamo3</t>
  </si>
  <si>
    <t>BromideNpcNmlMnk04_Remake_4_0</t>
  </si>
  <si>
    <t>BottomsTexSkirtBoxCamo4</t>
  </si>
  <si>
    <t>FtrFoodmachine_Remake_2_0</t>
  </si>
  <si>
    <t>BromideNpcNmlMnk04_Remake_5_0</t>
  </si>
  <si>
    <t>BromideNpcNmlMnk04_Remake_6_0</t>
  </si>
  <si>
    <t>BottomsTexSkirtBoxCamo5</t>
  </si>
  <si>
    <t>FtrFoodmachine_Remake_3_0</t>
  </si>
  <si>
    <t>soccer goal</t>
  </si>
  <si>
    <t>BromideNpcNmlMnk04_Remake_7_0</t>
  </si>
  <si>
    <t>Moose's photo</t>
  </si>
  <si>
    <t>BottomsTexSkirtBoxCamo6</t>
  </si>
  <si>
    <t>career skirt</t>
  </si>
  <si>
    <t>BromideNpcNmlMus14_Remake_0_0</t>
  </si>
  <si>
    <t>FtrSoccergoal</t>
  </si>
  <si>
    <t>soft-serve lamp</t>
  </si>
  <si>
    <t>Vanilla</t>
  </si>
  <si>
    <t>BromideNpcNmlMus14_Remake_1_0</t>
  </si>
  <si>
    <t>BottomsTexSkirtBoxCareer0</t>
  </si>
  <si>
    <t>FtrLampSoftcream_Remake_0_0</t>
  </si>
  <si>
    <t>BromideNpcNmlMus14_Remake_2_0</t>
  </si>
  <si>
    <t>Purple sweet potato</t>
  </si>
  <si>
    <t>BromideNpcNmlMus14_Remake_3_0</t>
  </si>
  <si>
    <t>BottomsTexSkirtBoxCareer1</t>
  </si>
  <si>
    <t>FtrLampSoftcream_Remake_1_0</t>
  </si>
  <si>
    <t>BromideNpcNmlMus14_Remake_4_0</t>
  </si>
  <si>
    <t>Mango</t>
  </si>
  <si>
    <t>BottomsTexSkirtBoxCareer2</t>
  </si>
  <si>
    <t>BromideNpcNmlMus14_Remake_5_0</t>
  </si>
  <si>
    <t>FtrLampSoftcream_Remake_2_0</t>
  </si>
  <si>
    <t>Pale sky</t>
  </si>
  <si>
    <t>BottomsTexSkirtBoxCareer3</t>
  </si>
  <si>
    <t>FtrLampSoftcream_Remake_3_0</t>
  </si>
  <si>
    <t>BromideNpcNmlMus14_Remake_6_0</t>
  </si>
  <si>
    <t>Green tea</t>
  </si>
  <si>
    <t>BottomsTexSkirtBoxCareer4</t>
  </si>
  <si>
    <t>FtrLampSoftcream_Remake_4_0</t>
  </si>
  <si>
    <t>BromideNpcNmlMus14_Remake_7_0</t>
  </si>
  <si>
    <t>Mott's photo</t>
  </si>
  <si>
    <t>Chocolate swirl</t>
  </si>
  <si>
    <t>BottomsTexSkirtBoxCareer5</t>
  </si>
  <si>
    <t>BromideNpcNmlLon06_Remake_0_0</t>
  </si>
  <si>
    <t>FtrLampSoftcream_Remake_5_0</t>
  </si>
  <si>
    <t>BottomsTexSkirtBoxCareer6</t>
  </si>
  <si>
    <t>Strawberry swirl</t>
  </si>
  <si>
    <t>BromideNpcNmlLon06_Remake_1_0</t>
  </si>
  <si>
    <t>FtrLampSoftcream_Remake_6_0</t>
  </si>
  <si>
    <t>BottomsTexSkirtBoxCareer7</t>
  </si>
  <si>
    <t>BromideNpcNmlLon06_Remake_2_0</t>
  </si>
  <si>
    <t>cargo pants</t>
  </si>
  <si>
    <t>FtrLampSoftcream_Remake_7_0</t>
  </si>
  <si>
    <t>solar panel</t>
  </si>
  <si>
    <t>BromideNpcNmlLon06_Remake_3_0</t>
  </si>
  <si>
    <t>BottomsTexPantsWideCargo0</t>
  </si>
  <si>
    <t>BromideNpcNmlLon06_Remake_4_0</t>
  </si>
  <si>
    <t>FtrSolarpanel_Remake_0_0</t>
  </si>
  <si>
    <t>BottomsTexPantsWideCargo1</t>
  </si>
  <si>
    <t>BromideNpcNmlLon06_Remake_5_0</t>
  </si>
  <si>
    <t>BromideNpcNmlLon06_Remake_6_0</t>
  </si>
  <si>
    <t>BottomsTexPantsWideCargo2</t>
  </si>
  <si>
    <t>FtrSolarpanel_Remake_1_0</t>
  </si>
  <si>
    <t>South Pole</t>
  </si>
  <si>
    <t>BromideNpcNmlLon06_Remake_7_0</t>
  </si>
  <si>
    <t>Muffy's photo</t>
  </si>
  <si>
    <t>BottomsTexPantsWideCargo3</t>
  </si>
  <si>
    <t>BromideNpcNmlShp12_Remake_0_0</t>
  </si>
  <si>
    <t>FtrSouthpole</t>
  </si>
  <si>
    <t>space shuttle</t>
  </si>
  <si>
    <t>BottomsTexPantsWideCargo4</t>
  </si>
  <si>
    <t>cargo shorts</t>
  </si>
  <si>
    <t>BromideNpcNmlShp12_Remake_1_0</t>
  </si>
  <si>
    <t>FtrShuttle</t>
  </si>
  <si>
    <t>speed bag</t>
  </si>
  <si>
    <t>BottomsTexPantsHalfCargo0</t>
  </si>
  <si>
    <t>BromideNpcNmlShp12_Remake_2_0</t>
  </si>
  <si>
    <t>FtrSpeedbag_Remake_0_0</t>
  </si>
  <si>
    <t>BromideNpcNmlShp12_Remake_3_0</t>
  </si>
  <si>
    <t>BottomsTexPantsHalfCargo1</t>
  </si>
  <si>
    <t>FtrSpeedbag_Remake_1_0</t>
  </si>
  <si>
    <t>BromideNpcNmlShp12_Remake_4_0</t>
  </si>
  <si>
    <t>BottomsTexPantsHalfCargo2</t>
  </si>
  <si>
    <t>FtrSpeedbag_Remake_2_0</t>
  </si>
  <si>
    <t>sphinx</t>
  </si>
  <si>
    <t>BromideNpcNmlShp12_Remake_5_0</t>
  </si>
  <si>
    <t>BottomsTexPantsHalfCargo3</t>
  </si>
  <si>
    <t>FtrSphinx</t>
  </si>
  <si>
    <t>spinning wheel</t>
  </si>
  <si>
    <t>BromideNpcNmlShp12_Remake_6_0</t>
  </si>
  <si>
    <t>BromideNpcNmlShp12_Remake_7_0</t>
  </si>
  <si>
    <t>BottomsTexPantsHalfCargo4</t>
  </si>
  <si>
    <t>Murphy's photo</t>
  </si>
  <si>
    <t>FtrSpinning</t>
  </si>
  <si>
    <t>casual pants</t>
  </si>
  <si>
    <t>springy ride-on</t>
  </si>
  <si>
    <t>BromideNpcNmlCbr07_Remake_0_0</t>
  </si>
  <si>
    <t>FtrSpringrider_Remake_0_0</t>
  </si>
  <si>
    <t>BottomsTexPantsWideEasy0</t>
  </si>
  <si>
    <t>BromideNpcNmlCbr07_Remake_1_0</t>
  </si>
  <si>
    <t>FtrSpringrider_Remake_1_0</t>
  </si>
  <si>
    <t>BromideNpcNmlCbr07_Remake_2_0</t>
  </si>
  <si>
    <t>BottomsTexPantsWideEasy1</t>
  </si>
  <si>
    <t>BromideNpcNmlCbr07_Remake_3_0</t>
  </si>
  <si>
    <t>FtrSpringrider_Remake_2_0</t>
  </si>
  <si>
    <t>BottomsTexPantsWideEasy2</t>
  </si>
  <si>
    <t>BromideNpcNmlCbr07_Remake_4_0</t>
  </si>
  <si>
    <t>FtrSpringrider_Remake_3_0</t>
  </si>
  <si>
    <t>BottomsTexPantsWideEasy3</t>
  </si>
  <si>
    <t>BromideNpcNmlCbr07_Remake_5_0</t>
  </si>
  <si>
    <t>FtrSpringrider_Remake_4_0</t>
  </si>
  <si>
    <t>BromideNpcNmlCbr07_Remake_6_0</t>
  </si>
  <si>
    <t>BottomsTexPantsWideEasy4</t>
  </si>
  <si>
    <t>BromideNpcNmlCbr07_Remake_7_0</t>
  </si>
  <si>
    <t>Nan's photo</t>
  </si>
  <si>
    <t>FtrSpringrider_Remake_5_0</t>
  </si>
  <si>
    <t>BromideNpcNmlGoa01_Remake_0_0</t>
  </si>
  <si>
    <t>BottomsTexPantsWideEasy5</t>
  </si>
  <si>
    <t>FtrSpringrider_Remake_6_0</t>
  </si>
  <si>
    <t>chain pants</t>
  </si>
  <si>
    <t>squat toilet</t>
  </si>
  <si>
    <t>BromideNpcNmlGoa01_Remake_1_0</t>
  </si>
  <si>
    <t>BottomsTexPantsNormalChain0</t>
  </si>
  <si>
    <t>FtrWCJapan</t>
  </si>
  <si>
    <t>stadiometer</t>
  </si>
  <si>
    <t>BottomsTexPantsNormalChain1</t>
  </si>
  <si>
    <t>BromideNpcNmlGoa01_Remake_2_0</t>
  </si>
  <si>
    <t>FtrStadiometer_Remake_0_0</t>
  </si>
  <si>
    <t>BottomsTexPantsNormalChain2</t>
  </si>
  <si>
    <t>BromideNpcNmlGoa01_Remake_3_0</t>
  </si>
  <si>
    <t>BottomsTexPantsNormalChain3</t>
  </si>
  <si>
    <t>BromideNpcNmlGoa01_Remake_4_0</t>
  </si>
  <si>
    <t>chino pants</t>
  </si>
  <si>
    <t>FtrStadiometer_Remake_1_0</t>
  </si>
  <si>
    <t>BromideNpcNmlGoa01_Remake_5_0</t>
  </si>
  <si>
    <t>BottomsTexPantsNormalChino0</t>
  </si>
  <si>
    <t>FtrStadiometer_Remake_2_0</t>
  </si>
  <si>
    <t>BromideNpcNmlGoa01_Remake_6_0</t>
  </si>
  <si>
    <t>stall</t>
  </si>
  <si>
    <t>BottomsTexPantsNormalChino1</t>
  </si>
  <si>
    <t>BromideNpcNmlGoa01_Remake_7_0</t>
  </si>
  <si>
    <t>Nana's photo</t>
  </si>
  <si>
    <t>FtrFloat_Remake_0_0</t>
  </si>
  <si>
    <t>BromideNpcNmlMnk01_Remake_0_0</t>
  </si>
  <si>
    <t>BottomsTexPantsNormalChino2</t>
  </si>
  <si>
    <t>BromideNpcNmlMnk01_Remake_1_0</t>
  </si>
  <si>
    <t>FtrFloat_Remake_0_1</t>
  </si>
  <si>
    <t>BottomsTexPantsNormalChino3</t>
  </si>
  <si>
    <t>BromideNpcNmlMnk01_Remake_2_0</t>
  </si>
  <si>
    <t>BromideNpcNmlMnk01_Remake_3_0</t>
  </si>
  <si>
    <t>BottomsTexPantsNormalChino4</t>
  </si>
  <si>
    <t>FtrFloat_Remake_0_2</t>
  </si>
  <si>
    <t>BromideNpcNmlMnk01_Remake_4_0</t>
  </si>
  <si>
    <t>BottomsTexPantsNormalChino5</t>
  </si>
  <si>
    <t>FtrFloat_Remake_0_3</t>
  </si>
  <si>
    <t>Waves</t>
  </si>
  <si>
    <t>BromideNpcNmlMnk01_Remake_5_0</t>
  </si>
  <si>
    <t>BottomsTexPantsNormalChino6</t>
  </si>
  <si>
    <t>FtrFloat_Remake_0_4</t>
  </si>
  <si>
    <t>BromideNpcNmlMnk01_Remake_6_0</t>
  </si>
  <si>
    <t>BottomsTexPantsNormalChino7</t>
  </si>
  <si>
    <t>colorful skirt</t>
  </si>
  <si>
    <t>FtrFloat_Remake_1_0</t>
  </si>
  <si>
    <t>BromideNpcNmlMnk01_Remake_7_0</t>
  </si>
  <si>
    <t>Naomi's photo</t>
  </si>
  <si>
    <t>BottomsTexSkirtLongEnaguas0</t>
  </si>
  <si>
    <t>FtrFloat_Remake_1_1</t>
  </si>
  <si>
    <t>BromideNpcNmlCow07_Remake_0_0</t>
  </si>
  <si>
    <t>BottomsTexSkirtLongEnaguas1</t>
  </si>
  <si>
    <t>BromideNpcNmlCow07_Remake_1_0</t>
  </si>
  <si>
    <t>FtrFloat_Remake_1_2</t>
  </si>
  <si>
    <t>BottomsTexSkirtLongEnaguas2</t>
  </si>
  <si>
    <t>BromideNpcNmlCow07_Remake_2_0</t>
  </si>
  <si>
    <t>FtrFloat_Remake_1_3</t>
  </si>
  <si>
    <t>BromideNpcNmlCow07_Remake_3_0</t>
  </si>
  <si>
    <t>BottomsTexSkirtLongEnaguas3</t>
  </si>
  <si>
    <t>BromideNpcNmlCow07_Remake_4_0</t>
  </si>
  <si>
    <t>FtrFloat_Remake_1_4</t>
  </si>
  <si>
    <t>BottomsTexSkirtLongEnaguas4</t>
  </si>
  <si>
    <t>comedian's pants</t>
  </si>
  <si>
    <t>BromideNpcNmlCow07_Remake_5_0</t>
  </si>
  <si>
    <t>FtrFloat_Remake_2_0</t>
  </si>
  <si>
    <t>BromideNpcNmlCow07_Remake_6_0</t>
  </si>
  <si>
    <t>BottomsTexPantsNormalComedian0</t>
  </si>
  <si>
    <t>FtrFloat_Remake_2_1</t>
  </si>
  <si>
    <t>BromideNpcNmlCow07_Remake_7_0</t>
  </si>
  <si>
    <t>Nate's photo</t>
  </si>
  <si>
    <t>BottomsTexPantsNormalComedian1</t>
  </si>
  <si>
    <t>BromideNpcNmlBea05_Remake_0_0</t>
  </si>
  <si>
    <t>FtrFloat_Remake_2_2</t>
  </si>
  <si>
    <t>BottomsTexPantsNormalComedian2</t>
  </si>
  <si>
    <t>BromideNpcNmlBea05_Remake_1_0</t>
  </si>
  <si>
    <t>FtrFloat_Remake_2_3</t>
  </si>
  <si>
    <t>BottomsTexPantsNormalComedian3</t>
  </si>
  <si>
    <t>BromideNpcNmlBea05_Remake_2_0</t>
  </si>
  <si>
    <t>FtrFloat_Remake_2_4</t>
  </si>
  <si>
    <t>BromideNpcNmlBea05_Remake_3_0</t>
  </si>
  <si>
    <t>BottomsTexPantsNormalComedian4</t>
  </si>
  <si>
    <t>FtrFloat_Remake_3_0</t>
  </si>
  <si>
    <t>BromideNpcNmlBea05_Remake_4_0</t>
  </si>
  <si>
    <t>BottomsTexPantsNormalComedian5</t>
  </si>
  <si>
    <t>BromideNpcNmlBea05_Remake_5_0</t>
  </si>
  <si>
    <t>FtrFloat_Remake_3_1</t>
  </si>
  <si>
    <t>BromideNpcNmlBea05_Remake_6_0</t>
  </si>
  <si>
    <t>BottomsTexPantsNormalComedian6</t>
  </si>
  <si>
    <t>FtrFloat_Remake_3_2</t>
  </si>
  <si>
    <t>BromideNpcNmlBea05_Remake_7_0</t>
  </si>
  <si>
    <t>Nibbles's photo</t>
  </si>
  <si>
    <t>BottomsTexPantsNormalComedian7</t>
  </si>
  <si>
    <t>comic shorts</t>
  </si>
  <si>
    <t>FtrFloat_Remake_3_3</t>
  </si>
  <si>
    <t>BromideNpcNmlSqu04_Remake_0_0</t>
  </si>
  <si>
    <t>BottomsTexPantsHalfComic0</t>
  </si>
  <si>
    <t>corduroy pants</t>
  </si>
  <si>
    <t>BromideNpcNmlSqu04_Remake_1_0</t>
  </si>
  <si>
    <t>FtrFloat_Remake_3_4</t>
  </si>
  <si>
    <t>BromideNpcNmlSqu04_Remake_2_0</t>
  </si>
  <si>
    <t>BottomsTexPantsWideCorduroy0</t>
  </si>
  <si>
    <t>FtrFloat_Remake_4_0</t>
  </si>
  <si>
    <t>BromideNpcNmlSqu04_Remake_3_0</t>
  </si>
  <si>
    <t>BottomsTexPantsWideCorduroy1</t>
  </si>
  <si>
    <t>FtrFloat_Remake_4_1</t>
  </si>
  <si>
    <t>BromideNpcNmlSqu04_Remake_4_0</t>
  </si>
  <si>
    <t>BromideNpcNmlSqu04_Remake_5_0</t>
  </si>
  <si>
    <t>BottomsTexPantsWideCorduroy2</t>
  </si>
  <si>
    <t>FtrFloat_Remake_4_2</t>
  </si>
  <si>
    <t>BromideNpcNmlSqu04_Remake_6_0</t>
  </si>
  <si>
    <t>BottomsTexPantsWideCorduroy3</t>
  </si>
  <si>
    <t>BromideNpcNmlSqu04_Remake_7_0</t>
  </si>
  <si>
    <t>Norma's photo</t>
  </si>
  <si>
    <t>FtrFloat_Remake_4_3</t>
  </si>
  <si>
    <t>BromideNpcNmlCow06_Remake_0_0</t>
  </si>
  <si>
    <t>BottomsTexPantsWideCorduroy4</t>
  </si>
  <si>
    <t>FtrFloat_Remake_4_4</t>
  </si>
  <si>
    <t>BromideNpcNmlCow06_Remake_1_0</t>
  </si>
  <si>
    <t>BottomsTexPantsWideCorduroy5</t>
  </si>
  <si>
    <t>FtrFloat_Remake_5_0</t>
  </si>
  <si>
    <t>corduroy skirt</t>
  </si>
  <si>
    <t>FtrFloat_Remake_5_1</t>
  </si>
  <si>
    <t>BromideNpcNmlCow06_Remake_2_0</t>
  </si>
  <si>
    <t>BottomsTexSkirtBoxCorduroy0</t>
  </si>
  <si>
    <t>BromideNpcNmlCow06_Remake_3_0</t>
  </si>
  <si>
    <t>FtrFloat_Remake_5_2</t>
  </si>
  <si>
    <t>BottomsTexSkirtBoxCorduroy1</t>
  </si>
  <si>
    <t>BromideNpcNmlCow06_Remake_4_0</t>
  </si>
  <si>
    <t>FtrFloat_Remake_5_3</t>
  </si>
  <si>
    <t>BromideNpcNmlCow06_Remake_5_0</t>
  </si>
  <si>
    <t>BottomsTexSkirtBoxCorduroy2</t>
  </si>
  <si>
    <t>FtrFloat_Remake_5_4</t>
  </si>
  <si>
    <t>BromideNpcNmlCow06_Remake_6_0</t>
  </si>
  <si>
    <t>BottomsTexSkirtBoxCorduroy3</t>
  </si>
  <si>
    <t>BromideNpcNmlCow06_Remake_7_0</t>
  </si>
  <si>
    <t>FtrFloat_Remake_6_0</t>
  </si>
  <si>
    <t>O'Hare's photo</t>
  </si>
  <si>
    <t>BottomsTexSkirtBoxCorduroy4</t>
  </si>
  <si>
    <t>FtrFloat_Remake_6_1</t>
  </si>
  <si>
    <t>BromideNpcNmlRbt15_Remake_0_0</t>
  </si>
  <si>
    <t>BottomsTexSkirtBoxCorduroy5</t>
  </si>
  <si>
    <t>corte skirt</t>
  </si>
  <si>
    <t>FtrFloat_Remake_6_2</t>
  </si>
  <si>
    <t>BromideNpcNmlRbt15_Remake_1_0</t>
  </si>
  <si>
    <t>BottomsTexSkirtLongCorte0</t>
  </si>
  <si>
    <t>FtrFloat_Remake_6_3</t>
  </si>
  <si>
    <t>BromideNpcNmlRbt15_Remake_2_0</t>
  </si>
  <si>
    <t>BottomsTexSkirtLongCorte1</t>
  </si>
  <si>
    <t>FtrFloat_Remake_6_4</t>
  </si>
  <si>
    <t>BromideNpcNmlRbt15_Remake_3_0</t>
  </si>
  <si>
    <t>BottomsTexSkirtLongCorte2</t>
  </si>
  <si>
    <t>cropped pants</t>
  </si>
  <si>
    <t>FtrFloat_Remake_7_0</t>
  </si>
  <si>
    <t>BottomsTexPantsNormalCropped0</t>
  </si>
  <si>
    <t>BromideNpcNmlRbt15_Remake_4_0</t>
  </si>
  <si>
    <t>FtrFloat_Remake_7_1</t>
  </si>
  <si>
    <t>BottomsTexPantsNormalCropped1</t>
  </si>
  <si>
    <t>BromideNpcNmlRbt15_Remake_5_0</t>
  </si>
  <si>
    <t>FtrFloat_Remake_7_2</t>
  </si>
  <si>
    <t>BottomsTexPantsNormalCropped2</t>
  </si>
  <si>
    <t>BromideNpcNmlRbt15_Remake_6_0</t>
  </si>
  <si>
    <t>BottomsTexPantsNormalCropped3</t>
  </si>
  <si>
    <t>BromideNpcNmlRbt15_Remake_7_0</t>
  </si>
  <si>
    <t>Octavian's photo</t>
  </si>
  <si>
    <t>FtrFloat_Remake_7_3</t>
  </si>
  <si>
    <t>BromideNpcNmlOcp00_Remake_0_0</t>
  </si>
  <si>
    <t>BottomsTexPantsNormalCropped4</t>
  </si>
  <si>
    <t>FtrFloat_Remake_7_4</t>
  </si>
  <si>
    <t>standard umbrella stand</t>
  </si>
  <si>
    <t>BromideNpcNmlOcp00_Remake_1_0</t>
  </si>
  <si>
    <t>Favorite umbrella</t>
  </si>
  <si>
    <t>BottomsTexPantsNormalCropped5</t>
  </si>
  <si>
    <t>FtrUmbrellastand_Remake_0_0</t>
  </si>
  <si>
    <t>BromideNpcNmlOcp00_Remake_2_0</t>
  </si>
  <si>
    <t>BromideNpcNmlOcp00_Remake_3_0</t>
  </si>
  <si>
    <t>BottomsTexPantsNormalCropped6</t>
  </si>
  <si>
    <t>FtrUmbrellastand_Remake_0_1</t>
  </si>
  <si>
    <t>BromideNpcNmlOcp00_Remake_4_0</t>
  </si>
  <si>
    <t>BottomsTexPantsNormalCropped7</t>
  </si>
  <si>
    <t>cuffed pants</t>
  </si>
  <si>
    <t>FtrUmbrellastand_Remake_0_2</t>
  </si>
  <si>
    <t>BromideNpcNmlOcp00_Remake_5_0</t>
  </si>
  <si>
    <t>BottomsTexPantsWideSusomise0</t>
  </si>
  <si>
    <t>FtrUmbrellastand_Remake_0_3</t>
  </si>
  <si>
    <t>BromideNpcNmlOcp00_Remake_6_0</t>
  </si>
  <si>
    <t>BottomsTexPantsWideSusomise1</t>
  </si>
  <si>
    <t>FtrUmbrellastand_Remake_1_0</t>
  </si>
  <si>
    <t>BromideNpcNmlOcp00_Remake_7_0</t>
  </si>
  <si>
    <t>Olaf's photo</t>
  </si>
  <si>
    <t>BottomsTexPantsWideSusomise2</t>
  </si>
  <si>
    <t>FtrUmbrellastand_Remake_1_1</t>
  </si>
  <si>
    <t>BromideNpcNmlAnt09_Remake_0_0</t>
  </si>
  <si>
    <t>BottomsTexPantsWideSusomise3</t>
  </si>
  <si>
    <t>BromideNpcNmlAnt09_Remake_1_0</t>
  </si>
  <si>
    <t>culottes</t>
  </si>
  <si>
    <t>FtrUmbrellastand_Remake_1_2</t>
  </si>
  <si>
    <t>BromideNpcNmlAnt09_Remake_2_0</t>
  </si>
  <si>
    <t>FtrUmbrellastand_Remake_1_3</t>
  </si>
  <si>
    <t>BottomsTexPantsHotCulotte0</t>
  </si>
  <si>
    <t>BromideNpcNmlAnt09_Remake_3_0</t>
  </si>
  <si>
    <t>BromideNpcNmlAnt09_Remake_4_0</t>
  </si>
  <si>
    <t>FtrUmbrellastand_Remake_2_0</t>
  </si>
  <si>
    <t>BottomsTexPantsHotCulotte1</t>
  </si>
  <si>
    <t>BromideNpcNmlAnt09_Remake_5_0</t>
  </si>
  <si>
    <t>FtrUmbrellastand_Remake_2_1</t>
  </si>
  <si>
    <t>BottomsTexPantsHotCulotte2</t>
  </si>
  <si>
    <t>BromideNpcNmlAnt09_Remake_6_0</t>
  </si>
  <si>
    <t>FtrUmbrellastand_Remake_2_2</t>
  </si>
  <si>
    <t>BottomsTexPantsHotCulotte3</t>
  </si>
  <si>
    <t>cut-pleather skirt</t>
  </si>
  <si>
    <t>BromideNpcNmlAnt09_Remake_7_0</t>
  </si>
  <si>
    <t>Olive's photo</t>
  </si>
  <si>
    <t>FtrUmbrellastand_Remake_2_3</t>
  </si>
  <si>
    <t>BottomsTexSkirtLongCutleather0</t>
  </si>
  <si>
    <t>BromideNpcNmlCbr09_Remake_0_0</t>
  </si>
  <si>
    <t>FtrUmbrellastand_Remake_3_0</t>
  </si>
  <si>
    <t>BottomsTexSkirtLongCutleather1</t>
  </si>
  <si>
    <t>BromideNpcNmlCbr09_Remake_1_0</t>
  </si>
  <si>
    <t>FtrUmbrellastand_Remake_3_1</t>
  </si>
  <si>
    <t>BottomsTexSkirtLongCutleather2</t>
  </si>
  <si>
    <t>BromideNpcNmlCbr09_Remake_2_0</t>
  </si>
  <si>
    <t>FtrUmbrellastand_Remake_3_2</t>
  </si>
  <si>
    <t>BottomsTexSkirtLongCutleather3</t>
  </si>
  <si>
    <t>cycling shorts</t>
  </si>
  <si>
    <t>BromideNpcNmlCbr09_Remake_3_0</t>
  </si>
  <si>
    <t>Blue &amp; red</t>
  </si>
  <si>
    <t>FtrUmbrellastand_Remake_3_3</t>
  </si>
  <si>
    <t>BottomsTexPantsNormalCycle0</t>
  </si>
  <si>
    <t>standing toilet</t>
  </si>
  <si>
    <t>BromideNpcNmlCbr09_Remake_4_0</t>
  </si>
  <si>
    <t>FtrWCUrinal</t>
  </si>
  <si>
    <t>BottomsTexPantsNormalCycle1</t>
  </si>
  <si>
    <t>Statue of Liberty</t>
  </si>
  <si>
    <t>BottomsTexPantsNormalCycle2</t>
  </si>
  <si>
    <t>FtrLiberty</t>
  </si>
  <si>
    <t>stone arch</t>
  </si>
  <si>
    <t>BromideNpcNmlCbr09_Remake_5_0</t>
  </si>
  <si>
    <t>Black &amp; yellow</t>
  </si>
  <si>
    <t>FtrRockArch_Remake_0_0</t>
  </si>
  <si>
    <t>BottomsTexPantsNormalCycle3</t>
  </si>
  <si>
    <t>BromideNpcNmlCbr09_Remake_6_0</t>
  </si>
  <si>
    <t>FtrRockArch_Remake_1_0</t>
  </si>
  <si>
    <t>BottomsTexPantsNormalCycle4</t>
  </si>
  <si>
    <t>stone lion-dog</t>
  </si>
  <si>
    <t>BromideNpcNmlCbr09_Remake_7_0</t>
  </si>
  <si>
    <t>Orange &amp; red</t>
  </si>
  <si>
    <t>Olivia's photo</t>
  </si>
  <si>
    <t>BottomsTexPantsNormalCycle5</t>
  </si>
  <si>
    <t>FtrSekishishi_Remake_0_0</t>
  </si>
  <si>
    <t>BromideNpcNmlCat03_Remake_0_0</t>
  </si>
  <si>
    <t>FtrSekishishi_Remake_1_0</t>
  </si>
  <si>
    <t>BottomsTexPantsNormalCycle6</t>
  </si>
  <si>
    <t>BromideNpcNmlCat03_Remake_1_0</t>
  </si>
  <si>
    <t>BottomsTexPantsNormalCycle7</t>
  </si>
  <si>
    <t>dance warm-up pants</t>
  </si>
  <si>
    <t>FtrSekishishi_Remake_2_0</t>
  </si>
  <si>
    <t>stone stool</t>
  </si>
  <si>
    <t>BromideNpcNmlCat03_Remake_2_0</t>
  </si>
  <si>
    <t>BottomsTexPantsWideCool0</t>
  </si>
  <si>
    <t>BromideNpcNmlCat03_Remake_3_0</t>
  </si>
  <si>
    <t>stone</t>
  </si>
  <si>
    <t>BottomsTexPantsWideCool1</t>
  </si>
  <si>
    <t>FtrStoneChair</t>
  </si>
  <si>
    <t>stone table</t>
  </si>
  <si>
    <t>BromideNpcNmlCat03_Remake_4_0</t>
  </si>
  <si>
    <t>BottomsTexPantsWideCool2</t>
  </si>
  <si>
    <t>BromideNpcNmlCat03_Remake_5_0</t>
  </si>
  <si>
    <t>FtrStoneTable</t>
  </si>
  <si>
    <t>stone tablet</t>
  </si>
  <si>
    <t>BottomsTexPantsWideCool3</t>
  </si>
  <si>
    <t>denim cutoffs</t>
  </si>
  <si>
    <t>BromideNpcNmlCat03_Remake_6_0</t>
  </si>
  <si>
    <t>BromideNpcNmlCat03_Remake_7_0</t>
  </si>
  <si>
    <t>BottomsTexPantsHotDenim0</t>
  </si>
  <si>
    <t>Opal's photo</t>
  </si>
  <si>
    <t>FtrRockMonument_Remake_0_0</t>
  </si>
  <si>
    <t>BromideNpcNmlElp00_Remake_0_0</t>
  </si>
  <si>
    <t>BottomsTexPantsHotDenim1</t>
  </si>
  <si>
    <t>BromideNpcNmlElp00_Remake_1_0</t>
  </si>
  <si>
    <t>FtrRockMonument_Remake_1_0</t>
  </si>
  <si>
    <t>BottomsTexPantsHotDenim2</t>
  </si>
  <si>
    <t>Stonehenge</t>
  </si>
  <si>
    <t>BromideNpcNmlElp00_Remake_2_0</t>
  </si>
  <si>
    <t>BottomsTexPantsHotDenim3</t>
  </si>
  <si>
    <t>BromideNpcNmlElp00_Remake_3_0</t>
  </si>
  <si>
    <t>FtrStonehenge</t>
  </si>
  <si>
    <t>street organ</t>
  </si>
  <si>
    <t>BromideNpcNmlElp00_Remake_4_0</t>
  </si>
  <si>
    <t>BottomsTexPantsHotDenim4</t>
  </si>
  <si>
    <t>denim painter's pants</t>
  </si>
  <si>
    <t>BromideNpcNmlElp00_Remake_5_0</t>
  </si>
  <si>
    <t>BottomsTexPantsWideDenim0</t>
  </si>
  <si>
    <t>FtrStreetorgan_Remake_0_0</t>
  </si>
  <si>
    <t>BromideNpcNmlElp00_Remake_6_0</t>
  </si>
  <si>
    <t>BottomsTexPantsWideDenim1</t>
  </si>
  <si>
    <t>BromideNpcNmlElp00_Remake_7_0</t>
  </si>
  <si>
    <t>Ozzie's photo</t>
  </si>
  <si>
    <t>BromideNpcNmlKal05_Remake_0_0</t>
  </si>
  <si>
    <t>BottomsTexPantsWideDenim2</t>
  </si>
  <si>
    <t>FtrStreetorgan_Remake_1_0</t>
  </si>
  <si>
    <t>BromideNpcNmlKal05_Remake_1_0</t>
  </si>
  <si>
    <t>BottomsTexPantsWideDenim3</t>
  </si>
  <si>
    <t>BromideNpcNmlKal05_Remake_2_0</t>
  </si>
  <si>
    <t>FtrStreetorgan_Remake_2_0</t>
  </si>
  <si>
    <t>BottomsTexPantsWideDenim4</t>
  </si>
  <si>
    <t>BromideNpcNmlKal05_Remake_3_0</t>
  </si>
  <si>
    <t>denim pants</t>
  </si>
  <si>
    <t>BromideNpcNmlKal05_Remake_4_0</t>
  </si>
  <si>
    <t>BottomsTexPantsNormalDenim0</t>
  </si>
  <si>
    <t>FtrStreetorgan_Remake_3_0</t>
  </si>
  <si>
    <t>street piano</t>
  </si>
  <si>
    <t>BromideNpcNmlKal05_Remake_5_0</t>
  </si>
  <si>
    <t>Graffiti</t>
  </si>
  <si>
    <t>BottomsTexPantsNormalDenim1</t>
  </si>
  <si>
    <t>BromideNpcNmlKal05_Remake_6_0</t>
  </si>
  <si>
    <t>FtrPianoStreet_Remake_0_0</t>
  </si>
  <si>
    <t>BottomsTexPantsNormalDenim2</t>
  </si>
  <si>
    <t>BromideNpcNmlKal05_Remake_7_0</t>
  </si>
  <si>
    <t>Pancetti's photo</t>
  </si>
  <si>
    <t>BottomsTexPantsNormalDenim3</t>
  </si>
  <si>
    <t>BromideNpcNmlPig16_Remake_0_0</t>
  </si>
  <si>
    <t>FtrPianoStreet_Remake_1_0</t>
  </si>
  <si>
    <t>streetlamp</t>
  </si>
  <si>
    <t>BromideNpcNmlPig16_Remake_1_0</t>
  </si>
  <si>
    <t>BottomsTexPantsNormalDenim4</t>
  </si>
  <si>
    <t>denim skirt</t>
  </si>
  <si>
    <t>BromideNpcNmlPig16_Remake_2_0</t>
  </si>
  <si>
    <t>BottomsTexSkirtBoxDenim0</t>
  </si>
  <si>
    <t>FtrStreetlamp_Remake_0_0</t>
  </si>
  <si>
    <t>BromideNpcNmlPig16_Remake_3_0</t>
  </si>
  <si>
    <t>BromideNpcNmlPig16_Remake_4_0</t>
  </si>
  <si>
    <t>BottomsTexSkirtBoxDenim1</t>
  </si>
  <si>
    <t>BromideNpcNmlPig16_Remake_5_0</t>
  </si>
  <si>
    <t>FtrStreetlamp_Remake_1_0</t>
  </si>
  <si>
    <t>BottomsTexSkirtBoxDenim2</t>
  </si>
  <si>
    <t>BromideNpcNmlPig16_Remake_6_0</t>
  </si>
  <si>
    <t>BromideNpcNmlPig16_Remake_7_0</t>
  </si>
  <si>
    <t>BottomsTexSkirtBoxDenim3</t>
  </si>
  <si>
    <t>Pango's photo</t>
  </si>
  <si>
    <t>FtrStreetlamp_Remake_2_0</t>
  </si>
  <si>
    <t>BromideNpcNmlAnt02_Remake_0_0</t>
  </si>
  <si>
    <t>BottomsTexSkirtBoxDenim4</t>
  </si>
  <si>
    <t>dotted shorts</t>
  </si>
  <si>
    <t>BromideNpcNmlAnt02_Remake_1_0</t>
  </si>
  <si>
    <t>FtrStreetlamp_Remake_3_0</t>
  </si>
  <si>
    <t>BottomsTexPantsHotDotgold0</t>
  </si>
  <si>
    <t>studio spotlight</t>
  </si>
  <si>
    <t>BromideNpcNmlAnt02_Remake_2_0</t>
  </si>
  <si>
    <t>BromideNpcNmlAnt02_Remake_3_0</t>
  </si>
  <si>
    <t>BottomsTexPantsHotDotgold1</t>
  </si>
  <si>
    <t>down pants</t>
  </si>
  <si>
    <t>FtrLampSpot_Remake_0_0</t>
  </si>
  <si>
    <t>BromideNpcNmlAnt02_Remake_4_0</t>
  </si>
  <si>
    <t>BottomsTexPantsNormalDown0</t>
  </si>
  <si>
    <t>FtrLampSpot_Remake_1_0</t>
  </si>
  <si>
    <t>BottomsTexPantsNormalDown1</t>
  </si>
  <si>
    <t>BromideNpcNmlAnt02_Remake_5_0</t>
  </si>
  <si>
    <t>FtrLampSpot_Remake_2_0</t>
  </si>
  <si>
    <t>BottomsTexPantsNormalDown2</t>
  </si>
  <si>
    <t>BromideNpcNmlAnt02_Remake_6_0</t>
  </si>
  <si>
    <t>FtrLampSpot_Remake_3_0</t>
  </si>
  <si>
    <t>BromideNpcNmlAnt02_Remake_7_0</t>
  </si>
  <si>
    <t>Paolo's photo</t>
  </si>
  <si>
    <t>BottomsTexPantsNormalDown3</t>
  </si>
  <si>
    <t>BromideNpcNmlElp05_Remake_0_0</t>
  </si>
  <si>
    <t>FtrLampSpot_Remake_4_0</t>
  </si>
  <si>
    <t>BottomsTexPantsNormalDown4</t>
  </si>
  <si>
    <t>BromideNpcNmlElp05_Remake_1_0</t>
  </si>
  <si>
    <t>FtrLampSpot_Remake_5_0</t>
  </si>
  <si>
    <t>BromideNpcNmlElp05_Remake_2_0</t>
  </si>
  <si>
    <t>BottomsTexPantsNormalDown5</t>
  </si>
  <si>
    <t>FtrLampSpot_Remake_6_0</t>
  </si>
  <si>
    <t>BromideNpcNmlElp05_Remake_3_0</t>
  </si>
  <si>
    <t>BottomsTexPantsNormalDown6</t>
  </si>
  <si>
    <t>FtrLampSpot_Remake_7_0</t>
  </si>
  <si>
    <t>surfboard</t>
  </si>
  <si>
    <t>BromideNpcNmlElp05_Remake_4_0</t>
  </si>
  <si>
    <t>BottomsTexPantsNormalDown7</t>
  </si>
  <si>
    <t>down skirt</t>
  </si>
  <si>
    <t>BromideNpcNmlElp05_Remake_5_0</t>
  </si>
  <si>
    <t>BottomsTexSkirtBoxDown0</t>
  </si>
  <si>
    <t>FtrSurfboard_Remake_0_0</t>
  </si>
  <si>
    <t>BromideNpcNmlElp05_Remake_6_0</t>
  </si>
  <si>
    <t>BottomsTexSkirtBoxDown1</t>
  </si>
  <si>
    <t>BromideNpcNmlElp05_Remake_7_0</t>
  </si>
  <si>
    <t>Papi's photo</t>
  </si>
  <si>
    <t>FtrSurfboard_Remake_1_0</t>
  </si>
  <si>
    <t>BromideNpcNmlHrs12_Remake_0_0</t>
  </si>
  <si>
    <t>BottomsTexSkirtBoxDown2</t>
  </si>
  <si>
    <t>BromideNpcNmlHrs12_Remake_1_0</t>
  </si>
  <si>
    <t>FtrSurfboard_Remake_2_0</t>
  </si>
  <si>
    <t>BottomsTexSkirtBoxDown3</t>
  </si>
  <si>
    <t>BromideNpcNmlHrs12_Remake_2_0</t>
  </si>
  <si>
    <t>FtrSurfboard_Remake_3_0</t>
  </si>
  <si>
    <t>BromideNpcNmlHrs12_Remake_3_0</t>
  </si>
  <si>
    <t>BottomsTexSkirtBoxDown4</t>
  </si>
  <si>
    <t>BromideNpcNmlHrs12_Remake_4_0</t>
  </si>
  <si>
    <t>FtrSurfboard_Remake_4_0</t>
  </si>
  <si>
    <t>BottomsTexSkirtBoxDown5</t>
  </si>
  <si>
    <t>BromideNpcNmlHrs12_Remake_5_0</t>
  </si>
  <si>
    <t>FtrSurfboard_Remake_5_0</t>
  </si>
  <si>
    <t>swinging bench</t>
  </si>
  <si>
    <t>BromideNpcNmlHrs12_Remake_6_0</t>
  </si>
  <si>
    <t>BottomsTexSkirtBoxDown6</t>
  </si>
  <si>
    <t>BromideNpcNmlHrs12_Remake_7_0</t>
  </si>
  <si>
    <t>Pashmina's photo</t>
  </si>
  <si>
    <t>FtrSwingWood_Remake_0_0</t>
  </si>
  <si>
    <t>BottomsTexSkirtBoxDown7</t>
  </si>
  <si>
    <t>draped skirt</t>
  </si>
  <si>
    <t>BromideNpcNmlGoa08_Remake_0_0</t>
  </si>
  <si>
    <t>BromideNpcNmlGoa08_Remake_1_0</t>
  </si>
  <si>
    <t>FtrSwingWood_Remake_1_0</t>
  </si>
  <si>
    <t>BottomsTexSkirtLongDrape0</t>
  </si>
  <si>
    <t>BromideNpcNmlGoa08_Remake_2_0</t>
  </si>
  <si>
    <t>BottomsTexSkirtLongDrape1</t>
  </si>
  <si>
    <t>FtrSwingWood_Remake_2_0</t>
  </si>
  <si>
    <t>BromideNpcNmlGoa08_Remake_3_0</t>
  </si>
  <si>
    <t>BottomsTexSkirtLongDrape2</t>
  </si>
  <si>
    <t>FtrSwingWood_Remake_3_0</t>
  </si>
  <si>
    <t>BromideNpcNmlGoa08_Remake_4_0</t>
  </si>
  <si>
    <t>BottomsTexSkirtLongDrape3</t>
  </si>
  <si>
    <t>BromideNpcNmlGoa08_Remake_5_0</t>
  </si>
  <si>
    <t>FtrSwingWood_Remake_4_0</t>
  </si>
  <si>
    <t>synthesizer</t>
  </si>
  <si>
    <t>BottomsTexSkirtLongDrape4</t>
  </si>
  <si>
    <t>BromideNpcNmlGoa08_Remake_6_0</t>
  </si>
  <si>
    <t>FtrSynthesizer_Remake_0_0</t>
  </si>
  <si>
    <t>BromideNpcNmlGoa08_Remake_7_0</t>
  </si>
  <si>
    <t>Pate's photo</t>
  </si>
  <si>
    <t>BottomsTexSkirtLongDrape5</t>
  </si>
  <si>
    <t>FtrSynthesizer_Remake_1_0</t>
  </si>
  <si>
    <t>BromideNpcNmlDuk02_Remake_0_0</t>
  </si>
  <si>
    <t>BottomsTexSkirtLongDrape6</t>
  </si>
  <si>
    <t>BromideNpcNmlDuk02_Remake_1_0</t>
  </si>
  <si>
    <t>FtrSynthesizer_Remake_2_0</t>
  </si>
  <si>
    <t>BromideNpcNmlDuk02_Remake_2_0</t>
  </si>
  <si>
    <t>BottomsTexSkirtLongDrape7</t>
  </si>
  <si>
    <t>dreamy pants</t>
  </si>
  <si>
    <t>FtrSynthesizer_Remake_3_0</t>
  </si>
  <si>
    <t>BromideNpcNmlDuk02_Remake_3_0</t>
  </si>
  <si>
    <t>BromideNpcNmlDuk02_Remake_4_0</t>
  </si>
  <si>
    <t>BottomsTexPantsWideYumekawa0</t>
  </si>
  <si>
    <t>FtrSynthesizer_Remake_4_0</t>
  </si>
  <si>
    <t>BromideNpcNmlDuk02_Remake_5_0</t>
  </si>
  <si>
    <t>BromideNpcNmlDuk02_Remake_6_0</t>
  </si>
  <si>
    <t>BottomsTexPantsWideYumekawa1</t>
  </si>
  <si>
    <t>FtrSynthesizer_Remake_5_0</t>
  </si>
  <si>
    <t>system kitchen</t>
  </si>
  <si>
    <t>BromideNpcNmlDuk02_Remake_7_0</t>
  </si>
  <si>
    <t>Patty's photo</t>
  </si>
  <si>
    <t>BottomsTexPantsWideYumekawa2</t>
  </si>
  <si>
    <t>FtrKitchenSystem_Remake_0_0</t>
  </si>
  <si>
    <t>BromideNpcNmlCow00_Remake_0_0</t>
  </si>
  <si>
    <t>BromideNpcNmlCow00_Remake_1_0</t>
  </si>
  <si>
    <t>BottomsTexPantsWideYumekawa3</t>
  </si>
  <si>
    <t>FtrKitchenSystem_Remake_1_0</t>
  </si>
  <si>
    <t>dress pants</t>
  </si>
  <si>
    <t>BottomsTexPantsWideSchool0</t>
  </si>
  <si>
    <t>BromideNpcNmlCow00_Remake_2_0</t>
  </si>
  <si>
    <t>FtrKitchenSystem_Remake_2_0</t>
  </si>
  <si>
    <t>BottomsTexPantsWideSchool1</t>
  </si>
  <si>
    <t>FtrKitchenSystem_Remake_3_0</t>
  </si>
  <si>
    <t>BromideNpcNmlCow00_Remake_3_0</t>
  </si>
  <si>
    <t>BottomsTexPantsWideSchool2</t>
  </si>
  <si>
    <t>BromideNpcNmlCow00_Remake_4_0</t>
  </si>
  <si>
    <t>FtrKitchenSystem_Remake_4_0</t>
  </si>
  <si>
    <t>BromideNpcNmlCow00_Remake_5_0</t>
  </si>
  <si>
    <t>BottomsTexPantsWideSchool3</t>
  </si>
  <si>
    <t>elephant-print pants</t>
  </si>
  <si>
    <t>FtrKitchenSystem_Remake_5_0</t>
  </si>
  <si>
    <t>BromideNpcNmlCow00_Remake_6_0</t>
  </si>
  <si>
    <t>BottomsTexPantsWideThail0</t>
  </si>
  <si>
    <t>BromideNpcNmlCow00_Remake_7_0</t>
  </si>
  <si>
    <t>Paula's photo</t>
  </si>
  <si>
    <t>FtrKitchenSystem_Remake_6_0</t>
  </si>
  <si>
    <t>BottomsTexPantsWideThail1</t>
  </si>
  <si>
    <t>BromideNpcNmlBea10_Remake_0_0</t>
  </si>
  <si>
    <t>FtrKitchenSystem_Remake_7_0</t>
  </si>
  <si>
    <t>table with cloth</t>
  </si>
  <si>
    <t>BromideNpcNmlBea10_Remake_1_0</t>
  </si>
  <si>
    <t>BottomsTexPantsWideThail2</t>
  </si>
  <si>
    <t>BromideNpcNmlBea10_Remake_2_0</t>
  </si>
  <si>
    <t>BottomsTexPantsWideThail3</t>
  </si>
  <si>
    <t>FtrTableCloth_Remake_0_0</t>
  </si>
  <si>
    <t>BromideNpcNmlBea10_Remake_3_0</t>
  </si>
  <si>
    <t>BromideNpcNmlBea10_Remake_4_0</t>
  </si>
  <si>
    <t>BottomsTexPantsWideThail4</t>
  </si>
  <si>
    <t>FtrTableCloth_Remake_0_1</t>
  </si>
  <si>
    <t>BromideNpcNmlBea10_Remake_5_0</t>
  </si>
  <si>
    <t>BottomsTexPantsWideThail5</t>
  </si>
  <si>
    <t>embellished denim pants</t>
  </si>
  <si>
    <t>FtrTableCloth_Remake_0_2</t>
  </si>
  <si>
    <t>BromideNpcNmlBea10_Remake_6_0</t>
  </si>
  <si>
    <t>BottomsTexPantsWidePrintdenim0</t>
  </si>
  <si>
    <t>FtrTableCloth_Remake_0_3</t>
  </si>
  <si>
    <t>BottomsTexPantsWidePrintdenim1</t>
  </si>
  <si>
    <t>FtrTableCloth_Remake_0_4</t>
  </si>
  <si>
    <t>BromideNpcNmlBea10_Remake_7_0</t>
  </si>
  <si>
    <t>Peaches's photo</t>
  </si>
  <si>
    <t>BromideNpcNmlHrs08_Remake_0_0</t>
  </si>
  <si>
    <t>FtrTableCloth_Remake_0_5</t>
  </si>
  <si>
    <t>BottomsTexPantsWidePrintdenim2</t>
  </si>
  <si>
    <t>embroidered floral skirt</t>
  </si>
  <si>
    <t>BromideNpcNmlHrs08_Remake_1_0</t>
  </si>
  <si>
    <t>BottomsTexSkirtLongEmbroidery0</t>
  </si>
  <si>
    <t>FtrTableCloth_Remake_0_6</t>
  </si>
  <si>
    <t>BromideNpcNmlHrs08_Remake_2_0</t>
  </si>
  <si>
    <t>BottomsTexSkirtLongEmbroidery1</t>
  </si>
  <si>
    <t>BromideNpcNmlHrs08_Remake_3_0</t>
  </si>
  <si>
    <t>FtrTableCloth_Remake_0_7</t>
  </si>
  <si>
    <t>BottomsTexSkirtLongEmbroidery2</t>
  </si>
  <si>
    <t>embroidered-pattern skirt</t>
  </si>
  <si>
    <t>tall garden rock</t>
  </si>
  <si>
    <t>BromideNpcNmlHrs08_Remake_4_0</t>
  </si>
  <si>
    <t>BottomsTexSkirtLongGeometric0</t>
  </si>
  <si>
    <t>BromideNpcNmlHrs08_Remake_5_0</t>
  </si>
  <si>
    <t>BottomsTexSkirtLongGeometric1</t>
  </si>
  <si>
    <t>FtrGardenrockTall</t>
  </si>
  <si>
    <t>tall lantern</t>
  </si>
  <si>
    <t>BottomsTexSkirtLongGeometric2</t>
  </si>
  <si>
    <t>explorer shorts</t>
  </si>
  <si>
    <t>BromideNpcNmlHrs08_Remake_6_0</t>
  </si>
  <si>
    <t>BottomsTexPantsHalfExplorer0</t>
  </si>
  <si>
    <t>BromideNpcNmlHrs08_Remake_7_0</t>
  </si>
  <si>
    <t>FtrStonelantern_Remake_0_0</t>
  </si>
  <si>
    <t>Peanut's photo</t>
  </si>
  <si>
    <t>BottomsTexPantsHalfExplorer1</t>
  </si>
  <si>
    <t>BromideNpcNmlSqu00_Remake_0_0</t>
  </si>
  <si>
    <t>BottomsTexPantsHalfExplorer2</t>
  </si>
  <si>
    <t>FtrStonelantern_Remake_1_0</t>
  </si>
  <si>
    <t>BottomsTexPantsHalfExplorer3</t>
  </si>
  <si>
    <t>faux-fur skirt</t>
  </si>
  <si>
    <t>BromideNpcNmlSqu00_Remake_1_0</t>
  </si>
  <si>
    <t>FtrStonelantern_Remake_2_0</t>
  </si>
  <si>
    <t>tankless toilet</t>
  </si>
  <si>
    <t>BottomsTexSkirtAlineFur0</t>
  </si>
  <si>
    <t>BromideNpcNmlSqu00_Remake_2_0</t>
  </si>
  <si>
    <t>BottomsTexSkirtAlineFur1</t>
  </si>
  <si>
    <t>FtrWCTankless_Remake_0_0</t>
  </si>
  <si>
    <t>BromideNpcNmlSqu00_Remake_3_0</t>
  </si>
  <si>
    <t>BottomsTexSkirtAlineFur2</t>
  </si>
  <si>
    <t>FtrWCTankless_Remake_1_0</t>
  </si>
  <si>
    <t>BottomsTexSkirtAlineFur3</t>
  </si>
  <si>
    <t>BromideNpcNmlSqu00_Remake_4_0</t>
  </si>
  <si>
    <t>BottomsTexSkirtAlineFur4</t>
  </si>
  <si>
    <t>faux-shearling skirt</t>
  </si>
  <si>
    <t>FtrWCTankless_Remake_2_0</t>
  </si>
  <si>
    <t>BromideNpcNmlSqu00_Remake_5_0</t>
  </si>
  <si>
    <t>BottomsTexSkirtBoxMouton0</t>
  </si>
  <si>
    <t>BromideNpcNmlSqu00_Remake_6_0</t>
  </si>
  <si>
    <t>BottomsTexSkirtBoxMouton1</t>
  </si>
  <si>
    <t>FtrWCTankless_Remake_3_0</t>
  </si>
  <si>
    <t>BottomsTexSkirtBoxMouton2</t>
  </si>
  <si>
    <t>BromideNpcNmlSqu00_Remake_7_0</t>
  </si>
  <si>
    <t>Pecan's photo</t>
  </si>
  <si>
    <t>BottomsTexSkirtBoxMouton3</t>
  </si>
  <si>
    <t>BromideNpcNmlSqu03_Remake_0_0</t>
  </si>
  <si>
    <t>FtrWCTankless_Remake_4_0</t>
  </si>
  <si>
    <t>BottomsTexSkirtBoxMouton4</t>
  </si>
  <si>
    <t>tatami bed</t>
  </si>
  <si>
    <t>flare skirt</t>
  </si>
  <si>
    <t>BromideNpcNmlSqu03_Remake_1_0</t>
  </si>
  <si>
    <t>BottomsTexSkirtAlineFlare0</t>
  </si>
  <si>
    <t>BottomsTexSkirtAlineFlare1</t>
  </si>
  <si>
    <t>BromideNpcNmlSqu03_Remake_2_0</t>
  </si>
  <si>
    <t>FtrTatamiBedS_Remake_0_0</t>
  </si>
  <si>
    <t>BottomsTexSkirtAlineFlare2</t>
  </si>
  <si>
    <t>BromideNpcNmlSqu03_Remake_3_0</t>
  </si>
  <si>
    <t>BottomsTexSkirtAlineFlare3</t>
  </si>
  <si>
    <t>BromideNpcNmlSqu03_Remake_4_0</t>
  </si>
  <si>
    <t>FtrTatamiBedS_Remake_1_0</t>
  </si>
  <si>
    <t>BottomsTexSkirtAlineFlare4</t>
  </si>
  <si>
    <t>flashy slacks</t>
  </si>
  <si>
    <t>BromideNpcNmlSqu03_Remake_5_0</t>
  </si>
  <si>
    <t>BottomsTexPantsNormalSlacksgaudy0</t>
  </si>
  <si>
    <t>FtrTatamiBedS_Remake_2_0</t>
  </si>
  <si>
    <t>BottomsTexPantsNormalSlacksgaudy1</t>
  </si>
  <si>
    <t>BromideNpcNmlSqu03_Remake_6_0</t>
  </si>
  <si>
    <t>BottomsTexPantsNormalSlacksgaudy2</t>
  </si>
  <si>
    <t>BromideNpcNmlSqu03_Remake_7_0</t>
  </si>
  <si>
    <t>Peck's photo</t>
  </si>
  <si>
    <t>FtrTatamiBedS_Remake_3_0</t>
  </si>
  <si>
    <t>Taurus bathtub</t>
  </si>
  <si>
    <t>BottomsTexPantsNormalSlacksgaudy3</t>
  </si>
  <si>
    <t>BromideNpcNmlBrd17_Remake_0_0</t>
  </si>
  <si>
    <t>BottomsTexPantsNormalSlacksgaudy4</t>
  </si>
  <si>
    <t>BromideNpcNmlBrd17_Remake_1_0</t>
  </si>
  <si>
    <t>FtrZodiacTaurus</t>
  </si>
  <si>
    <t>tea table</t>
  </si>
  <si>
    <t>BottomsTexPantsNormalSlacksgaudy5</t>
  </si>
  <si>
    <t>floral lace skirt</t>
  </si>
  <si>
    <t>BromideNpcNmlBrd17_Remake_2_0</t>
  </si>
  <si>
    <t>BottomsTexSkirtBoxLace0</t>
  </si>
  <si>
    <t>FtrDiningtableJapan_Remake_0_0</t>
  </si>
  <si>
    <t>BromideNpcNmlBrd17_Remake_3_0</t>
  </si>
  <si>
    <t>BottomsTexSkirtBoxLace1</t>
  </si>
  <si>
    <t>FtrDiningtableJapan_Remake_1_0</t>
  </si>
  <si>
    <t>BottomsTexSkirtBoxLace2</t>
  </si>
  <si>
    <t>BromideNpcNmlBrd17_Remake_4_0</t>
  </si>
  <si>
    <t>BottomsTexSkirtBoxLace3</t>
  </si>
  <si>
    <t>BromideNpcNmlBrd17_Remake_5_0</t>
  </si>
  <si>
    <t>FtrDiningtableJapan_Remake_2_0</t>
  </si>
  <si>
    <t>BottomsTexSkirtBoxLace4</t>
  </si>
  <si>
    <t>BromideNpcNmlBrd17_Remake_6_0</t>
  </si>
  <si>
    <t>BottomsTexSkirtBoxLace5</t>
  </si>
  <si>
    <t>FtrDiningtableJapan_Remake_3_0</t>
  </si>
  <si>
    <t>BromideNpcNmlBrd17_Remake_7_0</t>
  </si>
  <si>
    <t>Peewee's photo</t>
  </si>
  <si>
    <t>BottomsTexSkirtBoxLace6</t>
  </si>
  <si>
    <t>FtrDiningtableJapan_Remake_4_0</t>
  </si>
  <si>
    <t>BromideNpcNmlGor01_Remake_0_0</t>
  </si>
  <si>
    <t>teacup ride</t>
  </si>
  <si>
    <t>BottomsTexSkirtBoxLace7</t>
  </si>
  <si>
    <t>floral skirt</t>
  </si>
  <si>
    <t>BottomsTexSkirtLongFlower0</t>
  </si>
  <si>
    <t>BromideNpcNmlGor01_Remake_1_0</t>
  </si>
  <si>
    <t>FtrTurncup_Remake_0_0</t>
  </si>
  <si>
    <t>BottomsTexSkirtLongFlower1</t>
  </si>
  <si>
    <t>BromideNpcNmlGor01_Remake_2_0</t>
  </si>
  <si>
    <t>BottomsTexSkirtLongFlower2</t>
  </si>
  <si>
    <t>football pants</t>
  </si>
  <si>
    <t>FtrTurncup_Remake_1_0</t>
  </si>
  <si>
    <t>BromideNpcNmlGor01_Remake_3_0</t>
  </si>
  <si>
    <t>BottomsTexPantsNormalAmericanfootball0</t>
  </si>
  <si>
    <t>BromideNpcNmlGor01_Remake_4_0</t>
  </si>
  <si>
    <t>FtrTurncup_Remake_2_0</t>
  </si>
  <si>
    <t>BottomsTexPantsNormalAmericanfootball1</t>
  </si>
  <si>
    <t>BromideNpcNmlGor01_Remake_5_0</t>
  </si>
  <si>
    <t>BottomsTexPantsNormalAmericanfootball2</t>
  </si>
  <si>
    <t>FtrTurncup_Remake_3_0</t>
  </si>
  <si>
    <t>BottomsTexPantsNormalAmericanfootball3</t>
  </si>
  <si>
    <t>telescope</t>
  </si>
  <si>
    <t>BromideNpcNmlGor01_Remake_6_0</t>
  </si>
  <si>
    <t>BottomsTexPantsNormalAmericanfootball4</t>
  </si>
  <si>
    <t>BottomsTexPantsNormalAmericanfootball5</t>
  </si>
  <si>
    <t>BromideNpcNmlGor01_Remake_7_0</t>
  </si>
  <si>
    <t>Peggy's photo</t>
  </si>
  <si>
    <t>FtrTelescope</t>
  </si>
  <si>
    <t>tennis table</t>
  </si>
  <si>
    <t>BottomsTexPantsNormalAmericanfootball6</t>
  </si>
  <si>
    <t>BromideNpcNmlPig11_Remake_0_0</t>
  </si>
  <si>
    <t>BottomsTexPantsNormalAmericanfootball7</t>
  </si>
  <si>
    <t>formal shorts</t>
  </si>
  <si>
    <t>BromideNpcNmlPig11_Remake_1_0</t>
  </si>
  <si>
    <t>BottomsTexPantsHalfFormal0</t>
  </si>
  <si>
    <t>FtrTakkyu</t>
  </si>
  <si>
    <t>termite mound</t>
  </si>
  <si>
    <t>BromideNpcNmlPig11_Remake_2_0</t>
  </si>
  <si>
    <t>BottomsTexPantsHalfFormal1</t>
  </si>
  <si>
    <t>BromideNpcNmlPig11_Remake_3_0</t>
  </si>
  <si>
    <t>BottomsTexPantsHalfFormal2</t>
  </si>
  <si>
    <t>FtrAnthill</t>
  </si>
  <si>
    <t>BottomsTexPantsHalfFormal3</t>
  </si>
  <si>
    <t>BromideNpcNmlPig11_Remake_4_0</t>
  </si>
  <si>
    <t>three-tiered snowperson</t>
  </si>
  <si>
    <t>BottomsTexPantsHalfFormal4</t>
  </si>
  <si>
    <t>Knit-cap color</t>
  </si>
  <si>
    <t>BromideNpcNmlPig11_Remake_5_0</t>
  </si>
  <si>
    <t>BottomsTexPantsHalfFormal5</t>
  </si>
  <si>
    <t>BromideNpcNmlPig11_Remake_6_0</t>
  </si>
  <si>
    <t>FtrSnowman_Remake_0_0</t>
  </si>
  <si>
    <t>BottomsTexPantsHalfFormal6</t>
  </si>
  <si>
    <t>BromideNpcNmlPig11_Remake_7_0</t>
  </si>
  <si>
    <t>Pekoe's photo</t>
  </si>
  <si>
    <t>BottomsTexPantsHalfFormal7</t>
  </si>
  <si>
    <t>frilly pants</t>
  </si>
  <si>
    <t>BromideNpcNmlCbr14_Remake_0_0</t>
  </si>
  <si>
    <t>BottomsTexPantsWideFrilled0</t>
  </si>
  <si>
    <t>FtrSnowman_Remake_1_0</t>
  </si>
  <si>
    <t>BottomsTexPantsWideFrilled1</t>
  </si>
  <si>
    <t>BromideNpcNmlCbr14_Remake_1_0</t>
  </si>
  <si>
    <t>BottomsTexPantsWideFrilled2</t>
  </si>
  <si>
    <t>BromideNpcNmlCbr14_Remake_2_0</t>
  </si>
  <si>
    <t>BottomsTexPantsWideFrilled3</t>
  </si>
  <si>
    <t>BromideNpcNmlCbr14_Remake_3_0</t>
  </si>
  <si>
    <t>FtrSnowman_Remake_2_0</t>
  </si>
  <si>
    <t>BottomsTexPantsWideFrilled4</t>
  </si>
  <si>
    <t>frilly skirt</t>
  </si>
  <si>
    <t>BromideNpcNmlCbr14_Remake_4_0</t>
  </si>
  <si>
    <t>BottomsTexSkirtAlineFrilled0</t>
  </si>
  <si>
    <t>BromideNpcNmlCbr14_Remake_5_0</t>
  </si>
  <si>
    <t>BottomsTexSkirtAlineFrilled1</t>
  </si>
  <si>
    <t>FtrSnowman_Remake_3_0</t>
  </si>
  <si>
    <t>throwback dino screen</t>
  </si>
  <si>
    <t>BromideNpcNmlCbr14_Remake_6_0</t>
  </si>
  <si>
    <t>BottomsTexSkirtAlineFrilled2</t>
  </si>
  <si>
    <t>BottomsTexSkirtAlineFrilled3</t>
  </si>
  <si>
    <t>BromideNpcNmlCbr14_Remake_7_0</t>
  </si>
  <si>
    <t>Penelope's photo</t>
  </si>
  <si>
    <t>BottomsTexSkirtAlineFrilled4</t>
  </si>
  <si>
    <t>BromideNpcNmlMus17_Remake_0_0</t>
  </si>
  <si>
    <t>FtrBoyScreen</t>
  </si>
  <si>
    <t>throwback hat table</t>
  </si>
  <si>
    <t>BottomsTexSkirtAlineFrilled5</t>
  </si>
  <si>
    <t>frilly sweatpants</t>
  </si>
  <si>
    <t>BromideNpcNmlMus17_Remake_1_0</t>
  </si>
  <si>
    <t>BottomsTexPantsNormalSweatfrill0</t>
  </si>
  <si>
    <t>BottomsTexPantsNormalSweatfrill1</t>
  </si>
  <si>
    <t>BromideNpcNmlMus17_Remake_2_0</t>
  </si>
  <si>
    <t>FtrBoyTableL_Remake_0_0</t>
  </si>
  <si>
    <t>BottomsTexPantsNormalSweatfrill2</t>
  </si>
  <si>
    <t>BottomsTexPantsNormalSweatfrill3</t>
  </si>
  <si>
    <t>BromideNpcNmlMus17_Remake_3_0</t>
  </si>
  <si>
    <t>BottomsTexPantsNormalSweatfrill4</t>
  </si>
  <si>
    <t>FtrBoyTableL_Remake_1_0</t>
  </si>
  <si>
    <t>BromideNpcNmlMus17_Remake_4_0</t>
  </si>
  <si>
    <t>BottomsTexPantsNormalSweatfrill5</t>
  </si>
  <si>
    <t>fringe skirt</t>
  </si>
  <si>
    <t>BromideNpcNmlMus17_Remake_5_0</t>
  </si>
  <si>
    <t>FtrBoyTableL_Remake_2_0</t>
  </si>
  <si>
    <t>BottomsTexSkirtBoxFringe0</t>
  </si>
  <si>
    <t>Black &amp; orange</t>
  </si>
  <si>
    <t>BromideNpcNmlMus17_Remake_6_0</t>
  </si>
  <si>
    <t>BottomsTexSkirtBoxFringe1</t>
  </si>
  <si>
    <t>FtrBoyTableL_Remake_3_0</t>
  </si>
  <si>
    <t>BottomsTexSkirtBoxFringe2</t>
  </si>
  <si>
    <t>BromideNpcNmlMus17_Remake_7_0</t>
  </si>
  <si>
    <t>Phil's photo</t>
  </si>
  <si>
    <t>BottomsTexSkirtBoxFringe3</t>
  </si>
  <si>
    <t>FtrBoyTableL_Remake_4_0</t>
  </si>
  <si>
    <t>BromideNpcNmlOst07_Remake_0_0</t>
  </si>
  <si>
    <t>BottomsTexSkirtBoxFringe4</t>
  </si>
  <si>
    <t>BromideNpcNmlOst07_Remake_1_0</t>
  </si>
  <si>
    <t>FtrBoyTableL_Remake_5_0</t>
  </si>
  <si>
    <t>BottomsTexSkirtBoxFringe5</t>
  </si>
  <si>
    <t>BromideNpcNmlOst07_Remake_2_0</t>
  </si>
  <si>
    <t>BottomsTexSkirtBoxFringe6</t>
  </si>
  <si>
    <t>gaucho pants</t>
  </si>
  <si>
    <t>FtrBoyTableL_Remake_6_0</t>
  </si>
  <si>
    <t>BottomsTexPantsWideGaucho0</t>
  </si>
  <si>
    <t>Baseball</t>
  </si>
  <si>
    <t>BromideNpcNmlOst07_Remake_3_0</t>
  </si>
  <si>
    <t>BottomsTexPantsWideGaucho1</t>
  </si>
  <si>
    <t>FtrBoyTableL_Remake_7_0</t>
  </si>
  <si>
    <t>throwback mitt chair</t>
  </si>
  <si>
    <t>BromideNpcNmlOst07_Remake_4_0</t>
  </si>
  <si>
    <t>BottomsTexPantsWideGaucho2</t>
  </si>
  <si>
    <t>BromideNpcNmlOst07_Remake_5_0</t>
  </si>
  <si>
    <t>BottomsTexPantsWideGaucho3</t>
  </si>
  <si>
    <t>FtrBoyChairS_Remake_0_0</t>
  </si>
  <si>
    <t>BromideNpcNmlOst07_Remake_6_0</t>
  </si>
  <si>
    <t>BottomsTexPantsWideGaucho4</t>
  </si>
  <si>
    <t>geometric-print pants</t>
  </si>
  <si>
    <t>FtrBoyChairS_Remake_1_0</t>
  </si>
  <si>
    <t>BromideNpcNmlOst07_Remake_7_0</t>
  </si>
  <si>
    <t>Phoebe's photo</t>
  </si>
  <si>
    <t>BottomsTexPantsNormalChimayo0</t>
  </si>
  <si>
    <t>BromideNpcNmlOst10_Remake_0_0</t>
  </si>
  <si>
    <t>BottomsTexPantsNormalChimayo1</t>
  </si>
  <si>
    <t>BottomsTexPantsNormalChimayo2</t>
  </si>
  <si>
    <t>FtrBoyChairS_Remake_2_0</t>
  </si>
  <si>
    <t>BromideNpcNmlOst10_Remake_1_0</t>
  </si>
  <si>
    <t>BottomsTexPantsNormalChimayo3</t>
  </si>
  <si>
    <t>BromideNpcNmlOst10_Remake_2_0</t>
  </si>
  <si>
    <t>BottomsTexPantsNormalChimayo4</t>
  </si>
  <si>
    <t>gingham picnic skirt</t>
  </si>
  <si>
    <t>FtrBoyChairS_Remake_3_0</t>
  </si>
  <si>
    <t>BromideNpcNmlOst10_Remake_3_0</t>
  </si>
  <si>
    <t>BottomsTexSkirtAlineGingham0</t>
  </si>
  <si>
    <t>BromideNpcNmlOst10_Remake_4_0</t>
  </si>
  <si>
    <t>BottomsTexSkirtAlineGingham1</t>
  </si>
  <si>
    <t>BottomsTexSkirtAlineGingham2</t>
  </si>
  <si>
    <t>BromideNpcNmlOst10_Remake_5_0</t>
  </si>
  <si>
    <t>FtrBoyChairS_Remake_4_0</t>
  </si>
  <si>
    <t>BottomsTexSkirtAlineGingham3</t>
  </si>
  <si>
    <t>BromideNpcNmlOst10_Remake_6_0</t>
  </si>
  <si>
    <t>BottomsTexSkirtAlineGingham4</t>
  </si>
  <si>
    <t>BromideNpcNmlOst10_Remake_7_0</t>
  </si>
  <si>
    <t>Pierce's photo</t>
  </si>
  <si>
    <t>BottomsTexSkirtAlineGingham5</t>
  </si>
  <si>
    <t>FtrBoyChairS_Remake_5_0</t>
  </si>
  <si>
    <t>BromideNpcNmlPbr02_Remake_0_0</t>
  </si>
  <si>
    <t>throwback race-car bed</t>
  </si>
  <si>
    <t>BottomsTexSkirtAlineGingham6</t>
  </si>
  <si>
    <t>BottomsTexSkirtAlineGingham7</t>
  </si>
  <si>
    <t>gobelin shorts</t>
  </si>
  <si>
    <t>FtrBoyBedS_Remake_0_0</t>
  </si>
  <si>
    <t>BottomsTexPantsHalfGobelins0</t>
  </si>
  <si>
    <t>BromideNpcNmlPbr02_Remake_1_0</t>
  </si>
  <si>
    <t>BottomsTexPantsHalfGobelins1</t>
  </si>
  <si>
    <t>grass skirt</t>
  </si>
  <si>
    <t>BromideNpcNmlPbr02_Remake_2_0</t>
  </si>
  <si>
    <t>BottomsTexSkirtBoxGrass0</t>
  </si>
  <si>
    <t>green grass skirt</t>
  </si>
  <si>
    <t>FtrBoyBedS_Remake_1_0</t>
  </si>
  <si>
    <t>BottomsTexSkirtBoxGrass1</t>
  </si>
  <si>
    <t>hickory-stripe pants</t>
  </si>
  <si>
    <t>BromideNpcNmlPbr02_Remake_3_0</t>
  </si>
  <si>
    <t>BottomsTexPantsWideHickory0</t>
  </si>
  <si>
    <t>BottomsTexPantsWideHickory1</t>
  </si>
  <si>
    <t>BromideNpcNmlPbr02_Remake_4_0</t>
  </si>
  <si>
    <t>FtrBoyBedS_Remake_2_0</t>
  </si>
  <si>
    <t>jogging shorts</t>
  </si>
  <si>
    <t>BottomsTexPantsHotRunning0</t>
  </si>
  <si>
    <t>BromideNpcNmlPbr02_Remake_5_0</t>
  </si>
  <si>
    <t>BottomsTexPantsHotRunning1</t>
  </si>
  <si>
    <t>BromideNpcNmlPbr02_Remake_6_0</t>
  </si>
  <si>
    <t>FtrBoyBedS_Remake_3_0</t>
  </si>
  <si>
    <t>BottomsTexPantsHotRunning2</t>
  </si>
  <si>
    <t>BromideNpcNmlPbr02_Remake_7_0</t>
  </si>
  <si>
    <t>Pietro's photo</t>
  </si>
  <si>
    <t>BottomsTexPantsHotRunning3</t>
  </si>
  <si>
    <t>BromideNpcNmlShp13_Remake_0_0</t>
  </si>
  <si>
    <t>BottomsTexPantsHotRunning4</t>
  </si>
  <si>
    <t>FtrBoyBedS_Remake_4_0</t>
  </si>
  <si>
    <t>BottomsTexPantsHotRunning5</t>
  </si>
  <si>
    <t>BottomsTexPantsHotRunning6</t>
  </si>
  <si>
    <t>BromideNpcNmlShp13_Remake_1_0</t>
  </si>
  <si>
    <t>BottomsTexPantsHotRunning7</t>
  </si>
  <si>
    <t>kilt</t>
  </si>
  <si>
    <t>FtrBoyBedS_Remake_5_0</t>
  </si>
  <si>
    <t>BottomsTexSkirtAlineKilt0</t>
  </si>
  <si>
    <t>BromideNpcNmlShp13_Remake_2_0</t>
  </si>
  <si>
    <t>BottomsTexSkirtAlineKilt1</t>
  </si>
  <si>
    <t>BromideNpcNmlShp13_Remake_3_0</t>
  </si>
  <si>
    <t>FtrBoyBedS_Remake_6_0</t>
  </si>
  <si>
    <t>BottomsTexSkirtAlineKilt2</t>
  </si>
  <si>
    <t>throwback rocket</t>
  </si>
  <si>
    <t>BromideNpcNmlShp13_Remake_4_0</t>
  </si>
  <si>
    <t>BottomsTexSkirtAlineKilt3</t>
  </si>
  <si>
    <t>knit pants</t>
  </si>
  <si>
    <t>BottomsTexPantsNormalKnit0</t>
  </si>
  <si>
    <t>FtrBoyClosetL_Remake_0_0</t>
  </si>
  <si>
    <t>BromideNpcNmlShp13_Remake_5_0</t>
  </si>
  <si>
    <t>BottomsTexPantsNormalKnit1</t>
  </si>
  <si>
    <t>BromideNpcNmlShp13_Remake_6_0</t>
  </si>
  <si>
    <t>BottomsTexPantsNormalKnit2</t>
  </si>
  <si>
    <t>BromideNpcNmlShp13_Remake_7_0</t>
  </si>
  <si>
    <t>Pinky's photo</t>
  </si>
  <si>
    <t>FtrBoyClosetL_Remake_1_0</t>
  </si>
  <si>
    <t>BottomsTexPantsNormalKnit3</t>
  </si>
  <si>
    <t>knit skirt</t>
  </si>
  <si>
    <t>BromideNpcNmlBea01_Remake_0_0</t>
  </si>
  <si>
    <t>BottomsTexSkirtBoxAran0</t>
  </si>
  <si>
    <t>FtrBoyClosetL_Remake_2_0</t>
  </si>
  <si>
    <t>BottomsTexSkirtBoxAran1</t>
  </si>
  <si>
    <t>BromideNpcNmlBea01_Remake_1_0</t>
  </si>
  <si>
    <t>BottomsTexSkirtBoxAran2</t>
  </si>
  <si>
    <t>BromideNpcNmlBea01_Remake_2_0</t>
  </si>
  <si>
    <t>BottomsTexSkirtBoxAran3</t>
  </si>
  <si>
    <t>kung-fu pants</t>
  </si>
  <si>
    <t>FtrBoyClosetL_Remake_3_0</t>
  </si>
  <si>
    <t>BottomsTexPantsWideKungfu0</t>
  </si>
  <si>
    <t>BromideNpcNmlBea01_Remake_3_0</t>
  </si>
  <si>
    <t>BottomsTexPantsWideKungfu1</t>
  </si>
  <si>
    <t>BottomsTexPantsWideKungfu2</t>
  </si>
  <si>
    <t>BromideNpcNmlBea01_Remake_4_0</t>
  </si>
  <si>
    <t>FtrBoyClosetL_Remake_4_0</t>
  </si>
  <si>
    <t>BottomsTexPantsWideKungfu3</t>
  </si>
  <si>
    <t>BromideNpcNmlBea01_Remake_5_0</t>
  </si>
  <si>
    <t>BottomsTexPantsWideKungfu4</t>
  </si>
  <si>
    <t>Labelle shorts</t>
  </si>
  <si>
    <t>FtrBoyClosetL_Remake_5_0</t>
  </si>
  <si>
    <t>BromideNpcNmlBea01_Remake_6_0</t>
  </si>
  <si>
    <t>tiki torch</t>
  </si>
  <si>
    <t>BottomsTexPantsHalfKate0</t>
  </si>
  <si>
    <t>BottomsTexPantsHalfKate1</t>
  </si>
  <si>
    <t>BromideNpcNmlBea01_Remake_7_0</t>
  </si>
  <si>
    <t>Piper's photo</t>
  </si>
  <si>
    <t>FtrTorch</t>
  </si>
  <si>
    <t>BottomsTexPantsHalfKate2</t>
  </si>
  <si>
    <t>tiny library</t>
  </si>
  <si>
    <t>BromideNpcNmlBrd05_Remake_0_0</t>
  </si>
  <si>
    <t>BottomsTexPantsHalfKate3</t>
  </si>
  <si>
    <t>FtrMicrolibrary_Remake_0_0</t>
  </si>
  <si>
    <t>BromideNpcNmlBrd05_Remake_1_0</t>
  </si>
  <si>
    <t>BottomsTexPantsHalfKate4</t>
  </si>
  <si>
    <t>BromideNpcNmlBrd05_Remake_2_0</t>
  </si>
  <si>
    <t>BottomsTexPantsHalfKate5</t>
  </si>
  <si>
    <t>Labelle skirt</t>
  </si>
  <si>
    <t>BromideNpcNmlBrd05_Remake_3_0</t>
  </si>
  <si>
    <t>BottomsTexSkirtLongKate0</t>
  </si>
  <si>
    <t>FtrMicrolibrary_Remake_1_0</t>
  </si>
  <si>
    <t>BromideNpcNmlBrd05_Remake_4_0</t>
  </si>
  <si>
    <t>BottomsTexSkirtLongKate1</t>
  </si>
  <si>
    <t>BromideNpcNmlBrd05_Remake_5_0</t>
  </si>
  <si>
    <t>BottomsTexSkirtLongKate2</t>
  </si>
  <si>
    <t>BottomsTexSkirtLongKate3</t>
  </si>
  <si>
    <t>BromideNpcNmlBrd05_Remake_6_0</t>
  </si>
  <si>
    <t>FtrMicrolibrary_Remake_2_0</t>
  </si>
  <si>
    <t>BottomsTexSkirtLongKate4</t>
  </si>
  <si>
    <t>BromideNpcNmlBrd05_Remake_7_0</t>
  </si>
  <si>
    <t>Pippy's photo</t>
  </si>
  <si>
    <t>BottomsTexSkirtLongKate5</t>
  </si>
  <si>
    <t>lace shorts</t>
  </si>
  <si>
    <t>BromideNpcNmlRbt06_Remake_0_0</t>
  </si>
  <si>
    <t>BottomsTexPantsHotLace0</t>
  </si>
  <si>
    <t>FtrMicrolibrary_Remake_3_0</t>
  </si>
  <si>
    <t>BromideNpcNmlRbt06_Remake_1_0</t>
  </si>
  <si>
    <t>BottomsTexPantsHotLace1</t>
  </si>
  <si>
    <t>Wild</t>
  </si>
  <si>
    <t>BromideNpcNmlRbt06_Remake_2_0</t>
  </si>
  <si>
    <t>BottomsTexPantsHotLace2</t>
  </si>
  <si>
    <t>FtrMicrolibrary_Remake_4_0</t>
  </si>
  <si>
    <t>BromideNpcNmlRbt06_Remake_3_0</t>
  </si>
  <si>
    <t>BottomsTexPantsHotLace3</t>
  </si>
  <si>
    <t>BromideNpcNmlRbt06_Remake_4_0</t>
  </si>
  <si>
    <t>BottomsTexPantsHotLace4</t>
  </si>
  <si>
    <t>lace skirt</t>
  </si>
  <si>
    <t>FtrMicrolibrary_Remake_5_0</t>
  </si>
  <si>
    <t>BottomsTexSkirtAlineLace0</t>
  </si>
  <si>
    <t>BromideNpcNmlRbt06_Remake_5_0</t>
  </si>
  <si>
    <t>tire stack</t>
  </si>
  <si>
    <t>Tire color</t>
  </si>
  <si>
    <t>BottomsTexSkirtAlineLace1</t>
  </si>
  <si>
    <t>BromideNpcNmlRbt06_Remake_6_0</t>
  </si>
  <si>
    <t>BottomsTexSkirtAlineLace2</t>
  </si>
  <si>
    <t>FtrTyres_Remake_0_0</t>
  </si>
  <si>
    <t>BromideNpcNmlRbt06_Remake_7_0</t>
  </si>
  <si>
    <t>Plucky's photo</t>
  </si>
  <si>
    <t>BottomsTexSkirtAlineLace3</t>
  </si>
  <si>
    <t>lemon skirt</t>
  </si>
  <si>
    <t>BromideNpcNmlChn10_Remake_0_0</t>
  </si>
  <si>
    <t>BottomsTexSkirtLongLemon0</t>
  </si>
  <si>
    <t>BromideNpcNmlChn10_Remake_1_0</t>
  </si>
  <si>
    <t>FtrTyres_Remake_1_0</t>
  </si>
  <si>
    <t>BottomsTexSkirtLongLemon1</t>
  </si>
  <si>
    <t>BromideNpcNmlChn10_Remake_2_0</t>
  </si>
  <si>
    <t>BottomsTexSkirtLongLemon2</t>
  </si>
  <si>
    <t>leopard miniskirt</t>
  </si>
  <si>
    <t>BottomsTexSkirtBoxLeopard0</t>
  </si>
  <si>
    <t>BromideNpcNmlChn10_Remake_3_0</t>
  </si>
  <si>
    <t>FtrTyres_Remake_2_0</t>
  </si>
  <si>
    <t>BottomsTexSkirtBoxLeopard1</t>
  </si>
  <si>
    <t>BromideNpcNmlChn10_Remake_4_0</t>
  </si>
  <si>
    <t>BottomsTexSkirtBoxLeopard2</t>
  </si>
  <si>
    <t>BromideNpcNmlChn10_Remake_5_0</t>
  </si>
  <si>
    <t>BottomsTexSkirtBoxLeopard3</t>
  </si>
  <si>
    <t>BromideNpcNmlChn10_Remake_6_0</t>
  </si>
  <si>
    <t>FtrTyres_Remake_3_0</t>
  </si>
  <si>
    <t>tire toy</t>
  </si>
  <si>
    <t>BottomsTexSkirtBoxLeopard4</t>
  </si>
  <si>
    <t>BromideNpcNmlChn10_Remake_7_0</t>
  </si>
  <si>
    <t>Pompom's photo</t>
  </si>
  <si>
    <t>BottomsTexSkirtBoxLeopard5</t>
  </si>
  <si>
    <t>long chino skirt</t>
  </si>
  <si>
    <t>BromideNpcNmlDuk05_Remake_0_0</t>
  </si>
  <si>
    <t>BottomsTexSkirtLongChino0</t>
  </si>
  <si>
    <t>BromideNpcNmlDuk05_Remake_1_0</t>
  </si>
  <si>
    <t>FtrPlayingtire_Remake_0_0</t>
  </si>
  <si>
    <t>BottomsTexSkirtLongChino1</t>
  </si>
  <si>
    <t>BromideNpcNmlDuk05_Remake_2_0</t>
  </si>
  <si>
    <t>BottomsTexSkirtLongChino2</t>
  </si>
  <si>
    <t>BottomsTexSkirtLongChino3</t>
  </si>
  <si>
    <t>BromideNpcNmlDuk05_Remake_3_0</t>
  </si>
  <si>
    <t>FtrPlayingtire_Remake_1_0</t>
  </si>
  <si>
    <t>BottomsTexSkirtLongChino4</t>
  </si>
  <si>
    <t>long denim skirt</t>
  </si>
  <si>
    <t>BromideNpcNmlDuk05_Remake_4_0</t>
  </si>
  <si>
    <t>BottomsTexSkirtLongDenim0</t>
  </si>
  <si>
    <t>FtrPlayingtire_Remake_2_0</t>
  </si>
  <si>
    <t>BromideNpcNmlDuk05_Remake_5_0</t>
  </si>
  <si>
    <t>BottomsTexSkirtLongDenim1</t>
  </si>
  <si>
    <t>BromideNpcNmlDuk05_Remake_6_0</t>
  </si>
  <si>
    <t>FtrPlayingtire_Remake_3_0</t>
  </si>
  <si>
    <t>BottomsTexSkirtLongDenim2</t>
  </si>
  <si>
    <t>BromideNpcNmlDuk05_Remake_7_0</t>
  </si>
  <si>
    <t>BottomsTexSkirtLongDenim3</t>
  </si>
  <si>
    <t>Poncho's photo</t>
  </si>
  <si>
    <t>FtrPlayingtire_Remake_4_0</t>
  </si>
  <si>
    <t>BromideNpcNmlCbr02_Remake_0_0</t>
  </si>
  <si>
    <t>BottomsTexSkirtLongDenim4</t>
  </si>
  <si>
    <t>long plaid skirt</t>
  </si>
  <si>
    <t>BottomsTexSkirtLongCheck0</t>
  </si>
  <si>
    <t>BromideNpcNmlCbr02_Remake_1_0</t>
  </si>
  <si>
    <t>FtrPlayingtire_Remake_5_0</t>
  </si>
  <si>
    <t>BottomsTexSkirtLongCheck1</t>
  </si>
  <si>
    <t>toilet</t>
  </si>
  <si>
    <t>BromideNpcNmlCbr02_Remake_2_0</t>
  </si>
  <si>
    <t>BottomsTexSkirtLongCheck2</t>
  </si>
  <si>
    <t>BromideNpcNmlCbr02_Remake_3_0</t>
  </si>
  <si>
    <t>BottomsTexSkirtLongCheck3</t>
  </si>
  <si>
    <t>long pleated skirt</t>
  </si>
  <si>
    <t>FtrWC_Remake_0_0</t>
  </si>
  <si>
    <t>BromideNpcNmlCbr02_Remake_4_0</t>
  </si>
  <si>
    <t>BottomsTexSkirtLongPleats0</t>
  </si>
  <si>
    <t>BromideNpcNmlCbr02_Remake_5_0</t>
  </si>
  <si>
    <t>BottomsTexSkirtLongPleats1</t>
  </si>
  <si>
    <t>BromideNpcNmlCbr02_Remake_6_0</t>
  </si>
  <si>
    <t>BottomsTexSkirtLongPleats2</t>
  </si>
  <si>
    <t>FtrWC_Remake_1_0</t>
  </si>
  <si>
    <t>Cyan</t>
  </si>
  <si>
    <t>BromideNpcNmlCbr02_Remake_7_0</t>
  </si>
  <si>
    <t>Poppy's photo</t>
  </si>
  <si>
    <t>BottomsTexSkirtLongPleats3</t>
  </si>
  <si>
    <t>BromideNpcNmlSqu15_Remake_0_0</t>
  </si>
  <si>
    <t>BottomsTexSkirtLongPleats4</t>
  </si>
  <si>
    <t>long polka skirt</t>
  </si>
  <si>
    <t>FtrWC_Remake_2_0</t>
  </si>
  <si>
    <t>BromideNpcNmlSqu15_Remake_1_0</t>
  </si>
  <si>
    <t>BottomsTexSkirtLongDot0</t>
  </si>
  <si>
    <t>toilet-cleaning set</t>
  </si>
  <si>
    <t>BottomsTexSkirtLongDot1</t>
  </si>
  <si>
    <t>BromideNpcNmlSqu15_Remake_2_0</t>
  </si>
  <si>
    <t>BottomsTexSkirtLongDot2</t>
  </si>
  <si>
    <t>BromideNpcNmlSqu15_Remake_3_0</t>
  </si>
  <si>
    <t>FtrCleaningsetWC_Remake_0_0</t>
  </si>
  <si>
    <t>BottomsTexSkirtLongDot3</t>
  </si>
  <si>
    <t>BromideNpcNmlSqu15_Remake_4_0</t>
  </si>
  <si>
    <t>BottomsTexSkirtLongDot4</t>
  </si>
  <si>
    <t>BromideNpcNmlSqu15_Remake_5_0</t>
  </si>
  <si>
    <t>FtrCleaningsetWC_Remake_1_0</t>
  </si>
  <si>
    <t>tool cart</t>
  </si>
  <si>
    <t>BottomsTexSkirtLongDot5</t>
  </si>
  <si>
    <t>BromideNpcNmlSqu15_Remake_6_0</t>
  </si>
  <si>
    <t>BottomsTexSkirtLongDot6</t>
  </si>
  <si>
    <t>BromideNpcNmlSqu15_Remake_7_0</t>
  </si>
  <si>
    <t>Portia's photo</t>
  </si>
  <si>
    <t>FtrToolcart_Remake_0_0</t>
  </si>
  <si>
    <t>BottomsTexSkirtLongDot7</t>
  </si>
  <si>
    <t>long sailor skirt</t>
  </si>
  <si>
    <t>BromideNpcNmlDog05_Remake_0_0</t>
  </si>
  <si>
    <t>BottomsTexSkirtLongSailor0</t>
  </si>
  <si>
    <t>BromideNpcNmlDog05_Remake_1_0</t>
  </si>
  <si>
    <t>BottomsTexSkirtLongSailor1</t>
  </si>
  <si>
    <t>BromideNpcNmlDog05_Remake_2_0</t>
  </si>
  <si>
    <t>BottomsTexSkirtLongSailor2</t>
  </si>
  <si>
    <t>FtrToolcart_Remake_1_0</t>
  </si>
  <si>
    <t>BottomsTexSkirtLongSailor3</t>
  </si>
  <si>
    <t>BromideNpcNmlDog05_Remake_3_0</t>
  </si>
  <si>
    <t>BottomsTexSkirtLongSailor4</t>
  </si>
  <si>
    <t>BromideNpcNmlDog05_Remake_4_0</t>
  </si>
  <si>
    <t>FtrToolcart_Remake_2_0</t>
  </si>
  <si>
    <t>BottomsTexSkirtLongSailor5</t>
  </si>
  <si>
    <t>BromideNpcNmlDog05_Remake_5_0</t>
  </si>
  <si>
    <t>BottomsTexSkirtLongSailor6</t>
  </si>
  <si>
    <t>BromideNpcNmlDog05_Remake_6_0</t>
  </si>
  <si>
    <t>BottomsTexSkirtLongSailor7</t>
  </si>
  <si>
    <t>long sweatskirt</t>
  </si>
  <si>
    <t>BromideNpcNmlDog05_Remake_7_0</t>
  </si>
  <si>
    <t>FtrToolcart_Remake_3_0</t>
  </si>
  <si>
    <t>Prince's photo</t>
  </si>
  <si>
    <t>BottomsTexSkirtLongSweat0</t>
  </si>
  <si>
    <t>BromideNpcNmlFlg12_Remake_0_0</t>
  </si>
  <si>
    <t>BottomsTexSkirtLongSweat1</t>
  </si>
  <si>
    <t>BottomsTexSkirtLongSweat2</t>
  </si>
  <si>
    <t>BromideNpcNmlFlg12_Remake_1_0</t>
  </si>
  <si>
    <t>FtrToolcart_Remake_4_0</t>
  </si>
  <si>
    <t>BottomsTexSkirtLongSweat3</t>
  </si>
  <si>
    <t>muay-thai shorts</t>
  </si>
  <si>
    <t>BromideNpcNmlFlg12_Remake_2_0</t>
  </si>
  <si>
    <t>BottomsTexPantsHotThai0</t>
  </si>
  <si>
    <t>BottomsTexPantsHotThai1</t>
  </si>
  <si>
    <t>FtrToolcart_Remake_5_0</t>
  </si>
  <si>
    <t>BromideNpcNmlFlg12_Remake_3_0</t>
  </si>
  <si>
    <t>BottomsTexPantsHotThai2</t>
  </si>
  <si>
    <t>BottomsTexPantsHotThai3</t>
  </si>
  <si>
    <t>multicolor shorts</t>
  </si>
  <si>
    <t>BromideNpcNmlFlg12_Remake_4_0</t>
  </si>
  <si>
    <t>BottomsTexPantsHalfMulticolor0</t>
  </si>
  <si>
    <t>FtrToolcart_Remake_6_0</t>
  </si>
  <si>
    <t>BromideNpcNmlFlg12_Remake_5_0</t>
  </si>
  <si>
    <t>BottomsTexPantsHalfMulticolor1</t>
  </si>
  <si>
    <t>BromideNpcNmlFlg12_Remake_6_0</t>
  </si>
  <si>
    <t>BottomsTexPantsHalfMulticolor2</t>
  </si>
  <si>
    <t>FtrToolcart_Remake_7_0</t>
  </si>
  <si>
    <t>tool shelf</t>
  </si>
  <si>
    <t>BromideNpcNmlFlg12_Remake_7_0</t>
  </si>
  <si>
    <t>BottomsTexPantsHalfMulticolor3</t>
  </si>
  <si>
    <t>Puck's photo</t>
  </si>
  <si>
    <t>noble pants</t>
  </si>
  <si>
    <t>BottomsTexPantsNormalNoble0</t>
  </si>
  <si>
    <t>BromideNpcNmlPgn06_Remake_0_0</t>
  </si>
  <si>
    <t>BottomsTexPantsNormalNoble1</t>
  </si>
  <si>
    <t>BromideNpcNmlPgn06_Remake_1_0</t>
  </si>
  <si>
    <t>FtrToolshelf_Remake_0_0</t>
  </si>
  <si>
    <t>BottomsTexPantsNormalNoble2</t>
  </si>
  <si>
    <t>BromideNpcNmlPgn06_Remake_2_0</t>
  </si>
  <si>
    <t>BottomsTexPantsNormalNoble3</t>
  </si>
  <si>
    <t>BottomsTexPantsNormalNoble4</t>
  </si>
  <si>
    <t>FtrToolshelf_Remake_1_0</t>
  </si>
  <si>
    <t>BromideNpcNmlPgn06_Remake_3_0</t>
  </si>
  <si>
    <t>BottomsTexPantsNormalNoble5</t>
  </si>
  <si>
    <t>BottomsTexPantsNormalNoble6</t>
  </si>
  <si>
    <t>BromideNpcNmlPgn06_Remake_4_0</t>
  </si>
  <si>
    <t>FtrToolshelf_Remake_2_0</t>
  </si>
  <si>
    <t>BromideNpcNmlPgn06_Remake_5_0</t>
  </si>
  <si>
    <t>BottomsTexPantsNormalNoble7</t>
  </si>
  <si>
    <t>outdoor shorts</t>
  </si>
  <si>
    <t>BromideNpcNmlPgn06_Remake_6_0</t>
  </si>
  <si>
    <t>FtrToolshelf_Remake_3_0</t>
  </si>
  <si>
    <t>tourist telescope</t>
  </si>
  <si>
    <t>BottomsTexPantsHalfOutdoor0</t>
  </si>
  <si>
    <t>BromideNpcNmlPgn06_Remake_7_0</t>
  </si>
  <si>
    <t>Puddles's photo</t>
  </si>
  <si>
    <t>FtrTelescopeSightseeing_Remake_0_0</t>
  </si>
  <si>
    <t>BottomsTexPantsHalfOutdoor1</t>
  </si>
  <si>
    <t>BromideNpcNmlFlg06_Remake_0_0</t>
  </si>
  <si>
    <t>BottomsTexPantsHalfOutdoor2</t>
  </si>
  <si>
    <t>FtrTelescopeSightseeing_Remake_1_0</t>
  </si>
  <si>
    <t>BromideNpcNmlFlg06_Remake_1_0</t>
  </si>
  <si>
    <t>BottomsTexPantsHalfOutdoor3</t>
  </si>
  <si>
    <t>BottomsTexPantsHalfOutdoor4</t>
  </si>
  <si>
    <t>BromideNpcNmlFlg06_Remake_2_0</t>
  </si>
  <si>
    <t>FtrTelescopeSightseeing_Remake_2_0</t>
  </si>
  <si>
    <t>BromideNpcNmlFlg06_Remake_3_0</t>
  </si>
  <si>
    <t>BottomsTexPantsHalfOutdoor5</t>
  </si>
  <si>
    <t>BottomsTexPantsHalfOutdoor6</t>
  </si>
  <si>
    <t>FtrTelescopeSightseeing_Remake_3_0</t>
  </si>
  <si>
    <t>BromideNpcNmlFlg06_Remake_4_0</t>
  </si>
  <si>
    <t>BottomsTexPantsHalfOutdoor7</t>
  </si>
  <si>
    <t>patched-knee pants</t>
  </si>
  <si>
    <t>BromideNpcNmlFlg06_Remake_5_0</t>
  </si>
  <si>
    <t>FtrTelescopeSightseeing_Remake_4_0</t>
  </si>
  <si>
    <t>Tower of Pisa</t>
  </si>
  <si>
    <t>BottomsTexPantsWideKnee0</t>
  </si>
  <si>
    <t>BromideNpcNmlFlg06_Remake_6_0</t>
  </si>
  <si>
    <t>BottomsTexPantsWideKnee1</t>
  </si>
  <si>
    <t>FtrPisa</t>
  </si>
  <si>
    <t>train set</t>
  </si>
  <si>
    <t>BromideNpcNmlFlg06_Remake_7_0</t>
  </si>
  <si>
    <t>Pudge's photo</t>
  </si>
  <si>
    <t>BottomsTexPantsWideKnee2</t>
  </si>
  <si>
    <t>BromideNpcNmlCbr03_Remake_0_0</t>
  </si>
  <si>
    <t>BottomsTexPantsWideKnee3</t>
  </si>
  <si>
    <t>patchwork skirt</t>
  </si>
  <si>
    <t>FtrRailroad_Remake_0_0</t>
  </si>
  <si>
    <t>BromideNpcNmlCbr03_Remake_1_0</t>
  </si>
  <si>
    <t>BottomsTexSkirtLongPatch0</t>
  </si>
  <si>
    <t>FtrRailroad_Remake_1_0</t>
  </si>
  <si>
    <t>BottomsTexSkirtLongPatch1</t>
  </si>
  <si>
    <t>BromideNpcNmlCbr03_Remake_2_0</t>
  </si>
  <si>
    <t>BottomsTexSkirtLongPatch2</t>
  </si>
  <si>
    <t>BromideNpcNmlCbr03_Remake_3_0</t>
  </si>
  <si>
    <t>FtrRailroad_Remake_2_0</t>
  </si>
  <si>
    <t>BottomsTexSkirtLongPatch3</t>
  </si>
  <si>
    <t>pearl skirt</t>
  </si>
  <si>
    <t>BromideNpcNmlCbr03_Remake_4_0</t>
  </si>
  <si>
    <t>BottomsTexSkirtAlinePearlNavy</t>
  </si>
  <si>
    <t>petal skirt</t>
  </si>
  <si>
    <t>FtrRailroad_Remake_3_0</t>
  </si>
  <si>
    <t>treadmill</t>
  </si>
  <si>
    <t>BromideNpcNmlCbr03_Remake_5_0</t>
  </si>
  <si>
    <t>BottomsTexSkirtAlineTutu0</t>
  </si>
  <si>
    <t>BromideNpcNmlCbr03_Remake_6_0</t>
  </si>
  <si>
    <t>FtrRunningmachine_Remake_0_0</t>
  </si>
  <si>
    <t>BottomsTexSkirtAlineTutu1</t>
  </si>
  <si>
    <t>BromideNpcNmlCbr03_Remake_7_0</t>
  </si>
  <si>
    <t>BottomsTexSkirtAlineTutu2</t>
  </si>
  <si>
    <t>Punchy's photo</t>
  </si>
  <si>
    <t>pineapple aloha shorts</t>
  </si>
  <si>
    <t>FtrRunningmachine_Remake_1_0</t>
  </si>
  <si>
    <t>BottomsTexPantsHalfAloha0</t>
  </si>
  <si>
    <t>BromideNpcNmlCat06_Remake_0_0</t>
  </si>
  <si>
    <t>BottomsTexPantsHalfAloha1</t>
  </si>
  <si>
    <t>BromideNpcNmlCat06_Remake_1_0</t>
  </si>
  <si>
    <t>FtrRunningmachine_Remake_2_0</t>
  </si>
  <si>
    <t>BottomsTexPantsHalfAloha2</t>
  </si>
  <si>
    <t>BromideNpcNmlCat06_Remake_2_0</t>
  </si>
  <si>
    <t>BottomsTexPantsHalfAloha3</t>
  </si>
  <si>
    <t>FtrRunningmachine_Remake_3_0</t>
  </si>
  <si>
    <t>tree standee</t>
  </si>
  <si>
    <t>BottomsTexPantsHalfAloha4</t>
  </si>
  <si>
    <t>BromideNpcNmlCat06_Remake_3_0</t>
  </si>
  <si>
    <t>BottomsTexPantsHalfAloha5</t>
  </si>
  <si>
    <t>FtrHariboteTree_Remake_0_0</t>
  </si>
  <si>
    <t>BottomsTexPantsHalfAloha6</t>
  </si>
  <si>
    <t>plaid shorts</t>
  </si>
  <si>
    <t>BromideNpcNmlCat06_Remake_4_0</t>
  </si>
  <si>
    <t>BottomsTexPantsHotShaggycheck0</t>
  </si>
  <si>
    <t>BromideNpcNmlCat06_Remake_5_0</t>
  </si>
  <si>
    <t>FtrHariboteTree_Remake_1_0</t>
  </si>
  <si>
    <t>BottomsTexPantsHotShaggycheck1</t>
  </si>
  <si>
    <t>BromideNpcNmlCat06_Remake_6_0</t>
  </si>
  <si>
    <t>BottomsTexPantsHotShaggycheck2</t>
  </si>
  <si>
    <t>FtrHariboteTree_Remake_2_0</t>
  </si>
  <si>
    <t>BromideNpcNmlCat06_Remake_7_0</t>
  </si>
  <si>
    <t>BottomsTexPantsHotShaggycheck3</t>
  </si>
  <si>
    <t>Purrl's photo</t>
  </si>
  <si>
    <t>pleather flare skirt</t>
  </si>
  <si>
    <t>FtrHariboteTree_Remake_3_0</t>
  </si>
  <si>
    <t>BromideNpcNmlCat07_Remake_0_0</t>
  </si>
  <si>
    <t>BottomsTexSkirtAlineLeather0</t>
  </si>
  <si>
    <t>BottomsTexSkirtAlineLeather1</t>
  </si>
  <si>
    <t>BromideNpcNmlCat07_Remake_1_0</t>
  </si>
  <si>
    <t>FtrHariboteTree_Remake_4_0</t>
  </si>
  <si>
    <t>tree's bounty arch</t>
  </si>
  <si>
    <t>BottomsTexSkirtAlineLeather2</t>
  </si>
  <si>
    <t>BromideNpcNmlCat07_Remake_2_0</t>
  </si>
  <si>
    <t>BottomsTexSkirtAlineLeather3</t>
  </si>
  <si>
    <t>FtrNutArch_Remake_0_0</t>
  </si>
  <si>
    <t>BromideNpcNmlCat07_Remake_3_0</t>
  </si>
  <si>
    <t>BottomsTexSkirtAlineLeather4</t>
  </si>
  <si>
    <t>FtrNutArch_Remake_1_0</t>
  </si>
  <si>
    <t>BromideNpcNmlCat07_Remake_4_0</t>
  </si>
  <si>
    <t>tree's bounty big tree</t>
  </si>
  <si>
    <t>BottomsTexSkirtAlineLeather5</t>
  </si>
  <si>
    <t>BottomsTexSkirtAlineLeather6</t>
  </si>
  <si>
    <t>BromideNpcNmlCat07_Remake_5_0</t>
  </si>
  <si>
    <t>FtrNutTreeL_Remake_0_0</t>
  </si>
  <si>
    <t>BottomsTexSkirtAlineLeather7</t>
  </si>
  <si>
    <t>pleather pants</t>
  </si>
  <si>
    <t>FtrNutTreeL_Remake_1_0</t>
  </si>
  <si>
    <t>tricycle</t>
  </si>
  <si>
    <t>BottomsTexPantsNormalLeather0</t>
  </si>
  <si>
    <t>BromideNpcNmlCat07_Remake_6_0</t>
  </si>
  <si>
    <t>BottomsTexPantsNormalLeather1</t>
  </si>
  <si>
    <t>FtrTricycle_Remake_0_0</t>
  </si>
  <si>
    <t>BromideNpcNmlCat07_Remake_7_0</t>
  </si>
  <si>
    <t>Queenie's photo</t>
  </si>
  <si>
    <t>BottomsTexPantsNormalLeather2</t>
  </si>
  <si>
    <t>BromideNpcNmlOst00_Remake_0_0</t>
  </si>
  <si>
    <t>BottomsTexPantsNormalLeather3</t>
  </si>
  <si>
    <t>FtrTricycle_Remake_1_0</t>
  </si>
  <si>
    <t>BottomsTexPantsNormalLeather4</t>
  </si>
  <si>
    <t>BromideNpcNmlOst00_Remake_1_0</t>
  </si>
  <si>
    <t>FtrTricycle_Remake_2_0</t>
  </si>
  <si>
    <t>BottomsTexPantsNormalLeather5</t>
  </si>
  <si>
    <t>pleather patch skirt</t>
  </si>
  <si>
    <t>BromideNpcNmlOst00_Remake_2_0</t>
  </si>
  <si>
    <t>BottomsTexSkirtAlinePatch0</t>
  </si>
  <si>
    <t>FtrTricycle_Remake_3_0</t>
  </si>
  <si>
    <t>BromideNpcNmlOst00_Remake_3_0</t>
  </si>
  <si>
    <t>BottomsTexSkirtAlinePatch1</t>
  </si>
  <si>
    <t>BromideNpcNmlOst00_Remake_4_0</t>
  </si>
  <si>
    <t>BottomsTexSkirtAlinePatch2</t>
  </si>
  <si>
    <t>FtrTricycle_Remake_4_0</t>
  </si>
  <si>
    <t>trophy case</t>
  </si>
  <si>
    <t>BottomsTexSkirtAlinePatch3</t>
  </si>
  <si>
    <t>BromideNpcNmlOst00_Remake_5_0</t>
  </si>
  <si>
    <t>pleather shorts</t>
  </si>
  <si>
    <t>BottomsTexPantsHotLeather0</t>
  </si>
  <si>
    <t>BromideNpcNmlOst00_Remake_6_0</t>
  </si>
  <si>
    <t>FtrTrophycase</t>
  </si>
  <si>
    <t>tulip surprise box</t>
  </si>
  <si>
    <t>BottomsTexPantsHotLeather1</t>
  </si>
  <si>
    <t>BromideNpcNmlOst00_Remake_7_0</t>
  </si>
  <si>
    <t>Quillson's photo</t>
  </si>
  <si>
    <t>BottomsTexPantsHotLeather2</t>
  </si>
  <si>
    <t>FtrFlowerSurprisedbox_Remake_0_0</t>
  </si>
  <si>
    <t>BromideNpcNmlDuk17_Remake_0_0</t>
  </si>
  <si>
    <t>BottomsTexPantsHotLeather3</t>
  </si>
  <si>
    <t>pleather skirt</t>
  </si>
  <si>
    <t>FtrFlowerSurprisedbox_Remake_1_0</t>
  </si>
  <si>
    <t>BromideNpcNmlDuk17_Remake_1_0</t>
  </si>
  <si>
    <t>BottomsTexSkirtBoxLeather0</t>
  </si>
  <si>
    <t>BottomsTexSkirtBoxLeather1</t>
  </si>
  <si>
    <t>BromideNpcNmlDuk17_Remake_2_0</t>
  </si>
  <si>
    <t>FtrFlowerSurprisedbox_Remake_2_0</t>
  </si>
  <si>
    <t>TV camera</t>
  </si>
  <si>
    <t>BottomsTexSkirtBoxLeather2</t>
  </si>
  <si>
    <t>BromideNpcNmlDuk17_Remake_3_0</t>
  </si>
  <si>
    <t>FtrCameraTV_Remake_0_0</t>
  </si>
  <si>
    <t>BottomsTexSkirtBoxLeather3</t>
  </si>
  <si>
    <t>BromideNpcNmlDuk17_Remake_4_0</t>
  </si>
  <si>
    <t>BottomsTexSkirtBoxLeather4</t>
  </si>
  <si>
    <t>BromideNpcNmlDuk17_Remake_5_0</t>
  </si>
  <si>
    <t>FtrCameraTV_Remake_1_0</t>
  </si>
  <si>
    <t>upright locker</t>
  </si>
  <si>
    <t>BottomsTexSkirtBoxLeather5</t>
  </si>
  <si>
    <t>plover skirt</t>
  </si>
  <si>
    <t>BromideNpcNmlDuk17_Remake_6_0</t>
  </si>
  <si>
    <t>FtrLocker_Remake_0_0</t>
  </si>
  <si>
    <t>BottomsTexSkirtBoxChidori0</t>
  </si>
  <si>
    <t>BromideNpcNmlDuk17_Remake_7_0</t>
  </si>
  <si>
    <t>Raddle's photo</t>
  </si>
  <si>
    <t>BottomsTexSkirtBoxChidori1</t>
  </si>
  <si>
    <t>FtrLocker_Remake_0_1</t>
  </si>
  <si>
    <t>BromideNpcNmlFlg15_Remake_0_0</t>
  </si>
  <si>
    <t>BottomsTexSkirtBoxChidori2</t>
  </si>
  <si>
    <t>polka-dot mini skirt</t>
  </si>
  <si>
    <t>BromideNpcNmlFlg15_Remake_1_0</t>
  </si>
  <si>
    <t>BottomsTexSkirtAlineDot0</t>
  </si>
  <si>
    <t>FtrLocker_Remake_0_2</t>
  </si>
  <si>
    <t>BromideNpcNmlFlg15_Remake_2_0</t>
  </si>
  <si>
    <t>BottomsTexSkirtAlineDot1</t>
  </si>
  <si>
    <t>BromideNpcNmlFlg15_Remake_3_0</t>
  </si>
  <si>
    <t>FtrLocker_Remake_0_3</t>
  </si>
  <si>
    <t>BottomsTexSkirtAlineDot2</t>
  </si>
  <si>
    <t>Notes</t>
  </si>
  <si>
    <t>BromideNpcNmlFlg15_Remake_4_0</t>
  </si>
  <si>
    <t>BottomsTexSkirtAlineDot3</t>
  </si>
  <si>
    <t>punk pants</t>
  </si>
  <si>
    <t>FtrLocker_Remake_0_4</t>
  </si>
  <si>
    <t>BromideNpcNmlFlg15_Remake_5_0</t>
  </si>
  <si>
    <t>BottomsTexPantsNormalBondage0</t>
  </si>
  <si>
    <t>BottomsTexPantsNormalBondage1</t>
  </si>
  <si>
    <t>BromideNpcNmlFlg15_Remake_6_0</t>
  </si>
  <si>
    <t>FtrLocker_Remake_1_0</t>
  </si>
  <si>
    <t>BottomsTexPantsNormalBondage2</t>
  </si>
  <si>
    <t>BromideNpcNmlFlg15_Remake_7_0</t>
  </si>
  <si>
    <t>Rasher's photo</t>
  </si>
  <si>
    <t>BottomsTexPantsNormalBondage3</t>
  </si>
  <si>
    <t>rain pants</t>
  </si>
  <si>
    <t>FtrLocker_Remake_1_1</t>
  </si>
  <si>
    <t>BromideNpcNmlPig02_Remake_0_0</t>
  </si>
  <si>
    <t>BottomsTexPantsWideRain0</t>
  </si>
  <si>
    <t>BromideNpcNmlPig02_Remake_1_0</t>
  </si>
  <si>
    <t>BottomsTexPantsWideRain1</t>
  </si>
  <si>
    <t>FtrLocker_Remake_1_2</t>
  </si>
  <si>
    <t>BromideNpcNmlPig02_Remake_2_0</t>
  </si>
  <si>
    <t>BottomsTexPantsWideRain2</t>
  </si>
  <si>
    <t>BromideNpcNmlPig02_Remake_3_0</t>
  </si>
  <si>
    <t>BottomsTexPantsWideRain3</t>
  </si>
  <si>
    <t>FtrLocker_Remake_1_3</t>
  </si>
  <si>
    <t>BromideNpcNmlPig02_Remake_4_0</t>
  </si>
  <si>
    <t>BottomsTexPantsWideRain4</t>
  </si>
  <si>
    <t>FtrLocker_Remake_1_4</t>
  </si>
  <si>
    <t>BromideNpcNmlPig02_Remake_5_0</t>
  </si>
  <si>
    <t>BottomsTexPantsWideRain5</t>
  </si>
  <si>
    <t>BottomsTexPantsWideRain6</t>
  </si>
  <si>
    <t>BromideNpcNmlPig02_Remake_6_0</t>
  </si>
  <si>
    <t>FtrLocker_Remake_2_0</t>
  </si>
  <si>
    <t>BottomsTexPantsWideRain7</t>
  </si>
  <si>
    <t>sailor skirt</t>
  </si>
  <si>
    <t>BromideNpcNmlPig02_Remake_7_0</t>
  </si>
  <si>
    <t>Raymond's photo</t>
  </si>
  <si>
    <t>FtrLocker_Remake_2_1</t>
  </si>
  <si>
    <t>BottomsTexSkirtAlineSailor0</t>
  </si>
  <si>
    <t>BromideNpcNmlCat23_Remake_0_0</t>
  </si>
  <si>
    <t>BottomsTexSkirtAlineSailor1</t>
  </si>
  <si>
    <t>BromideNpcNmlCat23_Remake_1_0</t>
  </si>
  <si>
    <t>FtrLocker_Remake_2_2</t>
  </si>
  <si>
    <t>BottomsTexSkirtAlineSailor2</t>
  </si>
  <si>
    <t>BromideNpcNmlCat23_Remake_2_0</t>
  </si>
  <si>
    <t>BottomsTexSkirtAlineSailor3</t>
  </si>
  <si>
    <t>FtrLocker_Remake_2_3</t>
  </si>
  <si>
    <t>BromideNpcNmlCat23_Remake_3_0</t>
  </si>
  <si>
    <t>BottomsTexSkirtAlineSailor4</t>
  </si>
  <si>
    <t>FtrLocker_Remake_2_4</t>
  </si>
  <si>
    <t>BottomsTexSkirtAlineSailor5</t>
  </si>
  <si>
    <t>BromideNpcNmlCat23_Remake_4_0</t>
  </si>
  <si>
    <t>BottomsTexSkirtAlineSailor6</t>
  </si>
  <si>
    <t>BromideNpcNmlCat23_Remake_5_0</t>
  </si>
  <si>
    <t>FtrLocker_Remake_3_0</t>
  </si>
  <si>
    <t>BottomsTexSkirtAlineSailor7</t>
  </si>
  <si>
    <t>satin pants</t>
  </si>
  <si>
    <t>BromideNpcNmlCat23_Remake_6_0</t>
  </si>
  <si>
    <t>BottomsTexPantsWideSatin0</t>
  </si>
  <si>
    <t>FtrLocker_Remake_3_1</t>
  </si>
  <si>
    <t>BromideNpcNmlCat23_Remake_7_0</t>
  </si>
  <si>
    <t>BottomsTexPantsWideSatin1</t>
  </si>
  <si>
    <t>Renée's photo</t>
  </si>
  <si>
    <t>Light purple</t>
  </si>
  <si>
    <t>BottomsTexPantsWideSatin2</t>
  </si>
  <si>
    <t>BromideNpcNmlRhn08_Remake_0_0</t>
  </si>
  <si>
    <t>FtrLocker_Remake_3_2</t>
  </si>
  <si>
    <t>BottomsTexPantsWideSatin3</t>
  </si>
  <si>
    <t>BromideNpcNmlRhn08_Remake_1_0</t>
  </si>
  <si>
    <t>BottomsTexPantsWideSatin4</t>
  </si>
  <si>
    <t>BromideNpcNmlRhn08_Remake_2_0</t>
  </si>
  <si>
    <t>FtrLocker_Remake_3_3</t>
  </si>
  <si>
    <t>BottomsTexPantsWideSatin5</t>
  </si>
  <si>
    <t>BromideNpcNmlRhn08_Remake_3_0</t>
  </si>
  <si>
    <t>BottomsTexPantsWideSatin6</t>
  </si>
  <si>
    <t>school pants</t>
  </si>
  <si>
    <t>BromideNpcNmlRhn08_Remake_4_0</t>
  </si>
  <si>
    <t>FtrLocker_Remake_3_4</t>
  </si>
  <si>
    <t>BottomsTexPantsWideGakuran0</t>
  </si>
  <si>
    <t>BromideNpcNmlRhn08_Remake_5_0</t>
  </si>
  <si>
    <t>BottomsTexPantsWideGakuran1</t>
  </si>
  <si>
    <t>FtrLocker_Remake_4_0</t>
  </si>
  <si>
    <t>BromideNpcNmlRhn08_Remake_6_0</t>
  </si>
  <si>
    <t>BottomsTexPantsWideGakuran2</t>
  </si>
  <si>
    <t>BromideNpcNmlRhn08_Remake_7_0</t>
  </si>
  <si>
    <t>BottomsTexPantsWideGakuran3</t>
  </si>
  <si>
    <t>Reneigh's photo</t>
  </si>
  <si>
    <t>FtrLocker_Remake_4_1</t>
  </si>
  <si>
    <t>BottomsTexPantsWideGakuran4</t>
  </si>
  <si>
    <t>BromideNpcNmlHrs16_Remake_0_0</t>
  </si>
  <si>
    <t>BottomsTexPantsWideGakuran5</t>
  </si>
  <si>
    <t>FtrLocker_Remake_4_2</t>
  </si>
  <si>
    <t>BottomsTexPantsWideGakuran6</t>
  </si>
  <si>
    <t>BromideNpcNmlHrs16_Remake_1_0</t>
  </si>
  <si>
    <t>silk floral-print pants</t>
  </si>
  <si>
    <t>FtrLocker_Remake_4_3</t>
  </si>
  <si>
    <t>BottomsTexPantsNormalChinashort0</t>
  </si>
  <si>
    <t>BromideNpcNmlHrs16_Remake_2_0</t>
  </si>
  <si>
    <t>BottomsTexPantsNormalChinashort1</t>
  </si>
  <si>
    <t>FtrLocker_Remake_4_4</t>
  </si>
  <si>
    <t>BottomsTexPantsNormalChinashort2</t>
  </si>
  <si>
    <t>BromideNpcNmlHrs16_Remake_3_0</t>
  </si>
  <si>
    <t>BottomsTexPantsNormalChinashort3</t>
  </si>
  <si>
    <t>BromideNpcNmlHrs16_Remake_4_0</t>
  </si>
  <si>
    <t>FtrLocker_Remake_5_0</t>
  </si>
  <si>
    <t>BottomsTexPantsNormalChinashort4</t>
  </si>
  <si>
    <t>BromideNpcNmlHrs16_Remake_5_0</t>
  </si>
  <si>
    <t>BottomsTexPantsNormalChinashort5</t>
  </si>
  <si>
    <t>FtrLocker_Remake_5_1</t>
  </si>
  <si>
    <t>BromideNpcNmlHrs16_Remake_6_0</t>
  </si>
  <si>
    <t>BromideNpcNmlHrs16_Remake_7_0</t>
  </si>
  <si>
    <t>Rex's photo</t>
  </si>
  <si>
    <t>FtrLocker_Remake_5_2</t>
  </si>
  <si>
    <t>BottomsTexPantsNormalChinashort6</t>
  </si>
  <si>
    <t>silk pants</t>
  </si>
  <si>
    <t>BromideNpcNmlLon02_Remake_0_0</t>
  </si>
  <si>
    <t>FtrLocker_Remake_5_3</t>
  </si>
  <si>
    <t>BottomsTexPantsNormalChina0</t>
  </si>
  <si>
    <t>BromideNpcNmlLon02_Remake_1_0</t>
  </si>
  <si>
    <t>BottomsTexPantsNormalChina1</t>
  </si>
  <si>
    <t>FtrLocker_Remake_5_4</t>
  </si>
  <si>
    <t>BottomsTexPantsNormalChina2</t>
  </si>
  <si>
    <t>BromideNpcNmlLon02_Remake_2_0</t>
  </si>
  <si>
    <t>BottomsTexPantsNormalChina3</t>
  </si>
  <si>
    <t>FtrLocker_Remake_6_0</t>
  </si>
  <si>
    <t>BottomsTexPantsNormalChina4</t>
  </si>
  <si>
    <t>ski pants</t>
  </si>
  <si>
    <t>FtrLocker_Remake_6_1</t>
  </si>
  <si>
    <t>BottomsTexPantsWideSki0</t>
  </si>
  <si>
    <t>BromideNpcNmlLon02_Remake_3_0</t>
  </si>
  <si>
    <t>FtrLocker_Remake_6_2</t>
  </si>
  <si>
    <t>BottomsTexPantsWideSki1</t>
  </si>
  <si>
    <t>BromideNpcNmlLon02_Remake_4_0</t>
  </si>
  <si>
    <t>FtrLocker_Remake_6_3</t>
  </si>
  <si>
    <t>BottomsTexPantsWideSki2</t>
  </si>
  <si>
    <t>BromideNpcNmlLon02_Remake_5_0</t>
  </si>
  <si>
    <t>FtrLocker_Remake_6_4</t>
  </si>
  <si>
    <t>upright piano</t>
  </si>
  <si>
    <t>BottomsTexPantsWideSki3</t>
  </si>
  <si>
    <t>BromideNpcNmlLon02_Remake_6_0</t>
  </si>
  <si>
    <t>FtrPianoUpright_Remake_0_0</t>
  </si>
  <si>
    <t>BottomsTexPantsWideSki4</t>
  </si>
  <si>
    <t>BromideNpcNmlLon02_Remake_7_0</t>
  </si>
  <si>
    <t>Rhonda's photo</t>
  </si>
  <si>
    <t>FtrPianoUpright_Remake_1_0</t>
  </si>
  <si>
    <t>BromideNpcNmlRhn01_Remake_0_0</t>
  </si>
  <si>
    <t>BottomsTexPantsWideSki5</t>
  </si>
  <si>
    <t>slacks</t>
  </si>
  <si>
    <t>BromideNpcNmlRhn01_Remake_1_0</t>
  </si>
  <si>
    <t>FtrPianoUpright_Remake_2_0</t>
  </si>
  <si>
    <t>BottomsTexPantsNormalSlacks0</t>
  </si>
  <si>
    <t>Maple</t>
  </si>
  <si>
    <t>BromideNpcNmlRhn01_Remake_2_0</t>
  </si>
  <si>
    <t>FtrPianoUpright_Remake_3_0</t>
  </si>
  <si>
    <t>upright vacuum</t>
  </si>
  <si>
    <t>BottomsTexPantsNormalSlacks1</t>
  </si>
  <si>
    <t>BromideNpcNmlRhn01_Remake_3_0</t>
  </si>
  <si>
    <t>FtrCleanerStick_Remake_0_0</t>
  </si>
  <si>
    <t>BromideNpcNmlRhn01_Remake_4_0</t>
  </si>
  <si>
    <t>BottomsTexPantsNormalSlacks2</t>
  </si>
  <si>
    <t>FtrCleanerStick_Remake_1_0</t>
  </si>
  <si>
    <t>BottomsTexPantsNormalSlacks3</t>
  </si>
  <si>
    <t>BromideNpcNmlRhn01_Remake_5_0</t>
  </si>
  <si>
    <t>FtrCleanerStick_Remake_2_0</t>
  </si>
  <si>
    <t>BottomsTexPantsNormalSlacks4</t>
  </si>
  <si>
    <t>BromideNpcNmlRhn01_Remake_6_0</t>
  </si>
  <si>
    <t>FtrCleanerStick_Remake_3_0</t>
  </si>
  <si>
    <t>BromideNpcNmlRhn01_Remake_7_0</t>
  </si>
  <si>
    <t>Ribbot's photo</t>
  </si>
  <si>
    <t>BottomsTexPantsNormalSlacks5</t>
  </si>
  <si>
    <t>BromideNpcNmlFlg01_Remake_0_0</t>
  </si>
  <si>
    <t>FtrCleanerStick_Remake_4_0</t>
  </si>
  <si>
    <t>BottomsTexPantsNormalSlacks6</t>
  </si>
  <si>
    <t>soccer shorts</t>
  </si>
  <si>
    <t>BromideNpcNmlFlg01_Remake_1_0</t>
  </si>
  <si>
    <t>FtrCleanerStick_Remake_5_0</t>
  </si>
  <si>
    <t>BottomsTexPantsHalfSoccer0</t>
  </si>
  <si>
    <t>BromideNpcNmlFlg01_Remake_2_0</t>
  </si>
  <si>
    <t>BottomsTexPantsHalfSoccer1</t>
  </si>
  <si>
    <t>BromideNpcNmlFlg01_Remake_3_0</t>
  </si>
  <si>
    <t>FtrCleanerStick_Remake_6_0</t>
  </si>
  <si>
    <t>utility pole</t>
  </si>
  <si>
    <t>BottomsTexPantsHalfSoccer2</t>
  </si>
  <si>
    <t>No ads</t>
  </si>
  <si>
    <t>BromideNpcNmlFlg01_Remake_4_0</t>
  </si>
  <si>
    <t>BottomsTexPantsHalfSoccer3</t>
  </si>
  <si>
    <t>FtrTelephonepole_Remake_0_0</t>
  </si>
  <si>
    <t>BromideNpcNmlFlg01_Remake_5_0</t>
  </si>
  <si>
    <t>BottomsTexPantsHalfSoccer4</t>
  </si>
  <si>
    <t>With ads</t>
  </si>
  <si>
    <t>BromideNpcNmlFlg01_Remake_6_0</t>
  </si>
  <si>
    <t>BottomsTexPantsHalfSoccer5</t>
  </si>
  <si>
    <t>FtrTelephonepole_Remake_1_0</t>
  </si>
  <si>
    <t>utility sink</t>
  </si>
  <si>
    <t>BottomsTexPantsHalfSoccer6</t>
  </si>
  <si>
    <t>BromideNpcNmlFlg01_Remake_7_0</t>
  </si>
  <si>
    <t>FtrSlopsink</t>
  </si>
  <si>
    <t>Ricky's photo</t>
  </si>
  <si>
    <t>vacuum cleaner</t>
  </si>
  <si>
    <t>BottomsTexPantsHalfSoccer7</t>
  </si>
  <si>
    <t>spangle shorts</t>
  </si>
  <si>
    <t>BottomsTexPantsHotSequins0</t>
  </si>
  <si>
    <t>BromideNpcNmlSqu10_Remake_0_0</t>
  </si>
  <si>
    <t>FtrCleaner_Remake_0_0</t>
  </si>
  <si>
    <t>BottomsTexPantsHotSequins1</t>
  </si>
  <si>
    <t>BromideNpcNmlSqu10_Remake_1_0</t>
  </si>
  <si>
    <t>FtrCleaner_Remake_1_0</t>
  </si>
  <si>
    <t>BottomsTexPantsHotSequins2</t>
  </si>
  <si>
    <t>BromideNpcNmlSqu10_Remake_2_0</t>
  </si>
  <si>
    <t>BottomsTexPantsHotSequins3</t>
  </si>
  <si>
    <t>BromideNpcNmlSqu10_Remake_3_0</t>
  </si>
  <si>
    <t>BottomsTexPantsHotSequins4</t>
  </si>
  <si>
    <t>FtrCleaner_Remake_2_0</t>
  </si>
  <si>
    <t>BottomsTexPantsHotSequins5</t>
  </si>
  <si>
    <t>BromideNpcNmlSqu10_Remake_4_0</t>
  </si>
  <si>
    <t>BromideNpcNmlSqu10_Remake_5_0</t>
  </si>
  <si>
    <t>BottomsTexPantsHotSequins6</t>
  </si>
  <si>
    <t>FtrCleaner_Remake_3_0</t>
  </si>
  <si>
    <t>BottomsTexPantsHotSequins7</t>
  </si>
  <si>
    <t>BromideNpcNmlSqu10_Remake_6_0</t>
  </si>
  <si>
    <t>sporty skirt</t>
  </si>
  <si>
    <t>BottomsTexSkirtBoxSweat0</t>
  </si>
  <si>
    <t>BromideNpcNmlSqu10_Remake_7_0</t>
  </si>
  <si>
    <t>Rizzo's photo</t>
  </si>
  <si>
    <t>FtrCleaner_Remake_4_0</t>
  </si>
  <si>
    <t>BottomsTexSkirtBoxSweat1</t>
  </si>
  <si>
    <t>velvet stool</t>
  </si>
  <si>
    <t>BromideNpcNmlMus09_Remake_0_0</t>
  </si>
  <si>
    <t>BottomsTexSkirtBoxSweat2</t>
  </si>
  <si>
    <t>FtrPianoStool</t>
  </si>
  <si>
    <t>video camera</t>
  </si>
  <si>
    <t>BottomsTexSkirtBoxSweat3</t>
  </si>
  <si>
    <t>BromideNpcNmlMus09_Remake_1_0</t>
  </si>
  <si>
    <t>striped bell-bottoms</t>
  </si>
  <si>
    <t>FtrVideocamera_Remake_0_0</t>
  </si>
  <si>
    <t>BottomsTexPantsWideMultistripe0</t>
  </si>
  <si>
    <t>BromideNpcNmlMus09_Remake_2_0</t>
  </si>
  <si>
    <t>BottomsTexPantsWideMultistripe1</t>
  </si>
  <si>
    <t>BromideNpcNmlMus09_Remake_3_0</t>
  </si>
  <si>
    <t>BottomsTexPantsWideMultistripe2</t>
  </si>
  <si>
    <t>BromideNpcNmlMus09_Remake_4_0</t>
  </si>
  <si>
    <t>FtrVideocamera_Remake_1_0</t>
  </si>
  <si>
    <t>BottomsTexPantsWideMultistripe3</t>
  </si>
  <si>
    <t>striped pants</t>
  </si>
  <si>
    <t>BromideNpcNmlMus09_Remake_5_0</t>
  </si>
  <si>
    <t>BottomsTexPantsNormalBoder0</t>
  </si>
  <si>
    <t>BromideNpcNmlMus09_Remake_6_0</t>
  </si>
  <si>
    <t>FtrVideocamera_Remake_2_0</t>
  </si>
  <si>
    <t>BottomsTexPantsNormalBoder1</t>
  </si>
  <si>
    <t>vintage TV tray</t>
  </si>
  <si>
    <t>BromideNpcNmlMus09_Remake_7_0</t>
  </si>
  <si>
    <t>Tray</t>
  </si>
  <si>
    <t>Roald's photo</t>
  </si>
  <si>
    <t>BottomsTexPantsNormalBoder2</t>
  </si>
  <si>
    <t>BottomsTexPantsNormalBoder3</t>
  </si>
  <si>
    <t>BromideNpcNmlPgn01_Remake_0_0</t>
  </si>
  <si>
    <t>FtrTVtray_Remake_0_0</t>
  </si>
  <si>
    <t>BottomsTexPantsNormalBoder4</t>
  </si>
  <si>
    <t>striped shorts</t>
  </si>
  <si>
    <t>BromideNpcNmlPgn01_Remake_1_0</t>
  </si>
  <si>
    <t>BottomsTexPantsHotMultistripe0</t>
  </si>
  <si>
    <t>BromideNpcNmlPgn01_Remake_2_0</t>
  </si>
  <si>
    <t>BottomsTexPantsHotMultistripe1</t>
  </si>
  <si>
    <t>FtrTVtray_Remake_0_1</t>
  </si>
  <si>
    <t>BromideNpcNmlPgn01_Remake_3_0</t>
  </si>
  <si>
    <t>BottomsTexPantsHotMultistripe2</t>
  </si>
  <si>
    <t>BromideNpcNmlPgn01_Remake_4_0</t>
  </si>
  <si>
    <t>BottomsTexPantsHotMultistripe3</t>
  </si>
  <si>
    <t>surfing shorts</t>
  </si>
  <si>
    <t>FtrTVtray_Remake_0_2</t>
  </si>
  <si>
    <t>BromideNpcNmlPgn01_Remake_5_0</t>
  </si>
  <si>
    <t>BottomsTexPantsHalfSurf0</t>
  </si>
  <si>
    <t>BottomsTexPantsHalfSurf1</t>
  </si>
  <si>
    <t>BromideNpcNmlPgn01_Remake_6_0</t>
  </si>
  <si>
    <t>FtrTVtray_Remake_0_3</t>
  </si>
  <si>
    <t>BottomsTexPantsHalfSurf2</t>
  </si>
  <si>
    <t>BromideNpcNmlPgn01_Remake_7_0</t>
  </si>
  <si>
    <t>Robin's photo</t>
  </si>
  <si>
    <t>BottomsTexPantsHalfSurf3</t>
  </si>
  <si>
    <t>BottomsTexPantsHalfSurf4</t>
  </si>
  <si>
    <t>sweatpants</t>
  </si>
  <si>
    <t>BromideNpcNmlBrd01_Remake_0_0</t>
  </si>
  <si>
    <t>FtrTVtray_Remake_1_0</t>
  </si>
  <si>
    <t>BottomsTexPantsNormalSweat0</t>
  </si>
  <si>
    <t>BromideNpcNmlBrd01_Remake_1_0</t>
  </si>
  <si>
    <t>BottomsTexPantsNormalSweat1</t>
  </si>
  <si>
    <t>BromideNpcNmlBrd01_Remake_2_0</t>
  </si>
  <si>
    <t>BottomsTexPantsNormalSweat2</t>
  </si>
  <si>
    <t>FtrTVtray_Remake_1_1</t>
  </si>
  <si>
    <t>BottomsTexPantsNormalSweat3</t>
  </si>
  <si>
    <t>BromideNpcNmlBrd01_Remake_3_0</t>
  </si>
  <si>
    <t>BottomsTexPantsNormalSweat4</t>
  </si>
  <si>
    <t>BottomsTexPantsNormalSweat5</t>
  </si>
  <si>
    <t>BromideNpcNmlBrd01_Remake_4_0</t>
  </si>
  <si>
    <t>BottomsTexPantsNormalSweat6</t>
  </si>
  <si>
    <t>BromideNpcNmlBrd01_Remake_5_0</t>
  </si>
  <si>
    <t>BottomsTexPantsNormalSweat7</t>
  </si>
  <si>
    <t>tennis skirt</t>
  </si>
  <si>
    <t>BromideNpcNmlBrd01_Remake_6_0</t>
  </si>
  <si>
    <t>FtrTVtray_Remake_1_2</t>
  </si>
  <si>
    <t>BottomsTexSkirtAlineTennis0</t>
  </si>
  <si>
    <t>BromideNpcNmlBrd01_Remake_7_0</t>
  </si>
  <si>
    <t>Rocco's photo</t>
  </si>
  <si>
    <t>BottomsTexSkirtAlineTennis1</t>
  </si>
  <si>
    <t>BromideNpcNmlHip00_Remake_0_0</t>
  </si>
  <si>
    <t>BottomsTexSkirtAlineTennis2</t>
  </si>
  <si>
    <t>FtrTVtray_Remake_1_3</t>
  </si>
  <si>
    <t>BromideNpcNmlHip00_Remake_1_0</t>
  </si>
  <si>
    <t>BottomsTexSkirtAlineTennis3</t>
  </si>
  <si>
    <t>terry-cloth shorts</t>
  </si>
  <si>
    <t>BottomsTexPantsHotFluffy0</t>
  </si>
  <si>
    <t>BottomsTexPantsHotFluffy1</t>
  </si>
  <si>
    <t>BromideNpcNmlHip00_Remake_2_0</t>
  </si>
  <si>
    <t>FtrTVtray_Remake_2_0</t>
  </si>
  <si>
    <t>BottomsTexPantsHotFluffy2</t>
  </si>
  <si>
    <t>BromideNpcNmlHip00_Remake_3_0</t>
  </si>
  <si>
    <t>BottomsTexPantsHotFluffy3</t>
  </si>
  <si>
    <t>three-quarter sweatpants</t>
  </si>
  <si>
    <t>BottomsTexPantsNormalCroppedsweat0</t>
  </si>
  <si>
    <t>BromideNpcNmlHip00_Remake_4_0</t>
  </si>
  <si>
    <t>FtrTVtray_Remake_2_1</t>
  </si>
  <si>
    <t>BottomsTexPantsNormalCroppedsweat1</t>
  </si>
  <si>
    <t>BromideNpcNmlHip00_Remake_5_0</t>
  </si>
  <si>
    <t>BottomsTexPantsNormalCroppedsweat2</t>
  </si>
  <si>
    <t>BromideNpcNmlHip00_Remake_6_0</t>
  </si>
  <si>
    <t>FtrTVtray_Remake_2_2</t>
  </si>
  <si>
    <t>BottomsTexPantsNormalCroppedsweat3</t>
  </si>
  <si>
    <t>BromideNpcNmlHip00_Remake_7_0</t>
  </si>
  <si>
    <t>Rocket's photo</t>
  </si>
  <si>
    <t>BottomsTexPantsNormalCroppedsweat4</t>
  </si>
  <si>
    <t>BromideNpcNmlGor09_Remake_0_0</t>
  </si>
  <si>
    <t>BottomsTexPantsNormalCroppedsweat5</t>
  </si>
  <si>
    <t>FtrTVtray_Remake_2_3</t>
  </si>
  <si>
    <t>BottomsTexPantsNormalCroppedsweat6</t>
  </si>
  <si>
    <t>BromideNpcNmlGor09_Remake_1_0</t>
  </si>
  <si>
    <t>BottomsTexPantsNormalCroppedsweat7</t>
  </si>
  <si>
    <t>tie-dye skirt</t>
  </si>
  <si>
    <t>BromideNpcNmlGor09_Remake_2_0</t>
  </si>
  <si>
    <t>BottomsTexSkirtLongTiedye0</t>
  </si>
  <si>
    <t>BromideNpcNmlGor09_Remake_3_0</t>
  </si>
  <si>
    <t>FtrTVtray_Remake_3_0</t>
  </si>
  <si>
    <t>BottomsTexSkirtLongTiedye1</t>
  </si>
  <si>
    <t>BromideNpcNmlGor09_Remake_4_0</t>
  </si>
  <si>
    <t>BottomsTexSkirtLongTiedye2</t>
  </si>
  <si>
    <t>BottomsTexSkirtLongTiedye3</t>
  </si>
  <si>
    <t>BromideNpcNmlGor09_Remake_5_0</t>
  </si>
  <si>
    <t>FtrTVtray_Remake_3_1</t>
  </si>
  <si>
    <t>BottomsTexSkirtLongTiedye4</t>
  </si>
  <si>
    <t>tiered skirt</t>
  </si>
  <si>
    <t>BromideNpcNmlGor09_Remake_6_0</t>
  </si>
  <si>
    <t>BottomsTexSkirtLongTiered0</t>
  </si>
  <si>
    <t>BromideNpcNmlGor09_Remake_7_0</t>
  </si>
  <si>
    <t>Rod's photo</t>
  </si>
  <si>
    <t>BottomsTexSkirtLongTiered1</t>
  </si>
  <si>
    <t>FtrTVtray_Remake_3_2</t>
  </si>
  <si>
    <t>BromideNpcNmlMus05_Remake_0_0</t>
  </si>
  <si>
    <t>BottomsTexSkirtLongTiered2</t>
  </si>
  <si>
    <t>BromideNpcNmlMus05_Remake_1_0</t>
  </si>
  <si>
    <t>BottomsTexSkirtLongTiered3</t>
  </si>
  <si>
    <t>BottomsTexSkirtLongTiered4</t>
  </si>
  <si>
    <t>torn pants</t>
  </si>
  <si>
    <t>FtrTVtray_Remake_3_3</t>
  </si>
  <si>
    <t>BromideNpcNmlMus05_Remake_2_0</t>
  </si>
  <si>
    <t>Virgo harp</t>
  </si>
  <si>
    <t>BottomsTexPantsWideTeared0</t>
  </si>
  <si>
    <t>BromideNpcNmlMus05_Remake_3_0</t>
  </si>
  <si>
    <t>BottomsTexPantsWideTeared1</t>
  </si>
  <si>
    <t>FtrZodiacVirgo</t>
  </si>
  <si>
    <t>BottomsTexPantsWideTeared2</t>
  </si>
  <si>
    <t>BromideNpcNmlMus05_Remake_4_0</t>
  </si>
  <si>
    <t>track pants</t>
  </si>
  <si>
    <t>water cooler</t>
  </si>
  <si>
    <t>BottomsTexPantsNormalSportsjersey0</t>
  </si>
  <si>
    <t>BromideNpcNmlMus05_Remake_5_0</t>
  </si>
  <si>
    <t>BottomsTexPantsNormalSportsjersey1</t>
  </si>
  <si>
    <t>BromideNpcNmlMus05_Remake_6_0</t>
  </si>
  <si>
    <t>FtrWaterserver_Remake_0_0</t>
  </si>
  <si>
    <t>BottomsTexPantsNormalSportsjersey2</t>
  </si>
  <si>
    <t>BromideNpcNmlMus05_Remake_7_0</t>
  </si>
  <si>
    <t>Rodeo's photo</t>
  </si>
  <si>
    <t>BottomsTexPantsNormalSportsjersey3</t>
  </si>
  <si>
    <t>BromideNpcNmlBul01_Remake_0_0</t>
  </si>
  <si>
    <t>FtrWaterserver_Remake_1_0</t>
  </si>
  <si>
    <t>BottomsTexPantsNormalSportsjersey4</t>
  </si>
  <si>
    <t>water pump</t>
  </si>
  <si>
    <t>BottomsTexPantsNormalSportsjersey5</t>
  </si>
  <si>
    <t>BromideNpcNmlBul01_Remake_1_0</t>
  </si>
  <si>
    <t>BottomsTexPantsNormalSportsjersey6</t>
  </si>
  <si>
    <t>traditional monpe pants</t>
  </si>
  <si>
    <t>FtrHandpump_Remake_0_0</t>
  </si>
  <si>
    <t>BromideNpcNmlBul01_Remake_2_0</t>
  </si>
  <si>
    <t>BottomsTexPantsNormalMonpe0</t>
  </si>
  <si>
    <t>BottomsTexPantsNormalMonpe1</t>
  </si>
  <si>
    <t>BromideNpcNmlBul01_Remake_3_0</t>
  </si>
  <si>
    <t>BottomsTexPantsNormalMonpe2</t>
  </si>
  <si>
    <t>BromideNpcNmlBul01_Remake_4_0</t>
  </si>
  <si>
    <t>FtrHandpump_Remake_1_0</t>
  </si>
  <si>
    <t>BottomsTexPantsNormalMonpe3</t>
  </si>
  <si>
    <t>traditional suteteko pants</t>
  </si>
  <si>
    <t>BromideNpcNmlBul01_Remake_5_0</t>
  </si>
  <si>
    <t>BottomsTexPantsWideSuteteko0</t>
  </si>
  <si>
    <t>BromideNpcNmlBul01_Remake_6_0</t>
  </si>
  <si>
    <t>FtrHandpump_Remake_2_0</t>
  </si>
  <si>
    <t>BottomsTexPantsWideSuteteko1</t>
  </si>
  <si>
    <t>BromideNpcNmlBul01_Remake_7_0</t>
  </si>
  <si>
    <t>Rodney's photo</t>
  </si>
  <si>
    <t>BottomsTexPantsWideSuteteko2</t>
  </si>
  <si>
    <t>BromideNpcNmlHam03_Remake_0_0</t>
  </si>
  <si>
    <t>BottomsTexPantsWideSuteteko3</t>
  </si>
  <si>
    <t>Aqua</t>
  </si>
  <si>
    <t>FtrHandpump_Remake_3_0</t>
  </si>
  <si>
    <t>wave breaker</t>
  </si>
  <si>
    <t>BottomsTexPantsWideSuteteko4</t>
  </si>
  <si>
    <t>BromideNpcNmlHam03_Remake_1_0</t>
  </si>
  <si>
    <t>BottomsTexPantsWideSuteteko5</t>
  </si>
  <si>
    <t>tweed frilly skirt</t>
  </si>
  <si>
    <t>BromideNpcNmlHam03_Remake_2_0</t>
  </si>
  <si>
    <t>BottomsTexSkirtAlineTweedfrill0</t>
  </si>
  <si>
    <t>FtrTetrapod</t>
  </si>
  <si>
    <t>BromideNpcNmlHam03_Remake_3_0</t>
  </si>
  <si>
    <t>weight bench</t>
  </si>
  <si>
    <t>BottomsTexSkirtAlineTweedfrill1</t>
  </si>
  <si>
    <t>BromideNpcNmlHam03_Remake_4_0</t>
  </si>
  <si>
    <t>BottomsTexSkirtAlineTweedfrill2</t>
  </si>
  <si>
    <t>FtrPressbench</t>
  </si>
  <si>
    <t>BottomsTexSkirtAlineTweedfrill3</t>
  </si>
  <si>
    <t>tweed pants</t>
  </si>
  <si>
    <t>BromideNpcNmlHam03_Remake_5_0</t>
  </si>
  <si>
    <t>western-style stone</t>
  </si>
  <si>
    <t>BottomsTexPantsWideTweed0</t>
  </si>
  <si>
    <t>BromideNpcNmlHam03_Remake_6_0</t>
  </si>
  <si>
    <t>BottomsTexPantsWideTweed1</t>
  </si>
  <si>
    <t>BromideNpcNmlHam03_Remake_7_0</t>
  </si>
  <si>
    <t>FtrGravestoneEuropean_Remake_0_0</t>
  </si>
  <si>
    <t>Rolf's photo</t>
  </si>
  <si>
    <t>BottomsTexPantsWideTweed2</t>
  </si>
  <si>
    <t>BromideNpcNmlTig00_Remake_0_0</t>
  </si>
  <si>
    <t>BottomsTexPantsWideTweed3</t>
  </si>
  <si>
    <t>BromideNpcNmlTig00_Remake_1_0</t>
  </si>
  <si>
    <t>BottomsTexPantsWideTweed4</t>
  </si>
  <si>
    <t>FtrGravestoneEuropean_Remake_1_0</t>
  </si>
  <si>
    <t>BottomsTexPantsWideTweed5</t>
  </si>
  <si>
    <t>BromideNpcNmlTig00_Remake_2_0</t>
  </si>
  <si>
    <t>tweed skirt</t>
  </si>
  <si>
    <t>BottomsTexSkirtAlineTweed0</t>
  </si>
  <si>
    <t>BromideNpcNmlTig00_Remake_3_0</t>
  </si>
  <si>
    <t>FtrGravestoneEuropean_Remake_2_0</t>
  </si>
  <si>
    <t>BottomsTexSkirtAlineTweed1</t>
  </si>
  <si>
    <t>BromideNpcNmlTig00_Remake_4_0</t>
  </si>
  <si>
    <t>BottomsTexSkirtAlineTweed2</t>
  </si>
  <si>
    <t>two-tone pants</t>
  </si>
  <si>
    <t>BromideNpcNmlTig00_Remake_5_0</t>
  </si>
  <si>
    <t>FtrGravestoneEuropean_Remake_3_0</t>
  </si>
  <si>
    <t>BottomsTexPantsNormalTwotoneBlue</t>
  </si>
  <si>
    <t>BromideNpcNmlTig00_Remake_6_0</t>
  </si>
  <si>
    <t>BottomsTexPantsNormalTwotoneMonochrome</t>
  </si>
  <si>
    <t>FtrGravestoneEuropean_Remake_4_0</t>
  </si>
  <si>
    <t>wheelchair</t>
  </si>
  <si>
    <t>BromideNpcNmlTig00_Remake_7_0</t>
  </si>
  <si>
    <t>BottomsTexPantsNormalTwotoneRed</t>
  </si>
  <si>
    <t>Rooney's photo</t>
  </si>
  <si>
    <t>BottomsTexPantsNormalTwotoneYellow</t>
  </si>
  <si>
    <t>upcycled skirt</t>
  </si>
  <si>
    <t>BromideNpcNmlKgr09_Remake_0_0</t>
  </si>
  <si>
    <t>BottomsTexSkirtAlineShabby0</t>
  </si>
  <si>
    <t>FtrWheelchair_Remake_0_0</t>
  </si>
  <si>
    <t>BromideNpcNmlKgr09_Remake_1_0</t>
  </si>
  <si>
    <t>BottomsTexSkirtAlineShabby1</t>
  </si>
  <si>
    <t>BromideNpcNmlKgr09_Remake_2_0</t>
  </si>
  <si>
    <t>BottomsTexSkirtAlineShabby2</t>
  </si>
  <si>
    <t>vibrant shorts</t>
  </si>
  <si>
    <t>BottomsTexPantsHalfEthnic0</t>
  </si>
  <si>
    <t>FtrWheelchair_Remake_0_1</t>
  </si>
  <si>
    <t>BottomsTexPantsHalfEthnic1</t>
  </si>
  <si>
    <t>BromideNpcNmlKgr09_Remake_3_0</t>
  </si>
  <si>
    <t>BottomsTexPantsHalfEthnic2</t>
  </si>
  <si>
    <t>BromideNpcNmlKgr09_Remake_4_0</t>
  </si>
  <si>
    <t>FtrWheelchair_Remake_0_2</t>
  </si>
  <si>
    <t>BottomsTexPantsHalfEthnic3</t>
  </si>
  <si>
    <t>BromideNpcNmlKgr09_Remake_5_0</t>
  </si>
  <si>
    <t>BottomsTexPantsHalfEthnic4</t>
  </si>
  <si>
    <t>western pants</t>
  </si>
  <si>
    <t>BottomsTexPantsWideCowboyBrown</t>
  </si>
  <si>
    <t>wide chino pants</t>
  </si>
  <si>
    <t>FtrWheelchair_Remake_0_3</t>
  </si>
  <si>
    <t>BromideNpcNmlKgr09_Remake_6_0</t>
  </si>
  <si>
    <t>BottomsTexPantsWideChino0</t>
  </si>
  <si>
    <t>BromideNpcNmlKgr09_Remake_7_0</t>
  </si>
  <si>
    <t>BottomsTexPantsWideChino1</t>
  </si>
  <si>
    <t>Rory's photo</t>
  </si>
  <si>
    <t>BottomsTexPantsWideChino2</t>
  </si>
  <si>
    <t>BromideNpcNmlLon07_Remake_0_0</t>
  </si>
  <si>
    <t>FtrWheelchair_Remake_0_4</t>
  </si>
  <si>
    <t>whirlpool bath</t>
  </si>
  <si>
    <t>BottomsTexPantsWideChino3</t>
  </si>
  <si>
    <t>BromideNpcNmlLon07_Remake_1_0</t>
  </si>
  <si>
    <t>BottomsTexPantsWideChino4</t>
  </si>
  <si>
    <t>workout pants</t>
  </si>
  <si>
    <t>BromideNpcNmlLon07_Remake_2_0</t>
  </si>
  <si>
    <t>FtrJacuzzi_Remake_0_0</t>
  </si>
  <si>
    <t>BottomsTexPantsNormalTraining0</t>
  </si>
  <si>
    <t>BottomsTexPantsNormalTraining1</t>
  </si>
  <si>
    <t>BromideNpcNmlLon07_Remake_3_0</t>
  </si>
  <si>
    <t>BottomsTexPantsNormalTraining2</t>
  </si>
  <si>
    <t>FtrJacuzzi_Remake_1_0</t>
  </si>
  <si>
    <t>worn-out cutoffs</t>
  </si>
  <si>
    <t>whiteboard</t>
  </si>
  <si>
    <t>BromideNpcNmlLon07_Remake_4_0</t>
  </si>
  <si>
    <t>BottomsTexPantsHotDenimholes0</t>
  </si>
  <si>
    <t>BottomsTexPantsHotDenimholes1</t>
  </si>
  <si>
    <t>BromideNpcNmlLon07_Remake_5_0</t>
  </si>
  <si>
    <t>FtrWhiteboard_Remake_0_0</t>
  </si>
  <si>
    <t>BottomsTexPantsHotDenimholes2</t>
  </si>
  <si>
    <t>Schedule</t>
  </si>
  <si>
    <t>BottomsTexPantsHotDenimholes3</t>
  </si>
  <si>
    <t>worn-out jeans</t>
  </si>
  <si>
    <t>BromideNpcNmlLon07_Remake_6_0</t>
  </si>
  <si>
    <t>BottomsTexPantsNormalDenimholes0</t>
  </si>
  <si>
    <t>BromideNpcNmlLon07_Remake_7_0</t>
  </si>
  <si>
    <t>Roscoe's photo</t>
  </si>
  <si>
    <t>BottomsTexPantsNormalDenimholes1</t>
  </si>
  <si>
    <t>FtrWhiteboard_Remake_1_0</t>
  </si>
  <si>
    <t>BromideNpcNmlHrs04_Remake_0_0</t>
  </si>
  <si>
    <t>BottomsTexPantsNormalDenimholes2</t>
  </si>
  <si>
    <t>Sales meeting</t>
  </si>
  <si>
    <t>BottomsTexPantsNormalDenimholes3</t>
  </si>
  <si>
    <t>yacht shorts</t>
  </si>
  <si>
    <t>FtrWhiteboard_Remake_2_0</t>
  </si>
  <si>
    <t>BromideNpcNmlHrs04_Remake_1_0</t>
  </si>
  <si>
    <t>BottomsTexPantsHotYacht0</t>
  </si>
  <si>
    <t>Language classroom</t>
  </si>
  <si>
    <t>BottomsTexPantsHotYacht1</t>
  </si>
  <si>
    <t>FtrWhiteboard_Remake_3_0</t>
  </si>
  <si>
    <t>BromideNpcNmlHrs04_Remake_2_0</t>
  </si>
  <si>
    <t>BottomsTexPantsHotYacht2</t>
  </si>
  <si>
    <t>Strategy meeting</t>
  </si>
  <si>
    <t>BottomsTexPantsHotYacht3</t>
  </si>
  <si>
    <t>BromideNpcNmlHrs04_Remake_3_0</t>
  </si>
  <si>
    <t>FtrWhiteboard_Remake_4_0</t>
  </si>
  <si>
    <t>Brainstorming meeting</t>
  </si>
  <si>
    <t>BromideNpcNmlHrs04_Remake_4_0</t>
  </si>
  <si>
    <t>FtrWhiteboard_Remake_5_0</t>
  </si>
  <si>
    <t>Fact-finding meeting</t>
  </si>
  <si>
    <t>BromideNpcNmlHrs04_Remake_5_0</t>
  </si>
  <si>
    <t>FtrWhiteboard_Remake_6_0</t>
  </si>
  <si>
    <t>BromideNpcNmlHrs04_Remake_6_0</t>
  </si>
  <si>
    <t>wild log bench</t>
  </si>
  <si>
    <t>BromideNpcNmlHrs04_Remake_7_0</t>
  </si>
  <si>
    <t>Rosie's photo</t>
  </si>
  <si>
    <t>BromideNpcNmlCat02_Remake_0_0</t>
  </si>
  <si>
    <t>FtrWoodBench_Remake_0_0</t>
  </si>
  <si>
    <t>BromideNpcNmlCat02_Remake_1_0</t>
  </si>
  <si>
    <t>FtrWoodBench_Remake_1_0</t>
  </si>
  <si>
    <t>BromideNpcNmlCat02_Remake_2_0</t>
  </si>
  <si>
    <t>Primary Shape</t>
  </si>
  <si>
    <t>Secondary Shape</t>
  </si>
  <si>
    <t>BromideNpcNmlCat02_Remake_3_0</t>
  </si>
  <si>
    <t>academy uniform</t>
  </si>
  <si>
    <t>FtrWoodBench_Remake_2_0</t>
  </si>
  <si>
    <t>BromideNpcNmlCat02_Remake_4_0</t>
  </si>
  <si>
    <t>Box</t>
  </si>
  <si>
    <t>L</t>
  </si>
  <si>
    <t>TopsTexOnepieceBoxLYosoiki1</t>
  </si>
  <si>
    <t>BromideNpcNmlCat02_Remake_5_0</t>
  </si>
  <si>
    <t>TopsTexOnepieceBoxLYosoiki2</t>
  </si>
  <si>
    <t>FtrWoodBench_Remake_3_0</t>
  </si>
  <si>
    <t>BromideNpcNmlCat02_Remake_6_0</t>
  </si>
  <si>
    <t>wind turbine</t>
  </si>
  <si>
    <t>TopsTexOnepieceBoxLYosoiki0</t>
  </si>
  <si>
    <t>adventure dress</t>
  </si>
  <si>
    <t>BromideNpcNmlCat02_Remake_7_0</t>
  </si>
  <si>
    <t>Rowan's photo</t>
  </si>
  <si>
    <t>Balloon</t>
  </si>
  <si>
    <t>H</t>
  </si>
  <si>
    <t>TopsTexOnepieceBalloonHStrangeBlue</t>
  </si>
  <si>
    <t>alpinist dress</t>
  </si>
  <si>
    <t>TopsTexOnepieceBalloonHTyrolean0</t>
  </si>
  <si>
    <t>FtrWindturbine_Remake_0_0</t>
  </si>
  <si>
    <t>BromideNpcNmlTig01_Remake_0_0</t>
  </si>
  <si>
    <t>TopsTexOnepieceBalloonHTyrolean1</t>
  </si>
  <si>
    <t>BromideNpcNmlTig01_Remake_1_0</t>
  </si>
  <si>
    <t>TopsTexOnepieceBalloonHTyrolean2</t>
  </si>
  <si>
    <t>alpinist overalls</t>
  </si>
  <si>
    <t>FtrWindturbine_Remake_1_0</t>
  </si>
  <si>
    <t>wood-burning stove</t>
  </si>
  <si>
    <t>BromideNpcNmlTig01_Remake_2_0</t>
  </si>
  <si>
    <t>Overall</t>
  </si>
  <si>
    <t>TopsTexOnepieceOverallHTyrolean1</t>
  </si>
  <si>
    <t>BromideNpcNmlTig01_Remake_3_0</t>
  </si>
  <si>
    <t>TopsTexOnepieceOverallHTyrolean2</t>
  </si>
  <si>
    <t>FtrStoveWood</t>
  </si>
  <si>
    <t>BromideNpcNmlTig01_Remake_4_0</t>
  </si>
  <si>
    <t>wooden bookshelf</t>
  </si>
  <si>
    <t>TopsTexOnepieceOverallHTyrolean0</t>
  </si>
  <si>
    <t>ancient belted robe</t>
  </si>
  <si>
    <t>BromideNpcNmlTig01_Remake_5_0</t>
  </si>
  <si>
    <t>TopsTexOnepieceKimonoLKanpukumen1</t>
  </si>
  <si>
    <t>FtrBookshelf_Remake_0_0</t>
  </si>
  <si>
    <t>BromideNpcNmlTig01_Remake_6_0</t>
  </si>
  <si>
    <t>TopsTexOnepieceKimonoLKanpukumen2</t>
  </si>
  <si>
    <t>BromideNpcNmlTig01_Remake_7_0</t>
  </si>
  <si>
    <t>TopsTexOnepieceKimonoLKanpukumen0</t>
  </si>
  <si>
    <t>Ruby's photo</t>
  </si>
  <si>
    <t>TopsTexOnepieceKimonoLKanpukumen3</t>
  </si>
  <si>
    <t>FtrBookshelf_Remake_1_0</t>
  </si>
  <si>
    <t>BromideNpcNmlRbt09_Remake_0_0</t>
  </si>
  <si>
    <t>TopsTexOnepieceKimonoLKanpukumen4</t>
  </si>
  <si>
    <t>BromideNpcNmlRbt09_Remake_1_0</t>
  </si>
  <si>
    <t>ancient sashed robe</t>
  </si>
  <si>
    <t>TopsTexOnepieceKimonoLKanpukuwomen1</t>
  </si>
  <si>
    <t>FtrBookshelf_Remake_2_0</t>
  </si>
  <si>
    <t>BromideNpcNmlRbt09_Remake_2_0</t>
  </si>
  <si>
    <t>TopsTexOnepieceKimonoLKanpukuwomen2</t>
  </si>
  <si>
    <t>FtrBookshelf_Remake_3_0</t>
  </si>
  <si>
    <t>BromideNpcNmlRbt09_Remake_3_0</t>
  </si>
  <si>
    <t>wooden bucket</t>
  </si>
  <si>
    <t>TopsTexOnepieceKimonoLKanpukuwomen3</t>
  </si>
  <si>
    <t>TopsTexOnepieceKimonoLKanpukuwomen4</t>
  </si>
  <si>
    <t>FtrBucketWood</t>
  </si>
  <si>
    <t>wooden chair</t>
  </si>
  <si>
    <t>BromideNpcNmlRbt09_Remake_4_0</t>
  </si>
  <si>
    <t>TopsTexOnepieceKimonoLKanpukuwomen0</t>
  </si>
  <si>
    <t>áo dài</t>
  </si>
  <si>
    <t>FtrWoodenChairS_Remake_0_0</t>
  </si>
  <si>
    <t>B-long</t>
  </si>
  <si>
    <t>TopsTexOnepieceBlongLAodai0</t>
  </si>
  <si>
    <t>BromideNpcNmlRbt09_Remake_5_0</t>
  </si>
  <si>
    <t>TopsTexOnepieceBlongLAodai1</t>
  </si>
  <si>
    <t>BromideNpcNmlRbt09_Remake_6_0</t>
  </si>
  <si>
    <t>FtrWoodenChairS_Remake_1_0</t>
  </si>
  <si>
    <t>TopsTexOnepieceBlongLAodai2</t>
  </si>
  <si>
    <t>BromideNpcNmlRbt09_Remake_7_0</t>
  </si>
  <si>
    <t>Rudy's photo</t>
  </si>
  <si>
    <t>TopsTexOnepieceBlongLAodai3</t>
  </si>
  <si>
    <t>BromideNpcNmlCat20_Remake_0_0</t>
  </si>
  <si>
    <t>FtrWoodenChairS_Remake_2_0</t>
  </si>
  <si>
    <t>TopsTexOnepieceBlongLAodai4</t>
  </si>
  <si>
    <t>apple dress</t>
  </si>
  <si>
    <t>BromideNpcNmlCat20_Remake_1_0</t>
  </si>
  <si>
    <t>A-line</t>
  </si>
  <si>
    <t>N</t>
  </si>
  <si>
    <t>TopsTexOnepieceAlineNApple0</t>
  </si>
  <si>
    <t>astro dress</t>
  </si>
  <si>
    <t>BromideNpcNmlCat20_Remake_2_0</t>
  </si>
  <si>
    <t>TopsTexOnepieceAlineNSpace1</t>
  </si>
  <si>
    <t>FtrWoodenChairS_Remake_3_0</t>
  </si>
  <si>
    <t>BromideNpcNmlCat20_Remake_3_0</t>
  </si>
  <si>
    <t>TopsTexOnepieceAlineNSpace2</t>
  </si>
  <si>
    <t>BromideNpcNmlCat20_Remake_4_0</t>
  </si>
  <si>
    <t>TopsTexOnepieceAlineNSpace0</t>
  </si>
  <si>
    <t>attus robe</t>
  </si>
  <si>
    <t>BromideNpcNmlCat20_Remake_5_0</t>
  </si>
  <si>
    <t>TopsTexOnepieceBlongLAttoushi0</t>
  </si>
  <si>
    <t>FtrWoodenChairS_Remake_4_0</t>
  </si>
  <si>
    <t>BromideNpcNmlCat20_Remake_6_0</t>
  </si>
  <si>
    <t>TopsTexOnepieceBlongLAttoushi1</t>
  </si>
  <si>
    <t>BromideNpcNmlCat20_Remake_7_0</t>
  </si>
  <si>
    <t>Sally's photo</t>
  </si>
  <si>
    <t>TopsTexOnepieceBlongLAttoushi2</t>
  </si>
  <si>
    <t>baby romper</t>
  </si>
  <si>
    <t>Baby purple</t>
  </si>
  <si>
    <t>BromideNpcNmlSqu07_Remake_0_0</t>
  </si>
  <si>
    <t>TopsTexOnepieceOverallLRompers1</t>
  </si>
  <si>
    <t>FtrWoodenChairS_Remake_5_0</t>
  </si>
  <si>
    <t>Baby yellow</t>
  </si>
  <si>
    <t>BromideNpcNmlSqu07_Remake_1_0</t>
  </si>
  <si>
    <t>BromideNpcNmlSqu07_Remake_2_0</t>
  </si>
  <si>
    <t>TopsTexOnepieceOverallLRompers2</t>
  </si>
  <si>
    <t>Baby mint</t>
  </si>
  <si>
    <t>FtrWoodenChairS_Remake_6_0</t>
  </si>
  <si>
    <t>BromideNpcNmlSqu07_Remake_3_0</t>
  </si>
  <si>
    <t>TopsTexOnepieceOverallLRompers0</t>
  </si>
  <si>
    <t>Baby green</t>
  </si>
  <si>
    <t>TopsTexOnepieceOverallLRompers3</t>
  </si>
  <si>
    <t>BromideNpcNmlSqu07_Remake_4_0</t>
  </si>
  <si>
    <t>Baby pink</t>
  </si>
  <si>
    <t>TopsTexOnepieceOverallLRompers4</t>
  </si>
  <si>
    <t>Baby gray</t>
  </si>
  <si>
    <t>FtrWoodenChairS_Remake_7_0</t>
  </si>
  <si>
    <t>BromideNpcNmlSqu07_Remake_5_0</t>
  </si>
  <si>
    <t>wooden chest</t>
  </si>
  <si>
    <t>TopsTexOnepieceOverallLRompers5</t>
  </si>
  <si>
    <t>Baby blue</t>
  </si>
  <si>
    <t>BromideNpcNmlSqu07_Remake_6_0</t>
  </si>
  <si>
    <t>TopsTexOnepieceOverallLRompers6</t>
  </si>
  <si>
    <t>Baby orange</t>
  </si>
  <si>
    <t>FtrWoodenChest_Remake_0_0</t>
  </si>
  <si>
    <t>TopsTexOnepieceOverallLRompers7</t>
  </si>
  <si>
    <t>baby-chick costume</t>
  </si>
  <si>
    <t>BromideNpcNmlSqu07_Remake_7_0</t>
  </si>
  <si>
    <t>Samson's photo</t>
  </si>
  <si>
    <t>Rib</t>
  </si>
  <si>
    <t>TopsTexOnepieceRibNChick2</t>
  </si>
  <si>
    <t>BromideNpcNmlMus04_Remake_0_0</t>
  </si>
  <si>
    <t>TopsTexOnepieceRibNChick0</t>
  </si>
  <si>
    <t>FtrWoodenChest_Remake_1_0</t>
  </si>
  <si>
    <t>TopsTexOnepieceRibNChick1</t>
  </si>
  <si>
    <t>baji jeogori</t>
  </si>
  <si>
    <t>BromideNpcNmlMus04_Remake_1_0</t>
  </si>
  <si>
    <t>TopsTexOnepieceKimonoLKorea0</t>
  </si>
  <si>
    <t>FtrWoodenChest_Remake_2_0</t>
  </si>
  <si>
    <t>TopsTexOnepieceKimonoLKorea1</t>
  </si>
  <si>
    <t>BromideNpcNmlMus04_Remake_2_0</t>
  </si>
  <si>
    <t>TopsTexOnepieceKimonoLKorea2</t>
  </si>
  <si>
    <t>BromideNpcNmlMus04_Remake_3_0</t>
  </si>
  <si>
    <t>TopsTexOnepieceKimonoLKorea3</t>
  </si>
  <si>
    <t>ballet outfit</t>
  </si>
  <si>
    <t>BromideNpcNmlMus04_Remake_4_0</t>
  </si>
  <si>
    <t>FtrWoodenChest_Remake_3_0</t>
  </si>
  <si>
    <t>TopsTexOnepieceBalloonNBallet0</t>
  </si>
  <si>
    <t>BromideNpcNmlMus04_Remake_5_0</t>
  </si>
  <si>
    <t>TopsTexOnepieceBalloonNBallet1</t>
  </si>
  <si>
    <t>BromideNpcNmlMus04_Remake_6_0</t>
  </si>
  <si>
    <t>TopsTexOnepieceBalloonNBallet2</t>
  </si>
  <si>
    <t>FtrWoodenChest_Remake_4_0</t>
  </si>
  <si>
    <t>BromideNpcNmlMus04_Remake_7_0</t>
  </si>
  <si>
    <t>Sandy's photo</t>
  </si>
  <si>
    <t>TopsTexOnepieceBalloonNBallet3</t>
  </si>
  <si>
    <t>BromideNpcNmlOst02_Remake_0_0</t>
  </si>
  <si>
    <t>TopsTexOnepieceBalloonNBallet4</t>
  </si>
  <si>
    <t>FtrWoodenChest_Remake_5_0</t>
  </si>
  <si>
    <t>BromideNpcNmlOst02_Remake_1_0</t>
  </si>
  <si>
    <t>TopsTexOnepieceBalloonNBallet5</t>
  </si>
  <si>
    <t>BromideNpcNmlOst02_Remake_2_0</t>
  </si>
  <si>
    <t>TopsTexOnepieceBalloonNBallet6</t>
  </si>
  <si>
    <t>FtrWoodenChest_Remake_6_0</t>
  </si>
  <si>
    <t>TopsTexOnepieceBalloonNBallet7</t>
  </si>
  <si>
    <t>balmacaan coat</t>
  </si>
  <si>
    <t>BromideNpcNmlOst02_Remake_3_0</t>
  </si>
  <si>
    <t>TopsTexOnepieceBlongLBalmakarn0</t>
  </si>
  <si>
    <t>BromideNpcNmlOst02_Remake_4_0</t>
  </si>
  <si>
    <t>TopsTexOnepieceBlongLBalmakarn1</t>
  </si>
  <si>
    <t>FtrWoodenChest_Remake_7_0</t>
  </si>
  <si>
    <t>wooden double bed</t>
  </si>
  <si>
    <t>TopsTexOnepieceBlongLBalmakarn2</t>
  </si>
  <si>
    <t>BromideNpcNmlOst02_Remake_5_0</t>
  </si>
  <si>
    <t>baseball uniform</t>
  </si>
  <si>
    <t>TopsTexOnepieceOverallLBaseball1</t>
  </si>
  <si>
    <t>BromideNpcNmlOst02_Remake_6_0</t>
  </si>
  <si>
    <t>FtrWoodenBedW_Remake_0_0</t>
  </si>
  <si>
    <t>TopsTexOnepieceOverallLBaseball2</t>
  </si>
  <si>
    <t>BromideNpcNmlOst02_Remake_7_0</t>
  </si>
  <si>
    <t>Savannah's photo</t>
  </si>
  <si>
    <t>TopsTexOnepieceOverallLBaseball3</t>
  </si>
  <si>
    <t>BromideNpcNmlHrs02_Remake_0_0</t>
  </si>
  <si>
    <t>FtrWoodenBedW_Remake_0_1</t>
  </si>
  <si>
    <t>TopsTexOnepieceOverallLBaseball4</t>
  </si>
  <si>
    <t>BromideNpcNmlHrs02_Remake_1_0</t>
  </si>
  <si>
    <t>TopsTexOnepieceOverallLBaseball0</t>
  </si>
  <si>
    <t>bath-towel wrap</t>
  </si>
  <si>
    <t>BromideNpcNmlHrs02_Remake_2_0</t>
  </si>
  <si>
    <t>TopsTexOnepieceBoxNBathtowel0</t>
  </si>
  <si>
    <t>FtrWoodenBedW_Remake_0_2</t>
  </si>
  <si>
    <t>BromideNpcNmlHrs02_Remake_3_0</t>
  </si>
  <si>
    <t>TopsTexOnepieceBoxNBathtowel1</t>
  </si>
  <si>
    <t>BromideNpcNmlHrs02_Remake_4_0</t>
  </si>
  <si>
    <t>TopsTexOnepieceBoxNBathtowel2</t>
  </si>
  <si>
    <t>FtrWoodenBedW_Remake_0_3</t>
  </si>
  <si>
    <t>TopsTexOnepieceBoxNBathtowel3</t>
  </si>
  <si>
    <t>BromideNpcNmlHrs02_Remake_5_0</t>
  </si>
  <si>
    <t>TopsTexOnepieceBoxNBathtowel4</t>
  </si>
  <si>
    <t>FtrWoodenBedW_Remake_1_0</t>
  </si>
  <si>
    <t>BromideNpcNmlHrs02_Remake_6_0</t>
  </si>
  <si>
    <t>TopsTexOnepieceBoxNBathtowel5</t>
  </si>
  <si>
    <t>TopsTexOnepieceBoxNBathtowel6</t>
  </si>
  <si>
    <t>bathrobe</t>
  </si>
  <si>
    <t>BromideNpcNmlHrs02_Remake_7_0</t>
  </si>
  <si>
    <t>Scoot's photo</t>
  </si>
  <si>
    <t>FtrWoodenBedW_Remake_1_1</t>
  </si>
  <si>
    <t>TopsTexOnepieceBoxLBathrobes0</t>
  </si>
  <si>
    <t>BromideNpcNmlDuk10_Remake_0_0</t>
  </si>
  <si>
    <t>TopsTexOnepieceBoxLBathrobes4</t>
  </si>
  <si>
    <t>BromideNpcNmlDuk10_Remake_1_0</t>
  </si>
  <si>
    <t>FtrWoodenBedW_Remake_1_2</t>
  </si>
  <si>
    <t>TopsTexOnepieceBoxLBathrobes5</t>
  </si>
  <si>
    <t>BromideNpcNmlDuk10_Remake_2_0</t>
  </si>
  <si>
    <t>TopsTexOnepieceBoxLBathrobes6</t>
  </si>
  <si>
    <t>FtrWoodenBedW_Remake_1_3</t>
  </si>
  <si>
    <t>BromideNpcNmlDuk10_Remake_3_0</t>
  </si>
  <si>
    <t>TopsTexOnepieceBoxLBathrobes1</t>
  </si>
  <si>
    <t>BromideNpcNmlDuk10_Remake_4_0</t>
  </si>
  <si>
    <t>FtrWoodenBedW_Remake_2_0</t>
  </si>
  <si>
    <t>BromideNpcNmlDuk10_Remake_5_0</t>
  </si>
  <si>
    <t>TopsTexOnepieceBoxLBathrobes2</t>
  </si>
  <si>
    <t>TopsTexOnepieceBoxLBathrobes3</t>
  </si>
  <si>
    <t>BromideNpcNmlDuk10_Remake_6_0</t>
  </si>
  <si>
    <t>bear costume</t>
  </si>
  <si>
    <t>FtrWoodenBedW_Remake_2_1</t>
  </si>
  <si>
    <t>TopsTexOnepieceOverallLBear1</t>
  </si>
  <si>
    <t>BromideNpcNmlDuk10_Remake_7_0</t>
  </si>
  <si>
    <t>Shari's photo</t>
  </si>
  <si>
    <t>TopsTexOnepieceOverallLBear2</t>
  </si>
  <si>
    <t>BromideNpcNmlMnk07_Remake_0_0</t>
  </si>
  <si>
    <t>FtrWoodenBedW_Remake_2_2</t>
  </si>
  <si>
    <t>TopsTexOnepieceOverallLBear0</t>
  </si>
  <si>
    <t>BromideNpcNmlMnk07_Remake_1_0</t>
  </si>
  <si>
    <t>BromideNpcNmlMnk07_Remake_2_0</t>
  </si>
  <si>
    <t>TopsTexOnepieceOverallLBear3</t>
  </si>
  <si>
    <t>FtrWoodenBedW_Remake_2_3</t>
  </si>
  <si>
    <t>BromideNpcNmlMnk07_Remake_3_0</t>
  </si>
  <si>
    <t>bekasab robe</t>
  </si>
  <si>
    <t>BromideNpcNmlMnk07_Remake_4_0</t>
  </si>
  <si>
    <t>A-long</t>
  </si>
  <si>
    <t>TopsTexOnepieceAlongLUzbek1</t>
  </si>
  <si>
    <t>BromideNpcNmlMnk07_Remake_5_0</t>
  </si>
  <si>
    <t>FtrWoodenBedW_Remake_3_0</t>
  </si>
  <si>
    <t>TopsTexOnepieceAlongLUzbek2</t>
  </si>
  <si>
    <t>BromideNpcNmlMnk07_Remake_6_0</t>
  </si>
  <si>
    <t>TopsTexOnepieceAlongLUzbek3</t>
  </si>
  <si>
    <t>BromideNpcNmlMnk07_Remake_7_0</t>
  </si>
  <si>
    <t>Sheldon's photo</t>
  </si>
  <si>
    <t>TopsTexOnepieceAlongLUzbek0</t>
  </si>
  <si>
    <t>FtrWoodenBedW_Remake_3_1</t>
  </si>
  <si>
    <t>belted dotted dress</t>
  </si>
  <si>
    <t>BromideNpcNmlSqu16_Remake_0_0</t>
  </si>
  <si>
    <t>TopsTexOnepieceBalloonHPolkadot1</t>
  </si>
  <si>
    <t>TopsTexOnepieceBalloonHPolkadot2</t>
  </si>
  <si>
    <t>BromideNpcNmlSqu16_Remake_1_0</t>
  </si>
  <si>
    <t>FtrWoodenBedW_Remake_3_2</t>
  </si>
  <si>
    <t>TopsTexOnepieceBalloonHPolkadot3</t>
  </si>
  <si>
    <t>BromideNpcNmlSqu16_Remake_2_0</t>
  </si>
  <si>
    <t>TopsTexOnepieceBalloonHPolkadot0</t>
  </si>
  <si>
    <t>bingata dress</t>
  </si>
  <si>
    <t>FtrWoodenBedW_Remake_3_3</t>
  </si>
  <si>
    <t>BromideNpcNmlSqu16_Remake_3_0</t>
  </si>
  <si>
    <t>TopsTexOnepieceKimonoLBingata0</t>
  </si>
  <si>
    <t>blossom dress</t>
  </si>
  <si>
    <t>FtrWoodenBedW_Remake_4_0</t>
  </si>
  <si>
    <t>BromideNpcNmlSqu16_Remake_4_0</t>
  </si>
  <si>
    <t>TopsTexOnepieceAlineHFlower0</t>
  </si>
  <si>
    <t>BromideNpcNmlSqu16_Remake_5_0</t>
  </si>
  <si>
    <t>TopsTexOnepieceAlineHFlower1</t>
  </si>
  <si>
    <t>FtrWoodenBedW_Remake_4_1</t>
  </si>
  <si>
    <t>BromideNpcNmlSqu16_Remake_6_0</t>
  </si>
  <si>
    <t>TopsTexOnepieceAlineHFlower2</t>
  </si>
  <si>
    <t>FtrWoodenBedW_Remake_4_2</t>
  </si>
  <si>
    <t>BromideNpcNmlSqu16_Remake_7_0</t>
  </si>
  <si>
    <t>TopsTexOnepieceAlineHFlower3</t>
  </si>
  <si>
    <t>Shep's photo</t>
  </si>
  <si>
    <t>BromideNpcNmlDog18_Remake_0_0</t>
  </si>
  <si>
    <t>FtrWoodenBedW_Remake_4_3</t>
  </si>
  <si>
    <t>TopsTexOnepieceAlineHFlower4</t>
  </si>
  <si>
    <t>blossoming kimono</t>
  </si>
  <si>
    <t>BromideNpcNmlDog18_Remake_1_0</t>
  </si>
  <si>
    <t>TopsTexOnepieceKimonoLUme0</t>
  </si>
  <si>
    <t>FtrWoodenBedW_Remake_5_0</t>
  </si>
  <si>
    <t>BromideNpcNmlDog18_Remake_2_0</t>
  </si>
  <si>
    <t>TopsTexOnepieceKimonoLUme1</t>
  </si>
  <si>
    <t>boa parka</t>
  </si>
  <si>
    <t>FtrWoodenBedW_Remake_5_1</t>
  </si>
  <si>
    <t>BromideNpcNmlDog18_Remake_3_0</t>
  </si>
  <si>
    <t>TopsTexOnepieceRibLBore1</t>
  </si>
  <si>
    <t>TopsTexOnepieceRibLBore2</t>
  </si>
  <si>
    <t>BromideNpcNmlDog18_Remake_4_0</t>
  </si>
  <si>
    <t>FtrWoodenBedW_Remake_5_2</t>
  </si>
  <si>
    <t>TopsTexOnepieceRibLBore3</t>
  </si>
  <si>
    <t>BromideNpcNmlDog18_Remake_5_0</t>
  </si>
  <si>
    <t>FtrWoodenBedW_Remake_5_3</t>
  </si>
  <si>
    <t>TopsTexOnepieceRibLBore0</t>
  </si>
  <si>
    <t>Bohemian tunic dress</t>
  </si>
  <si>
    <t>BromideNpcNmlDog18_Remake_6_0</t>
  </si>
  <si>
    <t>TopsTexOnepieceBoxLBohemian1</t>
  </si>
  <si>
    <t>FtrWoodenBedW_Remake_6_0</t>
  </si>
  <si>
    <t>BromideNpcNmlDog18_Remake_7_0</t>
  </si>
  <si>
    <t>Sherb's photo</t>
  </si>
  <si>
    <t>TopsTexOnepieceBoxLBohemian2</t>
  </si>
  <si>
    <t>BromideNpcNmlGoa09_Remake_0_0</t>
  </si>
  <si>
    <t>FtrWoodenBedW_Remake_6_1</t>
  </si>
  <si>
    <t>TopsTexOnepieceBoxLBohemian0</t>
  </si>
  <si>
    <t>bold muumuu</t>
  </si>
  <si>
    <t>BromideNpcNmlGoa09_Remake_1_0</t>
  </si>
  <si>
    <t>TopsTexOnepieceAlineNPolynesia0</t>
  </si>
  <si>
    <t>FtrWoodenBedW_Remake_6_2</t>
  </si>
  <si>
    <t>BromideNpcNmlGoa09_Remake_2_0</t>
  </si>
  <si>
    <t>TopsTexOnepieceAlineNPolynesia1</t>
  </si>
  <si>
    <t>bolero coat</t>
  </si>
  <si>
    <t>FtrWoodenBedW_Remake_6_3</t>
  </si>
  <si>
    <t>BromideNpcNmlGoa09_Remake_3_0</t>
  </si>
  <si>
    <t>TopsTexOnepieceAlineLBolerocoat0</t>
  </si>
  <si>
    <t>BromideNpcNmlGoa09_Remake_4_0</t>
  </si>
  <si>
    <t>FtrWoodenBedW_Remake_7_0</t>
  </si>
  <si>
    <t>TopsTexOnepieceAlineLBolerocoat1</t>
  </si>
  <si>
    <t>BromideNpcNmlGoa09_Remake_5_0</t>
  </si>
  <si>
    <t>FtrWoodenBedW_Remake_7_1</t>
  </si>
  <si>
    <t>BromideNpcNmlGoa09_Remake_6_0</t>
  </si>
  <si>
    <t>TopsTexOnepieceAlineLBolerocoat2</t>
  </si>
  <si>
    <t>BromideNpcNmlGoa09_Remake_7_0</t>
  </si>
  <si>
    <t>Simon's photo</t>
  </si>
  <si>
    <t>FtrWoodenBedW_Remake_7_2</t>
  </si>
  <si>
    <t>BromideNpcNmlMnk02_Remake_0_0</t>
  </si>
  <si>
    <t>TopsTexOnepieceAlineLBolerocoat3</t>
  </si>
  <si>
    <t>bone costume</t>
  </si>
  <si>
    <t>FtrWoodenBedW_Remake_7_3</t>
  </si>
  <si>
    <t>wooden end table</t>
  </si>
  <si>
    <t>BromideNpcNmlMnk02_Remake_1_0</t>
  </si>
  <si>
    <t>TopsTexOnepieceOverallLBoneWhite</t>
  </si>
  <si>
    <t>BromideNpcNmlMnk02_Remake_2_0</t>
  </si>
  <si>
    <t>box-skirt uniform</t>
  </si>
  <si>
    <t>FtrWoodenTableS_Remake_0_0</t>
  </si>
  <si>
    <t>BromideNpcNmlMnk02_Remake_3_0</t>
  </si>
  <si>
    <t>TopsTexOnepieceBoxLJumperskirtuniform1</t>
  </si>
  <si>
    <t>BromideNpcNmlMnk02_Remake_4_0</t>
  </si>
  <si>
    <t>FtrWoodenTableS_Remake_1_0</t>
  </si>
  <si>
    <t>BromideNpcNmlMnk02_Remake_5_0</t>
  </si>
  <si>
    <t>TopsTexOnepieceBoxLJumperskirtuniform2</t>
  </si>
  <si>
    <t>BromideNpcNmlMnk02_Remake_6_0</t>
  </si>
  <si>
    <t>TopsTexOnepieceBoxLJumperskirtuniform3</t>
  </si>
  <si>
    <t>BromideNpcNmlMnk02_Remake_7_0</t>
  </si>
  <si>
    <t>FtrWoodenTableS_Remake_2_0</t>
  </si>
  <si>
    <t>Skye's photo</t>
  </si>
  <si>
    <t>BromideNpcNmlWol09_Remake_0_0</t>
  </si>
  <si>
    <t>TopsTexOnepieceBoxLJumperskirtuniform4</t>
  </si>
  <si>
    <t>BromideNpcNmlWol09_Remake_1_0</t>
  </si>
  <si>
    <t>FtrWoodenTableS_Remake_3_0</t>
  </si>
  <si>
    <t>TopsTexOnepieceBoxLJumperskirtuniform5</t>
  </si>
  <si>
    <t>BromideNpcNmlWol09_Remake_2_0</t>
  </si>
  <si>
    <t>TopsTexOnepieceBoxLJumperskirtuniform6</t>
  </si>
  <si>
    <t>BromideNpcNmlWol09_Remake_3_0</t>
  </si>
  <si>
    <t>TopsTexOnepieceBoxLJumperskirtuniform0</t>
  </si>
  <si>
    <t>bunny dress</t>
  </si>
  <si>
    <t>FtrWoodenTableS_Remake_4_0</t>
  </si>
  <si>
    <t>BromideNpcNmlWol09_Remake_4_0</t>
  </si>
  <si>
    <t>TopsTexOnepieceAlineLRabbit1</t>
  </si>
  <si>
    <t>BromideNpcNmlWol09_Remake_5_0</t>
  </si>
  <si>
    <t>TopsTexOnepieceAlineLRabbit2</t>
  </si>
  <si>
    <t>FtrWoodenTableS_Remake_5_0</t>
  </si>
  <si>
    <t>BromideNpcNmlWol09_Remake_6_0</t>
  </si>
  <si>
    <t>TopsTexOnepieceAlineLRabbit0</t>
  </si>
  <si>
    <t>butterfly visiting kimono</t>
  </si>
  <si>
    <t>BromideNpcNmlWol09_Remake_7_0</t>
  </si>
  <si>
    <t>FtrWoodenTableS_Remake_6_0</t>
  </si>
  <si>
    <t>Sly's photo</t>
  </si>
  <si>
    <t>TopsTexOnepieceKimonoLButterfly0</t>
  </si>
  <si>
    <t>Indigo blue</t>
  </si>
  <si>
    <t>BromideNpcNmlCrd06_Remake_0_0</t>
  </si>
  <si>
    <t>TopsTexOnepieceKimonoLButterfly1</t>
  </si>
  <si>
    <t>FtrWoodenTableS_Remake_7_0</t>
  </si>
  <si>
    <t>wooden full-length mirror</t>
  </si>
  <si>
    <t>Fuchsia</t>
  </si>
  <si>
    <t>BromideNpcNmlCrd06_Remake_1_0</t>
  </si>
  <si>
    <t>TopsTexOnepieceKimonoLButterfly2</t>
  </si>
  <si>
    <t>casual chic dress</t>
  </si>
  <si>
    <t>FtrWoodenMirror_Remake_0_0</t>
  </si>
  <si>
    <t>BromideNpcNmlCrd06_Remake_2_0</t>
  </si>
  <si>
    <t>TopsTexOnepieceAlongHCachecoeur1</t>
  </si>
  <si>
    <t>TopsTexOnepieceAlongHCachecoeur2</t>
  </si>
  <si>
    <t>BromideNpcNmlCrd06_Remake_3_0</t>
  </si>
  <si>
    <t>FtrWoodenMirror_Remake_1_0</t>
  </si>
  <si>
    <t>BromideNpcNmlCrd06_Remake_4_0</t>
  </si>
  <si>
    <t>TopsTexOnepieceAlongHCachecoeur3</t>
  </si>
  <si>
    <t>BromideNpcNmlCrd06_Remake_5_0</t>
  </si>
  <si>
    <t>FtrWoodenMirror_Remake_2_0</t>
  </si>
  <si>
    <t>TopsTexOnepieceAlongHCachecoeur4</t>
  </si>
  <si>
    <t>BromideNpcNmlCrd06_Remake_6_0</t>
  </si>
  <si>
    <t>FtrWoodenMirror_Remake_3_0</t>
  </si>
  <si>
    <t>TopsTexOnepieceAlongHCachecoeur5</t>
  </si>
  <si>
    <t>BromideNpcNmlCrd06_Remake_7_0</t>
  </si>
  <si>
    <t>Snake's photo</t>
  </si>
  <si>
    <t>TopsTexOnepieceAlongHCachecoeur0</t>
  </si>
  <si>
    <t>FtrWoodenMirror_Remake_4_0</t>
  </si>
  <si>
    <t>casual kimono</t>
  </si>
  <si>
    <t>BromideNpcNmlRbt03_Remake_0_0</t>
  </si>
  <si>
    <t>TopsTexOnepieceKimonoLKinagashi0</t>
  </si>
  <si>
    <t>FtrWoodenMirror_Remake_5_0</t>
  </si>
  <si>
    <t>BromideNpcNmlRbt03_Remake_1_0</t>
  </si>
  <si>
    <t>TopsTexOnepieceKimonoLKinagashi1</t>
  </si>
  <si>
    <t>TopsTexOnepieceKimonoLKinagashi2</t>
  </si>
  <si>
    <t>BromideNpcNmlRbt03_Remake_2_0</t>
  </si>
  <si>
    <t>TopsTexOnepieceKimonoLKinagashi3</t>
  </si>
  <si>
    <t>cat dress</t>
  </si>
  <si>
    <t>FtrWoodenMirror_Remake_6_0</t>
  </si>
  <si>
    <t>BromideNpcNmlRbt03_Remake_3_0</t>
  </si>
  <si>
    <t>TopsTexOnepieceAlineLCat1</t>
  </si>
  <si>
    <t>BromideNpcNmlRbt03_Remake_4_0</t>
  </si>
  <si>
    <t>TopsTexOnepieceAlineLCat2</t>
  </si>
  <si>
    <t>BromideNpcNmlRbt03_Remake_5_0</t>
  </si>
  <si>
    <t>FtrWoodenMirror_Remake_7_0</t>
  </si>
  <si>
    <t>TopsTexOnepieceAlineLCat0</t>
  </si>
  <si>
    <t>wooden low table</t>
  </si>
  <si>
    <t>caterpillar costume</t>
  </si>
  <si>
    <t>BromideNpcNmlRbt03_Remake_6_0</t>
  </si>
  <si>
    <t>TopsTexOnepieceRibNCaterpillar1</t>
  </si>
  <si>
    <t>BromideNpcNmlRbt03_Remake_7_0</t>
  </si>
  <si>
    <t>Snooty's photo</t>
  </si>
  <si>
    <t>TopsTexOnepieceRibNCaterpillar2</t>
  </si>
  <si>
    <t>FtrWoodenTableM_Remake_0_0</t>
  </si>
  <si>
    <t>BromideNpcNmlAnt06_Remake_0_0</t>
  </si>
  <si>
    <t>TopsTexOnepieceRibNCaterpillar0</t>
  </si>
  <si>
    <t>caveman tank</t>
  </si>
  <si>
    <t>BromideNpcNmlAnt06_Remake_1_0</t>
  </si>
  <si>
    <t>TopsTexOnepieceBoxNPrimitive1</t>
  </si>
  <si>
    <t>BromideNpcNmlAnt06_Remake_2_0</t>
  </si>
  <si>
    <t>TopsTexOnepieceBoxNPrimitive2</t>
  </si>
  <si>
    <t>FtrWoodenTableM_Remake_1_0</t>
  </si>
  <si>
    <t>BromideNpcNmlAnt06_Remake_3_0</t>
  </si>
  <si>
    <t>TopsTexOnepieceBoxNPrimitive0</t>
  </si>
  <si>
    <t>checkered jumper dress</t>
  </si>
  <si>
    <t>BromideNpcNmlAnt06_Remake_4_0</t>
  </si>
  <si>
    <t>TopsTexOnepieceAlineLJumperskirt3</t>
  </si>
  <si>
    <t>FtrWoodenTableM_Remake_2_0</t>
  </si>
  <si>
    <t>TopsTexOnepieceAlineLJumperskirt1</t>
  </si>
  <si>
    <t>BromideNpcNmlAnt06_Remake_5_0</t>
  </si>
  <si>
    <t>TopsTexOnepieceAlineLJumperskirt2</t>
  </si>
  <si>
    <t>BromideNpcNmlAnt06_Remake_6_0</t>
  </si>
  <si>
    <t>TopsTexOnepieceAlineLJumperskirt0</t>
  </si>
  <si>
    <t>cheerleading uniform</t>
  </si>
  <si>
    <t>FtrWoodenTableM_Remake_3_0</t>
  </si>
  <si>
    <t>BromideNpcNmlAnt06_Remake_7_0</t>
  </si>
  <si>
    <t>Soleil's photo</t>
  </si>
  <si>
    <t>BromideNpcNmlHam04_Remake_0_0</t>
  </si>
  <si>
    <t>TopsTexOnepieceAlineNCheer0</t>
  </si>
  <si>
    <t>BromideNpcNmlHam04_Remake_1_0</t>
  </si>
  <si>
    <t>FtrWoodenTableM_Remake_4_0</t>
  </si>
  <si>
    <t>TopsTexOnepieceAlineNCheer6</t>
  </si>
  <si>
    <t>BromideNpcNmlHam04_Remake_2_0</t>
  </si>
  <si>
    <t>TopsTexOnepieceAlineNCheer7</t>
  </si>
  <si>
    <t>FtrWoodenTableM_Remake_5_0</t>
  </si>
  <si>
    <t>TopsTexOnepieceAlineNCheer1</t>
  </si>
  <si>
    <t>BromideNpcNmlHam04_Remake_3_0</t>
  </si>
  <si>
    <t>TopsTexOnepieceAlineNCheer2</t>
  </si>
  <si>
    <t>BromideNpcNmlHam04_Remake_4_0</t>
  </si>
  <si>
    <t>FtrWoodenTableM_Remake_6_0</t>
  </si>
  <si>
    <t>TopsTexOnepieceAlineNCheer3</t>
  </si>
  <si>
    <t>BromideNpcNmlHam04_Remake_5_0</t>
  </si>
  <si>
    <t>BromideNpcNmlHam04_Remake_6_0</t>
  </si>
  <si>
    <t>TopsTexOnepieceAlineNCheer4</t>
  </si>
  <si>
    <t>FtrWoodenTableM_Remake_7_0</t>
  </si>
  <si>
    <t>BromideNpcNmlHam04_Remake_7_0</t>
  </si>
  <si>
    <t>wooden mini table</t>
  </si>
  <si>
    <t>Sparro's photo</t>
  </si>
  <si>
    <t>BromideNpcNmlBrd18_Remake_0_0</t>
  </si>
  <si>
    <t>TopsTexOnepieceAlineNCheer5</t>
  </si>
  <si>
    <t>cherry dress</t>
  </si>
  <si>
    <t>FtrWoodenTableMini_Remake_0_0</t>
  </si>
  <si>
    <t>BromideNpcNmlBrd18_Remake_1_0</t>
  </si>
  <si>
    <t>TopsTexOnepieceAlineNCherry0</t>
  </si>
  <si>
    <t>chic tuxedo dress</t>
  </si>
  <si>
    <t>BromideNpcNmlBrd18_Remake_2_0</t>
  </si>
  <si>
    <t>FtrWoodenTableMini_Remake_0_1</t>
  </si>
  <si>
    <t>TopsTexOnepieceBalloonNBunny1</t>
  </si>
  <si>
    <t>BromideNpcNmlBrd18_Remake_3_0</t>
  </si>
  <si>
    <t>FtrWoodenTableMini_Remake_0_2</t>
  </si>
  <si>
    <t>TopsTexOnepieceBalloonNBunny2</t>
  </si>
  <si>
    <t>BromideNpcNmlBrd18_Remake_4_0</t>
  </si>
  <si>
    <t>BromideNpcNmlBrd18_Remake_5_0</t>
  </si>
  <si>
    <t>TopsTexOnepieceBalloonNBunny3</t>
  </si>
  <si>
    <t>FtrWoodenTableMini_Remake_0_3</t>
  </si>
  <si>
    <t>BromideNpcNmlBrd18_Remake_6_0</t>
  </si>
  <si>
    <t>TopsTexOnepieceBalloonNBunny0</t>
  </si>
  <si>
    <t>chima jeogori</t>
  </si>
  <si>
    <t>BromideNpcNmlBrd18_Remake_7_0</t>
  </si>
  <si>
    <t>Spike's photo</t>
  </si>
  <si>
    <t>Vermilion</t>
  </si>
  <si>
    <t>BromideNpcNmlRhn02_Remake_0_0</t>
  </si>
  <si>
    <t>FtrWoodenTableMini_Remake_0_4</t>
  </si>
  <si>
    <t>TopsTexOnepieceAlongLChimachogori0</t>
  </si>
  <si>
    <t>BromideNpcNmlRhn02_Remake_1_0</t>
  </si>
  <si>
    <t>TopsTexOnepieceAlongLChimachogori1</t>
  </si>
  <si>
    <t>BromideNpcNmlRhn02_Remake_2_0</t>
  </si>
  <si>
    <t>FtrWoodenTableMini_Remake_1_0</t>
  </si>
  <si>
    <t>TopsTexOnepieceAlongLChimachogori2</t>
  </si>
  <si>
    <t>BromideNpcNmlRhn02_Remake_3_0</t>
  </si>
  <si>
    <t>FtrWoodenTableMini_Remake_1_1</t>
  </si>
  <si>
    <t>TopsTexOnepieceAlongLChimachogori3</t>
  </si>
  <si>
    <t>BromideNpcNmlRhn02_Remake_4_0</t>
  </si>
  <si>
    <t>TopsTexOnepieceAlongLChimachogori4</t>
  </si>
  <si>
    <t>china poblana</t>
  </si>
  <si>
    <t>BromideNpcNmlRhn02_Remake_5_0</t>
  </si>
  <si>
    <t>FtrWoodenTableMini_Remake_1_2</t>
  </si>
  <si>
    <t>Dress</t>
  </si>
  <si>
    <t>TopsTexOnepieceDressHChinapoblanaRed</t>
  </si>
  <si>
    <t>chiton</t>
  </si>
  <si>
    <t>FtrWoodenTableMini_Remake_1_3</t>
  </si>
  <si>
    <t>BromideNpcNmlRhn02_Remake_6_0</t>
  </si>
  <si>
    <t>TopsTexOnepieceBoxNGreece</t>
  </si>
  <si>
    <t>clover dress</t>
  </si>
  <si>
    <t>Dark green</t>
  </si>
  <si>
    <t>TopsTexOnepieceBalloonNClover1</t>
  </si>
  <si>
    <t>FtrWoodenTableMini_Remake_1_4</t>
  </si>
  <si>
    <t>BromideNpcNmlRhn02_Remake_7_0</t>
  </si>
  <si>
    <t>Sprinkle's photo</t>
  </si>
  <si>
    <t>TopsTexOnepieceBalloonNClover0</t>
  </si>
  <si>
    <t>cold-country bunad</t>
  </si>
  <si>
    <t>BromideNpcNmlPgn14_Remake_0_0</t>
  </si>
  <si>
    <t>TopsTexOnepieceOverallLNordic1</t>
  </si>
  <si>
    <t>FtrWoodenTableMini_Remake_2_0</t>
  </si>
  <si>
    <t>BromideNpcNmlPgn14_Remake_1_0</t>
  </si>
  <si>
    <t>TopsTexOnepieceOverallLNordic2</t>
  </si>
  <si>
    <t>TopsTexOnepieceOverallLNordic0</t>
  </si>
  <si>
    <t>cold-country dress</t>
  </si>
  <si>
    <t>BromideNpcNmlPgn14_Remake_2_0</t>
  </si>
  <si>
    <t>TopsTexOnepieceDressLNordic0</t>
  </si>
  <si>
    <t>FtrWoodenTableMini_Remake_2_1</t>
  </si>
  <si>
    <t>TopsTexOnepieceDressLNordic1</t>
  </si>
  <si>
    <t>BromideNpcNmlPgn14_Remake_3_0</t>
  </si>
  <si>
    <t>TopsTexOnepieceDressLNordic2</t>
  </si>
  <si>
    <t>concierge uniform</t>
  </si>
  <si>
    <t>FtrWoodenTableMini_Remake_2_2</t>
  </si>
  <si>
    <t>TopsTexOnepieceOverallLHotel1</t>
  </si>
  <si>
    <t>BromideNpcNmlPgn14_Remake_4_0</t>
  </si>
  <si>
    <t>TopsTexOnepieceOverallLHotel0</t>
  </si>
  <si>
    <t>FtrWoodenTableMini_Remake_2_3</t>
  </si>
  <si>
    <t>BromideNpcNmlPgn14_Remake_5_0</t>
  </si>
  <si>
    <t>TopsTexOnepieceOverallLHotel2</t>
  </si>
  <si>
    <t>FtrWoodenTableMini_Remake_2_4</t>
  </si>
  <si>
    <t>BromideNpcNmlPgn14_Remake_6_0</t>
  </si>
  <si>
    <t>TopsTexOnepieceOverallLHotel3</t>
  </si>
  <si>
    <t>FtrWoodenTableMini_Remake_3_0</t>
  </si>
  <si>
    <t>BromideNpcNmlPgn14_Remake_7_0</t>
  </si>
  <si>
    <t>Sprocket's photo</t>
  </si>
  <si>
    <t>TopsTexOnepieceOverallLHotel4</t>
  </si>
  <si>
    <t>coveralls with arm covers</t>
  </si>
  <si>
    <t>FtrWoodenTableMini_Remake_3_1</t>
  </si>
  <si>
    <t>BromideNpcNmlOst03_Remake_0_0</t>
  </si>
  <si>
    <t>TopsTexOnepieceOverallLFarmer1</t>
  </si>
  <si>
    <t>FtrWoodenTableMini_Remake_3_2</t>
  </si>
  <si>
    <t>BromideNpcNmlOst03_Remake_1_0</t>
  </si>
  <si>
    <t>TopsTexOnepieceOverallLFarmer2</t>
  </si>
  <si>
    <t>BromideNpcNmlOst03_Remake_2_0</t>
  </si>
  <si>
    <t>FtrWoodenTableMini_Remake_3_3</t>
  </si>
  <si>
    <t>TopsTexOnepieceOverallLFarmer3</t>
  </si>
  <si>
    <t>BromideNpcNmlOst03_Remake_3_0</t>
  </si>
  <si>
    <t>TopsTexOnepieceOverallLFarmer4</t>
  </si>
  <si>
    <t>BromideNpcNmlOst03_Remake_4_0</t>
  </si>
  <si>
    <t>TopsTexOnepieceOverallLFarmer0</t>
  </si>
  <si>
    <t>FtrWoodenTableMini_Remake_3_4</t>
  </si>
  <si>
    <t>cyber suit</t>
  </si>
  <si>
    <t>BromideNpcNmlOst03_Remake_5_0</t>
  </si>
  <si>
    <t>BromideNpcNmlOst03_Remake_6_0</t>
  </si>
  <si>
    <t>TopsTexOnepieceOverallLCyber1</t>
  </si>
  <si>
    <t>FtrWoodenTableMini_Remake_4_0</t>
  </si>
  <si>
    <t>BromideNpcNmlOst03_Remake_7_0</t>
  </si>
  <si>
    <t>Static's photo</t>
  </si>
  <si>
    <t>TopsTexOnepieceOverallLCyber2</t>
  </si>
  <si>
    <t>FtrWoodenTableMini_Remake_4_1</t>
  </si>
  <si>
    <t>BromideNpcNmlSqu08_Remake_0_0</t>
  </si>
  <si>
    <t>TopsTexOnepieceOverallLCyber0</t>
  </si>
  <si>
    <t>dazed dress</t>
  </si>
  <si>
    <t>FtrWoodenTableMini_Remake_4_2</t>
  </si>
  <si>
    <t>BromideNpcNmlSqu08_Remake_1_0</t>
  </si>
  <si>
    <t>TopsTexOnepieceAlineNYumeiro1</t>
  </si>
  <si>
    <t>FtrWoodenTableMini_Remake_4_3</t>
  </si>
  <si>
    <t>TopsTexOnepieceAlineNYumeiro2</t>
  </si>
  <si>
    <t>BromideNpcNmlSqu08_Remake_2_0</t>
  </si>
  <si>
    <t>FtrWoodenTableMini_Remake_4_4</t>
  </si>
  <si>
    <t>TopsTexOnepieceAlineNYumeiro0</t>
  </si>
  <si>
    <t>denim overalls</t>
  </si>
  <si>
    <t>BromideNpcNmlSqu08_Remake_3_0</t>
  </si>
  <si>
    <t>FtrWoodenTableMini_Remake_5_0</t>
  </si>
  <si>
    <t>TopsTexOnepieceOverallLSaropetto2</t>
  </si>
  <si>
    <t>FtrWoodenTableMini_Remake_5_1</t>
  </si>
  <si>
    <t>BromideNpcNmlSqu08_Remake_4_0</t>
  </si>
  <si>
    <t>TopsTexOnepieceOverallLSaropetto3</t>
  </si>
  <si>
    <t>FtrWoodenTableMini_Remake_5_2</t>
  </si>
  <si>
    <t>TopsTexOnepieceOverallLSaropetto4</t>
  </si>
  <si>
    <t>BromideNpcNmlSqu08_Remake_5_0</t>
  </si>
  <si>
    <t>TopsTexOnepieceOverallLSaropetto5</t>
  </si>
  <si>
    <t>FtrWoodenTableMini_Remake_5_3</t>
  </si>
  <si>
    <t>BromideNpcNmlSqu08_Remake_6_0</t>
  </si>
  <si>
    <t>TopsTexOnepieceOverallLSaropetto0</t>
  </si>
  <si>
    <t>FtrWoodenTableMini_Remake_5_4</t>
  </si>
  <si>
    <t>TopsTexOnepieceOverallLSaropetto6</t>
  </si>
  <si>
    <t>BromideNpcNmlSqu08_Remake_7_0</t>
  </si>
  <si>
    <t>Stella's photo</t>
  </si>
  <si>
    <t>FtrWoodenTableMini_Remake_6_0</t>
  </si>
  <si>
    <t>TopsTexOnepieceOverallLSaropetto7</t>
  </si>
  <si>
    <t>BromideNpcNmlShp03_Remake_0_0</t>
  </si>
  <si>
    <t>TopsTexOnepieceOverallLSaropetto1</t>
  </si>
  <si>
    <t>FtrWoodenTableMini_Remake_6_1</t>
  </si>
  <si>
    <t>desert outfit</t>
  </si>
  <si>
    <t>TopsTexOnepieceOverallNArabia2</t>
  </si>
  <si>
    <t>BromideNpcNmlShp03_Remake_1_0</t>
  </si>
  <si>
    <t>TopsTexOnepieceOverallNArabia3</t>
  </si>
  <si>
    <t>BromideNpcNmlShp03_Remake_2_0</t>
  </si>
  <si>
    <t>FtrWoodenTableMini_Remake_6_2</t>
  </si>
  <si>
    <t>TopsTexOnepieceOverallNArabia0</t>
  </si>
  <si>
    <t>BromideNpcNmlShp03_Remake_3_0</t>
  </si>
  <si>
    <t>TopsTexOnepieceOverallNArabia1</t>
  </si>
  <si>
    <t>desert-princess outfit</t>
  </si>
  <si>
    <t>FtrWoodenTableMini_Remake_6_3</t>
  </si>
  <si>
    <t>BromideNpcNmlShp03_Remake_4_0</t>
  </si>
  <si>
    <t>TopsTexOnepieceOverallHArabia1</t>
  </si>
  <si>
    <t>BromideNpcNmlShp03_Remake_5_0</t>
  </si>
  <si>
    <t>TopsTexOnepieceOverallHArabia2</t>
  </si>
  <si>
    <t>FtrWoodenTableMini_Remake_6_4</t>
  </si>
  <si>
    <t>TopsTexOnepieceOverallHArabia3</t>
  </si>
  <si>
    <t>BromideNpcNmlShp03_Remake_6_0</t>
  </si>
  <si>
    <t>FtrWoodenTableMini_Remake_7_0</t>
  </si>
  <si>
    <t>TopsTexOnepieceOverallHArabia0</t>
  </si>
  <si>
    <t>diner uniform</t>
  </si>
  <si>
    <t>BromideNpcNmlShp03_Remake_7_0</t>
  </si>
  <si>
    <t>Sterling's photo</t>
  </si>
  <si>
    <t>TopsTexOnepieceBalloonHWaitress1</t>
  </si>
  <si>
    <t>BromideNpcNmlPbr07_Remake_0_0</t>
  </si>
  <si>
    <t>TopsTexOnepieceBalloonHWaitress2</t>
  </si>
  <si>
    <t>FtrWoodenTableMini_Remake_7_1</t>
  </si>
  <si>
    <t>BromideNpcNmlPbr07_Remake_1_0</t>
  </si>
  <si>
    <t>TopsTexOnepieceBalloonHWaitress0</t>
  </si>
  <si>
    <t>BromideNpcNmlPbr07_Remake_2_0</t>
  </si>
  <si>
    <t>FtrWoodenTableMini_Remake_7_2</t>
  </si>
  <si>
    <t>TopsTexOnepieceBalloonHWaitress3</t>
  </si>
  <si>
    <t>BromideNpcNmlPbr07_Remake_3_0</t>
  </si>
  <si>
    <t>TopsTexOnepieceBalloonHWaitress4</t>
  </si>
  <si>
    <t>FtrWoodenTableMini_Remake_7_3</t>
  </si>
  <si>
    <t>BromideNpcNmlPbr07_Remake_4_0</t>
  </si>
  <si>
    <t>TopsTexOnepieceBalloonHWaitress5</t>
  </si>
  <si>
    <t>BromideNpcNmlPbr07_Remake_5_0</t>
  </si>
  <si>
    <t>FtrWoodenTableMini_Remake_7_4</t>
  </si>
  <si>
    <t>TopsTexOnepieceBalloonHWaitress6</t>
  </si>
  <si>
    <t>dollhouse dress</t>
  </si>
  <si>
    <t>wooden simple bed</t>
  </si>
  <si>
    <t>BromideNpcNmlPbr07_Remake_6_0</t>
  </si>
  <si>
    <t>TopsTexOnepieceBalloonNIdleeightys0</t>
  </si>
  <si>
    <t>BromideNpcNmlPbr07_Remake_7_0</t>
  </si>
  <si>
    <t>Stinky's photo</t>
  </si>
  <si>
    <t>TopsTexOnepieceBalloonNIdleeightys1</t>
  </si>
  <si>
    <t>FtrWoodenBedS_Remake_0_0</t>
  </si>
  <si>
    <t>BromideNpcNmlCat13_Remake_0_0</t>
  </si>
  <si>
    <t>TopsTexOnepieceBalloonNIdleeightys2</t>
  </si>
  <si>
    <t>BromideNpcNmlCat13_Remake_1_0</t>
  </si>
  <si>
    <t>TopsTexOnepieceBalloonNIdleeightys3</t>
  </si>
  <si>
    <t>FtrWoodenBedS_Remake_0_1</t>
  </si>
  <si>
    <t>BromideNpcNmlCat13_Remake_2_0</t>
  </si>
  <si>
    <t>TopsTexOnepieceBalloonNIdleeightys4</t>
  </si>
  <si>
    <t>FtrWoodenBedS_Remake_0_2</t>
  </si>
  <si>
    <t>BromideNpcNmlCat13_Remake_3_0</t>
  </si>
  <si>
    <t>TopsTexOnepieceBalloonNIdleeightys5</t>
  </si>
  <si>
    <t>FtrWoodenBedS_Remake_0_3</t>
  </si>
  <si>
    <t>BromideNpcNmlCat13_Remake_4_0</t>
  </si>
  <si>
    <t>TopsTexOnepieceBalloonNIdleeightys6</t>
  </si>
  <si>
    <t>dragon suit</t>
  </si>
  <si>
    <t>BromideNpcNmlCat13_Remake_5_0</t>
  </si>
  <si>
    <t>TopsTexOnepieceOverallLDragonYellow</t>
  </si>
  <si>
    <t>dreamy dress</t>
  </si>
  <si>
    <t>BromideNpcNmlCat13_Remake_6_0</t>
  </si>
  <si>
    <t>TopsTexOnepieceBalloonHYumekawa0</t>
  </si>
  <si>
    <t>FtrWoodenBedS_Remake_1_0</t>
  </si>
  <si>
    <t>BromideNpcNmlCat13_Remake_7_0</t>
  </si>
  <si>
    <t>Stitches's photo</t>
  </si>
  <si>
    <t>TopsTexOnepieceBalloonHYumekawa1</t>
  </si>
  <si>
    <t>BromideNpcNmlCbr05_Remake_0_0</t>
  </si>
  <si>
    <t>TopsTexOnepieceBalloonHYumekawa2</t>
  </si>
  <si>
    <t>BromideNpcNmlCbr05_Remake_1_0</t>
  </si>
  <si>
    <t>FtrWoodenBedS_Remake_1_1</t>
  </si>
  <si>
    <t>TopsTexOnepieceBalloonHYumekawa3</t>
  </si>
  <si>
    <t>earth-egg outfit</t>
  </si>
  <si>
    <t>BromideNpcNmlCbr05_Remake_2_0</t>
  </si>
  <si>
    <t>Obtained after collecting Earth Eggs during Bunny Day Event</t>
  </si>
  <si>
    <t>TopsTexOnepieceRibNEggground0</t>
  </si>
  <si>
    <t>FtrWoodenBedS_Remake_1_2</t>
  </si>
  <si>
    <t>BromideNpcNmlCbr05_Remake_3_0</t>
  </si>
  <si>
    <t>egg party dress</t>
  </si>
  <si>
    <t>Obtained after collecting all egg outfits (shell, dress, and shoe)</t>
  </si>
  <si>
    <t>BromideNpcNmlCbr05_Remake_4_0</t>
  </si>
  <si>
    <t>TopsTexOnepieceBalloonLEgg0</t>
  </si>
  <si>
    <t>egg-sushi costume</t>
  </si>
  <si>
    <t>FtrWoodenBedS_Remake_1_3</t>
  </si>
  <si>
    <t>BromideNpcNmlCbr05_Remake_5_0</t>
  </si>
  <si>
    <t>TopsTexOnepieceRibNEgg</t>
  </si>
  <si>
    <t>elegant dress</t>
  </si>
  <si>
    <t>BromideNpcNmlCbr05_Remake_6_0</t>
  </si>
  <si>
    <t>FtrWoodenBedS_Remake_2_0</t>
  </si>
  <si>
    <t>TopsTexOnepieceDressLLady1</t>
  </si>
  <si>
    <t>BromideNpcNmlCbr05_Remake_7_0</t>
  </si>
  <si>
    <t>Stu's photo</t>
  </si>
  <si>
    <t>TopsTexOnepieceDressLLady2</t>
  </si>
  <si>
    <t>BromideNpcNmlBul03_Remake_0_0</t>
  </si>
  <si>
    <t>FtrWoodenBedS_Remake_2_1</t>
  </si>
  <si>
    <t>BromideNpcNmlBul03_Remake_1_0</t>
  </si>
  <si>
    <t>TopsTexOnepieceDressLLady3</t>
  </si>
  <si>
    <t>FtrWoodenBedS_Remake_2_2</t>
  </si>
  <si>
    <t>BromideNpcNmlBul03_Remake_2_0</t>
  </si>
  <si>
    <t>TopsTexOnepieceDressLLady4</t>
  </si>
  <si>
    <t>BromideNpcNmlBul03_Remake_3_0</t>
  </si>
  <si>
    <t>FtrWoodenBedS_Remake_2_3</t>
  </si>
  <si>
    <t>TopsTexOnepieceDressLLady0</t>
  </si>
  <si>
    <t>fairy dress</t>
  </si>
  <si>
    <t>BromideNpcNmlBul03_Remake_4_0</t>
  </si>
  <si>
    <t>TopsTexOnepieceBalloonNFairy4</t>
  </si>
  <si>
    <t>FtrWoodenBedS_Remake_3_0</t>
  </si>
  <si>
    <t>BromideNpcNmlBul03_Remake_5_0</t>
  </si>
  <si>
    <t>TopsTexOnepieceBalloonNFairy0</t>
  </si>
  <si>
    <t>FtrWoodenBedS_Remake_3_1</t>
  </si>
  <si>
    <t>BromideNpcNmlBul03_Remake_6_0</t>
  </si>
  <si>
    <t>TopsTexOnepieceBalloonNFairy1</t>
  </si>
  <si>
    <t>TopsTexOnepieceBalloonNFairy2</t>
  </si>
  <si>
    <t>FtrWoodenBedS_Remake_3_2</t>
  </si>
  <si>
    <t>BromideNpcNmlBul03_Remake_7_0</t>
  </si>
  <si>
    <t>Sydney's photo</t>
  </si>
  <si>
    <t>TopsTexOnepieceBalloonNFairy3</t>
  </si>
  <si>
    <t>fairy-tale dress</t>
  </si>
  <si>
    <t>FtrWoodenBedS_Remake_3_3</t>
  </si>
  <si>
    <t>TopsTexOnepieceBalloonHHood4</t>
  </si>
  <si>
    <t>BromideNpcNmlKal03_Remake_0_0</t>
  </si>
  <si>
    <t>TopsTexOnepieceBalloonHHood5</t>
  </si>
  <si>
    <t>FtrWoodenBedS_Remake_4_0</t>
  </si>
  <si>
    <t>BromideNpcNmlKal03_Remake_1_0</t>
  </si>
  <si>
    <t>TopsTexOnepieceBalloonHHood6</t>
  </si>
  <si>
    <t>BromideNpcNmlKal03_Remake_2_0</t>
  </si>
  <si>
    <t>FtrWoodenBedS_Remake_4_1</t>
  </si>
  <si>
    <t>TopsTexOnepieceBalloonHHood7</t>
  </si>
  <si>
    <t>BromideNpcNmlKal03_Remake_3_0</t>
  </si>
  <si>
    <t>FtrWoodenBedS_Remake_4_2</t>
  </si>
  <si>
    <t>TopsTexOnepieceBalloonHHood1</t>
  </si>
  <si>
    <t>BromideNpcNmlKal03_Remake_4_0</t>
  </si>
  <si>
    <t>TopsTexOnepieceBalloonHHood0</t>
  </si>
  <si>
    <t>FtrWoodenBedS_Remake_4_3</t>
  </si>
  <si>
    <t>BromideNpcNmlKal03_Remake_5_0</t>
  </si>
  <si>
    <t>TopsTexOnepieceBalloonHHood2</t>
  </si>
  <si>
    <t>FtrWoodenBedS_Remake_5_0</t>
  </si>
  <si>
    <t>BromideNpcNmlKal03_Remake_6_0</t>
  </si>
  <si>
    <t>TopsTexOnepieceBalloonHHood3</t>
  </si>
  <si>
    <t>fancy kimono</t>
  </si>
  <si>
    <t>FtrWoodenBedS_Remake_5_1</t>
  </si>
  <si>
    <t>BromideNpcNmlKal03_Remake_7_0</t>
  </si>
  <si>
    <t>Sylvana's photo</t>
  </si>
  <si>
    <t>BromideNpcNmlSqu14_Remake_0_0</t>
  </si>
  <si>
    <t>TopsTexOnepieceKimonoLHaregi0</t>
  </si>
  <si>
    <t>FtrWoodenBedS_Remake_5_2</t>
  </si>
  <si>
    <t>Parrot green</t>
  </si>
  <si>
    <t>BromideNpcNmlSqu14_Remake_1_0</t>
  </si>
  <si>
    <t>TopsTexOnepieceKimonoLHaregi7</t>
  </si>
  <si>
    <t>FtrWoodenBedS_Remake_5_3</t>
  </si>
  <si>
    <t>BromideNpcNmlSqu14_Remake_2_0</t>
  </si>
  <si>
    <t>TopsTexOnepieceKimonoLHaregi1</t>
  </si>
  <si>
    <t>BromideNpcNmlSqu14_Remake_3_0</t>
  </si>
  <si>
    <t>FtrWoodenBedS_Remake_6_0</t>
  </si>
  <si>
    <t>TopsTexOnepieceKimonoLHaregi2</t>
  </si>
  <si>
    <t>BromideNpcNmlSqu14_Remake_4_0</t>
  </si>
  <si>
    <t>BromideNpcNmlSqu14_Remake_5_0</t>
  </si>
  <si>
    <t>TopsTexOnepieceKimonoLHaregi3</t>
  </si>
  <si>
    <t>FtrWoodenBedS_Remake_6_1</t>
  </si>
  <si>
    <t>BromideNpcNmlSqu14_Remake_6_0</t>
  </si>
  <si>
    <t>BromideNpcNmlSqu14_Remake_7_0</t>
  </si>
  <si>
    <t>Sylvia's photo</t>
  </si>
  <si>
    <t>TopsTexOnepieceKimonoLHaregi4</t>
  </si>
  <si>
    <t>FtrWoodenBedS_Remake_6_2</t>
  </si>
  <si>
    <t>BromideNpcNmlKgr06_Remake_0_0</t>
  </si>
  <si>
    <t>TopsTexOnepieceKimonoLHaregi5</t>
  </si>
  <si>
    <t>FtrWoodenBedS_Remake_6_3</t>
  </si>
  <si>
    <t>BromideNpcNmlKgr06_Remake_1_0</t>
  </si>
  <si>
    <t>Pale orange</t>
  </si>
  <si>
    <t>TopsTexOnepieceKimonoLHaregi6</t>
  </si>
  <si>
    <t>fancy party dress</t>
  </si>
  <si>
    <t>BromideNpcNmlKgr06_Remake_2_0</t>
  </si>
  <si>
    <t>TopsTexOnepieceBoxHParty0</t>
  </si>
  <si>
    <t>TopsTexOnepieceBoxHParty1</t>
  </si>
  <si>
    <t>BromideNpcNmlKgr06_Remake_3_0</t>
  </si>
  <si>
    <t>TopsTexOnepieceBoxHParty2</t>
  </si>
  <si>
    <t>FtrWoodenBedS_Remake_7_0</t>
  </si>
  <si>
    <t>TopsTexOnepieceBoxHParty3</t>
  </si>
  <si>
    <t>BromideNpcNmlKgr06_Remake_4_0</t>
  </si>
  <si>
    <t>farmer overalls</t>
  </si>
  <si>
    <t>TopsTexOnepieceOverallLFarm4</t>
  </si>
  <si>
    <t>BromideNpcNmlKgr06_Remake_5_0</t>
  </si>
  <si>
    <t>FtrWoodenBedS_Remake_7_1</t>
  </si>
  <si>
    <t>TopsTexOnepieceOverallLFarm0</t>
  </si>
  <si>
    <t>BromideNpcNmlKgr06_Remake_6_0</t>
  </si>
  <si>
    <t>TopsTexOnepieceOverallLFarm1</t>
  </si>
  <si>
    <t>FtrWoodenBedS_Remake_7_2</t>
  </si>
  <si>
    <t>TopsTexOnepieceOverallLFarm2</t>
  </si>
  <si>
    <t>BromideNpcNmlKgr06_Remake_7_0</t>
  </si>
  <si>
    <t>T-Bone's photo</t>
  </si>
  <si>
    <t>FtrWoodenBedS_Remake_7_3</t>
  </si>
  <si>
    <t>TopsTexOnepieceOverallLFarm3</t>
  </si>
  <si>
    <t>wooden stool</t>
  </si>
  <si>
    <t>fashionable royal dress</t>
  </si>
  <si>
    <t>BromideNpcNmlBul05_Remake_0_0</t>
  </si>
  <si>
    <t>TopsTexOnepieceDressLClassic0</t>
  </si>
  <si>
    <t>FtrWoodenStoolS_Remake_0_0</t>
  </si>
  <si>
    <t>BromideNpcNmlBul05_Remake_1_0</t>
  </si>
  <si>
    <t>TopsTexOnepieceDressLClassic1</t>
  </si>
  <si>
    <t>FtrWoodenStoolS_Remake_0_1</t>
  </si>
  <si>
    <t>BromideNpcNmlBul05_Remake_2_0</t>
  </si>
  <si>
    <t>TopsTexOnepieceDressLClassic2</t>
  </si>
  <si>
    <t>BromideNpcNmlBul05_Remake_3_0</t>
  </si>
  <si>
    <t>FtrWoodenStoolS_Remake_0_2</t>
  </si>
  <si>
    <t>BromideNpcNmlBul05_Remake_4_0</t>
  </si>
  <si>
    <t>TopsTexOnepieceDressLClassic3</t>
  </si>
  <si>
    <t>FtrWoodenStoolS_Remake_0_3</t>
  </si>
  <si>
    <t>BromideNpcNmlBul05_Remake_5_0</t>
  </si>
  <si>
    <t>BromideNpcNmlBul05_Remake_6_0</t>
  </si>
  <si>
    <t>FtrWoodenStoolS_Remake_0_4</t>
  </si>
  <si>
    <t>TopsTexOnepieceDressLClassic4</t>
  </si>
  <si>
    <t>festive dress</t>
  </si>
  <si>
    <t>BromideNpcNmlBul05_Remake_7_0</t>
  </si>
  <si>
    <t>Tabby's photo</t>
  </si>
  <si>
    <t>FtrWoodenStoolS_Remake_1_0</t>
  </si>
  <si>
    <t>TopsTexOnepieceBalloonNXmasRed</t>
  </si>
  <si>
    <t>festive-tree dress</t>
  </si>
  <si>
    <t>BromideNpcNmlCat12_Remake_0_0</t>
  </si>
  <si>
    <t>FtrWoodenStoolS_Remake_1_1</t>
  </si>
  <si>
    <t>BromideNpcNmlCat12_Remake_1_0</t>
  </si>
  <si>
    <t>TopsTexOnepieceAlineNXmastreeNormal1</t>
  </si>
  <si>
    <t>Green &amp; red</t>
  </si>
  <si>
    <t>BromideNpcNmlCat12_Remake_2_0</t>
  </si>
  <si>
    <t>FtrWoodenStoolS_Remake_1_2</t>
  </si>
  <si>
    <t>TopsTexOnepieceAlineNXmastreeNormal2</t>
  </si>
  <si>
    <t>BromideNpcNmlCat12_Remake_3_0</t>
  </si>
  <si>
    <t>FtrWoodenStoolS_Remake_1_3</t>
  </si>
  <si>
    <t>TopsTexOnepieceAlineNXmastreeNormal0</t>
  </si>
  <si>
    <t>BromideNpcNmlCat12_Remake_4_0</t>
  </si>
  <si>
    <t>FtrWoodenStoolS_Remake_1_4</t>
  </si>
  <si>
    <t>BromideNpcNmlCat12_Remake_5_0</t>
  </si>
  <si>
    <t>TopsTexOnepieceAlineNXmastreeNormal3</t>
  </si>
  <si>
    <t>FtrWoodenStoolS_Remake_2_0</t>
  </si>
  <si>
    <t>BromideNpcNmlCat12_Remake_6_0</t>
  </si>
  <si>
    <t>TopsTexOnepieceAlineNXmastreeNormal4</t>
  </si>
  <si>
    <t>BromideNpcNmlCat12_Remake_7_0</t>
  </si>
  <si>
    <t>Tad's photo</t>
  </si>
  <si>
    <t>FtrWoodenStoolS_Remake_2_1</t>
  </si>
  <si>
    <t>BromideNpcNmlFlg09_Remake_0_0</t>
  </si>
  <si>
    <t>TopsTexOnepieceAlineNXmastreeNormal5</t>
  </si>
  <si>
    <t>figure-skating costume</t>
  </si>
  <si>
    <t>FtrWoodenStoolS_Remake_2_2</t>
  </si>
  <si>
    <t>BromideNpcNmlFlg09_Remake_1_0</t>
  </si>
  <si>
    <t>TopsTexOnepieceOverallLFigure0</t>
  </si>
  <si>
    <t>FtrWoodenStoolS_Remake_2_3</t>
  </si>
  <si>
    <t>TopsTexOnepieceOverallLFigure1</t>
  </si>
  <si>
    <t>BromideNpcNmlFlg09_Remake_2_0</t>
  </si>
  <si>
    <t>FtrWoodenStoolS_Remake_2_4</t>
  </si>
  <si>
    <t>FtrWoodenStoolS_Remake_3_0</t>
  </si>
  <si>
    <t>TopsTexOnepieceOverallLFigure2</t>
  </si>
  <si>
    <t>BromideNpcNmlFlg09_Remake_3_0</t>
  </si>
  <si>
    <t>FtrWoodenStoolS_Remake_3_1</t>
  </si>
  <si>
    <t>TopsTexOnepieceOverallLFigure3</t>
  </si>
  <si>
    <t>FtrWoodenStoolS_Remake_3_2</t>
  </si>
  <si>
    <t>BromideNpcNmlFlg09_Remake_4_0</t>
  </si>
  <si>
    <t>TopsTexOnepieceOverallLFigure4</t>
  </si>
  <si>
    <t>BromideNpcNmlFlg09_Remake_5_0</t>
  </si>
  <si>
    <t>TopsTexOnepieceOverallLFigure5</t>
  </si>
  <si>
    <t>FtrWoodenStoolS_Remake_3_3</t>
  </si>
  <si>
    <t>BromideNpcNmlFlg09_Remake_6_0</t>
  </si>
  <si>
    <t>TopsTexOnepieceOverallLFigure6</t>
  </si>
  <si>
    <t>figure-skating dress</t>
  </si>
  <si>
    <t>BromideNpcNmlFlg09_Remake_7_0</t>
  </si>
  <si>
    <t>Tammi's photo</t>
  </si>
  <si>
    <t>TopsTexOnepieceBalloonNFigure1</t>
  </si>
  <si>
    <t>FtrWoodenStoolS_Remake_3_4</t>
  </si>
  <si>
    <t>BromideNpcNmlMnk03_Remake_0_0</t>
  </si>
  <si>
    <t>TopsTexOnepieceBalloonNFigure2</t>
  </si>
  <si>
    <t>FtrWoodenStoolS_Remake_4_0</t>
  </si>
  <si>
    <t>BromideNpcNmlMnk03_Remake_1_0</t>
  </si>
  <si>
    <t>TopsTexOnepieceBalloonNFigure3</t>
  </si>
  <si>
    <t>BromideNpcNmlMnk03_Remake_2_0</t>
  </si>
  <si>
    <t>TopsTexOnepieceBalloonNFigure4</t>
  </si>
  <si>
    <t>FtrWoodenStoolS_Remake_4_1</t>
  </si>
  <si>
    <t>TopsTexOnepieceBalloonNFigure5</t>
  </si>
  <si>
    <t>BromideNpcNmlMnk03_Remake_3_0</t>
  </si>
  <si>
    <t>BromideNpcNmlMnk03_Remake_4_0</t>
  </si>
  <si>
    <t>TopsTexOnepieceBalloonNFigure6</t>
  </si>
  <si>
    <t>FtrWoodenStoolS_Remake_4_2</t>
  </si>
  <si>
    <t>TopsTexOnepieceBalloonNFigure0</t>
  </si>
  <si>
    <t>BromideNpcNmlMnk03_Remake_5_0</t>
  </si>
  <si>
    <t>firefighter uniform</t>
  </si>
  <si>
    <t>FtrWoodenStoolS_Remake_4_3</t>
  </si>
  <si>
    <t>Flame orange</t>
  </si>
  <si>
    <t>Salopette</t>
  </si>
  <si>
    <t>TopsTexOnepieceSalopetteLFirefighter1</t>
  </si>
  <si>
    <t>BromideNpcNmlMnk03_Remake_6_0</t>
  </si>
  <si>
    <t>FtrWoodenStoolS_Remake_4_4</t>
  </si>
  <si>
    <t>TopsTexOnepieceSalopetteLFirefighter2</t>
  </si>
  <si>
    <t>BromideNpcNmlMnk03_Remake_7_0</t>
  </si>
  <si>
    <t>Tammy's photo</t>
  </si>
  <si>
    <t>Lime yellow</t>
  </si>
  <si>
    <t>TopsTexOnepieceSalopetteLFirefighter3</t>
  </si>
  <si>
    <t>BromideNpcNmlCbr17_Remake_0_0</t>
  </si>
  <si>
    <t>FtrWoodenStoolS_Remake_5_0</t>
  </si>
  <si>
    <t>TopsTexOnepieceSalopetteLFirefighter4</t>
  </si>
  <si>
    <t>BromideNpcNmlCbr17_Remake_1_0</t>
  </si>
  <si>
    <t>FtrWoodenStoolS_Remake_5_1</t>
  </si>
  <si>
    <t>TopsTexOnepieceSalopetteLFirefighter0</t>
  </si>
  <si>
    <t>fishing waders</t>
  </si>
  <si>
    <t>BromideNpcNmlCbr17_Remake_2_0</t>
  </si>
  <si>
    <t>TopsTexOnepieceOverallLWaders3</t>
  </si>
  <si>
    <t>FtrWoodenStoolS_Remake_5_2</t>
  </si>
  <si>
    <t>TopsTexOnepieceOverallLWaders1</t>
  </si>
  <si>
    <t>BromideNpcNmlCbr17_Remake_3_0</t>
  </si>
  <si>
    <t>TopsTexOnepieceOverallLWaders2</t>
  </si>
  <si>
    <t>BromideNpcNmlCbr17_Remake_4_0</t>
  </si>
  <si>
    <t>TopsTexOnepieceOverallLWaders0</t>
  </si>
  <si>
    <t>flapper dress</t>
  </si>
  <si>
    <t>FtrWoodenStoolS_Remake_5_3</t>
  </si>
  <si>
    <t>BromideNpcNmlCbr17_Remake_5_0</t>
  </si>
  <si>
    <t>TopsTexOnepieceBoxNFlapper1</t>
  </si>
  <si>
    <t>FtrWoodenStoolS_Remake_5_4</t>
  </si>
  <si>
    <t>TopsTexOnepieceBoxNFlapper0</t>
  </si>
  <si>
    <t>BromideNpcNmlCbr17_Remake_6_0</t>
  </si>
  <si>
    <t>BromideNpcNmlCbr17_Remake_7_0</t>
  </si>
  <si>
    <t>Tangy's photo</t>
  </si>
  <si>
    <t>TopsTexOnepieceBoxNFlapper2</t>
  </si>
  <si>
    <t>FtrWoodenStoolS_Remake_6_0</t>
  </si>
  <si>
    <t>BromideNpcNmlCat05_Remake_0_0</t>
  </si>
  <si>
    <t>TopsTexOnepieceBoxNFlapper3</t>
  </si>
  <si>
    <t>FtrWoodenStoolS_Remake_6_1</t>
  </si>
  <si>
    <t>BromideNpcNmlCat05_Remake_1_0</t>
  </si>
  <si>
    <t>TopsTexOnepieceBoxNFlapper4</t>
  </si>
  <si>
    <t>BromideNpcNmlCat05_Remake_2_0</t>
  </si>
  <si>
    <t>flashy kimono</t>
  </si>
  <si>
    <t>FtrWoodenStoolS_Remake_6_2</t>
  </si>
  <si>
    <t>BromideNpcNmlCat05_Remake_3_0</t>
  </si>
  <si>
    <t>TopsTexOnepieceKimonoLGaudy0</t>
  </si>
  <si>
    <t>FtrWoodenStoolS_Remake_6_3</t>
  </si>
  <si>
    <t>BromideNpcNmlCat05_Remake_4_0</t>
  </si>
  <si>
    <t>TopsTexOnepieceKimonoLGaudy1</t>
  </si>
  <si>
    <t>TopsTexOnepieceKimonoLGaudy2</t>
  </si>
  <si>
    <t>FtrWoodenStoolS_Remake_6_4</t>
  </si>
  <si>
    <t>BromideNpcNmlCat05_Remake_5_0</t>
  </si>
  <si>
    <t>TopsTexOnepieceKimonoLGaudy3</t>
  </si>
  <si>
    <t>BromideNpcNmlCat05_Remake_6_0</t>
  </si>
  <si>
    <t>TopsTexOnepieceKimonoLGaudy4</t>
  </si>
  <si>
    <t>BromideNpcNmlCat05_Remake_7_0</t>
  </si>
  <si>
    <t>Tank's photo</t>
  </si>
  <si>
    <t>FtrWoodenStoolS_Remake_7_0</t>
  </si>
  <si>
    <t>TopsTexOnepieceKimonoLGaudy5</t>
  </si>
  <si>
    <t>fleece pj's</t>
  </si>
  <si>
    <t>BromideNpcNmlRhn00_Remake_0_0</t>
  </si>
  <si>
    <t>TopsTexOnepieceOverallLFleecepajama1</t>
  </si>
  <si>
    <t>BromideNpcNmlRhn00_Remake_1_0</t>
  </si>
  <si>
    <t>FtrWoodenStoolS_Remake_7_1</t>
  </si>
  <si>
    <t>TopsTexOnepieceOverallLFleecepajama0</t>
  </si>
  <si>
    <t>flight-crew uniform</t>
  </si>
  <si>
    <t>BromideNpcNmlRhn00_Remake_2_0</t>
  </si>
  <si>
    <t>TopsTexOnepieceBoxLAttendant0</t>
  </si>
  <si>
    <t>FtrWoodenStoolS_Remake_7_2</t>
  </si>
  <si>
    <t>BromideNpcNmlRhn00_Remake_3_0</t>
  </si>
  <si>
    <t>TopsTexOnepieceBoxLAttendant1</t>
  </si>
  <si>
    <t>BromideNpcNmlRhn00_Remake_4_0</t>
  </si>
  <si>
    <t>TopsTexOnepieceBoxLAttendant2</t>
  </si>
  <si>
    <t>FtrWoodenStoolS_Remake_7_3</t>
  </si>
  <si>
    <t>BromideNpcNmlRhn00_Remake_5_0</t>
  </si>
  <si>
    <t>TopsTexOnepieceBoxLAttendant3</t>
  </si>
  <si>
    <t>BromideNpcNmlRhn00_Remake_6_0</t>
  </si>
  <si>
    <t>TopsTexOnepieceBoxLAttendant4</t>
  </si>
  <si>
    <t>floral lace dress</t>
  </si>
  <si>
    <t>TopsTexOnepieceBalloonHLace1</t>
  </si>
  <si>
    <t>BromideNpcNmlRhn00_Remake_7_0</t>
  </si>
  <si>
    <t>FtrWoodenStoolS_Remake_7_4</t>
  </si>
  <si>
    <t>Tasha's photo</t>
  </si>
  <si>
    <t>wooden table</t>
  </si>
  <si>
    <t>TopsTexOnepieceBalloonHLace2</t>
  </si>
  <si>
    <t>TopsTexOnepieceBalloonHLace3</t>
  </si>
  <si>
    <t>BromideNpcNmlSqu13_Remake_0_0</t>
  </si>
  <si>
    <t>FtrWoodenTableL_Remake_0_0</t>
  </si>
  <si>
    <t>TopsTexOnepieceBalloonHLace4</t>
  </si>
  <si>
    <t>BromideNpcNmlSqu13_Remake_1_0</t>
  </si>
  <si>
    <t>TopsTexOnepieceBalloonHLace5</t>
  </si>
  <si>
    <t>BromideNpcNmlSqu13_Remake_2_0</t>
  </si>
  <si>
    <t>FtrWoodenTableL_Remake_0_1</t>
  </si>
  <si>
    <t>TopsTexOnepieceBalloonHLace6</t>
  </si>
  <si>
    <t>BromideNpcNmlSqu13_Remake_3_0</t>
  </si>
  <si>
    <t>TopsTexOnepieceBalloonHLace7</t>
  </si>
  <si>
    <t>BromideNpcNmlSqu13_Remake_4_0</t>
  </si>
  <si>
    <t>FtrWoodenTableL_Remake_0_2</t>
  </si>
  <si>
    <t>BromideNpcNmlSqu13_Remake_5_0</t>
  </si>
  <si>
    <t>TopsTexOnepieceBalloonHLace0</t>
  </si>
  <si>
    <t>flower-print dress</t>
  </si>
  <si>
    <t>FtrWoodenTableL_Remake_0_3</t>
  </si>
  <si>
    <t>TopsTexOnepieceAlineHOneflower1</t>
  </si>
  <si>
    <t>BromideNpcNmlSqu13_Remake_6_0</t>
  </si>
  <si>
    <t>TopsTexOnepieceAlineHOneflower0</t>
  </si>
  <si>
    <t>folk-dance outfit</t>
  </si>
  <si>
    <t>BromideNpcNmlSqu13_Remake_7_0</t>
  </si>
  <si>
    <t>Teddy's photo</t>
  </si>
  <si>
    <t>FtrWoodenTableL_Remake_0_4</t>
  </si>
  <si>
    <t>TopsTexOnepieceOverallLVolendam</t>
  </si>
  <si>
    <t>forest-print dress</t>
  </si>
  <si>
    <t>BromideNpcNmlBea00_Remake_0_0</t>
  </si>
  <si>
    <t>TopsTexOnepieceBoxLForest1</t>
  </si>
  <si>
    <t>BromideNpcNmlBea00_Remake_1_0</t>
  </si>
  <si>
    <t>TopsTexOnepieceBoxLForest2</t>
  </si>
  <si>
    <t>FtrWoodenTableL_Remake_1_0</t>
  </si>
  <si>
    <t>BromideNpcNmlBea00_Remake_2_0</t>
  </si>
  <si>
    <t>TopsTexOnepieceBoxLForest3</t>
  </si>
  <si>
    <t>Pale blue</t>
  </si>
  <si>
    <t>BromideNpcNmlBea00_Remake_3_0</t>
  </si>
  <si>
    <t>TopsTexOnepieceBoxLForest4</t>
  </si>
  <si>
    <t>FtrWoodenTableL_Remake_1_1</t>
  </si>
  <si>
    <t>TopsTexOnepieceBoxLForest0</t>
  </si>
  <si>
    <t>frilly dress</t>
  </si>
  <si>
    <t>BromideNpcNmlBea00_Remake_4_0</t>
  </si>
  <si>
    <t>TopsTexOnepieceAlongLFrilled1</t>
  </si>
  <si>
    <t>FtrWoodenTableL_Remake_1_2</t>
  </si>
  <si>
    <t>TopsTexOnepieceAlongLFrilled2</t>
  </si>
  <si>
    <t>BromideNpcNmlBea00_Remake_5_0</t>
  </si>
  <si>
    <t>TopsTexOnepieceAlongLFrilled3</t>
  </si>
  <si>
    <t>FtrWoodenTableL_Remake_1_3</t>
  </si>
  <si>
    <t>BromideNpcNmlBea00_Remake_6_0</t>
  </si>
  <si>
    <t>TopsTexOnepieceAlongLFrilled0</t>
  </si>
  <si>
    <t>frog costume</t>
  </si>
  <si>
    <t>TopsTexOnepieceOverallLFrog0</t>
  </si>
  <si>
    <t>BromideNpcNmlBea00_Remake_7_0</t>
  </si>
  <si>
    <t>FtrWoodenTableL_Remake_1_4</t>
  </si>
  <si>
    <t>Tex's photo</t>
  </si>
  <si>
    <t>TopsTexOnepieceOverallLFrog1</t>
  </si>
  <si>
    <t>BromideNpcNmlPgn12_Remake_0_0</t>
  </si>
  <si>
    <t>FtrWoodenTableL_Remake_2_0</t>
  </si>
  <si>
    <t>BromideNpcNmlPgn12_Remake_1_0</t>
  </si>
  <si>
    <t>TopsTexOnepieceOverallLFrog2</t>
  </si>
  <si>
    <t>BromideNpcNmlPgn12_Remake_2_0</t>
  </si>
  <si>
    <t>FtrWoodenTableL_Remake_2_1</t>
  </si>
  <si>
    <t>TopsTexOnepieceOverallLFrog3</t>
  </si>
  <si>
    <t>BromideNpcNmlPgn12_Remake_3_0</t>
  </si>
  <si>
    <t>frugal dress</t>
  </si>
  <si>
    <t>BromideNpcNmlPgn12_Remake_4_0</t>
  </si>
  <si>
    <t>FtrWoodenTableL_Remake_2_2</t>
  </si>
  <si>
    <t>TopsTexOnepieceBalloonHSimple0</t>
  </si>
  <si>
    <t>BromideNpcNmlPgn12_Remake_5_0</t>
  </si>
  <si>
    <t>TopsTexOnepieceBalloonHSimple1</t>
  </si>
  <si>
    <t>BromideNpcNmlPgn12_Remake_6_0</t>
  </si>
  <si>
    <t>FtrWoodenTableL_Remake_2_3</t>
  </si>
  <si>
    <t>BromideNpcNmlPgn12_Remake_7_0</t>
  </si>
  <si>
    <t>Tia's photo</t>
  </si>
  <si>
    <t>TopsTexOnepieceBalloonHSimple2</t>
  </si>
  <si>
    <t>frugal outfit</t>
  </si>
  <si>
    <t>BromideNpcNmlElp10_Remake_0_0</t>
  </si>
  <si>
    <t>FtrWoodenTableL_Remake_2_4</t>
  </si>
  <si>
    <t>BromideNpcNmlElp10_Remake_1_0</t>
  </si>
  <si>
    <t>TopsTexOnepieceOverallLSimple1</t>
  </si>
  <si>
    <t>BromideNpcNmlElp10_Remake_2_0</t>
  </si>
  <si>
    <t>FtrWoodenTableL_Remake_3_0</t>
  </si>
  <si>
    <t>TopsTexOnepieceOverallLSimple2</t>
  </si>
  <si>
    <t>BromideNpcNmlElp10_Remake_3_0</t>
  </si>
  <si>
    <t>BromideNpcNmlElp10_Remake_4_0</t>
  </si>
  <si>
    <t>TopsTexOnepieceOverallLSimple0</t>
  </si>
  <si>
    <t>full-body tights</t>
  </si>
  <si>
    <t>FtrWoodenTableL_Remake_3_1</t>
  </si>
  <si>
    <t>BromideNpcNmlElp10_Remake_5_0</t>
  </si>
  <si>
    <t>TopsTexOnepieceOverallLTights1</t>
  </si>
  <si>
    <t>FtrWoodenTableL_Remake_3_2</t>
  </si>
  <si>
    <t>BromideNpcNmlElp10_Remake_6_0</t>
  </si>
  <si>
    <t>TopsTexOnepieceOverallLTights2</t>
  </si>
  <si>
    <t>BromideNpcNmlElp10_Remake_7_0</t>
  </si>
  <si>
    <t>FtrWoodenTableL_Remake_3_3</t>
  </si>
  <si>
    <t>Tiffany's photo</t>
  </si>
  <si>
    <t>BromideNpcNmlRbt07_Remake_0_0</t>
  </si>
  <si>
    <t>TopsTexOnepieceOverallLTights3</t>
  </si>
  <si>
    <t>FtrWoodenTableL_Remake_3_4</t>
  </si>
  <si>
    <t>BromideNpcNmlRbt07_Remake_1_0</t>
  </si>
  <si>
    <t>BromideNpcNmlRbt07_Remake_2_0</t>
  </si>
  <si>
    <t>TopsTexOnepieceOverallLTights4</t>
  </si>
  <si>
    <t>FtrWoodenTableL_Remake_4_0</t>
  </si>
  <si>
    <t>BromideNpcNmlRbt07_Remake_3_0</t>
  </si>
  <si>
    <t>TopsTexOnepieceOverallLTights5</t>
  </si>
  <si>
    <t>BromideNpcNmlRbt07_Remake_4_0</t>
  </si>
  <si>
    <t>FtrWoodenTableL_Remake_4_1</t>
  </si>
  <si>
    <t>BromideNpcNmlRbt07_Remake_5_0</t>
  </si>
  <si>
    <t>TopsTexOnepieceOverallLTights6</t>
  </si>
  <si>
    <t>BromideNpcNmlRbt07_Remake_6_0</t>
  </si>
  <si>
    <t>TopsTexOnepieceOverallLTights7</t>
  </si>
  <si>
    <t>FtrWoodenTableL_Remake_4_2</t>
  </si>
  <si>
    <t>BromideNpcNmlRbt07_Remake_7_0</t>
  </si>
  <si>
    <t>Timbra's photo</t>
  </si>
  <si>
    <t>TopsTexOnepieceOverallLTights0</t>
  </si>
  <si>
    <t>full-length dress with pearls</t>
  </si>
  <si>
    <t>FtrWoodenTableL_Remake_4_3</t>
  </si>
  <si>
    <t>BromideNpcNmlShp10_Remake_0_0</t>
  </si>
  <si>
    <t>TopsTexOnepieceAlongNPearl1</t>
  </si>
  <si>
    <t>FtrWoodenTableL_Remake_4_4</t>
  </si>
  <si>
    <t>BromideNpcNmlShp10_Remake_1_0</t>
  </si>
  <si>
    <t>TopsTexOnepieceAlongNPearl2</t>
  </si>
  <si>
    <t>FtrWoodenTableL_Remake_5_0</t>
  </si>
  <si>
    <t>BromideNpcNmlShp10_Remake_2_0</t>
  </si>
  <si>
    <t>TopsTexOnepieceAlongNPearl0</t>
  </si>
  <si>
    <t>FtrWoodenTableL_Remake_5_1</t>
  </si>
  <si>
    <t>TopsTexOnepieceAlongNPearl3</t>
  </si>
  <si>
    <t>gizzard-shad-sushi costume</t>
  </si>
  <si>
    <t>BromideNpcNmlShp10_Remake_3_0</t>
  </si>
  <si>
    <t>FtrWoodenTableL_Remake_5_2</t>
  </si>
  <si>
    <t>TopsTexOnepieceRibNKohada</t>
  </si>
  <si>
    <t>gold armor</t>
  </si>
  <si>
    <t>BromideNpcNmlShp10_Remake_4_0</t>
  </si>
  <si>
    <t>TopsTexOnepieceOverallLPlatearmorGold</t>
  </si>
  <si>
    <t>FtrWoodenTableL_Remake_5_3</t>
  </si>
  <si>
    <t>grape dress</t>
  </si>
  <si>
    <t>BromideNpcNmlShp10_Remake_5_0</t>
  </si>
  <si>
    <t>TopsTexOnepieceAlineNGrape</t>
  </si>
  <si>
    <t>gumdrop dress</t>
  </si>
  <si>
    <t>BromideNpcNmlShp10_Remake_6_0</t>
  </si>
  <si>
    <t>FtrWoodenTableL_Remake_5_4</t>
  </si>
  <si>
    <t>TopsTexOnepieceAlineHPolkadotSpring1</t>
  </si>
  <si>
    <t>BromideNpcNmlShp10_Remake_7_0</t>
  </si>
  <si>
    <t>Tipper's photo</t>
  </si>
  <si>
    <t>FtrWoodenTableL_Remake_6_0</t>
  </si>
  <si>
    <t>TopsTexOnepieceAlineHPolkadotSpring0</t>
  </si>
  <si>
    <t>hakama</t>
  </si>
  <si>
    <t>BromideNpcNmlCow01_Remake_0_0</t>
  </si>
  <si>
    <t>FtrWoodenTableL_Remake_6_1</t>
  </si>
  <si>
    <t>TopsTexOnepieceKimonoLHakama0</t>
  </si>
  <si>
    <t>BromideNpcNmlCow01_Remake_1_0</t>
  </si>
  <si>
    <t>TopsTexOnepieceKimonoLHakama1</t>
  </si>
  <si>
    <t>FtrWoodenTableL_Remake_6_2</t>
  </si>
  <si>
    <t>BromideNpcNmlCow01_Remake_2_0</t>
  </si>
  <si>
    <t>FtrWoodenTableL_Remake_6_3</t>
  </si>
  <si>
    <t>TopsTexOnepieceKimonoLHakama2</t>
  </si>
  <si>
    <t>hakama with crest</t>
  </si>
  <si>
    <t>BromideNpcNmlCow01_Remake_3_0</t>
  </si>
  <si>
    <t>TopsTexOnepieceKimonoLCrested0</t>
  </si>
  <si>
    <t>hibiscus muumuu</t>
  </si>
  <si>
    <t>FtrWoodenTableL_Remake_6_4</t>
  </si>
  <si>
    <t>BromideNpcNmlCow01_Remake_4_0</t>
  </si>
  <si>
    <t>TopsTexOnepieceAlineNHibiscus1</t>
  </si>
  <si>
    <t>BromideNpcNmlCow01_Remake_5_0</t>
  </si>
  <si>
    <t>FtrWoodenTableL_Remake_7_0</t>
  </si>
  <si>
    <t>TopsTexOnepieceAlineNHibiscus2</t>
  </si>
  <si>
    <t>BromideNpcNmlCow01_Remake_6_0</t>
  </si>
  <si>
    <t>FtrWoodenTableL_Remake_7_1</t>
  </si>
  <si>
    <t>TopsTexOnepieceAlineNHibiscus0</t>
  </si>
  <si>
    <t>hot-dog costume</t>
  </si>
  <si>
    <t>BromideNpcNmlCow01_Remake_7_0</t>
  </si>
  <si>
    <t>Tom's photo</t>
  </si>
  <si>
    <t>TopsTexOnepieceRibNHotdogMustard</t>
  </si>
  <si>
    <t>FtrWoodenTableL_Remake_7_2</t>
  </si>
  <si>
    <t>house-print dress</t>
  </si>
  <si>
    <t>BromideNpcNmlCat15_Remake_0_0</t>
  </si>
  <si>
    <t>TopsTexOnepieceBoxLHouse0</t>
  </si>
  <si>
    <t>FtrWoodenTableL_Remake_7_3</t>
  </si>
  <si>
    <t>BromideNpcNmlCat15_Remake_1_0</t>
  </si>
  <si>
    <t>TopsTexOnepieceBoxLHouse1</t>
  </si>
  <si>
    <t>ice-hockey uniform</t>
  </si>
  <si>
    <t>FtrWoodenTableL_Remake_7_4</t>
  </si>
  <si>
    <t>wooden wardrobe</t>
  </si>
  <si>
    <t>BromideNpcNmlCat15_Remake_2_0</t>
  </si>
  <si>
    <t>TopsTexOnepieceSalopetteLHockey1</t>
  </si>
  <si>
    <t>BromideNpcNmlCat15_Remake_3_0</t>
  </si>
  <si>
    <t>FtrWoodenCloset_Remake_0_0</t>
  </si>
  <si>
    <t>TopsTexOnepieceSalopetteLHockey2</t>
  </si>
  <si>
    <t>BromideNpcNmlCat15_Remake_4_0</t>
  </si>
  <si>
    <t>FtrWoodenCloset_Remake_1_0</t>
  </si>
  <si>
    <t>TopsTexOnepieceSalopetteLHockey3</t>
  </si>
  <si>
    <t>BromideNpcNmlCat15_Remake_5_0</t>
  </si>
  <si>
    <t>FtrWoodenCloset_Remake_2_0</t>
  </si>
  <si>
    <t>TopsTexOnepieceSalopetteLHockey4</t>
  </si>
  <si>
    <t>BromideNpcNmlCat15_Remake_6_0</t>
  </si>
  <si>
    <t>TopsTexOnepieceSalopetteLHockey5</t>
  </si>
  <si>
    <t>FtrWoodenCloset_Remake_3_0</t>
  </si>
  <si>
    <t>BromideNpcNmlCat15_Remake_7_0</t>
  </si>
  <si>
    <t>Truffles's photo</t>
  </si>
  <si>
    <t>TopsTexOnepieceSalopetteLHockey0</t>
  </si>
  <si>
    <t>FtrWoodenCloset_Remake_4_0</t>
  </si>
  <si>
    <t>BromideNpcNmlPig01_Remake_0_0</t>
  </si>
  <si>
    <t>TopsTexOnepieceSalopetteLHockey6</t>
  </si>
  <si>
    <t>FtrWoodenCloset_Remake_5_0</t>
  </si>
  <si>
    <t>BromideNpcNmlPig01_Remake_1_0</t>
  </si>
  <si>
    <t>TopsTexOnepieceSalopetteLHockey7</t>
  </si>
  <si>
    <t>icy dress</t>
  </si>
  <si>
    <t>FtrWoodenCloset_Remake_6_0</t>
  </si>
  <si>
    <t>BromideNpcNmlPig01_Remake_2_0</t>
  </si>
  <si>
    <t>Robe</t>
  </si>
  <si>
    <t>TopsTexOnepieceRobeLIcequeen0</t>
  </si>
  <si>
    <t>impish costume</t>
  </si>
  <si>
    <t>FtrWoodenCloset_Remake_7_0</t>
  </si>
  <si>
    <t>wooden waste bin</t>
  </si>
  <si>
    <t>BromideNpcNmlPig01_Remake_3_0</t>
  </si>
  <si>
    <t>TopsTexOnepieceOverallLDevil1</t>
  </si>
  <si>
    <t>BromideNpcNmlPig01_Remake_4_0</t>
  </si>
  <si>
    <t>FtrTrashboxWood_Remake_0_0</t>
  </si>
  <si>
    <t>TopsTexOnepieceOverallLDevil0</t>
  </si>
  <si>
    <t>instant-muscles suit</t>
  </si>
  <si>
    <t>TopsTexOnepieceOverallLMuscle0</t>
  </si>
  <si>
    <t>FtrTrashboxWood_Remake_1_0</t>
  </si>
  <si>
    <t>BromideNpcNmlPig01_Remake_5_0</t>
  </si>
  <si>
    <t>TopsTexOnepieceOverallLMuscle1</t>
  </si>
  <si>
    <t>FtrTrashboxWood_Remake_2_0</t>
  </si>
  <si>
    <t>BromideNpcNmlPig01_Remake_6_0</t>
  </si>
  <si>
    <t>TopsTexOnepieceOverallLMuscle2</t>
  </si>
  <si>
    <t>TopsTexOnepieceOverallLMuscle3</t>
  </si>
  <si>
    <t>BromideNpcNmlPig01_Remake_7_0</t>
  </si>
  <si>
    <t>FtrTrashboxWood_Remake_3_0</t>
  </si>
  <si>
    <t>Tucker's photo</t>
  </si>
  <si>
    <t>TopsTexOnepieceOverallLMuscle4</t>
  </si>
  <si>
    <t>FtrTrashboxWood_Remake_4_0</t>
  </si>
  <si>
    <t>BromideNpcNmlElp09_Remake_0_0</t>
  </si>
  <si>
    <t>TopsTexOnepieceOverallLMuscle5</t>
  </si>
  <si>
    <t>BromideNpcNmlElp09_Remake_1_0</t>
  </si>
  <si>
    <t>TopsTexOnepieceOverallLMuscle6</t>
  </si>
  <si>
    <t>TopsTexOnepieceOverallLMuscle7</t>
  </si>
  <si>
    <t>iron armor</t>
  </si>
  <si>
    <t>FtrTrashboxWood_Remake_5_0</t>
  </si>
  <si>
    <t>wooden-block bed</t>
  </si>
  <si>
    <t>TopsTexOnepieceOverallLPlatearmorIron</t>
  </si>
  <si>
    <t>BromideNpcNmlElp09_Remake_2_0</t>
  </si>
  <si>
    <t>jester costume</t>
  </si>
  <si>
    <t>TopsTexOnepieceOverallLClown1</t>
  </si>
  <si>
    <t>BromideNpcNmlElp09_Remake_3_0</t>
  </si>
  <si>
    <t>Red &amp; blue</t>
  </si>
  <si>
    <t>TopsTexOnepieceOverallLClown2</t>
  </si>
  <si>
    <t>BromideNpcNmlElp09_Remake_4_0</t>
  </si>
  <si>
    <t>FtrBlockBedS_Remake_0_0</t>
  </si>
  <si>
    <t>TopsTexOnepieceOverallLClown3</t>
  </si>
  <si>
    <t>Purple &amp; yellow</t>
  </si>
  <si>
    <t>BromideNpcNmlElp09_Remake_5_0</t>
  </si>
  <si>
    <t>TopsTexOnepieceOverallLClown0</t>
  </si>
  <si>
    <t>jinbei</t>
  </si>
  <si>
    <t>BromideNpcNmlElp09_Remake_6_0</t>
  </si>
  <si>
    <t>TopsTexOnepieceOverallHJinbei1</t>
  </si>
  <si>
    <t>BromideNpcNmlElp09_Remake_7_0</t>
  </si>
  <si>
    <t>Tutu's photo</t>
  </si>
  <si>
    <t>FtrBlockBedS_Remake_1_0</t>
  </si>
  <si>
    <t>BromideNpcNmlBea07_Remake_0_0</t>
  </si>
  <si>
    <t>TopsTexOnepieceOverallHJinbei2</t>
  </si>
  <si>
    <t>BromideNpcNmlBea07_Remake_1_0</t>
  </si>
  <si>
    <t>FtrBlockBedS_Remake_2_0</t>
  </si>
  <si>
    <t>TopsTexOnepieceOverallHJinbei0</t>
  </si>
  <si>
    <t>jockey uniform</t>
  </si>
  <si>
    <t>BromideNpcNmlBea07_Remake_2_0</t>
  </si>
  <si>
    <t>Sash</t>
  </si>
  <si>
    <t>TopsTexOnepieceOverallLJockey0</t>
  </si>
  <si>
    <t>FtrBlockBedS_Remake_3_0</t>
  </si>
  <si>
    <t>BromideNpcNmlBea07_Remake_3_0</t>
  </si>
  <si>
    <t>TopsTexOnepieceOverallLJockey1</t>
  </si>
  <si>
    <t>Diamonds</t>
  </si>
  <si>
    <t>BromideNpcNmlBea07_Remake_4_0</t>
  </si>
  <si>
    <t>FtrBlockBedS_Remake_4_0</t>
  </si>
  <si>
    <t>wooden-block bench</t>
  </si>
  <si>
    <t>TopsTexOnepieceOverallLJockey2</t>
  </si>
  <si>
    <t>Ring</t>
  </si>
  <si>
    <t>BromideNpcNmlBea07_Remake_5_0</t>
  </si>
  <si>
    <t>TopsTexOnepieceOverallLJockey3</t>
  </si>
  <si>
    <t>Stars</t>
  </si>
  <si>
    <t>BromideNpcNmlBea07_Remake_6_0</t>
  </si>
  <si>
    <t>FtrBlockChairL_Remake_0_0</t>
  </si>
  <si>
    <t>TopsTexOnepieceOverallLJockey4</t>
  </si>
  <si>
    <t>BromideNpcNmlBea07_Remake_7_0</t>
  </si>
  <si>
    <t>Twiggy's photo</t>
  </si>
  <si>
    <t>Double sash</t>
  </si>
  <si>
    <t>BromideNpcNmlBrd03_Remake_0_0</t>
  </si>
  <si>
    <t>TopsTexOnepieceOverallLJockey5</t>
  </si>
  <si>
    <t>FtrBlockChairL_Remake_1_0</t>
  </si>
  <si>
    <t>Vertical stripes</t>
  </si>
  <si>
    <t>BromideNpcNmlBrd03_Remake_1_0</t>
  </si>
  <si>
    <t>FtrBlockChairL_Remake_2_0</t>
  </si>
  <si>
    <t>TopsTexOnepieceOverallLJockey6</t>
  </si>
  <si>
    <t>BromideNpcNmlBrd03_Remake_2_0</t>
  </si>
  <si>
    <t>Zigzag</t>
  </si>
  <si>
    <t>BromideNpcNmlBrd03_Remake_3_0</t>
  </si>
  <si>
    <t>TopsTexOnepieceOverallLJockey7</t>
  </si>
  <si>
    <t>judogi</t>
  </si>
  <si>
    <t>FtrBlockChairL_Remake_3_0</t>
  </si>
  <si>
    <t>BromideNpcNmlBrd03_Remake_4_0</t>
  </si>
  <si>
    <t>TopsTexOnepieceOverallLJudo0</t>
  </si>
  <si>
    <t>BromideNpcNmlBrd03_Remake_5_0</t>
  </si>
  <si>
    <t>FtrBlockChairL_Remake_4_0</t>
  </si>
  <si>
    <t>TopsTexOnepieceOverallLJudo1</t>
  </si>
  <si>
    <t>wooden-block bookshelf</t>
  </si>
  <si>
    <t>jumper work suit</t>
  </si>
  <si>
    <t>TopsTexOnepieceOverallLWorkwear1</t>
  </si>
  <si>
    <t>BromideNpcNmlBrd03_Remake_6_0</t>
  </si>
  <si>
    <t>FtrBlockShelf_Remake_0_0</t>
  </si>
  <si>
    <t>BromideNpcNmlBrd03_Remake_7_0</t>
  </si>
  <si>
    <t>Tybalt's photo</t>
  </si>
  <si>
    <t>TopsTexOnepieceOverallLWorkwear0</t>
  </si>
  <si>
    <t>FtrBlockShelf_Remake_1_0</t>
  </si>
  <si>
    <t>BromideNpcNmlTig02_Remake_0_0</t>
  </si>
  <si>
    <t>BromideNpcNmlTig02_Remake_1_0</t>
  </si>
  <si>
    <t>TopsTexOnepieceOverallLWorkwear2</t>
  </si>
  <si>
    <t>BromideNpcNmlTig02_Remake_2_0</t>
  </si>
  <si>
    <t>FtrBlockShelf_Remake_2_0</t>
  </si>
  <si>
    <t>TopsTexOnepieceOverallLWorkwear3</t>
  </si>
  <si>
    <t>BromideNpcNmlTig02_Remake_3_0</t>
  </si>
  <si>
    <t>TopsTexOnepieceOverallLWorkwear4</t>
  </si>
  <si>
    <t>FtrBlockShelf_Remake_3_0</t>
  </si>
  <si>
    <t>BromideNpcNmlTig02_Remake_4_0</t>
  </si>
  <si>
    <t>TopsTexOnepieceOverallLWorkwear5</t>
  </si>
  <si>
    <t>TopsTexOnepieceOverallLWorkwear6</t>
  </si>
  <si>
    <t>BromideNpcNmlTig02_Remake_5_0</t>
  </si>
  <si>
    <t>FtrBlockShelf_Remake_4_0</t>
  </si>
  <si>
    <t>TopsTexOnepieceOverallLWorkwear7</t>
  </si>
  <si>
    <t>wooden-block chair</t>
  </si>
  <si>
    <t>BromideNpcNmlTig02_Remake_6_0</t>
  </si>
  <si>
    <t>junihitoe kimono</t>
  </si>
  <si>
    <t>TopsTexOnepieceKimonoLTwelve0</t>
  </si>
  <si>
    <t>BromideNpcNmlTig02_Remake_7_0</t>
  </si>
  <si>
    <t>kabuki-actor yukata</t>
  </si>
  <si>
    <t>Ursala's photo</t>
  </si>
  <si>
    <t>FtrBlockChairS_Remake_0_0</t>
  </si>
  <si>
    <t>TopsTexOnepieceKimonoLYukatamen2</t>
  </si>
  <si>
    <t>BromideNpcNmlBea08_Remake_0_0</t>
  </si>
  <si>
    <t>TopsTexOnepieceKimonoLYukatamen0</t>
  </si>
  <si>
    <t>BromideNpcNmlBea08_Remake_1_0</t>
  </si>
  <si>
    <t>TopsTexOnepieceKimonoLYukatamen1</t>
  </si>
  <si>
    <t>kandoora</t>
  </si>
  <si>
    <t>FtrBlockChairS_Remake_1_0</t>
  </si>
  <si>
    <t>BromideNpcNmlBea08_Remake_2_0</t>
  </si>
  <si>
    <t>TopsTexOnepieceBlongLCandula1</t>
  </si>
  <si>
    <t>TopsTexOnepieceBlongLCandula2</t>
  </si>
  <si>
    <t>BromideNpcNmlBea08_Remake_3_0</t>
  </si>
  <si>
    <t>FtrBlockChairS_Remake_2_0</t>
  </si>
  <si>
    <t>TopsTexOnepieceBlongLCandula0</t>
  </si>
  <si>
    <t>kappa costume</t>
  </si>
  <si>
    <t>BromideNpcNmlBea08_Remake_4_0</t>
  </si>
  <si>
    <t>TopsTexOnepieceOverallLKappa1</t>
  </si>
  <si>
    <t>FtrBlockChairS_Remake_3_0</t>
  </si>
  <si>
    <t>TopsTexOnepieceOverallLKappa0</t>
  </si>
  <si>
    <t>kiwi dress</t>
  </si>
  <si>
    <t>BromideNpcNmlBea08_Remake_5_0</t>
  </si>
  <si>
    <t>TopsTexOnepieceAlineNKiwi</t>
  </si>
  <si>
    <t>FtrBlockChairS_Remake_4_0</t>
  </si>
  <si>
    <t>Labelle dress</t>
  </si>
  <si>
    <t>wooden-block chest</t>
  </si>
  <si>
    <t>BromideNpcNmlBea08_Remake_6_0</t>
  </si>
  <si>
    <t>TopsTexOnepieceAlineNKate1</t>
  </si>
  <si>
    <t>FtrBlockChest_Remake_0_0</t>
  </si>
  <si>
    <t>TopsTexOnepieceAlineNKate2</t>
  </si>
  <si>
    <t>BromideNpcNmlBea08_Remake_7_0</t>
  </si>
  <si>
    <t>Velma's photo</t>
  </si>
  <si>
    <t>TopsTexOnepieceAlineNKate3</t>
  </si>
  <si>
    <t>BromideNpcNmlGoa06_Remake_0_0</t>
  </si>
  <si>
    <t>FtrBlockChest_Remake_1_0</t>
  </si>
  <si>
    <t>TopsTexOnepieceAlineNKate4</t>
  </si>
  <si>
    <t>TopsTexOnepieceAlineNKate5</t>
  </si>
  <si>
    <t>BromideNpcNmlGoa06_Remake_1_0</t>
  </si>
  <si>
    <t>TopsTexOnepieceAlineNKate0</t>
  </si>
  <si>
    <t>BromideNpcNmlGoa06_Remake_2_0</t>
  </si>
  <si>
    <t>lace-up dress</t>
  </si>
  <si>
    <t>FtrBlockChest_Remake_2_0</t>
  </si>
  <si>
    <t>BromideNpcNmlGoa06_Remake_3_0</t>
  </si>
  <si>
    <t>TopsTexOnepieceBalloonLLolita2</t>
  </si>
  <si>
    <t>BromideNpcNmlGoa06_Remake_4_0</t>
  </si>
  <si>
    <t>FtrBlockChest_Remake_3_0</t>
  </si>
  <si>
    <t>TopsTexOnepieceBalloonLLolita1</t>
  </si>
  <si>
    <t>BromideNpcNmlGoa06_Remake_5_0</t>
  </si>
  <si>
    <t>BromideNpcNmlGoa06_Remake_6_0</t>
  </si>
  <si>
    <t>FtrBlockChest_Remake_4_0</t>
  </si>
  <si>
    <t>TopsTexOnepieceBalloonLLolita0</t>
  </si>
  <si>
    <t>lacy dress</t>
  </si>
  <si>
    <t>wooden-block stereo</t>
  </si>
  <si>
    <t>BromideNpcNmlGoa06_Remake_7_0</t>
  </si>
  <si>
    <t>Vesta's photo</t>
  </si>
  <si>
    <t>BromideNpcNmlShp00_Remake_0_0</t>
  </si>
  <si>
    <t>TopsTexOnepieceAlineNLace1</t>
  </si>
  <si>
    <t>FtrBlockCompo_Remake_0_0</t>
  </si>
  <si>
    <t>BromideNpcNmlShp00_Remake_1_0</t>
  </si>
  <si>
    <t>TopsTexOnepieceAlineNLace2</t>
  </si>
  <si>
    <t>BromideNpcNmlShp00_Remake_2_0</t>
  </si>
  <si>
    <t>FtrBlockCompo_Remake_1_0</t>
  </si>
  <si>
    <t>BromideNpcNmlShp00_Remake_3_0</t>
  </si>
  <si>
    <t>TopsTexOnepieceAlineNLace0</t>
  </si>
  <si>
    <t>layered sleeveless dress</t>
  </si>
  <si>
    <t>BromideNpcNmlShp00_Remake_4_0</t>
  </si>
  <si>
    <t>FtrBlockCompo_Remake_2_0</t>
  </si>
  <si>
    <t>TopsTexOnepieceBoxNLayered0</t>
  </si>
  <si>
    <t>BromideNpcNmlShp00_Remake_5_0</t>
  </si>
  <si>
    <t>BromideNpcNmlShp00_Remake_6_0</t>
  </si>
  <si>
    <t>FtrBlockCompo_Remake_3_0</t>
  </si>
  <si>
    <t>TopsTexOnepieceBoxNLayered1</t>
  </si>
  <si>
    <t>BromideNpcNmlShp00_Remake_7_0</t>
  </si>
  <si>
    <t>Vic's photo</t>
  </si>
  <si>
    <t>TopsTexOnepieceBoxNLayered2</t>
  </si>
  <si>
    <t>layered tank dress</t>
  </si>
  <si>
    <t>FtrBlockCompo_Remake_4_0</t>
  </si>
  <si>
    <t>wooden-block stool</t>
  </si>
  <si>
    <t>BromideNpcNmlBul08_Remake_0_0</t>
  </si>
  <si>
    <t>TopsTexOnepieceBoxHLayercamisoleBeige</t>
  </si>
  <si>
    <t>BromideNpcNmlBul08_Remake_1_0</t>
  </si>
  <si>
    <t>FtrBlockStoolS_Remake_0_0</t>
  </si>
  <si>
    <t>BromideNpcNmlBul08_Remake_2_0</t>
  </si>
  <si>
    <t>TopsTexOnepieceBoxHLayercamisoleBlue</t>
  </si>
  <si>
    <t>BromideNpcNmlBul08_Remake_3_0</t>
  </si>
  <si>
    <t>FtrBlockStoolS_Remake_1_0</t>
  </si>
  <si>
    <t>TopsTexOnepieceBoxHLayercamisoleBrown</t>
  </si>
  <si>
    <t>BromideNpcNmlBul08_Remake_4_0</t>
  </si>
  <si>
    <t>FtrBlockStoolS_Remake_2_0</t>
  </si>
  <si>
    <t>TopsTexOnepieceBoxHLayercamisoleRouge</t>
  </si>
  <si>
    <t>BromideNpcNmlBul08_Remake_5_0</t>
  </si>
  <si>
    <t>leaf-egg outfit</t>
  </si>
  <si>
    <t>FtrBlockStoolS_Remake_3_0</t>
  </si>
  <si>
    <t>Obtained after collecting Leaf Eggs during Bunny Day Event</t>
  </si>
  <si>
    <t>BromideNpcNmlBul08_Remake_6_0</t>
  </si>
  <si>
    <t>TopsTexOnepieceRibNEggleaf0</t>
  </si>
  <si>
    <t>linen dress</t>
  </si>
  <si>
    <t>FtrBlockStoolS_Remake_4_0</t>
  </si>
  <si>
    <t>TopsTexOnepieceAlineHLinen0</t>
  </si>
  <si>
    <t>BromideNpcNmlBul08_Remake_7_0</t>
  </si>
  <si>
    <t>wooden-block table</t>
  </si>
  <si>
    <t>Victoria's photo</t>
  </si>
  <si>
    <t>TopsTexOnepieceAlineHLinen1</t>
  </si>
  <si>
    <t>BromideNpcNmlHrs01_Remake_0_0</t>
  </si>
  <si>
    <t>FtrBlockTableL_Remake_0_0</t>
  </si>
  <si>
    <t>TopsTexOnepieceAlineHLinen2</t>
  </si>
  <si>
    <t>BromideNpcNmlHrs01_Remake_1_0</t>
  </si>
  <si>
    <t>FtrBlockTableL_Remake_1_0</t>
  </si>
  <si>
    <t>TopsTexOnepieceAlineHLinen3</t>
  </si>
  <si>
    <t>BromideNpcNmlHrs01_Remake_2_0</t>
  </si>
  <si>
    <t>TopsTexOnepieceAlineHLinen4</t>
  </si>
  <si>
    <t>lively plaid dress</t>
  </si>
  <si>
    <t>FtrBlockTableL_Remake_2_0</t>
  </si>
  <si>
    <t>TopsTexOnepieceAlineHPlaid0</t>
  </si>
  <si>
    <t>BromideNpcNmlHrs01_Remake_3_0</t>
  </si>
  <si>
    <t>long chenille cardigan</t>
  </si>
  <si>
    <t>FtrBlockTableL_Remake_3_0</t>
  </si>
  <si>
    <t>TopsTexOnepieceRibLCardigan1</t>
  </si>
  <si>
    <t>BromideNpcNmlHrs01_Remake_4_0</t>
  </si>
  <si>
    <t>TopsTexOnepieceRibLCardigan2</t>
  </si>
  <si>
    <t>FtrBlockTableL_Remake_4_0</t>
  </si>
  <si>
    <t>TopsTexOnepieceRibLCardigan3</t>
  </si>
  <si>
    <t>BromideNpcNmlHrs01_Remake_5_0</t>
  </si>
  <si>
    <t>writing chair</t>
  </si>
  <si>
    <t>TopsTexOnepieceRibLCardigan0</t>
  </si>
  <si>
    <t>long denim cardigan</t>
  </si>
  <si>
    <t>TopsTexOnepieceBoxLMuffler0</t>
  </si>
  <si>
    <t>BromideNpcNmlHrs01_Remake_6_0</t>
  </si>
  <si>
    <t>FtrStudyChair_Remake_0_0</t>
  </si>
  <si>
    <t>TopsTexOnepieceBoxLMuffler1</t>
  </si>
  <si>
    <t>BromideNpcNmlHrs01_Remake_7_0</t>
  </si>
  <si>
    <t>TopsTexOnepieceBoxLMuffler2</t>
  </si>
  <si>
    <t>Violet's photo</t>
  </si>
  <si>
    <t>long down coat</t>
  </si>
  <si>
    <t>FtrStudyChair_Remake_0_1</t>
  </si>
  <si>
    <t>TopsTexOnepieceAlongLDowncoat4</t>
  </si>
  <si>
    <t>BromideNpcNmlGor07_Remake_0_0</t>
  </si>
  <si>
    <t>TopsTexOnepieceAlongLDowncoat0</t>
  </si>
  <si>
    <t>TopsTexOnepieceAlongLDowncoat1</t>
  </si>
  <si>
    <t>FtrStudyChair_Remake_0_2</t>
  </si>
  <si>
    <t>BromideNpcNmlGor07_Remake_1_0</t>
  </si>
  <si>
    <t>TopsTexOnepieceAlongLDowncoat2</t>
  </si>
  <si>
    <t>TopsTexOnepieceAlongLDowncoat3</t>
  </si>
  <si>
    <t>long pleather coat</t>
  </si>
  <si>
    <t>BromideNpcNmlGor07_Remake_2_0</t>
  </si>
  <si>
    <t>FtrStudyChair_Remake_1_0</t>
  </si>
  <si>
    <t>TopsTexOnepieceAlongLLeathercoat0</t>
  </si>
  <si>
    <t>TopsTexOnepieceAlongLLeathercoat1</t>
  </si>
  <si>
    <t>BromideNpcNmlGor07_Remake_3_0</t>
  </si>
  <si>
    <t>FtrStudyChair_Remake_1_1</t>
  </si>
  <si>
    <t>TopsTexOnepieceAlongLLeathercoat2</t>
  </si>
  <si>
    <t>loose fall dress</t>
  </si>
  <si>
    <t>TopsTexOnepieceBoxLAutumncheck1</t>
  </si>
  <si>
    <t>BromideNpcNmlGor07_Remake_4_0</t>
  </si>
  <si>
    <t>FtrStudyChair_Remake_1_2</t>
  </si>
  <si>
    <t>TopsTexOnepieceBoxLAutumncheck2</t>
  </si>
  <si>
    <t>BromideNpcNmlGor07_Remake_5_0</t>
  </si>
  <si>
    <t>TopsTexOnepieceBoxLAutumncheck3</t>
  </si>
  <si>
    <t>TopsTexOnepieceBoxLAutumncheck0</t>
  </si>
  <si>
    <t>mage's robe</t>
  </si>
  <si>
    <t>FtrStudyChair_Remake_2_0</t>
  </si>
  <si>
    <t>BromideNpcNmlGor07_Remake_6_0</t>
  </si>
  <si>
    <t>TopsTexOnepieceAlongLWitch0</t>
  </si>
  <si>
    <t>TopsTexOnepieceAlongLWitch1</t>
  </si>
  <si>
    <t>FtrStudyChair_Remake_2_1</t>
  </si>
  <si>
    <t>BromideNpcNmlGor07_Remake_7_0</t>
  </si>
  <si>
    <t>Vivian's photo</t>
  </si>
  <si>
    <t>TopsTexOnepieceAlongLWitch2</t>
  </si>
  <si>
    <t>TopsTexOnepieceAlongLWitch3</t>
  </si>
  <si>
    <t>magical dress</t>
  </si>
  <si>
    <t>BromideNpcNmlWol08_Remake_0_0</t>
  </si>
  <si>
    <t>TopsTexOnepieceBalloonHMagical1</t>
  </si>
  <si>
    <t>FtrStudyChair_Remake_2_2</t>
  </si>
  <si>
    <t>BromideNpcNmlWol08_Remake_1_0</t>
  </si>
  <si>
    <t>TopsTexOnepieceBalloonHMagical2</t>
  </si>
  <si>
    <t>TopsTexOnepieceBalloonHMagical3</t>
  </si>
  <si>
    <t>FtrStudyChair_Remake_3_0</t>
  </si>
  <si>
    <t>BromideNpcNmlWol08_Remake_2_0</t>
  </si>
  <si>
    <t>TopsTexOnepieceBalloonHMagical4</t>
  </si>
  <si>
    <t>TopsTexOnepieceBalloonHMagical5</t>
  </si>
  <si>
    <t>TopsTexOnepieceBalloonHMagical6</t>
  </si>
  <si>
    <t>FtrStudyChair_Remake_3_1</t>
  </si>
  <si>
    <t>BromideNpcNmlWol08_Remake_3_0</t>
  </si>
  <si>
    <t>TopsTexOnepieceBalloonHMagical7</t>
  </si>
  <si>
    <t>TopsTexOnepieceBalloonHMagical0</t>
  </si>
  <si>
    <t>maid dress</t>
  </si>
  <si>
    <t>FtrStudyChair_Remake_3_2</t>
  </si>
  <si>
    <t>BromideNpcNmlWol08_Remake_4_0</t>
  </si>
  <si>
    <t>writing desk</t>
  </si>
  <si>
    <t>TopsTexOnepieceBalloonHMaid2</t>
  </si>
  <si>
    <t>TopsTexOnepieceBalloonHMaid3</t>
  </si>
  <si>
    <t>BromideNpcNmlWol08_Remake_5_0</t>
  </si>
  <si>
    <t>FtrStudyDesk_Remake_0_0</t>
  </si>
  <si>
    <t>TopsTexOnepieceBalloonHMaid4</t>
  </si>
  <si>
    <t>BromideNpcNmlWol08_Remake_6_0</t>
  </si>
  <si>
    <t>TopsTexOnepieceBalloonHMaid0</t>
  </si>
  <si>
    <t>FtrStudyDesk_Remake_1_0</t>
  </si>
  <si>
    <t>BromideNpcNmlWol08_Remake_7_0</t>
  </si>
  <si>
    <t>Vladimir's photo</t>
  </si>
  <si>
    <t>TopsTexOnepieceBalloonHMaid5</t>
  </si>
  <si>
    <t>BromideNpcNmlCbr06_Remake_0_0</t>
  </si>
  <si>
    <t>FtrStudyDesk_Remake_2_0</t>
  </si>
  <si>
    <t>TopsTexOnepieceBalloonHMaid6</t>
  </si>
  <si>
    <t>BromideNpcNmlCbr06_Remake_1_0</t>
  </si>
  <si>
    <t>FtrStudyDesk_Remake_3_0</t>
  </si>
  <si>
    <t>TopsTexOnepieceBalloonHMaid7</t>
  </si>
  <si>
    <t>yellow-leaf pile</t>
  </si>
  <si>
    <t>TopsTexOnepieceBalloonHMaid1</t>
  </si>
  <si>
    <t>marble-dots dress</t>
  </si>
  <si>
    <t>BromideNpcNmlCbr06_Remake_2_0</t>
  </si>
  <si>
    <t>TopsTexOnepieceAlineNMarbledot0</t>
  </si>
  <si>
    <t>FtrFallenleavesYellow</t>
  </si>
  <si>
    <t>yucca</t>
  </si>
  <si>
    <t>BromideNpcNmlCbr06_Remake_3_0</t>
  </si>
  <si>
    <t>TopsTexOnepieceAlineNMarbledot1</t>
  </si>
  <si>
    <t>marble-print dress</t>
  </si>
  <si>
    <t>TopsTexOnepieceBoxLMarble1</t>
  </si>
  <si>
    <t>BromideNpcNmlCbr06_Remake_4_0</t>
  </si>
  <si>
    <t>FtrPlantYucca_Remake_0_0</t>
  </si>
  <si>
    <t>TopsTexOnepieceBoxLMarble2</t>
  </si>
  <si>
    <t>TopsTexOnepieceBoxLMarble3</t>
  </si>
  <si>
    <t>BromideNpcNmlCbr06_Remake_5_0</t>
  </si>
  <si>
    <t>FtrPlantYucca_Remake_1_0</t>
  </si>
  <si>
    <t>TopsTexOnepieceBoxLMarble4</t>
  </si>
  <si>
    <t>TopsTexOnepieceBoxLMarble0</t>
  </si>
  <si>
    <t>mariachi clothing</t>
  </si>
  <si>
    <t>BromideNpcNmlCbr06_Remake_6_0</t>
  </si>
  <si>
    <t>FtrPlantYucca_Remake_2_0</t>
  </si>
  <si>
    <t>TopsTexOnepieceOverallLMariachi0</t>
  </si>
  <si>
    <t>BromideNpcNmlCbr06_Remake_7_0</t>
  </si>
  <si>
    <t>Wade's photo</t>
  </si>
  <si>
    <t>TopsTexOnepieceOverallLMariachi1</t>
  </si>
  <si>
    <t>FtrPlantYucca_Remake_3_0</t>
  </si>
  <si>
    <t>BromideNpcNmlPgn09_Remake_0_0</t>
  </si>
  <si>
    <t>BromideNpcNmlPgn09_Remake_1_0</t>
  </si>
  <si>
    <t>TopsTexOnepieceOverallLMariachi2</t>
  </si>
  <si>
    <t>FtrPlantYucca_Remake_4_0</t>
  </si>
  <si>
    <t>BromideNpcNmlPgn09_Remake_2_0</t>
  </si>
  <si>
    <t>zen cushion</t>
  </si>
  <si>
    <t>TopsTexOnepieceOverallLMariachi3</t>
  </si>
  <si>
    <t>BromideNpcNmlPgn09_Remake_3_0</t>
  </si>
  <si>
    <t>FtrCushionJapan_Remake_0_0</t>
  </si>
  <si>
    <t>BromideNpcNmlPgn09_Remake_4_0</t>
  </si>
  <si>
    <t>TopsTexOnepieceOverallLMariachi4</t>
  </si>
  <si>
    <t>BromideNpcNmlPgn09_Remake_5_0</t>
  </si>
  <si>
    <t>TopsTexOnepieceOverallLMariachi5</t>
  </si>
  <si>
    <t>BromideNpcNmlPgn09_Remake_6_0</t>
  </si>
  <si>
    <t>maxi shirtdress</t>
  </si>
  <si>
    <t>FtrCushionJapan_Remake_0_1</t>
  </si>
  <si>
    <t>BromideNpcNmlPgn09_Remake_7_0</t>
  </si>
  <si>
    <t>Walker's photo</t>
  </si>
  <si>
    <t>TopsTexOnepieceBlongLShirt0</t>
  </si>
  <si>
    <t>BromideNpcNmlDog06_Remake_0_0</t>
  </si>
  <si>
    <t>FtrCushionJapan_Remake_0_2</t>
  </si>
  <si>
    <t>TopsTexOnepieceBlongLShirt1</t>
  </si>
  <si>
    <t>BromideNpcNmlDog06_Remake_1_0</t>
  </si>
  <si>
    <t>TopsTexOnepieceBlongLShirt3</t>
  </si>
  <si>
    <t>FtrCushionJapan_Remake_0_3</t>
  </si>
  <si>
    <t>BromideNpcNmlDog06_Remake_2_0</t>
  </si>
  <si>
    <t>BromideNpcNmlDog06_Remake_3_0</t>
  </si>
  <si>
    <t>TopsTexOnepieceBlongLShirt4</t>
  </si>
  <si>
    <t>FtrCushionJapan_Remake_0_4</t>
  </si>
  <si>
    <t>BromideNpcNmlDog06_Remake_4_0</t>
  </si>
  <si>
    <t>TopsTexOnepieceBlongLShirt5</t>
  </si>
  <si>
    <t>BromideNpcNmlDog06_Remake_5_0</t>
  </si>
  <si>
    <t>BromideNpcNmlDog06_Remake_6_0</t>
  </si>
  <si>
    <t>FtrCushionJapan_Remake_0_5</t>
  </si>
  <si>
    <t>TopsTexOnepieceBlongLShirt2</t>
  </si>
  <si>
    <t>miko attire</t>
  </si>
  <si>
    <t>BromideNpcNmlDog06_Remake_7_0</t>
  </si>
  <si>
    <t>Walt's photo</t>
  </si>
  <si>
    <t>TopsTexOnepieceKimonoLMiko0</t>
  </si>
  <si>
    <t>BromideNpcNmlKgr08_Remake_0_0</t>
  </si>
  <si>
    <t>FtrCushionJapan_Remake_0_6</t>
  </si>
  <si>
    <t>zen-style stone</t>
  </si>
  <si>
    <t>White granite</t>
  </si>
  <si>
    <t>BromideNpcNmlKgr08_Remake_1_0</t>
  </si>
  <si>
    <t>TopsTexOnepieceKimonoLMiko1</t>
  </si>
  <si>
    <t>milkmaid dress</t>
  </si>
  <si>
    <t>TopsTexOnepieceDressHHolland1</t>
  </si>
  <si>
    <t>BromideNpcNmlKgr08_Remake_2_0</t>
  </si>
  <si>
    <t>FtrGravestoneJapan_Remake_0_0</t>
  </si>
  <si>
    <t>TopsTexOnepieceDressHHolland2</t>
  </si>
  <si>
    <t>BromideNpcNmlKgr08_Remake_3_0</t>
  </si>
  <si>
    <t>Andesite</t>
  </si>
  <si>
    <t>TopsTexOnepieceDressHHolland0</t>
  </si>
  <si>
    <t>BromideNpcNmlKgr08_Remake_4_0</t>
  </si>
  <si>
    <t>moldy dress</t>
  </si>
  <si>
    <t>FtrGravestoneJapan_Remake_1_0</t>
  </si>
  <si>
    <t>TopsTexOnepieceAlineLMold</t>
  </si>
  <si>
    <t>BromideNpcNmlKgr08_Remake_5_0</t>
  </si>
  <si>
    <t>morning-glory yukata</t>
  </si>
  <si>
    <t>Black granite</t>
  </si>
  <si>
    <t>TopsTexOnepieceKimonoLAsagao0</t>
  </si>
  <si>
    <t>BromideNpcNmlKgr08_Remake_6_0</t>
  </si>
  <si>
    <t>FtrGravestoneJapan_Remake_2_0</t>
  </si>
  <si>
    <t>Brown granite</t>
  </si>
  <si>
    <t>TopsTexOnepieceKimonoLAsagao2</t>
  </si>
  <si>
    <t>BromideNpcNmlKgr08_Remake_7_0</t>
  </si>
  <si>
    <t>Wart Jr.'s photo</t>
  </si>
  <si>
    <t>FtrGravestoneJapan_Remake_3_0</t>
  </si>
  <si>
    <t>Mossy stone</t>
  </si>
  <si>
    <t>TopsTexOnepieceKimonoLAsagao3</t>
  </si>
  <si>
    <t>BromideNpcNmlFlg05_Remake_0_0</t>
  </si>
  <si>
    <t>TopsTexOnepieceKimonoLAsagao1</t>
  </si>
  <si>
    <t>mummy outfit</t>
  </si>
  <si>
    <t>FtrGravestoneJapan_Remake_4_0</t>
  </si>
  <si>
    <t>TopsTexOnepieceOverallLMummyWhite</t>
  </si>
  <si>
    <t>mysterious dress</t>
  </si>
  <si>
    <t>BromideNpcNmlFlg05_Remake_1_0</t>
  </si>
  <si>
    <t>TopsTexOnepieceAlongLGothic2</t>
  </si>
  <si>
    <t>BromideNpcNmlFlg05_Remake_2_0</t>
  </si>
  <si>
    <t>TopsTexOnepieceAlongLGothic0</t>
  </si>
  <si>
    <t>BromideNpcNmlFlg05_Remake_3_0</t>
  </si>
  <si>
    <t>TopsTexOnepieceAlongLGothic1</t>
  </si>
  <si>
    <t>nightgown</t>
  </si>
  <si>
    <t>TopsTexOnepieceAlongHNegligee1</t>
  </si>
  <si>
    <t>BromideNpcNmlFlg05_Remake_4_0</t>
  </si>
  <si>
    <t>TopsTexOnepieceAlongHNegligee0</t>
  </si>
  <si>
    <t>BromideNpcNmlFlg05_Remake_5_0</t>
  </si>
  <si>
    <t>TopsTexOnepieceAlongHNegligee2</t>
  </si>
  <si>
    <t>BromideNpcNmlFlg05_Remake_6_0</t>
  </si>
  <si>
    <t>TopsTexOnepieceAlongHNegligee3</t>
  </si>
  <si>
    <t>BromideNpcNmlFlg05_Remake_7_0</t>
  </si>
  <si>
    <t>Weber's photo</t>
  </si>
  <si>
    <t>TopsTexOnepieceAlongHNegligee4</t>
  </si>
  <si>
    <t>ninja costume</t>
  </si>
  <si>
    <t>BromideNpcNmlDuk11_Remake_0_0</t>
  </si>
  <si>
    <t>TopsTexOnepieceOverallLNinja4</t>
  </si>
  <si>
    <t>BromideNpcNmlDuk11_Remake_1_0</t>
  </si>
  <si>
    <t>TopsTexOnepieceOverallLNinja5</t>
  </si>
  <si>
    <t>TopsTexOnepieceOverallLNinja6</t>
  </si>
  <si>
    <t>acorn knit cap</t>
  </si>
  <si>
    <t>BromideNpcNmlDuk11_Remake_2_0</t>
  </si>
  <si>
    <t>TopsTexOnepieceOverallLNinja7</t>
  </si>
  <si>
    <t>BromideNpcNmlDuk11_Remake_3_0</t>
  </si>
  <si>
    <t>CapHatAcorn1</t>
  </si>
  <si>
    <t>TopsTexOnepieceOverallLNinja0</t>
  </si>
  <si>
    <t>BromideNpcNmlDuk11_Remake_4_0</t>
  </si>
  <si>
    <t>TopsTexOnepieceOverallLNinja1</t>
  </si>
  <si>
    <t>CapHatAcorn2</t>
  </si>
  <si>
    <t>BromideNpcNmlDuk11_Remake_5_0</t>
  </si>
  <si>
    <t>TopsTexOnepieceOverallLNinja2</t>
  </si>
  <si>
    <t>CapHatAcorn3</t>
  </si>
  <si>
    <t>TopsTexOnepieceOverallLNinja3</t>
  </si>
  <si>
    <t>noble dress</t>
  </si>
  <si>
    <t>BromideNpcNmlDuk11_Remake_6_0</t>
  </si>
  <si>
    <t>CapHatAcorn4</t>
  </si>
  <si>
    <t>TopsTexOnepieceDressLNoble0</t>
  </si>
  <si>
    <t>BromideNpcNmlDuk11_Remake_7_0</t>
  </si>
  <si>
    <t>Wendy's photo</t>
  </si>
  <si>
    <t>CapHatAcorn5</t>
  </si>
  <si>
    <t>TopsTexOnepieceDressLNoble5</t>
  </si>
  <si>
    <t>Chestnut</t>
  </si>
  <si>
    <t>TopsTexOnepieceDressLNoble6</t>
  </si>
  <si>
    <t>BromideNpcNmlShp09_Remake_0_0</t>
  </si>
  <si>
    <t>CapHatAcorn0</t>
  </si>
  <si>
    <t>alpinist hat</t>
  </si>
  <si>
    <t>TopsTexOnepieceDressLNoble7</t>
  </si>
  <si>
    <t>BromideNpcNmlShp09_Remake_1_0</t>
  </si>
  <si>
    <t>CapHatTyrolean1</t>
  </si>
  <si>
    <t>TopsTexOnepieceDressLNoble1</t>
  </si>
  <si>
    <t>BromideNpcNmlShp09_Remake_2_0</t>
  </si>
  <si>
    <t>TopsTexOnepieceDressLNoble2</t>
  </si>
  <si>
    <t>CapHatTyrolean2</t>
  </si>
  <si>
    <t>TopsTexOnepieceDressLNoble3</t>
  </si>
  <si>
    <t>BromideNpcNmlShp09_Remake_3_0</t>
  </si>
  <si>
    <t>CapHatTyrolean0</t>
  </si>
  <si>
    <t>TopsTexOnepieceDressLNoble4</t>
  </si>
  <si>
    <t>ancient administrator hat</t>
  </si>
  <si>
    <t>noble zap suit</t>
  </si>
  <si>
    <t>BromideNpcNmlShp09_Remake_4_0</t>
  </si>
  <si>
    <t>TopsTexOnepieceAlineLHeroine0</t>
  </si>
  <si>
    <t>CapHatKanboBlack</t>
  </si>
  <si>
    <t>apple hat</t>
  </si>
  <si>
    <t>BromideNpcNmlShp09_Remake_5_0</t>
  </si>
  <si>
    <t>TopsTexOnepieceAlineLHeroine1</t>
  </si>
  <si>
    <t>CapHatApple0</t>
  </si>
  <si>
    <t>TopsTexOnepieceAlineLHeroine2</t>
  </si>
  <si>
    <t>Aran-knit cap</t>
  </si>
  <si>
    <t>BromideNpcNmlShp09_Remake_6_0</t>
  </si>
  <si>
    <t>TopsTexOnepieceAlineLHeroine3</t>
  </si>
  <si>
    <t>CapHatAlan1</t>
  </si>
  <si>
    <t>BromideNpcNmlShp09_Remake_7_0</t>
  </si>
  <si>
    <t>Whitney's photo</t>
  </si>
  <si>
    <t>TopsTexOnepieceAlineLHeroine4</t>
  </si>
  <si>
    <t>CapHatAlan2</t>
  </si>
  <si>
    <t>CapHatAlan3</t>
  </si>
  <si>
    <t>TopsTexOnepieceAlineLHeroine5</t>
  </si>
  <si>
    <t>TopsTexOnepieceAlineLHeroine6</t>
  </si>
  <si>
    <t>CapHatAlan0</t>
  </si>
  <si>
    <t>BromideNpcNmlWol03_Remake_0_0</t>
  </si>
  <si>
    <t>baby's hat</t>
  </si>
  <si>
    <t>TopsTexOnepieceAlineLHeroine7</t>
  </si>
  <si>
    <t>nurse's dress uniform</t>
  </si>
  <si>
    <t>CapBangsBonnet1</t>
  </si>
  <si>
    <t>TopsTexOnepieceBoxHNurse1</t>
  </si>
  <si>
    <t>BromideNpcNmlWol03_Remake_1_0</t>
  </si>
  <si>
    <t>CapBangsBonnet2</t>
  </si>
  <si>
    <t>TopsTexOnepieceBoxHNurse2</t>
  </si>
  <si>
    <t>BromideNpcNmlWol03_Remake_2_0</t>
  </si>
  <si>
    <t>TopsTexOnepieceBoxHNurse0</t>
  </si>
  <si>
    <t>office uniform</t>
  </si>
  <si>
    <t>CapBangsBonnet3</t>
  </si>
  <si>
    <t>TopsTexOnepieceBoxLOffice0</t>
  </si>
  <si>
    <t>CapBangsBonnet4</t>
  </si>
  <si>
    <t>BromideNpcNmlWol03_Remake_3_0</t>
  </si>
  <si>
    <t>TopsTexOnepieceBoxLOffice1</t>
  </si>
  <si>
    <t>TopsTexOnepieceBoxLOffice2</t>
  </si>
  <si>
    <t>CapBangsBonnet5</t>
  </si>
  <si>
    <t>old commoner's kimono</t>
  </si>
  <si>
    <t>BromideNpcNmlWol03_Remake_4_0</t>
  </si>
  <si>
    <t>TopsTexOnepieceKimonoLShitamachi1</t>
  </si>
  <si>
    <t>CapBangsBonnet6</t>
  </si>
  <si>
    <t>BromideNpcNmlWol03_Remake_5_0</t>
  </si>
  <si>
    <t>TopsTexOnepieceKimonoLShitamachi2</t>
  </si>
  <si>
    <t>CapBangsBonnet7</t>
  </si>
  <si>
    <t>BromideNpcNmlWol03_Remake_6_0</t>
  </si>
  <si>
    <t>TopsTexOnepieceKimonoLShitamachi3</t>
  </si>
  <si>
    <t>CapBangsBonnet0</t>
  </si>
  <si>
    <t>balloon hat</t>
  </si>
  <si>
    <t>TopsTexOnepieceKimonoLShitamachi0</t>
  </si>
  <si>
    <t>BromideNpcNmlWol03_Remake_7_0</t>
  </si>
  <si>
    <t>orange dress</t>
  </si>
  <si>
    <t>Willow's photo</t>
  </si>
  <si>
    <t>CapHatBalloon3</t>
  </si>
  <si>
    <t>TopsTexOnepieceAlineNOrange</t>
  </si>
  <si>
    <t>BromideNpcNmlShp07_Remake_0_0</t>
  </si>
  <si>
    <t>overall dress</t>
  </si>
  <si>
    <t>CapHatBalloon0</t>
  </si>
  <si>
    <t>TopsTexOnepieceBoxHJumperskirt1</t>
  </si>
  <si>
    <t>BromideNpcNmlShp07_Remake_1_0</t>
  </si>
  <si>
    <t>CapHatBalloon1</t>
  </si>
  <si>
    <t>TopsTexOnepieceBoxHJumperskirt2</t>
  </si>
  <si>
    <t>TopsTexOnepieceBoxHJumperskirt3</t>
  </si>
  <si>
    <t>BromideNpcNmlShp07_Remake_2_0</t>
  </si>
  <si>
    <t>CapHatBalloon2</t>
  </si>
  <si>
    <t>bamboo hat</t>
  </si>
  <si>
    <t>TopsTexOnepieceBoxHJumperskirt4</t>
  </si>
  <si>
    <t>CapHatAjiroBeige</t>
  </si>
  <si>
    <t>barrette</t>
  </si>
  <si>
    <t>BromideNpcNmlShp07_Remake_3_0</t>
  </si>
  <si>
    <t>TopsTexOnepieceBoxHJumperskirt0</t>
  </si>
  <si>
    <t>oversized print dress</t>
  </si>
  <si>
    <t>CapOrnamentTBarrette0</t>
  </si>
  <si>
    <t>BromideNpcNmlShp07_Remake_4_0</t>
  </si>
  <si>
    <t>TopsTexOnepieceBoxNStandard1</t>
  </si>
  <si>
    <t>baseball cap</t>
  </si>
  <si>
    <t>TopsTexOnepieceBoxNStandard2</t>
  </si>
  <si>
    <t>BromideNpcNmlShp07_Remake_5_0</t>
  </si>
  <si>
    <t>CapHatBaseball1</t>
  </si>
  <si>
    <t>TopsTexOnepieceBoxNStandard3</t>
  </si>
  <si>
    <t>BromideNpcNmlShp07_Remake_6_0</t>
  </si>
  <si>
    <t>CapHatBaseball2</t>
  </si>
  <si>
    <t>TopsTexOnepieceBoxNStandard4</t>
  </si>
  <si>
    <t>BromideNpcNmlShp07_Remake_7_0</t>
  </si>
  <si>
    <t>Winnie's photo</t>
  </si>
  <si>
    <t>TopsTexOnepieceBoxNStandard5</t>
  </si>
  <si>
    <t>CapHatBaseball3</t>
  </si>
  <si>
    <t>BromideNpcNmlHrs05_Remake_0_0</t>
  </si>
  <si>
    <t>TopsTexOnepieceBoxNStandard0</t>
  </si>
  <si>
    <t>oversized-sweats dress</t>
  </si>
  <si>
    <t>CapHatBaseball0</t>
  </si>
  <si>
    <t>BromideNpcNmlHrs05_Remake_1_0</t>
  </si>
  <si>
    <t>TopsTexOnepieceRibLSwitchsweat1</t>
  </si>
  <si>
    <t>BromideNpcNmlHrs05_Remake_2_0</t>
  </si>
  <si>
    <t>TopsTexOnepieceRibLSwitchsweat2</t>
  </si>
  <si>
    <t>CapHatBaseball4</t>
  </si>
  <si>
    <t>batter's helmet</t>
  </si>
  <si>
    <t>BromideNpcNmlHrs05_Remake_3_0</t>
  </si>
  <si>
    <t>TopsTexOnepieceRibLSwitchsweat0</t>
  </si>
  <si>
    <t>CapHelmetBaseball1</t>
  </si>
  <si>
    <t>TopsTexOnepieceRibLSwitchsweat3</t>
  </si>
  <si>
    <t>BromideNpcNmlHrs05_Remake_4_0</t>
  </si>
  <si>
    <t>TopsTexOnepieceRibLSwitchsweat4</t>
  </si>
  <si>
    <t>painter's coverall</t>
  </si>
  <si>
    <t>CapHelmetBaseball2</t>
  </si>
  <si>
    <t>BromideNpcNmlHrs05_Remake_5_0</t>
  </si>
  <si>
    <t>TopsTexOnepieceOverallLPaint0</t>
  </si>
  <si>
    <t>BromideNpcNmlHrs05_Remake_6_0</t>
  </si>
  <si>
    <t>CapHelmetBaseball3</t>
  </si>
  <si>
    <t>TopsTexOnepieceOverallLPaint1</t>
  </si>
  <si>
    <t>BromideNpcNmlHrs05_Remake_7_0</t>
  </si>
  <si>
    <t>Wolfgang's photo</t>
  </si>
  <si>
    <t>CapHelmetBaseball4</t>
  </si>
  <si>
    <t>TopsTexOnepieceOverallLPaint2</t>
  </si>
  <si>
    <t>pajama dress</t>
  </si>
  <si>
    <t>TopsTexOnepieceBoxLPajamas1</t>
  </si>
  <si>
    <t>BromideNpcNmlWol02_Remake_0_0</t>
  </si>
  <si>
    <t>CapHelmetBaseball0</t>
  </si>
  <si>
    <t>bear cap</t>
  </si>
  <si>
    <t>TopsTexOnepieceBoxLPajamas2</t>
  </si>
  <si>
    <t>CapBangsBear0</t>
  </si>
  <si>
    <t>BromideNpcNmlWol02_Remake_1_0</t>
  </si>
  <si>
    <t>TopsTexOnepieceBoxLPajamas3</t>
  </si>
  <si>
    <t>CapBangsBear1</t>
  </si>
  <si>
    <t>BromideNpcNmlWol02_Remake_2_0</t>
  </si>
  <si>
    <t>TopsTexOnepieceBoxLPajamas4</t>
  </si>
  <si>
    <t>TopsTexOnepieceBoxLPajamas0</t>
  </si>
  <si>
    <t>BromideNpcNmlWol02_Remake_3_0</t>
  </si>
  <si>
    <t>palatial tank dress</t>
  </si>
  <si>
    <t>CapBangsBear2</t>
  </si>
  <si>
    <t>TopsTexOnepieceAlongNNile</t>
  </si>
  <si>
    <t>BromideNpcNmlWol02_Remake_4_0</t>
  </si>
  <si>
    <t>parka and shirtdress</t>
  </si>
  <si>
    <t>TopsTexOnepieceRibLParkershirt1</t>
  </si>
  <si>
    <t>BromideNpcNmlWol02_Remake_5_0</t>
  </si>
  <si>
    <t>CapBangsBear3</t>
  </si>
  <si>
    <t>beret</t>
  </si>
  <si>
    <t>BromideNpcNmlWol02_Remake_6_0</t>
  </si>
  <si>
    <t>TopsTexOnepieceRibLParkershirt2</t>
  </si>
  <si>
    <t>TopsTexOnepieceRibLParkershirt0</t>
  </si>
  <si>
    <t>CapHatBeret0</t>
  </si>
  <si>
    <t>parka dress</t>
  </si>
  <si>
    <t>BromideNpcNmlWol02_Remake_7_0</t>
  </si>
  <si>
    <t>Yuka's photo</t>
  </si>
  <si>
    <t>TopsTexOnepieceRibLParka0</t>
  </si>
  <si>
    <t>BromideNpcNmlKal00_Remake_0_0</t>
  </si>
  <si>
    <t>CapHatBeret1</t>
  </si>
  <si>
    <t>TopsTexOnepieceRibLParka1</t>
  </si>
  <si>
    <t>BromideNpcNmlKal00_Remake_1_0</t>
  </si>
  <si>
    <t>CapHatBeret2</t>
  </si>
  <si>
    <t>TopsTexOnepieceRibLParka2</t>
  </si>
  <si>
    <t>BromideNpcNmlKal00_Remake_2_0</t>
  </si>
  <si>
    <t>CapHatBeret3</t>
  </si>
  <si>
    <t>TopsTexOnepieceRibLParka3</t>
  </si>
  <si>
    <t>BromideNpcNmlKal00_Remake_3_0</t>
  </si>
  <si>
    <t>TopsTexOnepieceRibLParka4</t>
  </si>
  <si>
    <t>peach dress</t>
  </si>
  <si>
    <t>CapHatBeret4</t>
  </si>
  <si>
    <t>BromideNpcNmlKal00_Remake_4_0</t>
  </si>
  <si>
    <t>TopsTexOnepieceAlineNPeach0</t>
  </si>
  <si>
    <t>peacoat-and-skirt combo</t>
  </si>
  <si>
    <t>CapHatBeret5</t>
  </si>
  <si>
    <t>bicycle helmet</t>
  </si>
  <si>
    <t>BromideNpcNmlKal00_Remake_5_0</t>
  </si>
  <si>
    <t>TopsTexOnepieceAlineLPcoat0</t>
  </si>
  <si>
    <t>CapHatCyclemet2</t>
  </si>
  <si>
    <t>BromideNpcNmlKal00_Remake_6_0</t>
  </si>
  <si>
    <t>BromideNpcNmlKal00_Remake_7_0</t>
  </si>
  <si>
    <t>CapHatCyclemet3</t>
  </si>
  <si>
    <t>Zell's photo</t>
  </si>
  <si>
    <t>TopsTexOnepieceAlineLPcoat1</t>
  </si>
  <si>
    <t>pear dress</t>
  </si>
  <si>
    <t>BromideNpcNmlDer02_Remake_0_0</t>
  </si>
  <si>
    <t>CapHatCyclemet4</t>
  </si>
  <si>
    <t>TopsTexOnepieceAlineNPear0</t>
  </si>
  <si>
    <t>pharaoh's outfit</t>
  </si>
  <si>
    <t>BromideNpcNmlDer02_Remake_1_0</t>
  </si>
  <si>
    <t>TopsTexOnepieceBlongHEgypt</t>
  </si>
  <si>
    <t>pilot's uniform</t>
  </si>
  <si>
    <t>CapHatCyclemet5</t>
  </si>
  <si>
    <t>BromideNpcNmlDer02_Remake_2_0</t>
  </si>
  <si>
    <t>TopsTexOnepieceOverallLPilot2</t>
  </si>
  <si>
    <t>CapHatCyclemet6</t>
  </si>
  <si>
    <t>BromideNpcNmlDer02_Remake_3_0</t>
  </si>
  <si>
    <t>TopsTexOnepieceOverallLPilot0</t>
  </si>
  <si>
    <t>BromideNpcNmlDer02_Remake_4_0</t>
  </si>
  <si>
    <t>TopsTexOnepieceOverallLPilot1</t>
  </si>
  <si>
    <t>pinafore</t>
  </si>
  <si>
    <t>CapHatCyclemet7</t>
  </si>
  <si>
    <t>BromideNpcNmlDer02_Remake_5_0</t>
  </si>
  <si>
    <t>TopsTexOnepieceBlongLKappogi1</t>
  </si>
  <si>
    <t>Muslin</t>
  </si>
  <si>
    <t>CapHatCyclemet1</t>
  </si>
  <si>
    <t>BromideNpcNmlDer02_Remake_6_0</t>
  </si>
  <si>
    <t>TopsTexOnepieceBlongLKappogi2</t>
  </si>
  <si>
    <t>CapHatCyclemet0</t>
  </si>
  <si>
    <t>TopsTexOnepieceBlongLKappogi0</t>
  </si>
  <si>
    <t>birthday hat</t>
  </si>
  <si>
    <t>pineapple dress</t>
  </si>
  <si>
    <t>BromideNpcNmlDer02_Remake_7_0</t>
  </si>
  <si>
    <t>TopsTexOnepieceAlineNPineapple</t>
  </si>
  <si>
    <t>pintuck-pleated dress</t>
  </si>
  <si>
    <t>CapHatBirthday0</t>
  </si>
  <si>
    <t>Zucker's photo</t>
  </si>
  <si>
    <t>TopsTexOnepieceBalloonHDolly0</t>
  </si>
  <si>
    <t>CapHatBirthday1</t>
  </si>
  <si>
    <t>BromideNpcNmlOcp02_Remake_0_0</t>
  </si>
  <si>
    <t>TopsTexOnepieceBalloonHDolly1</t>
  </si>
  <si>
    <t>CapHatBirthday2</t>
  </si>
  <si>
    <t>blue rose crown</t>
  </si>
  <si>
    <t>TopsTexOnepieceBalloonHDolly2</t>
  </si>
  <si>
    <t>BromideNpcNmlOcp02_Remake_1_0</t>
  </si>
  <si>
    <t>CapOrnamentRose4</t>
  </si>
  <si>
    <t>TopsTexOnepieceBalloonHDolly3</t>
  </si>
  <si>
    <t>bowler hat with ribbon</t>
  </si>
  <si>
    <t>BromideNpcNmlOcp02_Remake_2_0</t>
  </si>
  <si>
    <t>TopsTexOnepieceBalloonHDolly4</t>
  </si>
  <si>
    <t>CapHatBowler1</t>
  </si>
  <si>
    <t>TopsTexOnepieceBalloonHDolly5</t>
  </si>
  <si>
    <t>PJ outfit</t>
  </si>
  <si>
    <t>CapHatBowler2</t>
  </si>
  <si>
    <t>BromideNpcNmlOcp02_Remake_3_0</t>
  </si>
  <si>
    <t>TopsTexOnepieceOverallLPajama1</t>
  </si>
  <si>
    <t>TopsTexOnepieceOverallLPajama2</t>
  </si>
  <si>
    <t>CapHatBowler3</t>
  </si>
  <si>
    <t>BromideNpcNmlOcp02_Remake_4_0</t>
  </si>
  <si>
    <t>TopsTexOnepieceOverallLPajama3</t>
  </si>
  <si>
    <t>TopsTexOnepieceOverallLPajama4</t>
  </si>
  <si>
    <t>BromideNpcNmlOcp02_Remake_5_0</t>
  </si>
  <si>
    <t>CapHatBowler4</t>
  </si>
  <si>
    <t>TopsTexOnepieceOverallLPajama0</t>
  </si>
  <si>
    <t>plaid-print dress</t>
  </si>
  <si>
    <t>BromideNpcNmlOcp02_Remake_6_0</t>
  </si>
  <si>
    <t>CapHatBowler0</t>
  </si>
  <si>
    <t>bun wig</t>
  </si>
  <si>
    <t>TopsTexOnepieceBalloonNBlockcheck1</t>
  </si>
  <si>
    <t>BromideNpcNmlOcp02_Remake_7_0</t>
  </si>
  <si>
    <t>CapWigDoublebun0</t>
  </si>
  <si>
    <t>TopsTexOnepieceBalloonNBlockcheck0</t>
  </si>
  <si>
    <t>TopsTexOnepieceBalloonNBlockcheck2</t>
  </si>
  <si>
    <t>CapWigDoublebun3</t>
  </si>
  <si>
    <t>TopsTexOnepieceBalloonNBlockcheck3</t>
  </si>
  <si>
    <t>plover dress</t>
  </si>
  <si>
    <t>CapWigDoublebun4</t>
  </si>
  <si>
    <t>TopsTexOnepieceBoxLChidori1</t>
  </si>
  <si>
    <t>CapWigDoublebun5</t>
  </si>
  <si>
    <t>TopsTexOnepieceBoxLChidori2</t>
  </si>
  <si>
    <t>CapWigDoublebun6</t>
  </si>
  <si>
    <t>TopsTexOnepieceBoxLChidori0</t>
  </si>
  <si>
    <t>power suit</t>
  </si>
  <si>
    <t>CapWigDoublebun1</t>
  </si>
  <si>
    <t>TopsTexOnepieceOverallLPowered1</t>
  </si>
  <si>
    <t>TopsTexOnepieceOverallLPowered2</t>
  </si>
  <si>
    <t>CapWigDoublebun2</t>
  </si>
  <si>
    <t>Bunny Day crown</t>
  </si>
  <si>
    <t>TopsTexOnepieceOverallLPoweredRed</t>
  </si>
  <si>
    <t>CapOrnamentCEgg0</t>
  </si>
  <si>
    <t>bunny ears</t>
  </si>
  <si>
    <t>TopsTexOnepieceOverallLPowered3</t>
  </si>
  <si>
    <t>prim outfit</t>
  </si>
  <si>
    <t>CapOrnamentFBunny1</t>
  </si>
  <si>
    <t>TopsTexOnepieceBoxLEnsemble1</t>
  </si>
  <si>
    <t>TopsTexOnepieceBoxLEnsemble2</t>
  </si>
  <si>
    <t>3D glasses</t>
  </si>
  <si>
    <t>CapOrnamentFBunny2</t>
  </si>
  <si>
    <t>TopsTexOnepieceBoxLEnsemble0</t>
  </si>
  <si>
    <t>princess dress</t>
  </si>
  <si>
    <t>AccessoryGlassThreed0</t>
  </si>
  <si>
    <t>TopsTexOnepieceDressLPrincess0</t>
  </si>
  <si>
    <t>CapOrnamentFBunny3</t>
  </si>
  <si>
    <t>TopsTexOnepieceDressLPrincess1</t>
  </si>
  <si>
    <t>AccessoryGlassThreed1</t>
  </si>
  <si>
    <t>bandage</t>
  </si>
  <si>
    <t>CapOrnamentFBunny0</t>
  </si>
  <si>
    <t>bunny hood</t>
  </si>
  <si>
    <t>TopsTexOnepieceDressLPrincess2</t>
  </si>
  <si>
    <t>TopsTexOnepieceDressLPrincess3</t>
  </si>
  <si>
    <t>CapBangsRabbit1</t>
  </si>
  <si>
    <t>AccessoryMouthBandageSkin</t>
  </si>
  <si>
    <t>beak</t>
  </si>
  <si>
    <t>TopsTexOnepieceDressLPrincess4</t>
  </si>
  <si>
    <t>CapBangsRabbit2</t>
  </si>
  <si>
    <t>AccessoryMouthBeakYellow</t>
  </si>
  <si>
    <t>birthday shades</t>
  </si>
  <si>
    <t>TopsTexOnepieceDressLPrincess5</t>
  </si>
  <si>
    <t>CapBangsRabbit0</t>
  </si>
  <si>
    <t>captain's hat</t>
  </si>
  <si>
    <t>AccessoryGlassBirthday0</t>
  </si>
  <si>
    <t>CapHatCaptainWhite</t>
  </si>
  <si>
    <t>cat cap</t>
  </si>
  <si>
    <t>TopsTexOnepieceDressLPrincess6</t>
  </si>
  <si>
    <t>AccessoryGlassBirthday1</t>
  </si>
  <si>
    <t>CapBangsCat1</t>
  </si>
  <si>
    <t>TopsTexOnepieceDressLPrincess7</t>
  </si>
  <si>
    <t>racing outfit</t>
  </si>
  <si>
    <t>AccessoryGlassBirthday2</t>
  </si>
  <si>
    <t>CapBangsCat2</t>
  </si>
  <si>
    <t>TopsTexOnepieceOverallLRacer1</t>
  </si>
  <si>
    <t>AccessoryGlassBirthday3</t>
  </si>
  <si>
    <t>bottom-rimmed glasses</t>
  </si>
  <si>
    <t>CapBangsCat0</t>
  </si>
  <si>
    <t>catcher's mask</t>
  </si>
  <si>
    <t>TopsTexOnepieceOverallLRacer2</t>
  </si>
  <si>
    <t>AccessoryGlassLoose0</t>
  </si>
  <si>
    <t>CapFullfaceCatcher1</t>
  </si>
  <si>
    <t>TopsTexOnepieceOverallLRacer3</t>
  </si>
  <si>
    <t>AccessoryGlassLoose1</t>
  </si>
  <si>
    <t>CapFullfaceCatcher2</t>
  </si>
  <si>
    <t>TopsTexOnepieceOverallLRacer0</t>
  </si>
  <si>
    <t>rad power skirt suit</t>
  </si>
  <si>
    <t>CapFullfaceCatcher3</t>
  </si>
  <si>
    <t>AccessoryGlassLoose2</t>
  </si>
  <si>
    <t>CapFullfaceCatcher4</t>
  </si>
  <si>
    <t>TopsTexOnepieceBoxLBubbly0</t>
  </si>
  <si>
    <t>AccessoryGlassLoose3</t>
  </si>
  <si>
    <t>CapFullfaceCatcher0</t>
  </si>
  <si>
    <t>cavalier hat</t>
  </si>
  <si>
    <t>AccessoryGlassLoose4</t>
  </si>
  <si>
    <t>TopsTexOnepieceBoxLBubbly1</t>
  </si>
  <si>
    <t>CapHatCavalier1</t>
  </si>
  <si>
    <t>AccessoryGlassLoose5</t>
  </si>
  <si>
    <t>CapHatCavalier2</t>
  </si>
  <si>
    <t>TopsTexOnepieceBoxLBubbly2</t>
  </si>
  <si>
    <t>CapHatCavalier0</t>
  </si>
  <si>
    <t>chef's hat</t>
  </si>
  <si>
    <t>AccessoryGlassLoose6</t>
  </si>
  <si>
    <t>browline glasses</t>
  </si>
  <si>
    <t>TopsTexOnepieceBoxLBubbly3</t>
  </si>
  <si>
    <t>CapHatCockWhite</t>
  </si>
  <si>
    <t>cherry hat</t>
  </si>
  <si>
    <t>AccessoryGlassThurmont0</t>
  </si>
  <si>
    <t>TopsTexOnepieceBoxLBubbly4</t>
  </si>
  <si>
    <t>CapHatCherry0</t>
  </si>
  <si>
    <t>chic mum crown</t>
  </si>
  <si>
    <t>AccessoryGlassThurmont1</t>
  </si>
  <si>
    <t>CapOrnamentMum2</t>
  </si>
  <si>
    <t>AccessoryGlassThurmont2</t>
  </si>
  <si>
    <t>chic rose crown</t>
  </si>
  <si>
    <t>TopsTexOnepieceBoxLBubbly5</t>
  </si>
  <si>
    <t>AccessoryGlassThurmont3</t>
  </si>
  <si>
    <t>bubblegum</t>
  </si>
  <si>
    <t>CapOrnamentRose3</t>
  </si>
  <si>
    <t>chic tulip crown</t>
  </si>
  <si>
    <t>TopsTexOnepieceBoxLBubbly6</t>
  </si>
  <si>
    <t>Renaissance dress</t>
  </si>
  <si>
    <t>AccessoryMouthBubblegum0</t>
  </si>
  <si>
    <t>CapOrnamentTulip2</t>
  </si>
  <si>
    <t>coin headpiece</t>
  </si>
  <si>
    <t>AccessoryMouthBubblegum1</t>
  </si>
  <si>
    <t>TopsTexOnepieceAlongLRenaissance2</t>
  </si>
  <si>
    <t>AccessoryMouthBubblegum2</t>
  </si>
  <si>
    <t>CapHelmetCoinGold</t>
  </si>
  <si>
    <t>colorful striped knit cap</t>
  </si>
  <si>
    <t>AccessoryMouthBubblegum3</t>
  </si>
  <si>
    <t>TopsTexOnepieceAlongLRenaissance3</t>
  </si>
  <si>
    <t>CapHatColorful1</t>
  </si>
  <si>
    <t>AccessoryMouthBubblegum4</t>
  </si>
  <si>
    <t>bunny nose</t>
  </si>
  <si>
    <t>CapHatColorful2</t>
  </si>
  <si>
    <t>TopsTexOnepieceAlongLRenaissance4</t>
  </si>
  <si>
    <t>AccessoryMouthRabbit0</t>
  </si>
  <si>
    <t>AccessoryMouthRabbit1</t>
  </si>
  <si>
    <t>CapHatColorful3</t>
  </si>
  <si>
    <t>TopsTexOnepieceAlongLRenaissance5</t>
  </si>
  <si>
    <t>AccessoryMouthRabbit2</t>
  </si>
  <si>
    <t>butterfly shades</t>
  </si>
  <si>
    <t>CapHatColorful0</t>
  </si>
  <si>
    <t>AccessoryGlassButterfly0</t>
  </si>
  <si>
    <t>TopsTexOnepieceAlongLRenaissance0</t>
  </si>
  <si>
    <t>CapHatColorful4</t>
  </si>
  <si>
    <t>AccessoryGlassButterfly1</t>
  </si>
  <si>
    <t>AccessoryGlassButterfly2</t>
  </si>
  <si>
    <t>candy-skull mask</t>
  </si>
  <si>
    <t>TopsTexOnepieceAlongLRenaissance1</t>
  </si>
  <si>
    <t>retro A-line dress</t>
  </si>
  <si>
    <t>CapHatColorful5</t>
  </si>
  <si>
    <t>combat helmet</t>
  </si>
  <si>
    <t>AccessoryGlassmouthCatrina0</t>
  </si>
  <si>
    <t>CapHatCombat0</t>
  </si>
  <si>
    <t>AccessoryGlassmouthCatrina1</t>
  </si>
  <si>
    <t>TopsTexOnepieceAlineLRetro3</t>
  </si>
  <si>
    <t>CapHatCombat1</t>
  </si>
  <si>
    <t>composer's wig</t>
  </si>
  <si>
    <t>AccessoryGlassmouthCatrina2</t>
  </si>
  <si>
    <t>cat nose</t>
  </si>
  <si>
    <t>Hair Color</t>
  </si>
  <si>
    <t>TopsTexOnepieceAlineLRetro4</t>
  </si>
  <si>
    <t>CapHelmetMusicBlack</t>
  </si>
  <si>
    <t>cool hyacinth crown</t>
  </si>
  <si>
    <t>AccessoryMouthCat0</t>
  </si>
  <si>
    <t>TopsTexOnepieceAlineLRetro1</t>
  </si>
  <si>
    <t>CapOrnamentHyacinth2</t>
  </si>
  <si>
    <t>cool pansy crown</t>
  </si>
  <si>
    <t>AccessoryMouthCat1</t>
  </si>
  <si>
    <t>CapOrnamentPansy2</t>
  </si>
  <si>
    <t>TopsTexOnepieceAlineLRetro2</t>
  </si>
  <si>
    <t>cool windflower crown</t>
  </si>
  <si>
    <t>AccessoryMouthCat2</t>
  </si>
  <si>
    <t>cucumber pack</t>
  </si>
  <si>
    <t>CapOrnamentAnemone2</t>
  </si>
  <si>
    <t>cosmos crown</t>
  </si>
  <si>
    <t>TopsTexOnepieceAlineLRetro0</t>
  </si>
  <si>
    <t>retro dress</t>
  </si>
  <si>
    <t>CapOrnamentCosmos1</t>
  </si>
  <si>
    <t>AccessoryMouthCucumber</t>
  </si>
  <si>
    <t>crown</t>
  </si>
  <si>
    <t>curly mustache</t>
  </si>
  <si>
    <t>TopsTexOnepieceBoxNRetro1</t>
  </si>
  <si>
    <t>CapOrnamentAQueen0</t>
  </si>
  <si>
    <t>cute lily crown</t>
  </si>
  <si>
    <t>AccessoryMouthRollingmustacheBlack</t>
  </si>
  <si>
    <t>TopsTexOnepieceBoxNRetro2</t>
  </si>
  <si>
    <t>cyber shades</t>
  </si>
  <si>
    <t>CapOrnamentYuri2</t>
  </si>
  <si>
    <t>cute rose crown</t>
  </si>
  <si>
    <t>TopsTexOnepieceBoxNRetro3</t>
  </si>
  <si>
    <t>AccessoryGlassCyber0</t>
  </si>
  <si>
    <t>TopsTexOnepieceBoxNRetro4</t>
  </si>
  <si>
    <t>CapOrnamentRose2</t>
  </si>
  <si>
    <t>cycling cap</t>
  </si>
  <si>
    <t>TopsTexOnepieceBoxNRetro5</t>
  </si>
  <si>
    <t>AccessoryGlassCyber1</t>
  </si>
  <si>
    <t>CapHatCycle0</t>
  </si>
  <si>
    <t>TopsTexOnepieceBoxNRetro0</t>
  </si>
  <si>
    <t>Yellow &amp; avocado</t>
  </si>
  <si>
    <t>retro sleeveless dress</t>
  </si>
  <si>
    <t>CapHatCycle3</t>
  </si>
  <si>
    <t>AccessoryGlassCyber2</t>
  </si>
  <si>
    <t>TopsTexOnepieceBoxNModern4</t>
  </si>
  <si>
    <t>CapHatCycle4</t>
  </si>
  <si>
    <t>AccessoryGlassCyber3</t>
  </si>
  <si>
    <t>TopsTexOnepieceBoxNModern0</t>
  </si>
  <si>
    <t>CapHatCycle5</t>
  </si>
  <si>
    <t>TopsTexOnepieceBoxNModern1</t>
  </si>
  <si>
    <t>Lime &amp; purple</t>
  </si>
  <si>
    <t>AccessoryGlassCyber4</t>
  </si>
  <si>
    <t>TopsTexOnepieceBoxNModern2</t>
  </si>
  <si>
    <t>CapHatCycle6</t>
  </si>
  <si>
    <t>Blue &amp; purple</t>
  </si>
  <si>
    <t>TopsTexOnepieceBoxNModern3</t>
  </si>
  <si>
    <t>ruffled dress</t>
  </si>
  <si>
    <t>CapHatCycle7</t>
  </si>
  <si>
    <t>AccessoryGlassCyber5</t>
  </si>
  <si>
    <t>TopsTexOnepieceBalloonLCorset1</t>
  </si>
  <si>
    <t>DAL eye mask</t>
  </si>
  <si>
    <t>CapHatCycle1</t>
  </si>
  <si>
    <t>TopsTexOnepieceBalloonLCorset2</t>
  </si>
  <si>
    <t>AccessoryGlassDalmask0</t>
  </si>
  <si>
    <t>DAL sunglasses</t>
  </si>
  <si>
    <t>TopsTexOnepieceBalloonLCorset0</t>
  </si>
  <si>
    <t>rugby uniform</t>
  </si>
  <si>
    <t>CapHatCycle2</t>
  </si>
  <si>
    <t>AccessoryGlassDalglass0</t>
  </si>
  <si>
    <t>DAL cap</t>
  </si>
  <si>
    <t>doctor's mask</t>
  </si>
  <si>
    <t>TopsTexOnepieceOverallHRugby1</t>
  </si>
  <si>
    <t>AccessoryMouthMaskWhite</t>
  </si>
  <si>
    <t>dog nose</t>
  </si>
  <si>
    <t>CapHatDal0</t>
  </si>
  <si>
    <t>TopsTexOnepieceOverallHRugby0</t>
  </si>
  <si>
    <t>dandy hat</t>
  </si>
  <si>
    <t>AccessoryMouthDog0</t>
  </si>
  <si>
    <t>TopsTexOnepieceOverallHRugby2</t>
  </si>
  <si>
    <t>Orange &amp; white</t>
  </si>
  <si>
    <t>CapHatCasquette1</t>
  </si>
  <si>
    <t>TopsTexOnepieceOverallHRugby3</t>
  </si>
  <si>
    <t>AccessoryMouthDog1</t>
  </si>
  <si>
    <t>TopsTexOnepieceOverallHRugby4</t>
  </si>
  <si>
    <t>CapHatCasquette2</t>
  </si>
  <si>
    <t>Blue &amp; black</t>
  </si>
  <si>
    <t>TopsTexOnepieceOverallHRugby5</t>
  </si>
  <si>
    <t>CapHatCasquette3</t>
  </si>
  <si>
    <t>Green &amp; black</t>
  </si>
  <si>
    <t>AccessoryMouthDog2</t>
  </si>
  <si>
    <t>double-bridge glasses</t>
  </si>
  <si>
    <t>TopsTexOnepieceOverallHRugby6</t>
  </si>
  <si>
    <t>CapHatCasquette4</t>
  </si>
  <si>
    <t>AccessoryGlassDoublebridge0</t>
  </si>
  <si>
    <t>TopsTexOnepieceOverallHRugby7</t>
  </si>
  <si>
    <t>rumba costume</t>
  </si>
  <si>
    <t>CapHatCasquette5</t>
  </si>
  <si>
    <t>TopsTexOnepieceSalopetteLRumba0</t>
  </si>
  <si>
    <t>AccessoryGlassDoublebridge1</t>
  </si>
  <si>
    <t>CapHatCasquette0</t>
  </si>
  <si>
    <t>dark cosmos crown</t>
  </si>
  <si>
    <t>TopsTexOnepieceSalopetteLRumba1</t>
  </si>
  <si>
    <t>AccessoryGlassDoublebridge2</t>
  </si>
  <si>
    <t>CapOrnamentCosmos3</t>
  </si>
  <si>
    <t>dark lily crown</t>
  </si>
  <si>
    <t>TopsTexOnepieceSalopetteLRumba2</t>
  </si>
  <si>
    <t>rumba dress</t>
  </si>
  <si>
    <t>CapOrnamentYuri3</t>
  </si>
  <si>
    <t>dark tulip crown</t>
  </si>
  <si>
    <t>AccessoryGlassDoublebridge3</t>
  </si>
  <si>
    <t>drinking-straw glasses</t>
  </si>
  <si>
    <t>TopsTexOnepieceAlongHRumba1</t>
  </si>
  <si>
    <t>AccessoryGlassmouthStraw0</t>
  </si>
  <si>
    <t>CapOrnamentTulip3</t>
  </si>
  <si>
    <t>denim cap</t>
  </si>
  <si>
    <t>TopsTexOnepieceAlongHRumba2</t>
  </si>
  <si>
    <t>CapHatDenim0</t>
  </si>
  <si>
    <t>AccessoryGlassmouthStraw1</t>
  </si>
  <si>
    <t>TopsTexOnepieceAlongHRumba0</t>
  </si>
  <si>
    <t>CapHatDenim1</t>
  </si>
  <si>
    <t>sailor-collar dress</t>
  </si>
  <si>
    <t>AccessoryGlassmouthStraw2</t>
  </si>
  <si>
    <t>CapHatDenim2</t>
  </si>
  <si>
    <t>TopsTexOnepieceBalloonHMarine1</t>
  </si>
  <si>
    <t>AccessoryGlassmouthStraw3</t>
  </si>
  <si>
    <t>eye mask</t>
  </si>
  <si>
    <t>CapHatDenim3</t>
  </si>
  <si>
    <t>detective hat</t>
  </si>
  <si>
    <t>TopsTexOnepieceBalloonHMarine2</t>
  </si>
  <si>
    <t>CapHatDetective0</t>
  </si>
  <si>
    <t>AccessoryGlassMask0</t>
  </si>
  <si>
    <t>TopsTexOnepieceBalloonHMarine3</t>
  </si>
  <si>
    <t>CapHatDetective1</t>
  </si>
  <si>
    <t>AccessoryGlassMask1</t>
  </si>
  <si>
    <t>CapHatDetective2</t>
  </si>
  <si>
    <t>TopsTexOnepieceBalloonHMarine0</t>
  </si>
  <si>
    <t>DJ cap</t>
  </si>
  <si>
    <t>sari</t>
  </si>
  <si>
    <t>AccessoryGlassMask2</t>
  </si>
  <si>
    <t>CapBangsHeadphone0</t>
  </si>
  <si>
    <t>TopsTexOnepieceBlongHSally1</t>
  </si>
  <si>
    <t>AccessoryGlassMask3</t>
  </si>
  <si>
    <t>Garnet</t>
  </si>
  <si>
    <t>CapBangsHeadphone1</t>
  </si>
  <si>
    <t>TopsTexOnepieceBlongHSally0</t>
  </si>
  <si>
    <t>AccessoryGlassMask4</t>
  </si>
  <si>
    <t>CapBangsHeadphone2</t>
  </si>
  <si>
    <t>Topaz</t>
  </si>
  <si>
    <t>TopsTexOnepieceBlongHSally2</t>
  </si>
  <si>
    <t>CapBangsHeadphone3</t>
  </si>
  <si>
    <t>AccessoryGlassMask5</t>
  </si>
  <si>
    <t>do-rag</t>
  </si>
  <si>
    <t>eye patch</t>
  </si>
  <si>
    <t>Amethyst</t>
  </si>
  <si>
    <t>AccessoryGlassPatchBlack</t>
  </si>
  <si>
    <t>facial mask</t>
  </si>
  <si>
    <t>CapHatTriangle1</t>
  </si>
  <si>
    <t>TopsTexOnepieceBlongHSally3</t>
  </si>
  <si>
    <t>satin dress</t>
  </si>
  <si>
    <t>AccessoryGlassmouthPackWhite</t>
  </si>
  <si>
    <t>fake nose</t>
  </si>
  <si>
    <t>CapHatTriangle2</t>
  </si>
  <si>
    <t>AccessoryGlassmouthNoseRed</t>
  </si>
  <si>
    <t>flower sunglasses</t>
  </si>
  <si>
    <t>TopsTexOnepieceBalloonNSatin1</t>
  </si>
  <si>
    <t>AccessoryGlassFlower0</t>
  </si>
  <si>
    <t>CapHatTriangle3</t>
  </si>
  <si>
    <t>AccessoryGlassFlower1</t>
  </si>
  <si>
    <t>TopsTexOnepieceBalloonNSatin2</t>
  </si>
  <si>
    <t>CapHatTriangle4</t>
  </si>
  <si>
    <t>AccessoryGlassFlower2</t>
  </si>
  <si>
    <t>AccessoryGlassFlower3</t>
  </si>
  <si>
    <t>CapHatTriangle5</t>
  </si>
  <si>
    <t>TopsTexOnepieceBalloonNSatin3</t>
  </si>
  <si>
    <t>AccessoryGlassFlower4</t>
  </si>
  <si>
    <t>CapHatTriangle6</t>
  </si>
  <si>
    <t>food mess</t>
  </si>
  <si>
    <t>TopsTexOnepieceBalloonNSatin4</t>
  </si>
  <si>
    <t>AccessoryMouthPasta</t>
  </si>
  <si>
    <t>funny glasses</t>
  </si>
  <si>
    <t>CapHatTriangle0</t>
  </si>
  <si>
    <t>AccessoryGlassEyes0</t>
  </si>
  <si>
    <t>TopsTexOnepieceBalloonNSatin0</t>
  </si>
  <si>
    <t>CapHatTriangle7</t>
  </si>
  <si>
    <t>school smock</t>
  </si>
  <si>
    <t>dotted shower cap</t>
  </si>
  <si>
    <t>AccessoryGlassEyes1</t>
  </si>
  <si>
    <t>AccessoryGlassEyes2</t>
  </si>
  <si>
    <t>gas mask</t>
  </si>
  <si>
    <t>CapHatShowercap0</t>
  </si>
  <si>
    <t>TopsTexOnepieceBoxLSchoolsmockNavy</t>
  </si>
  <si>
    <t>security uniform</t>
  </si>
  <si>
    <t>AccessoryGlassmouthGasmask0</t>
  </si>
  <si>
    <t>CapHatShowercap1</t>
  </si>
  <si>
    <t>earth-egg shell</t>
  </si>
  <si>
    <t>TopsTexOnepieceOverallLPoliceNavy</t>
  </si>
  <si>
    <t>shawl-and-dress combo</t>
  </si>
  <si>
    <t>AccessoryGlassmouthGasmask1</t>
  </si>
  <si>
    <t>glass-bottle glasses</t>
  </si>
  <si>
    <t>CapHatEggground0</t>
  </si>
  <si>
    <t>egg party hat</t>
  </si>
  <si>
    <t>AccessoryGlassBottleBlack</t>
  </si>
  <si>
    <t>goatee</t>
  </si>
  <si>
    <t>TopsTexOnepieceRibLShawl0</t>
  </si>
  <si>
    <t>CapHatEggparty0</t>
  </si>
  <si>
    <t>AccessoryMouthBeardChinBlack</t>
  </si>
  <si>
    <t>eggshell</t>
  </si>
  <si>
    <t>goggles</t>
  </si>
  <si>
    <t>AccessoryGlassGoggles0</t>
  </si>
  <si>
    <t>TopsTexOnepieceRibLShawl1</t>
  </si>
  <si>
    <t>CapHatEggWhite</t>
  </si>
  <si>
    <t>elder mask</t>
  </si>
  <si>
    <t>AccessoryGlassGoggles1</t>
  </si>
  <si>
    <t>CapMaskOkinaWhite</t>
  </si>
  <si>
    <t>AccessoryGlassGoggles2</t>
  </si>
  <si>
    <t>elegant hat</t>
  </si>
  <si>
    <t>TopsTexOnepieceRibLShawl2</t>
  </si>
  <si>
    <t>AccessoryGlassGoggles3</t>
  </si>
  <si>
    <t>CapHatElegant0</t>
  </si>
  <si>
    <t>AccessoryGlassGoggles4</t>
  </si>
  <si>
    <t>TopsTexOnepieceRibLShawl3</t>
  </si>
  <si>
    <t>sheep costume</t>
  </si>
  <si>
    <t>CapHatElegant3</t>
  </si>
  <si>
    <t>AccessoryGlassGoggles5</t>
  </si>
  <si>
    <t>handlebar mustache</t>
  </si>
  <si>
    <t>TopsTexOnepieceRibNSheep1</t>
  </si>
  <si>
    <t>CapHatElegant4</t>
  </si>
  <si>
    <t>TopsTexOnepieceRibNSheep2</t>
  </si>
  <si>
    <t>AccessoryMouthBeardBlack</t>
  </si>
  <si>
    <t>heart shades</t>
  </si>
  <si>
    <t>CapHatElegant1</t>
  </si>
  <si>
    <t>AccessoryGlassHeart0</t>
  </si>
  <si>
    <t>TopsTexOnepieceRibNSheep3</t>
  </si>
  <si>
    <t>CapHatElegant2</t>
  </si>
  <si>
    <t>AccessoryGlassHeart1</t>
  </si>
  <si>
    <t>explorer's hat</t>
  </si>
  <si>
    <t>TopsTexOnepieceRibNSheep0</t>
  </si>
  <si>
    <t>shell dress</t>
  </si>
  <si>
    <t>AccessoryGlassHeart2</t>
  </si>
  <si>
    <t>TopsTexOnepieceAlongNMermaid5</t>
  </si>
  <si>
    <t>CapHatExpedition2</t>
  </si>
  <si>
    <t>AccessoryGlassHeart3</t>
  </si>
  <si>
    <t>TopsTexOnepieceAlongNMermaid0</t>
  </si>
  <si>
    <t>CapHatExpedition3</t>
  </si>
  <si>
    <t>TopsTexOnepieceAlongNMermaid1</t>
  </si>
  <si>
    <t>AccessoryGlassHeart4</t>
  </si>
  <si>
    <t>HMD</t>
  </si>
  <si>
    <t>CapHatExpedition1</t>
  </si>
  <si>
    <t>TopsTexOnepieceAlongNMermaid2</t>
  </si>
  <si>
    <t>AccessoryGlassHmdWhite</t>
  </si>
  <si>
    <t>TopsTexOnepieceAlongNMermaid3</t>
  </si>
  <si>
    <t>jester's mask</t>
  </si>
  <si>
    <t>CapHatExpedition0</t>
  </si>
  <si>
    <t>fairy-tale hood</t>
  </si>
  <si>
    <t>TopsTexOnepieceAlongNMermaid4</t>
  </si>
  <si>
    <t>shirtdress</t>
  </si>
  <si>
    <t>AccessoryGlassmouthPierrot0</t>
  </si>
  <si>
    <t>CapBangsCowl1</t>
  </si>
  <si>
    <t>TopsTexOnepieceBoxLShirt1</t>
  </si>
  <si>
    <t>TopsTexOnepieceBoxLShirt2</t>
  </si>
  <si>
    <t>AccessoryGlassmouthPierrot1</t>
  </si>
  <si>
    <t>CapBangsCowl2</t>
  </si>
  <si>
    <t>TopsTexOnepieceBoxLShirt0</t>
  </si>
  <si>
    <t>shorts outfit</t>
  </si>
  <si>
    <t>AccessoryGlassmouthPierrot2</t>
  </si>
  <si>
    <t>CapBangsCowl3</t>
  </si>
  <si>
    <t>TopsTexOnepieceSalopetteNCombinaison1</t>
  </si>
  <si>
    <t>AccessoryGlassmouthPierrot3</t>
  </si>
  <si>
    <t>TopsTexOnepieceSalopetteNCombinaison2</t>
  </si>
  <si>
    <t>Labelle sunglasses</t>
  </si>
  <si>
    <t>CapBangsCowl4</t>
  </si>
  <si>
    <t>TopsTexOnepieceSalopetteNCombinaison3</t>
  </si>
  <si>
    <t>AccessoryGlassKate0</t>
  </si>
  <si>
    <t>CapBangsCowl0</t>
  </si>
  <si>
    <t>TopsTexOnepieceSalopetteNCombinaison4</t>
  </si>
  <si>
    <t>CapBangsCowl5</t>
  </si>
  <si>
    <t>AccessoryGlassKate1</t>
  </si>
  <si>
    <t>TopsTexOnepieceSalopetteNCombinaison0</t>
  </si>
  <si>
    <t>simple checkered dress</t>
  </si>
  <si>
    <t>AccessoryGlassKate2</t>
  </si>
  <si>
    <t>CapBangsCowl6</t>
  </si>
  <si>
    <t>TopsTexOnepieceAlineNPlaid1</t>
  </si>
  <si>
    <t>CapBangsCowl7</t>
  </si>
  <si>
    <t>faux-fur hat</t>
  </si>
  <si>
    <t>AccessoryGlassKate3</t>
  </si>
  <si>
    <t>TopsTexOnepieceAlineNPlaid2</t>
  </si>
  <si>
    <t>CapHatUshanka0</t>
  </si>
  <si>
    <t>AccessoryGlassKate4</t>
  </si>
  <si>
    <t>AccessoryGlassKate5</t>
  </si>
  <si>
    <t>CapHatUshanka1</t>
  </si>
  <si>
    <t>TopsTexOnepieceAlineNPlaid0</t>
  </si>
  <si>
    <t>ladder shades</t>
  </si>
  <si>
    <t>simple visiting kimono</t>
  </si>
  <si>
    <t>AccessoryGlassBlind0</t>
  </si>
  <si>
    <t>CapHatUshanka2</t>
  </si>
  <si>
    <t>AccessoryGlassBlind1</t>
  </si>
  <si>
    <t>TopsTexOnepieceKimonoLHomongi0</t>
  </si>
  <si>
    <t>CapHatUshanka3</t>
  </si>
  <si>
    <t>AccessoryGlassBlind2</t>
  </si>
  <si>
    <t>TopsTexOnepieceKimonoLHomongi7</t>
  </si>
  <si>
    <t>CapHatUshanka4</t>
  </si>
  <si>
    <t>AccessoryGlassBlind3</t>
  </si>
  <si>
    <t>AccessoryGlassBlind4</t>
  </si>
  <si>
    <t>TopsTexOnepieceKimonoLHomongi1</t>
  </si>
  <si>
    <t>CapHatUshanka5</t>
  </si>
  <si>
    <t>TopsTexOnepieceKimonoLHomongi2</t>
  </si>
  <si>
    <t>AccessoryGlassBlind5</t>
  </si>
  <si>
    <t>CapHatUshanka6</t>
  </si>
  <si>
    <t>leaf</t>
  </si>
  <si>
    <t>fedora</t>
  </si>
  <si>
    <t>TopsTexOnepieceKimonoLHomongi3</t>
  </si>
  <si>
    <t>CapHatFelt0</t>
  </si>
  <si>
    <t>AccessoryMouthLeafGreen</t>
  </si>
  <si>
    <t>TopsTexOnepieceKimonoLHomongi4</t>
  </si>
  <si>
    <t>masquerade mask</t>
  </si>
  <si>
    <t>TopsTexOnepieceKimonoLHomongi5</t>
  </si>
  <si>
    <t>CapHatFelt1</t>
  </si>
  <si>
    <t>AccessoryGlassVenetian0</t>
  </si>
  <si>
    <t>TopsTexOnepieceKimonoLHomongi6</t>
  </si>
  <si>
    <t>simple-dots dress</t>
  </si>
  <si>
    <t>CapHatFelt2</t>
  </si>
  <si>
    <t>AccessoryGlassVenetian1</t>
  </si>
  <si>
    <t>TopsTexOnepieceAlineNSimpledot0</t>
  </si>
  <si>
    <t>CapHatFelt3</t>
  </si>
  <si>
    <t>TopsTexOnepieceAlineNSimpledot1</t>
  </si>
  <si>
    <t>AccessoryGlassVenetian2</t>
  </si>
  <si>
    <t>CapHatFelt4</t>
  </si>
  <si>
    <t>TopsTexOnepieceAlineNSimpledot2</t>
  </si>
  <si>
    <t>AccessoryGlassVenetian3</t>
  </si>
  <si>
    <t>CapHatFelt5</t>
  </si>
  <si>
    <t>firefighter's hat</t>
  </si>
  <si>
    <t>AccessoryGlassVenetian4</t>
  </si>
  <si>
    <t>TopsTexOnepieceAlineNSimpledot3</t>
  </si>
  <si>
    <t>CapBangsFirefighter1</t>
  </si>
  <si>
    <t>AccessoryGlassVenetian5</t>
  </si>
  <si>
    <t>monocle</t>
  </si>
  <si>
    <t>TopsTexOnepieceAlineNSimpledot4</t>
  </si>
  <si>
    <t>skirt with suspenders</t>
  </si>
  <si>
    <t>CapBangsFirefighter2</t>
  </si>
  <si>
    <t>TopsTexOnepieceAlineHSuspendersskirt0</t>
  </si>
  <si>
    <t>AccessoryGlassMonocle0</t>
  </si>
  <si>
    <t>CapBangsFirefighter3</t>
  </si>
  <si>
    <t>TopsTexOnepieceAlineHSuspendersskirt1</t>
  </si>
  <si>
    <t>AccessoryGlassMonocle1</t>
  </si>
  <si>
    <t>TopsTexOnepieceAlineHSuspendersskirt2</t>
  </si>
  <si>
    <t>CapBangsFirefighter0</t>
  </si>
  <si>
    <t>TopsTexOnepieceAlineHSuspendersskirt3</t>
  </si>
  <si>
    <t>AccessoryGlassMonocle2</t>
  </si>
  <si>
    <t>night-vision goggles</t>
  </si>
  <si>
    <t>CapBangsFirefighter4</t>
  </si>
  <si>
    <t>flashy hairpin</t>
  </si>
  <si>
    <t>TopsTexOnepieceAlineHSuspendersskirt4</t>
  </si>
  <si>
    <t>sky-egg outfit</t>
  </si>
  <si>
    <t>Obtained after collecting Sky Eggs during Bunny Day Event</t>
  </si>
  <si>
    <t>AccessoryGlassNightvisionBlack</t>
  </si>
  <si>
    <t>CapOrnamentLGaudy1</t>
  </si>
  <si>
    <t>Nook Inc. eye mask</t>
  </si>
  <si>
    <t>TopsTexOnepieceRibNEggsky0</t>
  </si>
  <si>
    <t>sleeveless shirtdress</t>
  </si>
  <si>
    <t>TopsTexOnepieceAlineNShirt1</t>
  </si>
  <si>
    <t>AccessoryGlassNook0</t>
  </si>
  <si>
    <t>CapOrnamentLGaudy2</t>
  </si>
  <si>
    <t>TopsTexOnepieceAlineNShirt2</t>
  </si>
  <si>
    <t>CapOrnamentLGaudy3</t>
  </si>
  <si>
    <t>nose drip</t>
  </si>
  <si>
    <t>TopsTexOnepieceAlineNShirt3</t>
  </si>
  <si>
    <t>TopsTexOnepieceAlineNShirt0</t>
  </si>
  <si>
    <t>sleeveless silk dress</t>
  </si>
  <si>
    <t>CapOrnamentLGaudy4</t>
  </si>
  <si>
    <t>AccessoryMouthJokeDripCyan</t>
  </si>
  <si>
    <t>octagonal glasses</t>
  </si>
  <si>
    <t>CapOrnamentLGaudy5</t>
  </si>
  <si>
    <t>AccessoryGlassOctagon0</t>
  </si>
  <si>
    <t>CapOrnamentLGaudy6</t>
  </si>
  <si>
    <t>TopsTexOnepieceBlongLChina0</t>
  </si>
  <si>
    <t>AccessoryGlassOctagon1</t>
  </si>
  <si>
    <t>CapOrnamentLGaudy0</t>
  </si>
  <si>
    <t>floral hairpin</t>
  </si>
  <si>
    <t>TopsTexOnepieceBlongLChina1</t>
  </si>
  <si>
    <t>AccessoryGlassOctagon2</t>
  </si>
  <si>
    <t>CapOrnamentLFlowerhairpin2</t>
  </si>
  <si>
    <t>TopsTexOnepieceBlongLChina2</t>
  </si>
  <si>
    <t>AccessoryGlassOctagon3</t>
  </si>
  <si>
    <t>TopsTexOnepieceBlongLChina3</t>
  </si>
  <si>
    <t>CapOrnamentLFlowerhairpin3</t>
  </si>
  <si>
    <t>TopsTexOnepieceBlongLChina4</t>
  </si>
  <si>
    <t>CapOrnamentLFlowerhairpin4</t>
  </si>
  <si>
    <t>AccessoryGlassOctagon4</t>
  </si>
  <si>
    <t>oval glasses</t>
  </si>
  <si>
    <t>TopsTexOnepieceBlongLChina5</t>
  </si>
  <si>
    <t>CapOrnamentLFlowerhairpin0</t>
  </si>
  <si>
    <t>TopsTexOnepieceBlongLChina6</t>
  </si>
  <si>
    <t>sleeveless sweater dress</t>
  </si>
  <si>
    <t>AccessoryGlassOval0</t>
  </si>
  <si>
    <t>TopsTexOnepieceRibNKnit0</t>
  </si>
  <si>
    <t>CapOrnamentLFlowerhairpin1</t>
  </si>
  <si>
    <t>football helmet</t>
  </si>
  <si>
    <t>TopsTexOnepieceRibNKnit1</t>
  </si>
  <si>
    <t>AccessoryGlassOval1</t>
  </si>
  <si>
    <t>CapFullfaceFootball1</t>
  </si>
  <si>
    <t>TopsTexOnepieceRibNKnit2</t>
  </si>
  <si>
    <t>AccessoryGlassOval2</t>
  </si>
  <si>
    <t>CapFullfaceFootball2</t>
  </si>
  <si>
    <t>TopsTexOnepieceRibNKnit3</t>
  </si>
  <si>
    <t>AccessoryGlassOval3</t>
  </si>
  <si>
    <t>CapFullfaceFootball3</t>
  </si>
  <si>
    <t>TopsTexOnepieceRibNKnit4</t>
  </si>
  <si>
    <t>TopsTexOnepieceRibNKnit5</t>
  </si>
  <si>
    <t>CapFullfaceFootball4</t>
  </si>
  <si>
    <t>space suit</t>
  </si>
  <si>
    <t>AccessoryGlassOval4</t>
  </si>
  <si>
    <t>TopsTexOnepieceOverallLSpaceWhite</t>
  </si>
  <si>
    <t>AccessoryGlassOval5</t>
  </si>
  <si>
    <t>sprite costume</t>
  </si>
  <si>
    <t>CapFullfaceFootball5</t>
  </si>
  <si>
    <t>AccessoryGlassOval6</t>
  </si>
  <si>
    <t>TopsTexOnepieceOverallHDwarf1</t>
  </si>
  <si>
    <t>pacifier</t>
  </si>
  <si>
    <t>CapFullfaceFootball6</t>
  </si>
  <si>
    <t>AccessoryMouthPacifier0</t>
  </si>
  <si>
    <t>TopsTexOnepieceOverallHDwarf2</t>
  </si>
  <si>
    <t>CapFullfaceFootball0</t>
  </si>
  <si>
    <t>AccessoryMouthPacifier1</t>
  </si>
  <si>
    <t>TopsTexOnepieceOverallHDwarf3</t>
  </si>
  <si>
    <t>TopsTexOnepieceOverallHDwarf4</t>
  </si>
  <si>
    <t>AccessoryMouthPacifier2</t>
  </si>
  <si>
    <t>CapFullfaceFootball7</t>
  </si>
  <si>
    <t>TopsTexOnepieceOverallHDwarf5</t>
  </si>
  <si>
    <t>fox mask</t>
  </si>
  <si>
    <t>AccessoryMouthPacifier3</t>
  </si>
  <si>
    <t>TopsTexOnepieceOverallHDwarf6</t>
  </si>
  <si>
    <t>CapMaskFox0</t>
  </si>
  <si>
    <t>TopsTexOnepieceOverallHDwarf0</t>
  </si>
  <si>
    <t>star costume</t>
  </si>
  <si>
    <t>AccessoryMouthPacifier4</t>
  </si>
  <si>
    <t>CapMaskFox1</t>
  </si>
  <si>
    <t>frog cap</t>
  </si>
  <si>
    <t>TopsTexOnepieceOverallLStarsinger0</t>
  </si>
  <si>
    <t>TopsTexOnepieceOverallLStarsinger1</t>
  </si>
  <si>
    <t>AccessoryMouthPacifier5</t>
  </si>
  <si>
    <t>CapCostumeFrog0</t>
  </si>
  <si>
    <t>TopsTexOnepieceOverallLStarsinger2</t>
  </si>
  <si>
    <t>AccessoryMouthPacifier6</t>
  </si>
  <si>
    <t>CapCostumeFrog1</t>
  </si>
  <si>
    <t>TopsTexOnepieceOverallLStarsinger3</t>
  </si>
  <si>
    <t>AccessoryMouthPacifier7</t>
  </si>
  <si>
    <t>pig nose</t>
  </si>
  <si>
    <t>CapCostumeFrog2</t>
  </si>
  <si>
    <t>TopsTexOnepieceOverallLStarsinger4</t>
  </si>
  <si>
    <t>steampunk costume</t>
  </si>
  <si>
    <t>AccessoryMouthPigPink</t>
  </si>
  <si>
    <t>pilot shades</t>
  </si>
  <si>
    <t>CapCostumeFrog3</t>
  </si>
  <si>
    <t>TopsTexOnepieceOverallLSteampunk1</t>
  </si>
  <si>
    <t>frugal hat</t>
  </si>
  <si>
    <t>AccessoryGlassPilot0</t>
  </si>
  <si>
    <t>TopsTexOnepieceOverallLSteampunk0</t>
  </si>
  <si>
    <t>stellar jumpsuit</t>
  </si>
  <si>
    <t>CapHatSimple0</t>
  </si>
  <si>
    <t>AccessoryGlassPilot1</t>
  </si>
  <si>
    <t>pixel shades</t>
  </si>
  <si>
    <t>TopsTexOnepieceSalopetteLPsychedelic1</t>
  </si>
  <si>
    <t>AccessoryGlassDot0</t>
  </si>
  <si>
    <t>CapHatSimple1</t>
  </si>
  <si>
    <t>AccessoryGlassDot1</t>
  </si>
  <si>
    <t>TopsTexOnepieceSalopetteLPsychedelic2</t>
  </si>
  <si>
    <t>CapHatSimple2</t>
  </si>
  <si>
    <t>geisha wig</t>
  </si>
  <si>
    <t>AccessoryGlassDot2</t>
  </si>
  <si>
    <t>TopsTexOnepieceSalopetteLPsychedelic3</t>
  </si>
  <si>
    <t>AccessoryGlassDot3</t>
  </si>
  <si>
    <t>pleather mask</t>
  </si>
  <si>
    <t>CapWigGeisya1</t>
  </si>
  <si>
    <t>TopsTexOnepieceSalopetteLPsychedelic4</t>
  </si>
  <si>
    <t>AccessoryMouthLeatherBlack</t>
  </si>
  <si>
    <t>post-op patch</t>
  </si>
  <si>
    <t>CapWigGeisya2</t>
  </si>
  <si>
    <t>TopsTexOnepieceSalopetteLPsychedelic0</t>
  </si>
  <si>
    <t>stone-egg outfit</t>
  </si>
  <si>
    <t>Obtained after collecting Stone Eggs during Bunny Day Event</t>
  </si>
  <si>
    <t>TopsTexOnepieceRibNEggrock0</t>
  </si>
  <si>
    <t>CapWigGeisya3</t>
  </si>
  <si>
    <t>strawberry dress</t>
  </si>
  <si>
    <t>AccessoryGlassEyepatchWhite</t>
  </si>
  <si>
    <t>privacy mask</t>
  </si>
  <si>
    <t>TopsTexOnepieceAlineNStrawberry</t>
  </si>
  <si>
    <t>striped dress</t>
  </si>
  <si>
    <t>CapWigGeisya4</t>
  </si>
  <si>
    <t>AccessoryMouthCrowBlack</t>
  </si>
  <si>
    <t>reflector</t>
  </si>
  <si>
    <t>TopsTexOnepieceAlineLBorder0</t>
  </si>
  <si>
    <t>AccessoryGlassMirrorGray</t>
  </si>
  <si>
    <t>retro shades</t>
  </si>
  <si>
    <t>CapWigGeisya5</t>
  </si>
  <si>
    <t>TopsTexOnepieceAlineLBorder1</t>
  </si>
  <si>
    <t>AccessoryGlassRetro0</t>
  </si>
  <si>
    <t>CapWigGeisya6</t>
  </si>
  <si>
    <t>TopsTexOnepieceAlineLBorder2</t>
  </si>
  <si>
    <t>AccessoryGlassRetro1</t>
  </si>
  <si>
    <t>TopsTexOnepieceAlineLBorder3</t>
  </si>
  <si>
    <t>CapWigGeisya0</t>
  </si>
  <si>
    <t>giant ribbon</t>
  </si>
  <si>
    <t>AccessoryGlassRetro2</t>
  </si>
  <si>
    <t>TopsTexOnepieceAlineLBorder4</t>
  </si>
  <si>
    <t>AccessoryGlassRetro3</t>
  </si>
  <si>
    <t>TopsTexOnepieceAlineLBorder5</t>
  </si>
  <si>
    <t>CapOrnamentTRibbon1</t>
  </si>
  <si>
    <t>AccessoryGlassRetro4</t>
  </si>
  <si>
    <t>TopsTexOnepieceAlineLBorder6</t>
  </si>
  <si>
    <t>CapOrnamentTRibbon2</t>
  </si>
  <si>
    <t>AccessoryGlassRetro5</t>
  </si>
  <si>
    <t>rhinestone shades</t>
  </si>
  <si>
    <t>TopsTexOnepieceAlineLBorder7</t>
  </si>
  <si>
    <t>striped halter dress</t>
  </si>
  <si>
    <t>AccessoryGlassRhinestone0</t>
  </si>
  <si>
    <t>CapOrnamentTRibbon3</t>
  </si>
  <si>
    <t>TopsTexOnepieceAlineNHalterneckstripe1</t>
  </si>
  <si>
    <t>AccessoryGlassRhinestone1</t>
  </si>
  <si>
    <t>CapOrnamentTRibbon4</t>
  </si>
  <si>
    <t>AccessoryGlassRhinestone2</t>
  </si>
  <si>
    <t>TopsTexOnepieceAlineNHalterneckstripe2</t>
  </si>
  <si>
    <t>rimmed glasses</t>
  </si>
  <si>
    <t>CapOrnamentTRibbon5</t>
  </si>
  <si>
    <t>TopsTexOnepieceAlineNHalterneckstripe3</t>
  </si>
  <si>
    <t>AccessoryGlassCircle0</t>
  </si>
  <si>
    <t>CapOrnamentTRibbon6</t>
  </si>
  <si>
    <t>TopsTexOnepieceAlineNHalterneckstripe0</t>
  </si>
  <si>
    <t>AccessoryGlassCircle1</t>
  </si>
  <si>
    <t>striped maxi dress</t>
  </si>
  <si>
    <t>CapOrnamentTRibbon7</t>
  </si>
  <si>
    <t>AccessoryGlassCircle2</t>
  </si>
  <si>
    <t>CapOrnamentTRibbon0</t>
  </si>
  <si>
    <t>TopsTexOnepieceAlongNStripe0</t>
  </si>
  <si>
    <t>glengarry</t>
  </si>
  <si>
    <t>AccessoryGlassCircle3</t>
  </si>
  <si>
    <t>CapHatGreeneryRed</t>
  </si>
  <si>
    <t>gold helmet</t>
  </si>
  <si>
    <t>TopsTexOnepieceAlongNStripe1</t>
  </si>
  <si>
    <t>AccessoryGlassCircle4</t>
  </si>
  <si>
    <t>round shades</t>
  </si>
  <si>
    <t>CapFullfaceKnightGold</t>
  </si>
  <si>
    <t>gold rose crown</t>
  </si>
  <si>
    <t>TopsTexOnepieceAlongNStripe2</t>
  </si>
  <si>
    <t>AccessoryGlassBoston0</t>
  </si>
  <si>
    <t>CapOrnamentRose5</t>
  </si>
  <si>
    <t>gothic headdress</t>
  </si>
  <si>
    <t>AccessoryGlassBoston1</t>
  </si>
  <si>
    <t>TopsTexOnepieceAlongNStripe3</t>
  </si>
  <si>
    <t>stylish jumpsuit</t>
  </si>
  <si>
    <t>CapHelmetHeaddress1</t>
  </si>
  <si>
    <t>TopsTexOnepieceSalopetteLAllinone0</t>
  </si>
  <si>
    <t>AccessoryGlassBoston2</t>
  </si>
  <si>
    <t>CapHelmetHeaddress2</t>
  </si>
  <si>
    <t>TopsTexOnepieceSalopetteLAllinone1</t>
  </si>
  <si>
    <t>AccessoryGlassBoston3</t>
  </si>
  <si>
    <t>TopsTexOnepieceSalopetteLAllinone2</t>
  </si>
  <si>
    <t>CapHelmetHeaddress3</t>
  </si>
  <si>
    <t>AccessoryGlassBoston4</t>
  </si>
  <si>
    <t>TopsTexOnepieceSalopetteLAllinone3</t>
  </si>
  <si>
    <t>CapHelmetHeaddress4</t>
  </si>
  <si>
    <t>AccessoryGlassBoston5</t>
  </si>
  <si>
    <t>TopsTexOnepieceSalopetteLAllinone4</t>
  </si>
  <si>
    <t>suit of lights</t>
  </si>
  <si>
    <t>AccessoryGlassBoston6</t>
  </si>
  <si>
    <t>TopsTexOnepieceOverallLBull3</t>
  </si>
  <si>
    <t>CapHelmetHeaddress5</t>
  </si>
  <si>
    <t>TopsTexOnepieceOverallLBull4</t>
  </si>
  <si>
    <t>CapHelmetHeaddress0</t>
  </si>
  <si>
    <t>AccessoryGlassBoston7</t>
  </si>
  <si>
    <t>grape hat</t>
  </si>
  <si>
    <t>round tinted shades</t>
  </si>
  <si>
    <t>TopsTexOnepieceOverallLBull0</t>
  </si>
  <si>
    <t>CapHatGrape</t>
  </si>
  <si>
    <t>halo</t>
  </si>
  <si>
    <t>AccessoryGlassRound0</t>
  </si>
  <si>
    <t>CapOrnamentAAngel0</t>
  </si>
  <si>
    <t>headband</t>
  </si>
  <si>
    <t>TopsTexOnepieceOverallLBull1</t>
  </si>
  <si>
    <t>CapWigTurban1</t>
  </si>
  <si>
    <t>AccessoryGlassRound1</t>
  </si>
  <si>
    <t>TopsTexOnepieceOverallLBull2</t>
  </si>
  <si>
    <t>suit with stand-up collar</t>
  </si>
  <si>
    <t>CapWigTurban2</t>
  </si>
  <si>
    <t>TopsTexOnepieceOverallLHighcollar2</t>
  </si>
  <si>
    <t>CapWigTurban3</t>
  </si>
  <si>
    <t>AccessoryGlassRound2</t>
  </si>
  <si>
    <t>TopsTexOnepieceOverallLHighcollar3</t>
  </si>
  <si>
    <t>CapWigTurban0</t>
  </si>
  <si>
    <t>headgear</t>
  </si>
  <si>
    <t>TopsTexOnepieceOverallLHighcollar0</t>
  </si>
  <si>
    <t>CapCostumeHeadgear0</t>
  </si>
  <si>
    <t>AccessoryGlassRound3</t>
  </si>
  <si>
    <t>rounded beard</t>
  </si>
  <si>
    <t>CapCostumeHeadgear1</t>
  </si>
  <si>
    <t>TopsTexOnepieceOverallLHighcollar1</t>
  </si>
  <si>
    <t>sunflower dress</t>
  </si>
  <si>
    <t>AccessoryMouthBeardRoundBlack</t>
  </si>
  <si>
    <t>shattered glasses</t>
  </si>
  <si>
    <t>TopsTexOnepieceBalloonNSunflower0</t>
  </si>
  <si>
    <t>CapCostumeHeadgear2</t>
  </si>
  <si>
    <t>headkerchief</t>
  </si>
  <si>
    <t>AccessoryGlassCrackBlack</t>
  </si>
  <si>
    <t>ski goggles</t>
  </si>
  <si>
    <t>CapFullfaceHokkamuriGreen</t>
  </si>
  <si>
    <t>heart hairpin</t>
  </si>
  <si>
    <t>AccessoryGlassGogglesski0</t>
  </si>
  <si>
    <t>TopsTexOnepieceBalloonNSunflower1</t>
  </si>
  <si>
    <t>CapOrnamentLHearthairpin1</t>
  </si>
  <si>
    <t>AccessoryGlassGogglesski1</t>
  </si>
  <si>
    <t>TopsTexOnepieceBalloonNSunflower2</t>
  </si>
  <si>
    <t>superhero uniform</t>
  </si>
  <si>
    <t>CapOrnamentLHearthairpin2</t>
  </si>
  <si>
    <t>AccessoryGlassGogglesski2</t>
  </si>
  <si>
    <t>TopsTexOnepieceOverallLSuper0</t>
  </si>
  <si>
    <t>CapOrnamentLHearthairpin3</t>
  </si>
  <si>
    <t>AccessoryGlassGogglesski3</t>
  </si>
  <si>
    <t>CapOrnamentLHearthairpin4</t>
  </si>
  <si>
    <t>TopsTexOnepieceOverallLSuper1</t>
  </si>
  <si>
    <t>AccessoryGlassGogglesski4</t>
  </si>
  <si>
    <t>TopsTexOnepieceOverallLSuper2</t>
  </si>
  <si>
    <t>CapOrnamentLHearthairpin0</t>
  </si>
  <si>
    <t>helmet with goggles</t>
  </si>
  <si>
    <t>AccessoryGlassGogglesski5</t>
  </si>
  <si>
    <t>sporty shades</t>
  </si>
  <si>
    <t>TopsTexOnepieceOverallLSuper3</t>
  </si>
  <si>
    <t>suspender outfit</t>
  </si>
  <si>
    <t>CapCostumeGogglehelmet0</t>
  </si>
  <si>
    <t>TopsTexOnepieceOverallLSuspenders1</t>
  </si>
  <si>
    <t>AccessoryGlassSports0</t>
  </si>
  <si>
    <t>CapCostumeGogglehelmet1</t>
  </si>
  <si>
    <t>TopsTexOnepieceOverallLSuspenders2</t>
  </si>
  <si>
    <t>AccessoryGlassSports1</t>
  </si>
  <si>
    <t>TopsTexOnepieceOverallLSuspenders3</t>
  </si>
  <si>
    <t>CapCostumeGogglehelmet2</t>
  </si>
  <si>
    <t>AccessoryGlassSports2</t>
  </si>
  <si>
    <t>CapCostumeGogglehelmet3</t>
  </si>
  <si>
    <t>TopsTexOnepieceOverallLSuspenders4</t>
  </si>
  <si>
    <t>AccessoryGlassSports3</t>
  </si>
  <si>
    <t>CapCostumeGogglehelmet4</t>
  </si>
  <si>
    <t>TopsTexOnepieceOverallLSuspenders0</t>
  </si>
  <si>
    <t>sweater dress</t>
  </si>
  <si>
    <t>AccessoryGlassSports4</t>
  </si>
  <si>
    <t>square glasses</t>
  </si>
  <si>
    <t>CapCostumeGogglehelmet5</t>
  </si>
  <si>
    <t>TopsTexOnepieceRibLKnit2</t>
  </si>
  <si>
    <t>AccessoryGlassSquare0</t>
  </si>
  <si>
    <t>CapCostumeGogglehelmet6</t>
  </si>
  <si>
    <t>TopsTexOnepieceRibLKnit0</t>
  </si>
  <si>
    <t>AccessoryGlassSquare1</t>
  </si>
  <si>
    <t>CapCostumeGogglehelmet7</t>
  </si>
  <si>
    <t>hibiscus hairpin</t>
  </si>
  <si>
    <t>TopsTexOnepieceRibLKnit1</t>
  </si>
  <si>
    <t>sweet dress</t>
  </si>
  <si>
    <t>CapOrnamentLHibiscus1</t>
  </si>
  <si>
    <t>AccessoryGlassSquare2</t>
  </si>
  <si>
    <t>CapOrnamentLHibiscus2</t>
  </si>
  <si>
    <t>TopsTexOnepieceBalloonHAngel1</t>
  </si>
  <si>
    <t>CapOrnamentLHibiscus0</t>
  </si>
  <si>
    <t>AccessoryGlassSquare3</t>
  </si>
  <si>
    <t>stache &amp; glasses</t>
  </si>
  <si>
    <t>TopsTexOnepieceBalloonHAngel0</t>
  </si>
  <si>
    <t>CapOrnamentLHibiscus3</t>
  </si>
  <si>
    <t>hockey mask</t>
  </si>
  <si>
    <t>sweetheart dress</t>
  </si>
  <si>
    <t>AccessoryGlassmouthBeard0</t>
  </si>
  <si>
    <t>AccessoryGlassmouthHockeyWhite</t>
  </si>
  <si>
    <t>hot-dog hood</t>
  </si>
  <si>
    <t>TopsTexOnepieceAlongLBustier0</t>
  </si>
  <si>
    <t>CapBangsSausage</t>
  </si>
  <si>
    <t>hyacinth crown</t>
  </si>
  <si>
    <t>AccessoryGlassmouthBeard1</t>
  </si>
  <si>
    <t>star shades</t>
  </si>
  <si>
    <t>CapOrnamentHyacinth1</t>
  </si>
  <si>
    <t>imitation cow skull</t>
  </si>
  <si>
    <t>TopsTexOnepieceAlongLBustier1</t>
  </si>
  <si>
    <t>AccessoryGlassStar0</t>
  </si>
  <si>
    <t>CapHatCowWhite</t>
  </si>
  <si>
    <t>imp hood</t>
  </si>
  <si>
    <t>CapCostumeDevil0</t>
  </si>
  <si>
    <t>TopsTexOnepieceAlongLBustier2</t>
  </si>
  <si>
    <t>Greige</t>
  </si>
  <si>
    <t>AccessoryGlassStar1</t>
  </si>
  <si>
    <t>CapCostumeDevil1</t>
  </si>
  <si>
    <t>jester's cap</t>
  </si>
  <si>
    <t>TopsTexOnepieceAlongLBustier3</t>
  </si>
  <si>
    <t>CapHatClown1</t>
  </si>
  <si>
    <t>AccessoryGlassStar2</t>
  </si>
  <si>
    <t>TopsTexOnepieceAlongLBustier4</t>
  </si>
  <si>
    <t>tango dress</t>
  </si>
  <si>
    <t>CapHatClown2</t>
  </si>
  <si>
    <t>TopsTexOnepieceBoxNTango0</t>
  </si>
  <si>
    <t>CapHatClown3</t>
  </si>
  <si>
    <t>AccessoryGlassStar3</t>
  </si>
  <si>
    <t>CapHatClown0</t>
  </si>
  <si>
    <t>TopsTexOnepieceBoxNTango1</t>
  </si>
  <si>
    <t>jockey's helmet</t>
  </si>
  <si>
    <t>CapHatJockey0</t>
  </si>
  <si>
    <t>TopsTexOnepieceBoxNTango2</t>
  </si>
  <si>
    <t>AccessoryGlassStar4</t>
  </si>
  <si>
    <t>steampunk glasses</t>
  </si>
  <si>
    <t>CapHatJockey1</t>
  </si>
  <si>
    <t>TopsTexOnepieceBoxNTango3</t>
  </si>
  <si>
    <t>CapHatJockey2</t>
  </si>
  <si>
    <t>AccessoryGlassSteampunk0</t>
  </si>
  <si>
    <t>TopsTexOnepieceBoxNTango4</t>
  </si>
  <si>
    <t>CapHatJockey3</t>
  </si>
  <si>
    <t>AccessoryGlassSteampunk1</t>
  </si>
  <si>
    <t>sticky rice</t>
  </si>
  <si>
    <t>TopsTexOnepieceBoxNTango5</t>
  </si>
  <si>
    <t>tee dress</t>
  </si>
  <si>
    <t>CapHatJockey4</t>
  </si>
  <si>
    <t>AccessoryMouthRice</t>
  </si>
  <si>
    <t>superhero mask</t>
  </si>
  <si>
    <t>TopsTexOnepieceBoxHTshirts1</t>
  </si>
  <si>
    <t>CapHatJockey5</t>
  </si>
  <si>
    <t>AccessoryGlassHeromaskBlack</t>
  </si>
  <si>
    <t>tiny shades</t>
  </si>
  <si>
    <t>CapHatJockey6</t>
  </si>
  <si>
    <t>TopsTexOnepieceBoxHTshirts2</t>
  </si>
  <si>
    <t>AccessoryGlassMini0</t>
  </si>
  <si>
    <t>CapHatJockey7</t>
  </si>
  <si>
    <t>TopsTexOnepieceBoxHTshirts3</t>
  </si>
  <si>
    <t>kaffiyeh</t>
  </si>
  <si>
    <t>CapHelmetKandula0</t>
  </si>
  <si>
    <t>AccessoryGlassMini1</t>
  </si>
  <si>
    <t>TopsTexOnepieceBoxHTshirts4</t>
  </si>
  <si>
    <t>AccessoryGlassMini2</t>
  </si>
  <si>
    <t>CapHelmetKandula1</t>
  </si>
  <si>
    <t>tortoise specs</t>
  </si>
  <si>
    <t>TopsTexOnepieceBoxHTshirts5</t>
  </si>
  <si>
    <t>AccessoryGlassTortoiseshell0</t>
  </si>
  <si>
    <t>CapHelmetKandula2</t>
  </si>
  <si>
    <t>kappa cap</t>
  </si>
  <si>
    <t>TopsTexOnepieceBoxHTshirts0</t>
  </si>
  <si>
    <t>tiger-face tee dress</t>
  </si>
  <si>
    <t>CapCostumeKappa0</t>
  </si>
  <si>
    <t>AccessoryGlassTortoiseshell1</t>
  </si>
  <si>
    <t>TopsTexOnepieceBoxHTiger2</t>
  </si>
  <si>
    <t>CapCostumeKappa1</t>
  </si>
  <si>
    <t>kiwi hat</t>
  </si>
  <si>
    <t>AccessoryGlassTortoiseshell2</t>
  </si>
  <si>
    <t>TopsTexOnepieceBoxHTiger3</t>
  </si>
  <si>
    <t>triangle shades</t>
  </si>
  <si>
    <t>CapHatKiwi</t>
  </si>
  <si>
    <t>knight's helmet</t>
  </si>
  <si>
    <t>TopsTexOnepieceBoxHTiger4</t>
  </si>
  <si>
    <t>AccessoryGlassTriangle0</t>
  </si>
  <si>
    <t>TopsTexOnepieceBoxHTiger0</t>
  </si>
  <si>
    <t>CapFullfaceKnightIron</t>
  </si>
  <si>
    <t>knit cap with earflaps</t>
  </si>
  <si>
    <t>AccessoryGlassTriangle1</t>
  </si>
  <si>
    <t>TopsTexOnepieceBoxHTiger1</t>
  </si>
  <si>
    <t>tight punk outfit</t>
  </si>
  <si>
    <t>CapBangsEarknit4</t>
  </si>
  <si>
    <t>TopsTexOnepieceOverallLBondage1</t>
  </si>
  <si>
    <t>AccessoryGlassTriangle2</t>
  </si>
  <si>
    <t>TopsTexOnepieceOverallLBondage0</t>
  </si>
  <si>
    <t>toga</t>
  </si>
  <si>
    <t>CapBangsEarknit5</t>
  </si>
  <si>
    <t>AccessoryGlassTriangle3</t>
  </si>
  <si>
    <t>TopsTexOnepieceBlongHToga0</t>
  </si>
  <si>
    <t>TopsTexOnepieceBlongHToga1</t>
  </si>
  <si>
    <t>tropical muumuu</t>
  </si>
  <si>
    <t>CapBangsEarknit6</t>
  </si>
  <si>
    <t>AccessoryGlassTriangle4</t>
  </si>
  <si>
    <t>TopsTexOnepieceAlineNMuumuu1</t>
  </si>
  <si>
    <t>AccessoryGlassTriangle5</t>
  </si>
  <si>
    <t>TopsTexOnepieceAlineNMuumuu2</t>
  </si>
  <si>
    <t>CapBangsEarknit0</t>
  </si>
  <si>
    <t>AccessoryGlassTriangle6</t>
  </si>
  <si>
    <t>wooden-frame glasses</t>
  </si>
  <si>
    <t>TopsTexOnepieceAlineNMuumuu3</t>
  </si>
  <si>
    <t>AccessoryGlassWood0</t>
  </si>
  <si>
    <t>TopsTexOnepieceAlineNMuumuu4</t>
  </si>
  <si>
    <t>CapBangsEarknit1</t>
  </si>
  <si>
    <t>AccessoryGlassWood1</t>
  </si>
  <si>
    <t>TopsTexOnepieceAlineNMuumuu0</t>
  </si>
  <si>
    <t>tuna-sushi costume</t>
  </si>
  <si>
    <t>CapBangsEarknit2</t>
  </si>
  <si>
    <t>TopsTexOnepieceRibNTuna</t>
  </si>
  <si>
    <t>tweed dress</t>
  </si>
  <si>
    <t>CapBangsEarknit3</t>
  </si>
  <si>
    <t>knit hat</t>
  </si>
  <si>
    <t>TopsTexOnepieceAlineLTweed1</t>
  </si>
  <si>
    <t>CapHatKnitcap1</t>
  </si>
  <si>
    <t>TopsTexOnepieceAlineLTweed2</t>
  </si>
  <si>
    <t>CapHatKnitcap2</t>
  </si>
  <si>
    <t>TopsTexOnepieceAlineLTweed0</t>
  </si>
  <si>
    <t>Victorian dress</t>
  </si>
  <si>
    <t>CapHatKnitcap3</t>
  </si>
  <si>
    <t>TopsTexOnepieceDressLMexico0</t>
  </si>
  <si>
    <t>TopsTexOnepieceDressLMexico1</t>
  </si>
  <si>
    <t>CapHatKnitcap4</t>
  </si>
  <si>
    <t>TopsTexOnepieceDressLMexico2</t>
  </si>
  <si>
    <t>CapHatKnitcap5</t>
  </si>
  <si>
    <t>TopsTexOnepieceDressLMexico3</t>
  </si>
  <si>
    <t>TopsTexOnepieceDressLMexico4</t>
  </si>
  <si>
    <t>aerobics leggings</t>
  </si>
  <si>
    <t>CapHatKnitcap6</t>
  </si>
  <si>
    <t>Emerald &amp; lime</t>
  </si>
  <si>
    <t>TopsTexOnepieceDressLMexico5</t>
  </si>
  <si>
    <t>Kicks</t>
  </si>
  <si>
    <t>visual-punk dress</t>
  </si>
  <si>
    <t>CapHatKnitcap7</t>
  </si>
  <si>
    <t>SocksTexAerobics1</t>
  </si>
  <si>
    <t>TopsTexOnepieceBalloonHVisual0</t>
  </si>
  <si>
    <t>visual-punk outfit</t>
  </si>
  <si>
    <t>Purple &amp; orange</t>
  </si>
  <si>
    <t>CapHatKnitcap0</t>
  </si>
  <si>
    <t>Labelle cap</t>
  </si>
  <si>
    <t>SocksTexAerobics2</t>
  </si>
  <si>
    <t>TopsTexOnepieceOverallLVisualBlack</t>
  </si>
  <si>
    <t>water-egg outfit</t>
  </si>
  <si>
    <t>Light blue &amp; salmon pink</t>
  </si>
  <si>
    <t>CapHatKatecap2</t>
  </si>
  <si>
    <t>SocksTexAerobics3</t>
  </si>
  <si>
    <t>Obtained after collecting Water Eggs during Bunny Day Event</t>
  </si>
  <si>
    <t>CapHatKatecap3</t>
  </si>
  <si>
    <t>TopsTexOnepieceRibNEggfish0</t>
  </si>
  <si>
    <t>watermelon dress</t>
  </si>
  <si>
    <t>Yellow &amp; blue</t>
  </si>
  <si>
    <t>CapHatKatecap4</t>
  </si>
  <si>
    <t>SocksTexAerobics4</t>
  </si>
  <si>
    <t>CapHatKatecap0</t>
  </si>
  <si>
    <t>TopsTexOnepieceAlineNWatermelon</t>
  </si>
  <si>
    <t>Red &amp; pink</t>
  </si>
  <si>
    <t>wizard's robe</t>
  </si>
  <si>
    <t>CapHatKatecap5</t>
  </si>
  <si>
    <t>SocksTexAerobics0</t>
  </si>
  <si>
    <t>Aran-knit socks</t>
  </si>
  <si>
    <t>CapHatKatecap1</t>
  </si>
  <si>
    <t>Labelle hat</t>
  </si>
  <si>
    <t>TopsTexOnepieceRobeLWizard1</t>
  </si>
  <si>
    <t>CapHatKatehat0</t>
  </si>
  <si>
    <t>SocksTexAlan1</t>
  </si>
  <si>
    <t>CapHatKatehat1</t>
  </si>
  <si>
    <t>TopsTexOnepieceRobeLWizard0</t>
  </si>
  <si>
    <t>wood-egg outfit</t>
  </si>
  <si>
    <t>SocksTexAlan2</t>
  </si>
  <si>
    <t>CapHatKatehat2</t>
  </si>
  <si>
    <t>Obtained after collecting Wood Eggs during Bunny Day Event</t>
  </si>
  <si>
    <t>CapHatKatehat3</t>
  </si>
  <si>
    <t>TopsTexOnepieceRibNEggforest0</t>
  </si>
  <si>
    <t>wrestler uniform</t>
  </si>
  <si>
    <t>SocksTexAlan3</t>
  </si>
  <si>
    <t>CapHatKatehat4</t>
  </si>
  <si>
    <t>CapHatKatehat5</t>
  </si>
  <si>
    <t>TopsTexOnepieceOverallNWrestling0</t>
  </si>
  <si>
    <t>leaf mask</t>
  </si>
  <si>
    <t>SocksTexAlan4</t>
  </si>
  <si>
    <t>CapMaskLeaf0</t>
  </si>
  <si>
    <t>leaf-egg shell</t>
  </si>
  <si>
    <t>TopsTexOnepieceOverallNWrestling1</t>
  </si>
  <si>
    <t>SocksTexAlan5</t>
  </si>
  <si>
    <t>CapHatEggleaf0</t>
  </si>
  <si>
    <t>lettered cap</t>
  </si>
  <si>
    <t>CapHatLogocap1</t>
  </si>
  <si>
    <t>SocksTexAlan0</t>
  </si>
  <si>
    <t>TopsTexOnepieceOverallNWrestling2</t>
  </si>
  <si>
    <t>argyle crew socks</t>
  </si>
  <si>
    <t>CapHatLogocap2</t>
  </si>
  <si>
    <t>SocksTexArgyle1</t>
  </si>
  <si>
    <t>CapHatLogocap0</t>
  </si>
  <si>
    <t>lily crown</t>
  </si>
  <si>
    <t>TopsTexOnepieceOverallNWrestling3</t>
  </si>
  <si>
    <t>CapOrnamentYuri1</t>
  </si>
  <si>
    <t>lovely cosmos crown</t>
  </si>
  <si>
    <t>SocksTexArgyle2</t>
  </si>
  <si>
    <t>TopsTexOnepieceOverallNWrestling4</t>
  </si>
  <si>
    <t>CapOrnamentCosmos2</t>
  </si>
  <si>
    <t>mage's hat</t>
  </si>
  <si>
    <t>SocksTexArgyle3</t>
  </si>
  <si>
    <t>CapHatWitch1</t>
  </si>
  <si>
    <t>TopsTexOnepieceOverallNWrestling5</t>
  </si>
  <si>
    <t>wrestling singlet</t>
  </si>
  <si>
    <t>CapHatWitch2</t>
  </si>
  <si>
    <t>SocksTexArgyle4</t>
  </si>
  <si>
    <t>CapHatWitch3</t>
  </si>
  <si>
    <t>SocksTexArgyle5</t>
  </si>
  <si>
    <t>TopsTexOnepieceOverallNWrestler0</t>
  </si>
  <si>
    <t>CapHatWitch0</t>
  </si>
  <si>
    <t>matanpushi</t>
  </si>
  <si>
    <t>SocksTexArgyle6</t>
  </si>
  <si>
    <t>CapHatMatampushi1</t>
  </si>
  <si>
    <t>TopsTexOnepieceOverallNWrestler1</t>
  </si>
  <si>
    <t>CapHatMatampushi2</t>
  </si>
  <si>
    <t>SocksTexArgyle7</t>
  </si>
  <si>
    <t>CapHatMatampushi0</t>
  </si>
  <si>
    <t>TopsTexOnepieceOverallNWrestler2</t>
  </si>
  <si>
    <t>matronly bun</t>
  </si>
  <si>
    <t>zap suit</t>
  </si>
  <si>
    <t>SocksTexArgyle0</t>
  </si>
  <si>
    <t>back-bow socks</t>
  </si>
  <si>
    <t>CapWigOnionhair</t>
  </si>
  <si>
    <t>mesh cap</t>
  </si>
  <si>
    <t>TopsTexOnepieceOverallLHero1</t>
  </si>
  <si>
    <t>CapHatMeshcap1</t>
  </si>
  <si>
    <t>SocksTexRibbon1</t>
  </si>
  <si>
    <t>SocksTexRibbon2</t>
  </si>
  <si>
    <t>CapHatMeshcap2</t>
  </si>
  <si>
    <t>TopsTexOnepieceOverallLHero2</t>
  </si>
  <si>
    <t>SocksTexRibbon3</t>
  </si>
  <si>
    <t>CapHatMeshcap3</t>
  </si>
  <si>
    <t>TopsTexOnepieceOverallLHero3</t>
  </si>
  <si>
    <t>SocksTexRibbon4</t>
  </si>
  <si>
    <t>CapHatMeshcap4</t>
  </si>
  <si>
    <t>TopsTexOnepieceOverallLHero4</t>
  </si>
  <si>
    <t>SocksTexRibbon0</t>
  </si>
  <si>
    <t>TopsTexOnepieceOverallLHero5</t>
  </si>
  <si>
    <t>SocksTexRibbon5</t>
  </si>
  <si>
    <t>bobby socks</t>
  </si>
  <si>
    <t>CapHatMeshcap0</t>
  </si>
  <si>
    <t>TopsTexOnepieceOverallLHero6</t>
  </si>
  <si>
    <t>SocksTexFolded0</t>
  </si>
  <si>
    <t>CapHatMeshcap5</t>
  </si>
  <si>
    <t>TopsTexOnepieceOverallLHero7</t>
  </si>
  <si>
    <t>SocksTexFolded1</t>
  </si>
  <si>
    <t>CapHatMeshcap6</t>
  </si>
  <si>
    <t>milkmaid hat</t>
  </si>
  <si>
    <t>TopsTexOnepieceOverallLHero0</t>
  </si>
  <si>
    <t>zigzag-print dress</t>
  </si>
  <si>
    <t>SocksTexFolded2</t>
  </si>
  <si>
    <t>CapBangsVolendamWhite</t>
  </si>
  <si>
    <t>mohawk wig</t>
  </si>
  <si>
    <t>SocksTexFolded3</t>
  </si>
  <si>
    <t>color-blocked socks</t>
  </si>
  <si>
    <t>TopsTexOnepieceAlongNEthnic0</t>
  </si>
  <si>
    <t>CapWigMohican</t>
  </si>
  <si>
    <t>mum crown</t>
  </si>
  <si>
    <t>SocksTexMultiblock0</t>
  </si>
  <si>
    <t>CapOrnamentMum1</t>
  </si>
  <si>
    <t>TopsTexOnepieceAlongNEthnic1</t>
  </si>
  <si>
    <t>mummy mask</t>
  </si>
  <si>
    <t>SocksTexMultiblock1</t>
  </si>
  <si>
    <t>TopsTexOnepieceAlongNEthnic2</t>
  </si>
  <si>
    <t>CapFullfaceMummyWhite</t>
  </si>
  <si>
    <t>New Year's hat</t>
  </si>
  <si>
    <t>SocksTexMultiblock2</t>
  </si>
  <si>
    <t>TopsTexOnepieceAlongNEthnic3</t>
  </si>
  <si>
    <t>Countdown event</t>
  </si>
  <si>
    <t>CapHatNewyearPurple</t>
  </si>
  <si>
    <t>SocksTexMultiblock3</t>
  </si>
  <si>
    <t>TopsTexOnepieceAlongNEthnic4</t>
  </si>
  <si>
    <t>CapHatNewyearPink</t>
  </si>
  <si>
    <t>SocksTexMultiblock4</t>
  </si>
  <si>
    <t>TopsTexOnepieceAlongNEthnic5</t>
  </si>
  <si>
    <t>SocksTexMultiblock5</t>
  </si>
  <si>
    <t>CapHatNewyearLightblue</t>
  </si>
  <si>
    <t>SocksTexMultiblock6</t>
  </si>
  <si>
    <t>CapHatNewyearRed</t>
  </si>
  <si>
    <t>SocksTexMultiblock7</t>
  </si>
  <si>
    <t>compression tights</t>
  </si>
  <si>
    <t>CapHatNewyearBlue</t>
  </si>
  <si>
    <t>SocksTexCompression1</t>
  </si>
  <si>
    <t>CapHatNewyearYellow</t>
  </si>
  <si>
    <t>SocksTexCompression2</t>
  </si>
  <si>
    <t>CapHatNewyearGreen</t>
  </si>
  <si>
    <t>CapHatNewyearOrange</t>
  </si>
  <si>
    <t>New Year's silk hat</t>
  </si>
  <si>
    <t>SocksTexCompression3</t>
  </si>
  <si>
    <t>CapHatNewyearsilkOrange</t>
  </si>
  <si>
    <t>SocksTexCompression4</t>
  </si>
  <si>
    <t>CapHatNewyearsilkPurple</t>
  </si>
  <si>
    <t>SocksTexCompression0</t>
  </si>
  <si>
    <t>country socks</t>
  </si>
  <si>
    <t>Red ribbons</t>
  </si>
  <si>
    <t>SocksTexCountry0</t>
  </si>
  <si>
    <t>Green ribbons</t>
  </si>
  <si>
    <t>CapHatNewyearsilkPink</t>
  </si>
  <si>
    <t>SocksTexCountry1</t>
  </si>
  <si>
    <t>Blue ribbons</t>
  </si>
  <si>
    <t>CapHatNewyearsilkLightblue</t>
  </si>
  <si>
    <t>SocksTexCountry2</t>
  </si>
  <si>
    <t>Black ribbons</t>
  </si>
  <si>
    <t>CapHatNewyearsilkRed</t>
  </si>
  <si>
    <t>SocksTexCountry3</t>
  </si>
  <si>
    <t>crocheted socks</t>
  </si>
  <si>
    <t>CapHatNewyearsilkBlue</t>
  </si>
  <si>
    <t>CapHatNewyearsilkYellow</t>
  </si>
  <si>
    <t>SocksTexCrocheting0</t>
  </si>
  <si>
    <t>CapHatNewyearsilkGreen</t>
  </si>
  <si>
    <t>ninja hood</t>
  </si>
  <si>
    <t>SocksTexCrocheting2</t>
  </si>
  <si>
    <t>CapCostumeNinja0</t>
  </si>
  <si>
    <t>SocksTexCrocheting3</t>
  </si>
  <si>
    <t>CapCostumeNinja1</t>
  </si>
  <si>
    <t>CapCostumeNinja2</t>
  </si>
  <si>
    <t>SocksTexCrocheting1</t>
  </si>
  <si>
    <t>denim leggings</t>
  </si>
  <si>
    <t>CapCostumeNinja3</t>
  </si>
  <si>
    <t>SocksTexDenimleggings0</t>
  </si>
  <si>
    <t>SocksTexDenimleggings1</t>
  </si>
  <si>
    <t>CapCostumeNinja4</t>
  </si>
  <si>
    <t>Saxon blue</t>
  </si>
  <si>
    <t>SocksTexDenimleggings2</t>
  </si>
  <si>
    <t>SocksTexDenimleggings3</t>
  </si>
  <si>
    <t>dotted knee-high socks</t>
  </si>
  <si>
    <t>CapCostumeNinja5</t>
  </si>
  <si>
    <t>SocksTexDotknee0</t>
  </si>
  <si>
    <t>SocksTexDotknee1</t>
  </si>
  <si>
    <t>CapCostumeNinja6</t>
  </si>
  <si>
    <t>SocksTexDotknee2</t>
  </si>
  <si>
    <t>SocksTexDotknee3</t>
  </si>
  <si>
    <t>embroidered-flower tights</t>
  </si>
  <si>
    <t>CapCostumeNinja7</t>
  </si>
  <si>
    <t>Noh mask</t>
  </si>
  <si>
    <t>SocksTexEmbroidery1</t>
  </si>
  <si>
    <t>SocksTexEmbroidery2</t>
  </si>
  <si>
    <t>CapMaskNomenWhite</t>
  </si>
  <si>
    <t>Nook Inc. bandanna</t>
  </si>
  <si>
    <t>SocksTexEmbroidery3</t>
  </si>
  <si>
    <t>CapHatBandanaRco</t>
  </si>
  <si>
    <t>Nook Inc. cap</t>
  </si>
  <si>
    <t>SocksTexEmbroidery0</t>
  </si>
  <si>
    <t>SocksTexEmbroidery4</t>
  </si>
  <si>
    <t>CapHatMeshcapRco</t>
  </si>
  <si>
    <t>nurse's cap</t>
  </si>
  <si>
    <t>SocksTexEmbroidery5</t>
  </si>
  <si>
    <t>everyday socks</t>
  </si>
  <si>
    <t>CapOrnamentTNurse0</t>
  </si>
  <si>
    <t>SocksTexDailysocks1</t>
  </si>
  <si>
    <t>antique boots</t>
  </si>
  <si>
    <t>CapOrnamentTNurse1</t>
  </si>
  <si>
    <t>SocksTexDailysocks2</t>
  </si>
  <si>
    <t>ShoesKneeAntique0</t>
  </si>
  <si>
    <t>CapOrnamentTNurse2</t>
  </si>
  <si>
    <t>OK Motors cap</t>
  </si>
  <si>
    <t>SocksTexDailysocks3</t>
  </si>
  <si>
    <t>ShoesKneeAntique1</t>
  </si>
  <si>
    <t>ShoesKneeAntique2</t>
  </si>
  <si>
    <t>armor shoes</t>
  </si>
  <si>
    <t>CapHatOkmotors0</t>
  </si>
  <si>
    <t>orange hat</t>
  </si>
  <si>
    <t>SocksTexDailysocks4</t>
  </si>
  <si>
    <t>CapHatOrange</t>
  </si>
  <si>
    <t>outback hat</t>
  </si>
  <si>
    <t>ShoesKneeKnightIron</t>
  </si>
  <si>
    <t>babouches</t>
  </si>
  <si>
    <t>CapHatTengallon0</t>
  </si>
  <si>
    <t>ShoesSandalBaboush0</t>
  </si>
  <si>
    <t>SocksTexDailysocks5</t>
  </si>
  <si>
    <t>ShoesSandalBaboush1</t>
  </si>
  <si>
    <t>CapHatTengallon1</t>
  </si>
  <si>
    <t>SocksTexDailysocks0</t>
  </si>
  <si>
    <t>everyday tights</t>
  </si>
  <si>
    <t>ShoesSandalBaboush2</t>
  </si>
  <si>
    <t>CapHatTengallon2</t>
  </si>
  <si>
    <t>CapHatTengallon3</t>
  </si>
  <si>
    <t>SocksTexDailytights1</t>
  </si>
  <si>
    <t>ShoesSandalBaboush3</t>
  </si>
  <si>
    <t>CapHatTengallon4</t>
  </si>
  <si>
    <t>outdoor hat</t>
  </si>
  <si>
    <t>SocksTexDailytights2</t>
  </si>
  <si>
    <t>CapHatOutdoor3</t>
  </si>
  <si>
    <t>ShoesSandalBaboush4</t>
  </si>
  <si>
    <t>SocksTexDailytights3</t>
  </si>
  <si>
    <t>CapHatOutdoor4</t>
  </si>
  <si>
    <t>SocksTexDailytights4</t>
  </si>
  <si>
    <t>ShoesSandalBaboush5</t>
  </si>
  <si>
    <t>CapHatOutdoor5</t>
  </si>
  <si>
    <t>SocksTexDailytights5</t>
  </si>
  <si>
    <t>ShoesSandalBaboush6</t>
  </si>
  <si>
    <t>CapHatOutdoor6</t>
  </si>
  <si>
    <t>SocksTexDailytights0</t>
  </si>
  <si>
    <t>fishnet tights</t>
  </si>
  <si>
    <t>ShoesSandalBaboush7</t>
  </si>
  <si>
    <t>ballet slippers</t>
  </si>
  <si>
    <t>CapHatOutdoor7</t>
  </si>
  <si>
    <t>SocksTexAmitights1</t>
  </si>
  <si>
    <t>ShoesLowcutBallet0</t>
  </si>
  <si>
    <t>SocksTexAmitights2</t>
  </si>
  <si>
    <t>CapHatOutdoor0</t>
  </si>
  <si>
    <t>ShoesLowcutBallet1</t>
  </si>
  <si>
    <t>SocksTexAmitights0</t>
  </si>
  <si>
    <t>flowery-dot tights</t>
  </si>
  <si>
    <t>SocksTexFlowerdot0</t>
  </si>
  <si>
    <t>ShoesLowcutBallet2</t>
  </si>
  <si>
    <t>CapHatOutdoor1</t>
  </si>
  <si>
    <t>SocksTexFlowerdot1</t>
  </si>
  <si>
    <t>ShoesLowcutBallet3</t>
  </si>
  <si>
    <t>SocksTexFlowerdot2</t>
  </si>
  <si>
    <t>CapHatOutdoor2</t>
  </si>
  <si>
    <t>paintball mask</t>
  </si>
  <si>
    <t>SocksTexFlowerdot3</t>
  </si>
  <si>
    <t>ShoesLowcutBallet4</t>
  </si>
  <si>
    <t>CapMaskPaint0</t>
  </si>
  <si>
    <t>SocksTexFlowerdot4</t>
  </si>
  <si>
    <t>frilly knee-high socks</t>
  </si>
  <si>
    <t>ShoesLowcutBallet5</t>
  </si>
  <si>
    <t>SocksTexFrilledknee0</t>
  </si>
  <si>
    <t>CapMaskPaint1</t>
  </si>
  <si>
    <t>ShoesLowcutBallet6</t>
  </si>
  <si>
    <t>SocksTexFrilledknee2</t>
  </si>
  <si>
    <t>CapMaskPaint2</t>
  </si>
  <si>
    <t>SocksTexFrilledknee3</t>
  </si>
  <si>
    <t>ShoesLowcutBallet7</t>
  </si>
  <si>
    <t>basketball shoes</t>
  </si>
  <si>
    <t>SocksTexFrilledknee4</t>
  </si>
  <si>
    <t>CapMaskPaint3</t>
  </si>
  <si>
    <t>paisley bandanna</t>
  </si>
  <si>
    <t>ShoesHighcutBasket0</t>
  </si>
  <si>
    <t>SocksTexFrilledknee5</t>
  </si>
  <si>
    <t>SocksTexFrilledknee6</t>
  </si>
  <si>
    <t>ShoesHighcutBasket1</t>
  </si>
  <si>
    <t>CapHatBandana1</t>
  </si>
  <si>
    <t>SocksTexFrilledknee7</t>
  </si>
  <si>
    <t>ShoesHighcutBasket2</t>
  </si>
  <si>
    <t>SocksTexFrilledknee1</t>
  </si>
  <si>
    <t>frilly socks</t>
  </si>
  <si>
    <t>CapHatBandana2</t>
  </si>
  <si>
    <t>SocksTexFrilled0</t>
  </si>
  <si>
    <t>ShoesHighcutBasket3</t>
  </si>
  <si>
    <t>CapHatBandana3</t>
  </si>
  <si>
    <t>SocksTexFrilled1</t>
  </si>
  <si>
    <t>SocksTexFrilled2</t>
  </si>
  <si>
    <t>ShoesHighcutBasket4</t>
  </si>
  <si>
    <t>CapHatBandana4</t>
  </si>
  <si>
    <t>SocksTexFrilled3</t>
  </si>
  <si>
    <t>ShoesHighcutBasket5</t>
  </si>
  <si>
    <t>SocksTexFrilled4</t>
  </si>
  <si>
    <t>CapHatBandana5</t>
  </si>
  <si>
    <t>SocksTexFrilled5</t>
  </si>
  <si>
    <t>funny-face socks</t>
  </si>
  <si>
    <t>ShoesHighcutBasket6</t>
  </si>
  <si>
    <t>SocksTexCharacter0</t>
  </si>
  <si>
    <t>CapHatBandana6</t>
  </si>
  <si>
    <t>SocksTexCharacter1</t>
  </si>
  <si>
    <t>ShoesHighcutBasket7</t>
  </si>
  <si>
    <t>beaded sandals</t>
  </si>
  <si>
    <t>SocksTexCharacter2</t>
  </si>
  <si>
    <t>CapHatBandana7</t>
  </si>
  <si>
    <t>ShoesSandalBeads0</t>
  </si>
  <si>
    <t>SocksTexCharacter3</t>
  </si>
  <si>
    <t>SocksTexCharacter4</t>
  </si>
  <si>
    <t>garter socks</t>
  </si>
  <si>
    <t>CapHatBandana0</t>
  </si>
  <si>
    <t>pansy crown</t>
  </si>
  <si>
    <t>ShoesSandalBeads1</t>
  </si>
  <si>
    <t>SocksTexGarter0</t>
  </si>
  <si>
    <t>SocksTexGarter1</t>
  </si>
  <si>
    <t>CapOrnamentPansy1</t>
  </si>
  <si>
    <t>paper bag</t>
  </si>
  <si>
    <t>ShoesSandalBeads2</t>
  </si>
  <si>
    <t>SocksTexGarter2</t>
  </si>
  <si>
    <t>SocksTexGarter3</t>
  </si>
  <si>
    <t>ShoesSandalBeads3</t>
  </si>
  <si>
    <t>geometric-print socks</t>
  </si>
  <si>
    <t>CapFullfacePaperbagBeige</t>
  </si>
  <si>
    <t>paperboy cap</t>
  </si>
  <si>
    <t>SocksTexChimayo0</t>
  </si>
  <si>
    <t>ShoesSandalBeads4</t>
  </si>
  <si>
    <t>SocksTexChimayo1</t>
  </si>
  <si>
    <t>CapHatHunting0</t>
  </si>
  <si>
    <t>ShoesSandalBeads5</t>
  </si>
  <si>
    <t>boots</t>
  </si>
  <si>
    <t>SocksTexChimayo2</t>
  </si>
  <si>
    <t>CapHatHunting1</t>
  </si>
  <si>
    <t>ShoesKneeRubberboots0</t>
  </si>
  <si>
    <t>SocksTexChimayo3</t>
  </si>
  <si>
    <t>CapHatHunting2</t>
  </si>
  <si>
    <t>SocksTexChimayo4</t>
  </si>
  <si>
    <t>ShoesKneeRubberboots1</t>
  </si>
  <si>
    <t>SocksTexChimayo5</t>
  </si>
  <si>
    <t>hand-knit socks</t>
  </si>
  <si>
    <t>CapHatHunting3</t>
  </si>
  <si>
    <t>ShoesKneeRubberboots2</t>
  </si>
  <si>
    <t>SocksTexHandknit0</t>
  </si>
  <si>
    <t>CapHatHunting4</t>
  </si>
  <si>
    <t>SocksTexHandknit1</t>
  </si>
  <si>
    <t>patchwork tulip hat</t>
  </si>
  <si>
    <t>ShoesKneeRubberboots3</t>
  </si>
  <si>
    <t>SocksTexHandknit2</t>
  </si>
  <si>
    <t>holey socks</t>
  </si>
  <si>
    <t>CapHatTulippatch0</t>
  </si>
  <si>
    <t>ShoesKneeRubberboots4</t>
  </si>
  <si>
    <t>SocksTexHole1</t>
  </si>
  <si>
    <t>business shoes</t>
  </si>
  <si>
    <t>CapHatTulippatch1</t>
  </si>
  <si>
    <t>SocksTexHole2</t>
  </si>
  <si>
    <t>ShoesLowcutBusiness0</t>
  </si>
  <si>
    <t>SocksTexHole0</t>
  </si>
  <si>
    <t>holey tights</t>
  </si>
  <si>
    <t>CapHatTulippatch2</t>
  </si>
  <si>
    <t>peach hat</t>
  </si>
  <si>
    <t>SocksTexHoletights7</t>
  </si>
  <si>
    <t>ShoesLowcutBusiness1</t>
  </si>
  <si>
    <t>cleats</t>
  </si>
  <si>
    <t>SocksTexHoletights1</t>
  </si>
  <si>
    <t>CapHatPeach0</t>
  </si>
  <si>
    <t>pear hat</t>
  </si>
  <si>
    <t>ShoesLowcutSpike0</t>
  </si>
  <si>
    <t>SocksTexHoletights2</t>
  </si>
  <si>
    <t>ShoesLowcutSpike1</t>
  </si>
  <si>
    <t>SocksTexHoletights3</t>
  </si>
  <si>
    <t>CapHatPear0</t>
  </si>
  <si>
    <t>ShoesLowcutSpike2</t>
  </si>
  <si>
    <t>pigtail</t>
  </si>
  <si>
    <t>SocksTexHoletights4</t>
  </si>
  <si>
    <t>ShoesLowcutSpike3</t>
  </si>
  <si>
    <t>SocksTexHoletights5</t>
  </si>
  <si>
    <t>CapWigPigtail</t>
  </si>
  <si>
    <t>pilot's cap</t>
  </si>
  <si>
    <t>SocksTexHoletights6</t>
  </si>
  <si>
    <t>ShoesLowcutSpike4</t>
  </si>
  <si>
    <t>SocksTexHoletights0</t>
  </si>
  <si>
    <t>ShoesLowcutSpike5</t>
  </si>
  <si>
    <t>CapHelmetPilot1</t>
  </si>
  <si>
    <t>kiddie socks</t>
  </si>
  <si>
    <t>Red &amp; light blue</t>
  </si>
  <si>
    <t>ShoesLowcutSpike6</t>
  </si>
  <si>
    <t>SocksTexKids0</t>
  </si>
  <si>
    <t>CapHelmetPilot2</t>
  </si>
  <si>
    <t>Blue &amp; orange</t>
  </si>
  <si>
    <t>ShoesLowcutSpike7</t>
  </si>
  <si>
    <t>SocksTexKids1</t>
  </si>
  <si>
    <t>comfy sandals</t>
  </si>
  <si>
    <t>CapHelmetPilot0</t>
  </si>
  <si>
    <t>pilot's hat</t>
  </si>
  <si>
    <t>Lime &amp; pink</t>
  </si>
  <si>
    <t>ShoesSandalComfort0</t>
  </si>
  <si>
    <t>SocksTexKids2</t>
  </si>
  <si>
    <t>CapHatCaptainsky0</t>
  </si>
  <si>
    <t>Yellow &amp; purple</t>
  </si>
  <si>
    <t>SocksTexKids3</t>
  </si>
  <si>
    <t>ShoesSandalComfort1</t>
  </si>
  <si>
    <t>Light blue &amp; red</t>
  </si>
  <si>
    <t>CapHatCaptainsky1</t>
  </si>
  <si>
    <t>SocksTexKids4</t>
  </si>
  <si>
    <t>ShoesSandalComfort2</t>
  </si>
  <si>
    <t>Purple &amp; green</t>
  </si>
  <si>
    <t>SocksTexKids5</t>
  </si>
  <si>
    <t>CapHatCaptainsky2</t>
  </si>
  <si>
    <t>ShoesSandalComfort3</t>
  </si>
  <si>
    <t>pineapple cap</t>
  </si>
  <si>
    <t>SocksTexKids6</t>
  </si>
  <si>
    <t>ShoesSandalComfort4</t>
  </si>
  <si>
    <t>Black &amp; gray</t>
  </si>
  <si>
    <t>CapHatPineapple</t>
  </si>
  <si>
    <t>SocksTexKids7</t>
  </si>
  <si>
    <t>Labelle socks</t>
  </si>
  <si>
    <t>plain cap</t>
  </si>
  <si>
    <t>ShoesSandalComfort5</t>
  </si>
  <si>
    <t>SocksTexKatesocks1</t>
  </si>
  <si>
    <t>CapHatWorkcap0</t>
  </si>
  <si>
    <t>ShoesSandalComfort6</t>
  </si>
  <si>
    <t>SocksTexKatesocks2</t>
  </si>
  <si>
    <t>CapHatWorkcap1</t>
  </si>
  <si>
    <t>ShoesSandalComfort7</t>
  </si>
  <si>
    <t>cowboy boots</t>
  </si>
  <si>
    <t>CapHatWorkcap2</t>
  </si>
  <si>
    <t>SocksTexKatesocks3</t>
  </si>
  <si>
    <t>ShoesKneeWestern0</t>
  </si>
  <si>
    <t>CapHatWorkcap3</t>
  </si>
  <si>
    <t>ShoesKneeWestern1</t>
  </si>
  <si>
    <t>SocksTexKatesocks4</t>
  </si>
  <si>
    <t>CapHatWorkcap4</t>
  </si>
  <si>
    <t>police cap</t>
  </si>
  <si>
    <t>ShoesKneeWestern2</t>
  </si>
  <si>
    <t>SocksTexKatesocks5</t>
  </si>
  <si>
    <t>CapHatPoliceNavy</t>
  </si>
  <si>
    <t>pom casquette</t>
  </si>
  <si>
    <t>SocksTexKatesocks0</t>
  </si>
  <si>
    <t>ShoesKneeWestern3</t>
  </si>
  <si>
    <t>Labelle tights</t>
  </si>
  <si>
    <t>SocksTexKatetights1</t>
  </si>
  <si>
    <t>CapHatKnitcasquette1</t>
  </si>
  <si>
    <t>ShoesKneeWestern4</t>
  </si>
  <si>
    <t>cross-belt sandals</t>
  </si>
  <si>
    <t>SocksTexKatetights2</t>
  </si>
  <si>
    <t>CapHatKnitcasquette0</t>
  </si>
  <si>
    <t>ShoesSandalCrossbelt0</t>
  </si>
  <si>
    <t>SocksTexKatetights3</t>
  </si>
  <si>
    <t>ShoesSandalCrossbelt1</t>
  </si>
  <si>
    <t>SocksTexKatetights4</t>
  </si>
  <si>
    <t>CapHatKnitcasquette2</t>
  </si>
  <si>
    <t>ShoesSandalCrossbelt2</t>
  </si>
  <si>
    <t>SocksTexKatetights0</t>
  </si>
  <si>
    <t>ShoesSandalCrossbelt3</t>
  </si>
  <si>
    <t>CapHatKnitcasquette3</t>
  </si>
  <si>
    <t>SocksTexKatetights5</t>
  </si>
  <si>
    <t>lace socks</t>
  </si>
  <si>
    <t>ShoesSandalCrossbelt4</t>
  </si>
  <si>
    <t>SocksTexLace0</t>
  </si>
  <si>
    <t>CapHatKnitcasquette4</t>
  </si>
  <si>
    <t>ShoesSandalCrossbelt5</t>
  </si>
  <si>
    <t>cute sneakers</t>
  </si>
  <si>
    <t>SocksTexLace1</t>
  </si>
  <si>
    <t>ShoesHighcutCute0</t>
  </si>
  <si>
    <t>SocksTexLace2</t>
  </si>
  <si>
    <t>CapHatKnitcasquette5</t>
  </si>
  <si>
    <t>pompadour wig</t>
  </si>
  <si>
    <t>ShoesHighcutCute1</t>
  </si>
  <si>
    <t>SocksTexLace3</t>
  </si>
  <si>
    <t>ShoesHighcutCute2</t>
  </si>
  <si>
    <t>SocksTexLace4</t>
  </si>
  <si>
    <t>layered socks</t>
  </si>
  <si>
    <t>CapWigRegent</t>
  </si>
  <si>
    <t>power helmet</t>
  </si>
  <si>
    <t>ShoesHighcutCute3</t>
  </si>
  <si>
    <t>SockstTexOverlapping1</t>
  </si>
  <si>
    <t>ShoesHighcutCute4</t>
  </si>
  <si>
    <t>CapFullfacePowered0</t>
  </si>
  <si>
    <t>SockstTexOverlapping2</t>
  </si>
  <si>
    <t>ShoesHighcutCute5</t>
  </si>
  <si>
    <t>DAL slippers</t>
  </si>
  <si>
    <t>SockstTexOverlapping3</t>
  </si>
  <si>
    <t>CapFullfacePowered1</t>
  </si>
  <si>
    <t>AccessoryGlassSlippers0</t>
  </si>
  <si>
    <t>earth-egg shoes</t>
  </si>
  <si>
    <t>SockstTexOverlapping4</t>
  </si>
  <si>
    <t>ShoesLowcutEggground0</t>
  </si>
  <si>
    <t>SockstTexOverlapping5</t>
  </si>
  <si>
    <t>embroidered shoes</t>
  </si>
  <si>
    <t>CapFullfacePowered2</t>
  </si>
  <si>
    <t>SockstTexOverlapping0</t>
  </si>
  <si>
    <t>leg warmers</t>
  </si>
  <si>
    <t>ShoesLowcutEmbroidery0</t>
  </si>
  <si>
    <t>SocksTexLegwarmer0</t>
  </si>
  <si>
    <t>ShoesLowcutEmbroidery1</t>
  </si>
  <si>
    <t>CapFullfacePowered3</t>
  </si>
  <si>
    <t>purple hyacinth crown</t>
  </si>
  <si>
    <t>ShoesLowcutEmbroidery2</t>
  </si>
  <si>
    <t>SocksTexLegwarmer1</t>
  </si>
  <si>
    <t>ShoesLowcutEmbroidery3</t>
  </si>
  <si>
    <t>CapOrnamentHyacinth3</t>
  </si>
  <si>
    <t>faux-fur ankle booties</t>
  </si>
  <si>
    <t>purple pansy crown</t>
  </si>
  <si>
    <t>ShoesHighcutFurboots0</t>
  </si>
  <si>
    <t>CapOrnamentPansy3</t>
  </si>
  <si>
    <t>purple windflower crown</t>
  </si>
  <si>
    <t>SocksTexLegwarmer2</t>
  </si>
  <si>
    <t>ShoesHighcutFurboots1</t>
  </si>
  <si>
    <t>CapOrnamentAnemone3</t>
  </si>
  <si>
    <t>racing helmet</t>
  </si>
  <si>
    <t>SocksTexLegwarmer3</t>
  </si>
  <si>
    <t>ShoesHighcutFurboots2</t>
  </si>
  <si>
    <t>SocksTexLegwarmer4</t>
  </si>
  <si>
    <t>ShoesHighcutFurboots3</t>
  </si>
  <si>
    <t>CapFullfaceRacing0</t>
  </si>
  <si>
    <t>faux-shearling boots</t>
  </si>
  <si>
    <t>SocksTexLegwarmer5</t>
  </si>
  <si>
    <t>mixed-tweed socks</t>
  </si>
  <si>
    <t>ShoesHighcutMouton0</t>
  </si>
  <si>
    <t>CapFullfaceRacing1</t>
  </si>
  <si>
    <t>SocksTexMixtweed1</t>
  </si>
  <si>
    <t>ShoesHighcutMouton1</t>
  </si>
  <si>
    <t>CapFullfaceRacing2</t>
  </si>
  <si>
    <t>SocksTexMixtweed2</t>
  </si>
  <si>
    <t>ShoesHighcutMouton2</t>
  </si>
  <si>
    <t>SocksTexMixtweed3</t>
  </si>
  <si>
    <t>CapFullfaceRacing3</t>
  </si>
  <si>
    <t>SocksTexMixtweed4</t>
  </si>
  <si>
    <t>ShoesHighcutMouton3</t>
  </si>
  <si>
    <t>CapFullfaceRacing4</t>
  </si>
  <si>
    <t>SocksTexMixtweed0</t>
  </si>
  <si>
    <t>ShoesHighcutMouton4</t>
  </si>
  <si>
    <t>faux-suede sneakers</t>
  </si>
  <si>
    <t>SocksTexMixtweed5</t>
  </si>
  <si>
    <t>CapFullfaceRacing5</t>
  </si>
  <si>
    <t>ShoesLowcutSuede0</t>
  </si>
  <si>
    <t>SocksTexMixtweed6</t>
  </si>
  <si>
    <t>ShoesLowcutSuede1</t>
  </si>
  <si>
    <t>CapFullfaceRacing6</t>
  </si>
  <si>
    <t>SocksTexMixtweed7</t>
  </si>
  <si>
    <t>neon leggings</t>
  </si>
  <si>
    <t>SocksTexNeonleggings1</t>
  </si>
  <si>
    <t>ShoesLowcutSuede2</t>
  </si>
  <si>
    <t>CapFullfaceRacing7</t>
  </si>
  <si>
    <t>rain hat</t>
  </si>
  <si>
    <t>SocksTexNeonleggings2</t>
  </si>
  <si>
    <t>ShoesLowcutSuede3</t>
  </si>
  <si>
    <t>SocksTexNeonleggings0</t>
  </si>
  <si>
    <t>CapHatRain1</t>
  </si>
  <si>
    <t>SocksTexNeonleggings3</t>
  </si>
  <si>
    <t>ShoesLowcutSuede4</t>
  </si>
  <si>
    <t>SocksTexNeonleggings4</t>
  </si>
  <si>
    <t>CapHatRain2</t>
  </si>
  <si>
    <t>neon tights</t>
  </si>
  <si>
    <t>ShoesLowcutSuede5</t>
  </si>
  <si>
    <t>CapHatRain3</t>
  </si>
  <si>
    <t>SocksTexNeontights1</t>
  </si>
  <si>
    <t>ShoesLowcutSuede6</t>
  </si>
  <si>
    <t>CapHatRain4</t>
  </si>
  <si>
    <t>SocksTexNeontights2</t>
  </si>
  <si>
    <t>ShoesLowcutSuede7</t>
  </si>
  <si>
    <t>flip-flops</t>
  </si>
  <si>
    <t>CapHatRain5</t>
  </si>
  <si>
    <t>SocksTexNeontights3</t>
  </si>
  <si>
    <t>ShoesSandalBeachborder0</t>
  </si>
  <si>
    <t>SocksTexNeontights4</t>
  </si>
  <si>
    <t>CapHatRain6</t>
  </si>
  <si>
    <t>ShoesSandalBeachborder1</t>
  </si>
  <si>
    <t>SocksTexNeontights0</t>
  </si>
  <si>
    <t>no-show socks</t>
  </si>
  <si>
    <t>SocksTexSneakerin1</t>
  </si>
  <si>
    <t>ShoesSandalBeachborder2</t>
  </si>
  <si>
    <t>CapHatRain7</t>
  </si>
  <si>
    <t>SocksTexSneakerin2</t>
  </si>
  <si>
    <t>ShoesSandalBeachborder3</t>
  </si>
  <si>
    <t>CapHatRain0</t>
  </si>
  <si>
    <t>SocksTexSneakerin3</t>
  </si>
  <si>
    <t>ShoesSandalBeachborder4</t>
  </si>
  <si>
    <t>ribbon</t>
  </si>
  <si>
    <t>ShoesSandalBeachborder5</t>
  </si>
  <si>
    <t>SocksTexSneakerin4</t>
  </si>
  <si>
    <t>CapOrnamentLRibbon2</t>
  </si>
  <si>
    <t>ShoesSandalBeachborder6</t>
  </si>
  <si>
    <t>SocksTexSneakerin5</t>
  </si>
  <si>
    <t>CapOrnamentLRibbon3</t>
  </si>
  <si>
    <t>SocksTexSneakerin6</t>
  </si>
  <si>
    <t>ShoesSandalBeachborder7</t>
  </si>
  <si>
    <t>flower sandals</t>
  </si>
  <si>
    <t>CapOrnamentLRibbon4</t>
  </si>
  <si>
    <t>SocksTexSneakerin7</t>
  </si>
  <si>
    <t>ShoesSandalFlower0</t>
  </si>
  <si>
    <t>CapOrnamentLRibbon5</t>
  </si>
  <si>
    <t>SocksTexSneakerin0</t>
  </si>
  <si>
    <t>Nook Inc. socks</t>
  </si>
  <si>
    <t>ShoesSandalFlower1</t>
  </si>
  <si>
    <t>CapOrnamentLRibbon6</t>
  </si>
  <si>
    <t>SocksTexBorderRco</t>
  </si>
  <si>
    <t>ShoesSandalFlower2</t>
  </si>
  <si>
    <t>nordic socks</t>
  </si>
  <si>
    <t>CapOrnamentLRibbon7</t>
  </si>
  <si>
    <t>ShoesSandalFlower3</t>
  </si>
  <si>
    <t>SocksTexNordic1</t>
  </si>
  <si>
    <t>SocksTexNordic0</t>
  </si>
  <si>
    <t>ShoesSandalFlower4</t>
  </si>
  <si>
    <t>CapOrnamentLRibbon0</t>
  </si>
  <si>
    <t>SocksTexNordic2</t>
  </si>
  <si>
    <t>ShoesSandalFlower5</t>
  </si>
  <si>
    <t>SocksTexNordic3</t>
  </si>
  <si>
    <t>CapOrnamentLRibbon1</t>
  </si>
  <si>
    <t>ribboned garden hat</t>
  </si>
  <si>
    <t>ShoesSandalFlower6</t>
  </si>
  <si>
    <t>ghillie brogues</t>
  </si>
  <si>
    <t>SocksTexNordic4</t>
  </si>
  <si>
    <t>ShoesLowcutBrogues0</t>
  </si>
  <si>
    <t>CapHatGarlystrawhat0</t>
  </si>
  <si>
    <t>SocksTexNordic5</t>
  </si>
  <si>
    <t>ShoesLowcutBrogues1</t>
  </si>
  <si>
    <t>SocksTexNordic6</t>
  </si>
  <si>
    <t>patterned stockings</t>
  </si>
  <si>
    <t>ShoesLowcutBrogues2</t>
  </si>
  <si>
    <t>CapHatGarlystrawhat1</t>
  </si>
  <si>
    <t>gladiator sandals</t>
  </si>
  <si>
    <t>ShoesSandalGladiator0</t>
  </si>
  <si>
    <t>CapHatGarlystrawhat2</t>
  </si>
  <si>
    <t>SocksTexStripedot0</t>
  </si>
  <si>
    <t>ShoesSandalGladiator1</t>
  </si>
  <si>
    <t>CapHatGarlystrawhat3</t>
  </si>
  <si>
    <t>ribboned straw hat</t>
  </si>
  <si>
    <t>SocksTexStripedot1</t>
  </si>
  <si>
    <t>pom-pom socks</t>
  </si>
  <si>
    <t>ShoesSandalGladiator2</t>
  </si>
  <si>
    <t>gold-armor shoes</t>
  </si>
  <si>
    <t>CapOrnamentLMinistrawhat0</t>
  </si>
  <si>
    <t>SocksTexBobble1</t>
  </si>
  <si>
    <t>ShoesKneeKnightGold</t>
  </si>
  <si>
    <t>hi-tech sneakers</t>
  </si>
  <si>
    <t>CapOrnamentLMinistrawhat1</t>
  </si>
  <si>
    <t>ShoesHighcutHightech0</t>
  </si>
  <si>
    <t>SocksTexBobble2</t>
  </si>
  <si>
    <t>ShoesHighcutHightech1</t>
  </si>
  <si>
    <t>CapOrnamentLMinistrawhat2</t>
  </si>
  <si>
    <t>SocksTexBobble3</t>
  </si>
  <si>
    <t>rose crown</t>
  </si>
  <si>
    <t>ShoesHighcutHightech2</t>
  </si>
  <si>
    <t>CapOrnamentRose1</t>
  </si>
  <si>
    <t>ShoesHighcutHightech3</t>
  </si>
  <si>
    <t>SocksTexBobble4</t>
  </si>
  <si>
    <t>royal crown</t>
  </si>
  <si>
    <t>ShoesHighcutHightech4</t>
  </si>
  <si>
    <t>SocksTexBobble0</t>
  </si>
  <si>
    <t>high-tops</t>
  </si>
  <si>
    <t>puckered socks</t>
  </si>
  <si>
    <t>CapHatCrownRed</t>
  </si>
  <si>
    <t>safety helmet</t>
  </si>
  <si>
    <t>ShoesHighcutSneaker0</t>
  </si>
  <si>
    <t>SocksTexPucker1</t>
  </si>
  <si>
    <t>SocksTexPucker2</t>
  </si>
  <si>
    <t>ShoesHighcutSneaker1</t>
  </si>
  <si>
    <t>CapHatSafetyhat2</t>
  </si>
  <si>
    <t>SocksTexPucker0</t>
  </si>
  <si>
    <t>ShoesHighcutSneaker2</t>
  </si>
  <si>
    <t>CapHatSafetyhat0</t>
  </si>
  <si>
    <t>SocksTexPucker3</t>
  </si>
  <si>
    <t>ShoesHighcutSneaker3</t>
  </si>
  <si>
    <t>ShoesHighcutSneaker4</t>
  </si>
  <si>
    <t>SocksTexPucker4</t>
  </si>
  <si>
    <t>CapHatSafetyhat3</t>
  </si>
  <si>
    <t>running tights</t>
  </si>
  <si>
    <t>ShoesHighcutSneaker5</t>
  </si>
  <si>
    <t>SocksTexRun0</t>
  </si>
  <si>
    <t>ShoesHighcutSneaker6</t>
  </si>
  <si>
    <t>CapHatSafetyhat4</t>
  </si>
  <si>
    <t>CapHatSafetyhat1</t>
  </si>
  <si>
    <t>ShoesHighcutSneaker7</t>
  </si>
  <si>
    <t>sailor's hat</t>
  </si>
  <si>
    <t>house slippers</t>
  </si>
  <si>
    <t>SocksTexRun1</t>
  </si>
  <si>
    <t>CapHatSailor0</t>
  </si>
  <si>
    <t>ShoesSandalRoomborder0</t>
  </si>
  <si>
    <t>SocksTexRun2</t>
  </si>
  <si>
    <t>CapHatSailor1</t>
  </si>
  <si>
    <t>ShoesSandalRoomborder1</t>
  </si>
  <si>
    <t>CapHatSailor2</t>
  </si>
  <si>
    <t>samurai helmet</t>
  </si>
  <si>
    <t>SocksTexRun3</t>
  </si>
  <si>
    <t>semi-opaque socks</t>
  </si>
  <si>
    <t>CapCostumeSamurai4</t>
  </si>
  <si>
    <t>ShoesSandalRoomborder2</t>
  </si>
  <si>
    <t>CapCostumeSamurai1</t>
  </si>
  <si>
    <t>SocksTexNuancesocks4</t>
  </si>
  <si>
    <t>ShoesSandalRoomborder3</t>
  </si>
  <si>
    <t>CapCostumeSamurai2</t>
  </si>
  <si>
    <t>ShoesSandalRoomborder4</t>
  </si>
  <si>
    <t>SocksTexNuancesocks5</t>
  </si>
  <si>
    <t>CapCostumeSamurai3</t>
  </si>
  <si>
    <t>ShoesSandalRoomborder5</t>
  </si>
  <si>
    <t>CapCostumeSamurai0</t>
  </si>
  <si>
    <t>samurai wig</t>
  </si>
  <si>
    <t>ShoesSandalRoomborder6</t>
  </si>
  <si>
    <t>SocksTexNuancesocks6</t>
  </si>
  <si>
    <t>CapWigSamurai</t>
  </si>
  <si>
    <t>scholar's hat</t>
  </si>
  <si>
    <t>ShoesSandalRoomborder7</t>
  </si>
  <si>
    <t>jester's shoes</t>
  </si>
  <si>
    <t>CapHatBachelor0</t>
  </si>
  <si>
    <t>ShoesKneeClown0</t>
  </si>
  <si>
    <t>CapHatBachelor1</t>
  </si>
  <si>
    <t>SocksTexNuancesocks7</t>
  </si>
  <si>
    <t>CapHatBachelor2</t>
  </si>
  <si>
    <t>ShoesKneeClown1</t>
  </si>
  <si>
    <t>CapHatBachelor3</t>
  </si>
  <si>
    <t>SocksTexNuancesocks0</t>
  </si>
  <si>
    <t>school hat</t>
  </si>
  <si>
    <t>CapHatSchool1</t>
  </si>
  <si>
    <t>ShoesKneeClown2</t>
  </si>
  <si>
    <t>SocksTexNuancesocks1</t>
  </si>
  <si>
    <t>CapHatSchool0</t>
  </si>
  <si>
    <t>shallow knit cap</t>
  </si>
  <si>
    <t>ShoesKneeClown3</t>
  </si>
  <si>
    <t>kiddie sneakers</t>
  </si>
  <si>
    <t>SocksTexNuancesocks2</t>
  </si>
  <si>
    <t>ShoesHighcutSports0</t>
  </si>
  <si>
    <t>CapHatShallow0</t>
  </si>
  <si>
    <t>ShoesHighcutSports1</t>
  </si>
  <si>
    <t>CapHatShallow1</t>
  </si>
  <si>
    <t>SocksTexNuancesocks3</t>
  </si>
  <si>
    <t>semi-opaque tights</t>
  </si>
  <si>
    <t>ShoesHighcutSports2</t>
  </si>
  <si>
    <t>SocksTexNuancetights6</t>
  </si>
  <si>
    <t>ShoesHighcutSports3</t>
  </si>
  <si>
    <t>CapHatShallow2</t>
  </si>
  <si>
    <t>ShoesHighcutSports4</t>
  </si>
  <si>
    <t>SocksTexNuancetights7</t>
  </si>
  <si>
    <t>CapHatShallow3</t>
  </si>
  <si>
    <t>ShoesHighcutSports5</t>
  </si>
  <si>
    <t>kimono sandals</t>
  </si>
  <si>
    <t>SocksTexNuancetights1</t>
  </si>
  <si>
    <t>ShoesSandalGeta0</t>
  </si>
  <si>
    <t>CapHatShallow4</t>
  </si>
  <si>
    <t>SocksTexNuancetights2</t>
  </si>
  <si>
    <t>CapHatShallow5</t>
  </si>
  <si>
    <t>ShoesSandalGeta1</t>
  </si>
  <si>
    <t>ShoesSandalGeta2</t>
  </si>
  <si>
    <t>CapHatShallow6</t>
  </si>
  <si>
    <t>sheep hood</t>
  </si>
  <si>
    <t>SocksTexNuancetights3</t>
  </si>
  <si>
    <t>ShoesSandalGeta3</t>
  </si>
  <si>
    <t>CapBangsSheep0</t>
  </si>
  <si>
    <t>SocksTexNuancetights4</t>
  </si>
  <si>
    <t>ShoesSandalGeta4</t>
  </si>
  <si>
    <t>CapBangsSheep1</t>
  </si>
  <si>
    <t>ShoesSandalGeta5</t>
  </si>
  <si>
    <t>SocksTexNuancetights5</t>
  </si>
  <si>
    <t>CapBangsSheep2</t>
  </si>
  <si>
    <t>ShoesSandalGeta6</t>
  </si>
  <si>
    <t>SocksTexNuancetights0</t>
  </si>
  <si>
    <t>sequin leggings</t>
  </si>
  <si>
    <t>ShoesSandalGeta7</t>
  </si>
  <si>
    <t>kung-fu shoes</t>
  </si>
  <si>
    <t>CapBangsSheep3</t>
  </si>
  <si>
    <t>silk hat</t>
  </si>
  <si>
    <t>SocksTexSequins0</t>
  </si>
  <si>
    <t>CapHatChina0</t>
  </si>
  <si>
    <t>ShoesLowcutKungfu0</t>
  </si>
  <si>
    <t>SocksTexSequins1</t>
  </si>
  <si>
    <t>Labelle pumps</t>
  </si>
  <si>
    <t>SocksTexSequins2</t>
  </si>
  <si>
    <t>CapHatChina2</t>
  </si>
  <si>
    <t>ShoesLowcutKateheel0</t>
  </si>
  <si>
    <t>SocksTexSequins3</t>
  </si>
  <si>
    <t>CapHatChina3</t>
  </si>
  <si>
    <t>SocksTexSequins4</t>
  </si>
  <si>
    <t>ShoesLowcutKateheel1</t>
  </si>
  <si>
    <t>SocksTexSequins5</t>
  </si>
  <si>
    <t>CapHatChina1</t>
  </si>
  <si>
    <t>simple mum crown</t>
  </si>
  <si>
    <t>SocksTexSequins6</t>
  </si>
  <si>
    <t>ShoesLowcutKateheel2</t>
  </si>
  <si>
    <t>SocksTexSequins7</t>
  </si>
  <si>
    <t>sheer socks</t>
  </si>
  <si>
    <t>CapOrnamentMum3</t>
  </si>
  <si>
    <t>skateboarding helmet</t>
  </si>
  <si>
    <t>ShoesLowcutKateheel3</t>
  </si>
  <si>
    <t>SocksTexSeethrough3</t>
  </si>
  <si>
    <t>CapHatSkate0</t>
  </si>
  <si>
    <t>SocksTexSeethrough4</t>
  </si>
  <si>
    <t>ShoesLowcutKateheel4</t>
  </si>
  <si>
    <t>SocksTexSeethrough5</t>
  </si>
  <si>
    <t>CapHatSkate3</t>
  </si>
  <si>
    <t>ShoesLowcutKateheel5</t>
  </si>
  <si>
    <t>Labelle sneakers</t>
  </si>
  <si>
    <t>SocksTexSeethrough0</t>
  </si>
  <si>
    <t>CapHatSkate4</t>
  </si>
  <si>
    <t>ShoesHighcutKatesneaker0</t>
  </si>
  <si>
    <t>SocksTexSeethrough1</t>
  </si>
  <si>
    <t>SocksTexSeethrough2</t>
  </si>
  <si>
    <t>simple knee-high socks</t>
  </si>
  <si>
    <t>CapHatSkate1</t>
  </si>
  <si>
    <t>ShoesHighcutKatesneaker1</t>
  </si>
  <si>
    <t>SocksTexSimpleknee1</t>
  </si>
  <si>
    <t>CapHatSkate2</t>
  </si>
  <si>
    <t>skeleton hood</t>
  </si>
  <si>
    <t>SocksTexSimpleknee2</t>
  </si>
  <si>
    <t>ShoesHighcutKatesneaker2</t>
  </si>
  <si>
    <t>SocksTexSimpleknee3</t>
  </si>
  <si>
    <t>CapCostumeSkullWhite</t>
  </si>
  <si>
    <t>ski mask</t>
  </si>
  <si>
    <t>ShoesHighcutKatesneaker3</t>
  </si>
  <si>
    <t>SocksTexSimpleknee0</t>
  </si>
  <si>
    <t>simple-accent socks</t>
  </si>
  <si>
    <t>CapFullfaceFaceknit0</t>
  </si>
  <si>
    <t>SocksTexOnepoint1</t>
  </si>
  <si>
    <t>ShoesHighcutKatesneaker4</t>
  </si>
  <si>
    <t>SocksTexOnepoint2</t>
  </si>
  <si>
    <t>CapFullfaceFaceknit1</t>
  </si>
  <si>
    <t>SocksTexOnepoint3</t>
  </si>
  <si>
    <t>ShoesHighcutKatesneaker5</t>
  </si>
  <si>
    <t>lace-up boots</t>
  </si>
  <si>
    <t>CapFullfaceFaceknit2</t>
  </si>
  <si>
    <t>SocksTexOnepoint4</t>
  </si>
  <si>
    <t>ShoesKneeLaceup0</t>
  </si>
  <si>
    <t>SocksTexOnepoint5</t>
  </si>
  <si>
    <t>CapFullfaceFaceknit3</t>
  </si>
  <si>
    <t>SocksTexOnepoint6</t>
  </si>
  <si>
    <t>CapFullfaceFaceknit4</t>
  </si>
  <si>
    <t>sky-egg shell</t>
  </si>
  <si>
    <t>ShoesKneeLaceup1</t>
  </si>
  <si>
    <t>SocksTexOnepoint7</t>
  </si>
  <si>
    <t>CapHatEggsky0</t>
  </si>
  <si>
    <t>small silk hat</t>
  </si>
  <si>
    <t>SocksTexOnepoint0</t>
  </si>
  <si>
    <t>soccer socks</t>
  </si>
  <si>
    <t>ShoesKneeLaceup2</t>
  </si>
  <si>
    <t>SocksTexFootball1</t>
  </si>
  <si>
    <t>CapOrnamentLMinisilkhat0</t>
  </si>
  <si>
    <t>ShoesKneeLaceup3</t>
  </si>
  <si>
    <t>SocksTexFootball2</t>
  </si>
  <si>
    <t>leaf-egg shoes</t>
  </si>
  <si>
    <t>CapOrnamentLMinisilkhat1</t>
  </si>
  <si>
    <t>SocksTexFootball3</t>
  </si>
  <si>
    <t>ShoesLowcutEggleaf0</t>
  </si>
  <si>
    <t>leopard pumps</t>
  </si>
  <si>
    <t>SocksTexFootball4</t>
  </si>
  <si>
    <t>CapOrnamentLMinisilkhat2</t>
  </si>
  <si>
    <t>snowperson head</t>
  </si>
  <si>
    <t>SocksTexFootball5</t>
  </si>
  <si>
    <t>ShoesLowcutLeopard0</t>
  </si>
  <si>
    <t>SocksTexFootball6</t>
  </si>
  <si>
    <t>CapCostumeSnowball0</t>
  </si>
  <si>
    <t>snowy knit cap</t>
  </si>
  <si>
    <t>ShoesLowcutLeopard1</t>
  </si>
  <si>
    <t>SocksTexFootball0</t>
  </si>
  <si>
    <t>spider-web tights</t>
  </si>
  <si>
    <t>SocksTexSpider0</t>
  </si>
  <si>
    <t>CapHatSnowknit2</t>
  </si>
  <si>
    <t>ShoesLowcutLeopard2</t>
  </si>
  <si>
    <t>SocksTexSpider1</t>
  </si>
  <si>
    <t>CapHatSnowknit3</t>
  </si>
  <si>
    <t>ShoesLowcutLeopard3</t>
  </si>
  <si>
    <t>CapHatSnowknit4</t>
  </si>
  <si>
    <t>ShoesLowcutLeopard4</t>
  </si>
  <si>
    <t>SocksTexSpider2</t>
  </si>
  <si>
    <t>CapHatSnowknit5</t>
  </si>
  <si>
    <t>CapHatSnowknit6</t>
  </si>
  <si>
    <t>SocksTexSpider3</t>
  </si>
  <si>
    <t>ShoesLowcutLeopard5</t>
  </si>
  <si>
    <t>stockings</t>
  </si>
  <si>
    <t>loafers</t>
  </si>
  <si>
    <t>CapHatSnowknit7</t>
  </si>
  <si>
    <t>CapHatSnowknit0</t>
  </si>
  <si>
    <t>ShoesLowcutLoafers0</t>
  </si>
  <si>
    <t>SocksTexTights1</t>
  </si>
  <si>
    <t>CapHatSnowknit1</t>
  </si>
  <si>
    <t>soft-serve hat</t>
  </si>
  <si>
    <t>ShoesLowcutLoafers1</t>
  </si>
  <si>
    <t>SocksTexTights2</t>
  </si>
  <si>
    <t>CapHatIcecream1</t>
  </si>
  <si>
    <t>Gold leaf</t>
  </si>
  <si>
    <t>CapHatIcecream2</t>
  </si>
  <si>
    <t>ShoesLowcutLoafers2</t>
  </si>
  <si>
    <t>SocksTexTights3</t>
  </si>
  <si>
    <t>CapHatIcecream3</t>
  </si>
  <si>
    <t>ShoesLowcutLoafers3</t>
  </si>
  <si>
    <t>CapHatIcecream4</t>
  </si>
  <si>
    <t>SocksTexTights4</t>
  </si>
  <si>
    <t>CapHatIcecream5</t>
  </si>
  <si>
    <t>ShoesLowcutLoafers4</t>
  </si>
  <si>
    <t>SocksTexTights0</t>
  </si>
  <si>
    <t>stretch leggings</t>
  </si>
  <si>
    <t>CapHatIcecream0</t>
  </si>
  <si>
    <t>CapHatIcecream6</t>
  </si>
  <si>
    <t>Black sesame</t>
  </si>
  <si>
    <t>SocksTexLeggings0</t>
  </si>
  <si>
    <t>ShoesLowcutLoafers5</t>
  </si>
  <si>
    <t>CapHatIcecream7</t>
  </si>
  <si>
    <t>sombrero</t>
  </si>
  <si>
    <t>Natural &amp; red</t>
  </si>
  <si>
    <t>CapHatSombrero0</t>
  </si>
  <si>
    <t>SocksTexLeggings5</t>
  </si>
  <si>
    <t>ShoesLowcutLoafers6</t>
  </si>
  <si>
    <t>mage's booties</t>
  </si>
  <si>
    <t>CapHatSombrero3</t>
  </si>
  <si>
    <t>SocksTexLeggings6</t>
  </si>
  <si>
    <t>ShoesKneeWitch0</t>
  </si>
  <si>
    <t>SocksTexLeggings1</t>
  </si>
  <si>
    <t>CapHatSombrero4</t>
  </si>
  <si>
    <t>ShoesKneeWitch1</t>
  </si>
  <si>
    <t>CapHatSombrero5</t>
  </si>
  <si>
    <t>SocksTexLeggings2</t>
  </si>
  <si>
    <t>CapHatSombrero6</t>
  </si>
  <si>
    <t>ShoesKneeWitch2</t>
  </si>
  <si>
    <t>CapHatSombrero7</t>
  </si>
  <si>
    <t>Natural &amp; green</t>
  </si>
  <si>
    <t>ShoesKneeWitch3</t>
  </si>
  <si>
    <t>SocksTexLeggings3</t>
  </si>
  <si>
    <t>mary janes</t>
  </si>
  <si>
    <t>CapHatSombrero1</t>
  </si>
  <si>
    <t>ShoesLowcutStrap0</t>
  </si>
  <si>
    <t>CapHatSombrero2</t>
  </si>
  <si>
    <t>SocksTexLeggings4</t>
  </si>
  <si>
    <t>space helmet</t>
  </si>
  <si>
    <t>ShoesLowcutStrap1</t>
  </si>
  <si>
    <t>striped socks</t>
  </si>
  <si>
    <t>CapFullfaceAstronautWhite</t>
  </si>
  <si>
    <t>sports cap</t>
  </si>
  <si>
    <t>ShoesLowcutStrap2</t>
  </si>
  <si>
    <t>SocksTexBorder6</t>
  </si>
  <si>
    <t>CapHatSports3</t>
  </si>
  <si>
    <t>ShoesLowcutStrap3</t>
  </si>
  <si>
    <t>CapHatSports0</t>
  </si>
  <si>
    <t>ShoesLowcutStrap4</t>
  </si>
  <si>
    <t>SocksTexBorder7</t>
  </si>
  <si>
    <t>CapHatSports1</t>
  </si>
  <si>
    <t>ShoesLowcutStrap5</t>
  </si>
  <si>
    <t>CapHatSports2</t>
  </si>
  <si>
    <t>stagehand hat</t>
  </si>
  <si>
    <t>SocksTexBorder2</t>
  </si>
  <si>
    <t>ShoesLowcutStrap6</t>
  </si>
  <si>
    <t>CapFullfaceKurokoBlack</t>
  </si>
  <si>
    <t>star hairpin</t>
  </si>
  <si>
    <t>ShoesLowcutStrap7</t>
  </si>
  <si>
    <t>moccasin boots</t>
  </si>
  <si>
    <t>SocksTexBorder1</t>
  </si>
  <si>
    <t>CapOrnamentLStarhairpin2</t>
  </si>
  <si>
    <t>ShoesHighcutMoccasin0</t>
  </si>
  <si>
    <t>CapOrnamentLStarhairpin3</t>
  </si>
  <si>
    <t>SocksTexBorder3</t>
  </si>
  <si>
    <t>ShoesHighcutMoccasin1</t>
  </si>
  <si>
    <t>CapOrnamentLStarhairpin4</t>
  </si>
  <si>
    <t>ShoesHighcutMoccasin2</t>
  </si>
  <si>
    <t>CapOrnamentLStarhairpin1</t>
  </si>
  <si>
    <t>ShoesHighcutMoccasin3</t>
  </si>
  <si>
    <t>SocksTexBorder4</t>
  </si>
  <si>
    <t>CapOrnamentLStarhairpin0</t>
  </si>
  <si>
    <t>star head</t>
  </si>
  <si>
    <t>ShoesHighcutMoccasin4</t>
  </si>
  <si>
    <t>CapCostumeStar0</t>
  </si>
  <si>
    <t>stone-egg shell</t>
  </si>
  <si>
    <t>SocksTexBorder5</t>
  </si>
  <si>
    <t>ShoesHighcutMoccasin5</t>
  </si>
  <si>
    <t>CapHatEggrock0</t>
  </si>
  <si>
    <t>straw boater</t>
  </si>
  <si>
    <t>ShoesHighcutMoccasin6</t>
  </si>
  <si>
    <t>moccasins</t>
  </si>
  <si>
    <t>SocksTexBorder0</t>
  </si>
  <si>
    <t>striped tights</t>
  </si>
  <si>
    <t>CapHatKankanbo1</t>
  </si>
  <si>
    <t>ShoesLowcutMoccasin0</t>
  </si>
  <si>
    <t>CapHatKankanbo2</t>
  </si>
  <si>
    <t>ShoesLowcutMoccasin1</t>
  </si>
  <si>
    <t>SocksTexStripe4</t>
  </si>
  <si>
    <t>CapHatKankanbo3</t>
  </si>
  <si>
    <t>ShoesLowcutMoccasin2</t>
  </si>
  <si>
    <t>SocksTexStripe5</t>
  </si>
  <si>
    <t>CapHatKankanbo4</t>
  </si>
  <si>
    <t>ShoesLowcutMoccasin3</t>
  </si>
  <si>
    <t>CapHatKankanbo5</t>
  </si>
  <si>
    <t>ShoesLowcutMoccasin4</t>
  </si>
  <si>
    <t>SocksTexStripe6</t>
  </si>
  <si>
    <t>CapHatKankanbo0</t>
  </si>
  <si>
    <t>ShoesLowcutMoccasin5</t>
  </si>
  <si>
    <t>SocksTexStripe7</t>
  </si>
  <si>
    <t>CapHatKankanbo6</t>
  </si>
  <si>
    <t>ShoesLowcutMoccasin6</t>
  </si>
  <si>
    <t>Nook Inc. slippers</t>
  </si>
  <si>
    <t>SocksTexStripe0</t>
  </si>
  <si>
    <t>CapHatKankanbo7</t>
  </si>
  <si>
    <t>straw hat</t>
  </si>
  <si>
    <t>ShoesSandalRco</t>
  </si>
  <si>
    <t>outdoor sandals</t>
  </si>
  <si>
    <t>SocksTexStripe1</t>
  </si>
  <si>
    <t>CapHatStrawhat1</t>
  </si>
  <si>
    <t>ShoesSandalOutdoor0</t>
  </si>
  <si>
    <t>SocksTexStripe2</t>
  </si>
  <si>
    <t>CapHatStrawhat2</t>
  </si>
  <si>
    <t>ShoesSandalOutdoor1</t>
  </si>
  <si>
    <t>CapHatStrawhat0</t>
  </si>
  <si>
    <t>straw umbrella hat</t>
  </si>
  <si>
    <t>ShoesSandalOutdoor2</t>
  </si>
  <si>
    <t>SocksTexStripe3</t>
  </si>
  <si>
    <t>CapHatSandogasa0</t>
  </si>
  <si>
    <t>tabi</t>
  </si>
  <si>
    <t>strawberry hat</t>
  </si>
  <si>
    <t>ShoesSandalOutdoor3</t>
  </si>
  <si>
    <t>CapHatStrawberry</t>
  </si>
  <si>
    <t>student cap</t>
  </si>
  <si>
    <t>SocksTexTabi2</t>
  </si>
  <si>
    <t>ShoesSandalOutdoor4</t>
  </si>
  <si>
    <t>SocksTexTabi0</t>
  </si>
  <si>
    <t>CapHatStudent1</t>
  </si>
  <si>
    <t>ShoesSandalOutdoor5</t>
  </si>
  <si>
    <t>ShoesSandalOutdoor6</t>
  </si>
  <si>
    <t>SocksTexTabi1</t>
  </si>
  <si>
    <t>terry-cloth socks</t>
  </si>
  <si>
    <t>CapHatStudent2</t>
  </si>
  <si>
    <t>ShoesSandalOutdoor7</t>
  </si>
  <si>
    <t>paw slippers</t>
  </si>
  <si>
    <t>SocksTexFluffy1</t>
  </si>
  <si>
    <t>ShoesLowcutAnimal0</t>
  </si>
  <si>
    <t>CapHatStudent0</t>
  </si>
  <si>
    <t>SocksTexFluffy0</t>
  </si>
  <si>
    <t>ShoesLowcutAnimal1</t>
  </si>
  <si>
    <t>SocksTexFluffy2</t>
  </si>
  <si>
    <t>ShoesLowcutAnimal2</t>
  </si>
  <si>
    <t>SocksTexFluffy3</t>
  </si>
  <si>
    <t>CapHatStudent3</t>
  </si>
  <si>
    <t>ShoesLowcutAnimal3</t>
  </si>
  <si>
    <t>SocksTexFluffy4</t>
  </si>
  <si>
    <t>ShoesLowcutAnimal4</t>
  </si>
  <si>
    <t>pleather ankle booties</t>
  </si>
  <si>
    <t>CapHatStudent4</t>
  </si>
  <si>
    <t>SocksTexFluffy5</t>
  </si>
  <si>
    <t>CapHatStudent5</t>
  </si>
  <si>
    <t>SocksTexFluffy6</t>
  </si>
  <si>
    <t>tube socks</t>
  </si>
  <si>
    <t>ShoesHighcutShortboots0</t>
  </si>
  <si>
    <t>CapHatStudent6</t>
  </si>
  <si>
    <t>SocksTexLine0</t>
  </si>
  <si>
    <t>sushi chef hat</t>
  </si>
  <si>
    <t>ShoesHighcutShortboots1</t>
  </si>
  <si>
    <t>SocksTexLine1</t>
  </si>
  <si>
    <t>CapHatItamae1</t>
  </si>
  <si>
    <t>SocksTexLine2</t>
  </si>
  <si>
    <t>ShoesHighcutShortboots2</t>
  </si>
  <si>
    <t>SocksTexLine3</t>
  </si>
  <si>
    <t>CapHatItamae0</t>
  </si>
  <si>
    <t>swimming cap</t>
  </si>
  <si>
    <t>SocksTexLine4</t>
  </si>
  <si>
    <t>ShoesHighcutShortboots3</t>
  </si>
  <si>
    <t>pleather sneakers</t>
  </si>
  <si>
    <t>CapHatSwim1</t>
  </si>
  <si>
    <t>SocksTexLine5</t>
  </si>
  <si>
    <t>ShoesLowcutLeathersneker0</t>
  </si>
  <si>
    <t>SocksTexLine6</t>
  </si>
  <si>
    <t>ShoesLowcutLeathersneker1</t>
  </si>
  <si>
    <t>CapHatSwim2</t>
  </si>
  <si>
    <t>SocksTexLine7</t>
  </si>
  <si>
    <t>ultra no-show socks</t>
  </si>
  <si>
    <t>ShoesLowcutLeathersneker2</t>
  </si>
  <si>
    <t>SocksTexFootcover1</t>
  </si>
  <si>
    <t>ShoesLowcutLeathersneker3</t>
  </si>
  <si>
    <t>CapHatSwim3</t>
  </si>
  <si>
    <t>SocksTexFootcover2</t>
  </si>
  <si>
    <t>ShoesLowcutLeathersneker4</t>
  </si>
  <si>
    <t>SocksTexFootcover3</t>
  </si>
  <si>
    <t>CapHatSwim4</t>
  </si>
  <si>
    <t>ShoesLowcutLeathersneker5</t>
  </si>
  <si>
    <t>SocksTexFootcover4</t>
  </si>
  <si>
    <t>ShoesLowcutLeathersneker6</t>
  </si>
  <si>
    <t>SocksTexFootcover5</t>
  </si>
  <si>
    <t>CapHatSwim5</t>
  </si>
  <si>
    <t>ShoesLowcutLeathersneker7</t>
  </si>
  <si>
    <t>pom-pom boots</t>
  </si>
  <si>
    <t>SocksTexFootcover6</t>
  </si>
  <si>
    <t>CapHatSwim6</t>
  </si>
  <si>
    <t>ShoesHighcutBobbles0</t>
  </si>
  <si>
    <t>SocksTexFootcover0</t>
  </si>
  <si>
    <t>CapHatSwim7</t>
  </si>
  <si>
    <t>ShoesHighcutBobbles1</t>
  </si>
  <si>
    <t>SocksTexFootcover7</t>
  </si>
  <si>
    <t>vivid leggings</t>
  </si>
  <si>
    <t>ShoesHighcutBobbles2</t>
  </si>
  <si>
    <t>CapHatSwim0</t>
  </si>
  <si>
    <t>tam-o'-shanter</t>
  </si>
  <si>
    <t>ShoesHighcutBobbles3</t>
  </si>
  <si>
    <t>SocksTexVividleggings1</t>
  </si>
  <si>
    <t>CapHatScotland1</t>
  </si>
  <si>
    <t>ShoesHighcutBobbles4</t>
  </si>
  <si>
    <t>SocksTexVividleggings2</t>
  </si>
  <si>
    <t>ShoesHighcutBobbles5</t>
  </si>
  <si>
    <t>SocksTexVividleggings3</t>
  </si>
  <si>
    <t>CapHatScotland2</t>
  </si>
  <si>
    <t>ShoesHighcutBobbles6</t>
  </si>
  <si>
    <t>SocksTexVividleggings4</t>
  </si>
  <si>
    <t>power boots</t>
  </si>
  <si>
    <t>SocksTexVividleggings5</t>
  </si>
  <si>
    <t>CapHatScotland3</t>
  </si>
  <si>
    <t>ShoesKneePowered0</t>
  </si>
  <si>
    <t>SocksTexVividleggings6</t>
  </si>
  <si>
    <t>ShoesKneePowered1</t>
  </si>
  <si>
    <t>CapHatScotland0</t>
  </si>
  <si>
    <t>terry-cloth do-rag</t>
  </si>
  <si>
    <t>SocksTexVividleggings7</t>
  </si>
  <si>
    <t>ShoesKneePowered2</t>
  </si>
  <si>
    <t>ShoesKneePowered3</t>
  </si>
  <si>
    <t>rain boots</t>
  </si>
  <si>
    <t>CapHatTowel0</t>
  </si>
  <si>
    <t>SocksTexVividleggings0</t>
  </si>
  <si>
    <t>vivid socks</t>
  </si>
  <si>
    <t>ShoesKneeRainboots0</t>
  </si>
  <si>
    <t>CapHatTowel1</t>
  </si>
  <si>
    <t>ShoesKneeRainboots1</t>
  </si>
  <si>
    <t>SocksTexVividsocks0</t>
  </si>
  <si>
    <t>ShoesKneeRainboots2</t>
  </si>
  <si>
    <t>SocksTexStandard1</t>
  </si>
  <si>
    <t>CapHatTowel2</t>
  </si>
  <si>
    <t>ShoesKneeRainboots3</t>
  </si>
  <si>
    <t>SocksTexVividsocks2</t>
  </si>
  <si>
    <t>ShoesKneeRainboots4</t>
  </si>
  <si>
    <t>SocksTexVividsocks3</t>
  </si>
  <si>
    <t>CapHatTowel3</t>
  </si>
  <si>
    <t>ShoesKneeRainboots5</t>
  </si>
  <si>
    <t>SocksTexVividsocks4</t>
  </si>
  <si>
    <t>ShoesKneeRainboots6</t>
  </si>
  <si>
    <t>SocksTexVividsocks5</t>
  </si>
  <si>
    <t>CapHatTowel4</t>
  </si>
  <si>
    <t>ShoesKneeRainboots7</t>
  </si>
  <si>
    <t>recycled boots</t>
  </si>
  <si>
    <t>SocksTexVividsocks6</t>
  </si>
  <si>
    <t>CapHatTowel5</t>
  </si>
  <si>
    <t>ShoesKneeRecyclingboots0</t>
  </si>
  <si>
    <t>terry-cloth nightcap</t>
  </si>
  <si>
    <t>restroom slippers</t>
  </si>
  <si>
    <t>SocksTexVividsocks7</t>
  </si>
  <si>
    <t>vivid tights</t>
  </si>
  <si>
    <t>ShoesLowcutToilet0</t>
  </si>
  <si>
    <t>SocksTexVividtights4</t>
  </si>
  <si>
    <t>CapHatNightcap1</t>
  </si>
  <si>
    <t>ShoesLowcutToilet1</t>
  </si>
  <si>
    <t>SocksTexVividtights5</t>
  </si>
  <si>
    <t>CapHatNightcap2</t>
  </si>
  <si>
    <t>SocksTexVividtights6</t>
  </si>
  <si>
    <t>ShoesLowcutToilet2</t>
  </si>
  <si>
    <t>SocksTexVividtights7</t>
  </si>
  <si>
    <t>ShoesLowcutToilet3</t>
  </si>
  <si>
    <t>CapHatNightcap3</t>
  </si>
  <si>
    <t>SocksTexVividtights1</t>
  </si>
  <si>
    <t>ShoesLowcutToilet4</t>
  </si>
  <si>
    <t>ribbon sandals</t>
  </si>
  <si>
    <t>SocksTexVividtights2</t>
  </si>
  <si>
    <t>CapHatNightcap4</t>
  </si>
  <si>
    <t>ShoesSandalRibbon0</t>
  </si>
  <si>
    <t>SocksTexVividtights3</t>
  </si>
  <si>
    <t>ShoesSandalRibbon1</t>
  </si>
  <si>
    <t>SocksTexVividtights0</t>
  </si>
  <si>
    <t>wave-print socks</t>
  </si>
  <si>
    <t>CapHatNightcap5</t>
  </si>
  <si>
    <t>ShoesSandalRibbon2</t>
  </si>
  <si>
    <t>SocksTexWave0</t>
  </si>
  <si>
    <t>ShoesSandalRibbon3</t>
  </si>
  <si>
    <t>CapHatNightcap6</t>
  </si>
  <si>
    <t>SocksTexWave1</t>
  </si>
  <si>
    <t>ShoesSandalRibbon4</t>
  </si>
  <si>
    <t>SocksTexWave2</t>
  </si>
  <si>
    <t>ShoesSandalRibbon5</t>
  </si>
  <si>
    <t>CapHatNightcap7</t>
  </si>
  <si>
    <t>SocksTexWave3</t>
  </si>
  <si>
    <t>ShoesSandalRibbon6</t>
  </si>
  <si>
    <t>SocksTexWave4</t>
  </si>
  <si>
    <t>ShoesSandalRibbon7</t>
  </si>
  <si>
    <t>rubber-toe high tops</t>
  </si>
  <si>
    <t>CapHatNightcap0</t>
  </si>
  <si>
    <t>tiara</t>
  </si>
  <si>
    <t>ShoesHighcutRubbertoe0</t>
  </si>
  <si>
    <t>Rose gold</t>
  </si>
  <si>
    <t>ShoesHighcutRubbertoe1</t>
  </si>
  <si>
    <t>CapOrnamentCTiara1</t>
  </si>
  <si>
    <t>ShoesHighcutRubbertoe2</t>
  </si>
  <si>
    <t>CapOrnamentCTiara2</t>
  </si>
  <si>
    <t>ShoesHighcutRubbertoe3</t>
  </si>
  <si>
    <t>ShoesHighcutRubbertoe4</t>
  </si>
  <si>
    <t>CapOrnamentCTiara0</t>
  </si>
  <si>
    <t>tiara hair</t>
  </si>
  <si>
    <t>ShoesHighcutRubbertoe5</t>
  </si>
  <si>
    <t>ShoesHighcutRubbertoe6</t>
  </si>
  <si>
    <t>CapWigPrincess2</t>
  </si>
  <si>
    <t>ShoesHighcutRubbertoe7</t>
  </si>
  <si>
    <t>rubber-toe sneakers</t>
  </si>
  <si>
    <t>ShoesLowcutRubbertoe0</t>
  </si>
  <si>
    <t>CapWigPrincess0</t>
  </si>
  <si>
    <t>ShoesLowcutRubbertoe1</t>
  </si>
  <si>
    <t>acorn pochette</t>
  </si>
  <si>
    <t>CapWigPrincess1</t>
  </si>
  <si>
    <t>top hat</t>
  </si>
  <si>
    <t>ShoesLowcutRubbertoe2</t>
  </si>
  <si>
    <t>BagShoulderAcorn0</t>
  </si>
  <si>
    <t>basket pack</t>
  </si>
  <si>
    <t>ShoesLowcutRubbertoe3</t>
  </si>
  <si>
    <t>BagBackpackBasket0</t>
  </si>
  <si>
    <t>CapHatSilkhat0</t>
  </si>
  <si>
    <t>bug cage</t>
  </si>
  <si>
    <t>ShoesLowcutRubbertoe4</t>
  </si>
  <si>
    <t>BagShoulderCage0</t>
  </si>
  <si>
    <t>Bunny Day bag</t>
  </si>
  <si>
    <t>ShoesLowcutRubbertoe5</t>
  </si>
  <si>
    <t>CapHatSilkhat1</t>
  </si>
  <si>
    <t>BagBackpackEgg0</t>
  </si>
  <si>
    <t>butterfly backpack</t>
  </si>
  <si>
    <t>ShoesLowcutRubbertoe6</t>
  </si>
  <si>
    <t>BagBackpackButterfly0</t>
  </si>
  <si>
    <t>CapHatSilkhat2</t>
  </si>
  <si>
    <t>canvas backpack</t>
  </si>
  <si>
    <t>ShoesLowcutRubbertoe7</t>
  </si>
  <si>
    <t>samurai greaves</t>
  </si>
  <si>
    <t>BagBackpackTote0</t>
  </si>
  <si>
    <t>cherry-blossom pochette</t>
  </si>
  <si>
    <t>ShoesKneeLegguard0</t>
  </si>
  <si>
    <t>BagShoulderCherryblossoms0</t>
  </si>
  <si>
    <t>cloth shoulder bag</t>
  </si>
  <si>
    <t>CapHatSilkhat3</t>
  </si>
  <si>
    <t>BagShoulderCanvas0</t>
  </si>
  <si>
    <t>ShoesKneeLegguard1</t>
  </si>
  <si>
    <t>BagShoulderCanvas1</t>
  </si>
  <si>
    <t>CapHatSilkhat4</t>
  </si>
  <si>
    <t>ShoesKneeLegguard2</t>
  </si>
  <si>
    <t>BagShoulderCanvas2</t>
  </si>
  <si>
    <t>crossbody bag</t>
  </si>
  <si>
    <t>BagBackpackBody1</t>
  </si>
  <si>
    <t>CapHatSilkhat5</t>
  </si>
  <si>
    <t>tropical hat</t>
  </si>
  <si>
    <t>ShoesKneeLegguard3</t>
  </si>
  <si>
    <t>BagBackpackBody2</t>
  </si>
  <si>
    <t>CapHatOutdoorpine3</t>
  </si>
  <si>
    <t>ShoesKneeLegguard4</t>
  </si>
  <si>
    <t>shiny bow platform shoes</t>
  </si>
  <si>
    <t>BagBackpackBody3</t>
  </si>
  <si>
    <t>BagBackpackBody0</t>
  </si>
  <si>
    <t>crossbody boston bag</t>
  </si>
  <si>
    <t>CapHatOutdoorpine0</t>
  </si>
  <si>
    <t>ShoesLowcutLolita0</t>
  </si>
  <si>
    <t>BagShoulderDrum0</t>
  </si>
  <si>
    <t>CapHatOutdoorpine4</t>
  </si>
  <si>
    <t>BagShoulderDrum1</t>
  </si>
  <si>
    <t>DAL backpack</t>
  </si>
  <si>
    <t>ShoesLowcutLolita1</t>
  </si>
  <si>
    <t>CapHatOutdoorpine1</t>
  </si>
  <si>
    <t>BagBackpackDal0</t>
  </si>
  <si>
    <t>dry bag</t>
  </si>
  <si>
    <t>ShoesLowcutLolita2</t>
  </si>
  <si>
    <t>BagBackpackDry0</t>
  </si>
  <si>
    <t>CapHatOutdoorpine2</t>
  </si>
  <si>
    <t>tubeteika</t>
  </si>
  <si>
    <t>BagBackpackDry1</t>
  </si>
  <si>
    <t>evening bag</t>
  </si>
  <si>
    <t>ShoesLowcutLolita3</t>
  </si>
  <si>
    <t>CapHatUzbek0</t>
  </si>
  <si>
    <t>BagShoulderParty0</t>
  </si>
  <si>
    <t>CapHatUzbek1</t>
  </si>
  <si>
    <t>BagShoulderParty1</t>
  </si>
  <si>
    <t>ShoesLowcutLolita4</t>
  </si>
  <si>
    <t>BagShoulderParty2</t>
  </si>
  <si>
    <t>extra-large backpack</t>
  </si>
  <si>
    <t>CapHatUzbek2</t>
  </si>
  <si>
    <t>ShoesLowcutLolita5</t>
  </si>
  <si>
    <t>BagBackpackMountain0</t>
  </si>
  <si>
    <t>BagBackpackMountain1</t>
  </si>
  <si>
    <t>CapHatUzbek3</t>
  </si>
  <si>
    <t>tulip crown</t>
  </si>
  <si>
    <t>ShoesLowcutLolita6</t>
  </si>
  <si>
    <t>shower sandals</t>
  </si>
  <si>
    <t>BagBackpackMountain2</t>
  </si>
  <si>
    <t>CapOrnamentTulip1</t>
  </si>
  <si>
    <t>BagBackpackMountain3</t>
  </si>
  <si>
    <t>tulip hat</t>
  </si>
  <si>
    <t>faux-fur bag</t>
  </si>
  <si>
    <t>ShoesSandalShower0</t>
  </si>
  <si>
    <t>BagShoulderFakefur0</t>
  </si>
  <si>
    <t>CapHatTulip0</t>
  </si>
  <si>
    <t>ShoesSandalShower1</t>
  </si>
  <si>
    <t>BagShoulderFakefur1</t>
  </si>
  <si>
    <t>CapHatTulip1</t>
  </si>
  <si>
    <t>fish pochette</t>
  </si>
  <si>
    <t>ShoesSandalShower2</t>
  </si>
  <si>
    <t>BagShoulderFish0</t>
  </si>
  <si>
    <t>foldover-top backpack</t>
  </si>
  <si>
    <t>CapHatTulip2</t>
  </si>
  <si>
    <t>turban</t>
  </si>
  <si>
    <t>BagBackpackLid1</t>
  </si>
  <si>
    <t>BagBackpackLid2</t>
  </si>
  <si>
    <t>CapHelmetTurban1</t>
  </si>
  <si>
    <t>ShoesSandalShower3</t>
  </si>
  <si>
    <t>BagBackpackLid3</t>
  </si>
  <si>
    <t>BagBackpackLid0</t>
  </si>
  <si>
    <t>gumdrop shoulder bag</t>
  </si>
  <si>
    <t>CapHelmetTurban2</t>
  </si>
  <si>
    <t>ShoesSandalShower4</t>
  </si>
  <si>
    <t>BagShoulderPattern0</t>
  </si>
  <si>
    <t>ski boots</t>
  </si>
  <si>
    <t>CapHelmetTurban3</t>
  </si>
  <si>
    <t>BagShoulderPattern1</t>
  </si>
  <si>
    <t>hand-knit pouch</t>
  </si>
  <si>
    <t>ShoesKneeSki0</t>
  </si>
  <si>
    <t>BagShoulderRace0</t>
  </si>
  <si>
    <t>CapHelmetTurban0</t>
  </si>
  <si>
    <t>tweed cap</t>
  </si>
  <si>
    <t>BagShoulderRace1</t>
  </si>
  <si>
    <t>ShoesKneeSki1</t>
  </si>
  <si>
    <t>hard-shell backpack</t>
  </si>
  <si>
    <t>BagBackpackHardshell2</t>
  </si>
  <si>
    <t>CapHatTweed0</t>
  </si>
  <si>
    <t>ShoesKneeSki2</t>
  </si>
  <si>
    <t>BagBackpackHardshell1</t>
  </si>
  <si>
    <t>BagBackpackHardshell0</t>
  </si>
  <si>
    <t>knapsack</t>
  </si>
  <si>
    <t>CapHatTweed1</t>
  </si>
  <si>
    <t>ShoesKneeSki3</t>
  </si>
  <si>
    <t>BagBackpackKnapsack1</t>
  </si>
  <si>
    <t>BagBackpackKnapsack0</t>
  </si>
  <si>
    <t>CapHatTweed2</t>
  </si>
  <si>
    <t>knitted-grass backpack</t>
  </si>
  <si>
    <t>veil</t>
  </si>
  <si>
    <t>ShoesKneeSki4</t>
  </si>
  <si>
    <t>BagBackpackGrass0</t>
  </si>
  <si>
    <t>log pack</t>
  </si>
  <si>
    <t>CapFullfaceVeil0</t>
  </si>
  <si>
    <t>BagBackpackWood0</t>
  </si>
  <si>
    <t>ShoesKneeSki5</t>
  </si>
  <si>
    <t>maple-leaf pochette</t>
  </si>
  <si>
    <t>sky-egg shoes</t>
  </si>
  <si>
    <t>BagShoulderMaple0</t>
  </si>
  <si>
    <t>CapFullfaceVeil1</t>
  </si>
  <si>
    <t>messenger bag</t>
  </si>
  <si>
    <t>ShoesLowcutEggsky0</t>
  </si>
  <si>
    <t>slip-on loafers</t>
  </si>
  <si>
    <t>BagShoulderMessenger0</t>
  </si>
  <si>
    <t>CapFullfaceVeil2</t>
  </si>
  <si>
    <t>BagShoulderMessenger1</t>
  </si>
  <si>
    <t>BagShoulderMessenger2</t>
  </si>
  <si>
    <t>ShoesLowcutSlipon0</t>
  </si>
  <si>
    <t>mini pleather bag</t>
  </si>
  <si>
    <t>CapFullfaceVeil3</t>
  </si>
  <si>
    <t>veiled gardening hat</t>
  </si>
  <si>
    <t>BagBackpackSmall1</t>
  </si>
  <si>
    <t>BagBackpackSmall0</t>
  </si>
  <si>
    <t>ShoesLowcutSlipon1</t>
  </si>
  <si>
    <t>Mom's knapsack</t>
  </si>
  <si>
    <t>CapCostumeFarm0</t>
  </si>
  <si>
    <t>BagBackpackQuilt2</t>
  </si>
  <si>
    <t>Colorful quilt design</t>
  </si>
  <si>
    <t>CapCostumeFarm1</t>
  </si>
  <si>
    <t>ShoesLowcutSlipon2</t>
  </si>
  <si>
    <t>BagBackpackQuilt3</t>
  </si>
  <si>
    <t>BagBackpackQuilt4</t>
  </si>
  <si>
    <t>CapCostumeFarm2</t>
  </si>
  <si>
    <t>BagBackpackQuilt0</t>
  </si>
  <si>
    <t>ShoesLowcutSlipon3</t>
  </si>
  <si>
    <t>BagBackpackQuilt5</t>
  </si>
  <si>
    <t>CapCostumeFarm3</t>
  </si>
  <si>
    <t>ShoesLowcutSlipon4</t>
  </si>
  <si>
    <t>BagBackpackQuilt6</t>
  </si>
  <si>
    <t>CapCostumeFarm4</t>
  </si>
  <si>
    <t>viking helmet</t>
  </si>
  <si>
    <t>BagBackpackQuilt1</t>
  </si>
  <si>
    <t>ShoesLowcutSlipon5</t>
  </si>
  <si>
    <t>CapHatViking2</t>
  </si>
  <si>
    <t>BagBackpackQuilt7</t>
  </si>
  <si>
    <t>Nook Inc. knapsack</t>
  </si>
  <si>
    <t>BagBackpackNook0</t>
  </si>
  <si>
    <t>outdoor backpack</t>
  </si>
  <si>
    <t>CapHatViking1</t>
  </si>
  <si>
    <t>ShoesLowcutSlipon6</t>
  </si>
  <si>
    <t>BagBackpackOutdoor2</t>
  </si>
  <si>
    <t>CapHatViking0</t>
  </si>
  <si>
    <t>visual-punk wig</t>
  </si>
  <si>
    <t>BagBackpackOutdoor1</t>
  </si>
  <si>
    <t>CapWigVisual</t>
  </si>
  <si>
    <t>water-egg shell</t>
  </si>
  <si>
    <t>ShoesLowcutSlipon7</t>
  </si>
  <si>
    <t>BagBackpackOutdoor0</t>
  </si>
  <si>
    <t>slip-on sandals</t>
  </si>
  <si>
    <t>pleather crossbody bag</t>
  </si>
  <si>
    <t>CapHatEggfish0</t>
  </si>
  <si>
    <t>watermelon hat</t>
  </si>
  <si>
    <t>BagBackpackBodybag0</t>
  </si>
  <si>
    <t>ShoesSandalResin0</t>
  </si>
  <si>
    <t>CapHatWatermelon</t>
  </si>
  <si>
    <t>welding mask</t>
  </si>
  <si>
    <t>BagBackpackBodybag1</t>
  </si>
  <si>
    <t>pleather fringe bag</t>
  </si>
  <si>
    <t>CapMaskWelderRed</t>
  </si>
  <si>
    <t>wide-brim straw hat</t>
  </si>
  <si>
    <t>BagShoulderFringe0</t>
  </si>
  <si>
    <t>ShoesSandalResin1</t>
  </si>
  <si>
    <t>BagShoulderFringe1</t>
  </si>
  <si>
    <t>pleather shoulder bag</t>
  </si>
  <si>
    <t>CapHatStraw1</t>
  </si>
  <si>
    <t>BagShoulderLeather0</t>
  </si>
  <si>
    <t>ShoesSandalResin2</t>
  </si>
  <si>
    <t>CapHatStraw2</t>
  </si>
  <si>
    <t>BagShoulderLeather1</t>
  </si>
  <si>
    <t>retro sports bag</t>
  </si>
  <si>
    <t>ShoesSandalResin3</t>
  </si>
  <si>
    <t>BagShoulderSports1</t>
  </si>
  <si>
    <t>CapHatStraw0</t>
  </si>
  <si>
    <t>windflower crown</t>
  </si>
  <si>
    <t>BagShoulderSports2</t>
  </si>
  <si>
    <t>CapOrnamentAnemone1</t>
  </si>
  <si>
    <t>wizard's cap</t>
  </si>
  <si>
    <t>ShoesSandalResin4</t>
  </si>
  <si>
    <t>BagShoulderSports0</t>
  </si>
  <si>
    <t>sacoche bag</t>
  </si>
  <si>
    <t>BagShoulderSacosh0</t>
  </si>
  <si>
    <t>CapHatWizard1</t>
  </si>
  <si>
    <t>ShoesSandalResin5</t>
  </si>
  <si>
    <t>BagShoulderSacosh1</t>
  </si>
  <si>
    <t>CapHatWizard0</t>
  </si>
  <si>
    <t>wood-egg shell</t>
  </si>
  <si>
    <t>BagShoulderSacosh2</t>
  </si>
  <si>
    <t>ShoesSandalResin6</t>
  </si>
  <si>
    <t>shellfish pochette</t>
  </si>
  <si>
    <t>CapHatEggforest0</t>
  </si>
  <si>
    <t>wrestling mask</t>
  </si>
  <si>
    <t>BagShoulderShell0</t>
  </si>
  <si>
    <t>snowflake pochette</t>
  </si>
  <si>
    <t>CapCostumeWrestling1</t>
  </si>
  <si>
    <t>ShoesSandalResin7</t>
  </si>
  <si>
    <t>slip-on school shoes</t>
  </si>
  <si>
    <t>BagShoulderSnow0</t>
  </si>
  <si>
    <t>square backpack</t>
  </si>
  <si>
    <t>CapCostumeWrestling0</t>
  </si>
  <si>
    <t>BagBackpackSquare1</t>
  </si>
  <si>
    <t>CapCostumeWrestling2</t>
  </si>
  <si>
    <t>ShoesLowcutSchool0</t>
  </si>
  <si>
    <t>BagBackpackSquare2</t>
  </si>
  <si>
    <t>CapCostumeWrestling3</t>
  </si>
  <si>
    <t>BagBackpackSquare0</t>
  </si>
  <si>
    <t>CapCostumeWrestling4</t>
  </si>
  <si>
    <t>star pochette</t>
  </si>
  <si>
    <t>ShoesLowcutSchool1</t>
  </si>
  <si>
    <t>CapCostumeWrestling5</t>
  </si>
  <si>
    <t>zap helmet</t>
  </si>
  <si>
    <t>BagShoulderStar0</t>
  </si>
  <si>
    <t>straw pochette</t>
  </si>
  <si>
    <t>ShoesLowcutSchool2</t>
  </si>
  <si>
    <t>CapFullfaceHero7</t>
  </si>
  <si>
    <t>BagShoulderRattan0</t>
  </si>
  <si>
    <t>studded backpack</t>
  </si>
  <si>
    <t>CapFullfaceHero0</t>
  </si>
  <si>
    <t>ShoesLowcutSchool3</t>
  </si>
  <si>
    <t>BagBackpackStuds0</t>
  </si>
  <si>
    <t>CapFullfaceHero1</t>
  </si>
  <si>
    <t>ShoesLowcutSchool4</t>
  </si>
  <si>
    <t>CapFullfaceHero2</t>
  </si>
  <si>
    <t>slippers</t>
  </si>
  <si>
    <t>BagBackpackStuds1</t>
  </si>
  <si>
    <t>tackle bag</t>
  </si>
  <si>
    <t>CapFullfaceHero3</t>
  </si>
  <si>
    <t>ShoesLowcutSlipper0</t>
  </si>
  <si>
    <t>BagShoulderFishing0</t>
  </si>
  <si>
    <t>tool bag</t>
  </si>
  <si>
    <t>CapFullfaceHero4</t>
  </si>
  <si>
    <t>CapFullfaceHero5</t>
  </si>
  <si>
    <t>BagShoulderTool0</t>
  </si>
  <si>
    <t>town backpack</t>
  </si>
  <si>
    <t>CapFullfaceHero6</t>
  </si>
  <si>
    <t>BagBackpackTown2</t>
  </si>
  <si>
    <t>ShoesLowcutSlipper1</t>
  </si>
  <si>
    <t>zen hair clip</t>
  </si>
  <si>
    <t>BagBackpackTown3</t>
  </si>
  <si>
    <t>CapOrnamentLTsumamizaiku1</t>
  </si>
  <si>
    <t>ShoesLowcutSlipper2</t>
  </si>
  <si>
    <t>BagBackpackTown0</t>
  </si>
  <si>
    <t>CapOrnamentLTsumamizaiku2</t>
  </si>
  <si>
    <t>ShoesLowcutSlipper3</t>
  </si>
  <si>
    <t>BagBackpackTown1</t>
  </si>
  <si>
    <t>travel pouch</t>
  </si>
  <si>
    <t>CapOrnamentLTsumamizaiku3</t>
  </si>
  <si>
    <t>BagShoulderTravel1</t>
  </si>
  <si>
    <t>ShoesLowcutSlipper4</t>
  </si>
  <si>
    <t>CapOrnamentLTsumamizaiku4</t>
  </si>
  <si>
    <t>BagShoulderTravel2</t>
  </si>
  <si>
    <t>ShoesLowcutSlipper5</t>
  </si>
  <si>
    <t>BagShoulderTravel3</t>
  </si>
  <si>
    <t>CapOrnamentLTsumamizaiku5</t>
  </si>
  <si>
    <t>ShoesLowcutSlipper6</t>
  </si>
  <si>
    <t>BagShoulderTravel0</t>
  </si>
  <si>
    <t>traveler's backpack</t>
  </si>
  <si>
    <t>CapOrnamentLTsumamizaiku6</t>
  </si>
  <si>
    <t>BagBackpackJourney1</t>
  </si>
  <si>
    <t>ShoesLowcutSlipper7</t>
  </si>
  <si>
    <t>space boots</t>
  </si>
  <si>
    <t>BagBackpackJourney2</t>
  </si>
  <si>
    <t>ShoesKneeSpaceWhite</t>
  </si>
  <si>
    <t>sporty sandals</t>
  </si>
  <si>
    <t>CapOrnamentLTsumamizaiku7</t>
  </si>
  <si>
    <t>BagBackpackJourney0</t>
  </si>
  <si>
    <t>ShoesSandalSports0</t>
  </si>
  <si>
    <t>CapOrnamentLTsumamizaiku0</t>
  </si>
  <si>
    <t>ShoesSandalSports1</t>
  </si>
  <si>
    <t>ShoesSandalSports2</t>
  </si>
  <si>
    <t>ShoesSandalSports3</t>
  </si>
  <si>
    <t>ShoesSandalSports4</t>
  </si>
  <si>
    <t>ShoesSandalSports5</t>
  </si>
  <si>
    <t>ShoesSandalSports6</t>
  </si>
  <si>
    <t>ShoesSandalSports7</t>
  </si>
  <si>
    <t>steel-toed boots</t>
  </si>
  <si>
    <t>ShoesKneeEngineerboots0</t>
  </si>
  <si>
    <t>ShoesKneeEngineerboots1</t>
  </si>
  <si>
    <t>Agent K.K.</t>
  </si>
  <si>
    <t>apple umbrella</t>
  </si>
  <si>
    <t>ShoesKneeEngineerboots2</t>
  </si>
  <si>
    <t>K.K. concert, Nook Shopping Catalog</t>
  </si>
  <si>
    <t>UmbrellaApple0</t>
  </si>
  <si>
    <t>Possible song KK will play when choosing "It's hard to say." as your mood</t>
  </si>
  <si>
    <t>bat umbrella</t>
  </si>
  <si>
    <t>mjk_Keiji</t>
  </si>
  <si>
    <t>Aloha K.K.</t>
  </si>
  <si>
    <t>UmbrellaBat0</t>
  </si>
  <si>
    <t>beach umbrella</t>
  </si>
  <si>
    <t>ShoesKneeEngineerboots3</t>
  </si>
  <si>
    <t>Possible song KK will play when choosing "Laid-back." as your mood</t>
  </si>
  <si>
    <t>mjk_Aloha</t>
  </si>
  <si>
    <t>Animal City</t>
  </si>
  <si>
    <t>UmbrellaBeach0</t>
  </si>
  <si>
    <t>bear umbrella</t>
  </si>
  <si>
    <t>ShoesKneeEngineerboots4</t>
  </si>
  <si>
    <t>K.K. concert</t>
  </si>
  <si>
    <t>Hidden song - only by request</t>
  </si>
  <si>
    <t>mjk_DoubutuNoMachi</t>
  </si>
  <si>
    <t>Bubblegum K.K.</t>
  </si>
  <si>
    <t>Possible song KK will play when choosing "I feel good!" as your mood</t>
  </si>
  <si>
    <t>UmbrellaBear0</t>
  </si>
  <si>
    <t>mjk_Idol</t>
  </si>
  <si>
    <t>black chic umbrella</t>
  </si>
  <si>
    <t>Café K.K.</t>
  </si>
  <si>
    <t>ShoesKneeEngineerboots5</t>
  </si>
  <si>
    <t>stone-egg shoes</t>
  </si>
  <si>
    <t>mjk_Paris</t>
  </si>
  <si>
    <t>UmbrellaPacodarace5</t>
  </si>
  <si>
    <t>Comrade K.K.</t>
  </si>
  <si>
    <t>black lace umbrella</t>
  </si>
  <si>
    <t>Possible song KK will play when choosing "A little blue..." as your mood</t>
  </si>
  <si>
    <t>mjk_ShowaKayo</t>
  </si>
  <si>
    <t>DJ K.K.</t>
  </si>
  <si>
    <t>UmbrellaRace0</t>
  </si>
  <si>
    <t>blue dot parasol</t>
  </si>
  <si>
    <t>ShoesLowcutEggrock0</t>
  </si>
  <si>
    <t>Possible song KK will play when choosing "A little grumpy..." as your mood</t>
  </si>
  <si>
    <t>mjk_EuroBeat</t>
  </si>
  <si>
    <t>strappy heels</t>
  </si>
  <si>
    <t>Drivin'</t>
  </si>
  <si>
    <t>UmbrellaPolkadot2</t>
  </si>
  <si>
    <t>blue shiny-bows parasol</t>
  </si>
  <si>
    <t>mjk_Drive</t>
  </si>
  <si>
    <t>UmbrellaPacodarace2</t>
  </si>
  <si>
    <t>blue umbrella</t>
  </si>
  <si>
    <t>Farewell</t>
  </si>
  <si>
    <t>ShoesLowcutGlitter0</t>
  </si>
  <si>
    <t>UmbrellaStandard2</t>
  </si>
  <si>
    <t>busted umbrella</t>
  </si>
  <si>
    <t>mjk_Sayonara</t>
  </si>
  <si>
    <t>Forest Life</t>
  </si>
  <si>
    <t>UmbrellaBroken0</t>
  </si>
  <si>
    <t>camo umbrella</t>
  </si>
  <si>
    <t>mjk_MoriNoSeikatsu</t>
  </si>
  <si>
    <t>Go K.K. Rider</t>
  </si>
  <si>
    <t>ShoesLowcutGlitter1</t>
  </si>
  <si>
    <t>UmbrellaOutdoor0</t>
  </si>
  <si>
    <t>candy umbrella</t>
  </si>
  <si>
    <t>mjk_KekeRider</t>
  </si>
  <si>
    <t>Hypno K.K.</t>
  </si>
  <si>
    <t>UmbrellaGingham0</t>
  </si>
  <si>
    <t>cherry umbrella</t>
  </si>
  <si>
    <t>mjk_UtataneNoYume</t>
  </si>
  <si>
    <t>I Love You</t>
  </si>
  <si>
    <t>ShoesLowcutGlitter2</t>
  </si>
  <si>
    <t>mjk_Daisuki</t>
  </si>
  <si>
    <t>UmbrellaCherry0</t>
  </si>
  <si>
    <t>Imperial K.K.</t>
  </si>
  <si>
    <t>cherry-blossom umbrella</t>
  </si>
  <si>
    <t>ShoesLowcutGlitter3</t>
  </si>
  <si>
    <t>mjk_China</t>
  </si>
  <si>
    <t>K.K. Adventure</t>
  </si>
  <si>
    <t>UmbrellaCherryblossom0</t>
  </si>
  <si>
    <t>DAL umbrella</t>
  </si>
  <si>
    <t>mjk_Hollywood</t>
  </si>
  <si>
    <t>ShoesLowcutGlitter4</t>
  </si>
  <si>
    <t>K.K. Aria</t>
  </si>
  <si>
    <t>mjk_Maria</t>
  </si>
  <si>
    <t>UmbrellaDoc0</t>
  </si>
  <si>
    <t>K.K. Ballad</t>
  </si>
  <si>
    <t>eggy parasol</t>
  </si>
  <si>
    <t>ShoesLowcutGlitter5</t>
  </si>
  <si>
    <t>mjk_Ballad</t>
  </si>
  <si>
    <t>K.K. Bazaar</t>
  </si>
  <si>
    <t>UmbrellaPolkadot1</t>
  </si>
  <si>
    <t>mjk_Roma</t>
  </si>
  <si>
    <t>exquisite parasol</t>
  </si>
  <si>
    <t>K.K. Birthday</t>
  </si>
  <si>
    <t>ShoesLowcutGlitter6</t>
  </si>
  <si>
    <t>UmbrellaChina0</t>
  </si>
  <si>
    <t>fairy-tale umbrella</t>
  </si>
  <si>
    <t>ShoesLowcutGlitter7</t>
  </si>
  <si>
    <t>traditional flower shoes</t>
  </si>
  <si>
    <t>mjk_BirthdaySong</t>
  </si>
  <si>
    <t>K.K. Blues</t>
  </si>
  <si>
    <t>UmbrellaFairytale0</t>
  </si>
  <si>
    <t>fish umbrella</t>
  </si>
  <si>
    <t>ShoesLowcutGgotshin0</t>
  </si>
  <si>
    <t>mjk_Blues</t>
  </si>
  <si>
    <t>K.K. Bossa</t>
  </si>
  <si>
    <t>mjk_Bossa</t>
  </si>
  <si>
    <t>K.K. Calypso</t>
  </si>
  <si>
    <t>UmbrellaFish0</t>
  </si>
  <si>
    <t>frog umbrella</t>
  </si>
  <si>
    <t>mjk_Caripso</t>
  </si>
  <si>
    <t>K.K. Casbah</t>
  </si>
  <si>
    <t>ShoesLowcutGgotshin1</t>
  </si>
  <si>
    <t>UmbrellaFrog0</t>
  </si>
  <si>
    <t>gelato umbrella</t>
  </si>
  <si>
    <t>mjk_Turkey</t>
  </si>
  <si>
    <t>K.K. Chorale</t>
  </si>
  <si>
    <t>UmbrellaTricolor0</t>
  </si>
  <si>
    <t>ghost umbrella</t>
  </si>
  <si>
    <t>ShoesLowcutGgotshin2</t>
  </si>
  <si>
    <t>mjk_Sanbika</t>
  </si>
  <si>
    <t>K.K. Condor</t>
  </si>
  <si>
    <t>UmbrellaTeruteru0</t>
  </si>
  <si>
    <t>grape umbrella</t>
  </si>
  <si>
    <t>ShoesLowcutGgotshin3</t>
  </si>
  <si>
    <t>mjk_Peru</t>
  </si>
  <si>
    <t>K.K. Country</t>
  </si>
  <si>
    <t>mjk_Country</t>
  </si>
  <si>
    <t>UmbrellaGrape0</t>
  </si>
  <si>
    <t>K.K. Cruisin'</t>
  </si>
  <si>
    <t>green chic umbrella</t>
  </si>
  <si>
    <t>ShoesLowcutGgotshin4</t>
  </si>
  <si>
    <t>trekking shoes</t>
  </si>
  <si>
    <t>mjk_Urban</t>
  </si>
  <si>
    <t>K.K. D&amp;B</t>
  </si>
  <si>
    <t>UmbrellaPacodarace4</t>
  </si>
  <si>
    <t>green umbrella</t>
  </si>
  <si>
    <t>ShoesHighcutTrekking0</t>
  </si>
  <si>
    <t>mjk_Drumnbass</t>
  </si>
  <si>
    <t>K.K. Dirge</t>
  </si>
  <si>
    <t>UmbrellaStandard3</t>
  </si>
  <si>
    <t>hydrangea umbrella</t>
  </si>
  <si>
    <t>mjk_KowaiUta</t>
  </si>
  <si>
    <t>K.K. Disco</t>
  </si>
  <si>
    <t>ShoesHighcutTrekking1</t>
  </si>
  <si>
    <t>UmbrellaHydrangea0</t>
  </si>
  <si>
    <t>kabuki umbrella</t>
  </si>
  <si>
    <t>mjk_Disco</t>
  </si>
  <si>
    <t>K.K. Dixie</t>
  </si>
  <si>
    <t>UmbrellaKabuki0</t>
  </si>
  <si>
    <t>kiwi umbrella</t>
  </si>
  <si>
    <t>mjk_Dixie</t>
  </si>
  <si>
    <t>K.K. Étude</t>
  </si>
  <si>
    <t>ShoesHighcutTrekking2</t>
  </si>
  <si>
    <t>UmbrellaKiwi0</t>
  </si>
  <si>
    <t>lacy parasol</t>
  </si>
  <si>
    <t>mjk_Etude</t>
  </si>
  <si>
    <t>K.K. Faire</t>
  </si>
  <si>
    <t>UmbrellaLace0</t>
  </si>
  <si>
    <t>ladybug umbrella</t>
  </si>
  <si>
    <t>mjk_Haisai</t>
  </si>
  <si>
    <t>K.K. Flamenco</t>
  </si>
  <si>
    <t>ShoesHighcutTrekking3</t>
  </si>
  <si>
    <t>UmbrellaLadybug0</t>
  </si>
  <si>
    <t>leaf umbrella</t>
  </si>
  <si>
    <t>mjk_Flamenco</t>
  </si>
  <si>
    <t>K.K. Folk</t>
  </si>
  <si>
    <t>UmbrellaLeaf0</t>
  </si>
  <si>
    <t>lemon umbrella</t>
  </si>
  <si>
    <t>mjk_Minyo</t>
  </si>
  <si>
    <t>K.K. Fusion</t>
  </si>
  <si>
    <t>ShoesHighcutTrekking4</t>
  </si>
  <si>
    <t>UmbrellaGingham4</t>
  </si>
  <si>
    <t>mjk_Fusion</t>
  </si>
  <si>
    <t>logo umbrella</t>
  </si>
  <si>
    <t>K.K. Groove</t>
  </si>
  <si>
    <t>UmbrellaLogo0</t>
  </si>
  <si>
    <t>maple-leaf umbrella</t>
  </si>
  <si>
    <t>ShoesHighcutTrekking5</t>
  </si>
  <si>
    <t>mjk_Raregroove</t>
  </si>
  <si>
    <t>K.K. Gumbo</t>
  </si>
  <si>
    <t>UmbrellaAutumn0</t>
  </si>
  <si>
    <t>melon umbrella</t>
  </si>
  <si>
    <t>mjk_NewOrleans</t>
  </si>
  <si>
    <t>K.K. House</t>
  </si>
  <si>
    <t>UmbrellaGingham1</t>
  </si>
  <si>
    <t>mini-flower-print umbrella</t>
  </si>
  <si>
    <t>mjk_House</t>
  </si>
  <si>
    <t>K.K. Island</t>
  </si>
  <si>
    <t>ShoesHighcutTrekking6</t>
  </si>
  <si>
    <t>UmbrellaFlorets0</t>
  </si>
  <si>
    <t>mint umbrella</t>
  </si>
  <si>
    <t>mjk_DoubutsuNoShima</t>
  </si>
  <si>
    <t>K.K. Jazz</t>
  </si>
  <si>
    <t>UmbrellaGingham2</t>
  </si>
  <si>
    <t>mush umbrella</t>
  </si>
  <si>
    <t>mjk_Jazz</t>
  </si>
  <si>
    <t>K.K. Jongara</t>
  </si>
  <si>
    <t>ShoesHighcutTrekking7</t>
  </si>
  <si>
    <t>velour boots</t>
  </si>
  <si>
    <t>UmbrellaMushroom0</t>
  </si>
  <si>
    <t>mjk_Jongara</t>
  </si>
  <si>
    <t>Nook Inc. umbrella</t>
  </si>
  <si>
    <t>K.K. Lament</t>
  </si>
  <si>
    <t>mjk_Enka</t>
  </si>
  <si>
    <t>UmbrellaRco0</t>
  </si>
  <si>
    <t>K.K. Love Song</t>
  </si>
  <si>
    <t>orange umbrella</t>
  </si>
  <si>
    <t>ShoesKneeVelour0</t>
  </si>
  <si>
    <t>mjk_LoveSong</t>
  </si>
  <si>
    <t>UmbrellaOrange0</t>
  </si>
  <si>
    <t>K.K. Lullaby</t>
  </si>
  <si>
    <t>panda umbrella</t>
  </si>
  <si>
    <t>mjk_Lullaby</t>
  </si>
  <si>
    <t>UmbrellaPanda0</t>
  </si>
  <si>
    <t>K.K. Mambo</t>
  </si>
  <si>
    <t>paper parasol</t>
  </si>
  <si>
    <t>ShoesKneeVelour1</t>
  </si>
  <si>
    <t>mjk_Mambo</t>
  </si>
  <si>
    <t>K.K. Marathon</t>
  </si>
  <si>
    <t>UmbrellaBangasa0</t>
  </si>
  <si>
    <t>patterned vinyl umbrella</t>
  </si>
  <si>
    <t>mjk_Gamelan</t>
  </si>
  <si>
    <t>K.K. March</t>
  </si>
  <si>
    <t>UmbrellaBoundary0</t>
  </si>
  <si>
    <t>ShoesKneeVelour2</t>
  </si>
  <si>
    <t>peach umbrella</t>
  </si>
  <si>
    <t>mjk_March</t>
  </si>
  <si>
    <t>K.K. Mariachi</t>
  </si>
  <si>
    <t>mjk_Senor</t>
  </si>
  <si>
    <t>K.K. Metal</t>
  </si>
  <si>
    <t>UmbrellaPeach0</t>
  </si>
  <si>
    <t>pear umbrella</t>
  </si>
  <si>
    <t>ShoesKneeVelour3</t>
  </si>
  <si>
    <t>mjk_Metal</t>
  </si>
  <si>
    <t>K.K. Milonga</t>
  </si>
  <si>
    <t>UmbrellaPear0</t>
  </si>
  <si>
    <t>petal parasol</t>
  </si>
  <si>
    <t>mjk_Milonga</t>
  </si>
  <si>
    <t>K.K. Moody</t>
  </si>
  <si>
    <t>mjk_Bolero</t>
  </si>
  <si>
    <t>K.K. Oasis</t>
  </si>
  <si>
    <t>UmbrellaMargaret0</t>
  </si>
  <si>
    <t>picnic umbrella</t>
  </si>
  <si>
    <t>ShoesKneeVelour4</t>
  </si>
  <si>
    <t>vinyl round-toed pumps</t>
  </si>
  <si>
    <t>mjk_Maharaja</t>
  </si>
  <si>
    <t>K.K. Parade</t>
  </si>
  <si>
    <t>UmbrellaGingham3</t>
  </si>
  <si>
    <t>pineapple umbrella</t>
  </si>
  <si>
    <t>mjk_Parade</t>
  </si>
  <si>
    <t>K.K. Ragtime</t>
  </si>
  <si>
    <t>UmbrellaPineapple0</t>
  </si>
  <si>
    <t>pink shiny-bows parasol</t>
  </si>
  <si>
    <t>ShoesLowcutEnamelpumps0</t>
  </si>
  <si>
    <t>mjk_RagTime</t>
  </si>
  <si>
    <t>K.K. Rally</t>
  </si>
  <si>
    <t>UmbrellaPacodarace0</t>
  </si>
  <si>
    <t>pink umbrella</t>
  </si>
  <si>
    <t>mjk_Ondo</t>
  </si>
  <si>
    <t>K.K. Reggae</t>
  </si>
  <si>
    <t>UmbrellaSchool0</t>
  </si>
  <si>
    <t>purple chic umbrella</t>
  </si>
  <si>
    <t>ShoesLowcutEnamelpumps1</t>
  </si>
  <si>
    <t>mjk_Reggae</t>
  </si>
  <si>
    <t>K.K. Rock</t>
  </si>
  <si>
    <t>UmbrellaPacoda0</t>
  </si>
  <si>
    <t>purple shiny-bows parasol</t>
  </si>
  <si>
    <t>mjk_Rock</t>
  </si>
  <si>
    <t>K.K. Rockabilly</t>
  </si>
  <si>
    <t>UmbrellaPacodarace1</t>
  </si>
  <si>
    <t>rainbow umbrella</t>
  </si>
  <si>
    <t>ShoesLowcutEnamelpumps2</t>
  </si>
  <si>
    <t>mjk_KekeBilly</t>
  </si>
  <si>
    <t>K.K. Safari</t>
  </si>
  <si>
    <t>UmbrellaRainbow0</t>
  </si>
  <si>
    <t>raindrop umbrella</t>
  </si>
  <si>
    <t>mjk_Afro</t>
  </si>
  <si>
    <t>K.K. Salsa</t>
  </si>
  <si>
    <t>UmbrellaRain0</t>
  </si>
  <si>
    <t>red chic umbrella</t>
  </si>
  <si>
    <t>mjk_Salsa</t>
  </si>
  <si>
    <t>K.K. Samba</t>
  </si>
  <si>
    <t>ShoesLowcutEnamelpumps3</t>
  </si>
  <si>
    <t>UmbrellaPacodarace6</t>
  </si>
  <si>
    <t>red umbrella</t>
  </si>
  <si>
    <t>mjk_Samba</t>
  </si>
  <si>
    <t>K.K. Ska</t>
  </si>
  <si>
    <t>UmbrellaStandard1</t>
  </si>
  <si>
    <t>snowflake umbrella</t>
  </si>
  <si>
    <t>ShoesLowcutEnamelpumps4</t>
  </si>
  <si>
    <t>UmbrellaCrystal0</t>
  </si>
  <si>
    <t>spider umbrella</t>
  </si>
  <si>
    <t>mjk_Ska</t>
  </si>
  <si>
    <t>K.K. Sonata</t>
  </si>
  <si>
    <t>UmbrellaSpider0</t>
  </si>
  <si>
    <t>strawberry umbrella</t>
  </si>
  <si>
    <t>ShoesLowcutEnamelpumps5</t>
  </si>
  <si>
    <t>visual-punk boots</t>
  </si>
  <si>
    <t>UmbrellaStrawberry0</t>
  </si>
  <si>
    <t>mjk_Sonata</t>
  </si>
  <si>
    <t>striped umbrella</t>
  </si>
  <si>
    <t>K.K. Song</t>
  </si>
  <si>
    <t>UmbrellaStripe0</t>
  </si>
  <si>
    <t>sunny parasol</t>
  </si>
  <si>
    <t>mjk_KekeSong</t>
  </si>
  <si>
    <t>ShoesKneeVisualBlack</t>
  </si>
  <si>
    <t>K.K. Soul</t>
  </si>
  <si>
    <t>walking shoes</t>
  </si>
  <si>
    <t>UmbrellaSunflower0</t>
  </si>
  <si>
    <t>tartan-check umbrella</t>
  </si>
  <si>
    <t>mjk_Soul</t>
  </si>
  <si>
    <t>UmbrellaPlaid0</t>
  </si>
  <si>
    <t>Toad parasol</t>
  </si>
  <si>
    <t>K.K. Steppe</t>
  </si>
  <si>
    <t>ShoesLowcutHealth0</t>
  </si>
  <si>
    <t>UmbrellaPolkadotRed</t>
  </si>
  <si>
    <t>two-tone umbrella</t>
  </si>
  <si>
    <t>mjk_Cossack</t>
  </si>
  <si>
    <t>K.K. Stroll</t>
  </si>
  <si>
    <t>UmbrellaTwocolor0</t>
  </si>
  <si>
    <t>vinyl umbrella</t>
  </si>
  <si>
    <t>mjk_Osanpo</t>
  </si>
  <si>
    <t>ShoesLowcutHealth1</t>
  </si>
  <si>
    <t>K.K. Swing</t>
  </si>
  <si>
    <t>UmbrellaVinyl0</t>
  </si>
  <si>
    <t>watermelon umbrella</t>
  </si>
  <si>
    <t>mjk_Swing</t>
  </si>
  <si>
    <t>K.K. Synth</t>
  </si>
  <si>
    <t>ShoesLowcutHealth2</t>
  </si>
  <si>
    <t>water sandals</t>
  </si>
  <si>
    <t>mjk_Electronica</t>
  </si>
  <si>
    <t>K.K. Tango</t>
  </si>
  <si>
    <t>UmbrellaWater0</t>
  </si>
  <si>
    <t>white shiny-bows parasol</t>
  </si>
  <si>
    <t>mjk_Tango</t>
  </si>
  <si>
    <t>UmbrellaPacodarace3</t>
  </si>
  <si>
    <t>ShoesSandalAqua0</t>
  </si>
  <si>
    <t>K.K. Technopop</t>
  </si>
  <si>
    <t>mjk_TechnoBeat</t>
  </si>
  <si>
    <t>K.K. Waltz</t>
  </si>
  <si>
    <t>mjk_Waltz</t>
  </si>
  <si>
    <t>K.K. Western</t>
  </si>
  <si>
    <t>ShoesSandalAqua1</t>
  </si>
  <si>
    <t>mjk_Western</t>
  </si>
  <si>
    <t>King K.K.</t>
  </si>
  <si>
    <t>mjk_Daimyo</t>
  </si>
  <si>
    <t>Lucky K.K.</t>
  </si>
  <si>
    <t>ShoesSandalAqua2</t>
  </si>
  <si>
    <t>mjk_Irish</t>
  </si>
  <si>
    <t>Marine Song 2001</t>
  </si>
  <si>
    <t>mjk_HunaUta2001</t>
  </si>
  <si>
    <t>Mountain Song</t>
  </si>
  <si>
    <t>ShoesSandalAqua3</t>
  </si>
  <si>
    <t>mjk_Alpine</t>
  </si>
  <si>
    <t>Mr. K.K.</t>
  </si>
  <si>
    <t>mjk_Sensei</t>
  </si>
  <si>
    <t>My Place</t>
  </si>
  <si>
    <t>ShoesSandalAqua4</t>
  </si>
  <si>
    <t>mjk_BokuNoBasho</t>
  </si>
  <si>
    <t>Neapolitan</t>
  </si>
  <si>
    <t>mjk_Napolitan</t>
  </si>
  <si>
    <t>Only Me</t>
  </si>
  <si>
    <t>ShoesSandalAqua5</t>
  </si>
  <si>
    <t>mjk_OnlyMe</t>
  </si>
  <si>
    <t>Pondering</t>
  </si>
  <si>
    <t>ShoesSandalAqua6</t>
  </si>
  <si>
    <t>mjk_KangaeChu</t>
  </si>
  <si>
    <t>#1</t>
  </si>
  <si>
    <t>Rockin' K.K.</t>
  </si>
  <si>
    <t>Material 1</t>
  </si>
  <si>
    <t>#2</t>
  </si>
  <si>
    <t>mjk_RocknRoll</t>
  </si>
  <si>
    <t>Material 2</t>
  </si>
  <si>
    <t>#3</t>
  </si>
  <si>
    <t>ShoesSandalAqua7</t>
  </si>
  <si>
    <t>Soulful K.K.</t>
  </si>
  <si>
    <t>Material 3</t>
  </si>
  <si>
    <t>#4</t>
  </si>
  <si>
    <t>Material 4</t>
  </si>
  <si>
    <t>water shoes</t>
  </si>
  <si>
    <t>#5</t>
  </si>
  <si>
    <t>Material 5</t>
  </si>
  <si>
    <t>#6</t>
  </si>
  <si>
    <t>Material 6</t>
  </si>
  <si>
    <t>mjk_Gospel</t>
  </si>
  <si>
    <t>Space K.K.</t>
  </si>
  <si>
    <t>Category</t>
  </si>
  <si>
    <t>mjk_Minimal</t>
  </si>
  <si>
    <t>Spring Blossoms</t>
  </si>
  <si>
    <t>ShoesLowcutMarine0</t>
  </si>
  <si>
    <t>clump of weeds</t>
  </si>
  <si>
    <t>mjk_HaruNoKomorebi</t>
  </si>
  <si>
    <t>Stale Cupcakes</t>
  </si>
  <si>
    <t>mjk_BlueOnigiri</t>
  </si>
  <si>
    <t>Steep Hill</t>
  </si>
  <si>
    <t>ShoesLowcutMarine1</t>
  </si>
  <si>
    <t>Jock</t>
  </si>
  <si>
    <t>mjk_NiDanZaka</t>
  </si>
  <si>
    <t>Accessories</t>
  </si>
  <si>
    <t>Surfin' K.K.</t>
  </si>
  <si>
    <t>acorn</t>
  </si>
  <si>
    <t>mjk_Eleki</t>
  </si>
  <si>
    <t>ShoesLowcutMarine2</t>
  </si>
  <si>
    <t>The K. Funk</t>
  </si>
  <si>
    <t>Balloons (Autumn)</t>
  </si>
  <si>
    <t>Bags</t>
  </si>
  <si>
    <t>young spring bamboo</t>
  </si>
  <si>
    <t>Balloons (Spring)</t>
  </si>
  <si>
    <t>ShoesLowcutMarine3</t>
  </si>
  <si>
    <t>mjk_Funk</t>
  </si>
  <si>
    <t>earth egg</t>
  </si>
  <si>
    <t>To the Edge</t>
  </si>
  <si>
    <t>stone egg</t>
  </si>
  <si>
    <t>leaf egg</t>
  </si>
  <si>
    <t>wood egg</t>
  </si>
  <si>
    <t>sky egg</t>
  </si>
  <si>
    <t>water egg</t>
  </si>
  <si>
    <t>Villager (Bunny Day)</t>
  </si>
  <si>
    <t>ShoesLowcutMarine4</t>
  </si>
  <si>
    <t>mjk_NamiNami</t>
  </si>
  <si>
    <t>Two Days Ago</t>
  </si>
  <si>
    <t>cherry-blossom petal</t>
  </si>
  <si>
    <t>ShoesLowcutMarine5</t>
  </si>
  <si>
    <t>mjk_Ototoi</t>
  </si>
  <si>
    <t>Wandering</t>
  </si>
  <si>
    <t>Balloons (Cherry-Blossom Season)</t>
  </si>
  <si>
    <t>mjk_Horo</t>
  </si>
  <si>
    <t>Welcome Horizons</t>
  </si>
  <si>
    <t>ShoesLowcutMarine6</t>
  </si>
  <si>
    <t>Normal</t>
  </si>
  <si>
    <t>Received on your first time seeing KK perform</t>
  </si>
  <si>
    <t>mjk_MainTheme</t>
  </si>
  <si>
    <t>wood</t>
  </si>
  <si>
    <t>はずれ01</t>
  </si>
  <si>
    <t>hardwood</t>
  </si>
  <si>
    <t>ShoesLowcutMarine7</t>
  </si>
  <si>
    <t>water-egg shoes</t>
  </si>
  <si>
    <t>Played by K.K. if you request something he doesn't have (does not give take-home track)</t>
  </si>
  <si>
    <t>mjk_Miss1</t>
  </si>
  <si>
    <t>はずれ02</t>
  </si>
  <si>
    <t>maple leaf</t>
  </si>
  <si>
    <t>ShoesLowcutEggfish0</t>
  </si>
  <si>
    <t>wingtip shoes</t>
  </si>
  <si>
    <t>mjk_Miss2</t>
  </si>
  <si>
    <t>はずれ03</t>
  </si>
  <si>
    <t>Balloons (Maple Leaf Season)</t>
  </si>
  <si>
    <t>1x2</t>
  </si>
  <si>
    <t>mjk_Miss3</t>
  </si>
  <si>
    <t>giant clam</t>
  </si>
  <si>
    <t>summer shell</t>
  </si>
  <si>
    <t>ShoesLowcutWing0</t>
  </si>
  <si>
    <t>Balloons (Summer)</t>
  </si>
  <si>
    <t>ShoesLowcutWing1</t>
  </si>
  <si>
    <t>snowflake</t>
  </si>
  <si>
    <t>Balloons (Winter)</t>
  </si>
  <si>
    <t>ShoesLowcutWing2</t>
  </si>
  <si>
    <t>star fragment</t>
  </si>
  <si>
    <t>ShoesLowcutWing3</t>
  </si>
  <si>
    <t>Celeste</t>
  </si>
  <si>
    <t>ShoesLowcutWing4</t>
  </si>
  <si>
    <t>Bottoms</t>
  </si>
  <si>
    <t>ShoesLowcutWing5</t>
  </si>
  <si>
    <t>#</t>
  </si>
  <si>
    <t>ShoesLowcutWing6</t>
  </si>
  <si>
    <t>Peppy</t>
  </si>
  <si>
    <t>House</t>
  </si>
  <si>
    <t>Where/How</t>
  </si>
  <si>
    <t>Weather</t>
  </si>
  <si>
    <t>Rarity</t>
  </si>
  <si>
    <t>winklepickers</t>
  </si>
  <si>
    <t>Start Time</t>
  </si>
  <si>
    <t>End Time</t>
  </si>
  <si>
    <t>Jan</t>
  </si>
  <si>
    <t>Uchi</t>
  </si>
  <si>
    <t>Dresses</t>
  </si>
  <si>
    <t>ShoesLowcutPointedtoe0</t>
  </si>
  <si>
    <t>Feb</t>
  </si>
  <si>
    <t>Mar</t>
  </si>
  <si>
    <t>ShoesLowcutPointedtoe1</t>
  </si>
  <si>
    <t>Apr</t>
  </si>
  <si>
    <t>May</t>
  </si>
  <si>
    <t>Jun</t>
  </si>
  <si>
    <t>ShoesLowcutPointedtoe2</t>
  </si>
  <si>
    <t>Collecting earth eggs (Bunny Day)</t>
  </si>
  <si>
    <t>Jul</t>
  </si>
  <si>
    <t>Aug</t>
  </si>
  <si>
    <t>Sep</t>
  </si>
  <si>
    <t>ShoesLowcutPointedtoe3</t>
  </si>
  <si>
    <t>wood-egg shoes</t>
  </si>
  <si>
    <t>Oct</t>
  </si>
  <si>
    <t>Nov</t>
  </si>
  <si>
    <t>Dec</t>
  </si>
  <si>
    <t>Critterpedia Filename</t>
  </si>
  <si>
    <t>Learning all egg outfit DIYs (Bunny Day)</t>
  </si>
  <si>
    <t>Item Filename</t>
  </si>
  <si>
    <t>agrias butterfly</t>
  </si>
  <si>
    <t>ShoesLowcutEggforest0</t>
  </si>
  <si>
    <t>gold nugget</t>
  </si>
  <si>
    <t>wooden clogs</t>
  </si>
  <si>
    <t>Flying near flowers</t>
  </si>
  <si>
    <t>Smug</t>
  </si>
  <si>
    <t>ShoesLowcutClog0</t>
  </si>
  <si>
    <t>iron nugget</t>
  </si>
  <si>
    <t>Any except rain</t>
  </si>
  <si>
    <t>Uncommon</t>
  </si>
  <si>
    <t>ShoesLowcutClog1</t>
  </si>
  <si>
    <t>Cranky</t>
  </si>
  <si>
    <t>ShoesLowcutClog2</t>
  </si>
  <si>
    <t>Collecting leaf eggs (Bunny Day)</t>
  </si>
  <si>
    <t>ShoesLowcutClog3</t>
  </si>
  <si>
    <t>FtrInsectMiirotateha</t>
  </si>
  <si>
    <t>Lazy</t>
  </si>
  <si>
    <t>ant</t>
  </si>
  <si>
    <t>ShoesLowcutClog4</t>
  </si>
  <si>
    <t>work boots</t>
  </si>
  <si>
    <t>On rotten turnips</t>
  </si>
  <si>
    <t>Any weather</t>
  </si>
  <si>
    <t>Common</t>
  </si>
  <si>
    <t>All day</t>
  </si>
  <si>
    <t>ShoesHighcutWorkboots0</t>
  </si>
  <si>
    <t>FtrInsectAri</t>
  </si>
  <si>
    <t>Atlas moth</t>
  </si>
  <si>
    <t>ShoesHighcutWorkboots1</t>
  </si>
  <si>
    <t>On trees (any kind)</t>
  </si>
  <si>
    <t>ShoesHighcutWorkboots2</t>
  </si>
  <si>
    <t>FtrInsectYonagunisan</t>
  </si>
  <si>
    <t>bagworm</t>
  </si>
  <si>
    <t>Collecting sky eggs (Bunny Day)</t>
  </si>
  <si>
    <t>ShoesHighcutWorkboots3</t>
  </si>
  <si>
    <t>Shaking trees (hardwood or cedar only)</t>
  </si>
  <si>
    <t>ShoesHighcutWorkboots4</t>
  </si>
  <si>
    <t>FtrInsectMinomushi</t>
  </si>
  <si>
    <t>Collecting stone eggs (Bunny Day)</t>
  </si>
  <si>
    <t>banded dragonfly</t>
  </si>
  <si>
    <t>Flying</t>
  </si>
  <si>
    <t>Rare</t>
  </si>
  <si>
    <t>ShoesHighcutWorkboots5</t>
  </si>
  <si>
    <t>Collecting water eggs (Bunny Day)</t>
  </si>
  <si>
    <t>FtrInsectOniyanma</t>
  </si>
  <si>
    <t>bell cricket</t>
  </si>
  <si>
    <t>ShoesHighcutWorkboots6</t>
  </si>
  <si>
    <t>On the ground</t>
  </si>
  <si>
    <t/>
  </si>
  <si>
    <t>ShoesHighcutWorkboots7</t>
  </si>
  <si>
    <t>wrestling shoes</t>
  </si>
  <si>
    <t>Collecting wood eggs (Bunny Day)</t>
  </si>
  <si>
    <t>FtrInsectSuzumushi</t>
  </si>
  <si>
    <t>blue weevil beetle</t>
  </si>
  <si>
    <t>bamboo piece</t>
  </si>
  <si>
    <t>ShoesKneeRing0</t>
  </si>
  <si>
    <t>On palm trees</t>
  </si>
  <si>
    <t>Fencing</t>
  </si>
  <si>
    <t>ShoesKneeRing1</t>
  </si>
  <si>
    <t>FtrInsectHousekizoumushi</t>
  </si>
  <si>
    <t>brown cicada</t>
  </si>
  <si>
    <t>ShoesKneeRing2</t>
  </si>
  <si>
    <t>On hardwood/cedar trees</t>
  </si>
  <si>
    <t>clay</t>
  </si>
  <si>
    <t>ShoesKneeRing3</t>
  </si>
  <si>
    <t>FtrInsectAburazemi</t>
  </si>
  <si>
    <t>centipede</t>
  </si>
  <si>
    <t>ShoesKneeRing4</t>
  </si>
  <si>
    <t>Egg bottle/balloon (Bunny Day)</t>
  </si>
  <si>
    <t>From hitting rocks</t>
  </si>
  <si>
    <t>ShoesKneeRing5</t>
  </si>
  <si>
    <t>zap boots</t>
  </si>
  <si>
    <t>ShoesKneeHeroWhite</t>
  </si>
  <si>
    <t>FtrInsectMukade</t>
  </si>
  <si>
    <t>zori</t>
  </si>
  <si>
    <t>cicada shell</t>
  </si>
  <si>
    <t>ShoesSandalZori0</t>
  </si>
  <si>
    <t>softwood</t>
  </si>
  <si>
    <t>FtrInsectSeminonukegara</t>
  </si>
  <si>
    <t>citrus long-horned beetle</t>
  </si>
  <si>
    <t>ShoesSandalZori1</t>
  </si>
  <si>
    <t>On tree stumps</t>
  </si>
  <si>
    <t>ShoesSandalZori2</t>
  </si>
  <si>
    <t>Light pink</t>
  </si>
  <si>
    <t>FtrInsectGomadarakamikiri</t>
  </si>
  <si>
    <t>common bluebottle</t>
  </si>
  <si>
    <t>ShoesSandalZori3</t>
  </si>
  <si>
    <t>ShoesSandalZori4</t>
  </si>
  <si>
    <t>FtrInsectAosujiageha</t>
  </si>
  <si>
    <t>common butterfly</t>
  </si>
  <si>
    <t>ShoesSandalZori5</t>
  </si>
  <si>
    <t>ShoesSandalZori6</t>
  </si>
  <si>
    <t>FtrInsectMonshirocho</t>
  </si>
  <si>
    <t>cricket</t>
  </si>
  <si>
    <t>ShoesSandalZori7</t>
  </si>
  <si>
    <t>FtrInsectKohrogi</t>
  </si>
  <si>
    <t>cyclommatus stag</t>
  </si>
  <si>
    <t>Ultra-rare</t>
  </si>
  <si>
    <t>FtrInsectHosoakakuwagata</t>
  </si>
  <si>
    <t>damselfly</t>
  </si>
  <si>
    <t>FtrInsectItotonbo</t>
  </si>
  <si>
    <t>darner dragonfly</t>
  </si>
  <si>
    <t>Floors</t>
  </si>
  <si>
    <t>FtrInsectGinyanma</t>
  </si>
  <si>
    <t>diving beetle</t>
  </si>
  <si>
    <t>On rivers/ponds</t>
  </si>
  <si>
    <t>FtrInsectGengorou</t>
  </si>
  <si>
    <t>drone beetle</t>
  </si>
  <si>
    <t>FtrInsectKanabun</t>
  </si>
  <si>
    <t>dung beetle</t>
  </si>
  <si>
    <t>rare mushroom</t>
  </si>
  <si>
    <t>round mushroom</t>
  </si>
  <si>
    <t>skinny mushroom</t>
  </si>
  <si>
    <t>flat mushroom</t>
  </si>
  <si>
    <t>Balloons (Mushroom Season)</t>
  </si>
  <si>
    <t>Pushing snowballs</t>
  </si>
  <si>
    <t>large star fragment</t>
  </si>
  <si>
    <t>FtrInsectFunkorogashi</t>
  </si>
  <si>
    <t>earth-boring dung beetle</t>
  </si>
  <si>
    <t>empty can</t>
  </si>
  <si>
    <t>boot</t>
  </si>
  <si>
    <t>old tire</t>
  </si>
  <si>
    <t xml:space="preserve">Fishing up trash </t>
  </si>
  <si>
    <t>wasp nest</t>
  </si>
  <si>
    <t>FtrInsectSenchikogane</t>
  </si>
  <si>
    <t>emperor butterfly</t>
  </si>
  <si>
    <t>large snowflake</t>
  </si>
  <si>
    <t>Making a perfect Snowboy</t>
  </si>
  <si>
    <t>FtrInsectMorufuocho</t>
  </si>
  <si>
    <t>evening cicada</t>
  </si>
  <si>
    <t>4:00 AM 
4:00 PM</t>
  </si>
  <si>
    <t>8:00 AM
7:00 PM</t>
  </si>
  <si>
    <t>FtrInsectHigurashi</t>
  </si>
  <si>
    <t>firefly</t>
  </si>
  <si>
    <t>bells</t>
  </si>
  <si>
    <t>Snooty</t>
  </si>
  <si>
    <t>FtrInsectHotaru</t>
  </si>
  <si>
    <t>flea</t>
  </si>
  <si>
    <t>On villagers</t>
  </si>
  <si>
    <t>sea snail</t>
  </si>
  <si>
    <t>venus comb</t>
  </si>
  <si>
    <t>sand dollar</t>
  </si>
  <si>
    <t>coral</t>
  </si>
  <si>
    <t>FtrInsectNomi</t>
  </si>
  <si>
    <t>cowrie</t>
  </si>
  <si>
    <t>fly</t>
  </si>
  <si>
    <t>Flying near trash (boots, tires, cans)</t>
  </si>
  <si>
    <t>FtrInsectHae</t>
  </si>
  <si>
    <t>giant cicada</t>
  </si>
  <si>
    <t>FtrInsectKumazemi</t>
  </si>
  <si>
    <t>giant stag</t>
  </si>
  <si>
    <t>FtrInsectOhkuwagata</t>
  </si>
  <si>
    <t>giant water bug</t>
  </si>
  <si>
    <t>Headwear</t>
  </si>
  <si>
    <t>FtrInsectTagame</t>
  </si>
  <si>
    <t>giraffe stag</t>
  </si>
  <si>
    <t>blue roses</t>
  </si>
  <si>
    <t>FtrInsectGirafanokogirikuwagata</t>
  </si>
  <si>
    <t>All Villagers</t>
  </si>
  <si>
    <t>golden stag</t>
  </si>
  <si>
    <t>FtrInsectOugononikuwagata</t>
  </si>
  <si>
    <t>goliath beetle</t>
  </si>
  <si>
    <t>purple mums</t>
  </si>
  <si>
    <t>pink mums</t>
  </si>
  <si>
    <t>FtrInsectGoraiasuohtsunohanamuguri</t>
  </si>
  <si>
    <t>grasshopper</t>
  </si>
  <si>
    <t>purple roses</t>
  </si>
  <si>
    <t>black roses</t>
  </si>
  <si>
    <t>FtrInsectKirigirisu</t>
  </si>
  <si>
    <t>great purple emperor</t>
  </si>
  <si>
    <t>purple tulips</t>
  </si>
  <si>
    <t>pink tulips</t>
  </si>
  <si>
    <t>orange tulips</t>
  </si>
  <si>
    <t>blue hyacinths</t>
  </si>
  <si>
    <t>pink hyacinths</t>
  </si>
  <si>
    <t>orange hyacinths</t>
  </si>
  <si>
    <t>FtrInsectOhmurasaki</t>
  </si>
  <si>
    <t>hermit crab</t>
  </si>
  <si>
    <t>orange pansies</t>
  </si>
  <si>
    <t>blue pansies</t>
  </si>
  <si>
    <t>Disguised on shoreline</t>
  </si>
  <si>
    <t>blue windflowers</t>
  </si>
  <si>
    <t>pink windflowers</t>
  </si>
  <si>
    <t>FtrInsectYadokari</t>
  </si>
  <si>
    <t>honeybee</t>
  </si>
  <si>
    <t>red cosmos</t>
  </si>
  <si>
    <t>yellow cosmos</t>
  </si>
  <si>
    <t>white cosmos</t>
  </si>
  <si>
    <t>pink lilies</t>
  </si>
  <si>
    <t>orange lilies</t>
  </si>
  <si>
    <t>white lilies</t>
  </si>
  <si>
    <t>FtrInsectMitsubachi</t>
  </si>
  <si>
    <t>horned atlas</t>
  </si>
  <si>
    <t>pink roses</t>
  </si>
  <si>
    <t>orange roses</t>
  </si>
  <si>
    <t>FtrInsectKohkasasuohkabuto</t>
  </si>
  <si>
    <t>horned dynastid</t>
  </si>
  <si>
    <t>black cosmos</t>
  </si>
  <si>
    <t>black lilies</t>
  </si>
  <si>
    <t>FtrInsectKabutomushi</t>
  </si>
  <si>
    <t>horned elephant</t>
  </si>
  <si>
    <t>black tulips</t>
  </si>
  <si>
    <t>FtrInsectZoukabuto</t>
  </si>
  <si>
    <t>horned hercules</t>
  </si>
  <si>
    <t>FtrInsectHerakuresuohkabuto</t>
  </si>
  <si>
    <t>jewel beetle</t>
  </si>
  <si>
    <t>gold roses</t>
  </si>
  <si>
    <t>FtrInsectTamamushi</t>
  </si>
  <si>
    <t>ladybug</t>
  </si>
  <si>
    <t>red hyacinths</t>
  </si>
  <si>
    <t>On flowers</t>
  </si>
  <si>
    <t>yellow hyacinths</t>
  </si>
  <si>
    <t>white hyacinths</t>
  </si>
  <si>
    <t>FtrInsectTentoumushi</t>
  </si>
  <si>
    <t>long locust</t>
  </si>
  <si>
    <t>FtrInsectShoryobatta</t>
  </si>
  <si>
    <t>Madagascan sunset moth</t>
  </si>
  <si>
    <t>red lilies</t>
  </si>
  <si>
    <t>yellow lilies</t>
  </si>
  <si>
    <t>pink cosmos</t>
  </si>
  <si>
    <t>orange cosmos</t>
  </si>
  <si>
    <t>FtrInsectNishikiohtsubamega</t>
  </si>
  <si>
    <t>red mums</t>
  </si>
  <si>
    <t>man-faced stink bug</t>
  </si>
  <si>
    <t>yellow mums</t>
  </si>
  <si>
    <t>white mums</t>
  </si>
  <si>
    <t>FtrInsectJinmenkamemushi</t>
  </si>
  <si>
    <t>red pansies</t>
  </si>
  <si>
    <t>mantis</t>
  </si>
  <si>
    <t>yellow pansies</t>
  </si>
  <si>
    <t>white pansies</t>
  </si>
  <si>
    <t>FtrInsectKamakiri</t>
  </si>
  <si>
    <t>migratory locust</t>
  </si>
  <si>
    <t>purple hyacinths</t>
  </si>
  <si>
    <t>purple pansies</t>
  </si>
  <si>
    <t>FtrInsectTonosamabatta</t>
  </si>
  <si>
    <t>miyama stag</t>
  </si>
  <si>
    <t>purple windflowers</t>
  </si>
  <si>
    <t>red roses</t>
  </si>
  <si>
    <t>yellow roses</t>
  </si>
  <si>
    <t>white roses</t>
  </si>
  <si>
    <t>FtrInsectMiyamakuwagata</t>
  </si>
  <si>
    <t>green mums</t>
  </si>
  <si>
    <t>mole cricket</t>
  </si>
  <si>
    <t>Underground (dig where noise is loudest)</t>
  </si>
  <si>
    <t>FtrInsectOkera</t>
  </si>
  <si>
    <t>monarch butterfly</t>
  </si>
  <si>
    <t>FtrInsectOhkabamadara</t>
  </si>
  <si>
    <t>mosquito</t>
  </si>
  <si>
    <t>red tulips</t>
  </si>
  <si>
    <t>yellow tulips</t>
  </si>
  <si>
    <t>white tulips</t>
  </si>
  <si>
    <t>FtrInsectKa</t>
  </si>
  <si>
    <t>moth</t>
  </si>
  <si>
    <t>red windflowers</t>
  </si>
  <si>
    <t>orange windflowers</t>
  </si>
  <si>
    <t>Flying near light sources</t>
  </si>
  <si>
    <t>white windflowers</t>
  </si>
  <si>
    <t>FtrInsectGa</t>
  </si>
  <si>
    <t>orchid mantis</t>
  </si>
  <si>
    <t>Housewares</t>
  </si>
  <si>
    <t>On white flowers</t>
  </si>
  <si>
    <t>FtrInsectHanakamakiri</t>
  </si>
  <si>
    <t>paper kite butterfly</t>
  </si>
  <si>
    <t>Aquarius fragment</t>
  </si>
  <si>
    <t>Aries fragment</t>
  </si>
  <si>
    <t>FtrInsectOhgomamadara</t>
  </si>
  <si>
    <t>peacock butterfly</t>
  </si>
  <si>
    <t>Flying near blue/purple/black flowers</t>
  </si>
  <si>
    <t>FtrInsectKarasuageha</t>
  </si>
  <si>
    <t>pill bug</t>
  </si>
  <si>
    <t>FtrInsectDangomushi</t>
  </si>
  <si>
    <t>pondskater</t>
  </si>
  <si>
    <t>FtrInsectAmenbo</t>
  </si>
  <si>
    <t>Queen Alexandra's birdwing</t>
  </si>
  <si>
    <t>FtrInsectArekisandoratoribaneageha</t>
  </si>
  <si>
    <t>rainbow stag</t>
  </si>
  <si>
    <t>FtrInsectNijiirokuwagata</t>
  </si>
  <si>
    <t>Rajah Brooke's birdwing</t>
  </si>
  <si>
    <t>Villager House Development (Tom Nook), Cranky</t>
  </si>
  <si>
    <t>FtrInsectAkaeritoribaneageha</t>
  </si>
  <si>
    <t>red dragonfly</t>
  </si>
  <si>
    <t>FtrInsectAkiakane</t>
  </si>
  <si>
    <t>rice grasshopper</t>
  </si>
  <si>
    <t>red ornament</t>
  </si>
  <si>
    <t>blue ornament</t>
  </si>
  <si>
    <t>gold ornament</t>
  </si>
  <si>
    <t>Balloons (Festive Season)</t>
  </si>
  <si>
    <t>FtrInsectInago</t>
  </si>
  <si>
    <t>robust cicada</t>
  </si>
  <si>
    <t>Villager House Development (Tom Nook), Snooty</t>
  </si>
  <si>
    <t>FtrInsectMinminzemi</t>
  </si>
  <si>
    <t>Tom Nook, Peppy</t>
  </si>
  <si>
    <t>rosalia batesi beetle</t>
  </si>
  <si>
    <t>Tom Nook, Cranky</t>
  </si>
  <si>
    <t>FtrInsectRuriboshikamikiri</t>
  </si>
  <si>
    <t>saw stag</t>
  </si>
  <si>
    <t>FtrInsectNokogirikuwagata</t>
  </si>
  <si>
    <t>scarab beetle</t>
  </si>
  <si>
    <t>Zipper after collecting all 6 egg types (Bunny Day)</t>
  </si>
  <si>
    <t>FtrInsectPurachinakogane</t>
  </si>
  <si>
    <t>scorpion</t>
  </si>
  <si>
    <t>FtrInsectSasori</t>
  </si>
  <si>
    <t>snail</t>
  </si>
  <si>
    <t>On rocks</t>
  </si>
  <si>
    <t>Rain only</t>
  </si>
  <si>
    <t>FtrInsectKatatsumuri</t>
  </si>
  <si>
    <t>spider</t>
  </si>
  <si>
    <t>tree branch</t>
  </si>
  <si>
    <t>FtrInsectKumo</t>
  </si>
  <si>
    <t>stinkbug</t>
  </si>
  <si>
    <t>Tom Nook</t>
  </si>
  <si>
    <t>Cancer fragment</t>
  </si>
  <si>
    <t>FtrInsectKamemushi</t>
  </si>
  <si>
    <t>tarantula</t>
  </si>
  <si>
    <t>Capricorn fragment</t>
  </si>
  <si>
    <t>FtrInsectTaranchura</t>
  </si>
  <si>
    <t>tiger beetle</t>
  </si>
  <si>
    <t>FtrInsectHanmyou</t>
  </si>
  <si>
    <t>tiger butterfly</t>
  </si>
  <si>
    <t>FtrInsectAgehacho</t>
  </si>
  <si>
    <t>violin beetle</t>
  </si>
  <si>
    <t>FtrInsectBaiorinmushi</t>
  </si>
  <si>
    <t>walker cicada</t>
  </si>
  <si>
    <t>FtrInsectTsukutsukuhousi</t>
  </si>
  <si>
    <t>walking leaf</t>
  </si>
  <si>
    <t>Disguised under trees</t>
  </si>
  <si>
    <t>FtrInsectKonohamushi</t>
  </si>
  <si>
    <t>walking stick</t>
  </si>
  <si>
    <t>4:00 AM
5:00 PM</t>
  </si>
  <si>
    <t>FtrInsectNanafushi</t>
  </si>
  <si>
    <t>wasp</t>
  </si>
  <si>
    <t>Shaking trees</t>
  </si>
  <si>
    <t>FtrInsectHachi</t>
  </si>
  <si>
    <t>wharf roach</t>
  </si>
  <si>
    <t>On beach rocks</t>
  </si>
  <si>
    <t>FtrInsectFunamushi</t>
  </si>
  <si>
    <t>yellow butterfly</t>
  </si>
  <si>
    <t>FtrInsectMonkicho</t>
  </si>
  <si>
    <t>white liles</t>
  </si>
  <si>
    <t>Shadow</t>
  </si>
  <si>
    <t>Rain/Snow Catch Up</t>
  </si>
  <si>
    <t>anchovy</t>
  </si>
  <si>
    <t>Sea</t>
  </si>
  <si>
    <t>Small</t>
  </si>
  <si>
    <t>Gemini fragment</t>
  </si>
  <si>
    <t>FtrFishAntyobi</t>
  </si>
  <si>
    <t>angelfish</t>
  </si>
  <si>
    <t>River</t>
  </si>
  <si>
    <t>FtrFishAngelfish</t>
  </si>
  <si>
    <t>arapaima</t>
  </si>
  <si>
    <t>XX-Large</t>
  </si>
  <si>
    <t>FtrFishPiraruku</t>
  </si>
  <si>
    <t>arowana</t>
  </si>
  <si>
    <t>Large</t>
  </si>
  <si>
    <t>FtrFishArowana</t>
  </si>
  <si>
    <t>barred knifejaw</t>
  </si>
  <si>
    <t>Medium</t>
  </si>
  <si>
    <t>FtrFishIshidai</t>
  </si>
  <si>
    <t>barreleye</t>
  </si>
  <si>
    <t>FtrFishDemenigisu</t>
  </si>
  <si>
    <t>betta</t>
  </si>
  <si>
    <t>FtrFishBeta</t>
  </si>
  <si>
    <t>bitterling</t>
  </si>
  <si>
    <t>X-Small</t>
  </si>
  <si>
    <t>FtrFishTanago</t>
  </si>
  <si>
    <t>Villager House Development (Tom Nook), Uchi</t>
  </si>
  <si>
    <t>black bass</t>
  </si>
  <si>
    <t>FtrFishBlackbass</t>
  </si>
  <si>
    <t>blowfish</t>
  </si>
  <si>
    <t>FtrFishFugu</t>
  </si>
  <si>
    <t>blue marlin</t>
  </si>
  <si>
    <t>Pier</t>
  </si>
  <si>
    <t>FtrFishKajiki</t>
  </si>
  <si>
    <t>bluegill</t>
  </si>
  <si>
    <t>FtrFishBlueguill</t>
  </si>
  <si>
    <t>butterfly fish</t>
  </si>
  <si>
    <t>FtrFishChouchouuo</t>
  </si>
  <si>
    <t>carp</t>
  </si>
  <si>
    <t>Pond</t>
  </si>
  <si>
    <t>FtrFishKoi</t>
  </si>
  <si>
    <t>catfish</t>
  </si>
  <si>
    <t>FtrFishNamazu</t>
  </si>
  <si>
    <t>char</t>
  </si>
  <si>
    <t>River (clifftop)</t>
  </si>
  <si>
    <t>pine cone</t>
  </si>
  <si>
    <t>FtrFishOoiwana</t>
  </si>
  <si>
    <t>cherry salmon</t>
  </si>
  <si>
    <t>FtrFishYamame</t>
  </si>
  <si>
    <t>clown fish</t>
  </si>
  <si>
    <t>Villager House Development (Tom Nook), Peppy</t>
  </si>
  <si>
    <t>FtrFishKumanomi</t>
  </si>
  <si>
    <t>coelacanth</t>
  </si>
  <si>
    <t>Villager House Development (Tom Nook), Normal</t>
  </si>
  <si>
    <t>Sea (raining)</t>
  </si>
  <si>
    <t>FtrFishSirakansu</t>
  </si>
  <si>
    <t>crawfish</t>
  </si>
  <si>
    <t>FtrFishZarigani</t>
  </si>
  <si>
    <t>crucian carp</t>
  </si>
  <si>
    <t>FtrFishFuna</t>
  </si>
  <si>
    <t>dab</t>
  </si>
  <si>
    <t>Tom Nook, Smug</t>
  </si>
  <si>
    <t>FtrFishKarei</t>
  </si>
  <si>
    <t>dace</t>
  </si>
  <si>
    <t>FtrFishUgui</t>
  </si>
  <si>
    <t>dorado</t>
  </si>
  <si>
    <t>X-Large</t>
  </si>
  <si>
    <t>FtrFishDolado</t>
  </si>
  <si>
    <t>football fish</t>
  </si>
  <si>
    <t>FtrFishChouchinankou</t>
  </si>
  <si>
    <t>freshwater goby</t>
  </si>
  <si>
    <t>FtrFishDonko</t>
  </si>
  <si>
    <t>frog</t>
  </si>
  <si>
    <t>FtrFishKaeru</t>
  </si>
  <si>
    <t>gar</t>
  </si>
  <si>
    <t>FtrFishGa</t>
  </si>
  <si>
    <t>giant snakehead</t>
  </si>
  <si>
    <t>FtrFishRaigyo</t>
  </si>
  <si>
    <t>giant trevally</t>
  </si>
  <si>
    <t>FtrFishGT</t>
  </si>
  <si>
    <t>golden trout</t>
  </si>
  <si>
    <t>FtrFishGoldenTorauto</t>
  </si>
  <si>
    <t>goldfish</t>
  </si>
  <si>
    <t>FtrFishKingyo</t>
  </si>
  <si>
    <t>great white shark</t>
  </si>
  <si>
    <t>Large w/Fin</t>
  </si>
  <si>
    <t>FtrFishSame</t>
  </si>
  <si>
    <t>guppy</t>
  </si>
  <si>
    <t>coconut</t>
  </si>
  <si>
    <t>FtrFishGuppi</t>
  </si>
  <si>
    <t>hammerhead shark</t>
  </si>
  <si>
    <t>FtrFishShumokuzame</t>
  </si>
  <si>
    <t>horse mackerel</t>
  </si>
  <si>
    <t>FtrFishAji</t>
  </si>
  <si>
    <t>killifish</t>
  </si>
  <si>
    <t>FtrFishMedaka</t>
  </si>
  <si>
    <t>king salmon</t>
  </si>
  <si>
    <t>River (mouth)</t>
  </si>
  <si>
    <t>FtrFishKingsalmon</t>
  </si>
  <si>
    <t>koi</t>
  </si>
  <si>
    <t>Pisces fragment</t>
  </si>
  <si>
    <t>FtrFishNishikigoi</t>
  </si>
  <si>
    <t>loach</t>
  </si>
  <si>
    <t>FtrFishDojou</t>
  </si>
  <si>
    <t>mahi-mahi</t>
  </si>
  <si>
    <t>FtrFishShiira</t>
  </si>
  <si>
    <t>rusted part</t>
  </si>
  <si>
    <t>mitten crab</t>
  </si>
  <si>
    <t>FtrFishShanghai</t>
  </si>
  <si>
    <t>moray eel</t>
  </si>
  <si>
    <t>Long</t>
  </si>
  <si>
    <t>FtrFishUtsubo</t>
  </si>
  <si>
    <t>Napoleonfish</t>
  </si>
  <si>
    <t>FtrFishNaporeonfish</t>
  </si>
  <si>
    <t>neon tetra</t>
  </si>
  <si>
    <t>FtrFishNeontetora</t>
  </si>
  <si>
    <t>nibble fish</t>
  </si>
  <si>
    <t>FtrFishDoctor</t>
  </si>
  <si>
    <t>oarfish</t>
  </si>
  <si>
    <t>FtrFishRyugu</t>
  </si>
  <si>
    <t>ocean sunfish</t>
  </si>
  <si>
    <t>conch</t>
  </si>
  <si>
    <t>FtrFishManbou</t>
  </si>
  <si>
    <t>olive flounder</t>
  </si>
  <si>
    <t>FtrFishHirame</t>
  </si>
  <si>
    <t>pale chub</t>
  </si>
  <si>
    <t>FtrFishOikawa</t>
  </si>
  <si>
    <t>pike</t>
  </si>
  <si>
    <t>FtrFishPaiku</t>
  </si>
  <si>
    <t>piranha</t>
  </si>
  <si>
    <t>9:00 AM
9:00 PM</t>
  </si>
  <si>
    <t>4:00 PM
4:00 AM</t>
  </si>
  <si>
    <t>FtrFishPirania</t>
  </si>
  <si>
    <t>pond smelt</t>
  </si>
  <si>
    <t>Villager House Development (Tom Nook), Lazy</t>
  </si>
  <si>
    <t>FtrFishWakasagi</t>
  </si>
  <si>
    <t>pop-eyed goldfish</t>
  </si>
  <si>
    <t>FtrFishDemekin</t>
  </si>
  <si>
    <t>puffer fish</t>
  </si>
  <si>
    <t>FtrFishHarisenbon</t>
  </si>
  <si>
    <t>rainbowfish</t>
  </si>
  <si>
    <t>FtrFishRainbowfish</t>
  </si>
  <si>
    <t>ranchu goldfish</t>
  </si>
  <si>
    <t>Taurus fragment</t>
  </si>
  <si>
    <t>FtrFishRanchu</t>
  </si>
  <si>
    <t>ray</t>
  </si>
  <si>
    <t>FtrFishEi</t>
  </si>
  <si>
    <t>red snapper</t>
  </si>
  <si>
    <t>FtrFishTai</t>
  </si>
  <si>
    <t>ribbon eel</t>
  </si>
  <si>
    <t>FtrFishHanahige</t>
  </si>
  <si>
    <t>Fishing up three old tires</t>
  </si>
  <si>
    <t>saddled bichir</t>
  </si>
  <si>
    <t>Fishing up an old tire</t>
  </si>
  <si>
    <t>FtrFishEndlicheri</t>
  </si>
  <si>
    <t>salmon</t>
  </si>
  <si>
    <t>FtrFishSake</t>
  </si>
  <si>
    <t>saw shark</t>
  </si>
  <si>
    <t>Virgo fragment</t>
  </si>
  <si>
    <t>FtrFishNokogiri</t>
  </si>
  <si>
    <t>sea bass</t>
  </si>
  <si>
    <t>FtrFishSuzuki</t>
  </si>
  <si>
    <t>sea butterfly</t>
  </si>
  <si>
    <t>FtrFishKurione</t>
  </si>
  <si>
    <t>sea horse</t>
  </si>
  <si>
    <t>Villager House Development (Tom Nook), Smug</t>
  </si>
  <si>
    <t>FtrFishTatsunootoshigo</t>
  </si>
  <si>
    <t>snapping turtle</t>
  </si>
  <si>
    <t>FtrFishKamitukigame</t>
  </si>
  <si>
    <t>soft-shelled turtle</t>
  </si>
  <si>
    <t>FtrFishSuppon</t>
  </si>
  <si>
    <t>squid</t>
  </si>
  <si>
    <t>FtrFishIka</t>
  </si>
  <si>
    <t>stringfish</t>
  </si>
  <si>
    <t>FtrFishItou</t>
  </si>
  <si>
    <t>sturgeon</t>
  </si>
  <si>
    <t>FtrFishTyouzame</t>
  </si>
  <si>
    <t>suckerfish</t>
  </si>
  <si>
    <t>Medium w/Fin</t>
  </si>
  <si>
    <t>FtrFishKobanzame</t>
  </si>
  <si>
    <t>surgeonfish</t>
  </si>
  <si>
    <t>FtrFishNanyouhagi</t>
  </si>
  <si>
    <t>sweetfish</t>
  </si>
  <si>
    <t>FtrFishAyu</t>
  </si>
  <si>
    <t>tadpole</t>
  </si>
  <si>
    <t>FtrFishOtama</t>
  </si>
  <si>
    <t>tilapia</t>
  </si>
  <si>
    <t>Miscellaneous</t>
  </si>
  <si>
    <t>FtrFishThirapia</t>
  </si>
  <si>
    <t>tuna</t>
  </si>
  <si>
    <t>FtrFishMaguro</t>
  </si>
  <si>
    <t>whale shark</t>
  </si>
  <si>
    <t>FtrFishJinbee</t>
  </si>
  <si>
    <t>yellow perch</t>
  </si>
  <si>
    <t>bamboo shoot</t>
  </si>
  <si>
    <t>FtrFishYellowparch</t>
  </si>
  <si>
    <t>zebra turkeyfish</t>
  </si>
  <si>
    <t>FtrFishMinokasago</t>
  </si>
  <si>
    <t>acanthostega</t>
  </si>
  <si>
    <t>Dig spot</t>
  </si>
  <si>
    <t>FtrFossilFirstFourLegs</t>
  </si>
  <si>
    <t>amber</t>
  </si>
  <si>
    <t>FtrFossilAmber</t>
  </si>
  <si>
    <t>ammonite</t>
  </si>
  <si>
    <t>FtrFossilAmmonoidea</t>
  </si>
  <si>
    <t>ankylo skull</t>
  </si>
  <si>
    <t>FtrFossilAnkylosaurusA</t>
  </si>
  <si>
    <t>ankylo tail</t>
  </si>
  <si>
    <t>FtrFossilAnkylosaurusC</t>
  </si>
  <si>
    <t>ankylo torso</t>
  </si>
  <si>
    <t>FtrFossilAnkylosaurusB</t>
  </si>
  <si>
    <t>anomalocaris</t>
  </si>
  <si>
    <t>FtrFossilAnomalocaris</t>
  </si>
  <si>
    <t>archaeopteryx</t>
  </si>
  <si>
    <t>FtrFossilArchaeopteryx</t>
  </si>
  <si>
    <t>archelon skull</t>
  </si>
  <si>
    <t>FtrFossilArchelonA</t>
  </si>
  <si>
    <t>archelon tail</t>
  </si>
  <si>
    <t>Libra fragment</t>
  </si>
  <si>
    <t>FtrFossilArchelonB</t>
  </si>
  <si>
    <t>australopith</t>
  </si>
  <si>
    <t>FtrFossilAustralopithecus</t>
  </si>
  <si>
    <t>brachio chest</t>
  </si>
  <si>
    <t>FtrFossilBrachiosaurusB</t>
  </si>
  <si>
    <t>brachio pelvis</t>
  </si>
  <si>
    <t>FtrFossilBrachiosaurusC</t>
  </si>
  <si>
    <t>brachio skull</t>
  </si>
  <si>
    <t>FtrFossilBrachiosaurusA</t>
  </si>
  <si>
    <t>brachio tail</t>
  </si>
  <si>
    <t>FtrFossilBrachiosaurusD</t>
  </si>
  <si>
    <t>coprolite</t>
  </si>
  <si>
    <t>FtrFossilCoprolite</t>
  </si>
  <si>
    <t>deinony tail</t>
  </si>
  <si>
    <t>Fishing up an empty can</t>
  </si>
  <si>
    <t>FtrFossilDeinonychusB</t>
  </si>
  <si>
    <t>deinony torso</t>
  </si>
  <si>
    <t>Scorpius fragment</t>
  </si>
  <si>
    <t>FtrFossilDeinonychusA</t>
  </si>
  <si>
    <t>dimetrodon skull</t>
  </si>
  <si>
    <t>FtrFossilDimetrodonA</t>
  </si>
  <si>
    <t>dimetrodon torso</t>
  </si>
  <si>
    <t>FtrFossilDimetrodonB</t>
  </si>
  <si>
    <t>dinosaur track</t>
  </si>
  <si>
    <t>FtrFossilIchnology</t>
  </si>
  <si>
    <t>diplo chest</t>
  </si>
  <si>
    <t>FtrFossilDiplodocusC</t>
  </si>
  <si>
    <t>diplo neck</t>
  </si>
  <si>
    <t>FtrFossilDiplodocusB</t>
  </si>
  <si>
    <t>diplo pelvis</t>
  </si>
  <si>
    <t>FtrFossilDiplodocusD</t>
  </si>
  <si>
    <t>diplo skull</t>
  </si>
  <si>
    <t>FtrFossilDiplodocusA</t>
  </si>
  <si>
    <t>diplo tail</t>
  </si>
  <si>
    <t>FtrFossilDiplodocusE</t>
  </si>
  <si>
    <t>diplo tail tip</t>
  </si>
  <si>
    <t>FtrFossilDiplodocusF</t>
  </si>
  <si>
    <t>dunkleosteus</t>
  </si>
  <si>
    <t>FtrFossilDunkleosteus</t>
  </si>
  <si>
    <t>Fishing up all 3 trash items</t>
  </si>
  <si>
    <t>eusthenopteron</t>
  </si>
  <si>
    <t>FtrFossilFirstAmphibian</t>
  </si>
  <si>
    <t>iguanodon skull</t>
  </si>
  <si>
    <t>FtrFossilIguanodonA</t>
  </si>
  <si>
    <t>iguanodon tail</t>
  </si>
  <si>
    <t>FtrFossilIguanodonC</t>
  </si>
  <si>
    <t>iguanodon torso</t>
  </si>
  <si>
    <t>FtrFossilIguanodonB</t>
  </si>
  <si>
    <t>juramaia</t>
  </si>
  <si>
    <t>Wobbling Zipper toy</t>
  </si>
  <si>
    <t>FtrFossilFirstMammal</t>
  </si>
  <si>
    <t>left megalo side</t>
  </si>
  <si>
    <t>Zipper after crafting all Bunny Day recipes</t>
  </si>
  <si>
    <t>FtrFossilMegalocerosB</t>
  </si>
  <si>
    <t>left ptera wing</t>
  </si>
  <si>
    <t>FtrFossilPteranodonC</t>
  </si>
  <si>
    <t>left quetzal wing</t>
  </si>
  <si>
    <t>FtrFossilQuetzalcoatlusC</t>
  </si>
  <si>
    <t>mammoth skull</t>
  </si>
  <si>
    <t>FtrFossilMammothA</t>
  </si>
  <si>
    <t>mammoth torso</t>
  </si>
  <si>
    <t>bridge construction kit</t>
  </si>
  <si>
    <t>FtrFossilMammothB</t>
  </si>
  <si>
    <t>Tom Nook (Story)</t>
  </si>
  <si>
    <t>Other</t>
  </si>
  <si>
    <t>megacero skull</t>
  </si>
  <si>
    <t>campsite construction kit</t>
  </si>
  <si>
    <t>FtrFossilBrontotheriumA</t>
  </si>
  <si>
    <t>fish bait</t>
  </si>
  <si>
    <t>megacero tail</t>
  </si>
  <si>
    <t>manila clam</t>
  </si>
  <si>
    <t>Digging up clams</t>
  </si>
  <si>
    <t>FtrFossilBrontotheriumC</t>
  </si>
  <si>
    <t>medicine</t>
  </si>
  <si>
    <t>megacero torso</t>
  </si>
  <si>
    <t>All Villagers (when stung)</t>
  </si>
  <si>
    <t>FtrFossilBrontotheriumB</t>
  </si>
  <si>
    <t>pitfall seed</t>
  </si>
  <si>
    <t>myllokunmingia</t>
  </si>
  <si>
    <t>FtrFossilFirstFish</t>
  </si>
  <si>
    <t>ophthalmo skull</t>
  </si>
  <si>
    <t>Bridge</t>
  </si>
  <si>
    <t>brick bridge</t>
  </si>
  <si>
    <t>Rugs</t>
  </si>
  <si>
    <t>FtrFossilOphthalmosaurusA</t>
  </si>
  <si>
    <t>ophthalmo torso</t>
  </si>
  <si>
    <t>Resident Services Upgrade</t>
  </si>
  <si>
    <t>iron bridge</t>
  </si>
  <si>
    <t>log bridge</t>
  </si>
  <si>
    <t>FtrFossilOphthalmosaurusB</t>
  </si>
  <si>
    <t>pachysaurus skull</t>
  </si>
  <si>
    <t>red zen bridge</t>
  </si>
  <si>
    <t>stone bridge</t>
  </si>
  <si>
    <t>suspension bridge</t>
  </si>
  <si>
    <t>FtrFossilPachycephalosaurusA</t>
  </si>
  <si>
    <t>pachysaurus tail</t>
  </si>
  <si>
    <t>wooden bridge</t>
  </si>
  <si>
    <t>zen bridge</t>
  </si>
  <si>
    <t>basic door</t>
  </si>
  <si>
    <t>FtrFossilPachycephalosaurusB</t>
  </si>
  <si>
    <t>parasaur skull</t>
  </si>
  <si>
    <t>Door</t>
  </si>
  <si>
    <t>4th House Upgrade (Right Room)</t>
  </si>
  <si>
    <t>beige basic door</t>
  </si>
  <si>
    <t>beige simple door</t>
  </si>
  <si>
    <t>FtrFossilParasaurolophusA</t>
  </si>
  <si>
    <t>beige windowed door</t>
  </si>
  <si>
    <t>parasaur tail</t>
  </si>
  <si>
    <t>beige wooden door</t>
  </si>
  <si>
    <t>black common door</t>
  </si>
  <si>
    <t>FtrFossilParasaurolophusC</t>
  </si>
  <si>
    <t>black fancy door</t>
  </si>
  <si>
    <t>parasaur torso</t>
  </si>
  <si>
    <t>black imperial door</t>
  </si>
  <si>
    <t>black latticework door</t>
  </si>
  <si>
    <t>FtrFossilParasaurolophusB</t>
  </si>
  <si>
    <t>black rustic door</t>
  </si>
  <si>
    <t>plesio body</t>
  </si>
  <si>
    <t>black vertical-panes door</t>
  </si>
  <si>
    <t>black zen door</t>
  </si>
  <si>
    <t>FtrFossilElasmosaurusB</t>
  </si>
  <si>
    <t>blue basic door</t>
  </si>
  <si>
    <t>plesio skull</t>
  </si>
  <si>
    <t>blue common door</t>
  </si>
  <si>
    <t>blue iron door</t>
  </si>
  <si>
    <t>FtrFossilElasmosaurusA</t>
  </si>
  <si>
    <t>plesio tail</t>
  </si>
  <si>
    <t>blue latticework door</t>
  </si>
  <si>
    <t>Shoes</t>
  </si>
  <si>
    <t>FtrFossilElasmosaurusC</t>
  </si>
  <si>
    <t>ptera body</t>
  </si>
  <si>
    <t>blue metal-accent door</t>
  </si>
  <si>
    <t>blue rustic door</t>
  </si>
  <si>
    <t>FtrFossilPteranodonA</t>
  </si>
  <si>
    <t>blue simple door</t>
  </si>
  <si>
    <t>quetzal torso</t>
  </si>
  <si>
    <t>blue vertical-panes door</t>
  </si>
  <si>
    <t>blue windowed door</t>
  </si>
  <si>
    <t>FtrFossilQuetzalcoatlusA</t>
  </si>
  <si>
    <t>right megalo side</t>
  </si>
  <si>
    <t>blue wooden door</t>
  </si>
  <si>
    <t>FtrFossilMegalocerosA</t>
  </si>
  <si>
    <t>right ptera wing</t>
  </si>
  <si>
    <t>brown imperial door</t>
  </si>
  <si>
    <t>brown latticework door</t>
  </si>
  <si>
    <t>FtrFossilPteranodonB</t>
  </si>
  <si>
    <t>right quetzal wing</t>
  </si>
  <si>
    <t>Fishing up a boot</t>
  </si>
  <si>
    <t>brown metal-accent door</t>
  </si>
  <si>
    <t>FtrFossilQuetzalcoatlusB</t>
  </si>
  <si>
    <t>sabertooth skull</t>
  </si>
  <si>
    <t>brown zen door</t>
  </si>
  <si>
    <t>burgundy basic door</t>
  </si>
  <si>
    <t>FtrFossilSmilodonA</t>
  </si>
  <si>
    <t>sabertooth tail</t>
  </si>
  <si>
    <t>common door</t>
  </si>
  <si>
    <t>cyan vertical-panes door</t>
  </si>
  <si>
    <t>FtrFossilSmilodonB</t>
  </si>
  <si>
    <t>shark-tooth pattern</t>
  </si>
  <si>
    <t>dark-brown iron grill door</t>
  </si>
  <si>
    <t>FtrFossilShark</t>
  </si>
  <si>
    <t>spino skull</t>
  </si>
  <si>
    <t>deep-green simple door</t>
  </si>
  <si>
    <t>gray common door</t>
  </si>
  <si>
    <t>FtrFossilSpinosaurusA</t>
  </si>
  <si>
    <t>spino tail</t>
  </si>
  <si>
    <t>gray iron door</t>
  </si>
  <si>
    <t>gray iron grill door</t>
  </si>
  <si>
    <t>FtrFossilSpinosaurusC</t>
  </si>
  <si>
    <t>spino torso</t>
  </si>
  <si>
    <t>gray latticework door</t>
  </si>
  <si>
    <t>gray simple door</t>
  </si>
  <si>
    <t>gray windowed door</t>
  </si>
  <si>
    <t>Tools</t>
  </si>
  <si>
    <t>FtrFossilSpinosaurusB</t>
  </si>
  <si>
    <t>gray wooden door</t>
  </si>
  <si>
    <t>stego skull</t>
  </si>
  <si>
    <t>green basic door</t>
  </si>
  <si>
    <t>green common door</t>
  </si>
  <si>
    <t>FtrFossilStegosaurusA</t>
  </si>
  <si>
    <t>stego tail</t>
  </si>
  <si>
    <t>green imperial door</t>
  </si>
  <si>
    <t>FtrFossilStegosaurusC</t>
  </si>
  <si>
    <t>green iron door</t>
  </si>
  <si>
    <t>stego torso</t>
  </si>
  <si>
    <t>Zipper after crafting toy (Bunny Day)</t>
  </si>
  <si>
    <t>green iron grill door</t>
  </si>
  <si>
    <t>green metal-accent door</t>
  </si>
  <si>
    <t>FtrFossilStegosaurusB</t>
  </si>
  <si>
    <t>T. rex skull</t>
  </si>
  <si>
    <t>green rustic door</t>
  </si>
  <si>
    <t>green vertical-panes door</t>
  </si>
  <si>
    <t>FtrFossilTRexA</t>
  </si>
  <si>
    <t>T. rex tail</t>
  </si>
  <si>
    <t>green windowed door</t>
  </si>
  <si>
    <t>green wooden door</t>
  </si>
  <si>
    <t>FtrFossilTRexC</t>
  </si>
  <si>
    <t>T. rex torso</t>
  </si>
  <si>
    <t>green-apple basic door</t>
  </si>
  <si>
    <t>green-apple common door</t>
  </si>
  <si>
    <t>FtrFossilTRexB</t>
  </si>
  <si>
    <t>tricera skull</t>
  </si>
  <si>
    <t>imperial door</t>
  </si>
  <si>
    <t>iron door</t>
  </si>
  <si>
    <t>FtrFossilTriceratopsA</t>
  </si>
  <si>
    <t>tricera tail</t>
  </si>
  <si>
    <t>iron grill door</t>
  </si>
  <si>
    <t>FtrFossilTriceratopsC</t>
  </si>
  <si>
    <t>tricera torso</t>
  </si>
  <si>
    <t>lacquered zen door</t>
  </si>
  <si>
    <t>Blathers</t>
  </si>
  <si>
    <t>latticework door</t>
  </si>
  <si>
    <t>FtrFossilTriceratopsB</t>
  </si>
  <si>
    <t>trilobite</t>
  </si>
  <si>
    <t>light-green rustic door</t>
  </si>
  <si>
    <t>maple iron grill door</t>
  </si>
  <si>
    <t>FtrFossilTrilobite</t>
  </si>
  <si>
    <t>maple rustic door</t>
  </si>
  <si>
    <t>Breaking 100 axes</t>
  </si>
  <si>
    <t>maple vertical-panes door</t>
  </si>
  <si>
    <t>Completing bug Critterpedia</t>
  </si>
  <si>
    <t>maple windowed door</t>
  </si>
  <si>
    <t>maple wooden door</t>
  </si>
  <si>
    <t>metal-accent door</t>
  </si>
  <si>
    <t>pale-blue basic door</t>
  </si>
  <si>
    <t>pale-blue fancy door</t>
  </si>
  <si>
    <t>pale-blue iron grill door</t>
  </si>
  <si>
    <t>Completing fish Critterpedia</t>
  </si>
  <si>
    <t>pale-purple rustic door</t>
  </si>
  <si>
    <t>pink basic door</t>
  </si>
  <si>
    <t>pink fancy door</t>
  </si>
  <si>
    <t>Helping Gulliver 30 times</t>
  </si>
  <si>
    <t>pink iron door</t>
  </si>
  <si>
    <t>pink iron grill door</t>
  </si>
  <si>
    <t>pink metal-accent door</t>
  </si>
  <si>
    <t>Shooting 300 balloons</t>
  </si>
  <si>
    <t>pink rustic door</t>
  </si>
  <si>
    <t>Nook Miles</t>
  </si>
  <si>
    <t>arched tile path permit</t>
  </si>
  <si>
    <t>pink simple door</t>
  </si>
  <si>
    <t>pink windowed door</t>
  </si>
  <si>
    <t>FtrGroundMakerStonePattern</t>
  </si>
  <si>
    <t>5-star town evaluation</t>
  </si>
  <si>
    <t>pink wooden door</t>
  </si>
  <si>
    <t>Recipe</t>
  </si>
  <si>
    <t>purple common door</t>
  </si>
  <si>
    <t>Bell voucher</t>
  </si>
  <si>
    <t>BellExchangeTicket</t>
  </si>
  <si>
    <t>purple iron grill door</t>
  </si>
  <si>
    <t>purple metal-accent door</t>
  </si>
  <si>
    <t>brick path permit</t>
  </si>
  <si>
    <t>purple simple door</t>
  </si>
  <si>
    <t>FtrGroundMakerBrick</t>
  </si>
  <si>
    <t>cliff construction permit</t>
  </si>
  <si>
    <t>purple vertical-panes door</t>
  </si>
  <si>
    <t>FtrCliffMaker</t>
  </si>
  <si>
    <t>purple windowed door</t>
  </si>
  <si>
    <t>purple wooden door</t>
  </si>
  <si>
    <t>custom design path permit</t>
  </si>
  <si>
    <t>red common door</t>
  </si>
  <si>
    <t>FtrGroundMakerMydesign</t>
  </si>
  <si>
    <t>Custom Design Pro Editor</t>
  </si>
  <si>
    <t>HowtoBookMydesingPro</t>
  </si>
  <si>
    <t>red fancy door</t>
  </si>
  <si>
    <t>customizable phone case kit</t>
  </si>
  <si>
    <t>SmartphoneCase</t>
  </si>
  <si>
    <t>red imperial door</t>
  </si>
  <si>
    <t>dark dirt path permit</t>
  </si>
  <si>
    <t>red iron door</t>
  </si>
  <si>
    <t>FtrGroundMakerDarkSoil</t>
  </si>
  <si>
    <t>red iron grill door</t>
  </si>
  <si>
    <t>red latticework door</t>
  </si>
  <si>
    <t>red metal-accent door</t>
  </si>
  <si>
    <t>Nook Miles Ticket</t>
  </si>
  <si>
    <t>red rustic door</t>
  </si>
  <si>
    <t>MilePlaneTicket</t>
  </si>
  <si>
    <t>Pocket Organization Guide</t>
  </si>
  <si>
    <t>red vertical-panes door</t>
  </si>
  <si>
    <t>HowtoBookPocketExpansion</t>
  </si>
  <si>
    <t>Pretty Good Tools Recipes</t>
  </si>
  <si>
    <t>red windowed door</t>
  </si>
  <si>
    <t>DIYbookNormalTools</t>
  </si>
  <si>
    <t>red wooden door</t>
  </si>
  <si>
    <t>sand path permit</t>
  </si>
  <si>
    <t>red zen door</t>
  </si>
  <si>
    <t>FtrGroundMakerSand</t>
  </si>
  <si>
    <t>red-green imperial door</t>
  </si>
  <si>
    <t>rustic door</t>
  </si>
  <si>
    <t>vertical-panes door</t>
  </si>
  <si>
    <t>stone path permit</t>
  </si>
  <si>
    <t>walnut latticework door</t>
  </si>
  <si>
    <t>FtrGroundMakerStone</t>
  </si>
  <si>
    <t>white basic door</t>
  </si>
  <si>
    <t>terra-cotta tile permit</t>
  </si>
  <si>
    <t>white common door</t>
  </si>
  <si>
    <t>FtrGroundMakerTile</t>
  </si>
  <si>
    <t>Tool Ring: It's Essential!</t>
  </si>
  <si>
    <t>white fancy door</t>
  </si>
  <si>
    <t>HowtoBookRingMenuUI</t>
  </si>
  <si>
    <t>Top 8 Cool Hairstyles</t>
  </si>
  <si>
    <t>white imperial door</t>
  </si>
  <si>
    <t>HowtoBookHairCool</t>
  </si>
  <si>
    <t>Top 8 Pop Hairstyles</t>
  </si>
  <si>
    <t>HowtoBookHairPop</t>
  </si>
  <si>
    <t>white iron door</t>
  </si>
  <si>
    <t>Top 8 Stylish Hair Colors</t>
  </si>
  <si>
    <t>HowtoBookHairColor</t>
  </si>
  <si>
    <t>Ultimate Pocket Stuffing</t>
  </si>
  <si>
    <t>white iron grill door</t>
  </si>
  <si>
    <t>HowtoBookPocketExpansion2</t>
  </si>
  <si>
    <t>white latticework door</t>
  </si>
  <si>
    <t>waterscaping permit</t>
  </si>
  <si>
    <t>white metal-accent door</t>
  </si>
  <si>
    <t>FtrRiverMaker</t>
  </si>
  <si>
    <t>wooden path permit</t>
  </si>
  <si>
    <t>white rustic door</t>
  </si>
  <si>
    <t>FtrGroundMakerWood</t>
  </si>
  <si>
    <t>white simple door</t>
  </si>
  <si>
    <t>white vertical-panes door</t>
  </si>
  <si>
    <t>(for recipes)</t>
  </si>
  <si>
    <t>white windowed door</t>
  </si>
  <si>
    <t>white wooden door</t>
  </si>
  <si>
    <t>FtrSignConstruction</t>
  </si>
  <si>
    <t>white zen door</t>
  </si>
  <si>
    <t>FtrCottoncandymachine</t>
  </si>
  <si>
    <t>windowed door</t>
  </si>
  <si>
    <t>wooden door</t>
  </si>
  <si>
    <t>FtrDrinkmachine</t>
  </si>
  <si>
    <t>yellow basic door</t>
  </si>
  <si>
    <t>Tops</t>
  </si>
  <si>
    <t>FtrMonitoringchair</t>
  </si>
  <si>
    <t>yellow common door</t>
  </si>
  <si>
    <t>FtrLighthouse</t>
  </si>
  <si>
    <t>Umbrellas</t>
  </si>
  <si>
    <t>yellow fancy door</t>
  </si>
  <si>
    <t>FtrMonster</t>
  </si>
  <si>
    <t>yellow imperial door</t>
  </si>
  <si>
    <t>FtrParabolicantenna</t>
  </si>
  <si>
    <t>yellow iron door</t>
  </si>
  <si>
    <t>yellow simple door</t>
  </si>
  <si>
    <t>FtrParkclock</t>
  </si>
  <si>
    <t>yellow vertical-panes door</t>
  </si>
  <si>
    <t>FtrTelephonebox</t>
  </si>
  <si>
    <t>yellow zen door</t>
  </si>
  <si>
    <t>FtrJunglegym</t>
  </si>
  <si>
    <t>zen door</t>
  </si>
  <si>
    <t>FtrPool</t>
  </si>
  <si>
    <t>black large mailbox</t>
  </si>
  <si>
    <t>FtrWCPortable</t>
  </si>
  <si>
    <t>Mailbox</t>
  </si>
  <si>
    <t>3rd House Upgrade (Left Room)</t>
  </si>
  <si>
    <t>black ordinary mailbox</t>
  </si>
  <si>
    <t>FtrPublicbench</t>
  </si>
  <si>
    <t>black square mailbox</t>
  </si>
  <si>
    <t>FtrFoodmachine</t>
  </si>
  <si>
    <t>blue large mailbox</t>
  </si>
  <si>
    <t>FtrSolarpanel</t>
  </si>
  <si>
    <t>blue ordinary mailbox</t>
  </si>
  <si>
    <t>FtrSpringrider</t>
  </si>
  <si>
    <t>blue square mailbox</t>
  </si>
  <si>
    <t>Wall-Mounted</t>
  </si>
  <si>
    <t>FtrStreetlamp</t>
  </si>
  <si>
    <t>blue wooden mailbox</t>
  </si>
  <si>
    <t>FtrTurncup</t>
  </si>
  <si>
    <t>chic wooden mailbox</t>
  </si>
  <si>
    <t>green large mailbox</t>
  </si>
  <si>
    <t>FtrTelescopeSightseeing</t>
  </si>
  <si>
    <t>FtrTelephonepole</t>
  </si>
  <si>
    <t>green ordinary mailbox</t>
  </si>
  <si>
    <t>FtrWindturbine</t>
  </si>
  <si>
    <t>green square mailbox</t>
  </si>
  <si>
    <t>green wooden mailbox</t>
  </si>
  <si>
    <t>large mailbox</t>
  </si>
  <si>
    <t>ordinary mailbox</t>
  </si>
  <si>
    <t>pink large mailbox</t>
  </si>
  <si>
    <t>pink ordinary mailbox</t>
  </si>
  <si>
    <t>pink square mailbox</t>
  </si>
  <si>
    <t>pink wooden mailbox</t>
  </si>
  <si>
    <t>Award Criteria</t>
  </si>
  <si>
    <t>Internal Name</t>
  </si>
  <si>
    <t>Internal Category</t>
  </si>
  <si>
    <t># of Tiers</t>
  </si>
  <si>
    <t>Tier 1</t>
  </si>
  <si>
    <t>red large mailbox</t>
  </si>
  <si>
    <t>Tier 2</t>
  </si>
  <si>
    <t>Tier 3</t>
  </si>
  <si>
    <t>Tier 4</t>
  </si>
  <si>
    <t>Tier 5</t>
  </si>
  <si>
    <t>Reward Tier 1</t>
  </si>
  <si>
    <t>Reward Tier 2</t>
  </si>
  <si>
    <t>Reward Tier 3</t>
  </si>
  <si>
    <t>Reward Tier 4</t>
  </si>
  <si>
    <t>Reward Tier 5</t>
  </si>
  <si>
    <t>Reward Tier 6</t>
  </si>
  <si>
    <t>Sequential</t>
  </si>
  <si>
    <t>(island name) Miles!</t>
  </si>
  <si>
    <t>Awarded when Nook Miles program is first unlocked</t>
  </si>
  <si>
    <t>red ordinary mailbox</t>
  </si>
  <si>
    <t>ImmigratetoIsland</t>
  </si>
  <si>
    <t>Event</t>
  </si>
  <si>
    <t>red square mailbox</t>
  </si>
  <si>
    <t>Angling for Perfection!</t>
  </si>
  <si>
    <t>Number of total fish caught</t>
  </si>
  <si>
    <t>CatchFish</t>
  </si>
  <si>
    <t>red wooden mailbox</t>
  </si>
  <si>
    <t>Island Ichthyologist</t>
  </si>
  <si>
    <t>Number of unique fish caught</t>
  </si>
  <si>
    <t>rustic mailbox</t>
  </si>
  <si>
    <t>FillFishList</t>
  </si>
  <si>
    <t>square mailbox</t>
  </si>
  <si>
    <t>Island Togetherness</t>
  </si>
  <si>
    <t>Number of days in which you've talked to every one of your villagers</t>
  </si>
  <si>
    <t>GreetAllVillager</t>
  </si>
  <si>
    <t>Communication</t>
  </si>
  <si>
    <t>white large mailbox</t>
  </si>
  <si>
    <t>You've Got the Bug</t>
  </si>
  <si>
    <t>Number of total bugs caught</t>
  </si>
  <si>
    <t>CatchInsect</t>
  </si>
  <si>
    <t>white ordinary mailbox</t>
  </si>
  <si>
    <t>Bugs Don't Bug Me</t>
  </si>
  <si>
    <t>Number of unique bugs caught</t>
  </si>
  <si>
    <t>FillInsectList</t>
  </si>
  <si>
    <t>white square mailbox</t>
  </si>
  <si>
    <t>Have a Nice DIY!</t>
  </si>
  <si>
    <t>Number of DIY recipes collected</t>
  </si>
  <si>
    <t>FillRecipeList</t>
  </si>
  <si>
    <t>white wooden mailbox</t>
  </si>
  <si>
    <t>DIY Tools</t>
  </si>
  <si>
    <t>Number of tools you've crafted</t>
  </si>
  <si>
    <t>DIYTool</t>
  </si>
  <si>
    <t>wooden mailbox</t>
  </si>
  <si>
    <t>DIY Furniture</t>
  </si>
  <si>
    <t>Number of furniture pieces you've crafted</t>
  </si>
  <si>
    <t>DIYFurniture</t>
  </si>
  <si>
    <t>yellow large mailbox</t>
  </si>
  <si>
    <t>Furniture Freshener</t>
  </si>
  <si>
    <t>Number of times you've customized furniture at a workbench</t>
  </si>
  <si>
    <t>RemakeFurniture</t>
  </si>
  <si>
    <t>yellow ordinary mailbox</t>
  </si>
  <si>
    <t>Rough-hewn</t>
  </si>
  <si>
    <t>Number of times you've chopped wood from trees</t>
  </si>
  <si>
    <t>StrikeWood</t>
  </si>
  <si>
    <t>yellow square mailbox</t>
  </si>
  <si>
    <t>Trashed Tools</t>
  </si>
  <si>
    <t>Number of tools you've broken</t>
  </si>
  <si>
    <t>BreakTool</t>
  </si>
  <si>
    <t>yellow wooden mailbox</t>
  </si>
  <si>
    <t>Rock-Splitting Champ</t>
  </si>
  <si>
    <t>Awarded the first time you get 8 ores/stones from striking a rock</t>
  </si>
  <si>
    <t>blue steel staircase</t>
  </si>
  <si>
    <t>StrikeRock8Times</t>
  </si>
  <si>
    <t>Incline</t>
  </si>
  <si>
    <t>blue-plank ramp</t>
  </si>
  <si>
    <t>Bona Fide Bone Finder!</t>
  </si>
  <si>
    <t>Awarded the first time you dig up a fossil</t>
  </si>
  <si>
    <t>DigFossil</t>
  </si>
  <si>
    <t>fossil</t>
  </si>
  <si>
    <t>brick staircase</t>
  </si>
  <si>
    <t>Fossil Assessment</t>
  </si>
  <si>
    <t>Number of fossils you've had assessed by Blathers</t>
  </si>
  <si>
    <t>JudgeFossil</t>
  </si>
  <si>
    <t>log staircase</t>
  </si>
  <si>
    <t>Greedy Weeder</t>
  </si>
  <si>
    <t>Number of weed clumps you've sold to the shop</t>
  </si>
  <si>
    <t>SellWeed</t>
  </si>
  <si>
    <t>Plant</t>
  </si>
  <si>
    <t>natural ramp</t>
  </si>
  <si>
    <t>Flower Power</t>
  </si>
  <si>
    <t>Number of flower seeds you've planted (does not count digging up and replanting existing flowers)</t>
  </si>
  <si>
    <t>PlantFlowerSeed</t>
  </si>
  <si>
    <t>red steel staircase</t>
  </si>
  <si>
    <t>Flower Tender</t>
  </si>
  <si>
    <t>Number of flowers you've watered</t>
  </si>
  <si>
    <t>WaterPlant</t>
  </si>
  <si>
    <t>stone staircase</t>
  </si>
  <si>
    <t>Tomorrow's Trees Today</t>
  </si>
  <si>
    <t>Number of tree saplings you've planted (does not count planting fruits or replanting existing trees)</t>
  </si>
  <si>
    <t>white-plank ramp</t>
  </si>
  <si>
    <t>PlantTreeSeedling</t>
  </si>
  <si>
    <t>Pick of the Bunch</t>
  </si>
  <si>
    <t>Number of fruits you've sold to the shop</t>
  </si>
  <si>
    <t>aqua tile roof</t>
  </si>
  <si>
    <t>SellFruit</t>
  </si>
  <si>
    <t>Roofing</t>
  </si>
  <si>
    <t>beige curved shingles</t>
  </si>
  <si>
    <t>Fruit Roots</t>
  </si>
  <si>
    <t>Awarded for each unique fruit tree you've planted (cherry, orange, pear, peach, apple, and coconut)</t>
  </si>
  <si>
    <t>PlantFruit</t>
  </si>
  <si>
    <t>beige stone roof</t>
  </si>
  <si>
    <t>Go Ahead. Be Shellfish!</t>
  </si>
  <si>
    <t>Number of seashells you've sold to the shop</t>
  </si>
  <si>
    <t>black curved shingles</t>
  </si>
  <si>
    <t>SellShell</t>
  </si>
  <si>
    <t>black stone roof</t>
  </si>
  <si>
    <t>Clam and Collected</t>
  </si>
  <si>
    <t>Number of clams you've dug up</t>
  </si>
  <si>
    <t>DigShell</t>
  </si>
  <si>
    <t>black thatch roof</t>
  </si>
  <si>
    <t>Trash Fishin'</t>
  </si>
  <si>
    <t>Number of trash items (cans, tires, or boots) you've fished up</t>
  </si>
  <si>
    <t>Leo fragment</t>
  </si>
  <si>
    <t>CatchTrash</t>
  </si>
  <si>
    <t>black tile roof</t>
  </si>
  <si>
    <t>Cast Master</t>
  </si>
  <si>
    <t>Number of fish you've caught in a single streak without any getting away</t>
  </si>
  <si>
    <t>CatchFishContinuously</t>
  </si>
  <si>
    <t>blue curved shingles</t>
  </si>
  <si>
    <t>Dream House</t>
  </si>
  <si>
    <t>Number of times you've expanded your home</t>
  </si>
  <si>
    <t>ExtendMyHome</t>
  </si>
  <si>
    <t>blue stone roof</t>
  </si>
  <si>
    <t>Decorated Decorator</t>
  </si>
  <si>
    <t>Awarded the first time you get an "S" ranking from the HHA</t>
  </si>
  <si>
    <t>GetSRankonHHA</t>
  </si>
  <si>
    <t>brown curved shingles</t>
  </si>
  <si>
    <t>Hoard Reward</t>
  </si>
  <si>
    <t>Number of furniture pieces you've placed in your house</t>
  </si>
  <si>
    <t>PlaceFurnitureMyHouse</t>
  </si>
  <si>
    <t>brown stone roof</t>
  </si>
  <si>
    <t>Good Things in Store!</t>
  </si>
  <si>
    <t>Number of items you've placed in your home storage</t>
  </si>
  <si>
    <t>HouseStorageItem</t>
  </si>
  <si>
    <t>brown thatch roof</t>
  </si>
  <si>
    <t>Remarkable Remodeler</t>
  </si>
  <si>
    <t>Number of times you've remodeled the outside appearance of your home</t>
  </si>
  <si>
    <t>ReformMyHome</t>
  </si>
  <si>
    <t>deep-green thatch roof</t>
  </si>
  <si>
    <t>Smile Isle</t>
  </si>
  <si>
    <t>Number of villager requests you've fulfilled (such as returning lost items)</t>
  </si>
  <si>
    <t>fresh-grass thatch roof</t>
  </si>
  <si>
    <t>AchieveVillagersQuest</t>
  </si>
  <si>
    <t>golden-brown thatch roof</t>
  </si>
  <si>
    <t>Reaction Ruler</t>
  </si>
  <si>
    <t>Number of reactions you've learned</t>
  </si>
  <si>
    <t>gray thatch roof</t>
  </si>
  <si>
    <t>FillReactionList</t>
  </si>
  <si>
    <t>green curved shingles</t>
  </si>
  <si>
    <t>Island Shutterbug</t>
  </si>
  <si>
    <t>Awarded the first time you take a photo using the camera app on the NookPhone (screenshot button does not count, must use the app)</t>
  </si>
  <si>
    <t>TakePicture</t>
  </si>
  <si>
    <t>Smartphone</t>
  </si>
  <si>
    <t>green stone roof</t>
  </si>
  <si>
    <t>Edit Credit</t>
  </si>
  <si>
    <t>Awarded the first time you edit your Passport (title, comment, or photo)</t>
  </si>
  <si>
    <t>green tile roof</t>
  </si>
  <si>
    <t>UpdatePassport</t>
  </si>
  <si>
    <t>grey stone roof</t>
  </si>
  <si>
    <t>NookPhone Life</t>
  </si>
  <si>
    <t>Awarded after the 10th time you open your NookPhone</t>
  </si>
  <si>
    <t>BootPhoneBeginner</t>
  </si>
  <si>
    <t>orange curved shingles</t>
  </si>
  <si>
    <t>That's One Smart Phone</t>
  </si>
  <si>
    <t>Awarded after the 1000th time you open your NookPhone</t>
  </si>
  <si>
    <t>orange stone roof</t>
  </si>
  <si>
    <t>BootPhone</t>
  </si>
  <si>
    <t>Sagittarius fragment</t>
  </si>
  <si>
    <t>orange thatch roof</t>
  </si>
  <si>
    <t>Shop to It</t>
  </si>
  <si>
    <t>Number of times you've ordered from the Nook Shopping catalog</t>
  </si>
  <si>
    <t>BuyItemCatalog</t>
  </si>
  <si>
    <t>pink curved shingles</t>
  </si>
  <si>
    <t>pink tile roof</t>
  </si>
  <si>
    <t>Growing Collection</t>
  </si>
  <si>
    <t>Number of unique furniture pieces you've added to your catalog</t>
  </si>
  <si>
    <t>FillCatalog</t>
  </si>
  <si>
    <t>purple tile roof</t>
  </si>
  <si>
    <t>Nook Miles for Miles!</t>
  </si>
  <si>
    <t>Number of Nook Miles+ goals you've completed</t>
  </si>
  <si>
    <t>red stone roof</t>
  </si>
  <si>
    <t>AchieveAppQuest</t>
  </si>
  <si>
    <t>First-Time Buyer</t>
  </si>
  <si>
    <t>Awarded the first time you purchase an item from a shop</t>
  </si>
  <si>
    <t>red tile roof</t>
  </si>
  <si>
    <t>BuyItemRcm</t>
  </si>
  <si>
    <t>Money</t>
  </si>
  <si>
    <t>white thatch roof</t>
  </si>
  <si>
    <t>Seller of Unwanted Stuff</t>
  </si>
  <si>
    <t>Awarded the first time you sell and item to a shop</t>
  </si>
  <si>
    <t>SellItemRcm</t>
  </si>
  <si>
    <t>Moving Fees Paid!</t>
  </si>
  <si>
    <t>yellow curved shingles</t>
  </si>
  <si>
    <t>Awarded when you pay off your initial loan using Nook Miles</t>
  </si>
  <si>
    <t>PayImmigrationCost</t>
  </si>
  <si>
    <t>Bell Ringer</t>
  </si>
  <si>
    <t>Number of total bells you've spent in shops</t>
  </si>
  <si>
    <t>yellow tile roof</t>
  </si>
  <si>
    <t>HowmuchBuyItem</t>
  </si>
  <si>
    <t>Miles for Stalkholders</t>
  </si>
  <si>
    <t>Awarded the first time you purchase turnips</t>
  </si>
  <si>
    <t>BuyKabu</t>
  </si>
  <si>
    <t>beige stucco exterior</t>
  </si>
  <si>
    <t>Cornering the Stalk Market</t>
  </si>
  <si>
    <t>Number of total bells you've profited from selling turnips</t>
  </si>
  <si>
    <t>HowmuchSellKabu</t>
  </si>
  <si>
    <t>Siding</t>
  </si>
  <si>
    <t>5th House Upgrade (2nd Floor)</t>
  </si>
  <si>
    <t>black chalet exterior</t>
  </si>
  <si>
    <t>No More Loan Payments!</t>
  </si>
  <si>
    <t>Awarded after paying off your first house loan with bells</t>
  </si>
  <si>
    <t>RepayLoan</t>
  </si>
  <si>
    <t>black common exterior</t>
  </si>
  <si>
    <t>Bulletin-Board Benefit</t>
  </si>
  <si>
    <t>Awarded the first time you post a message on your town bulletin board</t>
  </si>
  <si>
    <t>PostMessageBoard</t>
  </si>
  <si>
    <t>black stucco exterior</t>
  </si>
  <si>
    <t>blue cobblestone exterior</t>
  </si>
  <si>
    <t>Popular Pen Pal</t>
  </si>
  <si>
    <t>Number of letters you've sent</t>
  </si>
  <si>
    <t>blue stucco exterior</t>
  </si>
  <si>
    <t>SendLetter</t>
  </si>
  <si>
    <t>blue-trim common exterior</t>
  </si>
  <si>
    <t>Flea Flicker</t>
  </si>
  <si>
    <t>Number of times you've caught fleas off a villager</t>
  </si>
  <si>
    <t>CatchNomi</t>
  </si>
  <si>
    <t>brown chalet exterior</t>
  </si>
  <si>
    <t>Cicada Memories</t>
  </si>
  <si>
    <t>Awarded the first time you catch a cicada shell</t>
  </si>
  <si>
    <t>CatchSeminonukegara</t>
  </si>
  <si>
    <t>brown cobblestone exterior</t>
  </si>
  <si>
    <t>Netting Better!</t>
  </si>
  <si>
    <t>Awarded the first time you catch five wasps in a row without running away or getting stung</t>
  </si>
  <si>
    <t>CatchBeeContinuously</t>
  </si>
  <si>
    <t>chalet exterior</t>
  </si>
  <si>
    <t>Wallpaper</t>
  </si>
  <si>
    <t>Pit-y Party!</t>
  </si>
  <si>
    <t>Awarded the first time you bury a pitfall seed</t>
  </si>
  <si>
    <t>MakePitfall</t>
  </si>
  <si>
    <t>chic cobblestone exterior</t>
  </si>
  <si>
    <t>cobblestone exterior</t>
  </si>
  <si>
    <t>Taking the Sting Out</t>
  </si>
  <si>
    <t>Awarded the first time you get stung by a wasp</t>
  </si>
  <si>
    <t>BeStungbyWasp</t>
  </si>
  <si>
    <t>Negative</t>
  </si>
  <si>
    <t>common exterior</t>
  </si>
  <si>
    <t>cream chalet exterior</t>
  </si>
  <si>
    <t>Faint of Heart</t>
  </si>
  <si>
    <t>Awarded the first time you get knocked out by a Scorpion or Tarantula</t>
  </si>
  <si>
    <t>BeStungbyPoisonousInsect</t>
  </si>
  <si>
    <t>gray cobblestone exterior</t>
  </si>
  <si>
    <t>gray stucco exterior</t>
  </si>
  <si>
    <t>Overcoming Pitfalls</t>
  </si>
  <si>
    <t>Awarded the first time you fall into a pitfall hole</t>
  </si>
  <si>
    <t>gray-trim common exterior</t>
  </si>
  <si>
    <t>FallintoPitfall</t>
  </si>
  <si>
    <t>green cobblestone exterior</t>
  </si>
  <si>
    <t>Lost Treasure</t>
  </si>
  <si>
    <t>Awarded the first time a balloon present you shot lands in a body of water</t>
  </si>
  <si>
    <t>light-blue chalet exterior</t>
  </si>
  <si>
    <t>DropPresentinWater</t>
  </si>
  <si>
    <t>orange chalet exterior</t>
  </si>
  <si>
    <t>orange cobblestone exterior</t>
  </si>
  <si>
    <t>It's Raining Treasure!</t>
  </si>
  <si>
    <t>Number of balloons you've shot down with a slingshot</t>
  </si>
  <si>
    <t>pink common exterior</t>
  </si>
  <si>
    <t>ShootDownBalloon</t>
  </si>
  <si>
    <t>LandMaking</t>
  </si>
  <si>
    <t>pink stucco exterior</t>
  </si>
  <si>
    <t>Fun with Fences</t>
  </si>
  <si>
    <t>Awarded the first time you place a fence</t>
  </si>
  <si>
    <t>red chalet exterior</t>
  </si>
  <si>
    <t>BuildFence</t>
  </si>
  <si>
    <t>red cobblestone exterior</t>
  </si>
  <si>
    <t>red common exterior</t>
  </si>
  <si>
    <t>Snowmaestro</t>
  </si>
  <si>
    <t>Number of perfect snow-people you've built</t>
  </si>
  <si>
    <t>red stucco exterior</t>
  </si>
  <si>
    <t>MakePerfectSnowball</t>
  </si>
  <si>
    <t>red-trim common exterior</t>
  </si>
  <si>
    <t>white stucco exterior</t>
  </si>
  <si>
    <t>Wishes Come True</t>
  </si>
  <si>
    <t>Number of shooting stars you've wished on.</t>
  </si>
  <si>
    <t>yello stucco exterior</t>
  </si>
  <si>
    <t>PrayShootingStar</t>
  </si>
  <si>
    <t>yellow chalet exterior</t>
  </si>
  <si>
    <t>yellow common exterior</t>
  </si>
  <si>
    <t>Exterior Decorator</t>
  </si>
  <si>
    <t>Awarded the first time you place some furniture outside</t>
  </si>
  <si>
    <t>PutFurnitureOutside</t>
  </si>
  <si>
    <t>(island name) Icons</t>
  </si>
  <si>
    <t>Awarded for changing your town tune and island flag for the first time</t>
  </si>
  <si>
    <t>ChangeSymbol</t>
  </si>
  <si>
    <t>Island Designer</t>
  </si>
  <si>
    <t>Awarded the first time you use the Island Designer app to place a path, add/remove water, and build/destroy a cliff</t>
  </si>
  <si>
    <t>ModifyIsland</t>
  </si>
  <si>
    <t>elegant mushroom</t>
  </si>
  <si>
    <t>Wispy Island Secrets</t>
  </si>
  <si>
    <t>Number of times you've helped Wisp find the parts of his spirit</t>
  </si>
  <si>
    <t>HelpGst</t>
  </si>
  <si>
    <t>Gulliver's Travails</t>
  </si>
  <si>
    <t>Number of times you've helped Gulliver fix his communicator</t>
  </si>
  <si>
    <t>HelpGul</t>
  </si>
  <si>
    <t>K.K. Mania</t>
  </si>
  <si>
    <t>Number of K.K. shows you've attended</t>
  </si>
  <si>
    <t>GotoTotakekeShow</t>
  </si>
  <si>
    <t>True Friends</t>
  </si>
  <si>
    <t>Number of villagers you've become good friends with</t>
  </si>
  <si>
    <t>BeFriendwithVillager</t>
  </si>
  <si>
    <t>Birthday Celebration</t>
  </si>
  <si>
    <t>Number of villager birthdays you've attended</t>
  </si>
  <si>
    <t>CelebrateVillagersBithday</t>
  </si>
  <si>
    <t>Happy Birthday!</t>
  </si>
  <si>
    <t>Awarded the first time you play on your character's birthday</t>
  </si>
  <si>
    <t>ReachMyBirthday</t>
  </si>
  <si>
    <t>Shaking a hardwood tree (Fall)</t>
  </si>
  <si>
    <t>DIYAcorn</t>
  </si>
  <si>
    <t>Fishing Tourney!</t>
  </si>
  <si>
    <t>Awarded the first time you attend a fishing tourney in each season</t>
  </si>
  <si>
    <t>AttendFishingConvention</t>
  </si>
  <si>
    <t>Apple tree</t>
  </si>
  <si>
    <t>apple tree</t>
  </si>
  <si>
    <t>Planting an apple</t>
  </si>
  <si>
    <t>Bug-Off!</t>
  </si>
  <si>
    <t>Awarded the first time you attend a bug-off tourney in each season</t>
  </si>
  <si>
    <t>PltApple4</t>
  </si>
  <si>
    <t>AttendInsectConvention</t>
  </si>
  <si>
    <t>Wishing on shooting stars (January 20 - February 18)</t>
  </si>
  <si>
    <t>StarpieceAquarius</t>
  </si>
  <si>
    <t>Countdown Celebration</t>
  </si>
  <si>
    <t>Awarded for attending the new year holiday event</t>
  </si>
  <si>
    <t>Wishing on shooting stars (March 21 - April 19)</t>
  </si>
  <si>
    <t>AttendCountdownParty</t>
  </si>
  <si>
    <t>StarpieceAries</t>
  </si>
  <si>
    <t>Chopping a bamboo tree</t>
  </si>
  <si>
    <t>DIYBamboo</t>
  </si>
  <si>
    <t>Making a Change</t>
  </si>
  <si>
    <t>Awarded the first time you use a wardrobe to change your character's outfit</t>
  </si>
  <si>
    <t>UseCloset</t>
  </si>
  <si>
    <t>MyDesign</t>
  </si>
  <si>
    <t>First Custom Design!</t>
  </si>
  <si>
    <t>Awarded the first time you use the Custom Design app to edit or create a design</t>
  </si>
  <si>
    <t>Dig spot near a bamboo tree</t>
  </si>
  <si>
    <t>UseMydesign</t>
  </si>
  <si>
    <t>BambooShoot</t>
  </si>
  <si>
    <t>bamboo tree</t>
  </si>
  <si>
    <t>Custom Design Pro!</t>
  </si>
  <si>
    <t>Planting a bamboo shoot</t>
  </si>
  <si>
    <t>Awarded the first time you use the Custom Design pro app to edit or create a design</t>
  </si>
  <si>
    <t>UseMydesignPRO</t>
  </si>
  <si>
    <t>PltBamboo4</t>
  </si>
  <si>
    <t>Bell bag</t>
  </si>
  <si>
    <t>Paydirt!</t>
  </si>
  <si>
    <t>Awarded the first time you dig up bells from a shining spot</t>
  </si>
  <si>
    <t>DigBell</t>
  </si>
  <si>
    <t>Glowing dig spot</t>
  </si>
  <si>
    <t>PhotoStudioBellBag</t>
  </si>
  <si>
    <t>Shady Shakedown</t>
  </si>
  <si>
    <t>birthday cupcake</t>
  </si>
  <si>
    <t>Number of furniture pieces you've found from shaking trees</t>
  </si>
  <si>
    <t>FallFurnitureLeaf</t>
  </si>
  <si>
    <t>BirthdayCupcake</t>
  </si>
  <si>
    <t>Golden Milestone</t>
  </si>
  <si>
    <t>Awarded for each unique golden tool you've equipped (shovel, net, fishing rod, watering can, axe, and slingshot)</t>
  </si>
  <si>
    <t>CollectGoldTool</t>
  </si>
  <si>
    <t>Picking flowers</t>
  </si>
  <si>
    <t>FlwCosmosBlack</t>
  </si>
  <si>
    <t>Island and Yourland</t>
  </si>
  <si>
    <t>Number of times you've visited another player's island (does not count mystery islands using Nook Miles Tickets)</t>
  </si>
  <si>
    <t>FlwYuriBlack</t>
  </si>
  <si>
    <t>VisitAnotherIsland</t>
  </si>
  <si>
    <t>FlwRoseBlack</t>
  </si>
  <si>
    <t>Host the Most</t>
  </si>
  <si>
    <t>Number of other players that have visited your island</t>
  </si>
  <si>
    <t>InviteFriend</t>
  </si>
  <si>
    <t>Active Island Resident</t>
  </si>
  <si>
    <t>Number of total unique days you've played the game</t>
  </si>
  <si>
    <t>FlwTulipBlack</t>
  </si>
  <si>
    <t>DayPlayed</t>
  </si>
  <si>
    <t>black wrapping paper</t>
  </si>
  <si>
    <t>WPaperBlack</t>
  </si>
  <si>
    <t>black-cosmos plant</t>
  </si>
  <si>
    <t>Red/red cosmos</t>
  </si>
  <si>
    <t>PltCosmosBlack3</t>
  </si>
  <si>
    <t>black-lily plant</t>
  </si>
  <si>
    <t>Red/red lilies</t>
  </si>
  <si>
    <t>PltYuriBlack3</t>
  </si>
  <si>
    <t>black-rose plant</t>
  </si>
  <si>
    <t>Red/red roses</t>
  </si>
  <si>
    <t>PltRoseBlack3</t>
  </si>
  <si>
    <t>black-tulip plant</t>
  </si>
  <si>
    <t>Red/red tulips</t>
  </si>
  <si>
    <t>PltTulipBlack3</t>
  </si>
  <si>
    <t>Blathers's tent marker</t>
  </si>
  <si>
    <t>MuseumTent</t>
  </si>
  <si>
    <t>FlwHyacinthBlue</t>
  </si>
  <si>
    <t>Species</t>
  </si>
  <si>
    <t>Gender</t>
  </si>
  <si>
    <t>Personality</t>
  </si>
  <si>
    <t>Shaking a cedar tree (Festive Season)</t>
  </si>
  <si>
    <t>DIYOrnamentBlue</t>
  </si>
  <si>
    <t>Catchphrase</t>
  </si>
  <si>
    <t>FlwPansyBlue</t>
  </si>
  <si>
    <t>Style 1</t>
  </si>
  <si>
    <t>Style 2</t>
  </si>
  <si>
    <t>Cyrano</t>
  </si>
  <si>
    <t>FlwRoseBlue</t>
  </si>
  <si>
    <t>Anteater</t>
  </si>
  <si>
    <t>Male</t>
  </si>
  <si>
    <t>3/9</t>
  </si>
  <si>
    <t>ah-CHOO</t>
  </si>
  <si>
    <t>FlwAnemonesBlue</t>
  </si>
  <si>
    <t>blue wrapping paper</t>
  </si>
  <si>
    <t>WPaperBlue</t>
  </si>
  <si>
    <t>blue-hyacinth plant</t>
  </si>
  <si>
    <t>White/white hyacinths</t>
  </si>
  <si>
    <t>PltHyacinthBlue3</t>
  </si>
  <si>
    <t>blue-pansy plant</t>
  </si>
  <si>
    <t>ant00</t>
  </si>
  <si>
    <t>Antonio</t>
  </si>
  <si>
    <t>White/white pansies</t>
  </si>
  <si>
    <t>PltPansyBlue3</t>
  </si>
  <si>
    <t>blue-rose plant</t>
  </si>
  <si>
    <t>10/20</t>
  </si>
  <si>
    <t>honk</t>
  </si>
  <si>
    <t>Orange/orange roses</t>
  </si>
  <si>
    <t>PltRoseBlue3</t>
  </si>
  <si>
    <t>blue-windflower plant</t>
  </si>
  <si>
    <t>ant01</t>
  </si>
  <si>
    <t>Pango</t>
  </si>
  <si>
    <t>Female</t>
  </si>
  <si>
    <t>11/9</t>
  </si>
  <si>
    <t>snooooof</t>
  </si>
  <si>
    <t>White/white windflowers
Orange/white windflowers</t>
  </si>
  <si>
    <t>PltAnemonesBlue3</t>
  </si>
  <si>
    <t>ant02</t>
  </si>
  <si>
    <t>Anabelle</t>
  </si>
  <si>
    <t>Fishing</t>
  </si>
  <si>
    <t>2/16</t>
  </si>
  <si>
    <t>Medium shadow</t>
  </si>
  <si>
    <t>snorty</t>
  </si>
  <si>
    <t>TrashBoot</t>
  </si>
  <si>
    <t>ant03</t>
  </si>
  <si>
    <t>BridgeLogReserveKit</t>
  </si>
  <si>
    <t>bridge marker kit</t>
  </si>
  <si>
    <t>10/24</t>
  </si>
  <si>
    <t>sniffff</t>
  </si>
  <si>
    <t>ant06</t>
  </si>
  <si>
    <t>Annalisa</t>
  </si>
  <si>
    <t>BridgeReserveKit</t>
  </si>
  <si>
    <t>brown wrapping paper</t>
  </si>
  <si>
    <t>2/6</t>
  </si>
  <si>
    <t>gumdrop</t>
  </si>
  <si>
    <t>ant08</t>
  </si>
  <si>
    <t>Olaf</t>
  </si>
  <si>
    <t>WPaperBrown</t>
  </si>
  <si>
    <t>5/19</t>
  </si>
  <si>
    <t>whiffa</t>
  </si>
  <si>
    <t>ant09</t>
  </si>
  <si>
    <t>Teddy</t>
  </si>
  <si>
    <t>CampsiteReserveKit</t>
  </si>
  <si>
    <t>9/26</t>
  </si>
  <si>
    <t>grooof</t>
  </si>
  <si>
    <t>campsite moving kit</t>
  </si>
  <si>
    <t>bea00</t>
  </si>
  <si>
    <t>Pinky</t>
  </si>
  <si>
    <t>MovingKitCampsite</t>
  </si>
  <si>
    <t>9/9</t>
  </si>
  <si>
    <t>wah</t>
  </si>
  <si>
    <t>bea01</t>
  </si>
  <si>
    <t>Curt</t>
  </si>
  <si>
    <t>7/1</t>
  </si>
  <si>
    <t>fuzzball</t>
  </si>
  <si>
    <t>Wishing on shooting stars (June 21 - July 22)</t>
  </si>
  <si>
    <t>bea02</t>
  </si>
  <si>
    <t>Chow</t>
  </si>
  <si>
    <t>StarpieceCancer</t>
  </si>
  <si>
    <t>7/22</t>
  </si>
  <si>
    <t>aiya</t>
  </si>
  <si>
    <t>Wishing on shooting stars (Dec 22 - Jan 19)</t>
  </si>
  <si>
    <t>bea03</t>
  </si>
  <si>
    <t>Nate</t>
  </si>
  <si>
    <t>StarpieceCapricornus</t>
  </si>
  <si>
    <t>cedar sapling</t>
  </si>
  <si>
    <t>8/16</t>
  </si>
  <si>
    <t>yawwwn</t>
  </si>
  <si>
    <t>bea05</t>
  </si>
  <si>
    <t>Groucho</t>
  </si>
  <si>
    <t>10/23</t>
  </si>
  <si>
    <t>grumble</t>
  </si>
  <si>
    <t>SeedCedar</t>
  </si>
  <si>
    <t>bea06</t>
  </si>
  <si>
    <t>Tutu</t>
  </si>
  <si>
    <t>cedar tree</t>
  </si>
  <si>
    <t>9/15</t>
  </si>
  <si>
    <t>twinkles</t>
  </si>
  <si>
    <t>bea07</t>
  </si>
  <si>
    <t>Ursala</t>
  </si>
  <si>
    <t>Planting a cedar start</t>
  </si>
  <si>
    <t>PltCedar4</t>
  </si>
  <si>
    <t>1/16</t>
  </si>
  <si>
    <t>grooomph</t>
  </si>
  <si>
    <t>chartreuse wrapping paper</t>
  </si>
  <si>
    <t>bea08</t>
  </si>
  <si>
    <t>Grizzly</t>
  </si>
  <si>
    <t>7/31</t>
  </si>
  <si>
    <t>grrr</t>
  </si>
  <si>
    <t>bea09</t>
  </si>
  <si>
    <t>Paula</t>
  </si>
  <si>
    <t>WPaperLightGreen</t>
  </si>
  <si>
    <t>3/22</t>
  </si>
  <si>
    <t>yodelay</t>
  </si>
  <si>
    <t>bea10</t>
  </si>
  <si>
    <t>Ike</t>
  </si>
  <si>
    <t>Cherry tree</t>
  </si>
  <si>
    <t>cherry tree</t>
  </si>
  <si>
    <t>5/16</t>
  </si>
  <si>
    <t>roadie</t>
  </si>
  <si>
    <t>bea11</t>
  </si>
  <si>
    <t>Charlise</t>
  </si>
  <si>
    <t>Planting a cherry</t>
  </si>
  <si>
    <t>4/17</t>
  </si>
  <si>
    <t>urgh</t>
  </si>
  <si>
    <t>PltCherry4</t>
  </si>
  <si>
    <t>bea12</t>
  </si>
  <si>
    <t>Beardo</t>
  </si>
  <si>
    <t>9/27</t>
  </si>
  <si>
    <t>whiskers</t>
  </si>
  <si>
    <t>bea13</t>
  </si>
  <si>
    <t>Catching with a net (Cherry-Blossom Season)</t>
  </si>
  <si>
    <t>Klaus</t>
  </si>
  <si>
    <t>Sakurapetal</t>
  </si>
  <si>
    <t>3/31</t>
  </si>
  <si>
    <t>strudel</t>
  </si>
  <si>
    <t>bea14</t>
  </si>
  <si>
    <t>Megan</t>
  </si>
  <si>
    <t>Hitting a rock</t>
  </si>
  <si>
    <t>3/13</t>
  </si>
  <si>
    <t>sundae</t>
  </si>
  <si>
    <t>bea15</t>
  </si>
  <si>
    <t>DIYClay</t>
  </si>
  <si>
    <t>Jay</t>
  </si>
  <si>
    <t>7/17</t>
  </si>
  <si>
    <t>heeeeeyy</t>
  </si>
  <si>
    <t>brd00</t>
  </si>
  <si>
    <t>On ground</t>
  </si>
  <si>
    <t>Robin</t>
  </si>
  <si>
    <t>PltWeed</t>
  </si>
  <si>
    <t>12/4</t>
  </si>
  <si>
    <t>la-di-da</t>
  </si>
  <si>
    <t>brd01</t>
  </si>
  <si>
    <t>Coconut tree</t>
  </si>
  <si>
    <t>Anchovy</t>
  </si>
  <si>
    <t>Coconut</t>
  </si>
  <si>
    <t>coconut tree</t>
  </si>
  <si>
    <t>3/4</t>
  </si>
  <si>
    <t>chuurp</t>
  </si>
  <si>
    <t>Planting a coconut</t>
  </si>
  <si>
    <t>brd02</t>
  </si>
  <si>
    <t>PltPalm4</t>
  </si>
  <si>
    <t>Twiggy</t>
  </si>
  <si>
    <t>coin</t>
  </si>
  <si>
    <t>7/13</t>
  </si>
  <si>
    <t>Shaking a tree</t>
  </si>
  <si>
    <t>cheepers</t>
  </si>
  <si>
    <t>PhotoStudioBell</t>
  </si>
  <si>
    <t>brd03</t>
  </si>
  <si>
    <t>Jitters</t>
  </si>
  <si>
    <t>communicator part</t>
  </si>
  <si>
    <t>Clam dig spot while on a quest for Gulliver</t>
  </si>
  <si>
    <t>2/2</t>
  </si>
  <si>
    <t>bzzert</t>
  </si>
  <si>
    <t>JohnnyQuest1</t>
  </si>
  <si>
    <t>brd04</t>
  </si>
  <si>
    <t>Piper</t>
  </si>
  <si>
    <t>Beach</t>
  </si>
  <si>
    <t>4/18</t>
  </si>
  <si>
    <t>chickadee</t>
  </si>
  <si>
    <t>ShellDriftHora</t>
  </si>
  <si>
    <t>brd05</t>
  </si>
  <si>
    <t>Admiral</t>
  </si>
  <si>
    <t>1/27</t>
  </si>
  <si>
    <t>ShellDriftSango</t>
  </si>
  <si>
    <t>aye aye</t>
  </si>
  <si>
    <t>brd06</t>
  </si>
  <si>
    <t>Midge</t>
  </si>
  <si>
    <t>ShellDriftTakara</t>
  </si>
  <si>
    <t>3/12</t>
  </si>
  <si>
    <t>tweedledee</t>
  </si>
  <si>
    <t>customization kit</t>
  </si>
  <si>
    <t>brd08</t>
  </si>
  <si>
    <t>Jakey</t>
  </si>
  <si>
    <t>RemakeKit</t>
  </si>
  <si>
    <t>delivery</t>
  </si>
  <si>
    <t>8/24</t>
  </si>
  <si>
    <t>ya feel</t>
  </si>
  <si>
    <t>brd11</t>
  </si>
  <si>
    <t>Lucha</t>
  </si>
  <si>
    <t>Delivering item for a villager</t>
  </si>
  <si>
    <t>DummyCardboard</t>
  </si>
  <si>
    <t>delivery box</t>
  </si>
  <si>
    <t>12/12</t>
  </si>
  <si>
    <t>cacaw</t>
  </si>
  <si>
    <t>brd15</t>
  </si>
  <si>
    <t>Nook Shopping</t>
  </si>
  <si>
    <t>Jacques</t>
  </si>
  <si>
    <t>QuestWrappingBox</t>
  </si>
  <si>
    <t>DIY for Beginners</t>
  </si>
  <si>
    <t>6/22</t>
  </si>
  <si>
    <t>zut alors</t>
  </si>
  <si>
    <t>brd16</t>
  </si>
  <si>
    <t>Peck</t>
  </si>
  <si>
    <t>DIYbook1</t>
  </si>
  <si>
    <t>7/25</t>
  </si>
  <si>
    <t>crunch</t>
  </si>
  <si>
    <t>Dig spot (Bunny Day)</t>
  </si>
  <si>
    <t>brd17</t>
  </si>
  <si>
    <t>Sparro</t>
  </si>
  <si>
    <t>EggGround</t>
  </si>
  <si>
    <t>egg message bottle</t>
  </si>
  <si>
    <t>Beach (Bunny Day)</t>
  </si>
  <si>
    <t>11/20</t>
  </si>
  <si>
    <t>like whoa</t>
  </si>
  <si>
    <t>MessageBottleEgg</t>
  </si>
  <si>
    <t>brd18</t>
  </si>
  <si>
    <t>Angus</t>
  </si>
  <si>
    <t>On ground (Mushroom Season)</t>
  </si>
  <si>
    <t>Bull</t>
  </si>
  <si>
    <t>MushSplendid</t>
  </si>
  <si>
    <t>4/30</t>
  </si>
  <si>
    <t>macmoo</t>
  </si>
  <si>
    <t>bul00</t>
  </si>
  <si>
    <t>Rodeo</t>
  </si>
  <si>
    <t>Small shadow</t>
  </si>
  <si>
    <t>TrashCan</t>
  </si>
  <si>
    <t>10/29</t>
  </si>
  <si>
    <t>chaps</t>
  </si>
  <si>
    <t>bul01</t>
  </si>
  <si>
    <t>Stu</t>
  </si>
  <si>
    <t xml:space="preserve">Crafting </t>
  </si>
  <si>
    <t>FishBait</t>
  </si>
  <si>
    <t>4/20</t>
  </si>
  <si>
    <t>mrooooo</t>
  </si>
  <si>
    <t>bul03</t>
  </si>
  <si>
    <t>T-Bone</t>
  </si>
  <si>
    <t>MushFlat</t>
  </si>
  <si>
    <t>Flimsy Axe Recipe</t>
  </si>
  <si>
    <t>5/20</t>
  </si>
  <si>
    <t>moocher</t>
  </si>
  <si>
    <t>DIYRecipeAxeWood</t>
  </si>
  <si>
    <t>bul05</t>
  </si>
  <si>
    <t>Flimsy Shovel Recipe</t>
  </si>
  <si>
    <t>Coach</t>
  </si>
  <si>
    <t>4/29</t>
  </si>
  <si>
    <t>stubble</t>
  </si>
  <si>
    <t>DIYRecipeScoopWood</t>
  </si>
  <si>
    <t>Flimsy Watering Can Recipe</t>
  </si>
  <si>
    <t>bul07</t>
  </si>
  <si>
    <t>Vic</t>
  </si>
  <si>
    <t>12/29</t>
  </si>
  <si>
    <t>DIYRecipeWateringWood</t>
  </si>
  <si>
    <t>cud</t>
  </si>
  <si>
    <t>bul08</t>
  </si>
  <si>
    <t>Bob</t>
  </si>
  <si>
    <t>Fossil</t>
  </si>
  <si>
    <t>1/1</t>
  </si>
  <si>
    <t>pthhpth</t>
  </si>
  <si>
    <t>cat00</t>
  </si>
  <si>
    <t>Mitzi</t>
  </si>
  <si>
    <t>Wishing on shooting stars (May 21 - June 20)</t>
  </si>
  <si>
    <t>StarpieceGemini</t>
  </si>
  <si>
    <t>9/25</t>
  </si>
  <si>
    <t>mew</t>
  </si>
  <si>
    <t>cat01</t>
  </si>
  <si>
    <t>Rosie</t>
  </si>
  <si>
    <t>ShellDriftSyako</t>
  </si>
  <si>
    <t>2/27</t>
  </si>
  <si>
    <t>silly</t>
  </si>
  <si>
    <t>cat02</t>
  </si>
  <si>
    <t>Olivia</t>
  </si>
  <si>
    <t>DIYGold</t>
  </si>
  <si>
    <t>2/3</t>
  </si>
  <si>
    <t>purrr</t>
  </si>
  <si>
    <t>DIYOrnamentGold</t>
  </si>
  <si>
    <t>cat03</t>
  </si>
  <si>
    <t>Kiki</t>
  </si>
  <si>
    <t>10/8</t>
  </si>
  <si>
    <t>kitty cat</t>
  </si>
  <si>
    <t>cat04</t>
  </si>
  <si>
    <t>Tangy</t>
  </si>
  <si>
    <t>FlwRoseGold</t>
  </si>
  <si>
    <t>gold wrapping paper</t>
  </si>
  <si>
    <t>6/17</t>
  </si>
  <si>
    <t>reeeeOWR</t>
  </si>
  <si>
    <t>cat05</t>
  </si>
  <si>
    <t>WPaperGold</t>
  </si>
  <si>
    <t>Punchy</t>
  </si>
  <si>
    <t>gold-rose plant</t>
  </si>
  <si>
    <t>4/11</t>
  </si>
  <si>
    <t>mrmpht</t>
  </si>
  <si>
    <t>Black/black roses
Water with gold watering can</t>
  </si>
  <si>
    <t>cat06</t>
  </si>
  <si>
    <t>Purrl</t>
  </si>
  <si>
    <t>PltRoseGold3</t>
  </si>
  <si>
    <t>gray wrapping paper</t>
  </si>
  <si>
    <t>5/29</t>
  </si>
  <si>
    <t>kitten</t>
  </si>
  <si>
    <t>WPaperGray</t>
  </si>
  <si>
    <t>cat07</t>
  </si>
  <si>
    <t>Moe</t>
  </si>
  <si>
    <t>FlwMumGreen</t>
  </si>
  <si>
    <t>1/12</t>
  </si>
  <si>
    <t>myawn</t>
  </si>
  <si>
    <t>green wrapping paper</t>
  </si>
  <si>
    <t>cat08</t>
  </si>
  <si>
    <t>Kabuki</t>
  </si>
  <si>
    <t>WPaperGreen</t>
  </si>
  <si>
    <t>green-mum plant</t>
  </si>
  <si>
    <t>11/29</t>
  </si>
  <si>
    <t>meooo-OH</t>
  </si>
  <si>
    <t>cat09</t>
  </si>
  <si>
    <t>Kid Cat</t>
  </si>
  <si>
    <t>Purple/purple mums</t>
  </si>
  <si>
    <t>PltMumGreen3</t>
  </si>
  <si>
    <t>8/1</t>
  </si>
  <si>
    <t>Chopping a tree</t>
  </si>
  <si>
    <t>psst</t>
  </si>
  <si>
    <t>DIYWoodHard</t>
  </si>
  <si>
    <t>cat10</t>
  </si>
  <si>
    <t>hardwood tree</t>
  </si>
  <si>
    <t>Monique</t>
  </si>
  <si>
    <t>Planting a sapling</t>
  </si>
  <si>
    <t>9/30</t>
  </si>
  <si>
    <t>pffffft</t>
  </si>
  <si>
    <t>PltOak4</t>
  </si>
  <si>
    <t>housing kit</t>
  </si>
  <si>
    <t>cat11</t>
  </si>
  <si>
    <t>Tabby</t>
  </si>
  <si>
    <t>8/13</t>
  </si>
  <si>
    <t>me-WOW</t>
  </si>
  <si>
    <t>NnpcNewHousingkit</t>
  </si>
  <si>
    <t>incline marker kit</t>
  </si>
  <si>
    <t>cat12</t>
  </si>
  <si>
    <t>Stinky</t>
  </si>
  <si>
    <t>8/17</t>
  </si>
  <si>
    <t>SlopeReserveKit</t>
  </si>
  <si>
    <t>GAAHHH</t>
  </si>
  <si>
    <t>cat13</t>
  </si>
  <si>
    <t>Kitty</t>
  </si>
  <si>
    <t>2/15</t>
  </si>
  <si>
    <t>mrowrr</t>
  </si>
  <si>
    <t>cat14</t>
  </si>
  <si>
    <t>Tom</t>
  </si>
  <si>
    <t>DIYIron</t>
  </si>
  <si>
    <t>Ladder Recipe</t>
  </si>
  <si>
    <t>12/10</t>
  </si>
  <si>
    <t>me-YOWZA</t>
  </si>
  <si>
    <t>cat15</t>
  </si>
  <si>
    <t>Merry</t>
  </si>
  <si>
    <t>Available after unlocking the ladder in the story</t>
  </si>
  <si>
    <t>DIYRecipeLadder</t>
  </si>
  <si>
    <t>6/29</t>
  </si>
  <si>
    <t>mweee</t>
  </si>
  <si>
    <t>cat16</t>
  </si>
  <si>
    <t>Felicity</t>
  </si>
  <si>
    <t>Perfect Snowboy</t>
  </si>
  <si>
    <t>3/30</t>
  </si>
  <si>
    <t>mimimi</t>
  </si>
  <si>
    <t>SnowCrystalLarge</t>
  </si>
  <si>
    <t>cat17</t>
  </si>
  <si>
    <t>Lolly</t>
  </si>
  <si>
    <t>3/27</t>
  </si>
  <si>
    <t>bonbon</t>
  </si>
  <si>
    <t>Wishing on shooting stars</t>
  </si>
  <si>
    <t>cat18</t>
  </si>
  <si>
    <t>Ankha</t>
  </si>
  <si>
    <t>StarpieceRare</t>
  </si>
  <si>
    <t>9/22</t>
  </si>
  <si>
    <t>me meow</t>
  </si>
  <si>
    <t>cat19</t>
  </si>
  <si>
    <t>Rudy</t>
  </si>
  <si>
    <t>Shaking a hardwood tree (Bunny Day)</t>
  </si>
  <si>
    <t>EggLeaf</t>
  </si>
  <si>
    <t>12/20</t>
  </si>
  <si>
    <t>cat20</t>
  </si>
  <si>
    <t>Katt</t>
  </si>
  <si>
    <t>Wishing on shooting stars (July 23 - August 22)</t>
  </si>
  <si>
    <t>StarpieceLeo</t>
  </si>
  <si>
    <t>4/27</t>
  </si>
  <si>
    <t>purrty</t>
  </si>
  <si>
    <t>cat21</t>
  </si>
  <si>
    <t>Raymond</t>
  </si>
  <si>
    <t>10/1</t>
  </si>
  <si>
    <t>Wishing on shooting stars (September 23 - October 22)</t>
  </si>
  <si>
    <t>crisp</t>
  </si>
  <si>
    <t>cat23</t>
  </si>
  <si>
    <t>Bluebear</t>
  </si>
  <si>
    <t>StarpieceLibra</t>
  </si>
  <si>
    <t>light-blue wrapping paper</t>
  </si>
  <si>
    <t>Cub</t>
  </si>
  <si>
    <t>6/24</t>
  </si>
  <si>
    <t>cbr00</t>
  </si>
  <si>
    <t>WPaperLightBlue</t>
  </si>
  <si>
    <t>6/15</t>
  </si>
  <si>
    <t>lily-of-the-valley plant</t>
  </si>
  <si>
    <t>honey</t>
  </si>
  <si>
    <t>cbr01</t>
  </si>
  <si>
    <t>Poncho</t>
  </si>
  <si>
    <t>5-star town status</t>
  </si>
  <si>
    <t>1/2</t>
  </si>
  <si>
    <t>li'l bear</t>
  </si>
  <si>
    <t>PltSuzuran2</t>
  </si>
  <si>
    <t>cbr02</t>
  </si>
  <si>
    <t>Pudge</t>
  </si>
  <si>
    <t>lost item</t>
  </si>
  <si>
    <t>6/11</t>
  </si>
  <si>
    <t>pudgy</t>
  </si>
  <si>
    <t>cbr03</t>
  </si>
  <si>
    <t>Kody</t>
  </si>
  <si>
    <t>LostQuestBag</t>
  </si>
  <si>
    <t>9/28</t>
  </si>
  <si>
    <t>grah grah</t>
  </si>
  <si>
    <t>cbr04</t>
  </si>
  <si>
    <t>Stitches</t>
  </si>
  <si>
    <t>LostQuestBook</t>
  </si>
  <si>
    <t>2/10</t>
  </si>
  <si>
    <t>stuffin'</t>
  </si>
  <si>
    <t>cbr05</t>
  </si>
  <si>
    <t>Vladimir</t>
  </si>
  <si>
    <t>8/2</t>
  </si>
  <si>
    <t>nyet</t>
  </si>
  <si>
    <t>LostQuestNote</t>
  </si>
  <si>
    <t>cbr06</t>
  </si>
  <si>
    <t>Murphy</t>
  </si>
  <si>
    <t>malarkey</t>
  </si>
  <si>
    <t>cbr07</t>
  </si>
  <si>
    <t>Clam dig spot</t>
  </si>
  <si>
    <t>FtrShellFishAsari</t>
  </si>
  <si>
    <t>7/12</t>
  </si>
  <si>
    <t>sweet pea</t>
  </si>
  <si>
    <t>cbr09</t>
  </si>
  <si>
    <t>Cheri</t>
  </si>
  <si>
    <t>Catching with a net (Fall)</t>
  </si>
  <si>
    <t>3/17</t>
  </si>
  <si>
    <t>tralala</t>
  </si>
  <si>
    <t>AutumnLeaf</t>
  </si>
  <si>
    <t>cbr10</t>
  </si>
  <si>
    <t>June</t>
  </si>
  <si>
    <t>5/21</t>
  </si>
  <si>
    <t>rainbow</t>
  </si>
  <si>
    <t>cbr13</t>
  </si>
  <si>
    <t>Pekoe</t>
  </si>
  <si>
    <t>ItemMedicine</t>
  </si>
  <si>
    <t>message bottle</t>
  </si>
  <si>
    <t>5/18</t>
  </si>
  <si>
    <t>bud</t>
  </si>
  <si>
    <t>cbr14</t>
  </si>
  <si>
    <t>Chester</t>
  </si>
  <si>
    <t>MessageBottle</t>
  </si>
  <si>
    <t>8/6</t>
  </si>
  <si>
    <t>mint wrapping paper</t>
  </si>
  <si>
    <t>rookie</t>
  </si>
  <si>
    <t>cbr15</t>
  </si>
  <si>
    <t>Barold</t>
  </si>
  <si>
    <t>WPaperMint</t>
  </si>
  <si>
    <t>money tree</t>
  </si>
  <si>
    <t>3/2</t>
  </si>
  <si>
    <t>cubby</t>
  </si>
  <si>
    <t>cbr16</t>
  </si>
  <si>
    <t>Tammy</t>
  </si>
  <si>
    <t>Burying bells in a glowing spot</t>
  </si>
  <si>
    <t>PltMoney4</t>
  </si>
  <si>
    <t>6/23</t>
  </si>
  <si>
    <t>ya heard</t>
  </si>
  <si>
    <t>moving kit</t>
  </si>
  <si>
    <t>cbr17</t>
  </si>
  <si>
    <t>Judy</t>
  </si>
  <si>
    <t>3/10</t>
  </si>
  <si>
    <t>myohmy</t>
  </si>
  <si>
    <t>cbr19</t>
  </si>
  <si>
    <t>Goose</t>
  </si>
  <si>
    <t>MovingKitPlayer</t>
  </si>
  <si>
    <t>museum moving kit</t>
  </si>
  <si>
    <t>Chicken</t>
  </si>
  <si>
    <t>10/4</t>
  </si>
  <si>
    <t>buh-kay</t>
  </si>
  <si>
    <t>chn00</t>
  </si>
  <si>
    <t>Benedict</t>
  </si>
  <si>
    <t>MovingKitMuseum</t>
  </si>
  <si>
    <t>navy wrapping paper</t>
  </si>
  <si>
    <t>10/10</t>
  </si>
  <si>
    <t>uh-hoo</t>
  </si>
  <si>
    <t>chn01</t>
  </si>
  <si>
    <t>Egbert</t>
  </si>
  <si>
    <t>10/14</t>
  </si>
  <si>
    <t>doodle-duh</t>
  </si>
  <si>
    <t>WPaperNavy</t>
  </si>
  <si>
    <t>chn02</t>
  </si>
  <si>
    <t>Ava</t>
  </si>
  <si>
    <t>4/28</t>
  </si>
  <si>
    <t>beaker</t>
  </si>
  <si>
    <t>chn05</t>
  </si>
  <si>
    <t>Becky</t>
  </si>
  <si>
    <t>Large shadow</t>
  </si>
  <si>
    <t>TrashTire</t>
  </si>
  <si>
    <t>12/9</t>
  </si>
  <si>
    <t>chicklet</t>
  </si>
  <si>
    <t>chn09</t>
  </si>
  <si>
    <t>Orange tree</t>
  </si>
  <si>
    <t>Plucky</t>
  </si>
  <si>
    <t>10/12</t>
  </si>
  <si>
    <t>chicky-poo</t>
  </si>
  <si>
    <t>chn10</t>
  </si>
  <si>
    <t>Knox</t>
  </si>
  <si>
    <t>11/23</t>
  </si>
  <si>
    <t>cluckling</t>
  </si>
  <si>
    <t>FlwCosmosOrange</t>
  </si>
  <si>
    <t>chn11</t>
  </si>
  <si>
    <t>Broffina</t>
  </si>
  <si>
    <t>cluckadoo</t>
  </si>
  <si>
    <t>chn12</t>
  </si>
  <si>
    <t>Ken</t>
  </si>
  <si>
    <t>FlwHyacinthOrange</t>
  </si>
  <si>
    <t>12/23</t>
  </si>
  <si>
    <t>no doubt</t>
  </si>
  <si>
    <t>chn13</t>
  </si>
  <si>
    <t>Patty</t>
  </si>
  <si>
    <t>FlwYuriOrange</t>
  </si>
  <si>
    <t>Cow</t>
  </si>
  <si>
    <t>5/10</t>
  </si>
  <si>
    <t>how-now</t>
  </si>
  <si>
    <t>cow00</t>
  </si>
  <si>
    <t>Tipper</t>
  </si>
  <si>
    <t>8/25</t>
  </si>
  <si>
    <t>pushy</t>
  </si>
  <si>
    <t>FlwPansyRedYellow</t>
  </si>
  <si>
    <t>cow01</t>
  </si>
  <si>
    <t>Norma</t>
  </si>
  <si>
    <t>9/20</t>
  </si>
  <si>
    <t>hoof hoo</t>
  </si>
  <si>
    <t>cow06</t>
  </si>
  <si>
    <t>Naomi</t>
  </si>
  <si>
    <t>FlwRoseOrange</t>
  </si>
  <si>
    <t>2/28</t>
  </si>
  <si>
    <t>orange tree</t>
  </si>
  <si>
    <t>moolah</t>
  </si>
  <si>
    <t>cow07</t>
  </si>
  <si>
    <t>Alfonso</t>
  </si>
  <si>
    <t>Planting an orange</t>
  </si>
  <si>
    <t>Alligator</t>
  </si>
  <si>
    <t>6/9</t>
  </si>
  <si>
    <t>PltOrange4</t>
  </si>
  <si>
    <t>it'sa me</t>
  </si>
  <si>
    <t>crd00</t>
  </si>
  <si>
    <t>Alli</t>
  </si>
  <si>
    <t>FlwTulipOrange</t>
  </si>
  <si>
    <t>11/8</t>
  </si>
  <si>
    <t>graaagh</t>
  </si>
  <si>
    <t>crd01</t>
  </si>
  <si>
    <t>Boots</t>
  </si>
  <si>
    <t>FlwAnemonesOrange</t>
  </si>
  <si>
    <t>orange wrapping paper</t>
  </si>
  <si>
    <t>8/7</t>
  </si>
  <si>
    <t>munchie</t>
  </si>
  <si>
    <t>crd02</t>
  </si>
  <si>
    <t>Del</t>
  </si>
  <si>
    <t>WPaperOrange</t>
  </si>
  <si>
    <t>orange-cosmos plant</t>
  </si>
  <si>
    <t>5/27</t>
  </si>
  <si>
    <t>gronk</t>
  </si>
  <si>
    <t>crd04</t>
  </si>
  <si>
    <t>Sly</t>
  </si>
  <si>
    <t>Red/yellow cosmos</t>
  </si>
  <si>
    <t>PltCosmosOrange3</t>
  </si>
  <si>
    <t>orange-hyacinth plant</t>
  </si>
  <si>
    <t>11/15</t>
  </si>
  <si>
    <t>hoo-rah</t>
  </si>
  <si>
    <t>crd06</t>
  </si>
  <si>
    <t>Gayle</t>
  </si>
  <si>
    <t>Red/yellow hyacinths</t>
  </si>
  <si>
    <t>PltHyacinthOrange3</t>
  </si>
  <si>
    <t>orange-lily plant</t>
  </si>
  <si>
    <t>5/17</t>
  </si>
  <si>
    <t>snacky</t>
  </si>
  <si>
    <t>crd07</t>
  </si>
  <si>
    <t>Drago</t>
  </si>
  <si>
    <t>Red/yellow lilies</t>
  </si>
  <si>
    <t>PltYuriOrange3</t>
  </si>
  <si>
    <t>orange-pansy plant</t>
  </si>
  <si>
    <t>2/12</t>
  </si>
  <si>
    <t>burrrn</t>
  </si>
  <si>
    <t>crd08</t>
  </si>
  <si>
    <t>Fauna</t>
  </si>
  <si>
    <t>Deer</t>
  </si>
  <si>
    <t>3/26</t>
  </si>
  <si>
    <t>Red/yellow pansies</t>
  </si>
  <si>
    <t>dearie</t>
  </si>
  <si>
    <t>der00</t>
  </si>
  <si>
    <t>PltPansyRedYellow3</t>
  </si>
  <si>
    <t>Bam</t>
  </si>
  <si>
    <t>orange-rose plant</t>
  </si>
  <si>
    <t>11/7</t>
  </si>
  <si>
    <t>kablang</t>
  </si>
  <si>
    <t>der01</t>
  </si>
  <si>
    <t>Zell</t>
  </si>
  <si>
    <t>Red/yellow roses</t>
  </si>
  <si>
    <t>PltRoseOrange3</t>
  </si>
  <si>
    <t>6/7</t>
  </si>
  <si>
    <t>pronk</t>
  </si>
  <si>
    <t>orange-tulip plant</t>
  </si>
  <si>
    <t>der02</t>
  </si>
  <si>
    <t>Bruce</t>
  </si>
  <si>
    <t>5/26</t>
  </si>
  <si>
    <t>gruff</t>
  </si>
  <si>
    <t>Red/yellow tulips</t>
  </si>
  <si>
    <t>der03</t>
  </si>
  <si>
    <t>Deirdre</t>
  </si>
  <si>
    <t>PltTulipOrange3</t>
  </si>
  <si>
    <t>orange-windflower bag</t>
  </si>
  <si>
    <t>5/4</t>
  </si>
  <si>
    <t>whatevs</t>
  </si>
  <si>
    <t>der04</t>
  </si>
  <si>
    <t>Lopez</t>
  </si>
  <si>
    <t>SeedAnemonesOrange</t>
  </si>
  <si>
    <t>orange-windflower plant</t>
  </si>
  <si>
    <t>8/20</t>
  </si>
  <si>
    <t>badoom</t>
  </si>
  <si>
    <t>der05</t>
  </si>
  <si>
    <t>Seed bag</t>
  </si>
  <si>
    <t>PltAnemonesOrange3</t>
  </si>
  <si>
    <t>9/19</t>
  </si>
  <si>
    <t>precious</t>
  </si>
  <si>
    <t>der06</t>
  </si>
  <si>
    <t>Peach tree</t>
  </si>
  <si>
    <t>Beau</t>
  </si>
  <si>
    <t>peach tree</t>
  </si>
  <si>
    <t>4/5</t>
  </si>
  <si>
    <t>saltlick</t>
  </si>
  <si>
    <t>Planting a peach</t>
  </si>
  <si>
    <t>der07</t>
  </si>
  <si>
    <t>Diana</t>
  </si>
  <si>
    <t>PltPeach4</t>
  </si>
  <si>
    <t>1/4</t>
  </si>
  <si>
    <t>no doy</t>
  </si>
  <si>
    <t>der08</t>
  </si>
  <si>
    <t>Erik</t>
  </si>
  <si>
    <t>Pear tree</t>
  </si>
  <si>
    <t>Pear</t>
  </si>
  <si>
    <t>7/27</t>
  </si>
  <si>
    <t>chow down</t>
  </si>
  <si>
    <t>pear tree</t>
  </si>
  <si>
    <t>der09</t>
  </si>
  <si>
    <t>Goldie</t>
  </si>
  <si>
    <t>Planting a pear</t>
  </si>
  <si>
    <t>12/27</t>
  </si>
  <si>
    <t>woof</t>
  </si>
  <si>
    <t>dog00</t>
  </si>
  <si>
    <t>PltPear4</t>
  </si>
  <si>
    <t>Butch</t>
  </si>
  <si>
    <t>11/1</t>
  </si>
  <si>
    <t>ROOOOOWF</t>
  </si>
  <si>
    <t>dog01</t>
  </si>
  <si>
    <t>Lucky</t>
  </si>
  <si>
    <t>Shaking a cedar tree (Fall)</t>
  </si>
  <si>
    <t>DIYPinecone</t>
  </si>
  <si>
    <t>11/4</t>
  </si>
  <si>
    <t>rrr-owch</t>
  </si>
  <si>
    <t>dog02</t>
  </si>
  <si>
    <t>Biskit</t>
  </si>
  <si>
    <t>5/13</t>
  </si>
  <si>
    <t>FlwCosmosPink</t>
  </si>
  <si>
    <t>dawg</t>
  </si>
  <si>
    <t>dog03</t>
  </si>
  <si>
    <t>Bones</t>
  </si>
  <si>
    <t>8/4</t>
  </si>
  <si>
    <t>yip yip</t>
  </si>
  <si>
    <t>dog04</t>
  </si>
  <si>
    <t>Portia</t>
  </si>
  <si>
    <t>FlwHyacinthPink</t>
  </si>
  <si>
    <t>10/25</t>
  </si>
  <si>
    <t>ruffian</t>
  </si>
  <si>
    <t>dog05</t>
  </si>
  <si>
    <t>Walker</t>
  </si>
  <si>
    <t>6/10</t>
  </si>
  <si>
    <t>wuh</t>
  </si>
  <si>
    <t>dog06</t>
  </si>
  <si>
    <t>FlwYuriPink</t>
  </si>
  <si>
    <t>Daisy</t>
  </si>
  <si>
    <t>11/16</t>
  </si>
  <si>
    <t>bow-WOW</t>
  </si>
  <si>
    <t>dog07</t>
  </si>
  <si>
    <t>Cookie</t>
  </si>
  <si>
    <t>FlwMumPink</t>
  </si>
  <si>
    <t>6/18</t>
  </si>
  <si>
    <t>arfer</t>
  </si>
  <si>
    <t>dog08</t>
  </si>
  <si>
    <t>Maddie</t>
  </si>
  <si>
    <t>1/11</t>
  </si>
  <si>
    <t>yippee</t>
  </si>
  <si>
    <t>FlwRosePink</t>
  </si>
  <si>
    <t>dog09</t>
  </si>
  <si>
    <t>Bea</t>
  </si>
  <si>
    <t>10/15</t>
  </si>
  <si>
    <t>bingo</t>
  </si>
  <si>
    <t>dog10</t>
  </si>
  <si>
    <t>Mac</t>
  </si>
  <si>
    <t>FlwTulipPink</t>
  </si>
  <si>
    <t>11/11</t>
  </si>
  <si>
    <t>woo woof</t>
  </si>
  <si>
    <t>dog14</t>
  </si>
  <si>
    <t>Marcel</t>
  </si>
  <si>
    <t>12/31</t>
  </si>
  <si>
    <t>FlwAnemonesPink</t>
  </si>
  <si>
    <t>non</t>
  </si>
  <si>
    <t>pink wrapping paper</t>
  </si>
  <si>
    <t>dog15</t>
  </si>
  <si>
    <t>Benjamin</t>
  </si>
  <si>
    <t>8/3</t>
  </si>
  <si>
    <t>alrighty</t>
  </si>
  <si>
    <t>dog16</t>
  </si>
  <si>
    <t>WPaperPink</t>
  </si>
  <si>
    <t>pink-cosmos plant</t>
  </si>
  <si>
    <t>5/11</t>
  </si>
  <si>
    <t>what what</t>
  </si>
  <si>
    <t>dog17</t>
  </si>
  <si>
    <t>Shep</t>
  </si>
  <si>
    <t>Red/white cosmos</t>
  </si>
  <si>
    <t>11/24</t>
  </si>
  <si>
    <t>PltCosmosPink3</t>
  </si>
  <si>
    <t>baa baa baa</t>
  </si>
  <si>
    <t>dog18</t>
  </si>
  <si>
    <t>pink-hyacinth plant</t>
  </si>
  <si>
    <t>Bill</t>
  </si>
  <si>
    <t>2/1</t>
  </si>
  <si>
    <t>quacko</t>
  </si>
  <si>
    <t>Red/white hyacinths</t>
  </si>
  <si>
    <t>duk00</t>
  </si>
  <si>
    <t>Joey</t>
  </si>
  <si>
    <t>PltHyacinthPink3</t>
  </si>
  <si>
    <t>pink-lily plant</t>
  </si>
  <si>
    <t>1/3</t>
  </si>
  <si>
    <t>bleeeeeck</t>
  </si>
  <si>
    <t>duk01</t>
  </si>
  <si>
    <t>Pate</t>
  </si>
  <si>
    <t>Red/white lilies</t>
  </si>
  <si>
    <t>PltYuriPink3</t>
  </si>
  <si>
    <t>2/23</t>
  </si>
  <si>
    <t>pink-mum plant</t>
  </si>
  <si>
    <t>quackle</t>
  </si>
  <si>
    <t>duk02</t>
  </si>
  <si>
    <t>Maelle</t>
  </si>
  <si>
    <t>Red/white mums</t>
  </si>
  <si>
    <t>4/8</t>
  </si>
  <si>
    <t>duckling</t>
  </si>
  <si>
    <t>PltMumPink3</t>
  </si>
  <si>
    <t>duk03</t>
  </si>
  <si>
    <t>Deena</t>
  </si>
  <si>
    <t>pink-rose plant</t>
  </si>
  <si>
    <t>6/27</t>
  </si>
  <si>
    <t>woowoo</t>
  </si>
  <si>
    <t>Red/white roses</t>
  </si>
  <si>
    <t>duk04</t>
  </si>
  <si>
    <t>Pompom</t>
  </si>
  <si>
    <t>PltRosePink3</t>
  </si>
  <si>
    <t>pink-tulip plant</t>
  </si>
  <si>
    <t>2/11</t>
  </si>
  <si>
    <t>rah rah</t>
  </si>
  <si>
    <t>duk05</t>
  </si>
  <si>
    <t>Red/white tulips</t>
  </si>
  <si>
    <t>Mallary</t>
  </si>
  <si>
    <t>PltTulipPink3</t>
  </si>
  <si>
    <t>pink-windflower plant</t>
  </si>
  <si>
    <t>11/17</t>
  </si>
  <si>
    <t>quackpth</t>
  </si>
  <si>
    <t>duk06</t>
  </si>
  <si>
    <t>Freckles</t>
  </si>
  <si>
    <t>Red/orange windflowers</t>
  </si>
  <si>
    <t>2/19</t>
  </si>
  <si>
    <t>ducky</t>
  </si>
  <si>
    <t>PltAnemonesPink3</t>
  </si>
  <si>
    <t>duk07</t>
  </si>
  <si>
    <t>Derwin</t>
  </si>
  <si>
    <t>5/25</t>
  </si>
  <si>
    <t>derrrr</t>
  </si>
  <si>
    <t>duk08</t>
  </si>
  <si>
    <t>Wishing on shooting stars (February 19 - March 20)</t>
  </si>
  <si>
    <t>Drake</t>
  </si>
  <si>
    <t>StarpiecePisces</t>
  </si>
  <si>
    <t>6/25</t>
  </si>
  <si>
    <t>duk09</t>
  </si>
  <si>
    <t>PitfallSeed</t>
  </si>
  <si>
    <t>Scoot</t>
  </si>
  <si>
    <t>plot 1 housing kit</t>
  </si>
  <si>
    <t>6/13</t>
  </si>
  <si>
    <t>zip zoom</t>
  </si>
  <si>
    <t>HousingKitRcoQuestA</t>
  </si>
  <si>
    <t>duk10</t>
  </si>
  <si>
    <t>plot 2 housing kit</t>
  </si>
  <si>
    <t>Weber</t>
  </si>
  <si>
    <t>6/30</t>
  </si>
  <si>
    <t>quaa</t>
  </si>
  <si>
    <t>HousingKitRcoQuestB</t>
  </si>
  <si>
    <t>duk11</t>
  </si>
  <si>
    <t>plot 3 housing kit</t>
  </si>
  <si>
    <t>Miranda</t>
  </si>
  <si>
    <t>4/23</t>
  </si>
  <si>
    <t>HousingKitRcoQuestC</t>
  </si>
  <si>
    <t>quackulous</t>
  </si>
  <si>
    <t>present</t>
  </si>
  <si>
    <t>duk12</t>
  </si>
  <si>
    <t>Ketchup</t>
  </si>
  <si>
    <t>Mail</t>
  </si>
  <si>
    <t>DummyPresentbox</t>
  </si>
  <si>
    <t>bitty</t>
  </si>
  <si>
    <t>present (black)</t>
  </si>
  <si>
    <t>duk13</t>
  </si>
  <si>
    <t>Gloria</t>
  </si>
  <si>
    <t>Wrapping a present</t>
  </si>
  <si>
    <t>DummyWrappingBlack</t>
  </si>
  <si>
    <t>8/12</t>
  </si>
  <si>
    <t>quacker</t>
  </si>
  <si>
    <t>present (blue)</t>
  </si>
  <si>
    <t>duk15</t>
  </si>
  <si>
    <t>Molly</t>
  </si>
  <si>
    <t>DummyWrappingBlue</t>
  </si>
  <si>
    <t>present (brown)</t>
  </si>
  <si>
    <t>3/7</t>
  </si>
  <si>
    <t>quackidee</t>
  </si>
  <si>
    <t>duk16</t>
  </si>
  <si>
    <t>Quillson</t>
  </si>
  <si>
    <t>DummyWrappingBrown</t>
  </si>
  <si>
    <t>12/22</t>
  </si>
  <si>
    <t>ridukulous</t>
  </si>
  <si>
    <t>present (chartreuse)</t>
  </si>
  <si>
    <t>duk17</t>
  </si>
  <si>
    <t>Opal</t>
  </si>
  <si>
    <t>Elephant</t>
  </si>
  <si>
    <t>1/20</t>
  </si>
  <si>
    <t>snoot</t>
  </si>
  <si>
    <t>elp00</t>
  </si>
  <si>
    <t>Dizzy</t>
  </si>
  <si>
    <t>DummyWrappingLightGreen</t>
  </si>
  <si>
    <t>7/14</t>
  </si>
  <si>
    <t>woo-oo</t>
  </si>
  <si>
    <t>present (gold)</t>
  </si>
  <si>
    <t>elp01</t>
  </si>
  <si>
    <t>Big Top</t>
  </si>
  <si>
    <t>DummyWrappingGold</t>
  </si>
  <si>
    <t>10/3</t>
  </si>
  <si>
    <t>present (gray)</t>
  </si>
  <si>
    <t>villain</t>
  </si>
  <si>
    <t>elp02</t>
  </si>
  <si>
    <t>Eloise</t>
  </si>
  <si>
    <t>DummyWrappingGary</t>
  </si>
  <si>
    <t>present (green)</t>
  </si>
  <si>
    <t>12/8</t>
  </si>
  <si>
    <t>tooooot</t>
  </si>
  <si>
    <t>DummyWrappingGreen</t>
  </si>
  <si>
    <t>elp03</t>
  </si>
  <si>
    <t>Margie</t>
  </si>
  <si>
    <t>present (light-blue)</t>
  </si>
  <si>
    <t>1/28</t>
  </si>
  <si>
    <t>tootie</t>
  </si>
  <si>
    <t>elp04</t>
  </si>
  <si>
    <t>Paolo</t>
  </si>
  <si>
    <t>DummyWrappingLightBlue</t>
  </si>
  <si>
    <t>5/5</t>
  </si>
  <si>
    <t>present (mint)</t>
  </si>
  <si>
    <t>pal</t>
  </si>
  <si>
    <t>elp05</t>
  </si>
  <si>
    <t>Axel</t>
  </si>
  <si>
    <t>3/23</t>
  </si>
  <si>
    <t>WHONK</t>
  </si>
  <si>
    <t>DummyWrappingMint</t>
  </si>
  <si>
    <t>elp06</t>
  </si>
  <si>
    <t>Ellie</t>
  </si>
  <si>
    <t>present (navy)</t>
  </si>
  <si>
    <t>5/12</t>
  </si>
  <si>
    <t>li'l one</t>
  </si>
  <si>
    <t>elp07</t>
  </si>
  <si>
    <t>Tucker</t>
  </si>
  <si>
    <t>DummyWrappingNavy</t>
  </si>
  <si>
    <t>present (orange)</t>
  </si>
  <si>
    <t>9/7</t>
  </si>
  <si>
    <t>fuzzers</t>
  </si>
  <si>
    <t>elp09</t>
  </si>
  <si>
    <t>Tia</t>
  </si>
  <si>
    <t>11/18</t>
  </si>
  <si>
    <t>teacup</t>
  </si>
  <si>
    <t>DummyWrappingOrange</t>
  </si>
  <si>
    <t>elp10</t>
  </si>
  <si>
    <t>present (pink)</t>
  </si>
  <si>
    <t>Cyd</t>
  </si>
  <si>
    <t>rockin'</t>
  </si>
  <si>
    <t>elp12</t>
  </si>
  <si>
    <t>Lily</t>
  </si>
  <si>
    <t>DummyWrappingPink</t>
  </si>
  <si>
    <t>present (purple)</t>
  </si>
  <si>
    <t>2/4</t>
  </si>
  <si>
    <t>toady</t>
  </si>
  <si>
    <t>flg00</t>
  </si>
  <si>
    <t>Ribbot</t>
  </si>
  <si>
    <t>DummyWrappingPurple</t>
  </si>
  <si>
    <t>present (red)</t>
  </si>
  <si>
    <t>2/13</t>
  </si>
  <si>
    <t>zzrrbbitt</t>
  </si>
  <si>
    <t>flg01</t>
  </si>
  <si>
    <t>Frobert</t>
  </si>
  <si>
    <t>DummyWrappingRed</t>
  </si>
  <si>
    <t>present (white)</t>
  </si>
  <si>
    <t>2/8</t>
  </si>
  <si>
    <t>fribbit</t>
  </si>
  <si>
    <t>DummyWrappingWhite</t>
  </si>
  <si>
    <t>flg02</t>
  </si>
  <si>
    <t>present (yellow)</t>
  </si>
  <si>
    <t>Camofrog</t>
  </si>
  <si>
    <t>DummyWrappingYellow</t>
  </si>
  <si>
    <t>6/5</t>
  </si>
  <si>
    <t>ten-hut</t>
  </si>
  <si>
    <t>flg03</t>
  </si>
  <si>
    <t>Drift</t>
  </si>
  <si>
    <t>FlwHyacinthPurple</t>
  </si>
  <si>
    <t>10/9</t>
  </si>
  <si>
    <t>dribbit</t>
  </si>
  <si>
    <t>flg04</t>
  </si>
  <si>
    <t>Wart Jr.</t>
  </si>
  <si>
    <t>FlwMumPurple</t>
  </si>
  <si>
    <t>FlwPansyPurple</t>
  </si>
  <si>
    <t>8/21</t>
  </si>
  <si>
    <t>grr-ribbit</t>
  </si>
  <si>
    <t>flg05</t>
  </si>
  <si>
    <t>Puddles</t>
  </si>
  <si>
    <t>FlwRosePurple</t>
  </si>
  <si>
    <t>1/13</t>
  </si>
  <si>
    <t>splish</t>
  </si>
  <si>
    <t>flg06</t>
  </si>
  <si>
    <t>Jeremiah</t>
  </si>
  <si>
    <t>FlwTulipPurple</t>
  </si>
  <si>
    <t>7/8</t>
  </si>
  <si>
    <t>nee-deep</t>
  </si>
  <si>
    <t>flg07</t>
  </si>
  <si>
    <t>FlwAnemonesPurple</t>
  </si>
  <si>
    <t>Tad</t>
  </si>
  <si>
    <t>purple wrapping paper</t>
  </si>
  <si>
    <t>sluuuurp</t>
  </si>
  <si>
    <t>WPaperPurple</t>
  </si>
  <si>
    <t>purple-hyacinth plant</t>
  </si>
  <si>
    <t>flg09</t>
  </si>
  <si>
    <t>Cousteau</t>
  </si>
  <si>
    <t>Blue/blue hyacinths</t>
  </si>
  <si>
    <t>PltHyacinthPurple3</t>
  </si>
  <si>
    <t>purple-mum plant</t>
  </si>
  <si>
    <t>12/17</t>
  </si>
  <si>
    <t>White/white mums</t>
  </si>
  <si>
    <t>oui oui</t>
  </si>
  <si>
    <t>PltMumPurple3</t>
  </si>
  <si>
    <t>flg10</t>
  </si>
  <si>
    <t>Huck</t>
  </si>
  <si>
    <t>purple-pansy plant</t>
  </si>
  <si>
    <t>Blue/blue pansies</t>
  </si>
  <si>
    <t>7/9</t>
  </si>
  <si>
    <t>hopper</t>
  </si>
  <si>
    <t>PltPansyPurple3</t>
  </si>
  <si>
    <t>purple-rose plant</t>
  </si>
  <si>
    <t>flg11</t>
  </si>
  <si>
    <t>Prince</t>
  </si>
  <si>
    <t>White/white roses</t>
  </si>
  <si>
    <t>7/21</t>
  </si>
  <si>
    <t>PltRosePurple3</t>
  </si>
  <si>
    <t>burrup</t>
  </si>
  <si>
    <t>purple-tulip plant</t>
  </si>
  <si>
    <t>flg12</t>
  </si>
  <si>
    <t>Jambette</t>
  </si>
  <si>
    <t>Orange/orange tulips</t>
  </si>
  <si>
    <t>PltTulipPurple3</t>
  </si>
  <si>
    <t>10/27</t>
  </si>
  <si>
    <t>croak-kay</t>
  </si>
  <si>
    <t>purple-windflower plant</t>
  </si>
  <si>
    <t>flg13</t>
  </si>
  <si>
    <t>Raddle</t>
  </si>
  <si>
    <t>Blue/blue windflowers
Blue/pink windflowers</t>
  </si>
  <si>
    <t>PltAnemonesPurple3</t>
  </si>
  <si>
    <t>6/6</t>
  </si>
  <si>
    <t>aaach—</t>
  </si>
  <si>
    <t>flg15</t>
  </si>
  <si>
    <t>Gigi</t>
  </si>
  <si>
    <t>MushRare</t>
  </si>
  <si>
    <t>8/11</t>
  </si>
  <si>
    <t>ribbette</t>
  </si>
  <si>
    <t>flg16</t>
  </si>
  <si>
    <t>Croque</t>
  </si>
  <si>
    <t>FlwCosmosRed</t>
  </si>
  <si>
    <t>7/18</t>
  </si>
  <si>
    <t>as if</t>
  </si>
  <si>
    <t>flg17</t>
  </si>
  <si>
    <t>Diva</t>
  </si>
  <si>
    <t>FlwHyacinthRed</t>
  </si>
  <si>
    <t>10/2</t>
  </si>
  <si>
    <t>ya know</t>
  </si>
  <si>
    <t>flg18</t>
  </si>
  <si>
    <t>FlwYuriRed</t>
  </si>
  <si>
    <t>Henry</t>
  </si>
  <si>
    <t>9/21</t>
  </si>
  <si>
    <t>snoozit</t>
  </si>
  <si>
    <t>FlwMumRed</t>
  </si>
  <si>
    <t>flg19</t>
  </si>
  <si>
    <t>Chevre</t>
  </si>
  <si>
    <t>Goat</t>
  </si>
  <si>
    <t>DIYOrnamentRed</t>
  </si>
  <si>
    <t>3/6</t>
  </si>
  <si>
    <t>la baa</t>
  </si>
  <si>
    <t>goa00</t>
  </si>
  <si>
    <t>Nan</t>
  </si>
  <si>
    <t>FlwPansyRed</t>
  </si>
  <si>
    <t>kid</t>
  </si>
  <si>
    <t>goa01</t>
  </si>
  <si>
    <t>Billy</t>
  </si>
  <si>
    <t>3/25</t>
  </si>
  <si>
    <t>dagnaabit</t>
  </si>
  <si>
    <t>FlwRoseRed</t>
  </si>
  <si>
    <t>goa02</t>
  </si>
  <si>
    <t>Gruff</t>
  </si>
  <si>
    <t>8/29</t>
  </si>
  <si>
    <t>bleh eh eh</t>
  </si>
  <si>
    <t>goa04</t>
  </si>
  <si>
    <t>Velma</t>
  </si>
  <si>
    <t>FlwTulipRed</t>
  </si>
  <si>
    <t>1/14</t>
  </si>
  <si>
    <t>blih</t>
  </si>
  <si>
    <t>goa06</t>
  </si>
  <si>
    <t>Kidd</t>
  </si>
  <si>
    <t>FlwAnemonesRed</t>
  </si>
  <si>
    <t>6/28</t>
  </si>
  <si>
    <t>wut</t>
  </si>
  <si>
    <t>red wrapping paper</t>
  </si>
  <si>
    <t>goa07</t>
  </si>
  <si>
    <t>Pashmina</t>
  </si>
  <si>
    <t>12/26</t>
  </si>
  <si>
    <t>kidders</t>
  </si>
  <si>
    <t>goa08</t>
  </si>
  <si>
    <t>Sherb</t>
  </si>
  <si>
    <t>WPaperRed</t>
  </si>
  <si>
    <t>red-cosmos bag</t>
  </si>
  <si>
    <t>1/18</t>
  </si>
  <si>
    <t>bawwww</t>
  </si>
  <si>
    <t>goa09</t>
  </si>
  <si>
    <t>Cesar</t>
  </si>
  <si>
    <t>SeedCosmosRed</t>
  </si>
  <si>
    <t>Gorilla</t>
  </si>
  <si>
    <t>red-cosmos plant</t>
  </si>
  <si>
    <t>9/6</t>
  </si>
  <si>
    <t>highness</t>
  </si>
  <si>
    <t>gor00</t>
  </si>
  <si>
    <t>Peewee</t>
  </si>
  <si>
    <t>9/11</t>
  </si>
  <si>
    <t>PltCosmosRed3</t>
  </si>
  <si>
    <t>li'l bitty baby</t>
  </si>
  <si>
    <t>red-hyacinth bag</t>
  </si>
  <si>
    <t>gor01</t>
  </si>
  <si>
    <t>Boone</t>
  </si>
  <si>
    <t>SeedHyacinthRed</t>
  </si>
  <si>
    <t>red-hyacinth plant</t>
  </si>
  <si>
    <t>9/12</t>
  </si>
  <si>
    <t>baboom</t>
  </si>
  <si>
    <t>gor02</t>
  </si>
  <si>
    <t>Louie</t>
  </si>
  <si>
    <t>hoo hoo ha</t>
  </si>
  <si>
    <t>PltHyacinthRed3</t>
  </si>
  <si>
    <t>gor04</t>
  </si>
  <si>
    <t>red-lily bag</t>
  </si>
  <si>
    <t>Boyd</t>
  </si>
  <si>
    <t>uh-oh</t>
  </si>
  <si>
    <t>gor05</t>
  </si>
  <si>
    <t>Violet</t>
  </si>
  <si>
    <t>SeedYuriRed</t>
  </si>
  <si>
    <t>red-lily plant</t>
  </si>
  <si>
    <t>9/1</t>
  </si>
  <si>
    <t>sweetie</t>
  </si>
  <si>
    <t>gor07</t>
  </si>
  <si>
    <t>Al</t>
  </si>
  <si>
    <t>10/18</t>
  </si>
  <si>
    <t>PltYuriRed3</t>
  </si>
  <si>
    <t>ayyyeee</t>
  </si>
  <si>
    <t>red-mum bag</t>
  </si>
  <si>
    <t>gor08</t>
  </si>
  <si>
    <t>Rocket</t>
  </si>
  <si>
    <t>4/14</t>
  </si>
  <si>
    <t>vroom</t>
  </si>
  <si>
    <t>gor09</t>
  </si>
  <si>
    <t>Hans</t>
  </si>
  <si>
    <t>SeedMumRed</t>
  </si>
  <si>
    <t>red-mum plant</t>
  </si>
  <si>
    <t>12/5</t>
  </si>
  <si>
    <t>groovy</t>
  </si>
  <si>
    <t>gor10</t>
  </si>
  <si>
    <t>Hamlet</t>
  </si>
  <si>
    <t>Hamster</t>
  </si>
  <si>
    <t>PltMumRed3</t>
  </si>
  <si>
    <t>5/30</t>
  </si>
  <si>
    <t>hammie</t>
  </si>
  <si>
    <t>red-pansy bag</t>
  </si>
  <si>
    <t>ham00</t>
  </si>
  <si>
    <t>9/24</t>
  </si>
  <si>
    <t>cheekers</t>
  </si>
  <si>
    <t>ham01</t>
  </si>
  <si>
    <t>Graham</t>
  </si>
  <si>
    <t>SeedPansyRed</t>
  </si>
  <si>
    <t>red-pansy plant</t>
  </si>
  <si>
    <t>6/20</t>
  </si>
  <si>
    <t>indeed</t>
  </si>
  <si>
    <t>ham02</t>
  </si>
  <si>
    <t>Rodney</t>
  </si>
  <si>
    <t>11/10</t>
  </si>
  <si>
    <t>le ham</t>
  </si>
  <si>
    <t>ham03</t>
  </si>
  <si>
    <t>PltPansyRed3</t>
  </si>
  <si>
    <t>Soleil</t>
  </si>
  <si>
    <t>red-rose bag</t>
  </si>
  <si>
    <t>8/9</t>
  </si>
  <si>
    <t>tarnation</t>
  </si>
  <si>
    <t>ham04</t>
  </si>
  <si>
    <t>Clay</t>
  </si>
  <si>
    <t>SeedRoseRed</t>
  </si>
  <si>
    <t>10/19</t>
  </si>
  <si>
    <t>thump</t>
  </si>
  <si>
    <t>red-rose plant</t>
  </si>
  <si>
    <t>ham05</t>
  </si>
  <si>
    <t>Flurry</t>
  </si>
  <si>
    <t>1/30</t>
  </si>
  <si>
    <t>powderpuff</t>
  </si>
  <si>
    <t>ham06</t>
  </si>
  <si>
    <t>Hamphrey</t>
  </si>
  <si>
    <t>PltRoseRed3</t>
  </si>
  <si>
    <t>red-tulip bag</t>
  </si>
  <si>
    <t>2/25</t>
  </si>
  <si>
    <t>snort</t>
  </si>
  <si>
    <t>ham07</t>
  </si>
  <si>
    <t>Rocco</t>
  </si>
  <si>
    <t>SeedTulipRed</t>
  </si>
  <si>
    <t>red-tulip plant</t>
  </si>
  <si>
    <t>8/18</t>
  </si>
  <si>
    <t>hippie</t>
  </si>
  <si>
    <t>hip00</t>
  </si>
  <si>
    <t>Bubbles</t>
  </si>
  <si>
    <t>PltTulipRed3</t>
  </si>
  <si>
    <t>red-windflower bag</t>
  </si>
  <si>
    <t>Hippo</t>
  </si>
  <si>
    <t>9/18</t>
  </si>
  <si>
    <t>hipster</t>
  </si>
  <si>
    <t>hip02</t>
  </si>
  <si>
    <t>Bertha</t>
  </si>
  <si>
    <t>SeedAnemonesRed</t>
  </si>
  <si>
    <t>red-windflower plant</t>
  </si>
  <si>
    <t>4/25</t>
  </si>
  <si>
    <t>bloop</t>
  </si>
  <si>
    <t>hip03</t>
  </si>
  <si>
    <t>Biff</t>
  </si>
  <si>
    <t>PltAnemonesRed3</t>
  </si>
  <si>
    <t>3/29</t>
  </si>
  <si>
    <t>squirt</t>
  </si>
  <si>
    <t>hip04</t>
  </si>
  <si>
    <t>Bitty</t>
  </si>
  <si>
    <t>10/6</t>
  </si>
  <si>
    <t>my dear</t>
  </si>
  <si>
    <t>MushRound</t>
  </si>
  <si>
    <t>hip05</t>
  </si>
  <si>
    <t>Harry</t>
  </si>
  <si>
    <t>Recycle Box</t>
  </si>
  <si>
    <t>1/7</t>
  </si>
  <si>
    <t>beach bum</t>
  </si>
  <si>
    <t>hip08</t>
  </si>
  <si>
    <t>JohnnyQuestDust1</t>
  </si>
  <si>
    <t>Hippeux</t>
  </si>
  <si>
    <t>natch</t>
  </si>
  <si>
    <t>hip09</t>
  </si>
  <si>
    <t>Wishing on shooting stars (November 22 - December 21)</t>
  </si>
  <si>
    <t>Buck</t>
  </si>
  <si>
    <t>StarpieceSagittarius</t>
  </si>
  <si>
    <t>Horse</t>
  </si>
  <si>
    <t>Saharah Ticket</t>
  </si>
  <si>
    <t>4/4</t>
  </si>
  <si>
    <t>pardner</t>
  </si>
  <si>
    <t>hrs00</t>
  </si>
  <si>
    <t>Victoria</t>
  </si>
  <si>
    <t>7/11</t>
  </si>
  <si>
    <t>sugar cube</t>
  </si>
  <si>
    <t>hrs01</t>
  </si>
  <si>
    <t>Savannah</t>
  </si>
  <si>
    <t>RollanTicket</t>
  </si>
  <si>
    <t>1/25</t>
  </si>
  <si>
    <t>y'all</t>
  </si>
  <si>
    <t>hrs02</t>
  </si>
  <si>
    <t>Elmer</t>
  </si>
  <si>
    <t>ShellDriftSanddollar</t>
  </si>
  <si>
    <t>10/5</t>
  </si>
  <si>
    <t>tenderfoot</t>
  </si>
  <si>
    <t>sapling</t>
  </si>
  <si>
    <t>hrs03</t>
  </si>
  <si>
    <t>Roscoe</t>
  </si>
  <si>
    <t>6/16</t>
  </si>
  <si>
    <t>nay</t>
  </si>
  <si>
    <t>hrs04</t>
  </si>
  <si>
    <t>Winnie</t>
  </si>
  <si>
    <t>SeedOak</t>
  </si>
  <si>
    <t>1/31</t>
  </si>
  <si>
    <t>hay-OK</t>
  </si>
  <si>
    <t>hrs05</t>
  </si>
  <si>
    <t>Ed</t>
  </si>
  <si>
    <t>Wishing on shooting stars (October 23 - November 21)</t>
  </si>
  <si>
    <t>StarpieceScorpio</t>
  </si>
  <si>
    <t>9/16</t>
  </si>
  <si>
    <t>greenhorn</t>
  </si>
  <si>
    <t>hrs06</t>
  </si>
  <si>
    <t>Cleo</t>
  </si>
  <si>
    <t>2/9</t>
  </si>
  <si>
    <t>sugar</t>
  </si>
  <si>
    <t>hrs07</t>
  </si>
  <si>
    <t>ShellDriftEbisu</t>
  </si>
  <si>
    <t>shop construction kit</t>
  </si>
  <si>
    <t>11/28</t>
  </si>
  <si>
    <t>neighbor</t>
  </si>
  <si>
    <t>hrs08</t>
  </si>
  <si>
    <t>Annalise</t>
  </si>
  <si>
    <t>12/2</t>
  </si>
  <si>
    <t>nipper</t>
  </si>
  <si>
    <t>ShopTent</t>
  </si>
  <si>
    <t>hrs09</t>
  </si>
  <si>
    <t>shop moving kit</t>
  </si>
  <si>
    <t>Clyde</t>
  </si>
  <si>
    <t>5/1</t>
  </si>
  <si>
    <t>clip clawp</t>
  </si>
  <si>
    <t>hrs10</t>
  </si>
  <si>
    <t>Colton</t>
  </si>
  <si>
    <t>MovingKitShop</t>
  </si>
  <si>
    <t>5/22</t>
  </si>
  <si>
    <t>check it</t>
  </si>
  <si>
    <t>hrs11</t>
  </si>
  <si>
    <t>Papi</t>
  </si>
  <si>
    <t>1/10</t>
  </si>
  <si>
    <t>MushSlender</t>
  </si>
  <si>
    <t>haaay</t>
  </si>
  <si>
    <t>hrs12</t>
  </si>
  <si>
    <t>Julian</t>
  </si>
  <si>
    <t>Colorful balloon (Bunny Day)</t>
  </si>
  <si>
    <t>3/15</t>
  </si>
  <si>
    <t>glitter</t>
  </si>
  <si>
    <t>hrs13</t>
  </si>
  <si>
    <t>EggSky</t>
  </si>
  <si>
    <t>Reneigh</t>
  </si>
  <si>
    <t>6/4</t>
  </si>
  <si>
    <t>ayup yup</t>
  </si>
  <si>
    <t>hrs16</t>
  </si>
  <si>
    <t>Slingshot Recipe</t>
  </si>
  <si>
    <t>Yuka</t>
  </si>
  <si>
    <t>Koala</t>
  </si>
  <si>
    <t>7/20</t>
  </si>
  <si>
    <t>DIYRecipeSlingShot</t>
  </si>
  <si>
    <t>tsk tsk</t>
  </si>
  <si>
    <t>kal00</t>
  </si>
  <si>
    <t>Alice</t>
  </si>
  <si>
    <t>8/19</t>
  </si>
  <si>
    <t>guvnor</t>
  </si>
  <si>
    <t>Catching with a net (Winter)</t>
  </si>
  <si>
    <t>kal01</t>
  </si>
  <si>
    <t>Melba</t>
  </si>
  <si>
    <t>SnowCrystal</t>
  </si>
  <si>
    <t>4/12</t>
  </si>
  <si>
    <t>toasty</t>
  </si>
  <si>
    <t>kal02</t>
  </si>
  <si>
    <t>Sydney</t>
  </si>
  <si>
    <t>6/21</t>
  </si>
  <si>
    <t>sunshine</t>
  </si>
  <si>
    <t>DIYWoodSoft</t>
  </si>
  <si>
    <t>spoiled turnips</t>
  </si>
  <si>
    <t>kal03</t>
  </si>
  <si>
    <t>Gonzo</t>
  </si>
  <si>
    <t>Expired turnips</t>
  </si>
  <si>
    <t>Kabu_Spoil</t>
  </si>
  <si>
    <t>10/13</t>
  </si>
  <si>
    <t>mate</t>
  </si>
  <si>
    <t>kal04</t>
  </si>
  <si>
    <t>Ozzie</t>
  </si>
  <si>
    <t>Starpiece</t>
  </si>
  <si>
    <t>5/7</t>
  </si>
  <si>
    <t>ol' bear</t>
  </si>
  <si>
    <t>Hitting a rock, Fishing</t>
  </si>
  <si>
    <t>kal05</t>
  </si>
  <si>
    <t>X-Small shadow when fishing</t>
  </si>
  <si>
    <t>Canberra</t>
  </si>
  <si>
    <t>DIYStone</t>
  </si>
  <si>
    <t>5/14</t>
  </si>
  <si>
    <t>nuh uh</t>
  </si>
  <si>
    <t>kal08</t>
  </si>
  <si>
    <t>Lyman</t>
  </si>
  <si>
    <t>chips</t>
  </si>
  <si>
    <t>kal09</t>
  </si>
  <si>
    <t>Eugene</t>
  </si>
  <si>
    <t>Hitting a rock (Bunny Day)</t>
  </si>
  <si>
    <t>EggRock</t>
  </si>
  <si>
    <t>10/26</t>
  </si>
  <si>
    <t>yeah buddy</t>
  </si>
  <si>
    <t>kal10</t>
  </si>
  <si>
    <t>Kitt</t>
  </si>
  <si>
    <t>Kangaroo</t>
  </si>
  <si>
    <t>10/11</t>
  </si>
  <si>
    <t>Beach (Summer)</t>
  </si>
  <si>
    <t>child</t>
  </si>
  <si>
    <t>kgr00</t>
  </si>
  <si>
    <t>Mathilda</t>
  </si>
  <si>
    <t>ShellDriftSummer</t>
  </si>
  <si>
    <t>11/12</t>
  </si>
  <si>
    <t>wee baby</t>
  </si>
  <si>
    <t>tailors construction kit</t>
  </si>
  <si>
    <t>kgr01</t>
  </si>
  <si>
    <t>Carrie</t>
  </si>
  <si>
    <t>HousingKitTailor</t>
  </si>
  <si>
    <t>little one</t>
  </si>
  <si>
    <t>tailors moving kit</t>
  </si>
  <si>
    <t>kgr02</t>
  </si>
  <si>
    <t>Astrid</t>
  </si>
  <si>
    <t>9/8</t>
  </si>
  <si>
    <t>MovingKitTailor</t>
  </si>
  <si>
    <t>my pet</t>
  </si>
  <si>
    <t>tailors ticket</t>
  </si>
  <si>
    <t>kgr05</t>
  </si>
  <si>
    <t>Sylvia</t>
  </si>
  <si>
    <t>Label</t>
  </si>
  <si>
    <t>5/3</t>
  </si>
  <si>
    <t>boing</t>
  </si>
  <si>
    <t>TailorTicket</t>
  </si>
  <si>
    <t>kgr06</t>
  </si>
  <si>
    <t>Walt</t>
  </si>
  <si>
    <t>Wishing on shooting stars (April 20 - May 20)</t>
  </si>
  <si>
    <t>4/24</t>
  </si>
  <si>
    <t>pockets</t>
  </si>
  <si>
    <t>StarpieceTaurus</t>
  </si>
  <si>
    <t>kgr08</t>
  </si>
  <si>
    <t>Rooney</t>
  </si>
  <si>
    <t>tent</t>
  </si>
  <si>
    <t>12/1</t>
  </si>
  <si>
    <t>punches</t>
  </si>
  <si>
    <t>kgr09</t>
  </si>
  <si>
    <t>Marcie</t>
  </si>
  <si>
    <t>TutorialTent</t>
  </si>
  <si>
    <t>Test Your DIY Skills</t>
  </si>
  <si>
    <t>5/31</t>
  </si>
  <si>
    <t>pouches</t>
  </si>
  <si>
    <t>kgr10</t>
  </si>
  <si>
    <t>Bud</t>
  </si>
  <si>
    <t>Lion</t>
  </si>
  <si>
    <t>8/8</t>
  </si>
  <si>
    <t>DIYbook2</t>
  </si>
  <si>
    <t>shredded</t>
  </si>
  <si>
    <t>treasure</t>
  </si>
  <si>
    <t>lon00</t>
  </si>
  <si>
    <t>Elvis</t>
  </si>
  <si>
    <t>7/23</t>
  </si>
  <si>
    <t>unh-hunh</t>
  </si>
  <si>
    <t>Digging up treasure for a villager's quest</t>
  </si>
  <si>
    <t>lon01</t>
  </si>
  <si>
    <t>Rex</t>
  </si>
  <si>
    <t>TreasureCapsule</t>
  </si>
  <si>
    <t>7/24</t>
  </si>
  <si>
    <t>cool cat</t>
  </si>
  <si>
    <t>lon02</t>
  </si>
  <si>
    <t>Leopold</t>
  </si>
  <si>
    <t>Shaking a hardwood or cedar tree</t>
  </si>
  <si>
    <t>8/14</t>
  </si>
  <si>
    <t>DIYBranch</t>
  </si>
  <si>
    <t>lion cub</t>
  </si>
  <si>
    <t>turnips</t>
  </si>
  <si>
    <t>lon04</t>
  </si>
  <si>
    <t>Mott</t>
  </si>
  <si>
    <t>7/10</t>
  </si>
  <si>
    <t>cagey</t>
  </si>
  <si>
    <t>Daisy Mae (Sundays)</t>
  </si>
  <si>
    <t>lon06</t>
  </si>
  <si>
    <t>Rory</t>
  </si>
  <si>
    <t>PhotoStudioKabu</t>
  </si>
  <si>
    <t>Vaulting Pole Recipe</t>
  </si>
  <si>
    <t>capital</t>
  </si>
  <si>
    <t>lon07</t>
  </si>
  <si>
    <t>Lionel</t>
  </si>
  <si>
    <t>7/29</t>
  </si>
  <si>
    <t>precisely</t>
  </si>
  <si>
    <t>lon08</t>
  </si>
  <si>
    <t>DIYRecipeLongWoodenStick</t>
  </si>
  <si>
    <t>Nana</t>
  </si>
  <si>
    <t>Monkey</t>
  </si>
  <si>
    <t>8/23</t>
  </si>
  <si>
    <t>po po</t>
  </si>
  <si>
    <t>mnk01</t>
  </si>
  <si>
    <t>Simon</t>
  </si>
  <si>
    <t>ShellDriftHone</t>
  </si>
  <si>
    <t>1/19</t>
  </si>
  <si>
    <t>zzzook</t>
  </si>
  <si>
    <t>mnk02</t>
  </si>
  <si>
    <t>Tammi</t>
  </si>
  <si>
    <t>4/2</t>
  </si>
  <si>
    <t>chimpy</t>
  </si>
  <si>
    <t>mnk03</t>
  </si>
  <si>
    <t>Wishing on shooting stars (August 23 - September 22)</t>
  </si>
  <si>
    <t>Monty</t>
  </si>
  <si>
    <t>12/7</t>
  </si>
  <si>
    <t>g'tang</t>
  </si>
  <si>
    <t>StarpieceVirgo</t>
  </si>
  <si>
    <t>mnk04</t>
  </si>
  <si>
    <t>Elise</t>
  </si>
  <si>
    <t>3/21</t>
  </si>
  <si>
    <t>puh-lease</t>
  </si>
  <si>
    <t>mnk05</t>
  </si>
  <si>
    <t>Flip</t>
  </si>
  <si>
    <t>11/21</t>
  </si>
  <si>
    <t>rerack</t>
  </si>
  <si>
    <t>Fishing (Bunny Day)</t>
  </si>
  <si>
    <t>mnk06</t>
  </si>
  <si>
    <t>Shari</t>
  </si>
  <si>
    <t>EggFish</t>
  </si>
  <si>
    <t>4/10</t>
  </si>
  <si>
    <t>What was this again?</t>
  </si>
  <si>
    <t>cheeky</t>
  </si>
  <si>
    <t>mnk07</t>
  </si>
  <si>
    <t>Deli</t>
  </si>
  <si>
    <t>Don't return lost item</t>
  </si>
  <si>
    <t>LostQuestBagDust</t>
  </si>
  <si>
    <t>5/24</t>
  </si>
  <si>
    <t>monch</t>
  </si>
  <si>
    <t>mnk08</t>
  </si>
  <si>
    <t>Dora</t>
  </si>
  <si>
    <t>Mouse</t>
  </si>
  <si>
    <t>LostQuestBookDust</t>
  </si>
  <si>
    <t>2/18</t>
  </si>
  <si>
    <t>squeaky</t>
  </si>
  <si>
    <t>mus00</t>
  </si>
  <si>
    <t>Limberg</t>
  </si>
  <si>
    <t>LostQuestNoteDust</t>
  </si>
  <si>
    <t>10/17</t>
  </si>
  <si>
    <t>squinky</t>
  </si>
  <si>
    <t>mus01</t>
  </si>
  <si>
    <t>Bella</t>
  </si>
  <si>
    <t>FlwCosmosWhite</t>
  </si>
  <si>
    <t>12/28</t>
  </si>
  <si>
    <t>eeks</t>
  </si>
  <si>
    <t>mus02</t>
  </si>
  <si>
    <t>Bree</t>
  </si>
  <si>
    <t>FlwHyacinthWhite</t>
  </si>
  <si>
    <t>7/7</t>
  </si>
  <si>
    <t>cheeseball</t>
  </si>
  <si>
    <t>mus03</t>
  </si>
  <si>
    <t>Samson</t>
  </si>
  <si>
    <t>FlwYuriWhite</t>
  </si>
  <si>
    <t>7/5</t>
  </si>
  <si>
    <t>pipsqueak</t>
  </si>
  <si>
    <t>mus04</t>
  </si>
  <si>
    <t>Rod</t>
  </si>
  <si>
    <t>FlwMumWhite</t>
  </si>
  <si>
    <t>ace</t>
  </si>
  <si>
    <t>mus05</t>
  </si>
  <si>
    <t>Candi</t>
  </si>
  <si>
    <t>FlwPansyWhite</t>
  </si>
  <si>
    <t>4/13</t>
  </si>
  <si>
    <t>mus08</t>
  </si>
  <si>
    <t>Rizzo</t>
  </si>
  <si>
    <t>FlwRoseWhite</t>
  </si>
  <si>
    <t>1/17</t>
  </si>
  <si>
    <t>squee</t>
  </si>
  <si>
    <t>mus09</t>
  </si>
  <si>
    <t>Anicotti</t>
  </si>
  <si>
    <t>FlwTulipWhite</t>
  </si>
  <si>
    <t>2/24</t>
  </si>
  <si>
    <t>cannoli</t>
  </si>
  <si>
    <t>mus10</t>
  </si>
  <si>
    <t>Broccolo</t>
  </si>
  <si>
    <t>FlwAnemonesWhite</t>
  </si>
  <si>
    <t>eat it</t>
  </si>
  <si>
    <t>white wrapping paper</t>
  </si>
  <si>
    <t>mus12</t>
  </si>
  <si>
    <t>Moose</t>
  </si>
  <si>
    <t>9/13</t>
  </si>
  <si>
    <t>shorty</t>
  </si>
  <si>
    <t>WPaperWhite</t>
  </si>
  <si>
    <t>white-cosmos bag</t>
  </si>
  <si>
    <t>mus14</t>
  </si>
  <si>
    <t>Bettina</t>
  </si>
  <si>
    <t>SeedCosmosWhite</t>
  </si>
  <si>
    <t>white-cosmos plant</t>
  </si>
  <si>
    <t>6/12</t>
  </si>
  <si>
    <t>eekers</t>
  </si>
  <si>
    <t>mus15</t>
  </si>
  <si>
    <t>Greta</t>
  </si>
  <si>
    <t>PltCosmosWhite3</t>
  </si>
  <si>
    <t>white-hyacinth bag</t>
  </si>
  <si>
    <t>9/5</t>
  </si>
  <si>
    <t>yelp</t>
  </si>
  <si>
    <t>mus16</t>
  </si>
  <si>
    <t>Penelope</t>
  </si>
  <si>
    <t>SeedHyacinthWhite</t>
  </si>
  <si>
    <t>white-hyacinth plant</t>
  </si>
  <si>
    <t>2/5</t>
  </si>
  <si>
    <t>oh bow</t>
  </si>
  <si>
    <t>mus17</t>
  </si>
  <si>
    <t>Chadder</t>
  </si>
  <si>
    <t>PltHyacinthWhite3</t>
  </si>
  <si>
    <t>white-lily bag</t>
  </si>
  <si>
    <t>12/15</t>
  </si>
  <si>
    <t>fromage</t>
  </si>
  <si>
    <t>mus18</t>
  </si>
  <si>
    <t>Octavian</t>
  </si>
  <si>
    <t>SeedYuriWhite</t>
  </si>
  <si>
    <t>white-lily plant</t>
  </si>
  <si>
    <t>sucker</t>
  </si>
  <si>
    <t>ocp00</t>
  </si>
  <si>
    <t>Marina</t>
  </si>
  <si>
    <t>PltYuriWhite3</t>
  </si>
  <si>
    <t>white-mum bag</t>
  </si>
  <si>
    <t>6/26</t>
  </si>
  <si>
    <t>blurp</t>
  </si>
  <si>
    <t>ocp01</t>
  </si>
  <si>
    <t>Zucker</t>
  </si>
  <si>
    <t>3/8</t>
  </si>
  <si>
    <t>ocp02</t>
  </si>
  <si>
    <t>SeedMumWhite</t>
  </si>
  <si>
    <t>Queenie</t>
  </si>
  <si>
    <t>white-mum plant</t>
  </si>
  <si>
    <t>Ostrich</t>
  </si>
  <si>
    <t>11/13</t>
  </si>
  <si>
    <t>chicken</t>
  </si>
  <si>
    <t>ost00</t>
  </si>
  <si>
    <t>Gladys</t>
  </si>
  <si>
    <t>PltMumWhite3</t>
  </si>
  <si>
    <t>1/15</t>
  </si>
  <si>
    <t>stretch</t>
  </si>
  <si>
    <t>white-pansy bag</t>
  </si>
  <si>
    <t>ost01</t>
  </si>
  <si>
    <t>Sandy</t>
  </si>
  <si>
    <t>10/21</t>
  </si>
  <si>
    <t>speedy</t>
  </si>
  <si>
    <t>ost02</t>
  </si>
  <si>
    <t>Sprocket</t>
  </si>
  <si>
    <t>SeedPansyWhite</t>
  </si>
  <si>
    <t>zort</t>
  </si>
  <si>
    <t>ost03</t>
  </si>
  <si>
    <t>white-pansy plant</t>
  </si>
  <si>
    <t>Julia</t>
  </si>
  <si>
    <t>dahling</t>
  </si>
  <si>
    <t>ost05</t>
  </si>
  <si>
    <t>Cranston</t>
  </si>
  <si>
    <t>PltPansyWhite3</t>
  </si>
  <si>
    <t>white-rose bag</t>
  </si>
  <si>
    <t>9/23</t>
  </si>
  <si>
    <t>sweatband</t>
  </si>
  <si>
    <t>ost06</t>
  </si>
  <si>
    <t>Phil</t>
  </si>
  <si>
    <t>SeedRoseWhite</t>
  </si>
  <si>
    <t>white-rose plant</t>
  </si>
  <si>
    <t>11/27</t>
  </si>
  <si>
    <t>hurk</t>
  </si>
  <si>
    <t>ost07</t>
  </si>
  <si>
    <t>Blanche</t>
  </si>
  <si>
    <t>PltRoseWhite3</t>
  </si>
  <si>
    <t>12/21</t>
  </si>
  <si>
    <t>quite so</t>
  </si>
  <si>
    <t>white-tulip bag</t>
  </si>
  <si>
    <t>ost08</t>
  </si>
  <si>
    <t>Flora</t>
  </si>
  <si>
    <t>SeedTulipWhite</t>
  </si>
  <si>
    <t>pinky</t>
  </si>
  <si>
    <t>white-tulip plant</t>
  </si>
  <si>
    <t>ost09</t>
  </si>
  <si>
    <t>Phoebe</t>
  </si>
  <si>
    <t>4/22</t>
  </si>
  <si>
    <t>sparky</t>
  </si>
  <si>
    <t>PltTulipWhite3</t>
  </si>
  <si>
    <t>white-windflower bag</t>
  </si>
  <si>
    <t>ost10</t>
  </si>
  <si>
    <t>Apollo</t>
  </si>
  <si>
    <t>Eagle</t>
  </si>
  <si>
    <t>SeedAnemonesWhite</t>
  </si>
  <si>
    <t>7/4</t>
  </si>
  <si>
    <t>pah</t>
  </si>
  <si>
    <t>white-windflower plant</t>
  </si>
  <si>
    <t>pbr00</t>
  </si>
  <si>
    <t>Amelia</t>
  </si>
  <si>
    <t>PltAnemonesWhite3</t>
  </si>
  <si>
    <t>11/19</t>
  </si>
  <si>
    <t>Wildest Dreams DIY</t>
  </si>
  <si>
    <t>cuz</t>
  </si>
  <si>
    <t>pbr01</t>
  </si>
  <si>
    <t>Pierce</t>
  </si>
  <si>
    <t>DIYbook3</t>
  </si>
  <si>
    <t>Wisp spirit piece</t>
  </si>
  <si>
    <t>Catching with a net while on a quest for Wisp</t>
  </si>
  <si>
    <t>YutaroWisp</t>
  </si>
  <si>
    <t>1/8</t>
  </si>
  <si>
    <t>hawkeye</t>
  </si>
  <si>
    <t>pbr02</t>
  </si>
  <si>
    <t>Buzz</t>
  </si>
  <si>
    <t>DIYWoodNormal</t>
  </si>
  <si>
    <t>Chopping a tree (Bunny Day)</t>
  </si>
  <si>
    <t>EggForest</t>
  </si>
  <si>
    <t>captain</t>
  </si>
  <si>
    <t>pbr03</t>
  </si>
  <si>
    <t>Avery</t>
  </si>
  <si>
    <t>FlwCosmosYellow</t>
  </si>
  <si>
    <t>2/22</t>
  </si>
  <si>
    <t>skree-haw</t>
  </si>
  <si>
    <t>pbr05</t>
  </si>
  <si>
    <t>Frank</t>
  </si>
  <si>
    <t>FlwHyacinthYellow</t>
  </si>
  <si>
    <t>7/30</t>
  </si>
  <si>
    <t>crushy</t>
  </si>
  <si>
    <t>pbr06</t>
  </si>
  <si>
    <t>Sterling</t>
  </si>
  <si>
    <t>FlwYuriYellow</t>
  </si>
  <si>
    <t>12/11</t>
  </si>
  <si>
    <t>FlwMumYellow</t>
  </si>
  <si>
    <t>skraaaaw</t>
  </si>
  <si>
    <t>pbr07</t>
  </si>
  <si>
    <t>Keaton</t>
  </si>
  <si>
    <t>FlwPansyYellow</t>
  </si>
  <si>
    <t>6/1</t>
  </si>
  <si>
    <t>wingo</t>
  </si>
  <si>
    <t>pbr08</t>
  </si>
  <si>
    <t>Celia</t>
  </si>
  <si>
    <t>FlwRoseYellow</t>
  </si>
  <si>
    <t>FlwTulipYellow</t>
  </si>
  <si>
    <t>feathers</t>
  </si>
  <si>
    <t>yellow wrapping paper</t>
  </si>
  <si>
    <t>pbr09</t>
  </si>
  <si>
    <t>Aurora</t>
  </si>
  <si>
    <t>WPaperYellow</t>
  </si>
  <si>
    <t>yellow-cosmos bag</t>
  </si>
  <si>
    <t>Penguin</t>
  </si>
  <si>
    <t>SeedCosmosYellow</t>
  </si>
  <si>
    <t>b-b-baby</t>
  </si>
  <si>
    <t>yellow-cosmos plant</t>
  </si>
  <si>
    <t>pgn00</t>
  </si>
  <si>
    <t>Roald</t>
  </si>
  <si>
    <t>PltCosmosYellow3</t>
  </si>
  <si>
    <t>1/5</t>
  </si>
  <si>
    <t>yellow-hyacinth bag</t>
  </si>
  <si>
    <t>b-b-buddy</t>
  </si>
  <si>
    <t>pgn01</t>
  </si>
  <si>
    <t>Cube</t>
  </si>
  <si>
    <t>SeedHyacinthYellow</t>
  </si>
  <si>
    <t>yellow-hyacinth plant</t>
  </si>
  <si>
    <t>1/29</t>
  </si>
  <si>
    <t>brainfreeze</t>
  </si>
  <si>
    <t>pgn02</t>
  </si>
  <si>
    <t>Hopper</t>
  </si>
  <si>
    <t>PltHyacinthYellow3</t>
  </si>
  <si>
    <t>yellow-lily bag</t>
  </si>
  <si>
    <t>4/6</t>
  </si>
  <si>
    <t>slushie</t>
  </si>
  <si>
    <t>pgn03</t>
  </si>
  <si>
    <t>Friga</t>
  </si>
  <si>
    <t>SeedYuriYellow</t>
  </si>
  <si>
    <t>yellow-lily plant</t>
  </si>
  <si>
    <t>10/16</t>
  </si>
  <si>
    <t>brrrmph</t>
  </si>
  <si>
    <t>PltYuriYellow3</t>
  </si>
  <si>
    <t>pgn04</t>
  </si>
  <si>
    <t>yellow-mum bag</t>
  </si>
  <si>
    <t>Gwen</t>
  </si>
  <si>
    <t>1/23</t>
  </si>
  <si>
    <t>h-h-h-hon</t>
  </si>
  <si>
    <t>SeedMumYellow</t>
  </si>
  <si>
    <t>pgn05</t>
  </si>
  <si>
    <t>yellow-mum plant</t>
  </si>
  <si>
    <t>Puck</t>
  </si>
  <si>
    <t>PltMumYellow3</t>
  </si>
  <si>
    <t>yellow-pansy bag</t>
  </si>
  <si>
    <t>2/21</t>
  </si>
  <si>
    <t>brrrrrrrrr</t>
  </si>
  <si>
    <t>pgn06</t>
  </si>
  <si>
    <t>Wade</t>
  </si>
  <si>
    <t>SeedPansyYellow</t>
  </si>
  <si>
    <t>yellow-pansy plant</t>
  </si>
  <si>
    <t>10/30</t>
  </si>
  <si>
    <t>so it goes</t>
  </si>
  <si>
    <t>pgn09</t>
  </si>
  <si>
    <t>PltPansyYellow3</t>
  </si>
  <si>
    <t>Boomer</t>
  </si>
  <si>
    <t>yellow-rose bag</t>
  </si>
  <si>
    <t>2/7</t>
  </si>
  <si>
    <t>human</t>
  </si>
  <si>
    <t>SeedRoseYellow</t>
  </si>
  <si>
    <t>pgn10</t>
  </si>
  <si>
    <t>yellow-rose plant</t>
  </si>
  <si>
    <t>Iggly</t>
  </si>
  <si>
    <t>PltRoseYellow3</t>
  </si>
  <si>
    <t>yellow-tulip bag</t>
  </si>
  <si>
    <t>11/2</t>
  </si>
  <si>
    <t>waddler</t>
  </si>
  <si>
    <t>pgn11</t>
  </si>
  <si>
    <t>SeedTulipYellow</t>
  </si>
  <si>
    <t>Tex</t>
  </si>
  <si>
    <t>yellow-tulip plant</t>
  </si>
  <si>
    <t>PltTulipYellow3</t>
  </si>
  <si>
    <t>picante</t>
  </si>
  <si>
    <t>pgn12</t>
  </si>
  <si>
    <t>Flo</t>
  </si>
  <si>
    <t>Chopping a bamboo tree (Spring)</t>
  </si>
  <si>
    <t>DIYBambooSpring</t>
  </si>
  <si>
    <t>9/2</t>
  </si>
  <si>
    <t>cha</t>
  </si>
  <si>
    <t>pgn13</t>
  </si>
  <si>
    <t>Sprinkle</t>
  </si>
  <si>
    <t>2/20</t>
  </si>
  <si>
    <t>frappe</t>
  </si>
  <si>
    <t>pgn14</t>
  </si>
  <si>
    <t>Curly</t>
  </si>
  <si>
    <t>7/26</t>
  </si>
  <si>
    <t>nyoink</t>
  </si>
  <si>
    <t>pig00</t>
  </si>
  <si>
    <t>Truffles</t>
  </si>
  <si>
    <t>Pig</t>
  </si>
  <si>
    <t>7/28</t>
  </si>
  <si>
    <t>snoutie</t>
  </si>
  <si>
    <t>pig01</t>
  </si>
  <si>
    <t>Rasher</t>
  </si>
  <si>
    <t>4/7</t>
  </si>
  <si>
    <t>swine</t>
  </si>
  <si>
    <t>pig02</t>
  </si>
  <si>
    <t>Hugh</t>
  </si>
  <si>
    <t>12/30</t>
  </si>
  <si>
    <t>snortle</t>
  </si>
  <si>
    <t>pig03</t>
  </si>
  <si>
    <t>Lucy</t>
  </si>
  <si>
    <t>6/2</t>
  </si>
  <si>
    <t>snoooink</t>
  </si>
  <si>
    <t>pig04</t>
  </si>
  <si>
    <t>Crackle</t>
  </si>
  <si>
    <t>9/3</t>
  </si>
  <si>
    <t>snork</t>
  </si>
  <si>
    <t>pig05</t>
  </si>
  <si>
    <t>Cobb</t>
  </si>
  <si>
    <t>10/7</t>
  </si>
  <si>
    <t>hot dog</t>
  </si>
  <si>
    <t>pig08</t>
  </si>
  <si>
    <t>Boris</t>
  </si>
  <si>
    <t>11/6</t>
  </si>
  <si>
    <t>schnort</t>
  </si>
  <si>
    <t>pig09</t>
  </si>
  <si>
    <t>Maggie</t>
  </si>
  <si>
    <t>schep</t>
  </si>
  <si>
    <t>pig10</t>
  </si>
  <si>
    <t>Peggy</t>
  </si>
  <si>
    <t>5/23</t>
  </si>
  <si>
    <t>shweetie</t>
  </si>
  <si>
    <t>pig11</t>
  </si>
  <si>
    <t>Gala</t>
  </si>
  <si>
    <t>3/5</t>
  </si>
  <si>
    <t>snortie</t>
  </si>
  <si>
    <t>pig13</t>
  </si>
  <si>
    <t>Chops</t>
  </si>
  <si>
    <t>zoink</t>
  </si>
  <si>
    <t>pig14</t>
  </si>
  <si>
    <t>Kevin</t>
  </si>
  <si>
    <t>4/26</t>
  </si>
  <si>
    <t>weeweewee</t>
  </si>
  <si>
    <t>pig15</t>
  </si>
  <si>
    <t>Pancetti</t>
  </si>
  <si>
    <t>11/14</t>
  </si>
  <si>
    <t>sooey</t>
  </si>
  <si>
    <t>pig16</t>
  </si>
  <si>
    <t>Agnes</t>
  </si>
  <si>
    <t>4/21</t>
  </si>
  <si>
    <t>snuffle</t>
  </si>
  <si>
    <t>pig17</t>
  </si>
  <si>
    <t>Bunnie</t>
  </si>
  <si>
    <t>Rabbit</t>
  </si>
  <si>
    <t>5/9</t>
  </si>
  <si>
    <t>tee-hee</t>
  </si>
  <si>
    <t>rbt00</t>
  </si>
  <si>
    <t>Dotty</t>
  </si>
  <si>
    <t>3/14</t>
  </si>
  <si>
    <t>wee one</t>
  </si>
  <si>
    <t>rbt01</t>
  </si>
  <si>
    <t>Coco</t>
  </si>
  <si>
    <t>3/1</t>
  </si>
  <si>
    <t>doyoing</t>
  </si>
  <si>
    <t>rbt02</t>
  </si>
  <si>
    <t>Snake</t>
  </si>
  <si>
    <t>11/3</t>
  </si>
  <si>
    <t>bunyip</t>
  </si>
  <si>
    <t>rbt03</t>
  </si>
  <si>
    <t>Gaston</t>
  </si>
  <si>
    <t>10/28</t>
  </si>
  <si>
    <t>mon chou</t>
  </si>
  <si>
    <t>rbt04</t>
  </si>
  <si>
    <t>Gabi</t>
  </si>
  <si>
    <t>12/16</t>
  </si>
  <si>
    <t>honeybun</t>
  </si>
  <si>
    <t>rbt05</t>
  </si>
  <si>
    <t>Pippy</t>
  </si>
  <si>
    <t>6/14</t>
  </si>
  <si>
    <t>li'l hare</t>
  </si>
  <si>
    <t>rbt06</t>
  </si>
  <si>
    <t>Tiffany</t>
  </si>
  <si>
    <t>1/9</t>
  </si>
  <si>
    <t>bunbun</t>
  </si>
  <si>
    <t>rbt07</t>
  </si>
  <si>
    <t>Genji</t>
  </si>
  <si>
    <t>1/21</t>
  </si>
  <si>
    <t>otaku</t>
  </si>
  <si>
    <t>rbt08</t>
  </si>
  <si>
    <t>Ruby</t>
  </si>
  <si>
    <t>12/25</t>
  </si>
  <si>
    <t>li'l ears</t>
  </si>
  <si>
    <t>rbt09</t>
  </si>
  <si>
    <t>Doc</t>
  </si>
  <si>
    <t>3/16</t>
  </si>
  <si>
    <t>old bunny</t>
  </si>
  <si>
    <t>rbt10</t>
  </si>
  <si>
    <t>Claude</t>
  </si>
  <si>
    <t>12/3</t>
  </si>
  <si>
    <t>hopalong</t>
  </si>
  <si>
    <t>rbt11</t>
  </si>
  <si>
    <t>Francine</t>
  </si>
  <si>
    <t>1/22</t>
  </si>
  <si>
    <t>karat</t>
  </si>
  <si>
    <t>rbt12</t>
  </si>
  <si>
    <t>Chrissy</t>
  </si>
  <si>
    <t>8/28</t>
  </si>
  <si>
    <t>sparkles</t>
  </si>
  <si>
    <t>rbt13</t>
  </si>
  <si>
    <t>Hopkins</t>
  </si>
  <si>
    <t>3/11</t>
  </si>
  <si>
    <t>thumper</t>
  </si>
  <si>
    <t>rbt14</t>
  </si>
  <si>
    <t>O'Hare</t>
  </si>
  <si>
    <t>amigo</t>
  </si>
  <si>
    <t>rbt15</t>
  </si>
  <si>
    <t>Carmen</t>
  </si>
  <si>
    <t>1/6</t>
  </si>
  <si>
    <t>nougat</t>
  </si>
  <si>
    <t>rbt16</t>
  </si>
  <si>
    <t>Bonbon</t>
  </si>
  <si>
    <t>3/3</t>
  </si>
  <si>
    <t>deelish</t>
  </si>
  <si>
    <t>rbt17</t>
  </si>
  <si>
    <t>Cole</t>
  </si>
  <si>
    <t>8/10</t>
  </si>
  <si>
    <t>coooooool</t>
  </si>
  <si>
    <t>rbt18</t>
  </si>
  <si>
    <t>Mira</t>
  </si>
  <si>
    <t>7/6</t>
  </si>
  <si>
    <t>cottontail</t>
  </si>
  <si>
    <t>rbt19</t>
  </si>
  <si>
    <t>Tank</t>
  </si>
  <si>
    <t>Rhino</t>
  </si>
  <si>
    <t>5/6</t>
  </si>
  <si>
    <t>kerPOW</t>
  </si>
  <si>
    <t>rhn00</t>
  </si>
  <si>
    <t>Rhonda</t>
  </si>
  <si>
    <t>1/24</t>
  </si>
  <si>
    <t>bigfoot</t>
  </si>
  <si>
    <t>rhn01</t>
  </si>
  <si>
    <t>Spike</t>
  </si>
  <si>
    <t>punk</t>
  </si>
  <si>
    <t>rhn02</t>
  </si>
  <si>
    <t>Hornsby</t>
  </si>
  <si>
    <t>3/20</t>
  </si>
  <si>
    <t>schnozzle</t>
  </si>
  <si>
    <t>rhn04</t>
  </si>
  <si>
    <t>Merengue</t>
  </si>
  <si>
    <t>3/19</t>
  </si>
  <si>
    <t>shortcake</t>
  </si>
  <si>
    <t>rhn07</t>
  </si>
  <si>
    <t>Renée</t>
  </si>
  <si>
    <t>5/28</t>
  </si>
  <si>
    <t>yo yo yo</t>
  </si>
  <si>
    <t>rhn08</t>
  </si>
  <si>
    <t>Vesta</t>
  </si>
  <si>
    <t>4/16</t>
  </si>
  <si>
    <t>baaaffo</t>
  </si>
  <si>
    <t>shp00</t>
  </si>
  <si>
    <t>Baabara</t>
  </si>
  <si>
    <t>3/28</t>
  </si>
  <si>
    <t>daahling</t>
  </si>
  <si>
    <t>shp01</t>
  </si>
  <si>
    <t>Eunice</t>
  </si>
  <si>
    <t>4/3</t>
  </si>
  <si>
    <t>lambchop</t>
  </si>
  <si>
    <t>shp02</t>
  </si>
  <si>
    <t>Stella</t>
  </si>
  <si>
    <t>4/9</t>
  </si>
  <si>
    <t>baa-dabing</t>
  </si>
  <si>
    <t>shp03</t>
  </si>
  <si>
    <t>Cashmere</t>
  </si>
  <si>
    <t>baaaby</t>
  </si>
  <si>
    <t>shp04</t>
  </si>
  <si>
    <t>Willow</t>
  </si>
  <si>
    <t>11/26</t>
  </si>
  <si>
    <t>bo peep</t>
  </si>
  <si>
    <t>shp07</t>
  </si>
  <si>
    <t>Curlos</t>
  </si>
  <si>
    <t>5/8</t>
  </si>
  <si>
    <t>shearly</t>
  </si>
  <si>
    <t>shp08</t>
  </si>
  <si>
    <t>Wendy</t>
  </si>
  <si>
    <t>8/15</t>
  </si>
  <si>
    <t>lambkins</t>
  </si>
  <si>
    <t>shp09</t>
  </si>
  <si>
    <t>Timbra</t>
  </si>
  <si>
    <t>pine nut</t>
  </si>
  <si>
    <t>shp10</t>
  </si>
  <si>
    <t>Frita</t>
  </si>
  <si>
    <t>7/16</t>
  </si>
  <si>
    <t>oh ewe</t>
  </si>
  <si>
    <t>shp11</t>
  </si>
  <si>
    <t>Muffy</t>
  </si>
  <si>
    <t>2/14</t>
  </si>
  <si>
    <t>nightshade</t>
  </si>
  <si>
    <t>shp12</t>
  </si>
  <si>
    <t>Pietro</t>
  </si>
  <si>
    <t>4/19</t>
  </si>
  <si>
    <t>honk honk</t>
  </si>
  <si>
    <t>shp13</t>
  </si>
  <si>
    <t>Dom</t>
  </si>
  <si>
    <t>3/18</t>
  </si>
  <si>
    <t>indeedaroo</t>
  </si>
  <si>
    <t>shp15</t>
  </si>
  <si>
    <t>Peanut</t>
  </si>
  <si>
    <t>Squirrel</t>
  </si>
  <si>
    <t>6/8</t>
  </si>
  <si>
    <t>slacker</t>
  </si>
  <si>
    <t>squ00</t>
  </si>
  <si>
    <t>Blaire</t>
  </si>
  <si>
    <t>7/3</t>
  </si>
  <si>
    <t>nutlet</t>
  </si>
  <si>
    <t>squ01</t>
  </si>
  <si>
    <t>Filbert</t>
  </si>
  <si>
    <t>6/3</t>
  </si>
  <si>
    <t>bucko</t>
  </si>
  <si>
    <t>squ02</t>
  </si>
  <si>
    <t>Pecan</t>
  </si>
  <si>
    <t>9/10</t>
  </si>
  <si>
    <t>chipmunk</t>
  </si>
  <si>
    <t>squ03</t>
  </si>
  <si>
    <t>Nibbles</t>
  </si>
  <si>
    <t>7/19</t>
  </si>
  <si>
    <t>niblet</t>
  </si>
  <si>
    <t>squ04</t>
  </si>
  <si>
    <t>Agent S</t>
  </si>
  <si>
    <t>7/2</t>
  </si>
  <si>
    <t>sidekick</t>
  </si>
  <si>
    <t>squ05</t>
  </si>
  <si>
    <t>Caroline</t>
  </si>
  <si>
    <t>7/15</t>
  </si>
  <si>
    <t>hulaaaa</t>
  </si>
  <si>
    <t>squ06</t>
  </si>
  <si>
    <t>Sally</t>
  </si>
  <si>
    <t>6/19</t>
  </si>
  <si>
    <t>nutmeg</t>
  </si>
  <si>
    <t>squ07</t>
  </si>
  <si>
    <t>Static</t>
  </si>
  <si>
    <t>krzzt</t>
  </si>
  <si>
    <t>squ08</t>
  </si>
  <si>
    <t>5/2</t>
  </si>
  <si>
    <t>ahhhhhh</t>
  </si>
  <si>
    <t>squ09</t>
  </si>
  <si>
    <t>Ricky</t>
  </si>
  <si>
    <t>9/14</t>
  </si>
  <si>
    <t>nutcase</t>
  </si>
  <si>
    <t>squ10</t>
  </si>
  <si>
    <t>Cally</t>
  </si>
  <si>
    <t>9/4</t>
  </si>
  <si>
    <t>WHEE</t>
  </si>
  <si>
    <t>squ11</t>
  </si>
  <si>
    <t>Tasha</t>
  </si>
  <si>
    <t>11/30</t>
  </si>
  <si>
    <t>nice nice</t>
  </si>
  <si>
    <t>squ13</t>
  </si>
  <si>
    <t>Sylvana</t>
  </si>
  <si>
    <t>10/22</t>
  </si>
  <si>
    <t>hubbub</t>
  </si>
  <si>
    <t>squ14</t>
  </si>
  <si>
    <t>Poppy</t>
  </si>
  <si>
    <t>8/5</t>
  </si>
  <si>
    <t>nutty</t>
  </si>
  <si>
    <t>squ15</t>
  </si>
  <si>
    <t>Sheldon</t>
  </si>
  <si>
    <t>2/26</t>
  </si>
  <si>
    <t>cardio</t>
  </si>
  <si>
    <t>squ16</t>
  </si>
  <si>
    <t>Marshal</t>
  </si>
  <si>
    <t>9/29</t>
  </si>
  <si>
    <t>sulky</t>
  </si>
  <si>
    <t>squ17</t>
  </si>
  <si>
    <t>Hazel</t>
  </si>
  <si>
    <t>8/30</t>
  </si>
  <si>
    <t>uni-wow</t>
  </si>
  <si>
    <t>squ18</t>
  </si>
  <si>
    <t>Rolf</t>
  </si>
  <si>
    <t>8/22</t>
  </si>
  <si>
    <t>grrrolf</t>
  </si>
  <si>
    <t>tig00</t>
  </si>
  <si>
    <t>Rowan</t>
  </si>
  <si>
    <t>8/26</t>
  </si>
  <si>
    <t>mango</t>
  </si>
  <si>
    <t>tig01</t>
  </si>
  <si>
    <t>Tybalt</t>
  </si>
  <si>
    <t>grrrRAH</t>
  </si>
  <si>
    <t>tig02</t>
  </si>
  <si>
    <t>Bangle</t>
  </si>
  <si>
    <t>8/27</t>
  </si>
  <si>
    <t>growf</t>
  </si>
  <si>
    <t>tig03</t>
  </si>
  <si>
    <t>Leonardo</t>
  </si>
  <si>
    <t>5/15</t>
  </si>
  <si>
    <t>flexin'</t>
  </si>
  <si>
    <t>tig04</t>
  </si>
  <si>
    <t>Claudia</t>
  </si>
  <si>
    <t>11/22</t>
  </si>
  <si>
    <t>ooh la la</t>
  </si>
  <si>
    <t>tig05</t>
  </si>
  <si>
    <t>Bianca</t>
  </si>
  <si>
    <t>12/13</t>
  </si>
  <si>
    <t>glimmer</t>
  </si>
  <si>
    <t>tig06</t>
  </si>
  <si>
    <t>Chief</t>
  </si>
  <si>
    <t>Wolf</t>
  </si>
  <si>
    <t>12/19</t>
  </si>
  <si>
    <t>harrumph</t>
  </si>
  <si>
    <t>wol00</t>
  </si>
  <si>
    <t>Lobo</t>
  </si>
  <si>
    <t>11/5</t>
  </si>
  <si>
    <t>ah-rooooo</t>
  </si>
  <si>
    <t>wol01</t>
  </si>
  <si>
    <t>Wolfgang</t>
  </si>
  <si>
    <t>11/25</t>
  </si>
  <si>
    <t>snarrrl</t>
  </si>
  <si>
    <t>wol02</t>
  </si>
  <si>
    <t>Whitney</t>
  </si>
  <si>
    <t>9/17</t>
  </si>
  <si>
    <t>snappy</t>
  </si>
  <si>
    <t>wol03</t>
  </si>
  <si>
    <t>Dobie</t>
  </si>
  <si>
    <t>2/17</t>
  </si>
  <si>
    <t>ohmmm</t>
  </si>
  <si>
    <t>wol04</t>
  </si>
  <si>
    <t>Freya</t>
  </si>
  <si>
    <t>12/14</t>
  </si>
  <si>
    <t>uff da</t>
  </si>
  <si>
    <t>wol05</t>
  </si>
  <si>
    <t>Fang</t>
  </si>
  <si>
    <t>12/18</t>
  </si>
  <si>
    <t>cha-chomp</t>
  </si>
  <si>
    <t>wol06</t>
  </si>
  <si>
    <t>Vivian</t>
  </si>
  <si>
    <t>1/26</t>
  </si>
  <si>
    <t>piffle</t>
  </si>
  <si>
    <t>wol08</t>
  </si>
  <si>
    <t>Skye</t>
  </si>
  <si>
    <t>3/24</t>
  </si>
  <si>
    <t>airmail</t>
  </si>
  <si>
    <t>wol09</t>
  </si>
  <si>
    <t>Kyle</t>
  </si>
  <si>
    <t>12/6</t>
  </si>
  <si>
    <t>alpha</t>
  </si>
  <si>
    <t>wol10</t>
  </si>
  <si>
    <t>Audie</t>
  </si>
  <si>
    <t>8/31</t>
  </si>
  <si>
    <t>foxtrot</t>
  </si>
  <si>
    <t>wol12</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</si>
</sst>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
    <numFmt numFmtId="165" formatCode="h:mm am/pm"/>
    <numFmt numFmtId="166" formatCode="m&quot;/&quot;d"/>
  </numFmts>
  <fonts count="12">
    <font>
      <sz val="10.0"/>
      <color rgb="FF000000"/>
      <name val="Arial"/>
    </font>
    <font>
      <b/>
      <color theme="1"/>
      <name val="Arial"/>
    </font>
    <font>
      <u/>
      <color rgb="FF0000FF"/>
    </font>
    <font>
      <color theme="1"/>
      <name val="Arial"/>
    </font>
    <font>
      <color rgb="FF000000"/>
      <name val="Arial"/>
    </font>
    <font>
      <b/>
      <u/>
      <color rgb="FFFFFFFF"/>
      <name val="Arial"/>
    </font>
    <font>
      <b/>
      <u/>
      <color rgb="FF0000FF"/>
      <name val="Arial"/>
    </font>
    <font>
      <b/>
      <u/>
      <color rgb="FFFFFFFF"/>
      <name val="Arial"/>
    </font>
    <font>
      <b/>
      <color rgb="FF000000"/>
      <name val="Arial"/>
    </font>
    <font>
      <sz val="10.0"/>
      <color rgb="FF24292E"/>
      <name val="Arial"/>
    </font>
    <font>
      <b/>
      <sz val="10.0"/>
      <color rgb="FF000000"/>
      <name val="Arial"/>
    </font>
    <font>
      <sz val="10.0"/>
      <color theme="1"/>
      <name val="Arial"/>
    </font>
  </fonts>
  <fills count="15">
    <fill>
      <patternFill patternType="none"/>
    </fill>
    <fill>
      <patternFill patternType="lightGray"/>
    </fill>
    <fill>
      <patternFill patternType="solid">
        <fgColor rgb="FFE06666"/>
        <bgColor rgb="FFE06666"/>
      </patternFill>
    </fill>
    <fill>
      <patternFill patternType="solid">
        <fgColor rgb="FF738ADB"/>
        <bgColor rgb="FF738ADB"/>
      </patternFill>
    </fill>
    <fill>
      <patternFill patternType="solid">
        <fgColor rgb="FFFFFFFF"/>
        <bgColor rgb="FFFFFFFF"/>
      </patternFill>
    </fill>
    <fill>
      <patternFill patternType="solid">
        <fgColor rgb="FFCFE2F3"/>
        <bgColor rgb="FFCFE2F3"/>
      </patternFill>
    </fill>
    <fill>
      <patternFill patternType="solid">
        <fgColor rgb="FFF4CCCC"/>
        <bgColor rgb="FFF4CCCC"/>
      </patternFill>
    </fill>
    <fill>
      <patternFill patternType="solid">
        <fgColor rgb="FFD9EAD3"/>
        <bgColor rgb="FFD9EAD3"/>
      </patternFill>
    </fill>
    <fill>
      <patternFill patternType="solid">
        <fgColor rgb="FFFCE5CD"/>
        <bgColor rgb="FFFCE5CD"/>
      </patternFill>
    </fill>
    <fill>
      <patternFill patternType="solid">
        <fgColor rgb="FFD0E0E3"/>
        <bgColor rgb="FFD0E0E3"/>
      </patternFill>
    </fill>
    <fill>
      <patternFill patternType="solid">
        <fgColor rgb="FFFCD6CD"/>
        <bgColor rgb="FFFCD6CD"/>
      </patternFill>
    </fill>
    <fill>
      <patternFill patternType="solid">
        <fgColor rgb="FFFFF2CC"/>
        <bgColor rgb="FFFFF2CC"/>
      </patternFill>
    </fill>
    <fill>
      <patternFill patternType="solid">
        <fgColor rgb="FFC9DAF8"/>
        <bgColor rgb="FFC9DAF8"/>
      </patternFill>
    </fill>
    <fill>
      <patternFill patternType="solid">
        <fgColor rgb="FFEAD1DC"/>
        <bgColor rgb="FFEAD1DC"/>
      </patternFill>
    </fill>
    <fill>
      <patternFill patternType="solid">
        <fgColor rgb="FFD9D2E9"/>
        <bgColor rgb="FFD9D2E9"/>
      </patternFill>
    </fill>
  </fills>
  <borders count="1">
    <border/>
  </borders>
  <cellStyleXfs count="1">
    <xf borderId="0" fillId="0" fontId="0" numFmtId="0" applyAlignment="1" applyFont="1"/>
  </cellStyleXfs>
  <cellXfs count="62">
    <xf borderId="0" fillId="0" fontId="0" numFmtId="0" xfId="0" applyAlignment="1" applyFont="1">
      <alignment readingOrder="0" shrinkToFit="0" vertical="bottom" wrapText="0"/>
    </xf>
    <xf borderId="0" fillId="0" fontId="1" numFmtId="0" xfId="0" applyAlignment="1" applyFont="1">
      <alignment shrinkToFit="0" vertical="center" wrapText="1"/>
    </xf>
    <xf borderId="0" fillId="0" fontId="1" numFmtId="0" xfId="0" applyAlignment="1" applyFont="1">
      <alignment horizontal="center" shrinkToFit="0" vertical="center" wrapText="1"/>
    </xf>
    <xf borderId="0" fillId="0" fontId="2" numFmtId="0" xfId="0" applyAlignment="1" applyFont="1">
      <alignment shrinkToFit="0" vertical="top" wrapText="1"/>
    </xf>
    <xf borderId="0" fillId="0" fontId="1" numFmtId="0" xfId="0" applyAlignment="1" applyFont="1">
      <alignment horizontal="left" shrinkToFit="0" vertical="center" wrapText="1"/>
    </xf>
    <xf borderId="0" fillId="0" fontId="3" numFmtId="0" xfId="0" applyAlignment="1" applyFont="1">
      <alignment shrinkToFit="0" vertical="center" wrapText="1"/>
    </xf>
    <xf borderId="0" fillId="0" fontId="3" numFmtId="0" xfId="0" applyAlignment="1" applyFont="1">
      <alignment horizontal="center" shrinkToFit="0" vertical="center" wrapText="1"/>
    </xf>
    <xf borderId="0" fillId="0" fontId="4" numFmtId="0" xfId="0" applyAlignment="1" applyFont="1">
      <alignment readingOrder="0" shrinkToFit="0" vertical="top" wrapText="1"/>
    </xf>
    <xf borderId="0" fillId="0" fontId="3" numFmtId="0" xfId="0" applyAlignment="1" applyFont="1">
      <alignment horizontal="left" shrinkToFit="0" vertical="center" wrapText="1"/>
    </xf>
    <xf borderId="0" fillId="2" fontId="5" numFmtId="0" xfId="0" applyAlignment="1" applyFill="1" applyFont="1">
      <alignment readingOrder="0" shrinkToFit="0" vertical="top" wrapText="1"/>
    </xf>
    <xf borderId="0" fillId="0" fontId="6" numFmtId="0" xfId="0" applyAlignment="1" applyFont="1">
      <alignment readingOrder="0" shrinkToFit="0" vertical="top" wrapText="1"/>
    </xf>
    <xf borderId="0" fillId="3" fontId="7" numFmtId="0" xfId="0" applyAlignment="1" applyFill="1" applyFont="1">
      <alignment shrinkToFit="0" vertical="top" wrapText="1"/>
    </xf>
    <xf borderId="0" fillId="0" fontId="1" numFmtId="0" xfId="0" applyAlignment="1" applyFont="1">
      <alignment shrinkToFit="0" vertical="top" wrapText="1"/>
    </xf>
    <xf borderId="0" fillId="0" fontId="8" numFmtId="0" xfId="0" applyAlignment="1" applyFont="1">
      <alignment readingOrder="0" shrinkToFit="0" vertical="top" wrapText="1"/>
    </xf>
    <xf borderId="0" fillId="0" fontId="4" numFmtId="0" xfId="0" applyAlignment="1" applyFont="1">
      <alignment shrinkToFit="0" vertical="top" wrapText="1"/>
    </xf>
    <xf borderId="0" fillId="0" fontId="8" numFmtId="0" xfId="0" applyAlignment="1" applyFont="1">
      <alignment shrinkToFit="0" vertical="top" wrapText="1"/>
    </xf>
    <xf borderId="0" fillId="0" fontId="3" numFmtId="11" xfId="0" applyAlignment="1" applyFont="1" applyNumberFormat="1">
      <alignment horizontal="center" shrinkToFit="0" vertical="center" wrapText="1"/>
    </xf>
    <xf borderId="0" fillId="0" fontId="3" numFmtId="49" xfId="0" applyAlignment="1" applyFont="1" applyNumberFormat="1">
      <alignment horizontal="center" shrinkToFit="0" vertical="center" wrapText="1"/>
    </xf>
    <xf borderId="0" fillId="0" fontId="3" numFmtId="0" xfId="0" applyAlignment="1" applyFont="1">
      <alignment vertical="center"/>
    </xf>
    <xf borderId="0" fillId="0" fontId="3" numFmtId="0" xfId="0" applyAlignment="1" applyFont="1">
      <alignment horizontal="center" vertical="center"/>
    </xf>
    <xf borderId="0" fillId="0" fontId="3" numFmtId="11" xfId="0" applyAlignment="1" applyFont="1" applyNumberFormat="1">
      <alignment shrinkToFit="0" vertical="center" wrapText="1"/>
    </xf>
    <xf borderId="0" fillId="4" fontId="9" numFmtId="0" xfId="0" applyAlignment="1" applyFill="1" applyFont="1">
      <alignment horizontal="left" shrinkToFit="0" vertical="center" wrapText="0"/>
    </xf>
    <xf borderId="0" fillId="0" fontId="1" numFmtId="164" xfId="0" applyAlignment="1" applyFont="1" applyNumberFormat="1">
      <alignment horizontal="center" shrinkToFit="0" vertical="center" wrapText="1"/>
    </xf>
    <xf borderId="0" fillId="0" fontId="1" numFmtId="164" xfId="0" applyAlignment="1" applyFont="1" applyNumberFormat="1">
      <alignment shrinkToFit="0" vertical="center" wrapText="1"/>
    </xf>
    <xf borderId="0" fillId="0" fontId="3" numFmtId="164" xfId="0" applyAlignment="1" applyFont="1" applyNumberFormat="1">
      <alignment horizontal="center" shrinkToFit="0" vertical="center" wrapText="1"/>
    </xf>
    <xf borderId="0" fillId="0" fontId="3" numFmtId="164" xfId="0" applyAlignment="1" applyFont="1" applyNumberFormat="1">
      <alignment shrinkToFit="0" vertical="center" wrapText="1"/>
    </xf>
    <xf borderId="0" fillId="0" fontId="3" numFmtId="0" xfId="0" applyAlignment="1" applyFont="1">
      <alignment horizontal="left" vertical="center"/>
    </xf>
    <xf borderId="0" fillId="0" fontId="3" numFmtId="0" xfId="0" applyAlignment="1" applyFont="1">
      <alignment horizontal="right" shrinkToFit="0" vertical="center" wrapText="1"/>
    </xf>
    <xf borderId="0" fillId="0" fontId="4" numFmtId="0" xfId="0" applyAlignment="1" applyFont="1">
      <alignment horizontal="left" shrinkToFit="0" vertical="center" wrapText="1"/>
    </xf>
    <xf borderId="0" fillId="0" fontId="10" numFmtId="0" xfId="0" applyAlignment="1" applyFont="1">
      <alignment horizontal="left" shrinkToFit="0" vertical="center" wrapText="1"/>
    </xf>
    <xf borderId="0" fillId="0" fontId="10" numFmtId="0" xfId="0" applyAlignment="1" applyFont="1">
      <alignment horizontal="center" shrinkToFit="0" vertical="center" wrapText="1"/>
    </xf>
    <xf borderId="0" fillId="0" fontId="8" numFmtId="0" xfId="0" applyAlignment="1" applyFont="1">
      <alignment shrinkToFit="0" vertical="center" wrapText="1"/>
    </xf>
    <xf borderId="0" fillId="0" fontId="11" numFmtId="0" xfId="0" applyAlignment="1" applyFont="1">
      <alignment horizontal="left" shrinkToFit="0" vertical="center" wrapText="1"/>
    </xf>
    <xf borderId="0" fillId="4" fontId="0" numFmtId="0" xfId="0" applyAlignment="1" applyFont="1">
      <alignment horizontal="center" shrinkToFit="0" vertical="center" wrapText="1"/>
    </xf>
    <xf borderId="0" fillId="4" fontId="0" numFmtId="0" xfId="0" applyAlignment="1" applyFont="1">
      <alignment horizontal="left" shrinkToFit="0" vertical="center" wrapText="1"/>
    </xf>
    <xf borderId="0" fillId="0" fontId="11" numFmtId="0" xfId="0" applyAlignment="1" applyFont="1">
      <alignment horizontal="center" shrinkToFit="0" vertical="center" wrapText="1"/>
    </xf>
    <xf borderId="0" fillId="0" fontId="0" numFmtId="0" xfId="0" applyAlignment="1" applyFont="1">
      <alignment horizontal="left" shrinkToFit="0" vertical="center" wrapText="1"/>
    </xf>
    <xf borderId="0" fillId="0" fontId="0" numFmtId="0" xfId="0" applyAlignment="1" applyFont="1">
      <alignment horizontal="center" shrinkToFit="0" vertical="center" wrapText="1"/>
    </xf>
    <xf borderId="0" fillId="0" fontId="4" numFmtId="0" xfId="0" applyAlignment="1" applyFont="1">
      <alignment shrinkToFit="0" vertical="center" wrapText="1"/>
    </xf>
    <xf borderId="0" fillId="5" fontId="1" numFmtId="0" xfId="0" applyAlignment="1" applyFill="1" applyFont="1">
      <alignment horizontal="center" shrinkToFit="0" vertical="center" wrapText="0"/>
    </xf>
    <xf borderId="0" fillId="6" fontId="1" numFmtId="0" xfId="0" applyAlignment="1" applyFill="1" applyFont="1">
      <alignment horizontal="center" shrinkToFit="0" vertical="center" wrapText="0"/>
    </xf>
    <xf borderId="0" fillId="7" fontId="1" numFmtId="0" xfId="0" applyAlignment="1" applyFill="1" applyFont="1">
      <alignment horizontal="center" shrinkToFit="0" vertical="center" wrapText="0"/>
    </xf>
    <xf borderId="0" fillId="8" fontId="1" numFmtId="0" xfId="0" applyAlignment="1" applyFill="1" applyFont="1">
      <alignment horizontal="center" shrinkToFit="0" vertical="center" wrapText="0"/>
    </xf>
    <xf borderId="0" fillId="0" fontId="3" numFmtId="165" xfId="0" applyAlignment="1" applyFont="1" applyNumberFormat="1">
      <alignment shrinkToFit="0" vertical="center" wrapText="1"/>
    </xf>
    <xf borderId="0" fillId="0" fontId="3" numFmtId="165" xfId="0" applyAlignment="1" applyFont="1" applyNumberFormat="1">
      <alignment horizontal="left" shrinkToFit="0" vertical="center" wrapText="1"/>
    </xf>
    <xf borderId="0" fillId="5" fontId="3" numFmtId="0" xfId="0" applyAlignment="1" applyFont="1">
      <alignment horizontal="center" shrinkToFit="0" vertical="center" wrapText="1"/>
    </xf>
    <xf borderId="0" fillId="6" fontId="3" numFmtId="0" xfId="0" applyAlignment="1" applyFont="1">
      <alignment horizontal="center" shrinkToFit="0" vertical="center" wrapText="1"/>
    </xf>
    <xf borderId="0" fillId="7" fontId="3" numFmtId="0" xfId="0" applyAlignment="1" applyFont="1">
      <alignment horizontal="center" shrinkToFit="0" vertical="center" wrapText="1"/>
    </xf>
    <xf borderId="0" fillId="8" fontId="3" numFmtId="0" xfId="0" applyAlignment="1" applyFont="1">
      <alignment horizontal="center" shrinkToFit="0" vertical="center" wrapText="1"/>
    </xf>
    <xf borderId="0" fillId="4" fontId="0" numFmtId="3" xfId="0" applyAlignment="1" applyFont="1" applyNumberFormat="1">
      <alignment horizontal="center" shrinkToFit="0" vertical="center" wrapText="1"/>
    </xf>
    <xf quotePrefix="1" borderId="0" fillId="0" fontId="3" numFmtId="0" xfId="0" applyAlignment="1" applyFont="1">
      <alignment shrinkToFit="0" vertical="center" wrapText="1"/>
    </xf>
    <xf borderId="0" fillId="0" fontId="4" numFmtId="0" xfId="0" applyAlignment="1" applyFont="1">
      <alignment horizontal="left" vertical="center"/>
    </xf>
    <xf borderId="0" fillId="0" fontId="1" numFmtId="49" xfId="0" applyAlignment="1" applyFont="1" applyNumberFormat="1">
      <alignment horizontal="center" shrinkToFit="0" vertical="center" wrapText="1"/>
    </xf>
    <xf borderId="0" fillId="0" fontId="1" numFmtId="49" xfId="0" applyAlignment="1" applyFont="1" applyNumberFormat="1">
      <alignment horizontal="left" shrinkToFit="0" vertical="center" wrapText="1"/>
    </xf>
    <xf borderId="0" fillId="0" fontId="3" numFmtId="49" xfId="0" applyAlignment="1" applyFont="1" applyNumberFormat="1">
      <alignment horizontal="center" vertical="center"/>
    </xf>
    <xf borderId="0" fillId="0" fontId="3" numFmtId="166" xfId="0" applyAlignment="1" applyFont="1" applyNumberFormat="1">
      <alignment horizontal="left" shrinkToFit="0" vertical="center" wrapText="1"/>
    </xf>
    <xf borderId="0" fillId="9" fontId="3" numFmtId="166" xfId="0" applyAlignment="1" applyFill="1" applyFont="1" applyNumberFormat="1">
      <alignment horizontal="center" shrinkToFit="0" vertical="center" wrapText="1"/>
    </xf>
    <xf borderId="0" fillId="10" fontId="3" numFmtId="166" xfId="0" applyAlignment="1" applyFill="1" applyFont="1" applyNumberFormat="1">
      <alignment horizontal="center" shrinkToFit="0" vertical="center" wrapText="1"/>
    </xf>
    <xf borderId="0" fillId="11" fontId="3" numFmtId="166" xfId="0" applyAlignment="1" applyFill="1" applyFont="1" applyNumberFormat="1">
      <alignment horizontal="center" shrinkToFit="0" vertical="center" wrapText="1"/>
    </xf>
    <xf borderId="0" fillId="12" fontId="3" numFmtId="166" xfId="0" applyAlignment="1" applyFill="1" applyFont="1" applyNumberFormat="1">
      <alignment horizontal="center" shrinkToFit="0" vertical="center" wrapText="1"/>
    </xf>
    <xf borderId="0" fillId="13" fontId="3" numFmtId="166" xfId="0" applyAlignment="1" applyFill="1" applyFont="1" applyNumberFormat="1">
      <alignment horizontal="center" shrinkToFit="0" vertical="center" wrapText="1"/>
    </xf>
    <xf borderId="0" fillId="14" fontId="3" numFmtId="166" xfId="0" applyAlignment="1" applyFill="1" applyFont="1" applyNumberForma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31.57"/>
  </cols>
  <sheetData>
    <row r="1" ht="15.75" customHeight="1">
      <c r="A1" s="3" t="str">
        <f>HYPERLINK("https://i.imgur.com/yUIqJEZ.png","Use the tabs at the bottom to navigate and scroll")</f>
        <v>Use the tabs at the bottom to navigate and scroll</v>
      </c>
    </row>
    <row r="2">
      <c r="A2" s="7" t="s">
        <v>31</v>
      </c>
    </row>
    <row r="3" ht="15.75" customHeight="1">
      <c r="A3" s="9" t="str">
        <f>HYPERLINK("https://www.mediafire.com/file/34oiynmzt0d2zdf/Item_Spreadsheet_for_Animal_Crossing__New_Horizons_-_Editors_Only.xlsx/file","Download the most recent copy of the spreadsheet (4/18)")</f>
        <v>Download the most recent copy of the spreadsheet (4/18)</v>
      </c>
    </row>
    <row r="4">
      <c r="A4" s="10" t="str">
        <f>HYPERLINK("https://docs.google.com/spreadsheets/d/1lhr9srU-NWesmIklMBNSoGJt0Fx-GBfvb7zJzfoiJ1M/edit#gid=84987048","Request access to the editor-only spreadsheet (please leave a short description as to why you would like to join. Devs, website owners, etc. are welcome!)")</f>
        <v>Request access to the editor-only spreadsheet (please leave a short description as to why you would like to join. Devs, website owners, etc. are welcome!)</v>
      </c>
    </row>
    <row r="5" ht="15.75" customHeight="1">
      <c r="A5" s="11" t="str">
        <f>HYPERLINK("https://discord.gg/MhMNYyn","Spreadsheet Discord (report issues, find resources, or stop by and say hi!)")</f>
        <v>Spreadsheet Discord (report issues, find resources, or stop by and say hi!)</v>
      </c>
    </row>
    <row r="6" ht="15.75" customHeight="1">
      <c r="A6" s="12" t="s">
        <v>73</v>
      </c>
    </row>
    <row r="7" ht="15.75" customHeight="1">
      <c r="A7" s="3" t="str">
        <f>HYPERLINK("https://drive.google.com/drive/folders/1XSLItEbUltVep8qP6691AAPg6EXf_DUR","All images (Credit to ElChicoEevee and Alexis)")</f>
        <v>All images (Credit to ElChicoEevee and Alexis)</v>
      </c>
    </row>
    <row r="8" ht="15.75" customHeight="1">
      <c r="A8" s="3" t="str">
        <f>HYPERLINK("https://pastebin.com/rk4sW0GA","All item names (Credit to imthe666st)")</f>
        <v>All item names (Credit to imthe666st)</v>
      </c>
    </row>
    <row r="9" ht="15.75" customHeight="1">
      <c r="A9" s="13" t="s">
        <v>77</v>
      </c>
    </row>
    <row r="10">
      <c r="A10" s="14" t="s">
        <v>80</v>
      </c>
    </row>
    <row r="11" ht="15.75" customHeight="1">
      <c r="A11" s="15" t="s">
        <v>82</v>
      </c>
    </row>
    <row r="12" ht="37.5" customHeight="1">
      <c r="A12" s="14" t="s">
        <v>84</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6" width="10.86"/>
    <col customWidth="1" min="7" max="7" width="4.43"/>
    <col customWidth="1" min="8" max="9" width="10.86"/>
    <col customWidth="1" min="10" max="10" width="5.14"/>
    <col customWidth="1" min="11" max="12" width="5.86"/>
    <col customWidth="1" min="13" max="14" width="8.0"/>
    <col customWidth="1" min="15" max="15" width="5.14"/>
    <col customWidth="1" min="16" max="16" width="12.29"/>
    <col customWidth="1" min="17" max="17" width="25.14"/>
    <col customWidth="1" min="18" max="18" width="8.0"/>
    <col customWidth="1" min="19" max="20" width="10.14"/>
    <col customWidth="1" min="21" max="22" width="9.43"/>
    <col customWidth="1" min="23" max="23" width="8.0"/>
    <col customWidth="1" min="24" max="24" width="11.57"/>
    <col customWidth="1" min="25" max="26" width="9.43"/>
    <col customWidth="1" min="27" max="27" width="8.0"/>
    <col customWidth="1" min="28" max="28" width="10.86"/>
    <col customWidth="1" min="29" max="30" width="8.0"/>
  </cols>
  <sheetData>
    <row r="1" ht="26.25" customHeight="1">
      <c r="A1" s="1" t="s">
        <v>0</v>
      </c>
      <c r="B1" s="2" t="s">
        <v>1</v>
      </c>
      <c r="C1" s="1" t="s">
        <v>2</v>
      </c>
      <c r="D1" s="1" t="s">
        <v>3</v>
      </c>
      <c r="E1" s="1" t="s">
        <v>4</v>
      </c>
      <c r="F1" s="1" t="s">
        <v>5</v>
      </c>
      <c r="G1" s="1" t="s">
        <v>6</v>
      </c>
      <c r="H1" s="1" t="s">
        <v>7</v>
      </c>
      <c r="I1" s="1" t="s">
        <v>8</v>
      </c>
      <c r="J1" s="2" t="s">
        <v>9</v>
      </c>
      <c r="K1" s="2" t="s">
        <v>10</v>
      </c>
      <c r="L1" s="2" t="s">
        <v>11</v>
      </c>
      <c r="M1" s="1" t="s">
        <v>12</v>
      </c>
      <c r="N1" s="1" t="s">
        <v>13</v>
      </c>
      <c r="O1" s="2" t="s">
        <v>14</v>
      </c>
      <c r="P1" s="1" t="s">
        <v>15</v>
      </c>
      <c r="Q1" s="1" t="s">
        <v>16</v>
      </c>
      <c r="R1" s="2" t="s">
        <v>17</v>
      </c>
      <c r="S1" s="1" t="s">
        <v>18</v>
      </c>
      <c r="T1" s="1" t="s">
        <v>19</v>
      </c>
      <c r="U1" s="1" t="s">
        <v>20</v>
      </c>
      <c r="V1" s="1" t="s">
        <v>21</v>
      </c>
      <c r="W1" s="1" t="s">
        <v>22</v>
      </c>
      <c r="X1" s="4" t="s">
        <v>23</v>
      </c>
      <c r="Y1" s="1" t="s">
        <v>24</v>
      </c>
      <c r="Z1" s="1" t="s">
        <v>25</v>
      </c>
      <c r="AA1" s="1" t="s">
        <v>26</v>
      </c>
      <c r="AB1" s="1" t="s">
        <v>27</v>
      </c>
      <c r="AC1" s="2" t="s">
        <v>28</v>
      </c>
      <c r="AD1" s="2" t="s">
        <v>29</v>
      </c>
    </row>
    <row r="2" ht="56.25" customHeight="1">
      <c r="A2" s="5" t="s">
        <v>30</v>
      </c>
      <c r="B2" s="6" t="str">
        <f>IMAGE("https://storage.googleapis.com/acdb/housewares/FtrAcorsticguitar_Remake_0_0.png")</f>
        <v/>
      </c>
      <c r="C2" s="5" t="s">
        <v>32</v>
      </c>
      <c r="D2" s="5" t="s">
        <v>33</v>
      </c>
      <c r="E2" s="5" t="s">
        <v>34</v>
      </c>
      <c r="F2" s="5" t="s">
        <v>34</v>
      </c>
      <c r="G2" s="5" t="s">
        <v>35</v>
      </c>
      <c r="H2" s="5" t="s">
        <v>35</v>
      </c>
      <c r="I2" s="5" t="s">
        <v>36</v>
      </c>
      <c r="J2" s="6">
        <v>5.0</v>
      </c>
      <c r="K2" s="6" t="s">
        <v>37</v>
      </c>
      <c r="L2" s="6">
        <v>3210.0</v>
      </c>
      <c r="M2" s="5" t="s">
        <v>38</v>
      </c>
      <c r="N2" s="5" t="s">
        <v>39</v>
      </c>
      <c r="O2" s="6" t="s">
        <v>40</v>
      </c>
      <c r="P2" s="5" t="s">
        <v>41</v>
      </c>
      <c r="Q2" s="5"/>
      <c r="R2" s="6" t="s">
        <v>42</v>
      </c>
      <c r="S2" s="5" t="s">
        <v>43</v>
      </c>
      <c r="T2" s="5" t="s">
        <v>44</v>
      </c>
      <c r="U2" s="5" t="s">
        <v>44</v>
      </c>
      <c r="V2" s="5" t="s">
        <v>44</v>
      </c>
      <c r="W2" s="5" t="s">
        <v>35</v>
      </c>
      <c r="X2" s="8" t="s">
        <v>45</v>
      </c>
      <c r="Y2" s="5" t="s">
        <v>46</v>
      </c>
      <c r="Z2" s="5" t="s">
        <v>47</v>
      </c>
      <c r="AA2" s="5" t="s">
        <v>48</v>
      </c>
      <c r="AB2" s="5" t="s">
        <v>49</v>
      </c>
      <c r="AC2" s="6" t="s">
        <v>50</v>
      </c>
      <c r="AD2" s="6">
        <v>383.0</v>
      </c>
    </row>
    <row r="3" ht="56.25" customHeight="1">
      <c r="A3" s="5" t="s">
        <v>30</v>
      </c>
      <c r="B3" s="6" t="str">
        <f>IMAGE("https://storage.googleapis.com/acdb/housewares/FtrAcorsticguitar_Remake_1_0.png")</f>
        <v/>
      </c>
      <c r="C3" s="5" t="s">
        <v>51</v>
      </c>
      <c r="D3" s="5" t="s">
        <v>33</v>
      </c>
      <c r="E3" s="5" t="s">
        <v>34</v>
      </c>
      <c r="F3" s="5" t="s">
        <v>34</v>
      </c>
      <c r="G3" s="5" t="s">
        <v>35</v>
      </c>
      <c r="H3" s="5" t="s">
        <v>35</v>
      </c>
      <c r="I3" s="5" t="s">
        <v>36</v>
      </c>
      <c r="J3" s="6">
        <v>5.0</v>
      </c>
      <c r="K3" s="6" t="s">
        <v>37</v>
      </c>
      <c r="L3" s="6">
        <v>3210.0</v>
      </c>
      <c r="M3" s="5" t="s">
        <v>52</v>
      </c>
      <c r="N3" s="5" t="s">
        <v>54</v>
      </c>
      <c r="O3" s="6" t="s">
        <v>40</v>
      </c>
      <c r="P3" s="5" t="s">
        <v>41</v>
      </c>
      <c r="Q3" s="5"/>
      <c r="R3" s="6" t="s">
        <v>42</v>
      </c>
      <c r="S3" s="5" t="s">
        <v>43</v>
      </c>
      <c r="T3" s="5" t="s">
        <v>44</v>
      </c>
      <c r="U3" s="5" t="s">
        <v>44</v>
      </c>
      <c r="V3" s="5" t="s">
        <v>44</v>
      </c>
      <c r="W3" s="5" t="s">
        <v>35</v>
      </c>
      <c r="X3" s="8" t="s">
        <v>45</v>
      </c>
      <c r="Y3" s="5" t="s">
        <v>46</v>
      </c>
      <c r="Z3" s="5" t="s">
        <v>47</v>
      </c>
      <c r="AA3" s="5" t="s">
        <v>48</v>
      </c>
      <c r="AB3" s="5" t="s">
        <v>55</v>
      </c>
      <c r="AC3" s="6" t="s">
        <v>56</v>
      </c>
      <c r="AD3" s="6">
        <v>383.0</v>
      </c>
    </row>
    <row r="4" ht="56.25" customHeight="1">
      <c r="A4" s="5" t="s">
        <v>30</v>
      </c>
      <c r="B4" s="6" t="str">
        <f>IMAGE("https://storage.googleapis.com/acdb/housewares/FtrAcorsticguitar_Remake_2_0.png")</f>
        <v/>
      </c>
      <c r="C4" s="5" t="s">
        <v>39</v>
      </c>
      <c r="D4" s="5" t="s">
        <v>33</v>
      </c>
      <c r="E4" s="5" t="s">
        <v>34</v>
      </c>
      <c r="F4" s="5" t="s">
        <v>34</v>
      </c>
      <c r="G4" s="5" t="s">
        <v>35</v>
      </c>
      <c r="H4" s="5" t="s">
        <v>35</v>
      </c>
      <c r="I4" s="5" t="s">
        <v>36</v>
      </c>
      <c r="J4" s="6">
        <v>5.0</v>
      </c>
      <c r="K4" s="6" t="s">
        <v>37</v>
      </c>
      <c r="L4" s="6">
        <v>3210.0</v>
      </c>
      <c r="M4" s="5" t="s">
        <v>39</v>
      </c>
      <c r="N4" s="5" t="s">
        <v>54</v>
      </c>
      <c r="O4" s="6" t="s">
        <v>40</v>
      </c>
      <c r="P4" s="5" t="s">
        <v>41</v>
      </c>
      <c r="Q4" s="5"/>
      <c r="R4" s="6" t="s">
        <v>42</v>
      </c>
      <c r="S4" s="5" t="s">
        <v>43</v>
      </c>
      <c r="T4" s="5" t="s">
        <v>44</v>
      </c>
      <c r="U4" s="5" t="s">
        <v>44</v>
      </c>
      <c r="V4" s="5" t="s">
        <v>44</v>
      </c>
      <c r="W4" s="5" t="s">
        <v>35</v>
      </c>
      <c r="X4" s="8" t="s">
        <v>45</v>
      </c>
      <c r="Y4" s="5" t="s">
        <v>46</v>
      </c>
      <c r="Z4" s="5" t="s">
        <v>47</v>
      </c>
      <c r="AA4" s="5" t="s">
        <v>48</v>
      </c>
      <c r="AB4" s="5" t="s">
        <v>65</v>
      </c>
      <c r="AC4" s="6" t="s">
        <v>67</v>
      </c>
      <c r="AD4" s="6">
        <v>383.0</v>
      </c>
    </row>
    <row r="5" ht="56.25" customHeight="1">
      <c r="A5" s="5" t="s">
        <v>30</v>
      </c>
      <c r="B5" s="6" t="str">
        <f>IMAGE("https://storage.googleapis.com/acdb/housewares/FtrAcorsticguitar_Remake_3_0.png")</f>
        <v/>
      </c>
      <c r="C5" s="5" t="s">
        <v>68</v>
      </c>
      <c r="D5" s="5" t="s">
        <v>33</v>
      </c>
      <c r="E5" s="5" t="s">
        <v>34</v>
      </c>
      <c r="F5" s="5" t="s">
        <v>34</v>
      </c>
      <c r="G5" s="5" t="s">
        <v>35</v>
      </c>
      <c r="H5" s="5" t="s">
        <v>35</v>
      </c>
      <c r="I5" s="5" t="s">
        <v>36</v>
      </c>
      <c r="J5" s="6">
        <v>5.0</v>
      </c>
      <c r="K5" s="6" t="s">
        <v>37</v>
      </c>
      <c r="L5" s="6">
        <v>3210.0</v>
      </c>
      <c r="M5" s="5" t="s">
        <v>68</v>
      </c>
      <c r="N5" s="5" t="s">
        <v>54</v>
      </c>
      <c r="O5" s="6" t="s">
        <v>40</v>
      </c>
      <c r="P5" s="5" t="s">
        <v>41</v>
      </c>
      <c r="Q5" s="5"/>
      <c r="R5" s="6" t="s">
        <v>42</v>
      </c>
      <c r="S5" s="5" t="s">
        <v>43</v>
      </c>
      <c r="T5" s="5" t="s">
        <v>44</v>
      </c>
      <c r="U5" s="5" t="s">
        <v>44</v>
      </c>
      <c r="V5" s="5" t="s">
        <v>44</v>
      </c>
      <c r="W5" s="5" t="s">
        <v>35</v>
      </c>
      <c r="X5" s="8" t="s">
        <v>45</v>
      </c>
      <c r="Y5" s="5" t="s">
        <v>46</v>
      </c>
      <c r="Z5" s="5" t="s">
        <v>47</v>
      </c>
      <c r="AA5" s="5" t="s">
        <v>48</v>
      </c>
      <c r="AB5" s="5" t="s">
        <v>70</v>
      </c>
      <c r="AC5" s="6" t="s">
        <v>71</v>
      </c>
      <c r="AD5" s="6">
        <v>383.0</v>
      </c>
    </row>
    <row r="6" ht="56.25" customHeight="1">
      <c r="A6" s="5" t="s">
        <v>30</v>
      </c>
      <c r="B6" s="6" t="str">
        <f>IMAGE("https://storage.googleapis.com/acdb/housewares/FtrAcorsticguitar_Remake_4_0.png")</f>
        <v/>
      </c>
      <c r="C6" s="5" t="s">
        <v>57</v>
      </c>
      <c r="D6" s="5" t="s">
        <v>33</v>
      </c>
      <c r="E6" s="5" t="s">
        <v>34</v>
      </c>
      <c r="F6" s="5" t="s">
        <v>34</v>
      </c>
      <c r="G6" s="5" t="s">
        <v>35</v>
      </c>
      <c r="H6" s="5" t="s">
        <v>35</v>
      </c>
      <c r="I6" s="5" t="s">
        <v>36</v>
      </c>
      <c r="J6" s="6">
        <v>5.0</v>
      </c>
      <c r="K6" s="6" t="s">
        <v>37</v>
      </c>
      <c r="L6" s="6">
        <v>3210.0</v>
      </c>
      <c r="M6" s="5" t="s">
        <v>57</v>
      </c>
      <c r="N6" s="5" t="s">
        <v>54</v>
      </c>
      <c r="O6" s="6" t="s">
        <v>40</v>
      </c>
      <c r="P6" s="5" t="s">
        <v>41</v>
      </c>
      <c r="Q6" s="5"/>
      <c r="R6" s="6" t="s">
        <v>42</v>
      </c>
      <c r="S6" s="5" t="s">
        <v>43</v>
      </c>
      <c r="T6" s="5" t="s">
        <v>44</v>
      </c>
      <c r="U6" s="5" t="s">
        <v>44</v>
      </c>
      <c r="V6" s="5" t="s">
        <v>44</v>
      </c>
      <c r="W6" s="5" t="s">
        <v>35</v>
      </c>
      <c r="X6" s="8" t="s">
        <v>45</v>
      </c>
      <c r="Y6" s="5" t="s">
        <v>46</v>
      </c>
      <c r="Z6" s="5" t="s">
        <v>47</v>
      </c>
      <c r="AA6" s="5" t="s">
        <v>48</v>
      </c>
      <c r="AB6" s="5" t="s">
        <v>74</v>
      </c>
      <c r="AC6" s="6" t="s">
        <v>75</v>
      </c>
      <c r="AD6" s="6">
        <v>383.0</v>
      </c>
    </row>
    <row r="7" ht="56.25" customHeight="1">
      <c r="A7" s="5" t="s">
        <v>30</v>
      </c>
      <c r="B7" s="6" t="str">
        <f>IMAGE("https://storage.googleapis.com/acdb/housewares/FtrAcorsticguitar_Remake_5_0.png")</f>
        <v/>
      </c>
      <c r="C7" s="5" t="s">
        <v>54</v>
      </c>
      <c r="D7" s="5" t="s">
        <v>33</v>
      </c>
      <c r="E7" s="5" t="s">
        <v>34</v>
      </c>
      <c r="F7" s="5" t="s">
        <v>34</v>
      </c>
      <c r="G7" s="5" t="s">
        <v>35</v>
      </c>
      <c r="H7" s="5" t="s">
        <v>35</v>
      </c>
      <c r="I7" s="5" t="s">
        <v>36</v>
      </c>
      <c r="J7" s="6">
        <v>5.0</v>
      </c>
      <c r="K7" s="6" t="s">
        <v>37</v>
      </c>
      <c r="L7" s="6">
        <v>3210.0</v>
      </c>
      <c r="M7" s="5" t="s">
        <v>54</v>
      </c>
      <c r="N7" s="5" t="s">
        <v>54</v>
      </c>
      <c r="O7" s="6" t="s">
        <v>40</v>
      </c>
      <c r="P7" s="5" t="s">
        <v>41</v>
      </c>
      <c r="Q7" s="5"/>
      <c r="R7" s="6" t="s">
        <v>42</v>
      </c>
      <c r="S7" s="5" t="s">
        <v>43</v>
      </c>
      <c r="T7" s="5" t="s">
        <v>44</v>
      </c>
      <c r="U7" s="5" t="s">
        <v>44</v>
      </c>
      <c r="V7" s="5" t="s">
        <v>44</v>
      </c>
      <c r="W7" s="5" t="s">
        <v>35</v>
      </c>
      <c r="X7" s="8" t="s">
        <v>45</v>
      </c>
      <c r="Y7" s="5" t="s">
        <v>46</v>
      </c>
      <c r="Z7" s="5" t="s">
        <v>47</v>
      </c>
      <c r="AA7" s="5" t="s">
        <v>48</v>
      </c>
      <c r="AB7" s="5" t="s">
        <v>78</v>
      </c>
      <c r="AC7" s="6" t="s">
        <v>79</v>
      </c>
      <c r="AD7" s="6">
        <v>383.0</v>
      </c>
    </row>
    <row r="8" ht="56.25" customHeight="1">
      <c r="A8" s="5" t="s">
        <v>30</v>
      </c>
      <c r="B8" s="6" t="str">
        <f>IMAGE("https://storage.googleapis.com/acdb/housewares/FtrAcorsticguitar_Remake_6_0.png")</f>
        <v/>
      </c>
      <c r="C8" s="5" t="s">
        <v>69</v>
      </c>
      <c r="D8" s="5" t="s">
        <v>33</v>
      </c>
      <c r="E8" s="5" t="s">
        <v>34</v>
      </c>
      <c r="F8" s="5" t="s">
        <v>34</v>
      </c>
      <c r="G8" s="5" t="s">
        <v>35</v>
      </c>
      <c r="H8" s="5" t="s">
        <v>35</v>
      </c>
      <c r="I8" s="5" t="s">
        <v>36</v>
      </c>
      <c r="J8" s="6">
        <v>5.0</v>
      </c>
      <c r="K8" s="6" t="s">
        <v>37</v>
      </c>
      <c r="L8" s="6">
        <v>3210.0</v>
      </c>
      <c r="M8" s="5" t="s">
        <v>69</v>
      </c>
      <c r="N8" s="5" t="s">
        <v>57</v>
      </c>
      <c r="O8" s="6" t="s">
        <v>40</v>
      </c>
      <c r="P8" s="5" t="s">
        <v>41</v>
      </c>
      <c r="Q8" s="5"/>
      <c r="R8" s="6" t="s">
        <v>42</v>
      </c>
      <c r="S8" s="5" t="s">
        <v>43</v>
      </c>
      <c r="T8" s="5" t="s">
        <v>44</v>
      </c>
      <c r="U8" s="5" t="s">
        <v>44</v>
      </c>
      <c r="V8" s="5" t="s">
        <v>44</v>
      </c>
      <c r="W8" s="5" t="s">
        <v>35</v>
      </c>
      <c r="X8" s="8" t="s">
        <v>45</v>
      </c>
      <c r="Y8" s="5" t="s">
        <v>46</v>
      </c>
      <c r="Z8" s="5" t="s">
        <v>47</v>
      </c>
      <c r="AA8" s="5" t="s">
        <v>48</v>
      </c>
      <c r="AB8" s="5" t="s">
        <v>85</v>
      </c>
      <c r="AC8" s="6" t="s">
        <v>86</v>
      </c>
      <c r="AD8" s="6">
        <v>383.0</v>
      </c>
    </row>
    <row r="9" ht="56.25" customHeight="1">
      <c r="A9" s="5" t="s">
        <v>87</v>
      </c>
      <c r="B9" s="6" t="str">
        <f>IMAGE("https://storage.googleapis.com/acdb/housewares/FtrCirculator_Remake_0_0.png")</f>
        <v/>
      </c>
      <c r="C9" s="5" t="s">
        <v>57</v>
      </c>
      <c r="D9" s="5" t="s">
        <v>34</v>
      </c>
      <c r="E9" s="5" t="s">
        <v>34</v>
      </c>
      <c r="F9" s="5" t="s">
        <v>34</v>
      </c>
      <c r="G9" s="5" t="s">
        <v>36</v>
      </c>
      <c r="H9" s="5" t="s">
        <v>36</v>
      </c>
      <c r="I9" s="5" t="s">
        <v>36</v>
      </c>
      <c r="J9" s="6" t="s">
        <v>34</v>
      </c>
      <c r="K9" s="6">
        <v>1100.0</v>
      </c>
      <c r="L9" s="6">
        <v>275.0</v>
      </c>
      <c r="M9" s="5" t="s">
        <v>57</v>
      </c>
      <c r="N9" s="5" t="s">
        <v>57</v>
      </c>
      <c r="O9" s="6" t="s">
        <v>40</v>
      </c>
      <c r="P9" s="5" t="s">
        <v>59</v>
      </c>
      <c r="Q9" s="5" t="s">
        <v>89</v>
      </c>
      <c r="R9" s="6" t="s">
        <v>42</v>
      </c>
      <c r="S9" s="5" t="s">
        <v>90</v>
      </c>
      <c r="T9" s="5" t="s">
        <v>91</v>
      </c>
      <c r="U9" s="5" t="s">
        <v>44</v>
      </c>
      <c r="V9" s="5" t="s">
        <v>44</v>
      </c>
      <c r="W9" s="5" t="s">
        <v>35</v>
      </c>
      <c r="X9" s="8" t="s">
        <v>92</v>
      </c>
      <c r="Y9" s="5" t="s">
        <v>46</v>
      </c>
      <c r="Z9" s="5" t="s">
        <v>47</v>
      </c>
      <c r="AA9" s="5" t="s">
        <v>64</v>
      </c>
      <c r="AB9" s="5" t="s">
        <v>94</v>
      </c>
      <c r="AC9" s="6" t="s">
        <v>50</v>
      </c>
      <c r="AD9" s="6">
        <v>3821.0</v>
      </c>
    </row>
    <row r="10" ht="56.25" customHeight="1">
      <c r="A10" s="5" t="s">
        <v>87</v>
      </c>
      <c r="B10" s="6" t="str">
        <f>IMAGE("https://storage.googleapis.com/acdb/housewares/FtrCirculator_Remake_1_0.png")</f>
        <v/>
      </c>
      <c r="C10" s="5" t="s">
        <v>54</v>
      </c>
      <c r="D10" s="5" t="s">
        <v>34</v>
      </c>
      <c r="E10" s="5" t="s">
        <v>34</v>
      </c>
      <c r="F10" s="5" t="s">
        <v>34</v>
      </c>
      <c r="G10" s="5" t="s">
        <v>36</v>
      </c>
      <c r="H10" s="5" t="s">
        <v>36</v>
      </c>
      <c r="I10" s="5" t="s">
        <v>36</v>
      </c>
      <c r="J10" s="6" t="s">
        <v>34</v>
      </c>
      <c r="K10" s="6">
        <v>1100.0</v>
      </c>
      <c r="L10" s="6">
        <v>275.0</v>
      </c>
      <c r="M10" s="5" t="s">
        <v>54</v>
      </c>
      <c r="N10" s="5" t="s">
        <v>95</v>
      </c>
      <c r="O10" s="6" t="s">
        <v>40</v>
      </c>
      <c r="P10" s="5" t="s">
        <v>59</v>
      </c>
      <c r="Q10" s="5" t="s">
        <v>89</v>
      </c>
      <c r="R10" s="6" t="s">
        <v>42</v>
      </c>
      <c r="S10" s="5" t="s">
        <v>90</v>
      </c>
      <c r="T10" s="5" t="s">
        <v>91</v>
      </c>
      <c r="U10" s="5" t="s">
        <v>44</v>
      </c>
      <c r="V10" s="5" t="s">
        <v>44</v>
      </c>
      <c r="W10" s="5" t="s">
        <v>35</v>
      </c>
      <c r="X10" s="8" t="s">
        <v>92</v>
      </c>
      <c r="Y10" s="5" t="s">
        <v>46</v>
      </c>
      <c r="Z10" s="5" t="s">
        <v>47</v>
      </c>
      <c r="AA10" s="5" t="s">
        <v>64</v>
      </c>
      <c r="AB10" s="5" t="s">
        <v>100</v>
      </c>
      <c r="AC10" s="6" t="s">
        <v>56</v>
      </c>
      <c r="AD10" s="6">
        <v>3821.0</v>
      </c>
    </row>
    <row r="11" ht="56.25" customHeight="1">
      <c r="A11" s="5" t="s">
        <v>87</v>
      </c>
      <c r="B11" s="6" t="str">
        <f>IMAGE("https://storage.googleapis.com/acdb/housewares/FtrCirculator_Remake_2_0.png")</f>
        <v/>
      </c>
      <c r="C11" s="5" t="s">
        <v>69</v>
      </c>
      <c r="D11" s="5" t="s">
        <v>34</v>
      </c>
      <c r="E11" s="5" t="s">
        <v>34</v>
      </c>
      <c r="F11" s="5" t="s">
        <v>34</v>
      </c>
      <c r="G11" s="5" t="s">
        <v>36</v>
      </c>
      <c r="H11" s="5" t="s">
        <v>36</v>
      </c>
      <c r="I11" s="5" t="s">
        <v>36</v>
      </c>
      <c r="J11" s="6" t="s">
        <v>34</v>
      </c>
      <c r="K11" s="6">
        <v>1100.0</v>
      </c>
      <c r="L11" s="6">
        <v>275.0</v>
      </c>
      <c r="M11" s="5" t="s">
        <v>69</v>
      </c>
      <c r="N11" s="5" t="s">
        <v>69</v>
      </c>
      <c r="O11" s="6" t="s">
        <v>40</v>
      </c>
      <c r="P11" s="5" t="s">
        <v>59</v>
      </c>
      <c r="Q11" s="5" t="s">
        <v>89</v>
      </c>
      <c r="R11" s="6" t="s">
        <v>42</v>
      </c>
      <c r="S11" s="5" t="s">
        <v>90</v>
      </c>
      <c r="T11" s="5" t="s">
        <v>91</v>
      </c>
      <c r="U11" s="5" t="s">
        <v>44</v>
      </c>
      <c r="V11" s="5" t="s">
        <v>44</v>
      </c>
      <c r="W11" s="5" t="s">
        <v>35</v>
      </c>
      <c r="X11" s="8" t="s">
        <v>92</v>
      </c>
      <c r="Y11" s="5" t="s">
        <v>46</v>
      </c>
      <c r="Z11" s="5" t="s">
        <v>47</v>
      </c>
      <c r="AA11" s="5" t="s">
        <v>64</v>
      </c>
      <c r="AB11" s="5" t="s">
        <v>105</v>
      </c>
      <c r="AC11" s="6" t="s">
        <v>67</v>
      </c>
      <c r="AD11" s="6">
        <v>3821.0</v>
      </c>
    </row>
    <row r="12" ht="56.25" customHeight="1">
      <c r="A12" s="5" t="s">
        <v>87</v>
      </c>
      <c r="B12" s="6" t="str">
        <f>IMAGE("https://storage.googleapis.com/acdb/housewares/FtrCirculator_Remake_3_0.png")</f>
        <v/>
      </c>
      <c r="C12" s="5" t="s">
        <v>96</v>
      </c>
      <c r="D12" s="5" t="s">
        <v>34</v>
      </c>
      <c r="E12" s="5" t="s">
        <v>34</v>
      </c>
      <c r="F12" s="5" t="s">
        <v>34</v>
      </c>
      <c r="G12" s="5" t="s">
        <v>36</v>
      </c>
      <c r="H12" s="5" t="s">
        <v>36</v>
      </c>
      <c r="I12" s="5" t="s">
        <v>36</v>
      </c>
      <c r="J12" s="6" t="s">
        <v>34</v>
      </c>
      <c r="K12" s="6">
        <v>1100.0</v>
      </c>
      <c r="L12" s="6">
        <v>275.0</v>
      </c>
      <c r="M12" s="5" t="s">
        <v>96</v>
      </c>
      <c r="N12" s="5" t="s">
        <v>95</v>
      </c>
      <c r="O12" s="6" t="s">
        <v>40</v>
      </c>
      <c r="P12" s="5" t="s">
        <v>59</v>
      </c>
      <c r="Q12" s="5" t="s">
        <v>89</v>
      </c>
      <c r="R12" s="6" t="s">
        <v>42</v>
      </c>
      <c r="S12" s="5" t="s">
        <v>90</v>
      </c>
      <c r="T12" s="5" t="s">
        <v>91</v>
      </c>
      <c r="U12" s="5" t="s">
        <v>44</v>
      </c>
      <c r="V12" s="5" t="s">
        <v>44</v>
      </c>
      <c r="W12" s="5" t="s">
        <v>35</v>
      </c>
      <c r="X12" s="8" t="s">
        <v>92</v>
      </c>
      <c r="Y12" s="5" t="s">
        <v>46</v>
      </c>
      <c r="Z12" s="5" t="s">
        <v>47</v>
      </c>
      <c r="AA12" s="5" t="s">
        <v>64</v>
      </c>
      <c r="AB12" s="5" t="s">
        <v>112</v>
      </c>
      <c r="AC12" s="6" t="s">
        <v>71</v>
      </c>
      <c r="AD12" s="6">
        <v>3821.0</v>
      </c>
    </row>
    <row r="13" ht="56.25" customHeight="1">
      <c r="A13" s="5" t="s">
        <v>87</v>
      </c>
      <c r="B13" s="6" t="str">
        <f>IMAGE("https://storage.googleapis.com/acdb/housewares/FtrCirculator_Remake_4_0.png")</f>
        <v/>
      </c>
      <c r="C13" s="5" t="s">
        <v>114</v>
      </c>
      <c r="D13" s="5" t="s">
        <v>34</v>
      </c>
      <c r="E13" s="5" t="s">
        <v>34</v>
      </c>
      <c r="F13" s="5" t="s">
        <v>34</v>
      </c>
      <c r="G13" s="5" t="s">
        <v>36</v>
      </c>
      <c r="H13" s="5" t="s">
        <v>36</v>
      </c>
      <c r="I13" s="5" t="s">
        <v>36</v>
      </c>
      <c r="J13" s="6" t="s">
        <v>34</v>
      </c>
      <c r="K13" s="6">
        <v>1100.0</v>
      </c>
      <c r="L13" s="6">
        <v>275.0</v>
      </c>
      <c r="M13" s="5" t="s">
        <v>114</v>
      </c>
      <c r="N13" s="5" t="s">
        <v>95</v>
      </c>
      <c r="O13" s="6" t="s">
        <v>40</v>
      </c>
      <c r="P13" s="5" t="s">
        <v>59</v>
      </c>
      <c r="Q13" s="5" t="s">
        <v>89</v>
      </c>
      <c r="R13" s="6" t="s">
        <v>42</v>
      </c>
      <c r="S13" s="5" t="s">
        <v>90</v>
      </c>
      <c r="T13" s="5" t="s">
        <v>91</v>
      </c>
      <c r="U13" s="5" t="s">
        <v>44</v>
      </c>
      <c r="V13" s="5" t="s">
        <v>44</v>
      </c>
      <c r="W13" s="5" t="s">
        <v>35</v>
      </c>
      <c r="X13" s="8" t="s">
        <v>92</v>
      </c>
      <c r="Y13" s="5" t="s">
        <v>46</v>
      </c>
      <c r="Z13" s="5" t="s">
        <v>47</v>
      </c>
      <c r="AA13" s="5" t="s">
        <v>64</v>
      </c>
      <c r="AB13" s="5" t="s">
        <v>119</v>
      </c>
      <c r="AC13" s="6" t="s">
        <v>75</v>
      </c>
      <c r="AD13" s="6">
        <v>3821.0</v>
      </c>
    </row>
    <row r="14" ht="56.25" customHeight="1">
      <c r="A14" s="5" t="s">
        <v>121</v>
      </c>
      <c r="B14" s="6" t="str">
        <f>IMAGE("https://storage.googleapis.com/acdb/housewares/FtrAltosax.png")</f>
        <v/>
      </c>
      <c r="C14" s="5" t="s">
        <v>34</v>
      </c>
      <c r="D14" s="5" t="s">
        <v>34</v>
      </c>
      <c r="E14" s="5" t="s">
        <v>34</v>
      </c>
      <c r="F14" s="5" t="s">
        <v>34</v>
      </c>
      <c r="G14" s="5" t="s">
        <v>36</v>
      </c>
      <c r="H14" s="5" t="s">
        <v>36</v>
      </c>
      <c r="I14" s="5" t="s">
        <v>36</v>
      </c>
      <c r="J14" s="6" t="s">
        <v>34</v>
      </c>
      <c r="K14" s="6">
        <v>3400.0</v>
      </c>
      <c r="L14" s="6">
        <v>850.0</v>
      </c>
      <c r="M14" s="5" t="s">
        <v>114</v>
      </c>
      <c r="N14" s="5" t="s">
        <v>114</v>
      </c>
      <c r="O14" s="6" t="s">
        <v>40</v>
      </c>
      <c r="P14" s="5" t="s">
        <v>59</v>
      </c>
      <c r="Q14" s="5" t="s">
        <v>122</v>
      </c>
      <c r="R14" s="6" t="s">
        <v>42</v>
      </c>
      <c r="S14" s="5" t="s">
        <v>43</v>
      </c>
      <c r="T14" s="5" t="s">
        <v>44</v>
      </c>
      <c r="U14" s="5" t="s">
        <v>44</v>
      </c>
      <c r="V14" s="5" t="s">
        <v>44</v>
      </c>
      <c r="W14" s="5" t="s">
        <v>35</v>
      </c>
      <c r="X14" s="8" t="s">
        <v>45</v>
      </c>
      <c r="Y14" s="5" t="s">
        <v>46</v>
      </c>
      <c r="Z14" s="5" t="s">
        <v>47</v>
      </c>
      <c r="AA14" s="5" t="s">
        <v>64</v>
      </c>
      <c r="AB14" s="5" t="s">
        <v>126</v>
      </c>
      <c r="AC14" s="6" t="s">
        <v>34</v>
      </c>
      <c r="AD14" s="6">
        <v>846.0</v>
      </c>
    </row>
    <row r="15" ht="56.25" customHeight="1">
      <c r="A15" s="5" t="s">
        <v>127</v>
      </c>
      <c r="B15" s="6" t="str">
        <f>IMAGE("https://storage.googleapis.com/acdb/housewares/FtrAnatomicalmodel.png")</f>
        <v/>
      </c>
      <c r="C15" s="5" t="s">
        <v>34</v>
      </c>
      <c r="D15" s="5" t="s">
        <v>34</v>
      </c>
      <c r="E15" s="5" t="s">
        <v>34</v>
      </c>
      <c r="F15" s="5" t="s">
        <v>34</v>
      </c>
      <c r="G15" s="5" t="s">
        <v>36</v>
      </c>
      <c r="H15" s="5" t="s">
        <v>36</v>
      </c>
      <c r="I15" s="5" t="s">
        <v>36</v>
      </c>
      <c r="J15" s="6" t="s">
        <v>34</v>
      </c>
      <c r="K15" s="6">
        <v>3500.0</v>
      </c>
      <c r="L15" s="6">
        <v>875.0</v>
      </c>
      <c r="M15" s="5" t="s">
        <v>58</v>
      </c>
      <c r="N15" s="5" t="s">
        <v>38</v>
      </c>
      <c r="O15" s="6" t="s">
        <v>40</v>
      </c>
      <c r="P15" s="5" t="s">
        <v>59</v>
      </c>
      <c r="Q15" s="5" t="s">
        <v>89</v>
      </c>
      <c r="R15" s="6" t="s">
        <v>42</v>
      </c>
      <c r="S15" s="5" t="s">
        <v>130</v>
      </c>
      <c r="T15" s="5" t="s">
        <v>116</v>
      </c>
      <c r="U15" s="5" t="s">
        <v>44</v>
      </c>
      <c r="V15" s="5" t="s">
        <v>44</v>
      </c>
      <c r="W15" s="5" t="s">
        <v>36</v>
      </c>
      <c r="X15" s="8" t="s">
        <v>131</v>
      </c>
      <c r="Y15" s="5" t="s">
        <v>46</v>
      </c>
      <c r="Z15" s="5" t="s">
        <v>47</v>
      </c>
      <c r="AA15" s="5" t="s">
        <v>64</v>
      </c>
      <c r="AB15" s="5" t="s">
        <v>133</v>
      </c>
      <c r="AC15" s="6" t="s">
        <v>34</v>
      </c>
      <c r="AD15" s="6">
        <v>1317.0</v>
      </c>
    </row>
    <row r="16" ht="56.25" customHeight="1">
      <c r="A16" s="5" t="s">
        <v>134</v>
      </c>
      <c r="B16" s="6" t="str">
        <f>IMAGE("https://storage.googleapis.com/acdb/housewares/FtrShipanchor_Remake_0_0.png")</f>
        <v/>
      </c>
      <c r="C16" s="5" t="s">
        <v>54</v>
      </c>
      <c r="D16" s="5" t="s">
        <v>135</v>
      </c>
      <c r="E16" s="5" t="s">
        <v>34</v>
      </c>
      <c r="F16" s="5" t="s">
        <v>34</v>
      </c>
      <c r="G16" s="5" t="s">
        <v>36</v>
      </c>
      <c r="H16" s="5" t="s">
        <v>35</v>
      </c>
      <c r="I16" s="5" t="s">
        <v>36</v>
      </c>
      <c r="J16" s="6">
        <v>2.0</v>
      </c>
      <c r="K16" s="6" t="s">
        <v>37</v>
      </c>
      <c r="L16" s="6">
        <v>1400.0</v>
      </c>
      <c r="M16" s="5" t="s">
        <v>54</v>
      </c>
      <c r="N16" s="5" t="s">
        <v>38</v>
      </c>
      <c r="O16" s="6" t="s">
        <v>40</v>
      </c>
      <c r="P16" s="5" t="s">
        <v>137</v>
      </c>
      <c r="Q16" s="5"/>
      <c r="R16" s="6" t="s">
        <v>42</v>
      </c>
      <c r="S16" s="5" t="s">
        <v>138</v>
      </c>
      <c r="T16" s="5" t="s">
        <v>44</v>
      </c>
      <c r="U16" s="5" t="s">
        <v>44</v>
      </c>
      <c r="V16" s="5" t="s">
        <v>44</v>
      </c>
      <c r="W16" s="5" t="s">
        <v>36</v>
      </c>
      <c r="X16" s="8" t="s">
        <v>140</v>
      </c>
      <c r="Y16" s="5" t="s">
        <v>46</v>
      </c>
      <c r="Z16" s="5" t="s">
        <v>47</v>
      </c>
      <c r="AA16" s="5" t="s">
        <v>48</v>
      </c>
      <c r="AB16" s="5" t="s">
        <v>143</v>
      </c>
      <c r="AC16" s="6" t="s">
        <v>50</v>
      </c>
      <c r="AD16" s="6">
        <v>7238.0</v>
      </c>
    </row>
    <row r="17" ht="56.25" customHeight="1">
      <c r="A17" s="5" t="s">
        <v>134</v>
      </c>
      <c r="B17" s="6" t="str">
        <f>IMAGE("https://storage.googleapis.com/acdb/housewares/FtrShipanchor_Remake_1_0.png")</f>
        <v/>
      </c>
      <c r="C17" s="5" t="s">
        <v>146</v>
      </c>
      <c r="D17" s="5" t="s">
        <v>135</v>
      </c>
      <c r="E17" s="5" t="s">
        <v>34</v>
      </c>
      <c r="F17" s="5" t="s">
        <v>34</v>
      </c>
      <c r="G17" s="5" t="s">
        <v>36</v>
      </c>
      <c r="H17" s="5" t="s">
        <v>35</v>
      </c>
      <c r="I17" s="5" t="s">
        <v>36</v>
      </c>
      <c r="J17" s="6">
        <v>2.0</v>
      </c>
      <c r="K17" s="6" t="s">
        <v>37</v>
      </c>
      <c r="L17" s="6">
        <v>1400.0</v>
      </c>
      <c r="M17" s="5" t="s">
        <v>95</v>
      </c>
      <c r="N17" s="5" t="s">
        <v>38</v>
      </c>
      <c r="O17" s="6" t="s">
        <v>40</v>
      </c>
      <c r="P17" s="5" t="s">
        <v>137</v>
      </c>
      <c r="Q17" s="5"/>
      <c r="R17" s="6" t="s">
        <v>42</v>
      </c>
      <c r="S17" s="5" t="s">
        <v>138</v>
      </c>
      <c r="T17" s="5" t="s">
        <v>44</v>
      </c>
      <c r="U17" s="5" t="s">
        <v>44</v>
      </c>
      <c r="V17" s="5" t="s">
        <v>44</v>
      </c>
      <c r="W17" s="5" t="s">
        <v>36</v>
      </c>
      <c r="X17" s="8" t="s">
        <v>140</v>
      </c>
      <c r="Y17" s="5" t="s">
        <v>46</v>
      </c>
      <c r="Z17" s="5" t="s">
        <v>47</v>
      </c>
      <c r="AA17" s="5" t="s">
        <v>48</v>
      </c>
      <c r="AB17" s="5" t="s">
        <v>149</v>
      </c>
      <c r="AC17" s="6" t="s">
        <v>56</v>
      </c>
      <c r="AD17" s="6">
        <v>7238.0</v>
      </c>
    </row>
    <row r="18" ht="56.25" customHeight="1">
      <c r="A18" s="5" t="s">
        <v>134</v>
      </c>
      <c r="B18" s="6" t="str">
        <f>IMAGE("https://storage.googleapis.com/acdb/housewares/FtrShipanchor_Remake_2_0.png")</f>
        <v/>
      </c>
      <c r="C18" s="5" t="s">
        <v>151</v>
      </c>
      <c r="D18" s="5" t="s">
        <v>135</v>
      </c>
      <c r="E18" s="5" t="s">
        <v>34</v>
      </c>
      <c r="F18" s="5" t="s">
        <v>34</v>
      </c>
      <c r="G18" s="5" t="s">
        <v>36</v>
      </c>
      <c r="H18" s="5" t="s">
        <v>35</v>
      </c>
      <c r="I18" s="5" t="s">
        <v>36</v>
      </c>
      <c r="J18" s="6">
        <v>2.0</v>
      </c>
      <c r="K18" s="6" t="s">
        <v>37</v>
      </c>
      <c r="L18" s="6">
        <v>1400.0</v>
      </c>
      <c r="M18" s="5" t="s">
        <v>39</v>
      </c>
      <c r="N18" s="5" t="s">
        <v>38</v>
      </c>
      <c r="O18" s="6" t="s">
        <v>40</v>
      </c>
      <c r="P18" s="5" t="s">
        <v>137</v>
      </c>
      <c r="Q18" s="5"/>
      <c r="R18" s="6" t="s">
        <v>42</v>
      </c>
      <c r="S18" s="5" t="s">
        <v>138</v>
      </c>
      <c r="T18" s="5" t="s">
        <v>44</v>
      </c>
      <c r="U18" s="5" t="s">
        <v>44</v>
      </c>
      <c r="V18" s="5" t="s">
        <v>44</v>
      </c>
      <c r="W18" s="5" t="s">
        <v>36</v>
      </c>
      <c r="X18" s="8" t="s">
        <v>140</v>
      </c>
      <c r="Y18" s="5" t="s">
        <v>46</v>
      </c>
      <c r="Z18" s="5" t="s">
        <v>47</v>
      </c>
      <c r="AA18" s="5" t="s">
        <v>48</v>
      </c>
      <c r="AB18" s="5" t="s">
        <v>153</v>
      </c>
      <c r="AC18" s="6" t="s">
        <v>67</v>
      </c>
      <c r="AD18" s="6">
        <v>7238.0</v>
      </c>
    </row>
    <row r="19" ht="56.25" customHeight="1">
      <c r="A19" s="5" t="s">
        <v>134</v>
      </c>
      <c r="B19" s="6" t="str">
        <f>IMAGE("https://storage.googleapis.com/acdb/housewares/FtrShipanchor_Remake_3_0.png")</f>
        <v/>
      </c>
      <c r="C19" s="5" t="s">
        <v>57</v>
      </c>
      <c r="D19" s="5" t="s">
        <v>135</v>
      </c>
      <c r="E19" s="5" t="s">
        <v>34</v>
      </c>
      <c r="F19" s="5" t="s">
        <v>34</v>
      </c>
      <c r="G19" s="5" t="s">
        <v>36</v>
      </c>
      <c r="H19" s="5" t="s">
        <v>35</v>
      </c>
      <c r="I19" s="5" t="s">
        <v>36</v>
      </c>
      <c r="J19" s="6">
        <v>2.0</v>
      </c>
      <c r="K19" s="6" t="s">
        <v>37</v>
      </c>
      <c r="L19" s="6">
        <v>1400.0</v>
      </c>
      <c r="M19" s="5" t="s">
        <v>57</v>
      </c>
      <c r="N19" s="5" t="s">
        <v>38</v>
      </c>
      <c r="O19" s="6" t="s">
        <v>40</v>
      </c>
      <c r="P19" s="5" t="s">
        <v>137</v>
      </c>
      <c r="Q19" s="5"/>
      <c r="R19" s="6" t="s">
        <v>42</v>
      </c>
      <c r="S19" s="5" t="s">
        <v>138</v>
      </c>
      <c r="T19" s="5" t="s">
        <v>44</v>
      </c>
      <c r="U19" s="5" t="s">
        <v>44</v>
      </c>
      <c r="V19" s="5" t="s">
        <v>44</v>
      </c>
      <c r="W19" s="5" t="s">
        <v>36</v>
      </c>
      <c r="X19" s="8" t="s">
        <v>140</v>
      </c>
      <c r="Y19" s="5" t="s">
        <v>46</v>
      </c>
      <c r="Z19" s="5" t="s">
        <v>47</v>
      </c>
      <c r="AA19" s="5" t="s">
        <v>48</v>
      </c>
      <c r="AB19" s="5" t="s">
        <v>156</v>
      </c>
      <c r="AC19" s="6" t="s">
        <v>71</v>
      </c>
      <c r="AD19" s="6">
        <v>7238.0</v>
      </c>
    </row>
    <row r="20" ht="56.25" customHeight="1">
      <c r="A20" s="5" t="s">
        <v>134</v>
      </c>
      <c r="B20" s="6" t="str">
        <f>IMAGE("https://storage.googleapis.com/acdb/housewares/FtrShipanchor_Remake_4_0.png")</f>
        <v/>
      </c>
      <c r="C20" s="5" t="s">
        <v>68</v>
      </c>
      <c r="D20" s="5" t="s">
        <v>135</v>
      </c>
      <c r="E20" s="5" t="s">
        <v>34</v>
      </c>
      <c r="F20" s="5" t="s">
        <v>34</v>
      </c>
      <c r="G20" s="5" t="s">
        <v>36</v>
      </c>
      <c r="H20" s="5" t="s">
        <v>35</v>
      </c>
      <c r="I20" s="5" t="s">
        <v>36</v>
      </c>
      <c r="J20" s="6">
        <v>2.0</v>
      </c>
      <c r="K20" s="6" t="s">
        <v>37</v>
      </c>
      <c r="L20" s="6">
        <v>1400.0</v>
      </c>
      <c r="M20" s="5" t="s">
        <v>68</v>
      </c>
      <c r="N20" s="5" t="s">
        <v>57</v>
      </c>
      <c r="O20" s="6" t="s">
        <v>40</v>
      </c>
      <c r="P20" s="5" t="s">
        <v>137</v>
      </c>
      <c r="Q20" s="5"/>
      <c r="R20" s="6" t="s">
        <v>42</v>
      </c>
      <c r="S20" s="5" t="s">
        <v>138</v>
      </c>
      <c r="T20" s="5" t="s">
        <v>44</v>
      </c>
      <c r="U20" s="5" t="s">
        <v>44</v>
      </c>
      <c r="V20" s="5" t="s">
        <v>44</v>
      </c>
      <c r="W20" s="5" t="s">
        <v>36</v>
      </c>
      <c r="X20" s="8" t="s">
        <v>140</v>
      </c>
      <c r="Y20" s="5" t="s">
        <v>46</v>
      </c>
      <c r="Z20" s="5" t="s">
        <v>47</v>
      </c>
      <c r="AA20" s="5" t="s">
        <v>48</v>
      </c>
      <c r="AB20" s="5" t="s">
        <v>163</v>
      </c>
      <c r="AC20" s="6" t="s">
        <v>75</v>
      </c>
      <c r="AD20" s="6">
        <v>7238.0</v>
      </c>
    </row>
    <row r="21" ht="56.25" customHeight="1">
      <c r="A21" s="5" t="s">
        <v>134</v>
      </c>
      <c r="B21" s="6" t="str">
        <f>IMAGE("https://storage.googleapis.com/acdb/housewares/FtrShipanchor_Remake_5_0.png")</f>
        <v/>
      </c>
      <c r="C21" s="5" t="s">
        <v>164</v>
      </c>
      <c r="D21" s="5" t="s">
        <v>135</v>
      </c>
      <c r="E21" s="5" t="s">
        <v>34</v>
      </c>
      <c r="F21" s="5" t="s">
        <v>34</v>
      </c>
      <c r="G21" s="5" t="s">
        <v>36</v>
      </c>
      <c r="H21" s="5" t="s">
        <v>35</v>
      </c>
      <c r="I21" s="5" t="s">
        <v>36</v>
      </c>
      <c r="J21" s="6">
        <v>2.0</v>
      </c>
      <c r="K21" s="6" t="s">
        <v>37</v>
      </c>
      <c r="L21" s="6">
        <v>1400.0</v>
      </c>
      <c r="M21" s="5" t="s">
        <v>39</v>
      </c>
      <c r="N21" s="5" t="s">
        <v>95</v>
      </c>
      <c r="O21" s="6" t="s">
        <v>40</v>
      </c>
      <c r="P21" s="5" t="s">
        <v>137</v>
      </c>
      <c r="Q21" s="5"/>
      <c r="R21" s="6" t="s">
        <v>42</v>
      </c>
      <c r="S21" s="5" t="s">
        <v>138</v>
      </c>
      <c r="T21" s="5" t="s">
        <v>44</v>
      </c>
      <c r="U21" s="5" t="s">
        <v>44</v>
      </c>
      <c r="V21" s="5" t="s">
        <v>44</v>
      </c>
      <c r="W21" s="5" t="s">
        <v>36</v>
      </c>
      <c r="X21" s="8" t="s">
        <v>140</v>
      </c>
      <c r="Y21" s="5" t="s">
        <v>46</v>
      </c>
      <c r="Z21" s="5" t="s">
        <v>47</v>
      </c>
      <c r="AA21" s="5" t="s">
        <v>48</v>
      </c>
      <c r="AB21" s="5" t="s">
        <v>166</v>
      </c>
      <c r="AC21" s="6" t="s">
        <v>79</v>
      </c>
      <c r="AD21" s="6">
        <v>7238.0</v>
      </c>
    </row>
    <row r="22" ht="56.25" customHeight="1">
      <c r="A22" s="5" t="s">
        <v>167</v>
      </c>
      <c r="B22" s="6" t="str">
        <f>IMAGE("https://storage.googleapis.com/acdb/housewares/FtrSignpostTilt_Remake_0_0.png")</f>
        <v/>
      </c>
      <c r="C22" s="5" t="s">
        <v>170</v>
      </c>
      <c r="D22" s="5" t="s">
        <v>171</v>
      </c>
      <c r="E22" s="5" t="s">
        <v>34</v>
      </c>
      <c r="F22" s="5" t="s">
        <v>34</v>
      </c>
      <c r="G22" s="5" t="s">
        <v>35</v>
      </c>
      <c r="H22" s="5" t="s">
        <v>35</v>
      </c>
      <c r="I22" s="5" t="s">
        <v>36</v>
      </c>
      <c r="J22" s="6">
        <v>1.0</v>
      </c>
      <c r="K22" s="6" t="s">
        <v>37</v>
      </c>
      <c r="L22" s="6">
        <v>600.0</v>
      </c>
      <c r="M22" s="5" t="s">
        <v>38</v>
      </c>
      <c r="N22" s="5" t="s">
        <v>39</v>
      </c>
      <c r="O22" s="6" t="s">
        <v>40</v>
      </c>
      <c r="P22" s="5" t="s">
        <v>41</v>
      </c>
      <c r="Q22" s="5"/>
      <c r="R22" s="6" t="s">
        <v>42</v>
      </c>
      <c r="S22" s="5" t="s">
        <v>172</v>
      </c>
      <c r="T22" s="5" t="s">
        <v>44</v>
      </c>
      <c r="U22" s="5" t="s">
        <v>44</v>
      </c>
      <c r="V22" s="5" t="s">
        <v>44</v>
      </c>
      <c r="W22" s="5" t="s">
        <v>36</v>
      </c>
      <c r="X22" s="8" t="s">
        <v>173</v>
      </c>
      <c r="Y22" s="5" t="s">
        <v>46</v>
      </c>
      <c r="Z22" s="5" t="s">
        <v>47</v>
      </c>
      <c r="AA22" s="5" t="s">
        <v>48</v>
      </c>
      <c r="AB22" s="5" t="s">
        <v>174</v>
      </c>
      <c r="AC22" s="6" t="s">
        <v>50</v>
      </c>
      <c r="AD22" s="6">
        <v>7867.0</v>
      </c>
    </row>
    <row r="23" ht="56.25" customHeight="1">
      <c r="A23" s="5" t="s">
        <v>167</v>
      </c>
      <c r="B23" s="6" t="str">
        <f>IMAGE("https://storage.googleapis.com/acdb/housewares/FtrSignpostTilt_Remake_1_0.png")</f>
        <v/>
      </c>
      <c r="C23" s="5" t="s">
        <v>178</v>
      </c>
      <c r="D23" s="5" t="s">
        <v>171</v>
      </c>
      <c r="E23" s="5" t="s">
        <v>34</v>
      </c>
      <c r="F23" s="5" t="s">
        <v>34</v>
      </c>
      <c r="G23" s="5" t="s">
        <v>35</v>
      </c>
      <c r="H23" s="5" t="s">
        <v>35</v>
      </c>
      <c r="I23" s="5" t="s">
        <v>36</v>
      </c>
      <c r="J23" s="6">
        <v>1.0</v>
      </c>
      <c r="K23" s="6" t="s">
        <v>37</v>
      </c>
      <c r="L23" s="6">
        <v>600.0</v>
      </c>
      <c r="M23" s="5" t="s">
        <v>38</v>
      </c>
      <c r="N23" s="5" t="s">
        <v>39</v>
      </c>
      <c r="O23" s="6" t="s">
        <v>40</v>
      </c>
      <c r="P23" s="5" t="s">
        <v>41</v>
      </c>
      <c r="Q23" s="5"/>
      <c r="R23" s="6" t="s">
        <v>42</v>
      </c>
      <c r="S23" s="5" t="s">
        <v>172</v>
      </c>
      <c r="T23" s="5" t="s">
        <v>44</v>
      </c>
      <c r="U23" s="5" t="s">
        <v>44</v>
      </c>
      <c r="V23" s="5" t="s">
        <v>44</v>
      </c>
      <c r="W23" s="5" t="s">
        <v>36</v>
      </c>
      <c r="X23" s="8" t="s">
        <v>173</v>
      </c>
      <c r="Y23" s="5" t="s">
        <v>46</v>
      </c>
      <c r="Z23" s="5" t="s">
        <v>47</v>
      </c>
      <c r="AA23" s="5" t="s">
        <v>48</v>
      </c>
      <c r="AB23" s="5" t="s">
        <v>180</v>
      </c>
      <c r="AC23" s="6" t="s">
        <v>56</v>
      </c>
      <c r="AD23" s="6">
        <v>7867.0</v>
      </c>
    </row>
    <row r="24" ht="56.25" customHeight="1">
      <c r="A24" s="5" t="s">
        <v>167</v>
      </c>
      <c r="B24" s="6" t="str">
        <f>IMAGE("https://storage.googleapis.com/acdb/housewares/FtrSignpostTilt_Remake_2_0.png")</f>
        <v/>
      </c>
      <c r="C24" s="5" t="s">
        <v>183</v>
      </c>
      <c r="D24" s="5" t="s">
        <v>171</v>
      </c>
      <c r="E24" s="5" t="s">
        <v>34</v>
      </c>
      <c r="F24" s="5" t="s">
        <v>34</v>
      </c>
      <c r="G24" s="5" t="s">
        <v>35</v>
      </c>
      <c r="H24" s="5" t="s">
        <v>35</v>
      </c>
      <c r="I24" s="5" t="s">
        <v>36</v>
      </c>
      <c r="J24" s="6">
        <v>1.0</v>
      </c>
      <c r="K24" s="6" t="s">
        <v>37</v>
      </c>
      <c r="L24" s="6">
        <v>600.0</v>
      </c>
      <c r="M24" s="5" t="s">
        <v>38</v>
      </c>
      <c r="N24" s="5" t="s">
        <v>39</v>
      </c>
      <c r="O24" s="6" t="s">
        <v>40</v>
      </c>
      <c r="P24" s="5" t="s">
        <v>41</v>
      </c>
      <c r="Q24" s="5"/>
      <c r="R24" s="6" t="s">
        <v>42</v>
      </c>
      <c r="S24" s="5" t="s">
        <v>172</v>
      </c>
      <c r="T24" s="5" t="s">
        <v>44</v>
      </c>
      <c r="U24" s="5" t="s">
        <v>44</v>
      </c>
      <c r="V24" s="5" t="s">
        <v>44</v>
      </c>
      <c r="W24" s="5" t="s">
        <v>36</v>
      </c>
      <c r="X24" s="8" t="s">
        <v>173</v>
      </c>
      <c r="Y24" s="5" t="s">
        <v>46</v>
      </c>
      <c r="Z24" s="5" t="s">
        <v>47</v>
      </c>
      <c r="AA24" s="5" t="s">
        <v>48</v>
      </c>
      <c r="AB24" s="5" t="s">
        <v>187</v>
      </c>
      <c r="AC24" s="6" t="s">
        <v>67</v>
      </c>
      <c r="AD24" s="6">
        <v>7867.0</v>
      </c>
    </row>
    <row r="25" ht="56.25" customHeight="1">
      <c r="A25" s="5" t="s">
        <v>167</v>
      </c>
      <c r="B25" s="6" t="str">
        <f>IMAGE("https://storage.googleapis.com/acdb/housewares/FtrSignpostTilt_Remake_3_0.png")</f>
        <v/>
      </c>
      <c r="C25" s="5" t="s">
        <v>188</v>
      </c>
      <c r="D25" s="5" t="s">
        <v>171</v>
      </c>
      <c r="E25" s="5" t="s">
        <v>34</v>
      </c>
      <c r="F25" s="5" t="s">
        <v>34</v>
      </c>
      <c r="G25" s="5" t="s">
        <v>35</v>
      </c>
      <c r="H25" s="5" t="s">
        <v>35</v>
      </c>
      <c r="I25" s="5" t="s">
        <v>36</v>
      </c>
      <c r="J25" s="6">
        <v>1.0</v>
      </c>
      <c r="K25" s="6" t="s">
        <v>37</v>
      </c>
      <c r="L25" s="6">
        <v>600.0</v>
      </c>
      <c r="M25" s="5" t="s">
        <v>38</v>
      </c>
      <c r="N25" s="5" t="s">
        <v>39</v>
      </c>
      <c r="O25" s="6" t="s">
        <v>40</v>
      </c>
      <c r="P25" s="5" t="s">
        <v>41</v>
      </c>
      <c r="Q25" s="5"/>
      <c r="R25" s="6" t="s">
        <v>42</v>
      </c>
      <c r="S25" s="5" t="s">
        <v>172</v>
      </c>
      <c r="T25" s="5" t="s">
        <v>44</v>
      </c>
      <c r="U25" s="5" t="s">
        <v>44</v>
      </c>
      <c r="V25" s="5" t="s">
        <v>44</v>
      </c>
      <c r="W25" s="5" t="s">
        <v>36</v>
      </c>
      <c r="X25" s="8" t="s">
        <v>173</v>
      </c>
      <c r="Y25" s="5" t="s">
        <v>46</v>
      </c>
      <c r="Z25" s="5" t="s">
        <v>47</v>
      </c>
      <c r="AA25" s="5" t="s">
        <v>48</v>
      </c>
      <c r="AB25" s="5" t="s">
        <v>190</v>
      </c>
      <c r="AC25" s="6" t="s">
        <v>71</v>
      </c>
      <c r="AD25" s="6">
        <v>7867.0</v>
      </c>
    </row>
    <row r="26" ht="56.25" customHeight="1">
      <c r="A26" s="5" t="s">
        <v>167</v>
      </c>
      <c r="B26" s="6" t="str">
        <f>IMAGE("https://storage.googleapis.com/acdb/housewares/FtrSignpostTilt_Remake_4_0.png")</f>
        <v/>
      </c>
      <c r="C26" s="5" t="s">
        <v>192</v>
      </c>
      <c r="D26" s="5" t="s">
        <v>171</v>
      </c>
      <c r="E26" s="5" t="s">
        <v>34</v>
      </c>
      <c r="F26" s="5" t="s">
        <v>34</v>
      </c>
      <c r="G26" s="5" t="s">
        <v>35</v>
      </c>
      <c r="H26" s="5" t="s">
        <v>35</v>
      </c>
      <c r="I26" s="5" t="s">
        <v>36</v>
      </c>
      <c r="J26" s="6">
        <v>1.0</v>
      </c>
      <c r="K26" s="6" t="s">
        <v>37</v>
      </c>
      <c r="L26" s="6">
        <v>600.0</v>
      </c>
      <c r="M26" s="5" t="s">
        <v>38</v>
      </c>
      <c r="N26" s="5" t="s">
        <v>39</v>
      </c>
      <c r="O26" s="6" t="s">
        <v>40</v>
      </c>
      <c r="P26" s="5" t="s">
        <v>41</v>
      </c>
      <c r="Q26" s="5"/>
      <c r="R26" s="6" t="s">
        <v>42</v>
      </c>
      <c r="S26" s="5" t="s">
        <v>172</v>
      </c>
      <c r="T26" s="5" t="s">
        <v>44</v>
      </c>
      <c r="U26" s="5" t="s">
        <v>44</v>
      </c>
      <c r="V26" s="5" t="s">
        <v>44</v>
      </c>
      <c r="W26" s="5" t="s">
        <v>36</v>
      </c>
      <c r="X26" s="8" t="s">
        <v>173</v>
      </c>
      <c r="Y26" s="5" t="s">
        <v>46</v>
      </c>
      <c r="Z26" s="5" t="s">
        <v>47</v>
      </c>
      <c r="AA26" s="5" t="s">
        <v>48</v>
      </c>
      <c r="AB26" s="5" t="s">
        <v>193</v>
      </c>
      <c r="AC26" s="6" t="s">
        <v>75</v>
      </c>
      <c r="AD26" s="6">
        <v>7867.0</v>
      </c>
    </row>
    <row r="27" ht="56.25" customHeight="1">
      <c r="A27" s="5" t="s">
        <v>167</v>
      </c>
      <c r="B27" s="6" t="str">
        <f>IMAGE("https://storage.googleapis.com/acdb/housewares/FtrSignpostTilt_Remake_5_0.png")</f>
        <v/>
      </c>
      <c r="C27" s="5" t="s">
        <v>194</v>
      </c>
      <c r="D27" s="5" t="s">
        <v>171</v>
      </c>
      <c r="E27" s="5" t="s">
        <v>34</v>
      </c>
      <c r="F27" s="5" t="s">
        <v>34</v>
      </c>
      <c r="G27" s="5" t="s">
        <v>35</v>
      </c>
      <c r="H27" s="5" t="s">
        <v>35</v>
      </c>
      <c r="I27" s="5" t="s">
        <v>36</v>
      </c>
      <c r="J27" s="6">
        <v>1.0</v>
      </c>
      <c r="K27" s="6" t="s">
        <v>37</v>
      </c>
      <c r="L27" s="6">
        <v>600.0</v>
      </c>
      <c r="M27" s="5" t="s">
        <v>38</v>
      </c>
      <c r="N27" s="5" t="s">
        <v>39</v>
      </c>
      <c r="O27" s="6" t="s">
        <v>40</v>
      </c>
      <c r="P27" s="5" t="s">
        <v>41</v>
      </c>
      <c r="Q27" s="5"/>
      <c r="R27" s="6" t="s">
        <v>42</v>
      </c>
      <c r="S27" s="5" t="s">
        <v>172</v>
      </c>
      <c r="T27" s="5" t="s">
        <v>44</v>
      </c>
      <c r="U27" s="5" t="s">
        <v>44</v>
      </c>
      <c r="V27" s="5" t="s">
        <v>44</v>
      </c>
      <c r="W27" s="5" t="s">
        <v>36</v>
      </c>
      <c r="X27" s="8" t="s">
        <v>173</v>
      </c>
      <c r="Y27" s="5" t="s">
        <v>46</v>
      </c>
      <c r="Z27" s="5" t="s">
        <v>47</v>
      </c>
      <c r="AA27" s="5" t="s">
        <v>48</v>
      </c>
      <c r="AB27" s="5" t="s">
        <v>199</v>
      </c>
      <c r="AC27" s="6" t="s">
        <v>79</v>
      </c>
      <c r="AD27" s="6">
        <v>7867.0</v>
      </c>
    </row>
    <row r="28" ht="56.25" customHeight="1">
      <c r="A28" s="5" t="s">
        <v>167</v>
      </c>
      <c r="B28" s="6" t="str">
        <f>IMAGE("https://storage.googleapis.com/acdb/housewares/FtrSignpostTilt_Remake_6_0.png")</f>
        <v/>
      </c>
      <c r="C28" s="5" t="s">
        <v>201</v>
      </c>
      <c r="D28" s="5" t="s">
        <v>171</v>
      </c>
      <c r="E28" s="5" t="s">
        <v>34</v>
      </c>
      <c r="F28" s="5" t="s">
        <v>34</v>
      </c>
      <c r="G28" s="5" t="s">
        <v>35</v>
      </c>
      <c r="H28" s="5" t="s">
        <v>35</v>
      </c>
      <c r="I28" s="5" t="s">
        <v>36</v>
      </c>
      <c r="J28" s="6">
        <v>1.0</v>
      </c>
      <c r="K28" s="6" t="s">
        <v>37</v>
      </c>
      <c r="L28" s="6">
        <v>600.0</v>
      </c>
      <c r="M28" s="5" t="s">
        <v>38</v>
      </c>
      <c r="N28" s="5" t="s">
        <v>39</v>
      </c>
      <c r="O28" s="6" t="s">
        <v>40</v>
      </c>
      <c r="P28" s="5" t="s">
        <v>41</v>
      </c>
      <c r="Q28" s="5"/>
      <c r="R28" s="6" t="s">
        <v>42</v>
      </c>
      <c r="S28" s="5" t="s">
        <v>172</v>
      </c>
      <c r="T28" s="5" t="s">
        <v>44</v>
      </c>
      <c r="U28" s="5" t="s">
        <v>44</v>
      </c>
      <c r="V28" s="5" t="s">
        <v>44</v>
      </c>
      <c r="W28" s="5" t="s">
        <v>36</v>
      </c>
      <c r="X28" s="8" t="s">
        <v>173</v>
      </c>
      <c r="Y28" s="5" t="s">
        <v>46</v>
      </c>
      <c r="Z28" s="5" t="s">
        <v>47</v>
      </c>
      <c r="AA28" s="5" t="s">
        <v>48</v>
      </c>
      <c r="AB28" s="5" t="s">
        <v>204</v>
      </c>
      <c r="AC28" s="6" t="s">
        <v>86</v>
      </c>
      <c r="AD28" s="6">
        <v>7867.0</v>
      </c>
    </row>
    <row r="29" ht="56.25" customHeight="1">
      <c r="A29" s="5" t="s">
        <v>167</v>
      </c>
      <c r="B29" s="6" t="str">
        <f>IMAGE("https://storage.googleapis.com/acdb/housewares/FtrSignpostTilt_Remake_7_0.png")</f>
        <v/>
      </c>
      <c r="C29" s="5" t="s">
        <v>206</v>
      </c>
      <c r="D29" s="5" t="s">
        <v>171</v>
      </c>
      <c r="E29" s="5" t="s">
        <v>34</v>
      </c>
      <c r="F29" s="5" t="s">
        <v>34</v>
      </c>
      <c r="G29" s="5" t="s">
        <v>35</v>
      </c>
      <c r="H29" s="5" t="s">
        <v>35</v>
      </c>
      <c r="I29" s="5" t="s">
        <v>36</v>
      </c>
      <c r="J29" s="6">
        <v>1.0</v>
      </c>
      <c r="K29" s="6" t="s">
        <v>37</v>
      </c>
      <c r="L29" s="6">
        <v>600.0</v>
      </c>
      <c r="M29" s="5" t="s">
        <v>38</v>
      </c>
      <c r="N29" s="5" t="s">
        <v>39</v>
      </c>
      <c r="O29" s="6" t="s">
        <v>40</v>
      </c>
      <c r="P29" s="5" t="s">
        <v>41</v>
      </c>
      <c r="Q29" s="5"/>
      <c r="R29" s="6" t="s">
        <v>42</v>
      </c>
      <c r="S29" s="5" t="s">
        <v>172</v>
      </c>
      <c r="T29" s="5" t="s">
        <v>44</v>
      </c>
      <c r="U29" s="5" t="s">
        <v>44</v>
      </c>
      <c r="V29" s="5" t="s">
        <v>44</v>
      </c>
      <c r="W29" s="5" t="s">
        <v>36</v>
      </c>
      <c r="X29" s="8" t="s">
        <v>173</v>
      </c>
      <c r="Y29" s="5" t="s">
        <v>46</v>
      </c>
      <c r="Z29" s="5" t="s">
        <v>47</v>
      </c>
      <c r="AA29" s="5" t="s">
        <v>48</v>
      </c>
      <c r="AB29" s="5" t="s">
        <v>211</v>
      </c>
      <c r="AC29" s="6" t="s">
        <v>208</v>
      </c>
      <c r="AD29" s="6">
        <v>7867.0</v>
      </c>
    </row>
    <row r="30" ht="56.25" customHeight="1">
      <c r="A30" s="5" t="s">
        <v>212</v>
      </c>
      <c r="B30" s="6" t="str">
        <f>IMAGE("https://storage.googleapis.com/acdb/housewares/FtrAntiqueBedW_Remake_0_0.png")</f>
        <v/>
      </c>
      <c r="C30" s="5" t="s">
        <v>39</v>
      </c>
      <c r="D30" s="5" t="s">
        <v>34</v>
      </c>
      <c r="E30" s="5" t="s">
        <v>34</v>
      </c>
      <c r="F30" s="5" t="s">
        <v>34</v>
      </c>
      <c r="G30" s="5" t="s">
        <v>36</v>
      </c>
      <c r="H30" s="5" t="s">
        <v>36</v>
      </c>
      <c r="I30" s="5" t="s">
        <v>36</v>
      </c>
      <c r="J30" s="6" t="s">
        <v>34</v>
      </c>
      <c r="K30" s="6">
        <v>28000.0</v>
      </c>
      <c r="L30" s="6">
        <v>7000.0</v>
      </c>
      <c r="M30" s="5" t="s">
        <v>39</v>
      </c>
      <c r="N30" s="5" t="s">
        <v>57</v>
      </c>
      <c r="O30" s="6" t="s">
        <v>214</v>
      </c>
      <c r="P30" s="5" t="s">
        <v>59</v>
      </c>
      <c r="Q30" s="5" t="s">
        <v>115</v>
      </c>
      <c r="R30" s="6" t="s">
        <v>42</v>
      </c>
      <c r="S30" s="5" t="s">
        <v>90</v>
      </c>
      <c r="T30" s="5" t="s">
        <v>116</v>
      </c>
      <c r="U30" s="5" t="s">
        <v>181</v>
      </c>
      <c r="V30" s="5" t="s">
        <v>44</v>
      </c>
      <c r="W30" s="5" t="s">
        <v>35</v>
      </c>
      <c r="X30" s="8" t="s">
        <v>218</v>
      </c>
      <c r="Y30" s="5" t="s">
        <v>46</v>
      </c>
      <c r="Z30" s="5" t="s">
        <v>47</v>
      </c>
      <c r="AA30" s="5" t="s">
        <v>64</v>
      </c>
      <c r="AB30" s="5" t="s">
        <v>220</v>
      </c>
      <c r="AC30" s="6" t="s">
        <v>50</v>
      </c>
      <c r="AD30" s="6">
        <v>3957.0</v>
      </c>
    </row>
    <row r="31" ht="56.25" customHeight="1">
      <c r="A31" s="5" t="s">
        <v>212</v>
      </c>
      <c r="B31" s="6" t="str">
        <f>IMAGE("https://storage.googleapis.com/acdb/housewares/FtrAntiqueBedW_Remake_1_0.png")</f>
        <v/>
      </c>
      <c r="C31" s="5" t="s">
        <v>32</v>
      </c>
      <c r="D31" s="5" t="s">
        <v>34</v>
      </c>
      <c r="E31" s="5" t="s">
        <v>34</v>
      </c>
      <c r="F31" s="5" t="s">
        <v>34</v>
      </c>
      <c r="G31" s="5" t="s">
        <v>36</v>
      </c>
      <c r="H31" s="5" t="s">
        <v>36</v>
      </c>
      <c r="I31" s="5" t="s">
        <v>36</v>
      </c>
      <c r="J31" s="6" t="s">
        <v>34</v>
      </c>
      <c r="K31" s="6">
        <v>28000.0</v>
      </c>
      <c r="L31" s="6">
        <v>7000.0</v>
      </c>
      <c r="M31" s="5" t="s">
        <v>38</v>
      </c>
      <c r="N31" s="5" t="s">
        <v>57</v>
      </c>
      <c r="O31" s="6" t="s">
        <v>214</v>
      </c>
      <c r="P31" s="5" t="s">
        <v>59</v>
      </c>
      <c r="Q31" s="5" t="s">
        <v>115</v>
      </c>
      <c r="R31" s="6" t="s">
        <v>42</v>
      </c>
      <c r="S31" s="5" t="s">
        <v>90</v>
      </c>
      <c r="T31" s="5" t="s">
        <v>116</v>
      </c>
      <c r="U31" s="5" t="s">
        <v>181</v>
      </c>
      <c r="V31" s="5" t="s">
        <v>44</v>
      </c>
      <c r="W31" s="5" t="s">
        <v>35</v>
      </c>
      <c r="X31" s="8" t="s">
        <v>218</v>
      </c>
      <c r="Y31" s="5" t="s">
        <v>46</v>
      </c>
      <c r="Z31" s="5" t="s">
        <v>47</v>
      </c>
      <c r="AA31" s="5" t="s">
        <v>64</v>
      </c>
      <c r="AB31" s="5" t="s">
        <v>224</v>
      </c>
      <c r="AC31" s="6" t="s">
        <v>56</v>
      </c>
      <c r="AD31" s="6">
        <v>3957.0</v>
      </c>
    </row>
    <row r="32" ht="56.25" customHeight="1">
      <c r="A32" s="5" t="s">
        <v>212</v>
      </c>
      <c r="B32" s="6" t="str">
        <f>IMAGE("https://storage.googleapis.com/acdb/housewares/FtrAntiqueBedW_Remake_2_0.png")</f>
        <v/>
      </c>
      <c r="C32" s="5" t="s">
        <v>54</v>
      </c>
      <c r="D32" s="5" t="s">
        <v>34</v>
      </c>
      <c r="E32" s="5" t="s">
        <v>34</v>
      </c>
      <c r="F32" s="5" t="s">
        <v>34</v>
      </c>
      <c r="G32" s="5" t="s">
        <v>36</v>
      </c>
      <c r="H32" s="5" t="s">
        <v>36</v>
      </c>
      <c r="I32" s="5" t="s">
        <v>36</v>
      </c>
      <c r="J32" s="6" t="s">
        <v>34</v>
      </c>
      <c r="K32" s="6">
        <v>28000.0</v>
      </c>
      <c r="L32" s="6">
        <v>7000.0</v>
      </c>
      <c r="M32" s="5" t="s">
        <v>54</v>
      </c>
      <c r="N32" s="5" t="s">
        <v>57</v>
      </c>
      <c r="O32" s="6" t="s">
        <v>214</v>
      </c>
      <c r="P32" s="5" t="s">
        <v>59</v>
      </c>
      <c r="Q32" s="5" t="s">
        <v>115</v>
      </c>
      <c r="R32" s="6" t="s">
        <v>42</v>
      </c>
      <c r="S32" s="5" t="s">
        <v>90</v>
      </c>
      <c r="T32" s="5" t="s">
        <v>116</v>
      </c>
      <c r="U32" s="5" t="s">
        <v>181</v>
      </c>
      <c r="V32" s="5" t="s">
        <v>44</v>
      </c>
      <c r="W32" s="5" t="s">
        <v>35</v>
      </c>
      <c r="X32" s="8" t="s">
        <v>218</v>
      </c>
      <c r="Y32" s="5" t="s">
        <v>46</v>
      </c>
      <c r="Z32" s="5" t="s">
        <v>47</v>
      </c>
      <c r="AA32" s="5" t="s">
        <v>64</v>
      </c>
      <c r="AB32" s="5" t="s">
        <v>228</v>
      </c>
      <c r="AC32" s="6" t="s">
        <v>67</v>
      </c>
      <c r="AD32" s="6">
        <v>3957.0</v>
      </c>
    </row>
    <row r="33" ht="56.25" customHeight="1">
      <c r="A33" s="5" t="s">
        <v>229</v>
      </c>
      <c r="B33" s="6" t="str">
        <f>IMAGE("https://storage.googleapis.com/acdb/housewares/FtrAntiqueBureau_Remake_0_0.png")</f>
        <v/>
      </c>
      <c r="C33" s="5" t="s">
        <v>39</v>
      </c>
      <c r="D33" s="5" t="s">
        <v>34</v>
      </c>
      <c r="E33" s="5" t="s">
        <v>34</v>
      </c>
      <c r="F33" s="5" t="s">
        <v>34</v>
      </c>
      <c r="G33" s="5" t="s">
        <v>36</v>
      </c>
      <c r="H33" s="5" t="s">
        <v>36</v>
      </c>
      <c r="I33" s="5" t="s">
        <v>36</v>
      </c>
      <c r="J33" s="6" t="s">
        <v>34</v>
      </c>
      <c r="K33" s="6">
        <v>20000.0</v>
      </c>
      <c r="L33" s="6">
        <v>5000.0</v>
      </c>
      <c r="M33" s="5" t="s">
        <v>39</v>
      </c>
      <c r="N33" s="5" t="s">
        <v>39</v>
      </c>
      <c r="O33" s="6" t="s">
        <v>40</v>
      </c>
      <c r="P33" s="5" t="s">
        <v>59</v>
      </c>
      <c r="Q33" s="5" t="s">
        <v>115</v>
      </c>
      <c r="R33" s="6" t="s">
        <v>42</v>
      </c>
      <c r="S33" s="5" t="s">
        <v>90</v>
      </c>
      <c r="T33" s="5" t="s">
        <v>116</v>
      </c>
      <c r="U33" s="5" t="s">
        <v>181</v>
      </c>
      <c r="V33" s="5" t="s">
        <v>44</v>
      </c>
      <c r="W33" s="5" t="s">
        <v>35</v>
      </c>
      <c r="X33" s="8" t="s">
        <v>230</v>
      </c>
      <c r="Y33" s="5" t="s">
        <v>46</v>
      </c>
      <c r="Z33" s="5" t="s">
        <v>47</v>
      </c>
      <c r="AA33" s="5" t="s">
        <v>64</v>
      </c>
      <c r="AB33" s="5" t="s">
        <v>231</v>
      </c>
      <c r="AC33" s="6" t="s">
        <v>50</v>
      </c>
      <c r="AD33" s="6">
        <v>3956.0</v>
      </c>
    </row>
    <row r="34" ht="56.25" customHeight="1">
      <c r="A34" s="5" t="s">
        <v>229</v>
      </c>
      <c r="B34" s="6" t="str">
        <f>IMAGE("https://storage.googleapis.com/acdb/housewares/FtrAntiqueBureau_Remake_1_0.png")</f>
        <v/>
      </c>
      <c r="C34" s="5" t="s">
        <v>32</v>
      </c>
      <c r="D34" s="5" t="s">
        <v>34</v>
      </c>
      <c r="E34" s="5" t="s">
        <v>34</v>
      </c>
      <c r="F34" s="5" t="s">
        <v>34</v>
      </c>
      <c r="G34" s="5" t="s">
        <v>36</v>
      </c>
      <c r="H34" s="5" t="s">
        <v>36</v>
      </c>
      <c r="I34" s="5" t="s">
        <v>36</v>
      </c>
      <c r="J34" s="6" t="s">
        <v>34</v>
      </c>
      <c r="K34" s="6">
        <v>20000.0</v>
      </c>
      <c r="L34" s="6">
        <v>5000.0</v>
      </c>
      <c r="M34" s="5" t="s">
        <v>38</v>
      </c>
      <c r="N34" s="5" t="s">
        <v>38</v>
      </c>
      <c r="O34" s="6" t="s">
        <v>40</v>
      </c>
      <c r="P34" s="5" t="s">
        <v>59</v>
      </c>
      <c r="Q34" s="5" t="s">
        <v>115</v>
      </c>
      <c r="R34" s="6" t="s">
        <v>42</v>
      </c>
      <c r="S34" s="5" t="s">
        <v>90</v>
      </c>
      <c r="T34" s="5" t="s">
        <v>116</v>
      </c>
      <c r="U34" s="5" t="s">
        <v>181</v>
      </c>
      <c r="V34" s="5" t="s">
        <v>44</v>
      </c>
      <c r="W34" s="5" t="s">
        <v>35</v>
      </c>
      <c r="X34" s="8" t="s">
        <v>230</v>
      </c>
      <c r="Y34" s="5" t="s">
        <v>46</v>
      </c>
      <c r="Z34" s="5" t="s">
        <v>47</v>
      </c>
      <c r="AA34" s="5" t="s">
        <v>64</v>
      </c>
      <c r="AB34" s="5" t="s">
        <v>238</v>
      </c>
      <c r="AC34" s="6" t="s">
        <v>56</v>
      </c>
      <c r="AD34" s="6">
        <v>3956.0</v>
      </c>
    </row>
    <row r="35" ht="56.25" customHeight="1">
      <c r="A35" s="5" t="s">
        <v>229</v>
      </c>
      <c r="B35" s="6" t="str">
        <f>IMAGE("https://storage.googleapis.com/acdb/housewares/FtrAntiqueBureau_Remake_2_0.png")</f>
        <v/>
      </c>
      <c r="C35" s="5" t="s">
        <v>54</v>
      </c>
      <c r="D35" s="5" t="s">
        <v>34</v>
      </c>
      <c r="E35" s="5" t="s">
        <v>34</v>
      </c>
      <c r="F35" s="5" t="s">
        <v>34</v>
      </c>
      <c r="G35" s="5" t="s">
        <v>36</v>
      </c>
      <c r="H35" s="5" t="s">
        <v>36</v>
      </c>
      <c r="I35" s="5" t="s">
        <v>36</v>
      </c>
      <c r="J35" s="6" t="s">
        <v>34</v>
      </c>
      <c r="K35" s="6">
        <v>20000.0</v>
      </c>
      <c r="L35" s="6">
        <v>5000.0</v>
      </c>
      <c r="M35" s="5" t="s">
        <v>54</v>
      </c>
      <c r="N35" s="5" t="s">
        <v>54</v>
      </c>
      <c r="O35" s="6" t="s">
        <v>40</v>
      </c>
      <c r="P35" s="5" t="s">
        <v>59</v>
      </c>
      <c r="Q35" s="5" t="s">
        <v>115</v>
      </c>
      <c r="R35" s="6" t="s">
        <v>42</v>
      </c>
      <c r="S35" s="5" t="s">
        <v>90</v>
      </c>
      <c r="T35" s="5" t="s">
        <v>116</v>
      </c>
      <c r="U35" s="5" t="s">
        <v>181</v>
      </c>
      <c r="V35" s="5" t="s">
        <v>44</v>
      </c>
      <c r="W35" s="5" t="s">
        <v>35</v>
      </c>
      <c r="X35" s="8" t="s">
        <v>230</v>
      </c>
      <c r="Y35" s="5" t="s">
        <v>46</v>
      </c>
      <c r="Z35" s="5" t="s">
        <v>47</v>
      </c>
      <c r="AA35" s="5" t="s">
        <v>64</v>
      </c>
      <c r="AB35" s="5" t="s">
        <v>242</v>
      </c>
      <c r="AC35" s="6" t="s">
        <v>67</v>
      </c>
      <c r="AD35" s="6">
        <v>3956.0</v>
      </c>
    </row>
    <row r="36" ht="56.25" customHeight="1">
      <c r="A36" s="5" t="s">
        <v>243</v>
      </c>
      <c r="B36" s="6" t="str">
        <f>IMAGE("https://storage.googleapis.com/acdb/housewares/FtrAntiqueChairS_Remake_0_0.png")</f>
        <v/>
      </c>
      <c r="C36" s="5" t="s">
        <v>39</v>
      </c>
      <c r="D36" s="5" t="s">
        <v>34</v>
      </c>
      <c r="E36" s="5" t="s">
        <v>34</v>
      </c>
      <c r="F36" s="5" t="s">
        <v>34</v>
      </c>
      <c r="G36" s="5" t="s">
        <v>36</v>
      </c>
      <c r="H36" s="5" t="s">
        <v>36</v>
      </c>
      <c r="I36" s="5" t="s">
        <v>36</v>
      </c>
      <c r="J36" s="6" t="s">
        <v>34</v>
      </c>
      <c r="K36" s="6">
        <v>10000.0</v>
      </c>
      <c r="L36" s="6">
        <v>2500.0</v>
      </c>
      <c r="M36" s="5" t="s">
        <v>39</v>
      </c>
      <c r="N36" s="5" t="s">
        <v>57</v>
      </c>
      <c r="O36" s="6" t="s">
        <v>40</v>
      </c>
      <c r="P36" s="5" t="s">
        <v>59</v>
      </c>
      <c r="Q36" s="5" t="s">
        <v>115</v>
      </c>
      <c r="R36" s="6" t="s">
        <v>42</v>
      </c>
      <c r="S36" s="5" t="s">
        <v>90</v>
      </c>
      <c r="T36" s="5" t="s">
        <v>116</v>
      </c>
      <c r="U36" s="5" t="s">
        <v>181</v>
      </c>
      <c r="V36" s="5" t="s">
        <v>44</v>
      </c>
      <c r="W36" s="5" t="s">
        <v>35</v>
      </c>
      <c r="X36" s="8" t="s">
        <v>248</v>
      </c>
      <c r="Y36" s="5" t="s">
        <v>46</v>
      </c>
      <c r="Z36" s="5" t="s">
        <v>47</v>
      </c>
      <c r="AA36" s="5" t="s">
        <v>64</v>
      </c>
      <c r="AB36" s="5" t="s">
        <v>249</v>
      </c>
      <c r="AC36" s="6" t="s">
        <v>50</v>
      </c>
      <c r="AD36" s="6">
        <v>3950.0</v>
      </c>
    </row>
    <row r="37" ht="56.25" customHeight="1">
      <c r="A37" s="5" t="s">
        <v>243</v>
      </c>
      <c r="B37" s="6" t="str">
        <f>IMAGE("https://storage.googleapis.com/acdb/housewares/FtrAntiqueChairS_Remake_1_0.png")</f>
        <v/>
      </c>
      <c r="C37" s="5" t="s">
        <v>32</v>
      </c>
      <c r="D37" s="5" t="s">
        <v>34</v>
      </c>
      <c r="E37" s="5" t="s">
        <v>34</v>
      </c>
      <c r="F37" s="5" t="s">
        <v>34</v>
      </c>
      <c r="G37" s="5" t="s">
        <v>36</v>
      </c>
      <c r="H37" s="5" t="s">
        <v>36</v>
      </c>
      <c r="I37" s="5" t="s">
        <v>36</v>
      </c>
      <c r="J37" s="6" t="s">
        <v>34</v>
      </c>
      <c r="K37" s="6">
        <v>10000.0</v>
      </c>
      <c r="L37" s="6">
        <v>2500.0</v>
      </c>
      <c r="M37" s="5" t="s">
        <v>38</v>
      </c>
      <c r="N37" s="5" t="s">
        <v>57</v>
      </c>
      <c r="O37" s="6" t="s">
        <v>40</v>
      </c>
      <c r="P37" s="5" t="s">
        <v>59</v>
      </c>
      <c r="Q37" s="5" t="s">
        <v>115</v>
      </c>
      <c r="R37" s="6" t="s">
        <v>42</v>
      </c>
      <c r="S37" s="5" t="s">
        <v>90</v>
      </c>
      <c r="T37" s="5" t="s">
        <v>116</v>
      </c>
      <c r="U37" s="5" t="s">
        <v>181</v>
      </c>
      <c r="V37" s="5" t="s">
        <v>44</v>
      </c>
      <c r="W37" s="5" t="s">
        <v>35</v>
      </c>
      <c r="X37" s="8" t="s">
        <v>248</v>
      </c>
      <c r="Y37" s="5" t="s">
        <v>46</v>
      </c>
      <c r="Z37" s="5" t="s">
        <v>47</v>
      </c>
      <c r="AA37" s="5" t="s">
        <v>64</v>
      </c>
      <c r="AB37" s="5" t="s">
        <v>251</v>
      </c>
      <c r="AC37" s="6" t="s">
        <v>56</v>
      </c>
      <c r="AD37" s="6">
        <v>3950.0</v>
      </c>
    </row>
    <row r="38" ht="56.25" customHeight="1">
      <c r="A38" s="5" t="s">
        <v>243</v>
      </c>
      <c r="B38" s="6" t="str">
        <f>IMAGE("https://storage.googleapis.com/acdb/housewares/FtrAntiqueChairS_Remake_2_0.png")</f>
        <v/>
      </c>
      <c r="C38" s="5" t="s">
        <v>54</v>
      </c>
      <c r="D38" s="5" t="s">
        <v>34</v>
      </c>
      <c r="E38" s="5" t="s">
        <v>34</v>
      </c>
      <c r="F38" s="5" t="s">
        <v>34</v>
      </c>
      <c r="G38" s="5" t="s">
        <v>36</v>
      </c>
      <c r="H38" s="5" t="s">
        <v>36</v>
      </c>
      <c r="I38" s="5" t="s">
        <v>36</v>
      </c>
      <c r="J38" s="6" t="s">
        <v>34</v>
      </c>
      <c r="K38" s="6">
        <v>10000.0</v>
      </c>
      <c r="L38" s="6">
        <v>2500.0</v>
      </c>
      <c r="M38" s="5" t="s">
        <v>54</v>
      </c>
      <c r="N38" s="5" t="s">
        <v>57</v>
      </c>
      <c r="O38" s="6" t="s">
        <v>40</v>
      </c>
      <c r="P38" s="5" t="s">
        <v>59</v>
      </c>
      <c r="Q38" s="5" t="s">
        <v>115</v>
      </c>
      <c r="R38" s="6" t="s">
        <v>42</v>
      </c>
      <c r="S38" s="5" t="s">
        <v>90</v>
      </c>
      <c r="T38" s="5" t="s">
        <v>116</v>
      </c>
      <c r="U38" s="5" t="s">
        <v>181</v>
      </c>
      <c r="V38" s="5" t="s">
        <v>44</v>
      </c>
      <c r="W38" s="5" t="s">
        <v>35</v>
      </c>
      <c r="X38" s="8" t="s">
        <v>248</v>
      </c>
      <c r="Y38" s="5" t="s">
        <v>46</v>
      </c>
      <c r="Z38" s="5" t="s">
        <v>47</v>
      </c>
      <c r="AA38" s="5" t="s">
        <v>64</v>
      </c>
      <c r="AB38" s="5" t="s">
        <v>254</v>
      </c>
      <c r="AC38" s="6" t="s">
        <v>67</v>
      </c>
      <c r="AD38" s="6">
        <v>3950.0</v>
      </c>
    </row>
    <row r="39" ht="56.25" customHeight="1">
      <c r="A39" s="5" t="s">
        <v>255</v>
      </c>
      <c r="B39" s="6" t="str">
        <f>IMAGE("https://storage.googleapis.com/acdb/housewares/FtrAntiqueClock_Remake_0_0.png")</f>
        <v/>
      </c>
      <c r="C39" s="5" t="s">
        <v>39</v>
      </c>
      <c r="D39" s="5" t="s">
        <v>34</v>
      </c>
      <c r="E39" s="5" t="s">
        <v>34</v>
      </c>
      <c r="F39" s="5" t="s">
        <v>34</v>
      </c>
      <c r="G39" s="5" t="s">
        <v>36</v>
      </c>
      <c r="H39" s="5" t="s">
        <v>36</v>
      </c>
      <c r="I39" s="5" t="s">
        <v>36</v>
      </c>
      <c r="J39" s="6" t="s">
        <v>34</v>
      </c>
      <c r="K39" s="6">
        <v>44000.0</v>
      </c>
      <c r="L39" s="6">
        <v>11000.0</v>
      </c>
      <c r="M39" s="5" t="s">
        <v>39</v>
      </c>
      <c r="N39" s="5" t="s">
        <v>114</v>
      </c>
      <c r="O39" s="6" t="s">
        <v>40</v>
      </c>
      <c r="P39" s="5" t="s">
        <v>59</v>
      </c>
      <c r="Q39" s="5" t="s">
        <v>115</v>
      </c>
      <c r="R39" s="6" t="s">
        <v>42</v>
      </c>
      <c r="S39" s="5" t="s">
        <v>90</v>
      </c>
      <c r="T39" s="5" t="s">
        <v>116</v>
      </c>
      <c r="U39" s="5" t="s">
        <v>181</v>
      </c>
      <c r="V39" s="5" t="s">
        <v>44</v>
      </c>
      <c r="W39" s="5" t="s">
        <v>35</v>
      </c>
      <c r="X39" s="8" t="s">
        <v>260</v>
      </c>
      <c r="Y39" s="5" t="s">
        <v>46</v>
      </c>
      <c r="Z39" s="5" t="s">
        <v>47</v>
      </c>
      <c r="AA39" s="5" t="s">
        <v>64</v>
      </c>
      <c r="AB39" s="5" t="s">
        <v>263</v>
      </c>
      <c r="AC39" s="6" t="s">
        <v>50</v>
      </c>
      <c r="AD39" s="6">
        <v>3954.0</v>
      </c>
    </row>
    <row r="40" ht="56.25" customHeight="1">
      <c r="A40" s="5" t="s">
        <v>255</v>
      </c>
      <c r="B40" s="6" t="str">
        <f>IMAGE("https://storage.googleapis.com/acdb/housewares/FtrAntiqueClock_Remake_1_0.png")</f>
        <v/>
      </c>
      <c r="C40" s="5" t="s">
        <v>32</v>
      </c>
      <c r="D40" s="5" t="s">
        <v>34</v>
      </c>
      <c r="E40" s="5" t="s">
        <v>34</v>
      </c>
      <c r="F40" s="5" t="s">
        <v>34</v>
      </c>
      <c r="G40" s="5" t="s">
        <v>36</v>
      </c>
      <c r="H40" s="5" t="s">
        <v>36</v>
      </c>
      <c r="I40" s="5" t="s">
        <v>36</v>
      </c>
      <c r="J40" s="6" t="s">
        <v>34</v>
      </c>
      <c r="K40" s="6">
        <v>44000.0</v>
      </c>
      <c r="L40" s="6">
        <v>11000.0</v>
      </c>
      <c r="M40" s="5" t="s">
        <v>38</v>
      </c>
      <c r="N40" s="5" t="s">
        <v>114</v>
      </c>
      <c r="O40" s="6" t="s">
        <v>40</v>
      </c>
      <c r="P40" s="5" t="s">
        <v>59</v>
      </c>
      <c r="Q40" s="5" t="s">
        <v>115</v>
      </c>
      <c r="R40" s="6" t="s">
        <v>42</v>
      </c>
      <c r="S40" s="5" t="s">
        <v>90</v>
      </c>
      <c r="T40" s="5" t="s">
        <v>116</v>
      </c>
      <c r="U40" s="5" t="s">
        <v>181</v>
      </c>
      <c r="V40" s="5" t="s">
        <v>44</v>
      </c>
      <c r="W40" s="5" t="s">
        <v>35</v>
      </c>
      <c r="X40" s="8" t="s">
        <v>260</v>
      </c>
      <c r="Y40" s="5" t="s">
        <v>46</v>
      </c>
      <c r="Z40" s="5" t="s">
        <v>47</v>
      </c>
      <c r="AA40" s="5" t="s">
        <v>64</v>
      </c>
      <c r="AB40" s="5" t="s">
        <v>270</v>
      </c>
      <c r="AC40" s="6" t="s">
        <v>56</v>
      </c>
      <c r="AD40" s="6">
        <v>3954.0</v>
      </c>
    </row>
    <row r="41" ht="56.25" customHeight="1">
      <c r="A41" s="5" t="s">
        <v>255</v>
      </c>
      <c r="B41" s="6" t="str">
        <f>IMAGE("https://storage.googleapis.com/acdb/housewares/FtrAntiqueClock_Remake_2_0.png")</f>
        <v/>
      </c>
      <c r="C41" s="5" t="s">
        <v>54</v>
      </c>
      <c r="D41" s="5" t="s">
        <v>34</v>
      </c>
      <c r="E41" s="5" t="s">
        <v>34</v>
      </c>
      <c r="F41" s="5" t="s">
        <v>34</v>
      </c>
      <c r="G41" s="5" t="s">
        <v>36</v>
      </c>
      <c r="H41" s="5" t="s">
        <v>36</v>
      </c>
      <c r="I41" s="5" t="s">
        <v>36</v>
      </c>
      <c r="J41" s="6" t="s">
        <v>34</v>
      </c>
      <c r="K41" s="6">
        <v>44000.0</v>
      </c>
      <c r="L41" s="6">
        <v>11000.0</v>
      </c>
      <c r="M41" s="5" t="s">
        <v>54</v>
      </c>
      <c r="N41" s="5" t="s">
        <v>114</v>
      </c>
      <c r="O41" s="6" t="s">
        <v>40</v>
      </c>
      <c r="P41" s="5" t="s">
        <v>59</v>
      </c>
      <c r="Q41" s="5" t="s">
        <v>115</v>
      </c>
      <c r="R41" s="6" t="s">
        <v>42</v>
      </c>
      <c r="S41" s="5" t="s">
        <v>90</v>
      </c>
      <c r="T41" s="5" t="s">
        <v>116</v>
      </c>
      <c r="U41" s="5" t="s">
        <v>181</v>
      </c>
      <c r="V41" s="5" t="s">
        <v>44</v>
      </c>
      <c r="W41" s="5" t="s">
        <v>35</v>
      </c>
      <c r="X41" s="8" t="s">
        <v>260</v>
      </c>
      <c r="Y41" s="5" t="s">
        <v>46</v>
      </c>
      <c r="Z41" s="5" t="s">
        <v>47</v>
      </c>
      <c r="AA41" s="5" t="s">
        <v>64</v>
      </c>
      <c r="AB41" s="5" t="s">
        <v>272</v>
      </c>
      <c r="AC41" s="6" t="s">
        <v>67</v>
      </c>
      <c r="AD41" s="6">
        <v>3954.0</v>
      </c>
    </row>
    <row r="42" ht="56.25" customHeight="1">
      <c r="A42" s="5" t="s">
        <v>273</v>
      </c>
      <c r="B42" s="6" t="str">
        <f>IMAGE("https://storage.googleapis.com/acdb/housewares/FtrAntiqueConsole_Remake_0_0.png")</f>
        <v/>
      </c>
      <c r="C42" s="5" t="s">
        <v>39</v>
      </c>
      <c r="D42" s="5" t="s">
        <v>34</v>
      </c>
      <c r="E42" s="5" t="s">
        <v>34</v>
      </c>
      <c r="F42" s="5" t="s">
        <v>34</v>
      </c>
      <c r="G42" s="5" t="s">
        <v>36</v>
      </c>
      <c r="H42" s="5" t="s">
        <v>36</v>
      </c>
      <c r="I42" s="5" t="s">
        <v>36</v>
      </c>
      <c r="J42" s="6" t="s">
        <v>34</v>
      </c>
      <c r="K42" s="6">
        <v>17000.0</v>
      </c>
      <c r="L42" s="6">
        <v>4250.0</v>
      </c>
      <c r="M42" s="5" t="s">
        <v>39</v>
      </c>
      <c r="N42" s="5" t="s">
        <v>39</v>
      </c>
      <c r="O42" s="6" t="s">
        <v>276</v>
      </c>
      <c r="P42" s="5" t="s">
        <v>59</v>
      </c>
      <c r="Q42" s="5" t="s">
        <v>115</v>
      </c>
      <c r="R42" s="6" t="s">
        <v>42</v>
      </c>
      <c r="S42" s="5" t="s">
        <v>90</v>
      </c>
      <c r="T42" s="5" t="s">
        <v>116</v>
      </c>
      <c r="U42" s="5" t="s">
        <v>181</v>
      </c>
      <c r="V42" s="5" t="s">
        <v>44</v>
      </c>
      <c r="W42" s="5" t="s">
        <v>36</v>
      </c>
      <c r="X42" s="8" t="s">
        <v>278</v>
      </c>
      <c r="Y42" s="5" t="s">
        <v>46</v>
      </c>
      <c r="Z42" s="5" t="s">
        <v>47</v>
      </c>
      <c r="AA42" s="5" t="s">
        <v>64</v>
      </c>
      <c r="AB42" s="5" t="s">
        <v>280</v>
      </c>
      <c r="AC42" s="6" t="s">
        <v>50</v>
      </c>
      <c r="AD42" s="6">
        <v>3951.0</v>
      </c>
    </row>
    <row r="43" ht="56.25" customHeight="1">
      <c r="A43" s="5" t="s">
        <v>273</v>
      </c>
      <c r="B43" s="6" t="str">
        <f>IMAGE("https://storage.googleapis.com/acdb/housewares/FtrAntiqueConsole_Remake_1_0.png")</f>
        <v/>
      </c>
      <c r="C43" s="5" t="s">
        <v>32</v>
      </c>
      <c r="D43" s="5" t="s">
        <v>34</v>
      </c>
      <c r="E43" s="5" t="s">
        <v>34</v>
      </c>
      <c r="F43" s="5" t="s">
        <v>34</v>
      </c>
      <c r="G43" s="5" t="s">
        <v>36</v>
      </c>
      <c r="H43" s="5" t="s">
        <v>36</v>
      </c>
      <c r="I43" s="5" t="s">
        <v>36</v>
      </c>
      <c r="J43" s="6" t="s">
        <v>34</v>
      </c>
      <c r="K43" s="6">
        <v>17000.0</v>
      </c>
      <c r="L43" s="6">
        <v>4250.0</v>
      </c>
      <c r="M43" s="5" t="s">
        <v>38</v>
      </c>
      <c r="N43" s="5" t="s">
        <v>38</v>
      </c>
      <c r="O43" s="6" t="s">
        <v>276</v>
      </c>
      <c r="P43" s="5" t="s">
        <v>59</v>
      </c>
      <c r="Q43" s="5" t="s">
        <v>115</v>
      </c>
      <c r="R43" s="6" t="s">
        <v>42</v>
      </c>
      <c r="S43" s="5" t="s">
        <v>90</v>
      </c>
      <c r="T43" s="5" t="s">
        <v>116</v>
      </c>
      <c r="U43" s="5" t="s">
        <v>181</v>
      </c>
      <c r="V43" s="5" t="s">
        <v>44</v>
      </c>
      <c r="W43" s="5" t="s">
        <v>36</v>
      </c>
      <c r="X43" s="8" t="s">
        <v>278</v>
      </c>
      <c r="Y43" s="5" t="s">
        <v>46</v>
      </c>
      <c r="Z43" s="5" t="s">
        <v>47</v>
      </c>
      <c r="AA43" s="5" t="s">
        <v>64</v>
      </c>
      <c r="AB43" s="5" t="s">
        <v>281</v>
      </c>
      <c r="AC43" s="6" t="s">
        <v>56</v>
      </c>
      <c r="AD43" s="6">
        <v>3951.0</v>
      </c>
    </row>
    <row r="44" ht="56.25" customHeight="1">
      <c r="A44" s="5" t="s">
        <v>273</v>
      </c>
      <c r="B44" s="6" t="str">
        <f>IMAGE("https://storage.googleapis.com/acdb/housewares/FtrAntiqueConsole_Remake_2_0.png")</f>
        <v/>
      </c>
      <c r="C44" s="5" t="s">
        <v>54</v>
      </c>
      <c r="D44" s="5" t="s">
        <v>34</v>
      </c>
      <c r="E44" s="5" t="s">
        <v>34</v>
      </c>
      <c r="F44" s="5" t="s">
        <v>34</v>
      </c>
      <c r="G44" s="5" t="s">
        <v>36</v>
      </c>
      <c r="H44" s="5" t="s">
        <v>36</v>
      </c>
      <c r="I44" s="5" t="s">
        <v>36</v>
      </c>
      <c r="J44" s="6" t="s">
        <v>34</v>
      </c>
      <c r="K44" s="6">
        <v>17000.0</v>
      </c>
      <c r="L44" s="6">
        <v>4250.0</v>
      </c>
      <c r="M44" s="5" t="s">
        <v>54</v>
      </c>
      <c r="N44" s="5" t="s">
        <v>54</v>
      </c>
      <c r="O44" s="6" t="s">
        <v>276</v>
      </c>
      <c r="P44" s="5" t="s">
        <v>59</v>
      </c>
      <c r="Q44" s="5" t="s">
        <v>115</v>
      </c>
      <c r="R44" s="6" t="s">
        <v>42</v>
      </c>
      <c r="S44" s="5" t="s">
        <v>90</v>
      </c>
      <c r="T44" s="5" t="s">
        <v>116</v>
      </c>
      <c r="U44" s="5" t="s">
        <v>181</v>
      </c>
      <c r="V44" s="5" t="s">
        <v>44</v>
      </c>
      <c r="W44" s="5" t="s">
        <v>36</v>
      </c>
      <c r="X44" s="8" t="s">
        <v>278</v>
      </c>
      <c r="Y44" s="5" t="s">
        <v>46</v>
      </c>
      <c r="Z44" s="5" t="s">
        <v>47</v>
      </c>
      <c r="AA44" s="5" t="s">
        <v>64</v>
      </c>
      <c r="AB44" s="5" t="s">
        <v>286</v>
      </c>
      <c r="AC44" s="6" t="s">
        <v>67</v>
      </c>
      <c r="AD44" s="6">
        <v>3951.0</v>
      </c>
    </row>
    <row r="45" ht="56.25" customHeight="1">
      <c r="A45" s="5" t="s">
        <v>287</v>
      </c>
      <c r="B45" s="6" t="str">
        <f>IMAGE("https://storage.googleapis.com/acdb/housewares/FtrAntiqueTableS_Remake_0_0.png")</f>
        <v/>
      </c>
      <c r="C45" s="5" t="s">
        <v>39</v>
      </c>
      <c r="D45" s="5" t="s">
        <v>34</v>
      </c>
      <c r="E45" s="5" t="s">
        <v>34</v>
      </c>
      <c r="F45" s="5" t="s">
        <v>34</v>
      </c>
      <c r="G45" s="5" t="s">
        <v>36</v>
      </c>
      <c r="H45" s="5" t="s">
        <v>36</v>
      </c>
      <c r="I45" s="5" t="s">
        <v>36</v>
      </c>
      <c r="J45" s="6" t="s">
        <v>34</v>
      </c>
      <c r="K45" s="6">
        <v>6700.0</v>
      </c>
      <c r="L45" s="6">
        <v>1675.0</v>
      </c>
      <c r="M45" s="5" t="s">
        <v>39</v>
      </c>
      <c r="N45" s="5" t="s">
        <v>57</v>
      </c>
      <c r="O45" s="6" t="s">
        <v>40</v>
      </c>
      <c r="P45" s="5" t="s">
        <v>59</v>
      </c>
      <c r="Q45" s="5" t="s">
        <v>115</v>
      </c>
      <c r="R45" s="6" t="s">
        <v>42</v>
      </c>
      <c r="S45" s="5" t="s">
        <v>90</v>
      </c>
      <c r="T45" s="5" t="s">
        <v>116</v>
      </c>
      <c r="U45" s="5" t="s">
        <v>181</v>
      </c>
      <c r="V45" s="5" t="s">
        <v>44</v>
      </c>
      <c r="W45" s="5" t="s">
        <v>36</v>
      </c>
      <c r="X45" s="8" t="s">
        <v>278</v>
      </c>
      <c r="Y45" s="5" t="s">
        <v>46</v>
      </c>
      <c r="Z45" s="5" t="s">
        <v>47</v>
      </c>
      <c r="AA45" s="5" t="s">
        <v>64</v>
      </c>
      <c r="AB45" s="5" t="s">
        <v>292</v>
      </c>
      <c r="AC45" s="6" t="s">
        <v>50</v>
      </c>
      <c r="AD45" s="6">
        <v>3958.0</v>
      </c>
    </row>
    <row r="46" ht="56.25" customHeight="1">
      <c r="A46" s="5" t="s">
        <v>287</v>
      </c>
      <c r="B46" s="6" t="str">
        <f>IMAGE("https://storage.googleapis.com/acdb/housewares/FtrAntiqueTableS_Remake_1_0.png")</f>
        <v/>
      </c>
      <c r="C46" s="5" t="s">
        <v>32</v>
      </c>
      <c r="D46" s="5" t="s">
        <v>34</v>
      </c>
      <c r="E46" s="5" t="s">
        <v>34</v>
      </c>
      <c r="F46" s="5" t="s">
        <v>34</v>
      </c>
      <c r="G46" s="5" t="s">
        <v>36</v>
      </c>
      <c r="H46" s="5" t="s">
        <v>36</v>
      </c>
      <c r="I46" s="5" t="s">
        <v>36</v>
      </c>
      <c r="J46" s="6" t="s">
        <v>34</v>
      </c>
      <c r="K46" s="6">
        <v>6700.0</v>
      </c>
      <c r="L46" s="6">
        <v>1675.0</v>
      </c>
      <c r="M46" s="5" t="s">
        <v>38</v>
      </c>
      <c r="N46" s="5" t="s">
        <v>57</v>
      </c>
      <c r="O46" s="6" t="s">
        <v>40</v>
      </c>
      <c r="P46" s="5" t="s">
        <v>59</v>
      </c>
      <c r="Q46" s="5" t="s">
        <v>115</v>
      </c>
      <c r="R46" s="6" t="s">
        <v>42</v>
      </c>
      <c r="S46" s="5" t="s">
        <v>90</v>
      </c>
      <c r="T46" s="5" t="s">
        <v>116</v>
      </c>
      <c r="U46" s="5" t="s">
        <v>181</v>
      </c>
      <c r="V46" s="5" t="s">
        <v>44</v>
      </c>
      <c r="W46" s="5" t="s">
        <v>36</v>
      </c>
      <c r="X46" s="8" t="s">
        <v>278</v>
      </c>
      <c r="Y46" s="5" t="s">
        <v>46</v>
      </c>
      <c r="Z46" s="5" t="s">
        <v>47</v>
      </c>
      <c r="AA46" s="5" t="s">
        <v>64</v>
      </c>
      <c r="AB46" s="5" t="s">
        <v>293</v>
      </c>
      <c r="AC46" s="6" t="s">
        <v>56</v>
      </c>
      <c r="AD46" s="6">
        <v>3958.0</v>
      </c>
    </row>
    <row r="47" ht="56.25" customHeight="1">
      <c r="A47" s="5" t="s">
        <v>287</v>
      </c>
      <c r="B47" s="6" t="str">
        <f>IMAGE("https://storage.googleapis.com/acdb/housewares/FtrAntiqueTableS_Remake_2_0.png")</f>
        <v/>
      </c>
      <c r="C47" s="5" t="s">
        <v>54</v>
      </c>
      <c r="D47" s="5" t="s">
        <v>34</v>
      </c>
      <c r="E47" s="5" t="s">
        <v>34</v>
      </c>
      <c r="F47" s="5" t="s">
        <v>34</v>
      </c>
      <c r="G47" s="5" t="s">
        <v>36</v>
      </c>
      <c r="H47" s="5" t="s">
        <v>36</v>
      </c>
      <c r="I47" s="5" t="s">
        <v>36</v>
      </c>
      <c r="J47" s="6" t="s">
        <v>34</v>
      </c>
      <c r="K47" s="6">
        <v>6700.0</v>
      </c>
      <c r="L47" s="6">
        <v>1675.0</v>
      </c>
      <c r="M47" s="5" t="s">
        <v>54</v>
      </c>
      <c r="N47" s="5" t="s">
        <v>57</v>
      </c>
      <c r="O47" s="6" t="s">
        <v>40</v>
      </c>
      <c r="P47" s="5" t="s">
        <v>59</v>
      </c>
      <c r="Q47" s="5" t="s">
        <v>115</v>
      </c>
      <c r="R47" s="6" t="s">
        <v>42</v>
      </c>
      <c r="S47" s="5" t="s">
        <v>90</v>
      </c>
      <c r="T47" s="5" t="s">
        <v>116</v>
      </c>
      <c r="U47" s="5" t="s">
        <v>181</v>
      </c>
      <c r="V47" s="5" t="s">
        <v>44</v>
      </c>
      <c r="W47" s="5" t="s">
        <v>36</v>
      </c>
      <c r="X47" s="8" t="s">
        <v>278</v>
      </c>
      <c r="Y47" s="5" t="s">
        <v>46</v>
      </c>
      <c r="Z47" s="5" t="s">
        <v>47</v>
      </c>
      <c r="AA47" s="5" t="s">
        <v>64</v>
      </c>
      <c r="AB47" s="5" t="s">
        <v>297</v>
      </c>
      <c r="AC47" s="6" t="s">
        <v>67</v>
      </c>
      <c r="AD47" s="6">
        <v>3958.0</v>
      </c>
    </row>
    <row r="48" ht="56.25" customHeight="1">
      <c r="A48" s="5" t="s">
        <v>298</v>
      </c>
      <c r="B48" s="6" t="str">
        <f>IMAGE("https://storage.googleapis.com/acdb/housewares/FtrAntiqueTableL_Remake_0_0.png")</f>
        <v/>
      </c>
      <c r="C48" s="5" t="s">
        <v>39</v>
      </c>
      <c r="D48" s="5" t="s">
        <v>34</v>
      </c>
      <c r="E48" s="5" t="s">
        <v>34</v>
      </c>
      <c r="F48" s="5" t="s">
        <v>34</v>
      </c>
      <c r="G48" s="5" t="s">
        <v>36</v>
      </c>
      <c r="H48" s="5" t="s">
        <v>36</v>
      </c>
      <c r="I48" s="5" t="s">
        <v>36</v>
      </c>
      <c r="J48" s="6" t="s">
        <v>34</v>
      </c>
      <c r="K48" s="6">
        <v>25000.0</v>
      </c>
      <c r="L48" s="6">
        <v>6250.0</v>
      </c>
      <c r="M48" s="5" t="s">
        <v>39</v>
      </c>
      <c r="N48" s="5" t="s">
        <v>39</v>
      </c>
      <c r="O48" s="6" t="s">
        <v>214</v>
      </c>
      <c r="P48" s="5" t="s">
        <v>59</v>
      </c>
      <c r="Q48" s="5" t="s">
        <v>115</v>
      </c>
      <c r="R48" s="6" t="s">
        <v>42</v>
      </c>
      <c r="S48" s="5" t="s">
        <v>90</v>
      </c>
      <c r="T48" s="5" t="s">
        <v>116</v>
      </c>
      <c r="U48" s="5" t="s">
        <v>181</v>
      </c>
      <c r="V48" s="5" t="s">
        <v>44</v>
      </c>
      <c r="W48" s="5" t="s">
        <v>36</v>
      </c>
      <c r="X48" s="8" t="s">
        <v>278</v>
      </c>
      <c r="Y48" s="5" t="s">
        <v>46</v>
      </c>
      <c r="Z48" s="5" t="s">
        <v>47</v>
      </c>
      <c r="AA48" s="5" t="s">
        <v>64</v>
      </c>
      <c r="AB48" s="5" t="s">
        <v>300</v>
      </c>
      <c r="AC48" s="6" t="s">
        <v>50</v>
      </c>
      <c r="AD48" s="6">
        <v>3952.0</v>
      </c>
    </row>
    <row r="49" ht="56.25" customHeight="1">
      <c r="A49" s="5" t="s">
        <v>298</v>
      </c>
      <c r="B49" s="6" t="str">
        <f>IMAGE("https://storage.googleapis.com/acdb/housewares/FtrAntiqueTableL_Remake_1_0.png")</f>
        <v/>
      </c>
      <c r="C49" s="5" t="s">
        <v>32</v>
      </c>
      <c r="D49" s="5" t="s">
        <v>34</v>
      </c>
      <c r="E49" s="5" t="s">
        <v>34</v>
      </c>
      <c r="F49" s="5" t="s">
        <v>34</v>
      </c>
      <c r="G49" s="5" t="s">
        <v>36</v>
      </c>
      <c r="H49" s="5" t="s">
        <v>36</v>
      </c>
      <c r="I49" s="5" t="s">
        <v>36</v>
      </c>
      <c r="J49" s="6" t="s">
        <v>34</v>
      </c>
      <c r="K49" s="6">
        <v>25000.0</v>
      </c>
      <c r="L49" s="6">
        <v>6250.0</v>
      </c>
      <c r="M49" s="5" t="s">
        <v>38</v>
      </c>
      <c r="N49" s="5" t="s">
        <v>38</v>
      </c>
      <c r="O49" s="6" t="s">
        <v>214</v>
      </c>
      <c r="P49" s="5" t="s">
        <v>59</v>
      </c>
      <c r="Q49" s="5" t="s">
        <v>115</v>
      </c>
      <c r="R49" s="6" t="s">
        <v>42</v>
      </c>
      <c r="S49" s="5" t="s">
        <v>90</v>
      </c>
      <c r="T49" s="5" t="s">
        <v>116</v>
      </c>
      <c r="U49" s="5" t="s">
        <v>181</v>
      </c>
      <c r="V49" s="5" t="s">
        <v>44</v>
      </c>
      <c r="W49" s="5" t="s">
        <v>36</v>
      </c>
      <c r="X49" s="8" t="s">
        <v>278</v>
      </c>
      <c r="Y49" s="5" t="s">
        <v>46</v>
      </c>
      <c r="Z49" s="5" t="s">
        <v>47</v>
      </c>
      <c r="AA49" s="5" t="s">
        <v>64</v>
      </c>
      <c r="AB49" s="5" t="s">
        <v>302</v>
      </c>
      <c r="AC49" s="6" t="s">
        <v>56</v>
      </c>
      <c r="AD49" s="6">
        <v>3952.0</v>
      </c>
    </row>
    <row r="50" ht="56.25" customHeight="1">
      <c r="A50" s="5" t="s">
        <v>298</v>
      </c>
      <c r="B50" s="6" t="str">
        <f>IMAGE("https://storage.googleapis.com/acdb/housewares/FtrAntiqueTableL_Remake_2_0.png")</f>
        <v/>
      </c>
      <c r="C50" s="5" t="s">
        <v>54</v>
      </c>
      <c r="D50" s="5" t="s">
        <v>34</v>
      </c>
      <c r="E50" s="5" t="s">
        <v>34</v>
      </c>
      <c r="F50" s="5" t="s">
        <v>34</v>
      </c>
      <c r="G50" s="5" t="s">
        <v>36</v>
      </c>
      <c r="H50" s="5" t="s">
        <v>36</v>
      </c>
      <c r="I50" s="5" t="s">
        <v>36</v>
      </c>
      <c r="J50" s="6" t="s">
        <v>34</v>
      </c>
      <c r="K50" s="6">
        <v>25000.0</v>
      </c>
      <c r="L50" s="6">
        <v>6250.0</v>
      </c>
      <c r="M50" s="5" t="s">
        <v>54</v>
      </c>
      <c r="N50" s="5" t="s">
        <v>54</v>
      </c>
      <c r="O50" s="6" t="s">
        <v>214</v>
      </c>
      <c r="P50" s="5" t="s">
        <v>59</v>
      </c>
      <c r="Q50" s="5" t="s">
        <v>115</v>
      </c>
      <c r="R50" s="6" t="s">
        <v>42</v>
      </c>
      <c r="S50" s="5" t="s">
        <v>90</v>
      </c>
      <c r="T50" s="5" t="s">
        <v>116</v>
      </c>
      <c r="U50" s="5" t="s">
        <v>181</v>
      </c>
      <c r="V50" s="5" t="s">
        <v>44</v>
      </c>
      <c r="W50" s="5" t="s">
        <v>36</v>
      </c>
      <c r="X50" s="8" t="s">
        <v>278</v>
      </c>
      <c r="Y50" s="5" t="s">
        <v>46</v>
      </c>
      <c r="Z50" s="5" t="s">
        <v>47</v>
      </c>
      <c r="AA50" s="5" t="s">
        <v>64</v>
      </c>
      <c r="AB50" s="5" t="s">
        <v>306</v>
      </c>
      <c r="AC50" s="6" t="s">
        <v>67</v>
      </c>
      <c r="AD50" s="6">
        <v>3952.0</v>
      </c>
    </row>
    <row r="51" ht="56.25" customHeight="1">
      <c r="A51" s="5" t="s">
        <v>308</v>
      </c>
      <c r="B51" s="6" t="str">
        <f>IMAGE("https://storage.googleapis.com/acdb/housewares/FtrAntiqueDresser_Remake_0_0.png")</f>
        <v/>
      </c>
      <c r="C51" s="5" t="s">
        <v>39</v>
      </c>
      <c r="D51" s="5" t="s">
        <v>34</v>
      </c>
      <c r="E51" s="5" t="s">
        <v>34</v>
      </c>
      <c r="F51" s="5" t="s">
        <v>34</v>
      </c>
      <c r="G51" s="5" t="s">
        <v>36</v>
      </c>
      <c r="H51" s="5" t="s">
        <v>36</v>
      </c>
      <c r="I51" s="5" t="s">
        <v>36</v>
      </c>
      <c r="J51" s="6" t="s">
        <v>34</v>
      </c>
      <c r="K51" s="6">
        <v>31000.0</v>
      </c>
      <c r="L51" s="6">
        <v>7750.0</v>
      </c>
      <c r="M51" s="5" t="s">
        <v>39</v>
      </c>
      <c r="N51" s="5" t="s">
        <v>83</v>
      </c>
      <c r="O51" s="6" t="s">
        <v>276</v>
      </c>
      <c r="P51" s="5" t="s">
        <v>59</v>
      </c>
      <c r="Q51" s="5" t="s">
        <v>115</v>
      </c>
      <c r="R51" s="6" t="s">
        <v>42</v>
      </c>
      <c r="S51" s="5" t="s">
        <v>90</v>
      </c>
      <c r="T51" s="5" t="s">
        <v>116</v>
      </c>
      <c r="U51" s="5" t="s">
        <v>181</v>
      </c>
      <c r="V51" s="5" t="s">
        <v>44</v>
      </c>
      <c r="W51" s="5" t="s">
        <v>35</v>
      </c>
      <c r="X51" s="8" t="s">
        <v>309</v>
      </c>
      <c r="Y51" s="5" t="s">
        <v>46</v>
      </c>
      <c r="Z51" s="5" t="s">
        <v>47</v>
      </c>
      <c r="AA51" s="5" t="s">
        <v>64</v>
      </c>
      <c r="AB51" s="5" t="s">
        <v>310</v>
      </c>
      <c r="AC51" s="6" t="s">
        <v>50</v>
      </c>
      <c r="AD51" s="6">
        <v>3955.0</v>
      </c>
    </row>
    <row r="52" ht="56.25" customHeight="1">
      <c r="A52" s="5" t="s">
        <v>308</v>
      </c>
      <c r="B52" s="6" t="str">
        <f>IMAGE("https://storage.googleapis.com/acdb/housewares/FtrAntiqueDresser_Remake_1_0.png")</f>
        <v/>
      </c>
      <c r="C52" s="5" t="s">
        <v>32</v>
      </c>
      <c r="D52" s="5" t="s">
        <v>34</v>
      </c>
      <c r="E52" s="5" t="s">
        <v>34</v>
      </c>
      <c r="F52" s="5" t="s">
        <v>34</v>
      </c>
      <c r="G52" s="5" t="s">
        <v>36</v>
      </c>
      <c r="H52" s="5" t="s">
        <v>36</v>
      </c>
      <c r="I52" s="5" t="s">
        <v>36</v>
      </c>
      <c r="J52" s="6" t="s">
        <v>34</v>
      </c>
      <c r="K52" s="6">
        <v>31000.0</v>
      </c>
      <c r="L52" s="6">
        <v>7750.0</v>
      </c>
      <c r="M52" s="5" t="s">
        <v>38</v>
      </c>
      <c r="N52" s="5" t="s">
        <v>83</v>
      </c>
      <c r="O52" s="6" t="s">
        <v>276</v>
      </c>
      <c r="P52" s="5" t="s">
        <v>59</v>
      </c>
      <c r="Q52" s="5" t="s">
        <v>115</v>
      </c>
      <c r="R52" s="6" t="s">
        <v>42</v>
      </c>
      <c r="S52" s="5" t="s">
        <v>90</v>
      </c>
      <c r="T52" s="5" t="s">
        <v>116</v>
      </c>
      <c r="U52" s="5" t="s">
        <v>181</v>
      </c>
      <c r="V52" s="5" t="s">
        <v>44</v>
      </c>
      <c r="W52" s="5" t="s">
        <v>35</v>
      </c>
      <c r="X52" s="8" t="s">
        <v>309</v>
      </c>
      <c r="Y52" s="5" t="s">
        <v>46</v>
      </c>
      <c r="Z52" s="5" t="s">
        <v>47</v>
      </c>
      <c r="AA52" s="5" t="s">
        <v>64</v>
      </c>
      <c r="AB52" s="5" t="s">
        <v>316</v>
      </c>
      <c r="AC52" s="6" t="s">
        <v>56</v>
      </c>
      <c r="AD52" s="6">
        <v>3955.0</v>
      </c>
    </row>
    <row r="53" ht="56.25" customHeight="1">
      <c r="A53" s="5" t="s">
        <v>308</v>
      </c>
      <c r="B53" s="6" t="str">
        <f>IMAGE("https://storage.googleapis.com/acdb/housewares/FtrAntiqueDresser_Remake_2_0.png")</f>
        <v/>
      </c>
      <c r="C53" s="5" t="s">
        <v>54</v>
      </c>
      <c r="D53" s="5" t="s">
        <v>34</v>
      </c>
      <c r="E53" s="5" t="s">
        <v>34</v>
      </c>
      <c r="F53" s="5" t="s">
        <v>34</v>
      </c>
      <c r="G53" s="5" t="s">
        <v>36</v>
      </c>
      <c r="H53" s="5" t="s">
        <v>36</v>
      </c>
      <c r="I53" s="5" t="s">
        <v>36</v>
      </c>
      <c r="J53" s="6" t="s">
        <v>34</v>
      </c>
      <c r="K53" s="6">
        <v>31000.0</v>
      </c>
      <c r="L53" s="6">
        <v>7750.0</v>
      </c>
      <c r="M53" s="5" t="s">
        <v>54</v>
      </c>
      <c r="N53" s="5" t="s">
        <v>83</v>
      </c>
      <c r="O53" s="6" t="s">
        <v>276</v>
      </c>
      <c r="P53" s="5" t="s">
        <v>59</v>
      </c>
      <c r="Q53" s="5" t="s">
        <v>115</v>
      </c>
      <c r="R53" s="6" t="s">
        <v>42</v>
      </c>
      <c r="S53" s="5" t="s">
        <v>90</v>
      </c>
      <c r="T53" s="5" t="s">
        <v>116</v>
      </c>
      <c r="U53" s="5" t="s">
        <v>181</v>
      </c>
      <c r="V53" s="5" t="s">
        <v>44</v>
      </c>
      <c r="W53" s="5" t="s">
        <v>35</v>
      </c>
      <c r="X53" s="8" t="s">
        <v>309</v>
      </c>
      <c r="Y53" s="5" t="s">
        <v>46</v>
      </c>
      <c r="Z53" s="5" t="s">
        <v>47</v>
      </c>
      <c r="AA53" s="5" t="s">
        <v>64</v>
      </c>
      <c r="AB53" s="5" t="s">
        <v>318</v>
      </c>
      <c r="AC53" s="6" t="s">
        <v>67</v>
      </c>
      <c r="AD53" s="6">
        <v>3955.0</v>
      </c>
    </row>
    <row r="54" ht="56.25" customHeight="1">
      <c r="A54" s="5" t="s">
        <v>321</v>
      </c>
      <c r="B54" s="6" t="str">
        <f>IMAGE("https://storage.googleapis.com/acdb/housewares/FtrAntiqueChest_Remake_0_0.png")</f>
        <v/>
      </c>
      <c r="C54" s="5" t="s">
        <v>39</v>
      </c>
      <c r="D54" s="5" t="s">
        <v>34</v>
      </c>
      <c r="E54" s="5" t="s">
        <v>34</v>
      </c>
      <c r="F54" s="5" t="s">
        <v>34</v>
      </c>
      <c r="G54" s="5" t="s">
        <v>36</v>
      </c>
      <c r="H54" s="5" t="s">
        <v>36</v>
      </c>
      <c r="I54" s="5" t="s">
        <v>36</v>
      </c>
      <c r="J54" s="6" t="s">
        <v>34</v>
      </c>
      <c r="K54" s="6">
        <v>37000.0</v>
      </c>
      <c r="L54" s="6">
        <v>9250.0</v>
      </c>
      <c r="M54" s="5" t="s">
        <v>39</v>
      </c>
      <c r="N54" s="5" t="s">
        <v>39</v>
      </c>
      <c r="O54" s="6" t="s">
        <v>276</v>
      </c>
      <c r="P54" s="5" t="s">
        <v>59</v>
      </c>
      <c r="Q54" s="5" t="s">
        <v>115</v>
      </c>
      <c r="R54" s="6" t="s">
        <v>42</v>
      </c>
      <c r="S54" s="5" t="s">
        <v>90</v>
      </c>
      <c r="T54" s="5" t="s">
        <v>116</v>
      </c>
      <c r="U54" s="5" t="s">
        <v>181</v>
      </c>
      <c r="V54" s="5" t="s">
        <v>44</v>
      </c>
      <c r="W54" s="5" t="s">
        <v>35</v>
      </c>
      <c r="X54" s="8" t="s">
        <v>322</v>
      </c>
      <c r="Y54" s="5" t="s">
        <v>46</v>
      </c>
      <c r="Z54" s="5" t="s">
        <v>47</v>
      </c>
      <c r="AA54" s="5" t="s">
        <v>64</v>
      </c>
      <c r="AB54" s="5" t="s">
        <v>323</v>
      </c>
      <c r="AC54" s="6" t="s">
        <v>50</v>
      </c>
      <c r="AD54" s="6">
        <v>3959.0</v>
      </c>
    </row>
    <row r="55" ht="56.25" customHeight="1">
      <c r="A55" s="5" t="s">
        <v>321</v>
      </c>
      <c r="B55" s="6" t="str">
        <f>IMAGE("https://storage.googleapis.com/acdb/housewares/FtrAntiqueChest_Remake_1_0.png")</f>
        <v/>
      </c>
      <c r="C55" s="5" t="s">
        <v>32</v>
      </c>
      <c r="D55" s="5" t="s">
        <v>34</v>
      </c>
      <c r="E55" s="5" t="s">
        <v>34</v>
      </c>
      <c r="F55" s="5" t="s">
        <v>34</v>
      </c>
      <c r="G55" s="5" t="s">
        <v>36</v>
      </c>
      <c r="H55" s="5" t="s">
        <v>36</v>
      </c>
      <c r="I55" s="5" t="s">
        <v>36</v>
      </c>
      <c r="J55" s="6" t="s">
        <v>34</v>
      </c>
      <c r="K55" s="6">
        <v>37000.0</v>
      </c>
      <c r="L55" s="6">
        <v>9250.0</v>
      </c>
      <c r="M55" s="5" t="s">
        <v>38</v>
      </c>
      <c r="N55" s="5" t="s">
        <v>38</v>
      </c>
      <c r="O55" s="6" t="s">
        <v>276</v>
      </c>
      <c r="P55" s="5" t="s">
        <v>59</v>
      </c>
      <c r="Q55" s="5" t="s">
        <v>115</v>
      </c>
      <c r="R55" s="6" t="s">
        <v>42</v>
      </c>
      <c r="S55" s="5" t="s">
        <v>90</v>
      </c>
      <c r="T55" s="5" t="s">
        <v>116</v>
      </c>
      <c r="U55" s="5" t="s">
        <v>181</v>
      </c>
      <c r="V55" s="5" t="s">
        <v>44</v>
      </c>
      <c r="W55" s="5" t="s">
        <v>35</v>
      </c>
      <c r="X55" s="8" t="s">
        <v>322</v>
      </c>
      <c r="Y55" s="5" t="s">
        <v>46</v>
      </c>
      <c r="Z55" s="5" t="s">
        <v>47</v>
      </c>
      <c r="AA55" s="5" t="s">
        <v>64</v>
      </c>
      <c r="AB55" s="5" t="s">
        <v>328</v>
      </c>
      <c r="AC55" s="6" t="s">
        <v>56</v>
      </c>
      <c r="AD55" s="6">
        <v>3959.0</v>
      </c>
    </row>
    <row r="56" ht="56.25" customHeight="1">
      <c r="A56" s="5" t="s">
        <v>321</v>
      </c>
      <c r="B56" s="6" t="str">
        <f>IMAGE("https://storage.googleapis.com/acdb/housewares/FtrAntiqueChest_Remake_2_0.png")</f>
        <v/>
      </c>
      <c r="C56" s="5" t="s">
        <v>54</v>
      </c>
      <c r="D56" s="5" t="s">
        <v>34</v>
      </c>
      <c r="E56" s="5" t="s">
        <v>34</v>
      </c>
      <c r="F56" s="5" t="s">
        <v>34</v>
      </c>
      <c r="G56" s="5" t="s">
        <v>36</v>
      </c>
      <c r="H56" s="5" t="s">
        <v>36</v>
      </c>
      <c r="I56" s="5" t="s">
        <v>36</v>
      </c>
      <c r="J56" s="6" t="s">
        <v>34</v>
      </c>
      <c r="K56" s="6">
        <v>37000.0</v>
      </c>
      <c r="L56" s="6">
        <v>9250.0</v>
      </c>
      <c r="M56" s="5" t="s">
        <v>54</v>
      </c>
      <c r="N56" s="5" t="s">
        <v>54</v>
      </c>
      <c r="O56" s="6" t="s">
        <v>276</v>
      </c>
      <c r="P56" s="5" t="s">
        <v>59</v>
      </c>
      <c r="Q56" s="5" t="s">
        <v>115</v>
      </c>
      <c r="R56" s="6" t="s">
        <v>42</v>
      </c>
      <c r="S56" s="5" t="s">
        <v>90</v>
      </c>
      <c r="T56" s="5" t="s">
        <v>116</v>
      </c>
      <c r="U56" s="5" t="s">
        <v>181</v>
      </c>
      <c r="V56" s="5" t="s">
        <v>44</v>
      </c>
      <c r="W56" s="5" t="s">
        <v>35</v>
      </c>
      <c r="X56" s="8" t="s">
        <v>322</v>
      </c>
      <c r="Y56" s="5" t="s">
        <v>46</v>
      </c>
      <c r="Z56" s="5" t="s">
        <v>47</v>
      </c>
      <c r="AA56" s="5" t="s">
        <v>64</v>
      </c>
      <c r="AB56" s="5" t="s">
        <v>333</v>
      </c>
      <c r="AC56" s="6" t="s">
        <v>67</v>
      </c>
      <c r="AD56" s="6">
        <v>3959.0</v>
      </c>
    </row>
    <row r="57" ht="56.25" customHeight="1">
      <c r="A57" s="5" t="s">
        <v>335</v>
      </c>
      <c r="B57" s="6" t="str">
        <f>IMAGE("https://storage.googleapis.com/acdb/housewares/FtrFruitsChairApple_Remake_0_0.png")</f>
        <v/>
      </c>
      <c r="C57" s="5" t="s">
        <v>336</v>
      </c>
      <c r="D57" s="5" t="s">
        <v>337</v>
      </c>
      <c r="E57" s="5" t="s">
        <v>34</v>
      </c>
      <c r="F57" s="5" t="s">
        <v>34</v>
      </c>
      <c r="G57" s="5" t="s">
        <v>35</v>
      </c>
      <c r="H57" s="5" t="s">
        <v>35</v>
      </c>
      <c r="I57" s="5" t="s">
        <v>36</v>
      </c>
      <c r="J57" s="6">
        <v>4.0</v>
      </c>
      <c r="K57" s="6" t="s">
        <v>37</v>
      </c>
      <c r="L57" s="6">
        <v>2480.0</v>
      </c>
      <c r="M57" s="5" t="s">
        <v>52</v>
      </c>
      <c r="N57" s="5" t="s">
        <v>114</v>
      </c>
      <c r="O57" s="6" t="s">
        <v>40</v>
      </c>
      <c r="P57" s="5" t="s">
        <v>41</v>
      </c>
      <c r="Q57" s="5"/>
      <c r="R57" s="6" t="s">
        <v>42</v>
      </c>
      <c r="S57" s="5" t="s">
        <v>61</v>
      </c>
      <c r="T57" s="5" t="s">
        <v>44</v>
      </c>
      <c r="U57" s="5" t="s">
        <v>338</v>
      </c>
      <c r="V57" s="5" t="s">
        <v>339</v>
      </c>
      <c r="W57" s="5" t="s">
        <v>35</v>
      </c>
      <c r="X57" s="8" t="s">
        <v>248</v>
      </c>
      <c r="Y57" s="5" t="s">
        <v>46</v>
      </c>
      <c r="Z57" s="5" t="s">
        <v>47</v>
      </c>
      <c r="AA57" s="5" t="s">
        <v>48</v>
      </c>
      <c r="AB57" s="5" t="s">
        <v>341</v>
      </c>
      <c r="AC57" s="6" t="s">
        <v>50</v>
      </c>
      <c r="AD57" s="6">
        <v>4134.0</v>
      </c>
    </row>
    <row r="58" ht="56.25" customHeight="1">
      <c r="A58" s="5" t="s">
        <v>335</v>
      </c>
      <c r="B58" s="6" t="str">
        <f>IMAGE("https://storage.googleapis.com/acdb/housewares/FtrFruitsChairApple_Remake_1_0.png")</f>
        <v/>
      </c>
      <c r="C58" s="5" t="s">
        <v>342</v>
      </c>
      <c r="D58" s="5" t="s">
        <v>337</v>
      </c>
      <c r="E58" s="5" t="s">
        <v>34</v>
      </c>
      <c r="F58" s="5" t="s">
        <v>34</v>
      </c>
      <c r="G58" s="5" t="s">
        <v>35</v>
      </c>
      <c r="H58" s="5" t="s">
        <v>35</v>
      </c>
      <c r="I58" s="5" t="s">
        <v>36</v>
      </c>
      <c r="J58" s="6">
        <v>4.0</v>
      </c>
      <c r="K58" s="6" t="s">
        <v>37</v>
      </c>
      <c r="L58" s="6">
        <v>2480.0</v>
      </c>
      <c r="M58" s="5" t="s">
        <v>96</v>
      </c>
      <c r="N58" s="5" t="s">
        <v>114</v>
      </c>
      <c r="O58" s="6" t="s">
        <v>40</v>
      </c>
      <c r="P58" s="5" t="s">
        <v>41</v>
      </c>
      <c r="Q58" s="5"/>
      <c r="R58" s="6" t="s">
        <v>42</v>
      </c>
      <c r="S58" s="5" t="s">
        <v>61</v>
      </c>
      <c r="T58" s="5" t="s">
        <v>44</v>
      </c>
      <c r="U58" s="5" t="s">
        <v>338</v>
      </c>
      <c r="V58" s="5" t="s">
        <v>339</v>
      </c>
      <c r="W58" s="5" t="s">
        <v>35</v>
      </c>
      <c r="X58" s="8" t="s">
        <v>248</v>
      </c>
      <c r="Y58" s="5" t="s">
        <v>46</v>
      </c>
      <c r="Z58" s="5" t="s">
        <v>47</v>
      </c>
      <c r="AA58" s="5" t="s">
        <v>48</v>
      </c>
      <c r="AB58" s="5" t="s">
        <v>344</v>
      </c>
      <c r="AC58" s="6" t="s">
        <v>56</v>
      </c>
      <c r="AD58" s="6">
        <v>4134.0</v>
      </c>
    </row>
    <row r="59" ht="56.25" customHeight="1">
      <c r="A59" s="5" t="s">
        <v>346</v>
      </c>
      <c r="B59" s="6" t="str">
        <f>IMAGE("https://storage.googleapis.com/acdb/housewares/FtrZodiacAquarius.png")</f>
        <v/>
      </c>
      <c r="C59" s="5" t="s">
        <v>34</v>
      </c>
      <c r="D59" s="5" t="s">
        <v>34</v>
      </c>
      <c r="E59" s="5" t="s">
        <v>34</v>
      </c>
      <c r="F59" s="5" t="s">
        <v>34</v>
      </c>
      <c r="G59" s="5" t="s">
        <v>35</v>
      </c>
      <c r="H59" s="5" t="s">
        <v>36</v>
      </c>
      <c r="I59" s="5" t="s">
        <v>36</v>
      </c>
      <c r="J59" s="6" t="s">
        <v>34</v>
      </c>
      <c r="K59" s="6" t="s">
        <v>37</v>
      </c>
      <c r="L59" s="6">
        <v>22125.0</v>
      </c>
      <c r="M59" s="5" t="s">
        <v>57</v>
      </c>
      <c r="N59" s="5" t="s">
        <v>114</v>
      </c>
      <c r="O59" s="6" t="s">
        <v>40</v>
      </c>
      <c r="P59" s="5" t="s">
        <v>41</v>
      </c>
      <c r="Q59" s="5"/>
      <c r="R59" s="6" t="s">
        <v>42</v>
      </c>
      <c r="S59" s="5" t="s">
        <v>116</v>
      </c>
      <c r="T59" s="5" t="s">
        <v>288</v>
      </c>
      <c r="U59" s="5" t="s">
        <v>349</v>
      </c>
      <c r="V59" s="5" t="s">
        <v>44</v>
      </c>
      <c r="W59" s="5" t="s">
        <v>36</v>
      </c>
      <c r="X59" s="8" t="s">
        <v>289</v>
      </c>
      <c r="Y59" s="5" t="s">
        <v>46</v>
      </c>
      <c r="Z59" s="5" t="s">
        <v>47</v>
      </c>
      <c r="AA59" s="5" t="s">
        <v>48</v>
      </c>
      <c r="AB59" s="5" t="s">
        <v>351</v>
      </c>
      <c r="AC59" s="6" t="s">
        <v>34</v>
      </c>
      <c r="AD59" s="6">
        <v>5956.0</v>
      </c>
    </row>
    <row r="60" ht="56.25" customHeight="1">
      <c r="A60" s="5" t="s">
        <v>352</v>
      </c>
      <c r="B60" s="6" t="str">
        <f>IMAGE("https://storage.googleapis.com/acdb/housewares/FtrArcadegameShooting.png")</f>
        <v/>
      </c>
      <c r="C60" s="5" t="s">
        <v>34</v>
      </c>
      <c r="D60" s="5" t="s">
        <v>34</v>
      </c>
      <c r="E60" s="5" t="s">
        <v>34</v>
      </c>
      <c r="F60" s="5" t="s">
        <v>34</v>
      </c>
      <c r="G60" s="5" t="s">
        <v>36</v>
      </c>
      <c r="H60" s="5" t="s">
        <v>36</v>
      </c>
      <c r="I60" s="5" t="s">
        <v>36</v>
      </c>
      <c r="J60" s="6" t="s">
        <v>34</v>
      </c>
      <c r="K60" s="6">
        <v>64000.0</v>
      </c>
      <c r="L60" s="6">
        <v>16000.0</v>
      </c>
      <c r="M60" s="5" t="s">
        <v>57</v>
      </c>
      <c r="N60" s="5" t="s">
        <v>68</v>
      </c>
      <c r="O60" s="6" t="s">
        <v>40</v>
      </c>
      <c r="P60" s="5" t="s">
        <v>59</v>
      </c>
      <c r="Q60" s="5" t="s">
        <v>115</v>
      </c>
      <c r="R60" s="6" t="s">
        <v>42</v>
      </c>
      <c r="S60" s="5" t="s">
        <v>141</v>
      </c>
      <c r="T60" s="5" t="s">
        <v>62</v>
      </c>
      <c r="U60" s="5" t="s">
        <v>44</v>
      </c>
      <c r="V60" s="5" t="s">
        <v>44</v>
      </c>
      <c r="W60" s="5" t="s">
        <v>35</v>
      </c>
      <c r="X60" s="8" t="s">
        <v>356</v>
      </c>
      <c r="Y60" s="5" t="s">
        <v>46</v>
      </c>
      <c r="Z60" s="5" t="s">
        <v>357</v>
      </c>
      <c r="AA60" s="5" t="s">
        <v>64</v>
      </c>
      <c r="AB60" s="5" t="s">
        <v>358</v>
      </c>
      <c r="AC60" s="6" t="s">
        <v>34</v>
      </c>
      <c r="AD60" s="6">
        <v>8226.0</v>
      </c>
    </row>
    <row r="61" ht="56.25" customHeight="1">
      <c r="A61" s="5" t="s">
        <v>359</v>
      </c>
      <c r="B61" s="6" t="str">
        <f>IMAGE("https://storage.googleapis.com/acdb/housewares/FtrArcadegameFight.png")</f>
        <v/>
      </c>
      <c r="C61" s="5" t="s">
        <v>34</v>
      </c>
      <c r="D61" s="5" t="s">
        <v>34</v>
      </c>
      <c r="E61" s="5" t="s">
        <v>34</v>
      </c>
      <c r="F61" s="5" t="s">
        <v>34</v>
      </c>
      <c r="G61" s="5" t="s">
        <v>36</v>
      </c>
      <c r="H61" s="5" t="s">
        <v>36</v>
      </c>
      <c r="I61" s="5" t="s">
        <v>36</v>
      </c>
      <c r="J61" s="6" t="s">
        <v>34</v>
      </c>
      <c r="K61" s="6">
        <v>64000.0</v>
      </c>
      <c r="L61" s="6">
        <v>16000.0</v>
      </c>
      <c r="M61" s="5" t="s">
        <v>57</v>
      </c>
      <c r="N61" s="5" t="s">
        <v>52</v>
      </c>
      <c r="O61" s="6" t="s">
        <v>40</v>
      </c>
      <c r="P61" s="5" t="s">
        <v>59</v>
      </c>
      <c r="Q61" s="5" t="s">
        <v>115</v>
      </c>
      <c r="R61" s="6" t="s">
        <v>42</v>
      </c>
      <c r="S61" s="5" t="s">
        <v>141</v>
      </c>
      <c r="T61" s="5" t="s">
        <v>62</v>
      </c>
      <c r="U61" s="5" t="s">
        <v>44</v>
      </c>
      <c r="V61" s="5" t="s">
        <v>44</v>
      </c>
      <c r="W61" s="5" t="s">
        <v>35</v>
      </c>
      <c r="X61" s="8" t="s">
        <v>356</v>
      </c>
      <c r="Y61" s="5" t="s">
        <v>46</v>
      </c>
      <c r="Z61" s="5" t="s">
        <v>357</v>
      </c>
      <c r="AA61" s="5" t="s">
        <v>64</v>
      </c>
      <c r="AB61" s="5" t="s">
        <v>362</v>
      </c>
      <c r="AC61" s="6" t="s">
        <v>34</v>
      </c>
      <c r="AD61" s="6">
        <v>8225.0</v>
      </c>
    </row>
    <row r="62" ht="56.25" customHeight="1">
      <c r="A62" s="5" t="s">
        <v>363</v>
      </c>
      <c r="B62" s="6" t="str">
        <f>IMAGE("https://storage.googleapis.com/acdb/housewares/FtrArcadegameMahjong.png")</f>
        <v/>
      </c>
      <c r="C62" s="5" t="s">
        <v>34</v>
      </c>
      <c r="D62" s="5" t="s">
        <v>34</v>
      </c>
      <c r="E62" s="5" t="s">
        <v>34</v>
      </c>
      <c r="F62" s="5" t="s">
        <v>34</v>
      </c>
      <c r="G62" s="5" t="s">
        <v>36</v>
      </c>
      <c r="H62" s="5" t="s">
        <v>36</v>
      </c>
      <c r="I62" s="5" t="s">
        <v>36</v>
      </c>
      <c r="J62" s="6" t="s">
        <v>34</v>
      </c>
      <c r="K62" s="6">
        <v>64000.0</v>
      </c>
      <c r="L62" s="6">
        <v>16000.0</v>
      </c>
      <c r="M62" s="5" t="s">
        <v>57</v>
      </c>
      <c r="N62" s="5" t="s">
        <v>96</v>
      </c>
      <c r="O62" s="6" t="s">
        <v>40</v>
      </c>
      <c r="P62" s="5" t="s">
        <v>59</v>
      </c>
      <c r="Q62" s="5" t="s">
        <v>115</v>
      </c>
      <c r="R62" s="6" t="s">
        <v>42</v>
      </c>
      <c r="S62" s="5" t="s">
        <v>141</v>
      </c>
      <c r="T62" s="5" t="s">
        <v>62</v>
      </c>
      <c r="U62" s="5" t="s">
        <v>44</v>
      </c>
      <c r="V62" s="5" t="s">
        <v>44</v>
      </c>
      <c r="W62" s="5" t="s">
        <v>35</v>
      </c>
      <c r="X62" s="8" t="s">
        <v>356</v>
      </c>
      <c r="Y62" s="5" t="s">
        <v>46</v>
      </c>
      <c r="Z62" s="5" t="s">
        <v>357</v>
      </c>
      <c r="AA62" s="5" t="s">
        <v>64</v>
      </c>
      <c r="AB62" s="5" t="s">
        <v>367</v>
      </c>
      <c r="AC62" s="6" t="s">
        <v>34</v>
      </c>
      <c r="AD62" s="6">
        <v>8227.0</v>
      </c>
    </row>
    <row r="63" ht="56.25" customHeight="1">
      <c r="A63" s="5" t="s">
        <v>368</v>
      </c>
      <c r="B63" s="6" t="str">
        <f>IMAGE("https://storage.googleapis.com/acdb/housewares/FtrGameChair_Remake_0_0.png")</f>
        <v/>
      </c>
      <c r="C63" s="5" t="s">
        <v>52</v>
      </c>
      <c r="D63" s="5" t="s">
        <v>34</v>
      </c>
      <c r="E63" s="5" t="s">
        <v>34</v>
      </c>
      <c r="F63" s="5" t="s">
        <v>34</v>
      </c>
      <c r="G63" s="5" t="s">
        <v>36</v>
      </c>
      <c r="H63" s="5" t="s">
        <v>36</v>
      </c>
      <c r="I63" s="5" t="s">
        <v>36</v>
      </c>
      <c r="J63" s="6" t="s">
        <v>34</v>
      </c>
      <c r="K63" s="6">
        <v>1300.0</v>
      </c>
      <c r="L63" s="6">
        <v>325.0</v>
      </c>
      <c r="M63" s="5" t="s">
        <v>52</v>
      </c>
      <c r="N63" s="5" t="s">
        <v>95</v>
      </c>
      <c r="O63" s="6" t="s">
        <v>40</v>
      </c>
      <c r="P63" s="5" t="s">
        <v>59</v>
      </c>
      <c r="Q63" s="5" t="s">
        <v>122</v>
      </c>
      <c r="R63" s="6" t="s">
        <v>42</v>
      </c>
      <c r="S63" s="5" t="s">
        <v>141</v>
      </c>
      <c r="T63" s="5" t="s">
        <v>62</v>
      </c>
      <c r="U63" s="5" t="s">
        <v>44</v>
      </c>
      <c r="V63" s="5" t="s">
        <v>44</v>
      </c>
      <c r="W63" s="5" t="s">
        <v>35</v>
      </c>
      <c r="X63" s="8" t="s">
        <v>248</v>
      </c>
      <c r="Y63" s="5" t="s">
        <v>46</v>
      </c>
      <c r="Z63" s="5" t="s">
        <v>47</v>
      </c>
      <c r="AA63" s="5" t="s">
        <v>64</v>
      </c>
      <c r="AB63" s="5" t="s">
        <v>374</v>
      </c>
      <c r="AC63" s="6" t="s">
        <v>50</v>
      </c>
      <c r="AD63" s="6">
        <v>12207.0</v>
      </c>
    </row>
    <row r="64" ht="56.25" customHeight="1">
      <c r="A64" s="5" t="s">
        <v>368</v>
      </c>
      <c r="B64" s="6" t="str">
        <f>IMAGE("https://storage.googleapis.com/acdb/housewares/FtrGameChair_Remake_1_0.png")</f>
        <v/>
      </c>
      <c r="C64" s="5" t="s">
        <v>95</v>
      </c>
      <c r="D64" s="5" t="s">
        <v>34</v>
      </c>
      <c r="E64" s="5" t="s">
        <v>34</v>
      </c>
      <c r="F64" s="5" t="s">
        <v>34</v>
      </c>
      <c r="G64" s="5" t="s">
        <v>36</v>
      </c>
      <c r="H64" s="5" t="s">
        <v>36</v>
      </c>
      <c r="I64" s="5" t="s">
        <v>36</v>
      </c>
      <c r="J64" s="6" t="s">
        <v>34</v>
      </c>
      <c r="K64" s="6">
        <v>1300.0</v>
      </c>
      <c r="L64" s="6">
        <v>325.0</v>
      </c>
      <c r="M64" s="5" t="s">
        <v>95</v>
      </c>
      <c r="N64" s="5" t="s">
        <v>95</v>
      </c>
      <c r="O64" s="6" t="s">
        <v>40</v>
      </c>
      <c r="P64" s="5" t="s">
        <v>59</v>
      </c>
      <c r="Q64" s="5" t="s">
        <v>122</v>
      </c>
      <c r="R64" s="6" t="s">
        <v>42</v>
      </c>
      <c r="S64" s="5" t="s">
        <v>141</v>
      </c>
      <c r="T64" s="5" t="s">
        <v>62</v>
      </c>
      <c r="U64" s="5" t="s">
        <v>44</v>
      </c>
      <c r="V64" s="5" t="s">
        <v>44</v>
      </c>
      <c r="W64" s="5" t="s">
        <v>35</v>
      </c>
      <c r="X64" s="8" t="s">
        <v>248</v>
      </c>
      <c r="Y64" s="5" t="s">
        <v>46</v>
      </c>
      <c r="Z64" s="5" t="s">
        <v>47</v>
      </c>
      <c r="AA64" s="5" t="s">
        <v>64</v>
      </c>
      <c r="AB64" s="5" t="s">
        <v>380</v>
      </c>
      <c r="AC64" s="6" t="s">
        <v>56</v>
      </c>
      <c r="AD64" s="6">
        <v>12207.0</v>
      </c>
    </row>
    <row r="65" ht="56.25" customHeight="1">
      <c r="A65" s="5" t="s">
        <v>368</v>
      </c>
      <c r="B65" s="6" t="str">
        <f>IMAGE("https://storage.googleapis.com/acdb/housewares/FtrGameChair_Remake_2_0.png")</f>
        <v/>
      </c>
      <c r="C65" s="5" t="s">
        <v>68</v>
      </c>
      <c r="D65" s="5" t="s">
        <v>34</v>
      </c>
      <c r="E65" s="5" t="s">
        <v>34</v>
      </c>
      <c r="F65" s="5" t="s">
        <v>34</v>
      </c>
      <c r="G65" s="5" t="s">
        <v>36</v>
      </c>
      <c r="H65" s="5" t="s">
        <v>36</v>
      </c>
      <c r="I65" s="5" t="s">
        <v>36</v>
      </c>
      <c r="J65" s="6" t="s">
        <v>34</v>
      </c>
      <c r="K65" s="6">
        <v>1300.0</v>
      </c>
      <c r="L65" s="6">
        <v>325.0</v>
      </c>
      <c r="M65" s="5" t="s">
        <v>68</v>
      </c>
      <c r="N65" s="5" t="s">
        <v>95</v>
      </c>
      <c r="O65" s="6" t="s">
        <v>40</v>
      </c>
      <c r="P65" s="5" t="s">
        <v>59</v>
      </c>
      <c r="Q65" s="5" t="s">
        <v>122</v>
      </c>
      <c r="R65" s="6" t="s">
        <v>42</v>
      </c>
      <c r="S65" s="5" t="s">
        <v>141</v>
      </c>
      <c r="T65" s="5" t="s">
        <v>62</v>
      </c>
      <c r="U65" s="5" t="s">
        <v>44</v>
      </c>
      <c r="V65" s="5" t="s">
        <v>44</v>
      </c>
      <c r="W65" s="5" t="s">
        <v>35</v>
      </c>
      <c r="X65" s="8" t="s">
        <v>248</v>
      </c>
      <c r="Y65" s="5" t="s">
        <v>46</v>
      </c>
      <c r="Z65" s="5" t="s">
        <v>47</v>
      </c>
      <c r="AA65" s="5" t="s">
        <v>64</v>
      </c>
      <c r="AB65" s="5" t="s">
        <v>383</v>
      </c>
      <c r="AC65" s="6" t="s">
        <v>67</v>
      </c>
      <c r="AD65" s="6">
        <v>12207.0</v>
      </c>
    </row>
    <row r="66" ht="56.25" customHeight="1">
      <c r="A66" s="5" t="s">
        <v>384</v>
      </c>
      <c r="B66" s="6" t="str">
        <f>IMAGE("https://storage.googleapis.com/acdb/housewares/FtrZodiacAries.png")</f>
        <v/>
      </c>
      <c r="C66" s="5" t="s">
        <v>34</v>
      </c>
      <c r="D66" s="5" t="s">
        <v>34</v>
      </c>
      <c r="E66" s="5" t="s">
        <v>34</v>
      </c>
      <c r="F66" s="5" t="s">
        <v>34</v>
      </c>
      <c r="G66" s="5" t="s">
        <v>35</v>
      </c>
      <c r="H66" s="5" t="s">
        <v>36</v>
      </c>
      <c r="I66" s="5" t="s">
        <v>36</v>
      </c>
      <c r="J66" s="6" t="s">
        <v>34</v>
      </c>
      <c r="K66" s="6" t="s">
        <v>37</v>
      </c>
      <c r="L66" s="6">
        <v>12125.0</v>
      </c>
      <c r="M66" s="5" t="s">
        <v>57</v>
      </c>
      <c r="N66" s="5" t="s">
        <v>114</v>
      </c>
      <c r="O66" s="6" t="s">
        <v>40</v>
      </c>
      <c r="P66" s="5" t="s">
        <v>41</v>
      </c>
      <c r="Q66" s="5"/>
      <c r="R66" s="6" t="s">
        <v>42</v>
      </c>
      <c r="S66" s="5" t="s">
        <v>116</v>
      </c>
      <c r="T66" s="5" t="s">
        <v>61</v>
      </c>
      <c r="U66" s="5" t="s">
        <v>349</v>
      </c>
      <c r="V66" s="5" t="s">
        <v>44</v>
      </c>
      <c r="W66" s="5" t="s">
        <v>35</v>
      </c>
      <c r="X66" s="8" t="s">
        <v>356</v>
      </c>
      <c r="Y66" s="5" t="s">
        <v>46</v>
      </c>
      <c r="Z66" s="5" t="s">
        <v>47</v>
      </c>
      <c r="AA66" s="5" t="s">
        <v>48</v>
      </c>
      <c r="AB66" s="5" t="s">
        <v>388</v>
      </c>
      <c r="AC66" s="6" t="s">
        <v>34</v>
      </c>
      <c r="AD66" s="6">
        <v>5954.0</v>
      </c>
    </row>
    <row r="67" ht="56.25" customHeight="1">
      <c r="A67" s="5" t="s">
        <v>391</v>
      </c>
      <c r="B67" s="6" t="str">
        <f>IMAGE("https://storage.googleapis.com/acdb/housewares/FtrEventobjInsectBox.png")</f>
        <v/>
      </c>
      <c r="C67" s="5" t="s">
        <v>34</v>
      </c>
      <c r="D67" s="5" t="s">
        <v>34</v>
      </c>
      <c r="E67" s="5" t="s">
        <v>34</v>
      </c>
      <c r="F67" s="5" t="s">
        <v>34</v>
      </c>
      <c r="G67" s="5" t="s">
        <v>36</v>
      </c>
      <c r="H67" s="5" t="s">
        <v>36</v>
      </c>
      <c r="I67" s="5" t="s">
        <v>36</v>
      </c>
      <c r="J67" s="6" t="s">
        <v>34</v>
      </c>
      <c r="K67" s="6" t="s">
        <v>37</v>
      </c>
      <c r="L67" s="6">
        <v>450.0</v>
      </c>
      <c r="M67" s="5" t="s">
        <v>39</v>
      </c>
      <c r="N67" s="5" t="s">
        <v>39</v>
      </c>
      <c r="O67" s="6" t="s">
        <v>276</v>
      </c>
      <c r="P67" s="5" t="s">
        <v>393</v>
      </c>
      <c r="Q67" s="5"/>
      <c r="R67" s="6" t="s">
        <v>42</v>
      </c>
      <c r="S67" s="5" t="s">
        <v>172</v>
      </c>
      <c r="T67" s="5" t="s">
        <v>141</v>
      </c>
      <c r="U67" s="5" t="s">
        <v>44</v>
      </c>
      <c r="V67" s="5" t="s">
        <v>44</v>
      </c>
      <c r="W67" s="5" t="s">
        <v>35</v>
      </c>
      <c r="X67" s="8" t="s">
        <v>395</v>
      </c>
      <c r="Y67" s="5" t="s">
        <v>46</v>
      </c>
      <c r="Z67" s="5" t="s">
        <v>47</v>
      </c>
      <c r="AA67" s="5" t="s">
        <v>48</v>
      </c>
      <c r="AB67" s="5" t="s">
        <v>398</v>
      </c>
      <c r="AC67" s="6" t="s">
        <v>34</v>
      </c>
      <c r="AD67" s="6">
        <v>7839.0</v>
      </c>
    </row>
    <row r="68" ht="56.25" customHeight="1">
      <c r="A68" s="5" t="s">
        <v>399</v>
      </c>
      <c r="B68" s="6" t="str">
        <f>IMAGE("https://storage.googleapis.com/acdb/housewares/FtrMeteo.png")</f>
        <v/>
      </c>
      <c r="C68" s="5" t="s">
        <v>34</v>
      </c>
      <c r="D68" s="5" t="s">
        <v>34</v>
      </c>
      <c r="E68" s="5" t="s">
        <v>34</v>
      </c>
      <c r="F68" s="5" t="s">
        <v>34</v>
      </c>
      <c r="G68" s="5" t="s">
        <v>35</v>
      </c>
      <c r="H68" s="5" t="s">
        <v>36</v>
      </c>
      <c r="I68" s="5" t="s">
        <v>36</v>
      </c>
      <c r="J68" s="6" t="s">
        <v>34</v>
      </c>
      <c r="K68" s="6" t="s">
        <v>37</v>
      </c>
      <c r="L68" s="6">
        <v>4000.0</v>
      </c>
      <c r="M68" s="5" t="s">
        <v>54</v>
      </c>
      <c r="N68" s="5" t="s">
        <v>54</v>
      </c>
      <c r="O68" s="6" t="s">
        <v>40</v>
      </c>
      <c r="P68" s="5" t="s">
        <v>41</v>
      </c>
      <c r="Q68" s="5"/>
      <c r="R68" s="6" t="s">
        <v>42</v>
      </c>
      <c r="S68" s="5" t="s">
        <v>401</v>
      </c>
      <c r="T68" s="5" t="s">
        <v>141</v>
      </c>
      <c r="U68" s="5" t="s">
        <v>44</v>
      </c>
      <c r="V68" s="5" t="s">
        <v>44</v>
      </c>
      <c r="W68" s="5" t="s">
        <v>35</v>
      </c>
      <c r="X68" s="8" t="s">
        <v>403</v>
      </c>
      <c r="Y68" s="5" t="s">
        <v>46</v>
      </c>
      <c r="Z68" s="5" t="s">
        <v>47</v>
      </c>
      <c r="AA68" s="5" t="s">
        <v>48</v>
      </c>
      <c r="AB68" s="5" t="s">
        <v>405</v>
      </c>
      <c r="AC68" s="6" t="s">
        <v>34</v>
      </c>
      <c r="AD68" s="6">
        <v>1439.0</v>
      </c>
    </row>
    <row r="69" ht="56.25" customHeight="1">
      <c r="A69" s="5" t="s">
        <v>406</v>
      </c>
      <c r="B69" s="6" t="str">
        <f>IMAGE("https://storage.googleapis.com/acdb/housewares/FtrSpacesuit.png")</f>
        <v/>
      </c>
      <c r="C69" s="5" t="s">
        <v>34</v>
      </c>
      <c r="D69" s="5" t="s">
        <v>34</v>
      </c>
      <c r="E69" s="5" t="s">
        <v>34</v>
      </c>
      <c r="F69" s="5" t="s">
        <v>34</v>
      </c>
      <c r="G69" s="5" t="s">
        <v>35</v>
      </c>
      <c r="H69" s="5" t="s">
        <v>36</v>
      </c>
      <c r="I69" s="5" t="s">
        <v>36</v>
      </c>
      <c r="J69" s="6" t="s">
        <v>34</v>
      </c>
      <c r="K69" s="6" t="s">
        <v>37</v>
      </c>
      <c r="L69" s="6">
        <v>6250.0</v>
      </c>
      <c r="M69" s="5" t="s">
        <v>57</v>
      </c>
      <c r="N69" s="5" t="s">
        <v>54</v>
      </c>
      <c r="O69" s="6" t="s">
        <v>40</v>
      </c>
      <c r="P69" s="5" t="s">
        <v>41</v>
      </c>
      <c r="Q69" s="5"/>
      <c r="R69" s="6" t="s">
        <v>42</v>
      </c>
      <c r="S69" s="5" t="s">
        <v>401</v>
      </c>
      <c r="T69" s="5" t="s">
        <v>44</v>
      </c>
      <c r="U69" s="5" t="s">
        <v>44</v>
      </c>
      <c r="V69" s="5" t="s">
        <v>44</v>
      </c>
      <c r="W69" s="5" t="s">
        <v>36</v>
      </c>
      <c r="X69" s="8" t="s">
        <v>403</v>
      </c>
      <c r="Y69" s="5" t="s">
        <v>46</v>
      </c>
      <c r="Z69" s="5" t="s">
        <v>47</v>
      </c>
      <c r="AA69" s="5" t="s">
        <v>48</v>
      </c>
      <c r="AB69" s="5" t="s">
        <v>409</v>
      </c>
      <c r="AC69" s="6" t="s">
        <v>34</v>
      </c>
      <c r="AD69" s="6">
        <v>1445.0</v>
      </c>
    </row>
    <row r="70" ht="56.25" customHeight="1">
      <c r="A70" s="5" t="s">
        <v>410</v>
      </c>
      <c r="B70" s="6" t="str">
        <f>IMAGE("https://storage.googleapis.com/acdb/housewares/FtrWashingmachine_Remake_0_0.png")</f>
        <v/>
      </c>
      <c r="C70" s="5" t="s">
        <v>57</v>
      </c>
      <c r="D70" s="5" t="s">
        <v>34</v>
      </c>
      <c r="E70" s="5" t="s">
        <v>34</v>
      </c>
      <c r="F70" s="5" t="s">
        <v>34</v>
      </c>
      <c r="G70" s="5" t="s">
        <v>36</v>
      </c>
      <c r="H70" s="5" t="s">
        <v>36</v>
      </c>
      <c r="I70" s="5" t="s">
        <v>36</v>
      </c>
      <c r="J70" s="6" t="s">
        <v>34</v>
      </c>
      <c r="K70" s="6">
        <v>4500.0</v>
      </c>
      <c r="L70" s="6">
        <v>1125.0</v>
      </c>
      <c r="M70" s="5" t="s">
        <v>57</v>
      </c>
      <c r="N70" s="5" t="s">
        <v>57</v>
      </c>
      <c r="O70" s="6" t="s">
        <v>40</v>
      </c>
      <c r="P70" s="5" t="s">
        <v>59</v>
      </c>
      <c r="Q70" s="5" t="s">
        <v>122</v>
      </c>
      <c r="R70" s="6" t="s">
        <v>42</v>
      </c>
      <c r="S70" s="5" t="s">
        <v>288</v>
      </c>
      <c r="T70" s="5" t="s">
        <v>44</v>
      </c>
      <c r="U70" s="5" t="s">
        <v>44</v>
      </c>
      <c r="V70" s="5" t="s">
        <v>44</v>
      </c>
      <c r="W70" s="5" t="s">
        <v>35</v>
      </c>
      <c r="X70" s="8" t="s">
        <v>182</v>
      </c>
      <c r="Y70" s="5" t="s">
        <v>46</v>
      </c>
      <c r="Z70" s="5" t="s">
        <v>47</v>
      </c>
      <c r="AA70" s="5" t="s">
        <v>64</v>
      </c>
      <c r="AB70" s="5" t="s">
        <v>415</v>
      </c>
      <c r="AC70" s="6" t="s">
        <v>50</v>
      </c>
      <c r="AD70" s="6">
        <v>2740.0</v>
      </c>
    </row>
    <row r="71" ht="56.25" customHeight="1">
      <c r="A71" s="5" t="s">
        <v>410</v>
      </c>
      <c r="B71" s="6" t="str">
        <f>IMAGE("https://storage.googleapis.com/acdb/housewares/FtrWashingmachine_Remake_1_0.png")</f>
        <v/>
      </c>
      <c r="C71" s="5" t="s">
        <v>69</v>
      </c>
      <c r="D71" s="5" t="s">
        <v>34</v>
      </c>
      <c r="E71" s="5" t="s">
        <v>34</v>
      </c>
      <c r="F71" s="5" t="s">
        <v>34</v>
      </c>
      <c r="G71" s="5" t="s">
        <v>36</v>
      </c>
      <c r="H71" s="5" t="s">
        <v>36</v>
      </c>
      <c r="I71" s="5" t="s">
        <v>36</v>
      </c>
      <c r="J71" s="6" t="s">
        <v>34</v>
      </c>
      <c r="K71" s="6">
        <v>4500.0</v>
      </c>
      <c r="L71" s="6">
        <v>1125.0</v>
      </c>
      <c r="M71" s="5" t="s">
        <v>52</v>
      </c>
      <c r="N71" s="5" t="s">
        <v>57</v>
      </c>
      <c r="O71" s="6" t="s">
        <v>40</v>
      </c>
      <c r="P71" s="5" t="s">
        <v>59</v>
      </c>
      <c r="Q71" s="5" t="s">
        <v>122</v>
      </c>
      <c r="R71" s="6" t="s">
        <v>42</v>
      </c>
      <c r="S71" s="5" t="s">
        <v>288</v>
      </c>
      <c r="T71" s="5" t="s">
        <v>44</v>
      </c>
      <c r="U71" s="5" t="s">
        <v>44</v>
      </c>
      <c r="V71" s="5" t="s">
        <v>44</v>
      </c>
      <c r="W71" s="5" t="s">
        <v>35</v>
      </c>
      <c r="X71" s="8" t="s">
        <v>182</v>
      </c>
      <c r="Y71" s="5" t="s">
        <v>46</v>
      </c>
      <c r="Z71" s="5" t="s">
        <v>47</v>
      </c>
      <c r="AA71" s="5" t="s">
        <v>64</v>
      </c>
      <c r="AB71" s="5" t="s">
        <v>420</v>
      </c>
      <c r="AC71" s="6" t="s">
        <v>56</v>
      </c>
      <c r="AD71" s="6">
        <v>2740.0</v>
      </c>
    </row>
    <row r="72" ht="56.25" customHeight="1">
      <c r="A72" s="5" t="s">
        <v>410</v>
      </c>
      <c r="B72" s="6" t="str">
        <f>IMAGE("https://storage.googleapis.com/acdb/housewares/FtrWashingmachine_Remake_2_0.png")</f>
        <v/>
      </c>
      <c r="C72" s="5" t="s">
        <v>68</v>
      </c>
      <c r="D72" s="5" t="s">
        <v>34</v>
      </c>
      <c r="E72" s="5" t="s">
        <v>34</v>
      </c>
      <c r="F72" s="5" t="s">
        <v>34</v>
      </c>
      <c r="G72" s="5" t="s">
        <v>36</v>
      </c>
      <c r="H72" s="5" t="s">
        <v>36</v>
      </c>
      <c r="I72" s="5" t="s">
        <v>36</v>
      </c>
      <c r="J72" s="6" t="s">
        <v>34</v>
      </c>
      <c r="K72" s="6">
        <v>4500.0</v>
      </c>
      <c r="L72" s="6">
        <v>1125.0</v>
      </c>
      <c r="M72" s="5" t="s">
        <v>68</v>
      </c>
      <c r="N72" s="5" t="s">
        <v>57</v>
      </c>
      <c r="O72" s="6" t="s">
        <v>40</v>
      </c>
      <c r="P72" s="5" t="s">
        <v>59</v>
      </c>
      <c r="Q72" s="5" t="s">
        <v>122</v>
      </c>
      <c r="R72" s="6" t="s">
        <v>42</v>
      </c>
      <c r="S72" s="5" t="s">
        <v>288</v>
      </c>
      <c r="T72" s="5" t="s">
        <v>44</v>
      </c>
      <c r="U72" s="5" t="s">
        <v>44</v>
      </c>
      <c r="V72" s="5" t="s">
        <v>44</v>
      </c>
      <c r="W72" s="5" t="s">
        <v>35</v>
      </c>
      <c r="X72" s="8" t="s">
        <v>182</v>
      </c>
      <c r="Y72" s="5" t="s">
        <v>46</v>
      </c>
      <c r="Z72" s="5" t="s">
        <v>47</v>
      </c>
      <c r="AA72" s="5" t="s">
        <v>64</v>
      </c>
      <c r="AB72" s="5" t="s">
        <v>425</v>
      </c>
      <c r="AC72" s="6" t="s">
        <v>67</v>
      </c>
      <c r="AD72" s="6">
        <v>2740.0</v>
      </c>
    </row>
    <row r="73" ht="56.25" customHeight="1">
      <c r="A73" s="5" t="s">
        <v>410</v>
      </c>
      <c r="B73" s="6" t="str">
        <f>IMAGE("https://storage.googleapis.com/acdb/housewares/FtrWashingmachine_Remake_3_0.png")</f>
        <v/>
      </c>
      <c r="C73" s="5" t="s">
        <v>96</v>
      </c>
      <c r="D73" s="5" t="s">
        <v>34</v>
      </c>
      <c r="E73" s="5" t="s">
        <v>34</v>
      </c>
      <c r="F73" s="5" t="s">
        <v>34</v>
      </c>
      <c r="G73" s="5" t="s">
        <v>36</v>
      </c>
      <c r="H73" s="5" t="s">
        <v>36</v>
      </c>
      <c r="I73" s="5" t="s">
        <v>36</v>
      </c>
      <c r="J73" s="6" t="s">
        <v>34</v>
      </c>
      <c r="K73" s="6">
        <v>4500.0</v>
      </c>
      <c r="L73" s="6">
        <v>1125.0</v>
      </c>
      <c r="M73" s="5" t="s">
        <v>96</v>
      </c>
      <c r="N73" s="5" t="s">
        <v>57</v>
      </c>
      <c r="O73" s="6" t="s">
        <v>40</v>
      </c>
      <c r="P73" s="5" t="s">
        <v>59</v>
      </c>
      <c r="Q73" s="5" t="s">
        <v>122</v>
      </c>
      <c r="R73" s="6" t="s">
        <v>42</v>
      </c>
      <c r="S73" s="5" t="s">
        <v>288</v>
      </c>
      <c r="T73" s="5" t="s">
        <v>44</v>
      </c>
      <c r="U73" s="5" t="s">
        <v>44</v>
      </c>
      <c r="V73" s="5" t="s">
        <v>44</v>
      </c>
      <c r="W73" s="5" t="s">
        <v>35</v>
      </c>
      <c r="X73" s="8" t="s">
        <v>182</v>
      </c>
      <c r="Y73" s="5" t="s">
        <v>46</v>
      </c>
      <c r="Z73" s="5" t="s">
        <v>47</v>
      </c>
      <c r="AA73" s="5" t="s">
        <v>64</v>
      </c>
      <c r="AB73" s="5" t="s">
        <v>430</v>
      </c>
      <c r="AC73" s="6" t="s">
        <v>71</v>
      </c>
      <c r="AD73" s="6">
        <v>2740.0</v>
      </c>
    </row>
    <row r="74" ht="56.25" customHeight="1">
      <c r="A74" s="5" t="s">
        <v>410</v>
      </c>
      <c r="B74" s="6" t="str">
        <f>IMAGE("https://storage.googleapis.com/acdb/housewares/FtrWashingmachine_Remake_4_0.png")</f>
        <v/>
      </c>
      <c r="C74" s="5" t="s">
        <v>114</v>
      </c>
      <c r="D74" s="5" t="s">
        <v>34</v>
      </c>
      <c r="E74" s="5" t="s">
        <v>34</v>
      </c>
      <c r="F74" s="5" t="s">
        <v>34</v>
      </c>
      <c r="G74" s="5" t="s">
        <v>36</v>
      </c>
      <c r="H74" s="5" t="s">
        <v>36</v>
      </c>
      <c r="I74" s="5" t="s">
        <v>36</v>
      </c>
      <c r="J74" s="6" t="s">
        <v>34</v>
      </c>
      <c r="K74" s="6">
        <v>4500.0</v>
      </c>
      <c r="L74" s="6">
        <v>1125.0</v>
      </c>
      <c r="M74" s="5" t="s">
        <v>114</v>
      </c>
      <c r="N74" s="5" t="s">
        <v>57</v>
      </c>
      <c r="O74" s="6" t="s">
        <v>40</v>
      </c>
      <c r="P74" s="5" t="s">
        <v>59</v>
      </c>
      <c r="Q74" s="5" t="s">
        <v>122</v>
      </c>
      <c r="R74" s="6" t="s">
        <v>42</v>
      </c>
      <c r="S74" s="5" t="s">
        <v>288</v>
      </c>
      <c r="T74" s="5" t="s">
        <v>44</v>
      </c>
      <c r="U74" s="5" t="s">
        <v>44</v>
      </c>
      <c r="V74" s="5" t="s">
        <v>44</v>
      </c>
      <c r="W74" s="5" t="s">
        <v>35</v>
      </c>
      <c r="X74" s="8" t="s">
        <v>182</v>
      </c>
      <c r="Y74" s="5" t="s">
        <v>46</v>
      </c>
      <c r="Z74" s="5" t="s">
        <v>47</v>
      </c>
      <c r="AA74" s="5" t="s">
        <v>64</v>
      </c>
      <c r="AB74" s="5" t="s">
        <v>436</v>
      </c>
      <c r="AC74" s="6" t="s">
        <v>75</v>
      </c>
      <c r="AD74" s="6">
        <v>2740.0</v>
      </c>
    </row>
    <row r="75" ht="56.25" customHeight="1">
      <c r="A75" s="5" t="s">
        <v>410</v>
      </c>
      <c r="B75" s="6" t="str">
        <f>IMAGE("https://storage.googleapis.com/acdb/housewares/FtrWashingmachine_Remake_5_0.png")</f>
        <v/>
      </c>
      <c r="C75" s="5" t="s">
        <v>54</v>
      </c>
      <c r="D75" s="5" t="s">
        <v>34</v>
      </c>
      <c r="E75" s="5" t="s">
        <v>34</v>
      </c>
      <c r="F75" s="5" t="s">
        <v>34</v>
      </c>
      <c r="G75" s="5" t="s">
        <v>36</v>
      </c>
      <c r="H75" s="5" t="s">
        <v>36</v>
      </c>
      <c r="I75" s="5" t="s">
        <v>36</v>
      </c>
      <c r="J75" s="6" t="s">
        <v>34</v>
      </c>
      <c r="K75" s="6">
        <v>4500.0</v>
      </c>
      <c r="L75" s="6">
        <v>1125.0</v>
      </c>
      <c r="M75" s="5" t="s">
        <v>54</v>
      </c>
      <c r="N75" s="5" t="s">
        <v>54</v>
      </c>
      <c r="O75" s="6" t="s">
        <v>40</v>
      </c>
      <c r="P75" s="5" t="s">
        <v>59</v>
      </c>
      <c r="Q75" s="5" t="s">
        <v>122</v>
      </c>
      <c r="R75" s="6" t="s">
        <v>42</v>
      </c>
      <c r="S75" s="5" t="s">
        <v>288</v>
      </c>
      <c r="T75" s="5" t="s">
        <v>44</v>
      </c>
      <c r="U75" s="5" t="s">
        <v>44</v>
      </c>
      <c r="V75" s="5" t="s">
        <v>44</v>
      </c>
      <c r="W75" s="5" t="s">
        <v>35</v>
      </c>
      <c r="X75" s="8" t="s">
        <v>182</v>
      </c>
      <c r="Y75" s="5" t="s">
        <v>46</v>
      </c>
      <c r="Z75" s="5" t="s">
        <v>47</v>
      </c>
      <c r="AA75" s="5" t="s">
        <v>64</v>
      </c>
      <c r="AB75" s="5" t="s">
        <v>440</v>
      </c>
      <c r="AC75" s="6" t="s">
        <v>79</v>
      </c>
      <c r="AD75" s="6">
        <v>2740.0</v>
      </c>
    </row>
    <row r="76" ht="56.25" customHeight="1">
      <c r="A76" s="5" t="s">
        <v>441</v>
      </c>
      <c r="B76" s="6" t="str">
        <f>IMAGE("https://storage.googleapis.com/acdb/housewares/FtrBabychair_Remake_0_0.png")</f>
        <v/>
      </c>
      <c r="C76" s="5" t="s">
        <v>52</v>
      </c>
      <c r="D76" s="5" t="s">
        <v>34</v>
      </c>
      <c r="E76" s="5" t="s">
        <v>442</v>
      </c>
      <c r="F76" s="5" t="s">
        <v>443</v>
      </c>
      <c r="G76" s="5" t="s">
        <v>36</v>
      </c>
      <c r="H76" s="5" t="s">
        <v>36</v>
      </c>
      <c r="I76" s="5" t="s">
        <v>35</v>
      </c>
      <c r="J76" s="6">
        <v>1.0</v>
      </c>
      <c r="K76" s="6">
        <v>1200.0</v>
      </c>
      <c r="L76" s="6">
        <v>300.0</v>
      </c>
      <c r="M76" s="5" t="s">
        <v>52</v>
      </c>
      <c r="N76" s="5" t="s">
        <v>58</v>
      </c>
      <c r="O76" s="6" t="s">
        <v>40</v>
      </c>
      <c r="P76" s="5" t="s">
        <v>59</v>
      </c>
      <c r="Q76" s="5" t="s">
        <v>89</v>
      </c>
      <c r="R76" s="6" t="s">
        <v>42</v>
      </c>
      <c r="S76" s="5" t="s">
        <v>99</v>
      </c>
      <c r="T76" s="5" t="s">
        <v>44</v>
      </c>
      <c r="U76" s="5" t="s">
        <v>44</v>
      </c>
      <c r="V76" s="5" t="s">
        <v>44</v>
      </c>
      <c r="W76" s="5" t="s">
        <v>35</v>
      </c>
      <c r="X76" s="8" t="s">
        <v>248</v>
      </c>
      <c r="Y76" s="5" t="s">
        <v>46</v>
      </c>
      <c r="Z76" s="5" t="s">
        <v>47</v>
      </c>
      <c r="AA76" s="5" t="s">
        <v>64</v>
      </c>
      <c r="AB76" s="5" t="s">
        <v>446</v>
      </c>
      <c r="AC76" s="6" t="s">
        <v>50</v>
      </c>
      <c r="AD76" s="6">
        <v>3305.0</v>
      </c>
    </row>
    <row r="77" ht="56.25" customHeight="1">
      <c r="A77" s="5" t="s">
        <v>441</v>
      </c>
      <c r="B77" s="6" t="str">
        <f>IMAGE("https://storage.googleapis.com/acdb/housewares/FtrBabychair_Remake_0_1.png")</f>
        <v/>
      </c>
      <c r="C77" s="5" t="s">
        <v>52</v>
      </c>
      <c r="D77" s="5" t="s">
        <v>34</v>
      </c>
      <c r="E77" s="5" t="s">
        <v>449</v>
      </c>
      <c r="F77" s="5" t="s">
        <v>443</v>
      </c>
      <c r="G77" s="5" t="s">
        <v>36</v>
      </c>
      <c r="H77" s="5" t="s">
        <v>36</v>
      </c>
      <c r="I77" s="5" t="s">
        <v>35</v>
      </c>
      <c r="J77" s="6">
        <v>1.0</v>
      </c>
      <c r="K77" s="6">
        <v>1200.0</v>
      </c>
      <c r="L77" s="6">
        <v>300.0</v>
      </c>
      <c r="M77" s="5" t="s">
        <v>52</v>
      </c>
      <c r="N77" s="5" t="s">
        <v>58</v>
      </c>
      <c r="O77" s="6" t="s">
        <v>40</v>
      </c>
      <c r="P77" s="5" t="s">
        <v>59</v>
      </c>
      <c r="Q77" s="5" t="s">
        <v>89</v>
      </c>
      <c r="R77" s="6" t="s">
        <v>42</v>
      </c>
      <c r="S77" s="5" t="s">
        <v>99</v>
      </c>
      <c r="T77" s="5" t="s">
        <v>44</v>
      </c>
      <c r="U77" s="5" t="s">
        <v>44</v>
      </c>
      <c r="V77" s="5" t="s">
        <v>44</v>
      </c>
      <c r="W77" s="5" t="s">
        <v>35</v>
      </c>
      <c r="X77" s="8" t="s">
        <v>248</v>
      </c>
      <c r="Y77" s="5" t="s">
        <v>46</v>
      </c>
      <c r="Z77" s="5" t="s">
        <v>47</v>
      </c>
      <c r="AA77" s="5" t="s">
        <v>64</v>
      </c>
      <c r="AB77" s="5" t="s">
        <v>453</v>
      </c>
      <c r="AC77" s="6" t="s">
        <v>217</v>
      </c>
      <c r="AD77" s="6">
        <v>3305.0</v>
      </c>
    </row>
    <row r="78" ht="56.25" customHeight="1">
      <c r="A78" s="5" t="s">
        <v>441</v>
      </c>
      <c r="B78" s="6" t="str">
        <f>IMAGE("https://storage.googleapis.com/acdb/housewares/FtrBabychair_Remake_0_2.png")</f>
        <v/>
      </c>
      <c r="C78" s="5" t="s">
        <v>52</v>
      </c>
      <c r="D78" s="5" t="s">
        <v>34</v>
      </c>
      <c r="E78" s="5" t="s">
        <v>459</v>
      </c>
      <c r="F78" s="5" t="s">
        <v>443</v>
      </c>
      <c r="G78" s="5" t="s">
        <v>36</v>
      </c>
      <c r="H78" s="5" t="s">
        <v>36</v>
      </c>
      <c r="I78" s="5" t="s">
        <v>35</v>
      </c>
      <c r="J78" s="6">
        <v>1.0</v>
      </c>
      <c r="K78" s="6">
        <v>1200.0</v>
      </c>
      <c r="L78" s="6">
        <v>300.0</v>
      </c>
      <c r="M78" s="5" t="s">
        <v>52</v>
      </c>
      <c r="N78" s="5" t="s">
        <v>142</v>
      </c>
      <c r="O78" s="6" t="s">
        <v>40</v>
      </c>
      <c r="P78" s="5" t="s">
        <v>59</v>
      </c>
      <c r="Q78" s="5" t="s">
        <v>89</v>
      </c>
      <c r="R78" s="6" t="s">
        <v>42</v>
      </c>
      <c r="S78" s="5" t="s">
        <v>99</v>
      </c>
      <c r="T78" s="5" t="s">
        <v>44</v>
      </c>
      <c r="U78" s="5" t="s">
        <v>44</v>
      </c>
      <c r="V78" s="5" t="s">
        <v>44</v>
      </c>
      <c r="W78" s="5" t="s">
        <v>35</v>
      </c>
      <c r="X78" s="8" t="s">
        <v>248</v>
      </c>
      <c r="Y78" s="5" t="s">
        <v>46</v>
      </c>
      <c r="Z78" s="5" t="s">
        <v>47</v>
      </c>
      <c r="AA78" s="5" t="s">
        <v>64</v>
      </c>
      <c r="AB78" s="5" t="s">
        <v>464</v>
      </c>
      <c r="AC78" s="6" t="s">
        <v>347</v>
      </c>
      <c r="AD78" s="6">
        <v>3305.0</v>
      </c>
    </row>
    <row r="79" ht="56.25" customHeight="1">
      <c r="A79" s="5" t="s">
        <v>441</v>
      </c>
      <c r="B79" s="6" t="str">
        <f>IMAGE("https://storage.googleapis.com/acdb/housewares/FtrBabychair_Remake_0_3.png")</f>
        <v/>
      </c>
      <c r="C79" s="5" t="s">
        <v>52</v>
      </c>
      <c r="D79" s="5" t="s">
        <v>34</v>
      </c>
      <c r="E79" s="5" t="s">
        <v>469</v>
      </c>
      <c r="F79" s="5" t="s">
        <v>443</v>
      </c>
      <c r="G79" s="5" t="s">
        <v>36</v>
      </c>
      <c r="H79" s="5" t="s">
        <v>36</v>
      </c>
      <c r="I79" s="5" t="s">
        <v>35</v>
      </c>
      <c r="J79" s="6">
        <v>1.0</v>
      </c>
      <c r="K79" s="6">
        <v>1200.0</v>
      </c>
      <c r="L79" s="6">
        <v>300.0</v>
      </c>
      <c r="M79" s="5" t="s">
        <v>52</v>
      </c>
      <c r="N79" s="5" t="s">
        <v>58</v>
      </c>
      <c r="O79" s="6" t="s">
        <v>40</v>
      </c>
      <c r="P79" s="5" t="s">
        <v>59</v>
      </c>
      <c r="Q79" s="5" t="s">
        <v>89</v>
      </c>
      <c r="R79" s="6" t="s">
        <v>42</v>
      </c>
      <c r="S79" s="5" t="s">
        <v>99</v>
      </c>
      <c r="T79" s="5" t="s">
        <v>44</v>
      </c>
      <c r="U79" s="5" t="s">
        <v>44</v>
      </c>
      <c r="V79" s="5" t="s">
        <v>44</v>
      </c>
      <c r="W79" s="5" t="s">
        <v>35</v>
      </c>
      <c r="X79" s="8" t="s">
        <v>248</v>
      </c>
      <c r="Y79" s="5" t="s">
        <v>46</v>
      </c>
      <c r="Z79" s="5" t="s">
        <v>47</v>
      </c>
      <c r="AA79" s="5" t="s">
        <v>64</v>
      </c>
      <c r="AB79" s="5" t="s">
        <v>476</v>
      </c>
      <c r="AC79" s="6" t="s">
        <v>354</v>
      </c>
      <c r="AD79" s="6">
        <v>3305.0</v>
      </c>
    </row>
    <row r="80" ht="56.25" customHeight="1">
      <c r="A80" s="5" t="s">
        <v>441</v>
      </c>
      <c r="B80" s="6" t="str">
        <f>IMAGE("https://storage.googleapis.com/acdb/housewares/FtrBabychair_Remake_0_4.png")</f>
        <v/>
      </c>
      <c r="C80" s="5" t="s">
        <v>52</v>
      </c>
      <c r="D80" s="5" t="s">
        <v>34</v>
      </c>
      <c r="E80" s="5" t="s">
        <v>480</v>
      </c>
      <c r="F80" s="5" t="s">
        <v>443</v>
      </c>
      <c r="G80" s="5" t="s">
        <v>36</v>
      </c>
      <c r="H80" s="5" t="s">
        <v>36</v>
      </c>
      <c r="I80" s="5" t="s">
        <v>35</v>
      </c>
      <c r="J80" s="6">
        <v>1.0</v>
      </c>
      <c r="K80" s="6">
        <v>1200.0</v>
      </c>
      <c r="L80" s="6">
        <v>300.0</v>
      </c>
      <c r="M80" s="5" t="s">
        <v>52</v>
      </c>
      <c r="N80" s="5" t="s">
        <v>58</v>
      </c>
      <c r="O80" s="6" t="s">
        <v>40</v>
      </c>
      <c r="P80" s="5" t="s">
        <v>59</v>
      </c>
      <c r="Q80" s="5" t="s">
        <v>89</v>
      </c>
      <c r="R80" s="6" t="s">
        <v>42</v>
      </c>
      <c r="S80" s="5" t="s">
        <v>99</v>
      </c>
      <c r="T80" s="5" t="s">
        <v>44</v>
      </c>
      <c r="U80" s="5" t="s">
        <v>44</v>
      </c>
      <c r="V80" s="5" t="s">
        <v>44</v>
      </c>
      <c r="W80" s="5" t="s">
        <v>35</v>
      </c>
      <c r="X80" s="8" t="s">
        <v>248</v>
      </c>
      <c r="Y80" s="5" t="s">
        <v>46</v>
      </c>
      <c r="Z80" s="5" t="s">
        <v>47</v>
      </c>
      <c r="AA80" s="5" t="s">
        <v>64</v>
      </c>
      <c r="AB80" s="5" t="s">
        <v>485</v>
      </c>
      <c r="AC80" s="6" t="s">
        <v>486</v>
      </c>
      <c r="AD80" s="6">
        <v>3305.0</v>
      </c>
    </row>
    <row r="81" ht="56.25" customHeight="1">
      <c r="A81" s="5" t="s">
        <v>441</v>
      </c>
      <c r="B81" s="6" t="str">
        <f>IMAGE("https://storage.googleapis.com/acdb/housewares/FtrBabychair_Remake_1_0.png")</f>
        <v/>
      </c>
      <c r="C81" s="5" t="s">
        <v>69</v>
      </c>
      <c r="D81" s="5" t="s">
        <v>34</v>
      </c>
      <c r="E81" s="5" t="s">
        <v>442</v>
      </c>
      <c r="F81" s="5" t="s">
        <v>443</v>
      </c>
      <c r="G81" s="5" t="s">
        <v>36</v>
      </c>
      <c r="H81" s="5" t="s">
        <v>36</v>
      </c>
      <c r="I81" s="5" t="s">
        <v>35</v>
      </c>
      <c r="J81" s="6">
        <v>1.0</v>
      </c>
      <c r="K81" s="6">
        <v>1200.0</v>
      </c>
      <c r="L81" s="6">
        <v>300.0</v>
      </c>
      <c r="M81" s="5" t="s">
        <v>69</v>
      </c>
      <c r="N81" s="5" t="s">
        <v>58</v>
      </c>
      <c r="O81" s="6" t="s">
        <v>40</v>
      </c>
      <c r="P81" s="5" t="s">
        <v>59</v>
      </c>
      <c r="Q81" s="5" t="s">
        <v>89</v>
      </c>
      <c r="R81" s="6" t="s">
        <v>42</v>
      </c>
      <c r="S81" s="5" t="s">
        <v>99</v>
      </c>
      <c r="T81" s="5" t="s">
        <v>44</v>
      </c>
      <c r="U81" s="5" t="s">
        <v>44</v>
      </c>
      <c r="V81" s="5" t="s">
        <v>44</v>
      </c>
      <c r="W81" s="5" t="s">
        <v>35</v>
      </c>
      <c r="X81" s="8" t="s">
        <v>248</v>
      </c>
      <c r="Y81" s="5" t="s">
        <v>46</v>
      </c>
      <c r="Z81" s="5" t="s">
        <v>47</v>
      </c>
      <c r="AA81" s="5" t="s">
        <v>64</v>
      </c>
      <c r="AB81" s="5" t="s">
        <v>491</v>
      </c>
      <c r="AC81" s="6" t="s">
        <v>56</v>
      </c>
      <c r="AD81" s="6">
        <v>3305.0</v>
      </c>
    </row>
    <row r="82" ht="56.25" customHeight="1">
      <c r="A82" s="5" t="s">
        <v>441</v>
      </c>
      <c r="B82" s="6" t="str">
        <f>IMAGE("https://storage.googleapis.com/acdb/housewares/FtrBabychair_Remake_1_1.png")</f>
        <v/>
      </c>
      <c r="C82" s="5" t="s">
        <v>69</v>
      </c>
      <c r="D82" s="5" t="s">
        <v>34</v>
      </c>
      <c r="E82" s="5" t="s">
        <v>449</v>
      </c>
      <c r="F82" s="5" t="s">
        <v>443</v>
      </c>
      <c r="G82" s="5" t="s">
        <v>36</v>
      </c>
      <c r="H82" s="5" t="s">
        <v>36</v>
      </c>
      <c r="I82" s="5" t="s">
        <v>35</v>
      </c>
      <c r="J82" s="6">
        <v>1.0</v>
      </c>
      <c r="K82" s="6">
        <v>1200.0</v>
      </c>
      <c r="L82" s="6">
        <v>300.0</v>
      </c>
      <c r="M82" s="5" t="s">
        <v>69</v>
      </c>
      <c r="N82" s="5" t="s">
        <v>58</v>
      </c>
      <c r="O82" s="6" t="s">
        <v>40</v>
      </c>
      <c r="P82" s="5" t="s">
        <v>59</v>
      </c>
      <c r="Q82" s="5" t="s">
        <v>89</v>
      </c>
      <c r="R82" s="6" t="s">
        <v>42</v>
      </c>
      <c r="S82" s="5" t="s">
        <v>99</v>
      </c>
      <c r="T82" s="5" t="s">
        <v>44</v>
      </c>
      <c r="U82" s="5" t="s">
        <v>44</v>
      </c>
      <c r="V82" s="5" t="s">
        <v>44</v>
      </c>
      <c r="W82" s="5" t="s">
        <v>35</v>
      </c>
      <c r="X82" s="8" t="s">
        <v>248</v>
      </c>
      <c r="Y82" s="5" t="s">
        <v>46</v>
      </c>
      <c r="Z82" s="5" t="s">
        <v>47</v>
      </c>
      <c r="AA82" s="5" t="s">
        <v>64</v>
      </c>
      <c r="AB82" s="5" t="s">
        <v>499</v>
      </c>
      <c r="AC82" s="6" t="s">
        <v>234</v>
      </c>
      <c r="AD82" s="6">
        <v>3305.0</v>
      </c>
    </row>
    <row r="83" ht="56.25" customHeight="1">
      <c r="A83" s="5" t="s">
        <v>441</v>
      </c>
      <c r="B83" s="6" t="str">
        <f>IMAGE("https://storage.googleapis.com/acdb/housewares/FtrBabychair_Remake_1_2.png")</f>
        <v/>
      </c>
      <c r="C83" s="5" t="s">
        <v>69</v>
      </c>
      <c r="D83" s="5" t="s">
        <v>34</v>
      </c>
      <c r="E83" s="5" t="s">
        <v>459</v>
      </c>
      <c r="F83" s="5" t="s">
        <v>443</v>
      </c>
      <c r="G83" s="5" t="s">
        <v>36</v>
      </c>
      <c r="H83" s="5" t="s">
        <v>36</v>
      </c>
      <c r="I83" s="5" t="s">
        <v>35</v>
      </c>
      <c r="J83" s="6">
        <v>1.0</v>
      </c>
      <c r="K83" s="6">
        <v>1200.0</v>
      </c>
      <c r="L83" s="6">
        <v>300.0</v>
      </c>
      <c r="M83" s="5" t="s">
        <v>69</v>
      </c>
      <c r="N83" s="5" t="s">
        <v>142</v>
      </c>
      <c r="O83" s="6" t="s">
        <v>40</v>
      </c>
      <c r="P83" s="5" t="s">
        <v>59</v>
      </c>
      <c r="Q83" s="5" t="s">
        <v>89</v>
      </c>
      <c r="R83" s="6" t="s">
        <v>42</v>
      </c>
      <c r="S83" s="5" t="s">
        <v>99</v>
      </c>
      <c r="T83" s="5" t="s">
        <v>44</v>
      </c>
      <c r="U83" s="5" t="s">
        <v>44</v>
      </c>
      <c r="V83" s="5" t="s">
        <v>44</v>
      </c>
      <c r="W83" s="5" t="s">
        <v>35</v>
      </c>
      <c r="X83" s="8" t="s">
        <v>248</v>
      </c>
      <c r="Y83" s="5" t="s">
        <v>46</v>
      </c>
      <c r="Z83" s="5" t="s">
        <v>47</v>
      </c>
      <c r="AA83" s="5" t="s">
        <v>64</v>
      </c>
      <c r="AB83" s="5" t="s">
        <v>507</v>
      </c>
      <c r="AC83" s="6" t="s">
        <v>370</v>
      </c>
      <c r="AD83" s="6">
        <v>3305.0</v>
      </c>
    </row>
    <row r="84" ht="56.25" customHeight="1">
      <c r="A84" s="5" t="s">
        <v>441</v>
      </c>
      <c r="B84" s="6" t="str">
        <f>IMAGE("https://storage.googleapis.com/acdb/housewares/FtrBabychair_Remake_1_3.png")</f>
        <v/>
      </c>
      <c r="C84" s="5" t="s">
        <v>69</v>
      </c>
      <c r="D84" s="5" t="s">
        <v>34</v>
      </c>
      <c r="E84" s="5" t="s">
        <v>469</v>
      </c>
      <c r="F84" s="5" t="s">
        <v>443</v>
      </c>
      <c r="G84" s="5" t="s">
        <v>36</v>
      </c>
      <c r="H84" s="5" t="s">
        <v>36</v>
      </c>
      <c r="I84" s="5" t="s">
        <v>35</v>
      </c>
      <c r="J84" s="6">
        <v>1.0</v>
      </c>
      <c r="K84" s="6">
        <v>1200.0</v>
      </c>
      <c r="L84" s="6">
        <v>300.0</v>
      </c>
      <c r="M84" s="5" t="s">
        <v>69</v>
      </c>
      <c r="N84" s="5" t="s">
        <v>58</v>
      </c>
      <c r="O84" s="6" t="s">
        <v>40</v>
      </c>
      <c r="P84" s="5" t="s">
        <v>59</v>
      </c>
      <c r="Q84" s="5" t="s">
        <v>89</v>
      </c>
      <c r="R84" s="6" t="s">
        <v>42</v>
      </c>
      <c r="S84" s="5" t="s">
        <v>99</v>
      </c>
      <c r="T84" s="5" t="s">
        <v>44</v>
      </c>
      <c r="U84" s="5" t="s">
        <v>44</v>
      </c>
      <c r="V84" s="5" t="s">
        <v>44</v>
      </c>
      <c r="W84" s="5" t="s">
        <v>35</v>
      </c>
      <c r="X84" s="8" t="s">
        <v>248</v>
      </c>
      <c r="Y84" s="5" t="s">
        <v>46</v>
      </c>
      <c r="Z84" s="5" t="s">
        <v>47</v>
      </c>
      <c r="AA84" s="5" t="s">
        <v>64</v>
      </c>
      <c r="AB84" s="5" t="s">
        <v>511</v>
      </c>
      <c r="AC84" s="6" t="s">
        <v>377</v>
      </c>
      <c r="AD84" s="6">
        <v>3305.0</v>
      </c>
    </row>
    <row r="85" ht="56.25" customHeight="1">
      <c r="A85" s="5" t="s">
        <v>441</v>
      </c>
      <c r="B85" s="6" t="str">
        <f>IMAGE("https://storage.googleapis.com/acdb/housewares/FtrBabychair_Remake_1_4.png")</f>
        <v/>
      </c>
      <c r="C85" s="5" t="s">
        <v>69</v>
      </c>
      <c r="D85" s="5" t="s">
        <v>34</v>
      </c>
      <c r="E85" s="5" t="s">
        <v>480</v>
      </c>
      <c r="F85" s="5" t="s">
        <v>443</v>
      </c>
      <c r="G85" s="5" t="s">
        <v>36</v>
      </c>
      <c r="H85" s="5" t="s">
        <v>36</v>
      </c>
      <c r="I85" s="5" t="s">
        <v>35</v>
      </c>
      <c r="J85" s="6">
        <v>1.0</v>
      </c>
      <c r="K85" s="6">
        <v>1200.0</v>
      </c>
      <c r="L85" s="6">
        <v>300.0</v>
      </c>
      <c r="M85" s="5" t="s">
        <v>69</v>
      </c>
      <c r="N85" s="5" t="s">
        <v>58</v>
      </c>
      <c r="O85" s="6" t="s">
        <v>40</v>
      </c>
      <c r="P85" s="5" t="s">
        <v>59</v>
      </c>
      <c r="Q85" s="5" t="s">
        <v>89</v>
      </c>
      <c r="R85" s="6" t="s">
        <v>42</v>
      </c>
      <c r="S85" s="5" t="s">
        <v>99</v>
      </c>
      <c r="T85" s="5" t="s">
        <v>44</v>
      </c>
      <c r="U85" s="5" t="s">
        <v>44</v>
      </c>
      <c r="V85" s="5" t="s">
        <v>44</v>
      </c>
      <c r="W85" s="5" t="s">
        <v>35</v>
      </c>
      <c r="X85" s="8" t="s">
        <v>248</v>
      </c>
      <c r="Y85" s="5" t="s">
        <v>46</v>
      </c>
      <c r="Z85" s="5" t="s">
        <v>47</v>
      </c>
      <c r="AA85" s="5" t="s">
        <v>64</v>
      </c>
      <c r="AB85" s="5" t="s">
        <v>519</v>
      </c>
      <c r="AC85" s="6" t="s">
        <v>520</v>
      </c>
      <c r="AD85" s="6">
        <v>3305.0</v>
      </c>
    </row>
    <row r="86" ht="56.25" customHeight="1">
      <c r="A86" s="5" t="s">
        <v>441</v>
      </c>
      <c r="B86" s="6" t="str">
        <f>IMAGE("https://storage.googleapis.com/acdb/housewares/FtrBabychair_Remake_2_0.png")</f>
        <v/>
      </c>
      <c r="C86" s="5" t="s">
        <v>114</v>
      </c>
      <c r="D86" s="5" t="s">
        <v>34</v>
      </c>
      <c r="E86" s="5" t="s">
        <v>442</v>
      </c>
      <c r="F86" s="5" t="s">
        <v>443</v>
      </c>
      <c r="G86" s="5" t="s">
        <v>36</v>
      </c>
      <c r="H86" s="5" t="s">
        <v>36</v>
      </c>
      <c r="I86" s="5" t="s">
        <v>35</v>
      </c>
      <c r="J86" s="6">
        <v>1.0</v>
      </c>
      <c r="K86" s="6">
        <v>1200.0</v>
      </c>
      <c r="L86" s="6">
        <v>300.0</v>
      </c>
      <c r="M86" s="5" t="s">
        <v>114</v>
      </c>
      <c r="N86" s="5" t="s">
        <v>58</v>
      </c>
      <c r="O86" s="6" t="s">
        <v>40</v>
      </c>
      <c r="P86" s="5" t="s">
        <v>59</v>
      </c>
      <c r="Q86" s="5" t="s">
        <v>89</v>
      </c>
      <c r="R86" s="6" t="s">
        <v>42</v>
      </c>
      <c r="S86" s="5" t="s">
        <v>99</v>
      </c>
      <c r="T86" s="5" t="s">
        <v>44</v>
      </c>
      <c r="U86" s="5" t="s">
        <v>44</v>
      </c>
      <c r="V86" s="5" t="s">
        <v>44</v>
      </c>
      <c r="W86" s="5" t="s">
        <v>35</v>
      </c>
      <c r="X86" s="8" t="s">
        <v>248</v>
      </c>
      <c r="Y86" s="5" t="s">
        <v>46</v>
      </c>
      <c r="Z86" s="5" t="s">
        <v>47</v>
      </c>
      <c r="AA86" s="5" t="s">
        <v>64</v>
      </c>
      <c r="AB86" s="5" t="s">
        <v>525</v>
      </c>
      <c r="AC86" s="6" t="s">
        <v>67</v>
      </c>
      <c r="AD86" s="6">
        <v>3305.0</v>
      </c>
    </row>
    <row r="87" ht="56.25" customHeight="1">
      <c r="A87" s="5" t="s">
        <v>441</v>
      </c>
      <c r="B87" s="6" t="str">
        <f>IMAGE("https://storage.googleapis.com/acdb/housewares/FtrBabychair_Remake_2_1.png")</f>
        <v/>
      </c>
      <c r="C87" s="5" t="s">
        <v>114</v>
      </c>
      <c r="D87" s="5" t="s">
        <v>34</v>
      </c>
      <c r="E87" s="5" t="s">
        <v>449</v>
      </c>
      <c r="F87" s="5" t="s">
        <v>443</v>
      </c>
      <c r="G87" s="5" t="s">
        <v>36</v>
      </c>
      <c r="H87" s="5" t="s">
        <v>36</v>
      </c>
      <c r="I87" s="5" t="s">
        <v>35</v>
      </c>
      <c r="J87" s="6">
        <v>1.0</v>
      </c>
      <c r="K87" s="6">
        <v>1200.0</v>
      </c>
      <c r="L87" s="6">
        <v>300.0</v>
      </c>
      <c r="M87" s="5" t="s">
        <v>114</v>
      </c>
      <c r="N87" s="5" t="s">
        <v>58</v>
      </c>
      <c r="O87" s="6" t="s">
        <v>40</v>
      </c>
      <c r="P87" s="5" t="s">
        <v>59</v>
      </c>
      <c r="Q87" s="5" t="s">
        <v>89</v>
      </c>
      <c r="R87" s="6" t="s">
        <v>42</v>
      </c>
      <c r="S87" s="5" t="s">
        <v>99</v>
      </c>
      <c r="T87" s="5" t="s">
        <v>44</v>
      </c>
      <c r="U87" s="5" t="s">
        <v>44</v>
      </c>
      <c r="V87" s="5" t="s">
        <v>44</v>
      </c>
      <c r="W87" s="5" t="s">
        <v>35</v>
      </c>
      <c r="X87" s="8" t="s">
        <v>248</v>
      </c>
      <c r="Y87" s="5" t="s">
        <v>46</v>
      </c>
      <c r="Z87" s="5" t="s">
        <v>47</v>
      </c>
      <c r="AA87" s="5" t="s">
        <v>64</v>
      </c>
      <c r="AB87" s="5" t="s">
        <v>527</v>
      </c>
      <c r="AC87" s="6" t="s">
        <v>247</v>
      </c>
      <c r="AD87" s="6">
        <v>3305.0</v>
      </c>
    </row>
    <row r="88" ht="56.25" customHeight="1">
      <c r="A88" s="5" t="s">
        <v>441</v>
      </c>
      <c r="B88" s="6" t="str">
        <f>IMAGE("https://storage.googleapis.com/acdb/housewares/FtrBabychair_Remake_2_2.png")</f>
        <v/>
      </c>
      <c r="C88" s="5" t="s">
        <v>114</v>
      </c>
      <c r="D88" s="5" t="s">
        <v>34</v>
      </c>
      <c r="E88" s="5" t="s">
        <v>459</v>
      </c>
      <c r="F88" s="5" t="s">
        <v>443</v>
      </c>
      <c r="G88" s="5" t="s">
        <v>36</v>
      </c>
      <c r="H88" s="5" t="s">
        <v>36</v>
      </c>
      <c r="I88" s="5" t="s">
        <v>35</v>
      </c>
      <c r="J88" s="6">
        <v>1.0</v>
      </c>
      <c r="K88" s="6">
        <v>1200.0</v>
      </c>
      <c r="L88" s="6">
        <v>300.0</v>
      </c>
      <c r="M88" s="5" t="s">
        <v>114</v>
      </c>
      <c r="N88" s="5" t="s">
        <v>142</v>
      </c>
      <c r="O88" s="6" t="s">
        <v>40</v>
      </c>
      <c r="P88" s="5" t="s">
        <v>59</v>
      </c>
      <c r="Q88" s="5" t="s">
        <v>89</v>
      </c>
      <c r="R88" s="6" t="s">
        <v>42</v>
      </c>
      <c r="S88" s="5" t="s">
        <v>99</v>
      </c>
      <c r="T88" s="5" t="s">
        <v>44</v>
      </c>
      <c r="U88" s="5" t="s">
        <v>44</v>
      </c>
      <c r="V88" s="5" t="s">
        <v>44</v>
      </c>
      <c r="W88" s="5" t="s">
        <v>35</v>
      </c>
      <c r="X88" s="8" t="s">
        <v>248</v>
      </c>
      <c r="Y88" s="5" t="s">
        <v>46</v>
      </c>
      <c r="Z88" s="5" t="s">
        <v>47</v>
      </c>
      <c r="AA88" s="5" t="s">
        <v>64</v>
      </c>
      <c r="AB88" s="5" t="s">
        <v>532</v>
      </c>
      <c r="AC88" s="6" t="s">
        <v>390</v>
      </c>
      <c r="AD88" s="6">
        <v>3305.0</v>
      </c>
    </row>
    <row r="89" ht="56.25" customHeight="1">
      <c r="A89" s="5" t="s">
        <v>441</v>
      </c>
      <c r="B89" s="6" t="str">
        <f>IMAGE("https://storage.googleapis.com/acdb/housewares/FtrBabychair_Remake_2_3.png")</f>
        <v/>
      </c>
      <c r="C89" s="5" t="s">
        <v>114</v>
      </c>
      <c r="D89" s="5" t="s">
        <v>34</v>
      </c>
      <c r="E89" s="5" t="s">
        <v>469</v>
      </c>
      <c r="F89" s="5" t="s">
        <v>443</v>
      </c>
      <c r="G89" s="5" t="s">
        <v>36</v>
      </c>
      <c r="H89" s="5" t="s">
        <v>36</v>
      </c>
      <c r="I89" s="5" t="s">
        <v>35</v>
      </c>
      <c r="J89" s="6">
        <v>1.0</v>
      </c>
      <c r="K89" s="6">
        <v>1200.0</v>
      </c>
      <c r="L89" s="6">
        <v>300.0</v>
      </c>
      <c r="M89" s="5" t="s">
        <v>114</v>
      </c>
      <c r="N89" s="5" t="s">
        <v>58</v>
      </c>
      <c r="O89" s="6" t="s">
        <v>40</v>
      </c>
      <c r="P89" s="5" t="s">
        <v>59</v>
      </c>
      <c r="Q89" s="5" t="s">
        <v>89</v>
      </c>
      <c r="R89" s="6" t="s">
        <v>42</v>
      </c>
      <c r="S89" s="5" t="s">
        <v>99</v>
      </c>
      <c r="T89" s="5" t="s">
        <v>44</v>
      </c>
      <c r="U89" s="5" t="s">
        <v>44</v>
      </c>
      <c r="V89" s="5" t="s">
        <v>44</v>
      </c>
      <c r="W89" s="5" t="s">
        <v>35</v>
      </c>
      <c r="X89" s="8" t="s">
        <v>248</v>
      </c>
      <c r="Y89" s="5" t="s">
        <v>46</v>
      </c>
      <c r="Z89" s="5" t="s">
        <v>47</v>
      </c>
      <c r="AA89" s="5" t="s">
        <v>64</v>
      </c>
      <c r="AB89" s="5" t="s">
        <v>536</v>
      </c>
      <c r="AC89" s="6" t="s">
        <v>396</v>
      </c>
      <c r="AD89" s="6">
        <v>3305.0</v>
      </c>
    </row>
    <row r="90" ht="56.25" customHeight="1">
      <c r="A90" s="5" t="s">
        <v>441</v>
      </c>
      <c r="B90" s="6" t="str">
        <f>IMAGE("https://storage.googleapis.com/acdb/housewares/FtrBabychair_Remake_2_4.png")</f>
        <v/>
      </c>
      <c r="C90" s="5" t="s">
        <v>114</v>
      </c>
      <c r="D90" s="5" t="s">
        <v>34</v>
      </c>
      <c r="E90" s="5" t="s">
        <v>480</v>
      </c>
      <c r="F90" s="5" t="s">
        <v>443</v>
      </c>
      <c r="G90" s="5" t="s">
        <v>36</v>
      </c>
      <c r="H90" s="5" t="s">
        <v>36</v>
      </c>
      <c r="I90" s="5" t="s">
        <v>35</v>
      </c>
      <c r="J90" s="6">
        <v>1.0</v>
      </c>
      <c r="K90" s="6">
        <v>1200.0</v>
      </c>
      <c r="L90" s="6">
        <v>300.0</v>
      </c>
      <c r="M90" s="5" t="s">
        <v>114</v>
      </c>
      <c r="N90" s="5" t="s">
        <v>58</v>
      </c>
      <c r="O90" s="6" t="s">
        <v>40</v>
      </c>
      <c r="P90" s="5" t="s">
        <v>59</v>
      </c>
      <c r="Q90" s="5" t="s">
        <v>89</v>
      </c>
      <c r="R90" s="6" t="s">
        <v>42</v>
      </c>
      <c r="S90" s="5" t="s">
        <v>99</v>
      </c>
      <c r="T90" s="5" t="s">
        <v>44</v>
      </c>
      <c r="U90" s="5" t="s">
        <v>44</v>
      </c>
      <c r="V90" s="5" t="s">
        <v>44</v>
      </c>
      <c r="W90" s="5" t="s">
        <v>35</v>
      </c>
      <c r="X90" s="8" t="s">
        <v>248</v>
      </c>
      <c r="Y90" s="5" t="s">
        <v>46</v>
      </c>
      <c r="Z90" s="5" t="s">
        <v>47</v>
      </c>
      <c r="AA90" s="5" t="s">
        <v>64</v>
      </c>
      <c r="AB90" s="5" t="s">
        <v>539</v>
      </c>
      <c r="AC90" s="6" t="s">
        <v>541</v>
      </c>
      <c r="AD90" s="6">
        <v>3305.0</v>
      </c>
    </row>
    <row r="91" ht="56.25" customHeight="1">
      <c r="A91" s="5" t="s">
        <v>441</v>
      </c>
      <c r="B91" s="6" t="str">
        <f>IMAGE("https://storage.googleapis.com/acdb/housewares/FtrBabychair_Remake_3_0.png")</f>
        <v/>
      </c>
      <c r="C91" s="5" t="s">
        <v>96</v>
      </c>
      <c r="D91" s="5" t="s">
        <v>34</v>
      </c>
      <c r="E91" s="5" t="s">
        <v>442</v>
      </c>
      <c r="F91" s="5" t="s">
        <v>443</v>
      </c>
      <c r="G91" s="5" t="s">
        <v>36</v>
      </c>
      <c r="H91" s="5" t="s">
        <v>36</v>
      </c>
      <c r="I91" s="5" t="s">
        <v>35</v>
      </c>
      <c r="J91" s="6">
        <v>1.0</v>
      </c>
      <c r="K91" s="6">
        <v>1200.0</v>
      </c>
      <c r="L91" s="6">
        <v>300.0</v>
      </c>
      <c r="M91" s="5" t="s">
        <v>96</v>
      </c>
      <c r="N91" s="5" t="s">
        <v>58</v>
      </c>
      <c r="O91" s="6" t="s">
        <v>40</v>
      </c>
      <c r="P91" s="5" t="s">
        <v>59</v>
      </c>
      <c r="Q91" s="5" t="s">
        <v>89</v>
      </c>
      <c r="R91" s="6" t="s">
        <v>42</v>
      </c>
      <c r="S91" s="5" t="s">
        <v>99</v>
      </c>
      <c r="T91" s="5" t="s">
        <v>44</v>
      </c>
      <c r="U91" s="5" t="s">
        <v>44</v>
      </c>
      <c r="V91" s="5" t="s">
        <v>44</v>
      </c>
      <c r="W91" s="5" t="s">
        <v>35</v>
      </c>
      <c r="X91" s="8" t="s">
        <v>248</v>
      </c>
      <c r="Y91" s="5" t="s">
        <v>46</v>
      </c>
      <c r="Z91" s="5" t="s">
        <v>47</v>
      </c>
      <c r="AA91" s="5" t="s">
        <v>64</v>
      </c>
      <c r="AB91" s="5" t="s">
        <v>546</v>
      </c>
      <c r="AC91" s="6" t="s">
        <v>71</v>
      </c>
      <c r="AD91" s="6">
        <v>3305.0</v>
      </c>
    </row>
    <row r="92" ht="56.25" customHeight="1">
      <c r="A92" s="5" t="s">
        <v>441</v>
      </c>
      <c r="B92" s="6" t="str">
        <f>IMAGE("https://storage.googleapis.com/acdb/housewares/FtrBabychair_Remake_3_1.png")</f>
        <v/>
      </c>
      <c r="C92" s="5" t="s">
        <v>96</v>
      </c>
      <c r="D92" s="5" t="s">
        <v>34</v>
      </c>
      <c r="E92" s="5" t="s">
        <v>449</v>
      </c>
      <c r="F92" s="5" t="s">
        <v>443</v>
      </c>
      <c r="G92" s="5" t="s">
        <v>36</v>
      </c>
      <c r="H92" s="5" t="s">
        <v>36</v>
      </c>
      <c r="I92" s="5" t="s">
        <v>35</v>
      </c>
      <c r="J92" s="6">
        <v>1.0</v>
      </c>
      <c r="K92" s="6">
        <v>1200.0</v>
      </c>
      <c r="L92" s="6">
        <v>300.0</v>
      </c>
      <c r="M92" s="5" t="s">
        <v>96</v>
      </c>
      <c r="N92" s="5" t="s">
        <v>58</v>
      </c>
      <c r="O92" s="6" t="s">
        <v>40</v>
      </c>
      <c r="P92" s="5" t="s">
        <v>59</v>
      </c>
      <c r="Q92" s="5" t="s">
        <v>89</v>
      </c>
      <c r="R92" s="6" t="s">
        <v>42</v>
      </c>
      <c r="S92" s="5" t="s">
        <v>99</v>
      </c>
      <c r="T92" s="5" t="s">
        <v>44</v>
      </c>
      <c r="U92" s="5" t="s">
        <v>44</v>
      </c>
      <c r="V92" s="5" t="s">
        <v>44</v>
      </c>
      <c r="W92" s="5" t="s">
        <v>35</v>
      </c>
      <c r="X92" s="8" t="s">
        <v>248</v>
      </c>
      <c r="Y92" s="5" t="s">
        <v>46</v>
      </c>
      <c r="Z92" s="5" t="s">
        <v>47</v>
      </c>
      <c r="AA92" s="5" t="s">
        <v>64</v>
      </c>
      <c r="AB92" s="5" t="s">
        <v>551</v>
      </c>
      <c r="AC92" s="6" t="s">
        <v>257</v>
      </c>
      <c r="AD92" s="6">
        <v>3305.0</v>
      </c>
    </row>
    <row r="93" ht="56.25" customHeight="1">
      <c r="A93" s="5" t="s">
        <v>441</v>
      </c>
      <c r="B93" s="6" t="str">
        <f>IMAGE("https://storage.googleapis.com/acdb/housewares/FtrBabychair_Remake_3_2.png")</f>
        <v/>
      </c>
      <c r="C93" s="5" t="s">
        <v>96</v>
      </c>
      <c r="D93" s="5" t="s">
        <v>34</v>
      </c>
      <c r="E93" s="5" t="s">
        <v>459</v>
      </c>
      <c r="F93" s="5" t="s">
        <v>443</v>
      </c>
      <c r="G93" s="5" t="s">
        <v>36</v>
      </c>
      <c r="H93" s="5" t="s">
        <v>36</v>
      </c>
      <c r="I93" s="5" t="s">
        <v>35</v>
      </c>
      <c r="J93" s="6">
        <v>1.0</v>
      </c>
      <c r="K93" s="6">
        <v>1200.0</v>
      </c>
      <c r="L93" s="6">
        <v>300.0</v>
      </c>
      <c r="M93" s="5" t="s">
        <v>96</v>
      </c>
      <c r="N93" s="5" t="s">
        <v>142</v>
      </c>
      <c r="O93" s="6" t="s">
        <v>40</v>
      </c>
      <c r="P93" s="5" t="s">
        <v>59</v>
      </c>
      <c r="Q93" s="5" t="s">
        <v>89</v>
      </c>
      <c r="R93" s="6" t="s">
        <v>42</v>
      </c>
      <c r="S93" s="5" t="s">
        <v>99</v>
      </c>
      <c r="T93" s="5" t="s">
        <v>44</v>
      </c>
      <c r="U93" s="5" t="s">
        <v>44</v>
      </c>
      <c r="V93" s="5" t="s">
        <v>44</v>
      </c>
      <c r="W93" s="5" t="s">
        <v>35</v>
      </c>
      <c r="X93" s="8" t="s">
        <v>248</v>
      </c>
      <c r="Y93" s="5" t="s">
        <v>46</v>
      </c>
      <c r="Z93" s="5" t="s">
        <v>47</v>
      </c>
      <c r="AA93" s="5" t="s">
        <v>64</v>
      </c>
      <c r="AB93" s="5" t="s">
        <v>555</v>
      </c>
      <c r="AC93" s="6" t="s">
        <v>414</v>
      </c>
      <c r="AD93" s="6">
        <v>3305.0</v>
      </c>
    </row>
    <row r="94" ht="56.25" customHeight="1">
      <c r="A94" s="5" t="s">
        <v>441</v>
      </c>
      <c r="B94" s="6" t="str">
        <f>IMAGE("https://storage.googleapis.com/acdb/housewares/FtrBabychair_Remake_3_3.png")</f>
        <v/>
      </c>
      <c r="C94" s="5" t="s">
        <v>96</v>
      </c>
      <c r="D94" s="5" t="s">
        <v>34</v>
      </c>
      <c r="E94" s="5" t="s">
        <v>469</v>
      </c>
      <c r="F94" s="5" t="s">
        <v>443</v>
      </c>
      <c r="G94" s="5" t="s">
        <v>36</v>
      </c>
      <c r="H94" s="5" t="s">
        <v>36</v>
      </c>
      <c r="I94" s="5" t="s">
        <v>35</v>
      </c>
      <c r="J94" s="6">
        <v>1.0</v>
      </c>
      <c r="K94" s="6">
        <v>1200.0</v>
      </c>
      <c r="L94" s="6">
        <v>300.0</v>
      </c>
      <c r="M94" s="5" t="s">
        <v>96</v>
      </c>
      <c r="N94" s="5" t="s">
        <v>58</v>
      </c>
      <c r="O94" s="6" t="s">
        <v>40</v>
      </c>
      <c r="P94" s="5" t="s">
        <v>59</v>
      </c>
      <c r="Q94" s="5" t="s">
        <v>89</v>
      </c>
      <c r="R94" s="6" t="s">
        <v>42</v>
      </c>
      <c r="S94" s="5" t="s">
        <v>99</v>
      </c>
      <c r="T94" s="5" t="s">
        <v>44</v>
      </c>
      <c r="U94" s="5" t="s">
        <v>44</v>
      </c>
      <c r="V94" s="5" t="s">
        <v>44</v>
      </c>
      <c r="W94" s="5" t="s">
        <v>35</v>
      </c>
      <c r="X94" s="8" t="s">
        <v>248</v>
      </c>
      <c r="Y94" s="5" t="s">
        <v>46</v>
      </c>
      <c r="Z94" s="5" t="s">
        <v>47</v>
      </c>
      <c r="AA94" s="5" t="s">
        <v>64</v>
      </c>
      <c r="AB94" s="5" t="s">
        <v>559</v>
      </c>
      <c r="AC94" s="6" t="s">
        <v>418</v>
      </c>
      <c r="AD94" s="6">
        <v>3305.0</v>
      </c>
    </row>
    <row r="95" ht="56.25" customHeight="1">
      <c r="A95" s="5" t="s">
        <v>441</v>
      </c>
      <c r="B95" s="6" t="str">
        <f>IMAGE("https://storage.googleapis.com/acdb/housewares/FtrBabychair_Remake_3_4.png")</f>
        <v/>
      </c>
      <c r="C95" s="5" t="s">
        <v>96</v>
      </c>
      <c r="D95" s="5" t="s">
        <v>34</v>
      </c>
      <c r="E95" s="5" t="s">
        <v>480</v>
      </c>
      <c r="F95" s="5" t="s">
        <v>443</v>
      </c>
      <c r="G95" s="5" t="s">
        <v>36</v>
      </c>
      <c r="H95" s="5" t="s">
        <v>36</v>
      </c>
      <c r="I95" s="5" t="s">
        <v>35</v>
      </c>
      <c r="J95" s="6">
        <v>1.0</v>
      </c>
      <c r="K95" s="6">
        <v>1200.0</v>
      </c>
      <c r="L95" s="6">
        <v>300.0</v>
      </c>
      <c r="M95" s="5" t="s">
        <v>96</v>
      </c>
      <c r="N95" s="5" t="s">
        <v>58</v>
      </c>
      <c r="O95" s="6" t="s">
        <v>40</v>
      </c>
      <c r="P95" s="5" t="s">
        <v>59</v>
      </c>
      <c r="Q95" s="5" t="s">
        <v>89</v>
      </c>
      <c r="R95" s="6" t="s">
        <v>42</v>
      </c>
      <c r="S95" s="5" t="s">
        <v>99</v>
      </c>
      <c r="T95" s="5" t="s">
        <v>44</v>
      </c>
      <c r="U95" s="5" t="s">
        <v>44</v>
      </c>
      <c r="V95" s="5" t="s">
        <v>44</v>
      </c>
      <c r="W95" s="5" t="s">
        <v>35</v>
      </c>
      <c r="X95" s="8" t="s">
        <v>248</v>
      </c>
      <c r="Y95" s="5" t="s">
        <v>46</v>
      </c>
      <c r="Z95" s="5" t="s">
        <v>47</v>
      </c>
      <c r="AA95" s="5" t="s">
        <v>64</v>
      </c>
      <c r="AB95" s="5" t="s">
        <v>562</v>
      </c>
      <c r="AC95" s="6" t="s">
        <v>563</v>
      </c>
      <c r="AD95" s="6">
        <v>3305.0</v>
      </c>
    </row>
    <row r="96" ht="56.25" customHeight="1">
      <c r="A96" s="5" t="s">
        <v>441</v>
      </c>
      <c r="B96" s="6" t="str">
        <f>IMAGE("https://storage.googleapis.com/acdb/housewares/FtrBabychair_Remake_4_0.png")</f>
        <v/>
      </c>
      <c r="C96" s="5" t="s">
        <v>68</v>
      </c>
      <c r="D96" s="5" t="s">
        <v>34</v>
      </c>
      <c r="E96" s="5" t="s">
        <v>442</v>
      </c>
      <c r="F96" s="5" t="s">
        <v>443</v>
      </c>
      <c r="G96" s="5" t="s">
        <v>36</v>
      </c>
      <c r="H96" s="5" t="s">
        <v>36</v>
      </c>
      <c r="I96" s="5" t="s">
        <v>35</v>
      </c>
      <c r="J96" s="6">
        <v>1.0</v>
      </c>
      <c r="K96" s="6">
        <v>1200.0</v>
      </c>
      <c r="L96" s="6">
        <v>300.0</v>
      </c>
      <c r="M96" s="5" t="s">
        <v>68</v>
      </c>
      <c r="N96" s="5" t="s">
        <v>58</v>
      </c>
      <c r="O96" s="6" t="s">
        <v>40</v>
      </c>
      <c r="P96" s="5" t="s">
        <v>59</v>
      </c>
      <c r="Q96" s="5" t="s">
        <v>89</v>
      </c>
      <c r="R96" s="6" t="s">
        <v>42</v>
      </c>
      <c r="S96" s="5" t="s">
        <v>99</v>
      </c>
      <c r="T96" s="5" t="s">
        <v>44</v>
      </c>
      <c r="U96" s="5" t="s">
        <v>44</v>
      </c>
      <c r="V96" s="5" t="s">
        <v>44</v>
      </c>
      <c r="W96" s="5" t="s">
        <v>35</v>
      </c>
      <c r="X96" s="8" t="s">
        <v>248</v>
      </c>
      <c r="Y96" s="5" t="s">
        <v>46</v>
      </c>
      <c r="Z96" s="5" t="s">
        <v>47</v>
      </c>
      <c r="AA96" s="5" t="s">
        <v>64</v>
      </c>
      <c r="AB96" s="5" t="s">
        <v>569</v>
      </c>
      <c r="AC96" s="6" t="s">
        <v>75</v>
      </c>
      <c r="AD96" s="6">
        <v>3305.0</v>
      </c>
    </row>
    <row r="97" ht="56.25" customHeight="1">
      <c r="A97" s="5" t="s">
        <v>441</v>
      </c>
      <c r="B97" s="6" t="str">
        <f>IMAGE("https://storage.googleapis.com/acdb/housewares/FtrBabychair_Remake_4_1.png")</f>
        <v/>
      </c>
      <c r="C97" s="5" t="s">
        <v>68</v>
      </c>
      <c r="D97" s="5" t="s">
        <v>34</v>
      </c>
      <c r="E97" s="5" t="s">
        <v>449</v>
      </c>
      <c r="F97" s="5" t="s">
        <v>443</v>
      </c>
      <c r="G97" s="5" t="s">
        <v>36</v>
      </c>
      <c r="H97" s="5" t="s">
        <v>36</v>
      </c>
      <c r="I97" s="5" t="s">
        <v>35</v>
      </c>
      <c r="J97" s="6">
        <v>1.0</v>
      </c>
      <c r="K97" s="6">
        <v>1200.0</v>
      </c>
      <c r="L97" s="6">
        <v>300.0</v>
      </c>
      <c r="M97" s="5" t="s">
        <v>68</v>
      </c>
      <c r="N97" s="5" t="s">
        <v>58</v>
      </c>
      <c r="O97" s="6" t="s">
        <v>40</v>
      </c>
      <c r="P97" s="5" t="s">
        <v>59</v>
      </c>
      <c r="Q97" s="5" t="s">
        <v>89</v>
      </c>
      <c r="R97" s="6" t="s">
        <v>42</v>
      </c>
      <c r="S97" s="5" t="s">
        <v>99</v>
      </c>
      <c r="T97" s="5" t="s">
        <v>44</v>
      </c>
      <c r="U97" s="5" t="s">
        <v>44</v>
      </c>
      <c r="V97" s="5" t="s">
        <v>44</v>
      </c>
      <c r="W97" s="5" t="s">
        <v>35</v>
      </c>
      <c r="X97" s="8" t="s">
        <v>248</v>
      </c>
      <c r="Y97" s="5" t="s">
        <v>46</v>
      </c>
      <c r="Z97" s="5" t="s">
        <v>47</v>
      </c>
      <c r="AA97" s="5" t="s">
        <v>64</v>
      </c>
      <c r="AB97" s="5" t="s">
        <v>573</v>
      </c>
      <c r="AC97" s="6" t="s">
        <v>429</v>
      </c>
      <c r="AD97" s="6">
        <v>3305.0</v>
      </c>
    </row>
    <row r="98" ht="56.25" customHeight="1">
      <c r="A98" s="5" t="s">
        <v>441</v>
      </c>
      <c r="B98" s="6" t="str">
        <f>IMAGE("https://storage.googleapis.com/acdb/housewares/FtrBabychair_Remake_4_2.png")</f>
        <v/>
      </c>
      <c r="C98" s="5" t="s">
        <v>68</v>
      </c>
      <c r="D98" s="5" t="s">
        <v>34</v>
      </c>
      <c r="E98" s="5" t="s">
        <v>459</v>
      </c>
      <c r="F98" s="5" t="s">
        <v>443</v>
      </c>
      <c r="G98" s="5" t="s">
        <v>36</v>
      </c>
      <c r="H98" s="5" t="s">
        <v>36</v>
      </c>
      <c r="I98" s="5" t="s">
        <v>35</v>
      </c>
      <c r="J98" s="6">
        <v>1.0</v>
      </c>
      <c r="K98" s="6">
        <v>1200.0</v>
      </c>
      <c r="L98" s="6">
        <v>300.0</v>
      </c>
      <c r="M98" s="5" t="s">
        <v>68</v>
      </c>
      <c r="N98" s="5" t="s">
        <v>142</v>
      </c>
      <c r="O98" s="6" t="s">
        <v>40</v>
      </c>
      <c r="P98" s="5" t="s">
        <v>59</v>
      </c>
      <c r="Q98" s="5" t="s">
        <v>89</v>
      </c>
      <c r="R98" s="6" t="s">
        <v>42</v>
      </c>
      <c r="S98" s="5" t="s">
        <v>99</v>
      </c>
      <c r="T98" s="5" t="s">
        <v>44</v>
      </c>
      <c r="U98" s="5" t="s">
        <v>44</v>
      </c>
      <c r="V98" s="5" t="s">
        <v>44</v>
      </c>
      <c r="W98" s="5" t="s">
        <v>35</v>
      </c>
      <c r="X98" s="8" t="s">
        <v>248</v>
      </c>
      <c r="Y98" s="5" t="s">
        <v>46</v>
      </c>
      <c r="Z98" s="5" t="s">
        <v>47</v>
      </c>
      <c r="AA98" s="5" t="s">
        <v>64</v>
      </c>
      <c r="AB98" s="5" t="s">
        <v>576</v>
      </c>
      <c r="AC98" s="6" t="s">
        <v>434</v>
      </c>
      <c r="AD98" s="6">
        <v>3305.0</v>
      </c>
    </row>
    <row r="99" ht="56.25" customHeight="1">
      <c r="A99" s="5" t="s">
        <v>441</v>
      </c>
      <c r="B99" s="6" t="str">
        <f>IMAGE("https://storage.googleapis.com/acdb/housewares/FtrBabychair_Remake_4_3.png")</f>
        <v/>
      </c>
      <c r="C99" s="5" t="s">
        <v>68</v>
      </c>
      <c r="D99" s="5" t="s">
        <v>34</v>
      </c>
      <c r="E99" s="5" t="s">
        <v>469</v>
      </c>
      <c r="F99" s="5" t="s">
        <v>443</v>
      </c>
      <c r="G99" s="5" t="s">
        <v>36</v>
      </c>
      <c r="H99" s="5" t="s">
        <v>36</v>
      </c>
      <c r="I99" s="5" t="s">
        <v>35</v>
      </c>
      <c r="J99" s="6">
        <v>1.0</v>
      </c>
      <c r="K99" s="6">
        <v>1200.0</v>
      </c>
      <c r="L99" s="6">
        <v>300.0</v>
      </c>
      <c r="M99" s="5" t="s">
        <v>68</v>
      </c>
      <c r="N99" s="5" t="s">
        <v>58</v>
      </c>
      <c r="O99" s="6" t="s">
        <v>40</v>
      </c>
      <c r="P99" s="5" t="s">
        <v>59</v>
      </c>
      <c r="Q99" s="5" t="s">
        <v>89</v>
      </c>
      <c r="R99" s="6" t="s">
        <v>42</v>
      </c>
      <c r="S99" s="5" t="s">
        <v>99</v>
      </c>
      <c r="T99" s="5" t="s">
        <v>44</v>
      </c>
      <c r="U99" s="5" t="s">
        <v>44</v>
      </c>
      <c r="V99" s="5" t="s">
        <v>44</v>
      </c>
      <c r="W99" s="5" t="s">
        <v>35</v>
      </c>
      <c r="X99" s="8" t="s">
        <v>248</v>
      </c>
      <c r="Y99" s="5" t="s">
        <v>46</v>
      </c>
      <c r="Z99" s="5" t="s">
        <v>47</v>
      </c>
      <c r="AA99" s="5" t="s">
        <v>64</v>
      </c>
      <c r="AB99" s="5" t="s">
        <v>580</v>
      </c>
      <c r="AC99" s="6" t="s">
        <v>438</v>
      </c>
      <c r="AD99" s="6">
        <v>3305.0</v>
      </c>
    </row>
    <row r="100" ht="56.25" customHeight="1">
      <c r="A100" s="5" t="s">
        <v>441</v>
      </c>
      <c r="B100" s="6" t="str">
        <f>IMAGE("https://storage.googleapis.com/acdb/housewares/FtrBabychair_Remake_4_4.png")</f>
        <v/>
      </c>
      <c r="C100" s="5" t="s">
        <v>68</v>
      </c>
      <c r="D100" s="5" t="s">
        <v>34</v>
      </c>
      <c r="E100" s="5" t="s">
        <v>480</v>
      </c>
      <c r="F100" s="5" t="s">
        <v>443</v>
      </c>
      <c r="G100" s="5" t="s">
        <v>36</v>
      </c>
      <c r="H100" s="5" t="s">
        <v>36</v>
      </c>
      <c r="I100" s="5" t="s">
        <v>35</v>
      </c>
      <c r="J100" s="6">
        <v>1.0</v>
      </c>
      <c r="K100" s="6">
        <v>1200.0</v>
      </c>
      <c r="L100" s="6">
        <v>300.0</v>
      </c>
      <c r="M100" s="5" t="s">
        <v>68</v>
      </c>
      <c r="N100" s="5" t="s">
        <v>58</v>
      </c>
      <c r="O100" s="6" t="s">
        <v>40</v>
      </c>
      <c r="P100" s="5" t="s">
        <v>59</v>
      </c>
      <c r="Q100" s="5" t="s">
        <v>89</v>
      </c>
      <c r="R100" s="6" t="s">
        <v>42</v>
      </c>
      <c r="S100" s="5" t="s">
        <v>99</v>
      </c>
      <c r="T100" s="5" t="s">
        <v>44</v>
      </c>
      <c r="U100" s="5" t="s">
        <v>44</v>
      </c>
      <c r="V100" s="5" t="s">
        <v>44</v>
      </c>
      <c r="W100" s="5" t="s">
        <v>35</v>
      </c>
      <c r="X100" s="8" t="s">
        <v>248</v>
      </c>
      <c r="Y100" s="5" t="s">
        <v>46</v>
      </c>
      <c r="Z100" s="5" t="s">
        <v>47</v>
      </c>
      <c r="AA100" s="5" t="s">
        <v>64</v>
      </c>
      <c r="AB100" s="5" t="s">
        <v>584</v>
      </c>
      <c r="AC100" s="6" t="s">
        <v>585</v>
      </c>
      <c r="AD100" s="6">
        <v>3305.0</v>
      </c>
    </row>
    <row r="101" ht="56.25" customHeight="1">
      <c r="A101" s="5" t="s">
        <v>441</v>
      </c>
      <c r="B101" s="6" t="str">
        <f>IMAGE("https://storage.googleapis.com/acdb/housewares/FtrBabychair_Remake_5_0.png")</f>
        <v/>
      </c>
      <c r="C101" s="5" t="s">
        <v>57</v>
      </c>
      <c r="D101" s="5" t="s">
        <v>34</v>
      </c>
      <c r="E101" s="5" t="s">
        <v>442</v>
      </c>
      <c r="F101" s="5" t="s">
        <v>443</v>
      </c>
      <c r="G101" s="5" t="s">
        <v>36</v>
      </c>
      <c r="H101" s="5" t="s">
        <v>36</v>
      </c>
      <c r="I101" s="5" t="s">
        <v>35</v>
      </c>
      <c r="J101" s="6">
        <v>1.0</v>
      </c>
      <c r="K101" s="6">
        <v>1200.0</v>
      </c>
      <c r="L101" s="6">
        <v>300.0</v>
      </c>
      <c r="M101" s="5" t="s">
        <v>57</v>
      </c>
      <c r="N101" s="5" t="s">
        <v>58</v>
      </c>
      <c r="O101" s="6" t="s">
        <v>40</v>
      </c>
      <c r="P101" s="5" t="s">
        <v>59</v>
      </c>
      <c r="Q101" s="5" t="s">
        <v>89</v>
      </c>
      <c r="R101" s="6" t="s">
        <v>42</v>
      </c>
      <c r="S101" s="5" t="s">
        <v>99</v>
      </c>
      <c r="T101" s="5" t="s">
        <v>44</v>
      </c>
      <c r="U101" s="5" t="s">
        <v>44</v>
      </c>
      <c r="V101" s="5" t="s">
        <v>44</v>
      </c>
      <c r="W101" s="5" t="s">
        <v>35</v>
      </c>
      <c r="X101" s="8" t="s">
        <v>248</v>
      </c>
      <c r="Y101" s="5" t="s">
        <v>46</v>
      </c>
      <c r="Z101" s="5" t="s">
        <v>47</v>
      </c>
      <c r="AA101" s="5" t="s">
        <v>64</v>
      </c>
      <c r="AB101" s="5" t="s">
        <v>592</v>
      </c>
      <c r="AC101" s="6" t="s">
        <v>79</v>
      </c>
      <c r="AD101" s="6">
        <v>3305.0</v>
      </c>
    </row>
    <row r="102" ht="56.25" customHeight="1">
      <c r="A102" s="5" t="s">
        <v>441</v>
      </c>
      <c r="B102" s="6" t="str">
        <f>IMAGE("https://storage.googleapis.com/acdb/housewares/FtrBabychair_Remake_5_1.png")</f>
        <v/>
      </c>
      <c r="C102" s="5" t="s">
        <v>57</v>
      </c>
      <c r="D102" s="5" t="s">
        <v>34</v>
      </c>
      <c r="E102" s="5" t="s">
        <v>449</v>
      </c>
      <c r="F102" s="5" t="s">
        <v>443</v>
      </c>
      <c r="G102" s="5" t="s">
        <v>36</v>
      </c>
      <c r="H102" s="5" t="s">
        <v>36</v>
      </c>
      <c r="I102" s="5" t="s">
        <v>35</v>
      </c>
      <c r="J102" s="6">
        <v>1.0</v>
      </c>
      <c r="K102" s="6">
        <v>1200.0</v>
      </c>
      <c r="L102" s="6">
        <v>300.0</v>
      </c>
      <c r="M102" s="5" t="s">
        <v>57</v>
      </c>
      <c r="N102" s="5" t="s">
        <v>58</v>
      </c>
      <c r="O102" s="6" t="s">
        <v>40</v>
      </c>
      <c r="P102" s="5" t="s">
        <v>59</v>
      </c>
      <c r="Q102" s="5" t="s">
        <v>89</v>
      </c>
      <c r="R102" s="6" t="s">
        <v>42</v>
      </c>
      <c r="S102" s="5" t="s">
        <v>99</v>
      </c>
      <c r="T102" s="5" t="s">
        <v>44</v>
      </c>
      <c r="U102" s="5" t="s">
        <v>44</v>
      </c>
      <c r="V102" s="5" t="s">
        <v>44</v>
      </c>
      <c r="W102" s="5" t="s">
        <v>35</v>
      </c>
      <c r="X102" s="8" t="s">
        <v>248</v>
      </c>
      <c r="Y102" s="5" t="s">
        <v>46</v>
      </c>
      <c r="Z102" s="5" t="s">
        <v>47</v>
      </c>
      <c r="AA102" s="5" t="s">
        <v>64</v>
      </c>
      <c r="AB102" s="5" t="s">
        <v>596</v>
      </c>
      <c r="AC102" s="6" t="s">
        <v>448</v>
      </c>
      <c r="AD102" s="6">
        <v>3305.0</v>
      </c>
    </row>
    <row r="103" ht="56.25" customHeight="1">
      <c r="A103" s="5" t="s">
        <v>441</v>
      </c>
      <c r="B103" s="6" t="str">
        <f>IMAGE("https://storage.googleapis.com/acdb/housewares/FtrBabychair_Remake_5_2.png")</f>
        <v/>
      </c>
      <c r="C103" s="5" t="s">
        <v>57</v>
      </c>
      <c r="D103" s="5" t="s">
        <v>34</v>
      </c>
      <c r="E103" s="5" t="s">
        <v>459</v>
      </c>
      <c r="F103" s="5" t="s">
        <v>443</v>
      </c>
      <c r="G103" s="5" t="s">
        <v>36</v>
      </c>
      <c r="H103" s="5" t="s">
        <v>36</v>
      </c>
      <c r="I103" s="5" t="s">
        <v>35</v>
      </c>
      <c r="J103" s="6">
        <v>1.0</v>
      </c>
      <c r="K103" s="6">
        <v>1200.0</v>
      </c>
      <c r="L103" s="6">
        <v>300.0</v>
      </c>
      <c r="M103" s="5" t="s">
        <v>57</v>
      </c>
      <c r="N103" s="5" t="s">
        <v>142</v>
      </c>
      <c r="O103" s="6" t="s">
        <v>40</v>
      </c>
      <c r="P103" s="5" t="s">
        <v>59</v>
      </c>
      <c r="Q103" s="5" t="s">
        <v>89</v>
      </c>
      <c r="R103" s="6" t="s">
        <v>42</v>
      </c>
      <c r="S103" s="5" t="s">
        <v>99</v>
      </c>
      <c r="T103" s="5" t="s">
        <v>44</v>
      </c>
      <c r="U103" s="5" t="s">
        <v>44</v>
      </c>
      <c r="V103" s="5" t="s">
        <v>44</v>
      </c>
      <c r="W103" s="5" t="s">
        <v>35</v>
      </c>
      <c r="X103" s="8" t="s">
        <v>248</v>
      </c>
      <c r="Y103" s="5" t="s">
        <v>46</v>
      </c>
      <c r="Z103" s="5" t="s">
        <v>47</v>
      </c>
      <c r="AA103" s="5" t="s">
        <v>64</v>
      </c>
      <c r="AB103" s="5" t="s">
        <v>600</v>
      </c>
      <c r="AC103" s="6" t="s">
        <v>452</v>
      </c>
      <c r="AD103" s="6">
        <v>3305.0</v>
      </c>
    </row>
    <row r="104" ht="56.25" customHeight="1">
      <c r="A104" s="5" t="s">
        <v>441</v>
      </c>
      <c r="B104" s="6" t="str">
        <f>IMAGE("https://storage.googleapis.com/acdb/housewares/FtrBabychair_Remake_5_3.png")</f>
        <v/>
      </c>
      <c r="C104" s="5" t="s">
        <v>57</v>
      </c>
      <c r="D104" s="5" t="s">
        <v>34</v>
      </c>
      <c r="E104" s="5" t="s">
        <v>469</v>
      </c>
      <c r="F104" s="5" t="s">
        <v>443</v>
      </c>
      <c r="G104" s="5" t="s">
        <v>36</v>
      </c>
      <c r="H104" s="5" t="s">
        <v>36</v>
      </c>
      <c r="I104" s="5" t="s">
        <v>35</v>
      </c>
      <c r="J104" s="6">
        <v>1.0</v>
      </c>
      <c r="K104" s="6">
        <v>1200.0</v>
      </c>
      <c r="L104" s="6">
        <v>300.0</v>
      </c>
      <c r="M104" s="5" t="s">
        <v>57</v>
      </c>
      <c r="N104" s="5" t="s">
        <v>58</v>
      </c>
      <c r="O104" s="6" t="s">
        <v>40</v>
      </c>
      <c r="P104" s="5" t="s">
        <v>59</v>
      </c>
      <c r="Q104" s="5" t="s">
        <v>89</v>
      </c>
      <c r="R104" s="6" t="s">
        <v>42</v>
      </c>
      <c r="S104" s="5" t="s">
        <v>99</v>
      </c>
      <c r="T104" s="5" t="s">
        <v>44</v>
      </c>
      <c r="U104" s="5" t="s">
        <v>44</v>
      </c>
      <c r="V104" s="5" t="s">
        <v>44</v>
      </c>
      <c r="W104" s="5" t="s">
        <v>35</v>
      </c>
      <c r="X104" s="8" t="s">
        <v>248</v>
      </c>
      <c r="Y104" s="5" t="s">
        <v>46</v>
      </c>
      <c r="Z104" s="5" t="s">
        <v>47</v>
      </c>
      <c r="AA104" s="5" t="s">
        <v>64</v>
      </c>
      <c r="AB104" s="5" t="s">
        <v>604</v>
      </c>
      <c r="AC104" s="6" t="s">
        <v>455</v>
      </c>
      <c r="AD104" s="6">
        <v>3305.0</v>
      </c>
    </row>
    <row r="105" ht="56.25" customHeight="1">
      <c r="A105" s="5" t="s">
        <v>441</v>
      </c>
      <c r="B105" s="6" t="str">
        <f>IMAGE("https://storage.googleapis.com/acdb/housewares/FtrBabychair_Remake_5_4.png")</f>
        <v/>
      </c>
      <c r="C105" s="5" t="s">
        <v>57</v>
      </c>
      <c r="D105" s="5" t="s">
        <v>34</v>
      </c>
      <c r="E105" s="5" t="s">
        <v>480</v>
      </c>
      <c r="F105" s="5" t="s">
        <v>443</v>
      </c>
      <c r="G105" s="5" t="s">
        <v>36</v>
      </c>
      <c r="H105" s="5" t="s">
        <v>36</v>
      </c>
      <c r="I105" s="5" t="s">
        <v>35</v>
      </c>
      <c r="J105" s="6">
        <v>1.0</v>
      </c>
      <c r="K105" s="6">
        <v>1200.0</v>
      </c>
      <c r="L105" s="6">
        <v>300.0</v>
      </c>
      <c r="M105" s="5" t="s">
        <v>57</v>
      </c>
      <c r="N105" s="5" t="s">
        <v>58</v>
      </c>
      <c r="O105" s="6" t="s">
        <v>40</v>
      </c>
      <c r="P105" s="5" t="s">
        <v>59</v>
      </c>
      <c r="Q105" s="5" t="s">
        <v>89</v>
      </c>
      <c r="R105" s="6" t="s">
        <v>42</v>
      </c>
      <c r="S105" s="5" t="s">
        <v>99</v>
      </c>
      <c r="T105" s="5" t="s">
        <v>44</v>
      </c>
      <c r="U105" s="5" t="s">
        <v>44</v>
      </c>
      <c r="V105" s="5" t="s">
        <v>44</v>
      </c>
      <c r="W105" s="5" t="s">
        <v>35</v>
      </c>
      <c r="X105" s="8" t="s">
        <v>248</v>
      </c>
      <c r="Y105" s="5" t="s">
        <v>46</v>
      </c>
      <c r="Z105" s="5" t="s">
        <v>47</v>
      </c>
      <c r="AA105" s="5" t="s">
        <v>64</v>
      </c>
      <c r="AB105" s="5" t="s">
        <v>608</v>
      </c>
      <c r="AC105" s="6" t="s">
        <v>609</v>
      </c>
      <c r="AD105" s="6">
        <v>3305.0</v>
      </c>
    </row>
    <row r="106" ht="56.25" customHeight="1">
      <c r="A106" s="5" t="s">
        <v>441</v>
      </c>
      <c r="B106" s="6" t="str">
        <f>IMAGE("https://storage.googleapis.com/acdb/housewares/FtrBabychair_Remake_6_0.png")</f>
        <v/>
      </c>
      <c r="C106" s="5" t="s">
        <v>54</v>
      </c>
      <c r="D106" s="5" t="s">
        <v>34</v>
      </c>
      <c r="E106" s="5" t="s">
        <v>442</v>
      </c>
      <c r="F106" s="5" t="s">
        <v>443</v>
      </c>
      <c r="G106" s="5" t="s">
        <v>36</v>
      </c>
      <c r="H106" s="5" t="s">
        <v>36</v>
      </c>
      <c r="I106" s="5" t="s">
        <v>35</v>
      </c>
      <c r="J106" s="6">
        <v>1.0</v>
      </c>
      <c r="K106" s="6">
        <v>1200.0</v>
      </c>
      <c r="L106" s="6">
        <v>300.0</v>
      </c>
      <c r="M106" s="5" t="s">
        <v>54</v>
      </c>
      <c r="N106" s="5" t="s">
        <v>58</v>
      </c>
      <c r="O106" s="6" t="s">
        <v>40</v>
      </c>
      <c r="P106" s="5" t="s">
        <v>59</v>
      </c>
      <c r="Q106" s="5" t="s">
        <v>89</v>
      </c>
      <c r="R106" s="6" t="s">
        <v>42</v>
      </c>
      <c r="S106" s="5" t="s">
        <v>99</v>
      </c>
      <c r="T106" s="5" t="s">
        <v>44</v>
      </c>
      <c r="U106" s="5" t="s">
        <v>44</v>
      </c>
      <c r="V106" s="5" t="s">
        <v>44</v>
      </c>
      <c r="W106" s="5" t="s">
        <v>35</v>
      </c>
      <c r="X106" s="8" t="s">
        <v>248</v>
      </c>
      <c r="Y106" s="5" t="s">
        <v>46</v>
      </c>
      <c r="Z106" s="5" t="s">
        <v>47</v>
      </c>
      <c r="AA106" s="5" t="s">
        <v>64</v>
      </c>
      <c r="AB106" s="5" t="s">
        <v>613</v>
      </c>
      <c r="AC106" s="6" t="s">
        <v>86</v>
      </c>
      <c r="AD106" s="6">
        <v>3305.0</v>
      </c>
    </row>
    <row r="107" ht="56.25" customHeight="1">
      <c r="A107" s="5" t="s">
        <v>441</v>
      </c>
      <c r="B107" s="6" t="str">
        <f>IMAGE("https://storage.googleapis.com/acdb/housewares/FtrBabychair_Remake_6_1.png")</f>
        <v/>
      </c>
      <c r="C107" s="5" t="s">
        <v>54</v>
      </c>
      <c r="D107" s="5" t="s">
        <v>34</v>
      </c>
      <c r="E107" s="5" t="s">
        <v>449</v>
      </c>
      <c r="F107" s="5" t="s">
        <v>443</v>
      </c>
      <c r="G107" s="5" t="s">
        <v>36</v>
      </c>
      <c r="H107" s="5" t="s">
        <v>36</v>
      </c>
      <c r="I107" s="5" t="s">
        <v>35</v>
      </c>
      <c r="J107" s="6">
        <v>1.0</v>
      </c>
      <c r="K107" s="6">
        <v>1200.0</v>
      </c>
      <c r="L107" s="6">
        <v>300.0</v>
      </c>
      <c r="M107" s="5" t="s">
        <v>54</v>
      </c>
      <c r="N107" s="5" t="s">
        <v>58</v>
      </c>
      <c r="O107" s="6" t="s">
        <v>40</v>
      </c>
      <c r="P107" s="5" t="s">
        <v>59</v>
      </c>
      <c r="Q107" s="5" t="s">
        <v>89</v>
      </c>
      <c r="R107" s="6" t="s">
        <v>42</v>
      </c>
      <c r="S107" s="5" t="s">
        <v>99</v>
      </c>
      <c r="T107" s="5" t="s">
        <v>44</v>
      </c>
      <c r="U107" s="5" t="s">
        <v>44</v>
      </c>
      <c r="V107" s="5" t="s">
        <v>44</v>
      </c>
      <c r="W107" s="5" t="s">
        <v>35</v>
      </c>
      <c r="X107" s="8" t="s">
        <v>248</v>
      </c>
      <c r="Y107" s="5" t="s">
        <v>46</v>
      </c>
      <c r="Z107" s="5" t="s">
        <v>47</v>
      </c>
      <c r="AA107" s="5" t="s">
        <v>64</v>
      </c>
      <c r="AB107" s="5" t="s">
        <v>619</v>
      </c>
      <c r="AC107" s="6" t="s">
        <v>620</v>
      </c>
      <c r="AD107" s="6">
        <v>3305.0</v>
      </c>
    </row>
    <row r="108" ht="56.25" customHeight="1">
      <c r="A108" s="5" t="s">
        <v>441</v>
      </c>
      <c r="B108" s="6" t="str">
        <f>IMAGE("https://storage.googleapis.com/acdb/housewares/FtrBabychair_Remake_6_2.png")</f>
        <v/>
      </c>
      <c r="C108" s="5" t="s">
        <v>54</v>
      </c>
      <c r="D108" s="5" t="s">
        <v>34</v>
      </c>
      <c r="E108" s="5" t="s">
        <v>459</v>
      </c>
      <c r="F108" s="5" t="s">
        <v>443</v>
      </c>
      <c r="G108" s="5" t="s">
        <v>36</v>
      </c>
      <c r="H108" s="5" t="s">
        <v>36</v>
      </c>
      <c r="I108" s="5" t="s">
        <v>35</v>
      </c>
      <c r="J108" s="6">
        <v>1.0</v>
      </c>
      <c r="K108" s="6">
        <v>1200.0</v>
      </c>
      <c r="L108" s="6">
        <v>300.0</v>
      </c>
      <c r="M108" s="5" t="s">
        <v>54</v>
      </c>
      <c r="N108" s="5" t="s">
        <v>142</v>
      </c>
      <c r="O108" s="6" t="s">
        <v>40</v>
      </c>
      <c r="P108" s="5" t="s">
        <v>59</v>
      </c>
      <c r="Q108" s="5" t="s">
        <v>89</v>
      </c>
      <c r="R108" s="6" t="s">
        <v>42</v>
      </c>
      <c r="S108" s="5" t="s">
        <v>99</v>
      </c>
      <c r="T108" s="5" t="s">
        <v>44</v>
      </c>
      <c r="U108" s="5" t="s">
        <v>44</v>
      </c>
      <c r="V108" s="5" t="s">
        <v>44</v>
      </c>
      <c r="W108" s="5" t="s">
        <v>35</v>
      </c>
      <c r="X108" s="8" t="s">
        <v>248</v>
      </c>
      <c r="Y108" s="5" t="s">
        <v>46</v>
      </c>
      <c r="Z108" s="5" t="s">
        <v>47</v>
      </c>
      <c r="AA108" s="5" t="s">
        <v>64</v>
      </c>
      <c r="AB108" s="5" t="s">
        <v>625</v>
      </c>
      <c r="AC108" s="6" t="s">
        <v>626</v>
      </c>
      <c r="AD108" s="6">
        <v>3305.0</v>
      </c>
    </row>
    <row r="109" ht="56.25" customHeight="1">
      <c r="A109" s="5" t="s">
        <v>441</v>
      </c>
      <c r="B109" s="6" t="str">
        <f>IMAGE("https://storage.googleapis.com/acdb/housewares/FtrBabychair_Remake_6_3.png")</f>
        <v/>
      </c>
      <c r="C109" s="5" t="s">
        <v>54</v>
      </c>
      <c r="D109" s="5" t="s">
        <v>34</v>
      </c>
      <c r="E109" s="5" t="s">
        <v>469</v>
      </c>
      <c r="F109" s="5" t="s">
        <v>443</v>
      </c>
      <c r="G109" s="5" t="s">
        <v>36</v>
      </c>
      <c r="H109" s="5" t="s">
        <v>36</v>
      </c>
      <c r="I109" s="5" t="s">
        <v>35</v>
      </c>
      <c r="J109" s="6">
        <v>1.0</v>
      </c>
      <c r="K109" s="6">
        <v>1200.0</v>
      </c>
      <c r="L109" s="6">
        <v>300.0</v>
      </c>
      <c r="M109" s="5" t="s">
        <v>54</v>
      </c>
      <c r="N109" s="5" t="s">
        <v>58</v>
      </c>
      <c r="O109" s="6" t="s">
        <v>40</v>
      </c>
      <c r="P109" s="5" t="s">
        <v>59</v>
      </c>
      <c r="Q109" s="5" t="s">
        <v>89</v>
      </c>
      <c r="R109" s="6" t="s">
        <v>42</v>
      </c>
      <c r="S109" s="5" t="s">
        <v>99</v>
      </c>
      <c r="T109" s="5" t="s">
        <v>44</v>
      </c>
      <c r="U109" s="5" t="s">
        <v>44</v>
      </c>
      <c r="V109" s="5" t="s">
        <v>44</v>
      </c>
      <c r="W109" s="5" t="s">
        <v>35</v>
      </c>
      <c r="X109" s="8" t="s">
        <v>248</v>
      </c>
      <c r="Y109" s="5" t="s">
        <v>46</v>
      </c>
      <c r="Z109" s="5" t="s">
        <v>47</v>
      </c>
      <c r="AA109" s="5" t="s">
        <v>64</v>
      </c>
      <c r="AB109" s="5" t="s">
        <v>632</v>
      </c>
      <c r="AC109" s="6" t="s">
        <v>634</v>
      </c>
      <c r="AD109" s="6">
        <v>3305.0</v>
      </c>
    </row>
    <row r="110" ht="56.25" customHeight="1">
      <c r="A110" s="5" t="s">
        <v>441</v>
      </c>
      <c r="B110" s="6" t="str">
        <f>IMAGE("https://storage.googleapis.com/acdb/housewares/FtrBabychair_Remake_6_4.png")</f>
        <v/>
      </c>
      <c r="C110" s="5" t="s">
        <v>54</v>
      </c>
      <c r="D110" s="5" t="s">
        <v>34</v>
      </c>
      <c r="E110" s="5" t="s">
        <v>480</v>
      </c>
      <c r="F110" s="5" t="s">
        <v>443</v>
      </c>
      <c r="G110" s="5" t="s">
        <v>36</v>
      </c>
      <c r="H110" s="5" t="s">
        <v>36</v>
      </c>
      <c r="I110" s="5" t="s">
        <v>35</v>
      </c>
      <c r="J110" s="6">
        <v>1.0</v>
      </c>
      <c r="K110" s="6">
        <v>1200.0</v>
      </c>
      <c r="L110" s="6">
        <v>300.0</v>
      </c>
      <c r="M110" s="5" t="s">
        <v>54</v>
      </c>
      <c r="N110" s="5" t="s">
        <v>58</v>
      </c>
      <c r="O110" s="6" t="s">
        <v>40</v>
      </c>
      <c r="P110" s="5" t="s">
        <v>59</v>
      </c>
      <c r="Q110" s="5" t="s">
        <v>89</v>
      </c>
      <c r="R110" s="6" t="s">
        <v>42</v>
      </c>
      <c r="S110" s="5" t="s">
        <v>99</v>
      </c>
      <c r="T110" s="5" t="s">
        <v>44</v>
      </c>
      <c r="U110" s="5" t="s">
        <v>44</v>
      </c>
      <c r="V110" s="5" t="s">
        <v>44</v>
      </c>
      <c r="W110" s="5" t="s">
        <v>35</v>
      </c>
      <c r="X110" s="8" t="s">
        <v>248</v>
      </c>
      <c r="Y110" s="5" t="s">
        <v>46</v>
      </c>
      <c r="Z110" s="5" t="s">
        <v>47</v>
      </c>
      <c r="AA110" s="5" t="s">
        <v>64</v>
      </c>
      <c r="AB110" s="5" t="s">
        <v>640</v>
      </c>
      <c r="AC110" s="6" t="s">
        <v>641</v>
      </c>
      <c r="AD110" s="6">
        <v>3305.0</v>
      </c>
    </row>
    <row r="111" ht="56.25" customHeight="1">
      <c r="A111" s="5" t="s">
        <v>642</v>
      </c>
      <c r="B111" s="6" t="str">
        <f>IMAGE("https://storage.googleapis.com/acdb/housewares/FtrBambooBasket_Remake_0_0.png")</f>
        <v/>
      </c>
      <c r="C111" s="5" t="s">
        <v>261</v>
      </c>
      <c r="D111" s="5" t="s">
        <v>262</v>
      </c>
      <c r="E111" s="5" t="s">
        <v>34</v>
      </c>
      <c r="F111" s="5" t="s">
        <v>34</v>
      </c>
      <c r="G111" s="5" t="s">
        <v>35</v>
      </c>
      <c r="H111" s="5" t="s">
        <v>35</v>
      </c>
      <c r="I111" s="5" t="s">
        <v>36</v>
      </c>
      <c r="J111" s="6">
        <v>2.0</v>
      </c>
      <c r="K111" s="6" t="s">
        <v>37</v>
      </c>
      <c r="L111" s="6">
        <v>1120.0</v>
      </c>
      <c r="M111" s="5" t="s">
        <v>96</v>
      </c>
      <c r="N111" s="5" t="s">
        <v>96</v>
      </c>
      <c r="O111" s="6" t="s">
        <v>40</v>
      </c>
      <c r="P111" s="5" t="s">
        <v>41</v>
      </c>
      <c r="Q111" s="5"/>
      <c r="R111" s="6" t="s">
        <v>42</v>
      </c>
      <c r="S111" s="5" t="s">
        <v>266</v>
      </c>
      <c r="T111" s="5" t="s">
        <v>44</v>
      </c>
      <c r="U111" s="5" t="s">
        <v>267</v>
      </c>
      <c r="V111" s="5" t="s">
        <v>44</v>
      </c>
      <c r="W111" s="5" t="s">
        <v>36</v>
      </c>
      <c r="X111" s="8" t="s">
        <v>650</v>
      </c>
      <c r="Y111" s="5" t="s">
        <v>46</v>
      </c>
      <c r="Z111" s="5" t="s">
        <v>47</v>
      </c>
      <c r="AA111" s="5" t="s">
        <v>48</v>
      </c>
      <c r="AB111" s="5" t="s">
        <v>652</v>
      </c>
      <c r="AC111" s="6" t="s">
        <v>50</v>
      </c>
      <c r="AD111" s="6">
        <v>3658.0</v>
      </c>
    </row>
    <row r="112" ht="56.25" customHeight="1">
      <c r="A112" s="5" t="s">
        <v>642</v>
      </c>
      <c r="B112" s="6" t="str">
        <f>IMAGE("https://storage.googleapis.com/acdb/housewares/FtrBambooBasket_Remake_1_0.png")</f>
        <v/>
      </c>
      <c r="C112" s="5" t="s">
        <v>271</v>
      </c>
      <c r="D112" s="5" t="s">
        <v>262</v>
      </c>
      <c r="E112" s="5" t="s">
        <v>34</v>
      </c>
      <c r="F112" s="5" t="s">
        <v>34</v>
      </c>
      <c r="G112" s="5" t="s">
        <v>35</v>
      </c>
      <c r="H112" s="5" t="s">
        <v>35</v>
      </c>
      <c r="I112" s="5" t="s">
        <v>36</v>
      </c>
      <c r="J112" s="6">
        <v>2.0</v>
      </c>
      <c r="K112" s="6" t="s">
        <v>37</v>
      </c>
      <c r="L112" s="6">
        <v>1120.0</v>
      </c>
      <c r="M112" s="5" t="s">
        <v>38</v>
      </c>
      <c r="N112" s="5" t="s">
        <v>114</v>
      </c>
      <c r="O112" s="6" t="s">
        <v>40</v>
      </c>
      <c r="P112" s="5" t="s">
        <v>41</v>
      </c>
      <c r="Q112" s="5"/>
      <c r="R112" s="6" t="s">
        <v>42</v>
      </c>
      <c r="S112" s="5" t="s">
        <v>266</v>
      </c>
      <c r="T112" s="5" t="s">
        <v>44</v>
      </c>
      <c r="U112" s="5" t="s">
        <v>267</v>
      </c>
      <c r="V112" s="5" t="s">
        <v>44</v>
      </c>
      <c r="W112" s="5" t="s">
        <v>36</v>
      </c>
      <c r="X112" s="8" t="s">
        <v>650</v>
      </c>
      <c r="Y112" s="5" t="s">
        <v>46</v>
      </c>
      <c r="Z112" s="5" t="s">
        <v>47</v>
      </c>
      <c r="AA112" s="5" t="s">
        <v>48</v>
      </c>
      <c r="AB112" s="5" t="s">
        <v>658</v>
      </c>
      <c r="AC112" s="6" t="s">
        <v>56</v>
      </c>
      <c r="AD112" s="6">
        <v>3658.0</v>
      </c>
    </row>
    <row r="113" ht="56.25" customHeight="1">
      <c r="A113" s="5" t="s">
        <v>642</v>
      </c>
      <c r="B113" s="6" t="str">
        <f>IMAGE("https://storage.googleapis.com/acdb/housewares/FtrBambooBasket_Remake_2_0.png")</f>
        <v/>
      </c>
      <c r="C113" s="5" t="s">
        <v>279</v>
      </c>
      <c r="D113" s="5" t="s">
        <v>262</v>
      </c>
      <c r="E113" s="5" t="s">
        <v>34</v>
      </c>
      <c r="F113" s="5" t="s">
        <v>34</v>
      </c>
      <c r="G113" s="5" t="s">
        <v>35</v>
      </c>
      <c r="H113" s="5" t="s">
        <v>35</v>
      </c>
      <c r="I113" s="5" t="s">
        <v>36</v>
      </c>
      <c r="J113" s="6">
        <v>2.0</v>
      </c>
      <c r="K113" s="6" t="s">
        <v>37</v>
      </c>
      <c r="L113" s="6">
        <v>1120.0</v>
      </c>
      <c r="M113" s="5" t="s">
        <v>39</v>
      </c>
      <c r="N113" s="5" t="s">
        <v>96</v>
      </c>
      <c r="O113" s="6" t="s">
        <v>40</v>
      </c>
      <c r="P113" s="5" t="s">
        <v>41</v>
      </c>
      <c r="Q113" s="5"/>
      <c r="R113" s="6" t="s">
        <v>42</v>
      </c>
      <c r="S113" s="5" t="s">
        <v>266</v>
      </c>
      <c r="T113" s="5" t="s">
        <v>44</v>
      </c>
      <c r="U113" s="5" t="s">
        <v>267</v>
      </c>
      <c r="V113" s="5" t="s">
        <v>44</v>
      </c>
      <c r="W113" s="5" t="s">
        <v>36</v>
      </c>
      <c r="X113" s="8" t="s">
        <v>650</v>
      </c>
      <c r="Y113" s="5" t="s">
        <v>46</v>
      </c>
      <c r="Z113" s="5" t="s">
        <v>47</v>
      </c>
      <c r="AA113" s="5" t="s">
        <v>48</v>
      </c>
      <c r="AB113" s="5" t="s">
        <v>665</v>
      </c>
      <c r="AC113" s="6" t="s">
        <v>67</v>
      </c>
      <c r="AD113" s="6">
        <v>3658.0</v>
      </c>
    </row>
    <row r="114" ht="56.25" customHeight="1">
      <c r="A114" s="5" t="s">
        <v>667</v>
      </c>
      <c r="B114" s="6" t="str">
        <f>IMAGE("https://storage.googleapis.com/acdb/housewares/FtrBambooChairL_Remake_0_0.png")</f>
        <v/>
      </c>
      <c r="C114" s="5" t="s">
        <v>261</v>
      </c>
      <c r="D114" s="5" t="s">
        <v>262</v>
      </c>
      <c r="E114" s="5" t="s">
        <v>34</v>
      </c>
      <c r="F114" s="5" t="s">
        <v>34</v>
      </c>
      <c r="G114" s="5" t="s">
        <v>35</v>
      </c>
      <c r="H114" s="5" t="s">
        <v>35</v>
      </c>
      <c r="I114" s="5" t="s">
        <v>36</v>
      </c>
      <c r="J114" s="6">
        <v>2.0</v>
      </c>
      <c r="K114" s="6" t="s">
        <v>37</v>
      </c>
      <c r="L114" s="6">
        <v>1280.0</v>
      </c>
      <c r="M114" s="5" t="s">
        <v>96</v>
      </c>
      <c r="N114" s="5" t="s">
        <v>96</v>
      </c>
      <c r="O114" s="6" t="s">
        <v>276</v>
      </c>
      <c r="P114" s="5" t="s">
        <v>41</v>
      </c>
      <c r="Q114" s="5"/>
      <c r="R114" s="6" t="s">
        <v>42</v>
      </c>
      <c r="S114" s="5" t="s">
        <v>266</v>
      </c>
      <c r="T114" s="5" t="s">
        <v>44</v>
      </c>
      <c r="U114" s="5" t="s">
        <v>267</v>
      </c>
      <c r="V114" s="5" t="s">
        <v>44</v>
      </c>
      <c r="W114" s="5" t="s">
        <v>35</v>
      </c>
      <c r="X114" s="8" t="s">
        <v>671</v>
      </c>
      <c r="Y114" s="5" t="s">
        <v>46</v>
      </c>
      <c r="Z114" s="5" t="s">
        <v>47</v>
      </c>
      <c r="AA114" s="5" t="s">
        <v>48</v>
      </c>
      <c r="AB114" s="5" t="s">
        <v>673</v>
      </c>
      <c r="AC114" s="6" t="s">
        <v>50</v>
      </c>
      <c r="AD114" s="6">
        <v>710.0</v>
      </c>
    </row>
    <row r="115" ht="56.25" customHeight="1">
      <c r="A115" s="5" t="s">
        <v>667</v>
      </c>
      <c r="B115" s="6" t="str">
        <f>IMAGE("https://storage.googleapis.com/acdb/housewares/FtrBambooChairL_Remake_1_0.png")</f>
        <v/>
      </c>
      <c r="C115" s="5" t="s">
        <v>271</v>
      </c>
      <c r="D115" s="5" t="s">
        <v>262</v>
      </c>
      <c r="E115" s="5" t="s">
        <v>34</v>
      </c>
      <c r="F115" s="5" t="s">
        <v>34</v>
      </c>
      <c r="G115" s="5" t="s">
        <v>35</v>
      </c>
      <c r="H115" s="5" t="s">
        <v>35</v>
      </c>
      <c r="I115" s="5" t="s">
        <v>36</v>
      </c>
      <c r="J115" s="6">
        <v>2.0</v>
      </c>
      <c r="K115" s="6" t="s">
        <v>37</v>
      </c>
      <c r="L115" s="6">
        <v>1280.0</v>
      </c>
      <c r="M115" s="5" t="s">
        <v>114</v>
      </c>
      <c r="N115" s="5" t="s">
        <v>114</v>
      </c>
      <c r="O115" s="6" t="s">
        <v>276</v>
      </c>
      <c r="P115" s="5" t="s">
        <v>41</v>
      </c>
      <c r="Q115" s="5"/>
      <c r="R115" s="6" t="s">
        <v>42</v>
      </c>
      <c r="S115" s="5" t="s">
        <v>266</v>
      </c>
      <c r="T115" s="5" t="s">
        <v>44</v>
      </c>
      <c r="U115" s="5" t="s">
        <v>267</v>
      </c>
      <c r="V115" s="5" t="s">
        <v>44</v>
      </c>
      <c r="W115" s="5" t="s">
        <v>35</v>
      </c>
      <c r="X115" s="8" t="s">
        <v>671</v>
      </c>
      <c r="Y115" s="5" t="s">
        <v>46</v>
      </c>
      <c r="Z115" s="5" t="s">
        <v>47</v>
      </c>
      <c r="AA115" s="5" t="s">
        <v>48</v>
      </c>
      <c r="AB115" s="5" t="s">
        <v>678</v>
      </c>
      <c r="AC115" s="6" t="s">
        <v>56</v>
      </c>
      <c r="AD115" s="6">
        <v>710.0</v>
      </c>
    </row>
    <row r="116" ht="56.25" customHeight="1">
      <c r="A116" s="5" t="s">
        <v>667</v>
      </c>
      <c r="B116" s="6" t="str">
        <f>IMAGE("https://storage.googleapis.com/acdb/housewares/FtrBambooChairL_Remake_2_0.png")</f>
        <v/>
      </c>
      <c r="C116" s="5" t="s">
        <v>279</v>
      </c>
      <c r="D116" s="5" t="s">
        <v>262</v>
      </c>
      <c r="E116" s="5" t="s">
        <v>34</v>
      </c>
      <c r="F116" s="5" t="s">
        <v>34</v>
      </c>
      <c r="G116" s="5" t="s">
        <v>35</v>
      </c>
      <c r="H116" s="5" t="s">
        <v>35</v>
      </c>
      <c r="I116" s="5" t="s">
        <v>36</v>
      </c>
      <c r="J116" s="6">
        <v>2.0</v>
      </c>
      <c r="K116" s="6" t="s">
        <v>37</v>
      </c>
      <c r="L116" s="6">
        <v>1280.0</v>
      </c>
      <c r="M116" s="5" t="s">
        <v>39</v>
      </c>
      <c r="N116" s="5" t="s">
        <v>39</v>
      </c>
      <c r="O116" s="6" t="s">
        <v>276</v>
      </c>
      <c r="P116" s="5" t="s">
        <v>41</v>
      </c>
      <c r="Q116" s="5"/>
      <c r="R116" s="6" t="s">
        <v>42</v>
      </c>
      <c r="S116" s="5" t="s">
        <v>266</v>
      </c>
      <c r="T116" s="5" t="s">
        <v>44</v>
      </c>
      <c r="U116" s="5" t="s">
        <v>267</v>
      </c>
      <c r="V116" s="5" t="s">
        <v>44</v>
      </c>
      <c r="W116" s="5" t="s">
        <v>35</v>
      </c>
      <c r="X116" s="8" t="s">
        <v>671</v>
      </c>
      <c r="Y116" s="5" t="s">
        <v>46</v>
      </c>
      <c r="Z116" s="5" t="s">
        <v>47</v>
      </c>
      <c r="AA116" s="5" t="s">
        <v>48</v>
      </c>
      <c r="AB116" s="5" t="s">
        <v>681</v>
      </c>
      <c r="AC116" s="6" t="s">
        <v>67</v>
      </c>
      <c r="AD116" s="6">
        <v>710.0</v>
      </c>
    </row>
    <row r="117" ht="56.25" customHeight="1">
      <c r="A117" s="5" t="s">
        <v>682</v>
      </c>
      <c r="B117" s="6" t="str">
        <f>IMAGE("https://storage.googleapis.com/acdb/housewares/FtrBambooSurprisedbox.png")</f>
        <v/>
      </c>
      <c r="C117" s="5" t="s">
        <v>34</v>
      </c>
      <c r="D117" s="5" t="s">
        <v>34</v>
      </c>
      <c r="E117" s="5" t="s">
        <v>34</v>
      </c>
      <c r="F117" s="5" t="s">
        <v>34</v>
      </c>
      <c r="G117" s="5" t="s">
        <v>35</v>
      </c>
      <c r="H117" s="5" t="s">
        <v>36</v>
      </c>
      <c r="I117" s="5" t="s">
        <v>36</v>
      </c>
      <c r="J117" s="6" t="s">
        <v>34</v>
      </c>
      <c r="K117" s="6" t="s">
        <v>37</v>
      </c>
      <c r="L117" s="6">
        <v>2400.0</v>
      </c>
      <c r="M117" s="5" t="s">
        <v>96</v>
      </c>
      <c r="N117" s="5" t="s">
        <v>96</v>
      </c>
      <c r="O117" s="6" t="s">
        <v>40</v>
      </c>
      <c r="P117" s="5" t="s">
        <v>41</v>
      </c>
      <c r="Q117" s="5" t="s">
        <v>265</v>
      </c>
      <c r="R117" s="6" t="s">
        <v>42</v>
      </c>
      <c r="S117" s="5" t="s">
        <v>266</v>
      </c>
      <c r="T117" s="5" t="s">
        <v>44</v>
      </c>
      <c r="U117" s="5" t="s">
        <v>267</v>
      </c>
      <c r="V117" s="5" t="s">
        <v>44</v>
      </c>
      <c r="W117" s="5" t="s">
        <v>35</v>
      </c>
      <c r="X117" s="8" t="s">
        <v>356</v>
      </c>
      <c r="Y117" s="5" t="s">
        <v>46</v>
      </c>
      <c r="Z117" s="5" t="s">
        <v>47</v>
      </c>
      <c r="AA117" s="5" t="s">
        <v>48</v>
      </c>
      <c r="AB117" s="5" t="s">
        <v>685</v>
      </c>
      <c r="AC117" s="6" t="s">
        <v>34</v>
      </c>
      <c r="AD117" s="6">
        <v>3555.0</v>
      </c>
    </row>
    <row r="118" ht="56.25" customHeight="1">
      <c r="A118" s="5" t="s">
        <v>686</v>
      </c>
      <c r="B118" s="6" t="str">
        <f>IMAGE("https://storage.googleapis.com/acdb/housewares/FtrBambooLamp_Remake_0_0.png")</f>
        <v/>
      </c>
      <c r="C118" s="5" t="s">
        <v>261</v>
      </c>
      <c r="D118" s="5" t="s">
        <v>262</v>
      </c>
      <c r="E118" s="5" t="s">
        <v>34</v>
      </c>
      <c r="F118" s="5" t="s">
        <v>34</v>
      </c>
      <c r="G118" s="5" t="s">
        <v>35</v>
      </c>
      <c r="H118" s="5" t="s">
        <v>35</v>
      </c>
      <c r="I118" s="5" t="s">
        <v>36</v>
      </c>
      <c r="J118" s="6">
        <v>2.0</v>
      </c>
      <c r="K118" s="6" t="s">
        <v>37</v>
      </c>
      <c r="L118" s="6">
        <v>1280.0</v>
      </c>
      <c r="M118" s="5" t="s">
        <v>96</v>
      </c>
      <c r="N118" s="5" t="s">
        <v>96</v>
      </c>
      <c r="O118" s="6" t="s">
        <v>40</v>
      </c>
      <c r="P118" s="5" t="s">
        <v>41</v>
      </c>
      <c r="Q118" s="5"/>
      <c r="R118" s="6" t="s">
        <v>42</v>
      </c>
      <c r="S118" s="5" t="s">
        <v>266</v>
      </c>
      <c r="T118" s="5" t="s">
        <v>44</v>
      </c>
      <c r="U118" s="5" t="s">
        <v>267</v>
      </c>
      <c r="V118" s="5" t="s">
        <v>44</v>
      </c>
      <c r="W118" s="5" t="s">
        <v>35</v>
      </c>
      <c r="X118" s="8" t="s">
        <v>467</v>
      </c>
      <c r="Y118" s="5" t="s">
        <v>46</v>
      </c>
      <c r="Z118" s="5" t="s">
        <v>502</v>
      </c>
      <c r="AA118" s="5" t="s">
        <v>48</v>
      </c>
      <c r="AB118" s="5" t="s">
        <v>690</v>
      </c>
      <c r="AC118" s="6" t="s">
        <v>50</v>
      </c>
      <c r="AD118" s="6">
        <v>3557.0</v>
      </c>
    </row>
    <row r="119" ht="56.25" customHeight="1">
      <c r="A119" s="5" t="s">
        <v>686</v>
      </c>
      <c r="B119" s="6" t="str">
        <f>IMAGE("https://storage.googleapis.com/acdb/housewares/FtrBambooLamp_Remake_1_0.png")</f>
        <v/>
      </c>
      <c r="C119" s="5" t="s">
        <v>271</v>
      </c>
      <c r="D119" s="5" t="s">
        <v>262</v>
      </c>
      <c r="E119" s="5" t="s">
        <v>34</v>
      </c>
      <c r="F119" s="5" t="s">
        <v>34</v>
      </c>
      <c r="G119" s="5" t="s">
        <v>35</v>
      </c>
      <c r="H119" s="5" t="s">
        <v>35</v>
      </c>
      <c r="I119" s="5" t="s">
        <v>36</v>
      </c>
      <c r="J119" s="6">
        <v>2.0</v>
      </c>
      <c r="K119" s="6" t="s">
        <v>37</v>
      </c>
      <c r="L119" s="6">
        <v>1280.0</v>
      </c>
      <c r="M119" s="5" t="s">
        <v>114</v>
      </c>
      <c r="N119" s="5" t="s">
        <v>114</v>
      </c>
      <c r="O119" s="6" t="s">
        <v>40</v>
      </c>
      <c r="P119" s="5" t="s">
        <v>41</v>
      </c>
      <c r="Q119" s="5"/>
      <c r="R119" s="6" t="s">
        <v>42</v>
      </c>
      <c r="S119" s="5" t="s">
        <v>266</v>
      </c>
      <c r="T119" s="5" t="s">
        <v>44</v>
      </c>
      <c r="U119" s="5" t="s">
        <v>267</v>
      </c>
      <c r="V119" s="5" t="s">
        <v>44</v>
      </c>
      <c r="W119" s="5" t="s">
        <v>35</v>
      </c>
      <c r="X119" s="8" t="s">
        <v>467</v>
      </c>
      <c r="Y119" s="5" t="s">
        <v>46</v>
      </c>
      <c r="Z119" s="5" t="s">
        <v>502</v>
      </c>
      <c r="AA119" s="5" t="s">
        <v>48</v>
      </c>
      <c r="AB119" s="5" t="s">
        <v>695</v>
      </c>
      <c r="AC119" s="6" t="s">
        <v>56</v>
      </c>
      <c r="AD119" s="6">
        <v>3557.0</v>
      </c>
    </row>
    <row r="120" ht="56.25" customHeight="1">
      <c r="A120" s="5" t="s">
        <v>686</v>
      </c>
      <c r="B120" s="6" t="str">
        <f>IMAGE("https://storage.googleapis.com/acdb/housewares/FtrBambooLamp_Remake_2_0.png")</f>
        <v/>
      </c>
      <c r="C120" s="5" t="s">
        <v>279</v>
      </c>
      <c r="D120" s="5" t="s">
        <v>262</v>
      </c>
      <c r="E120" s="5" t="s">
        <v>34</v>
      </c>
      <c r="F120" s="5" t="s">
        <v>34</v>
      </c>
      <c r="G120" s="5" t="s">
        <v>35</v>
      </c>
      <c r="H120" s="5" t="s">
        <v>35</v>
      </c>
      <c r="I120" s="5" t="s">
        <v>36</v>
      </c>
      <c r="J120" s="6">
        <v>2.0</v>
      </c>
      <c r="K120" s="6" t="s">
        <v>37</v>
      </c>
      <c r="L120" s="6">
        <v>1280.0</v>
      </c>
      <c r="M120" s="5" t="s">
        <v>39</v>
      </c>
      <c r="N120" s="5" t="s">
        <v>39</v>
      </c>
      <c r="O120" s="6" t="s">
        <v>40</v>
      </c>
      <c r="P120" s="5" t="s">
        <v>41</v>
      </c>
      <c r="Q120" s="5"/>
      <c r="R120" s="6" t="s">
        <v>42</v>
      </c>
      <c r="S120" s="5" t="s">
        <v>266</v>
      </c>
      <c r="T120" s="5" t="s">
        <v>44</v>
      </c>
      <c r="U120" s="5" t="s">
        <v>267</v>
      </c>
      <c r="V120" s="5" t="s">
        <v>44</v>
      </c>
      <c r="W120" s="5" t="s">
        <v>35</v>
      </c>
      <c r="X120" s="8" t="s">
        <v>467</v>
      </c>
      <c r="Y120" s="5" t="s">
        <v>46</v>
      </c>
      <c r="Z120" s="5" t="s">
        <v>502</v>
      </c>
      <c r="AA120" s="5" t="s">
        <v>48</v>
      </c>
      <c r="AB120" s="5" t="s">
        <v>701</v>
      </c>
      <c r="AC120" s="6" t="s">
        <v>67</v>
      </c>
      <c r="AD120" s="6">
        <v>3557.0</v>
      </c>
    </row>
    <row r="121" ht="56.25" customHeight="1">
      <c r="A121" s="5" t="s">
        <v>702</v>
      </c>
      <c r="B121" s="6" t="str">
        <f>IMAGE("https://storage.googleapis.com/acdb/housewares/FtrBambooSomen.png")</f>
        <v/>
      </c>
      <c r="C121" s="5" t="s">
        <v>34</v>
      </c>
      <c r="D121" s="5" t="s">
        <v>34</v>
      </c>
      <c r="E121" s="5" t="s">
        <v>34</v>
      </c>
      <c r="F121" s="5" t="s">
        <v>34</v>
      </c>
      <c r="G121" s="5" t="s">
        <v>35</v>
      </c>
      <c r="H121" s="5" t="s">
        <v>36</v>
      </c>
      <c r="I121" s="5" t="s">
        <v>36</v>
      </c>
      <c r="J121" s="6" t="s">
        <v>34</v>
      </c>
      <c r="K121" s="6" t="s">
        <v>37</v>
      </c>
      <c r="L121" s="6">
        <v>3160.0</v>
      </c>
      <c r="M121" s="5" t="s">
        <v>96</v>
      </c>
      <c r="N121" s="5" t="s">
        <v>39</v>
      </c>
      <c r="O121" s="6" t="s">
        <v>707</v>
      </c>
      <c r="P121" s="5" t="s">
        <v>41</v>
      </c>
      <c r="Q121" s="5" t="s">
        <v>265</v>
      </c>
      <c r="R121" s="6" t="s">
        <v>42</v>
      </c>
      <c r="S121" s="5" t="s">
        <v>266</v>
      </c>
      <c r="T121" s="5" t="s">
        <v>44</v>
      </c>
      <c r="U121" s="5" t="s">
        <v>267</v>
      </c>
      <c r="V121" s="5" t="s">
        <v>44</v>
      </c>
      <c r="W121" s="5" t="s">
        <v>35</v>
      </c>
      <c r="X121" s="8" t="s">
        <v>650</v>
      </c>
      <c r="Y121" s="5" t="s">
        <v>46</v>
      </c>
      <c r="Z121" s="5" t="s">
        <v>47</v>
      </c>
      <c r="AA121" s="5" t="s">
        <v>48</v>
      </c>
      <c r="AB121" s="5" t="s">
        <v>709</v>
      </c>
      <c r="AC121" s="6" t="s">
        <v>34</v>
      </c>
      <c r="AD121" s="6">
        <v>5979.0</v>
      </c>
    </row>
    <row r="122" ht="56.25" customHeight="1">
      <c r="A122" s="5" t="s">
        <v>710</v>
      </c>
      <c r="B122" s="6" t="str">
        <f>IMAGE("https://storage.googleapis.com/acdb/housewares/FtrBambooScreen_Remake_0_0.png")</f>
        <v/>
      </c>
      <c r="C122" s="5" t="s">
        <v>261</v>
      </c>
      <c r="D122" s="5" t="s">
        <v>262</v>
      </c>
      <c r="E122" s="5" t="s">
        <v>34</v>
      </c>
      <c r="F122" s="5" t="s">
        <v>34</v>
      </c>
      <c r="G122" s="5" t="s">
        <v>35</v>
      </c>
      <c r="H122" s="5" t="s">
        <v>35</v>
      </c>
      <c r="I122" s="5" t="s">
        <v>36</v>
      </c>
      <c r="J122" s="6">
        <v>3.0</v>
      </c>
      <c r="K122" s="6" t="s">
        <v>37</v>
      </c>
      <c r="L122" s="6">
        <v>2020.0</v>
      </c>
      <c r="M122" s="5" t="s">
        <v>96</v>
      </c>
      <c r="N122" s="5" t="s">
        <v>57</v>
      </c>
      <c r="O122" s="6" t="s">
        <v>714</v>
      </c>
      <c r="P122" s="5" t="s">
        <v>41</v>
      </c>
      <c r="Q122" s="5"/>
      <c r="R122" s="6" t="s">
        <v>42</v>
      </c>
      <c r="S122" s="5" t="s">
        <v>266</v>
      </c>
      <c r="T122" s="5" t="s">
        <v>44</v>
      </c>
      <c r="U122" s="5" t="s">
        <v>267</v>
      </c>
      <c r="V122" s="5" t="s">
        <v>44</v>
      </c>
      <c r="W122" s="5" t="s">
        <v>36</v>
      </c>
      <c r="X122" s="8" t="s">
        <v>715</v>
      </c>
      <c r="Y122" s="5" t="s">
        <v>46</v>
      </c>
      <c r="Z122" s="5" t="s">
        <v>47</v>
      </c>
      <c r="AA122" s="5" t="s">
        <v>48</v>
      </c>
      <c r="AB122" s="5" t="s">
        <v>716</v>
      </c>
      <c r="AC122" s="6" t="s">
        <v>50</v>
      </c>
      <c r="AD122" s="6">
        <v>3553.0</v>
      </c>
    </row>
    <row r="123" ht="56.25" customHeight="1">
      <c r="A123" s="5" t="s">
        <v>710</v>
      </c>
      <c r="B123" s="6" t="str">
        <f>IMAGE("https://storage.googleapis.com/acdb/housewares/FtrBambooScreen_Remake_1_0.png")</f>
        <v/>
      </c>
      <c r="C123" s="5" t="s">
        <v>271</v>
      </c>
      <c r="D123" s="5" t="s">
        <v>262</v>
      </c>
      <c r="E123" s="5" t="s">
        <v>34</v>
      </c>
      <c r="F123" s="5" t="s">
        <v>34</v>
      </c>
      <c r="G123" s="5" t="s">
        <v>35</v>
      </c>
      <c r="H123" s="5" t="s">
        <v>35</v>
      </c>
      <c r="I123" s="5" t="s">
        <v>36</v>
      </c>
      <c r="J123" s="6">
        <v>3.0</v>
      </c>
      <c r="K123" s="6" t="s">
        <v>37</v>
      </c>
      <c r="L123" s="6">
        <v>2020.0</v>
      </c>
      <c r="M123" s="5" t="s">
        <v>114</v>
      </c>
      <c r="N123" s="5" t="s">
        <v>57</v>
      </c>
      <c r="O123" s="6" t="s">
        <v>714</v>
      </c>
      <c r="P123" s="5" t="s">
        <v>41</v>
      </c>
      <c r="Q123" s="5"/>
      <c r="R123" s="6" t="s">
        <v>42</v>
      </c>
      <c r="S123" s="5" t="s">
        <v>266</v>
      </c>
      <c r="T123" s="5" t="s">
        <v>44</v>
      </c>
      <c r="U123" s="5" t="s">
        <v>267</v>
      </c>
      <c r="V123" s="5" t="s">
        <v>44</v>
      </c>
      <c r="W123" s="5" t="s">
        <v>36</v>
      </c>
      <c r="X123" s="8" t="s">
        <v>715</v>
      </c>
      <c r="Y123" s="5" t="s">
        <v>46</v>
      </c>
      <c r="Z123" s="5" t="s">
        <v>47</v>
      </c>
      <c r="AA123" s="5" t="s">
        <v>48</v>
      </c>
      <c r="AB123" s="5" t="s">
        <v>720</v>
      </c>
      <c r="AC123" s="6" t="s">
        <v>56</v>
      </c>
      <c r="AD123" s="6">
        <v>3553.0</v>
      </c>
    </row>
    <row r="124" ht="56.25" customHeight="1">
      <c r="A124" s="5" t="s">
        <v>710</v>
      </c>
      <c r="B124" s="6" t="str">
        <f>IMAGE("https://storage.googleapis.com/acdb/housewares/FtrBambooScreen_Remake_2_0.png")</f>
        <v/>
      </c>
      <c r="C124" s="5" t="s">
        <v>279</v>
      </c>
      <c r="D124" s="5" t="s">
        <v>262</v>
      </c>
      <c r="E124" s="5" t="s">
        <v>34</v>
      </c>
      <c r="F124" s="5" t="s">
        <v>34</v>
      </c>
      <c r="G124" s="5" t="s">
        <v>35</v>
      </c>
      <c r="H124" s="5" t="s">
        <v>35</v>
      </c>
      <c r="I124" s="5" t="s">
        <v>36</v>
      </c>
      <c r="J124" s="6">
        <v>3.0</v>
      </c>
      <c r="K124" s="6" t="s">
        <v>37</v>
      </c>
      <c r="L124" s="6">
        <v>2020.0</v>
      </c>
      <c r="M124" s="5" t="s">
        <v>39</v>
      </c>
      <c r="N124" s="5" t="s">
        <v>95</v>
      </c>
      <c r="O124" s="6" t="s">
        <v>714</v>
      </c>
      <c r="P124" s="5" t="s">
        <v>41</v>
      </c>
      <c r="Q124" s="5"/>
      <c r="R124" s="6" t="s">
        <v>42</v>
      </c>
      <c r="S124" s="5" t="s">
        <v>266</v>
      </c>
      <c r="T124" s="5" t="s">
        <v>44</v>
      </c>
      <c r="U124" s="5" t="s">
        <v>267</v>
      </c>
      <c r="V124" s="5" t="s">
        <v>44</v>
      </c>
      <c r="W124" s="5" t="s">
        <v>36</v>
      </c>
      <c r="X124" s="8" t="s">
        <v>715</v>
      </c>
      <c r="Y124" s="5" t="s">
        <v>46</v>
      </c>
      <c r="Z124" s="5" t="s">
        <v>47</v>
      </c>
      <c r="AA124" s="5" t="s">
        <v>48</v>
      </c>
      <c r="AB124" s="5" t="s">
        <v>724</v>
      </c>
      <c r="AC124" s="6" t="s">
        <v>67</v>
      </c>
      <c r="AD124" s="6">
        <v>3553.0</v>
      </c>
    </row>
    <row r="125" ht="56.25" customHeight="1">
      <c r="A125" s="5" t="s">
        <v>725</v>
      </c>
      <c r="B125" s="6" t="str">
        <f>IMAGE("https://storage.googleapis.com/acdb/housewares/FtrBambooShelf_Remake_0_0.png")</f>
        <v/>
      </c>
      <c r="C125" s="5" t="s">
        <v>261</v>
      </c>
      <c r="D125" s="5" t="s">
        <v>262</v>
      </c>
      <c r="E125" s="5" t="s">
        <v>34</v>
      </c>
      <c r="F125" s="5" t="s">
        <v>34</v>
      </c>
      <c r="G125" s="5" t="s">
        <v>35</v>
      </c>
      <c r="H125" s="5" t="s">
        <v>35</v>
      </c>
      <c r="I125" s="5" t="s">
        <v>36</v>
      </c>
      <c r="J125" s="6">
        <v>4.0</v>
      </c>
      <c r="K125" s="6" t="s">
        <v>37</v>
      </c>
      <c r="L125" s="6">
        <v>2400.0</v>
      </c>
      <c r="M125" s="5" t="s">
        <v>96</v>
      </c>
      <c r="N125" s="5" t="s">
        <v>57</v>
      </c>
      <c r="O125" s="6" t="s">
        <v>276</v>
      </c>
      <c r="P125" s="5" t="s">
        <v>41</v>
      </c>
      <c r="Q125" s="5"/>
      <c r="R125" s="6" t="s">
        <v>42</v>
      </c>
      <c r="S125" s="5" t="s">
        <v>266</v>
      </c>
      <c r="T125" s="5" t="s">
        <v>44</v>
      </c>
      <c r="U125" s="5" t="s">
        <v>267</v>
      </c>
      <c r="V125" s="5" t="s">
        <v>44</v>
      </c>
      <c r="W125" s="5" t="s">
        <v>36</v>
      </c>
      <c r="X125" s="8" t="s">
        <v>730</v>
      </c>
      <c r="Y125" s="5" t="s">
        <v>46</v>
      </c>
      <c r="Z125" s="5" t="s">
        <v>47</v>
      </c>
      <c r="AA125" s="5" t="s">
        <v>48</v>
      </c>
      <c r="AB125" s="5" t="s">
        <v>731</v>
      </c>
      <c r="AC125" s="6" t="s">
        <v>50</v>
      </c>
      <c r="AD125" s="6">
        <v>3551.0</v>
      </c>
    </row>
    <row r="126" ht="56.25" customHeight="1">
      <c r="A126" s="5" t="s">
        <v>725</v>
      </c>
      <c r="B126" s="6" t="str">
        <f>IMAGE("https://storage.googleapis.com/acdb/housewares/FtrBambooShelf_Remake_1_0.png")</f>
        <v/>
      </c>
      <c r="C126" s="5" t="s">
        <v>271</v>
      </c>
      <c r="D126" s="5" t="s">
        <v>262</v>
      </c>
      <c r="E126" s="5" t="s">
        <v>34</v>
      </c>
      <c r="F126" s="5" t="s">
        <v>34</v>
      </c>
      <c r="G126" s="5" t="s">
        <v>35</v>
      </c>
      <c r="H126" s="5" t="s">
        <v>35</v>
      </c>
      <c r="I126" s="5" t="s">
        <v>36</v>
      </c>
      <c r="J126" s="6">
        <v>4.0</v>
      </c>
      <c r="K126" s="6" t="s">
        <v>37</v>
      </c>
      <c r="L126" s="6">
        <v>2400.0</v>
      </c>
      <c r="M126" s="5" t="s">
        <v>114</v>
      </c>
      <c r="N126" s="5" t="s">
        <v>106</v>
      </c>
      <c r="O126" s="6" t="s">
        <v>276</v>
      </c>
      <c r="P126" s="5" t="s">
        <v>41</v>
      </c>
      <c r="Q126" s="5"/>
      <c r="R126" s="6" t="s">
        <v>42</v>
      </c>
      <c r="S126" s="5" t="s">
        <v>266</v>
      </c>
      <c r="T126" s="5" t="s">
        <v>44</v>
      </c>
      <c r="U126" s="5" t="s">
        <v>267</v>
      </c>
      <c r="V126" s="5" t="s">
        <v>44</v>
      </c>
      <c r="W126" s="5" t="s">
        <v>36</v>
      </c>
      <c r="X126" s="8" t="s">
        <v>730</v>
      </c>
      <c r="Y126" s="5" t="s">
        <v>46</v>
      </c>
      <c r="Z126" s="5" t="s">
        <v>47</v>
      </c>
      <c r="AA126" s="5" t="s">
        <v>48</v>
      </c>
      <c r="AB126" s="5" t="s">
        <v>736</v>
      </c>
      <c r="AC126" s="6" t="s">
        <v>56</v>
      </c>
      <c r="AD126" s="6">
        <v>3551.0</v>
      </c>
    </row>
    <row r="127" ht="56.25" customHeight="1">
      <c r="A127" s="5" t="s">
        <v>725</v>
      </c>
      <c r="B127" s="6" t="str">
        <f>IMAGE("https://storage.googleapis.com/acdb/housewares/FtrBambooShelf_Remake_2_0.png")</f>
        <v/>
      </c>
      <c r="C127" s="5" t="s">
        <v>279</v>
      </c>
      <c r="D127" s="5" t="s">
        <v>262</v>
      </c>
      <c r="E127" s="5" t="s">
        <v>34</v>
      </c>
      <c r="F127" s="5" t="s">
        <v>34</v>
      </c>
      <c r="G127" s="5" t="s">
        <v>35</v>
      </c>
      <c r="H127" s="5" t="s">
        <v>35</v>
      </c>
      <c r="I127" s="5" t="s">
        <v>36</v>
      </c>
      <c r="J127" s="6">
        <v>4.0</v>
      </c>
      <c r="K127" s="6" t="s">
        <v>37</v>
      </c>
      <c r="L127" s="6">
        <v>2400.0</v>
      </c>
      <c r="M127" s="5" t="s">
        <v>39</v>
      </c>
      <c r="N127" s="5" t="s">
        <v>95</v>
      </c>
      <c r="O127" s="6" t="s">
        <v>276</v>
      </c>
      <c r="P127" s="5" t="s">
        <v>41</v>
      </c>
      <c r="Q127" s="5"/>
      <c r="R127" s="6" t="s">
        <v>42</v>
      </c>
      <c r="S127" s="5" t="s">
        <v>266</v>
      </c>
      <c r="T127" s="5" t="s">
        <v>44</v>
      </c>
      <c r="U127" s="5" t="s">
        <v>267</v>
      </c>
      <c r="V127" s="5" t="s">
        <v>44</v>
      </c>
      <c r="W127" s="5" t="s">
        <v>36</v>
      </c>
      <c r="X127" s="8" t="s">
        <v>730</v>
      </c>
      <c r="Y127" s="5" t="s">
        <v>46</v>
      </c>
      <c r="Z127" s="5" t="s">
        <v>47</v>
      </c>
      <c r="AA127" s="5" t="s">
        <v>48</v>
      </c>
      <c r="AB127" s="5" t="s">
        <v>740</v>
      </c>
      <c r="AC127" s="6" t="s">
        <v>67</v>
      </c>
      <c r="AD127" s="6">
        <v>3551.0</v>
      </c>
    </row>
    <row r="128" ht="56.25" customHeight="1">
      <c r="A128" s="5" t="s">
        <v>741</v>
      </c>
      <c r="B128" s="6" t="str">
        <f>IMAGE("https://storage.googleapis.com/acdb/housewares/FtrBambooMusic_Remake_0_0.png")</f>
        <v/>
      </c>
      <c r="C128" s="5" t="s">
        <v>261</v>
      </c>
      <c r="D128" s="5" t="s">
        <v>262</v>
      </c>
      <c r="E128" s="5" t="s">
        <v>34</v>
      </c>
      <c r="F128" s="5" t="s">
        <v>34</v>
      </c>
      <c r="G128" s="5" t="s">
        <v>35</v>
      </c>
      <c r="H128" s="5" t="s">
        <v>35</v>
      </c>
      <c r="I128" s="5" t="s">
        <v>36</v>
      </c>
      <c r="J128" s="6">
        <v>2.0</v>
      </c>
      <c r="K128" s="6" t="s">
        <v>37</v>
      </c>
      <c r="L128" s="6">
        <v>1230.0</v>
      </c>
      <c r="M128" s="5" t="s">
        <v>96</v>
      </c>
      <c r="N128" s="5" t="s">
        <v>38</v>
      </c>
      <c r="O128" s="6" t="s">
        <v>40</v>
      </c>
      <c r="P128" s="5" t="s">
        <v>41</v>
      </c>
      <c r="Q128" s="5"/>
      <c r="R128" s="6" t="s">
        <v>42</v>
      </c>
      <c r="S128" s="5" t="s">
        <v>266</v>
      </c>
      <c r="T128" s="5" t="s">
        <v>44</v>
      </c>
      <c r="U128" s="5" t="s">
        <v>267</v>
      </c>
      <c r="V128" s="5" t="s">
        <v>44</v>
      </c>
      <c r="W128" s="5" t="s">
        <v>35</v>
      </c>
      <c r="X128" s="8" t="s">
        <v>746</v>
      </c>
      <c r="Y128" s="5" t="s">
        <v>164</v>
      </c>
      <c r="Z128" s="5" t="s">
        <v>47</v>
      </c>
      <c r="AA128" s="5" t="s">
        <v>48</v>
      </c>
      <c r="AB128" s="5" t="s">
        <v>747</v>
      </c>
      <c r="AC128" s="6" t="s">
        <v>50</v>
      </c>
      <c r="AD128" s="6">
        <v>10743.0</v>
      </c>
    </row>
    <row r="129" ht="56.25" customHeight="1">
      <c r="A129" s="5" t="s">
        <v>741</v>
      </c>
      <c r="B129" s="6" t="str">
        <f>IMAGE("https://storage.googleapis.com/acdb/housewares/FtrBambooMusic_Remake_1_0.png")</f>
        <v/>
      </c>
      <c r="C129" s="5" t="s">
        <v>271</v>
      </c>
      <c r="D129" s="5" t="s">
        <v>262</v>
      </c>
      <c r="E129" s="5" t="s">
        <v>34</v>
      </c>
      <c r="F129" s="5" t="s">
        <v>34</v>
      </c>
      <c r="G129" s="5" t="s">
        <v>35</v>
      </c>
      <c r="H129" s="5" t="s">
        <v>35</v>
      </c>
      <c r="I129" s="5" t="s">
        <v>36</v>
      </c>
      <c r="J129" s="6">
        <v>2.0</v>
      </c>
      <c r="K129" s="6" t="s">
        <v>37</v>
      </c>
      <c r="L129" s="6">
        <v>1230.0</v>
      </c>
      <c r="M129" s="5" t="s">
        <v>114</v>
      </c>
      <c r="N129" s="5" t="s">
        <v>38</v>
      </c>
      <c r="O129" s="6" t="s">
        <v>40</v>
      </c>
      <c r="P129" s="5" t="s">
        <v>41</v>
      </c>
      <c r="Q129" s="5"/>
      <c r="R129" s="6" t="s">
        <v>42</v>
      </c>
      <c r="S129" s="5" t="s">
        <v>266</v>
      </c>
      <c r="T129" s="5" t="s">
        <v>44</v>
      </c>
      <c r="U129" s="5" t="s">
        <v>267</v>
      </c>
      <c r="V129" s="5" t="s">
        <v>44</v>
      </c>
      <c r="W129" s="5" t="s">
        <v>35</v>
      </c>
      <c r="X129" s="8" t="s">
        <v>746</v>
      </c>
      <c r="Y129" s="5" t="s">
        <v>164</v>
      </c>
      <c r="Z129" s="5" t="s">
        <v>47</v>
      </c>
      <c r="AA129" s="5" t="s">
        <v>48</v>
      </c>
      <c r="AB129" s="5" t="s">
        <v>754</v>
      </c>
      <c r="AC129" s="6" t="s">
        <v>56</v>
      </c>
      <c r="AD129" s="6">
        <v>10743.0</v>
      </c>
    </row>
    <row r="130" ht="56.25" customHeight="1">
      <c r="A130" s="5" t="s">
        <v>741</v>
      </c>
      <c r="B130" s="6" t="str">
        <f>IMAGE("https://storage.googleapis.com/acdb/housewares/FtrBambooMusic_Remake_2_0.png")</f>
        <v/>
      </c>
      <c r="C130" s="5" t="s">
        <v>279</v>
      </c>
      <c r="D130" s="5" t="s">
        <v>262</v>
      </c>
      <c r="E130" s="5" t="s">
        <v>34</v>
      </c>
      <c r="F130" s="5" t="s">
        <v>34</v>
      </c>
      <c r="G130" s="5" t="s">
        <v>35</v>
      </c>
      <c r="H130" s="5" t="s">
        <v>35</v>
      </c>
      <c r="I130" s="5" t="s">
        <v>36</v>
      </c>
      <c r="J130" s="6">
        <v>2.0</v>
      </c>
      <c r="K130" s="6" t="s">
        <v>37</v>
      </c>
      <c r="L130" s="6">
        <v>1230.0</v>
      </c>
      <c r="M130" s="5" t="s">
        <v>39</v>
      </c>
      <c r="N130" s="5" t="s">
        <v>38</v>
      </c>
      <c r="O130" s="6" t="s">
        <v>40</v>
      </c>
      <c r="P130" s="5" t="s">
        <v>41</v>
      </c>
      <c r="Q130" s="5"/>
      <c r="R130" s="6" t="s">
        <v>42</v>
      </c>
      <c r="S130" s="5" t="s">
        <v>266</v>
      </c>
      <c r="T130" s="5" t="s">
        <v>44</v>
      </c>
      <c r="U130" s="5" t="s">
        <v>267</v>
      </c>
      <c r="V130" s="5" t="s">
        <v>44</v>
      </c>
      <c r="W130" s="5" t="s">
        <v>35</v>
      </c>
      <c r="X130" s="8" t="s">
        <v>746</v>
      </c>
      <c r="Y130" s="5" t="s">
        <v>164</v>
      </c>
      <c r="Z130" s="5" t="s">
        <v>47</v>
      </c>
      <c r="AA130" s="5" t="s">
        <v>48</v>
      </c>
      <c r="AB130" s="5" t="s">
        <v>758</v>
      </c>
      <c r="AC130" s="6" t="s">
        <v>67</v>
      </c>
      <c r="AD130" s="6">
        <v>10743.0</v>
      </c>
    </row>
    <row r="131" ht="56.25" customHeight="1">
      <c r="A131" s="5" t="s">
        <v>759</v>
      </c>
      <c r="B131" s="6" t="str">
        <f>IMAGE("https://storage.googleapis.com/acdb/housewares/FtrBambooStool_Remake_0_0.png")</f>
        <v/>
      </c>
      <c r="C131" s="5" t="s">
        <v>261</v>
      </c>
      <c r="D131" s="5" t="s">
        <v>262</v>
      </c>
      <c r="E131" s="5" t="s">
        <v>34</v>
      </c>
      <c r="F131" s="5" t="s">
        <v>34</v>
      </c>
      <c r="G131" s="5" t="s">
        <v>35</v>
      </c>
      <c r="H131" s="5" t="s">
        <v>35</v>
      </c>
      <c r="I131" s="5" t="s">
        <v>36</v>
      </c>
      <c r="J131" s="6">
        <v>2.0</v>
      </c>
      <c r="K131" s="6" t="s">
        <v>37</v>
      </c>
      <c r="L131" s="6">
        <v>800.0</v>
      </c>
      <c r="M131" s="5" t="s">
        <v>96</v>
      </c>
      <c r="N131" s="5" t="s">
        <v>96</v>
      </c>
      <c r="O131" s="6" t="s">
        <v>40</v>
      </c>
      <c r="P131" s="5" t="s">
        <v>41</v>
      </c>
      <c r="Q131" s="5"/>
      <c r="R131" s="6" t="s">
        <v>42</v>
      </c>
      <c r="S131" s="5" t="s">
        <v>266</v>
      </c>
      <c r="T131" s="5" t="s">
        <v>44</v>
      </c>
      <c r="U131" s="5" t="s">
        <v>267</v>
      </c>
      <c r="V131" s="5" t="s">
        <v>44</v>
      </c>
      <c r="W131" s="5" t="s">
        <v>35</v>
      </c>
      <c r="X131" s="8" t="s">
        <v>248</v>
      </c>
      <c r="Y131" s="5" t="s">
        <v>46</v>
      </c>
      <c r="Z131" s="5" t="s">
        <v>47</v>
      </c>
      <c r="AA131" s="5" t="s">
        <v>48</v>
      </c>
      <c r="AB131" s="5" t="s">
        <v>761</v>
      </c>
      <c r="AC131" s="6" t="s">
        <v>50</v>
      </c>
      <c r="AD131" s="6">
        <v>10742.0</v>
      </c>
    </row>
    <row r="132" ht="56.25" customHeight="1">
      <c r="A132" s="5" t="s">
        <v>759</v>
      </c>
      <c r="B132" s="6" t="str">
        <f>IMAGE("https://storage.googleapis.com/acdb/housewares/FtrBambooStool_Remake_1_0.png")</f>
        <v/>
      </c>
      <c r="C132" s="5" t="s">
        <v>271</v>
      </c>
      <c r="D132" s="5" t="s">
        <v>262</v>
      </c>
      <c r="E132" s="5" t="s">
        <v>34</v>
      </c>
      <c r="F132" s="5" t="s">
        <v>34</v>
      </c>
      <c r="G132" s="5" t="s">
        <v>35</v>
      </c>
      <c r="H132" s="5" t="s">
        <v>35</v>
      </c>
      <c r="I132" s="5" t="s">
        <v>36</v>
      </c>
      <c r="J132" s="6">
        <v>2.0</v>
      </c>
      <c r="K132" s="6" t="s">
        <v>37</v>
      </c>
      <c r="L132" s="6">
        <v>800.0</v>
      </c>
      <c r="M132" s="5" t="s">
        <v>114</v>
      </c>
      <c r="N132" s="5" t="s">
        <v>114</v>
      </c>
      <c r="O132" s="6" t="s">
        <v>40</v>
      </c>
      <c r="P132" s="5" t="s">
        <v>41</v>
      </c>
      <c r="Q132" s="5"/>
      <c r="R132" s="6" t="s">
        <v>42</v>
      </c>
      <c r="S132" s="5" t="s">
        <v>266</v>
      </c>
      <c r="T132" s="5" t="s">
        <v>44</v>
      </c>
      <c r="U132" s="5" t="s">
        <v>267</v>
      </c>
      <c r="V132" s="5" t="s">
        <v>44</v>
      </c>
      <c r="W132" s="5" t="s">
        <v>35</v>
      </c>
      <c r="X132" s="8" t="s">
        <v>248</v>
      </c>
      <c r="Y132" s="5" t="s">
        <v>46</v>
      </c>
      <c r="Z132" s="5" t="s">
        <v>47</v>
      </c>
      <c r="AA132" s="5" t="s">
        <v>48</v>
      </c>
      <c r="AB132" s="5" t="s">
        <v>766</v>
      </c>
      <c r="AC132" s="6" t="s">
        <v>56</v>
      </c>
      <c r="AD132" s="6">
        <v>10742.0</v>
      </c>
    </row>
    <row r="133" ht="56.25" customHeight="1">
      <c r="A133" s="5" t="s">
        <v>759</v>
      </c>
      <c r="B133" s="6" t="str">
        <f>IMAGE("https://storage.googleapis.com/acdb/housewares/FtrBambooStool_Remake_2_0.png")</f>
        <v/>
      </c>
      <c r="C133" s="5" t="s">
        <v>279</v>
      </c>
      <c r="D133" s="5" t="s">
        <v>262</v>
      </c>
      <c r="E133" s="5" t="s">
        <v>34</v>
      </c>
      <c r="F133" s="5" t="s">
        <v>34</v>
      </c>
      <c r="G133" s="5" t="s">
        <v>35</v>
      </c>
      <c r="H133" s="5" t="s">
        <v>35</v>
      </c>
      <c r="I133" s="5" t="s">
        <v>36</v>
      </c>
      <c r="J133" s="6">
        <v>2.0</v>
      </c>
      <c r="K133" s="6" t="s">
        <v>37</v>
      </c>
      <c r="L133" s="6">
        <v>800.0</v>
      </c>
      <c r="M133" s="5" t="s">
        <v>39</v>
      </c>
      <c r="N133" s="5" t="s">
        <v>39</v>
      </c>
      <c r="O133" s="6" t="s">
        <v>40</v>
      </c>
      <c r="P133" s="5" t="s">
        <v>41</v>
      </c>
      <c r="Q133" s="5"/>
      <c r="R133" s="6" t="s">
        <v>42</v>
      </c>
      <c r="S133" s="5" t="s">
        <v>266</v>
      </c>
      <c r="T133" s="5" t="s">
        <v>44</v>
      </c>
      <c r="U133" s="5" t="s">
        <v>267</v>
      </c>
      <c r="V133" s="5" t="s">
        <v>44</v>
      </c>
      <c r="W133" s="5" t="s">
        <v>35</v>
      </c>
      <c r="X133" s="8" t="s">
        <v>248</v>
      </c>
      <c r="Y133" s="5" t="s">
        <v>46</v>
      </c>
      <c r="Z133" s="5" t="s">
        <v>47</v>
      </c>
      <c r="AA133" s="5" t="s">
        <v>48</v>
      </c>
      <c r="AB133" s="5" t="s">
        <v>770</v>
      </c>
      <c r="AC133" s="6" t="s">
        <v>67</v>
      </c>
      <c r="AD133" s="6">
        <v>10742.0</v>
      </c>
    </row>
    <row r="134" ht="56.25" customHeight="1">
      <c r="A134" s="5" t="s">
        <v>771</v>
      </c>
      <c r="B134" s="6" t="str">
        <f>IMAGE("https://storage.googleapis.com/acdb/housewares/FtrBambooCarstop_Remake_0_0.png")</f>
        <v/>
      </c>
      <c r="C134" s="5" t="s">
        <v>261</v>
      </c>
      <c r="D134" s="5" t="s">
        <v>262</v>
      </c>
      <c r="E134" s="5" t="s">
        <v>34</v>
      </c>
      <c r="F134" s="5" t="s">
        <v>34</v>
      </c>
      <c r="G134" s="5" t="s">
        <v>35</v>
      </c>
      <c r="H134" s="5" t="s">
        <v>35</v>
      </c>
      <c r="I134" s="5" t="s">
        <v>36</v>
      </c>
      <c r="J134" s="6">
        <v>1.0</v>
      </c>
      <c r="K134" s="6" t="s">
        <v>37</v>
      </c>
      <c r="L134" s="6">
        <v>480.0</v>
      </c>
      <c r="M134" s="5" t="s">
        <v>96</v>
      </c>
      <c r="N134" s="5" t="s">
        <v>54</v>
      </c>
      <c r="O134" s="6" t="s">
        <v>775</v>
      </c>
      <c r="P134" s="5" t="s">
        <v>41</v>
      </c>
      <c r="Q134" s="5"/>
      <c r="R134" s="6" t="s">
        <v>42</v>
      </c>
      <c r="S134" s="5" t="s">
        <v>266</v>
      </c>
      <c r="T134" s="5" t="s">
        <v>44</v>
      </c>
      <c r="U134" s="5" t="s">
        <v>267</v>
      </c>
      <c r="V134" s="5" t="s">
        <v>44</v>
      </c>
      <c r="W134" s="5" t="s">
        <v>36</v>
      </c>
      <c r="X134" s="8" t="s">
        <v>173</v>
      </c>
      <c r="Y134" s="5" t="s">
        <v>46</v>
      </c>
      <c r="Z134" s="5" t="s">
        <v>47</v>
      </c>
      <c r="AA134" s="5" t="s">
        <v>48</v>
      </c>
      <c r="AB134" s="5" t="s">
        <v>776</v>
      </c>
      <c r="AC134" s="6" t="s">
        <v>50</v>
      </c>
      <c r="AD134" s="6">
        <v>3556.0</v>
      </c>
    </row>
    <row r="135" ht="56.25" customHeight="1">
      <c r="A135" s="5" t="s">
        <v>771</v>
      </c>
      <c r="B135" s="6" t="str">
        <f>IMAGE("https://storage.googleapis.com/acdb/housewares/FtrBambooCarstop_Remake_1_0.png")</f>
        <v/>
      </c>
      <c r="C135" s="5" t="s">
        <v>271</v>
      </c>
      <c r="D135" s="5" t="s">
        <v>262</v>
      </c>
      <c r="E135" s="5" t="s">
        <v>34</v>
      </c>
      <c r="F135" s="5" t="s">
        <v>34</v>
      </c>
      <c r="G135" s="5" t="s">
        <v>35</v>
      </c>
      <c r="H135" s="5" t="s">
        <v>35</v>
      </c>
      <c r="I135" s="5" t="s">
        <v>36</v>
      </c>
      <c r="J135" s="6">
        <v>1.0</v>
      </c>
      <c r="K135" s="6" t="s">
        <v>37</v>
      </c>
      <c r="L135" s="6">
        <v>480.0</v>
      </c>
      <c r="M135" s="5" t="s">
        <v>114</v>
      </c>
      <c r="N135" s="5" t="s">
        <v>38</v>
      </c>
      <c r="O135" s="6" t="s">
        <v>775</v>
      </c>
      <c r="P135" s="5" t="s">
        <v>41</v>
      </c>
      <c r="Q135" s="5"/>
      <c r="R135" s="6" t="s">
        <v>42</v>
      </c>
      <c r="S135" s="5" t="s">
        <v>266</v>
      </c>
      <c r="T135" s="5" t="s">
        <v>44</v>
      </c>
      <c r="U135" s="5" t="s">
        <v>267</v>
      </c>
      <c r="V135" s="5" t="s">
        <v>44</v>
      </c>
      <c r="W135" s="5" t="s">
        <v>36</v>
      </c>
      <c r="X135" s="8" t="s">
        <v>173</v>
      </c>
      <c r="Y135" s="5" t="s">
        <v>46</v>
      </c>
      <c r="Z135" s="5" t="s">
        <v>47</v>
      </c>
      <c r="AA135" s="5" t="s">
        <v>48</v>
      </c>
      <c r="AB135" s="5" t="s">
        <v>781</v>
      </c>
      <c r="AC135" s="6" t="s">
        <v>56</v>
      </c>
      <c r="AD135" s="6">
        <v>3556.0</v>
      </c>
    </row>
    <row r="136" ht="56.25" customHeight="1">
      <c r="A136" s="5" t="s">
        <v>771</v>
      </c>
      <c r="B136" s="6" t="str">
        <f>IMAGE("https://storage.googleapis.com/acdb/housewares/FtrBambooCarstop_Remake_2_0.png")</f>
        <v/>
      </c>
      <c r="C136" s="5" t="s">
        <v>279</v>
      </c>
      <c r="D136" s="5" t="s">
        <v>262</v>
      </c>
      <c r="E136" s="5" t="s">
        <v>34</v>
      </c>
      <c r="F136" s="5" t="s">
        <v>34</v>
      </c>
      <c r="G136" s="5" t="s">
        <v>35</v>
      </c>
      <c r="H136" s="5" t="s">
        <v>35</v>
      </c>
      <c r="I136" s="5" t="s">
        <v>36</v>
      </c>
      <c r="J136" s="6">
        <v>1.0</v>
      </c>
      <c r="K136" s="6" t="s">
        <v>37</v>
      </c>
      <c r="L136" s="6">
        <v>480.0</v>
      </c>
      <c r="M136" s="5" t="s">
        <v>39</v>
      </c>
      <c r="N136" s="5" t="s">
        <v>54</v>
      </c>
      <c r="O136" s="6" t="s">
        <v>775</v>
      </c>
      <c r="P136" s="5" t="s">
        <v>41</v>
      </c>
      <c r="Q136" s="5"/>
      <c r="R136" s="6" t="s">
        <v>42</v>
      </c>
      <c r="S136" s="5" t="s">
        <v>266</v>
      </c>
      <c r="T136" s="5" t="s">
        <v>44</v>
      </c>
      <c r="U136" s="5" t="s">
        <v>267</v>
      </c>
      <c r="V136" s="5" t="s">
        <v>44</v>
      </c>
      <c r="W136" s="5" t="s">
        <v>36</v>
      </c>
      <c r="X136" s="8" t="s">
        <v>173</v>
      </c>
      <c r="Y136" s="5" t="s">
        <v>46</v>
      </c>
      <c r="Z136" s="5" t="s">
        <v>47</v>
      </c>
      <c r="AA136" s="5" t="s">
        <v>48</v>
      </c>
      <c r="AB136" s="5" t="s">
        <v>785</v>
      </c>
      <c r="AC136" s="6" t="s">
        <v>67</v>
      </c>
      <c r="AD136" s="6">
        <v>3556.0</v>
      </c>
    </row>
    <row r="137" ht="56.25" customHeight="1">
      <c r="A137" s="5" t="s">
        <v>786</v>
      </c>
      <c r="B137" s="6" t="str">
        <f>IMAGE("https://storage.googleapis.com/acdb/housewares/FtrBarbecuegrill_Remake_0_0.png")</f>
        <v/>
      </c>
      <c r="C137" s="5" t="s">
        <v>52</v>
      </c>
      <c r="D137" s="5" t="s">
        <v>34</v>
      </c>
      <c r="E137" s="5" t="s">
        <v>34</v>
      </c>
      <c r="F137" s="5" t="s">
        <v>34</v>
      </c>
      <c r="G137" s="5" t="s">
        <v>36</v>
      </c>
      <c r="H137" s="5" t="s">
        <v>36</v>
      </c>
      <c r="I137" s="5" t="s">
        <v>36</v>
      </c>
      <c r="J137" s="6" t="s">
        <v>34</v>
      </c>
      <c r="K137" s="6">
        <v>2500.0</v>
      </c>
      <c r="L137" s="6">
        <v>625.0</v>
      </c>
      <c r="M137" s="5" t="s">
        <v>52</v>
      </c>
      <c r="N137" s="5" t="s">
        <v>58</v>
      </c>
      <c r="O137" s="6" t="s">
        <v>40</v>
      </c>
      <c r="P137" s="5" t="s">
        <v>59</v>
      </c>
      <c r="Q137" s="5" t="s">
        <v>554</v>
      </c>
      <c r="R137" s="6" t="s">
        <v>42</v>
      </c>
      <c r="S137" s="5" t="s">
        <v>765</v>
      </c>
      <c r="T137" s="5" t="s">
        <v>44</v>
      </c>
      <c r="U137" s="5" t="s">
        <v>44</v>
      </c>
      <c r="V137" s="5" t="s">
        <v>44</v>
      </c>
      <c r="W137" s="5" t="s">
        <v>35</v>
      </c>
      <c r="X137" s="8" t="s">
        <v>767</v>
      </c>
      <c r="Y137" s="5" t="s">
        <v>46</v>
      </c>
      <c r="Z137" s="5" t="s">
        <v>47</v>
      </c>
      <c r="AA137" s="5" t="s">
        <v>64</v>
      </c>
      <c r="AB137" s="5" t="s">
        <v>790</v>
      </c>
      <c r="AC137" s="6" t="s">
        <v>50</v>
      </c>
      <c r="AD137" s="6">
        <v>330.0</v>
      </c>
    </row>
    <row r="138" ht="56.25" customHeight="1">
      <c r="A138" s="5" t="s">
        <v>786</v>
      </c>
      <c r="B138" s="6" t="str">
        <f>IMAGE("https://storage.googleapis.com/acdb/housewares/FtrBarbecuegrill_Remake_1_0.png")</f>
        <v/>
      </c>
      <c r="C138" s="5" t="s">
        <v>114</v>
      </c>
      <c r="D138" s="5" t="s">
        <v>34</v>
      </c>
      <c r="E138" s="5" t="s">
        <v>34</v>
      </c>
      <c r="F138" s="5" t="s">
        <v>34</v>
      </c>
      <c r="G138" s="5" t="s">
        <v>36</v>
      </c>
      <c r="H138" s="5" t="s">
        <v>36</v>
      </c>
      <c r="I138" s="5" t="s">
        <v>36</v>
      </c>
      <c r="J138" s="6" t="s">
        <v>34</v>
      </c>
      <c r="K138" s="6">
        <v>2500.0</v>
      </c>
      <c r="L138" s="6">
        <v>625.0</v>
      </c>
      <c r="M138" s="5" t="s">
        <v>114</v>
      </c>
      <c r="N138" s="5" t="s">
        <v>58</v>
      </c>
      <c r="O138" s="6" t="s">
        <v>40</v>
      </c>
      <c r="P138" s="5" t="s">
        <v>59</v>
      </c>
      <c r="Q138" s="5" t="s">
        <v>554</v>
      </c>
      <c r="R138" s="6" t="s">
        <v>42</v>
      </c>
      <c r="S138" s="5" t="s">
        <v>765</v>
      </c>
      <c r="T138" s="5" t="s">
        <v>44</v>
      </c>
      <c r="U138" s="5" t="s">
        <v>44</v>
      </c>
      <c r="V138" s="5" t="s">
        <v>44</v>
      </c>
      <c r="W138" s="5" t="s">
        <v>35</v>
      </c>
      <c r="X138" s="8" t="s">
        <v>767</v>
      </c>
      <c r="Y138" s="5" t="s">
        <v>46</v>
      </c>
      <c r="Z138" s="5" t="s">
        <v>47</v>
      </c>
      <c r="AA138" s="5" t="s">
        <v>64</v>
      </c>
      <c r="AB138" s="5" t="s">
        <v>794</v>
      </c>
      <c r="AC138" s="6" t="s">
        <v>56</v>
      </c>
      <c r="AD138" s="6">
        <v>330.0</v>
      </c>
    </row>
    <row r="139" ht="56.25" customHeight="1">
      <c r="A139" s="5" t="s">
        <v>786</v>
      </c>
      <c r="B139" s="6" t="str">
        <f>IMAGE("https://storage.googleapis.com/acdb/housewares/FtrBarbecuegrill_Remake_2_0.png")</f>
        <v/>
      </c>
      <c r="C139" s="5" t="s">
        <v>96</v>
      </c>
      <c r="D139" s="5" t="s">
        <v>34</v>
      </c>
      <c r="E139" s="5" t="s">
        <v>34</v>
      </c>
      <c r="F139" s="5" t="s">
        <v>34</v>
      </c>
      <c r="G139" s="5" t="s">
        <v>36</v>
      </c>
      <c r="H139" s="5" t="s">
        <v>36</v>
      </c>
      <c r="I139" s="5" t="s">
        <v>36</v>
      </c>
      <c r="J139" s="6" t="s">
        <v>34</v>
      </c>
      <c r="K139" s="6">
        <v>2500.0</v>
      </c>
      <c r="L139" s="6">
        <v>625.0</v>
      </c>
      <c r="M139" s="5" t="s">
        <v>96</v>
      </c>
      <c r="N139" s="5" t="s">
        <v>58</v>
      </c>
      <c r="O139" s="6" t="s">
        <v>40</v>
      </c>
      <c r="P139" s="5" t="s">
        <v>59</v>
      </c>
      <c r="Q139" s="5" t="s">
        <v>554</v>
      </c>
      <c r="R139" s="6" t="s">
        <v>42</v>
      </c>
      <c r="S139" s="5" t="s">
        <v>765</v>
      </c>
      <c r="T139" s="5" t="s">
        <v>44</v>
      </c>
      <c r="U139" s="5" t="s">
        <v>44</v>
      </c>
      <c r="V139" s="5" t="s">
        <v>44</v>
      </c>
      <c r="W139" s="5" t="s">
        <v>35</v>
      </c>
      <c r="X139" s="8" t="s">
        <v>767</v>
      </c>
      <c r="Y139" s="5" t="s">
        <v>46</v>
      </c>
      <c r="Z139" s="5" t="s">
        <v>47</v>
      </c>
      <c r="AA139" s="5" t="s">
        <v>64</v>
      </c>
      <c r="AB139" s="5" t="s">
        <v>797</v>
      </c>
      <c r="AC139" s="6" t="s">
        <v>67</v>
      </c>
      <c r="AD139" s="6">
        <v>330.0</v>
      </c>
    </row>
    <row r="140" ht="56.25" customHeight="1">
      <c r="A140" s="5" t="s">
        <v>786</v>
      </c>
      <c r="B140" s="6" t="str">
        <f>IMAGE("https://storage.googleapis.com/acdb/housewares/FtrBarbecuegrill_Remake_3_0.png")</f>
        <v/>
      </c>
      <c r="C140" s="5" t="s">
        <v>57</v>
      </c>
      <c r="D140" s="5" t="s">
        <v>34</v>
      </c>
      <c r="E140" s="5" t="s">
        <v>34</v>
      </c>
      <c r="F140" s="5" t="s">
        <v>34</v>
      </c>
      <c r="G140" s="5" t="s">
        <v>36</v>
      </c>
      <c r="H140" s="5" t="s">
        <v>36</v>
      </c>
      <c r="I140" s="5" t="s">
        <v>36</v>
      </c>
      <c r="J140" s="6" t="s">
        <v>34</v>
      </c>
      <c r="K140" s="6">
        <v>2500.0</v>
      </c>
      <c r="L140" s="6">
        <v>625.0</v>
      </c>
      <c r="M140" s="5" t="s">
        <v>57</v>
      </c>
      <c r="N140" s="5" t="s">
        <v>58</v>
      </c>
      <c r="O140" s="6" t="s">
        <v>40</v>
      </c>
      <c r="P140" s="5" t="s">
        <v>59</v>
      </c>
      <c r="Q140" s="5" t="s">
        <v>554</v>
      </c>
      <c r="R140" s="6" t="s">
        <v>42</v>
      </c>
      <c r="S140" s="5" t="s">
        <v>765</v>
      </c>
      <c r="T140" s="5" t="s">
        <v>44</v>
      </c>
      <c r="U140" s="5" t="s">
        <v>44</v>
      </c>
      <c r="V140" s="5" t="s">
        <v>44</v>
      </c>
      <c r="W140" s="5" t="s">
        <v>35</v>
      </c>
      <c r="X140" s="8" t="s">
        <v>767</v>
      </c>
      <c r="Y140" s="5" t="s">
        <v>46</v>
      </c>
      <c r="Z140" s="5" t="s">
        <v>47</v>
      </c>
      <c r="AA140" s="5" t="s">
        <v>64</v>
      </c>
      <c r="AB140" s="5" t="s">
        <v>800</v>
      </c>
      <c r="AC140" s="6" t="s">
        <v>71</v>
      </c>
      <c r="AD140" s="6">
        <v>330.0</v>
      </c>
    </row>
    <row r="141" ht="56.25" customHeight="1">
      <c r="A141" s="5" t="s">
        <v>786</v>
      </c>
      <c r="B141" s="6" t="str">
        <f>IMAGE("https://storage.googleapis.com/acdb/housewares/FtrBarbecuegrill_Remake_4_0.png")</f>
        <v/>
      </c>
      <c r="C141" s="5" t="s">
        <v>54</v>
      </c>
      <c r="D141" s="5" t="s">
        <v>34</v>
      </c>
      <c r="E141" s="5" t="s">
        <v>34</v>
      </c>
      <c r="F141" s="5" t="s">
        <v>34</v>
      </c>
      <c r="G141" s="5" t="s">
        <v>36</v>
      </c>
      <c r="H141" s="5" t="s">
        <v>36</v>
      </c>
      <c r="I141" s="5" t="s">
        <v>36</v>
      </c>
      <c r="J141" s="6" t="s">
        <v>34</v>
      </c>
      <c r="K141" s="6">
        <v>2500.0</v>
      </c>
      <c r="L141" s="6">
        <v>625.0</v>
      </c>
      <c r="M141" s="5" t="s">
        <v>54</v>
      </c>
      <c r="N141" s="5" t="s">
        <v>58</v>
      </c>
      <c r="O141" s="6" t="s">
        <v>40</v>
      </c>
      <c r="P141" s="5" t="s">
        <v>59</v>
      </c>
      <c r="Q141" s="5" t="s">
        <v>554</v>
      </c>
      <c r="R141" s="6" t="s">
        <v>42</v>
      </c>
      <c r="S141" s="5" t="s">
        <v>765</v>
      </c>
      <c r="T141" s="5" t="s">
        <v>44</v>
      </c>
      <c r="U141" s="5" t="s">
        <v>44</v>
      </c>
      <c r="V141" s="5" t="s">
        <v>44</v>
      </c>
      <c r="W141" s="5" t="s">
        <v>35</v>
      </c>
      <c r="X141" s="8" t="s">
        <v>767</v>
      </c>
      <c r="Y141" s="5" t="s">
        <v>46</v>
      </c>
      <c r="Z141" s="5" t="s">
        <v>47</v>
      </c>
      <c r="AA141" s="5" t="s">
        <v>64</v>
      </c>
      <c r="AB141" s="5" t="s">
        <v>803</v>
      </c>
      <c r="AC141" s="6" t="s">
        <v>75</v>
      </c>
      <c r="AD141" s="6">
        <v>330.0</v>
      </c>
    </row>
    <row r="142" ht="56.25" customHeight="1">
      <c r="A142" s="5" t="s">
        <v>804</v>
      </c>
      <c r="B142" s="6" t="str">
        <f>IMAGE("https://storage.googleapis.com/acdb/housewares/FtrBarbell_Remake_0_0.png")</f>
        <v/>
      </c>
      <c r="C142" s="5" t="s">
        <v>54</v>
      </c>
      <c r="D142" s="5" t="s">
        <v>805</v>
      </c>
      <c r="E142" s="5" t="s">
        <v>34</v>
      </c>
      <c r="F142" s="5" t="s">
        <v>34</v>
      </c>
      <c r="G142" s="5" t="s">
        <v>35</v>
      </c>
      <c r="H142" s="5" t="s">
        <v>35</v>
      </c>
      <c r="I142" s="5" t="s">
        <v>36</v>
      </c>
      <c r="J142" s="6">
        <v>7.0</v>
      </c>
      <c r="K142" s="6" t="s">
        <v>37</v>
      </c>
      <c r="L142" s="6">
        <v>7500.0</v>
      </c>
      <c r="M142" s="5" t="s">
        <v>54</v>
      </c>
      <c r="N142" s="5" t="s">
        <v>95</v>
      </c>
      <c r="O142" s="6" t="s">
        <v>276</v>
      </c>
      <c r="P142" s="5" t="s">
        <v>41</v>
      </c>
      <c r="Q142" s="5"/>
      <c r="R142" s="6" t="s">
        <v>42</v>
      </c>
      <c r="S142" s="5" t="s">
        <v>474</v>
      </c>
      <c r="T142" s="5" t="s">
        <v>44</v>
      </c>
      <c r="U142" s="5" t="s">
        <v>44</v>
      </c>
      <c r="V142" s="5" t="s">
        <v>44</v>
      </c>
      <c r="W142" s="5" t="s">
        <v>36</v>
      </c>
      <c r="X142" s="8" t="s">
        <v>475</v>
      </c>
      <c r="Y142" s="5" t="s">
        <v>46</v>
      </c>
      <c r="Z142" s="5" t="s">
        <v>47</v>
      </c>
      <c r="AA142" s="5" t="s">
        <v>48</v>
      </c>
      <c r="AB142" s="5" t="s">
        <v>808</v>
      </c>
      <c r="AC142" s="6" t="s">
        <v>50</v>
      </c>
      <c r="AD142" s="6">
        <v>4078.0</v>
      </c>
    </row>
    <row r="143" ht="56.25" customHeight="1">
      <c r="A143" s="5" t="s">
        <v>804</v>
      </c>
      <c r="B143" s="6" t="str">
        <f>IMAGE("https://storage.googleapis.com/acdb/housewares/FtrBarbell_Remake_1_0.png")</f>
        <v/>
      </c>
      <c r="C143" s="5" t="s">
        <v>57</v>
      </c>
      <c r="D143" s="5" t="s">
        <v>805</v>
      </c>
      <c r="E143" s="5" t="s">
        <v>34</v>
      </c>
      <c r="F143" s="5" t="s">
        <v>34</v>
      </c>
      <c r="G143" s="5" t="s">
        <v>35</v>
      </c>
      <c r="H143" s="5" t="s">
        <v>35</v>
      </c>
      <c r="I143" s="5" t="s">
        <v>36</v>
      </c>
      <c r="J143" s="6">
        <v>7.0</v>
      </c>
      <c r="K143" s="6" t="s">
        <v>37</v>
      </c>
      <c r="L143" s="6">
        <v>7500.0</v>
      </c>
      <c r="M143" s="5" t="s">
        <v>57</v>
      </c>
      <c r="N143" s="5" t="s">
        <v>95</v>
      </c>
      <c r="O143" s="6" t="s">
        <v>276</v>
      </c>
      <c r="P143" s="5" t="s">
        <v>41</v>
      </c>
      <c r="Q143" s="5"/>
      <c r="R143" s="6" t="s">
        <v>42</v>
      </c>
      <c r="S143" s="5" t="s">
        <v>474</v>
      </c>
      <c r="T143" s="5" t="s">
        <v>44</v>
      </c>
      <c r="U143" s="5" t="s">
        <v>44</v>
      </c>
      <c r="V143" s="5" t="s">
        <v>44</v>
      </c>
      <c r="W143" s="5" t="s">
        <v>36</v>
      </c>
      <c r="X143" s="8" t="s">
        <v>475</v>
      </c>
      <c r="Y143" s="5" t="s">
        <v>46</v>
      </c>
      <c r="Z143" s="5" t="s">
        <v>47</v>
      </c>
      <c r="AA143" s="5" t="s">
        <v>48</v>
      </c>
      <c r="AB143" s="5" t="s">
        <v>813</v>
      </c>
      <c r="AC143" s="6" t="s">
        <v>56</v>
      </c>
      <c r="AD143" s="6">
        <v>4078.0</v>
      </c>
    </row>
    <row r="144" ht="56.25" customHeight="1">
      <c r="A144" s="5" t="s">
        <v>804</v>
      </c>
      <c r="B144" s="6" t="str">
        <f>IMAGE("https://storage.googleapis.com/acdb/housewares/FtrBarbell_Remake_2_0.png")</f>
        <v/>
      </c>
      <c r="C144" s="5" t="s">
        <v>52</v>
      </c>
      <c r="D144" s="5" t="s">
        <v>805</v>
      </c>
      <c r="E144" s="5" t="s">
        <v>34</v>
      </c>
      <c r="F144" s="5" t="s">
        <v>34</v>
      </c>
      <c r="G144" s="5" t="s">
        <v>35</v>
      </c>
      <c r="H144" s="5" t="s">
        <v>35</v>
      </c>
      <c r="I144" s="5" t="s">
        <v>36</v>
      </c>
      <c r="J144" s="6">
        <v>7.0</v>
      </c>
      <c r="K144" s="6" t="s">
        <v>37</v>
      </c>
      <c r="L144" s="6">
        <v>7500.0</v>
      </c>
      <c r="M144" s="5" t="s">
        <v>52</v>
      </c>
      <c r="N144" s="5" t="s">
        <v>95</v>
      </c>
      <c r="O144" s="6" t="s">
        <v>276</v>
      </c>
      <c r="P144" s="5" t="s">
        <v>41</v>
      </c>
      <c r="Q144" s="5"/>
      <c r="R144" s="6" t="s">
        <v>42</v>
      </c>
      <c r="S144" s="5" t="s">
        <v>474</v>
      </c>
      <c r="T144" s="5" t="s">
        <v>44</v>
      </c>
      <c r="U144" s="5" t="s">
        <v>44</v>
      </c>
      <c r="V144" s="5" t="s">
        <v>44</v>
      </c>
      <c r="W144" s="5" t="s">
        <v>36</v>
      </c>
      <c r="X144" s="8" t="s">
        <v>475</v>
      </c>
      <c r="Y144" s="5" t="s">
        <v>46</v>
      </c>
      <c r="Z144" s="5" t="s">
        <v>47</v>
      </c>
      <c r="AA144" s="5" t="s">
        <v>48</v>
      </c>
      <c r="AB144" s="5" t="s">
        <v>816</v>
      </c>
      <c r="AC144" s="6" t="s">
        <v>67</v>
      </c>
      <c r="AD144" s="6">
        <v>4078.0</v>
      </c>
    </row>
    <row r="145" ht="56.25" customHeight="1">
      <c r="A145" s="5" t="s">
        <v>804</v>
      </c>
      <c r="B145" s="6" t="str">
        <f>IMAGE("https://storage.googleapis.com/acdb/housewares/FtrBarbell_Remake_3_0.png")</f>
        <v/>
      </c>
      <c r="C145" s="5" t="s">
        <v>58</v>
      </c>
      <c r="D145" s="5" t="s">
        <v>805</v>
      </c>
      <c r="E145" s="5" t="s">
        <v>34</v>
      </c>
      <c r="F145" s="5" t="s">
        <v>34</v>
      </c>
      <c r="G145" s="5" t="s">
        <v>35</v>
      </c>
      <c r="H145" s="5" t="s">
        <v>35</v>
      </c>
      <c r="I145" s="5" t="s">
        <v>36</v>
      </c>
      <c r="J145" s="6">
        <v>7.0</v>
      </c>
      <c r="K145" s="6" t="s">
        <v>37</v>
      </c>
      <c r="L145" s="6">
        <v>7500.0</v>
      </c>
      <c r="M145" s="5" t="s">
        <v>58</v>
      </c>
      <c r="N145" s="5" t="s">
        <v>95</v>
      </c>
      <c r="O145" s="6" t="s">
        <v>276</v>
      </c>
      <c r="P145" s="5" t="s">
        <v>41</v>
      </c>
      <c r="Q145" s="5"/>
      <c r="R145" s="6" t="s">
        <v>42</v>
      </c>
      <c r="S145" s="5" t="s">
        <v>474</v>
      </c>
      <c r="T145" s="5" t="s">
        <v>44</v>
      </c>
      <c r="U145" s="5" t="s">
        <v>44</v>
      </c>
      <c r="V145" s="5" t="s">
        <v>44</v>
      </c>
      <c r="W145" s="5" t="s">
        <v>36</v>
      </c>
      <c r="X145" s="8" t="s">
        <v>475</v>
      </c>
      <c r="Y145" s="5" t="s">
        <v>46</v>
      </c>
      <c r="Z145" s="5" t="s">
        <v>47</v>
      </c>
      <c r="AA145" s="5" t="s">
        <v>48</v>
      </c>
      <c r="AB145" s="5" t="s">
        <v>822</v>
      </c>
      <c r="AC145" s="6" t="s">
        <v>71</v>
      </c>
      <c r="AD145" s="6">
        <v>4078.0</v>
      </c>
    </row>
    <row r="146" ht="56.25" customHeight="1">
      <c r="A146" s="5" t="s">
        <v>823</v>
      </c>
      <c r="B146" s="6" t="str">
        <f>IMAGE("https://storage.googleapis.com/acdb/housewares/FtrPirateBarrel.png")</f>
        <v/>
      </c>
      <c r="C146" s="5" t="s">
        <v>34</v>
      </c>
      <c r="D146" s="5" t="s">
        <v>34</v>
      </c>
      <c r="E146" s="5" t="s">
        <v>34</v>
      </c>
      <c r="F146" s="5" t="s">
        <v>34</v>
      </c>
      <c r="G146" s="5" t="s">
        <v>35</v>
      </c>
      <c r="H146" s="5" t="s">
        <v>36</v>
      </c>
      <c r="I146" s="5" t="s">
        <v>36</v>
      </c>
      <c r="J146" s="6" t="s">
        <v>34</v>
      </c>
      <c r="K146" s="6" t="s">
        <v>37</v>
      </c>
      <c r="L146" s="6">
        <v>2100.0</v>
      </c>
      <c r="M146" s="5" t="s">
        <v>39</v>
      </c>
      <c r="N146" s="5" t="s">
        <v>54</v>
      </c>
      <c r="O146" s="6" t="s">
        <v>40</v>
      </c>
      <c r="P146" s="5" t="s">
        <v>41</v>
      </c>
      <c r="Q146" s="5"/>
      <c r="R146" s="6" t="s">
        <v>42</v>
      </c>
      <c r="S146" s="5" t="s">
        <v>416</v>
      </c>
      <c r="T146" s="5" t="s">
        <v>44</v>
      </c>
      <c r="U146" s="5" t="s">
        <v>44</v>
      </c>
      <c r="V146" s="5" t="s">
        <v>44</v>
      </c>
      <c r="W146" s="5" t="s">
        <v>36</v>
      </c>
      <c r="X146" s="8" t="s">
        <v>395</v>
      </c>
      <c r="Y146" s="5" t="s">
        <v>46</v>
      </c>
      <c r="Z146" s="5" t="s">
        <v>47</v>
      </c>
      <c r="AA146" s="5" t="s">
        <v>48</v>
      </c>
      <c r="AB146" s="5" t="s">
        <v>827</v>
      </c>
      <c r="AC146" s="6" t="s">
        <v>34</v>
      </c>
      <c r="AD146" s="6">
        <v>1266.0</v>
      </c>
    </row>
    <row r="147" ht="56.25" customHeight="1">
      <c r="A147" s="5" t="s">
        <v>828</v>
      </c>
      <c r="B147" s="6" t="str">
        <f>IMAGE("https://storage.googleapis.com/acdb/housewares/FtrSchoolTeachertable_Remake_0_0.png")</f>
        <v/>
      </c>
      <c r="C147" s="5" t="s">
        <v>830</v>
      </c>
      <c r="D147" s="5" t="s">
        <v>34</v>
      </c>
      <c r="E147" s="5" t="s">
        <v>34</v>
      </c>
      <c r="F147" s="5" t="s">
        <v>34</v>
      </c>
      <c r="G147" s="5" t="s">
        <v>36</v>
      </c>
      <c r="H147" s="5" t="s">
        <v>36</v>
      </c>
      <c r="I147" s="5" t="s">
        <v>36</v>
      </c>
      <c r="J147" s="6" t="s">
        <v>34</v>
      </c>
      <c r="K147" s="6">
        <v>2000.0</v>
      </c>
      <c r="L147" s="6">
        <v>500.0</v>
      </c>
      <c r="M147" s="5" t="s">
        <v>142</v>
      </c>
      <c r="N147" s="5" t="s">
        <v>95</v>
      </c>
      <c r="O147" s="6" t="s">
        <v>276</v>
      </c>
      <c r="P147" s="5" t="s">
        <v>59</v>
      </c>
      <c r="Q147" s="5" t="s">
        <v>122</v>
      </c>
      <c r="R147" s="6" t="s">
        <v>42</v>
      </c>
      <c r="S147" s="5" t="s">
        <v>130</v>
      </c>
      <c r="T147" s="5" t="s">
        <v>44</v>
      </c>
      <c r="U147" s="5" t="s">
        <v>44</v>
      </c>
      <c r="V147" s="5" t="s">
        <v>44</v>
      </c>
      <c r="W147" s="5" t="s">
        <v>36</v>
      </c>
      <c r="X147" s="8" t="s">
        <v>230</v>
      </c>
      <c r="Y147" s="5" t="s">
        <v>46</v>
      </c>
      <c r="Z147" s="5" t="s">
        <v>47</v>
      </c>
      <c r="AA147" s="5" t="s">
        <v>64</v>
      </c>
      <c r="AB147" s="5" t="s">
        <v>834</v>
      </c>
      <c r="AC147" s="6" t="s">
        <v>50</v>
      </c>
      <c r="AD147" s="6">
        <v>1330.0</v>
      </c>
    </row>
    <row r="148" ht="56.25" customHeight="1">
      <c r="A148" s="5" t="s">
        <v>828</v>
      </c>
      <c r="B148" s="6" t="str">
        <f>IMAGE("https://storage.googleapis.com/acdb/housewares/FtrSchoolTeachertable_Remake_1_0.png")</f>
        <v/>
      </c>
      <c r="C148" s="5" t="s">
        <v>836</v>
      </c>
      <c r="D148" s="5" t="s">
        <v>34</v>
      </c>
      <c r="E148" s="5" t="s">
        <v>34</v>
      </c>
      <c r="F148" s="5" t="s">
        <v>34</v>
      </c>
      <c r="G148" s="5" t="s">
        <v>36</v>
      </c>
      <c r="H148" s="5" t="s">
        <v>36</v>
      </c>
      <c r="I148" s="5" t="s">
        <v>36</v>
      </c>
      <c r="J148" s="6" t="s">
        <v>34</v>
      </c>
      <c r="K148" s="6">
        <v>2000.0</v>
      </c>
      <c r="L148" s="6">
        <v>500.0</v>
      </c>
      <c r="M148" s="5" t="s">
        <v>114</v>
      </c>
      <c r="N148" s="5" t="s">
        <v>114</v>
      </c>
      <c r="O148" s="6" t="s">
        <v>276</v>
      </c>
      <c r="P148" s="5" t="s">
        <v>59</v>
      </c>
      <c r="Q148" s="5" t="s">
        <v>122</v>
      </c>
      <c r="R148" s="6" t="s">
        <v>42</v>
      </c>
      <c r="S148" s="5" t="s">
        <v>130</v>
      </c>
      <c r="T148" s="5" t="s">
        <v>44</v>
      </c>
      <c r="U148" s="5" t="s">
        <v>44</v>
      </c>
      <c r="V148" s="5" t="s">
        <v>44</v>
      </c>
      <c r="W148" s="5" t="s">
        <v>36</v>
      </c>
      <c r="X148" s="8" t="s">
        <v>230</v>
      </c>
      <c r="Y148" s="5" t="s">
        <v>46</v>
      </c>
      <c r="Z148" s="5" t="s">
        <v>47</v>
      </c>
      <c r="AA148" s="5" t="s">
        <v>64</v>
      </c>
      <c r="AB148" s="5" t="s">
        <v>840</v>
      </c>
      <c r="AC148" s="6" t="s">
        <v>56</v>
      </c>
      <c r="AD148" s="6">
        <v>1330.0</v>
      </c>
    </row>
    <row r="149" ht="56.25" customHeight="1">
      <c r="A149" s="5" t="s">
        <v>828</v>
      </c>
      <c r="B149" s="6" t="str">
        <f>IMAGE("https://storage.googleapis.com/acdb/housewares/FtrSchoolTeachertable_Remake_2_0.png")</f>
        <v/>
      </c>
      <c r="C149" s="5" t="s">
        <v>843</v>
      </c>
      <c r="D149" s="5" t="s">
        <v>34</v>
      </c>
      <c r="E149" s="5" t="s">
        <v>34</v>
      </c>
      <c r="F149" s="5" t="s">
        <v>34</v>
      </c>
      <c r="G149" s="5" t="s">
        <v>36</v>
      </c>
      <c r="H149" s="5" t="s">
        <v>36</v>
      </c>
      <c r="I149" s="5" t="s">
        <v>36</v>
      </c>
      <c r="J149" s="6" t="s">
        <v>34</v>
      </c>
      <c r="K149" s="6">
        <v>2000.0</v>
      </c>
      <c r="L149" s="6">
        <v>500.0</v>
      </c>
      <c r="M149" s="5" t="s">
        <v>57</v>
      </c>
      <c r="N149" s="5" t="s">
        <v>54</v>
      </c>
      <c r="O149" s="6" t="s">
        <v>276</v>
      </c>
      <c r="P149" s="5" t="s">
        <v>59</v>
      </c>
      <c r="Q149" s="5" t="s">
        <v>122</v>
      </c>
      <c r="R149" s="6" t="s">
        <v>42</v>
      </c>
      <c r="S149" s="5" t="s">
        <v>130</v>
      </c>
      <c r="T149" s="5" t="s">
        <v>44</v>
      </c>
      <c r="U149" s="5" t="s">
        <v>44</v>
      </c>
      <c r="V149" s="5" t="s">
        <v>44</v>
      </c>
      <c r="W149" s="5" t="s">
        <v>36</v>
      </c>
      <c r="X149" s="8" t="s">
        <v>230</v>
      </c>
      <c r="Y149" s="5" t="s">
        <v>46</v>
      </c>
      <c r="Z149" s="5" t="s">
        <v>47</v>
      </c>
      <c r="AA149" s="5" t="s">
        <v>64</v>
      </c>
      <c r="AB149" s="5" t="s">
        <v>847</v>
      </c>
      <c r="AC149" s="6" t="s">
        <v>67</v>
      </c>
      <c r="AD149" s="6">
        <v>1330.0</v>
      </c>
    </row>
    <row r="150" ht="56.25" customHeight="1">
      <c r="A150" s="5" t="s">
        <v>848</v>
      </c>
      <c r="B150" s="6" t="str">
        <f>IMAGE("https://storage.googleapis.com/acdb/housewares/FtrBasketgoal_Remake_0_0.png")</f>
        <v/>
      </c>
      <c r="C150" s="5" t="s">
        <v>68</v>
      </c>
      <c r="D150" s="5" t="s">
        <v>34</v>
      </c>
      <c r="E150" s="5" t="s">
        <v>34</v>
      </c>
      <c r="F150" s="5" t="s">
        <v>34</v>
      </c>
      <c r="G150" s="5" t="s">
        <v>36</v>
      </c>
      <c r="H150" s="5" t="s">
        <v>36</v>
      </c>
      <c r="I150" s="5" t="s">
        <v>36</v>
      </c>
      <c r="J150" s="6" t="s">
        <v>34</v>
      </c>
      <c r="K150" s="6">
        <v>11000.0</v>
      </c>
      <c r="L150" s="6">
        <v>2750.0</v>
      </c>
      <c r="M150" s="5" t="s">
        <v>68</v>
      </c>
      <c r="N150" s="5" t="s">
        <v>57</v>
      </c>
      <c r="O150" s="6" t="s">
        <v>214</v>
      </c>
      <c r="P150" s="5" t="s">
        <v>59</v>
      </c>
      <c r="Q150" s="5" t="s">
        <v>115</v>
      </c>
      <c r="R150" s="6" t="s">
        <v>42</v>
      </c>
      <c r="S150" s="5" t="s">
        <v>474</v>
      </c>
      <c r="T150" s="5" t="s">
        <v>130</v>
      </c>
      <c r="U150" s="5" t="s">
        <v>44</v>
      </c>
      <c r="V150" s="5" t="s">
        <v>44</v>
      </c>
      <c r="W150" s="5" t="s">
        <v>36</v>
      </c>
      <c r="X150" s="8" t="s">
        <v>475</v>
      </c>
      <c r="Y150" s="5" t="s">
        <v>46</v>
      </c>
      <c r="Z150" s="5" t="s">
        <v>47</v>
      </c>
      <c r="AA150" s="5" t="s">
        <v>64</v>
      </c>
      <c r="AB150" s="5" t="s">
        <v>854</v>
      </c>
      <c r="AC150" s="6" t="s">
        <v>50</v>
      </c>
      <c r="AD150" s="6">
        <v>4226.0</v>
      </c>
    </row>
    <row r="151" ht="56.25" customHeight="1">
      <c r="A151" s="5" t="s">
        <v>848</v>
      </c>
      <c r="B151" s="6" t="str">
        <f>IMAGE("https://storage.googleapis.com/acdb/housewares/FtrBasketgoal_Remake_1_0.png")</f>
        <v/>
      </c>
      <c r="C151" s="5" t="s">
        <v>96</v>
      </c>
      <c r="D151" s="5" t="s">
        <v>34</v>
      </c>
      <c r="E151" s="5" t="s">
        <v>34</v>
      </c>
      <c r="F151" s="5" t="s">
        <v>34</v>
      </c>
      <c r="G151" s="5" t="s">
        <v>36</v>
      </c>
      <c r="H151" s="5" t="s">
        <v>36</v>
      </c>
      <c r="I151" s="5" t="s">
        <v>36</v>
      </c>
      <c r="J151" s="6" t="s">
        <v>34</v>
      </c>
      <c r="K151" s="6">
        <v>11000.0</v>
      </c>
      <c r="L151" s="6">
        <v>2750.0</v>
      </c>
      <c r="M151" s="5" t="s">
        <v>96</v>
      </c>
      <c r="N151" s="5" t="s">
        <v>57</v>
      </c>
      <c r="O151" s="6" t="s">
        <v>214</v>
      </c>
      <c r="P151" s="5" t="s">
        <v>59</v>
      </c>
      <c r="Q151" s="5" t="s">
        <v>115</v>
      </c>
      <c r="R151" s="6" t="s">
        <v>42</v>
      </c>
      <c r="S151" s="5" t="s">
        <v>474</v>
      </c>
      <c r="T151" s="5" t="s">
        <v>130</v>
      </c>
      <c r="U151" s="5" t="s">
        <v>44</v>
      </c>
      <c r="V151" s="5" t="s">
        <v>44</v>
      </c>
      <c r="W151" s="5" t="s">
        <v>36</v>
      </c>
      <c r="X151" s="8" t="s">
        <v>475</v>
      </c>
      <c r="Y151" s="5" t="s">
        <v>46</v>
      </c>
      <c r="Z151" s="5" t="s">
        <v>47</v>
      </c>
      <c r="AA151" s="5" t="s">
        <v>64</v>
      </c>
      <c r="AB151" s="5" t="s">
        <v>859</v>
      </c>
      <c r="AC151" s="6" t="s">
        <v>56</v>
      </c>
      <c r="AD151" s="6">
        <v>4226.0</v>
      </c>
    </row>
    <row r="152" ht="56.25" customHeight="1">
      <c r="A152" s="5" t="s">
        <v>848</v>
      </c>
      <c r="B152" s="6" t="str">
        <f>IMAGE("https://storage.googleapis.com/acdb/housewares/FtrBasketgoal_Remake_2_0.png")</f>
        <v/>
      </c>
      <c r="C152" s="5" t="s">
        <v>54</v>
      </c>
      <c r="D152" s="5" t="s">
        <v>34</v>
      </c>
      <c r="E152" s="5" t="s">
        <v>34</v>
      </c>
      <c r="F152" s="5" t="s">
        <v>34</v>
      </c>
      <c r="G152" s="5" t="s">
        <v>36</v>
      </c>
      <c r="H152" s="5" t="s">
        <v>36</v>
      </c>
      <c r="I152" s="5" t="s">
        <v>36</v>
      </c>
      <c r="J152" s="6" t="s">
        <v>34</v>
      </c>
      <c r="K152" s="6">
        <v>11000.0</v>
      </c>
      <c r="L152" s="6">
        <v>2750.0</v>
      </c>
      <c r="M152" s="5" t="s">
        <v>54</v>
      </c>
      <c r="N152" s="5" t="s">
        <v>57</v>
      </c>
      <c r="O152" s="6" t="s">
        <v>214</v>
      </c>
      <c r="P152" s="5" t="s">
        <v>59</v>
      </c>
      <c r="Q152" s="5" t="s">
        <v>115</v>
      </c>
      <c r="R152" s="6" t="s">
        <v>42</v>
      </c>
      <c r="S152" s="5" t="s">
        <v>474</v>
      </c>
      <c r="T152" s="5" t="s">
        <v>130</v>
      </c>
      <c r="U152" s="5" t="s">
        <v>44</v>
      </c>
      <c r="V152" s="5" t="s">
        <v>44</v>
      </c>
      <c r="W152" s="5" t="s">
        <v>36</v>
      </c>
      <c r="X152" s="8" t="s">
        <v>475</v>
      </c>
      <c r="Y152" s="5" t="s">
        <v>46</v>
      </c>
      <c r="Z152" s="5" t="s">
        <v>47</v>
      </c>
      <c r="AA152" s="5" t="s">
        <v>64</v>
      </c>
      <c r="AB152" s="5" t="s">
        <v>861</v>
      </c>
      <c r="AC152" s="6" t="s">
        <v>67</v>
      </c>
      <c r="AD152" s="6">
        <v>4226.0</v>
      </c>
    </row>
    <row r="153" ht="56.25" customHeight="1">
      <c r="A153" s="5" t="s">
        <v>862</v>
      </c>
      <c r="B153" s="6" t="str">
        <f>IMAGE("https://storage.googleapis.com/acdb/housewares/FtrWashstand_Remake_0_0.png")</f>
        <v/>
      </c>
      <c r="C153" s="5" t="s">
        <v>57</v>
      </c>
      <c r="D153" s="5" t="s">
        <v>34</v>
      </c>
      <c r="E153" s="5" t="s">
        <v>34</v>
      </c>
      <c r="F153" s="5" t="s">
        <v>34</v>
      </c>
      <c r="G153" s="5" t="s">
        <v>36</v>
      </c>
      <c r="H153" s="5" t="s">
        <v>36</v>
      </c>
      <c r="I153" s="5" t="s">
        <v>36</v>
      </c>
      <c r="J153" s="6" t="s">
        <v>34</v>
      </c>
      <c r="K153" s="6">
        <v>3300.0</v>
      </c>
      <c r="L153" s="6">
        <v>825.0</v>
      </c>
      <c r="M153" s="5" t="s">
        <v>57</v>
      </c>
      <c r="N153" s="5" t="s">
        <v>57</v>
      </c>
      <c r="O153" s="6" t="s">
        <v>40</v>
      </c>
      <c r="P153" s="5" t="s">
        <v>59</v>
      </c>
      <c r="Q153" s="5" t="s">
        <v>89</v>
      </c>
      <c r="R153" s="6" t="s">
        <v>42</v>
      </c>
      <c r="S153" s="5" t="s">
        <v>288</v>
      </c>
      <c r="T153" s="5" t="s">
        <v>44</v>
      </c>
      <c r="U153" s="5" t="s">
        <v>44</v>
      </c>
      <c r="V153" s="5" t="s">
        <v>44</v>
      </c>
      <c r="W153" s="5" t="s">
        <v>35</v>
      </c>
      <c r="X153" s="8" t="s">
        <v>289</v>
      </c>
      <c r="Y153" s="5" t="s">
        <v>46</v>
      </c>
      <c r="Z153" s="5" t="s">
        <v>47</v>
      </c>
      <c r="AA153" s="5" t="s">
        <v>64</v>
      </c>
      <c r="AB153" s="5" t="s">
        <v>866</v>
      </c>
      <c r="AC153" s="6" t="s">
        <v>50</v>
      </c>
      <c r="AD153" s="6">
        <v>1229.0</v>
      </c>
    </row>
    <row r="154" ht="56.25" customHeight="1">
      <c r="A154" s="5" t="s">
        <v>862</v>
      </c>
      <c r="B154" s="6" t="str">
        <f>IMAGE("https://storage.googleapis.com/acdb/housewares/FtrWashstand_Remake_1_0.png")</f>
        <v/>
      </c>
      <c r="C154" s="5" t="s">
        <v>54</v>
      </c>
      <c r="D154" s="5" t="s">
        <v>34</v>
      </c>
      <c r="E154" s="5" t="s">
        <v>34</v>
      </c>
      <c r="F154" s="5" t="s">
        <v>34</v>
      </c>
      <c r="G154" s="5" t="s">
        <v>36</v>
      </c>
      <c r="H154" s="5" t="s">
        <v>36</v>
      </c>
      <c r="I154" s="5" t="s">
        <v>36</v>
      </c>
      <c r="J154" s="6" t="s">
        <v>34</v>
      </c>
      <c r="K154" s="6">
        <v>3300.0</v>
      </c>
      <c r="L154" s="6">
        <v>825.0</v>
      </c>
      <c r="M154" s="5" t="s">
        <v>54</v>
      </c>
      <c r="N154" s="5" t="s">
        <v>57</v>
      </c>
      <c r="O154" s="6" t="s">
        <v>40</v>
      </c>
      <c r="P154" s="5" t="s">
        <v>59</v>
      </c>
      <c r="Q154" s="5" t="s">
        <v>89</v>
      </c>
      <c r="R154" s="6" t="s">
        <v>42</v>
      </c>
      <c r="S154" s="5" t="s">
        <v>288</v>
      </c>
      <c r="T154" s="5" t="s">
        <v>44</v>
      </c>
      <c r="U154" s="5" t="s">
        <v>44</v>
      </c>
      <c r="V154" s="5" t="s">
        <v>44</v>
      </c>
      <c r="W154" s="5" t="s">
        <v>35</v>
      </c>
      <c r="X154" s="8" t="s">
        <v>289</v>
      </c>
      <c r="Y154" s="5" t="s">
        <v>46</v>
      </c>
      <c r="Z154" s="5" t="s">
        <v>47</v>
      </c>
      <c r="AA154" s="5" t="s">
        <v>64</v>
      </c>
      <c r="AB154" s="5" t="s">
        <v>869</v>
      </c>
      <c r="AC154" s="6" t="s">
        <v>56</v>
      </c>
      <c r="AD154" s="6">
        <v>1229.0</v>
      </c>
    </row>
    <row r="155" ht="56.25" customHeight="1">
      <c r="A155" s="5" t="s">
        <v>862</v>
      </c>
      <c r="B155" s="6" t="str">
        <f>IMAGE("https://storage.googleapis.com/acdb/housewares/FtrWashstand_Remake_2_0.png")</f>
        <v/>
      </c>
      <c r="C155" s="5" t="s">
        <v>38</v>
      </c>
      <c r="D155" s="5" t="s">
        <v>34</v>
      </c>
      <c r="E155" s="5" t="s">
        <v>34</v>
      </c>
      <c r="F155" s="5" t="s">
        <v>34</v>
      </c>
      <c r="G155" s="5" t="s">
        <v>36</v>
      </c>
      <c r="H155" s="5" t="s">
        <v>36</v>
      </c>
      <c r="I155" s="5" t="s">
        <v>36</v>
      </c>
      <c r="J155" s="6" t="s">
        <v>34</v>
      </c>
      <c r="K155" s="6">
        <v>3300.0</v>
      </c>
      <c r="L155" s="6">
        <v>825.0</v>
      </c>
      <c r="M155" s="5" t="s">
        <v>57</v>
      </c>
      <c r="N155" s="5" t="s">
        <v>39</v>
      </c>
      <c r="O155" s="6" t="s">
        <v>40</v>
      </c>
      <c r="P155" s="5" t="s">
        <v>59</v>
      </c>
      <c r="Q155" s="5" t="s">
        <v>89</v>
      </c>
      <c r="R155" s="6" t="s">
        <v>42</v>
      </c>
      <c r="S155" s="5" t="s">
        <v>288</v>
      </c>
      <c r="T155" s="5" t="s">
        <v>44</v>
      </c>
      <c r="U155" s="5" t="s">
        <v>44</v>
      </c>
      <c r="V155" s="5" t="s">
        <v>44</v>
      </c>
      <c r="W155" s="5" t="s">
        <v>35</v>
      </c>
      <c r="X155" s="8" t="s">
        <v>289</v>
      </c>
      <c r="Y155" s="5" t="s">
        <v>46</v>
      </c>
      <c r="Z155" s="5" t="s">
        <v>47</v>
      </c>
      <c r="AA155" s="5" t="s">
        <v>64</v>
      </c>
      <c r="AB155" s="5" t="s">
        <v>872</v>
      </c>
      <c r="AC155" s="6" t="s">
        <v>67</v>
      </c>
      <c r="AD155" s="6">
        <v>1229.0</v>
      </c>
    </row>
    <row r="156" ht="56.25" customHeight="1">
      <c r="A156" s="5" t="s">
        <v>873</v>
      </c>
      <c r="B156" s="6" t="str">
        <f>IMAGE("https://storage.googleapis.com/acdb/housewares/FtrBeachbed_Remake_0_0.png")</f>
        <v/>
      </c>
      <c r="C156" s="5" t="s">
        <v>57</v>
      </c>
      <c r="D156" s="5" t="s">
        <v>34</v>
      </c>
      <c r="E156" s="5" t="s">
        <v>34</v>
      </c>
      <c r="F156" s="5" t="s">
        <v>34</v>
      </c>
      <c r="G156" s="5" t="s">
        <v>36</v>
      </c>
      <c r="H156" s="5" t="s">
        <v>36</v>
      </c>
      <c r="I156" s="5" t="s">
        <v>36</v>
      </c>
      <c r="J156" s="6" t="s">
        <v>34</v>
      </c>
      <c r="K156" s="6">
        <v>920.0</v>
      </c>
      <c r="L156" s="6">
        <v>230.0</v>
      </c>
      <c r="M156" s="5" t="s">
        <v>57</v>
      </c>
      <c r="N156" s="5" t="s">
        <v>57</v>
      </c>
      <c r="O156" s="6" t="s">
        <v>276</v>
      </c>
      <c r="P156" s="5" t="s">
        <v>59</v>
      </c>
      <c r="Q156" s="5" t="s">
        <v>89</v>
      </c>
      <c r="R156" s="6" t="s">
        <v>42</v>
      </c>
      <c r="S156" s="5" t="s">
        <v>138</v>
      </c>
      <c r="T156" s="5" t="s">
        <v>44</v>
      </c>
      <c r="U156" s="5" t="s">
        <v>44</v>
      </c>
      <c r="V156" s="5" t="s">
        <v>44</v>
      </c>
      <c r="W156" s="5" t="s">
        <v>35</v>
      </c>
      <c r="X156" s="8" t="s">
        <v>218</v>
      </c>
      <c r="Y156" s="5" t="s">
        <v>46</v>
      </c>
      <c r="Z156" s="5" t="s">
        <v>47</v>
      </c>
      <c r="AA156" s="5" t="s">
        <v>64</v>
      </c>
      <c r="AB156" s="5" t="s">
        <v>877</v>
      </c>
      <c r="AC156" s="6" t="s">
        <v>50</v>
      </c>
      <c r="AD156" s="6">
        <v>664.0</v>
      </c>
    </row>
    <row r="157" ht="56.25" customHeight="1">
      <c r="A157" s="5" t="s">
        <v>873</v>
      </c>
      <c r="B157" s="6" t="str">
        <f>IMAGE("https://storage.googleapis.com/acdb/housewares/FtrBeachbed_Remake_1_0.png")</f>
        <v/>
      </c>
      <c r="C157" s="5" t="s">
        <v>54</v>
      </c>
      <c r="D157" s="5" t="s">
        <v>34</v>
      </c>
      <c r="E157" s="5" t="s">
        <v>34</v>
      </c>
      <c r="F157" s="5" t="s">
        <v>34</v>
      </c>
      <c r="G157" s="5" t="s">
        <v>36</v>
      </c>
      <c r="H157" s="5" t="s">
        <v>36</v>
      </c>
      <c r="I157" s="5" t="s">
        <v>36</v>
      </c>
      <c r="J157" s="6" t="s">
        <v>34</v>
      </c>
      <c r="K157" s="6">
        <v>920.0</v>
      </c>
      <c r="L157" s="6">
        <v>230.0</v>
      </c>
      <c r="M157" s="5" t="s">
        <v>54</v>
      </c>
      <c r="N157" s="5" t="s">
        <v>54</v>
      </c>
      <c r="O157" s="6" t="s">
        <v>276</v>
      </c>
      <c r="P157" s="5" t="s">
        <v>59</v>
      </c>
      <c r="Q157" s="5" t="s">
        <v>89</v>
      </c>
      <c r="R157" s="6" t="s">
        <v>42</v>
      </c>
      <c r="S157" s="5" t="s">
        <v>138</v>
      </c>
      <c r="T157" s="5" t="s">
        <v>44</v>
      </c>
      <c r="U157" s="5" t="s">
        <v>44</v>
      </c>
      <c r="V157" s="5" t="s">
        <v>44</v>
      </c>
      <c r="W157" s="5" t="s">
        <v>35</v>
      </c>
      <c r="X157" s="8" t="s">
        <v>218</v>
      </c>
      <c r="Y157" s="5" t="s">
        <v>46</v>
      </c>
      <c r="Z157" s="5" t="s">
        <v>47</v>
      </c>
      <c r="AA157" s="5" t="s">
        <v>64</v>
      </c>
      <c r="AB157" s="5" t="s">
        <v>884</v>
      </c>
      <c r="AC157" s="6" t="s">
        <v>56</v>
      </c>
      <c r="AD157" s="6">
        <v>664.0</v>
      </c>
    </row>
    <row r="158" ht="56.25" customHeight="1">
      <c r="A158" s="5" t="s">
        <v>873</v>
      </c>
      <c r="B158" s="6" t="str">
        <f>IMAGE("https://storage.googleapis.com/acdb/housewares/FtrBeachbed_Remake_2_0.png")</f>
        <v/>
      </c>
      <c r="C158" s="5" t="s">
        <v>68</v>
      </c>
      <c r="D158" s="5" t="s">
        <v>34</v>
      </c>
      <c r="E158" s="5" t="s">
        <v>34</v>
      </c>
      <c r="F158" s="5" t="s">
        <v>34</v>
      </c>
      <c r="G158" s="5" t="s">
        <v>36</v>
      </c>
      <c r="H158" s="5" t="s">
        <v>36</v>
      </c>
      <c r="I158" s="5" t="s">
        <v>36</v>
      </c>
      <c r="J158" s="6" t="s">
        <v>34</v>
      </c>
      <c r="K158" s="6">
        <v>920.0</v>
      </c>
      <c r="L158" s="6">
        <v>230.0</v>
      </c>
      <c r="M158" s="5" t="s">
        <v>68</v>
      </c>
      <c r="N158" s="5" t="s">
        <v>887</v>
      </c>
      <c r="O158" s="6" t="s">
        <v>276</v>
      </c>
      <c r="P158" s="5" t="s">
        <v>59</v>
      </c>
      <c r="Q158" s="5" t="s">
        <v>89</v>
      </c>
      <c r="R158" s="6" t="s">
        <v>42</v>
      </c>
      <c r="S158" s="5" t="s">
        <v>138</v>
      </c>
      <c r="T158" s="5" t="s">
        <v>44</v>
      </c>
      <c r="U158" s="5" t="s">
        <v>44</v>
      </c>
      <c r="V158" s="5" t="s">
        <v>44</v>
      </c>
      <c r="W158" s="5" t="s">
        <v>35</v>
      </c>
      <c r="X158" s="8" t="s">
        <v>218</v>
      </c>
      <c r="Y158" s="5" t="s">
        <v>46</v>
      </c>
      <c r="Z158" s="5" t="s">
        <v>47</v>
      </c>
      <c r="AA158" s="5" t="s">
        <v>64</v>
      </c>
      <c r="AB158" s="5" t="s">
        <v>888</v>
      </c>
      <c r="AC158" s="6" t="s">
        <v>67</v>
      </c>
      <c r="AD158" s="6">
        <v>664.0</v>
      </c>
    </row>
    <row r="159" ht="56.25" customHeight="1">
      <c r="A159" s="5" t="s">
        <v>873</v>
      </c>
      <c r="B159" s="6" t="str">
        <f>IMAGE("https://storage.googleapis.com/acdb/housewares/FtrBeachbed_Remake_3_0.png")</f>
        <v/>
      </c>
      <c r="C159" s="5" t="s">
        <v>142</v>
      </c>
      <c r="D159" s="5" t="s">
        <v>34</v>
      </c>
      <c r="E159" s="5" t="s">
        <v>34</v>
      </c>
      <c r="F159" s="5" t="s">
        <v>34</v>
      </c>
      <c r="G159" s="5" t="s">
        <v>36</v>
      </c>
      <c r="H159" s="5" t="s">
        <v>36</v>
      </c>
      <c r="I159" s="5" t="s">
        <v>36</v>
      </c>
      <c r="J159" s="6" t="s">
        <v>34</v>
      </c>
      <c r="K159" s="6">
        <v>920.0</v>
      </c>
      <c r="L159" s="6">
        <v>230.0</v>
      </c>
      <c r="M159" s="5" t="s">
        <v>142</v>
      </c>
      <c r="N159" s="5" t="s">
        <v>57</v>
      </c>
      <c r="O159" s="6" t="s">
        <v>276</v>
      </c>
      <c r="P159" s="5" t="s">
        <v>59</v>
      </c>
      <c r="Q159" s="5" t="s">
        <v>89</v>
      </c>
      <c r="R159" s="6" t="s">
        <v>42</v>
      </c>
      <c r="S159" s="5" t="s">
        <v>138</v>
      </c>
      <c r="T159" s="5" t="s">
        <v>44</v>
      </c>
      <c r="U159" s="5" t="s">
        <v>44</v>
      </c>
      <c r="V159" s="5" t="s">
        <v>44</v>
      </c>
      <c r="W159" s="5" t="s">
        <v>35</v>
      </c>
      <c r="X159" s="8" t="s">
        <v>218</v>
      </c>
      <c r="Y159" s="5" t="s">
        <v>46</v>
      </c>
      <c r="Z159" s="5" t="s">
        <v>47</v>
      </c>
      <c r="AA159" s="5" t="s">
        <v>64</v>
      </c>
      <c r="AB159" s="5" t="s">
        <v>891</v>
      </c>
      <c r="AC159" s="6" t="s">
        <v>71</v>
      </c>
      <c r="AD159" s="6">
        <v>664.0</v>
      </c>
    </row>
    <row r="160" ht="56.25" customHeight="1">
      <c r="A160" s="5" t="s">
        <v>873</v>
      </c>
      <c r="B160" s="6" t="str">
        <f>IMAGE("https://storage.googleapis.com/acdb/housewares/FtrBeachbed_Remake_4_0.png")</f>
        <v/>
      </c>
      <c r="C160" s="5" t="s">
        <v>114</v>
      </c>
      <c r="D160" s="5" t="s">
        <v>34</v>
      </c>
      <c r="E160" s="5" t="s">
        <v>34</v>
      </c>
      <c r="F160" s="5" t="s">
        <v>34</v>
      </c>
      <c r="G160" s="5" t="s">
        <v>36</v>
      </c>
      <c r="H160" s="5" t="s">
        <v>36</v>
      </c>
      <c r="I160" s="5" t="s">
        <v>36</v>
      </c>
      <c r="J160" s="6" t="s">
        <v>34</v>
      </c>
      <c r="K160" s="6">
        <v>920.0</v>
      </c>
      <c r="L160" s="6">
        <v>230.0</v>
      </c>
      <c r="M160" s="5" t="s">
        <v>114</v>
      </c>
      <c r="N160" s="5" t="s">
        <v>96</v>
      </c>
      <c r="O160" s="6" t="s">
        <v>276</v>
      </c>
      <c r="P160" s="5" t="s">
        <v>59</v>
      </c>
      <c r="Q160" s="5" t="s">
        <v>89</v>
      </c>
      <c r="R160" s="6" t="s">
        <v>42</v>
      </c>
      <c r="S160" s="5" t="s">
        <v>138</v>
      </c>
      <c r="T160" s="5" t="s">
        <v>44</v>
      </c>
      <c r="U160" s="5" t="s">
        <v>44</v>
      </c>
      <c r="V160" s="5" t="s">
        <v>44</v>
      </c>
      <c r="W160" s="5" t="s">
        <v>35</v>
      </c>
      <c r="X160" s="8" t="s">
        <v>218</v>
      </c>
      <c r="Y160" s="5" t="s">
        <v>46</v>
      </c>
      <c r="Z160" s="5" t="s">
        <v>47</v>
      </c>
      <c r="AA160" s="5" t="s">
        <v>64</v>
      </c>
      <c r="AB160" s="5" t="s">
        <v>894</v>
      </c>
      <c r="AC160" s="6" t="s">
        <v>75</v>
      </c>
      <c r="AD160" s="6">
        <v>664.0</v>
      </c>
    </row>
    <row r="161" ht="56.25" customHeight="1">
      <c r="A161" s="5" t="s">
        <v>873</v>
      </c>
      <c r="B161" s="6" t="str">
        <f>IMAGE("https://storage.googleapis.com/acdb/housewares/FtrBeachbed_Remake_5_0.png")</f>
        <v/>
      </c>
      <c r="C161" s="5" t="s">
        <v>69</v>
      </c>
      <c r="D161" s="5" t="s">
        <v>34</v>
      </c>
      <c r="E161" s="5" t="s">
        <v>34</v>
      </c>
      <c r="F161" s="5" t="s">
        <v>34</v>
      </c>
      <c r="G161" s="5" t="s">
        <v>36</v>
      </c>
      <c r="H161" s="5" t="s">
        <v>36</v>
      </c>
      <c r="I161" s="5" t="s">
        <v>36</v>
      </c>
      <c r="J161" s="6" t="s">
        <v>34</v>
      </c>
      <c r="K161" s="6">
        <v>920.0</v>
      </c>
      <c r="L161" s="6">
        <v>230.0</v>
      </c>
      <c r="M161" s="5" t="s">
        <v>69</v>
      </c>
      <c r="N161" s="5" t="s">
        <v>106</v>
      </c>
      <c r="O161" s="6" t="s">
        <v>276</v>
      </c>
      <c r="P161" s="5" t="s">
        <v>59</v>
      </c>
      <c r="Q161" s="5" t="s">
        <v>89</v>
      </c>
      <c r="R161" s="6" t="s">
        <v>42</v>
      </c>
      <c r="S161" s="5" t="s">
        <v>138</v>
      </c>
      <c r="T161" s="5" t="s">
        <v>44</v>
      </c>
      <c r="U161" s="5" t="s">
        <v>44</v>
      </c>
      <c r="V161" s="5" t="s">
        <v>44</v>
      </c>
      <c r="W161" s="5" t="s">
        <v>35</v>
      </c>
      <c r="X161" s="8" t="s">
        <v>218</v>
      </c>
      <c r="Y161" s="5" t="s">
        <v>46</v>
      </c>
      <c r="Z161" s="5" t="s">
        <v>47</v>
      </c>
      <c r="AA161" s="5" t="s">
        <v>64</v>
      </c>
      <c r="AB161" s="5" t="s">
        <v>898</v>
      </c>
      <c r="AC161" s="6" t="s">
        <v>79</v>
      </c>
      <c r="AD161" s="6">
        <v>664.0</v>
      </c>
    </row>
    <row r="162" ht="56.25" customHeight="1">
      <c r="A162" s="5" t="s">
        <v>899</v>
      </c>
      <c r="B162" s="6" t="str">
        <f>IMAGE("https://storage.googleapis.com/acdb/housewares/FtrBeachtowel_Remake_0_0.png")</f>
        <v/>
      </c>
      <c r="C162" s="5" t="s">
        <v>34</v>
      </c>
      <c r="D162" s="5" t="s">
        <v>34</v>
      </c>
      <c r="E162" s="5" t="s">
        <v>900</v>
      </c>
      <c r="F162" s="5" t="s">
        <v>901</v>
      </c>
      <c r="G162" s="5" t="s">
        <v>36</v>
      </c>
      <c r="H162" s="5" t="s">
        <v>36</v>
      </c>
      <c r="I162" s="5" t="s">
        <v>35</v>
      </c>
      <c r="J162" s="6">
        <v>1.0</v>
      </c>
      <c r="K162" s="6">
        <v>380.0</v>
      </c>
      <c r="L162" s="6">
        <v>95.0</v>
      </c>
      <c r="M162" s="5" t="s">
        <v>83</v>
      </c>
      <c r="N162" s="5" t="s">
        <v>58</v>
      </c>
      <c r="O162" s="6" t="s">
        <v>276</v>
      </c>
      <c r="P162" s="5" t="s">
        <v>59</v>
      </c>
      <c r="Q162" s="5" t="s">
        <v>554</v>
      </c>
      <c r="R162" s="6" t="s">
        <v>42</v>
      </c>
      <c r="S162" s="5" t="s">
        <v>138</v>
      </c>
      <c r="T162" s="5" t="s">
        <v>44</v>
      </c>
      <c r="U162" s="5" t="s">
        <v>44</v>
      </c>
      <c r="V162" s="5" t="s">
        <v>44</v>
      </c>
      <c r="W162" s="5" t="s">
        <v>35</v>
      </c>
      <c r="X162" s="8" t="s">
        <v>218</v>
      </c>
      <c r="Y162" s="5" t="s">
        <v>46</v>
      </c>
      <c r="Z162" s="5" t="s">
        <v>47</v>
      </c>
      <c r="AA162" s="5" t="s">
        <v>64</v>
      </c>
      <c r="AB162" s="5" t="s">
        <v>904</v>
      </c>
      <c r="AC162" s="6" t="s">
        <v>50</v>
      </c>
      <c r="AD162" s="6">
        <v>3468.0</v>
      </c>
    </row>
    <row r="163" ht="56.25" customHeight="1">
      <c r="A163" s="5" t="s">
        <v>899</v>
      </c>
      <c r="B163" s="6" t="str">
        <f>IMAGE("https://storage.googleapis.com/acdb/housewares/FtrBeachtowel_Remake_0_1.png")</f>
        <v/>
      </c>
      <c r="C163" s="5" t="s">
        <v>34</v>
      </c>
      <c r="D163" s="5" t="s">
        <v>34</v>
      </c>
      <c r="E163" s="5" t="s">
        <v>906</v>
      </c>
      <c r="F163" s="5" t="s">
        <v>901</v>
      </c>
      <c r="G163" s="5" t="s">
        <v>36</v>
      </c>
      <c r="H163" s="5" t="s">
        <v>36</v>
      </c>
      <c r="I163" s="5" t="s">
        <v>35</v>
      </c>
      <c r="J163" s="6">
        <v>1.0</v>
      </c>
      <c r="K163" s="6">
        <v>380.0</v>
      </c>
      <c r="L163" s="6">
        <v>95.0</v>
      </c>
      <c r="M163" s="5" t="s">
        <v>52</v>
      </c>
      <c r="N163" s="5" t="s">
        <v>57</v>
      </c>
      <c r="O163" s="6" t="s">
        <v>276</v>
      </c>
      <c r="P163" s="5" t="s">
        <v>59</v>
      </c>
      <c r="Q163" s="5" t="s">
        <v>554</v>
      </c>
      <c r="R163" s="6" t="s">
        <v>42</v>
      </c>
      <c r="S163" s="5" t="s">
        <v>138</v>
      </c>
      <c r="T163" s="5" t="s">
        <v>44</v>
      </c>
      <c r="U163" s="5" t="s">
        <v>44</v>
      </c>
      <c r="V163" s="5" t="s">
        <v>44</v>
      </c>
      <c r="W163" s="5" t="s">
        <v>35</v>
      </c>
      <c r="X163" s="8" t="s">
        <v>218</v>
      </c>
      <c r="Y163" s="5" t="s">
        <v>46</v>
      </c>
      <c r="Z163" s="5" t="s">
        <v>47</v>
      </c>
      <c r="AA163" s="5" t="s">
        <v>64</v>
      </c>
      <c r="AB163" s="5" t="s">
        <v>908</v>
      </c>
      <c r="AC163" s="6" t="s">
        <v>217</v>
      </c>
      <c r="AD163" s="6">
        <v>3468.0</v>
      </c>
    </row>
    <row r="164" ht="56.25" customHeight="1">
      <c r="A164" s="5" t="s">
        <v>899</v>
      </c>
      <c r="B164" s="6" t="str">
        <f>IMAGE("https://storage.googleapis.com/acdb/housewares/FtrBeachtowel_Remake_0_2.png")</f>
        <v/>
      </c>
      <c r="C164" s="5" t="s">
        <v>34</v>
      </c>
      <c r="D164" s="5" t="s">
        <v>34</v>
      </c>
      <c r="E164" s="5" t="s">
        <v>58</v>
      </c>
      <c r="F164" s="5" t="s">
        <v>901</v>
      </c>
      <c r="G164" s="5" t="s">
        <v>36</v>
      </c>
      <c r="H164" s="5" t="s">
        <v>36</v>
      </c>
      <c r="I164" s="5" t="s">
        <v>35</v>
      </c>
      <c r="J164" s="6">
        <v>1.0</v>
      </c>
      <c r="K164" s="6">
        <v>380.0</v>
      </c>
      <c r="L164" s="6">
        <v>95.0</v>
      </c>
      <c r="M164" s="5" t="s">
        <v>114</v>
      </c>
      <c r="N164" s="5" t="s">
        <v>52</v>
      </c>
      <c r="O164" s="6" t="s">
        <v>276</v>
      </c>
      <c r="P164" s="5" t="s">
        <v>59</v>
      </c>
      <c r="Q164" s="5" t="s">
        <v>554</v>
      </c>
      <c r="R164" s="6" t="s">
        <v>42</v>
      </c>
      <c r="S164" s="5" t="s">
        <v>138</v>
      </c>
      <c r="T164" s="5" t="s">
        <v>44</v>
      </c>
      <c r="U164" s="5" t="s">
        <v>44</v>
      </c>
      <c r="V164" s="5" t="s">
        <v>44</v>
      </c>
      <c r="W164" s="5" t="s">
        <v>35</v>
      </c>
      <c r="X164" s="8" t="s">
        <v>218</v>
      </c>
      <c r="Y164" s="5" t="s">
        <v>46</v>
      </c>
      <c r="Z164" s="5" t="s">
        <v>47</v>
      </c>
      <c r="AA164" s="5" t="s">
        <v>64</v>
      </c>
      <c r="AB164" s="5" t="s">
        <v>912</v>
      </c>
      <c r="AC164" s="6" t="s">
        <v>347</v>
      </c>
      <c r="AD164" s="6">
        <v>3468.0</v>
      </c>
    </row>
    <row r="165" ht="56.25" customHeight="1">
      <c r="A165" s="5" t="s">
        <v>899</v>
      </c>
      <c r="B165" s="6" t="str">
        <f>IMAGE("https://storage.googleapis.com/acdb/housewares/FtrBeachtowel_Remake_0_3.png")</f>
        <v/>
      </c>
      <c r="C165" s="5" t="s">
        <v>34</v>
      </c>
      <c r="D165" s="5" t="s">
        <v>34</v>
      </c>
      <c r="E165" s="5" t="s">
        <v>915</v>
      </c>
      <c r="F165" s="5" t="s">
        <v>901</v>
      </c>
      <c r="G165" s="5" t="s">
        <v>36</v>
      </c>
      <c r="H165" s="5" t="s">
        <v>36</v>
      </c>
      <c r="I165" s="5" t="s">
        <v>35</v>
      </c>
      <c r="J165" s="6">
        <v>1.0</v>
      </c>
      <c r="K165" s="6">
        <v>380.0</v>
      </c>
      <c r="L165" s="6">
        <v>95.0</v>
      </c>
      <c r="M165" s="5" t="s">
        <v>69</v>
      </c>
      <c r="N165" s="5" t="s">
        <v>69</v>
      </c>
      <c r="O165" s="6" t="s">
        <v>276</v>
      </c>
      <c r="P165" s="5" t="s">
        <v>59</v>
      </c>
      <c r="Q165" s="5" t="s">
        <v>554</v>
      </c>
      <c r="R165" s="6" t="s">
        <v>42</v>
      </c>
      <c r="S165" s="5" t="s">
        <v>138</v>
      </c>
      <c r="T165" s="5" t="s">
        <v>44</v>
      </c>
      <c r="U165" s="5" t="s">
        <v>44</v>
      </c>
      <c r="V165" s="5" t="s">
        <v>44</v>
      </c>
      <c r="W165" s="5" t="s">
        <v>35</v>
      </c>
      <c r="X165" s="8" t="s">
        <v>218</v>
      </c>
      <c r="Y165" s="5" t="s">
        <v>46</v>
      </c>
      <c r="Z165" s="5" t="s">
        <v>47</v>
      </c>
      <c r="AA165" s="5" t="s">
        <v>64</v>
      </c>
      <c r="AB165" s="5" t="s">
        <v>919</v>
      </c>
      <c r="AC165" s="6" t="s">
        <v>354</v>
      </c>
      <c r="AD165" s="6">
        <v>3468.0</v>
      </c>
    </row>
    <row r="166" ht="56.25" customHeight="1">
      <c r="A166" s="5" t="s">
        <v>899</v>
      </c>
      <c r="B166" s="6" t="str">
        <f>IMAGE("https://storage.googleapis.com/acdb/housewares/FtrBeachtowel_Remake_0_4.png")</f>
        <v/>
      </c>
      <c r="C166" s="5" t="s">
        <v>34</v>
      </c>
      <c r="D166" s="5" t="s">
        <v>34</v>
      </c>
      <c r="E166" s="5" t="s">
        <v>68</v>
      </c>
      <c r="F166" s="5" t="s">
        <v>901</v>
      </c>
      <c r="G166" s="5" t="s">
        <v>36</v>
      </c>
      <c r="H166" s="5" t="s">
        <v>36</v>
      </c>
      <c r="I166" s="5" t="s">
        <v>35</v>
      </c>
      <c r="J166" s="6">
        <v>1.0</v>
      </c>
      <c r="K166" s="6">
        <v>380.0</v>
      </c>
      <c r="L166" s="6">
        <v>95.0</v>
      </c>
      <c r="M166" s="5" t="s">
        <v>68</v>
      </c>
      <c r="N166" s="5" t="s">
        <v>68</v>
      </c>
      <c r="O166" s="6" t="s">
        <v>276</v>
      </c>
      <c r="P166" s="5" t="s">
        <v>59</v>
      </c>
      <c r="Q166" s="5" t="s">
        <v>554</v>
      </c>
      <c r="R166" s="6" t="s">
        <v>42</v>
      </c>
      <c r="S166" s="5" t="s">
        <v>138</v>
      </c>
      <c r="T166" s="5" t="s">
        <v>44</v>
      </c>
      <c r="U166" s="5" t="s">
        <v>44</v>
      </c>
      <c r="V166" s="5" t="s">
        <v>44</v>
      </c>
      <c r="W166" s="5" t="s">
        <v>35</v>
      </c>
      <c r="X166" s="8" t="s">
        <v>218</v>
      </c>
      <c r="Y166" s="5" t="s">
        <v>46</v>
      </c>
      <c r="Z166" s="5" t="s">
        <v>47</v>
      </c>
      <c r="AA166" s="5" t="s">
        <v>64</v>
      </c>
      <c r="AB166" s="5" t="s">
        <v>926</v>
      </c>
      <c r="AC166" s="6" t="s">
        <v>486</v>
      </c>
      <c r="AD166" s="6">
        <v>3468.0</v>
      </c>
    </row>
    <row r="167" ht="56.25" customHeight="1">
      <c r="A167" s="5" t="s">
        <v>899</v>
      </c>
      <c r="B167" s="6" t="str">
        <f>IMAGE("https://storage.googleapis.com/acdb/housewares/FtrBeachtowel_Remake_0_5.png")</f>
        <v/>
      </c>
      <c r="C167" s="5" t="s">
        <v>34</v>
      </c>
      <c r="D167" s="5" t="s">
        <v>34</v>
      </c>
      <c r="E167" s="5" t="s">
        <v>114</v>
      </c>
      <c r="F167" s="5" t="s">
        <v>901</v>
      </c>
      <c r="G167" s="5" t="s">
        <v>36</v>
      </c>
      <c r="H167" s="5" t="s">
        <v>36</v>
      </c>
      <c r="I167" s="5" t="s">
        <v>35</v>
      </c>
      <c r="J167" s="6">
        <v>1.0</v>
      </c>
      <c r="K167" s="6">
        <v>380.0</v>
      </c>
      <c r="L167" s="6">
        <v>95.0</v>
      </c>
      <c r="M167" s="5" t="s">
        <v>114</v>
      </c>
      <c r="N167" s="5" t="s">
        <v>114</v>
      </c>
      <c r="O167" s="6" t="s">
        <v>276</v>
      </c>
      <c r="P167" s="5" t="s">
        <v>59</v>
      </c>
      <c r="Q167" s="5" t="s">
        <v>554</v>
      </c>
      <c r="R167" s="6" t="s">
        <v>42</v>
      </c>
      <c r="S167" s="5" t="s">
        <v>138</v>
      </c>
      <c r="T167" s="5" t="s">
        <v>44</v>
      </c>
      <c r="U167" s="5" t="s">
        <v>44</v>
      </c>
      <c r="V167" s="5" t="s">
        <v>44</v>
      </c>
      <c r="W167" s="5" t="s">
        <v>35</v>
      </c>
      <c r="X167" s="8" t="s">
        <v>218</v>
      </c>
      <c r="Y167" s="5" t="s">
        <v>46</v>
      </c>
      <c r="Z167" s="5" t="s">
        <v>47</v>
      </c>
      <c r="AA167" s="5" t="s">
        <v>64</v>
      </c>
      <c r="AB167" s="5" t="s">
        <v>932</v>
      </c>
      <c r="AC167" s="6" t="s">
        <v>934</v>
      </c>
      <c r="AD167" s="6">
        <v>3468.0</v>
      </c>
    </row>
    <row r="168" ht="56.25" customHeight="1">
      <c r="A168" s="5" t="s">
        <v>899</v>
      </c>
      <c r="B168" s="6" t="str">
        <f>IMAGE("https://storage.googleapis.com/acdb/housewares/FtrBeachtowel_Remake_0_6.png")</f>
        <v/>
      </c>
      <c r="C168" s="5" t="s">
        <v>34</v>
      </c>
      <c r="D168" s="5" t="s">
        <v>34</v>
      </c>
      <c r="E168" s="5" t="s">
        <v>57</v>
      </c>
      <c r="F168" s="5" t="s">
        <v>901</v>
      </c>
      <c r="G168" s="5" t="s">
        <v>36</v>
      </c>
      <c r="H168" s="5" t="s">
        <v>36</v>
      </c>
      <c r="I168" s="5" t="s">
        <v>35</v>
      </c>
      <c r="J168" s="6">
        <v>1.0</v>
      </c>
      <c r="K168" s="6">
        <v>380.0</v>
      </c>
      <c r="L168" s="6">
        <v>95.0</v>
      </c>
      <c r="M168" s="5" t="s">
        <v>57</v>
      </c>
      <c r="N168" s="5" t="s">
        <v>57</v>
      </c>
      <c r="O168" s="6" t="s">
        <v>276</v>
      </c>
      <c r="P168" s="5" t="s">
        <v>59</v>
      </c>
      <c r="Q168" s="5" t="s">
        <v>554</v>
      </c>
      <c r="R168" s="6" t="s">
        <v>42</v>
      </c>
      <c r="S168" s="5" t="s">
        <v>138</v>
      </c>
      <c r="T168" s="5" t="s">
        <v>44</v>
      </c>
      <c r="U168" s="5" t="s">
        <v>44</v>
      </c>
      <c r="V168" s="5" t="s">
        <v>44</v>
      </c>
      <c r="W168" s="5" t="s">
        <v>35</v>
      </c>
      <c r="X168" s="8" t="s">
        <v>218</v>
      </c>
      <c r="Y168" s="5" t="s">
        <v>46</v>
      </c>
      <c r="Z168" s="5" t="s">
        <v>47</v>
      </c>
      <c r="AA168" s="5" t="s">
        <v>64</v>
      </c>
      <c r="AB168" s="5" t="s">
        <v>937</v>
      </c>
      <c r="AC168" s="6" t="s">
        <v>938</v>
      </c>
      <c r="AD168" s="6">
        <v>3468.0</v>
      </c>
    </row>
    <row r="169" ht="56.25" customHeight="1">
      <c r="A169" s="5" t="s">
        <v>939</v>
      </c>
      <c r="B169" s="6" t="str">
        <f>IMAGE("https://storage.googleapis.com/acdb/housewares/FtrBeekeepingbox_Remake_0_0.png")</f>
        <v/>
      </c>
      <c r="C169" s="5" t="s">
        <v>32</v>
      </c>
      <c r="D169" s="5" t="s">
        <v>748</v>
      </c>
      <c r="E169" s="5" t="s">
        <v>34</v>
      </c>
      <c r="F169" s="5" t="s">
        <v>34</v>
      </c>
      <c r="G169" s="5" t="s">
        <v>35</v>
      </c>
      <c r="H169" s="5" t="s">
        <v>35</v>
      </c>
      <c r="I169" s="5" t="s">
        <v>36</v>
      </c>
      <c r="J169" s="6">
        <v>4.0</v>
      </c>
      <c r="K169" s="6" t="s">
        <v>37</v>
      </c>
      <c r="L169" s="6">
        <v>2400.0</v>
      </c>
      <c r="M169" s="5" t="s">
        <v>38</v>
      </c>
      <c r="N169" s="5" t="s">
        <v>38</v>
      </c>
      <c r="O169" s="6" t="s">
        <v>40</v>
      </c>
      <c r="P169" s="5" t="s">
        <v>41</v>
      </c>
      <c r="Q169" s="5"/>
      <c r="R169" s="6" t="s">
        <v>42</v>
      </c>
      <c r="S169" s="5" t="s">
        <v>172</v>
      </c>
      <c r="T169" s="5" t="s">
        <v>44</v>
      </c>
      <c r="U169" s="5" t="s">
        <v>44</v>
      </c>
      <c r="V169" s="5" t="s">
        <v>44</v>
      </c>
      <c r="W169" s="5" t="s">
        <v>36</v>
      </c>
      <c r="X169" s="8" t="s">
        <v>395</v>
      </c>
      <c r="Y169" s="5" t="s">
        <v>46</v>
      </c>
      <c r="Z169" s="5" t="s">
        <v>47</v>
      </c>
      <c r="AA169" s="5" t="s">
        <v>48</v>
      </c>
      <c r="AB169" s="5" t="s">
        <v>943</v>
      </c>
      <c r="AC169" s="6" t="s">
        <v>50</v>
      </c>
      <c r="AD169" s="6">
        <v>3406.0</v>
      </c>
    </row>
    <row r="170" ht="56.25" customHeight="1">
      <c r="A170" s="5" t="s">
        <v>939</v>
      </c>
      <c r="B170" s="6" t="str">
        <f>IMAGE("https://storage.googleapis.com/acdb/housewares/FtrBeekeepingbox_Remake_1_0.png")</f>
        <v/>
      </c>
      <c r="C170" s="5" t="s">
        <v>57</v>
      </c>
      <c r="D170" s="5" t="s">
        <v>748</v>
      </c>
      <c r="E170" s="5" t="s">
        <v>34</v>
      </c>
      <c r="F170" s="5" t="s">
        <v>34</v>
      </c>
      <c r="G170" s="5" t="s">
        <v>35</v>
      </c>
      <c r="H170" s="5" t="s">
        <v>35</v>
      </c>
      <c r="I170" s="5" t="s">
        <v>36</v>
      </c>
      <c r="J170" s="6">
        <v>4.0</v>
      </c>
      <c r="K170" s="6" t="s">
        <v>37</v>
      </c>
      <c r="L170" s="6">
        <v>2400.0</v>
      </c>
      <c r="M170" s="5" t="s">
        <v>57</v>
      </c>
      <c r="N170" s="5" t="s">
        <v>57</v>
      </c>
      <c r="O170" s="6" t="s">
        <v>40</v>
      </c>
      <c r="P170" s="5" t="s">
        <v>41</v>
      </c>
      <c r="Q170" s="5"/>
      <c r="R170" s="6" t="s">
        <v>42</v>
      </c>
      <c r="S170" s="5" t="s">
        <v>172</v>
      </c>
      <c r="T170" s="5" t="s">
        <v>44</v>
      </c>
      <c r="U170" s="5" t="s">
        <v>44</v>
      </c>
      <c r="V170" s="5" t="s">
        <v>44</v>
      </c>
      <c r="W170" s="5" t="s">
        <v>36</v>
      </c>
      <c r="X170" s="8" t="s">
        <v>395</v>
      </c>
      <c r="Y170" s="5" t="s">
        <v>46</v>
      </c>
      <c r="Z170" s="5" t="s">
        <v>47</v>
      </c>
      <c r="AA170" s="5" t="s">
        <v>48</v>
      </c>
      <c r="AB170" s="5" t="s">
        <v>947</v>
      </c>
      <c r="AC170" s="6" t="s">
        <v>56</v>
      </c>
      <c r="AD170" s="6">
        <v>3406.0</v>
      </c>
    </row>
    <row r="171" ht="56.25" customHeight="1">
      <c r="A171" s="5" t="s">
        <v>939</v>
      </c>
      <c r="B171" s="6" t="str">
        <f>IMAGE("https://storage.googleapis.com/acdb/housewares/FtrBeekeepingbox_Remake_2_0.png")</f>
        <v/>
      </c>
      <c r="C171" s="5" t="s">
        <v>52</v>
      </c>
      <c r="D171" s="5" t="s">
        <v>748</v>
      </c>
      <c r="E171" s="5" t="s">
        <v>34</v>
      </c>
      <c r="F171" s="5" t="s">
        <v>34</v>
      </c>
      <c r="G171" s="5" t="s">
        <v>35</v>
      </c>
      <c r="H171" s="5" t="s">
        <v>35</v>
      </c>
      <c r="I171" s="5" t="s">
        <v>36</v>
      </c>
      <c r="J171" s="6">
        <v>4.0</v>
      </c>
      <c r="K171" s="6" t="s">
        <v>37</v>
      </c>
      <c r="L171" s="6">
        <v>2400.0</v>
      </c>
      <c r="M171" s="5" t="s">
        <v>52</v>
      </c>
      <c r="N171" s="5" t="s">
        <v>96</v>
      </c>
      <c r="O171" s="6" t="s">
        <v>40</v>
      </c>
      <c r="P171" s="5" t="s">
        <v>41</v>
      </c>
      <c r="Q171" s="5"/>
      <c r="R171" s="6" t="s">
        <v>42</v>
      </c>
      <c r="S171" s="5" t="s">
        <v>172</v>
      </c>
      <c r="T171" s="5" t="s">
        <v>44</v>
      </c>
      <c r="U171" s="5" t="s">
        <v>44</v>
      </c>
      <c r="V171" s="5" t="s">
        <v>44</v>
      </c>
      <c r="W171" s="5" t="s">
        <v>36</v>
      </c>
      <c r="X171" s="8" t="s">
        <v>395</v>
      </c>
      <c r="Y171" s="5" t="s">
        <v>46</v>
      </c>
      <c r="Z171" s="5" t="s">
        <v>47</v>
      </c>
      <c r="AA171" s="5" t="s">
        <v>48</v>
      </c>
      <c r="AB171" s="5" t="s">
        <v>950</v>
      </c>
      <c r="AC171" s="6" t="s">
        <v>67</v>
      </c>
      <c r="AD171" s="6">
        <v>3406.0</v>
      </c>
    </row>
    <row r="172" ht="56.25" customHeight="1">
      <c r="A172" s="5" t="s">
        <v>939</v>
      </c>
      <c r="B172" s="6" t="str">
        <f>IMAGE("https://storage.googleapis.com/acdb/housewares/FtrBeekeepingbox_Remake_3_0.png")</f>
        <v/>
      </c>
      <c r="C172" s="5" t="s">
        <v>68</v>
      </c>
      <c r="D172" s="5" t="s">
        <v>748</v>
      </c>
      <c r="E172" s="5" t="s">
        <v>34</v>
      </c>
      <c r="F172" s="5" t="s">
        <v>34</v>
      </c>
      <c r="G172" s="5" t="s">
        <v>35</v>
      </c>
      <c r="H172" s="5" t="s">
        <v>35</v>
      </c>
      <c r="I172" s="5" t="s">
        <v>36</v>
      </c>
      <c r="J172" s="6">
        <v>4.0</v>
      </c>
      <c r="K172" s="6" t="s">
        <v>37</v>
      </c>
      <c r="L172" s="6">
        <v>2400.0</v>
      </c>
      <c r="M172" s="5" t="s">
        <v>68</v>
      </c>
      <c r="N172" s="5" t="s">
        <v>54</v>
      </c>
      <c r="O172" s="6" t="s">
        <v>40</v>
      </c>
      <c r="P172" s="5" t="s">
        <v>41</v>
      </c>
      <c r="Q172" s="5"/>
      <c r="R172" s="6" t="s">
        <v>42</v>
      </c>
      <c r="S172" s="5" t="s">
        <v>172</v>
      </c>
      <c r="T172" s="5" t="s">
        <v>44</v>
      </c>
      <c r="U172" s="5" t="s">
        <v>44</v>
      </c>
      <c r="V172" s="5" t="s">
        <v>44</v>
      </c>
      <c r="W172" s="5" t="s">
        <v>36</v>
      </c>
      <c r="X172" s="8" t="s">
        <v>395</v>
      </c>
      <c r="Y172" s="5" t="s">
        <v>46</v>
      </c>
      <c r="Z172" s="5" t="s">
        <v>47</v>
      </c>
      <c r="AA172" s="5" t="s">
        <v>48</v>
      </c>
      <c r="AB172" s="5" t="s">
        <v>955</v>
      </c>
      <c r="AC172" s="6" t="s">
        <v>71</v>
      </c>
      <c r="AD172" s="6">
        <v>3406.0</v>
      </c>
    </row>
    <row r="173" ht="56.25" customHeight="1">
      <c r="A173" s="5" t="s">
        <v>939</v>
      </c>
      <c r="B173" s="6" t="str">
        <f>IMAGE("https://storage.googleapis.com/acdb/housewares/FtrBeekeepingbox_Remake_4_0.png")</f>
        <v/>
      </c>
      <c r="C173" s="5" t="s">
        <v>114</v>
      </c>
      <c r="D173" s="5" t="s">
        <v>748</v>
      </c>
      <c r="E173" s="5" t="s">
        <v>34</v>
      </c>
      <c r="F173" s="5" t="s">
        <v>34</v>
      </c>
      <c r="G173" s="5" t="s">
        <v>35</v>
      </c>
      <c r="H173" s="5" t="s">
        <v>35</v>
      </c>
      <c r="I173" s="5" t="s">
        <v>36</v>
      </c>
      <c r="J173" s="6">
        <v>4.0</v>
      </c>
      <c r="K173" s="6" t="s">
        <v>37</v>
      </c>
      <c r="L173" s="6">
        <v>2400.0</v>
      </c>
      <c r="M173" s="8" t="s">
        <v>114</v>
      </c>
      <c r="N173" s="8" t="s">
        <v>39</v>
      </c>
      <c r="O173" s="6" t="s">
        <v>40</v>
      </c>
      <c r="P173" s="5" t="s">
        <v>41</v>
      </c>
      <c r="Q173" s="5"/>
      <c r="R173" s="6" t="s">
        <v>42</v>
      </c>
      <c r="S173" s="5" t="s">
        <v>172</v>
      </c>
      <c r="T173" s="5" t="s">
        <v>44</v>
      </c>
      <c r="U173" s="5" t="s">
        <v>44</v>
      </c>
      <c r="V173" s="5" t="s">
        <v>44</v>
      </c>
      <c r="W173" s="5" t="s">
        <v>36</v>
      </c>
      <c r="X173" s="8" t="s">
        <v>395</v>
      </c>
      <c r="Y173" s="5" t="s">
        <v>46</v>
      </c>
      <c r="Z173" s="5" t="s">
        <v>47</v>
      </c>
      <c r="AA173" s="5" t="s">
        <v>48</v>
      </c>
      <c r="AB173" s="5" t="s">
        <v>958</v>
      </c>
      <c r="AC173" s="6" t="s">
        <v>75</v>
      </c>
      <c r="AD173" s="6">
        <v>3406.0</v>
      </c>
    </row>
    <row r="174" ht="56.25" customHeight="1">
      <c r="A174" s="5" t="s">
        <v>960</v>
      </c>
      <c r="B174" s="6" t="str">
        <f>IMAGE("https://storage.googleapis.com/acdb/housewares/FtrWCBidet.png")</f>
        <v/>
      </c>
      <c r="C174" s="5" t="s">
        <v>34</v>
      </c>
      <c r="D174" s="5" t="s">
        <v>34</v>
      </c>
      <c r="E174" s="5" t="s">
        <v>34</v>
      </c>
      <c r="F174" s="5" t="s">
        <v>34</v>
      </c>
      <c r="G174" s="5" t="s">
        <v>36</v>
      </c>
      <c r="H174" s="5" t="s">
        <v>36</v>
      </c>
      <c r="I174" s="5" t="s">
        <v>36</v>
      </c>
      <c r="J174" s="6" t="s">
        <v>34</v>
      </c>
      <c r="K174" s="6">
        <v>1800.0</v>
      </c>
      <c r="L174" s="6">
        <v>450.0</v>
      </c>
      <c r="M174" s="5" t="s">
        <v>57</v>
      </c>
      <c r="N174" s="5" t="s">
        <v>57</v>
      </c>
      <c r="O174" s="6" t="s">
        <v>40</v>
      </c>
      <c r="P174" s="5" t="s">
        <v>59</v>
      </c>
      <c r="Q174" s="5" t="s">
        <v>122</v>
      </c>
      <c r="R174" s="6" t="s">
        <v>42</v>
      </c>
      <c r="S174" s="5" t="s">
        <v>288</v>
      </c>
      <c r="T174" s="5" t="s">
        <v>44</v>
      </c>
      <c r="U174" s="5" t="s">
        <v>44</v>
      </c>
      <c r="V174" s="5" t="s">
        <v>44</v>
      </c>
      <c r="W174" s="5" t="s">
        <v>35</v>
      </c>
      <c r="X174" s="8" t="s">
        <v>289</v>
      </c>
      <c r="Y174" s="5" t="s">
        <v>46</v>
      </c>
      <c r="Z174" s="5" t="s">
        <v>47</v>
      </c>
      <c r="AA174" s="5" t="s">
        <v>64</v>
      </c>
      <c r="AB174" s="5" t="s">
        <v>964</v>
      </c>
      <c r="AC174" s="6" t="s">
        <v>34</v>
      </c>
      <c r="AD174" s="6">
        <v>4098.0</v>
      </c>
    </row>
    <row r="175" ht="56.25" customHeight="1">
      <c r="A175" s="5" t="s">
        <v>965</v>
      </c>
      <c r="B175" s="6" t="str">
        <f>IMAGE("https://storage.googleapis.com/acdb/housewares/FtrTreeXmasL_Remake_0_0.png")</f>
        <v/>
      </c>
      <c r="C175" s="5" t="s">
        <v>58</v>
      </c>
      <c r="D175" s="5" t="s">
        <v>373</v>
      </c>
      <c r="E175" s="5" t="s">
        <v>34</v>
      </c>
      <c r="F175" s="5" t="s">
        <v>34</v>
      </c>
      <c r="G175" s="5" t="s">
        <v>35</v>
      </c>
      <c r="H175" s="5" t="s">
        <v>35</v>
      </c>
      <c r="I175" s="5" t="s">
        <v>36</v>
      </c>
      <c r="J175" s="6">
        <v>5.0</v>
      </c>
      <c r="K175" s="6" t="s">
        <v>37</v>
      </c>
      <c r="L175" s="6">
        <v>3200.0</v>
      </c>
      <c r="M175" s="8" t="s">
        <v>96</v>
      </c>
      <c r="N175" s="8" t="s">
        <v>58</v>
      </c>
      <c r="O175" s="6" t="s">
        <v>214</v>
      </c>
      <c r="P175" s="5" t="s">
        <v>41</v>
      </c>
      <c r="Q175" s="5" t="s">
        <v>969</v>
      </c>
      <c r="R175" s="6" t="s">
        <v>42</v>
      </c>
      <c r="S175" s="5" t="s">
        <v>465</v>
      </c>
      <c r="T175" s="5" t="s">
        <v>61</v>
      </c>
      <c r="U175" s="5" t="s">
        <v>970</v>
      </c>
      <c r="V175" s="5" t="s">
        <v>44</v>
      </c>
      <c r="W175" s="5" t="s">
        <v>35</v>
      </c>
      <c r="X175" s="8" t="s">
        <v>590</v>
      </c>
      <c r="Y175" s="5" t="s">
        <v>46</v>
      </c>
      <c r="Z175" s="5" t="s">
        <v>47</v>
      </c>
      <c r="AA175" s="5" t="s">
        <v>48</v>
      </c>
      <c r="AB175" s="5" t="s">
        <v>971</v>
      </c>
      <c r="AC175" s="6" t="s">
        <v>50</v>
      </c>
      <c r="AD175" s="6">
        <v>3966.0</v>
      </c>
    </row>
    <row r="176" ht="56.25" customHeight="1">
      <c r="A176" s="5" t="s">
        <v>965</v>
      </c>
      <c r="B176" s="6" t="str">
        <f>IMAGE("https://storage.googleapis.com/acdb/housewares/FtrTreeXmasL_Remake_1_0.png")</f>
        <v/>
      </c>
      <c r="C176" s="5" t="s">
        <v>68</v>
      </c>
      <c r="D176" s="5" t="s">
        <v>373</v>
      </c>
      <c r="E176" s="5" t="s">
        <v>34</v>
      </c>
      <c r="F176" s="5" t="s">
        <v>34</v>
      </c>
      <c r="G176" s="5" t="s">
        <v>35</v>
      </c>
      <c r="H176" s="5" t="s">
        <v>35</v>
      </c>
      <c r="I176" s="5" t="s">
        <v>36</v>
      </c>
      <c r="J176" s="6">
        <v>5.0</v>
      </c>
      <c r="K176" s="6" t="s">
        <v>37</v>
      </c>
      <c r="L176" s="6">
        <v>3200.0</v>
      </c>
      <c r="M176" s="5" t="s">
        <v>68</v>
      </c>
      <c r="N176" s="5" t="s">
        <v>68</v>
      </c>
      <c r="O176" s="6" t="s">
        <v>214</v>
      </c>
      <c r="P176" s="5" t="s">
        <v>41</v>
      </c>
      <c r="Q176" s="5" t="s">
        <v>969</v>
      </c>
      <c r="R176" s="6" t="s">
        <v>42</v>
      </c>
      <c r="S176" s="5" t="s">
        <v>465</v>
      </c>
      <c r="T176" s="5" t="s">
        <v>61</v>
      </c>
      <c r="U176" s="5" t="s">
        <v>970</v>
      </c>
      <c r="V176" s="5" t="s">
        <v>44</v>
      </c>
      <c r="W176" s="5" t="s">
        <v>35</v>
      </c>
      <c r="X176" s="8" t="s">
        <v>590</v>
      </c>
      <c r="Y176" s="5" t="s">
        <v>46</v>
      </c>
      <c r="Z176" s="5" t="s">
        <v>47</v>
      </c>
      <c r="AA176" s="5" t="s">
        <v>48</v>
      </c>
      <c r="AB176" s="5" t="s">
        <v>975</v>
      </c>
      <c r="AC176" s="6" t="s">
        <v>56</v>
      </c>
      <c r="AD176" s="6">
        <v>3966.0</v>
      </c>
    </row>
    <row r="177" ht="56.25" customHeight="1">
      <c r="A177" s="5" t="s">
        <v>965</v>
      </c>
      <c r="B177" s="6" t="str">
        <f>IMAGE("https://storage.googleapis.com/acdb/housewares/FtrTreeXmasL_Remake_2_0.png")</f>
        <v/>
      </c>
      <c r="C177" s="5" t="s">
        <v>52</v>
      </c>
      <c r="D177" s="5" t="s">
        <v>373</v>
      </c>
      <c r="E177" s="5" t="s">
        <v>34</v>
      </c>
      <c r="F177" s="5" t="s">
        <v>34</v>
      </c>
      <c r="G177" s="5" t="s">
        <v>35</v>
      </c>
      <c r="H177" s="5" t="s">
        <v>35</v>
      </c>
      <c r="I177" s="5" t="s">
        <v>36</v>
      </c>
      <c r="J177" s="6">
        <v>5.0</v>
      </c>
      <c r="K177" s="6" t="s">
        <v>37</v>
      </c>
      <c r="L177" s="6">
        <v>3200.0</v>
      </c>
      <c r="M177" s="8" t="s">
        <v>96</v>
      </c>
      <c r="N177" s="8" t="s">
        <v>52</v>
      </c>
      <c r="O177" s="6" t="s">
        <v>214</v>
      </c>
      <c r="P177" s="5" t="s">
        <v>41</v>
      </c>
      <c r="Q177" s="5" t="s">
        <v>969</v>
      </c>
      <c r="R177" s="6" t="s">
        <v>42</v>
      </c>
      <c r="S177" s="5" t="s">
        <v>465</v>
      </c>
      <c r="T177" s="5" t="s">
        <v>61</v>
      </c>
      <c r="U177" s="5" t="s">
        <v>970</v>
      </c>
      <c r="V177" s="5" t="s">
        <v>44</v>
      </c>
      <c r="W177" s="5" t="s">
        <v>35</v>
      </c>
      <c r="X177" s="8" t="s">
        <v>590</v>
      </c>
      <c r="Y177" s="5" t="s">
        <v>46</v>
      </c>
      <c r="Z177" s="5" t="s">
        <v>47</v>
      </c>
      <c r="AA177" s="5" t="s">
        <v>48</v>
      </c>
      <c r="AB177" s="5" t="s">
        <v>979</v>
      </c>
      <c r="AC177" s="6" t="s">
        <v>67</v>
      </c>
      <c r="AD177" s="6">
        <v>3966.0</v>
      </c>
    </row>
    <row r="178" ht="56.25" customHeight="1">
      <c r="A178" s="5" t="s">
        <v>965</v>
      </c>
      <c r="B178" s="6" t="str">
        <f>IMAGE("https://storage.googleapis.com/acdb/housewares/FtrTreeXmasL_Remake_3_0.png")</f>
        <v/>
      </c>
      <c r="C178" s="5" t="s">
        <v>69</v>
      </c>
      <c r="D178" s="5" t="s">
        <v>373</v>
      </c>
      <c r="E178" s="5" t="s">
        <v>34</v>
      </c>
      <c r="F178" s="5" t="s">
        <v>34</v>
      </c>
      <c r="G178" s="5" t="s">
        <v>35</v>
      </c>
      <c r="H178" s="5" t="s">
        <v>35</v>
      </c>
      <c r="I178" s="5" t="s">
        <v>36</v>
      </c>
      <c r="J178" s="6">
        <v>5.0</v>
      </c>
      <c r="K178" s="6" t="s">
        <v>37</v>
      </c>
      <c r="L178" s="6">
        <v>3200.0</v>
      </c>
      <c r="M178" s="5" t="s">
        <v>69</v>
      </c>
      <c r="N178" s="5" t="s">
        <v>69</v>
      </c>
      <c r="O178" s="6" t="s">
        <v>214</v>
      </c>
      <c r="P178" s="5" t="s">
        <v>41</v>
      </c>
      <c r="Q178" s="5" t="s">
        <v>969</v>
      </c>
      <c r="R178" s="6" t="s">
        <v>42</v>
      </c>
      <c r="S178" s="5" t="s">
        <v>465</v>
      </c>
      <c r="T178" s="5" t="s">
        <v>61</v>
      </c>
      <c r="U178" s="5" t="s">
        <v>970</v>
      </c>
      <c r="V178" s="5" t="s">
        <v>44</v>
      </c>
      <c r="W178" s="5" t="s">
        <v>35</v>
      </c>
      <c r="X178" s="8" t="s">
        <v>590</v>
      </c>
      <c r="Y178" s="5" t="s">
        <v>46</v>
      </c>
      <c r="Z178" s="5" t="s">
        <v>47</v>
      </c>
      <c r="AA178" s="5" t="s">
        <v>48</v>
      </c>
      <c r="AB178" s="5" t="s">
        <v>983</v>
      </c>
      <c r="AC178" s="6" t="s">
        <v>71</v>
      </c>
      <c r="AD178" s="6">
        <v>3966.0</v>
      </c>
    </row>
    <row r="179" ht="56.25" customHeight="1">
      <c r="A179" s="5" t="s">
        <v>965</v>
      </c>
      <c r="B179" s="6" t="str">
        <f>IMAGE("https://storage.googleapis.com/acdb/housewares/FtrTreeXmasL_Remake_4_0.png")</f>
        <v/>
      </c>
      <c r="C179" s="5" t="s">
        <v>151</v>
      </c>
      <c r="D179" s="5" t="s">
        <v>373</v>
      </c>
      <c r="E179" s="5" t="s">
        <v>34</v>
      </c>
      <c r="F179" s="5" t="s">
        <v>34</v>
      </c>
      <c r="G179" s="5" t="s">
        <v>35</v>
      </c>
      <c r="H179" s="5" t="s">
        <v>35</v>
      </c>
      <c r="I179" s="5" t="s">
        <v>36</v>
      </c>
      <c r="J179" s="6">
        <v>5.0</v>
      </c>
      <c r="K179" s="6" t="s">
        <v>37</v>
      </c>
      <c r="L179" s="6">
        <v>3200.0</v>
      </c>
      <c r="M179" s="8" t="s">
        <v>96</v>
      </c>
      <c r="N179" s="8" t="s">
        <v>114</v>
      </c>
      <c r="O179" s="6" t="s">
        <v>214</v>
      </c>
      <c r="P179" s="5" t="s">
        <v>41</v>
      </c>
      <c r="Q179" s="5" t="s">
        <v>969</v>
      </c>
      <c r="R179" s="6" t="s">
        <v>42</v>
      </c>
      <c r="S179" s="5" t="s">
        <v>465</v>
      </c>
      <c r="T179" s="5" t="s">
        <v>61</v>
      </c>
      <c r="U179" s="5" t="s">
        <v>970</v>
      </c>
      <c r="V179" s="5" t="s">
        <v>44</v>
      </c>
      <c r="W179" s="5" t="s">
        <v>35</v>
      </c>
      <c r="X179" s="8" t="s">
        <v>590</v>
      </c>
      <c r="Y179" s="5" t="s">
        <v>46</v>
      </c>
      <c r="Z179" s="5" t="s">
        <v>47</v>
      </c>
      <c r="AA179" s="5" t="s">
        <v>48</v>
      </c>
      <c r="AB179" s="5" t="s">
        <v>987</v>
      </c>
      <c r="AC179" s="6" t="s">
        <v>75</v>
      </c>
      <c r="AD179" s="6">
        <v>3966.0</v>
      </c>
    </row>
    <row r="180" ht="56.25" customHeight="1">
      <c r="A180" s="5" t="s">
        <v>965</v>
      </c>
      <c r="B180" s="6" t="str">
        <f>IMAGE("https://storage.googleapis.com/acdb/housewares/FtrTreeXmasL_Remake_5_0.png")</f>
        <v/>
      </c>
      <c r="C180" s="5" t="s">
        <v>57</v>
      </c>
      <c r="D180" s="5" t="s">
        <v>373</v>
      </c>
      <c r="E180" s="5" t="s">
        <v>34</v>
      </c>
      <c r="F180" s="5" t="s">
        <v>34</v>
      </c>
      <c r="G180" s="5" t="s">
        <v>35</v>
      </c>
      <c r="H180" s="5" t="s">
        <v>35</v>
      </c>
      <c r="I180" s="5" t="s">
        <v>36</v>
      </c>
      <c r="J180" s="6">
        <v>5.0</v>
      </c>
      <c r="K180" s="6" t="s">
        <v>37</v>
      </c>
      <c r="L180" s="6">
        <v>3200.0</v>
      </c>
      <c r="M180" s="8" t="s">
        <v>57</v>
      </c>
      <c r="N180" s="8" t="s">
        <v>95</v>
      </c>
      <c r="O180" s="6" t="s">
        <v>214</v>
      </c>
      <c r="P180" s="5" t="s">
        <v>41</v>
      </c>
      <c r="Q180" s="5" t="s">
        <v>969</v>
      </c>
      <c r="R180" s="6" t="s">
        <v>42</v>
      </c>
      <c r="S180" s="5" t="s">
        <v>465</v>
      </c>
      <c r="T180" s="5" t="s">
        <v>61</v>
      </c>
      <c r="U180" s="5" t="s">
        <v>970</v>
      </c>
      <c r="V180" s="5" t="s">
        <v>44</v>
      </c>
      <c r="W180" s="5" t="s">
        <v>35</v>
      </c>
      <c r="X180" s="8" t="s">
        <v>590</v>
      </c>
      <c r="Y180" s="5" t="s">
        <v>46</v>
      </c>
      <c r="Z180" s="5" t="s">
        <v>47</v>
      </c>
      <c r="AA180" s="5" t="s">
        <v>48</v>
      </c>
      <c r="AB180" s="5" t="s">
        <v>991</v>
      </c>
      <c r="AC180" s="6" t="s">
        <v>79</v>
      </c>
      <c r="AD180" s="6">
        <v>3966.0</v>
      </c>
    </row>
    <row r="181" ht="56.25" customHeight="1">
      <c r="A181" s="5" t="s">
        <v>993</v>
      </c>
      <c r="B181" s="6" t="str">
        <f>IMAGE("https://storage.googleapis.com/acdb/housewares/FtrBilliard_Remake_0_0.png")</f>
        <v/>
      </c>
      <c r="C181" s="5" t="s">
        <v>96</v>
      </c>
      <c r="D181" s="5" t="s">
        <v>34</v>
      </c>
      <c r="E181" s="5" t="s">
        <v>34</v>
      </c>
      <c r="F181" s="5" t="s">
        <v>34</v>
      </c>
      <c r="G181" s="5" t="s">
        <v>36</v>
      </c>
      <c r="H181" s="5" t="s">
        <v>36</v>
      </c>
      <c r="I181" s="5" t="s">
        <v>36</v>
      </c>
      <c r="J181" s="6" t="s">
        <v>34</v>
      </c>
      <c r="K181" s="6">
        <v>77000.0</v>
      </c>
      <c r="L181" s="6">
        <v>19250.0</v>
      </c>
      <c r="M181" s="8" t="s">
        <v>96</v>
      </c>
      <c r="N181" s="8" t="s">
        <v>142</v>
      </c>
      <c r="O181" s="6" t="s">
        <v>276</v>
      </c>
      <c r="P181" s="5" t="s">
        <v>59</v>
      </c>
      <c r="Q181" s="5" t="s">
        <v>115</v>
      </c>
      <c r="R181" s="6" t="s">
        <v>42</v>
      </c>
      <c r="S181" s="5" t="s">
        <v>62</v>
      </c>
      <c r="T181" s="5" t="s">
        <v>141</v>
      </c>
      <c r="U181" s="5" t="s">
        <v>44</v>
      </c>
      <c r="V181" s="5" t="s">
        <v>44</v>
      </c>
      <c r="W181" s="5" t="s">
        <v>36</v>
      </c>
      <c r="X181" s="8" t="s">
        <v>475</v>
      </c>
      <c r="Y181" s="5" t="s">
        <v>46</v>
      </c>
      <c r="Z181" s="5" t="s">
        <v>47</v>
      </c>
      <c r="AA181" s="5" t="s">
        <v>64</v>
      </c>
      <c r="AB181" s="5" t="s">
        <v>996</v>
      </c>
      <c r="AC181" s="6" t="s">
        <v>50</v>
      </c>
      <c r="AD181" s="6">
        <v>863.0</v>
      </c>
    </row>
    <row r="182" ht="56.25" customHeight="1">
      <c r="A182" s="5" t="s">
        <v>993</v>
      </c>
      <c r="B182" s="6" t="str">
        <f>IMAGE("https://storage.googleapis.com/acdb/housewares/FtrBilliard_Remake_1_0.png")</f>
        <v/>
      </c>
      <c r="C182" s="5" t="s">
        <v>52</v>
      </c>
      <c r="D182" s="5" t="s">
        <v>34</v>
      </c>
      <c r="E182" s="5" t="s">
        <v>34</v>
      </c>
      <c r="F182" s="5" t="s">
        <v>34</v>
      </c>
      <c r="G182" s="5" t="s">
        <v>36</v>
      </c>
      <c r="H182" s="5" t="s">
        <v>36</v>
      </c>
      <c r="I182" s="5" t="s">
        <v>36</v>
      </c>
      <c r="J182" s="6" t="s">
        <v>34</v>
      </c>
      <c r="K182" s="6">
        <v>77000.0</v>
      </c>
      <c r="L182" s="6">
        <v>19250.0</v>
      </c>
      <c r="M182" s="8" t="s">
        <v>52</v>
      </c>
      <c r="N182" s="8" t="s">
        <v>114</v>
      </c>
      <c r="O182" s="6" t="s">
        <v>276</v>
      </c>
      <c r="P182" s="5" t="s">
        <v>59</v>
      </c>
      <c r="Q182" s="5" t="s">
        <v>115</v>
      </c>
      <c r="R182" s="6" t="s">
        <v>42</v>
      </c>
      <c r="S182" s="5" t="s">
        <v>62</v>
      </c>
      <c r="T182" s="5" t="s">
        <v>141</v>
      </c>
      <c r="U182" s="5" t="s">
        <v>44</v>
      </c>
      <c r="V182" s="5" t="s">
        <v>44</v>
      </c>
      <c r="W182" s="5" t="s">
        <v>36</v>
      </c>
      <c r="X182" s="8" t="s">
        <v>475</v>
      </c>
      <c r="Y182" s="5" t="s">
        <v>46</v>
      </c>
      <c r="Z182" s="5" t="s">
        <v>47</v>
      </c>
      <c r="AA182" s="5" t="s">
        <v>64</v>
      </c>
      <c r="AB182" s="5" t="s">
        <v>1000</v>
      </c>
      <c r="AC182" s="6" t="s">
        <v>56</v>
      </c>
      <c r="AD182" s="6">
        <v>863.0</v>
      </c>
    </row>
    <row r="183" ht="56.25" customHeight="1">
      <c r="A183" s="5" t="s">
        <v>993</v>
      </c>
      <c r="B183" s="6" t="str">
        <f>IMAGE("https://storage.googleapis.com/acdb/housewares/FtrBilliard_Remake_2_0.png")</f>
        <v/>
      </c>
      <c r="C183" s="5" t="s">
        <v>68</v>
      </c>
      <c r="D183" s="5" t="s">
        <v>34</v>
      </c>
      <c r="E183" s="5" t="s">
        <v>34</v>
      </c>
      <c r="F183" s="5" t="s">
        <v>34</v>
      </c>
      <c r="G183" s="5" t="s">
        <v>36</v>
      </c>
      <c r="H183" s="5" t="s">
        <v>36</v>
      </c>
      <c r="I183" s="5" t="s">
        <v>36</v>
      </c>
      <c r="J183" s="6" t="s">
        <v>34</v>
      </c>
      <c r="K183" s="6">
        <v>77000.0</v>
      </c>
      <c r="L183" s="6">
        <v>19250.0</v>
      </c>
      <c r="M183" s="8" t="s">
        <v>68</v>
      </c>
      <c r="N183" s="8" t="s">
        <v>39</v>
      </c>
      <c r="O183" s="6" t="s">
        <v>276</v>
      </c>
      <c r="P183" s="5" t="s">
        <v>59</v>
      </c>
      <c r="Q183" s="5" t="s">
        <v>115</v>
      </c>
      <c r="R183" s="6" t="s">
        <v>42</v>
      </c>
      <c r="S183" s="5" t="s">
        <v>62</v>
      </c>
      <c r="T183" s="5" t="s">
        <v>141</v>
      </c>
      <c r="U183" s="5" t="s">
        <v>44</v>
      </c>
      <c r="V183" s="5" t="s">
        <v>44</v>
      </c>
      <c r="W183" s="5" t="s">
        <v>36</v>
      </c>
      <c r="X183" s="8" t="s">
        <v>475</v>
      </c>
      <c r="Y183" s="5" t="s">
        <v>46</v>
      </c>
      <c r="Z183" s="5" t="s">
        <v>47</v>
      </c>
      <c r="AA183" s="5" t="s">
        <v>64</v>
      </c>
      <c r="AB183" s="5" t="s">
        <v>1005</v>
      </c>
      <c r="AC183" s="6" t="s">
        <v>67</v>
      </c>
      <c r="AD183" s="6">
        <v>863.0</v>
      </c>
    </row>
    <row r="184" ht="56.25" customHeight="1">
      <c r="A184" s="5" t="s">
        <v>1007</v>
      </c>
      <c r="B184" s="6" t="str">
        <f>IMAGE("https://storage.googleapis.com/acdb/housewares/FtrBirdbus_Remake_0_0.png")</f>
        <v/>
      </c>
      <c r="C184" s="5" t="s">
        <v>32</v>
      </c>
      <c r="D184" s="5" t="s">
        <v>1008</v>
      </c>
      <c r="E184" s="5" t="s">
        <v>34</v>
      </c>
      <c r="F184" s="5" t="s">
        <v>34</v>
      </c>
      <c r="G184" s="5" t="s">
        <v>35</v>
      </c>
      <c r="H184" s="5" t="s">
        <v>35</v>
      </c>
      <c r="I184" s="5" t="s">
        <v>36</v>
      </c>
      <c r="J184" s="6">
        <v>2.0</v>
      </c>
      <c r="K184" s="6" t="s">
        <v>37</v>
      </c>
      <c r="L184" s="6">
        <v>900.0</v>
      </c>
      <c r="M184" s="8" t="s">
        <v>39</v>
      </c>
      <c r="N184" s="8" t="s">
        <v>39</v>
      </c>
      <c r="O184" s="6" t="s">
        <v>40</v>
      </c>
      <c r="P184" s="5" t="s">
        <v>41</v>
      </c>
      <c r="Q184" s="5"/>
      <c r="R184" s="6" t="s">
        <v>42</v>
      </c>
      <c r="S184" s="5" t="s">
        <v>172</v>
      </c>
      <c r="T184" s="5" t="s">
        <v>44</v>
      </c>
      <c r="U184" s="5" t="s">
        <v>44</v>
      </c>
      <c r="V184" s="5" t="s">
        <v>44</v>
      </c>
      <c r="W184" s="5" t="s">
        <v>36</v>
      </c>
      <c r="X184" s="8" t="s">
        <v>1010</v>
      </c>
      <c r="Y184" s="5" t="s">
        <v>46</v>
      </c>
      <c r="Z184" s="5" t="s">
        <v>47</v>
      </c>
      <c r="AA184" s="5" t="s">
        <v>48</v>
      </c>
      <c r="AB184" s="5" t="s">
        <v>1012</v>
      </c>
      <c r="AC184" s="6" t="s">
        <v>50</v>
      </c>
      <c r="AD184" s="6">
        <v>331.0</v>
      </c>
    </row>
    <row r="185" ht="56.25" customHeight="1">
      <c r="A185" s="5" t="s">
        <v>1007</v>
      </c>
      <c r="B185" s="6" t="str">
        <f>IMAGE("https://storage.googleapis.com/acdb/housewares/FtrBirdbus_Remake_1_0.png")</f>
        <v/>
      </c>
      <c r="C185" s="5" t="s">
        <v>52</v>
      </c>
      <c r="D185" s="5" t="s">
        <v>1008</v>
      </c>
      <c r="E185" s="5" t="s">
        <v>34</v>
      </c>
      <c r="F185" s="5" t="s">
        <v>34</v>
      </c>
      <c r="G185" s="5" t="s">
        <v>35</v>
      </c>
      <c r="H185" s="5" t="s">
        <v>35</v>
      </c>
      <c r="I185" s="5" t="s">
        <v>36</v>
      </c>
      <c r="J185" s="6">
        <v>2.0</v>
      </c>
      <c r="K185" s="6" t="s">
        <v>37</v>
      </c>
      <c r="L185" s="6">
        <v>900.0</v>
      </c>
      <c r="M185" s="8" t="s">
        <v>142</v>
      </c>
      <c r="N185" s="8" t="s">
        <v>142</v>
      </c>
      <c r="O185" s="6" t="s">
        <v>40</v>
      </c>
      <c r="P185" s="5" t="s">
        <v>41</v>
      </c>
      <c r="Q185" s="5"/>
      <c r="R185" s="6" t="s">
        <v>42</v>
      </c>
      <c r="S185" s="5" t="s">
        <v>172</v>
      </c>
      <c r="T185" s="5" t="s">
        <v>44</v>
      </c>
      <c r="U185" s="5" t="s">
        <v>44</v>
      </c>
      <c r="V185" s="5" t="s">
        <v>44</v>
      </c>
      <c r="W185" s="5" t="s">
        <v>36</v>
      </c>
      <c r="X185" s="8" t="s">
        <v>1010</v>
      </c>
      <c r="Y185" s="5" t="s">
        <v>46</v>
      </c>
      <c r="Z185" s="5" t="s">
        <v>47</v>
      </c>
      <c r="AA185" s="5" t="s">
        <v>48</v>
      </c>
      <c r="AB185" s="5" t="s">
        <v>1015</v>
      </c>
      <c r="AC185" s="6" t="s">
        <v>56</v>
      </c>
      <c r="AD185" s="6">
        <v>331.0</v>
      </c>
    </row>
    <row r="186" ht="56.25" customHeight="1">
      <c r="A186" s="5" t="s">
        <v>1007</v>
      </c>
      <c r="B186" s="6" t="str">
        <f>IMAGE("https://storage.googleapis.com/acdb/housewares/FtrBirdbus_Remake_2_0.png")</f>
        <v/>
      </c>
      <c r="C186" s="5" t="s">
        <v>57</v>
      </c>
      <c r="D186" s="5" t="s">
        <v>1008</v>
      </c>
      <c r="E186" s="5" t="s">
        <v>34</v>
      </c>
      <c r="F186" s="5" t="s">
        <v>34</v>
      </c>
      <c r="G186" s="5" t="s">
        <v>35</v>
      </c>
      <c r="H186" s="5" t="s">
        <v>35</v>
      </c>
      <c r="I186" s="5" t="s">
        <v>36</v>
      </c>
      <c r="J186" s="6">
        <v>2.0</v>
      </c>
      <c r="K186" s="6" t="s">
        <v>37</v>
      </c>
      <c r="L186" s="6">
        <v>900.0</v>
      </c>
      <c r="M186" s="8" t="s">
        <v>57</v>
      </c>
      <c r="N186" s="8" t="s">
        <v>57</v>
      </c>
      <c r="O186" s="6" t="s">
        <v>40</v>
      </c>
      <c r="P186" s="5" t="s">
        <v>41</v>
      </c>
      <c r="Q186" s="5"/>
      <c r="R186" s="6" t="s">
        <v>42</v>
      </c>
      <c r="S186" s="5" t="s">
        <v>172</v>
      </c>
      <c r="T186" s="5" t="s">
        <v>44</v>
      </c>
      <c r="U186" s="5" t="s">
        <v>44</v>
      </c>
      <c r="V186" s="5" t="s">
        <v>44</v>
      </c>
      <c r="W186" s="5" t="s">
        <v>36</v>
      </c>
      <c r="X186" s="8" t="s">
        <v>1010</v>
      </c>
      <c r="Y186" s="5" t="s">
        <v>46</v>
      </c>
      <c r="Z186" s="5" t="s">
        <v>47</v>
      </c>
      <c r="AA186" s="5" t="s">
        <v>48</v>
      </c>
      <c r="AB186" s="5" t="s">
        <v>1019</v>
      </c>
      <c r="AC186" s="6" t="s">
        <v>67</v>
      </c>
      <c r="AD186" s="6">
        <v>331.0</v>
      </c>
    </row>
    <row r="187" ht="56.25" customHeight="1">
      <c r="A187" s="5" t="s">
        <v>1007</v>
      </c>
      <c r="B187" s="6" t="str">
        <f>IMAGE("https://storage.googleapis.com/acdb/housewares/FtrBirdbus_Remake_3_0.png")</f>
        <v/>
      </c>
      <c r="C187" s="5" t="s">
        <v>54</v>
      </c>
      <c r="D187" s="5" t="s">
        <v>1008</v>
      </c>
      <c r="E187" s="5" t="s">
        <v>34</v>
      </c>
      <c r="F187" s="5" t="s">
        <v>34</v>
      </c>
      <c r="G187" s="5" t="s">
        <v>35</v>
      </c>
      <c r="H187" s="5" t="s">
        <v>35</v>
      </c>
      <c r="I187" s="5" t="s">
        <v>36</v>
      </c>
      <c r="J187" s="6">
        <v>2.0</v>
      </c>
      <c r="K187" s="6" t="s">
        <v>37</v>
      </c>
      <c r="L187" s="6">
        <v>900.0</v>
      </c>
      <c r="M187" s="5" t="s">
        <v>54</v>
      </c>
      <c r="N187" s="5" t="s">
        <v>54</v>
      </c>
      <c r="O187" s="6" t="s">
        <v>40</v>
      </c>
      <c r="P187" s="5" t="s">
        <v>41</v>
      </c>
      <c r="Q187" s="5"/>
      <c r="R187" s="6" t="s">
        <v>42</v>
      </c>
      <c r="S187" s="5" t="s">
        <v>172</v>
      </c>
      <c r="T187" s="5" t="s">
        <v>44</v>
      </c>
      <c r="U187" s="5" t="s">
        <v>44</v>
      </c>
      <c r="V187" s="5" t="s">
        <v>44</v>
      </c>
      <c r="W187" s="5" t="s">
        <v>36</v>
      </c>
      <c r="X187" s="8" t="s">
        <v>1010</v>
      </c>
      <c r="Y187" s="5" t="s">
        <v>46</v>
      </c>
      <c r="Z187" s="5" t="s">
        <v>47</v>
      </c>
      <c r="AA187" s="5" t="s">
        <v>48</v>
      </c>
      <c r="AB187" s="5" t="s">
        <v>1024</v>
      </c>
      <c r="AC187" s="6" t="s">
        <v>71</v>
      </c>
      <c r="AD187" s="6">
        <v>331.0</v>
      </c>
    </row>
    <row r="188" ht="56.25" customHeight="1">
      <c r="A188" s="5" t="s">
        <v>1025</v>
      </c>
      <c r="B188" s="6" t="str">
        <f>IMAGE("https://storage.googleapis.com/acdb/housewares/FtrBirdcage_Remake_0_0.png")</f>
        <v/>
      </c>
      <c r="C188" s="5" t="s">
        <v>39</v>
      </c>
      <c r="D188" s="5" t="s">
        <v>748</v>
      </c>
      <c r="E188" s="5" t="s">
        <v>34</v>
      </c>
      <c r="F188" s="5" t="s">
        <v>34</v>
      </c>
      <c r="G188" s="5" t="s">
        <v>35</v>
      </c>
      <c r="H188" s="5" t="s">
        <v>35</v>
      </c>
      <c r="I188" s="5" t="s">
        <v>36</v>
      </c>
      <c r="J188" s="6">
        <v>2.0</v>
      </c>
      <c r="K188" s="6" t="s">
        <v>37</v>
      </c>
      <c r="L188" s="6">
        <v>960.0</v>
      </c>
      <c r="M188" s="8" t="s">
        <v>39</v>
      </c>
      <c r="N188" s="8" t="s">
        <v>114</v>
      </c>
      <c r="O188" s="6" t="s">
        <v>40</v>
      </c>
      <c r="P188" s="5" t="s">
        <v>41</v>
      </c>
      <c r="Q188" s="5"/>
      <c r="R188" s="6" t="s">
        <v>42</v>
      </c>
      <c r="S188" s="5" t="s">
        <v>90</v>
      </c>
      <c r="T188" s="5" t="s">
        <v>44</v>
      </c>
      <c r="U188" s="5" t="s">
        <v>44</v>
      </c>
      <c r="V188" s="5" t="s">
        <v>44</v>
      </c>
      <c r="W188" s="5" t="s">
        <v>35</v>
      </c>
      <c r="X188" s="8" t="s">
        <v>330</v>
      </c>
      <c r="Y188" s="5" t="s">
        <v>46</v>
      </c>
      <c r="Z188" s="5" t="s">
        <v>47</v>
      </c>
      <c r="AA188" s="5" t="s">
        <v>48</v>
      </c>
      <c r="AB188" s="5" t="s">
        <v>1030</v>
      </c>
      <c r="AC188" s="6" t="s">
        <v>50</v>
      </c>
      <c r="AD188" s="6">
        <v>865.0</v>
      </c>
    </row>
    <row r="189" ht="56.25" customHeight="1">
      <c r="A189" s="5" t="s">
        <v>1025</v>
      </c>
      <c r="B189" s="6" t="str">
        <f>IMAGE("https://storage.googleapis.com/acdb/housewares/FtrBirdcage_Remake_1_0.png")</f>
        <v/>
      </c>
      <c r="C189" s="5" t="s">
        <v>69</v>
      </c>
      <c r="D189" s="5" t="s">
        <v>748</v>
      </c>
      <c r="E189" s="5" t="s">
        <v>34</v>
      </c>
      <c r="F189" s="5" t="s">
        <v>34</v>
      </c>
      <c r="G189" s="5" t="s">
        <v>35</v>
      </c>
      <c r="H189" s="5" t="s">
        <v>35</v>
      </c>
      <c r="I189" s="5" t="s">
        <v>36</v>
      </c>
      <c r="J189" s="6">
        <v>2.0</v>
      </c>
      <c r="K189" s="6" t="s">
        <v>37</v>
      </c>
      <c r="L189" s="6">
        <v>960.0</v>
      </c>
      <c r="M189" s="8" t="s">
        <v>69</v>
      </c>
      <c r="N189" s="8" t="s">
        <v>114</v>
      </c>
      <c r="O189" s="6" t="s">
        <v>40</v>
      </c>
      <c r="P189" s="5" t="s">
        <v>41</v>
      </c>
      <c r="Q189" s="5"/>
      <c r="R189" s="6" t="s">
        <v>42</v>
      </c>
      <c r="S189" s="5" t="s">
        <v>90</v>
      </c>
      <c r="T189" s="5" t="s">
        <v>44</v>
      </c>
      <c r="U189" s="5" t="s">
        <v>44</v>
      </c>
      <c r="V189" s="5" t="s">
        <v>44</v>
      </c>
      <c r="W189" s="5" t="s">
        <v>35</v>
      </c>
      <c r="X189" s="8" t="s">
        <v>330</v>
      </c>
      <c r="Y189" s="5" t="s">
        <v>46</v>
      </c>
      <c r="Z189" s="5" t="s">
        <v>47</v>
      </c>
      <c r="AA189" s="5" t="s">
        <v>48</v>
      </c>
      <c r="AB189" s="5" t="s">
        <v>1034</v>
      </c>
      <c r="AC189" s="6" t="s">
        <v>56</v>
      </c>
      <c r="AD189" s="6">
        <v>865.0</v>
      </c>
    </row>
    <row r="190" ht="56.25" customHeight="1">
      <c r="A190" s="5" t="s">
        <v>1025</v>
      </c>
      <c r="B190" s="6" t="str">
        <f>IMAGE("https://storage.googleapis.com/acdb/housewares/FtrBirdcage_Remake_2_0.png")</f>
        <v/>
      </c>
      <c r="C190" s="5" t="s">
        <v>68</v>
      </c>
      <c r="D190" s="5" t="s">
        <v>748</v>
      </c>
      <c r="E190" s="5" t="s">
        <v>34</v>
      </c>
      <c r="F190" s="5" t="s">
        <v>34</v>
      </c>
      <c r="G190" s="5" t="s">
        <v>35</v>
      </c>
      <c r="H190" s="5" t="s">
        <v>35</v>
      </c>
      <c r="I190" s="5" t="s">
        <v>36</v>
      </c>
      <c r="J190" s="6">
        <v>2.0</v>
      </c>
      <c r="K190" s="6" t="s">
        <v>37</v>
      </c>
      <c r="L190" s="6">
        <v>960.0</v>
      </c>
      <c r="M190" s="8" t="s">
        <v>68</v>
      </c>
      <c r="N190" s="8" t="s">
        <v>96</v>
      </c>
      <c r="O190" s="6" t="s">
        <v>40</v>
      </c>
      <c r="P190" s="5" t="s">
        <v>41</v>
      </c>
      <c r="Q190" s="5"/>
      <c r="R190" s="6" t="s">
        <v>42</v>
      </c>
      <c r="S190" s="5" t="s">
        <v>90</v>
      </c>
      <c r="T190" s="5" t="s">
        <v>44</v>
      </c>
      <c r="U190" s="5" t="s">
        <v>44</v>
      </c>
      <c r="V190" s="5" t="s">
        <v>44</v>
      </c>
      <c r="W190" s="5" t="s">
        <v>35</v>
      </c>
      <c r="X190" s="8" t="s">
        <v>330</v>
      </c>
      <c r="Y190" s="5" t="s">
        <v>46</v>
      </c>
      <c r="Z190" s="5" t="s">
        <v>47</v>
      </c>
      <c r="AA190" s="5" t="s">
        <v>48</v>
      </c>
      <c r="AB190" s="5" t="s">
        <v>1038</v>
      </c>
      <c r="AC190" s="6" t="s">
        <v>67</v>
      </c>
      <c r="AD190" s="6">
        <v>865.0</v>
      </c>
    </row>
    <row r="191" ht="56.25" customHeight="1">
      <c r="A191" s="5" t="s">
        <v>1025</v>
      </c>
      <c r="B191" s="6" t="str">
        <f>IMAGE("https://storage.googleapis.com/acdb/housewares/FtrBirdcage_Remake_3_0.png")</f>
        <v/>
      </c>
      <c r="C191" s="5" t="s">
        <v>57</v>
      </c>
      <c r="D191" s="5" t="s">
        <v>748</v>
      </c>
      <c r="E191" s="5" t="s">
        <v>34</v>
      </c>
      <c r="F191" s="5" t="s">
        <v>34</v>
      </c>
      <c r="G191" s="5" t="s">
        <v>35</v>
      </c>
      <c r="H191" s="5" t="s">
        <v>35</v>
      </c>
      <c r="I191" s="5" t="s">
        <v>36</v>
      </c>
      <c r="J191" s="6">
        <v>2.0</v>
      </c>
      <c r="K191" s="6" t="s">
        <v>37</v>
      </c>
      <c r="L191" s="6">
        <v>960.0</v>
      </c>
      <c r="M191" s="8" t="s">
        <v>57</v>
      </c>
      <c r="N191" s="8" t="s">
        <v>57</v>
      </c>
      <c r="O191" s="6" t="s">
        <v>40</v>
      </c>
      <c r="P191" s="5" t="s">
        <v>41</v>
      </c>
      <c r="Q191" s="5"/>
      <c r="R191" s="6" t="s">
        <v>42</v>
      </c>
      <c r="S191" s="5" t="s">
        <v>90</v>
      </c>
      <c r="T191" s="5" t="s">
        <v>44</v>
      </c>
      <c r="U191" s="5" t="s">
        <v>44</v>
      </c>
      <c r="V191" s="5" t="s">
        <v>44</v>
      </c>
      <c r="W191" s="5" t="s">
        <v>35</v>
      </c>
      <c r="X191" s="8" t="s">
        <v>330</v>
      </c>
      <c r="Y191" s="5" t="s">
        <v>46</v>
      </c>
      <c r="Z191" s="5" t="s">
        <v>47</v>
      </c>
      <c r="AA191" s="5" t="s">
        <v>48</v>
      </c>
      <c r="AB191" s="5" t="s">
        <v>1042</v>
      </c>
      <c r="AC191" s="6" t="s">
        <v>71</v>
      </c>
      <c r="AD191" s="6">
        <v>865.0</v>
      </c>
    </row>
    <row r="192" ht="56.25" customHeight="1">
      <c r="A192" s="5" t="s">
        <v>1025</v>
      </c>
      <c r="B192" s="6" t="str">
        <f>IMAGE("https://storage.googleapis.com/acdb/housewares/FtrBirdcage_Remake_4_0.png")</f>
        <v/>
      </c>
      <c r="C192" s="5" t="s">
        <v>54</v>
      </c>
      <c r="D192" s="5" t="s">
        <v>748</v>
      </c>
      <c r="E192" s="5" t="s">
        <v>34</v>
      </c>
      <c r="F192" s="5" t="s">
        <v>34</v>
      </c>
      <c r="G192" s="5" t="s">
        <v>35</v>
      </c>
      <c r="H192" s="5" t="s">
        <v>35</v>
      </c>
      <c r="I192" s="5" t="s">
        <v>36</v>
      </c>
      <c r="J192" s="6">
        <v>2.0</v>
      </c>
      <c r="K192" s="6" t="s">
        <v>37</v>
      </c>
      <c r="L192" s="6">
        <v>960.0</v>
      </c>
      <c r="M192" s="5" t="s">
        <v>54</v>
      </c>
      <c r="N192" s="8" t="s">
        <v>57</v>
      </c>
      <c r="O192" s="6" t="s">
        <v>40</v>
      </c>
      <c r="P192" s="5" t="s">
        <v>41</v>
      </c>
      <c r="Q192" s="5"/>
      <c r="R192" s="6" t="s">
        <v>42</v>
      </c>
      <c r="S192" s="5" t="s">
        <v>90</v>
      </c>
      <c r="T192" s="5" t="s">
        <v>44</v>
      </c>
      <c r="U192" s="5" t="s">
        <v>44</v>
      </c>
      <c r="V192" s="5" t="s">
        <v>44</v>
      </c>
      <c r="W192" s="5" t="s">
        <v>35</v>
      </c>
      <c r="X192" s="8" t="s">
        <v>330</v>
      </c>
      <c r="Y192" s="5" t="s">
        <v>46</v>
      </c>
      <c r="Z192" s="5" t="s">
        <v>47</v>
      </c>
      <c r="AA192" s="5" t="s">
        <v>48</v>
      </c>
      <c r="AB192" s="5" t="s">
        <v>1048</v>
      </c>
      <c r="AC192" s="6" t="s">
        <v>75</v>
      </c>
      <c r="AD192" s="6">
        <v>865.0</v>
      </c>
    </row>
    <row r="193" ht="56.25" customHeight="1">
      <c r="A193" s="5" t="s">
        <v>1050</v>
      </c>
      <c r="B193" s="6" t="str">
        <f>IMAGE("https://storage.googleapis.com/acdb/housewares/FtrBirdhouse_Remake_0_0.png")</f>
        <v/>
      </c>
      <c r="C193" s="5" t="s">
        <v>32</v>
      </c>
      <c r="D193" s="5" t="s">
        <v>748</v>
      </c>
      <c r="E193" s="5" t="s">
        <v>34</v>
      </c>
      <c r="F193" s="5" t="s">
        <v>34</v>
      </c>
      <c r="G193" s="5" t="s">
        <v>35</v>
      </c>
      <c r="H193" s="5" t="s">
        <v>35</v>
      </c>
      <c r="I193" s="5" t="s">
        <v>36</v>
      </c>
      <c r="J193" s="6">
        <v>2.0</v>
      </c>
      <c r="K193" s="6" t="s">
        <v>37</v>
      </c>
      <c r="L193" s="6">
        <v>840.0</v>
      </c>
      <c r="M193" s="8" t="s">
        <v>39</v>
      </c>
      <c r="N193" s="8" t="s">
        <v>114</v>
      </c>
      <c r="O193" s="6" t="s">
        <v>40</v>
      </c>
      <c r="P193" s="5" t="s">
        <v>41</v>
      </c>
      <c r="Q193" s="5"/>
      <c r="R193" s="6" t="s">
        <v>42</v>
      </c>
      <c r="S193" s="5" t="s">
        <v>172</v>
      </c>
      <c r="T193" s="5" t="s">
        <v>44</v>
      </c>
      <c r="U193" s="5" t="s">
        <v>44</v>
      </c>
      <c r="V193" s="5" t="s">
        <v>44</v>
      </c>
      <c r="W193" s="5" t="s">
        <v>36</v>
      </c>
      <c r="X193" s="8" t="s">
        <v>330</v>
      </c>
      <c r="Y193" s="5" t="s">
        <v>46</v>
      </c>
      <c r="Z193" s="5" t="s">
        <v>47</v>
      </c>
      <c r="AA193" s="5" t="s">
        <v>48</v>
      </c>
      <c r="AB193" s="5" t="s">
        <v>1056</v>
      </c>
      <c r="AC193" s="6" t="s">
        <v>50</v>
      </c>
      <c r="AD193" s="6">
        <v>333.0</v>
      </c>
    </row>
    <row r="194" ht="56.25" customHeight="1">
      <c r="A194" s="5" t="s">
        <v>1050</v>
      </c>
      <c r="B194" s="6" t="str">
        <f>IMAGE("https://storage.googleapis.com/acdb/housewares/FtrBirdhouse_Remake_1_0.png")</f>
        <v/>
      </c>
      <c r="C194" s="5" t="s">
        <v>387</v>
      </c>
      <c r="D194" s="5" t="s">
        <v>748</v>
      </c>
      <c r="E194" s="5" t="s">
        <v>34</v>
      </c>
      <c r="F194" s="5" t="s">
        <v>34</v>
      </c>
      <c r="G194" s="5" t="s">
        <v>35</v>
      </c>
      <c r="H194" s="5" t="s">
        <v>35</v>
      </c>
      <c r="I194" s="5" t="s">
        <v>36</v>
      </c>
      <c r="J194" s="6">
        <v>2.0</v>
      </c>
      <c r="K194" s="6" t="s">
        <v>37</v>
      </c>
      <c r="L194" s="6">
        <v>840.0</v>
      </c>
      <c r="M194" s="8" t="s">
        <v>39</v>
      </c>
      <c r="N194" s="8" t="s">
        <v>39</v>
      </c>
      <c r="O194" s="6" t="s">
        <v>40</v>
      </c>
      <c r="P194" s="5" t="s">
        <v>41</v>
      </c>
      <c r="Q194" s="5"/>
      <c r="R194" s="6" t="s">
        <v>42</v>
      </c>
      <c r="S194" s="5" t="s">
        <v>172</v>
      </c>
      <c r="T194" s="5" t="s">
        <v>44</v>
      </c>
      <c r="U194" s="5" t="s">
        <v>44</v>
      </c>
      <c r="V194" s="5" t="s">
        <v>44</v>
      </c>
      <c r="W194" s="5" t="s">
        <v>36</v>
      </c>
      <c r="X194" s="8" t="s">
        <v>330</v>
      </c>
      <c r="Y194" s="5" t="s">
        <v>46</v>
      </c>
      <c r="Z194" s="5" t="s">
        <v>47</v>
      </c>
      <c r="AA194" s="5" t="s">
        <v>48</v>
      </c>
      <c r="AB194" s="5" t="s">
        <v>1064</v>
      </c>
      <c r="AC194" s="6" t="s">
        <v>56</v>
      </c>
      <c r="AD194" s="6">
        <v>333.0</v>
      </c>
    </row>
    <row r="195" ht="56.25" customHeight="1">
      <c r="A195" s="5" t="s">
        <v>1050</v>
      </c>
      <c r="B195" s="6" t="str">
        <f>IMAGE("https://storage.googleapis.com/acdb/housewares/FtrBirdhouse_Remake_2_0.png")</f>
        <v/>
      </c>
      <c r="C195" s="5" t="s">
        <v>1065</v>
      </c>
      <c r="D195" s="5" t="s">
        <v>748</v>
      </c>
      <c r="E195" s="5" t="s">
        <v>34</v>
      </c>
      <c r="F195" s="5" t="s">
        <v>34</v>
      </c>
      <c r="G195" s="5" t="s">
        <v>35</v>
      </c>
      <c r="H195" s="5" t="s">
        <v>35</v>
      </c>
      <c r="I195" s="5" t="s">
        <v>36</v>
      </c>
      <c r="J195" s="6">
        <v>2.0</v>
      </c>
      <c r="K195" s="6" t="s">
        <v>37</v>
      </c>
      <c r="L195" s="6">
        <v>840.0</v>
      </c>
      <c r="M195" s="8" t="s">
        <v>39</v>
      </c>
      <c r="N195" s="8" t="s">
        <v>57</v>
      </c>
      <c r="O195" s="6" t="s">
        <v>40</v>
      </c>
      <c r="P195" s="5" t="s">
        <v>41</v>
      </c>
      <c r="Q195" s="5"/>
      <c r="R195" s="6" t="s">
        <v>42</v>
      </c>
      <c r="S195" s="5" t="s">
        <v>172</v>
      </c>
      <c r="T195" s="5" t="s">
        <v>44</v>
      </c>
      <c r="U195" s="5" t="s">
        <v>44</v>
      </c>
      <c r="V195" s="5" t="s">
        <v>44</v>
      </c>
      <c r="W195" s="5" t="s">
        <v>36</v>
      </c>
      <c r="X195" s="8" t="s">
        <v>330</v>
      </c>
      <c r="Y195" s="5" t="s">
        <v>46</v>
      </c>
      <c r="Z195" s="5" t="s">
        <v>47</v>
      </c>
      <c r="AA195" s="5" t="s">
        <v>48</v>
      </c>
      <c r="AB195" s="5" t="s">
        <v>1069</v>
      </c>
      <c r="AC195" s="6" t="s">
        <v>67</v>
      </c>
      <c r="AD195" s="6">
        <v>333.0</v>
      </c>
    </row>
    <row r="196" ht="56.25" customHeight="1">
      <c r="A196" s="5" t="s">
        <v>1050</v>
      </c>
      <c r="B196" s="6" t="str">
        <f>IMAGE("https://storage.googleapis.com/acdb/housewares/FtrBirdhouse_Remake_3_0.png")</f>
        <v/>
      </c>
      <c r="C196" s="5" t="s">
        <v>651</v>
      </c>
      <c r="D196" s="5" t="s">
        <v>748</v>
      </c>
      <c r="E196" s="5" t="s">
        <v>34</v>
      </c>
      <c r="F196" s="5" t="s">
        <v>34</v>
      </c>
      <c r="G196" s="5" t="s">
        <v>35</v>
      </c>
      <c r="H196" s="5" t="s">
        <v>35</v>
      </c>
      <c r="I196" s="5" t="s">
        <v>36</v>
      </c>
      <c r="J196" s="6">
        <v>2.0</v>
      </c>
      <c r="K196" s="6" t="s">
        <v>37</v>
      </c>
      <c r="L196" s="6">
        <v>840.0</v>
      </c>
      <c r="M196" s="8" t="s">
        <v>52</v>
      </c>
      <c r="N196" s="8" t="s">
        <v>114</v>
      </c>
      <c r="O196" s="6" t="s">
        <v>40</v>
      </c>
      <c r="P196" s="5" t="s">
        <v>41</v>
      </c>
      <c r="Q196" s="5"/>
      <c r="R196" s="6" t="s">
        <v>42</v>
      </c>
      <c r="S196" s="5" t="s">
        <v>172</v>
      </c>
      <c r="T196" s="5" t="s">
        <v>44</v>
      </c>
      <c r="U196" s="5" t="s">
        <v>44</v>
      </c>
      <c r="V196" s="5" t="s">
        <v>44</v>
      </c>
      <c r="W196" s="5" t="s">
        <v>36</v>
      </c>
      <c r="X196" s="8" t="s">
        <v>330</v>
      </c>
      <c r="Y196" s="5" t="s">
        <v>46</v>
      </c>
      <c r="Z196" s="5" t="s">
        <v>47</v>
      </c>
      <c r="AA196" s="5" t="s">
        <v>48</v>
      </c>
      <c r="AB196" s="5" t="s">
        <v>1074</v>
      </c>
      <c r="AC196" s="6" t="s">
        <v>71</v>
      </c>
      <c r="AD196" s="6">
        <v>333.0</v>
      </c>
    </row>
    <row r="197" ht="56.25" customHeight="1">
      <c r="A197" s="5" t="s">
        <v>1050</v>
      </c>
      <c r="B197" s="6" t="str">
        <f>IMAGE("https://storage.googleapis.com/acdb/housewares/FtrBirdhouse_Remake_4_0.png")</f>
        <v/>
      </c>
      <c r="C197" s="5" t="s">
        <v>68</v>
      </c>
      <c r="D197" s="5" t="s">
        <v>748</v>
      </c>
      <c r="E197" s="5" t="s">
        <v>34</v>
      </c>
      <c r="F197" s="5" t="s">
        <v>34</v>
      </c>
      <c r="G197" s="5" t="s">
        <v>35</v>
      </c>
      <c r="H197" s="5" t="s">
        <v>35</v>
      </c>
      <c r="I197" s="5" t="s">
        <v>36</v>
      </c>
      <c r="J197" s="6">
        <v>2.0</v>
      </c>
      <c r="K197" s="6" t="s">
        <v>37</v>
      </c>
      <c r="L197" s="6">
        <v>840.0</v>
      </c>
      <c r="M197" s="8" t="s">
        <v>68</v>
      </c>
      <c r="N197" s="8" t="s">
        <v>68</v>
      </c>
      <c r="O197" s="6" t="s">
        <v>40</v>
      </c>
      <c r="P197" s="5" t="s">
        <v>41</v>
      </c>
      <c r="Q197" s="5"/>
      <c r="R197" s="6" t="s">
        <v>42</v>
      </c>
      <c r="S197" s="5" t="s">
        <v>172</v>
      </c>
      <c r="T197" s="5" t="s">
        <v>44</v>
      </c>
      <c r="U197" s="5" t="s">
        <v>44</v>
      </c>
      <c r="V197" s="5" t="s">
        <v>44</v>
      </c>
      <c r="W197" s="5" t="s">
        <v>36</v>
      </c>
      <c r="X197" s="8" t="s">
        <v>330</v>
      </c>
      <c r="Y197" s="5" t="s">
        <v>46</v>
      </c>
      <c r="Z197" s="5" t="s">
        <v>47</v>
      </c>
      <c r="AA197" s="5" t="s">
        <v>48</v>
      </c>
      <c r="AB197" s="5" t="s">
        <v>1080</v>
      </c>
      <c r="AC197" s="6" t="s">
        <v>75</v>
      </c>
      <c r="AD197" s="6">
        <v>333.0</v>
      </c>
    </row>
    <row r="198" ht="56.25" customHeight="1">
      <c r="A198" s="5" t="s">
        <v>1050</v>
      </c>
      <c r="B198" s="6" t="str">
        <f>IMAGE("https://storage.googleapis.com/acdb/housewares/FtrBirdhouse_Remake_5_0.png")</f>
        <v/>
      </c>
      <c r="C198" s="5" t="s">
        <v>57</v>
      </c>
      <c r="D198" s="5" t="s">
        <v>748</v>
      </c>
      <c r="E198" s="5" t="s">
        <v>34</v>
      </c>
      <c r="F198" s="5" t="s">
        <v>34</v>
      </c>
      <c r="G198" s="5" t="s">
        <v>35</v>
      </c>
      <c r="H198" s="5" t="s">
        <v>35</v>
      </c>
      <c r="I198" s="5" t="s">
        <v>36</v>
      </c>
      <c r="J198" s="6">
        <v>2.0</v>
      </c>
      <c r="K198" s="6" t="s">
        <v>37</v>
      </c>
      <c r="L198" s="6">
        <v>840.0</v>
      </c>
      <c r="M198" s="5" t="s">
        <v>57</v>
      </c>
      <c r="N198" s="5" t="s">
        <v>57</v>
      </c>
      <c r="O198" s="6" t="s">
        <v>40</v>
      </c>
      <c r="P198" s="5" t="s">
        <v>41</v>
      </c>
      <c r="Q198" s="5"/>
      <c r="R198" s="6" t="s">
        <v>42</v>
      </c>
      <c r="S198" s="5" t="s">
        <v>172</v>
      </c>
      <c r="T198" s="5" t="s">
        <v>44</v>
      </c>
      <c r="U198" s="5" t="s">
        <v>44</v>
      </c>
      <c r="V198" s="5" t="s">
        <v>44</v>
      </c>
      <c r="W198" s="5" t="s">
        <v>36</v>
      </c>
      <c r="X198" s="8" t="s">
        <v>330</v>
      </c>
      <c r="Y198" s="5" t="s">
        <v>46</v>
      </c>
      <c r="Z198" s="5" t="s">
        <v>47</v>
      </c>
      <c r="AA198" s="5" t="s">
        <v>48</v>
      </c>
      <c r="AB198" s="5" t="s">
        <v>1083</v>
      </c>
      <c r="AC198" s="6" t="s">
        <v>79</v>
      </c>
      <c r="AD198" s="6">
        <v>333.0</v>
      </c>
    </row>
    <row r="199" ht="56.25" customHeight="1">
      <c r="A199" s="5" t="s">
        <v>1084</v>
      </c>
      <c r="B199" s="6" t="str">
        <f>IMAGE("https://storage.googleapis.com/acdb/housewares/FtrBirthdayBoard_Remake_0_0.png")</f>
        <v/>
      </c>
      <c r="C199" s="5" t="s">
        <v>58</v>
      </c>
      <c r="D199" s="5" t="s">
        <v>2</v>
      </c>
      <c r="E199" s="5" t="s">
        <v>34</v>
      </c>
      <c r="F199" s="5" t="s">
        <v>34</v>
      </c>
      <c r="G199" s="5" t="s">
        <v>36</v>
      </c>
      <c r="H199" s="5" t="s">
        <v>35</v>
      </c>
      <c r="I199" s="5" t="s">
        <v>36</v>
      </c>
      <c r="J199" s="6">
        <v>1.0</v>
      </c>
      <c r="K199" s="6" t="s">
        <v>37</v>
      </c>
      <c r="L199" s="6">
        <v>300.0</v>
      </c>
      <c r="M199" s="8" t="s">
        <v>58</v>
      </c>
      <c r="N199" s="8" t="s">
        <v>58</v>
      </c>
      <c r="O199" s="6" t="s">
        <v>276</v>
      </c>
      <c r="P199" s="5" t="s">
        <v>588</v>
      </c>
      <c r="Q199" s="5"/>
      <c r="R199" s="6" t="s">
        <v>42</v>
      </c>
      <c r="S199" s="5" t="s">
        <v>465</v>
      </c>
      <c r="T199" s="5" t="s">
        <v>61</v>
      </c>
      <c r="U199" s="5" t="s">
        <v>44</v>
      </c>
      <c r="V199" s="5" t="s">
        <v>589</v>
      </c>
      <c r="W199" s="5" t="s">
        <v>36</v>
      </c>
      <c r="X199" s="8" t="s">
        <v>590</v>
      </c>
      <c r="Y199" s="5" t="s">
        <v>46</v>
      </c>
      <c r="Z199" s="5" t="s">
        <v>47</v>
      </c>
      <c r="AA199" s="5" t="s">
        <v>48</v>
      </c>
      <c r="AB199" s="5" t="s">
        <v>1087</v>
      </c>
      <c r="AC199" s="6" t="s">
        <v>50</v>
      </c>
      <c r="AD199" s="6">
        <v>3594.0</v>
      </c>
    </row>
    <row r="200" ht="56.25" customHeight="1">
      <c r="A200" s="5" t="s">
        <v>1084</v>
      </c>
      <c r="B200" s="6" t="str">
        <f>IMAGE("https://storage.googleapis.com/acdb/housewares/FtrBirthdayBoard_Remake_1_0.png")</f>
        <v/>
      </c>
      <c r="C200" s="5" t="s">
        <v>69</v>
      </c>
      <c r="D200" s="5" t="s">
        <v>2</v>
      </c>
      <c r="E200" s="5" t="s">
        <v>34</v>
      </c>
      <c r="F200" s="5" t="s">
        <v>34</v>
      </c>
      <c r="G200" s="5" t="s">
        <v>36</v>
      </c>
      <c r="H200" s="5" t="s">
        <v>35</v>
      </c>
      <c r="I200" s="5" t="s">
        <v>36</v>
      </c>
      <c r="J200" s="6">
        <v>1.0</v>
      </c>
      <c r="K200" s="6" t="s">
        <v>37</v>
      </c>
      <c r="L200" s="6">
        <v>300.0</v>
      </c>
      <c r="M200" s="8" t="s">
        <v>58</v>
      </c>
      <c r="N200" s="8" t="s">
        <v>69</v>
      </c>
      <c r="O200" s="6" t="s">
        <v>276</v>
      </c>
      <c r="P200" s="5" t="s">
        <v>588</v>
      </c>
      <c r="Q200" s="5"/>
      <c r="R200" s="6" t="s">
        <v>42</v>
      </c>
      <c r="S200" s="5" t="s">
        <v>465</v>
      </c>
      <c r="T200" s="5" t="s">
        <v>61</v>
      </c>
      <c r="U200" s="5" t="s">
        <v>44</v>
      </c>
      <c r="V200" s="5" t="s">
        <v>589</v>
      </c>
      <c r="W200" s="5" t="s">
        <v>36</v>
      </c>
      <c r="X200" s="8" t="s">
        <v>590</v>
      </c>
      <c r="Y200" s="5" t="s">
        <v>46</v>
      </c>
      <c r="Z200" s="5" t="s">
        <v>47</v>
      </c>
      <c r="AA200" s="5" t="s">
        <v>48</v>
      </c>
      <c r="AB200" s="5" t="s">
        <v>1091</v>
      </c>
      <c r="AC200" s="6" t="s">
        <v>56</v>
      </c>
      <c r="AD200" s="6">
        <v>3594.0</v>
      </c>
    </row>
    <row r="201" ht="56.25" customHeight="1">
      <c r="A201" s="5" t="s">
        <v>1084</v>
      </c>
      <c r="B201" s="6" t="str">
        <f>IMAGE("https://storage.googleapis.com/acdb/housewares/FtrBirthdayBoard_Remake_2_0.png")</f>
        <v/>
      </c>
      <c r="C201" s="5" t="s">
        <v>68</v>
      </c>
      <c r="D201" s="5" t="s">
        <v>2</v>
      </c>
      <c r="E201" s="5" t="s">
        <v>34</v>
      </c>
      <c r="F201" s="5" t="s">
        <v>34</v>
      </c>
      <c r="G201" s="5" t="s">
        <v>36</v>
      </c>
      <c r="H201" s="5" t="s">
        <v>35</v>
      </c>
      <c r="I201" s="5" t="s">
        <v>36</v>
      </c>
      <c r="J201" s="6">
        <v>1.0</v>
      </c>
      <c r="K201" s="6" t="s">
        <v>37</v>
      </c>
      <c r="L201" s="6">
        <v>300.0</v>
      </c>
      <c r="M201" s="8" t="s">
        <v>58</v>
      </c>
      <c r="N201" s="8" t="s">
        <v>68</v>
      </c>
      <c r="O201" s="6" t="s">
        <v>276</v>
      </c>
      <c r="P201" s="5" t="s">
        <v>588</v>
      </c>
      <c r="Q201" s="5"/>
      <c r="R201" s="6" t="s">
        <v>42</v>
      </c>
      <c r="S201" s="5" t="s">
        <v>465</v>
      </c>
      <c r="T201" s="5" t="s">
        <v>61</v>
      </c>
      <c r="U201" s="5" t="s">
        <v>44</v>
      </c>
      <c r="V201" s="5" t="s">
        <v>589</v>
      </c>
      <c r="W201" s="5" t="s">
        <v>36</v>
      </c>
      <c r="X201" s="8" t="s">
        <v>590</v>
      </c>
      <c r="Y201" s="5" t="s">
        <v>46</v>
      </c>
      <c r="Z201" s="5" t="s">
        <v>47</v>
      </c>
      <c r="AA201" s="5" t="s">
        <v>48</v>
      </c>
      <c r="AB201" s="5" t="s">
        <v>1094</v>
      </c>
      <c r="AC201" s="6" t="s">
        <v>67</v>
      </c>
      <c r="AD201" s="6">
        <v>3594.0</v>
      </c>
    </row>
    <row r="202" ht="56.25" customHeight="1">
      <c r="A202" s="5" t="s">
        <v>1084</v>
      </c>
      <c r="B202" s="6" t="str">
        <f>IMAGE("https://storage.googleapis.com/acdb/housewares/FtrBirthdayBoard_Remake_3_0.png")</f>
        <v/>
      </c>
      <c r="C202" s="5" t="s">
        <v>96</v>
      </c>
      <c r="D202" s="5" t="s">
        <v>2</v>
      </c>
      <c r="E202" s="5" t="s">
        <v>34</v>
      </c>
      <c r="F202" s="5" t="s">
        <v>34</v>
      </c>
      <c r="G202" s="5" t="s">
        <v>36</v>
      </c>
      <c r="H202" s="5" t="s">
        <v>35</v>
      </c>
      <c r="I202" s="5" t="s">
        <v>36</v>
      </c>
      <c r="J202" s="6">
        <v>1.0</v>
      </c>
      <c r="K202" s="6" t="s">
        <v>37</v>
      </c>
      <c r="L202" s="6">
        <v>300.0</v>
      </c>
      <c r="M202" s="8" t="s">
        <v>58</v>
      </c>
      <c r="N202" s="5" t="s">
        <v>96</v>
      </c>
      <c r="O202" s="6" t="s">
        <v>276</v>
      </c>
      <c r="P202" s="5" t="s">
        <v>588</v>
      </c>
      <c r="Q202" s="5"/>
      <c r="R202" s="6" t="s">
        <v>42</v>
      </c>
      <c r="S202" s="5" t="s">
        <v>465</v>
      </c>
      <c r="T202" s="5" t="s">
        <v>61</v>
      </c>
      <c r="U202" s="5" t="s">
        <v>44</v>
      </c>
      <c r="V202" s="5" t="s">
        <v>589</v>
      </c>
      <c r="W202" s="5" t="s">
        <v>36</v>
      </c>
      <c r="X202" s="8" t="s">
        <v>590</v>
      </c>
      <c r="Y202" s="5" t="s">
        <v>46</v>
      </c>
      <c r="Z202" s="5" t="s">
        <v>47</v>
      </c>
      <c r="AA202" s="5" t="s">
        <v>48</v>
      </c>
      <c r="AB202" s="5" t="s">
        <v>1097</v>
      </c>
      <c r="AC202" s="6" t="s">
        <v>71</v>
      </c>
      <c r="AD202" s="6">
        <v>3594.0</v>
      </c>
    </row>
    <row r="203" ht="56.25" customHeight="1">
      <c r="A203" s="5" t="s">
        <v>1084</v>
      </c>
      <c r="B203" s="6" t="str">
        <f>IMAGE("https://storage.googleapis.com/acdb/housewares/FtrBirthdayBoard_Remake_4_0.png")</f>
        <v/>
      </c>
      <c r="C203" s="5" t="s">
        <v>142</v>
      </c>
      <c r="D203" s="5" t="s">
        <v>2</v>
      </c>
      <c r="E203" s="5" t="s">
        <v>34</v>
      </c>
      <c r="F203" s="5" t="s">
        <v>34</v>
      </c>
      <c r="G203" s="5" t="s">
        <v>36</v>
      </c>
      <c r="H203" s="5" t="s">
        <v>35</v>
      </c>
      <c r="I203" s="5" t="s">
        <v>36</v>
      </c>
      <c r="J203" s="6">
        <v>1.0</v>
      </c>
      <c r="K203" s="6" t="s">
        <v>37</v>
      </c>
      <c r="L203" s="6">
        <v>300.0</v>
      </c>
      <c r="M203" s="8" t="s">
        <v>58</v>
      </c>
      <c r="N203" s="5" t="s">
        <v>142</v>
      </c>
      <c r="O203" s="6" t="s">
        <v>276</v>
      </c>
      <c r="P203" s="5" t="s">
        <v>588</v>
      </c>
      <c r="Q203" s="5"/>
      <c r="R203" s="6" t="s">
        <v>42</v>
      </c>
      <c r="S203" s="5" t="s">
        <v>465</v>
      </c>
      <c r="T203" s="5" t="s">
        <v>61</v>
      </c>
      <c r="U203" s="5" t="s">
        <v>44</v>
      </c>
      <c r="V203" s="5" t="s">
        <v>589</v>
      </c>
      <c r="W203" s="5" t="s">
        <v>36</v>
      </c>
      <c r="X203" s="8" t="s">
        <v>590</v>
      </c>
      <c r="Y203" s="5" t="s">
        <v>46</v>
      </c>
      <c r="Z203" s="5" t="s">
        <v>47</v>
      </c>
      <c r="AA203" s="5" t="s">
        <v>48</v>
      </c>
      <c r="AB203" s="5" t="s">
        <v>1102</v>
      </c>
      <c r="AC203" s="6" t="s">
        <v>75</v>
      </c>
      <c r="AD203" s="6">
        <v>3594.0</v>
      </c>
    </row>
    <row r="204" ht="56.25" customHeight="1">
      <c r="A204" s="5" t="s">
        <v>1084</v>
      </c>
      <c r="B204" s="6" t="str">
        <f>IMAGE("https://storage.googleapis.com/acdb/housewares/FtrBirthdayBoard_Remake_5_0.png")</f>
        <v/>
      </c>
      <c r="C204" s="5" t="s">
        <v>612</v>
      </c>
      <c r="D204" s="5" t="s">
        <v>2</v>
      </c>
      <c r="E204" s="5" t="s">
        <v>34</v>
      </c>
      <c r="F204" s="5" t="s">
        <v>34</v>
      </c>
      <c r="G204" s="5" t="s">
        <v>36</v>
      </c>
      <c r="H204" s="5" t="s">
        <v>35</v>
      </c>
      <c r="I204" s="5" t="s">
        <v>36</v>
      </c>
      <c r="J204" s="6">
        <v>1.0</v>
      </c>
      <c r="K204" s="6" t="s">
        <v>37</v>
      </c>
      <c r="L204" s="6">
        <v>300.0</v>
      </c>
      <c r="M204" s="8" t="s">
        <v>58</v>
      </c>
      <c r="N204" s="5" t="s">
        <v>95</v>
      </c>
      <c r="O204" s="6" t="s">
        <v>276</v>
      </c>
      <c r="P204" s="5" t="s">
        <v>588</v>
      </c>
      <c r="Q204" s="5"/>
      <c r="R204" s="6" t="s">
        <v>42</v>
      </c>
      <c r="S204" s="5" t="s">
        <v>465</v>
      </c>
      <c r="T204" s="5" t="s">
        <v>61</v>
      </c>
      <c r="U204" s="5" t="s">
        <v>44</v>
      </c>
      <c r="V204" s="5" t="s">
        <v>589</v>
      </c>
      <c r="W204" s="5" t="s">
        <v>36</v>
      </c>
      <c r="X204" s="8" t="s">
        <v>590</v>
      </c>
      <c r="Y204" s="5" t="s">
        <v>46</v>
      </c>
      <c r="Z204" s="5" t="s">
        <v>47</v>
      </c>
      <c r="AA204" s="5" t="s">
        <v>48</v>
      </c>
      <c r="AB204" s="5" t="s">
        <v>1106</v>
      </c>
      <c r="AC204" s="6" t="s">
        <v>79</v>
      </c>
      <c r="AD204" s="6">
        <v>3594.0</v>
      </c>
    </row>
    <row r="205" ht="56.25" customHeight="1">
      <c r="A205" s="5" t="s">
        <v>1107</v>
      </c>
      <c r="B205" s="6" t="str">
        <f>IMAGE("https://storage.googleapis.com/acdb/housewares/FtrBirthdayTable_Remake_0_0.png")</f>
        <v/>
      </c>
      <c r="C205" s="5" t="s">
        <v>58</v>
      </c>
      <c r="D205" s="5" t="s">
        <v>2</v>
      </c>
      <c r="E205" s="5" t="s">
        <v>34</v>
      </c>
      <c r="F205" s="5" t="s">
        <v>34</v>
      </c>
      <c r="G205" s="5" t="s">
        <v>36</v>
      </c>
      <c r="H205" s="5" t="s">
        <v>35</v>
      </c>
      <c r="I205" s="5" t="s">
        <v>36</v>
      </c>
      <c r="J205" s="6">
        <v>1.0</v>
      </c>
      <c r="K205" s="6" t="s">
        <v>37</v>
      </c>
      <c r="L205" s="6">
        <v>300.0</v>
      </c>
      <c r="M205" s="5" t="s">
        <v>57</v>
      </c>
      <c r="N205" s="8" t="s">
        <v>58</v>
      </c>
      <c r="O205" s="6" t="s">
        <v>214</v>
      </c>
      <c r="P205" s="5" t="s">
        <v>588</v>
      </c>
      <c r="Q205" s="5"/>
      <c r="R205" s="6" t="s">
        <v>42</v>
      </c>
      <c r="S205" s="5" t="s">
        <v>465</v>
      </c>
      <c r="T205" s="5" t="s">
        <v>61</v>
      </c>
      <c r="U205" s="5" t="s">
        <v>44</v>
      </c>
      <c r="V205" s="5" t="s">
        <v>589</v>
      </c>
      <c r="W205" s="5" t="s">
        <v>35</v>
      </c>
      <c r="X205" s="8" t="s">
        <v>278</v>
      </c>
      <c r="Y205" s="5" t="s">
        <v>46</v>
      </c>
      <c r="Z205" s="5" t="s">
        <v>495</v>
      </c>
      <c r="AA205" s="5" t="s">
        <v>48</v>
      </c>
      <c r="AB205" s="5" t="s">
        <v>1111</v>
      </c>
      <c r="AC205" s="6" t="s">
        <v>50</v>
      </c>
      <c r="AD205" s="6">
        <v>3593.0</v>
      </c>
    </row>
    <row r="206" ht="56.25" customHeight="1">
      <c r="A206" s="5" t="s">
        <v>1107</v>
      </c>
      <c r="B206" s="6" t="str">
        <f>IMAGE("https://storage.googleapis.com/acdb/housewares/FtrBirthdayTable_Remake_1_0.png")</f>
        <v/>
      </c>
      <c r="C206" s="5" t="s">
        <v>69</v>
      </c>
      <c r="D206" s="5" t="s">
        <v>2</v>
      </c>
      <c r="E206" s="5" t="s">
        <v>34</v>
      </c>
      <c r="F206" s="5" t="s">
        <v>34</v>
      </c>
      <c r="G206" s="5" t="s">
        <v>36</v>
      </c>
      <c r="H206" s="5" t="s">
        <v>35</v>
      </c>
      <c r="I206" s="5" t="s">
        <v>36</v>
      </c>
      <c r="J206" s="6">
        <v>1.0</v>
      </c>
      <c r="K206" s="6" t="s">
        <v>37</v>
      </c>
      <c r="L206" s="6">
        <v>300.0</v>
      </c>
      <c r="M206" s="5" t="s">
        <v>69</v>
      </c>
      <c r="N206" s="8" t="s">
        <v>58</v>
      </c>
      <c r="O206" s="6" t="s">
        <v>214</v>
      </c>
      <c r="P206" s="5" t="s">
        <v>588</v>
      </c>
      <c r="Q206" s="5"/>
      <c r="R206" s="6" t="s">
        <v>42</v>
      </c>
      <c r="S206" s="5" t="s">
        <v>465</v>
      </c>
      <c r="T206" s="5" t="s">
        <v>61</v>
      </c>
      <c r="U206" s="5" t="s">
        <v>44</v>
      </c>
      <c r="V206" s="5" t="s">
        <v>589</v>
      </c>
      <c r="W206" s="5" t="s">
        <v>35</v>
      </c>
      <c r="X206" s="8" t="s">
        <v>278</v>
      </c>
      <c r="Y206" s="5" t="s">
        <v>46</v>
      </c>
      <c r="Z206" s="5" t="s">
        <v>495</v>
      </c>
      <c r="AA206" s="5" t="s">
        <v>48</v>
      </c>
      <c r="AB206" s="5" t="s">
        <v>1116</v>
      </c>
      <c r="AC206" s="6" t="s">
        <v>56</v>
      </c>
      <c r="AD206" s="6">
        <v>3593.0</v>
      </c>
    </row>
    <row r="207" ht="56.25" customHeight="1">
      <c r="A207" s="5" t="s">
        <v>1107</v>
      </c>
      <c r="B207" s="6" t="str">
        <f>IMAGE("https://storage.googleapis.com/acdb/housewares/FtrBirthdayTable_Remake_2_0.png")</f>
        <v/>
      </c>
      <c r="C207" s="5" t="s">
        <v>68</v>
      </c>
      <c r="D207" s="5" t="s">
        <v>2</v>
      </c>
      <c r="E207" s="5" t="s">
        <v>34</v>
      </c>
      <c r="F207" s="5" t="s">
        <v>34</v>
      </c>
      <c r="G207" s="5" t="s">
        <v>36</v>
      </c>
      <c r="H207" s="5" t="s">
        <v>35</v>
      </c>
      <c r="I207" s="5" t="s">
        <v>36</v>
      </c>
      <c r="J207" s="6">
        <v>1.0</v>
      </c>
      <c r="K207" s="6" t="s">
        <v>37</v>
      </c>
      <c r="L207" s="6">
        <v>300.0</v>
      </c>
      <c r="M207" s="5" t="s">
        <v>83</v>
      </c>
      <c r="N207" s="8" t="s">
        <v>58</v>
      </c>
      <c r="O207" s="6" t="s">
        <v>214</v>
      </c>
      <c r="P207" s="5" t="s">
        <v>588</v>
      </c>
      <c r="Q207" s="5"/>
      <c r="R207" s="6" t="s">
        <v>42</v>
      </c>
      <c r="S207" s="5" t="s">
        <v>465</v>
      </c>
      <c r="T207" s="5" t="s">
        <v>61</v>
      </c>
      <c r="U207" s="5" t="s">
        <v>44</v>
      </c>
      <c r="V207" s="5" t="s">
        <v>589</v>
      </c>
      <c r="W207" s="5" t="s">
        <v>35</v>
      </c>
      <c r="X207" s="8" t="s">
        <v>278</v>
      </c>
      <c r="Y207" s="5" t="s">
        <v>46</v>
      </c>
      <c r="Z207" s="5" t="s">
        <v>495</v>
      </c>
      <c r="AA207" s="5" t="s">
        <v>48</v>
      </c>
      <c r="AB207" s="5" t="s">
        <v>1119</v>
      </c>
      <c r="AC207" s="6" t="s">
        <v>67</v>
      </c>
      <c r="AD207" s="6">
        <v>3593.0</v>
      </c>
    </row>
    <row r="208" ht="56.25" customHeight="1">
      <c r="A208" s="5" t="s">
        <v>1107</v>
      </c>
      <c r="B208" s="6" t="str">
        <f>IMAGE("https://storage.googleapis.com/acdb/housewares/FtrBirthdayTable_Remake_3_0.png")</f>
        <v/>
      </c>
      <c r="C208" s="5" t="s">
        <v>96</v>
      </c>
      <c r="D208" s="5" t="s">
        <v>2</v>
      </c>
      <c r="E208" s="5" t="s">
        <v>34</v>
      </c>
      <c r="F208" s="5" t="s">
        <v>34</v>
      </c>
      <c r="G208" s="5" t="s">
        <v>36</v>
      </c>
      <c r="H208" s="5" t="s">
        <v>35</v>
      </c>
      <c r="I208" s="5" t="s">
        <v>36</v>
      </c>
      <c r="J208" s="6">
        <v>1.0</v>
      </c>
      <c r="K208" s="6" t="s">
        <v>37</v>
      </c>
      <c r="L208" s="6">
        <v>300.0</v>
      </c>
      <c r="M208" s="5" t="s">
        <v>96</v>
      </c>
      <c r="N208" s="8" t="s">
        <v>58</v>
      </c>
      <c r="O208" s="6" t="s">
        <v>214</v>
      </c>
      <c r="P208" s="5" t="s">
        <v>588</v>
      </c>
      <c r="Q208" s="5"/>
      <c r="R208" s="6" t="s">
        <v>42</v>
      </c>
      <c r="S208" s="5" t="s">
        <v>465</v>
      </c>
      <c r="T208" s="5" t="s">
        <v>61</v>
      </c>
      <c r="U208" s="5" t="s">
        <v>44</v>
      </c>
      <c r="V208" s="5" t="s">
        <v>589</v>
      </c>
      <c r="W208" s="5" t="s">
        <v>35</v>
      </c>
      <c r="X208" s="8" t="s">
        <v>278</v>
      </c>
      <c r="Y208" s="5" t="s">
        <v>46</v>
      </c>
      <c r="Z208" s="5" t="s">
        <v>495</v>
      </c>
      <c r="AA208" s="5" t="s">
        <v>48</v>
      </c>
      <c r="AB208" s="5" t="s">
        <v>1121</v>
      </c>
      <c r="AC208" s="6" t="s">
        <v>71</v>
      </c>
      <c r="AD208" s="6">
        <v>3593.0</v>
      </c>
    </row>
    <row r="209" ht="56.25" customHeight="1">
      <c r="A209" s="5" t="s">
        <v>1107</v>
      </c>
      <c r="B209" s="6" t="str">
        <f>IMAGE("https://storage.googleapis.com/acdb/housewares/FtrBirthdayTable_Remake_4_0.png")</f>
        <v/>
      </c>
      <c r="C209" s="5" t="s">
        <v>142</v>
      </c>
      <c r="D209" s="5" t="s">
        <v>2</v>
      </c>
      <c r="E209" s="5" t="s">
        <v>34</v>
      </c>
      <c r="F209" s="5" t="s">
        <v>34</v>
      </c>
      <c r="G209" s="5" t="s">
        <v>36</v>
      </c>
      <c r="H209" s="5" t="s">
        <v>35</v>
      </c>
      <c r="I209" s="5" t="s">
        <v>36</v>
      </c>
      <c r="J209" s="6">
        <v>1.0</v>
      </c>
      <c r="K209" s="6" t="s">
        <v>37</v>
      </c>
      <c r="L209" s="6">
        <v>300.0</v>
      </c>
      <c r="M209" s="5" t="s">
        <v>142</v>
      </c>
      <c r="N209" s="8" t="s">
        <v>58</v>
      </c>
      <c r="O209" s="6" t="s">
        <v>214</v>
      </c>
      <c r="P209" s="5" t="s">
        <v>588</v>
      </c>
      <c r="Q209" s="5"/>
      <c r="R209" s="6" t="s">
        <v>42</v>
      </c>
      <c r="S209" s="5" t="s">
        <v>465</v>
      </c>
      <c r="T209" s="5" t="s">
        <v>61</v>
      </c>
      <c r="U209" s="5" t="s">
        <v>44</v>
      </c>
      <c r="V209" s="5" t="s">
        <v>589</v>
      </c>
      <c r="W209" s="5" t="s">
        <v>35</v>
      </c>
      <c r="X209" s="8" t="s">
        <v>278</v>
      </c>
      <c r="Y209" s="5" t="s">
        <v>46</v>
      </c>
      <c r="Z209" s="5" t="s">
        <v>495</v>
      </c>
      <c r="AA209" s="5" t="s">
        <v>48</v>
      </c>
      <c r="AB209" s="5" t="s">
        <v>1125</v>
      </c>
      <c r="AC209" s="6" t="s">
        <v>75</v>
      </c>
      <c r="AD209" s="6">
        <v>3593.0</v>
      </c>
    </row>
    <row r="210" ht="56.25" customHeight="1">
      <c r="A210" s="5" t="s">
        <v>1107</v>
      </c>
      <c r="B210" s="6" t="str">
        <f>IMAGE("https://storage.googleapis.com/acdb/housewares/FtrBirthdayTable_Remake_5_0.png")</f>
        <v/>
      </c>
      <c r="C210" s="5" t="s">
        <v>612</v>
      </c>
      <c r="D210" s="5" t="s">
        <v>2</v>
      </c>
      <c r="E210" s="5" t="s">
        <v>34</v>
      </c>
      <c r="F210" s="5" t="s">
        <v>34</v>
      </c>
      <c r="G210" s="5" t="s">
        <v>36</v>
      </c>
      <c r="H210" s="5" t="s">
        <v>35</v>
      </c>
      <c r="I210" s="5" t="s">
        <v>36</v>
      </c>
      <c r="J210" s="6">
        <v>1.0</v>
      </c>
      <c r="K210" s="6" t="s">
        <v>37</v>
      </c>
      <c r="L210" s="6">
        <v>300.0</v>
      </c>
      <c r="M210" s="5" t="s">
        <v>95</v>
      </c>
      <c r="N210" s="8" t="s">
        <v>58</v>
      </c>
      <c r="O210" s="6" t="s">
        <v>214</v>
      </c>
      <c r="P210" s="5" t="s">
        <v>588</v>
      </c>
      <c r="Q210" s="5"/>
      <c r="R210" s="6" t="s">
        <v>42</v>
      </c>
      <c r="S210" s="5" t="s">
        <v>465</v>
      </c>
      <c r="T210" s="5" t="s">
        <v>61</v>
      </c>
      <c r="U210" s="5" t="s">
        <v>44</v>
      </c>
      <c r="V210" s="5" t="s">
        <v>589</v>
      </c>
      <c r="W210" s="5" t="s">
        <v>35</v>
      </c>
      <c r="X210" s="8" t="s">
        <v>278</v>
      </c>
      <c r="Y210" s="5" t="s">
        <v>46</v>
      </c>
      <c r="Z210" s="5" t="s">
        <v>495</v>
      </c>
      <c r="AA210" s="5" t="s">
        <v>48</v>
      </c>
      <c r="AB210" s="5" t="s">
        <v>1129</v>
      </c>
      <c r="AC210" s="6" t="s">
        <v>79</v>
      </c>
      <c r="AD210" s="6">
        <v>3593.0</v>
      </c>
    </row>
    <row r="211" ht="56.25" customHeight="1">
      <c r="A211" s="5" t="s">
        <v>1131</v>
      </c>
      <c r="B211" s="6" t="str">
        <f>IMAGE("https://storage.googleapis.com/acdb/housewares/FtrSakuraLantern_Remake_0_0.png")</f>
        <v/>
      </c>
      <c r="C211" s="5" t="s">
        <v>1132</v>
      </c>
      <c r="D211" s="5" t="s">
        <v>1008</v>
      </c>
      <c r="E211" s="5" t="s">
        <v>34</v>
      </c>
      <c r="F211" s="5" t="s">
        <v>34</v>
      </c>
      <c r="G211" s="5" t="s">
        <v>35</v>
      </c>
      <c r="H211" s="5" t="s">
        <v>35</v>
      </c>
      <c r="I211" s="5" t="s">
        <v>36</v>
      </c>
      <c r="J211" s="6">
        <v>4.0</v>
      </c>
      <c r="K211" s="6" t="s">
        <v>37</v>
      </c>
      <c r="L211" s="6">
        <v>2880.0</v>
      </c>
      <c r="M211" s="5" t="s">
        <v>39</v>
      </c>
      <c r="N211" s="5" t="s">
        <v>69</v>
      </c>
      <c r="O211" s="6" t="s">
        <v>40</v>
      </c>
      <c r="P211" s="5" t="s">
        <v>41</v>
      </c>
      <c r="Q211" s="5" t="s">
        <v>513</v>
      </c>
      <c r="R211" s="6" t="s">
        <v>42</v>
      </c>
      <c r="S211" s="5" t="s">
        <v>266</v>
      </c>
      <c r="T211" s="5" t="s">
        <v>44</v>
      </c>
      <c r="U211" s="5" t="s">
        <v>514</v>
      </c>
      <c r="V211" s="5" t="s">
        <v>44</v>
      </c>
      <c r="W211" s="5" t="s">
        <v>35</v>
      </c>
      <c r="X211" s="8" t="s">
        <v>467</v>
      </c>
      <c r="Y211" s="5" t="s">
        <v>46</v>
      </c>
      <c r="Z211" s="5" t="s">
        <v>502</v>
      </c>
      <c r="AA211" s="5" t="s">
        <v>48</v>
      </c>
      <c r="AB211" s="5" t="s">
        <v>1135</v>
      </c>
      <c r="AC211" s="6" t="s">
        <v>50</v>
      </c>
      <c r="AD211" s="6">
        <v>6831.0</v>
      </c>
    </row>
    <row r="212" ht="56.25" customHeight="1">
      <c r="A212" s="5" t="s">
        <v>1131</v>
      </c>
      <c r="B212" s="6" t="str">
        <f>IMAGE("https://storage.googleapis.com/acdb/housewares/FtrSakuraLantern_Remake_1_0.png")</f>
        <v/>
      </c>
      <c r="C212" s="5" t="s">
        <v>1137</v>
      </c>
      <c r="D212" s="5" t="s">
        <v>1008</v>
      </c>
      <c r="E212" s="5" t="s">
        <v>34</v>
      </c>
      <c r="F212" s="5" t="s">
        <v>34</v>
      </c>
      <c r="G212" s="5" t="s">
        <v>35</v>
      </c>
      <c r="H212" s="5" t="s">
        <v>35</v>
      </c>
      <c r="I212" s="5" t="s">
        <v>36</v>
      </c>
      <c r="J212" s="6">
        <v>4.0</v>
      </c>
      <c r="K212" s="6" t="s">
        <v>37</v>
      </c>
      <c r="L212" s="6">
        <v>2880.0</v>
      </c>
      <c r="M212" s="5" t="s">
        <v>38</v>
      </c>
      <c r="N212" s="5" t="s">
        <v>69</v>
      </c>
      <c r="O212" s="6" t="s">
        <v>40</v>
      </c>
      <c r="P212" s="5" t="s">
        <v>41</v>
      </c>
      <c r="Q212" s="5" t="s">
        <v>513</v>
      </c>
      <c r="R212" s="6" t="s">
        <v>42</v>
      </c>
      <c r="S212" s="5" t="s">
        <v>266</v>
      </c>
      <c r="T212" s="5" t="s">
        <v>44</v>
      </c>
      <c r="U212" s="5" t="s">
        <v>514</v>
      </c>
      <c r="V212" s="5" t="s">
        <v>44</v>
      </c>
      <c r="W212" s="5" t="s">
        <v>35</v>
      </c>
      <c r="X212" s="8" t="s">
        <v>467</v>
      </c>
      <c r="Y212" s="5" t="s">
        <v>46</v>
      </c>
      <c r="Z212" s="5" t="s">
        <v>502</v>
      </c>
      <c r="AA212" s="5" t="s">
        <v>48</v>
      </c>
      <c r="AB212" s="5" t="s">
        <v>1139</v>
      </c>
      <c r="AC212" s="6" t="s">
        <v>56</v>
      </c>
      <c r="AD212" s="6">
        <v>6831.0</v>
      </c>
    </row>
    <row r="213" ht="56.25" customHeight="1">
      <c r="A213" s="5" t="s">
        <v>1141</v>
      </c>
      <c r="B213" s="6" t="str">
        <f>IMAGE("https://storage.googleapis.com/acdb/housewares/FtrRingcornerBlue_Remake_0_0.png")</f>
        <v/>
      </c>
      <c r="C213" s="5" t="s">
        <v>34</v>
      </c>
      <c r="D213" s="5" t="s">
        <v>34</v>
      </c>
      <c r="E213" s="5" t="s">
        <v>96</v>
      </c>
      <c r="F213" s="5" t="s">
        <v>1142</v>
      </c>
      <c r="G213" s="5" t="s">
        <v>36</v>
      </c>
      <c r="H213" s="5" t="s">
        <v>36</v>
      </c>
      <c r="I213" s="5" t="s">
        <v>35</v>
      </c>
      <c r="J213" s="6">
        <v>3.0</v>
      </c>
      <c r="K213" s="6">
        <v>6100.0</v>
      </c>
      <c r="L213" s="6">
        <v>1525.0</v>
      </c>
      <c r="M213" s="8" t="s">
        <v>57</v>
      </c>
      <c r="N213" s="8" t="s">
        <v>96</v>
      </c>
      <c r="O213" s="6" t="s">
        <v>214</v>
      </c>
      <c r="P213" s="5" t="s">
        <v>59</v>
      </c>
      <c r="Q213" s="5" t="s">
        <v>115</v>
      </c>
      <c r="R213" s="6" t="s">
        <v>42</v>
      </c>
      <c r="S213" s="5" t="s">
        <v>474</v>
      </c>
      <c r="T213" s="5" t="s">
        <v>44</v>
      </c>
      <c r="U213" s="5" t="s">
        <v>44</v>
      </c>
      <c r="V213" s="5" t="s">
        <v>1145</v>
      </c>
      <c r="W213" s="5" t="s">
        <v>35</v>
      </c>
      <c r="X213" s="8" t="s">
        <v>475</v>
      </c>
      <c r="Y213" s="5" t="s">
        <v>46</v>
      </c>
      <c r="Z213" s="5" t="s">
        <v>47</v>
      </c>
      <c r="AA213" s="5" t="s">
        <v>64</v>
      </c>
      <c r="AB213" s="5" t="s">
        <v>1146</v>
      </c>
      <c r="AC213" s="6" t="s">
        <v>50</v>
      </c>
      <c r="AD213" s="6">
        <v>7150.0</v>
      </c>
    </row>
    <row r="214" ht="56.25" customHeight="1">
      <c r="A214" s="5" t="s">
        <v>1141</v>
      </c>
      <c r="B214" s="6" t="str">
        <f>image("https://storage.googleapis.com/acdb/housewares/FtrRingcornerBlue_Remake_0_1.png")</f>
        <v/>
      </c>
      <c r="C214" s="5" t="s">
        <v>34</v>
      </c>
      <c r="D214" s="5" t="s">
        <v>34</v>
      </c>
      <c r="E214" s="5" t="s">
        <v>52</v>
      </c>
      <c r="F214" s="5" t="s">
        <v>1142</v>
      </c>
      <c r="G214" s="5" t="s">
        <v>36</v>
      </c>
      <c r="H214" s="5" t="s">
        <v>36</v>
      </c>
      <c r="I214" s="5" t="s">
        <v>35</v>
      </c>
      <c r="J214" s="6">
        <v>3.0</v>
      </c>
      <c r="K214" s="6">
        <v>6100.0</v>
      </c>
      <c r="L214" s="6">
        <v>1525.0</v>
      </c>
      <c r="M214" s="8" t="s">
        <v>57</v>
      </c>
      <c r="N214" s="8" t="s">
        <v>52</v>
      </c>
      <c r="O214" s="6" t="s">
        <v>214</v>
      </c>
      <c r="P214" s="5" t="s">
        <v>59</v>
      </c>
      <c r="Q214" s="5" t="s">
        <v>115</v>
      </c>
      <c r="R214" s="6" t="s">
        <v>42</v>
      </c>
      <c r="S214" s="5" t="s">
        <v>474</v>
      </c>
      <c r="T214" s="5" t="s">
        <v>44</v>
      </c>
      <c r="U214" s="5" t="s">
        <v>44</v>
      </c>
      <c r="V214" s="5" t="s">
        <v>1145</v>
      </c>
      <c r="W214" s="5" t="s">
        <v>35</v>
      </c>
      <c r="X214" s="8" t="s">
        <v>475</v>
      </c>
      <c r="Y214" s="5" t="s">
        <v>46</v>
      </c>
      <c r="Z214" s="5" t="s">
        <v>47</v>
      </c>
      <c r="AA214" s="5" t="s">
        <v>64</v>
      </c>
      <c r="AB214" s="5" t="s">
        <v>1149</v>
      </c>
      <c r="AC214" s="6" t="s">
        <v>217</v>
      </c>
      <c r="AD214" s="6">
        <v>7150.0</v>
      </c>
    </row>
    <row r="215" ht="56.25" customHeight="1">
      <c r="A215" s="5" t="s">
        <v>1141</v>
      </c>
      <c r="B215" s="6" t="str">
        <f>image("https://storage.googleapis.com/acdb/housewares/FtrRingcornerBlue_Remake_0_2.png")</f>
        <v/>
      </c>
      <c r="C215" s="5" t="s">
        <v>34</v>
      </c>
      <c r="D215" s="5" t="s">
        <v>34</v>
      </c>
      <c r="E215" s="5" t="s">
        <v>68</v>
      </c>
      <c r="F215" s="5" t="s">
        <v>1142</v>
      </c>
      <c r="G215" s="5" t="s">
        <v>36</v>
      </c>
      <c r="H215" s="5" t="s">
        <v>36</v>
      </c>
      <c r="I215" s="5" t="s">
        <v>35</v>
      </c>
      <c r="J215" s="6">
        <v>3.0</v>
      </c>
      <c r="K215" s="6">
        <v>6100.0</v>
      </c>
      <c r="L215" s="6">
        <v>1525.0</v>
      </c>
      <c r="M215" s="8" t="s">
        <v>57</v>
      </c>
      <c r="N215" s="8" t="s">
        <v>68</v>
      </c>
      <c r="O215" s="6" t="s">
        <v>214</v>
      </c>
      <c r="P215" s="5" t="s">
        <v>59</v>
      </c>
      <c r="Q215" s="5" t="s">
        <v>115</v>
      </c>
      <c r="R215" s="6" t="s">
        <v>42</v>
      </c>
      <c r="S215" s="5" t="s">
        <v>474</v>
      </c>
      <c r="T215" s="5" t="s">
        <v>44</v>
      </c>
      <c r="U215" s="5" t="s">
        <v>44</v>
      </c>
      <c r="V215" s="5" t="s">
        <v>1145</v>
      </c>
      <c r="W215" s="5" t="s">
        <v>35</v>
      </c>
      <c r="X215" s="8" t="s">
        <v>475</v>
      </c>
      <c r="Y215" s="5" t="s">
        <v>46</v>
      </c>
      <c r="Z215" s="5" t="s">
        <v>47</v>
      </c>
      <c r="AA215" s="5" t="s">
        <v>64</v>
      </c>
      <c r="AB215" s="5" t="s">
        <v>1152</v>
      </c>
      <c r="AC215" s="6" t="s">
        <v>347</v>
      </c>
      <c r="AD215" s="6">
        <v>7150.0</v>
      </c>
    </row>
    <row r="216" ht="56.25" customHeight="1">
      <c r="A216" s="5" t="s">
        <v>1141</v>
      </c>
      <c r="B216" s="6" t="str">
        <f>image("https://storage.googleapis.com/acdb/housewares/FtrRingcornerBlue_Remake_0_3.png")</f>
        <v/>
      </c>
      <c r="C216" s="5" t="s">
        <v>34</v>
      </c>
      <c r="D216" s="5" t="s">
        <v>34</v>
      </c>
      <c r="E216" s="5" t="s">
        <v>54</v>
      </c>
      <c r="F216" s="5" t="s">
        <v>1142</v>
      </c>
      <c r="G216" s="5" t="s">
        <v>36</v>
      </c>
      <c r="H216" s="5" t="s">
        <v>36</v>
      </c>
      <c r="I216" s="5" t="s">
        <v>35</v>
      </c>
      <c r="J216" s="6">
        <v>3.0</v>
      </c>
      <c r="K216" s="6">
        <v>6100.0</v>
      </c>
      <c r="L216" s="6">
        <v>1525.0</v>
      </c>
      <c r="M216" s="8" t="s">
        <v>57</v>
      </c>
      <c r="N216" s="8" t="s">
        <v>54</v>
      </c>
      <c r="O216" s="6" t="s">
        <v>214</v>
      </c>
      <c r="P216" s="5" t="s">
        <v>59</v>
      </c>
      <c r="Q216" s="5" t="s">
        <v>115</v>
      </c>
      <c r="R216" s="6" t="s">
        <v>42</v>
      </c>
      <c r="S216" s="5" t="s">
        <v>474</v>
      </c>
      <c r="T216" s="5" t="s">
        <v>44</v>
      </c>
      <c r="U216" s="5" t="s">
        <v>44</v>
      </c>
      <c r="V216" s="5" t="s">
        <v>1145</v>
      </c>
      <c r="W216" s="5" t="s">
        <v>35</v>
      </c>
      <c r="X216" s="8" t="s">
        <v>475</v>
      </c>
      <c r="Y216" s="5" t="s">
        <v>46</v>
      </c>
      <c r="Z216" s="5" t="s">
        <v>47</v>
      </c>
      <c r="AA216" s="5" t="s">
        <v>64</v>
      </c>
      <c r="AB216" s="5" t="s">
        <v>1156</v>
      </c>
      <c r="AC216" s="6" t="s">
        <v>354</v>
      </c>
      <c r="AD216" s="6">
        <v>7150.0</v>
      </c>
    </row>
    <row r="217" ht="56.25" customHeight="1">
      <c r="A217" s="5" t="s">
        <v>1141</v>
      </c>
      <c r="B217" s="6" t="str">
        <f>image("https://storage.googleapis.com/acdb/housewares/FtrRingcornerBlue_Remake_0_4.png")</f>
        <v/>
      </c>
      <c r="C217" s="5" t="s">
        <v>34</v>
      </c>
      <c r="D217" s="5" t="s">
        <v>34</v>
      </c>
      <c r="E217" s="5" t="s">
        <v>114</v>
      </c>
      <c r="F217" s="5" t="s">
        <v>1142</v>
      </c>
      <c r="G217" s="5" t="s">
        <v>36</v>
      </c>
      <c r="H217" s="5" t="s">
        <v>36</v>
      </c>
      <c r="I217" s="5" t="s">
        <v>35</v>
      </c>
      <c r="J217" s="6">
        <v>3.0</v>
      </c>
      <c r="K217" s="6">
        <v>6100.0</v>
      </c>
      <c r="L217" s="6">
        <v>1525.0</v>
      </c>
      <c r="M217" s="8" t="s">
        <v>57</v>
      </c>
      <c r="N217" s="8" t="s">
        <v>114</v>
      </c>
      <c r="O217" s="6" t="s">
        <v>214</v>
      </c>
      <c r="P217" s="5" t="s">
        <v>59</v>
      </c>
      <c r="Q217" s="5" t="s">
        <v>115</v>
      </c>
      <c r="R217" s="6" t="s">
        <v>42</v>
      </c>
      <c r="S217" s="5" t="s">
        <v>474</v>
      </c>
      <c r="T217" s="5" t="s">
        <v>44</v>
      </c>
      <c r="U217" s="5" t="s">
        <v>44</v>
      </c>
      <c r="V217" s="5" t="s">
        <v>1145</v>
      </c>
      <c r="W217" s="5" t="s">
        <v>35</v>
      </c>
      <c r="X217" s="8" t="s">
        <v>475</v>
      </c>
      <c r="Y217" s="5" t="s">
        <v>46</v>
      </c>
      <c r="Z217" s="5" t="s">
        <v>47</v>
      </c>
      <c r="AA217" s="5" t="s">
        <v>64</v>
      </c>
      <c r="AB217" s="5" t="s">
        <v>1159</v>
      </c>
      <c r="AC217" s="6" t="s">
        <v>486</v>
      </c>
      <c r="AD217" s="6">
        <v>7150.0</v>
      </c>
    </row>
    <row r="218" ht="56.25" customHeight="1">
      <c r="A218" s="5" t="s">
        <v>1161</v>
      </c>
      <c r="B218" s="6" t="str">
        <f>IMAGE("https://storage.googleapis.com/acdb/housewares/FtrCampfire.png")</f>
        <v/>
      </c>
      <c r="C218" s="5" t="s">
        <v>34</v>
      </c>
      <c r="D218" s="5" t="s">
        <v>34</v>
      </c>
      <c r="E218" s="5" t="s">
        <v>34</v>
      </c>
      <c r="F218" s="5" t="s">
        <v>34</v>
      </c>
      <c r="G218" s="5" t="s">
        <v>35</v>
      </c>
      <c r="H218" s="5" t="s">
        <v>36</v>
      </c>
      <c r="I218" s="5" t="s">
        <v>36</v>
      </c>
      <c r="J218" s="6" t="s">
        <v>34</v>
      </c>
      <c r="K218" s="6" t="s">
        <v>37</v>
      </c>
      <c r="L218" s="6">
        <v>1230.0</v>
      </c>
      <c r="M218" s="5" t="s">
        <v>39</v>
      </c>
      <c r="N218" s="5" t="s">
        <v>39</v>
      </c>
      <c r="O218" s="6" t="s">
        <v>214</v>
      </c>
      <c r="P218" s="5" t="s">
        <v>41</v>
      </c>
      <c r="Q218" s="5"/>
      <c r="R218" s="6" t="s">
        <v>42</v>
      </c>
      <c r="S218" s="5" t="s">
        <v>765</v>
      </c>
      <c r="T218" s="5" t="s">
        <v>44</v>
      </c>
      <c r="U218" s="5" t="s">
        <v>44</v>
      </c>
      <c r="V218" s="5" t="s">
        <v>44</v>
      </c>
      <c r="W218" s="5" t="s">
        <v>35</v>
      </c>
      <c r="X218" s="8" t="s">
        <v>1164</v>
      </c>
      <c r="Y218" s="5" t="s">
        <v>46</v>
      </c>
      <c r="Z218" s="5" t="s">
        <v>495</v>
      </c>
      <c r="AA218" s="5" t="s">
        <v>48</v>
      </c>
      <c r="AB218" s="5" t="s">
        <v>1165</v>
      </c>
      <c r="AC218" s="6" t="s">
        <v>34</v>
      </c>
      <c r="AD218" s="6">
        <v>1430.0</v>
      </c>
    </row>
    <row r="219" ht="56.25" customHeight="1">
      <c r="A219" s="5" t="s">
        <v>1166</v>
      </c>
      <c r="B219" s="6" t="str">
        <f>IMAGE("https://storage.googleapis.com/acdb/housewares/FtrBonsaiShelf.png")</f>
        <v/>
      </c>
      <c r="C219" s="5" t="s">
        <v>34</v>
      </c>
      <c r="D219" s="5" t="s">
        <v>34</v>
      </c>
      <c r="E219" s="5" t="s">
        <v>34</v>
      </c>
      <c r="F219" s="5" t="s">
        <v>34</v>
      </c>
      <c r="G219" s="5" t="s">
        <v>35</v>
      </c>
      <c r="H219" s="5" t="s">
        <v>36</v>
      </c>
      <c r="I219" s="5" t="s">
        <v>36</v>
      </c>
      <c r="J219" s="6" t="s">
        <v>34</v>
      </c>
      <c r="K219" s="6" t="s">
        <v>37</v>
      </c>
      <c r="L219" s="6">
        <v>8460.0</v>
      </c>
      <c r="M219" s="5" t="s">
        <v>96</v>
      </c>
      <c r="N219" s="5" t="s">
        <v>39</v>
      </c>
      <c r="O219" s="6" t="s">
        <v>276</v>
      </c>
      <c r="P219" s="5" t="s">
        <v>41</v>
      </c>
      <c r="Q219" s="5"/>
      <c r="R219" s="6" t="s">
        <v>42</v>
      </c>
      <c r="S219" s="5" t="s">
        <v>266</v>
      </c>
      <c r="T219" s="5" t="s">
        <v>172</v>
      </c>
      <c r="U219" s="5" t="s">
        <v>44</v>
      </c>
      <c r="V219" s="5" t="s">
        <v>44</v>
      </c>
      <c r="W219" s="5" t="s">
        <v>36</v>
      </c>
      <c r="X219" s="8" t="s">
        <v>244</v>
      </c>
      <c r="Y219" s="5" t="s">
        <v>46</v>
      </c>
      <c r="Z219" s="5" t="s">
        <v>47</v>
      </c>
      <c r="AA219" s="5" t="s">
        <v>48</v>
      </c>
      <c r="AB219" s="5" t="s">
        <v>1170</v>
      </c>
      <c r="AC219" s="6" t="s">
        <v>34</v>
      </c>
      <c r="AD219" s="6">
        <v>3580.0</v>
      </c>
    </row>
    <row r="220" ht="56.25" customHeight="1">
      <c r="A220" s="5" t="s">
        <v>1172</v>
      </c>
      <c r="B220" s="6" t="str">
        <f>IMAGE("https://storage.googleapis.com/acdb/housewares/FtrBoxsofaCorner_Remake_0_0.png")</f>
        <v/>
      </c>
      <c r="C220" s="5" t="s">
        <v>1174</v>
      </c>
      <c r="D220" s="5" t="s">
        <v>34</v>
      </c>
      <c r="E220" s="5" t="s">
        <v>34</v>
      </c>
      <c r="F220" s="5" t="s">
        <v>34</v>
      </c>
      <c r="G220" s="5" t="s">
        <v>36</v>
      </c>
      <c r="H220" s="5" t="s">
        <v>36</v>
      </c>
      <c r="I220" s="5" t="s">
        <v>36</v>
      </c>
      <c r="J220" s="6" t="s">
        <v>34</v>
      </c>
      <c r="K220" s="6">
        <v>2700.0</v>
      </c>
      <c r="L220" s="6">
        <v>675.0</v>
      </c>
      <c r="M220" s="8" t="s">
        <v>1175</v>
      </c>
      <c r="N220" s="8" t="s">
        <v>54</v>
      </c>
      <c r="O220" s="6" t="s">
        <v>40</v>
      </c>
      <c r="P220" s="5" t="s">
        <v>59</v>
      </c>
      <c r="Q220" s="5" t="s">
        <v>122</v>
      </c>
      <c r="R220" s="6" t="s">
        <v>42</v>
      </c>
      <c r="S220" s="5" t="s">
        <v>62</v>
      </c>
      <c r="T220" s="5" t="s">
        <v>141</v>
      </c>
      <c r="U220" s="5" t="s">
        <v>44</v>
      </c>
      <c r="V220" s="5" t="s">
        <v>44</v>
      </c>
      <c r="W220" s="5" t="s">
        <v>35</v>
      </c>
      <c r="X220" s="8" t="s">
        <v>248</v>
      </c>
      <c r="Y220" s="5" t="s">
        <v>46</v>
      </c>
      <c r="Z220" s="5" t="s">
        <v>47</v>
      </c>
      <c r="AA220" s="5" t="s">
        <v>64</v>
      </c>
      <c r="AB220" s="5" t="s">
        <v>1176</v>
      </c>
      <c r="AC220" s="6" t="s">
        <v>50</v>
      </c>
      <c r="AD220" s="6">
        <v>1853.0</v>
      </c>
    </row>
    <row r="221" ht="56.25" customHeight="1">
      <c r="A221" s="5" t="s">
        <v>1172</v>
      </c>
      <c r="B221" s="6" t="str">
        <f>IMAGE("https://storage.googleapis.com/acdb/housewares/FtrBoxsofaCorner_Remake_1_0.png")</f>
        <v/>
      </c>
      <c r="C221" s="5" t="s">
        <v>69</v>
      </c>
      <c r="D221" s="5" t="s">
        <v>34</v>
      </c>
      <c r="E221" s="5" t="s">
        <v>34</v>
      </c>
      <c r="F221" s="5" t="s">
        <v>34</v>
      </c>
      <c r="G221" s="5" t="s">
        <v>36</v>
      </c>
      <c r="H221" s="5" t="s">
        <v>36</v>
      </c>
      <c r="I221" s="5" t="s">
        <v>36</v>
      </c>
      <c r="J221" s="6" t="s">
        <v>34</v>
      </c>
      <c r="K221" s="6">
        <v>2700.0</v>
      </c>
      <c r="L221" s="6">
        <v>675.0</v>
      </c>
      <c r="M221" s="5" t="s">
        <v>69</v>
      </c>
      <c r="N221" s="8" t="s">
        <v>54</v>
      </c>
      <c r="O221" s="6" t="s">
        <v>40</v>
      </c>
      <c r="P221" s="5" t="s">
        <v>59</v>
      </c>
      <c r="Q221" s="5" t="s">
        <v>122</v>
      </c>
      <c r="R221" s="6" t="s">
        <v>42</v>
      </c>
      <c r="S221" s="5" t="s">
        <v>62</v>
      </c>
      <c r="T221" s="5" t="s">
        <v>141</v>
      </c>
      <c r="U221" s="5" t="s">
        <v>44</v>
      </c>
      <c r="V221" s="5" t="s">
        <v>44</v>
      </c>
      <c r="W221" s="5" t="s">
        <v>35</v>
      </c>
      <c r="X221" s="8" t="s">
        <v>248</v>
      </c>
      <c r="Y221" s="5" t="s">
        <v>46</v>
      </c>
      <c r="Z221" s="5" t="s">
        <v>47</v>
      </c>
      <c r="AA221" s="5" t="s">
        <v>64</v>
      </c>
      <c r="AB221" s="5" t="s">
        <v>1180</v>
      </c>
      <c r="AC221" s="6" t="s">
        <v>56</v>
      </c>
      <c r="AD221" s="6">
        <v>1853.0</v>
      </c>
    </row>
    <row r="222" ht="56.25" customHeight="1">
      <c r="A222" s="5" t="s">
        <v>1172</v>
      </c>
      <c r="B222" s="6" t="str">
        <f>IMAGE("https://storage.googleapis.com/acdb/housewares/FtrBoxsofaCorner_Remake_2_0.png")</f>
        <v/>
      </c>
      <c r="C222" s="5" t="s">
        <v>142</v>
      </c>
      <c r="D222" s="5" t="s">
        <v>34</v>
      </c>
      <c r="E222" s="5" t="s">
        <v>34</v>
      </c>
      <c r="F222" s="5" t="s">
        <v>34</v>
      </c>
      <c r="G222" s="5" t="s">
        <v>36</v>
      </c>
      <c r="H222" s="5" t="s">
        <v>36</v>
      </c>
      <c r="I222" s="5" t="s">
        <v>36</v>
      </c>
      <c r="J222" s="6" t="s">
        <v>34</v>
      </c>
      <c r="K222" s="6">
        <v>2700.0</v>
      </c>
      <c r="L222" s="6">
        <v>675.0</v>
      </c>
      <c r="M222" s="5" t="s">
        <v>142</v>
      </c>
      <c r="N222" s="8" t="s">
        <v>54</v>
      </c>
      <c r="O222" s="6" t="s">
        <v>40</v>
      </c>
      <c r="P222" s="5" t="s">
        <v>59</v>
      </c>
      <c r="Q222" s="5" t="s">
        <v>122</v>
      </c>
      <c r="R222" s="6" t="s">
        <v>42</v>
      </c>
      <c r="S222" s="5" t="s">
        <v>62</v>
      </c>
      <c r="T222" s="5" t="s">
        <v>141</v>
      </c>
      <c r="U222" s="5" t="s">
        <v>44</v>
      </c>
      <c r="V222" s="5" t="s">
        <v>44</v>
      </c>
      <c r="W222" s="5" t="s">
        <v>35</v>
      </c>
      <c r="X222" s="8" t="s">
        <v>248</v>
      </c>
      <c r="Y222" s="5" t="s">
        <v>46</v>
      </c>
      <c r="Z222" s="5" t="s">
        <v>47</v>
      </c>
      <c r="AA222" s="5" t="s">
        <v>64</v>
      </c>
      <c r="AB222" s="5" t="s">
        <v>1185</v>
      </c>
      <c r="AC222" s="6" t="s">
        <v>67</v>
      </c>
      <c r="AD222" s="6">
        <v>1853.0</v>
      </c>
    </row>
    <row r="223" ht="56.25" customHeight="1">
      <c r="A223" s="5" t="s">
        <v>1172</v>
      </c>
      <c r="B223" s="6" t="str">
        <f>IMAGE("https://storage.googleapis.com/acdb/housewares/FtrBoxsofaCorner_Remake_3_0.png")</f>
        <v/>
      </c>
      <c r="C223" s="5" t="s">
        <v>1187</v>
      </c>
      <c r="D223" s="5" t="s">
        <v>34</v>
      </c>
      <c r="E223" s="5" t="s">
        <v>34</v>
      </c>
      <c r="F223" s="5" t="s">
        <v>34</v>
      </c>
      <c r="G223" s="5" t="s">
        <v>36</v>
      </c>
      <c r="H223" s="5" t="s">
        <v>36</v>
      </c>
      <c r="I223" s="5" t="s">
        <v>36</v>
      </c>
      <c r="J223" s="6" t="s">
        <v>34</v>
      </c>
      <c r="K223" s="6">
        <v>2700.0</v>
      </c>
      <c r="L223" s="6">
        <v>675.0</v>
      </c>
      <c r="M223" s="5" t="s">
        <v>68</v>
      </c>
      <c r="N223" s="8" t="s">
        <v>54</v>
      </c>
      <c r="O223" s="6" t="s">
        <v>40</v>
      </c>
      <c r="P223" s="5" t="s">
        <v>59</v>
      </c>
      <c r="Q223" s="5" t="s">
        <v>122</v>
      </c>
      <c r="R223" s="6" t="s">
        <v>42</v>
      </c>
      <c r="S223" s="5" t="s">
        <v>62</v>
      </c>
      <c r="T223" s="5" t="s">
        <v>141</v>
      </c>
      <c r="U223" s="5" t="s">
        <v>44</v>
      </c>
      <c r="V223" s="5" t="s">
        <v>44</v>
      </c>
      <c r="W223" s="5" t="s">
        <v>35</v>
      </c>
      <c r="X223" s="8" t="s">
        <v>248</v>
      </c>
      <c r="Y223" s="5" t="s">
        <v>46</v>
      </c>
      <c r="Z223" s="5" t="s">
        <v>47</v>
      </c>
      <c r="AA223" s="5" t="s">
        <v>64</v>
      </c>
      <c r="AB223" s="5" t="s">
        <v>1190</v>
      </c>
      <c r="AC223" s="6" t="s">
        <v>71</v>
      </c>
      <c r="AD223" s="6">
        <v>1853.0</v>
      </c>
    </row>
    <row r="224" ht="56.25" customHeight="1">
      <c r="A224" s="5" t="s">
        <v>1172</v>
      </c>
      <c r="B224" s="6" t="str">
        <f>IMAGE("https://storage.googleapis.com/acdb/housewares/FtrBoxsofaCorner_Remake_4_0.png")</f>
        <v/>
      </c>
      <c r="C224" s="5" t="s">
        <v>114</v>
      </c>
      <c r="D224" s="5" t="s">
        <v>34</v>
      </c>
      <c r="E224" s="5" t="s">
        <v>34</v>
      </c>
      <c r="F224" s="5" t="s">
        <v>34</v>
      </c>
      <c r="G224" s="5" t="s">
        <v>36</v>
      </c>
      <c r="H224" s="5" t="s">
        <v>36</v>
      </c>
      <c r="I224" s="5" t="s">
        <v>36</v>
      </c>
      <c r="J224" s="6" t="s">
        <v>34</v>
      </c>
      <c r="K224" s="6">
        <v>2700.0</v>
      </c>
      <c r="L224" s="6">
        <v>675.0</v>
      </c>
      <c r="M224" s="5" t="s">
        <v>114</v>
      </c>
      <c r="N224" s="8" t="s">
        <v>54</v>
      </c>
      <c r="O224" s="6" t="s">
        <v>40</v>
      </c>
      <c r="P224" s="5" t="s">
        <v>59</v>
      </c>
      <c r="Q224" s="5" t="s">
        <v>122</v>
      </c>
      <c r="R224" s="6" t="s">
        <v>42</v>
      </c>
      <c r="S224" s="5" t="s">
        <v>62</v>
      </c>
      <c r="T224" s="5" t="s">
        <v>141</v>
      </c>
      <c r="U224" s="5" t="s">
        <v>44</v>
      </c>
      <c r="V224" s="5" t="s">
        <v>44</v>
      </c>
      <c r="W224" s="5" t="s">
        <v>35</v>
      </c>
      <c r="X224" s="8" t="s">
        <v>248</v>
      </c>
      <c r="Y224" s="5" t="s">
        <v>46</v>
      </c>
      <c r="Z224" s="5" t="s">
        <v>47</v>
      </c>
      <c r="AA224" s="5" t="s">
        <v>64</v>
      </c>
      <c r="AB224" s="5" t="s">
        <v>1194</v>
      </c>
      <c r="AC224" s="6" t="s">
        <v>75</v>
      </c>
      <c r="AD224" s="6">
        <v>1853.0</v>
      </c>
    </row>
    <row r="225" ht="56.25" customHeight="1">
      <c r="A225" s="5" t="s">
        <v>1172</v>
      </c>
      <c r="B225" s="6" t="str">
        <f>IMAGE("https://storage.googleapis.com/acdb/housewares/FtrBoxsofaCorner_Remake_5_0.png")</f>
        <v/>
      </c>
      <c r="C225" s="5" t="s">
        <v>1196</v>
      </c>
      <c r="D225" s="5" t="s">
        <v>34</v>
      </c>
      <c r="E225" s="5" t="s">
        <v>34</v>
      </c>
      <c r="F225" s="5" t="s">
        <v>34</v>
      </c>
      <c r="G225" s="5" t="s">
        <v>36</v>
      </c>
      <c r="H225" s="5" t="s">
        <v>36</v>
      </c>
      <c r="I225" s="5" t="s">
        <v>36</v>
      </c>
      <c r="J225" s="6" t="s">
        <v>34</v>
      </c>
      <c r="K225" s="6">
        <v>2700.0</v>
      </c>
      <c r="L225" s="6">
        <v>675.0</v>
      </c>
      <c r="M225" s="5" t="s">
        <v>69</v>
      </c>
      <c r="N225" s="8" t="s">
        <v>54</v>
      </c>
      <c r="O225" s="6" t="s">
        <v>40</v>
      </c>
      <c r="P225" s="5" t="s">
        <v>59</v>
      </c>
      <c r="Q225" s="5" t="s">
        <v>122</v>
      </c>
      <c r="R225" s="6" t="s">
        <v>42</v>
      </c>
      <c r="S225" s="5" t="s">
        <v>62</v>
      </c>
      <c r="T225" s="5" t="s">
        <v>141</v>
      </c>
      <c r="U225" s="5" t="s">
        <v>44</v>
      </c>
      <c r="V225" s="5" t="s">
        <v>44</v>
      </c>
      <c r="W225" s="5" t="s">
        <v>35</v>
      </c>
      <c r="X225" s="8" t="s">
        <v>248</v>
      </c>
      <c r="Y225" s="5" t="s">
        <v>46</v>
      </c>
      <c r="Z225" s="5" t="s">
        <v>47</v>
      </c>
      <c r="AA225" s="5" t="s">
        <v>64</v>
      </c>
      <c r="AB225" s="5" t="s">
        <v>1202</v>
      </c>
      <c r="AC225" s="6" t="s">
        <v>79</v>
      </c>
      <c r="AD225" s="6">
        <v>1853.0</v>
      </c>
    </row>
    <row r="226" ht="56.25" customHeight="1">
      <c r="A226" s="5" t="s">
        <v>1172</v>
      </c>
      <c r="B226" s="6" t="str">
        <f>IMAGE("https://storage.googleapis.com/acdb/housewares/FtrBoxsofaCorner_Remake_6_0.png")</f>
        <v/>
      </c>
      <c r="C226" s="5" t="s">
        <v>57</v>
      </c>
      <c r="D226" s="5" t="s">
        <v>34</v>
      </c>
      <c r="E226" s="5" t="s">
        <v>34</v>
      </c>
      <c r="F226" s="5" t="s">
        <v>34</v>
      </c>
      <c r="G226" s="5" t="s">
        <v>36</v>
      </c>
      <c r="H226" s="5" t="s">
        <v>36</v>
      </c>
      <c r="I226" s="5" t="s">
        <v>36</v>
      </c>
      <c r="J226" s="6" t="s">
        <v>34</v>
      </c>
      <c r="K226" s="6">
        <v>2700.0</v>
      </c>
      <c r="L226" s="6">
        <v>675.0</v>
      </c>
      <c r="M226" s="5" t="s">
        <v>57</v>
      </c>
      <c r="N226" s="8" t="s">
        <v>54</v>
      </c>
      <c r="O226" s="6" t="s">
        <v>40</v>
      </c>
      <c r="P226" s="5" t="s">
        <v>59</v>
      </c>
      <c r="Q226" s="5" t="s">
        <v>122</v>
      </c>
      <c r="R226" s="6" t="s">
        <v>42</v>
      </c>
      <c r="S226" s="5" t="s">
        <v>62</v>
      </c>
      <c r="T226" s="5" t="s">
        <v>141</v>
      </c>
      <c r="U226" s="5" t="s">
        <v>44</v>
      </c>
      <c r="V226" s="5" t="s">
        <v>44</v>
      </c>
      <c r="W226" s="5" t="s">
        <v>35</v>
      </c>
      <c r="X226" s="8" t="s">
        <v>248</v>
      </c>
      <c r="Y226" s="5" t="s">
        <v>46</v>
      </c>
      <c r="Z226" s="5" t="s">
        <v>47</v>
      </c>
      <c r="AA226" s="5" t="s">
        <v>64</v>
      </c>
      <c r="AB226" s="5" t="s">
        <v>1205</v>
      </c>
      <c r="AC226" s="6" t="s">
        <v>86</v>
      </c>
      <c r="AD226" s="6">
        <v>1853.0</v>
      </c>
    </row>
    <row r="227" ht="56.25" customHeight="1">
      <c r="A227" s="5" t="s">
        <v>1172</v>
      </c>
      <c r="B227" s="6" t="str">
        <f>IMAGE("https://storage.googleapis.com/acdb/housewares/FtrBoxsofaCorner_Remake_7_0.png")</f>
        <v/>
      </c>
      <c r="C227" s="5" t="s">
        <v>54</v>
      </c>
      <c r="D227" s="5" t="s">
        <v>34</v>
      </c>
      <c r="E227" s="5" t="s">
        <v>34</v>
      </c>
      <c r="F227" s="5" t="s">
        <v>34</v>
      </c>
      <c r="G227" s="5" t="s">
        <v>36</v>
      </c>
      <c r="H227" s="5" t="s">
        <v>36</v>
      </c>
      <c r="I227" s="5" t="s">
        <v>36</v>
      </c>
      <c r="J227" s="6" t="s">
        <v>34</v>
      </c>
      <c r="K227" s="6">
        <v>2700.0</v>
      </c>
      <c r="L227" s="6">
        <v>675.0</v>
      </c>
      <c r="M227" s="8" t="s">
        <v>54</v>
      </c>
      <c r="N227" s="8" t="s">
        <v>54</v>
      </c>
      <c r="O227" s="6" t="s">
        <v>40</v>
      </c>
      <c r="P227" s="5" t="s">
        <v>59</v>
      </c>
      <c r="Q227" s="5" t="s">
        <v>122</v>
      </c>
      <c r="R227" s="6" t="s">
        <v>42</v>
      </c>
      <c r="S227" s="5" t="s">
        <v>62</v>
      </c>
      <c r="T227" s="5" t="s">
        <v>141</v>
      </c>
      <c r="U227" s="5" t="s">
        <v>44</v>
      </c>
      <c r="V227" s="5" t="s">
        <v>44</v>
      </c>
      <c r="W227" s="5" t="s">
        <v>35</v>
      </c>
      <c r="X227" s="8" t="s">
        <v>248</v>
      </c>
      <c r="Y227" s="5" t="s">
        <v>46</v>
      </c>
      <c r="Z227" s="5" t="s">
        <v>47</v>
      </c>
      <c r="AA227" s="5" t="s">
        <v>64</v>
      </c>
      <c r="AB227" s="5" t="s">
        <v>1208</v>
      </c>
      <c r="AC227" s="6" t="s">
        <v>208</v>
      </c>
      <c r="AD227" s="6">
        <v>1853.0</v>
      </c>
    </row>
    <row r="228" ht="56.25" customHeight="1">
      <c r="A228" s="5" t="s">
        <v>1209</v>
      </c>
      <c r="B228" s="6" t="str">
        <f>IMAGE("https://storage.googleapis.com/acdb/housewares/FtrBoxsofa_Remake_0_0.png")</f>
        <v/>
      </c>
      <c r="C228" s="5" t="s">
        <v>1174</v>
      </c>
      <c r="D228" s="5" t="s">
        <v>34</v>
      </c>
      <c r="E228" s="5" t="s">
        <v>34</v>
      </c>
      <c r="F228" s="5" t="s">
        <v>34</v>
      </c>
      <c r="G228" s="5" t="s">
        <v>36</v>
      </c>
      <c r="H228" s="5" t="s">
        <v>36</v>
      </c>
      <c r="I228" s="5" t="s">
        <v>36</v>
      </c>
      <c r="J228" s="6" t="s">
        <v>34</v>
      </c>
      <c r="K228" s="6">
        <v>2700.0</v>
      </c>
      <c r="L228" s="6">
        <v>675.0</v>
      </c>
      <c r="M228" s="8" t="s">
        <v>1175</v>
      </c>
      <c r="N228" s="8" t="s">
        <v>54</v>
      </c>
      <c r="O228" s="6" t="s">
        <v>40</v>
      </c>
      <c r="P228" s="5" t="s">
        <v>59</v>
      </c>
      <c r="Q228" s="5" t="s">
        <v>122</v>
      </c>
      <c r="R228" s="6" t="s">
        <v>42</v>
      </c>
      <c r="S228" s="5" t="s">
        <v>62</v>
      </c>
      <c r="T228" s="5" t="s">
        <v>141</v>
      </c>
      <c r="U228" s="5" t="s">
        <v>44</v>
      </c>
      <c r="V228" s="5" t="s">
        <v>44</v>
      </c>
      <c r="W228" s="5" t="s">
        <v>35</v>
      </c>
      <c r="X228" s="8" t="s">
        <v>248</v>
      </c>
      <c r="Y228" s="5" t="s">
        <v>46</v>
      </c>
      <c r="Z228" s="5" t="s">
        <v>47</v>
      </c>
      <c r="AA228" s="5" t="s">
        <v>64</v>
      </c>
      <c r="AB228" s="5" t="s">
        <v>1211</v>
      </c>
      <c r="AC228" s="6" t="s">
        <v>50</v>
      </c>
      <c r="AD228" s="6">
        <v>1852.0</v>
      </c>
    </row>
    <row r="229" ht="56.25" customHeight="1">
      <c r="A229" s="5" t="s">
        <v>1209</v>
      </c>
      <c r="B229" s="6" t="str">
        <f>IMAGE("https://storage.googleapis.com/acdb/housewares/FtrBoxsofa_Remake_1_0.png")</f>
        <v/>
      </c>
      <c r="C229" s="5" t="s">
        <v>69</v>
      </c>
      <c r="D229" s="5" t="s">
        <v>34</v>
      </c>
      <c r="E229" s="5" t="s">
        <v>34</v>
      </c>
      <c r="F229" s="5" t="s">
        <v>34</v>
      </c>
      <c r="G229" s="5" t="s">
        <v>36</v>
      </c>
      <c r="H229" s="5" t="s">
        <v>36</v>
      </c>
      <c r="I229" s="5" t="s">
        <v>36</v>
      </c>
      <c r="J229" s="6" t="s">
        <v>34</v>
      </c>
      <c r="K229" s="6">
        <v>2700.0</v>
      </c>
      <c r="L229" s="6">
        <v>675.0</v>
      </c>
      <c r="M229" s="5" t="s">
        <v>69</v>
      </c>
      <c r="N229" s="8" t="s">
        <v>54</v>
      </c>
      <c r="O229" s="6" t="s">
        <v>40</v>
      </c>
      <c r="P229" s="5" t="s">
        <v>59</v>
      </c>
      <c r="Q229" s="5" t="s">
        <v>122</v>
      </c>
      <c r="R229" s="6" t="s">
        <v>42</v>
      </c>
      <c r="S229" s="5" t="s">
        <v>62</v>
      </c>
      <c r="T229" s="5" t="s">
        <v>141</v>
      </c>
      <c r="U229" s="5" t="s">
        <v>44</v>
      </c>
      <c r="V229" s="5" t="s">
        <v>44</v>
      </c>
      <c r="W229" s="5" t="s">
        <v>35</v>
      </c>
      <c r="X229" s="8" t="s">
        <v>248</v>
      </c>
      <c r="Y229" s="5" t="s">
        <v>46</v>
      </c>
      <c r="Z229" s="5" t="s">
        <v>47</v>
      </c>
      <c r="AA229" s="5" t="s">
        <v>64</v>
      </c>
      <c r="AB229" s="5" t="s">
        <v>1215</v>
      </c>
      <c r="AC229" s="6" t="s">
        <v>56</v>
      </c>
      <c r="AD229" s="6">
        <v>1852.0</v>
      </c>
    </row>
    <row r="230" ht="56.25" customHeight="1">
      <c r="A230" s="5" t="s">
        <v>1209</v>
      </c>
      <c r="B230" s="6" t="str">
        <f>IMAGE("https://storage.googleapis.com/acdb/housewares/FtrBoxsofa_Remake_2_0.png")</f>
        <v/>
      </c>
      <c r="C230" s="5" t="s">
        <v>142</v>
      </c>
      <c r="D230" s="5" t="s">
        <v>34</v>
      </c>
      <c r="E230" s="5" t="s">
        <v>34</v>
      </c>
      <c r="F230" s="5" t="s">
        <v>34</v>
      </c>
      <c r="G230" s="5" t="s">
        <v>36</v>
      </c>
      <c r="H230" s="5" t="s">
        <v>36</v>
      </c>
      <c r="I230" s="5" t="s">
        <v>36</v>
      </c>
      <c r="J230" s="6" t="s">
        <v>34</v>
      </c>
      <c r="K230" s="6">
        <v>2700.0</v>
      </c>
      <c r="L230" s="6">
        <v>675.0</v>
      </c>
      <c r="M230" s="5" t="s">
        <v>142</v>
      </c>
      <c r="N230" s="8" t="s">
        <v>54</v>
      </c>
      <c r="O230" s="6" t="s">
        <v>40</v>
      </c>
      <c r="P230" s="5" t="s">
        <v>59</v>
      </c>
      <c r="Q230" s="5" t="s">
        <v>122</v>
      </c>
      <c r="R230" s="6" t="s">
        <v>42</v>
      </c>
      <c r="S230" s="5" t="s">
        <v>62</v>
      </c>
      <c r="T230" s="5" t="s">
        <v>141</v>
      </c>
      <c r="U230" s="5" t="s">
        <v>44</v>
      </c>
      <c r="V230" s="5" t="s">
        <v>44</v>
      </c>
      <c r="W230" s="5" t="s">
        <v>35</v>
      </c>
      <c r="X230" s="8" t="s">
        <v>248</v>
      </c>
      <c r="Y230" s="5" t="s">
        <v>46</v>
      </c>
      <c r="Z230" s="5" t="s">
        <v>47</v>
      </c>
      <c r="AA230" s="5" t="s">
        <v>64</v>
      </c>
      <c r="AB230" s="5" t="s">
        <v>1217</v>
      </c>
      <c r="AC230" s="6" t="s">
        <v>67</v>
      </c>
      <c r="AD230" s="6">
        <v>1852.0</v>
      </c>
    </row>
    <row r="231" ht="56.25" customHeight="1">
      <c r="A231" s="5" t="s">
        <v>1209</v>
      </c>
      <c r="B231" s="6" t="str">
        <f>IMAGE("https://storage.googleapis.com/acdb/housewares/FtrBoxsofa_Remake_3_0.png")</f>
        <v/>
      </c>
      <c r="C231" s="5" t="s">
        <v>1187</v>
      </c>
      <c r="D231" s="5" t="s">
        <v>34</v>
      </c>
      <c r="E231" s="5" t="s">
        <v>34</v>
      </c>
      <c r="F231" s="5" t="s">
        <v>34</v>
      </c>
      <c r="G231" s="5" t="s">
        <v>36</v>
      </c>
      <c r="H231" s="5" t="s">
        <v>36</v>
      </c>
      <c r="I231" s="5" t="s">
        <v>36</v>
      </c>
      <c r="J231" s="6" t="s">
        <v>34</v>
      </c>
      <c r="K231" s="6">
        <v>2700.0</v>
      </c>
      <c r="L231" s="6">
        <v>675.0</v>
      </c>
      <c r="M231" s="5" t="s">
        <v>68</v>
      </c>
      <c r="N231" s="8" t="s">
        <v>54</v>
      </c>
      <c r="O231" s="6" t="s">
        <v>40</v>
      </c>
      <c r="P231" s="5" t="s">
        <v>59</v>
      </c>
      <c r="Q231" s="5" t="s">
        <v>122</v>
      </c>
      <c r="R231" s="6" t="s">
        <v>42</v>
      </c>
      <c r="S231" s="5" t="s">
        <v>62</v>
      </c>
      <c r="T231" s="5" t="s">
        <v>141</v>
      </c>
      <c r="U231" s="5" t="s">
        <v>44</v>
      </c>
      <c r="V231" s="5" t="s">
        <v>44</v>
      </c>
      <c r="W231" s="5" t="s">
        <v>35</v>
      </c>
      <c r="X231" s="8" t="s">
        <v>248</v>
      </c>
      <c r="Y231" s="5" t="s">
        <v>46</v>
      </c>
      <c r="Z231" s="5" t="s">
        <v>47</v>
      </c>
      <c r="AA231" s="5" t="s">
        <v>64</v>
      </c>
      <c r="AB231" s="5" t="s">
        <v>1219</v>
      </c>
      <c r="AC231" s="6" t="s">
        <v>71</v>
      </c>
      <c r="AD231" s="6">
        <v>1852.0</v>
      </c>
    </row>
    <row r="232" ht="56.25" customHeight="1">
      <c r="A232" s="5" t="s">
        <v>1209</v>
      </c>
      <c r="B232" s="6" t="str">
        <f>IMAGE("https://storage.googleapis.com/acdb/housewares/FtrBoxsofa_Remake_4_0.png")</f>
        <v/>
      </c>
      <c r="C232" s="5" t="s">
        <v>114</v>
      </c>
      <c r="D232" s="5" t="s">
        <v>34</v>
      </c>
      <c r="E232" s="5" t="s">
        <v>34</v>
      </c>
      <c r="F232" s="5" t="s">
        <v>34</v>
      </c>
      <c r="G232" s="5" t="s">
        <v>36</v>
      </c>
      <c r="H232" s="5" t="s">
        <v>36</v>
      </c>
      <c r="I232" s="5" t="s">
        <v>36</v>
      </c>
      <c r="J232" s="6" t="s">
        <v>34</v>
      </c>
      <c r="K232" s="6">
        <v>2700.0</v>
      </c>
      <c r="L232" s="6">
        <v>675.0</v>
      </c>
      <c r="M232" s="5" t="s">
        <v>114</v>
      </c>
      <c r="N232" s="8" t="s">
        <v>54</v>
      </c>
      <c r="O232" s="6" t="s">
        <v>40</v>
      </c>
      <c r="P232" s="5" t="s">
        <v>59</v>
      </c>
      <c r="Q232" s="5" t="s">
        <v>122</v>
      </c>
      <c r="R232" s="6" t="s">
        <v>42</v>
      </c>
      <c r="S232" s="5" t="s">
        <v>62</v>
      </c>
      <c r="T232" s="5" t="s">
        <v>141</v>
      </c>
      <c r="U232" s="5" t="s">
        <v>44</v>
      </c>
      <c r="V232" s="5" t="s">
        <v>44</v>
      </c>
      <c r="W232" s="5" t="s">
        <v>35</v>
      </c>
      <c r="X232" s="8" t="s">
        <v>248</v>
      </c>
      <c r="Y232" s="5" t="s">
        <v>46</v>
      </c>
      <c r="Z232" s="5" t="s">
        <v>47</v>
      </c>
      <c r="AA232" s="5" t="s">
        <v>64</v>
      </c>
      <c r="AB232" s="5" t="s">
        <v>1222</v>
      </c>
      <c r="AC232" s="6" t="s">
        <v>75</v>
      </c>
      <c r="AD232" s="6">
        <v>1852.0</v>
      </c>
    </row>
    <row r="233" ht="56.25" customHeight="1">
      <c r="A233" s="5" t="s">
        <v>1209</v>
      </c>
      <c r="B233" s="6" t="str">
        <f>IMAGE("https://storage.googleapis.com/acdb/housewares/FtrBoxsofa_Remake_5_0.png")</f>
        <v/>
      </c>
      <c r="C233" s="5" t="s">
        <v>1196</v>
      </c>
      <c r="D233" s="5" t="s">
        <v>34</v>
      </c>
      <c r="E233" s="5" t="s">
        <v>34</v>
      </c>
      <c r="F233" s="5" t="s">
        <v>34</v>
      </c>
      <c r="G233" s="5" t="s">
        <v>36</v>
      </c>
      <c r="H233" s="5" t="s">
        <v>36</v>
      </c>
      <c r="I233" s="5" t="s">
        <v>36</v>
      </c>
      <c r="J233" s="6" t="s">
        <v>34</v>
      </c>
      <c r="K233" s="6">
        <v>2700.0</v>
      </c>
      <c r="L233" s="6">
        <v>675.0</v>
      </c>
      <c r="M233" s="5" t="s">
        <v>69</v>
      </c>
      <c r="N233" s="8" t="s">
        <v>54</v>
      </c>
      <c r="O233" s="6" t="s">
        <v>40</v>
      </c>
      <c r="P233" s="5" t="s">
        <v>59</v>
      </c>
      <c r="Q233" s="5" t="s">
        <v>122</v>
      </c>
      <c r="R233" s="6" t="s">
        <v>42</v>
      </c>
      <c r="S233" s="5" t="s">
        <v>62</v>
      </c>
      <c r="T233" s="5" t="s">
        <v>141</v>
      </c>
      <c r="U233" s="5" t="s">
        <v>44</v>
      </c>
      <c r="V233" s="5" t="s">
        <v>44</v>
      </c>
      <c r="W233" s="5" t="s">
        <v>35</v>
      </c>
      <c r="X233" s="8" t="s">
        <v>248</v>
      </c>
      <c r="Y233" s="5" t="s">
        <v>46</v>
      </c>
      <c r="Z233" s="5" t="s">
        <v>47</v>
      </c>
      <c r="AA233" s="5" t="s">
        <v>64</v>
      </c>
      <c r="AB233" s="5" t="s">
        <v>1224</v>
      </c>
      <c r="AC233" s="6" t="s">
        <v>79</v>
      </c>
      <c r="AD233" s="6">
        <v>1852.0</v>
      </c>
    </row>
    <row r="234" ht="56.25" customHeight="1">
      <c r="A234" s="5" t="s">
        <v>1209</v>
      </c>
      <c r="B234" s="6" t="str">
        <f>IMAGE("https://storage.googleapis.com/acdb/housewares/FtrBoxsofa_Remake_6_0.png")</f>
        <v/>
      </c>
      <c r="C234" s="5" t="s">
        <v>57</v>
      </c>
      <c r="D234" s="5" t="s">
        <v>34</v>
      </c>
      <c r="E234" s="5" t="s">
        <v>34</v>
      </c>
      <c r="F234" s="5" t="s">
        <v>34</v>
      </c>
      <c r="G234" s="5" t="s">
        <v>36</v>
      </c>
      <c r="H234" s="5" t="s">
        <v>36</v>
      </c>
      <c r="I234" s="5" t="s">
        <v>36</v>
      </c>
      <c r="J234" s="6" t="s">
        <v>34</v>
      </c>
      <c r="K234" s="6">
        <v>2700.0</v>
      </c>
      <c r="L234" s="6">
        <v>675.0</v>
      </c>
      <c r="M234" s="5" t="s">
        <v>57</v>
      </c>
      <c r="N234" s="8" t="s">
        <v>54</v>
      </c>
      <c r="O234" s="6" t="s">
        <v>40</v>
      </c>
      <c r="P234" s="5" t="s">
        <v>59</v>
      </c>
      <c r="Q234" s="5" t="s">
        <v>122</v>
      </c>
      <c r="R234" s="6" t="s">
        <v>42</v>
      </c>
      <c r="S234" s="5" t="s">
        <v>62</v>
      </c>
      <c r="T234" s="5" t="s">
        <v>141</v>
      </c>
      <c r="U234" s="5" t="s">
        <v>44</v>
      </c>
      <c r="V234" s="5" t="s">
        <v>44</v>
      </c>
      <c r="W234" s="5" t="s">
        <v>35</v>
      </c>
      <c r="X234" s="8" t="s">
        <v>248</v>
      </c>
      <c r="Y234" s="5" t="s">
        <v>46</v>
      </c>
      <c r="Z234" s="5" t="s">
        <v>47</v>
      </c>
      <c r="AA234" s="5" t="s">
        <v>64</v>
      </c>
      <c r="AB234" s="5" t="s">
        <v>1228</v>
      </c>
      <c r="AC234" s="6" t="s">
        <v>86</v>
      </c>
      <c r="AD234" s="6">
        <v>1852.0</v>
      </c>
    </row>
    <row r="235" ht="56.25" customHeight="1">
      <c r="A235" s="5" t="s">
        <v>1209</v>
      </c>
      <c r="B235" s="6" t="str">
        <f>IMAGE("https://storage.googleapis.com/acdb/housewares/FtrBoxsofa_Remake_7_0.png")</f>
        <v/>
      </c>
      <c r="C235" s="5" t="s">
        <v>54</v>
      </c>
      <c r="D235" s="5" t="s">
        <v>34</v>
      </c>
      <c r="E235" s="5" t="s">
        <v>34</v>
      </c>
      <c r="F235" s="5" t="s">
        <v>34</v>
      </c>
      <c r="G235" s="5" t="s">
        <v>36</v>
      </c>
      <c r="H235" s="5" t="s">
        <v>36</v>
      </c>
      <c r="I235" s="5" t="s">
        <v>36</v>
      </c>
      <c r="J235" s="6" t="s">
        <v>34</v>
      </c>
      <c r="K235" s="6">
        <v>2700.0</v>
      </c>
      <c r="L235" s="6">
        <v>675.0</v>
      </c>
      <c r="M235" s="8" t="s">
        <v>54</v>
      </c>
      <c r="N235" s="8" t="s">
        <v>54</v>
      </c>
      <c r="O235" s="6" t="s">
        <v>40</v>
      </c>
      <c r="P235" s="5" t="s">
        <v>59</v>
      </c>
      <c r="Q235" s="5" t="s">
        <v>122</v>
      </c>
      <c r="R235" s="6" t="s">
        <v>42</v>
      </c>
      <c r="S235" s="5" t="s">
        <v>62</v>
      </c>
      <c r="T235" s="5" t="s">
        <v>141</v>
      </c>
      <c r="U235" s="5" t="s">
        <v>44</v>
      </c>
      <c r="V235" s="5" t="s">
        <v>44</v>
      </c>
      <c r="W235" s="5" t="s">
        <v>35</v>
      </c>
      <c r="X235" s="8" t="s">
        <v>248</v>
      </c>
      <c r="Y235" s="5" t="s">
        <v>46</v>
      </c>
      <c r="Z235" s="5" t="s">
        <v>47</v>
      </c>
      <c r="AA235" s="5" t="s">
        <v>64</v>
      </c>
      <c r="AB235" s="5" t="s">
        <v>1231</v>
      </c>
      <c r="AC235" s="6" t="s">
        <v>208</v>
      </c>
      <c r="AD235" s="6">
        <v>1852.0</v>
      </c>
    </row>
    <row r="236" ht="56.25" customHeight="1">
      <c r="A236" s="5" t="s">
        <v>1232</v>
      </c>
      <c r="B236" s="6" t="str">
        <f>image("https://storage.googleapis.com/acdb/housewares/FtrCompassSlot.png")</f>
        <v/>
      </c>
      <c r="C236" s="5" t="s">
        <v>34</v>
      </c>
      <c r="D236" s="5" t="s">
        <v>34</v>
      </c>
      <c r="E236" s="5" t="s">
        <v>34</v>
      </c>
      <c r="F236" s="5" t="s">
        <v>34</v>
      </c>
      <c r="G236" s="5" t="s">
        <v>36</v>
      </c>
      <c r="H236" s="5" t="s">
        <v>36</v>
      </c>
      <c r="I236" s="5" t="s">
        <v>36</v>
      </c>
      <c r="J236" s="6" t="s">
        <v>34</v>
      </c>
      <c r="K236" s="6">
        <v>2700.0</v>
      </c>
      <c r="L236" s="6">
        <v>675.0</v>
      </c>
      <c r="M236" s="5" t="s">
        <v>58</v>
      </c>
      <c r="N236" s="5" t="s">
        <v>58</v>
      </c>
      <c r="O236" s="6" t="s">
        <v>40</v>
      </c>
      <c r="P236" s="5" t="s">
        <v>1234</v>
      </c>
      <c r="Q236" s="5" t="s">
        <v>1235</v>
      </c>
      <c r="R236" s="6" t="s">
        <v>98</v>
      </c>
      <c r="S236" s="5" t="s">
        <v>141</v>
      </c>
      <c r="T236" s="5" t="s">
        <v>465</v>
      </c>
      <c r="U236" s="5" t="s">
        <v>44</v>
      </c>
      <c r="V236" s="5" t="s">
        <v>44</v>
      </c>
      <c r="W236" s="5" t="s">
        <v>35</v>
      </c>
      <c r="X236" s="8" t="s">
        <v>1236</v>
      </c>
      <c r="Y236" s="5" t="s">
        <v>46</v>
      </c>
      <c r="Z236" s="5" t="s">
        <v>102</v>
      </c>
      <c r="AA236" s="5" t="s">
        <v>1237</v>
      </c>
      <c r="AB236" s="5" t="s">
        <v>1238</v>
      </c>
      <c r="AC236" s="6" t="s">
        <v>34</v>
      </c>
      <c r="AD236" s="6">
        <v>12370.0</v>
      </c>
    </row>
    <row r="237" ht="56.25" customHeight="1">
      <c r="A237" s="5" t="s">
        <v>1239</v>
      </c>
      <c r="B237" s="6" t="str">
        <f>IMAGE("https://storage.googleapis.com/acdb/housewares/FtrStoneoven_Remake_0_0.png")</f>
        <v/>
      </c>
      <c r="C237" s="5" t="s">
        <v>52</v>
      </c>
      <c r="D237" s="5" t="s">
        <v>1241</v>
      </c>
      <c r="E237" s="5" t="s">
        <v>34</v>
      </c>
      <c r="F237" s="5" t="s">
        <v>34</v>
      </c>
      <c r="G237" s="5" t="s">
        <v>35</v>
      </c>
      <c r="H237" s="5" t="s">
        <v>35</v>
      </c>
      <c r="I237" s="5" t="s">
        <v>36</v>
      </c>
      <c r="J237" s="6">
        <v>6.0</v>
      </c>
      <c r="K237" s="6" t="s">
        <v>37</v>
      </c>
      <c r="L237" s="6">
        <v>3820.0</v>
      </c>
      <c r="M237" s="8" t="s">
        <v>52</v>
      </c>
      <c r="N237" s="8" t="s">
        <v>95</v>
      </c>
      <c r="O237" s="6" t="s">
        <v>1243</v>
      </c>
      <c r="P237" s="5" t="s">
        <v>41</v>
      </c>
      <c r="Q237" s="5"/>
      <c r="R237" s="6" t="s">
        <v>42</v>
      </c>
      <c r="S237" s="5" t="s">
        <v>159</v>
      </c>
      <c r="T237" s="5" t="s">
        <v>62</v>
      </c>
      <c r="U237" s="5" t="s">
        <v>44</v>
      </c>
      <c r="V237" s="5" t="s">
        <v>44</v>
      </c>
      <c r="W237" s="5" t="s">
        <v>35</v>
      </c>
      <c r="X237" s="8" t="s">
        <v>1244</v>
      </c>
      <c r="Y237" s="5" t="s">
        <v>46</v>
      </c>
      <c r="Z237" s="5" t="s">
        <v>47</v>
      </c>
      <c r="AA237" s="5" t="s">
        <v>48</v>
      </c>
      <c r="AB237" s="5" t="s">
        <v>1245</v>
      </c>
      <c r="AC237" s="6" t="s">
        <v>50</v>
      </c>
      <c r="AD237" s="6">
        <v>1157.0</v>
      </c>
    </row>
    <row r="238" ht="56.25" customHeight="1">
      <c r="A238" s="5" t="s">
        <v>1239</v>
      </c>
      <c r="B238" s="6" t="str">
        <f>IMAGE("https://storage.googleapis.com/acdb/housewares/FtrStoneoven_Remake_1_0.png")</f>
        <v/>
      </c>
      <c r="C238" s="5" t="s">
        <v>39</v>
      </c>
      <c r="D238" s="5" t="s">
        <v>1241</v>
      </c>
      <c r="E238" s="5" t="s">
        <v>34</v>
      </c>
      <c r="F238" s="5" t="s">
        <v>34</v>
      </c>
      <c r="G238" s="5" t="s">
        <v>35</v>
      </c>
      <c r="H238" s="5" t="s">
        <v>35</v>
      </c>
      <c r="I238" s="5" t="s">
        <v>36</v>
      </c>
      <c r="J238" s="6">
        <v>6.0</v>
      </c>
      <c r="K238" s="6" t="s">
        <v>37</v>
      </c>
      <c r="L238" s="6">
        <v>3820.0</v>
      </c>
      <c r="M238" s="8" t="s">
        <v>39</v>
      </c>
      <c r="N238" s="8" t="s">
        <v>95</v>
      </c>
      <c r="O238" s="6" t="s">
        <v>1243</v>
      </c>
      <c r="P238" s="5" t="s">
        <v>41</v>
      </c>
      <c r="Q238" s="5"/>
      <c r="R238" s="6" t="s">
        <v>42</v>
      </c>
      <c r="S238" s="5" t="s">
        <v>159</v>
      </c>
      <c r="T238" s="5" t="s">
        <v>62</v>
      </c>
      <c r="U238" s="5" t="s">
        <v>44</v>
      </c>
      <c r="V238" s="5" t="s">
        <v>44</v>
      </c>
      <c r="W238" s="5" t="s">
        <v>35</v>
      </c>
      <c r="X238" s="8" t="s">
        <v>1244</v>
      </c>
      <c r="Y238" s="5" t="s">
        <v>46</v>
      </c>
      <c r="Z238" s="5" t="s">
        <v>47</v>
      </c>
      <c r="AA238" s="5" t="s">
        <v>48</v>
      </c>
      <c r="AB238" s="5" t="s">
        <v>1248</v>
      </c>
      <c r="AC238" s="6" t="s">
        <v>56</v>
      </c>
      <c r="AD238" s="6">
        <v>1157.0</v>
      </c>
    </row>
    <row r="239" ht="56.25" customHeight="1">
      <c r="A239" s="5" t="s">
        <v>1239</v>
      </c>
      <c r="B239" s="6" t="str">
        <f>IMAGE("https://storage.googleapis.com/acdb/housewares/FtrStoneoven_Remake_2_0.png")</f>
        <v/>
      </c>
      <c r="C239" s="5" t="s">
        <v>57</v>
      </c>
      <c r="D239" s="5" t="s">
        <v>1241</v>
      </c>
      <c r="E239" s="5" t="s">
        <v>34</v>
      </c>
      <c r="F239" s="5" t="s">
        <v>34</v>
      </c>
      <c r="G239" s="5" t="s">
        <v>35</v>
      </c>
      <c r="H239" s="5" t="s">
        <v>35</v>
      </c>
      <c r="I239" s="5" t="s">
        <v>36</v>
      </c>
      <c r="J239" s="6">
        <v>6.0</v>
      </c>
      <c r="K239" s="6" t="s">
        <v>37</v>
      </c>
      <c r="L239" s="6">
        <v>3820.0</v>
      </c>
      <c r="M239" s="8" t="s">
        <v>57</v>
      </c>
      <c r="N239" s="8" t="s">
        <v>54</v>
      </c>
      <c r="O239" s="6" t="s">
        <v>1243</v>
      </c>
      <c r="P239" s="5" t="s">
        <v>41</v>
      </c>
      <c r="Q239" s="5"/>
      <c r="R239" s="6" t="s">
        <v>42</v>
      </c>
      <c r="S239" s="5" t="s">
        <v>159</v>
      </c>
      <c r="T239" s="5" t="s">
        <v>62</v>
      </c>
      <c r="U239" s="5" t="s">
        <v>44</v>
      </c>
      <c r="V239" s="5" t="s">
        <v>44</v>
      </c>
      <c r="W239" s="5" t="s">
        <v>35</v>
      </c>
      <c r="X239" s="8" t="s">
        <v>1244</v>
      </c>
      <c r="Y239" s="5" t="s">
        <v>46</v>
      </c>
      <c r="Z239" s="5" t="s">
        <v>47</v>
      </c>
      <c r="AA239" s="5" t="s">
        <v>48</v>
      </c>
      <c r="AB239" s="5" t="s">
        <v>1251</v>
      </c>
      <c r="AC239" s="6" t="s">
        <v>67</v>
      </c>
      <c r="AD239" s="6">
        <v>1157.0</v>
      </c>
    </row>
    <row r="240" ht="56.25" customHeight="1">
      <c r="A240" s="5" t="s">
        <v>1239</v>
      </c>
      <c r="B240" s="6" t="str">
        <f>IMAGE("https://storage.googleapis.com/acdb/housewares/FtrStoneoven_Remake_3_0.png")</f>
        <v/>
      </c>
      <c r="C240" s="5" t="s">
        <v>54</v>
      </c>
      <c r="D240" s="5" t="s">
        <v>1241</v>
      </c>
      <c r="E240" s="5" t="s">
        <v>34</v>
      </c>
      <c r="F240" s="5" t="s">
        <v>34</v>
      </c>
      <c r="G240" s="5" t="s">
        <v>35</v>
      </c>
      <c r="H240" s="5" t="s">
        <v>35</v>
      </c>
      <c r="I240" s="5" t="s">
        <v>36</v>
      </c>
      <c r="J240" s="6">
        <v>6.0</v>
      </c>
      <c r="K240" s="6" t="s">
        <v>37</v>
      </c>
      <c r="L240" s="6">
        <v>3820.0</v>
      </c>
      <c r="M240" s="8" t="s">
        <v>54</v>
      </c>
      <c r="N240" s="8" t="s">
        <v>95</v>
      </c>
      <c r="O240" s="6" t="s">
        <v>1243</v>
      </c>
      <c r="P240" s="5" t="s">
        <v>41</v>
      </c>
      <c r="Q240" s="5"/>
      <c r="R240" s="6" t="s">
        <v>42</v>
      </c>
      <c r="S240" s="5" t="s">
        <v>159</v>
      </c>
      <c r="T240" s="5" t="s">
        <v>62</v>
      </c>
      <c r="U240" s="5" t="s">
        <v>44</v>
      </c>
      <c r="V240" s="5" t="s">
        <v>44</v>
      </c>
      <c r="W240" s="5" t="s">
        <v>35</v>
      </c>
      <c r="X240" s="8" t="s">
        <v>1244</v>
      </c>
      <c r="Y240" s="5" t="s">
        <v>46</v>
      </c>
      <c r="Z240" s="5" t="s">
        <v>47</v>
      </c>
      <c r="AA240" s="5" t="s">
        <v>48</v>
      </c>
      <c r="AB240" s="5" t="s">
        <v>1255</v>
      </c>
      <c r="AC240" s="6" t="s">
        <v>71</v>
      </c>
      <c r="AD240" s="6">
        <v>1157.0</v>
      </c>
    </row>
    <row r="241" ht="56.25" customHeight="1">
      <c r="A241" s="5" t="s">
        <v>1256</v>
      </c>
      <c r="B241" s="6" t="str">
        <f>IMAGE("https://storage.googleapis.com/acdb/housewares/FtrWellBrick_Remake_0_0.png")</f>
        <v/>
      </c>
      <c r="C241" s="5" t="s">
        <v>52</v>
      </c>
      <c r="D241" s="5" t="s">
        <v>1241</v>
      </c>
      <c r="E241" s="5" t="s">
        <v>34</v>
      </c>
      <c r="F241" s="5" t="s">
        <v>34</v>
      </c>
      <c r="G241" s="5" t="s">
        <v>35</v>
      </c>
      <c r="H241" s="5" t="s">
        <v>35</v>
      </c>
      <c r="I241" s="5" t="s">
        <v>36</v>
      </c>
      <c r="J241" s="6">
        <v>4.0</v>
      </c>
      <c r="K241" s="6" t="s">
        <v>37</v>
      </c>
      <c r="L241" s="6">
        <v>2800.0</v>
      </c>
      <c r="M241" s="8" t="s">
        <v>142</v>
      </c>
      <c r="N241" s="8" t="s">
        <v>39</v>
      </c>
      <c r="O241" s="6" t="s">
        <v>1243</v>
      </c>
      <c r="P241" s="5" t="s">
        <v>41</v>
      </c>
      <c r="Q241" s="5"/>
      <c r="R241" s="6" t="s">
        <v>42</v>
      </c>
      <c r="S241" s="5" t="s">
        <v>172</v>
      </c>
      <c r="T241" s="5" t="s">
        <v>44</v>
      </c>
      <c r="U241" s="5" t="s">
        <v>44</v>
      </c>
      <c r="V241" s="5" t="s">
        <v>44</v>
      </c>
      <c r="W241" s="5" t="s">
        <v>36</v>
      </c>
      <c r="X241" s="8" t="s">
        <v>1010</v>
      </c>
      <c r="Y241" s="5" t="s">
        <v>46</v>
      </c>
      <c r="Z241" s="5" t="s">
        <v>47</v>
      </c>
      <c r="AA241" s="5" t="s">
        <v>48</v>
      </c>
      <c r="AB241" s="5" t="s">
        <v>1260</v>
      </c>
      <c r="AC241" s="6" t="s">
        <v>50</v>
      </c>
      <c r="AD241" s="6">
        <v>3776.0</v>
      </c>
    </row>
    <row r="242" ht="56.25" customHeight="1">
      <c r="A242" s="5" t="s">
        <v>1256</v>
      </c>
      <c r="B242" s="6" t="str">
        <f>IMAGE("https://storage.googleapis.com/acdb/housewares/FtrWellBrick_Remake_1_0.png")</f>
        <v/>
      </c>
      <c r="C242" s="5" t="s">
        <v>57</v>
      </c>
      <c r="D242" s="5" t="s">
        <v>1241</v>
      </c>
      <c r="E242" s="5" t="s">
        <v>34</v>
      </c>
      <c r="F242" s="5" t="s">
        <v>34</v>
      </c>
      <c r="G242" s="5" t="s">
        <v>35</v>
      </c>
      <c r="H242" s="5" t="s">
        <v>35</v>
      </c>
      <c r="I242" s="5" t="s">
        <v>36</v>
      </c>
      <c r="J242" s="6">
        <v>4.0</v>
      </c>
      <c r="K242" s="6" t="s">
        <v>37</v>
      </c>
      <c r="L242" s="6">
        <v>2800.0</v>
      </c>
      <c r="M242" s="8" t="s">
        <v>57</v>
      </c>
      <c r="N242" s="8" t="s">
        <v>52</v>
      </c>
      <c r="O242" s="6" t="s">
        <v>1243</v>
      </c>
      <c r="P242" s="5" t="s">
        <v>41</v>
      </c>
      <c r="Q242" s="5"/>
      <c r="R242" s="6" t="s">
        <v>42</v>
      </c>
      <c r="S242" s="5" t="s">
        <v>172</v>
      </c>
      <c r="T242" s="5" t="s">
        <v>44</v>
      </c>
      <c r="U242" s="5" t="s">
        <v>44</v>
      </c>
      <c r="V242" s="5" t="s">
        <v>44</v>
      </c>
      <c r="W242" s="5" t="s">
        <v>36</v>
      </c>
      <c r="X242" s="8" t="s">
        <v>1010</v>
      </c>
      <c r="Y242" s="5" t="s">
        <v>46</v>
      </c>
      <c r="Z242" s="5" t="s">
        <v>47</v>
      </c>
      <c r="AA242" s="5" t="s">
        <v>48</v>
      </c>
      <c r="AB242" s="5" t="s">
        <v>1265</v>
      </c>
      <c r="AC242" s="6" t="s">
        <v>56</v>
      </c>
      <c r="AD242" s="6">
        <v>3776.0</v>
      </c>
    </row>
    <row r="243" ht="56.25" customHeight="1">
      <c r="A243" s="5" t="s">
        <v>1256</v>
      </c>
      <c r="B243" s="6" t="str">
        <f>IMAGE("https://storage.googleapis.com/acdb/housewares/FtrWellBrick_Remake_2_0.png")</f>
        <v/>
      </c>
      <c r="C243" s="5" t="s">
        <v>95</v>
      </c>
      <c r="D243" s="5" t="s">
        <v>1241</v>
      </c>
      <c r="E243" s="5" t="s">
        <v>34</v>
      </c>
      <c r="F243" s="5" t="s">
        <v>34</v>
      </c>
      <c r="G243" s="5" t="s">
        <v>35</v>
      </c>
      <c r="H243" s="5" t="s">
        <v>35</v>
      </c>
      <c r="I243" s="5" t="s">
        <v>36</v>
      </c>
      <c r="J243" s="6">
        <v>4.0</v>
      </c>
      <c r="K243" s="6" t="s">
        <v>37</v>
      </c>
      <c r="L243" s="6">
        <v>2800.0</v>
      </c>
      <c r="M243" s="8" t="s">
        <v>95</v>
      </c>
      <c r="N243" s="8" t="s">
        <v>95</v>
      </c>
      <c r="O243" s="6" t="s">
        <v>1243</v>
      </c>
      <c r="P243" s="5" t="s">
        <v>41</v>
      </c>
      <c r="Q243" s="5"/>
      <c r="R243" s="6" t="s">
        <v>42</v>
      </c>
      <c r="S243" s="5" t="s">
        <v>172</v>
      </c>
      <c r="T243" s="5" t="s">
        <v>44</v>
      </c>
      <c r="U243" s="5" t="s">
        <v>44</v>
      </c>
      <c r="V243" s="5" t="s">
        <v>44</v>
      </c>
      <c r="W243" s="5" t="s">
        <v>36</v>
      </c>
      <c r="X243" s="8" t="s">
        <v>1010</v>
      </c>
      <c r="Y243" s="5" t="s">
        <v>46</v>
      </c>
      <c r="Z243" s="5" t="s">
        <v>47</v>
      </c>
      <c r="AA243" s="5" t="s">
        <v>48</v>
      </c>
      <c r="AB243" s="5" t="s">
        <v>1268</v>
      </c>
      <c r="AC243" s="6" t="s">
        <v>67</v>
      </c>
      <c r="AD243" s="6">
        <v>3776.0</v>
      </c>
    </row>
    <row r="244" ht="56.25" customHeight="1">
      <c r="A244" s="5" t="s">
        <v>1269</v>
      </c>
      <c r="B244" s="6" t="str">
        <f>IMAGE("https://storage.googleapis.com/acdb/housewares/FtrBunkbed_Remake_0_0.png")</f>
        <v/>
      </c>
      <c r="C244" s="5" t="s">
        <v>146</v>
      </c>
      <c r="D244" s="5" t="s">
        <v>34</v>
      </c>
      <c r="E244" s="5" t="s">
        <v>57</v>
      </c>
      <c r="F244" s="5" t="s">
        <v>1271</v>
      </c>
      <c r="G244" s="5" t="s">
        <v>36</v>
      </c>
      <c r="H244" s="5" t="s">
        <v>36</v>
      </c>
      <c r="I244" s="5" t="s">
        <v>35</v>
      </c>
      <c r="J244" s="6">
        <v>2.0</v>
      </c>
      <c r="K244" s="6">
        <v>5000.0</v>
      </c>
      <c r="L244" s="6">
        <v>1250.0</v>
      </c>
      <c r="M244" s="8" t="s">
        <v>95</v>
      </c>
      <c r="N244" s="8" t="s">
        <v>57</v>
      </c>
      <c r="O244" s="6" t="s">
        <v>276</v>
      </c>
      <c r="P244" s="5" t="s">
        <v>59</v>
      </c>
      <c r="Q244" s="5" t="s">
        <v>89</v>
      </c>
      <c r="R244" s="6" t="s">
        <v>42</v>
      </c>
      <c r="S244" s="5" t="s">
        <v>141</v>
      </c>
      <c r="T244" s="5" t="s">
        <v>44</v>
      </c>
      <c r="U244" s="5" t="s">
        <v>44</v>
      </c>
      <c r="V244" s="5" t="s">
        <v>44</v>
      </c>
      <c r="W244" s="5" t="s">
        <v>35</v>
      </c>
      <c r="X244" s="8" t="s">
        <v>218</v>
      </c>
      <c r="Y244" s="5" t="s">
        <v>46</v>
      </c>
      <c r="Z244" s="5" t="s">
        <v>47</v>
      </c>
      <c r="AA244" s="5" t="s">
        <v>64</v>
      </c>
      <c r="AB244" s="5" t="s">
        <v>1273</v>
      </c>
      <c r="AC244" s="6" t="s">
        <v>50</v>
      </c>
      <c r="AD244" s="6">
        <v>8298.0</v>
      </c>
    </row>
    <row r="245" ht="56.25" customHeight="1">
      <c r="A245" s="5" t="s">
        <v>1269</v>
      </c>
      <c r="B245" s="6" t="str">
        <f>IMAGE("https://storage.googleapis.com/acdb/housewares/FtrBunkbed_Remake_0_1.png")</f>
        <v/>
      </c>
      <c r="C245" s="5" t="s">
        <v>146</v>
      </c>
      <c r="D245" s="5" t="s">
        <v>34</v>
      </c>
      <c r="E245" s="5" t="s">
        <v>1274</v>
      </c>
      <c r="F245" s="5" t="s">
        <v>1271</v>
      </c>
      <c r="G245" s="5" t="s">
        <v>36</v>
      </c>
      <c r="H245" s="5" t="s">
        <v>36</v>
      </c>
      <c r="I245" s="5" t="s">
        <v>35</v>
      </c>
      <c r="J245" s="6">
        <v>2.0</v>
      </c>
      <c r="K245" s="6">
        <v>5000.0</v>
      </c>
      <c r="L245" s="6">
        <v>1250.0</v>
      </c>
      <c r="M245" s="8" t="s">
        <v>95</v>
      </c>
      <c r="N245" s="8" t="s">
        <v>68</v>
      </c>
      <c r="O245" s="6" t="s">
        <v>276</v>
      </c>
      <c r="P245" s="5" t="s">
        <v>59</v>
      </c>
      <c r="Q245" s="5" t="s">
        <v>89</v>
      </c>
      <c r="R245" s="6" t="s">
        <v>42</v>
      </c>
      <c r="S245" s="5" t="s">
        <v>141</v>
      </c>
      <c r="T245" s="5" t="s">
        <v>44</v>
      </c>
      <c r="U245" s="5" t="s">
        <v>44</v>
      </c>
      <c r="V245" s="5" t="s">
        <v>44</v>
      </c>
      <c r="W245" s="5" t="s">
        <v>35</v>
      </c>
      <c r="X245" s="8" t="s">
        <v>218</v>
      </c>
      <c r="Y245" s="5" t="s">
        <v>46</v>
      </c>
      <c r="Z245" s="5" t="s">
        <v>47</v>
      </c>
      <c r="AA245" s="5" t="s">
        <v>64</v>
      </c>
      <c r="AB245" s="5" t="s">
        <v>1277</v>
      </c>
      <c r="AC245" s="6" t="s">
        <v>217</v>
      </c>
      <c r="AD245" s="6">
        <v>8298.0</v>
      </c>
    </row>
    <row r="246" ht="56.25" customHeight="1">
      <c r="A246" s="5" t="s">
        <v>1269</v>
      </c>
      <c r="B246" s="6" t="str">
        <f>IMAGE("https://storage.googleapis.com/acdb/housewares/FtrBunkbed_Remake_0_2.png")</f>
        <v/>
      </c>
      <c r="C246" s="5" t="s">
        <v>146</v>
      </c>
      <c r="D246" s="5" t="s">
        <v>34</v>
      </c>
      <c r="E246" s="5" t="s">
        <v>422</v>
      </c>
      <c r="F246" s="5" t="s">
        <v>1271</v>
      </c>
      <c r="G246" s="5" t="s">
        <v>36</v>
      </c>
      <c r="H246" s="5" t="s">
        <v>36</v>
      </c>
      <c r="I246" s="5" t="s">
        <v>35</v>
      </c>
      <c r="J246" s="6">
        <v>2.0</v>
      </c>
      <c r="K246" s="6">
        <v>5000.0</v>
      </c>
      <c r="L246" s="6">
        <v>1250.0</v>
      </c>
      <c r="M246" s="8" t="s">
        <v>95</v>
      </c>
      <c r="N246" s="8" t="s">
        <v>69</v>
      </c>
      <c r="O246" s="6" t="s">
        <v>276</v>
      </c>
      <c r="P246" s="5" t="s">
        <v>59</v>
      </c>
      <c r="Q246" s="5" t="s">
        <v>89</v>
      </c>
      <c r="R246" s="6" t="s">
        <v>42</v>
      </c>
      <c r="S246" s="5" t="s">
        <v>141</v>
      </c>
      <c r="T246" s="5" t="s">
        <v>44</v>
      </c>
      <c r="U246" s="5" t="s">
        <v>44</v>
      </c>
      <c r="V246" s="5" t="s">
        <v>44</v>
      </c>
      <c r="W246" s="5" t="s">
        <v>35</v>
      </c>
      <c r="X246" s="8" t="s">
        <v>218</v>
      </c>
      <c r="Y246" s="5" t="s">
        <v>46</v>
      </c>
      <c r="Z246" s="5" t="s">
        <v>47</v>
      </c>
      <c r="AA246" s="5" t="s">
        <v>64</v>
      </c>
      <c r="AB246" s="5" t="s">
        <v>1281</v>
      </c>
      <c r="AC246" s="6" t="s">
        <v>347</v>
      </c>
      <c r="AD246" s="6">
        <v>8298.0</v>
      </c>
    </row>
    <row r="247" ht="56.25" customHeight="1">
      <c r="A247" s="5" t="s">
        <v>1269</v>
      </c>
      <c r="B247" s="6" t="str">
        <f>IMAGE("https://storage.googleapis.com/acdb/housewares/FtrBunkbed_Remake_0_3.png")</f>
        <v/>
      </c>
      <c r="C247" s="5" t="s">
        <v>146</v>
      </c>
      <c r="D247" s="5" t="s">
        <v>34</v>
      </c>
      <c r="E247" s="5" t="s">
        <v>403</v>
      </c>
      <c r="F247" s="5" t="s">
        <v>1271</v>
      </c>
      <c r="G247" s="5" t="s">
        <v>36</v>
      </c>
      <c r="H247" s="5" t="s">
        <v>36</v>
      </c>
      <c r="I247" s="5" t="s">
        <v>35</v>
      </c>
      <c r="J247" s="6">
        <v>2.0</v>
      </c>
      <c r="K247" s="6">
        <v>5000.0</v>
      </c>
      <c r="L247" s="6">
        <v>1250.0</v>
      </c>
      <c r="M247" s="8" t="s">
        <v>95</v>
      </c>
      <c r="N247" s="8" t="s">
        <v>1175</v>
      </c>
      <c r="O247" s="6" t="s">
        <v>276</v>
      </c>
      <c r="P247" s="5" t="s">
        <v>59</v>
      </c>
      <c r="Q247" s="5" t="s">
        <v>89</v>
      </c>
      <c r="R247" s="6" t="s">
        <v>42</v>
      </c>
      <c r="S247" s="5" t="s">
        <v>141</v>
      </c>
      <c r="T247" s="5" t="s">
        <v>44</v>
      </c>
      <c r="U247" s="5" t="s">
        <v>44</v>
      </c>
      <c r="V247" s="5" t="s">
        <v>44</v>
      </c>
      <c r="W247" s="5" t="s">
        <v>35</v>
      </c>
      <c r="X247" s="8" t="s">
        <v>218</v>
      </c>
      <c r="Y247" s="5" t="s">
        <v>46</v>
      </c>
      <c r="Z247" s="5" t="s">
        <v>47</v>
      </c>
      <c r="AA247" s="5" t="s">
        <v>64</v>
      </c>
      <c r="AB247" s="5" t="s">
        <v>1288</v>
      </c>
      <c r="AC247" s="6" t="s">
        <v>354</v>
      </c>
      <c r="AD247" s="6">
        <v>8298.0</v>
      </c>
    </row>
    <row r="248" ht="56.25" customHeight="1">
      <c r="A248" s="5" t="s">
        <v>1269</v>
      </c>
      <c r="B248" s="6" t="str">
        <f>IMAGE("https://storage.googleapis.com/acdb/housewares/FtrBunkbed_Remake_0_4.png")</f>
        <v/>
      </c>
      <c r="C248" s="5" t="s">
        <v>146</v>
      </c>
      <c r="D248" s="5" t="s">
        <v>34</v>
      </c>
      <c r="E248" s="5" t="s">
        <v>1289</v>
      </c>
      <c r="F248" s="5" t="s">
        <v>1271</v>
      </c>
      <c r="G248" s="5" t="s">
        <v>36</v>
      </c>
      <c r="H248" s="5" t="s">
        <v>36</v>
      </c>
      <c r="I248" s="5" t="s">
        <v>35</v>
      </c>
      <c r="J248" s="6">
        <v>2.0</v>
      </c>
      <c r="K248" s="6">
        <v>5000.0</v>
      </c>
      <c r="L248" s="6">
        <v>1250.0</v>
      </c>
      <c r="M248" s="8" t="s">
        <v>95</v>
      </c>
      <c r="N248" s="8" t="s">
        <v>114</v>
      </c>
      <c r="O248" s="6" t="s">
        <v>276</v>
      </c>
      <c r="P248" s="5" t="s">
        <v>59</v>
      </c>
      <c r="Q248" s="5" t="s">
        <v>89</v>
      </c>
      <c r="R248" s="6" t="s">
        <v>42</v>
      </c>
      <c r="S248" s="5" t="s">
        <v>141</v>
      </c>
      <c r="T248" s="5" t="s">
        <v>44</v>
      </c>
      <c r="U248" s="5" t="s">
        <v>44</v>
      </c>
      <c r="V248" s="5" t="s">
        <v>44</v>
      </c>
      <c r="W248" s="5" t="s">
        <v>35</v>
      </c>
      <c r="X248" s="8" t="s">
        <v>218</v>
      </c>
      <c r="Y248" s="5" t="s">
        <v>46</v>
      </c>
      <c r="Z248" s="5" t="s">
        <v>47</v>
      </c>
      <c r="AA248" s="5" t="s">
        <v>64</v>
      </c>
      <c r="AB248" s="5" t="s">
        <v>1292</v>
      </c>
      <c r="AC248" s="6" t="s">
        <v>486</v>
      </c>
      <c r="AD248" s="6">
        <v>8298.0</v>
      </c>
    </row>
    <row r="249" ht="56.25" customHeight="1">
      <c r="A249" s="5" t="s">
        <v>1269</v>
      </c>
      <c r="B249" s="6" t="str">
        <f>IMAGE("https://storage.googleapis.com/acdb/housewares/FtrBunkbed_Remake_1_0.png")</f>
        <v/>
      </c>
      <c r="C249" s="5" t="s">
        <v>54</v>
      </c>
      <c r="D249" s="5" t="s">
        <v>34</v>
      </c>
      <c r="E249" s="5" t="s">
        <v>57</v>
      </c>
      <c r="F249" s="5" t="s">
        <v>1271</v>
      </c>
      <c r="G249" s="5" t="s">
        <v>36</v>
      </c>
      <c r="H249" s="5" t="s">
        <v>36</v>
      </c>
      <c r="I249" s="5" t="s">
        <v>35</v>
      </c>
      <c r="J249" s="6">
        <v>2.0</v>
      </c>
      <c r="K249" s="6">
        <v>5000.0</v>
      </c>
      <c r="L249" s="6">
        <v>1250.0</v>
      </c>
      <c r="M249" s="5" t="s">
        <v>54</v>
      </c>
      <c r="N249" s="8" t="s">
        <v>57</v>
      </c>
      <c r="O249" s="6" t="s">
        <v>276</v>
      </c>
      <c r="P249" s="5" t="s">
        <v>59</v>
      </c>
      <c r="Q249" s="5" t="s">
        <v>89</v>
      </c>
      <c r="R249" s="6" t="s">
        <v>42</v>
      </c>
      <c r="S249" s="5" t="s">
        <v>141</v>
      </c>
      <c r="T249" s="5" t="s">
        <v>44</v>
      </c>
      <c r="U249" s="5" t="s">
        <v>44</v>
      </c>
      <c r="V249" s="5" t="s">
        <v>44</v>
      </c>
      <c r="W249" s="5" t="s">
        <v>35</v>
      </c>
      <c r="X249" s="8" t="s">
        <v>218</v>
      </c>
      <c r="Y249" s="5" t="s">
        <v>46</v>
      </c>
      <c r="Z249" s="5" t="s">
        <v>47</v>
      </c>
      <c r="AA249" s="5" t="s">
        <v>64</v>
      </c>
      <c r="AB249" s="5" t="s">
        <v>1297</v>
      </c>
      <c r="AC249" s="6" t="s">
        <v>56</v>
      </c>
      <c r="AD249" s="6">
        <v>8298.0</v>
      </c>
    </row>
    <row r="250" ht="56.25" customHeight="1">
      <c r="A250" s="5" t="s">
        <v>1269</v>
      </c>
      <c r="B250" s="6" t="str">
        <f>IMAGE("https://storage.googleapis.com/acdb/housewares/FtrBunkbed_Remake_1_1.png")</f>
        <v/>
      </c>
      <c r="C250" s="5" t="s">
        <v>54</v>
      </c>
      <c r="D250" s="5" t="s">
        <v>34</v>
      </c>
      <c r="E250" s="5" t="s">
        <v>1274</v>
      </c>
      <c r="F250" s="5" t="s">
        <v>1271</v>
      </c>
      <c r="G250" s="5" t="s">
        <v>36</v>
      </c>
      <c r="H250" s="5" t="s">
        <v>36</v>
      </c>
      <c r="I250" s="5" t="s">
        <v>35</v>
      </c>
      <c r="J250" s="6">
        <v>2.0</v>
      </c>
      <c r="K250" s="6">
        <v>5000.0</v>
      </c>
      <c r="L250" s="6">
        <v>1250.0</v>
      </c>
      <c r="M250" s="5" t="s">
        <v>54</v>
      </c>
      <c r="N250" s="8" t="s">
        <v>68</v>
      </c>
      <c r="O250" s="6" t="s">
        <v>276</v>
      </c>
      <c r="P250" s="5" t="s">
        <v>59</v>
      </c>
      <c r="Q250" s="5" t="s">
        <v>89</v>
      </c>
      <c r="R250" s="6" t="s">
        <v>42</v>
      </c>
      <c r="S250" s="5" t="s">
        <v>141</v>
      </c>
      <c r="T250" s="5" t="s">
        <v>44</v>
      </c>
      <c r="U250" s="5" t="s">
        <v>44</v>
      </c>
      <c r="V250" s="5" t="s">
        <v>44</v>
      </c>
      <c r="W250" s="5" t="s">
        <v>35</v>
      </c>
      <c r="X250" s="8" t="s">
        <v>218</v>
      </c>
      <c r="Y250" s="5" t="s">
        <v>46</v>
      </c>
      <c r="Z250" s="5" t="s">
        <v>47</v>
      </c>
      <c r="AA250" s="5" t="s">
        <v>64</v>
      </c>
      <c r="AB250" s="5" t="s">
        <v>1301</v>
      </c>
      <c r="AC250" s="6" t="s">
        <v>234</v>
      </c>
      <c r="AD250" s="6">
        <v>8298.0</v>
      </c>
    </row>
    <row r="251" ht="56.25" customHeight="1">
      <c r="A251" s="5" t="s">
        <v>1269</v>
      </c>
      <c r="B251" s="6" t="str">
        <f>IMAGE("https://storage.googleapis.com/acdb/housewares/FtrBunkbed_Remake_1_2.png")</f>
        <v/>
      </c>
      <c r="C251" s="5" t="s">
        <v>54</v>
      </c>
      <c r="D251" s="5" t="s">
        <v>34</v>
      </c>
      <c r="E251" s="5" t="s">
        <v>422</v>
      </c>
      <c r="F251" s="5" t="s">
        <v>1271</v>
      </c>
      <c r="G251" s="5" t="s">
        <v>36</v>
      </c>
      <c r="H251" s="5" t="s">
        <v>36</v>
      </c>
      <c r="I251" s="5" t="s">
        <v>35</v>
      </c>
      <c r="J251" s="6">
        <v>2.0</v>
      </c>
      <c r="K251" s="6">
        <v>5000.0</v>
      </c>
      <c r="L251" s="6">
        <v>1250.0</v>
      </c>
      <c r="M251" s="5" t="s">
        <v>54</v>
      </c>
      <c r="N251" s="8" t="s">
        <v>69</v>
      </c>
      <c r="O251" s="6" t="s">
        <v>276</v>
      </c>
      <c r="P251" s="5" t="s">
        <v>59</v>
      </c>
      <c r="Q251" s="5" t="s">
        <v>89</v>
      </c>
      <c r="R251" s="6" t="s">
        <v>42</v>
      </c>
      <c r="S251" s="5" t="s">
        <v>141</v>
      </c>
      <c r="T251" s="5" t="s">
        <v>44</v>
      </c>
      <c r="U251" s="5" t="s">
        <v>44</v>
      </c>
      <c r="V251" s="5" t="s">
        <v>44</v>
      </c>
      <c r="W251" s="5" t="s">
        <v>35</v>
      </c>
      <c r="X251" s="8" t="s">
        <v>218</v>
      </c>
      <c r="Y251" s="5" t="s">
        <v>46</v>
      </c>
      <c r="Z251" s="5" t="s">
        <v>47</v>
      </c>
      <c r="AA251" s="5" t="s">
        <v>64</v>
      </c>
      <c r="AB251" s="5" t="s">
        <v>1304</v>
      </c>
      <c r="AC251" s="6" t="s">
        <v>370</v>
      </c>
      <c r="AD251" s="6">
        <v>8298.0</v>
      </c>
    </row>
    <row r="252" ht="56.25" customHeight="1">
      <c r="A252" s="5" t="s">
        <v>1269</v>
      </c>
      <c r="B252" s="6" t="str">
        <f>IMAGE("https://storage.googleapis.com/acdb/housewares/FtrBunkbed_Remake_1_3.png")</f>
        <v/>
      </c>
      <c r="C252" s="5" t="s">
        <v>54</v>
      </c>
      <c r="D252" s="5" t="s">
        <v>34</v>
      </c>
      <c r="E252" s="5" t="s">
        <v>403</v>
      </c>
      <c r="F252" s="5" t="s">
        <v>1271</v>
      </c>
      <c r="G252" s="5" t="s">
        <v>36</v>
      </c>
      <c r="H252" s="5" t="s">
        <v>36</v>
      </c>
      <c r="I252" s="5" t="s">
        <v>35</v>
      </c>
      <c r="J252" s="6">
        <v>2.0</v>
      </c>
      <c r="K252" s="6">
        <v>5000.0</v>
      </c>
      <c r="L252" s="6">
        <v>1250.0</v>
      </c>
      <c r="M252" s="5" t="s">
        <v>54</v>
      </c>
      <c r="N252" s="8" t="s">
        <v>1175</v>
      </c>
      <c r="O252" s="6" t="s">
        <v>276</v>
      </c>
      <c r="P252" s="5" t="s">
        <v>59</v>
      </c>
      <c r="Q252" s="5" t="s">
        <v>89</v>
      </c>
      <c r="R252" s="6" t="s">
        <v>42</v>
      </c>
      <c r="S252" s="5" t="s">
        <v>141</v>
      </c>
      <c r="T252" s="5" t="s">
        <v>44</v>
      </c>
      <c r="U252" s="5" t="s">
        <v>44</v>
      </c>
      <c r="V252" s="5" t="s">
        <v>44</v>
      </c>
      <c r="W252" s="5" t="s">
        <v>35</v>
      </c>
      <c r="X252" s="8" t="s">
        <v>218</v>
      </c>
      <c r="Y252" s="5" t="s">
        <v>46</v>
      </c>
      <c r="Z252" s="5" t="s">
        <v>47</v>
      </c>
      <c r="AA252" s="5" t="s">
        <v>64</v>
      </c>
      <c r="AB252" s="5" t="s">
        <v>1309</v>
      </c>
      <c r="AC252" s="6" t="s">
        <v>377</v>
      </c>
      <c r="AD252" s="6">
        <v>8298.0</v>
      </c>
    </row>
    <row r="253" ht="56.25" customHeight="1">
      <c r="A253" s="5" t="s">
        <v>1269</v>
      </c>
      <c r="B253" s="6" t="str">
        <f>IMAGE("https://storage.googleapis.com/acdb/housewares/FtrBunkbed_Remake_1_4.png")</f>
        <v/>
      </c>
      <c r="C253" s="5" t="s">
        <v>54</v>
      </c>
      <c r="D253" s="5" t="s">
        <v>34</v>
      </c>
      <c r="E253" s="5" t="s">
        <v>1289</v>
      </c>
      <c r="F253" s="5" t="s">
        <v>1271</v>
      </c>
      <c r="G253" s="5" t="s">
        <v>36</v>
      </c>
      <c r="H253" s="5" t="s">
        <v>36</v>
      </c>
      <c r="I253" s="5" t="s">
        <v>35</v>
      </c>
      <c r="J253" s="6">
        <v>2.0</v>
      </c>
      <c r="K253" s="6">
        <v>5000.0</v>
      </c>
      <c r="L253" s="6">
        <v>1250.0</v>
      </c>
      <c r="M253" s="5" t="s">
        <v>54</v>
      </c>
      <c r="N253" s="8" t="s">
        <v>114</v>
      </c>
      <c r="O253" s="6" t="s">
        <v>276</v>
      </c>
      <c r="P253" s="5" t="s">
        <v>59</v>
      </c>
      <c r="Q253" s="5" t="s">
        <v>89</v>
      </c>
      <c r="R253" s="6" t="s">
        <v>42</v>
      </c>
      <c r="S253" s="5" t="s">
        <v>141</v>
      </c>
      <c r="T253" s="5" t="s">
        <v>44</v>
      </c>
      <c r="U253" s="5" t="s">
        <v>44</v>
      </c>
      <c r="V253" s="5" t="s">
        <v>44</v>
      </c>
      <c r="W253" s="5" t="s">
        <v>35</v>
      </c>
      <c r="X253" s="8" t="s">
        <v>218</v>
      </c>
      <c r="Y253" s="5" t="s">
        <v>46</v>
      </c>
      <c r="Z253" s="5" t="s">
        <v>47</v>
      </c>
      <c r="AA253" s="5" t="s">
        <v>64</v>
      </c>
      <c r="AB253" s="5" t="s">
        <v>1313</v>
      </c>
      <c r="AC253" s="6" t="s">
        <v>520</v>
      </c>
      <c r="AD253" s="6">
        <v>8298.0</v>
      </c>
    </row>
    <row r="254" ht="56.25" customHeight="1">
      <c r="A254" s="5" t="s">
        <v>1269</v>
      </c>
      <c r="B254" s="6" t="str">
        <f>IMAGE("https://storage.googleapis.com/acdb/housewares/FtrBunkbed_Remake_2_0.png")</f>
        <v/>
      </c>
      <c r="C254" s="5" t="s">
        <v>57</v>
      </c>
      <c r="D254" s="5" t="s">
        <v>34</v>
      </c>
      <c r="E254" s="5" t="s">
        <v>57</v>
      </c>
      <c r="F254" s="5" t="s">
        <v>1271</v>
      </c>
      <c r="G254" s="5" t="s">
        <v>36</v>
      </c>
      <c r="H254" s="5" t="s">
        <v>36</v>
      </c>
      <c r="I254" s="5" t="s">
        <v>35</v>
      </c>
      <c r="J254" s="6">
        <v>2.0</v>
      </c>
      <c r="K254" s="6">
        <v>5000.0</v>
      </c>
      <c r="L254" s="6">
        <v>1250.0</v>
      </c>
      <c r="M254" s="5" t="s">
        <v>57</v>
      </c>
      <c r="N254" s="8" t="s">
        <v>57</v>
      </c>
      <c r="O254" s="6" t="s">
        <v>276</v>
      </c>
      <c r="P254" s="5" t="s">
        <v>59</v>
      </c>
      <c r="Q254" s="5" t="s">
        <v>89</v>
      </c>
      <c r="R254" s="6" t="s">
        <v>42</v>
      </c>
      <c r="S254" s="5" t="s">
        <v>141</v>
      </c>
      <c r="T254" s="5" t="s">
        <v>44</v>
      </c>
      <c r="U254" s="5" t="s">
        <v>44</v>
      </c>
      <c r="V254" s="5" t="s">
        <v>44</v>
      </c>
      <c r="W254" s="5" t="s">
        <v>35</v>
      </c>
      <c r="X254" s="8" t="s">
        <v>218</v>
      </c>
      <c r="Y254" s="5" t="s">
        <v>46</v>
      </c>
      <c r="Z254" s="5" t="s">
        <v>47</v>
      </c>
      <c r="AA254" s="5" t="s">
        <v>64</v>
      </c>
      <c r="AB254" s="5" t="s">
        <v>1316</v>
      </c>
      <c r="AC254" s="6" t="s">
        <v>67</v>
      </c>
      <c r="AD254" s="6">
        <v>8298.0</v>
      </c>
    </row>
    <row r="255" ht="56.25" customHeight="1">
      <c r="A255" s="5" t="s">
        <v>1269</v>
      </c>
      <c r="B255" s="6" t="str">
        <f>IMAGE("https://storage.googleapis.com/acdb/housewares/FtrBunkbed_Remake_2_1.png")</f>
        <v/>
      </c>
      <c r="C255" s="5" t="s">
        <v>57</v>
      </c>
      <c r="D255" s="5" t="s">
        <v>34</v>
      </c>
      <c r="E255" s="5" t="s">
        <v>1274</v>
      </c>
      <c r="F255" s="5" t="s">
        <v>1271</v>
      </c>
      <c r="G255" s="5" t="s">
        <v>36</v>
      </c>
      <c r="H255" s="5" t="s">
        <v>36</v>
      </c>
      <c r="I255" s="5" t="s">
        <v>35</v>
      </c>
      <c r="J255" s="6">
        <v>2.0</v>
      </c>
      <c r="K255" s="6">
        <v>5000.0</v>
      </c>
      <c r="L255" s="6">
        <v>1250.0</v>
      </c>
      <c r="M255" s="5" t="s">
        <v>57</v>
      </c>
      <c r="N255" s="8" t="s">
        <v>68</v>
      </c>
      <c r="O255" s="6" t="s">
        <v>276</v>
      </c>
      <c r="P255" s="5" t="s">
        <v>59</v>
      </c>
      <c r="Q255" s="5" t="s">
        <v>89</v>
      </c>
      <c r="R255" s="6" t="s">
        <v>42</v>
      </c>
      <c r="S255" s="5" t="s">
        <v>141</v>
      </c>
      <c r="T255" s="5" t="s">
        <v>44</v>
      </c>
      <c r="U255" s="5" t="s">
        <v>44</v>
      </c>
      <c r="V255" s="5" t="s">
        <v>44</v>
      </c>
      <c r="W255" s="5" t="s">
        <v>35</v>
      </c>
      <c r="X255" s="8" t="s">
        <v>218</v>
      </c>
      <c r="Y255" s="5" t="s">
        <v>46</v>
      </c>
      <c r="Z255" s="5" t="s">
        <v>47</v>
      </c>
      <c r="AA255" s="5" t="s">
        <v>64</v>
      </c>
      <c r="AB255" s="5" t="s">
        <v>1319</v>
      </c>
      <c r="AC255" s="6" t="s">
        <v>247</v>
      </c>
      <c r="AD255" s="6">
        <v>8298.0</v>
      </c>
    </row>
    <row r="256" ht="56.25" customHeight="1">
      <c r="A256" s="5" t="s">
        <v>1269</v>
      </c>
      <c r="B256" s="6" t="str">
        <f>IMAGE("https://storage.googleapis.com/acdb/housewares/FtrBunkbed_Remake_2_2.png")</f>
        <v/>
      </c>
      <c r="C256" s="5" t="s">
        <v>57</v>
      </c>
      <c r="D256" s="5" t="s">
        <v>34</v>
      </c>
      <c r="E256" s="5" t="s">
        <v>422</v>
      </c>
      <c r="F256" s="5" t="s">
        <v>1271</v>
      </c>
      <c r="G256" s="5" t="s">
        <v>36</v>
      </c>
      <c r="H256" s="5" t="s">
        <v>36</v>
      </c>
      <c r="I256" s="5" t="s">
        <v>35</v>
      </c>
      <c r="J256" s="6">
        <v>2.0</v>
      </c>
      <c r="K256" s="6">
        <v>5000.0</v>
      </c>
      <c r="L256" s="6">
        <v>1250.0</v>
      </c>
      <c r="M256" s="5" t="s">
        <v>57</v>
      </c>
      <c r="N256" s="8" t="s">
        <v>69</v>
      </c>
      <c r="O256" s="6" t="s">
        <v>276</v>
      </c>
      <c r="P256" s="5" t="s">
        <v>59</v>
      </c>
      <c r="Q256" s="5" t="s">
        <v>89</v>
      </c>
      <c r="R256" s="6" t="s">
        <v>42</v>
      </c>
      <c r="S256" s="5" t="s">
        <v>141</v>
      </c>
      <c r="T256" s="5" t="s">
        <v>44</v>
      </c>
      <c r="U256" s="5" t="s">
        <v>44</v>
      </c>
      <c r="V256" s="5" t="s">
        <v>44</v>
      </c>
      <c r="W256" s="5" t="s">
        <v>35</v>
      </c>
      <c r="X256" s="8" t="s">
        <v>218</v>
      </c>
      <c r="Y256" s="5" t="s">
        <v>46</v>
      </c>
      <c r="Z256" s="5" t="s">
        <v>47</v>
      </c>
      <c r="AA256" s="5" t="s">
        <v>64</v>
      </c>
      <c r="AB256" s="5" t="s">
        <v>1322</v>
      </c>
      <c r="AC256" s="6" t="s">
        <v>390</v>
      </c>
      <c r="AD256" s="6">
        <v>8298.0</v>
      </c>
    </row>
    <row r="257" ht="56.25" customHeight="1">
      <c r="A257" s="5" t="s">
        <v>1269</v>
      </c>
      <c r="B257" s="6" t="str">
        <f>IMAGE("https://storage.googleapis.com/acdb/housewares/FtrBunkbed_Remake_2_3.png")</f>
        <v/>
      </c>
      <c r="C257" s="5" t="s">
        <v>57</v>
      </c>
      <c r="D257" s="5" t="s">
        <v>34</v>
      </c>
      <c r="E257" s="5" t="s">
        <v>403</v>
      </c>
      <c r="F257" s="5" t="s">
        <v>1271</v>
      </c>
      <c r="G257" s="5" t="s">
        <v>36</v>
      </c>
      <c r="H257" s="5" t="s">
        <v>36</v>
      </c>
      <c r="I257" s="5" t="s">
        <v>35</v>
      </c>
      <c r="J257" s="6">
        <v>2.0</v>
      </c>
      <c r="K257" s="6">
        <v>5000.0</v>
      </c>
      <c r="L257" s="6">
        <v>1250.0</v>
      </c>
      <c r="M257" s="5" t="s">
        <v>57</v>
      </c>
      <c r="N257" s="8" t="s">
        <v>1175</v>
      </c>
      <c r="O257" s="6" t="s">
        <v>276</v>
      </c>
      <c r="P257" s="5" t="s">
        <v>59</v>
      </c>
      <c r="Q257" s="5" t="s">
        <v>89</v>
      </c>
      <c r="R257" s="6" t="s">
        <v>42</v>
      </c>
      <c r="S257" s="5" t="s">
        <v>141</v>
      </c>
      <c r="T257" s="5" t="s">
        <v>44</v>
      </c>
      <c r="U257" s="5" t="s">
        <v>44</v>
      </c>
      <c r="V257" s="5" t="s">
        <v>44</v>
      </c>
      <c r="W257" s="5" t="s">
        <v>35</v>
      </c>
      <c r="X257" s="8" t="s">
        <v>218</v>
      </c>
      <c r="Y257" s="5" t="s">
        <v>46</v>
      </c>
      <c r="Z257" s="5" t="s">
        <v>47</v>
      </c>
      <c r="AA257" s="5" t="s">
        <v>64</v>
      </c>
      <c r="AB257" s="5" t="s">
        <v>1326</v>
      </c>
      <c r="AC257" s="6" t="s">
        <v>396</v>
      </c>
      <c r="AD257" s="6">
        <v>8298.0</v>
      </c>
    </row>
    <row r="258" ht="56.25" customHeight="1">
      <c r="A258" s="5" t="s">
        <v>1269</v>
      </c>
      <c r="B258" s="6" t="str">
        <f>IMAGE("https://storage.googleapis.com/acdb/housewares/FtrBunkbed_Remake_2_4.png")</f>
        <v/>
      </c>
      <c r="C258" s="5" t="s">
        <v>57</v>
      </c>
      <c r="D258" s="5" t="s">
        <v>34</v>
      </c>
      <c r="E258" s="5" t="s">
        <v>1289</v>
      </c>
      <c r="F258" s="5" t="s">
        <v>1271</v>
      </c>
      <c r="G258" s="5" t="s">
        <v>36</v>
      </c>
      <c r="H258" s="5" t="s">
        <v>36</v>
      </c>
      <c r="I258" s="5" t="s">
        <v>35</v>
      </c>
      <c r="J258" s="6">
        <v>2.0</v>
      </c>
      <c r="K258" s="6">
        <v>5000.0</v>
      </c>
      <c r="L258" s="6">
        <v>1250.0</v>
      </c>
      <c r="M258" s="5" t="s">
        <v>57</v>
      </c>
      <c r="N258" s="8" t="s">
        <v>114</v>
      </c>
      <c r="O258" s="6" t="s">
        <v>276</v>
      </c>
      <c r="P258" s="5" t="s">
        <v>59</v>
      </c>
      <c r="Q258" s="5" t="s">
        <v>89</v>
      </c>
      <c r="R258" s="6" t="s">
        <v>42</v>
      </c>
      <c r="S258" s="5" t="s">
        <v>141</v>
      </c>
      <c r="T258" s="5" t="s">
        <v>44</v>
      </c>
      <c r="U258" s="5" t="s">
        <v>44</v>
      </c>
      <c r="V258" s="5" t="s">
        <v>44</v>
      </c>
      <c r="W258" s="5" t="s">
        <v>35</v>
      </c>
      <c r="X258" s="8" t="s">
        <v>218</v>
      </c>
      <c r="Y258" s="5" t="s">
        <v>46</v>
      </c>
      <c r="Z258" s="5" t="s">
        <v>47</v>
      </c>
      <c r="AA258" s="5" t="s">
        <v>64</v>
      </c>
      <c r="AB258" s="5" t="s">
        <v>1329</v>
      </c>
      <c r="AC258" s="6" t="s">
        <v>541</v>
      </c>
      <c r="AD258" s="6">
        <v>8298.0</v>
      </c>
    </row>
    <row r="259" ht="56.25" customHeight="1">
      <c r="A259" s="5" t="s">
        <v>1269</v>
      </c>
      <c r="B259" s="6" t="str">
        <f>IMAGE("https://storage.googleapis.com/acdb/housewares/FtrBunkbed_Remake_3_0.png")</f>
        <v/>
      </c>
      <c r="C259" s="5" t="s">
        <v>52</v>
      </c>
      <c r="D259" s="5" t="s">
        <v>34</v>
      </c>
      <c r="E259" s="5" t="s">
        <v>57</v>
      </c>
      <c r="F259" s="5" t="s">
        <v>1271</v>
      </c>
      <c r="G259" s="5" t="s">
        <v>36</v>
      </c>
      <c r="H259" s="5" t="s">
        <v>36</v>
      </c>
      <c r="I259" s="5" t="s">
        <v>35</v>
      </c>
      <c r="J259" s="6">
        <v>2.0</v>
      </c>
      <c r="K259" s="6">
        <v>5000.0</v>
      </c>
      <c r="L259" s="6">
        <v>1250.0</v>
      </c>
      <c r="M259" s="5" t="s">
        <v>52</v>
      </c>
      <c r="N259" s="8" t="s">
        <v>57</v>
      </c>
      <c r="O259" s="6" t="s">
        <v>276</v>
      </c>
      <c r="P259" s="5" t="s">
        <v>59</v>
      </c>
      <c r="Q259" s="5" t="s">
        <v>89</v>
      </c>
      <c r="R259" s="6" t="s">
        <v>42</v>
      </c>
      <c r="S259" s="5" t="s">
        <v>141</v>
      </c>
      <c r="T259" s="5" t="s">
        <v>44</v>
      </c>
      <c r="U259" s="5" t="s">
        <v>44</v>
      </c>
      <c r="V259" s="5" t="s">
        <v>44</v>
      </c>
      <c r="W259" s="5" t="s">
        <v>35</v>
      </c>
      <c r="X259" s="8" t="s">
        <v>218</v>
      </c>
      <c r="Y259" s="5" t="s">
        <v>46</v>
      </c>
      <c r="Z259" s="5" t="s">
        <v>47</v>
      </c>
      <c r="AA259" s="5" t="s">
        <v>64</v>
      </c>
      <c r="AB259" s="5" t="s">
        <v>1333</v>
      </c>
      <c r="AC259" s="6" t="s">
        <v>71</v>
      </c>
      <c r="AD259" s="6">
        <v>8298.0</v>
      </c>
    </row>
    <row r="260" ht="56.25" customHeight="1">
      <c r="A260" s="5" t="s">
        <v>1269</v>
      </c>
      <c r="B260" s="6" t="str">
        <f>IMAGE("https://storage.googleapis.com/acdb/housewares/FtrBunkbed_Remake_3_1.png")</f>
        <v/>
      </c>
      <c r="C260" s="5" t="s">
        <v>52</v>
      </c>
      <c r="D260" s="5" t="s">
        <v>34</v>
      </c>
      <c r="E260" s="5" t="s">
        <v>1274</v>
      </c>
      <c r="F260" s="5" t="s">
        <v>1271</v>
      </c>
      <c r="G260" s="5" t="s">
        <v>36</v>
      </c>
      <c r="H260" s="5" t="s">
        <v>36</v>
      </c>
      <c r="I260" s="5" t="s">
        <v>35</v>
      </c>
      <c r="J260" s="6">
        <v>2.0</v>
      </c>
      <c r="K260" s="6">
        <v>5000.0</v>
      </c>
      <c r="L260" s="6">
        <v>1250.0</v>
      </c>
      <c r="M260" s="5" t="s">
        <v>52</v>
      </c>
      <c r="N260" s="8" t="s">
        <v>68</v>
      </c>
      <c r="O260" s="6" t="s">
        <v>276</v>
      </c>
      <c r="P260" s="5" t="s">
        <v>59</v>
      </c>
      <c r="Q260" s="5" t="s">
        <v>89</v>
      </c>
      <c r="R260" s="6" t="s">
        <v>42</v>
      </c>
      <c r="S260" s="5" t="s">
        <v>141</v>
      </c>
      <c r="T260" s="5" t="s">
        <v>44</v>
      </c>
      <c r="U260" s="5" t="s">
        <v>44</v>
      </c>
      <c r="V260" s="5" t="s">
        <v>44</v>
      </c>
      <c r="W260" s="5" t="s">
        <v>35</v>
      </c>
      <c r="X260" s="8" t="s">
        <v>218</v>
      </c>
      <c r="Y260" s="5" t="s">
        <v>46</v>
      </c>
      <c r="Z260" s="5" t="s">
        <v>47</v>
      </c>
      <c r="AA260" s="5" t="s">
        <v>64</v>
      </c>
      <c r="AB260" s="5" t="s">
        <v>1335</v>
      </c>
      <c r="AC260" s="6" t="s">
        <v>257</v>
      </c>
      <c r="AD260" s="6">
        <v>8298.0</v>
      </c>
    </row>
    <row r="261" ht="56.25" customHeight="1">
      <c r="A261" s="5" t="s">
        <v>1269</v>
      </c>
      <c r="B261" s="6" t="str">
        <f>IMAGE("https://storage.googleapis.com/acdb/housewares/FtrBunkbed_Remake_3_2.png")</f>
        <v/>
      </c>
      <c r="C261" s="5" t="s">
        <v>52</v>
      </c>
      <c r="D261" s="5" t="s">
        <v>34</v>
      </c>
      <c r="E261" s="5" t="s">
        <v>422</v>
      </c>
      <c r="F261" s="5" t="s">
        <v>1271</v>
      </c>
      <c r="G261" s="5" t="s">
        <v>36</v>
      </c>
      <c r="H261" s="5" t="s">
        <v>36</v>
      </c>
      <c r="I261" s="5" t="s">
        <v>35</v>
      </c>
      <c r="J261" s="6">
        <v>2.0</v>
      </c>
      <c r="K261" s="6">
        <v>5000.0</v>
      </c>
      <c r="L261" s="6">
        <v>1250.0</v>
      </c>
      <c r="M261" s="5" t="s">
        <v>52</v>
      </c>
      <c r="N261" s="8" t="s">
        <v>69</v>
      </c>
      <c r="O261" s="6" t="s">
        <v>276</v>
      </c>
      <c r="P261" s="5" t="s">
        <v>59</v>
      </c>
      <c r="Q261" s="5" t="s">
        <v>89</v>
      </c>
      <c r="R261" s="6" t="s">
        <v>42</v>
      </c>
      <c r="S261" s="5" t="s">
        <v>141</v>
      </c>
      <c r="T261" s="5" t="s">
        <v>44</v>
      </c>
      <c r="U261" s="5" t="s">
        <v>44</v>
      </c>
      <c r="V261" s="5" t="s">
        <v>44</v>
      </c>
      <c r="W261" s="5" t="s">
        <v>35</v>
      </c>
      <c r="X261" s="8" t="s">
        <v>218</v>
      </c>
      <c r="Y261" s="5" t="s">
        <v>46</v>
      </c>
      <c r="Z261" s="5" t="s">
        <v>47</v>
      </c>
      <c r="AA261" s="5" t="s">
        <v>64</v>
      </c>
      <c r="AB261" s="5" t="s">
        <v>1338</v>
      </c>
      <c r="AC261" s="6" t="s">
        <v>414</v>
      </c>
      <c r="AD261" s="6">
        <v>8298.0</v>
      </c>
    </row>
    <row r="262" ht="56.25" customHeight="1">
      <c r="A262" s="5" t="s">
        <v>1269</v>
      </c>
      <c r="B262" s="6" t="str">
        <f>IMAGE("https://storage.googleapis.com/acdb/housewares/FtrBunkbed_Remake_3_3.png")</f>
        <v/>
      </c>
      <c r="C262" s="5" t="s">
        <v>52</v>
      </c>
      <c r="D262" s="5" t="s">
        <v>34</v>
      </c>
      <c r="E262" s="5" t="s">
        <v>403</v>
      </c>
      <c r="F262" s="5" t="s">
        <v>1271</v>
      </c>
      <c r="G262" s="5" t="s">
        <v>36</v>
      </c>
      <c r="H262" s="5" t="s">
        <v>36</v>
      </c>
      <c r="I262" s="5" t="s">
        <v>35</v>
      </c>
      <c r="J262" s="6">
        <v>2.0</v>
      </c>
      <c r="K262" s="6">
        <v>5000.0</v>
      </c>
      <c r="L262" s="6">
        <v>1250.0</v>
      </c>
      <c r="M262" s="5" t="s">
        <v>52</v>
      </c>
      <c r="N262" s="8" t="s">
        <v>1175</v>
      </c>
      <c r="O262" s="6" t="s">
        <v>276</v>
      </c>
      <c r="P262" s="5" t="s">
        <v>59</v>
      </c>
      <c r="Q262" s="5" t="s">
        <v>89</v>
      </c>
      <c r="R262" s="6" t="s">
        <v>42</v>
      </c>
      <c r="S262" s="5" t="s">
        <v>141</v>
      </c>
      <c r="T262" s="5" t="s">
        <v>44</v>
      </c>
      <c r="U262" s="5" t="s">
        <v>44</v>
      </c>
      <c r="V262" s="5" t="s">
        <v>44</v>
      </c>
      <c r="W262" s="5" t="s">
        <v>35</v>
      </c>
      <c r="X262" s="8" t="s">
        <v>218</v>
      </c>
      <c r="Y262" s="5" t="s">
        <v>46</v>
      </c>
      <c r="Z262" s="5" t="s">
        <v>47</v>
      </c>
      <c r="AA262" s="5" t="s">
        <v>64</v>
      </c>
      <c r="AB262" s="5" t="s">
        <v>1342</v>
      </c>
      <c r="AC262" s="6" t="s">
        <v>418</v>
      </c>
      <c r="AD262" s="6">
        <v>8298.0</v>
      </c>
    </row>
    <row r="263" ht="56.25" customHeight="1">
      <c r="A263" s="5" t="s">
        <v>1269</v>
      </c>
      <c r="B263" s="6" t="str">
        <f>IMAGE("https://storage.googleapis.com/acdb/housewares/FtrBunkbed_Remake_3_4.png")</f>
        <v/>
      </c>
      <c r="C263" s="5" t="s">
        <v>52</v>
      </c>
      <c r="D263" s="5" t="s">
        <v>34</v>
      </c>
      <c r="E263" s="5" t="s">
        <v>1289</v>
      </c>
      <c r="F263" s="5" t="s">
        <v>1271</v>
      </c>
      <c r="G263" s="5" t="s">
        <v>36</v>
      </c>
      <c r="H263" s="5" t="s">
        <v>36</v>
      </c>
      <c r="I263" s="5" t="s">
        <v>35</v>
      </c>
      <c r="J263" s="6">
        <v>2.0</v>
      </c>
      <c r="K263" s="6">
        <v>5000.0</v>
      </c>
      <c r="L263" s="6">
        <v>1250.0</v>
      </c>
      <c r="M263" s="5" t="s">
        <v>52</v>
      </c>
      <c r="N263" s="8" t="s">
        <v>114</v>
      </c>
      <c r="O263" s="6" t="s">
        <v>276</v>
      </c>
      <c r="P263" s="5" t="s">
        <v>59</v>
      </c>
      <c r="Q263" s="5" t="s">
        <v>89</v>
      </c>
      <c r="R263" s="6" t="s">
        <v>42</v>
      </c>
      <c r="S263" s="5" t="s">
        <v>141</v>
      </c>
      <c r="T263" s="5" t="s">
        <v>44</v>
      </c>
      <c r="U263" s="5" t="s">
        <v>44</v>
      </c>
      <c r="V263" s="5" t="s">
        <v>44</v>
      </c>
      <c r="W263" s="5" t="s">
        <v>35</v>
      </c>
      <c r="X263" s="8" t="s">
        <v>218</v>
      </c>
      <c r="Y263" s="5" t="s">
        <v>46</v>
      </c>
      <c r="Z263" s="5" t="s">
        <v>47</v>
      </c>
      <c r="AA263" s="5" t="s">
        <v>64</v>
      </c>
      <c r="AB263" s="5" t="s">
        <v>1345</v>
      </c>
      <c r="AC263" s="6" t="s">
        <v>563</v>
      </c>
      <c r="AD263" s="6">
        <v>8298.0</v>
      </c>
    </row>
    <row r="264" ht="56.25" customHeight="1">
      <c r="A264" s="5" t="s">
        <v>1269</v>
      </c>
      <c r="B264" s="6" t="str">
        <f>IMAGE("https://storage.googleapis.com/acdb/housewares/FtrBunkbed_Remake_4_0.png")</f>
        <v/>
      </c>
      <c r="C264" s="5" t="s">
        <v>68</v>
      </c>
      <c r="D264" s="5" t="s">
        <v>34</v>
      </c>
      <c r="E264" s="5" t="s">
        <v>57</v>
      </c>
      <c r="F264" s="5" t="s">
        <v>1271</v>
      </c>
      <c r="G264" s="5" t="s">
        <v>36</v>
      </c>
      <c r="H264" s="5" t="s">
        <v>36</v>
      </c>
      <c r="I264" s="5" t="s">
        <v>35</v>
      </c>
      <c r="J264" s="6">
        <v>2.0</v>
      </c>
      <c r="K264" s="6">
        <v>5000.0</v>
      </c>
      <c r="L264" s="6">
        <v>1250.0</v>
      </c>
      <c r="M264" s="5" t="s">
        <v>68</v>
      </c>
      <c r="N264" s="8" t="s">
        <v>57</v>
      </c>
      <c r="O264" s="6" t="s">
        <v>276</v>
      </c>
      <c r="P264" s="5" t="s">
        <v>59</v>
      </c>
      <c r="Q264" s="5" t="s">
        <v>89</v>
      </c>
      <c r="R264" s="6" t="s">
        <v>42</v>
      </c>
      <c r="S264" s="5" t="s">
        <v>141</v>
      </c>
      <c r="T264" s="5" t="s">
        <v>44</v>
      </c>
      <c r="U264" s="5" t="s">
        <v>44</v>
      </c>
      <c r="V264" s="5" t="s">
        <v>44</v>
      </c>
      <c r="W264" s="5" t="s">
        <v>35</v>
      </c>
      <c r="X264" s="8" t="s">
        <v>218</v>
      </c>
      <c r="Y264" s="5" t="s">
        <v>46</v>
      </c>
      <c r="Z264" s="5" t="s">
        <v>47</v>
      </c>
      <c r="AA264" s="5" t="s">
        <v>64</v>
      </c>
      <c r="AB264" s="5" t="s">
        <v>1351</v>
      </c>
      <c r="AC264" s="6" t="s">
        <v>75</v>
      </c>
      <c r="AD264" s="6">
        <v>8298.0</v>
      </c>
    </row>
    <row r="265" ht="56.25" customHeight="1">
      <c r="A265" s="5" t="s">
        <v>1269</v>
      </c>
      <c r="B265" s="6" t="str">
        <f>IMAGE("https://storage.googleapis.com/acdb/housewares/FtrBunkbed_Remake_4_1.png")</f>
        <v/>
      </c>
      <c r="C265" s="5" t="s">
        <v>68</v>
      </c>
      <c r="D265" s="5" t="s">
        <v>34</v>
      </c>
      <c r="E265" s="5" t="s">
        <v>1274</v>
      </c>
      <c r="F265" s="5" t="s">
        <v>1271</v>
      </c>
      <c r="G265" s="5" t="s">
        <v>36</v>
      </c>
      <c r="H265" s="5" t="s">
        <v>36</v>
      </c>
      <c r="I265" s="5" t="s">
        <v>35</v>
      </c>
      <c r="J265" s="6">
        <v>2.0</v>
      </c>
      <c r="K265" s="6">
        <v>5000.0</v>
      </c>
      <c r="L265" s="6">
        <v>1250.0</v>
      </c>
      <c r="M265" s="5" t="s">
        <v>68</v>
      </c>
      <c r="N265" s="8" t="s">
        <v>68</v>
      </c>
      <c r="O265" s="6" t="s">
        <v>276</v>
      </c>
      <c r="P265" s="5" t="s">
        <v>59</v>
      </c>
      <c r="Q265" s="5" t="s">
        <v>89</v>
      </c>
      <c r="R265" s="6" t="s">
        <v>42</v>
      </c>
      <c r="S265" s="5" t="s">
        <v>141</v>
      </c>
      <c r="T265" s="5" t="s">
        <v>44</v>
      </c>
      <c r="U265" s="5" t="s">
        <v>44</v>
      </c>
      <c r="V265" s="5" t="s">
        <v>44</v>
      </c>
      <c r="W265" s="5" t="s">
        <v>35</v>
      </c>
      <c r="X265" s="8" t="s">
        <v>218</v>
      </c>
      <c r="Y265" s="5" t="s">
        <v>46</v>
      </c>
      <c r="Z265" s="5" t="s">
        <v>47</v>
      </c>
      <c r="AA265" s="5" t="s">
        <v>64</v>
      </c>
      <c r="AB265" s="5" t="s">
        <v>1355</v>
      </c>
      <c r="AC265" s="6" t="s">
        <v>429</v>
      </c>
      <c r="AD265" s="6">
        <v>8298.0</v>
      </c>
    </row>
    <row r="266" ht="56.25" customHeight="1">
      <c r="A266" s="5" t="s">
        <v>1269</v>
      </c>
      <c r="B266" s="6" t="str">
        <f>IMAGE("https://storage.googleapis.com/acdb/housewares/FtrBunkbed_Remake_4_2.png")</f>
        <v/>
      </c>
      <c r="C266" s="5" t="s">
        <v>68</v>
      </c>
      <c r="D266" s="5" t="s">
        <v>34</v>
      </c>
      <c r="E266" s="5" t="s">
        <v>422</v>
      </c>
      <c r="F266" s="5" t="s">
        <v>1271</v>
      </c>
      <c r="G266" s="5" t="s">
        <v>36</v>
      </c>
      <c r="H266" s="5" t="s">
        <v>36</v>
      </c>
      <c r="I266" s="5" t="s">
        <v>35</v>
      </c>
      <c r="J266" s="6">
        <v>2.0</v>
      </c>
      <c r="K266" s="6">
        <v>5000.0</v>
      </c>
      <c r="L266" s="6">
        <v>1250.0</v>
      </c>
      <c r="M266" s="5" t="s">
        <v>68</v>
      </c>
      <c r="N266" s="8" t="s">
        <v>69</v>
      </c>
      <c r="O266" s="6" t="s">
        <v>276</v>
      </c>
      <c r="P266" s="5" t="s">
        <v>59</v>
      </c>
      <c r="Q266" s="5" t="s">
        <v>89</v>
      </c>
      <c r="R266" s="6" t="s">
        <v>42</v>
      </c>
      <c r="S266" s="5" t="s">
        <v>141</v>
      </c>
      <c r="T266" s="5" t="s">
        <v>44</v>
      </c>
      <c r="U266" s="5" t="s">
        <v>44</v>
      </c>
      <c r="V266" s="5" t="s">
        <v>44</v>
      </c>
      <c r="W266" s="5" t="s">
        <v>35</v>
      </c>
      <c r="X266" s="8" t="s">
        <v>218</v>
      </c>
      <c r="Y266" s="5" t="s">
        <v>46</v>
      </c>
      <c r="Z266" s="5" t="s">
        <v>47</v>
      </c>
      <c r="AA266" s="5" t="s">
        <v>64</v>
      </c>
      <c r="AB266" s="5" t="s">
        <v>1361</v>
      </c>
      <c r="AC266" s="6" t="s">
        <v>434</v>
      </c>
      <c r="AD266" s="6">
        <v>8298.0</v>
      </c>
    </row>
    <row r="267" ht="56.25" customHeight="1">
      <c r="A267" s="5" t="s">
        <v>1269</v>
      </c>
      <c r="B267" s="6" t="str">
        <f>IMAGE("https://storage.googleapis.com/acdb/housewares/FtrBunkbed_Remake_4_3.png")</f>
        <v/>
      </c>
      <c r="C267" s="5" t="s">
        <v>68</v>
      </c>
      <c r="D267" s="5" t="s">
        <v>34</v>
      </c>
      <c r="E267" s="5" t="s">
        <v>403</v>
      </c>
      <c r="F267" s="5" t="s">
        <v>1271</v>
      </c>
      <c r="G267" s="5" t="s">
        <v>36</v>
      </c>
      <c r="H267" s="5" t="s">
        <v>36</v>
      </c>
      <c r="I267" s="5" t="s">
        <v>35</v>
      </c>
      <c r="J267" s="6">
        <v>2.0</v>
      </c>
      <c r="K267" s="6">
        <v>5000.0</v>
      </c>
      <c r="L267" s="6">
        <v>1250.0</v>
      </c>
      <c r="M267" s="5" t="s">
        <v>68</v>
      </c>
      <c r="N267" s="8" t="s">
        <v>1175</v>
      </c>
      <c r="O267" s="6" t="s">
        <v>276</v>
      </c>
      <c r="P267" s="5" t="s">
        <v>59</v>
      </c>
      <c r="Q267" s="5" t="s">
        <v>89</v>
      </c>
      <c r="R267" s="6" t="s">
        <v>42</v>
      </c>
      <c r="S267" s="5" t="s">
        <v>141</v>
      </c>
      <c r="T267" s="5" t="s">
        <v>44</v>
      </c>
      <c r="U267" s="5" t="s">
        <v>44</v>
      </c>
      <c r="V267" s="5" t="s">
        <v>44</v>
      </c>
      <c r="W267" s="5" t="s">
        <v>35</v>
      </c>
      <c r="X267" s="8" t="s">
        <v>218</v>
      </c>
      <c r="Y267" s="5" t="s">
        <v>46</v>
      </c>
      <c r="Z267" s="5" t="s">
        <v>47</v>
      </c>
      <c r="AA267" s="5" t="s">
        <v>64</v>
      </c>
      <c r="AB267" s="5" t="s">
        <v>1366</v>
      </c>
      <c r="AC267" s="6" t="s">
        <v>438</v>
      </c>
      <c r="AD267" s="6">
        <v>8298.0</v>
      </c>
    </row>
    <row r="268" ht="56.25" customHeight="1">
      <c r="A268" s="5" t="s">
        <v>1269</v>
      </c>
      <c r="B268" s="6" t="str">
        <f>IMAGE("https://storage.googleapis.com/acdb/housewares/FtrBunkbed_Remake_4_4.png")</f>
        <v/>
      </c>
      <c r="C268" s="5" t="s">
        <v>68</v>
      </c>
      <c r="D268" s="5" t="s">
        <v>34</v>
      </c>
      <c r="E268" s="5" t="s">
        <v>1289</v>
      </c>
      <c r="F268" s="5" t="s">
        <v>1271</v>
      </c>
      <c r="G268" s="5" t="s">
        <v>36</v>
      </c>
      <c r="H268" s="5" t="s">
        <v>36</v>
      </c>
      <c r="I268" s="5" t="s">
        <v>35</v>
      </c>
      <c r="J268" s="6">
        <v>2.0</v>
      </c>
      <c r="K268" s="6">
        <v>5000.0</v>
      </c>
      <c r="L268" s="6">
        <v>1250.0</v>
      </c>
      <c r="M268" s="5" t="s">
        <v>68</v>
      </c>
      <c r="N268" s="8" t="s">
        <v>114</v>
      </c>
      <c r="O268" s="6" t="s">
        <v>276</v>
      </c>
      <c r="P268" s="5" t="s">
        <v>59</v>
      </c>
      <c r="Q268" s="5" t="s">
        <v>89</v>
      </c>
      <c r="R268" s="6" t="s">
        <v>42</v>
      </c>
      <c r="S268" s="5" t="s">
        <v>141</v>
      </c>
      <c r="T268" s="5" t="s">
        <v>44</v>
      </c>
      <c r="U268" s="5" t="s">
        <v>44</v>
      </c>
      <c r="V268" s="5" t="s">
        <v>44</v>
      </c>
      <c r="W268" s="5" t="s">
        <v>35</v>
      </c>
      <c r="X268" s="8" t="s">
        <v>218</v>
      </c>
      <c r="Y268" s="5" t="s">
        <v>46</v>
      </c>
      <c r="Z268" s="5" t="s">
        <v>47</v>
      </c>
      <c r="AA268" s="5" t="s">
        <v>64</v>
      </c>
      <c r="AB268" s="5" t="s">
        <v>1370</v>
      </c>
      <c r="AC268" s="6" t="s">
        <v>585</v>
      </c>
      <c r="AD268" s="6">
        <v>8298.0</v>
      </c>
    </row>
    <row r="269" ht="56.25" customHeight="1">
      <c r="A269" s="5" t="s">
        <v>1269</v>
      </c>
      <c r="B269" s="6" t="str">
        <f>IMAGE("https://storage.googleapis.com/acdb/housewares/FtrBunkbed_Remake_5_0.png")</f>
        <v/>
      </c>
      <c r="C269" s="5" t="s">
        <v>114</v>
      </c>
      <c r="D269" s="5" t="s">
        <v>34</v>
      </c>
      <c r="E269" s="5" t="s">
        <v>57</v>
      </c>
      <c r="F269" s="5" t="s">
        <v>1271</v>
      </c>
      <c r="G269" s="5" t="s">
        <v>36</v>
      </c>
      <c r="H269" s="5" t="s">
        <v>36</v>
      </c>
      <c r="I269" s="5" t="s">
        <v>35</v>
      </c>
      <c r="J269" s="6">
        <v>2.0</v>
      </c>
      <c r="K269" s="6">
        <v>5000.0</v>
      </c>
      <c r="L269" s="6">
        <v>1250.0</v>
      </c>
      <c r="M269" s="5" t="s">
        <v>114</v>
      </c>
      <c r="N269" s="8" t="s">
        <v>57</v>
      </c>
      <c r="O269" s="6" t="s">
        <v>276</v>
      </c>
      <c r="P269" s="5" t="s">
        <v>59</v>
      </c>
      <c r="Q269" s="5" t="s">
        <v>89</v>
      </c>
      <c r="R269" s="6" t="s">
        <v>42</v>
      </c>
      <c r="S269" s="5" t="s">
        <v>141</v>
      </c>
      <c r="T269" s="5" t="s">
        <v>44</v>
      </c>
      <c r="U269" s="5" t="s">
        <v>44</v>
      </c>
      <c r="V269" s="5" t="s">
        <v>44</v>
      </c>
      <c r="W269" s="5" t="s">
        <v>35</v>
      </c>
      <c r="X269" s="8" t="s">
        <v>218</v>
      </c>
      <c r="Y269" s="5" t="s">
        <v>46</v>
      </c>
      <c r="Z269" s="5" t="s">
        <v>47</v>
      </c>
      <c r="AA269" s="5" t="s">
        <v>64</v>
      </c>
      <c r="AB269" s="5" t="s">
        <v>1373</v>
      </c>
      <c r="AC269" s="6" t="s">
        <v>79</v>
      </c>
      <c r="AD269" s="6">
        <v>8298.0</v>
      </c>
    </row>
    <row r="270" ht="56.25" customHeight="1">
      <c r="A270" s="5" t="s">
        <v>1269</v>
      </c>
      <c r="B270" s="6" t="str">
        <f>IMAGE("https://storage.googleapis.com/acdb/housewares/FtrBunkbed_Remake_5_1.png")</f>
        <v/>
      </c>
      <c r="C270" s="5" t="s">
        <v>114</v>
      </c>
      <c r="D270" s="5" t="s">
        <v>34</v>
      </c>
      <c r="E270" s="5" t="s">
        <v>1274</v>
      </c>
      <c r="F270" s="5" t="s">
        <v>1271</v>
      </c>
      <c r="G270" s="5" t="s">
        <v>36</v>
      </c>
      <c r="H270" s="5" t="s">
        <v>36</v>
      </c>
      <c r="I270" s="5" t="s">
        <v>35</v>
      </c>
      <c r="J270" s="6">
        <v>2.0</v>
      </c>
      <c r="K270" s="6">
        <v>5000.0</v>
      </c>
      <c r="L270" s="6">
        <v>1250.0</v>
      </c>
      <c r="M270" s="5" t="s">
        <v>114</v>
      </c>
      <c r="N270" s="8" t="s">
        <v>68</v>
      </c>
      <c r="O270" s="6" t="s">
        <v>276</v>
      </c>
      <c r="P270" s="5" t="s">
        <v>59</v>
      </c>
      <c r="Q270" s="5" t="s">
        <v>89</v>
      </c>
      <c r="R270" s="6" t="s">
        <v>42</v>
      </c>
      <c r="S270" s="5" t="s">
        <v>141</v>
      </c>
      <c r="T270" s="5" t="s">
        <v>44</v>
      </c>
      <c r="U270" s="5" t="s">
        <v>44</v>
      </c>
      <c r="V270" s="5" t="s">
        <v>44</v>
      </c>
      <c r="W270" s="5" t="s">
        <v>35</v>
      </c>
      <c r="X270" s="8" t="s">
        <v>218</v>
      </c>
      <c r="Y270" s="5" t="s">
        <v>46</v>
      </c>
      <c r="Z270" s="5" t="s">
        <v>47</v>
      </c>
      <c r="AA270" s="5" t="s">
        <v>64</v>
      </c>
      <c r="AB270" s="5" t="s">
        <v>1377</v>
      </c>
      <c r="AC270" s="6" t="s">
        <v>448</v>
      </c>
      <c r="AD270" s="6">
        <v>8298.0</v>
      </c>
    </row>
    <row r="271" ht="56.25" customHeight="1">
      <c r="A271" s="5" t="s">
        <v>1269</v>
      </c>
      <c r="B271" s="6" t="str">
        <f>IMAGE("https://storage.googleapis.com/acdb/housewares/FtrBunkbed_Remake_5_2.png")</f>
        <v/>
      </c>
      <c r="C271" s="5" t="s">
        <v>114</v>
      </c>
      <c r="D271" s="5" t="s">
        <v>34</v>
      </c>
      <c r="E271" s="5" t="s">
        <v>422</v>
      </c>
      <c r="F271" s="5" t="s">
        <v>1271</v>
      </c>
      <c r="G271" s="5" t="s">
        <v>36</v>
      </c>
      <c r="H271" s="5" t="s">
        <v>36</v>
      </c>
      <c r="I271" s="5" t="s">
        <v>35</v>
      </c>
      <c r="J271" s="6">
        <v>2.0</v>
      </c>
      <c r="K271" s="6">
        <v>5000.0</v>
      </c>
      <c r="L271" s="6">
        <v>1250.0</v>
      </c>
      <c r="M271" s="5" t="s">
        <v>114</v>
      </c>
      <c r="N271" s="8" t="s">
        <v>69</v>
      </c>
      <c r="O271" s="6" t="s">
        <v>276</v>
      </c>
      <c r="P271" s="5" t="s">
        <v>59</v>
      </c>
      <c r="Q271" s="5" t="s">
        <v>89</v>
      </c>
      <c r="R271" s="6" t="s">
        <v>42</v>
      </c>
      <c r="S271" s="5" t="s">
        <v>141</v>
      </c>
      <c r="T271" s="5" t="s">
        <v>44</v>
      </c>
      <c r="U271" s="5" t="s">
        <v>44</v>
      </c>
      <c r="V271" s="5" t="s">
        <v>44</v>
      </c>
      <c r="W271" s="5" t="s">
        <v>35</v>
      </c>
      <c r="X271" s="8" t="s">
        <v>218</v>
      </c>
      <c r="Y271" s="5" t="s">
        <v>46</v>
      </c>
      <c r="Z271" s="5" t="s">
        <v>47</v>
      </c>
      <c r="AA271" s="5" t="s">
        <v>64</v>
      </c>
      <c r="AB271" s="5" t="s">
        <v>1381</v>
      </c>
      <c r="AC271" s="6" t="s">
        <v>452</v>
      </c>
      <c r="AD271" s="6">
        <v>8298.0</v>
      </c>
    </row>
    <row r="272" ht="56.25" customHeight="1">
      <c r="A272" s="5" t="s">
        <v>1269</v>
      </c>
      <c r="B272" s="6" t="str">
        <f>IMAGE("https://storage.googleapis.com/acdb/housewares/FtrBunkbed_Remake_5_3.png")</f>
        <v/>
      </c>
      <c r="C272" s="5" t="s">
        <v>114</v>
      </c>
      <c r="D272" s="5" t="s">
        <v>34</v>
      </c>
      <c r="E272" s="5" t="s">
        <v>403</v>
      </c>
      <c r="F272" s="5" t="s">
        <v>1271</v>
      </c>
      <c r="G272" s="5" t="s">
        <v>36</v>
      </c>
      <c r="H272" s="5" t="s">
        <v>36</v>
      </c>
      <c r="I272" s="5" t="s">
        <v>35</v>
      </c>
      <c r="J272" s="6">
        <v>2.0</v>
      </c>
      <c r="K272" s="6">
        <v>5000.0</v>
      </c>
      <c r="L272" s="6">
        <v>1250.0</v>
      </c>
      <c r="M272" s="5" t="s">
        <v>114</v>
      </c>
      <c r="N272" s="8" t="s">
        <v>1175</v>
      </c>
      <c r="O272" s="6" t="s">
        <v>276</v>
      </c>
      <c r="P272" s="5" t="s">
        <v>59</v>
      </c>
      <c r="Q272" s="5" t="s">
        <v>89</v>
      </c>
      <c r="R272" s="6" t="s">
        <v>42</v>
      </c>
      <c r="S272" s="5" t="s">
        <v>141</v>
      </c>
      <c r="T272" s="5" t="s">
        <v>44</v>
      </c>
      <c r="U272" s="5" t="s">
        <v>44</v>
      </c>
      <c r="V272" s="5" t="s">
        <v>44</v>
      </c>
      <c r="W272" s="5" t="s">
        <v>35</v>
      </c>
      <c r="X272" s="8" t="s">
        <v>218</v>
      </c>
      <c r="Y272" s="5" t="s">
        <v>46</v>
      </c>
      <c r="Z272" s="5" t="s">
        <v>47</v>
      </c>
      <c r="AA272" s="5" t="s">
        <v>64</v>
      </c>
      <c r="AB272" s="5" t="s">
        <v>1383</v>
      </c>
      <c r="AC272" s="6" t="s">
        <v>455</v>
      </c>
      <c r="AD272" s="6">
        <v>8298.0</v>
      </c>
    </row>
    <row r="273" ht="56.25" customHeight="1">
      <c r="A273" s="5" t="s">
        <v>1269</v>
      </c>
      <c r="B273" s="6" t="str">
        <f>IMAGE("https://storage.googleapis.com/acdb/housewares/FtrBunkbed_Remake_5_4.png")</f>
        <v/>
      </c>
      <c r="C273" s="5" t="s">
        <v>114</v>
      </c>
      <c r="D273" s="5" t="s">
        <v>34</v>
      </c>
      <c r="E273" s="5" t="s">
        <v>1289</v>
      </c>
      <c r="F273" s="5" t="s">
        <v>1271</v>
      </c>
      <c r="G273" s="5" t="s">
        <v>36</v>
      </c>
      <c r="H273" s="5" t="s">
        <v>36</v>
      </c>
      <c r="I273" s="5" t="s">
        <v>35</v>
      </c>
      <c r="J273" s="6">
        <v>2.0</v>
      </c>
      <c r="K273" s="6">
        <v>5000.0</v>
      </c>
      <c r="L273" s="6">
        <v>1250.0</v>
      </c>
      <c r="M273" s="5" t="s">
        <v>114</v>
      </c>
      <c r="N273" s="8" t="s">
        <v>114</v>
      </c>
      <c r="O273" s="6" t="s">
        <v>276</v>
      </c>
      <c r="P273" s="5" t="s">
        <v>59</v>
      </c>
      <c r="Q273" s="5" t="s">
        <v>89</v>
      </c>
      <c r="R273" s="6" t="s">
        <v>42</v>
      </c>
      <c r="S273" s="5" t="s">
        <v>141</v>
      </c>
      <c r="T273" s="5" t="s">
        <v>44</v>
      </c>
      <c r="U273" s="5" t="s">
        <v>44</v>
      </c>
      <c r="V273" s="5" t="s">
        <v>44</v>
      </c>
      <c r="W273" s="5" t="s">
        <v>35</v>
      </c>
      <c r="X273" s="8" t="s">
        <v>218</v>
      </c>
      <c r="Y273" s="5" t="s">
        <v>46</v>
      </c>
      <c r="Z273" s="5" t="s">
        <v>47</v>
      </c>
      <c r="AA273" s="5" t="s">
        <v>64</v>
      </c>
      <c r="AB273" s="5" t="s">
        <v>1387</v>
      </c>
      <c r="AC273" s="6" t="s">
        <v>609</v>
      </c>
      <c r="AD273" s="6">
        <v>8298.0</v>
      </c>
    </row>
    <row r="274" ht="56.25" customHeight="1">
      <c r="A274" s="5" t="s">
        <v>1269</v>
      </c>
      <c r="B274" s="6" t="str">
        <f>IMAGE("https://storage.googleapis.com/acdb/housewares/FtrBunkbed_Remake_6_0.png")</f>
        <v/>
      </c>
      <c r="C274" s="5" t="s">
        <v>69</v>
      </c>
      <c r="D274" s="5" t="s">
        <v>34</v>
      </c>
      <c r="E274" s="5" t="s">
        <v>57</v>
      </c>
      <c r="F274" s="5" t="s">
        <v>1271</v>
      </c>
      <c r="G274" s="5" t="s">
        <v>36</v>
      </c>
      <c r="H274" s="5" t="s">
        <v>36</v>
      </c>
      <c r="I274" s="5" t="s">
        <v>35</v>
      </c>
      <c r="J274" s="6">
        <v>2.0</v>
      </c>
      <c r="K274" s="6">
        <v>5000.0</v>
      </c>
      <c r="L274" s="6">
        <v>1250.0</v>
      </c>
      <c r="M274" s="5" t="s">
        <v>69</v>
      </c>
      <c r="N274" s="8" t="s">
        <v>57</v>
      </c>
      <c r="O274" s="6" t="s">
        <v>276</v>
      </c>
      <c r="P274" s="5" t="s">
        <v>59</v>
      </c>
      <c r="Q274" s="5" t="s">
        <v>89</v>
      </c>
      <c r="R274" s="6" t="s">
        <v>42</v>
      </c>
      <c r="S274" s="5" t="s">
        <v>141</v>
      </c>
      <c r="T274" s="5" t="s">
        <v>44</v>
      </c>
      <c r="U274" s="5" t="s">
        <v>44</v>
      </c>
      <c r="V274" s="5" t="s">
        <v>44</v>
      </c>
      <c r="W274" s="5" t="s">
        <v>35</v>
      </c>
      <c r="X274" s="8" t="s">
        <v>218</v>
      </c>
      <c r="Y274" s="5" t="s">
        <v>46</v>
      </c>
      <c r="Z274" s="5" t="s">
        <v>47</v>
      </c>
      <c r="AA274" s="5" t="s">
        <v>64</v>
      </c>
      <c r="AB274" s="5" t="s">
        <v>1390</v>
      </c>
      <c r="AC274" s="6" t="s">
        <v>86</v>
      </c>
      <c r="AD274" s="6">
        <v>8298.0</v>
      </c>
    </row>
    <row r="275" ht="56.25" customHeight="1">
      <c r="A275" s="5" t="s">
        <v>1269</v>
      </c>
      <c r="B275" s="6" t="str">
        <f>IMAGE("https://storage.googleapis.com/acdb/housewares/FtrBunkbed_Remake_6_1.png")</f>
        <v/>
      </c>
      <c r="C275" s="5" t="s">
        <v>69</v>
      </c>
      <c r="D275" s="5" t="s">
        <v>34</v>
      </c>
      <c r="E275" s="5" t="s">
        <v>1274</v>
      </c>
      <c r="F275" s="5" t="s">
        <v>1271</v>
      </c>
      <c r="G275" s="5" t="s">
        <v>36</v>
      </c>
      <c r="H275" s="5" t="s">
        <v>36</v>
      </c>
      <c r="I275" s="5" t="s">
        <v>35</v>
      </c>
      <c r="J275" s="6">
        <v>2.0</v>
      </c>
      <c r="K275" s="6">
        <v>5000.0</v>
      </c>
      <c r="L275" s="6">
        <v>1250.0</v>
      </c>
      <c r="M275" s="5" t="s">
        <v>69</v>
      </c>
      <c r="N275" s="8" t="s">
        <v>68</v>
      </c>
      <c r="O275" s="6" t="s">
        <v>276</v>
      </c>
      <c r="P275" s="5" t="s">
        <v>59</v>
      </c>
      <c r="Q275" s="5" t="s">
        <v>89</v>
      </c>
      <c r="R275" s="6" t="s">
        <v>42</v>
      </c>
      <c r="S275" s="5" t="s">
        <v>141</v>
      </c>
      <c r="T275" s="5" t="s">
        <v>44</v>
      </c>
      <c r="U275" s="5" t="s">
        <v>44</v>
      </c>
      <c r="V275" s="5" t="s">
        <v>44</v>
      </c>
      <c r="W275" s="5" t="s">
        <v>35</v>
      </c>
      <c r="X275" s="8" t="s">
        <v>218</v>
      </c>
      <c r="Y275" s="5" t="s">
        <v>46</v>
      </c>
      <c r="Z275" s="5" t="s">
        <v>47</v>
      </c>
      <c r="AA275" s="5" t="s">
        <v>64</v>
      </c>
      <c r="AB275" s="5" t="s">
        <v>1396</v>
      </c>
      <c r="AC275" s="6" t="s">
        <v>620</v>
      </c>
      <c r="AD275" s="6">
        <v>8298.0</v>
      </c>
    </row>
    <row r="276" ht="56.25" customHeight="1">
      <c r="A276" s="5" t="s">
        <v>1269</v>
      </c>
      <c r="B276" s="6" t="str">
        <f>IMAGE("https://storage.googleapis.com/acdb/housewares/FtrBunkbed_Remake_6_2.png")</f>
        <v/>
      </c>
      <c r="C276" s="5" t="s">
        <v>69</v>
      </c>
      <c r="D276" s="5" t="s">
        <v>34</v>
      </c>
      <c r="E276" s="5" t="s">
        <v>422</v>
      </c>
      <c r="F276" s="5" t="s">
        <v>1271</v>
      </c>
      <c r="G276" s="5" t="s">
        <v>36</v>
      </c>
      <c r="H276" s="5" t="s">
        <v>36</v>
      </c>
      <c r="I276" s="5" t="s">
        <v>35</v>
      </c>
      <c r="J276" s="6">
        <v>2.0</v>
      </c>
      <c r="K276" s="6">
        <v>5000.0</v>
      </c>
      <c r="L276" s="6">
        <v>1250.0</v>
      </c>
      <c r="M276" s="5" t="s">
        <v>69</v>
      </c>
      <c r="N276" s="8" t="s">
        <v>69</v>
      </c>
      <c r="O276" s="6" t="s">
        <v>276</v>
      </c>
      <c r="P276" s="5" t="s">
        <v>59</v>
      </c>
      <c r="Q276" s="5" t="s">
        <v>89</v>
      </c>
      <c r="R276" s="6" t="s">
        <v>42</v>
      </c>
      <c r="S276" s="5" t="s">
        <v>141</v>
      </c>
      <c r="T276" s="5" t="s">
        <v>44</v>
      </c>
      <c r="U276" s="5" t="s">
        <v>44</v>
      </c>
      <c r="V276" s="5" t="s">
        <v>44</v>
      </c>
      <c r="W276" s="5" t="s">
        <v>35</v>
      </c>
      <c r="X276" s="8" t="s">
        <v>218</v>
      </c>
      <c r="Y276" s="5" t="s">
        <v>46</v>
      </c>
      <c r="Z276" s="5" t="s">
        <v>47</v>
      </c>
      <c r="AA276" s="5" t="s">
        <v>64</v>
      </c>
      <c r="AB276" s="5" t="s">
        <v>1400</v>
      </c>
      <c r="AC276" s="6" t="s">
        <v>626</v>
      </c>
      <c r="AD276" s="6">
        <v>8298.0</v>
      </c>
    </row>
    <row r="277" ht="56.25" customHeight="1">
      <c r="A277" s="5" t="s">
        <v>1269</v>
      </c>
      <c r="B277" s="6" t="str">
        <f>IMAGE("https://storage.googleapis.com/acdb/housewares/FtrBunkbed_Remake_6_3.png")</f>
        <v/>
      </c>
      <c r="C277" s="5" t="s">
        <v>69</v>
      </c>
      <c r="D277" s="5" t="s">
        <v>34</v>
      </c>
      <c r="E277" s="5" t="s">
        <v>403</v>
      </c>
      <c r="F277" s="5" t="s">
        <v>1271</v>
      </c>
      <c r="G277" s="5" t="s">
        <v>36</v>
      </c>
      <c r="H277" s="5" t="s">
        <v>36</v>
      </c>
      <c r="I277" s="5" t="s">
        <v>35</v>
      </c>
      <c r="J277" s="6">
        <v>2.0</v>
      </c>
      <c r="K277" s="6">
        <v>5000.0</v>
      </c>
      <c r="L277" s="6">
        <v>1250.0</v>
      </c>
      <c r="M277" s="5" t="s">
        <v>69</v>
      </c>
      <c r="N277" s="8" t="s">
        <v>1175</v>
      </c>
      <c r="O277" s="6" t="s">
        <v>276</v>
      </c>
      <c r="P277" s="5" t="s">
        <v>59</v>
      </c>
      <c r="Q277" s="5" t="s">
        <v>89</v>
      </c>
      <c r="R277" s="6" t="s">
        <v>42</v>
      </c>
      <c r="S277" s="5" t="s">
        <v>141</v>
      </c>
      <c r="T277" s="5" t="s">
        <v>44</v>
      </c>
      <c r="U277" s="5" t="s">
        <v>44</v>
      </c>
      <c r="V277" s="5" t="s">
        <v>44</v>
      </c>
      <c r="W277" s="5" t="s">
        <v>35</v>
      </c>
      <c r="X277" s="8" t="s">
        <v>218</v>
      </c>
      <c r="Y277" s="5" t="s">
        <v>46</v>
      </c>
      <c r="Z277" s="5" t="s">
        <v>47</v>
      </c>
      <c r="AA277" s="5" t="s">
        <v>64</v>
      </c>
      <c r="AB277" s="5" t="s">
        <v>1403</v>
      </c>
      <c r="AC277" s="6" t="s">
        <v>634</v>
      </c>
      <c r="AD277" s="6">
        <v>8298.0</v>
      </c>
    </row>
    <row r="278" ht="56.25" customHeight="1">
      <c r="A278" s="5" t="s">
        <v>1269</v>
      </c>
      <c r="B278" s="6" t="str">
        <f>IMAGE("https://storage.googleapis.com/acdb/housewares/FtrBunkbed_Remake_6_4.png")</f>
        <v/>
      </c>
      <c r="C278" s="5" t="s">
        <v>69</v>
      </c>
      <c r="D278" s="5" t="s">
        <v>34</v>
      </c>
      <c r="E278" s="5" t="s">
        <v>1289</v>
      </c>
      <c r="F278" s="5" t="s">
        <v>1271</v>
      </c>
      <c r="G278" s="5" t="s">
        <v>36</v>
      </c>
      <c r="H278" s="5" t="s">
        <v>36</v>
      </c>
      <c r="I278" s="5" t="s">
        <v>35</v>
      </c>
      <c r="J278" s="6">
        <v>2.0</v>
      </c>
      <c r="K278" s="6">
        <v>5000.0</v>
      </c>
      <c r="L278" s="6">
        <v>1250.0</v>
      </c>
      <c r="M278" s="5" t="s">
        <v>69</v>
      </c>
      <c r="N278" s="8" t="s">
        <v>114</v>
      </c>
      <c r="O278" s="6" t="s">
        <v>276</v>
      </c>
      <c r="P278" s="5" t="s">
        <v>59</v>
      </c>
      <c r="Q278" s="5" t="s">
        <v>89</v>
      </c>
      <c r="R278" s="6" t="s">
        <v>42</v>
      </c>
      <c r="S278" s="5" t="s">
        <v>141</v>
      </c>
      <c r="T278" s="5" t="s">
        <v>44</v>
      </c>
      <c r="U278" s="5" t="s">
        <v>44</v>
      </c>
      <c r="V278" s="5" t="s">
        <v>44</v>
      </c>
      <c r="W278" s="5" t="s">
        <v>35</v>
      </c>
      <c r="X278" s="8" t="s">
        <v>218</v>
      </c>
      <c r="Y278" s="5" t="s">
        <v>46</v>
      </c>
      <c r="Z278" s="5" t="s">
        <v>47</v>
      </c>
      <c r="AA278" s="5" t="s">
        <v>64</v>
      </c>
      <c r="AB278" s="5" t="s">
        <v>1405</v>
      </c>
      <c r="AC278" s="6" t="s">
        <v>641</v>
      </c>
      <c r="AD278" s="6">
        <v>8298.0</v>
      </c>
    </row>
    <row r="279" ht="56.25" customHeight="1">
      <c r="A279" s="5" t="s">
        <v>1406</v>
      </c>
      <c r="B279" s="6" t="str">
        <f>IMAGE("https://storage.googleapis.com/acdb/housewares/FtrEggArch.png")</f>
        <v/>
      </c>
      <c r="C279" s="5" t="s">
        <v>34</v>
      </c>
      <c r="D279" s="5" t="s">
        <v>34</v>
      </c>
      <c r="E279" s="5" t="s">
        <v>34</v>
      </c>
      <c r="F279" s="5" t="s">
        <v>34</v>
      </c>
      <c r="G279" s="5" t="s">
        <v>35</v>
      </c>
      <c r="H279" s="5" t="s">
        <v>36</v>
      </c>
      <c r="I279" s="5" t="s">
        <v>36</v>
      </c>
      <c r="J279" s="6" t="s">
        <v>34</v>
      </c>
      <c r="K279" s="6" t="s">
        <v>37</v>
      </c>
      <c r="L279" s="6">
        <v>4800.0</v>
      </c>
      <c r="M279" s="5" t="s">
        <v>58</v>
      </c>
      <c r="N279" s="5" t="s">
        <v>58</v>
      </c>
      <c r="O279" s="6" t="s">
        <v>707</v>
      </c>
      <c r="P279" s="5" t="s">
        <v>41</v>
      </c>
      <c r="Q279" s="5" t="s">
        <v>1409</v>
      </c>
      <c r="R279" s="6" t="s">
        <v>1410</v>
      </c>
      <c r="S279" s="5" t="s">
        <v>61</v>
      </c>
      <c r="T279" s="5" t="s">
        <v>465</v>
      </c>
      <c r="U279" s="5" t="s">
        <v>466</v>
      </c>
      <c r="V279" s="5" t="s">
        <v>44</v>
      </c>
      <c r="W279" s="5" t="s">
        <v>36</v>
      </c>
      <c r="X279" s="8" t="s">
        <v>1411</v>
      </c>
      <c r="Y279" s="5" t="s">
        <v>46</v>
      </c>
      <c r="Z279" s="5" t="s">
        <v>47</v>
      </c>
      <c r="AA279" s="5" t="s">
        <v>48</v>
      </c>
      <c r="AB279" s="5" t="s">
        <v>1412</v>
      </c>
      <c r="AC279" s="6" t="s">
        <v>34</v>
      </c>
      <c r="AD279" s="6">
        <v>12398.0</v>
      </c>
    </row>
    <row r="280" ht="56.25" customHeight="1">
      <c r="A280" s="5" t="s">
        <v>1413</v>
      </c>
      <c r="B280" s="6" t="str">
        <f>image("https://storage.googleapis.com/acdb/housewares/FtrEggBedW.png")</f>
        <v/>
      </c>
      <c r="C280" s="5" t="s">
        <v>34</v>
      </c>
      <c r="D280" s="5" t="s">
        <v>34</v>
      </c>
      <c r="E280" s="5" t="s">
        <v>34</v>
      </c>
      <c r="F280" s="5" t="s">
        <v>34</v>
      </c>
      <c r="G280" s="5" t="s">
        <v>35</v>
      </c>
      <c r="H280" s="5" t="s">
        <v>36</v>
      </c>
      <c r="I280" s="5" t="s">
        <v>36</v>
      </c>
      <c r="J280" s="6" t="s">
        <v>34</v>
      </c>
      <c r="K280" s="6" t="s">
        <v>37</v>
      </c>
      <c r="L280" s="6">
        <v>2400.0</v>
      </c>
      <c r="M280" s="5" t="s">
        <v>58</v>
      </c>
      <c r="N280" s="5" t="s">
        <v>58</v>
      </c>
      <c r="O280" s="6" t="s">
        <v>214</v>
      </c>
      <c r="P280" s="5" t="s">
        <v>41</v>
      </c>
      <c r="Q280" s="5" t="s">
        <v>1418</v>
      </c>
      <c r="R280" s="6" t="s">
        <v>1410</v>
      </c>
      <c r="S280" s="5" t="s">
        <v>61</v>
      </c>
      <c r="T280" s="5" t="s">
        <v>44</v>
      </c>
      <c r="U280" s="5" t="s">
        <v>466</v>
      </c>
      <c r="V280" s="5" t="s">
        <v>44</v>
      </c>
      <c r="W280" s="5" t="s">
        <v>35</v>
      </c>
      <c r="X280" s="8" t="s">
        <v>218</v>
      </c>
      <c r="Y280" s="5" t="s">
        <v>46</v>
      </c>
      <c r="Z280" s="5" t="s">
        <v>47</v>
      </c>
      <c r="AA280" s="5" t="s">
        <v>48</v>
      </c>
      <c r="AB280" s="5" t="s">
        <v>1419</v>
      </c>
      <c r="AC280" s="6" t="s">
        <v>34</v>
      </c>
      <c r="AD280" s="6">
        <v>12414.0</v>
      </c>
    </row>
    <row r="281" ht="56.25" customHeight="1">
      <c r="A281" s="5" t="s">
        <v>1422</v>
      </c>
      <c r="B281" s="6" t="str">
        <f>image("https://storage.googleapis.com/acdb/housewares/FtrEggBalloonB.png")</f>
        <v/>
      </c>
      <c r="C281" s="5" t="s">
        <v>34</v>
      </c>
      <c r="D281" s="5" t="s">
        <v>34</v>
      </c>
      <c r="E281" s="5" t="s">
        <v>34</v>
      </c>
      <c r="F281" s="5" t="s">
        <v>34</v>
      </c>
      <c r="G281" s="5" t="s">
        <v>35</v>
      </c>
      <c r="H281" s="5" t="s">
        <v>36</v>
      </c>
      <c r="I281" s="5" t="s">
        <v>36</v>
      </c>
      <c r="J281" s="6" t="s">
        <v>34</v>
      </c>
      <c r="K281" s="6" t="s">
        <v>37</v>
      </c>
      <c r="L281" s="6">
        <v>1200.0</v>
      </c>
      <c r="M281" s="5" t="s">
        <v>58</v>
      </c>
      <c r="N281" s="5" t="s">
        <v>58</v>
      </c>
      <c r="O281" s="6" t="s">
        <v>40</v>
      </c>
      <c r="P281" s="5" t="s">
        <v>41</v>
      </c>
      <c r="Q281" s="5" t="s">
        <v>461</v>
      </c>
      <c r="R281" s="6" t="s">
        <v>1410</v>
      </c>
      <c r="S281" s="5" t="s">
        <v>61</v>
      </c>
      <c r="T281" s="5" t="s">
        <v>465</v>
      </c>
      <c r="U281" s="5" t="s">
        <v>466</v>
      </c>
      <c r="V281" s="5" t="s">
        <v>44</v>
      </c>
      <c r="W281" s="5" t="s">
        <v>36</v>
      </c>
      <c r="X281" s="8" t="s">
        <v>750</v>
      </c>
      <c r="Y281" s="5" t="s">
        <v>46</v>
      </c>
      <c r="Z281" s="5" t="s">
        <v>47</v>
      </c>
      <c r="AA281" s="5" t="s">
        <v>48</v>
      </c>
      <c r="AB281" s="5" t="s">
        <v>1426</v>
      </c>
      <c r="AC281" s="6" t="s">
        <v>34</v>
      </c>
      <c r="AD281" s="6">
        <v>12421.0</v>
      </c>
    </row>
    <row r="282" ht="56.25" customHeight="1">
      <c r="A282" s="5" t="s">
        <v>1427</v>
      </c>
      <c r="B282" s="6" t="str">
        <f>image("https://storage.googleapis.com/acdb/housewares/FtrEggBalloonA.png")</f>
        <v/>
      </c>
      <c r="C282" s="5" t="s">
        <v>34</v>
      </c>
      <c r="D282" s="5" t="s">
        <v>34</v>
      </c>
      <c r="E282" s="5" t="s">
        <v>34</v>
      </c>
      <c r="F282" s="5" t="s">
        <v>34</v>
      </c>
      <c r="G282" s="5" t="s">
        <v>35</v>
      </c>
      <c r="H282" s="5" t="s">
        <v>36</v>
      </c>
      <c r="I282" s="5" t="s">
        <v>36</v>
      </c>
      <c r="J282" s="6" t="s">
        <v>34</v>
      </c>
      <c r="K282" s="6" t="s">
        <v>37</v>
      </c>
      <c r="L282" s="6">
        <v>1200.0</v>
      </c>
      <c r="M282" s="5" t="s">
        <v>58</v>
      </c>
      <c r="N282" s="5" t="s">
        <v>58</v>
      </c>
      <c r="O282" s="6" t="s">
        <v>40</v>
      </c>
      <c r="P282" s="5" t="s">
        <v>41</v>
      </c>
      <c r="Q282" s="5" t="s">
        <v>461</v>
      </c>
      <c r="R282" s="6" t="s">
        <v>1410</v>
      </c>
      <c r="S282" s="5" t="s">
        <v>61</v>
      </c>
      <c r="T282" s="5" t="s">
        <v>465</v>
      </c>
      <c r="U282" s="5" t="s">
        <v>466</v>
      </c>
      <c r="V282" s="5" t="s">
        <v>44</v>
      </c>
      <c r="W282" s="5" t="s">
        <v>36</v>
      </c>
      <c r="X282" s="8" t="s">
        <v>750</v>
      </c>
      <c r="Y282" s="5" t="s">
        <v>46</v>
      </c>
      <c r="Z282" s="5" t="s">
        <v>47</v>
      </c>
      <c r="AA282" s="5" t="s">
        <v>48</v>
      </c>
      <c r="AB282" s="5" t="s">
        <v>1430</v>
      </c>
      <c r="AC282" s="6" t="s">
        <v>34</v>
      </c>
      <c r="AD282" s="6">
        <v>12419.0</v>
      </c>
    </row>
    <row r="283" ht="56.25" customHeight="1">
      <c r="A283" s="5" t="s">
        <v>1432</v>
      </c>
      <c r="B283" s="6" t="str">
        <f>image("https://storage.googleapis.com/acdb/housewares/FtrEggStool.png")</f>
        <v/>
      </c>
      <c r="C283" s="5" t="s">
        <v>34</v>
      </c>
      <c r="D283" s="5" t="s">
        <v>34</v>
      </c>
      <c r="E283" s="5" t="s">
        <v>34</v>
      </c>
      <c r="F283" s="5" t="s">
        <v>34</v>
      </c>
      <c r="G283" s="5" t="s">
        <v>35</v>
      </c>
      <c r="H283" s="5" t="s">
        <v>36</v>
      </c>
      <c r="I283" s="5" t="s">
        <v>36</v>
      </c>
      <c r="J283" s="6" t="s">
        <v>34</v>
      </c>
      <c r="K283" s="6" t="s">
        <v>37</v>
      </c>
      <c r="L283" s="6">
        <v>1200.0</v>
      </c>
      <c r="M283" s="5" t="s">
        <v>106</v>
      </c>
      <c r="N283" s="5" t="s">
        <v>58</v>
      </c>
      <c r="O283" s="6" t="s">
        <v>40</v>
      </c>
      <c r="P283" s="5" t="s">
        <v>41</v>
      </c>
      <c r="Q283" s="5" t="s">
        <v>461</v>
      </c>
      <c r="R283" s="6" t="s">
        <v>1410</v>
      </c>
      <c r="S283" s="5" t="s">
        <v>61</v>
      </c>
      <c r="T283" s="5" t="s">
        <v>44</v>
      </c>
      <c r="U283" s="5" t="s">
        <v>466</v>
      </c>
      <c r="V283" s="5" t="s">
        <v>44</v>
      </c>
      <c r="W283" s="5" t="s">
        <v>35</v>
      </c>
      <c r="X283" s="8" t="s">
        <v>248</v>
      </c>
      <c r="Y283" s="5" t="s">
        <v>46</v>
      </c>
      <c r="Z283" s="5" t="s">
        <v>47</v>
      </c>
      <c r="AA283" s="5" t="s">
        <v>48</v>
      </c>
      <c r="AB283" s="5" t="s">
        <v>1434</v>
      </c>
      <c r="AC283" s="6" t="s">
        <v>34</v>
      </c>
      <c r="AD283" s="6">
        <v>12415.0</v>
      </c>
    </row>
    <row r="284" ht="56.25" customHeight="1">
      <c r="A284" s="5" t="s">
        <v>1436</v>
      </c>
      <c r="B284" s="6" t="str">
        <f>image("https://storage.googleapis.com/acdb/housewares/FtrEggTableS.png")</f>
        <v/>
      </c>
      <c r="C284" s="5" t="s">
        <v>34</v>
      </c>
      <c r="D284" s="5" t="s">
        <v>34</v>
      </c>
      <c r="E284" s="5" t="s">
        <v>34</v>
      </c>
      <c r="F284" s="5" t="s">
        <v>34</v>
      </c>
      <c r="G284" s="5" t="s">
        <v>35</v>
      </c>
      <c r="H284" s="5" t="s">
        <v>36</v>
      </c>
      <c r="I284" s="5" t="s">
        <v>36</v>
      </c>
      <c r="J284" s="6" t="s">
        <v>34</v>
      </c>
      <c r="K284" s="6" t="s">
        <v>37</v>
      </c>
      <c r="L284" s="6">
        <v>1600.0</v>
      </c>
      <c r="M284" s="5" t="s">
        <v>52</v>
      </c>
      <c r="N284" s="5" t="s">
        <v>69</v>
      </c>
      <c r="O284" s="6" t="s">
        <v>40</v>
      </c>
      <c r="P284" s="5" t="s">
        <v>41</v>
      </c>
      <c r="Q284" s="5" t="s">
        <v>461</v>
      </c>
      <c r="R284" s="6" t="s">
        <v>1410</v>
      </c>
      <c r="S284" s="5" t="s">
        <v>61</v>
      </c>
      <c r="T284" s="5" t="s">
        <v>44</v>
      </c>
      <c r="U284" s="5" t="s">
        <v>466</v>
      </c>
      <c r="V284" s="5" t="s">
        <v>44</v>
      </c>
      <c r="W284" s="5" t="s">
        <v>36</v>
      </c>
      <c r="X284" s="8" t="s">
        <v>278</v>
      </c>
      <c r="Y284" s="5" t="s">
        <v>46</v>
      </c>
      <c r="Z284" s="5" t="s">
        <v>47</v>
      </c>
      <c r="AA284" s="5" t="s">
        <v>48</v>
      </c>
      <c r="AB284" s="5" t="s">
        <v>1440</v>
      </c>
      <c r="AC284" s="6" t="s">
        <v>34</v>
      </c>
      <c r="AD284" s="6">
        <v>12436.0</v>
      </c>
    </row>
    <row r="285" ht="56.25" customHeight="1">
      <c r="A285" s="5" t="s">
        <v>1441</v>
      </c>
      <c r="B285" s="6" t="str">
        <f>image("https://storage.googleapis.com/acdb/housewares/FtrEggDresser.png")</f>
        <v/>
      </c>
      <c r="C285" s="5" t="s">
        <v>34</v>
      </c>
      <c r="D285" s="5" t="s">
        <v>34</v>
      </c>
      <c r="E285" s="5" t="s">
        <v>34</v>
      </c>
      <c r="F285" s="5" t="s">
        <v>34</v>
      </c>
      <c r="G285" s="5" t="s">
        <v>35</v>
      </c>
      <c r="H285" s="5" t="s">
        <v>36</v>
      </c>
      <c r="I285" s="5" t="s">
        <v>36</v>
      </c>
      <c r="J285" s="6" t="s">
        <v>34</v>
      </c>
      <c r="K285" s="6" t="s">
        <v>37</v>
      </c>
      <c r="L285" s="6">
        <v>1600.0</v>
      </c>
      <c r="M285" s="5" t="s">
        <v>96</v>
      </c>
      <c r="N285" s="5" t="s">
        <v>96</v>
      </c>
      <c r="O285" s="6" t="s">
        <v>40</v>
      </c>
      <c r="P285" s="5" t="s">
        <v>41</v>
      </c>
      <c r="Q285" s="5" t="s">
        <v>461</v>
      </c>
      <c r="R285" s="6" t="s">
        <v>1410</v>
      </c>
      <c r="S285" s="5" t="s">
        <v>61</v>
      </c>
      <c r="T285" s="5" t="s">
        <v>44</v>
      </c>
      <c r="U285" s="5" t="s">
        <v>466</v>
      </c>
      <c r="V285" s="5" t="s">
        <v>44</v>
      </c>
      <c r="W285" s="5" t="s">
        <v>36</v>
      </c>
      <c r="X285" s="8" t="s">
        <v>309</v>
      </c>
      <c r="Y285" s="5" t="s">
        <v>46</v>
      </c>
      <c r="Z285" s="5" t="s">
        <v>47</v>
      </c>
      <c r="AA285" s="5" t="s">
        <v>48</v>
      </c>
      <c r="AB285" s="5" t="s">
        <v>1446</v>
      </c>
      <c r="AC285" s="6" t="s">
        <v>34</v>
      </c>
      <c r="AD285" s="6">
        <v>12420.0</v>
      </c>
    </row>
    <row r="286" ht="56.25" customHeight="1">
      <c r="A286" s="5" t="s">
        <v>1447</v>
      </c>
      <c r="B286" s="6" t="str">
        <f>image("https://storage.googleapis.com/acdb/housewares/FtrEggClosetLR.png")</f>
        <v/>
      </c>
      <c r="C286" s="5" t="s">
        <v>34</v>
      </c>
      <c r="D286" s="5" t="s">
        <v>34</v>
      </c>
      <c r="E286" s="5" t="s">
        <v>34</v>
      </c>
      <c r="F286" s="5" t="s">
        <v>34</v>
      </c>
      <c r="G286" s="5" t="s">
        <v>35</v>
      </c>
      <c r="H286" s="5" t="s">
        <v>36</v>
      </c>
      <c r="I286" s="5" t="s">
        <v>36</v>
      </c>
      <c r="J286" s="6" t="s">
        <v>34</v>
      </c>
      <c r="K286" s="6" t="s">
        <v>37</v>
      </c>
      <c r="L286" s="6">
        <v>1600.0</v>
      </c>
      <c r="M286" s="5" t="s">
        <v>114</v>
      </c>
      <c r="N286" s="5" t="s">
        <v>58</v>
      </c>
      <c r="O286" s="6" t="s">
        <v>40</v>
      </c>
      <c r="P286" s="5" t="s">
        <v>41</v>
      </c>
      <c r="Q286" s="5" t="s">
        <v>461</v>
      </c>
      <c r="R286" s="6" t="s">
        <v>1410</v>
      </c>
      <c r="S286" s="5" t="s">
        <v>61</v>
      </c>
      <c r="T286" s="5" t="s">
        <v>44</v>
      </c>
      <c r="U286" s="5" t="s">
        <v>466</v>
      </c>
      <c r="V286" s="5" t="s">
        <v>44</v>
      </c>
      <c r="W286" s="5" t="s">
        <v>35</v>
      </c>
      <c r="X286" s="8" t="s">
        <v>322</v>
      </c>
      <c r="Y286" s="5" t="s">
        <v>46</v>
      </c>
      <c r="Z286" s="5" t="s">
        <v>47</v>
      </c>
      <c r="AA286" s="5" t="s">
        <v>48</v>
      </c>
      <c r="AB286" s="5" t="s">
        <v>1451</v>
      </c>
      <c r="AC286" s="6" t="s">
        <v>34</v>
      </c>
      <c r="AD286" s="6">
        <v>12437.0</v>
      </c>
    </row>
    <row r="287" ht="56.25" customHeight="1">
      <c r="A287" s="5" t="s">
        <v>1454</v>
      </c>
      <c r="B287" s="6" t="str">
        <f>IMAGE("https://storage.googleapis.com/acdb/housewares/FtrButtermixer_Remake_0_0.png")</f>
        <v/>
      </c>
      <c r="C287" s="5" t="s">
        <v>1132</v>
      </c>
      <c r="D287" s="5" t="s">
        <v>1455</v>
      </c>
      <c r="E287" s="5" t="s">
        <v>34</v>
      </c>
      <c r="F287" s="5" t="s">
        <v>34</v>
      </c>
      <c r="G287" s="5" t="s">
        <v>35</v>
      </c>
      <c r="H287" s="5" t="s">
        <v>35</v>
      </c>
      <c r="I287" s="5" t="s">
        <v>36</v>
      </c>
      <c r="J287" s="6">
        <v>3.0</v>
      </c>
      <c r="K287" s="6" t="s">
        <v>37</v>
      </c>
      <c r="L287" s="6">
        <v>1980.0</v>
      </c>
      <c r="M287" s="8" t="s">
        <v>39</v>
      </c>
      <c r="N287" s="8" t="s">
        <v>54</v>
      </c>
      <c r="O287" s="6" t="s">
        <v>40</v>
      </c>
      <c r="P287" s="5" t="s">
        <v>41</v>
      </c>
      <c r="Q287" s="5"/>
      <c r="R287" s="6" t="s">
        <v>42</v>
      </c>
      <c r="S287" s="5" t="s">
        <v>141</v>
      </c>
      <c r="T287" s="5" t="s">
        <v>172</v>
      </c>
      <c r="U287" s="5" t="s">
        <v>44</v>
      </c>
      <c r="V287" s="5" t="s">
        <v>44</v>
      </c>
      <c r="W287" s="5" t="s">
        <v>36</v>
      </c>
      <c r="X287" s="8" t="s">
        <v>395</v>
      </c>
      <c r="Y287" s="5" t="s">
        <v>46</v>
      </c>
      <c r="Z287" s="5" t="s">
        <v>47</v>
      </c>
      <c r="AA287" s="5" t="s">
        <v>48</v>
      </c>
      <c r="AB287" s="5" t="s">
        <v>1457</v>
      </c>
      <c r="AC287" s="6" t="s">
        <v>50</v>
      </c>
      <c r="AD287" s="6">
        <v>7805.0</v>
      </c>
    </row>
    <row r="288" ht="56.25" customHeight="1">
      <c r="A288" s="5" t="s">
        <v>1454</v>
      </c>
      <c r="B288" s="6" t="str">
        <f>IMAGE("https://storage.googleapis.com/acdb/housewares/FtrButtermixer_Remake_1_0.png")</f>
        <v/>
      </c>
      <c r="C288" s="5" t="s">
        <v>366</v>
      </c>
      <c r="D288" s="5" t="s">
        <v>1455</v>
      </c>
      <c r="E288" s="5" t="s">
        <v>34</v>
      </c>
      <c r="F288" s="5" t="s">
        <v>34</v>
      </c>
      <c r="G288" s="5" t="s">
        <v>35</v>
      </c>
      <c r="H288" s="5" t="s">
        <v>35</v>
      </c>
      <c r="I288" s="5" t="s">
        <v>36</v>
      </c>
      <c r="J288" s="6">
        <v>3.0</v>
      </c>
      <c r="K288" s="6" t="s">
        <v>37</v>
      </c>
      <c r="L288" s="6">
        <v>1980.0</v>
      </c>
      <c r="M288" s="8" t="s">
        <v>114</v>
      </c>
      <c r="N288" s="8" t="s">
        <v>54</v>
      </c>
      <c r="O288" s="6" t="s">
        <v>40</v>
      </c>
      <c r="P288" s="5" t="s">
        <v>41</v>
      </c>
      <c r="Q288" s="5"/>
      <c r="R288" s="6" t="s">
        <v>42</v>
      </c>
      <c r="S288" s="5" t="s">
        <v>141</v>
      </c>
      <c r="T288" s="5" t="s">
        <v>172</v>
      </c>
      <c r="U288" s="5" t="s">
        <v>44</v>
      </c>
      <c r="V288" s="5" t="s">
        <v>44</v>
      </c>
      <c r="W288" s="5" t="s">
        <v>36</v>
      </c>
      <c r="X288" s="8" t="s">
        <v>395</v>
      </c>
      <c r="Y288" s="5" t="s">
        <v>46</v>
      </c>
      <c r="Z288" s="5" t="s">
        <v>47</v>
      </c>
      <c r="AA288" s="5" t="s">
        <v>48</v>
      </c>
      <c r="AB288" s="5" t="s">
        <v>1461</v>
      </c>
      <c r="AC288" s="6" t="s">
        <v>56</v>
      </c>
      <c r="AD288" s="6">
        <v>7805.0</v>
      </c>
    </row>
    <row r="289" ht="56.25" customHeight="1">
      <c r="A289" s="5" t="s">
        <v>1462</v>
      </c>
      <c r="B289" s="6" t="str">
        <f>IMAGE("https://storage.googleapis.com/acdb/housewares/FtrPlantCacao.png")</f>
        <v/>
      </c>
      <c r="C289" s="5" t="s">
        <v>34</v>
      </c>
      <c r="D289" s="5" t="s">
        <v>34</v>
      </c>
      <c r="E289" s="5" t="s">
        <v>34</v>
      </c>
      <c r="F289" s="5" t="s">
        <v>34</v>
      </c>
      <c r="G289" s="5" t="s">
        <v>36</v>
      </c>
      <c r="H289" s="5" t="s">
        <v>36</v>
      </c>
      <c r="I289" s="5" t="s">
        <v>36</v>
      </c>
      <c r="J289" s="6" t="s">
        <v>34</v>
      </c>
      <c r="K289" s="6">
        <v>2300.0</v>
      </c>
      <c r="L289" s="6">
        <v>575.0</v>
      </c>
      <c r="M289" s="5" t="s">
        <v>96</v>
      </c>
      <c r="N289" s="5" t="s">
        <v>39</v>
      </c>
      <c r="O289" s="6" t="s">
        <v>40</v>
      </c>
      <c r="P289" s="5" t="s">
        <v>59</v>
      </c>
      <c r="Q289" s="5" t="s">
        <v>122</v>
      </c>
      <c r="R289" s="6" t="s">
        <v>42</v>
      </c>
      <c r="S289" s="5" t="s">
        <v>90</v>
      </c>
      <c r="T289" s="5" t="s">
        <v>44</v>
      </c>
      <c r="U289" s="5" t="s">
        <v>44</v>
      </c>
      <c r="V289" s="5" t="s">
        <v>44</v>
      </c>
      <c r="W289" s="5" t="s">
        <v>36</v>
      </c>
      <c r="X289" s="8" t="s">
        <v>244</v>
      </c>
      <c r="Y289" s="5" t="s">
        <v>46</v>
      </c>
      <c r="Z289" s="5" t="s">
        <v>47</v>
      </c>
      <c r="AA289" s="5" t="s">
        <v>64</v>
      </c>
      <c r="AB289" s="5" t="s">
        <v>1466</v>
      </c>
      <c r="AC289" s="6" t="s">
        <v>34</v>
      </c>
      <c r="AD289" s="6">
        <v>1277.0</v>
      </c>
    </row>
    <row r="290" ht="56.25" customHeight="1">
      <c r="A290" s="5" t="s">
        <v>1467</v>
      </c>
      <c r="B290" s="6" t="str">
        <f>IMAGE("https://storage.googleapis.com/acdb/housewares/FtrBonfire.png")</f>
        <v/>
      </c>
      <c r="C290" s="5" t="s">
        <v>34</v>
      </c>
      <c r="D290" s="5" t="s">
        <v>34</v>
      </c>
      <c r="E290" s="5" t="s">
        <v>34</v>
      </c>
      <c r="F290" s="5" t="s">
        <v>34</v>
      </c>
      <c r="G290" s="5" t="s">
        <v>35</v>
      </c>
      <c r="H290" s="5" t="s">
        <v>36</v>
      </c>
      <c r="I290" s="5" t="s">
        <v>36</v>
      </c>
      <c r="J290" s="6" t="s">
        <v>34</v>
      </c>
      <c r="K290" s="6" t="s">
        <v>37</v>
      </c>
      <c r="L290" s="6">
        <v>30.0</v>
      </c>
      <c r="M290" s="5" t="s">
        <v>39</v>
      </c>
      <c r="N290" s="5" t="s">
        <v>39</v>
      </c>
      <c r="O290" s="6" t="s">
        <v>40</v>
      </c>
      <c r="P290" s="5" t="s">
        <v>41</v>
      </c>
      <c r="Q290" s="5"/>
      <c r="R290" s="6" t="s">
        <v>42</v>
      </c>
      <c r="S290" s="5" t="s">
        <v>765</v>
      </c>
      <c r="T290" s="5" t="s">
        <v>44</v>
      </c>
      <c r="U290" s="5" t="s">
        <v>44</v>
      </c>
      <c r="V290" s="5" t="s">
        <v>44</v>
      </c>
      <c r="W290" s="5" t="s">
        <v>35</v>
      </c>
      <c r="X290" s="8" t="s">
        <v>1164</v>
      </c>
      <c r="Y290" s="5" t="s">
        <v>46</v>
      </c>
      <c r="Z290" s="5" t="s">
        <v>495</v>
      </c>
      <c r="AA290" s="5" t="s">
        <v>48</v>
      </c>
      <c r="AB290" s="5" t="s">
        <v>1471</v>
      </c>
      <c r="AC290" s="6" t="s">
        <v>34</v>
      </c>
      <c r="AD290" s="6">
        <v>1429.0</v>
      </c>
    </row>
    <row r="291" ht="56.25" customHeight="1">
      <c r="A291" s="5" t="s">
        <v>1472</v>
      </c>
      <c r="B291" s="6" t="str">
        <f>IMAGE("https://storage.googleapis.com/acdb/housewares/FtrMesstin.png")</f>
        <v/>
      </c>
      <c r="C291" s="5" t="s">
        <v>34</v>
      </c>
      <c r="D291" s="5" t="s">
        <v>34</v>
      </c>
      <c r="E291" s="5" t="s">
        <v>34</v>
      </c>
      <c r="F291" s="5" t="s">
        <v>34</v>
      </c>
      <c r="G291" s="5" t="s">
        <v>36</v>
      </c>
      <c r="H291" s="5" t="s">
        <v>36</v>
      </c>
      <c r="I291" s="5" t="s">
        <v>36</v>
      </c>
      <c r="J291" s="6" t="s">
        <v>34</v>
      </c>
      <c r="K291" s="6">
        <v>900.0</v>
      </c>
      <c r="L291" s="6">
        <v>225.0</v>
      </c>
      <c r="M291" s="5" t="s">
        <v>39</v>
      </c>
      <c r="N291" s="5" t="s">
        <v>54</v>
      </c>
      <c r="O291" s="6" t="s">
        <v>40</v>
      </c>
      <c r="P291" s="5" t="s">
        <v>59</v>
      </c>
      <c r="Q291" s="5" t="s">
        <v>554</v>
      </c>
      <c r="R291" s="6" t="s">
        <v>42</v>
      </c>
      <c r="S291" s="5" t="s">
        <v>765</v>
      </c>
      <c r="T291" s="5" t="s">
        <v>44</v>
      </c>
      <c r="U291" s="5" t="s">
        <v>44</v>
      </c>
      <c r="V291" s="5" t="s">
        <v>44</v>
      </c>
      <c r="W291" s="5" t="s">
        <v>35</v>
      </c>
      <c r="X291" s="8" t="s">
        <v>160</v>
      </c>
      <c r="Y291" s="5" t="s">
        <v>46</v>
      </c>
      <c r="Z291" s="5" t="s">
        <v>495</v>
      </c>
      <c r="AA291" s="5" t="s">
        <v>64</v>
      </c>
      <c r="AB291" s="5" t="s">
        <v>1475</v>
      </c>
      <c r="AC291" s="6" t="s">
        <v>34</v>
      </c>
      <c r="AD291" s="6">
        <v>1433.0</v>
      </c>
    </row>
    <row r="292" ht="56.25" customHeight="1">
      <c r="A292" s="5" t="s">
        <v>1477</v>
      </c>
      <c r="B292" s="6" t="str">
        <f>IMAGE("https://storage.googleapis.com/acdb/housewares/FtrCampbed_Remake_0_0.png")</f>
        <v/>
      </c>
      <c r="C292" s="5" t="s">
        <v>96</v>
      </c>
      <c r="D292" s="5" t="s">
        <v>34</v>
      </c>
      <c r="E292" s="5" t="s">
        <v>34</v>
      </c>
      <c r="F292" s="5" t="s">
        <v>34</v>
      </c>
      <c r="G292" s="5" t="s">
        <v>36</v>
      </c>
      <c r="H292" s="5" t="s">
        <v>36</v>
      </c>
      <c r="I292" s="5" t="s">
        <v>36</v>
      </c>
      <c r="J292" s="6" t="s">
        <v>34</v>
      </c>
      <c r="K292" s="6">
        <v>1800.0</v>
      </c>
      <c r="L292" s="6">
        <v>450.0</v>
      </c>
      <c r="M292" s="8" t="s">
        <v>96</v>
      </c>
      <c r="N292" s="8" t="s">
        <v>96</v>
      </c>
      <c r="O292" s="6" t="s">
        <v>276</v>
      </c>
      <c r="P292" s="5" t="s">
        <v>1479</v>
      </c>
      <c r="Q292" s="5"/>
      <c r="R292" s="6" t="s">
        <v>42</v>
      </c>
      <c r="S292" s="5" t="s">
        <v>765</v>
      </c>
      <c r="T292" s="5" t="s">
        <v>44</v>
      </c>
      <c r="U292" s="5" t="s">
        <v>44</v>
      </c>
      <c r="V292" s="5" t="s">
        <v>44</v>
      </c>
      <c r="W292" s="5" t="s">
        <v>35</v>
      </c>
      <c r="X292" s="8" t="s">
        <v>218</v>
      </c>
      <c r="Y292" s="5" t="s">
        <v>46</v>
      </c>
      <c r="Z292" s="5" t="s">
        <v>47</v>
      </c>
      <c r="AA292" s="5" t="s">
        <v>64</v>
      </c>
      <c r="AB292" s="5" t="s">
        <v>1482</v>
      </c>
      <c r="AC292" s="6" t="s">
        <v>50</v>
      </c>
      <c r="AD292" s="6">
        <v>4081.0</v>
      </c>
    </row>
    <row r="293" ht="56.25" customHeight="1">
      <c r="A293" s="5" t="s">
        <v>1477</v>
      </c>
      <c r="B293" s="6" t="str">
        <f>IMAGE("https://storage.googleapis.com/acdb/housewares/FtrCampbed_Remake_1_0.png")</f>
        <v/>
      </c>
      <c r="C293" s="5" t="s">
        <v>114</v>
      </c>
      <c r="D293" s="5" t="s">
        <v>34</v>
      </c>
      <c r="E293" s="5" t="s">
        <v>34</v>
      </c>
      <c r="F293" s="5" t="s">
        <v>34</v>
      </c>
      <c r="G293" s="5" t="s">
        <v>36</v>
      </c>
      <c r="H293" s="5" t="s">
        <v>36</v>
      </c>
      <c r="I293" s="5" t="s">
        <v>36</v>
      </c>
      <c r="J293" s="6" t="s">
        <v>34</v>
      </c>
      <c r="K293" s="6">
        <v>1800.0</v>
      </c>
      <c r="L293" s="6">
        <v>450.0</v>
      </c>
      <c r="M293" s="8" t="s">
        <v>114</v>
      </c>
      <c r="N293" s="8" t="s">
        <v>114</v>
      </c>
      <c r="O293" s="6" t="s">
        <v>276</v>
      </c>
      <c r="P293" s="5" t="s">
        <v>1479</v>
      </c>
      <c r="Q293" s="5"/>
      <c r="R293" s="6" t="s">
        <v>42</v>
      </c>
      <c r="S293" s="5" t="s">
        <v>765</v>
      </c>
      <c r="T293" s="5" t="s">
        <v>44</v>
      </c>
      <c r="U293" s="5" t="s">
        <v>44</v>
      </c>
      <c r="V293" s="5" t="s">
        <v>44</v>
      </c>
      <c r="W293" s="5" t="s">
        <v>35</v>
      </c>
      <c r="X293" s="8" t="s">
        <v>218</v>
      </c>
      <c r="Y293" s="5" t="s">
        <v>46</v>
      </c>
      <c r="Z293" s="5" t="s">
        <v>47</v>
      </c>
      <c r="AA293" s="5" t="s">
        <v>64</v>
      </c>
      <c r="AB293" s="5" t="s">
        <v>1485</v>
      </c>
      <c r="AC293" s="6" t="s">
        <v>56</v>
      </c>
      <c r="AD293" s="6">
        <v>4081.0</v>
      </c>
    </row>
    <row r="294" ht="56.25" customHeight="1">
      <c r="A294" s="5" t="s">
        <v>1477</v>
      </c>
      <c r="B294" s="6" t="str">
        <f>IMAGE("https://storage.googleapis.com/acdb/housewares/FtrCampbed_Remake_2_0.png")</f>
        <v/>
      </c>
      <c r="C294" s="5" t="s">
        <v>52</v>
      </c>
      <c r="D294" s="5" t="s">
        <v>34</v>
      </c>
      <c r="E294" s="5" t="s">
        <v>34</v>
      </c>
      <c r="F294" s="5" t="s">
        <v>34</v>
      </c>
      <c r="G294" s="5" t="s">
        <v>36</v>
      </c>
      <c r="H294" s="5" t="s">
        <v>36</v>
      </c>
      <c r="I294" s="5" t="s">
        <v>36</v>
      </c>
      <c r="J294" s="6" t="s">
        <v>34</v>
      </c>
      <c r="K294" s="6">
        <v>1800.0</v>
      </c>
      <c r="L294" s="6">
        <v>450.0</v>
      </c>
      <c r="M294" s="8" t="s">
        <v>52</v>
      </c>
      <c r="N294" s="8" t="s">
        <v>52</v>
      </c>
      <c r="O294" s="6" t="s">
        <v>276</v>
      </c>
      <c r="P294" s="5" t="s">
        <v>1479</v>
      </c>
      <c r="Q294" s="5"/>
      <c r="R294" s="6" t="s">
        <v>42</v>
      </c>
      <c r="S294" s="5" t="s">
        <v>765</v>
      </c>
      <c r="T294" s="5" t="s">
        <v>44</v>
      </c>
      <c r="U294" s="5" t="s">
        <v>44</v>
      </c>
      <c r="V294" s="5" t="s">
        <v>44</v>
      </c>
      <c r="W294" s="5" t="s">
        <v>35</v>
      </c>
      <c r="X294" s="8" t="s">
        <v>218</v>
      </c>
      <c r="Y294" s="5" t="s">
        <v>46</v>
      </c>
      <c r="Z294" s="5" t="s">
        <v>47</v>
      </c>
      <c r="AA294" s="5" t="s">
        <v>64</v>
      </c>
      <c r="AB294" s="5" t="s">
        <v>1490</v>
      </c>
      <c r="AC294" s="6" t="s">
        <v>67</v>
      </c>
      <c r="AD294" s="6">
        <v>4081.0</v>
      </c>
    </row>
    <row r="295" ht="56.25" customHeight="1">
      <c r="A295" s="5" t="s">
        <v>1477</v>
      </c>
      <c r="B295" s="6" t="str">
        <f>IMAGE("https://storage.googleapis.com/acdb/housewares/FtrCampbed_Remake_3_0.png")</f>
        <v/>
      </c>
      <c r="C295" s="5" t="s">
        <v>68</v>
      </c>
      <c r="D295" s="5" t="s">
        <v>34</v>
      </c>
      <c r="E295" s="5" t="s">
        <v>34</v>
      </c>
      <c r="F295" s="5" t="s">
        <v>34</v>
      </c>
      <c r="G295" s="5" t="s">
        <v>36</v>
      </c>
      <c r="H295" s="5" t="s">
        <v>36</v>
      </c>
      <c r="I295" s="5" t="s">
        <v>36</v>
      </c>
      <c r="J295" s="6" t="s">
        <v>34</v>
      </c>
      <c r="K295" s="6">
        <v>1800.0</v>
      </c>
      <c r="L295" s="6">
        <v>450.0</v>
      </c>
      <c r="M295" s="8" t="s">
        <v>68</v>
      </c>
      <c r="N295" s="8" t="s">
        <v>68</v>
      </c>
      <c r="O295" s="6" t="s">
        <v>276</v>
      </c>
      <c r="P295" s="5" t="s">
        <v>1479</v>
      </c>
      <c r="Q295" s="5"/>
      <c r="R295" s="6" t="s">
        <v>42</v>
      </c>
      <c r="S295" s="5" t="s">
        <v>765</v>
      </c>
      <c r="T295" s="5" t="s">
        <v>44</v>
      </c>
      <c r="U295" s="5" t="s">
        <v>44</v>
      </c>
      <c r="V295" s="5" t="s">
        <v>44</v>
      </c>
      <c r="W295" s="5" t="s">
        <v>35</v>
      </c>
      <c r="X295" s="8" t="s">
        <v>218</v>
      </c>
      <c r="Y295" s="5" t="s">
        <v>46</v>
      </c>
      <c r="Z295" s="5" t="s">
        <v>47</v>
      </c>
      <c r="AA295" s="5" t="s">
        <v>64</v>
      </c>
      <c r="AB295" s="5" t="s">
        <v>1493</v>
      </c>
      <c r="AC295" s="6" t="s">
        <v>71</v>
      </c>
      <c r="AD295" s="6">
        <v>4081.0</v>
      </c>
    </row>
    <row r="296" ht="56.25" customHeight="1">
      <c r="A296" s="5" t="s">
        <v>1477</v>
      </c>
      <c r="B296" s="6" t="str">
        <f>IMAGE("https://storage.googleapis.com/acdb/housewares/FtrCampbed_Remake_4_0.png")</f>
        <v/>
      </c>
      <c r="C296" s="5" t="s">
        <v>1494</v>
      </c>
      <c r="D296" s="5" t="s">
        <v>34</v>
      </c>
      <c r="E296" s="5" t="s">
        <v>34</v>
      </c>
      <c r="F296" s="5" t="s">
        <v>34</v>
      </c>
      <c r="G296" s="5" t="s">
        <v>36</v>
      </c>
      <c r="H296" s="5" t="s">
        <v>36</v>
      </c>
      <c r="I296" s="5" t="s">
        <v>36</v>
      </c>
      <c r="J296" s="6" t="s">
        <v>34</v>
      </c>
      <c r="K296" s="6">
        <v>1800.0</v>
      </c>
      <c r="L296" s="6">
        <v>450.0</v>
      </c>
      <c r="M296" s="8" t="s">
        <v>95</v>
      </c>
      <c r="N296" s="8" t="s">
        <v>54</v>
      </c>
      <c r="O296" s="6" t="s">
        <v>276</v>
      </c>
      <c r="P296" s="5" t="s">
        <v>1479</v>
      </c>
      <c r="Q296" s="5"/>
      <c r="R296" s="6" t="s">
        <v>42</v>
      </c>
      <c r="S296" s="5" t="s">
        <v>765</v>
      </c>
      <c r="T296" s="5" t="s">
        <v>44</v>
      </c>
      <c r="U296" s="5" t="s">
        <v>44</v>
      </c>
      <c r="V296" s="5" t="s">
        <v>44</v>
      </c>
      <c r="W296" s="5" t="s">
        <v>35</v>
      </c>
      <c r="X296" s="8" t="s">
        <v>218</v>
      </c>
      <c r="Y296" s="5" t="s">
        <v>46</v>
      </c>
      <c r="Z296" s="5" t="s">
        <v>47</v>
      </c>
      <c r="AA296" s="5" t="s">
        <v>64</v>
      </c>
      <c r="AB296" s="5" t="s">
        <v>1498</v>
      </c>
      <c r="AC296" s="6" t="s">
        <v>75</v>
      </c>
      <c r="AD296" s="6">
        <v>4081.0</v>
      </c>
    </row>
    <row r="297" ht="56.25" customHeight="1">
      <c r="A297" s="5" t="s">
        <v>1477</v>
      </c>
      <c r="B297" s="6" t="str">
        <f>IMAGE("https://storage.googleapis.com/acdb/housewares/FtrCampbed_Remake_5_0.png")</f>
        <v/>
      </c>
      <c r="C297" s="5" t="s">
        <v>1499</v>
      </c>
      <c r="D297" s="5" t="s">
        <v>34</v>
      </c>
      <c r="E297" s="5" t="s">
        <v>34</v>
      </c>
      <c r="F297" s="5" t="s">
        <v>34</v>
      </c>
      <c r="G297" s="5" t="s">
        <v>36</v>
      </c>
      <c r="H297" s="5" t="s">
        <v>36</v>
      </c>
      <c r="I297" s="5" t="s">
        <v>36</v>
      </c>
      <c r="J297" s="6" t="s">
        <v>34</v>
      </c>
      <c r="K297" s="6">
        <v>1800.0</v>
      </c>
      <c r="L297" s="6">
        <v>450.0</v>
      </c>
      <c r="M297" s="8" t="s">
        <v>96</v>
      </c>
      <c r="N297" s="8" t="s">
        <v>39</v>
      </c>
      <c r="O297" s="6" t="s">
        <v>276</v>
      </c>
      <c r="P297" s="5" t="s">
        <v>1479</v>
      </c>
      <c r="Q297" s="5"/>
      <c r="R297" s="6" t="s">
        <v>42</v>
      </c>
      <c r="S297" s="5" t="s">
        <v>765</v>
      </c>
      <c r="T297" s="5" t="s">
        <v>44</v>
      </c>
      <c r="U297" s="5" t="s">
        <v>44</v>
      </c>
      <c r="V297" s="5" t="s">
        <v>44</v>
      </c>
      <c r="W297" s="5" t="s">
        <v>35</v>
      </c>
      <c r="X297" s="8" t="s">
        <v>218</v>
      </c>
      <c r="Y297" s="5" t="s">
        <v>46</v>
      </c>
      <c r="Z297" s="5" t="s">
        <v>47</v>
      </c>
      <c r="AA297" s="5" t="s">
        <v>64</v>
      </c>
      <c r="AB297" s="5" t="s">
        <v>1502</v>
      </c>
      <c r="AC297" s="6" t="s">
        <v>79</v>
      </c>
      <c r="AD297" s="6">
        <v>4081.0</v>
      </c>
    </row>
    <row r="298" ht="56.25" customHeight="1">
      <c r="A298" s="5" t="s">
        <v>1477</v>
      </c>
      <c r="B298" s="6" t="str">
        <f>IMAGE("https://storage.googleapis.com/acdb/housewares/FtrCampbed_Remake_6_0.png")</f>
        <v/>
      </c>
      <c r="C298" s="5" t="s">
        <v>1503</v>
      </c>
      <c r="D298" s="5" t="s">
        <v>34</v>
      </c>
      <c r="E298" s="5" t="s">
        <v>34</v>
      </c>
      <c r="F298" s="5" t="s">
        <v>34</v>
      </c>
      <c r="G298" s="5" t="s">
        <v>36</v>
      </c>
      <c r="H298" s="5" t="s">
        <v>36</v>
      </c>
      <c r="I298" s="5" t="s">
        <v>36</v>
      </c>
      <c r="J298" s="6" t="s">
        <v>34</v>
      </c>
      <c r="K298" s="6">
        <v>1800.0</v>
      </c>
      <c r="L298" s="6">
        <v>450.0</v>
      </c>
      <c r="M298" s="8" t="s">
        <v>57</v>
      </c>
      <c r="N298" s="8" t="s">
        <v>57</v>
      </c>
      <c r="O298" s="6" t="s">
        <v>276</v>
      </c>
      <c r="P298" s="5" t="s">
        <v>1479</v>
      </c>
      <c r="Q298" s="5"/>
      <c r="R298" s="6" t="s">
        <v>42</v>
      </c>
      <c r="S298" s="5" t="s">
        <v>765</v>
      </c>
      <c r="T298" s="5" t="s">
        <v>44</v>
      </c>
      <c r="U298" s="5" t="s">
        <v>44</v>
      </c>
      <c r="V298" s="5" t="s">
        <v>44</v>
      </c>
      <c r="W298" s="5" t="s">
        <v>35</v>
      </c>
      <c r="X298" s="8" t="s">
        <v>218</v>
      </c>
      <c r="Y298" s="5" t="s">
        <v>46</v>
      </c>
      <c r="Z298" s="5" t="s">
        <v>47</v>
      </c>
      <c r="AA298" s="5" t="s">
        <v>64</v>
      </c>
      <c r="AB298" s="5" t="s">
        <v>1504</v>
      </c>
      <c r="AC298" s="6" t="s">
        <v>86</v>
      </c>
      <c r="AD298" s="6">
        <v>4081.0</v>
      </c>
    </row>
    <row r="299" ht="56.25" customHeight="1">
      <c r="A299" s="5" t="s">
        <v>1477</v>
      </c>
      <c r="B299" s="6" t="str">
        <f>IMAGE("https://storage.googleapis.com/acdb/housewares/FtrCampbed_Remake_7_0.png")</f>
        <v/>
      </c>
      <c r="C299" s="5" t="s">
        <v>1507</v>
      </c>
      <c r="D299" s="5" t="s">
        <v>34</v>
      </c>
      <c r="E299" s="5" t="s">
        <v>34</v>
      </c>
      <c r="F299" s="5" t="s">
        <v>34</v>
      </c>
      <c r="G299" s="5" t="s">
        <v>36</v>
      </c>
      <c r="H299" s="5" t="s">
        <v>36</v>
      </c>
      <c r="I299" s="5" t="s">
        <v>36</v>
      </c>
      <c r="J299" s="6" t="s">
        <v>34</v>
      </c>
      <c r="K299" s="6">
        <v>1800.0</v>
      </c>
      <c r="L299" s="6">
        <v>450.0</v>
      </c>
      <c r="M299" s="8" t="s">
        <v>1175</v>
      </c>
      <c r="N299" s="8" t="s">
        <v>114</v>
      </c>
      <c r="O299" s="6" t="s">
        <v>276</v>
      </c>
      <c r="P299" s="5" t="s">
        <v>1479</v>
      </c>
      <c r="Q299" s="5"/>
      <c r="R299" s="6" t="s">
        <v>42</v>
      </c>
      <c r="S299" s="5" t="s">
        <v>765</v>
      </c>
      <c r="T299" s="5" t="s">
        <v>44</v>
      </c>
      <c r="U299" s="5" t="s">
        <v>44</v>
      </c>
      <c r="V299" s="5" t="s">
        <v>44</v>
      </c>
      <c r="W299" s="5" t="s">
        <v>35</v>
      </c>
      <c r="X299" s="8" t="s">
        <v>218</v>
      </c>
      <c r="Y299" s="5" t="s">
        <v>46</v>
      </c>
      <c r="Z299" s="5" t="s">
        <v>47</v>
      </c>
      <c r="AA299" s="5" t="s">
        <v>64</v>
      </c>
      <c r="AB299" s="5" t="s">
        <v>1510</v>
      </c>
      <c r="AC299" s="6" t="s">
        <v>208</v>
      </c>
      <c r="AD299" s="6">
        <v>4081.0</v>
      </c>
    </row>
    <row r="300" ht="56.25" customHeight="1">
      <c r="A300" s="5" t="s">
        <v>1511</v>
      </c>
      <c r="B300" s="6" t="str">
        <f>image("https://storage.googleapis.com/acdb/housewares/FtrCompassSignCamp.png")</f>
        <v/>
      </c>
      <c r="C300" s="5" t="s">
        <v>34</v>
      </c>
      <c r="D300" s="5" t="s">
        <v>34</v>
      </c>
      <c r="E300" s="5" t="s">
        <v>34</v>
      </c>
      <c r="F300" s="5" t="s">
        <v>34</v>
      </c>
      <c r="G300" s="5" t="s">
        <v>36</v>
      </c>
      <c r="H300" s="5" t="s">
        <v>36</v>
      </c>
      <c r="I300" s="5" t="s">
        <v>36</v>
      </c>
      <c r="J300" s="6" t="s">
        <v>34</v>
      </c>
      <c r="K300" s="6">
        <v>2500.0</v>
      </c>
      <c r="L300" s="6">
        <v>625.0</v>
      </c>
      <c r="M300" s="5" t="s">
        <v>39</v>
      </c>
      <c r="N300" s="5" t="s">
        <v>58</v>
      </c>
      <c r="O300" s="6" t="s">
        <v>276</v>
      </c>
      <c r="P300" s="5" t="s">
        <v>1234</v>
      </c>
      <c r="Q300" s="5" t="s">
        <v>1235</v>
      </c>
      <c r="R300" s="6" t="s">
        <v>98</v>
      </c>
      <c r="S300" s="5" t="s">
        <v>141</v>
      </c>
      <c r="T300" s="5" t="s">
        <v>172</v>
      </c>
      <c r="U300" s="5" t="s">
        <v>44</v>
      </c>
      <c r="V300" s="5" t="s">
        <v>44</v>
      </c>
      <c r="W300" s="5" t="s">
        <v>36</v>
      </c>
      <c r="X300" s="8" t="s">
        <v>1236</v>
      </c>
      <c r="Y300" s="5" t="s">
        <v>46</v>
      </c>
      <c r="Z300" s="5" t="s">
        <v>47</v>
      </c>
      <c r="AA300" s="5" t="s">
        <v>1237</v>
      </c>
      <c r="AB300" s="5" t="s">
        <v>1516</v>
      </c>
      <c r="AC300" s="6" t="s">
        <v>34</v>
      </c>
      <c r="AD300" s="6">
        <v>12374.0</v>
      </c>
    </row>
    <row r="301" ht="56.25" customHeight="1">
      <c r="A301" s="5" t="s">
        <v>1517</v>
      </c>
      <c r="B301" s="6" t="str">
        <f>IMAGE("https://storage.googleapis.com/acdb/housewares/FtrZodiacCancer.png")</f>
        <v/>
      </c>
      <c r="C301" s="5" t="s">
        <v>34</v>
      </c>
      <c r="D301" s="5" t="s">
        <v>34</v>
      </c>
      <c r="E301" s="5" t="s">
        <v>34</v>
      </c>
      <c r="F301" s="5" t="s">
        <v>34</v>
      </c>
      <c r="G301" s="5" t="s">
        <v>35</v>
      </c>
      <c r="H301" s="5" t="s">
        <v>36</v>
      </c>
      <c r="I301" s="5" t="s">
        <v>36</v>
      </c>
      <c r="J301" s="6" t="s">
        <v>34</v>
      </c>
      <c r="K301" s="6" t="s">
        <v>37</v>
      </c>
      <c r="L301" s="6">
        <v>21975.0</v>
      </c>
      <c r="M301" s="5" t="s">
        <v>114</v>
      </c>
      <c r="N301" s="5" t="s">
        <v>57</v>
      </c>
      <c r="O301" s="6" t="s">
        <v>40</v>
      </c>
      <c r="P301" s="5" t="s">
        <v>41</v>
      </c>
      <c r="Q301" s="5"/>
      <c r="R301" s="6" t="s">
        <v>42</v>
      </c>
      <c r="S301" s="5" t="s">
        <v>116</v>
      </c>
      <c r="T301" s="5" t="s">
        <v>44</v>
      </c>
      <c r="U301" s="5" t="s">
        <v>349</v>
      </c>
      <c r="V301" s="5" t="s">
        <v>44</v>
      </c>
      <c r="W301" s="5" t="s">
        <v>36</v>
      </c>
      <c r="X301" s="8" t="s">
        <v>278</v>
      </c>
      <c r="Y301" s="5" t="s">
        <v>46</v>
      </c>
      <c r="Z301" s="5" t="s">
        <v>47</v>
      </c>
      <c r="AA301" s="5" t="s">
        <v>48</v>
      </c>
      <c r="AB301" s="5" t="s">
        <v>1519</v>
      </c>
      <c r="AC301" s="6" t="s">
        <v>34</v>
      </c>
      <c r="AD301" s="6">
        <v>5959.0</v>
      </c>
    </row>
    <row r="302" ht="56.25" customHeight="1">
      <c r="A302" s="5" t="s">
        <v>1520</v>
      </c>
      <c r="B302" s="6" t="str">
        <f>IMAGE("https://storage.googleapis.com/acdb/housewares/FtrCandymachine_Remake_0_0.png")</f>
        <v/>
      </c>
      <c r="C302" s="5" t="s">
        <v>52</v>
      </c>
      <c r="D302" s="5" t="s">
        <v>34</v>
      </c>
      <c r="E302" s="5" t="s">
        <v>34</v>
      </c>
      <c r="F302" s="5" t="s">
        <v>34</v>
      </c>
      <c r="G302" s="5" t="s">
        <v>36</v>
      </c>
      <c r="H302" s="5" t="s">
        <v>36</v>
      </c>
      <c r="I302" s="5" t="s">
        <v>36</v>
      </c>
      <c r="J302" s="6" t="s">
        <v>34</v>
      </c>
      <c r="K302" s="6">
        <v>2800.0</v>
      </c>
      <c r="L302" s="6">
        <v>700.0</v>
      </c>
      <c r="M302" s="8" t="s">
        <v>52</v>
      </c>
      <c r="N302" s="8" t="s">
        <v>58</v>
      </c>
      <c r="O302" s="6" t="s">
        <v>40</v>
      </c>
      <c r="P302" s="5" t="s">
        <v>59</v>
      </c>
      <c r="Q302" s="5" t="s">
        <v>89</v>
      </c>
      <c r="R302" s="6" t="s">
        <v>42</v>
      </c>
      <c r="S302" s="5" t="s">
        <v>62</v>
      </c>
      <c r="T302" s="5" t="s">
        <v>141</v>
      </c>
      <c r="U302" s="5" t="s">
        <v>44</v>
      </c>
      <c r="V302" s="5" t="s">
        <v>44</v>
      </c>
      <c r="W302" s="5" t="s">
        <v>35</v>
      </c>
      <c r="X302" s="8" t="s">
        <v>194</v>
      </c>
      <c r="Y302" s="5" t="s">
        <v>46</v>
      </c>
      <c r="Z302" s="5" t="s">
        <v>47</v>
      </c>
      <c r="AA302" s="5" t="s">
        <v>64</v>
      </c>
      <c r="AB302" s="5" t="s">
        <v>1527</v>
      </c>
      <c r="AC302" s="6" t="s">
        <v>50</v>
      </c>
      <c r="AD302" s="6">
        <v>7392.0</v>
      </c>
    </row>
    <row r="303" ht="56.25" customHeight="1">
      <c r="A303" s="5" t="s">
        <v>1520</v>
      </c>
      <c r="B303" s="6" t="str">
        <f>IMAGE("https://storage.googleapis.com/acdb/housewares/FtrCandymachine_Remake_1_0.png")</f>
        <v/>
      </c>
      <c r="C303" s="5" t="s">
        <v>68</v>
      </c>
      <c r="D303" s="5" t="s">
        <v>34</v>
      </c>
      <c r="E303" s="5" t="s">
        <v>34</v>
      </c>
      <c r="F303" s="5" t="s">
        <v>34</v>
      </c>
      <c r="G303" s="5" t="s">
        <v>36</v>
      </c>
      <c r="H303" s="5" t="s">
        <v>36</v>
      </c>
      <c r="I303" s="5" t="s">
        <v>36</v>
      </c>
      <c r="J303" s="6" t="s">
        <v>34</v>
      </c>
      <c r="K303" s="6">
        <v>2800.0</v>
      </c>
      <c r="L303" s="6">
        <v>700.0</v>
      </c>
      <c r="M303" s="8" t="s">
        <v>68</v>
      </c>
      <c r="N303" s="8" t="s">
        <v>58</v>
      </c>
      <c r="O303" s="6" t="s">
        <v>40</v>
      </c>
      <c r="P303" s="5" t="s">
        <v>59</v>
      </c>
      <c r="Q303" s="5" t="s">
        <v>89</v>
      </c>
      <c r="R303" s="6" t="s">
        <v>42</v>
      </c>
      <c r="S303" s="5" t="s">
        <v>62</v>
      </c>
      <c r="T303" s="5" t="s">
        <v>141</v>
      </c>
      <c r="U303" s="5" t="s">
        <v>44</v>
      </c>
      <c r="V303" s="5" t="s">
        <v>44</v>
      </c>
      <c r="W303" s="5" t="s">
        <v>35</v>
      </c>
      <c r="X303" s="8" t="s">
        <v>194</v>
      </c>
      <c r="Y303" s="5" t="s">
        <v>46</v>
      </c>
      <c r="Z303" s="5" t="s">
        <v>47</v>
      </c>
      <c r="AA303" s="5" t="s">
        <v>64</v>
      </c>
      <c r="AB303" s="5" t="s">
        <v>1530</v>
      </c>
      <c r="AC303" s="6" t="s">
        <v>56</v>
      </c>
      <c r="AD303" s="6">
        <v>7392.0</v>
      </c>
    </row>
    <row r="304" ht="56.25" customHeight="1">
      <c r="A304" s="5" t="s">
        <v>1520</v>
      </c>
      <c r="B304" s="6" t="str">
        <f>IMAGE("https://storage.googleapis.com/acdb/housewares/FtrCandymachine_Remake_2_0.png")</f>
        <v/>
      </c>
      <c r="C304" s="5" t="s">
        <v>114</v>
      </c>
      <c r="D304" s="5" t="s">
        <v>34</v>
      </c>
      <c r="E304" s="5" t="s">
        <v>34</v>
      </c>
      <c r="F304" s="5" t="s">
        <v>34</v>
      </c>
      <c r="G304" s="5" t="s">
        <v>36</v>
      </c>
      <c r="H304" s="5" t="s">
        <v>36</v>
      </c>
      <c r="I304" s="5" t="s">
        <v>36</v>
      </c>
      <c r="J304" s="6" t="s">
        <v>34</v>
      </c>
      <c r="K304" s="6">
        <v>2800.0</v>
      </c>
      <c r="L304" s="6">
        <v>700.0</v>
      </c>
      <c r="M304" s="8" t="s">
        <v>114</v>
      </c>
      <c r="N304" s="8" t="s">
        <v>58</v>
      </c>
      <c r="O304" s="6" t="s">
        <v>40</v>
      </c>
      <c r="P304" s="5" t="s">
        <v>59</v>
      </c>
      <c r="Q304" s="5" t="s">
        <v>89</v>
      </c>
      <c r="R304" s="6" t="s">
        <v>42</v>
      </c>
      <c r="S304" s="5" t="s">
        <v>62</v>
      </c>
      <c r="T304" s="5" t="s">
        <v>141</v>
      </c>
      <c r="U304" s="5" t="s">
        <v>44</v>
      </c>
      <c r="V304" s="5" t="s">
        <v>44</v>
      </c>
      <c r="W304" s="5" t="s">
        <v>35</v>
      </c>
      <c r="X304" s="8" t="s">
        <v>194</v>
      </c>
      <c r="Y304" s="5" t="s">
        <v>46</v>
      </c>
      <c r="Z304" s="5" t="s">
        <v>47</v>
      </c>
      <c r="AA304" s="5" t="s">
        <v>64</v>
      </c>
      <c r="AB304" s="5" t="s">
        <v>1533</v>
      </c>
      <c r="AC304" s="6" t="s">
        <v>67</v>
      </c>
      <c r="AD304" s="6">
        <v>7392.0</v>
      </c>
    </row>
    <row r="305" ht="56.25" customHeight="1">
      <c r="A305" s="5" t="s">
        <v>1520</v>
      </c>
      <c r="B305" s="6" t="str">
        <f>IMAGE("https://storage.googleapis.com/acdb/housewares/FtrCandymachine_Remake_3_0.png")</f>
        <v/>
      </c>
      <c r="C305" s="5" t="s">
        <v>69</v>
      </c>
      <c r="D305" s="5" t="s">
        <v>34</v>
      </c>
      <c r="E305" s="5" t="s">
        <v>34</v>
      </c>
      <c r="F305" s="5" t="s">
        <v>34</v>
      </c>
      <c r="G305" s="5" t="s">
        <v>36</v>
      </c>
      <c r="H305" s="5" t="s">
        <v>36</v>
      </c>
      <c r="I305" s="5" t="s">
        <v>36</v>
      </c>
      <c r="J305" s="6" t="s">
        <v>34</v>
      </c>
      <c r="K305" s="6">
        <v>2800.0</v>
      </c>
      <c r="L305" s="6">
        <v>700.0</v>
      </c>
      <c r="M305" s="8" t="s">
        <v>69</v>
      </c>
      <c r="N305" s="8" t="s">
        <v>58</v>
      </c>
      <c r="O305" s="6" t="s">
        <v>40</v>
      </c>
      <c r="P305" s="5" t="s">
        <v>59</v>
      </c>
      <c r="Q305" s="5" t="s">
        <v>89</v>
      </c>
      <c r="R305" s="6" t="s">
        <v>42</v>
      </c>
      <c r="S305" s="5" t="s">
        <v>62</v>
      </c>
      <c r="T305" s="5" t="s">
        <v>141</v>
      </c>
      <c r="U305" s="5" t="s">
        <v>44</v>
      </c>
      <c r="V305" s="5" t="s">
        <v>44</v>
      </c>
      <c r="W305" s="5" t="s">
        <v>35</v>
      </c>
      <c r="X305" s="8" t="s">
        <v>194</v>
      </c>
      <c r="Y305" s="5" t="s">
        <v>46</v>
      </c>
      <c r="Z305" s="5" t="s">
        <v>47</v>
      </c>
      <c r="AA305" s="5" t="s">
        <v>64</v>
      </c>
      <c r="AB305" s="5" t="s">
        <v>1537</v>
      </c>
      <c r="AC305" s="6" t="s">
        <v>71</v>
      </c>
      <c r="AD305" s="6">
        <v>7392.0</v>
      </c>
    </row>
    <row r="306" ht="56.25" customHeight="1">
      <c r="A306" s="5" t="s">
        <v>1539</v>
      </c>
      <c r="B306" s="6" t="str">
        <f>IMAGE("https://storage.googleapis.com/acdb/housewares/FtrZodiacCapricornus.png")</f>
        <v/>
      </c>
      <c r="C306" s="5" t="s">
        <v>34</v>
      </c>
      <c r="D306" s="5" t="s">
        <v>34</v>
      </c>
      <c r="E306" s="5" t="s">
        <v>34</v>
      </c>
      <c r="F306" s="5" t="s">
        <v>34</v>
      </c>
      <c r="G306" s="5" t="s">
        <v>35</v>
      </c>
      <c r="H306" s="5" t="s">
        <v>36</v>
      </c>
      <c r="I306" s="5" t="s">
        <v>36</v>
      </c>
      <c r="J306" s="6" t="s">
        <v>34</v>
      </c>
      <c r="K306" s="6" t="s">
        <v>37</v>
      </c>
      <c r="L306" s="6">
        <v>22650.0</v>
      </c>
      <c r="M306" s="5" t="s">
        <v>57</v>
      </c>
      <c r="N306" s="5" t="s">
        <v>114</v>
      </c>
      <c r="O306" s="6" t="s">
        <v>276</v>
      </c>
      <c r="P306" s="5" t="s">
        <v>41</v>
      </c>
      <c r="Q306" s="5"/>
      <c r="R306" s="6" t="s">
        <v>42</v>
      </c>
      <c r="S306" s="5" t="s">
        <v>116</v>
      </c>
      <c r="T306" s="5" t="s">
        <v>44</v>
      </c>
      <c r="U306" s="5" t="s">
        <v>349</v>
      </c>
      <c r="V306" s="5" t="s">
        <v>44</v>
      </c>
      <c r="W306" s="5" t="s">
        <v>35</v>
      </c>
      <c r="X306" s="8" t="s">
        <v>322</v>
      </c>
      <c r="Y306" s="5" t="s">
        <v>46</v>
      </c>
      <c r="Z306" s="5" t="s">
        <v>47</v>
      </c>
      <c r="AA306" s="5" t="s">
        <v>48</v>
      </c>
      <c r="AB306" s="5" t="s">
        <v>1542</v>
      </c>
      <c r="AC306" s="6" t="s">
        <v>34</v>
      </c>
      <c r="AD306" s="6">
        <v>5957.0</v>
      </c>
    </row>
    <row r="307" ht="56.25" customHeight="1">
      <c r="A307" s="5" t="s">
        <v>1543</v>
      </c>
      <c r="B307" s="6" t="str">
        <f>IMAGE("https://storage.googleapis.com/acdb/housewares/FtrCardboardBedS_Remake_0_0.png")</f>
        <v/>
      </c>
      <c r="C307" s="5" t="s">
        <v>811</v>
      </c>
      <c r="D307" s="5" t="s">
        <v>1545</v>
      </c>
      <c r="E307" s="5" t="s">
        <v>34</v>
      </c>
      <c r="F307" s="5" t="s">
        <v>34</v>
      </c>
      <c r="G307" s="5" t="s">
        <v>35</v>
      </c>
      <c r="H307" s="5" t="s">
        <v>35</v>
      </c>
      <c r="I307" s="5" t="s">
        <v>36</v>
      </c>
      <c r="J307" s="6">
        <v>1.0</v>
      </c>
      <c r="K307" s="6" t="s">
        <v>37</v>
      </c>
      <c r="L307" s="6">
        <v>240.0</v>
      </c>
      <c r="M307" s="8" t="s">
        <v>114</v>
      </c>
      <c r="N307" s="8" t="s">
        <v>114</v>
      </c>
      <c r="O307" s="6" t="s">
        <v>276</v>
      </c>
      <c r="P307" s="5" t="s">
        <v>41</v>
      </c>
      <c r="Q307" s="5"/>
      <c r="R307" s="6" t="s">
        <v>42</v>
      </c>
      <c r="S307" s="5" t="s">
        <v>416</v>
      </c>
      <c r="T307" s="5" t="s">
        <v>44</v>
      </c>
      <c r="U307" s="5" t="s">
        <v>814</v>
      </c>
      <c r="V307" s="5" t="s">
        <v>44</v>
      </c>
      <c r="W307" s="5" t="s">
        <v>35</v>
      </c>
      <c r="X307" s="8" t="s">
        <v>218</v>
      </c>
      <c r="Y307" s="5" t="s">
        <v>46</v>
      </c>
      <c r="Z307" s="5" t="s">
        <v>47</v>
      </c>
      <c r="AA307" s="5" t="s">
        <v>48</v>
      </c>
      <c r="AB307" s="5" t="s">
        <v>1548</v>
      </c>
      <c r="AC307" s="6" t="s">
        <v>50</v>
      </c>
      <c r="AD307" s="6">
        <v>7161.0</v>
      </c>
    </row>
    <row r="308" ht="56.25" customHeight="1">
      <c r="A308" s="5" t="s">
        <v>1543</v>
      </c>
      <c r="B308" s="6" t="str">
        <f>IMAGE("https://storage.googleapis.com/acdb/housewares/FtrCardboardBedS_Remake_1_0.png")</f>
        <v/>
      </c>
      <c r="C308" s="5" t="s">
        <v>817</v>
      </c>
      <c r="D308" s="5" t="s">
        <v>1545</v>
      </c>
      <c r="E308" s="5" t="s">
        <v>34</v>
      </c>
      <c r="F308" s="5" t="s">
        <v>34</v>
      </c>
      <c r="G308" s="5" t="s">
        <v>35</v>
      </c>
      <c r="H308" s="5" t="s">
        <v>35</v>
      </c>
      <c r="I308" s="5" t="s">
        <v>36</v>
      </c>
      <c r="J308" s="6">
        <v>1.0</v>
      </c>
      <c r="K308" s="6" t="s">
        <v>37</v>
      </c>
      <c r="L308" s="6">
        <v>240.0</v>
      </c>
      <c r="M308" s="8" t="s">
        <v>114</v>
      </c>
      <c r="N308" s="8" t="s">
        <v>114</v>
      </c>
      <c r="O308" s="6" t="s">
        <v>276</v>
      </c>
      <c r="P308" s="5" t="s">
        <v>41</v>
      </c>
      <c r="Q308" s="5"/>
      <c r="R308" s="6" t="s">
        <v>42</v>
      </c>
      <c r="S308" s="5" t="s">
        <v>416</v>
      </c>
      <c r="T308" s="5" t="s">
        <v>44</v>
      </c>
      <c r="U308" s="5" t="s">
        <v>814</v>
      </c>
      <c r="V308" s="5" t="s">
        <v>44</v>
      </c>
      <c r="W308" s="5" t="s">
        <v>35</v>
      </c>
      <c r="X308" s="8" t="s">
        <v>218</v>
      </c>
      <c r="Y308" s="5" t="s">
        <v>46</v>
      </c>
      <c r="Z308" s="5" t="s">
        <v>47</v>
      </c>
      <c r="AA308" s="5" t="s">
        <v>48</v>
      </c>
      <c r="AB308" s="5" t="s">
        <v>1552</v>
      </c>
      <c r="AC308" s="6" t="s">
        <v>56</v>
      </c>
      <c r="AD308" s="6">
        <v>7161.0</v>
      </c>
    </row>
    <row r="309" ht="56.25" customHeight="1">
      <c r="A309" s="5" t="s">
        <v>1554</v>
      </c>
      <c r="B309" s="6" t="str">
        <f>IMAGE("https://storage.googleapis.com/acdb/housewares/FtrCardboardChairS_Remake_0_0.png")</f>
        <v/>
      </c>
      <c r="C309" s="5" t="s">
        <v>811</v>
      </c>
      <c r="D309" s="5" t="s">
        <v>1545</v>
      </c>
      <c r="E309" s="5" t="s">
        <v>34</v>
      </c>
      <c r="F309" s="5" t="s">
        <v>34</v>
      </c>
      <c r="G309" s="5" t="s">
        <v>35</v>
      </c>
      <c r="H309" s="5" t="s">
        <v>35</v>
      </c>
      <c r="I309" s="5" t="s">
        <v>36</v>
      </c>
      <c r="J309" s="6">
        <v>1.0</v>
      </c>
      <c r="K309" s="6" t="s">
        <v>37</v>
      </c>
      <c r="L309" s="6">
        <v>60.0</v>
      </c>
      <c r="M309" s="8" t="s">
        <v>38</v>
      </c>
      <c r="N309" s="8" t="s">
        <v>38</v>
      </c>
      <c r="O309" s="6" t="s">
        <v>40</v>
      </c>
      <c r="P309" s="5" t="s">
        <v>41</v>
      </c>
      <c r="Q309" s="5"/>
      <c r="R309" s="6" t="s">
        <v>42</v>
      </c>
      <c r="S309" s="5" t="s">
        <v>416</v>
      </c>
      <c r="T309" s="5" t="s">
        <v>44</v>
      </c>
      <c r="U309" s="5" t="s">
        <v>814</v>
      </c>
      <c r="V309" s="5" t="s">
        <v>44</v>
      </c>
      <c r="W309" s="5" t="s">
        <v>35</v>
      </c>
      <c r="X309" s="8" t="s">
        <v>248</v>
      </c>
      <c r="Y309" s="5" t="s">
        <v>46</v>
      </c>
      <c r="Z309" s="5" t="s">
        <v>47</v>
      </c>
      <c r="AA309" s="5" t="s">
        <v>48</v>
      </c>
      <c r="AB309" s="5" t="s">
        <v>1556</v>
      </c>
      <c r="AC309" s="6" t="s">
        <v>50</v>
      </c>
      <c r="AD309" s="6">
        <v>7163.0</v>
      </c>
    </row>
    <row r="310" ht="56.25" customHeight="1">
      <c r="A310" s="5" t="s">
        <v>1554</v>
      </c>
      <c r="B310" s="6" t="str">
        <f>IMAGE("https://storage.googleapis.com/acdb/housewares/FtrCardboardChairS_Remake_1_0.png")</f>
        <v/>
      </c>
      <c r="C310" s="5" t="s">
        <v>817</v>
      </c>
      <c r="D310" s="5" t="s">
        <v>1545</v>
      </c>
      <c r="E310" s="5" t="s">
        <v>34</v>
      </c>
      <c r="F310" s="5" t="s">
        <v>34</v>
      </c>
      <c r="G310" s="5" t="s">
        <v>35</v>
      </c>
      <c r="H310" s="5" t="s">
        <v>35</v>
      </c>
      <c r="I310" s="5" t="s">
        <v>36</v>
      </c>
      <c r="J310" s="6">
        <v>1.0</v>
      </c>
      <c r="K310" s="6" t="s">
        <v>37</v>
      </c>
      <c r="L310" s="6">
        <v>60.0</v>
      </c>
      <c r="M310" s="8" t="s">
        <v>38</v>
      </c>
      <c r="N310" s="8" t="s">
        <v>38</v>
      </c>
      <c r="O310" s="6" t="s">
        <v>40</v>
      </c>
      <c r="P310" s="5" t="s">
        <v>41</v>
      </c>
      <c r="Q310" s="5"/>
      <c r="R310" s="6" t="s">
        <v>42</v>
      </c>
      <c r="S310" s="5" t="s">
        <v>416</v>
      </c>
      <c r="T310" s="5" t="s">
        <v>44</v>
      </c>
      <c r="U310" s="5" t="s">
        <v>814</v>
      </c>
      <c r="V310" s="5" t="s">
        <v>44</v>
      </c>
      <c r="W310" s="5" t="s">
        <v>35</v>
      </c>
      <c r="X310" s="8" t="s">
        <v>248</v>
      </c>
      <c r="Y310" s="5" t="s">
        <v>46</v>
      </c>
      <c r="Z310" s="5" t="s">
        <v>47</v>
      </c>
      <c r="AA310" s="5" t="s">
        <v>48</v>
      </c>
      <c r="AB310" s="5" t="s">
        <v>1559</v>
      </c>
      <c r="AC310" s="6" t="s">
        <v>56</v>
      </c>
      <c r="AD310" s="6">
        <v>7163.0</v>
      </c>
    </row>
    <row r="311" ht="56.25" customHeight="1">
      <c r="A311" s="5" t="s">
        <v>1561</v>
      </c>
      <c r="B311" s="6" t="str">
        <f>IMAGE("https://storage.googleapis.com/acdb/housewares/FtrCardboardSofaL_Remake_0_0.png")</f>
        <v/>
      </c>
      <c r="C311" s="5" t="s">
        <v>811</v>
      </c>
      <c r="D311" s="5" t="s">
        <v>1545</v>
      </c>
      <c r="E311" s="5" t="s">
        <v>34</v>
      </c>
      <c r="F311" s="5" t="s">
        <v>34</v>
      </c>
      <c r="G311" s="5" t="s">
        <v>35</v>
      </c>
      <c r="H311" s="5" t="s">
        <v>35</v>
      </c>
      <c r="I311" s="5" t="s">
        <v>36</v>
      </c>
      <c r="J311" s="6">
        <v>1.0</v>
      </c>
      <c r="K311" s="6" t="s">
        <v>37</v>
      </c>
      <c r="L311" s="6">
        <v>120.0</v>
      </c>
      <c r="M311" s="8" t="s">
        <v>38</v>
      </c>
      <c r="N311" s="8" t="s">
        <v>38</v>
      </c>
      <c r="O311" s="6" t="s">
        <v>276</v>
      </c>
      <c r="P311" s="5" t="s">
        <v>41</v>
      </c>
      <c r="Q311" s="5"/>
      <c r="R311" s="6" t="s">
        <v>42</v>
      </c>
      <c r="S311" s="5" t="s">
        <v>416</v>
      </c>
      <c r="T311" s="5" t="s">
        <v>44</v>
      </c>
      <c r="U311" s="5" t="s">
        <v>814</v>
      </c>
      <c r="V311" s="5" t="s">
        <v>44</v>
      </c>
      <c r="W311" s="5" t="s">
        <v>35</v>
      </c>
      <c r="X311" s="8" t="s">
        <v>671</v>
      </c>
      <c r="Y311" s="5" t="s">
        <v>46</v>
      </c>
      <c r="Z311" s="5" t="s">
        <v>47</v>
      </c>
      <c r="AA311" s="5" t="s">
        <v>48</v>
      </c>
      <c r="AB311" s="5" t="s">
        <v>1562</v>
      </c>
      <c r="AC311" s="6" t="s">
        <v>50</v>
      </c>
      <c r="AD311" s="6">
        <v>7159.0</v>
      </c>
    </row>
    <row r="312" ht="56.25" customHeight="1">
      <c r="A312" s="5" t="s">
        <v>1561</v>
      </c>
      <c r="B312" s="6" t="str">
        <f>IMAGE("https://storage.googleapis.com/acdb/housewares/FtrCardboardSofaL_Remake_1_0.png")</f>
        <v/>
      </c>
      <c r="C312" s="5" t="s">
        <v>817</v>
      </c>
      <c r="D312" s="5" t="s">
        <v>1545</v>
      </c>
      <c r="E312" s="5" t="s">
        <v>34</v>
      </c>
      <c r="F312" s="5" t="s">
        <v>34</v>
      </c>
      <c r="G312" s="5" t="s">
        <v>35</v>
      </c>
      <c r="H312" s="5" t="s">
        <v>35</v>
      </c>
      <c r="I312" s="5" t="s">
        <v>36</v>
      </c>
      <c r="J312" s="6">
        <v>1.0</v>
      </c>
      <c r="K312" s="6" t="s">
        <v>37</v>
      </c>
      <c r="L312" s="6">
        <v>120.0</v>
      </c>
      <c r="M312" s="8" t="s">
        <v>57</v>
      </c>
      <c r="N312" s="8" t="s">
        <v>38</v>
      </c>
      <c r="O312" s="6" t="s">
        <v>276</v>
      </c>
      <c r="P312" s="5" t="s">
        <v>41</v>
      </c>
      <c r="Q312" s="5"/>
      <c r="R312" s="6" t="s">
        <v>42</v>
      </c>
      <c r="S312" s="5" t="s">
        <v>416</v>
      </c>
      <c r="T312" s="5" t="s">
        <v>44</v>
      </c>
      <c r="U312" s="5" t="s">
        <v>814</v>
      </c>
      <c r="V312" s="5" t="s">
        <v>44</v>
      </c>
      <c r="W312" s="5" t="s">
        <v>35</v>
      </c>
      <c r="X312" s="8" t="s">
        <v>671</v>
      </c>
      <c r="Y312" s="5" t="s">
        <v>46</v>
      </c>
      <c r="Z312" s="5" t="s">
        <v>47</v>
      </c>
      <c r="AA312" s="5" t="s">
        <v>48</v>
      </c>
      <c r="AB312" s="5" t="s">
        <v>1567</v>
      </c>
      <c r="AC312" s="6" t="s">
        <v>56</v>
      </c>
      <c r="AD312" s="6">
        <v>7159.0</v>
      </c>
    </row>
    <row r="313" ht="56.25" customHeight="1">
      <c r="A313" s="5" t="s">
        <v>1568</v>
      </c>
      <c r="B313" s="6" t="str">
        <f>IMAGE("https://storage.googleapis.com/acdb/housewares/FtrCardboardTableL_Remake_0_0.png")</f>
        <v/>
      </c>
      <c r="C313" s="5" t="s">
        <v>811</v>
      </c>
      <c r="D313" s="5" t="s">
        <v>1545</v>
      </c>
      <c r="E313" s="5" t="s">
        <v>34</v>
      </c>
      <c r="F313" s="5" t="s">
        <v>34</v>
      </c>
      <c r="G313" s="5" t="s">
        <v>35</v>
      </c>
      <c r="H313" s="5" t="s">
        <v>35</v>
      </c>
      <c r="I313" s="5" t="s">
        <v>36</v>
      </c>
      <c r="J313" s="6">
        <v>1.0</v>
      </c>
      <c r="K313" s="6" t="s">
        <v>37</v>
      </c>
      <c r="L313" s="6">
        <v>240.0</v>
      </c>
      <c r="M313" s="8" t="s">
        <v>114</v>
      </c>
      <c r="N313" s="8" t="s">
        <v>114</v>
      </c>
      <c r="O313" s="6" t="s">
        <v>214</v>
      </c>
      <c r="P313" s="5" t="s">
        <v>41</v>
      </c>
      <c r="Q313" s="5"/>
      <c r="R313" s="6" t="s">
        <v>42</v>
      </c>
      <c r="S313" s="5" t="s">
        <v>416</v>
      </c>
      <c r="T313" s="5" t="s">
        <v>44</v>
      </c>
      <c r="U313" s="5" t="s">
        <v>814</v>
      </c>
      <c r="V313" s="5" t="s">
        <v>44</v>
      </c>
      <c r="W313" s="5" t="s">
        <v>36</v>
      </c>
      <c r="X313" s="8" t="s">
        <v>278</v>
      </c>
      <c r="Y313" s="5" t="s">
        <v>46</v>
      </c>
      <c r="Z313" s="5" t="s">
        <v>47</v>
      </c>
      <c r="AA313" s="5" t="s">
        <v>48</v>
      </c>
      <c r="AB313" s="5" t="s">
        <v>1574</v>
      </c>
      <c r="AC313" s="6" t="s">
        <v>50</v>
      </c>
      <c r="AD313" s="6">
        <v>7160.0</v>
      </c>
    </row>
    <row r="314" ht="56.25" customHeight="1">
      <c r="A314" s="5" t="s">
        <v>1568</v>
      </c>
      <c r="B314" s="6" t="str">
        <f>IMAGE("https://storage.googleapis.com/acdb/housewares/FtrCardboardTableL_Remake_1_0.png")</f>
        <v/>
      </c>
      <c r="C314" s="5" t="s">
        <v>817</v>
      </c>
      <c r="D314" s="5" t="s">
        <v>1545</v>
      </c>
      <c r="E314" s="5" t="s">
        <v>34</v>
      </c>
      <c r="F314" s="5" t="s">
        <v>34</v>
      </c>
      <c r="G314" s="5" t="s">
        <v>35</v>
      </c>
      <c r="H314" s="5" t="s">
        <v>35</v>
      </c>
      <c r="I314" s="5" t="s">
        <v>36</v>
      </c>
      <c r="J314" s="6">
        <v>1.0</v>
      </c>
      <c r="K314" s="6" t="s">
        <v>37</v>
      </c>
      <c r="L314" s="6">
        <v>240.0</v>
      </c>
      <c r="M314" s="8" t="s">
        <v>114</v>
      </c>
      <c r="N314" s="8" t="s">
        <v>57</v>
      </c>
      <c r="O314" s="6" t="s">
        <v>214</v>
      </c>
      <c r="P314" s="5" t="s">
        <v>41</v>
      </c>
      <c r="Q314" s="5"/>
      <c r="R314" s="6" t="s">
        <v>42</v>
      </c>
      <c r="S314" s="5" t="s">
        <v>416</v>
      </c>
      <c r="T314" s="5" t="s">
        <v>44</v>
      </c>
      <c r="U314" s="5" t="s">
        <v>814</v>
      </c>
      <c r="V314" s="5" t="s">
        <v>44</v>
      </c>
      <c r="W314" s="5" t="s">
        <v>36</v>
      </c>
      <c r="X314" s="8" t="s">
        <v>278</v>
      </c>
      <c r="Y314" s="5" t="s">
        <v>46</v>
      </c>
      <c r="Z314" s="5" t="s">
        <v>47</v>
      </c>
      <c r="AA314" s="5" t="s">
        <v>48</v>
      </c>
      <c r="AB314" s="5" t="s">
        <v>1579</v>
      </c>
      <c r="AC314" s="6" t="s">
        <v>56</v>
      </c>
      <c r="AD314" s="6">
        <v>7160.0</v>
      </c>
    </row>
    <row r="315" ht="56.25" customHeight="1">
      <c r="A315" s="5" t="s">
        <v>1580</v>
      </c>
      <c r="B315" s="6" t="str">
        <f>IMAGE("https://storage.googleapis.com/acdb/housewares/FtrCattower_Remake_0_0.png")</f>
        <v/>
      </c>
      <c r="C315" s="5" t="s">
        <v>38</v>
      </c>
      <c r="D315" s="5" t="s">
        <v>34</v>
      </c>
      <c r="E315" s="5" t="s">
        <v>34</v>
      </c>
      <c r="F315" s="5" t="s">
        <v>34</v>
      </c>
      <c r="G315" s="5" t="s">
        <v>36</v>
      </c>
      <c r="H315" s="5" t="s">
        <v>36</v>
      </c>
      <c r="I315" s="5" t="s">
        <v>36</v>
      </c>
      <c r="J315" s="6" t="s">
        <v>34</v>
      </c>
      <c r="K315" s="6">
        <v>3000.0</v>
      </c>
      <c r="L315" s="6">
        <v>750.0</v>
      </c>
      <c r="M315" s="8" t="s">
        <v>38</v>
      </c>
      <c r="N315" s="8" t="s">
        <v>38</v>
      </c>
      <c r="O315" s="6" t="s">
        <v>40</v>
      </c>
      <c r="P315" s="5" t="s">
        <v>59</v>
      </c>
      <c r="Q315" s="5" t="s">
        <v>89</v>
      </c>
      <c r="R315" s="6" t="s">
        <v>42</v>
      </c>
      <c r="S315" s="5" t="s">
        <v>90</v>
      </c>
      <c r="T315" s="5" t="s">
        <v>44</v>
      </c>
      <c r="U315" s="5" t="s">
        <v>44</v>
      </c>
      <c r="V315" s="5" t="s">
        <v>44</v>
      </c>
      <c r="W315" s="5" t="s">
        <v>35</v>
      </c>
      <c r="X315" s="8" t="s">
        <v>330</v>
      </c>
      <c r="Y315" s="5" t="s">
        <v>46</v>
      </c>
      <c r="Z315" s="5" t="s">
        <v>47</v>
      </c>
      <c r="AA315" s="5" t="s">
        <v>64</v>
      </c>
      <c r="AB315" s="5" t="s">
        <v>1585</v>
      </c>
      <c r="AC315" s="6" t="s">
        <v>50</v>
      </c>
      <c r="AD315" s="6">
        <v>896.0</v>
      </c>
    </row>
    <row r="316" ht="56.25" customHeight="1">
      <c r="A316" s="5" t="s">
        <v>1580</v>
      </c>
      <c r="B316" s="6" t="str">
        <f>IMAGE("https://storage.googleapis.com/acdb/housewares/FtrCattower_Remake_1_0.png")</f>
        <v/>
      </c>
      <c r="C316" s="5" t="s">
        <v>39</v>
      </c>
      <c r="D316" s="5" t="s">
        <v>34</v>
      </c>
      <c r="E316" s="5" t="s">
        <v>34</v>
      </c>
      <c r="F316" s="5" t="s">
        <v>34</v>
      </c>
      <c r="G316" s="5" t="s">
        <v>36</v>
      </c>
      <c r="H316" s="5" t="s">
        <v>36</v>
      </c>
      <c r="I316" s="5" t="s">
        <v>36</v>
      </c>
      <c r="J316" s="6" t="s">
        <v>34</v>
      </c>
      <c r="K316" s="6">
        <v>3000.0</v>
      </c>
      <c r="L316" s="6">
        <v>750.0</v>
      </c>
      <c r="M316" s="8" t="s">
        <v>39</v>
      </c>
      <c r="N316" s="8" t="s">
        <v>38</v>
      </c>
      <c r="O316" s="6" t="s">
        <v>40</v>
      </c>
      <c r="P316" s="5" t="s">
        <v>59</v>
      </c>
      <c r="Q316" s="5" t="s">
        <v>89</v>
      </c>
      <c r="R316" s="6" t="s">
        <v>42</v>
      </c>
      <c r="S316" s="5" t="s">
        <v>90</v>
      </c>
      <c r="T316" s="5" t="s">
        <v>44</v>
      </c>
      <c r="U316" s="5" t="s">
        <v>44</v>
      </c>
      <c r="V316" s="5" t="s">
        <v>44</v>
      </c>
      <c r="W316" s="5" t="s">
        <v>35</v>
      </c>
      <c r="X316" s="8" t="s">
        <v>330</v>
      </c>
      <c r="Y316" s="5" t="s">
        <v>46</v>
      </c>
      <c r="Z316" s="5" t="s">
        <v>47</v>
      </c>
      <c r="AA316" s="5" t="s">
        <v>64</v>
      </c>
      <c r="AB316" s="5" t="s">
        <v>1591</v>
      </c>
      <c r="AC316" s="6" t="s">
        <v>56</v>
      </c>
      <c r="AD316" s="6">
        <v>896.0</v>
      </c>
    </row>
    <row r="317" ht="56.25" customHeight="1">
      <c r="A317" s="5" t="s">
        <v>1580</v>
      </c>
      <c r="B317" s="6" t="str">
        <f>IMAGE("https://storage.googleapis.com/acdb/housewares/FtrCattower_Remake_2_0.png")</f>
        <v/>
      </c>
      <c r="C317" s="5" t="s">
        <v>1187</v>
      </c>
      <c r="D317" s="5" t="s">
        <v>34</v>
      </c>
      <c r="E317" s="5" t="s">
        <v>34</v>
      </c>
      <c r="F317" s="5" t="s">
        <v>34</v>
      </c>
      <c r="G317" s="5" t="s">
        <v>36</v>
      </c>
      <c r="H317" s="5" t="s">
        <v>36</v>
      </c>
      <c r="I317" s="5" t="s">
        <v>36</v>
      </c>
      <c r="J317" s="6" t="s">
        <v>34</v>
      </c>
      <c r="K317" s="6">
        <v>3000.0</v>
      </c>
      <c r="L317" s="6">
        <v>750.0</v>
      </c>
      <c r="M317" s="8" t="s">
        <v>68</v>
      </c>
      <c r="N317" s="8" t="s">
        <v>38</v>
      </c>
      <c r="O317" s="6" t="s">
        <v>40</v>
      </c>
      <c r="P317" s="5" t="s">
        <v>59</v>
      </c>
      <c r="Q317" s="5" t="s">
        <v>89</v>
      </c>
      <c r="R317" s="6" t="s">
        <v>42</v>
      </c>
      <c r="S317" s="5" t="s">
        <v>90</v>
      </c>
      <c r="T317" s="5" t="s">
        <v>44</v>
      </c>
      <c r="U317" s="5" t="s">
        <v>44</v>
      </c>
      <c r="V317" s="5" t="s">
        <v>44</v>
      </c>
      <c r="W317" s="5" t="s">
        <v>35</v>
      </c>
      <c r="X317" s="8" t="s">
        <v>330</v>
      </c>
      <c r="Y317" s="5" t="s">
        <v>46</v>
      </c>
      <c r="Z317" s="5" t="s">
        <v>47</v>
      </c>
      <c r="AA317" s="5" t="s">
        <v>64</v>
      </c>
      <c r="AB317" s="5" t="s">
        <v>1596</v>
      </c>
      <c r="AC317" s="6" t="s">
        <v>67</v>
      </c>
      <c r="AD317" s="6">
        <v>896.0</v>
      </c>
    </row>
    <row r="318" ht="56.25" customHeight="1">
      <c r="A318" s="5" t="s">
        <v>1580</v>
      </c>
      <c r="B318" s="6" t="str">
        <f>IMAGE("https://storage.googleapis.com/acdb/housewares/FtrCattower_Remake_3_0.png")</f>
        <v/>
      </c>
      <c r="C318" s="5" t="s">
        <v>95</v>
      </c>
      <c r="D318" s="5" t="s">
        <v>34</v>
      </c>
      <c r="E318" s="5" t="s">
        <v>34</v>
      </c>
      <c r="F318" s="5" t="s">
        <v>34</v>
      </c>
      <c r="G318" s="5" t="s">
        <v>36</v>
      </c>
      <c r="H318" s="5" t="s">
        <v>36</v>
      </c>
      <c r="I318" s="5" t="s">
        <v>36</v>
      </c>
      <c r="J318" s="6" t="s">
        <v>34</v>
      </c>
      <c r="K318" s="6">
        <v>3000.0</v>
      </c>
      <c r="L318" s="6">
        <v>750.0</v>
      </c>
      <c r="M318" s="8" t="s">
        <v>95</v>
      </c>
      <c r="N318" s="8" t="s">
        <v>114</v>
      </c>
      <c r="O318" s="6" t="s">
        <v>40</v>
      </c>
      <c r="P318" s="5" t="s">
        <v>59</v>
      </c>
      <c r="Q318" s="5" t="s">
        <v>89</v>
      </c>
      <c r="R318" s="6" t="s">
        <v>42</v>
      </c>
      <c r="S318" s="5" t="s">
        <v>90</v>
      </c>
      <c r="T318" s="5" t="s">
        <v>44</v>
      </c>
      <c r="U318" s="5" t="s">
        <v>44</v>
      </c>
      <c r="V318" s="5" t="s">
        <v>44</v>
      </c>
      <c r="W318" s="5" t="s">
        <v>35</v>
      </c>
      <c r="X318" s="8" t="s">
        <v>330</v>
      </c>
      <c r="Y318" s="5" t="s">
        <v>46</v>
      </c>
      <c r="Z318" s="5" t="s">
        <v>47</v>
      </c>
      <c r="AA318" s="5" t="s">
        <v>64</v>
      </c>
      <c r="AB318" s="5" t="s">
        <v>1603</v>
      </c>
      <c r="AC318" s="6" t="s">
        <v>71</v>
      </c>
      <c r="AD318" s="6">
        <v>896.0</v>
      </c>
    </row>
    <row r="319" ht="56.25" customHeight="1">
      <c r="A319" s="5" t="s">
        <v>1580</v>
      </c>
      <c r="B319" s="6" t="str">
        <f>IMAGE("https://storage.googleapis.com/acdb/housewares/FtrCattower_Remake_4_0.png")</f>
        <v/>
      </c>
      <c r="C319" s="5" t="s">
        <v>69</v>
      </c>
      <c r="D319" s="5" t="s">
        <v>34</v>
      </c>
      <c r="E319" s="5" t="s">
        <v>34</v>
      </c>
      <c r="F319" s="5" t="s">
        <v>34</v>
      </c>
      <c r="G319" s="5" t="s">
        <v>36</v>
      </c>
      <c r="H319" s="5" t="s">
        <v>36</v>
      </c>
      <c r="I319" s="5" t="s">
        <v>36</v>
      </c>
      <c r="J319" s="6" t="s">
        <v>34</v>
      </c>
      <c r="K319" s="6">
        <v>3000.0</v>
      </c>
      <c r="L319" s="6">
        <v>750.0</v>
      </c>
      <c r="M319" s="8" t="s">
        <v>69</v>
      </c>
      <c r="N319" s="8" t="s">
        <v>1175</v>
      </c>
      <c r="O319" s="6" t="s">
        <v>40</v>
      </c>
      <c r="P319" s="5" t="s">
        <v>59</v>
      </c>
      <c r="Q319" s="5" t="s">
        <v>89</v>
      </c>
      <c r="R319" s="6" t="s">
        <v>42</v>
      </c>
      <c r="S319" s="5" t="s">
        <v>90</v>
      </c>
      <c r="T319" s="5" t="s">
        <v>44</v>
      </c>
      <c r="U319" s="5" t="s">
        <v>44</v>
      </c>
      <c r="V319" s="5" t="s">
        <v>44</v>
      </c>
      <c r="W319" s="5" t="s">
        <v>35</v>
      </c>
      <c r="X319" s="8" t="s">
        <v>330</v>
      </c>
      <c r="Y319" s="5" t="s">
        <v>46</v>
      </c>
      <c r="Z319" s="5" t="s">
        <v>47</v>
      </c>
      <c r="AA319" s="5" t="s">
        <v>64</v>
      </c>
      <c r="AB319" s="5" t="s">
        <v>1607</v>
      </c>
      <c r="AC319" s="6" t="s">
        <v>75</v>
      </c>
      <c r="AD319" s="6">
        <v>896.0</v>
      </c>
    </row>
    <row r="320" ht="56.25" customHeight="1">
      <c r="A320" s="5" t="s">
        <v>1580</v>
      </c>
      <c r="B320" s="6" t="str">
        <f>IMAGE("https://storage.googleapis.com/acdb/housewares/FtrCattower_Remake_5_0.png")</f>
        <v/>
      </c>
      <c r="C320" s="5" t="s">
        <v>57</v>
      </c>
      <c r="D320" s="5" t="s">
        <v>34</v>
      </c>
      <c r="E320" s="5" t="s">
        <v>34</v>
      </c>
      <c r="F320" s="5" t="s">
        <v>34</v>
      </c>
      <c r="G320" s="5" t="s">
        <v>36</v>
      </c>
      <c r="H320" s="5" t="s">
        <v>36</v>
      </c>
      <c r="I320" s="5" t="s">
        <v>36</v>
      </c>
      <c r="J320" s="6" t="s">
        <v>34</v>
      </c>
      <c r="K320" s="6">
        <v>3000.0</v>
      </c>
      <c r="L320" s="6">
        <v>750.0</v>
      </c>
      <c r="M320" s="8" t="s">
        <v>57</v>
      </c>
      <c r="N320" s="8" t="s">
        <v>38</v>
      </c>
      <c r="O320" s="6" t="s">
        <v>40</v>
      </c>
      <c r="P320" s="5" t="s">
        <v>59</v>
      </c>
      <c r="Q320" s="5" t="s">
        <v>89</v>
      </c>
      <c r="R320" s="6" t="s">
        <v>42</v>
      </c>
      <c r="S320" s="5" t="s">
        <v>90</v>
      </c>
      <c r="T320" s="5" t="s">
        <v>44</v>
      </c>
      <c r="U320" s="5" t="s">
        <v>44</v>
      </c>
      <c r="V320" s="5" t="s">
        <v>44</v>
      </c>
      <c r="W320" s="5" t="s">
        <v>35</v>
      </c>
      <c r="X320" s="8" t="s">
        <v>330</v>
      </c>
      <c r="Y320" s="5" t="s">
        <v>46</v>
      </c>
      <c r="Z320" s="5" t="s">
        <v>47</v>
      </c>
      <c r="AA320" s="5" t="s">
        <v>64</v>
      </c>
      <c r="AB320" s="5" t="s">
        <v>1611</v>
      </c>
      <c r="AC320" s="6" t="s">
        <v>79</v>
      </c>
      <c r="AD320" s="6">
        <v>896.0</v>
      </c>
    </row>
    <row r="321" ht="56.25" customHeight="1">
      <c r="A321" s="5" t="s">
        <v>1612</v>
      </c>
      <c r="B321" s="6" t="str">
        <f>IMAGE("https://storage.googleapis.com/acdb/housewares/FtrCello_Remake_0_0.png")</f>
        <v/>
      </c>
      <c r="C321" s="5" t="s">
        <v>32</v>
      </c>
      <c r="D321" s="5" t="s">
        <v>34</v>
      </c>
      <c r="E321" s="5" t="s">
        <v>34</v>
      </c>
      <c r="F321" s="5" t="s">
        <v>34</v>
      </c>
      <c r="G321" s="5" t="s">
        <v>36</v>
      </c>
      <c r="H321" s="5" t="s">
        <v>36</v>
      </c>
      <c r="I321" s="5" t="s">
        <v>36</v>
      </c>
      <c r="J321" s="6" t="s">
        <v>34</v>
      </c>
      <c r="K321" s="6">
        <v>130000.0</v>
      </c>
      <c r="L321" s="6">
        <v>32500.0</v>
      </c>
      <c r="M321" s="8" t="s">
        <v>39</v>
      </c>
      <c r="N321" s="8" t="s">
        <v>39</v>
      </c>
      <c r="O321" s="6" t="s">
        <v>40</v>
      </c>
      <c r="P321" s="5" t="s">
        <v>59</v>
      </c>
      <c r="Q321" s="5" t="s">
        <v>115</v>
      </c>
      <c r="R321" s="6" t="s">
        <v>42</v>
      </c>
      <c r="S321" s="5" t="s">
        <v>43</v>
      </c>
      <c r="T321" s="5" t="s">
        <v>116</v>
      </c>
      <c r="U321" s="5" t="s">
        <v>44</v>
      </c>
      <c r="V321" s="5" t="s">
        <v>44</v>
      </c>
      <c r="W321" s="5" t="s">
        <v>35</v>
      </c>
      <c r="X321" s="8" t="s">
        <v>45</v>
      </c>
      <c r="Y321" s="5" t="s">
        <v>46</v>
      </c>
      <c r="Z321" s="5" t="s">
        <v>47</v>
      </c>
      <c r="AA321" s="5" t="s">
        <v>64</v>
      </c>
      <c r="AB321" s="5" t="s">
        <v>1615</v>
      </c>
      <c r="AC321" s="6" t="s">
        <v>50</v>
      </c>
      <c r="AD321" s="6">
        <v>1449.0</v>
      </c>
    </row>
    <row r="322" ht="56.25" customHeight="1">
      <c r="A322" s="5" t="s">
        <v>1612</v>
      </c>
      <c r="B322" s="6" t="str">
        <f>IMAGE("https://storage.googleapis.com/acdb/housewares/FtrCello_Remake_1_0.png")</f>
        <v/>
      </c>
      <c r="C322" s="5" t="s">
        <v>57</v>
      </c>
      <c r="D322" s="5" t="s">
        <v>34</v>
      </c>
      <c r="E322" s="5" t="s">
        <v>34</v>
      </c>
      <c r="F322" s="5" t="s">
        <v>34</v>
      </c>
      <c r="G322" s="5" t="s">
        <v>36</v>
      </c>
      <c r="H322" s="5" t="s">
        <v>36</v>
      </c>
      <c r="I322" s="5" t="s">
        <v>36</v>
      </c>
      <c r="J322" s="6" t="s">
        <v>34</v>
      </c>
      <c r="K322" s="6">
        <v>130000.0</v>
      </c>
      <c r="L322" s="6">
        <v>32500.0</v>
      </c>
      <c r="M322" s="8" t="s">
        <v>57</v>
      </c>
      <c r="N322" s="8" t="s">
        <v>57</v>
      </c>
      <c r="O322" s="6" t="s">
        <v>40</v>
      </c>
      <c r="P322" s="5" t="s">
        <v>59</v>
      </c>
      <c r="Q322" s="5" t="s">
        <v>115</v>
      </c>
      <c r="R322" s="6" t="s">
        <v>42</v>
      </c>
      <c r="S322" s="5" t="s">
        <v>43</v>
      </c>
      <c r="T322" s="5" t="s">
        <v>116</v>
      </c>
      <c r="U322" s="5" t="s">
        <v>44</v>
      </c>
      <c r="V322" s="5" t="s">
        <v>44</v>
      </c>
      <c r="W322" s="5" t="s">
        <v>35</v>
      </c>
      <c r="X322" s="8" t="s">
        <v>45</v>
      </c>
      <c r="Y322" s="5" t="s">
        <v>46</v>
      </c>
      <c r="Z322" s="5" t="s">
        <v>47</v>
      </c>
      <c r="AA322" s="5" t="s">
        <v>64</v>
      </c>
      <c r="AB322" s="5" t="s">
        <v>1618</v>
      </c>
      <c r="AC322" s="6" t="s">
        <v>56</v>
      </c>
      <c r="AD322" s="6">
        <v>1449.0</v>
      </c>
    </row>
    <row r="323" ht="56.25" customHeight="1">
      <c r="A323" s="5" t="s">
        <v>1612</v>
      </c>
      <c r="B323" s="6" t="str">
        <f>IMAGE("https://storage.googleapis.com/acdb/housewares/FtrCello_Remake_2_0.png")</f>
        <v/>
      </c>
      <c r="C323" s="5" t="s">
        <v>54</v>
      </c>
      <c r="D323" s="5" t="s">
        <v>34</v>
      </c>
      <c r="E323" s="5" t="s">
        <v>34</v>
      </c>
      <c r="F323" s="5" t="s">
        <v>34</v>
      </c>
      <c r="G323" s="5" t="s">
        <v>36</v>
      </c>
      <c r="H323" s="5" t="s">
        <v>36</v>
      </c>
      <c r="I323" s="5" t="s">
        <v>36</v>
      </c>
      <c r="J323" s="6" t="s">
        <v>34</v>
      </c>
      <c r="K323" s="6">
        <v>130000.0</v>
      </c>
      <c r="L323" s="6">
        <v>32500.0</v>
      </c>
      <c r="M323" s="8" t="s">
        <v>54</v>
      </c>
      <c r="N323" s="8" t="s">
        <v>54</v>
      </c>
      <c r="O323" s="6" t="s">
        <v>40</v>
      </c>
      <c r="P323" s="5" t="s">
        <v>59</v>
      </c>
      <c r="Q323" s="5" t="s">
        <v>115</v>
      </c>
      <c r="R323" s="6" t="s">
        <v>42</v>
      </c>
      <c r="S323" s="5" t="s">
        <v>43</v>
      </c>
      <c r="T323" s="5" t="s">
        <v>116</v>
      </c>
      <c r="U323" s="5" t="s">
        <v>44</v>
      </c>
      <c r="V323" s="5" t="s">
        <v>44</v>
      </c>
      <c r="W323" s="5" t="s">
        <v>35</v>
      </c>
      <c r="X323" s="8" t="s">
        <v>45</v>
      </c>
      <c r="Y323" s="5" t="s">
        <v>46</v>
      </c>
      <c r="Z323" s="5" t="s">
        <v>47</v>
      </c>
      <c r="AA323" s="5" t="s">
        <v>64</v>
      </c>
      <c r="AB323" s="5" t="s">
        <v>1623</v>
      </c>
      <c r="AC323" s="6" t="s">
        <v>67</v>
      </c>
      <c r="AD323" s="6">
        <v>1449.0</v>
      </c>
    </row>
    <row r="324" ht="56.25" customHeight="1">
      <c r="A324" s="5" t="s">
        <v>1624</v>
      </c>
      <c r="B324" s="6" t="str">
        <f>IMAGE("https://storage.googleapis.com/acdb/housewares/FtrBlackboard_Remake_0_0.png")</f>
        <v/>
      </c>
      <c r="C324" s="5" t="s">
        <v>849</v>
      </c>
      <c r="D324" s="5" t="s">
        <v>34</v>
      </c>
      <c r="E324" s="5" t="s">
        <v>34</v>
      </c>
      <c r="F324" s="5" t="s">
        <v>34</v>
      </c>
      <c r="G324" s="5" t="s">
        <v>36</v>
      </c>
      <c r="H324" s="5" t="s">
        <v>36</v>
      </c>
      <c r="I324" s="5" t="s">
        <v>36</v>
      </c>
      <c r="J324" s="6" t="s">
        <v>34</v>
      </c>
      <c r="K324" s="6">
        <v>2600.0</v>
      </c>
      <c r="L324" s="6">
        <v>650.0</v>
      </c>
      <c r="M324" s="8" t="s">
        <v>96</v>
      </c>
      <c r="N324" s="8" t="s">
        <v>95</v>
      </c>
      <c r="O324" s="6" t="s">
        <v>276</v>
      </c>
      <c r="P324" s="5" t="s">
        <v>59</v>
      </c>
      <c r="Q324" s="5" t="s">
        <v>122</v>
      </c>
      <c r="R324" s="6" t="s">
        <v>42</v>
      </c>
      <c r="S324" s="5" t="s">
        <v>130</v>
      </c>
      <c r="T324" s="5" t="s">
        <v>44</v>
      </c>
      <c r="U324" s="5" t="s">
        <v>44</v>
      </c>
      <c r="V324" s="5" t="s">
        <v>44</v>
      </c>
      <c r="W324" s="5" t="s">
        <v>36</v>
      </c>
      <c r="X324" s="8" t="s">
        <v>1593</v>
      </c>
      <c r="Y324" s="5" t="s">
        <v>46</v>
      </c>
      <c r="Z324" s="5" t="s">
        <v>47</v>
      </c>
      <c r="AA324" s="5" t="s">
        <v>64</v>
      </c>
      <c r="AB324" s="5" t="s">
        <v>1626</v>
      </c>
      <c r="AC324" s="6" t="s">
        <v>50</v>
      </c>
      <c r="AD324" s="6">
        <v>2012.0</v>
      </c>
    </row>
    <row r="325" ht="56.25" customHeight="1">
      <c r="A325" s="5" t="s">
        <v>1624</v>
      </c>
      <c r="B325" s="6" t="str">
        <f>IMAGE("https://storage.googleapis.com/acdb/housewares/FtrBlackboard_Remake_1_0.png")</f>
        <v/>
      </c>
      <c r="C325" s="5" t="s">
        <v>1627</v>
      </c>
      <c r="D325" s="5" t="s">
        <v>34</v>
      </c>
      <c r="E325" s="5" t="s">
        <v>34</v>
      </c>
      <c r="F325" s="5" t="s">
        <v>34</v>
      </c>
      <c r="G325" s="5" t="s">
        <v>36</v>
      </c>
      <c r="H325" s="5" t="s">
        <v>36</v>
      </c>
      <c r="I325" s="5" t="s">
        <v>36</v>
      </c>
      <c r="J325" s="6" t="s">
        <v>34</v>
      </c>
      <c r="K325" s="6">
        <v>2600.0</v>
      </c>
      <c r="L325" s="6">
        <v>650.0</v>
      </c>
      <c r="M325" s="8" t="s">
        <v>96</v>
      </c>
      <c r="N325" s="8" t="s">
        <v>95</v>
      </c>
      <c r="O325" s="6" t="s">
        <v>276</v>
      </c>
      <c r="P325" s="5" t="s">
        <v>59</v>
      </c>
      <c r="Q325" s="5" t="s">
        <v>122</v>
      </c>
      <c r="R325" s="6" t="s">
        <v>42</v>
      </c>
      <c r="S325" s="5" t="s">
        <v>130</v>
      </c>
      <c r="T325" s="5" t="s">
        <v>44</v>
      </c>
      <c r="U325" s="5" t="s">
        <v>44</v>
      </c>
      <c r="V325" s="5" t="s">
        <v>44</v>
      </c>
      <c r="W325" s="5" t="s">
        <v>36</v>
      </c>
      <c r="X325" s="8" t="s">
        <v>1593</v>
      </c>
      <c r="Y325" s="5" t="s">
        <v>46</v>
      </c>
      <c r="Z325" s="5" t="s">
        <v>47</v>
      </c>
      <c r="AA325" s="5" t="s">
        <v>64</v>
      </c>
      <c r="AB325" s="5" t="s">
        <v>1630</v>
      </c>
      <c r="AC325" s="6" t="s">
        <v>56</v>
      </c>
      <c r="AD325" s="6">
        <v>2012.0</v>
      </c>
    </row>
    <row r="326" ht="56.25" customHeight="1">
      <c r="A326" s="5" t="s">
        <v>1624</v>
      </c>
      <c r="B326" s="6" t="str">
        <f>IMAGE("https://storage.googleapis.com/acdb/housewares/FtrBlackboard_Remake_2_0.png")</f>
        <v/>
      </c>
      <c r="C326" s="5" t="s">
        <v>1631</v>
      </c>
      <c r="D326" s="5" t="s">
        <v>34</v>
      </c>
      <c r="E326" s="5" t="s">
        <v>34</v>
      </c>
      <c r="F326" s="5" t="s">
        <v>34</v>
      </c>
      <c r="G326" s="5" t="s">
        <v>36</v>
      </c>
      <c r="H326" s="5" t="s">
        <v>36</v>
      </c>
      <c r="I326" s="5" t="s">
        <v>36</v>
      </c>
      <c r="J326" s="6" t="s">
        <v>34</v>
      </c>
      <c r="K326" s="6">
        <v>2600.0</v>
      </c>
      <c r="L326" s="6">
        <v>650.0</v>
      </c>
      <c r="M326" s="8" t="s">
        <v>96</v>
      </c>
      <c r="N326" s="8" t="s">
        <v>95</v>
      </c>
      <c r="O326" s="6" t="s">
        <v>276</v>
      </c>
      <c r="P326" s="5" t="s">
        <v>59</v>
      </c>
      <c r="Q326" s="5" t="s">
        <v>122</v>
      </c>
      <c r="R326" s="6" t="s">
        <v>42</v>
      </c>
      <c r="S326" s="5" t="s">
        <v>130</v>
      </c>
      <c r="T326" s="5" t="s">
        <v>44</v>
      </c>
      <c r="U326" s="5" t="s">
        <v>44</v>
      </c>
      <c r="V326" s="5" t="s">
        <v>44</v>
      </c>
      <c r="W326" s="5" t="s">
        <v>36</v>
      </c>
      <c r="X326" s="8" t="s">
        <v>1593</v>
      </c>
      <c r="Y326" s="5" t="s">
        <v>46</v>
      </c>
      <c r="Z326" s="5" t="s">
        <v>47</v>
      </c>
      <c r="AA326" s="5" t="s">
        <v>64</v>
      </c>
      <c r="AB326" s="5" t="s">
        <v>1633</v>
      </c>
      <c r="AC326" s="6" t="s">
        <v>67</v>
      </c>
      <c r="AD326" s="6">
        <v>2012.0</v>
      </c>
    </row>
    <row r="327" ht="56.25" customHeight="1">
      <c r="A327" s="5" t="s">
        <v>1624</v>
      </c>
      <c r="B327" s="6" t="str">
        <f>IMAGE("https://storage.googleapis.com/acdb/housewares/FtrBlackboard_Remake_3_0.png")</f>
        <v/>
      </c>
      <c r="C327" s="5" t="s">
        <v>1635</v>
      </c>
      <c r="D327" s="5" t="s">
        <v>34</v>
      </c>
      <c r="E327" s="5" t="s">
        <v>34</v>
      </c>
      <c r="F327" s="5" t="s">
        <v>34</v>
      </c>
      <c r="G327" s="5" t="s">
        <v>36</v>
      </c>
      <c r="H327" s="5" t="s">
        <v>36</v>
      </c>
      <c r="I327" s="5" t="s">
        <v>36</v>
      </c>
      <c r="J327" s="6" t="s">
        <v>34</v>
      </c>
      <c r="K327" s="6">
        <v>2600.0</v>
      </c>
      <c r="L327" s="6">
        <v>650.0</v>
      </c>
      <c r="M327" s="8" t="s">
        <v>96</v>
      </c>
      <c r="N327" s="8" t="s">
        <v>95</v>
      </c>
      <c r="O327" s="6" t="s">
        <v>276</v>
      </c>
      <c r="P327" s="5" t="s">
        <v>59</v>
      </c>
      <c r="Q327" s="5" t="s">
        <v>122</v>
      </c>
      <c r="R327" s="6" t="s">
        <v>42</v>
      </c>
      <c r="S327" s="5" t="s">
        <v>130</v>
      </c>
      <c r="T327" s="5" t="s">
        <v>44</v>
      </c>
      <c r="U327" s="5" t="s">
        <v>44</v>
      </c>
      <c r="V327" s="5" t="s">
        <v>44</v>
      </c>
      <c r="W327" s="5" t="s">
        <v>36</v>
      </c>
      <c r="X327" s="8" t="s">
        <v>1593</v>
      </c>
      <c r="Y327" s="5" t="s">
        <v>46</v>
      </c>
      <c r="Z327" s="5" t="s">
        <v>47</v>
      </c>
      <c r="AA327" s="5" t="s">
        <v>64</v>
      </c>
      <c r="AB327" s="5" t="s">
        <v>1637</v>
      </c>
      <c r="AC327" s="6" t="s">
        <v>71</v>
      </c>
      <c r="AD327" s="6">
        <v>2012.0</v>
      </c>
    </row>
    <row r="328" ht="56.25" customHeight="1">
      <c r="A328" s="5" t="s">
        <v>1624</v>
      </c>
      <c r="B328" s="6" t="str">
        <f>IMAGE("https://storage.googleapis.com/acdb/housewares/FtrBlackboard_Remake_4_0.png")</f>
        <v/>
      </c>
      <c r="C328" s="5" t="s">
        <v>1638</v>
      </c>
      <c r="D328" s="5" t="s">
        <v>34</v>
      </c>
      <c r="E328" s="5" t="s">
        <v>34</v>
      </c>
      <c r="F328" s="5" t="s">
        <v>34</v>
      </c>
      <c r="G328" s="5" t="s">
        <v>36</v>
      </c>
      <c r="H328" s="5" t="s">
        <v>36</v>
      </c>
      <c r="I328" s="5" t="s">
        <v>36</v>
      </c>
      <c r="J328" s="6" t="s">
        <v>34</v>
      </c>
      <c r="K328" s="6">
        <v>2600.0</v>
      </c>
      <c r="L328" s="6">
        <v>650.0</v>
      </c>
      <c r="M328" s="8" t="s">
        <v>96</v>
      </c>
      <c r="N328" s="8" t="s">
        <v>95</v>
      </c>
      <c r="O328" s="6" t="s">
        <v>276</v>
      </c>
      <c r="P328" s="5" t="s">
        <v>59</v>
      </c>
      <c r="Q328" s="5" t="s">
        <v>122</v>
      </c>
      <c r="R328" s="6" t="s">
        <v>42</v>
      </c>
      <c r="S328" s="5" t="s">
        <v>130</v>
      </c>
      <c r="T328" s="5" t="s">
        <v>44</v>
      </c>
      <c r="U328" s="5" t="s">
        <v>44</v>
      </c>
      <c r="V328" s="5" t="s">
        <v>44</v>
      </c>
      <c r="W328" s="5" t="s">
        <v>36</v>
      </c>
      <c r="X328" s="8" t="s">
        <v>1593</v>
      </c>
      <c r="Y328" s="5" t="s">
        <v>46</v>
      </c>
      <c r="Z328" s="5" t="s">
        <v>47</v>
      </c>
      <c r="AA328" s="5" t="s">
        <v>64</v>
      </c>
      <c r="AB328" s="5" t="s">
        <v>1642</v>
      </c>
      <c r="AC328" s="6" t="s">
        <v>75</v>
      </c>
      <c r="AD328" s="6">
        <v>2012.0</v>
      </c>
    </row>
    <row r="329" ht="56.25" customHeight="1">
      <c r="A329" s="5" t="s">
        <v>1624</v>
      </c>
      <c r="B329" s="6" t="str">
        <f>IMAGE("https://storage.googleapis.com/acdb/housewares/FtrBlackboard_Remake_5_0.png")</f>
        <v/>
      </c>
      <c r="C329" s="5" t="s">
        <v>1644</v>
      </c>
      <c r="D329" s="5" t="s">
        <v>34</v>
      </c>
      <c r="E329" s="5" t="s">
        <v>34</v>
      </c>
      <c r="F329" s="5" t="s">
        <v>34</v>
      </c>
      <c r="G329" s="5" t="s">
        <v>36</v>
      </c>
      <c r="H329" s="5" t="s">
        <v>36</v>
      </c>
      <c r="I329" s="5" t="s">
        <v>36</v>
      </c>
      <c r="J329" s="6" t="s">
        <v>34</v>
      </c>
      <c r="K329" s="6">
        <v>2600.0</v>
      </c>
      <c r="L329" s="6">
        <v>650.0</v>
      </c>
      <c r="M329" s="8" t="s">
        <v>96</v>
      </c>
      <c r="N329" s="8" t="s">
        <v>95</v>
      </c>
      <c r="O329" s="6" t="s">
        <v>276</v>
      </c>
      <c r="P329" s="5" t="s">
        <v>59</v>
      </c>
      <c r="Q329" s="5" t="s">
        <v>122</v>
      </c>
      <c r="R329" s="6" t="s">
        <v>42</v>
      </c>
      <c r="S329" s="5" t="s">
        <v>130</v>
      </c>
      <c r="T329" s="5" t="s">
        <v>44</v>
      </c>
      <c r="U329" s="5" t="s">
        <v>44</v>
      </c>
      <c r="V329" s="5" t="s">
        <v>44</v>
      </c>
      <c r="W329" s="5" t="s">
        <v>36</v>
      </c>
      <c r="X329" s="8" t="s">
        <v>1593</v>
      </c>
      <c r="Y329" s="5" t="s">
        <v>46</v>
      </c>
      <c r="Z329" s="5" t="s">
        <v>47</v>
      </c>
      <c r="AA329" s="5" t="s">
        <v>64</v>
      </c>
      <c r="AB329" s="5" t="s">
        <v>1645</v>
      </c>
      <c r="AC329" s="6" t="s">
        <v>79</v>
      </c>
      <c r="AD329" s="6">
        <v>2012.0</v>
      </c>
    </row>
    <row r="330" ht="56.25" customHeight="1">
      <c r="A330" s="5" t="s">
        <v>1624</v>
      </c>
      <c r="B330" s="6" t="str">
        <f>IMAGE("https://storage.googleapis.com/acdb/housewares/FtrBlackboard_Remake_6_0.png")</f>
        <v/>
      </c>
      <c r="C330" s="5" t="s">
        <v>1647</v>
      </c>
      <c r="D330" s="5" t="s">
        <v>34</v>
      </c>
      <c r="E330" s="5" t="s">
        <v>34</v>
      </c>
      <c r="F330" s="5" t="s">
        <v>34</v>
      </c>
      <c r="G330" s="5" t="s">
        <v>36</v>
      </c>
      <c r="H330" s="5" t="s">
        <v>36</v>
      </c>
      <c r="I330" s="5" t="s">
        <v>36</v>
      </c>
      <c r="J330" s="6" t="s">
        <v>34</v>
      </c>
      <c r="K330" s="6">
        <v>2600.0</v>
      </c>
      <c r="L330" s="6">
        <v>650.0</v>
      </c>
      <c r="M330" s="8" t="s">
        <v>96</v>
      </c>
      <c r="N330" s="8" t="s">
        <v>95</v>
      </c>
      <c r="O330" s="6" t="s">
        <v>276</v>
      </c>
      <c r="P330" s="5" t="s">
        <v>59</v>
      </c>
      <c r="Q330" s="5" t="s">
        <v>122</v>
      </c>
      <c r="R330" s="6" t="s">
        <v>42</v>
      </c>
      <c r="S330" s="5" t="s">
        <v>130</v>
      </c>
      <c r="T330" s="5" t="s">
        <v>44</v>
      </c>
      <c r="U330" s="5" t="s">
        <v>44</v>
      </c>
      <c r="V330" s="5" t="s">
        <v>44</v>
      </c>
      <c r="W330" s="5" t="s">
        <v>36</v>
      </c>
      <c r="X330" s="8" t="s">
        <v>1593</v>
      </c>
      <c r="Y330" s="5" t="s">
        <v>46</v>
      </c>
      <c r="Z330" s="5" t="s">
        <v>47</v>
      </c>
      <c r="AA330" s="5" t="s">
        <v>64</v>
      </c>
      <c r="AB330" s="5" t="s">
        <v>1651</v>
      </c>
      <c r="AC330" s="6" t="s">
        <v>86</v>
      </c>
      <c r="AD330" s="6">
        <v>2012.0</v>
      </c>
    </row>
    <row r="331" ht="56.25" customHeight="1">
      <c r="A331" s="5" t="s">
        <v>1653</v>
      </c>
      <c r="B331" s="6" t="str">
        <f>IMAGE("https://storage.googleapis.com/acdb/housewares/FtrVictoryflag_Remake_0_0.png")</f>
        <v/>
      </c>
      <c r="C331" s="5" t="s">
        <v>52</v>
      </c>
      <c r="D331" s="5" t="s">
        <v>34</v>
      </c>
      <c r="E331" s="5" t="s">
        <v>34</v>
      </c>
      <c r="F331" s="5" t="s">
        <v>34</v>
      </c>
      <c r="G331" s="5" t="s">
        <v>36</v>
      </c>
      <c r="H331" s="5" t="s">
        <v>36</v>
      </c>
      <c r="I331" s="5" t="s">
        <v>36</v>
      </c>
      <c r="J331" s="6" t="s">
        <v>34</v>
      </c>
      <c r="K331" s="6">
        <v>3900.0</v>
      </c>
      <c r="L331" s="6">
        <v>975.0</v>
      </c>
      <c r="M331" s="8" t="s">
        <v>52</v>
      </c>
      <c r="N331" s="8" t="s">
        <v>114</v>
      </c>
      <c r="O331" s="6" t="s">
        <v>40</v>
      </c>
      <c r="P331" s="5" t="s">
        <v>59</v>
      </c>
      <c r="Q331" s="5" t="s">
        <v>122</v>
      </c>
      <c r="R331" s="6" t="s">
        <v>42</v>
      </c>
      <c r="S331" s="5" t="s">
        <v>130</v>
      </c>
      <c r="T331" s="5" t="s">
        <v>44</v>
      </c>
      <c r="U331" s="5" t="s">
        <v>44</v>
      </c>
      <c r="V331" s="5" t="s">
        <v>44</v>
      </c>
      <c r="W331" s="5" t="s">
        <v>36</v>
      </c>
      <c r="X331" s="8" t="s">
        <v>1593</v>
      </c>
      <c r="Y331" s="5" t="s">
        <v>46</v>
      </c>
      <c r="Z331" s="5" t="s">
        <v>47</v>
      </c>
      <c r="AA331" s="5" t="s">
        <v>64</v>
      </c>
      <c r="AB331" s="5" t="s">
        <v>1654</v>
      </c>
      <c r="AC331" s="6" t="s">
        <v>50</v>
      </c>
      <c r="AD331" s="6">
        <v>7264.0</v>
      </c>
    </row>
    <row r="332" ht="56.25" customHeight="1">
      <c r="A332" s="5" t="s">
        <v>1653</v>
      </c>
      <c r="B332" s="6" t="str">
        <f>IMAGE("https://storage.googleapis.com/acdb/housewares/FtrVictoryflag_Remake_1_0.png")</f>
        <v/>
      </c>
      <c r="C332" s="5" t="s">
        <v>68</v>
      </c>
      <c r="D332" s="5" t="s">
        <v>34</v>
      </c>
      <c r="E332" s="5" t="s">
        <v>34</v>
      </c>
      <c r="F332" s="5" t="s">
        <v>34</v>
      </c>
      <c r="G332" s="5" t="s">
        <v>36</v>
      </c>
      <c r="H332" s="5" t="s">
        <v>36</v>
      </c>
      <c r="I332" s="5" t="s">
        <v>36</v>
      </c>
      <c r="J332" s="6" t="s">
        <v>34</v>
      </c>
      <c r="K332" s="6">
        <v>3900.0</v>
      </c>
      <c r="L332" s="6">
        <v>975.0</v>
      </c>
      <c r="M332" s="8" t="s">
        <v>68</v>
      </c>
      <c r="N332" s="8" t="s">
        <v>114</v>
      </c>
      <c r="O332" s="6" t="s">
        <v>40</v>
      </c>
      <c r="P332" s="5" t="s">
        <v>59</v>
      </c>
      <c r="Q332" s="5" t="s">
        <v>122</v>
      </c>
      <c r="R332" s="6" t="s">
        <v>42</v>
      </c>
      <c r="S332" s="5" t="s">
        <v>130</v>
      </c>
      <c r="T332" s="5" t="s">
        <v>44</v>
      </c>
      <c r="U332" s="5" t="s">
        <v>44</v>
      </c>
      <c r="V332" s="5" t="s">
        <v>44</v>
      </c>
      <c r="W332" s="5" t="s">
        <v>36</v>
      </c>
      <c r="X332" s="8" t="s">
        <v>1593</v>
      </c>
      <c r="Y332" s="5" t="s">
        <v>46</v>
      </c>
      <c r="Z332" s="5" t="s">
        <v>47</v>
      </c>
      <c r="AA332" s="5" t="s">
        <v>64</v>
      </c>
      <c r="AB332" s="5" t="s">
        <v>1659</v>
      </c>
      <c r="AC332" s="6" t="s">
        <v>56</v>
      </c>
      <c r="AD332" s="6">
        <v>7264.0</v>
      </c>
    </row>
    <row r="333" ht="56.25" customHeight="1">
      <c r="A333" s="5" t="s">
        <v>1653</v>
      </c>
      <c r="B333" s="6" t="str">
        <f>IMAGE("https://storage.googleapis.com/acdb/housewares/FtrVictoryflag_Remake_2_0.png")</f>
        <v/>
      </c>
      <c r="C333" s="5" t="s">
        <v>96</v>
      </c>
      <c r="D333" s="5" t="s">
        <v>34</v>
      </c>
      <c r="E333" s="5" t="s">
        <v>34</v>
      </c>
      <c r="F333" s="5" t="s">
        <v>34</v>
      </c>
      <c r="G333" s="5" t="s">
        <v>36</v>
      </c>
      <c r="H333" s="5" t="s">
        <v>36</v>
      </c>
      <c r="I333" s="5" t="s">
        <v>36</v>
      </c>
      <c r="J333" s="6" t="s">
        <v>34</v>
      </c>
      <c r="K333" s="6">
        <v>3900.0</v>
      </c>
      <c r="L333" s="6">
        <v>975.0</v>
      </c>
      <c r="M333" s="8" t="s">
        <v>96</v>
      </c>
      <c r="N333" s="8" t="s">
        <v>114</v>
      </c>
      <c r="O333" s="6" t="s">
        <v>40</v>
      </c>
      <c r="P333" s="5" t="s">
        <v>59</v>
      </c>
      <c r="Q333" s="5" t="s">
        <v>122</v>
      </c>
      <c r="R333" s="6" t="s">
        <v>42</v>
      </c>
      <c r="S333" s="5" t="s">
        <v>130</v>
      </c>
      <c r="T333" s="5" t="s">
        <v>44</v>
      </c>
      <c r="U333" s="5" t="s">
        <v>44</v>
      </c>
      <c r="V333" s="5" t="s">
        <v>44</v>
      </c>
      <c r="W333" s="5" t="s">
        <v>36</v>
      </c>
      <c r="X333" s="8" t="s">
        <v>1593</v>
      </c>
      <c r="Y333" s="5" t="s">
        <v>46</v>
      </c>
      <c r="Z333" s="5" t="s">
        <v>47</v>
      </c>
      <c r="AA333" s="5" t="s">
        <v>64</v>
      </c>
      <c r="AB333" s="5" t="s">
        <v>1661</v>
      </c>
      <c r="AC333" s="6" t="s">
        <v>67</v>
      </c>
      <c r="AD333" s="6">
        <v>7264.0</v>
      </c>
    </row>
    <row r="334" ht="56.25" customHeight="1">
      <c r="A334" s="5" t="s">
        <v>1653</v>
      </c>
      <c r="B334" s="6" t="str">
        <f>IMAGE("https://storage.googleapis.com/acdb/housewares/FtrVictoryflag_Remake_3_0.png")</f>
        <v/>
      </c>
      <c r="C334" s="5" t="s">
        <v>54</v>
      </c>
      <c r="D334" s="5" t="s">
        <v>34</v>
      </c>
      <c r="E334" s="5" t="s">
        <v>34</v>
      </c>
      <c r="F334" s="5" t="s">
        <v>34</v>
      </c>
      <c r="G334" s="5" t="s">
        <v>36</v>
      </c>
      <c r="H334" s="5" t="s">
        <v>36</v>
      </c>
      <c r="I334" s="5" t="s">
        <v>36</v>
      </c>
      <c r="J334" s="6" t="s">
        <v>34</v>
      </c>
      <c r="K334" s="6">
        <v>3900.0</v>
      </c>
      <c r="L334" s="6">
        <v>975.0</v>
      </c>
      <c r="M334" s="8" t="s">
        <v>54</v>
      </c>
      <c r="N334" s="8" t="s">
        <v>114</v>
      </c>
      <c r="O334" s="6" t="s">
        <v>40</v>
      </c>
      <c r="P334" s="5" t="s">
        <v>59</v>
      </c>
      <c r="Q334" s="5" t="s">
        <v>122</v>
      </c>
      <c r="R334" s="6" t="s">
        <v>42</v>
      </c>
      <c r="S334" s="5" t="s">
        <v>130</v>
      </c>
      <c r="T334" s="5" t="s">
        <v>44</v>
      </c>
      <c r="U334" s="5" t="s">
        <v>44</v>
      </c>
      <c r="V334" s="5" t="s">
        <v>44</v>
      </c>
      <c r="W334" s="5" t="s">
        <v>36</v>
      </c>
      <c r="X334" s="8" t="s">
        <v>1593</v>
      </c>
      <c r="Y334" s="5" t="s">
        <v>46</v>
      </c>
      <c r="Z334" s="5" t="s">
        <v>47</v>
      </c>
      <c r="AA334" s="5" t="s">
        <v>64</v>
      </c>
      <c r="AB334" s="5" t="s">
        <v>1665</v>
      </c>
      <c r="AC334" s="6" t="s">
        <v>71</v>
      </c>
      <c r="AD334" s="6">
        <v>7264.0</v>
      </c>
    </row>
    <row r="335" ht="56.25" customHeight="1">
      <c r="A335" s="5" t="s">
        <v>1666</v>
      </c>
      <c r="B335" s="6" t="str">
        <f>IMAGE("https://storage.googleapis.com/acdb/housewares/FtrFittingroom_Remake_0_0.png")</f>
        <v/>
      </c>
      <c r="C335" s="5" t="s">
        <v>95</v>
      </c>
      <c r="D335" s="5" t="s">
        <v>34</v>
      </c>
      <c r="E335" s="5" t="s">
        <v>57</v>
      </c>
      <c r="F335" s="5" t="s">
        <v>1667</v>
      </c>
      <c r="G335" s="5" t="s">
        <v>36</v>
      </c>
      <c r="H335" s="5" t="s">
        <v>36</v>
      </c>
      <c r="I335" s="5" t="s">
        <v>35</v>
      </c>
      <c r="J335" s="6">
        <v>2.0</v>
      </c>
      <c r="K335" s="6">
        <v>3700.0</v>
      </c>
      <c r="L335" s="6">
        <v>925.0</v>
      </c>
      <c r="M335" s="8" t="s">
        <v>57</v>
      </c>
      <c r="N335" s="8" t="s">
        <v>57</v>
      </c>
      <c r="O335" s="6" t="s">
        <v>40</v>
      </c>
      <c r="P335" s="5" t="s">
        <v>59</v>
      </c>
      <c r="Q335" s="5" t="s">
        <v>122</v>
      </c>
      <c r="R335" s="6" t="s">
        <v>42</v>
      </c>
      <c r="S335" s="5" t="s">
        <v>62</v>
      </c>
      <c r="T335" s="5" t="s">
        <v>141</v>
      </c>
      <c r="U335" s="5" t="s">
        <v>44</v>
      </c>
      <c r="V335" s="5" t="s">
        <v>44</v>
      </c>
      <c r="W335" s="5" t="s">
        <v>35</v>
      </c>
      <c r="X335" s="8" t="s">
        <v>194</v>
      </c>
      <c r="Y335" s="5" t="s">
        <v>46</v>
      </c>
      <c r="Z335" s="5" t="s">
        <v>47</v>
      </c>
      <c r="AA335" s="5" t="s">
        <v>64</v>
      </c>
      <c r="AB335" s="5" t="s">
        <v>1670</v>
      </c>
      <c r="AC335" s="6" t="s">
        <v>50</v>
      </c>
      <c r="AD335" s="6">
        <v>1816.0</v>
      </c>
    </row>
    <row r="336" ht="56.25" customHeight="1">
      <c r="A336" s="5" t="s">
        <v>1666</v>
      </c>
      <c r="B336" s="6" t="str">
        <f>IMAGE("https://storage.googleapis.com/acdb/housewares/FtrFittingroom_Remake_0_1.png")</f>
        <v/>
      </c>
      <c r="C336" s="5" t="s">
        <v>95</v>
      </c>
      <c r="D336" s="5" t="s">
        <v>34</v>
      </c>
      <c r="E336" s="5" t="s">
        <v>106</v>
      </c>
      <c r="F336" s="5" t="s">
        <v>1667</v>
      </c>
      <c r="G336" s="5" t="s">
        <v>36</v>
      </c>
      <c r="H336" s="5" t="s">
        <v>36</v>
      </c>
      <c r="I336" s="5" t="s">
        <v>35</v>
      </c>
      <c r="J336" s="6">
        <v>2.0</v>
      </c>
      <c r="K336" s="6">
        <v>3700.0</v>
      </c>
      <c r="L336" s="6">
        <v>925.0</v>
      </c>
      <c r="M336" s="8" t="s">
        <v>57</v>
      </c>
      <c r="N336" s="8" t="s">
        <v>106</v>
      </c>
      <c r="O336" s="6" t="s">
        <v>40</v>
      </c>
      <c r="P336" s="5" t="s">
        <v>59</v>
      </c>
      <c r="Q336" s="5" t="s">
        <v>122</v>
      </c>
      <c r="R336" s="6" t="s">
        <v>42</v>
      </c>
      <c r="S336" s="5" t="s">
        <v>62</v>
      </c>
      <c r="T336" s="5" t="s">
        <v>141</v>
      </c>
      <c r="U336" s="5" t="s">
        <v>44</v>
      </c>
      <c r="V336" s="5" t="s">
        <v>44</v>
      </c>
      <c r="W336" s="5" t="s">
        <v>35</v>
      </c>
      <c r="X336" s="8" t="s">
        <v>194</v>
      </c>
      <c r="Y336" s="5" t="s">
        <v>46</v>
      </c>
      <c r="Z336" s="5" t="s">
        <v>47</v>
      </c>
      <c r="AA336" s="5" t="s">
        <v>64</v>
      </c>
      <c r="AB336" s="5" t="s">
        <v>1673</v>
      </c>
      <c r="AC336" s="6" t="s">
        <v>217</v>
      </c>
      <c r="AD336" s="6">
        <v>1816.0</v>
      </c>
    </row>
    <row r="337" ht="56.25" customHeight="1">
      <c r="A337" s="5" t="s">
        <v>1666</v>
      </c>
      <c r="B337" s="6" t="str">
        <f>IMAGE("https://storage.googleapis.com/acdb/housewares/FtrFittingroom_Remake_0_2.png")</f>
        <v/>
      </c>
      <c r="C337" s="5" t="s">
        <v>95</v>
      </c>
      <c r="D337" s="5" t="s">
        <v>34</v>
      </c>
      <c r="E337" s="5" t="s">
        <v>54</v>
      </c>
      <c r="F337" s="5" t="s">
        <v>1667</v>
      </c>
      <c r="G337" s="5" t="s">
        <v>36</v>
      </c>
      <c r="H337" s="5" t="s">
        <v>36</v>
      </c>
      <c r="I337" s="5" t="s">
        <v>35</v>
      </c>
      <c r="J337" s="6">
        <v>2.0</v>
      </c>
      <c r="K337" s="6">
        <v>3700.0</v>
      </c>
      <c r="L337" s="6">
        <v>925.0</v>
      </c>
      <c r="M337" s="8" t="s">
        <v>57</v>
      </c>
      <c r="N337" s="8" t="s">
        <v>54</v>
      </c>
      <c r="O337" s="6" t="s">
        <v>40</v>
      </c>
      <c r="P337" s="5" t="s">
        <v>59</v>
      </c>
      <c r="Q337" s="5" t="s">
        <v>122</v>
      </c>
      <c r="R337" s="6" t="s">
        <v>42</v>
      </c>
      <c r="S337" s="5" t="s">
        <v>62</v>
      </c>
      <c r="T337" s="5" t="s">
        <v>141</v>
      </c>
      <c r="U337" s="5" t="s">
        <v>44</v>
      </c>
      <c r="V337" s="5" t="s">
        <v>44</v>
      </c>
      <c r="W337" s="5" t="s">
        <v>35</v>
      </c>
      <c r="X337" s="8" t="s">
        <v>194</v>
      </c>
      <c r="Y337" s="5" t="s">
        <v>46</v>
      </c>
      <c r="Z337" s="5" t="s">
        <v>47</v>
      </c>
      <c r="AA337" s="5" t="s">
        <v>64</v>
      </c>
      <c r="AB337" s="5" t="s">
        <v>1674</v>
      </c>
      <c r="AC337" s="6" t="s">
        <v>347</v>
      </c>
      <c r="AD337" s="6">
        <v>1816.0</v>
      </c>
    </row>
    <row r="338" ht="56.25" customHeight="1">
      <c r="A338" s="5" t="s">
        <v>1666</v>
      </c>
      <c r="B338" s="6" t="str">
        <f>IMAGE("https://storage.googleapis.com/acdb/housewares/FtrFittingroom_Remake_0_3.png")</f>
        <v/>
      </c>
      <c r="C338" s="5" t="s">
        <v>95</v>
      </c>
      <c r="D338" s="5" t="s">
        <v>34</v>
      </c>
      <c r="E338" s="5" t="s">
        <v>114</v>
      </c>
      <c r="F338" s="5" t="s">
        <v>1667</v>
      </c>
      <c r="G338" s="5" t="s">
        <v>36</v>
      </c>
      <c r="H338" s="5" t="s">
        <v>36</v>
      </c>
      <c r="I338" s="5" t="s">
        <v>35</v>
      </c>
      <c r="J338" s="6">
        <v>2.0</v>
      </c>
      <c r="K338" s="6">
        <v>3700.0</v>
      </c>
      <c r="L338" s="6">
        <v>925.0</v>
      </c>
      <c r="M338" s="8" t="s">
        <v>57</v>
      </c>
      <c r="N338" s="8" t="s">
        <v>114</v>
      </c>
      <c r="O338" s="6" t="s">
        <v>40</v>
      </c>
      <c r="P338" s="5" t="s">
        <v>59</v>
      </c>
      <c r="Q338" s="5" t="s">
        <v>122</v>
      </c>
      <c r="R338" s="6" t="s">
        <v>42</v>
      </c>
      <c r="S338" s="5" t="s">
        <v>62</v>
      </c>
      <c r="T338" s="5" t="s">
        <v>141</v>
      </c>
      <c r="U338" s="5" t="s">
        <v>44</v>
      </c>
      <c r="V338" s="5" t="s">
        <v>44</v>
      </c>
      <c r="W338" s="5" t="s">
        <v>35</v>
      </c>
      <c r="X338" s="8" t="s">
        <v>194</v>
      </c>
      <c r="Y338" s="5" t="s">
        <v>46</v>
      </c>
      <c r="Z338" s="5" t="s">
        <v>47</v>
      </c>
      <c r="AA338" s="5" t="s">
        <v>64</v>
      </c>
      <c r="AB338" s="5" t="s">
        <v>1681</v>
      </c>
      <c r="AC338" s="6" t="s">
        <v>354</v>
      </c>
      <c r="AD338" s="6">
        <v>1816.0</v>
      </c>
    </row>
    <row r="339" ht="56.25" customHeight="1">
      <c r="A339" s="5" t="s">
        <v>1666</v>
      </c>
      <c r="B339" s="6" t="str">
        <f>IMAGE("https://storage.googleapis.com/acdb/housewares/FtrFittingroom_Remake_0_4.png")</f>
        <v/>
      </c>
      <c r="C339" s="5" t="s">
        <v>95</v>
      </c>
      <c r="D339" s="5" t="s">
        <v>34</v>
      </c>
      <c r="E339" s="5" t="s">
        <v>69</v>
      </c>
      <c r="F339" s="5" t="s">
        <v>1667</v>
      </c>
      <c r="G339" s="5" t="s">
        <v>36</v>
      </c>
      <c r="H339" s="5" t="s">
        <v>36</v>
      </c>
      <c r="I339" s="5" t="s">
        <v>35</v>
      </c>
      <c r="J339" s="6">
        <v>2.0</v>
      </c>
      <c r="K339" s="6">
        <v>3700.0</v>
      </c>
      <c r="L339" s="6">
        <v>925.0</v>
      </c>
      <c r="M339" s="8" t="s">
        <v>57</v>
      </c>
      <c r="N339" s="8" t="s">
        <v>69</v>
      </c>
      <c r="O339" s="6" t="s">
        <v>40</v>
      </c>
      <c r="P339" s="5" t="s">
        <v>59</v>
      </c>
      <c r="Q339" s="5" t="s">
        <v>122</v>
      </c>
      <c r="R339" s="6" t="s">
        <v>42</v>
      </c>
      <c r="S339" s="5" t="s">
        <v>62</v>
      </c>
      <c r="T339" s="5" t="s">
        <v>141</v>
      </c>
      <c r="U339" s="5" t="s">
        <v>44</v>
      </c>
      <c r="V339" s="5" t="s">
        <v>44</v>
      </c>
      <c r="W339" s="5" t="s">
        <v>35</v>
      </c>
      <c r="X339" s="8" t="s">
        <v>194</v>
      </c>
      <c r="Y339" s="5" t="s">
        <v>46</v>
      </c>
      <c r="Z339" s="5" t="s">
        <v>47</v>
      </c>
      <c r="AA339" s="5" t="s">
        <v>64</v>
      </c>
      <c r="AB339" s="5" t="s">
        <v>1685</v>
      </c>
      <c r="AC339" s="6" t="s">
        <v>486</v>
      </c>
      <c r="AD339" s="6">
        <v>1816.0</v>
      </c>
    </row>
    <row r="340" ht="56.25" customHeight="1">
      <c r="A340" s="5" t="s">
        <v>1666</v>
      </c>
      <c r="B340" s="6" t="str">
        <f>IMAGE("https://storage.googleapis.com/acdb/housewares/FtrFittingroom_Remake_0_5.png")</f>
        <v/>
      </c>
      <c r="C340" s="5" t="s">
        <v>95</v>
      </c>
      <c r="D340" s="5" t="s">
        <v>34</v>
      </c>
      <c r="E340" s="5" t="s">
        <v>52</v>
      </c>
      <c r="F340" s="5" t="s">
        <v>1667</v>
      </c>
      <c r="G340" s="5" t="s">
        <v>36</v>
      </c>
      <c r="H340" s="5" t="s">
        <v>36</v>
      </c>
      <c r="I340" s="5" t="s">
        <v>35</v>
      </c>
      <c r="J340" s="6">
        <v>2.0</v>
      </c>
      <c r="K340" s="6">
        <v>3700.0</v>
      </c>
      <c r="L340" s="6">
        <v>925.0</v>
      </c>
      <c r="M340" s="8" t="s">
        <v>57</v>
      </c>
      <c r="N340" s="8" t="s">
        <v>52</v>
      </c>
      <c r="O340" s="6" t="s">
        <v>40</v>
      </c>
      <c r="P340" s="5" t="s">
        <v>59</v>
      </c>
      <c r="Q340" s="5" t="s">
        <v>122</v>
      </c>
      <c r="R340" s="6" t="s">
        <v>42</v>
      </c>
      <c r="S340" s="5" t="s">
        <v>62</v>
      </c>
      <c r="T340" s="5" t="s">
        <v>141</v>
      </c>
      <c r="U340" s="5" t="s">
        <v>44</v>
      </c>
      <c r="V340" s="5" t="s">
        <v>44</v>
      </c>
      <c r="W340" s="5" t="s">
        <v>35</v>
      </c>
      <c r="X340" s="8" t="s">
        <v>194</v>
      </c>
      <c r="Y340" s="5" t="s">
        <v>46</v>
      </c>
      <c r="Z340" s="5" t="s">
        <v>47</v>
      </c>
      <c r="AA340" s="5" t="s">
        <v>64</v>
      </c>
      <c r="AB340" s="5" t="s">
        <v>1691</v>
      </c>
      <c r="AC340" s="6" t="s">
        <v>934</v>
      </c>
      <c r="AD340" s="6">
        <v>1816.0</v>
      </c>
    </row>
    <row r="341" ht="56.25" customHeight="1">
      <c r="A341" s="5" t="s">
        <v>1666</v>
      </c>
      <c r="B341" s="6" t="str">
        <f>IMAGE("https://storage.googleapis.com/acdb/housewares/FtrFittingroom_Remake_0_6.png")</f>
        <v/>
      </c>
      <c r="C341" s="5" t="s">
        <v>95</v>
      </c>
      <c r="D341" s="5" t="s">
        <v>34</v>
      </c>
      <c r="E341" s="5" t="s">
        <v>96</v>
      </c>
      <c r="F341" s="5" t="s">
        <v>1667</v>
      </c>
      <c r="G341" s="5" t="s">
        <v>36</v>
      </c>
      <c r="H341" s="5" t="s">
        <v>36</v>
      </c>
      <c r="I341" s="5" t="s">
        <v>35</v>
      </c>
      <c r="J341" s="6">
        <v>2.0</v>
      </c>
      <c r="K341" s="6">
        <v>3700.0</v>
      </c>
      <c r="L341" s="6">
        <v>925.0</v>
      </c>
      <c r="M341" s="8" t="s">
        <v>57</v>
      </c>
      <c r="N341" s="8" t="s">
        <v>96</v>
      </c>
      <c r="O341" s="6" t="s">
        <v>40</v>
      </c>
      <c r="P341" s="5" t="s">
        <v>59</v>
      </c>
      <c r="Q341" s="5" t="s">
        <v>122</v>
      </c>
      <c r="R341" s="6" t="s">
        <v>42</v>
      </c>
      <c r="S341" s="5" t="s">
        <v>62</v>
      </c>
      <c r="T341" s="5" t="s">
        <v>141</v>
      </c>
      <c r="U341" s="5" t="s">
        <v>44</v>
      </c>
      <c r="V341" s="5" t="s">
        <v>44</v>
      </c>
      <c r="W341" s="5" t="s">
        <v>35</v>
      </c>
      <c r="X341" s="8" t="s">
        <v>194</v>
      </c>
      <c r="Y341" s="5" t="s">
        <v>46</v>
      </c>
      <c r="Z341" s="5" t="s">
        <v>47</v>
      </c>
      <c r="AA341" s="5" t="s">
        <v>64</v>
      </c>
      <c r="AB341" s="5" t="s">
        <v>1694</v>
      </c>
      <c r="AC341" s="6" t="s">
        <v>938</v>
      </c>
      <c r="AD341" s="6">
        <v>1816.0</v>
      </c>
    </row>
    <row r="342" ht="56.25" customHeight="1">
      <c r="A342" s="5" t="s">
        <v>1666</v>
      </c>
      <c r="B342" s="6" t="str">
        <f>IMAGE("https://storage.googleapis.com/acdb/housewares/FtrFittingroom_Remake_0_7.png")</f>
        <v/>
      </c>
      <c r="C342" s="5" t="s">
        <v>95</v>
      </c>
      <c r="D342" s="5" t="s">
        <v>34</v>
      </c>
      <c r="E342" s="5" t="s">
        <v>68</v>
      </c>
      <c r="F342" s="5" t="s">
        <v>1667</v>
      </c>
      <c r="G342" s="5" t="s">
        <v>36</v>
      </c>
      <c r="H342" s="5" t="s">
        <v>36</v>
      </c>
      <c r="I342" s="5" t="s">
        <v>35</v>
      </c>
      <c r="J342" s="6">
        <v>2.0</v>
      </c>
      <c r="K342" s="6">
        <v>3700.0</v>
      </c>
      <c r="L342" s="6">
        <v>925.0</v>
      </c>
      <c r="M342" s="8" t="s">
        <v>57</v>
      </c>
      <c r="N342" s="8" t="s">
        <v>1175</v>
      </c>
      <c r="O342" s="6" t="s">
        <v>40</v>
      </c>
      <c r="P342" s="5" t="s">
        <v>59</v>
      </c>
      <c r="Q342" s="5" t="s">
        <v>122</v>
      </c>
      <c r="R342" s="6" t="s">
        <v>42</v>
      </c>
      <c r="S342" s="5" t="s">
        <v>62</v>
      </c>
      <c r="T342" s="5" t="s">
        <v>141</v>
      </c>
      <c r="U342" s="5" t="s">
        <v>44</v>
      </c>
      <c r="V342" s="5" t="s">
        <v>44</v>
      </c>
      <c r="W342" s="5" t="s">
        <v>35</v>
      </c>
      <c r="X342" s="8" t="s">
        <v>194</v>
      </c>
      <c r="Y342" s="5" t="s">
        <v>46</v>
      </c>
      <c r="Z342" s="5" t="s">
        <v>47</v>
      </c>
      <c r="AA342" s="5" t="s">
        <v>64</v>
      </c>
      <c r="AB342" s="5" t="s">
        <v>1699</v>
      </c>
      <c r="AC342" s="6" t="s">
        <v>1700</v>
      </c>
      <c r="AD342" s="6">
        <v>1816.0</v>
      </c>
    </row>
    <row r="343" ht="56.25" customHeight="1">
      <c r="A343" s="5" t="s">
        <v>1666</v>
      </c>
      <c r="B343" s="6" t="str">
        <f>IMAGE("https://storage.googleapis.com/acdb/housewares/FtrFittingroom_Remake_1_0.png")</f>
        <v/>
      </c>
      <c r="C343" s="5" t="s">
        <v>38</v>
      </c>
      <c r="D343" s="5" t="s">
        <v>34</v>
      </c>
      <c r="E343" s="5" t="s">
        <v>57</v>
      </c>
      <c r="F343" s="5" t="s">
        <v>1667</v>
      </c>
      <c r="G343" s="5" t="s">
        <v>36</v>
      </c>
      <c r="H343" s="5" t="s">
        <v>36</v>
      </c>
      <c r="I343" s="5" t="s">
        <v>35</v>
      </c>
      <c r="J343" s="6">
        <v>2.0</v>
      </c>
      <c r="K343" s="6">
        <v>3700.0</v>
      </c>
      <c r="L343" s="6">
        <v>925.0</v>
      </c>
      <c r="M343" s="8" t="s">
        <v>114</v>
      </c>
      <c r="N343" s="8" t="s">
        <v>57</v>
      </c>
      <c r="O343" s="6" t="s">
        <v>40</v>
      </c>
      <c r="P343" s="5" t="s">
        <v>59</v>
      </c>
      <c r="Q343" s="5" t="s">
        <v>122</v>
      </c>
      <c r="R343" s="6" t="s">
        <v>42</v>
      </c>
      <c r="S343" s="5" t="s">
        <v>62</v>
      </c>
      <c r="T343" s="5" t="s">
        <v>141</v>
      </c>
      <c r="U343" s="5" t="s">
        <v>44</v>
      </c>
      <c r="V343" s="5" t="s">
        <v>44</v>
      </c>
      <c r="W343" s="5" t="s">
        <v>35</v>
      </c>
      <c r="X343" s="8" t="s">
        <v>194</v>
      </c>
      <c r="Y343" s="5" t="s">
        <v>46</v>
      </c>
      <c r="Z343" s="5" t="s">
        <v>47</v>
      </c>
      <c r="AA343" s="5" t="s">
        <v>64</v>
      </c>
      <c r="AB343" s="5" t="s">
        <v>1703</v>
      </c>
      <c r="AC343" s="6" t="s">
        <v>56</v>
      </c>
      <c r="AD343" s="6">
        <v>1816.0</v>
      </c>
    </row>
    <row r="344" ht="56.25" customHeight="1">
      <c r="A344" s="5" t="s">
        <v>1666</v>
      </c>
      <c r="B344" s="6" t="str">
        <f>IMAGE("https://storage.googleapis.com/acdb/housewares/FtrFittingroom_Remake_1_1.png")</f>
        <v/>
      </c>
      <c r="C344" s="5" t="s">
        <v>38</v>
      </c>
      <c r="D344" s="5" t="s">
        <v>34</v>
      </c>
      <c r="E344" s="5" t="s">
        <v>106</v>
      </c>
      <c r="F344" s="5" t="s">
        <v>1667</v>
      </c>
      <c r="G344" s="5" t="s">
        <v>36</v>
      </c>
      <c r="H344" s="5" t="s">
        <v>36</v>
      </c>
      <c r="I344" s="5" t="s">
        <v>35</v>
      </c>
      <c r="J344" s="6">
        <v>2.0</v>
      </c>
      <c r="K344" s="6">
        <v>3700.0</v>
      </c>
      <c r="L344" s="6">
        <v>925.0</v>
      </c>
      <c r="M344" s="8" t="s">
        <v>114</v>
      </c>
      <c r="N344" s="8" t="s">
        <v>106</v>
      </c>
      <c r="O344" s="6" t="s">
        <v>40</v>
      </c>
      <c r="P344" s="5" t="s">
        <v>59</v>
      </c>
      <c r="Q344" s="5" t="s">
        <v>122</v>
      </c>
      <c r="R344" s="6" t="s">
        <v>42</v>
      </c>
      <c r="S344" s="5" t="s">
        <v>62</v>
      </c>
      <c r="T344" s="5" t="s">
        <v>141</v>
      </c>
      <c r="U344" s="5" t="s">
        <v>44</v>
      </c>
      <c r="V344" s="5" t="s">
        <v>44</v>
      </c>
      <c r="W344" s="5" t="s">
        <v>35</v>
      </c>
      <c r="X344" s="8" t="s">
        <v>194</v>
      </c>
      <c r="Y344" s="5" t="s">
        <v>46</v>
      </c>
      <c r="Z344" s="5" t="s">
        <v>47</v>
      </c>
      <c r="AA344" s="5" t="s">
        <v>64</v>
      </c>
      <c r="AB344" s="5" t="s">
        <v>1707</v>
      </c>
      <c r="AC344" s="6" t="s">
        <v>234</v>
      </c>
      <c r="AD344" s="6">
        <v>1816.0</v>
      </c>
    </row>
    <row r="345" ht="56.25" customHeight="1">
      <c r="A345" s="5" t="s">
        <v>1666</v>
      </c>
      <c r="B345" s="6" t="str">
        <f>IMAGE("https://storage.googleapis.com/acdb/housewares/FtrFittingroom_Remake_1_2.png")</f>
        <v/>
      </c>
      <c r="C345" s="5" t="s">
        <v>38</v>
      </c>
      <c r="D345" s="5" t="s">
        <v>34</v>
      </c>
      <c r="E345" s="5" t="s">
        <v>54</v>
      </c>
      <c r="F345" s="5" t="s">
        <v>1667</v>
      </c>
      <c r="G345" s="5" t="s">
        <v>36</v>
      </c>
      <c r="H345" s="5" t="s">
        <v>36</v>
      </c>
      <c r="I345" s="5" t="s">
        <v>35</v>
      </c>
      <c r="J345" s="6">
        <v>2.0</v>
      </c>
      <c r="K345" s="6">
        <v>3700.0</v>
      </c>
      <c r="L345" s="6">
        <v>925.0</v>
      </c>
      <c r="M345" s="8" t="s">
        <v>114</v>
      </c>
      <c r="N345" s="8" t="s">
        <v>54</v>
      </c>
      <c r="O345" s="6" t="s">
        <v>40</v>
      </c>
      <c r="P345" s="5" t="s">
        <v>59</v>
      </c>
      <c r="Q345" s="5" t="s">
        <v>122</v>
      </c>
      <c r="R345" s="6" t="s">
        <v>42</v>
      </c>
      <c r="S345" s="5" t="s">
        <v>62</v>
      </c>
      <c r="T345" s="5" t="s">
        <v>141</v>
      </c>
      <c r="U345" s="5" t="s">
        <v>44</v>
      </c>
      <c r="V345" s="5" t="s">
        <v>44</v>
      </c>
      <c r="W345" s="5" t="s">
        <v>35</v>
      </c>
      <c r="X345" s="8" t="s">
        <v>194</v>
      </c>
      <c r="Y345" s="5" t="s">
        <v>46</v>
      </c>
      <c r="Z345" s="5" t="s">
        <v>47</v>
      </c>
      <c r="AA345" s="5" t="s">
        <v>64</v>
      </c>
      <c r="AB345" s="5" t="s">
        <v>1711</v>
      </c>
      <c r="AC345" s="6" t="s">
        <v>370</v>
      </c>
      <c r="AD345" s="6">
        <v>1816.0</v>
      </c>
    </row>
    <row r="346" ht="56.25" customHeight="1">
      <c r="A346" s="5" t="s">
        <v>1666</v>
      </c>
      <c r="B346" s="6" t="str">
        <f>IMAGE("https://storage.googleapis.com/acdb/housewares/FtrFittingroom_Remake_1_3.png")</f>
        <v/>
      </c>
      <c r="C346" s="5" t="s">
        <v>38</v>
      </c>
      <c r="D346" s="5" t="s">
        <v>34</v>
      </c>
      <c r="E346" s="5" t="s">
        <v>114</v>
      </c>
      <c r="F346" s="5" t="s">
        <v>1667</v>
      </c>
      <c r="G346" s="5" t="s">
        <v>36</v>
      </c>
      <c r="H346" s="5" t="s">
        <v>36</v>
      </c>
      <c r="I346" s="5" t="s">
        <v>35</v>
      </c>
      <c r="J346" s="6">
        <v>2.0</v>
      </c>
      <c r="K346" s="6">
        <v>3700.0</v>
      </c>
      <c r="L346" s="6">
        <v>925.0</v>
      </c>
      <c r="M346" s="8" t="s">
        <v>114</v>
      </c>
      <c r="N346" s="8" t="s">
        <v>114</v>
      </c>
      <c r="O346" s="6" t="s">
        <v>40</v>
      </c>
      <c r="P346" s="5" t="s">
        <v>59</v>
      </c>
      <c r="Q346" s="5" t="s">
        <v>122</v>
      </c>
      <c r="R346" s="6" t="s">
        <v>42</v>
      </c>
      <c r="S346" s="5" t="s">
        <v>62</v>
      </c>
      <c r="T346" s="5" t="s">
        <v>141</v>
      </c>
      <c r="U346" s="5" t="s">
        <v>44</v>
      </c>
      <c r="V346" s="5" t="s">
        <v>44</v>
      </c>
      <c r="W346" s="5" t="s">
        <v>35</v>
      </c>
      <c r="X346" s="8" t="s">
        <v>194</v>
      </c>
      <c r="Y346" s="5" t="s">
        <v>46</v>
      </c>
      <c r="Z346" s="5" t="s">
        <v>47</v>
      </c>
      <c r="AA346" s="5" t="s">
        <v>64</v>
      </c>
      <c r="AB346" s="5" t="s">
        <v>1715</v>
      </c>
      <c r="AC346" s="6" t="s">
        <v>377</v>
      </c>
      <c r="AD346" s="6">
        <v>1816.0</v>
      </c>
    </row>
    <row r="347" ht="56.25" customHeight="1">
      <c r="A347" s="5" t="s">
        <v>1666</v>
      </c>
      <c r="B347" s="6" t="str">
        <f>IMAGE("https://storage.googleapis.com/acdb/housewares/FtrFittingroom_Remake_1_4.png")</f>
        <v/>
      </c>
      <c r="C347" s="5" t="s">
        <v>38</v>
      </c>
      <c r="D347" s="5" t="s">
        <v>34</v>
      </c>
      <c r="E347" s="5" t="s">
        <v>69</v>
      </c>
      <c r="F347" s="5" t="s">
        <v>1667</v>
      </c>
      <c r="G347" s="5" t="s">
        <v>36</v>
      </c>
      <c r="H347" s="5" t="s">
        <v>36</v>
      </c>
      <c r="I347" s="5" t="s">
        <v>35</v>
      </c>
      <c r="J347" s="6">
        <v>2.0</v>
      </c>
      <c r="K347" s="6">
        <v>3700.0</v>
      </c>
      <c r="L347" s="6">
        <v>925.0</v>
      </c>
      <c r="M347" s="8" t="s">
        <v>114</v>
      </c>
      <c r="N347" s="8" t="s">
        <v>69</v>
      </c>
      <c r="O347" s="6" t="s">
        <v>40</v>
      </c>
      <c r="P347" s="5" t="s">
        <v>59</v>
      </c>
      <c r="Q347" s="5" t="s">
        <v>122</v>
      </c>
      <c r="R347" s="6" t="s">
        <v>42</v>
      </c>
      <c r="S347" s="5" t="s">
        <v>62</v>
      </c>
      <c r="T347" s="5" t="s">
        <v>141</v>
      </c>
      <c r="U347" s="5" t="s">
        <v>44</v>
      </c>
      <c r="V347" s="5" t="s">
        <v>44</v>
      </c>
      <c r="W347" s="5" t="s">
        <v>35</v>
      </c>
      <c r="X347" s="8" t="s">
        <v>194</v>
      </c>
      <c r="Y347" s="5" t="s">
        <v>46</v>
      </c>
      <c r="Z347" s="5" t="s">
        <v>47</v>
      </c>
      <c r="AA347" s="5" t="s">
        <v>64</v>
      </c>
      <c r="AB347" s="5" t="s">
        <v>1718</v>
      </c>
      <c r="AC347" s="6" t="s">
        <v>520</v>
      </c>
      <c r="AD347" s="6">
        <v>1816.0</v>
      </c>
    </row>
    <row r="348" ht="56.25" customHeight="1">
      <c r="A348" s="5" t="s">
        <v>1666</v>
      </c>
      <c r="B348" s="6" t="str">
        <f>IMAGE("https://storage.googleapis.com/acdb/housewares/FtrFittingroom_Remake_1_5.png")</f>
        <v/>
      </c>
      <c r="C348" s="5" t="s">
        <v>38</v>
      </c>
      <c r="D348" s="5" t="s">
        <v>34</v>
      </c>
      <c r="E348" s="5" t="s">
        <v>52</v>
      </c>
      <c r="F348" s="5" t="s">
        <v>1667</v>
      </c>
      <c r="G348" s="5" t="s">
        <v>36</v>
      </c>
      <c r="H348" s="5" t="s">
        <v>36</v>
      </c>
      <c r="I348" s="5" t="s">
        <v>35</v>
      </c>
      <c r="J348" s="6">
        <v>2.0</v>
      </c>
      <c r="K348" s="6">
        <v>3700.0</v>
      </c>
      <c r="L348" s="6">
        <v>925.0</v>
      </c>
      <c r="M348" s="8" t="s">
        <v>114</v>
      </c>
      <c r="N348" s="8" t="s">
        <v>52</v>
      </c>
      <c r="O348" s="6" t="s">
        <v>40</v>
      </c>
      <c r="P348" s="5" t="s">
        <v>59</v>
      </c>
      <c r="Q348" s="5" t="s">
        <v>122</v>
      </c>
      <c r="R348" s="6" t="s">
        <v>42</v>
      </c>
      <c r="S348" s="5" t="s">
        <v>62</v>
      </c>
      <c r="T348" s="5" t="s">
        <v>141</v>
      </c>
      <c r="U348" s="5" t="s">
        <v>44</v>
      </c>
      <c r="V348" s="5" t="s">
        <v>44</v>
      </c>
      <c r="W348" s="5" t="s">
        <v>35</v>
      </c>
      <c r="X348" s="8" t="s">
        <v>194</v>
      </c>
      <c r="Y348" s="5" t="s">
        <v>46</v>
      </c>
      <c r="Z348" s="5" t="s">
        <v>47</v>
      </c>
      <c r="AA348" s="5" t="s">
        <v>64</v>
      </c>
      <c r="AB348" s="5" t="s">
        <v>1721</v>
      </c>
      <c r="AC348" s="6" t="s">
        <v>1389</v>
      </c>
      <c r="AD348" s="6">
        <v>1816.0</v>
      </c>
    </row>
    <row r="349" ht="56.25" customHeight="1">
      <c r="A349" s="5" t="s">
        <v>1666</v>
      </c>
      <c r="B349" s="6" t="str">
        <f>IMAGE("https://storage.googleapis.com/acdb/housewares/FtrFittingroom_Remake_1_6.png")</f>
        <v/>
      </c>
      <c r="C349" s="5" t="s">
        <v>38</v>
      </c>
      <c r="D349" s="5" t="s">
        <v>34</v>
      </c>
      <c r="E349" s="5" t="s">
        <v>96</v>
      </c>
      <c r="F349" s="5" t="s">
        <v>1667</v>
      </c>
      <c r="G349" s="5" t="s">
        <v>36</v>
      </c>
      <c r="H349" s="5" t="s">
        <v>36</v>
      </c>
      <c r="I349" s="5" t="s">
        <v>35</v>
      </c>
      <c r="J349" s="6">
        <v>2.0</v>
      </c>
      <c r="K349" s="6">
        <v>3700.0</v>
      </c>
      <c r="L349" s="6">
        <v>925.0</v>
      </c>
      <c r="M349" s="8" t="s">
        <v>114</v>
      </c>
      <c r="N349" s="8" t="s">
        <v>96</v>
      </c>
      <c r="O349" s="6" t="s">
        <v>40</v>
      </c>
      <c r="P349" s="5" t="s">
        <v>59</v>
      </c>
      <c r="Q349" s="5" t="s">
        <v>122</v>
      </c>
      <c r="R349" s="6" t="s">
        <v>42</v>
      </c>
      <c r="S349" s="5" t="s">
        <v>62</v>
      </c>
      <c r="T349" s="5" t="s">
        <v>141</v>
      </c>
      <c r="U349" s="5" t="s">
        <v>44</v>
      </c>
      <c r="V349" s="5" t="s">
        <v>44</v>
      </c>
      <c r="W349" s="5" t="s">
        <v>35</v>
      </c>
      <c r="X349" s="8" t="s">
        <v>194</v>
      </c>
      <c r="Y349" s="5" t="s">
        <v>46</v>
      </c>
      <c r="Z349" s="5" t="s">
        <v>47</v>
      </c>
      <c r="AA349" s="5" t="s">
        <v>64</v>
      </c>
      <c r="AB349" s="5" t="s">
        <v>1725</v>
      </c>
      <c r="AC349" s="6" t="s">
        <v>1394</v>
      </c>
      <c r="AD349" s="6">
        <v>1816.0</v>
      </c>
    </row>
    <row r="350" ht="56.25" customHeight="1">
      <c r="A350" s="5" t="s">
        <v>1666</v>
      </c>
      <c r="B350" s="6" t="str">
        <f>IMAGE("https://storage.googleapis.com/acdb/housewares/FtrFittingroom_Remake_1_7.png")</f>
        <v/>
      </c>
      <c r="C350" s="5" t="s">
        <v>38</v>
      </c>
      <c r="D350" s="5" t="s">
        <v>34</v>
      </c>
      <c r="E350" s="5" t="s">
        <v>68</v>
      </c>
      <c r="F350" s="5" t="s">
        <v>1667</v>
      </c>
      <c r="G350" s="5" t="s">
        <v>36</v>
      </c>
      <c r="H350" s="5" t="s">
        <v>36</v>
      </c>
      <c r="I350" s="5" t="s">
        <v>35</v>
      </c>
      <c r="J350" s="6">
        <v>2.0</v>
      </c>
      <c r="K350" s="6">
        <v>3700.0</v>
      </c>
      <c r="L350" s="6">
        <v>925.0</v>
      </c>
      <c r="M350" s="8" t="s">
        <v>114</v>
      </c>
      <c r="N350" s="8" t="s">
        <v>1175</v>
      </c>
      <c r="O350" s="6" t="s">
        <v>40</v>
      </c>
      <c r="P350" s="5" t="s">
        <v>59</v>
      </c>
      <c r="Q350" s="5" t="s">
        <v>122</v>
      </c>
      <c r="R350" s="6" t="s">
        <v>42</v>
      </c>
      <c r="S350" s="5" t="s">
        <v>62</v>
      </c>
      <c r="T350" s="5" t="s">
        <v>141</v>
      </c>
      <c r="U350" s="5" t="s">
        <v>44</v>
      </c>
      <c r="V350" s="5" t="s">
        <v>44</v>
      </c>
      <c r="W350" s="5" t="s">
        <v>35</v>
      </c>
      <c r="X350" s="8" t="s">
        <v>194</v>
      </c>
      <c r="Y350" s="5" t="s">
        <v>46</v>
      </c>
      <c r="Z350" s="5" t="s">
        <v>47</v>
      </c>
      <c r="AA350" s="5" t="s">
        <v>64</v>
      </c>
      <c r="AB350" s="5" t="s">
        <v>1728</v>
      </c>
      <c r="AC350" s="6" t="s">
        <v>1729</v>
      </c>
      <c r="AD350" s="6">
        <v>1816.0</v>
      </c>
    </row>
    <row r="351" ht="56.25" customHeight="1">
      <c r="A351" s="5" t="s">
        <v>1666</v>
      </c>
      <c r="B351" s="6" t="str">
        <f>IMAGE("https://storage.googleapis.com/acdb/housewares/FtrFittingroom_Remake_2_0.png")</f>
        <v/>
      </c>
      <c r="C351" s="5" t="s">
        <v>39</v>
      </c>
      <c r="D351" s="5" t="s">
        <v>34</v>
      </c>
      <c r="E351" s="5" t="s">
        <v>57</v>
      </c>
      <c r="F351" s="5" t="s">
        <v>1667</v>
      </c>
      <c r="G351" s="5" t="s">
        <v>36</v>
      </c>
      <c r="H351" s="5" t="s">
        <v>36</v>
      </c>
      <c r="I351" s="5" t="s">
        <v>35</v>
      </c>
      <c r="J351" s="6">
        <v>2.0</v>
      </c>
      <c r="K351" s="6">
        <v>3700.0</v>
      </c>
      <c r="L351" s="6">
        <v>925.0</v>
      </c>
      <c r="M351" s="8" t="s">
        <v>142</v>
      </c>
      <c r="N351" s="8" t="s">
        <v>57</v>
      </c>
      <c r="O351" s="6" t="s">
        <v>40</v>
      </c>
      <c r="P351" s="5" t="s">
        <v>59</v>
      </c>
      <c r="Q351" s="5" t="s">
        <v>122</v>
      </c>
      <c r="R351" s="6" t="s">
        <v>42</v>
      </c>
      <c r="S351" s="5" t="s">
        <v>62</v>
      </c>
      <c r="T351" s="5" t="s">
        <v>141</v>
      </c>
      <c r="U351" s="5" t="s">
        <v>44</v>
      </c>
      <c r="V351" s="5" t="s">
        <v>44</v>
      </c>
      <c r="W351" s="5" t="s">
        <v>35</v>
      </c>
      <c r="X351" s="8" t="s">
        <v>194</v>
      </c>
      <c r="Y351" s="5" t="s">
        <v>46</v>
      </c>
      <c r="Z351" s="5" t="s">
        <v>47</v>
      </c>
      <c r="AA351" s="5" t="s">
        <v>64</v>
      </c>
      <c r="AB351" s="5" t="s">
        <v>1732</v>
      </c>
      <c r="AC351" s="6" t="s">
        <v>67</v>
      </c>
      <c r="AD351" s="6">
        <v>1816.0</v>
      </c>
    </row>
    <row r="352" ht="56.25" customHeight="1">
      <c r="A352" s="5" t="s">
        <v>1666</v>
      </c>
      <c r="B352" s="6" t="str">
        <f>IMAGE("https://storage.googleapis.com/acdb/housewares/FtrFittingroom_Remake_2_1.png")</f>
        <v/>
      </c>
      <c r="C352" s="5" t="s">
        <v>39</v>
      </c>
      <c r="D352" s="5" t="s">
        <v>34</v>
      </c>
      <c r="E352" s="5" t="s">
        <v>106</v>
      </c>
      <c r="F352" s="5" t="s">
        <v>1667</v>
      </c>
      <c r="G352" s="5" t="s">
        <v>36</v>
      </c>
      <c r="H352" s="5" t="s">
        <v>36</v>
      </c>
      <c r="I352" s="5" t="s">
        <v>35</v>
      </c>
      <c r="J352" s="6">
        <v>2.0</v>
      </c>
      <c r="K352" s="6">
        <v>3700.0</v>
      </c>
      <c r="L352" s="6">
        <v>925.0</v>
      </c>
      <c r="M352" s="8" t="s">
        <v>142</v>
      </c>
      <c r="N352" s="8" t="s">
        <v>106</v>
      </c>
      <c r="O352" s="6" t="s">
        <v>40</v>
      </c>
      <c r="P352" s="5" t="s">
        <v>59</v>
      </c>
      <c r="Q352" s="5" t="s">
        <v>122</v>
      </c>
      <c r="R352" s="6" t="s">
        <v>42</v>
      </c>
      <c r="S352" s="5" t="s">
        <v>62</v>
      </c>
      <c r="T352" s="5" t="s">
        <v>141</v>
      </c>
      <c r="U352" s="5" t="s">
        <v>44</v>
      </c>
      <c r="V352" s="5" t="s">
        <v>44</v>
      </c>
      <c r="W352" s="5" t="s">
        <v>35</v>
      </c>
      <c r="X352" s="8" t="s">
        <v>194</v>
      </c>
      <c r="Y352" s="5" t="s">
        <v>46</v>
      </c>
      <c r="Z352" s="5" t="s">
        <v>47</v>
      </c>
      <c r="AA352" s="5" t="s">
        <v>64</v>
      </c>
      <c r="AB352" s="5" t="s">
        <v>1734</v>
      </c>
      <c r="AC352" s="6" t="s">
        <v>247</v>
      </c>
      <c r="AD352" s="6">
        <v>1816.0</v>
      </c>
    </row>
    <row r="353" ht="56.25" customHeight="1">
      <c r="A353" s="5" t="s">
        <v>1666</v>
      </c>
      <c r="B353" s="6" t="str">
        <f>IMAGE("https://storage.googleapis.com/acdb/housewares/FtrFittingroom_Remake_2_2.png")</f>
        <v/>
      </c>
      <c r="C353" s="5" t="s">
        <v>39</v>
      </c>
      <c r="D353" s="5" t="s">
        <v>34</v>
      </c>
      <c r="E353" s="5" t="s">
        <v>54</v>
      </c>
      <c r="F353" s="5" t="s">
        <v>1667</v>
      </c>
      <c r="G353" s="5" t="s">
        <v>36</v>
      </c>
      <c r="H353" s="5" t="s">
        <v>36</v>
      </c>
      <c r="I353" s="5" t="s">
        <v>35</v>
      </c>
      <c r="J353" s="6">
        <v>2.0</v>
      </c>
      <c r="K353" s="6">
        <v>3700.0</v>
      </c>
      <c r="L353" s="6">
        <v>925.0</v>
      </c>
      <c r="M353" s="8" t="s">
        <v>142</v>
      </c>
      <c r="N353" s="8" t="s">
        <v>54</v>
      </c>
      <c r="O353" s="6" t="s">
        <v>40</v>
      </c>
      <c r="P353" s="5" t="s">
        <v>59</v>
      </c>
      <c r="Q353" s="5" t="s">
        <v>122</v>
      </c>
      <c r="R353" s="6" t="s">
        <v>42</v>
      </c>
      <c r="S353" s="5" t="s">
        <v>62</v>
      </c>
      <c r="T353" s="5" t="s">
        <v>141</v>
      </c>
      <c r="U353" s="5" t="s">
        <v>44</v>
      </c>
      <c r="V353" s="5" t="s">
        <v>44</v>
      </c>
      <c r="W353" s="5" t="s">
        <v>35</v>
      </c>
      <c r="X353" s="8" t="s">
        <v>194</v>
      </c>
      <c r="Y353" s="5" t="s">
        <v>46</v>
      </c>
      <c r="Z353" s="5" t="s">
        <v>47</v>
      </c>
      <c r="AA353" s="5" t="s">
        <v>64</v>
      </c>
      <c r="AB353" s="5" t="s">
        <v>1737</v>
      </c>
      <c r="AC353" s="6" t="s">
        <v>390</v>
      </c>
      <c r="AD353" s="6">
        <v>1816.0</v>
      </c>
    </row>
    <row r="354" ht="56.25" customHeight="1">
      <c r="A354" s="5" t="s">
        <v>1666</v>
      </c>
      <c r="B354" s="6" t="str">
        <f>IMAGE("https://storage.googleapis.com/acdb/housewares/FtrFittingroom_Remake_2_3.png")</f>
        <v/>
      </c>
      <c r="C354" s="5" t="s">
        <v>39</v>
      </c>
      <c r="D354" s="5" t="s">
        <v>34</v>
      </c>
      <c r="E354" s="5" t="s">
        <v>114</v>
      </c>
      <c r="F354" s="5" t="s">
        <v>1667</v>
      </c>
      <c r="G354" s="5" t="s">
        <v>36</v>
      </c>
      <c r="H354" s="5" t="s">
        <v>36</v>
      </c>
      <c r="I354" s="5" t="s">
        <v>35</v>
      </c>
      <c r="J354" s="6">
        <v>2.0</v>
      </c>
      <c r="K354" s="6">
        <v>3700.0</v>
      </c>
      <c r="L354" s="6">
        <v>925.0</v>
      </c>
      <c r="M354" s="8" t="s">
        <v>142</v>
      </c>
      <c r="N354" s="8" t="s">
        <v>114</v>
      </c>
      <c r="O354" s="6" t="s">
        <v>40</v>
      </c>
      <c r="P354" s="5" t="s">
        <v>59</v>
      </c>
      <c r="Q354" s="5" t="s">
        <v>122</v>
      </c>
      <c r="R354" s="6" t="s">
        <v>42</v>
      </c>
      <c r="S354" s="5" t="s">
        <v>62</v>
      </c>
      <c r="T354" s="5" t="s">
        <v>141</v>
      </c>
      <c r="U354" s="5" t="s">
        <v>44</v>
      </c>
      <c r="V354" s="5" t="s">
        <v>44</v>
      </c>
      <c r="W354" s="5" t="s">
        <v>35</v>
      </c>
      <c r="X354" s="8" t="s">
        <v>194</v>
      </c>
      <c r="Y354" s="5" t="s">
        <v>46</v>
      </c>
      <c r="Z354" s="5" t="s">
        <v>47</v>
      </c>
      <c r="AA354" s="5" t="s">
        <v>64</v>
      </c>
      <c r="AB354" s="5" t="s">
        <v>1740</v>
      </c>
      <c r="AC354" s="6" t="s">
        <v>396</v>
      </c>
      <c r="AD354" s="6">
        <v>1816.0</v>
      </c>
    </row>
    <row r="355" ht="56.25" customHeight="1">
      <c r="A355" s="5" t="s">
        <v>1666</v>
      </c>
      <c r="B355" s="6" t="str">
        <f>IMAGE("https://storage.googleapis.com/acdb/housewares/FtrFittingroom_Remake_2_4.png")</f>
        <v/>
      </c>
      <c r="C355" s="5" t="s">
        <v>39</v>
      </c>
      <c r="D355" s="5" t="s">
        <v>34</v>
      </c>
      <c r="E355" s="5" t="s">
        <v>69</v>
      </c>
      <c r="F355" s="5" t="s">
        <v>1667</v>
      </c>
      <c r="G355" s="5" t="s">
        <v>36</v>
      </c>
      <c r="H355" s="5" t="s">
        <v>36</v>
      </c>
      <c r="I355" s="5" t="s">
        <v>35</v>
      </c>
      <c r="J355" s="6">
        <v>2.0</v>
      </c>
      <c r="K355" s="6">
        <v>3700.0</v>
      </c>
      <c r="L355" s="6">
        <v>925.0</v>
      </c>
      <c r="M355" s="8" t="s">
        <v>142</v>
      </c>
      <c r="N355" s="8" t="s">
        <v>69</v>
      </c>
      <c r="O355" s="6" t="s">
        <v>40</v>
      </c>
      <c r="P355" s="5" t="s">
        <v>59</v>
      </c>
      <c r="Q355" s="5" t="s">
        <v>122</v>
      </c>
      <c r="R355" s="6" t="s">
        <v>42</v>
      </c>
      <c r="S355" s="5" t="s">
        <v>62</v>
      </c>
      <c r="T355" s="5" t="s">
        <v>141</v>
      </c>
      <c r="U355" s="5" t="s">
        <v>44</v>
      </c>
      <c r="V355" s="5" t="s">
        <v>44</v>
      </c>
      <c r="W355" s="5" t="s">
        <v>35</v>
      </c>
      <c r="X355" s="8" t="s">
        <v>194</v>
      </c>
      <c r="Y355" s="5" t="s">
        <v>46</v>
      </c>
      <c r="Z355" s="5" t="s">
        <v>47</v>
      </c>
      <c r="AA355" s="5" t="s">
        <v>64</v>
      </c>
      <c r="AB355" s="5" t="s">
        <v>1744</v>
      </c>
      <c r="AC355" s="6" t="s">
        <v>541</v>
      </c>
      <c r="AD355" s="6">
        <v>1816.0</v>
      </c>
    </row>
    <row r="356" ht="56.25" customHeight="1">
      <c r="A356" s="5" t="s">
        <v>1666</v>
      </c>
      <c r="B356" s="6" t="str">
        <f>IMAGE("https://storage.googleapis.com/acdb/housewares/FtrFittingroom_Remake_2_5.png")</f>
        <v/>
      </c>
      <c r="C356" s="5" t="s">
        <v>39</v>
      </c>
      <c r="D356" s="5" t="s">
        <v>34</v>
      </c>
      <c r="E356" s="5" t="s">
        <v>52</v>
      </c>
      <c r="F356" s="5" t="s">
        <v>1667</v>
      </c>
      <c r="G356" s="5" t="s">
        <v>36</v>
      </c>
      <c r="H356" s="5" t="s">
        <v>36</v>
      </c>
      <c r="I356" s="5" t="s">
        <v>35</v>
      </c>
      <c r="J356" s="6">
        <v>2.0</v>
      </c>
      <c r="K356" s="6">
        <v>3700.0</v>
      </c>
      <c r="L356" s="6">
        <v>925.0</v>
      </c>
      <c r="M356" s="8" t="s">
        <v>142</v>
      </c>
      <c r="N356" s="8" t="s">
        <v>52</v>
      </c>
      <c r="O356" s="6" t="s">
        <v>40</v>
      </c>
      <c r="P356" s="5" t="s">
        <v>59</v>
      </c>
      <c r="Q356" s="5" t="s">
        <v>122</v>
      </c>
      <c r="R356" s="6" t="s">
        <v>42</v>
      </c>
      <c r="S356" s="5" t="s">
        <v>62</v>
      </c>
      <c r="T356" s="5" t="s">
        <v>141</v>
      </c>
      <c r="U356" s="5" t="s">
        <v>44</v>
      </c>
      <c r="V356" s="5" t="s">
        <v>44</v>
      </c>
      <c r="W356" s="5" t="s">
        <v>35</v>
      </c>
      <c r="X356" s="8" t="s">
        <v>194</v>
      </c>
      <c r="Y356" s="5" t="s">
        <v>46</v>
      </c>
      <c r="Z356" s="5" t="s">
        <v>47</v>
      </c>
      <c r="AA356" s="5" t="s">
        <v>64</v>
      </c>
      <c r="AB356" s="5" t="s">
        <v>1750</v>
      </c>
      <c r="AC356" s="6" t="s">
        <v>1415</v>
      </c>
      <c r="AD356" s="6">
        <v>1816.0</v>
      </c>
    </row>
    <row r="357" ht="56.25" customHeight="1">
      <c r="A357" s="5" t="s">
        <v>1666</v>
      </c>
      <c r="B357" s="6" t="str">
        <f>IMAGE("https://storage.googleapis.com/acdb/housewares/FtrFittingroom_Remake_2_6.png")</f>
        <v/>
      </c>
      <c r="C357" s="5" t="s">
        <v>39</v>
      </c>
      <c r="D357" s="5" t="s">
        <v>34</v>
      </c>
      <c r="E357" s="5" t="s">
        <v>96</v>
      </c>
      <c r="F357" s="5" t="s">
        <v>1667</v>
      </c>
      <c r="G357" s="5" t="s">
        <v>36</v>
      </c>
      <c r="H357" s="5" t="s">
        <v>36</v>
      </c>
      <c r="I357" s="5" t="s">
        <v>35</v>
      </c>
      <c r="J357" s="6">
        <v>2.0</v>
      </c>
      <c r="K357" s="6">
        <v>3700.0</v>
      </c>
      <c r="L357" s="6">
        <v>925.0</v>
      </c>
      <c r="M357" s="8" t="s">
        <v>142</v>
      </c>
      <c r="N357" s="8" t="s">
        <v>96</v>
      </c>
      <c r="O357" s="6" t="s">
        <v>40</v>
      </c>
      <c r="P357" s="5" t="s">
        <v>59</v>
      </c>
      <c r="Q357" s="5" t="s">
        <v>122</v>
      </c>
      <c r="R357" s="6" t="s">
        <v>42</v>
      </c>
      <c r="S357" s="5" t="s">
        <v>62</v>
      </c>
      <c r="T357" s="5" t="s">
        <v>141</v>
      </c>
      <c r="U357" s="5" t="s">
        <v>44</v>
      </c>
      <c r="V357" s="5" t="s">
        <v>44</v>
      </c>
      <c r="W357" s="5" t="s">
        <v>35</v>
      </c>
      <c r="X357" s="8" t="s">
        <v>194</v>
      </c>
      <c r="Y357" s="5" t="s">
        <v>46</v>
      </c>
      <c r="Z357" s="5" t="s">
        <v>47</v>
      </c>
      <c r="AA357" s="5" t="s">
        <v>64</v>
      </c>
      <c r="AB357" s="5" t="s">
        <v>1755</v>
      </c>
      <c r="AC357" s="6" t="s">
        <v>1421</v>
      </c>
      <c r="AD357" s="6">
        <v>1816.0</v>
      </c>
    </row>
    <row r="358" ht="56.25" customHeight="1">
      <c r="A358" s="5" t="s">
        <v>1666</v>
      </c>
      <c r="B358" s="6" t="str">
        <f>IMAGE("https://storage.googleapis.com/acdb/housewares/FtrFittingroom_Remake_2_7.png")</f>
        <v/>
      </c>
      <c r="C358" s="5" t="s">
        <v>39</v>
      </c>
      <c r="D358" s="5" t="s">
        <v>34</v>
      </c>
      <c r="E358" s="5" t="s">
        <v>68</v>
      </c>
      <c r="F358" s="5" t="s">
        <v>1667</v>
      </c>
      <c r="G358" s="5" t="s">
        <v>36</v>
      </c>
      <c r="H358" s="5" t="s">
        <v>36</v>
      </c>
      <c r="I358" s="5" t="s">
        <v>35</v>
      </c>
      <c r="J358" s="6">
        <v>2.0</v>
      </c>
      <c r="K358" s="6">
        <v>3700.0</v>
      </c>
      <c r="L358" s="6">
        <v>925.0</v>
      </c>
      <c r="M358" s="8" t="s">
        <v>142</v>
      </c>
      <c r="N358" s="8" t="s">
        <v>1175</v>
      </c>
      <c r="O358" s="6" t="s">
        <v>40</v>
      </c>
      <c r="P358" s="5" t="s">
        <v>59</v>
      </c>
      <c r="Q358" s="5" t="s">
        <v>122</v>
      </c>
      <c r="R358" s="6" t="s">
        <v>42</v>
      </c>
      <c r="S358" s="5" t="s">
        <v>62</v>
      </c>
      <c r="T358" s="5" t="s">
        <v>141</v>
      </c>
      <c r="U358" s="5" t="s">
        <v>44</v>
      </c>
      <c r="V358" s="5" t="s">
        <v>44</v>
      </c>
      <c r="W358" s="5" t="s">
        <v>35</v>
      </c>
      <c r="X358" s="8" t="s">
        <v>194</v>
      </c>
      <c r="Y358" s="5" t="s">
        <v>46</v>
      </c>
      <c r="Z358" s="5" t="s">
        <v>47</v>
      </c>
      <c r="AA358" s="5" t="s">
        <v>64</v>
      </c>
      <c r="AB358" s="5" t="s">
        <v>1758</v>
      </c>
      <c r="AC358" s="6" t="s">
        <v>1759</v>
      </c>
      <c r="AD358" s="6">
        <v>1816.0</v>
      </c>
    </row>
    <row r="359" ht="56.25" customHeight="1">
      <c r="A359" s="5" t="s">
        <v>1666</v>
      </c>
      <c r="B359" s="6" t="str">
        <f>IMAGE("https://storage.googleapis.com/acdb/housewares/FtrFittingroom_Remake_3_0.png")</f>
        <v/>
      </c>
      <c r="C359" s="5" t="s">
        <v>387</v>
      </c>
      <c r="D359" s="5" t="s">
        <v>34</v>
      </c>
      <c r="E359" s="5" t="s">
        <v>57</v>
      </c>
      <c r="F359" s="5" t="s">
        <v>1667</v>
      </c>
      <c r="G359" s="5" t="s">
        <v>36</v>
      </c>
      <c r="H359" s="5" t="s">
        <v>36</v>
      </c>
      <c r="I359" s="5" t="s">
        <v>35</v>
      </c>
      <c r="J359" s="6">
        <v>2.0</v>
      </c>
      <c r="K359" s="6">
        <v>3700.0</v>
      </c>
      <c r="L359" s="6">
        <v>925.0</v>
      </c>
      <c r="M359" s="8" t="s">
        <v>39</v>
      </c>
      <c r="N359" s="8" t="s">
        <v>57</v>
      </c>
      <c r="O359" s="6" t="s">
        <v>40</v>
      </c>
      <c r="P359" s="5" t="s">
        <v>59</v>
      </c>
      <c r="Q359" s="5" t="s">
        <v>122</v>
      </c>
      <c r="R359" s="6" t="s">
        <v>42</v>
      </c>
      <c r="S359" s="5" t="s">
        <v>62</v>
      </c>
      <c r="T359" s="5" t="s">
        <v>141</v>
      </c>
      <c r="U359" s="5" t="s">
        <v>44</v>
      </c>
      <c r="V359" s="5" t="s">
        <v>44</v>
      </c>
      <c r="W359" s="5" t="s">
        <v>35</v>
      </c>
      <c r="X359" s="8" t="s">
        <v>194</v>
      </c>
      <c r="Y359" s="5" t="s">
        <v>46</v>
      </c>
      <c r="Z359" s="5" t="s">
        <v>47</v>
      </c>
      <c r="AA359" s="5" t="s">
        <v>64</v>
      </c>
      <c r="AB359" s="5" t="s">
        <v>1763</v>
      </c>
      <c r="AC359" s="6" t="s">
        <v>71</v>
      </c>
      <c r="AD359" s="6">
        <v>1816.0</v>
      </c>
    </row>
    <row r="360" ht="56.25" customHeight="1">
      <c r="A360" s="5" t="s">
        <v>1666</v>
      </c>
      <c r="B360" s="6" t="str">
        <f>IMAGE("https://storage.googleapis.com/acdb/housewares/FtrFittingroom_Remake_3_1.png")</f>
        <v/>
      </c>
      <c r="C360" s="5" t="s">
        <v>387</v>
      </c>
      <c r="D360" s="5" t="s">
        <v>34</v>
      </c>
      <c r="E360" s="5" t="s">
        <v>106</v>
      </c>
      <c r="F360" s="5" t="s">
        <v>1667</v>
      </c>
      <c r="G360" s="5" t="s">
        <v>36</v>
      </c>
      <c r="H360" s="5" t="s">
        <v>36</v>
      </c>
      <c r="I360" s="5" t="s">
        <v>35</v>
      </c>
      <c r="J360" s="6">
        <v>2.0</v>
      </c>
      <c r="K360" s="6">
        <v>3700.0</v>
      </c>
      <c r="L360" s="6">
        <v>925.0</v>
      </c>
      <c r="M360" s="8" t="s">
        <v>39</v>
      </c>
      <c r="N360" s="8" t="s">
        <v>106</v>
      </c>
      <c r="O360" s="6" t="s">
        <v>40</v>
      </c>
      <c r="P360" s="5" t="s">
        <v>59</v>
      </c>
      <c r="Q360" s="5" t="s">
        <v>122</v>
      </c>
      <c r="R360" s="6" t="s">
        <v>42</v>
      </c>
      <c r="S360" s="5" t="s">
        <v>62</v>
      </c>
      <c r="T360" s="5" t="s">
        <v>141</v>
      </c>
      <c r="U360" s="5" t="s">
        <v>44</v>
      </c>
      <c r="V360" s="5" t="s">
        <v>44</v>
      </c>
      <c r="W360" s="5" t="s">
        <v>35</v>
      </c>
      <c r="X360" s="8" t="s">
        <v>194</v>
      </c>
      <c r="Y360" s="5" t="s">
        <v>46</v>
      </c>
      <c r="Z360" s="5" t="s">
        <v>47</v>
      </c>
      <c r="AA360" s="5" t="s">
        <v>64</v>
      </c>
      <c r="AB360" s="5" t="s">
        <v>1768</v>
      </c>
      <c r="AC360" s="6" t="s">
        <v>257</v>
      </c>
      <c r="AD360" s="6">
        <v>1816.0</v>
      </c>
    </row>
    <row r="361" ht="56.25" customHeight="1">
      <c r="A361" s="5" t="s">
        <v>1666</v>
      </c>
      <c r="B361" s="6" t="str">
        <f>IMAGE("https://storage.googleapis.com/acdb/housewares/FtrFittingroom_Remake_3_2.png")</f>
        <v/>
      </c>
      <c r="C361" s="5" t="s">
        <v>387</v>
      </c>
      <c r="D361" s="5" t="s">
        <v>34</v>
      </c>
      <c r="E361" s="5" t="s">
        <v>54</v>
      </c>
      <c r="F361" s="5" t="s">
        <v>1667</v>
      </c>
      <c r="G361" s="5" t="s">
        <v>36</v>
      </c>
      <c r="H361" s="5" t="s">
        <v>36</v>
      </c>
      <c r="I361" s="5" t="s">
        <v>35</v>
      </c>
      <c r="J361" s="6">
        <v>2.0</v>
      </c>
      <c r="K361" s="6">
        <v>3700.0</v>
      </c>
      <c r="L361" s="6">
        <v>925.0</v>
      </c>
      <c r="M361" s="8" t="s">
        <v>39</v>
      </c>
      <c r="N361" s="8" t="s">
        <v>54</v>
      </c>
      <c r="O361" s="6" t="s">
        <v>40</v>
      </c>
      <c r="P361" s="5" t="s">
        <v>59</v>
      </c>
      <c r="Q361" s="5" t="s">
        <v>122</v>
      </c>
      <c r="R361" s="6" t="s">
        <v>42</v>
      </c>
      <c r="S361" s="5" t="s">
        <v>62</v>
      </c>
      <c r="T361" s="5" t="s">
        <v>141</v>
      </c>
      <c r="U361" s="5" t="s">
        <v>44</v>
      </c>
      <c r="V361" s="5" t="s">
        <v>44</v>
      </c>
      <c r="W361" s="5" t="s">
        <v>35</v>
      </c>
      <c r="X361" s="8" t="s">
        <v>194</v>
      </c>
      <c r="Y361" s="5" t="s">
        <v>46</v>
      </c>
      <c r="Z361" s="5" t="s">
        <v>47</v>
      </c>
      <c r="AA361" s="5" t="s">
        <v>64</v>
      </c>
      <c r="AB361" s="5" t="s">
        <v>1772</v>
      </c>
      <c r="AC361" s="6" t="s">
        <v>414</v>
      </c>
      <c r="AD361" s="6">
        <v>1816.0</v>
      </c>
    </row>
    <row r="362" ht="56.25" customHeight="1">
      <c r="A362" s="5" t="s">
        <v>1666</v>
      </c>
      <c r="B362" s="6" t="str">
        <f>IMAGE("https://storage.googleapis.com/acdb/housewares/FtrFittingroom_Remake_3_3.png")</f>
        <v/>
      </c>
      <c r="C362" s="5" t="s">
        <v>387</v>
      </c>
      <c r="D362" s="5" t="s">
        <v>34</v>
      </c>
      <c r="E362" s="5" t="s">
        <v>114</v>
      </c>
      <c r="F362" s="5" t="s">
        <v>1667</v>
      </c>
      <c r="G362" s="5" t="s">
        <v>36</v>
      </c>
      <c r="H362" s="5" t="s">
        <v>36</v>
      </c>
      <c r="I362" s="5" t="s">
        <v>35</v>
      </c>
      <c r="J362" s="6">
        <v>2.0</v>
      </c>
      <c r="K362" s="6">
        <v>3700.0</v>
      </c>
      <c r="L362" s="6">
        <v>925.0</v>
      </c>
      <c r="M362" s="8" t="s">
        <v>39</v>
      </c>
      <c r="N362" s="8" t="s">
        <v>114</v>
      </c>
      <c r="O362" s="6" t="s">
        <v>40</v>
      </c>
      <c r="P362" s="5" t="s">
        <v>59</v>
      </c>
      <c r="Q362" s="5" t="s">
        <v>122</v>
      </c>
      <c r="R362" s="6" t="s">
        <v>42</v>
      </c>
      <c r="S362" s="5" t="s">
        <v>62</v>
      </c>
      <c r="T362" s="5" t="s">
        <v>141</v>
      </c>
      <c r="U362" s="5" t="s">
        <v>44</v>
      </c>
      <c r="V362" s="5" t="s">
        <v>44</v>
      </c>
      <c r="W362" s="5" t="s">
        <v>35</v>
      </c>
      <c r="X362" s="8" t="s">
        <v>194</v>
      </c>
      <c r="Y362" s="5" t="s">
        <v>46</v>
      </c>
      <c r="Z362" s="5" t="s">
        <v>47</v>
      </c>
      <c r="AA362" s="5" t="s">
        <v>64</v>
      </c>
      <c r="AB362" s="5" t="s">
        <v>1773</v>
      </c>
      <c r="AC362" s="6" t="s">
        <v>418</v>
      </c>
      <c r="AD362" s="6">
        <v>1816.0</v>
      </c>
    </row>
    <row r="363" ht="56.25" customHeight="1">
      <c r="A363" s="5" t="s">
        <v>1666</v>
      </c>
      <c r="B363" s="6" t="str">
        <f>IMAGE("https://storage.googleapis.com/acdb/housewares/FtrFittingroom_Remake_3_4.png")</f>
        <v/>
      </c>
      <c r="C363" s="5" t="s">
        <v>387</v>
      </c>
      <c r="D363" s="5" t="s">
        <v>34</v>
      </c>
      <c r="E363" s="5" t="s">
        <v>69</v>
      </c>
      <c r="F363" s="5" t="s">
        <v>1667</v>
      </c>
      <c r="G363" s="5" t="s">
        <v>36</v>
      </c>
      <c r="H363" s="5" t="s">
        <v>36</v>
      </c>
      <c r="I363" s="5" t="s">
        <v>35</v>
      </c>
      <c r="J363" s="6">
        <v>2.0</v>
      </c>
      <c r="K363" s="6">
        <v>3700.0</v>
      </c>
      <c r="L363" s="6">
        <v>925.0</v>
      </c>
      <c r="M363" s="8" t="s">
        <v>39</v>
      </c>
      <c r="N363" s="8" t="s">
        <v>69</v>
      </c>
      <c r="O363" s="6" t="s">
        <v>40</v>
      </c>
      <c r="P363" s="5" t="s">
        <v>59</v>
      </c>
      <c r="Q363" s="5" t="s">
        <v>122</v>
      </c>
      <c r="R363" s="6" t="s">
        <v>42</v>
      </c>
      <c r="S363" s="5" t="s">
        <v>62</v>
      </c>
      <c r="T363" s="5" t="s">
        <v>141</v>
      </c>
      <c r="U363" s="5" t="s">
        <v>44</v>
      </c>
      <c r="V363" s="5" t="s">
        <v>44</v>
      </c>
      <c r="W363" s="5" t="s">
        <v>35</v>
      </c>
      <c r="X363" s="8" t="s">
        <v>194</v>
      </c>
      <c r="Y363" s="5" t="s">
        <v>46</v>
      </c>
      <c r="Z363" s="5" t="s">
        <v>47</v>
      </c>
      <c r="AA363" s="5" t="s">
        <v>64</v>
      </c>
      <c r="AB363" s="5" t="s">
        <v>1777</v>
      </c>
      <c r="AC363" s="6" t="s">
        <v>563</v>
      </c>
      <c r="AD363" s="6">
        <v>1816.0</v>
      </c>
    </row>
    <row r="364" ht="56.25" customHeight="1">
      <c r="A364" s="5" t="s">
        <v>1666</v>
      </c>
      <c r="B364" s="6" t="str">
        <f>IMAGE("https://storage.googleapis.com/acdb/housewares/FtrFittingroom_Remake_3_5.png")</f>
        <v/>
      </c>
      <c r="C364" s="5" t="s">
        <v>387</v>
      </c>
      <c r="D364" s="5" t="s">
        <v>34</v>
      </c>
      <c r="E364" s="5" t="s">
        <v>52</v>
      </c>
      <c r="F364" s="5" t="s">
        <v>1667</v>
      </c>
      <c r="G364" s="5" t="s">
        <v>36</v>
      </c>
      <c r="H364" s="5" t="s">
        <v>36</v>
      </c>
      <c r="I364" s="5" t="s">
        <v>35</v>
      </c>
      <c r="J364" s="6">
        <v>2.0</v>
      </c>
      <c r="K364" s="6">
        <v>3700.0</v>
      </c>
      <c r="L364" s="6">
        <v>925.0</v>
      </c>
      <c r="M364" s="8" t="s">
        <v>39</v>
      </c>
      <c r="N364" s="8" t="s">
        <v>52</v>
      </c>
      <c r="O364" s="6" t="s">
        <v>40</v>
      </c>
      <c r="P364" s="5" t="s">
        <v>59</v>
      </c>
      <c r="Q364" s="5" t="s">
        <v>122</v>
      </c>
      <c r="R364" s="6" t="s">
        <v>42</v>
      </c>
      <c r="S364" s="5" t="s">
        <v>62</v>
      </c>
      <c r="T364" s="5" t="s">
        <v>141</v>
      </c>
      <c r="U364" s="5" t="s">
        <v>44</v>
      </c>
      <c r="V364" s="5" t="s">
        <v>44</v>
      </c>
      <c r="W364" s="5" t="s">
        <v>35</v>
      </c>
      <c r="X364" s="8" t="s">
        <v>194</v>
      </c>
      <c r="Y364" s="5" t="s">
        <v>46</v>
      </c>
      <c r="Z364" s="5" t="s">
        <v>47</v>
      </c>
      <c r="AA364" s="5" t="s">
        <v>64</v>
      </c>
      <c r="AB364" s="5" t="s">
        <v>1782</v>
      </c>
      <c r="AC364" s="6" t="s">
        <v>1443</v>
      </c>
      <c r="AD364" s="6">
        <v>1816.0</v>
      </c>
    </row>
    <row r="365" ht="56.25" customHeight="1">
      <c r="A365" s="5" t="s">
        <v>1666</v>
      </c>
      <c r="B365" s="6" t="str">
        <f>IMAGE("https://storage.googleapis.com/acdb/housewares/FtrFittingroom_Remake_3_6.png")</f>
        <v/>
      </c>
      <c r="C365" s="5" t="s">
        <v>387</v>
      </c>
      <c r="D365" s="5" t="s">
        <v>34</v>
      </c>
      <c r="E365" s="5" t="s">
        <v>96</v>
      </c>
      <c r="F365" s="5" t="s">
        <v>1667</v>
      </c>
      <c r="G365" s="5" t="s">
        <v>36</v>
      </c>
      <c r="H365" s="5" t="s">
        <v>36</v>
      </c>
      <c r="I365" s="5" t="s">
        <v>35</v>
      </c>
      <c r="J365" s="6">
        <v>2.0</v>
      </c>
      <c r="K365" s="6">
        <v>3700.0</v>
      </c>
      <c r="L365" s="6">
        <v>925.0</v>
      </c>
      <c r="M365" s="8" t="s">
        <v>39</v>
      </c>
      <c r="N365" s="8" t="s">
        <v>96</v>
      </c>
      <c r="O365" s="6" t="s">
        <v>40</v>
      </c>
      <c r="P365" s="5" t="s">
        <v>59</v>
      </c>
      <c r="Q365" s="5" t="s">
        <v>122</v>
      </c>
      <c r="R365" s="6" t="s">
        <v>42</v>
      </c>
      <c r="S365" s="5" t="s">
        <v>62</v>
      </c>
      <c r="T365" s="5" t="s">
        <v>141</v>
      </c>
      <c r="U365" s="5" t="s">
        <v>44</v>
      </c>
      <c r="V365" s="5" t="s">
        <v>44</v>
      </c>
      <c r="W365" s="5" t="s">
        <v>35</v>
      </c>
      <c r="X365" s="8" t="s">
        <v>194</v>
      </c>
      <c r="Y365" s="5" t="s">
        <v>46</v>
      </c>
      <c r="Z365" s="5" t="s">
        <v>47</v>
      </c>
      <c r="AA365" s="5" t="s">
        <v>64</v>
      </c>
      <c r="AB365" s="5" t="s">
        <v>1788</v>
      </c>
      <c r="AC365" s="6" t="s">
        <v>1450</v>
      </c>
      <c r="AD365" s="6">
        <v>1816.0</v>
      </c>
    </row>
    <row r="366" ht="56.25" customHeight="1">
      <c r="A366" s="5" t="s">
        <v>1666</v>
      </c>
      <c r="B366" s="6" t="str">
        <f>IMAGE("https://storage.googleapis.com/acdb/housewares/FtrFittingroom_Remake_3_7.png")</f>
        <v/>
      </c>
      <c r="C366" s="5" t="s">
        <v>387</v>
      </c>
      <c r="D366" s="5" t="s">
        <v>34</v>
      </c>
      <c r="E366" s="5" t="s">
        <v>68</v>
      </c>
      <c r="F366" s="5" t="s">
        <v>1667</v>
      </c>
      <c r="G366" s="5" t="s">
        <v>36</v>
      </c>
      <c r="H366" s="5" t="s">
        <v>36</v>
      </c>
      <c r="I366" s="5" t="s">
        <v>35</v>
      </c>
      <c r="J366" s="6">
        <v>2.0</v>
      </c>
      <c r="K366" s="6">
        <v>3700.0</v>
      </c>
      <c r="L366" s="6">
        <v>925.0</v>
      </c>
      <c r="M366" s="8" t="s">
        <v>39</v>
      </c>
      <c r="N366" s="8" t="s">
        <v>1175</v>
      </c>
      <c r="O366" s="6" t="s">
        <v>40</v>
      </c>
      <c r="P366" s="5" t="s">
        <v>59</v>
      </c>
      <c r="Q366" s="5" t="s">
        <v>122</v>
      </c>
      <c r="R366" s="6" t="s">
        <v>42</v>
      </c>
      <c r="S366" s="5" t="s">
        <v>62</v>
      </c>
      <c r="T366" s="5" t="s">
        <v>141</v>
      </c>
      <c r="U366" s="5" t="s">
        <v>44</v>
      </c>
      <c r="V366" s="5" t="s">
        <v>44</v>
      </c>
      <c r="W366" s="5" t="s">
        <v>35</v>
      </c>
      <c r="X366" s="8" t="s">
        <v>194</v>
      </c>
      <c r="Y366" s="5" t="s">
        <v>46</v>
      </c>
      <c r="Z366" s="5" t="s">
        <v>47</v>
      </c>
      <c r="AA366" s="5" t="s">
        <v>64</v>
      </c>
      <c r="AB366" s="5" t="s">
        <v>1791</v>
      </c>
      <c r="AC366" s="6" t="s">
        <v>1792</v>
      </c>
      <c r="AD366" s="6">
        <v>1816.0</v>
      </c>
    </row>
    <row r="367" ht="56.25" customHeight="1">
      <c r="A367" s="5" t="s">
        <v>1666</v>
      </c>
      <c r="B367" s="6" t="str">
        <f>IMAGE("https://storage.googleapis.com/acdb/housewares/FtrFittingroom_Remake_4_0.png")</f>
        <v/>
      </c>
      <c r="C367" s="5" t="s">
        <v>54</v>
      </c>
      <c r="D367" s="5" t="s">
        <v>34</v>
      </c>
      <c r="E367" s="5" t="s">
        <v>57</v>
      </c>
      <c r="F367" s="5" t="s">
        <v>1667</v>
      </c>
      <c r="G367" s="5" t="s">
        <v>36</v>
      </c>
      <c r="H367" s="5" t="s">
        <v>36</v>
      </c>
      <c r="I367" s="5" t="s">
        <v>35</v>
      </c>
      <c r="J367" s="6">
        <v>2.0</v>
      </c>
      <c r="K367" s="6">
        <v>3700.0</v>
      </c>
      <c r="L367" s="6">
        <v>925.0</v>
      </c>
      <c r="M367" s="8" t="s">
        <v>54</v>
      </c>
      <c r="N367" s="8" t="s">
        <v>57</v>
      </c>
      <c r="O367" s="6" t="s">
        <v>40</v>
      </c>
      <c r="P367" s="5" t="s">
        <v>59</v>
      </c>
      <c r="Q367" s="5" t="s">
        <v>122</v>
      </c>
      <c r="R367" s="6" t="s">
        <v>42</v>
      </c>
      <c r="S367" s="5" t="s">
        <v>62</v>
      </c>
      <c r="T367" s="5" t="s">
        <v>141</v>
      </c>
      <c r="U367" s="5" t="s">
        <v>44</v>
      </c>
      <c r="V367" s="5" t="s">
        <v>44</v>
      </c>
      <c r="W367" s="5" t="s">
        <v>35</v>
      </c>
      <c r="X367" s="8" t="s">
        <v>194</v>
      </c>
      <c r="Y367" s="5" t="s">
        <v>46</v>
      </c>
      <c r="Z367" s="5" t="s">
        <v>47</v>
      </c>
      <c r="AA367" s="5" t="s">
        <v>64</v>
      </c>
      <c r="AB367" s="5" t="s">
        <v>1797</v>
      </c>
      <c r="AC367" s="6" t="s">
        <v>75</v>
      </c>
      <c r="AD367" s="6">
        <v>1816.0</v>
      </c>
    </row>
    <row r="368" ht="56.25" customHeight="1">
      <c r="A368" s="5" t="s">
        <v>1666</v>
      </c>
      <c r="B368" s="6" t="str">
        <f>IMAGE("https://storage.googleapis.com/acdb/housewares/FtrFittingroom_Remake_4_1.png")</f>
        <v/>
      </c>
      <c r="C368" s="5" t="s">
        <v>54</v>
      </c>
      <c r="D368" s="5" t="s">
        <v>34</v>
      </c>
      <c r="E368" s="5" t="s">
        <v>106</v>
      </c>
      <c r="F368" s="5" t="s">
        <v>1667</v>
      </c>
      <c r="G368" s="5" t="s">
        <v>36</v>
      </c>
      <c r="H368" s="5" t="s">
        <v>36</v>
      </c>
      <c r="I368" s="5" t="s">
        <v>35</v>
      </c>
      <c r="J368" s="6">
        <v>2.0</v>
      </c>
      <c r="K368" s="6">
        <v>3700.0</v>
      </c>
      <c r="L368" s="6">
        <v>925.0</v>
      </c>
      <c r="M368" s="8" t="s">
        <v>54</v>
      </c>
      <c r="N368" s="8" t="s">
        <v>106</v>
      </c>
      <c r="O368" s="6" t="s">
        <v>40</v>
      </c>
      <c r="P368" s="5" t="s">
        <v>59</v>
      </c>
      <c r="Q368" s="5" t="s">
        <v>122</v>
      </c>
      <c r="R368" s="6" t="s">
        <v>42</v>
      </c>
      <c r="S368" s="5" t="s">
        <v>62</v>
      </c>
      <c r="T368" s="5" t="s">
        <v>141</v>
      </c>
      <c r="U368" s="5" t="s">
        <v>44</v>
      </c>
      <c r="V368" s="5" t="s">
        <v>44</v>
      </c>
      <c r="W368" s="5" t="s">
        <v>35</v>
      </c>
      <c r="X368" s="8" t="s">
        <v>194</v>
      </c>
      <c r="Y368" s="5" t="s">
        <v>46</v>
      </c>
      <c r="Z368" s="5" t="s">
        <v>47</v>
      </c>
      <c r="AA368" s="5" t="s">
        <v>64</v>
      </c>
      <c r="AB368" s="5" t="s">
        <v>1800</v>
      </c>
      <c r="AC368" s="6" t="s">
        <v>429</v>
      </c>
      <c r="AD368" s="6">
        <v>1816.0</v>
      </c>
    </row>
    <row r="369" ht="56.25" customHeight="1">
      <c r="A369" s="5" t="s">
        <v>1666</v>
      </c>
      <c r="B369" s="6" t="str">
        <f>IMAGE("https://storage.googleapis.com/acdb/housewares/FtrFittingroom_Remake_4_2.png")</f>
        <v/>
      </c>
      <c r="C369" s="5" t="s">
        <v>54</v>
      </c>
      <c r="D369" s="5" t="s">
        <v>34</v>
      </c>
      <c r="E369" s="5" t="s">
        <v>54</v>
      </c>
      <c r="F369" s="5" t="s">
        <v>1667</v>
      </c>
      <c r="G369" s="5" t="s">
        <v>36</v>
      </c>
      <c r="H369" s="5" t="s">
        <v>36</v>
      </c>
      <c r="I369" s="5" t="s">
        <v>35</v>
      </c>
      <c r="J369" s="6">
        <v>2.0</v>
      </c>
      <c r="K369" s="6">
        <v>3700.0</v>
      </c>
      <c r="L369" s="6">
        <v>925.0</v>
      </c>
      <c r="M369" s="8" t="s">
        <v>54</v>
      </c>
      <c r="N369" s="8" t="s">
        <v>54</v>
      </c>
      <c r="O369" s="6" t="s">
        <v>40</v>
      </c>
      <c r="P369" s="5" t="s">
        <v>59</v>
      </c>
      <c r="Q369" s="5" t="s">
        <v>122</v>
      </c>
      <c r="R369" s="6" t="s">
        <v>42</v>
      </c>
      <c r="S369" s="5" t="s">
        <v>62</v>
      </c>
      <c r="T369" s="5" t="s">
        <v>141</v>
      </c>
      <c r="U369" s="5" t="s">
        <v>44</v>
      </c>
      <c r="V369" s="5" t="s">
        <v>44</v>
      </c>
      <c r="W369" s="5" t="s">
        <v>35</v>
      </c>
      <c r="X369" s="8" t="s">
        <v>194</v>
      </c>
      <c r="Y369" s="5" t="s">
        <v>46</v>
      </c>
      <c r="Z369" s="5" t="s">
        <v>47</v>
      </c>
      <c r="AA369" s="5" t="s">
        <v>64</v>
      </c>
      <c r="AB369" s="5" t="s">
        <v>1804</v>
      </c>
      <c r="AC369" s="6" t="s">
        <v>434</v>
      </c>
      <c r="AD369" s="6">
        <v>1816.0</v>
      </c>
    </row>
    <row r="370" ht="56.25" customHeight="1">
      <c r="A370" s="5" t="s">
        <v>1666</v>
      </c>
      <c r="B370" s="6" t="str">
        <f>IMAGE("https://storage.googleapis.com/acdb/housewares/FtrFittingroom_Remake_4_3.png")</f>
        <v/>
      </c>
      <c r="C370" s="5" t="s">
        <v>54</v>
      </c>
      <c r="D370" s="5" t="s">
        <v>34</v>
      </c>
      <c r="E370" s="5" t="s">
        <v>114</v>
      </c>
      <c r="F370" s="5" t="s">
        <v>1667</v>
      </c>
      <c r="G370" s="5" t="s">
        <v>36</v>
      </c>
      <c r="H370" s="5" t="s">
        <v>36</v>
      </c>
      <c r="I370" s="5" t="s">
        <v>35</v>
      </c>
      <c r="J370" s="6">
        <v>2.0</v>
      </c>
      <c r="K370" s="6">
        <v>3700.0</v>
      </c>
      <c r="L370" s="6">
        <v>925.0</v>
      </c>
      <c r="M370" s="8" t="s">
        <v>54</v>
      </c>
      <c r="N370" s="8" t="s">
        <v>114</v>
      </c>
      <c r="O370" s="6" t="s">
        <v>40</v>
      </c>
      <c r="P370" s="5" t="s">
        <v>59</v>
      </c>
      <c r="Q370" s="5" t="s">
        <v>122</v>
      </c>
      <c r="R370" s="6" t="s">
        <v>42</v>
      </c>
      <c r="S370" s="5" t="s">
        <v>62</v>
      </c>
      <c r="T370" s="5" t="s">
        <v>141</v>
      </c>
      <c r="U370" s="5" t="s">
        <v>44</v>
      </c>
      <c r="V370" s="5" t="s">
        <v>44</v>
      </c>
      <c r="W370" s="5" t="s">
        <v>35</v>
      </c>
      <c r="X370" s="8" t="s">
        <v>194</v>
      </c>
      <c r="Y370" s="5" t="s">
        <v>46</v>
      </c>
      <c r="Z370" s="5" t="s">
        <v>47</v>
      </c>
      <c r="AA370" s="5" t="s">
        <v>64</v>
      </c>
      <c r="AB370" s="5" t="s">
        <v>1809</v>
      </c>
      <c r="AC370" s="6" t="s">
        <v>438</v>
      </c>
      <c r="AD370" s="6">
        <v>1816.0</v>
      </c>
    </row>
    <row r="371" ht="56.25" customHeight="1">
      <c r="A371" s="5" t="s">
        <v>1666</v>
      </c>
      <c r="B371" s="6" t="str">
        <f>IMAGE("https://storage.googleapis.com/acdb/housewares/FtrFittingroom_Remake_4_4.png")</f>
        <v/>
      </c>
      <c r="C371" s="5" t="s">
        <v>54</v>
      </c>
      <c r="D371" s="5" t="s">
        <v>34</v>
      </c>
      <c r="E371" s="5" t="s">
        <v>69</v>
      </c>
      <c r="F371" s="5" t="s">
        <v>1667</v>
      </c>
      <c r="G371" s="5" t="s">
        <v>36</v>
      </c>
      <c r="H371" s="5" t="s">
        <v>36</v>
      </c>
      <c r="I371" s="5" t="s">
        <v>35</v>
      </c>
      <c r="J371" s="6">
        <v>2.0</v>
      </c>
      <c r="K371" s="6">
        <v>3700.0</v>
      </c>
      <c r="L371" s="6">
        <v>925.0</v>
      </c>
      <c r="M371" s="8" t="s">
        <v>54</v>
      </c>
      <c r="N371" s="8" t="s">
        <v>69</v>
      </c>
      <c r="O371" s="6" t="s">
        <v>40</v>
      </c>
      <c r="P371" s="5" t="s">
        <v>59</v>
      </c>
      <c r="Q371" s="5" t="s">
        <v>122</v>
      </c>
      <c r="R371" s="6" t="s">
        <v>42</v>
      </c>
      <c r="S371" s="5" t="s">
        <v>62</v>
      </c>
      <c r="T371" s="5" t="s">
        <v>141</v>
      </c>
      <c r="U371" s="5" t="s">
        <v>44</v>
      </c>
      <c r="V371" s="5" t="s">
        <v>44</v>
      </c>
      <c r="W371" s="5" t="s">
        <v>35</v>
      </c>
      <c r="X371" s="8" t="s">
        <v>194</v>
      </c>
      <c r="Y371" s="5" t="s">
        <v>46</v>
      </c>
      <c r="Z371" s="5" t="s">
        <v>47</v>
      </c>
      <c r="AA371" s="5" t="s">
        <v>64</v>
      </c>
      <c r="AB371" s="5" t="s">
        <v>1813</v>
      </c>
      <c r="AC371" s="6" t="s">
        <v>585</v>
      </c>
      <c r="AD371" s="6">
        <v>1816.0</v>
      </c>
    </row>
    <row r="372" ht="56.25" customHeight="1">
      <c r="A372" s="5" t="s">
        <v>1666</v>
      </c>
      <c r="B372" s="6" t="str">
        <f>IMAGE("https://storage.googleapis.com/acdb/housewares/FtrFittingroom_Remake_4_5.png")</f>
        <v/>
      </c>
      <c r="C372" s="5" t="s">
        <v>54</v>
      </c>
      <c r="D372" s="5" t="s">
        <v>34</v>
      </c>
      <c r="E372" s="5" t="s">
        <v>52</v>
      </c>
      <c r="F372" s="5" t="s">
        <v>1667</v>
      </c>
      <c r="G372" s="5" t="s">
        <v>36</v>
      </c>
      <c r="H372" s="5" t="s">
        <v>36</v>
      </c>
      <c r="I372" s="5" t="s">
        <v>35</v>
      </c>
      <c r="J372" s="6">
        <v>2.0</v>
      </c>
      <c r="K372" s="6">
        <v>3700.0</v>
      </c>
      <c r="L372" s="6">
        <v>925.0</v>
      </c>
      <c r="M372" s="8" t="s">
        <v>54</v>
      </c>
      <c r="N372" s="8" t="s">
        <v>52</v>
      </c>
      <c r="O372" s="6" t="s">
        <v>40</v>
      </c>
      <c r="P372" s="5" t="s">
        <v>59</v>
      </c>
      <c r="Q372" s="5" t="s">
        <v>122</v>
      </c>
      <c r="R372" s="6" t="s">
        <v>42</v>
      </c>
      <c r="S372" s="5" t="s">
        <v>62</v>
      </c>
      <c r="T372" s="5" t="s">
        <v>141</v>
      </c>
      <c r="U372" s="5" t="s">
        <v>44</v>
      </c>
      <c r="V372" s="5" t="s">
        <v>44</v>
      </c>
      <c r="W372" s="5" t="s">
        <v>35</v>
      </c>
      <c r="X372" s="8" t="s">
        <v>194</v>
      </c>
      <c r="Y372" s="5" t="s">
        <v>46</v>
      </c>
      <c r="Z372" s="5" t="s">
        <v>47</v>
      </c>
      <c r="AA372" s="5" t="s">
        <v>64</v>
      </c>
      <c r="AB372" s="5" t="s">
        <v>1814</v>
      </c>
      <c r="AC372" s="6" t="s">
        <v>1816</v>
      </c>
      <c r="AD372" s="6">
        <v>1816.0</v>
      </c>
    </row>
    <row r="373" ht="56.25" customHeight="1">
      <c r="A373" s="5" t="s">
        <v>1666</v>
      </c>
      <c r="B373" s="6" t="str">
        <f>IMAGE("https://storage.googleapis.com/acdb/housewares/FtrFittingroom_Remake_4_6.png")</f>
        <v/>
      </c>
      <c r="C373" s="5" t="s">
        <v>54</v>
      </c>
      <c r="D373" s="5" t="s">
        <v>34</v>
      </c>
      <c r="E373" s="5" t="s">
        <v>96</v>
      </c>
      <c r="F373" s="5" t="s">
        <v>1667</v>
      </c>
      <c r="G373" s="5" t="s">
        <v>36</v>
      </c>
      <c r="H373" s="5" t="s">
        <v>36</v>
      </c>
      <c r="I373" s="5" t="s">
        <v>35</v>
      </c>
      <c r="J373" s="6">
        <v>2.0</v>
      </c>
      <c r="K373" s="6">
        <v>3700.0</v>
      </c>
      <c r="L373" s="6">
        <v>925.0</v>
      </c>
      <c r="M373" s="8" t="s">
        <v>54</v>
      </c>
      <c r="N373" s="8" t="s">
        <v>96</v>
      </c>
      <c r="O373" s="6" t="s">
        <v>40</v>
      </c>
      <c r="P373" s="5" t="s">
        <v>59</v>
      </c>
      <c r="Q373" s="5" t="s">
        <v>122</v>
      </c>
      <c r="R373" s="6" t="s">
        <v>42</v>
      </c>
      <c r="S373" s="5" t="s">
        <v>62</v>
      </c>
      <c r="T373" s="5" t="s">
        <v>141</v>
      </c>
      <c r="U373" s="5" t="s">
        <v>44</v>
      </c>
      <c r="V373" s="5" t="s">
        <v>44</v>
      </c>
      <c r="W373" s="5" t="s">
        <v>35</v>
      </c>
      <c r="X373" s="8" t="s">
        <v>194</v>
      </c>
      <c r="Y373" s="5" t="s">
        <v>46</v>
      </c>
      <c r="Z373" s="5" t="s">
        <v>47</v>
      </c>
      <c r="AA373" s="5" t="s">
        <v>64</v>
      </c>
      <c r="AB373" s="5" t="s">
        <v>1819</v>
      </c>
      <c r="AC373" s="6" t="s">
        <v>1820</v>
      </c>
      <c r="AD373" s="6">
        <v>1816.0</v>
      </c>
    </row>
    <row r="374" ht="56.25" customHeight="1">
      <c r="A374" s="5" t="s">
        <v>1666</v>
      </c>
      <c r="B374" s="6" t="str">
        <f>IMAGE("https://storage.googleapis.com/acdb/housewares/FtrFittingroom_Remake_4_7.png")</f>
        <v/>
      </c>
      <c r="C374" s="5" t="s">
        <v>54</v>
      </c>
      <c r="D374" s="5" t="s">
        <v>34</v>
      </c>
      <c r="E374" s="5" t="s">
        <v>68</v>
      </c>
      <c r="F374" s="5" t="s">
        <v>1667</v>
      </c>
      <c r="G374" s="5" t="s">
        <v>36</v>
      </c>
      <c r="H374" s="5" t="s">
        <v>36</v>
      </c>
      <c r="I374" s="5" t="s">
        <v>35</v>
      </c>
      <c r="J374" s="6">
        <v>2.0</v>
      </c>
      <c r="K374" s="6">
        <v>3700.0</v>
      </c>
      <c r="L374" s="6">
        <v>925.0</v>
      </c>
      <c r="M374" s="8" t="s">
        <v>54</v>
      </c>
      <c r="N374" s="8" t="s">
        <v>1175</v>
      </c>
      <c r="O374" s="6" t="s">
        <v>40</v>
      </c>
      <c r="P374" s="5" t="s">
        <v>59</v>
      </c>
      <c r="Q374" s="5" t="s">
        <v>122</v>
      </c>
      <c r="R374" s="6" t="s">
        <v>42</v>
      </c>
      <c r="S374" s="5" t="s">
        <v>62</v>
      </c>
      <c r="T374" s="5" t="s">
        <v>141</v>
      </c>
      <c r="U374" s="5" t="s">
        <v>44</v>
      </c>
      <c r="V374" s="5" t="s">
        <v>44</v>
      </c>
      <c r="W374" s="5" t="s">
        <v>35</v>
      </c>
      <c r="X374" s="8" t="s">
        <v>194</v>
      </c>
      <c r="Y374" s="5" t="s">
        <v>46</v>
      </c>
      <c r="Z374" s="5" t="s">
        <v>47</v>
      </c>
      <c r="AA374" s="5" t="s">
        <v>64</v>
      </c>
      <c r="AB374" s="5" t="s">
        <v>1823</v>
      </c>
      <c r="AC374" s="6" t="s">
        <v>1825</v>
      </c>
      <c r="AD374" s="6">
        <v>1816.0</v>
      </c>
    </row>
    <row r="375" ht="56.25" customHeight="1">
      <c r="A375" s="5" t="s">
        <v>1666</v>
      </c>
      <c r="B375" s="6" t="str">
        <f>IMAGE("https://storage.googleapis.com/acdb/housewares/FtrFittingroom_Remake_5_0.png")</f>
        <v/>
      </c>
      <c r="C375" s="5" t="s">
        <v>68</v>
      </c>
      <c r="D375" s="5" t="s">
        <v>34</v>
      </c>
      <c r="E375" s="5" t="s">
        <v>57</v>
      </c>
      <c r="F375" s="5" t="s">
        <v>1667</v>
      </c>
      <c r="G375" s="5" t="s">
        <v>36</v>
      </c>
      <c r="H375" s="5" t="s">
        <v>36</v>
      </c>
      <c r="I375" s="5" t="s">
        <v>35</v>
      </c>
      <c r="J375" s="6">
        <v>2.0</v>
      </c>
      <c r="K375" s="6">
        <v>3700.0</v>
      </c>
      <c r="L375" s="6">
        <v>925.0</v>
      </c>
      <c r="M375" s="8" t="s">
        <v>68</v>
      </c>
      <c r="N375" s="8" t="s">
        <v>57</v>
      </c>
      <c r="O375" s="6" t="s">
        <v>40</v>
      </c>
      <c r="P375" s="5" t="s">
        <v>59</v>
      </c>
      <c r="Q375" s="5" t="s">
        <v>122</v>
      </c>
      <c r="R375" s="6" t="s">
        <v>42</v>
      </c>
      <c r="S375" s="5" t="s">
        <v>62</v>
      </c>
      <c r="T375" s="5" t="s">
        <v>141</v>
      </c>
      <c r="U375" s="5" t="s">
        <v>44</v>
      </c>
      <c r="V375" s="5" t="s">
        <v>44</v>
      </c>
      <c r="W375" s="5" t="s">
        <v>35</v>
      </c>
      <c r="X375" s="8" t="s">
        <v>194</v>
      </c>
      <c r="Y375" s="5" t="s">
        <v>46</v>
      </c>
      <c r="Z375" s="5" t="s">
        <v>47</v>
      </c>
      <c r="AA375" s="5" t="s">
        <v>64</v>
      </c>
      <c r="AB375" s="5" t="s">
        <v>1827</v>
      </c>
      <c r="AC375" s="6" t="s">
        <v>79</v>
      </c>
      <c r="AD375" s="6">
        <v>1816.0</v>
      </c>
    </row>
    <row r="376" ht="56.25" customHeight="1">
      <c r="A376" s="5" t="s">
        <v>1666</v>
      </c>
      <c r="B376" s="6" t="str">
        <f>IMAGE("https://storage.googleapis.com/acdb/housewares/FtrFittingroom_Remake_5_1.png")</f>
        <v/>
      </c>
      <c r="C376" s="5" t="s">
        <v>68</v>
      </c>
      <c r="D376" s="5" t="s">
        <v>34</v>
      </c>
      <c r="E376" s="5" t="s">
        <v>106</v>
      </c>
      <c r="F376" s="5" t="s">
        <v>1667</v>
      </c>
      <c r="G376" s="5" t="s">
        <v>36</v>
      </c>
      <c r="H376" s="5" t="s">
        <v>36</v>
      </c>
      <c r="I376" s="5" t="s">
        <v>35</v>
      </c>
      <c r="J376" s="6">
        <v>2.0</v>
      </c>
      <c r="K376" s="6">
        <v>3700.0</v>
      </c>
      <c r="L376" s="6">
        <v>925.0</v>
      </c>
      <c r="M376" s="8" t="s">
        <v>68</v>
      </c>
      <c r="N376" s="8" t="s">
        <v>106</v>
      </c>
      <c r="O376" s="6" t="s">
        <v>40</v>
      </c>
      <c r="P376" s="5" t="s">
        <v>59</v>
      </c>
      <c r="Q376" s="5" t="s">
        <v>122</v>
      </c>
      <c r="R376" s="6" t="s">
        <v>42</v>
      </c>
      <c r="S376" s="5" t="s">
        <v>62</v>
      </c>
      <c r="T376" s="5" t="s">
        <v>141</v>
      </c>
      <c r="U376" s="5" t="s">
        <v>44</v>
      </c>
      <c r="V376" s="5" t="s">
        <v>44</v>
      </c>
      <c r="W376" s="5" t="s">
        <v>35</v>
      </c>
      <c r="X376" s="8" t="s">
        <v>194</v>
      </c>
      <c r="Y376" s="5" t="s">
        <v>46</v>
      </c>
      <c r="Z376" s="5" t="s">
        <v>47</v>
      </c>
      <c r="AA376" s="5" t="s">
        <v>64</v>
      </c>
      <c r="AB376" s="5" t="s">
        <v>1830</v>
      </c>
      <c r="AC376" s="6" t="s">
        <v>448</v>
      </c>
      <c r="AD376" s="6">
        <v>1816.0</v>
      </c>
    </row>
    <row r="377" ht="56.25" customHeight="1">
      <c r="A377" s="5" t="s">
        <v>1666</v>
      </c>
      <c r="B377" s="6" t="str">
        <f>IMAGE("https://storage.googleapis.com/acdb/housewares/FtrFittingroom_Remake_5_2.png")</f>
        <v/>
      </c>
      <c r="C377" s="5" t="s">
        <v>68</v>
      </c>
      <c r="D377" s="5" t="s">
        <v>34</v>
      </c>
      <c r="E377" s="5" t="s">
        <v>54</v>
      </c>
      <c r="F377" s="5" t="s">
        <v>1667</v>
      </c>
      <c r="G377" s="5" t="s">
        <v>36</v>
      </c>
      <c r="H377" s="5" t="s">
        <v>36</v>
      </c>
      <c r="I377" s="5" t="s">
        <v>35</v>
      </c>
      <c r="J377" s="6">
        <v>2.0</v>
      </c>
      <c r="K377" s="6">
        <v>3700.0</v>
      </c>
      <c r="L377" s="6">
        <v>925.0</v>
      </c>
      <c r="M377" s="8" t="s">
        <v>68</v>
      </c>
      <c r="N377" s="8" t="s">
        <v>54</v>
      </c>
      <c r="O377" s="6" t="s">
        <v>40</v>
      </c>
      <c r="P377" s="5" t="s">
        <v>59</v>
      </c>
      <c r="Q377" s="5" t="s">
        <v>122</v>
      </c>
      <c r="R377" s="6" t="s">
        <v>42</v>
      </c>
      <c r="S377" s="5" t="s">
        <v>62</v>
      </c>
      <c r="T377" s="5" t="s">
        <v>141</v>
      </c>
      <c r="U377" s="5" t="s">
        <v>44</v>
      </c>
      <c r="V377" s="5" t="s">
        <v>44</v>
      </c>
      <c r="W377" s="5" t="s">
        <v>35</v>
      </c>
      <c r="X377" s="8" t="s">
        <v>194</v>
      </c>
      <c r="Y377" s="5" t="s">
        <v>46</v>
      </c>
      <c r="Z377" s="5" t="s">
        <v>47</v>
      </c>
      <c r="AA377" s="5" t="s">
        <v>64</v>
      </c>
      <c r="AB377" s="5" t="s">
        <v>1832</v>
      </c>
      <c r="AC377" s="6" t="s">
        <v>452</v>
      </c>
      <c r="AD377" s="6">
        <v>1816.0</v>
      </c>
    </row>
    <row r="378" ht="56.25" customHeight="1">
      <c r="A378" s="5" t="s">
        <v>1666</v>
      </c>
      <c r="B378" s="6" t="str">
        <f>IMAGE("https://storage.googleapis.com/acdb/housewares/FtrFittingroom_Remake_5_3.png")</f>
        <v/>
      </c>
      <c r="C378" s="5" t="s">
        <v>68</v>
      </c>
      <c r="D378" s="5" t="s">
        <v>34</v>
      </c>
      <c r="E378" s="5" t="s">
        <v>114</v>
      </c>
      <c r="F378" s="5" t="s">
        <v>1667</v>
      </c>
      <c r="G378" s="5" t="s">
        <v>36</v>
      </c>
      <c r="H378" s="5" t="s">
        <v>36</v>
      </c>
      <c r="I378" s="5" t="s">
        <v>35</v>
      </c>
      <c r="J378" s="6">
        <v>2.0</v>
      </c>
      <c r="K378" s="6">
        <v>3700.0</v>
      </c>
      <c r="L378" s="6">
        <v>925.0</v>
      </c>
      <c r="M378" s="8" t="s">
        <v>68</v>
      </c>
      <c r="N378" s="8" t="s">
        <v>114</v>
      </c>
      <c r="O378" s="6" t="s">
        <v>40</v>
      </c>
      <c r="P378" s="5" t="s">
        <v>59</v>
      </c>
      <c r="Q378" s="5" t="s">
        <v>122</v>
      </c>
      <c r="R378" s="6" t="s">
        <v>42</v>
      </c>
      <c r="S378" s="5" t="s">
        <v>62</v>
      </c>
      <c r="T378" s="5" t="s">
        <v>141</v>
      </c>
      <c r="U378" s="5" t="s">
        <v>44</v>
      </c>
      <c r="V378" s="5" t="s">
        <v>44</v>
      </c>
      <c r="W378" s="5" t="s">
        <v>35</v>
      </c>
      <c r="X378" s="8" t="s">
        <v>194</v>
      </c>
      <c r="Y378" s="5" t="s">
        <v>46</v>
      </c>
      <c r="Z378" s="5" t="s">
        <v>47</v>
      </c>
      <c r="AA378" s="5" t="s">
        <v>64</v>
      </c>
      <c r="AB378" s="5" t="s">
        <v>1834</v>
      </c>
      <c r="AC378" s="6" t="s">
        <v>455</v>
      </c>
      <c r="AD378" s="6">
        <v>1816.0</v>
      </c>
    </row>
    <row r="379" ht="56.25" customHeight="1">
      <c r="A379" s="5" t="s">
        <v>1666</v>
      </c>
      <c r="B379" s="6" t="str">
        <f>IMAGE("https://storage.googleapis.com/acdb/housewares/FtrFittingroom_Remake_5_4.png")</f>
        <v/>
      </c>
      <c r="C379" s="5" t="s">
        <v>68</v>
      </c>
      <c r="D379" s="5" t="s">
        <v>34</v>
      </c>
      <c r="E379" s="5" t="s">
        <v>69</v>
      </c>
      <c r="F379" s="5" t="s">
        <v>1667</v>
      </c>
      <c r="G379" s="5" t="s">
        <v>36</v>
      </c>
      <c r="H379" s="5" t="s">
        <v>36</v>
      </c>
      <c r="I379" s="5" t="s">
        <v>35</v>
      </c>
      <c r="J379" s="6">
        <v>2.0</v>
      </c>
      <c r="K379" s="6">
        <v>3700.0</v>
      </c>
      <c r="L379" s="6">
        <v>925.0</v>
      </c>
      <c r="M379" s="8" t="s">
        <v>68</v>
      </c>
      <c r="N379" s="8" t="s">
        <v>69</v>
      </c>
      <c r="O379" s="6" t="s">
        <v>40</v>
      </c>
      <c r="P379" s="5" t="s">
        <v>59</v>
      </c>
      <c r="Q379" s="5" t="s">
        <v>122</v>
      </c>
      <c r="R379" s="6" t="s">
        <v>42</v>
      </c>
      <c r="S379" s="5" t="s">
        <v>62</v>
      </c>
      <c r="T379" s="5" t="s">
        <v>141</v>
      </c>
      <c r="U379" s="5" t="s">
        <v>44</v>
      </c>
      <c r="V379" s="5" t="s">
        <v>44</v>
      </c>
      <c r="W379" s="5" t="s">
        <v>35</v>
      </c>
      <c r="X379" s="8" t="s">
        <v>194</v>
      </c>
      <c r="Y379" s="5" t="s">
        <v>46</v>
      </c>
      <c r="Z379" s="5" t="s">
        <v>47</v>
      </c>
      <c r="AA379" s="5" t="s">
        <v>64</v>
      </c>
      <c r="AB379" s="5" t="s">
        <v>1839</v>
      </c>
      <c r="AC379" s="6" t="s">
        <v>609</v>
      </c>
      <c r="AD379" s="6">
        <v>1816.0</v>
      </c>
    </row>
    <row r="380" ht="56.25" customHeight="1">
      <c r="A380" s="5" t="s">
        <v>1666</v>
      </c>
      <c r="B380" s="6" t="str">
        <f>IMAGE("https://storage.googleapis.com/acdb/housewares/FtrFittingroom_Remake_5_5.png")</f>
        <v/>
      </c>
      <c r="C380" s="5" t="s">
        <v>68</v>
      </c>
      <c r="D380" s="5" t="s">
        <v>34</v>
      </c>
      <c r="E380" s="5" t="s">
        <v>52</v>
      </c>
      <c r="F380" s="5" t="s">
        <v>1667</v>
      </c>
      <c r="G380" s="5" t="s">
        <v>36</v>
      </c>
      <c r="H380" s="5" t="s">
        <v>36</v>
      </c>
      <c r="I380" s="5" t="s">
        <v>35</v>
      </c>
      <c r="J380" s="6">
        <v>2.0</v>
      </c>
      <c r="K380" s="6">
        <v>3700.0</v>
      </c>
      <c r="L380" s="6">
        <v>925.0</v>
      </c>
      <c r="M380" s="8" t="s">
        <v>68</v>
      </c>
      <c r="N380" s="8" t="s">
        <v>52</v>
      </c>
      <c r="O380" s="6" t="s">
        <v>40</v>
      </c>
      <c r="P380" s="5" t="s">
        <v>59</v>
      </c>
      <c r="Q380" s="5" t="s">
        <v>122</v>
      </c>
      <c r="R380" s="6" t="s">
        <v>42</v>
      </c>
      <c r="S380" s="5" t="s">
        <v>62</v>
      </c>
      <c r="T380" s="5" t="s">
        <v>141</v>
      </c>
      <c r="U380" s="5" t="s">
        <v>44</v>
      </c>
      <c r="V380" s="5" t="s">
        <v>44</v>
      </c>
      <c r="W380" s="5" t="s">
        <v>35</v>
      </c>
      <c r="X380" s="8" t="s">
        <v>194</v>
      </c>
      <c r="Y380" s="5" t="s">
        <v>46</v>
      </c>
      <c r="Z380" s="5" t="s">
        <v>47</v>
      </c>
      <c r="AA380" s="5" t="s">
        <v>64</v>
      </c>
      <c r="AB380" s="5" t="s">
        <v>1842</v>
      </c>
      <c r="AC380" s="6" t="s">
        <v>1843</v>
      </c>
      <c r="AD380" s="6">
        <v>1816.0</v>
      </c>
    </row>
    <row r="381" ht="56.25" customHeight="1">
      <c r="A381" s="5" t="s">
        <v>1666</v>
      </c>
      <c r="B381" s="6" t="str">
        <f>IMAGE("https://storage.googleapis.com/acdb/housewares/FtrFittingroom_Remake_5_6.png")</f>
        <v/>
      </c>
      <c r="C381" s="5" t="s">
        <v>68</v>
      </c>
      <c r="D381" s="5" t="s">
        <v>34</v>
      </c>
      <c r="E381" s="5" t="s">
        <v>96</v>
      </c>
      <c r="F381" s="5" t="s">
        <v>1667</v>
      </c>
      <c r="G381" s="5" t="s">
        <v>36</v>
      </c>
      <c r="H381" s="5" t="s">
        <v>36</v>
      </c>
      <c r="I381" s="5" t="s">
        <v>35</v>
      </c>
      <c r="J381" s="6">
        <v>2.0</v>
      </c>
      <c r="K381" s="6">
        <v>3700.0</v>
      </c>
      <c r="L381" s="6">
        <v>925.0</v>
      </c>
      <c r="M381" s="8" t="s">
        <v>68</v>
      </c>
      <c r="N381" s="8" t="s">
        <v>96</v>
      </c>
      <c r="O381" s="6" t="s">
        <v>40</v>
      </c>
      <c r="P381" s="5" t="s">
        <v>59</v>
      </c>
      <c r="Q381" s="5" t="s">
        <v>122</v>
      </c>
      <c r="R381" s="6" t="s">
        <v>42</v>
      </c>
      <c r="S381" s="5" t="s">
        <v>62</v>
      </c>
      <c r="T381" s="5" t="s">
        <v>141</v>
      </c>
      <c r="U381" s="5" t="s">
        <v>44</v>
      </c>
      <c r="V381" s="5" t="s">
        <v>44</v>
      </c>
      <c r="W381" s="5" t="s">
        <v>35</v>
      </c>
      <c r="X381" s="8" t="s">
        <v>194</v>
      </c>
      <c r="Y381" s="5" t="s">
        <v>46</v>
      </c>
      <c r="Z381" s="5" t="s">
        <v>47</v>
      </c>
      <c r="AA381" s="5" t="s">
        <v>64</v>
      </c>
      <c r="AB381" s="5" t="s">
        <v>1846</v>
      </c>
      <c r="AC381" s="6" t="s">
        <v>1847</v>
      </c>
      <c r="AD381" s="6">
        <v>1816.0</v>
      </c>
    </row>
    <row r="382" ht="56.25" customHeight="1">
      <c r="A382" s="5" t="s">
        <v>1666</v>
      </c>
      <c r="B382" s="6" t="str">
        <f>IMAGE("https://storage.googleapis.com/acdb/housewares/FtrFittingroom_Remake_5_7.png")</f>
        <v/>
      </c>
      <c r="C382" s="5" t="s">
        <v>68</v>
      </c>
      <c r="D382" s="5" t="s">
        <v>34</v>
      </c>
      <c r="E382" s="5" t="s">
        <v>68</v>
      </c>
      <c r="F382" s="5" t="s">
        <v>1667</v>
      </c>
      <c r="G382" s="5" t="s">
        <v>36</v>
      </c>
      <c r="H382" s="5" t="s">
        <v>36</v>
      </c>
      <c r="I382" s="5" t="s">
        <v>35</v>
      </c>
      <c r="J382" s="6">
        <v>2.0</v>
      </c>
      <c r="K382" s="6">
        <v>3700.0</v>
      </c>
      <c r="L382" s="6">
        <v>925.0</v>
      </c>
      <c r="M382" s="8" t="s">
        <v>68</v>
      </c>
      <c r="N382" s="8" t="s">
        <v>1175</v>
      </c>
      <c r="O382" s="6" t="s">
        <v>40</v>
      </c>
      <c r="P382" s="5" t="s">
        <v>59</v>
      </c>
      <c r="Q382" s="5" t="s">
        <v>122</v>
      </c>
      <c r="R382" s="6" t="s">
        <v>42</v>
      </c>
      <c r="S382" s="5" t="s">
        <v>62</v>
      </c>
      <c r="T382" s="5" t="s">
        <v>141</v>
      </c>
      <c r="U382" s="5" t="s">
        <v>44</v>
      </c>
      <c r="V382" s="5" t="s">
        <v>44</v>
      </c>
      <c r="W382" s="5" t="s">
        <v>35</v>
      </c>
      <c r="X382" s="8" t="s">
        <v>194</v>
      </c>
      <c r="Y382" s="5" t="s">
        <v>46</v>
      </c>
      <c r="Z382" s="5" t="s">
        <v>47</v>
      </c>
      <c r="AA382" s="5" t="s">
        <v>64</v>
      </c>
      <c r="AB382" s="5" t="s">
        <v>1849</v>
      </c>
      <c r="AC382" s="6" t="s">
        <v>1850</v>
      </c>
      <c r="AD382" s="6">
        <v>1816.0</v>
      </c>
    </row>
    <row r="383" ht="56.25" customHeight="1">
      <c r="A383" s="5" t="s">
        <v>1666</v>
      </c>
      <c r="B383" s="6" t="str">
        <f>IMAGE("https://storage.googleapis.com/acdb/housewares/FtrFittingroom_Remake_6_0.png")</f>
        <v/>
      </c>
      <c r="C383" s="5" t="s">
        <v>69</v>
      </c>
      <c r="D383" s="5" t="s">
        <v>34</v>
      </c>
      <c r="E383" s="5" t="s">
        <v>57</v>
      </c>
      <c r="F383" s="5" t="s">
        <v>1667</v>
      </c>
      <c r="G383" s="5" t="s">
        <v>36</v>
      </c>
      <c r="H383" s="5" t="s">
        <v>36</v>
      </c>
      <c r="I383" s="5" t="s">
        <v>35</v>
      </c>
      <c r="J383" s="6">
        <v>2.0</v>
      </c>
      <c r="K383" s="6">
        <v>3700.0</v>
      </c>
      <c r="L383" s="6">
        <v>925.0</v>
      </c>
      <c r="M383" s="8" t="s">
        <v>69</v>
      </c>
      <c r="N383" s="8" t="s">
        <v>57</v>
      </c>
      <c r="O383" s="6" t="s">
        <v>40</v>
      </c>
      <c r="P383" s="5" t="s">
        <v>59</v>
      </c>
      <c r="Q383" s="5" t="s">
        <v>122</v>
      </c>
      <c r="R383" s="6" t="s">
        <v>42</v>
      </c>
      <c r="S383" s="5" t="s">
        <v>62</v>
      </c>
      <c r="T383" s="5" t="s">
        <v>141</v>
      </c>
      <c r="U383" s="5" t="s">
        <v>44</v>
      </c>
      <c r="V383" s="5" t="s">
        <v>44</v>
      </c>
      <c r="W383" s="5" t="s">
        <v>35</v>
      </c>
      <c r="X383" s="8" t="s">
        <v>194</v>
      </c>
      <c r="Y383" s="5" t="s">
        <v>46</v>
      </c>
      <c r="Z383" s="5" t="s">
        <v>47</v>
      </c>
      <c r="AA383" s="5" t="s">
        <v>64</v>
      </c>
      <c r="AB383" s="5" t="s">
        <v>1852</v>
      </c>
      <c r="AC383" s="6" t="s">
        <v>86</v>
      </c>
      <c r="AD383" s="6">
        <v>1816.0</v>
      </c>
    </row>
    <row r="384" ht="56.25" customHeight="1">
      <c r="A384" s="5" t="s">
        <v>1666</v>
      </c>
      <c r="B384" s="6" t="str">
        <f>IMAGE("https://storage.googleapis.com/acdb/housewares/FtrFittingroom_Remake_6_1.png")</f>
        <v/>
      </c>
      <c r="C384" s="5" t="s">
        <v>69</v>
      </c>
      <c r="D384" s="5" t="s">
        <v>34</v>
      </c>
      <c r="E384" s="5" t="s">
        <v>106</v>
      </c>
      <c r="F384" s="5" t="s">
        <v>1667</v>
      </c>
      <c r="G384" s="5" t="s">
        <v>36</v>
      </c>
      <c r="H384" s="5" t="s">
        <v>36</v>
      </c>
      <c r="I384" s="5" t="s">
        <v>35</v>
      </c>
      <c r="J384" s="6">
        <v>2.0</v>
      </c>
      <c r="K384" s="6">
        <v>3700.0</v>
      </c>
      <c r="L384" s="6">
        <v>925.0</v>
      </c>
      <c r="M384" s="8" t="s">
        <v>69</v>
      </c>
      <c r="N384" s="8" t="s">
        <v>106</v>
      </c>
      <c r="O384" s="6" t="s">
        <v>40</v>
      </c>
      <c r="P384" s="5" t="s">
        <v>59</v>
      </c>
      <c r="Q384" s="5" t="s">
        <v>122</v>
      </c>
      <c r="R384" s="6" t="s">
        <v>42</v>
      </c>
      <c r="S384" s="5" t="s">
        <v>62</v>
      </c>
      <c r="T384" s="5" t="s">
        <v>141</v>
      </c>
      <c r="U384" s="5" t="s">
        <v>44</v>
      </c>
      <c r="V384" s="5" t="s">
        <v>44</v>
      </c>
      <c r="W384" s="5" t="s">
        <v>35</v>
      </c>
      <c r="X384" s="8" t="s">
        <v>194</v>
      </c>
      <c r="Y384" s="5" t="s">
        <v>46</v>
      </c>
      <c r="Z384" s="5" t="s">
        <v>47</v>
      </c>
      <c r="AA384" s="5" t="s">
        <v>64</v>
      </c>
      <c r="AB384" s="5" t="s">
        <v>1854</v>
      </c>
      <c r="AC384" s="6" t="s">
        <v>620</v>
      </c>
      <c r="AD384" s="6">
        <v>1816.0</v>
      </c>
    </row>
    <row r="385" ht="56.25" customHeight="1">
      <c r="A385" s="5" t="s">
        <v>1666</v>
      </c>
      <c r="B385" s="6" t="str">
        <f>IMAGE("https://storage.googleapis.com/acdb/housewares/FtrFittingroom_Remake_6_2.png")</f>
        <v/>
      </c>
      <c r="C385" s="5" t="s">
        <v>69</v>
      </c>
      <c r="D385" s="5" t="s">
        <v>34</v>
      </c>
      <c r="E385" s="5" t="s">
        <v>54</v>
      </c>
      <c r="F385" s="5" t="s">
        <v>1667</v>
      </c>
      <c r="G385" s="5" t="s">
        <v>36</v>
      </c>
      <c r="H385" s="5" t="s">
        <v>36</v>
      </c>
      <c r="I385" s="5" t="s">
        <v>35</v>
      </c>
      <c r="J385" s="6">
        <v>2.0</v>
      </c>
      <c r="K385" s="6">
        <v>3700.0</v>
      </c>
      <c r="L385" s="6">
        <v>925.0</v>
      </c>
      <c r="M385" s="8" t="s">
        <v>69</v>
      </c>
      <c r="N385" s="8" t="s">
        <v>54</v>
      </c>
      <c r="O385" s="6" t="s">
        <v>40</v>
      </c>
      <c r="P385" s="5" t="s">
        <v>59</v>
      </c>
      <c r="Q385" s="5" t="s">
        <v>122</v>
      </c>
      <c r="R385" s="6" t="s">
        <v>42</v>
      </c>
      <c r="S385" s="5" t="s">
        <v>62</v>
      </c>
      <c r="T385" s="5" t="s">
        <v>141</v>
      </c>
      <c r="U385" s="5" t="s">
        <v>44</v>
      </c>
      <c r="V385" s="5" t="s">
        <v>44</v>
      </c>
      <c r="W385" s="5" t="s">
        <v>35</v>
      </c>
      <c r="X385" s="8" t="s">
        <v>194</v>
      </c>
      <c r="Y385" s="5" t="s">
        <v>46</v>
      </c>
      <c r="Z385" s="5" t="s">
        <v>47</v>
      </c>
      <c r="AA385" s="5" t="s">
        <v>64</v>
      </c>
      <c r="AB385" s="5" t="s">
        <v>1858</v>
      </c>
      <c r="AC385" s="6" t="s">
        <v>626</v>
      </c>
      <c r="AD385" s="6">
        <v>1816.0</v>
      </c>
    </row>
    <row r="386" ht="56.25" customHeight="1">
      <c r="A386" s="5" t="s">
        <v>1666</v>
      </c>
      <c r="B386" s="6" t="str">
        <f>IMAGE("https://storage.googleapis.com/acdb/housewares/FtrFittingroom_Remake_6_3.png")</f>
        <v/>
      </c>
      <c r="C386" s="5" t="s">
        <v>69</v>
      </c>
      <c r="D386" s="5" t="s">
        <v>34</v>
      </c>
      <c r="E386" s="5" t="s">
        <v>114</v>
      </c>
      <c r="F386" s="5" t="s">
        <v>1667</v>
      </c>
      <c r="G386" s="5" t="s">
        <v>36</v>
      </c>
      <c r="H386" s="5" t="s">
        <v>36</v>
      </c>
      <c r="I386" s="5" t="s">
        <v>35</v>
      </c>
      <c r="J386" s="6">
        <v>2.0</v>
      </c>
      <c r="K386" s="6">
        <v>3700.0</v>
      </c>
      <c r="L386" s="6">
        <v>925.0</v>
      </c>
      <c r="M386" s="8" t="s">
        <v>69</v>
      </c>
      <c r="N386" s="8" t="s">
        <v>114</v>
      </c>
      <c r="O386" s="6" t="s">
        <v>40</v>
      </c>
      <c r="P386" s="5" t="s">
        <v>59</v>
      </c>
      <c r="Q386" s="5" t="s">
        <v>122</v>
      </c>
      <c r="R386" s="6" t="s">
        <v>42</v>
      </c>
      <c r="S386" s="5" t="s">
        <v>62</v>
      </c>
      <c r="T386" s="5" t="s">
        <v>141</v>
      </c>
      <c r="U386" s="5" t="s">
        <v>44</v>
      </c>
      <c r="V386" s="5" t="s">
        <v>44</v>
      </c>
      <c r="W386" s="5" t="s">
        <v>35</v>
      </c>
      <c r="X386" s="8" t="s">
        <v>194</v>
      </c>
      <c r="Y386" s="5" t="s">
        <v>46</v>
      </c>
      <c r="Z386" s="5" t="s">
        <v>47</v>
      </c>
      <c r="AA386" s="5" t="s">
        <v>64</v>
      </c>
      <c r="AB386" s="5" t="s">
        <v>1863</v>
      </c>
      <c r="AC386" s="6" t="s">
        <v>634</v>
      </c>
      <c r="AD386" s="6">
        <v>1816.0</v>
      </c>
    </row>
    <row r="387" ht="56.25" customHeight="1">
      <c r="A387" s="5" t="s">
        <v>1666</v>
      </c>
      <c r="B387" s="6" t="str">
        <f>IMAGE("https://storage.googleapis.com/acdb/housewares/FtrFittingroom_Remake_6_4.png")</f>
        <v/>
      </c>
      <c r="C387" s="5" t="s">
        <v>69</v>
      </c>
      <c r="D387" s="5" t="s">
        <v>34</v>
      </c>
      <c r="E387" s="5" t="s">
        <v>69</v>
      </c>
      <c r="F387" s="5" t="s">
        <v>1667</v>
      </c>
      <c r="G387" s="5" t="s">
        <v>36</v>
      </c>
      <c r="H387" s="5" t="s">
        <v>36</v>
      </c>
      <c r="I387" s="5" t="s">
        <v>35</v>
      </c>
      <c r="J387" s="6">
        <v>2.0</v>
      </c>
      <c r="K387" s="6">
        <v>3700.0</v>
      </c>
      <c r="L387" s="6">
        <v>925.0</v>
      </c>
      <c r="M387" s="8" t="s">
        <v>69</v>
      </c>
      <c r="N387" s="8" t="s">
        <v>69</v>
      </c>
      <c r="O387" s="6" t="s">
        <v>40</v>
      </c>
      <c r="P387" s="5" t="s">
        <v>59</v>
      </c>
      <c r="Q387" s="5" t="s">
        <v>122</v>
      </c>
      <c r="R387" s="6" t="s">
        <v>42</v>
      </c>
      <c r="S387" s="5" t="s">
        <v>62</v>
      </c>
      <c r="T387" s="5" t="s">
        <v>141</v>
      </c>
      <c r="U387" s="5" t="s">
        <v>44</v>
      </c>
      <c r="V387" s="5" t="s">
        <v>44</v>
      </c>
      <c r="W387" s="5" t="s">
        <v>35</v>
      </c>
      <c r="X387" s="8" t="s">
        <v>194</v>
      </c>
      <c r="Y387" s="5" t="s">
        <v>46</v>
      </c>
      <c r="Z387" s="5" t="s">
        <v>47</v>
      </c>
      <c r="AA387" s="5" t="s">
        <v>64</v>
      </c>
      <c r="AB387" s="5" t="s">
        <v>1865</v>
      </c>
      <c r="AC387" s="6" t="s">
        <v>641</v>
      </c>
      <c r="AD387" s="6">
        <v>1816.0</v>
      </c>
    </row>
    <row r="388" ht="56.25" customHeight="1">
      <c r="A388" s="5" t="s">
        <v>1666</v>
      </c>
      <c r="B388" s="6" t="str">
        <f>IMAGE("https://storage.googleapis.com/acdb/housewares/FtrFittingroom_Remake_6_5.png")</f>
        <v/>
      </c>
      <c r="C388" s="5" t="s">
        <v>69</v>
      </c>
      <c r="D388" s="5" t="s">
        <v>34</v>
      </c>
      <c r="E388" s="5" t="s">
        <v>52</v>
      </c>
      <c r="F388" s="5" t="s">
        <v>1667</v>
      </c>
      <c r="G388" s="5" t="s">
        <v>36</v>
      </c>
      <c r="H388" s="5" t="s">
        <v>36</v>
      </c>
      <c r="I388" s="5" t="s">
        <v>35</v>
      </c>
      <c r="J388" s="6">
        <v>2.0</v>
      </c>
      <c r="K388" s="6">
        <v>3700.0</v>
      </c>
      <c r="L388" s="6">
        <v>925.0</v>
      </c>
      <c r="M388" s="8" t="s">
        <v>69</v>
      </c>
      <c r="N388" s="8" t="s">
        <v>52</v>
      </c>
      <c r="O388" s="6" t="s">
        <v>40</v>
      </c>
      <c r="P388" s="5" t="s">
        <v>59</v>
      </c>
      <c r="Q388" s="5" t="s">
        <v>122</v>
      </c>
      <c r="R388" s="6" t="s">
        <v>42</v>
      </c>
      <c r="S388" s="5" t="s">
        <v>62</v>
      </c>
      <c r="T388" s="5" t="s">
        <v>141</v>
      </c>
      <c r="U388" s="5" t="s">
        <v>44</v>
      </c>
      <c r="V388" s="5" t="s">
        <v>44</v>
      </c>
      <c r="W388" s="5" t="s">
        <v>35</v>
      </c>
      <c r="X388" s="8" t="s">
        <v>194</v>
      </c>
      <c r="Y388" s="5" t="s">
        <v>46</v>
      </c>
      <c r="Z388" s="5" t="s">
        <v>47</v>
      </c>
      <c r="AA388" s="5" t="s">
        <v>64</v>
      </c>
      <c r="AB388" s="5" t="s">
        <v>1869</v>
      </c>
      <c r="AC388" s="6" t="s">
        <v>1870</v>
      </c>
      <c r="AD388" s="6">
        <v>1816.0</v>
      </c>
    </row>
    <row r="389" ht="56.25" customHeight="1">
      <c r="A389" s="5" t="s">
        <v>1666</v>
      </c>
      <c r="B389" s="6" t="str">
        <f>IMAGE("https://storage.googleapis.com/acdb/housewares/FtrFittingroom_Remake_6_6.png")</f>
        <v/>
      </c>
      <c r="C389" s="5" t="s">
        <v>69</v>
      </c>
      <c r="D389" s="5" t="s">
        <v>34</v>
      </c>
      <c r="E389" s="5" t="s">
        <v>96</v>
      </c>
      <c r="F389" s="5" t="s">
        <v>1667</v>
      </c>
      <c r="G389" s="5" t="s">
        <v>36</v>
      </c>
      <c r="H389" s="5" t="s">
        <v>36</v>
      </c>
      <c r="I389" s="5" t="s">
        <v>35</v>
      </c>
      <c r="J389" s="6">
        <v>2.0</v>
      </c>
      <c r="K389" s="6">
        <v>3700.0</v>
      </c>
      <c r="L389" s="6">
        <v>925.0</v>
      </c>
      <c r="M389" s="8" t="s">
        <v>69</v>
      </c>
      <c r="N389" s="8" t="s">
        <v>96</v>
      </c>
      <c r="O389" s="6" t="s">
        <v>40</v>
      </c>
      <c r="P389" s="5" t="s">
        <v>59</v>
      </c>
      <c r="Q389" s="5" t="s">
        <v>122</v>
      </c>
      <c r="R389" s="6" t="s">
        <v>42</v>
      </c>
      <c r="S389" s="5" t="s">
        <v>62</v>
      </c>
      <c r="T389" s="5" t="s">
        <v>141</v>
      </c>
      <c r="U389" s="5" t="s">
        <v>44</v>
      </c>
      <c r="V389" s="5" t="s">
        <v>44</v>
      </c>
      <c r="W389" s="5" t="s">
        <v>35</v>
      </c>
      <c r="X389" s="8" t="s">
        <v>194</v>
      </c>
      <c r="Y389" s="5" t="s">
        <v>46</v>
      </c>
      <c r="Z389" s="5" t="s">
        <v>47</v>
      </c>
      <c r="AA389" s="5" t="s">
        <v>64</v>
      </c>
      <c r="AB389" s="5" t="s">
        <v>1872</v>
      </c>
      <c r="AC389" s="6" t="s">
        <v>1873</v>
      </c>
      <c r="AD389" s="6">
        <v>1816.0</v>
      </c>
    </row>
    <row r="390" ht="56.25" customHeight="1">
      <c r="A390" s="5" t="s">
        <v>1666</v>
      </c>
      <c r="B390" s="6" t="str">
        <f>IMAGE("https://storage.googleapis.com/acdb/housewares/FtrFittingroom_Remake_6_7.png")</f>
        <v/>
      </c>
      <c r="C390" s="5" t="s">
        <v>69</v>
      </c>
      <c r="D390" s="5" t="s">
        <v>34</v>
      </c>
      <c r="E390" s="5" t="s">
        <v>68</v>
      </c>
      <c r="F390" s="5" t="s">
        <v>1667</v>
      </c>
      <c r="G390" s="5" t="s">
        <v>36</v>
      </c>
      <c r="H390" s="5" t="s">
        <v>36</v>
      </c>
      <c r="I390" s="5" t="s">
        <v>35</v>
      </c>
      <c r="J390" s="6">
        <v>2.0</v>
      </c>
      <c r="K390" s="6">
        <v>3700.0</v>
      </c>
      <c r="L390" s="6">
        <v>925.0</v>
      </c>
      <c r="M390" s="8" t="s">
        <v>69</v>
      </c>
      <c r="N390" s="8" t="s">
        <v>1175</v>
      </c>
      <c r="O390" s="6" t="s">
        <v>40</v>
      </c>
      <c r="P390" s="5" t="s">
        <v>59</v>
      </c>
      <c r="Q390" s="5" t="s">
        <v>122</v>
      </c>
      <c r="R390" s="6" t="s">
        <v>42</v>
      </c>
      <c r="S390" s="5" t="s">
        <v>62</v>
      </c>
      <c r="T390" s="5" t="s">
        <v>141</v>
      </c>
      <c r="U390" s="5" t="s">
        <v>44</v>
      </c>
      <c r="V390" s="5" t="s">
        <v>44</v>
      </c>
      <c r="W390" s="5" t="s">
        <v>35</v>
      </c>
      <c r="X390" s="8" t="s">
        <v>194</v>
      </c>
      <c r="Y390" s="5" t="s">
        <v>46</v>
      </c>
      <c r="Z390" s="5" t="s">
        <v>47</v>
      </c>
      <c r="AA390" s="5" t="s">
        <v>64</v>
      </c>
      <c r="AB390" s="5" t="s">
        <v>1878</v>
      </c>
      <c r="AC390" s="6" t="s">
        <v>1879</v>
      </c>
      <c r="AD390" s="6">
        <v>1816.0</v>
      </c>
    </row>
    <row r="391" ht="56.25" customHeight="1">
      <c r="A391" s="5" t="s">
        <v>1666</v>
      </c>
      <c r="B391" s="6" t="str">
        <f>IMAGE("https://storage.googleapis.com/acdb/housewares/FtrFittingroom_Remake_7_0.png")</f>
        <v/>
      </c>
      <c r="C391" s="5" t="s">
        <v>96</v>
      </c>
      <c r="D391" s="5" t="s">
        <v>34</v>
      </c>
      <c r="E391" s="5" t="s">
        <v>57</v>
      </c>
      <c r="F391" s="5" t="s">
        <v>1667</v>
      </c>
      <c r="G391" s="5" t="s">
        <v>36</v>
      </c>
      <c r="H391" s="5" t="s">
        <v>36</v>
      </c>
      <c r="I391" s="5" t="s">
        <v>35</v>
      </c>
      <c r="J391" s="6">
        <v>2.0</v>
      </c>
      <c r="K391" s="6">
        <v>3700.0</v>
      </c>
      <c r="L391" s="6">
        <v>925.0</v>
      </c>
      <c r="M391" s="8" t="s">
        <v>1175</v>
      </c>
      <c r="N391" s="8" t="s">
        <v>57</v>
      </c>
      <c r="O391" s="6" t="s">
        <v>40</v>
      </c>
      <c r="P391" s="5" t="s">
        <v>59</v>
      </c>
      <c r="Q391" s="5" t="s">
        <v>122</v>
      </c>
      <c r="R391" s="6" t="s">
        <v>42</v>
      </c>
      <c r="S391" s="5" t="s">
        <v>62</v>
      </c>
      <c r="T391" s="5" t="s">
        <v>141</v>
      </c>
      <c r="U391" s="5" t="s">
        <v>44</v>
      </c>
      <c r="V391" s="5" t="s">
        <v>44</v>
      </c>
      <c r="W391" s="5" t="s">
        <v>35</v>
      </c>
      <c r="X391" s="8" t="s">
        <v>194</v>
      </c>
      <c r="Y391" s="5" t="s">
        <v>46</v>
      </c>
      <c r="Z391" s="5" t="s">
        <v>47</v>
      </c>
      <c r="AA391" s="5" t="s">
        <v>64</v>
      </c>
      <c r="AB391" s="5" t="s">
        <v>1883</v>
      </c>
      <c r="AC391" s="6" t="s">
        <v>208</v>
      </c>
      <c r="AD391" s="6">
        <v>1816.0</v>
      </c>
    </row>
    <row r="392" ht="56.25" customHeight="1">
      <c r="A392" s="5" t="s">
        <v>1666</v>
      </c>
      <c r="B392" s="6" t="str">
        <f>IMAGE("https://storage.googleapis.com/acdb/housewares/FtrFittingroom_Remake_7_1.png")</f>
        <v/>
      </c>
      <c r="C392" s="5" t="s">
        <v>96</v>
      </c>
      <c r="D392" s="5" t="s">
        <v>34</v>
      </c>
      <c r="E392" s="5" t="s">
        <v>106</v>
      </c>
      <c r="F392" s="5" t="s">
        <v>1667</v>
      </c>
      <c r="G392" s="5" t="s">
        <v>36</v>
      </c>
      <c r="H392" s="5" t="s">
        <v>36</v>
      </c>
      <c r="I392" s="5" t="s">
        <v>35</v>
      </c>
      <c r="J392" s="6">
        <v>2.0</v>
      </c>
      <c r="K392" s="6">
        <v>3700.0</v>
      </c>
      <c r="L392" s="6">
        <v>925.0</v>
      </c>
      <c r="M392" s="8" t="s">
        <v>1175</v>
      </c>
      <c r="N392" s="8" t="s">
        <v>106</v>
      </c>
      <c r="O392" s="6" t="s">
        <v>40</v>
      </c>
      <c r="P392" s="5" t="s">
        <v>59</v>
      </c>
      <c r="Q392" s="5" t="s">
        <v>122</v>
      </c>
      <c r="R392" s="6" t="s">
        <v>42</v>
      </c>
      <c r="S392" s="5" t="s">
        <v>62</v>
      </c>
      <c r="T392" s="5" t="s">
        <v>141</v>
      </c>
      <c r="U392" s="5" t="s">
        <v>44</v>
      </c>
      <c r="V392" s="5" t="s">
        <v>44</v>
      </c>
      <c r="W392" s="5" t="s">
        <v>35</v>
      </c>
      <c r="X392" s="8" t="s">
        <v>194</v>
      </c>
      <c r="Y392" s="5" t="s">
        <v>46</v>
      </c>
      <c r="Z392" s="5" t="s">
        <v>47</v>
      </c>
      <c r="AA392" s="5" t="s">
        <v>64</v>
      </c>
      <c r="AB392" s="5" t="s">
        <v>1890</v>
      </c>
      <c r="AC392" s="6" t="s">
        <v>1892</v>
      </c>
      <c r="AD392" s="6">
        <v>1816.0</v>
      </c>
    </row>
    <row r="393" ht="56.25" customHeight="1">
      <c r="A393" s="5" t="s">
        <v>1666</v>
      </c>
      <c r="B393" s="6" t="str">
        <f>IMAGE("https://storage.googleapis.com/acdb/housewares/FtrFittingroom_Remake_7_2.png")</f>
        <v/>
      </c>
      <c r="C393" s="5" t="s">
        <v>96</v>
      </c>
      <c r="D393" s="5" t="s">
        <v>34</v>
      </c>
      <c r="E393" s="5" t="s">
        <v>54</v>
      </c>
      <c r="F393" s="5" t="s">
        <v>1667</v>
      </c>
      <c r="G393" s="5" t="s">
        <v>36</v>
      </c>
      <c r="H393" s="5" t="s">
        <v>36</v>
      </c>
      <c r="I393" s="5" t="s">
        <v>35</v>
      </c>
      <c r="J393" s="6">
        <v>2.0</v>
      </c>
      <c r="K393" s="6">
        <v>3700.0</v>
      </c>
      <c r="L393" s="6">
        <v>925.0</v>
      </c>
      <c r="M393" s="8" t="s">
        <v>1175</v>
      </c>
      <c r="N393" s="8" t="s">
        <v>54</v>
      </c>
      <c r="O393" s="6" t="s">
        <v>40</v>
      </c>
      <c r="P393" s="5" t="s">
        <v>59</v>
      </c>
      <c r="Q393" s="5" t="s">
        <v>122</v>
      </c>
      <c r="R393" s="6" t="s">
        <v>42</v>
      </c>
      <c r="S393" s="5" t="s">
        <v>62</v>
      </c>
      <c r="T393" s="5" t="s">
        <v>141</v>
      </c>
      <c r="U393" s="5" t="s">
        <v>44</v>
      </c>
      <c r="V393" s="5" t="s">
        <v>44</v>
      </c>
      <c r="W393" s="5" t="s">
        <v>35</v>
      </c>
      <c r="X393" s="8" t="s">
        <v>194</v>
      </c>
      <c r="Y393" s="5" t="s">
        <v>46</v>
      </c>
      <c r="Z393" s="5" t="s">
        <v>47</v>
      </c>
      <c r="AA393" s="5" t="s">
        <v>64</v>
      </c>
      <c r="AB393" s="5" t="s">
        <v>1900</v>
      </c>
      <c r="AC393" s="6" t="s">
        <v>1901</v>
      </c>
      <c r="AD393" s="6">
        <v>1816.0</v>
      </c>
    </row>
    <row r="394" ht="56.25" customHeight="1">
      <c r="A394" s="5" t="s">
        <v>1666</v>
      </c>
      <c r="B394" s="6" t="str">
        <f>IMAGE("https://storage.googleapis.com/acdb/housewares/FtrFittingroom_Remake_7_3.png")</f>
        <v/>
      </c>
      <c r="C394" s="5" t="s">
        <v>96</v>
      </c>
      <c r="D394" s="5" t="s">
        <v>34</v>
      </c>
      <c r="E394" s="5" t="s">
        <v>114</v>
      </c>
      <c r="F394" s="5" t="s">
        <v>1667</v>
      </c>
      <c r="G394" s="5" t="s">
        <v>36</v>
      </c>
      <c r="H394" s="5" t="s">
        <v>36</v>
      </c>
      <c r="I394" s="5" t="s">
        <v>35</v>
      </c>
      <c r="J394" s="6">
        <v>2.0</v>
      </c>
      <c r="K394" s="6">
        <v>3700.0</v>
      </c>
      <c r="L394" s="6">
        <v>925.0</v>
      </c>
      <c r="M394" s="8" t="s">
        <v>1175</v>
      </c>
      <c r="N394" s="8" t="s">
        <v>114</v>
      </c>
      <c r="O394" s="6" t="s">
        <v>40</v>
      </c>
      <c r="P394" s="5" t="s">
        <v>59</v>
      </c>
      <c r="Q394" s="5" t="s">
        <v>122</v>
      </c>
      <c r="R394" s="6" t="s">
        <v>42</v>
      </c>
      <c r="S394" s="5" t="s">
        <v>62</v>
      </c>
      <c r="T394" s="5" t="s">
        <v>141</v>
      </c>
      <c r="U394" s="5" t="s">
        <v>44</v>
      </c>
      <c r="V394" s="5" t="s">
        <v>44</v>
      </c>
      <c r="W394" s="5" t="s">
        <v>35</v>
      </c>
      <c r="X394" s="8" t="s">
        <v>194</v>
      </c>
      <c r="Y394" s="5" t="s">
        <v>46</v>
      </c>
      <c r="Z394" s="5" t="s">
        <v>47</v>
      </c>
      <c r="AA394" s="5" t="s">
        <v>64</v>
      </c>
      <c r="AB394" s="5" t="s">
        <v>1905</v>
      </c>
      <c r="AC394" s="6" t="s">
        <v>1906</v>
      </c>
      <c r="AD394" s="6">
        <v>1816.0</v>
      </c>
    </row>
    <row r="395" ht="56.25" customHeight="1">
      <c r="A395" s="5" t="s">
        <v>1666</v>
      </c>
      <c r="B395" s="6" t="str">
        <f>IMAGE("https://storage.googleapis.com/acdb/housewares/FtrFittingroom_Remake_7_4.png")</f>
        <v/>
      </c>
      <c r="C395" s="5" t="s">
        <v>96</v>
      </c>
      <c r="D395" s="5" t="s">
        <v>34</v>
      </c>
      <c r="E395" s="5" t="s">
        <v>69</v>
      </c>
      <c r="F395" s="5" t="s">
        <v>1667</v>
      </c>
      <c r="G395" s="5" t="s">
        <v>36</v>
      </c>
      <c r="H395" s="5" t="s">
        <v>36</v>
      </c>
      <c r="I395" s="5" t="s">
        <v>35</v>
      </c>
      <c r="J395" s="6">
        <v>2.0</v>
      </c>
      <c r="K395" s="6">
        <v>3700.0</v>
      </c>
      <c r="L395" s="6">
        <v>925.0</v>
      </c>
      <c r="M395" s="8" t="s">
        <v>1175</v>
      </c>
      <c r="N395" s="8" t="s">
        <v>69</v>
      </c>
      <c r="O395" s="6" t="s">
        <v>40</v>
      </c>
      <c r="P395" s="5" t="s">
        <v>59</v>
      </c>
      <c r="Q395" s="5" t="s">
        <v>122</v>
      </c>
      <c r="R395" s="6" t="s">
        <v>42</v>
      </c>
      <c r="S395" s="5" t="s">
        <v>62</v>
      </c>
      <c r="T395" s="5" t="s">
        <v>141</v>
      </c>
      <c r="U395" s="5" t="s">
        <v>44</v>
      </c>
      <c r="V395" s="5" t="s">
        <v>44</v>
      </c>
      <c r="W395" s="5" t="s">
        <v>35</v>
      </c>
      <c r="X395" s="8" t="s">
        <v>194</v>
      </c>
      <c r="Y395" s="5" t="s">
        <v>46</v>
      </c>
      <c r="Z395" s="5" t="s">
        <v>47</v>
      </c>
      <c r="AA395" s="5" t="s">
        <v>64</v>
      </c>
      <c r="AB395" s="5" t="s">
        <v>1909</v>
      </c>
      <c r="AC395" s="6" t="s">
        <v>1910</v>
      </c>
      <c r="AD395" s="6">
        <v>1816.0</v>
      </c>
    </row>
    <row r="396" ht="56.25" customHeight="1">
      <c r="A396" s="5" t="s">
        <v>1666</v>
      </c>
      <c r="B396" s="6" t="str">
        <f>IMAGE("https://storage.googleapis.com/acdb/housewares/FtrFittingroom_Remake_7_5.png")</f>
        <v/>
      </c>
      <c r="C396" s="5" t="s">
        <v>96</v>
      </c>
      <c r="D396" s="5" t="s">
        <v>34</v>
      </c>
      <c r="E396" s="5" t="s">
        <v>52</v>
      </c>
      <c r="F396" s="5" t="s">
        <v>1667</v>
      </c>
      <c r="G396" s="5" t="s">
        <v>36</v>
      </c>
      <c r="H396" s="5" t="s">
        <v>36</v>
      </c>
      <c r="I396" s="5" t="s">
        <v>35</v>
      </c>
      <c r="J396" s="6">
        <v>2.0</v>
      </c>
      <c r="K396" s="6">
        <v>3700.0</v>
      </c>
      <c r="L396" s="6">
        <v>925.0</v>
      </c>
      <c r="M396" s="8" t="s">
        <v>1175</v>
      </c>
      <c r="N396" s="8" t="s">
        <v>52</v>
      </c>
      <c r="O396" s="6" t="s">
        <v>40</v>
      </c>
      <c r="P396" s="5" t="s">
        <v>59</v>
      </c>
      <c r="Q396" s="5" t="s">
        <v>122</v>
      </c>
      <c r="R396" s="6" t="s">
        <v>42</v>
      </c>
      <c r="S396" s="5" t="s">
        <v>62</v>
      </c>
      <c r="T396" s="5" t="s">
        <v>141</v>
      </c>
      <c r="U396" s="5" t="s">
        <v>44</v>
      </c>
      <c r="V396" s="5" t="s">
        <v>44</v>
      </c>
      <c r="W396" s="5" t="s">
        <v>35</v>
      </c>
      <c r="X396" s="8" t="s">
        <v>194</v>
      </c>
      <c r="Y396" s="5" t="s">
        <v>46</v>
      </c>
      <c r="Z396" s="5" t="s">
        <v>47</v>
      </c>
      <c r="AA396" s="5" t="s">
        <v>64</v>
      </c>
      <c r="AB396" s="5" t="s">
        <v>1914</v>
      </c>
      <c r="AC396" s="6" t="s">
        <v>1915</v>
      </c>
      <c r="AD396" s="6">
        <v>1816.0</v>
      </c>
    </row>
    <row r="397" ht="56.25" customHeight="1">
      <c r="A397" s="5" t="s">
        <v>1666</v>
      </c>
      <c r="B397" s="6" t="str">
        <f>IMAGE("https://storage.googleapis.com/acdb/housewares/FtrFittingroom_Remake_7_6.png")</f>
        <v/>
      </c>
      <c r="C397" s="5" t="s">
        <v>96</v>
      </c>
      <c r="D397" s="5" t="s">
        <v>34</v>
      </c>
      <c r="E397" s="5" t="s">
        <v>96</v>
      </c>
      <c r="F397" s="5" t="s">
        <v>1667</v>
      </c>
      <c r="G397" s="5" t="s">
        <v>36</v>
      </c>
      <c r="H397" s="5" t="s">
        <v>36</v>
      </c>
      <c r="I397" s="5" t="s">
        <v>35</v>
      </c>
      <c r="J397" s="6">
        <v>2.0</v>
      </c>
      <c r="K397" s="6">
        <v>3700.0</v>
      </c>
      <c r="L397" s="6">
        <v>925.0</v>
      </c>
      <c r="M397" s="8" t="s">
        <v>1175</v>
      </c>
      <c r="N397" s="8" t="s">
        <v>96</v>
      </c>
      <c r="O397" s="6" t="s">
        <v>40</v>
      </c>
      <c r="P397" s="5" t="s">
        <v>59</v>
      </c>
      <c r="Q397" s="5" t="s">
        <v>122</v>
      </c>
      <c r="R397" s="6" t="s">
        <v>42</v>
      </c>
      <c r="S397" s="5" t="s">
        <v>62</v>
      </c>
      <c r="T397" s="5" t="s">
        <v>141</v>
      </c>
      <c r="U397" s="5" t="s">
        <v>44</v>
      </c>
      <c r="V397" s="5" t="s">
        <v>44</v>
      </c>
      <c r="W397" s="5" t="s">
        <v>35</v>
      </c>
      <c r="X397" s="8" t="s">
        <v>194</v>
      </c>
      <c r="Y397" s="5" t="s">
        <v>46</v>
      </c>
      <c r="Z397" s="5" t="s">
        <v>47</v>
      </c>
      <c r="AA397" s="5" t="s">
        <v>64</v>
      </c>
      <c r="AB397" s="5" t="s">
        <v>1918</v>
      </c>
      <c r="AC397" s="6" t="s">
        <v>1919</v>
      </c>
      <c r="AD397" s="6">
        <v>1816.0</v>
      </c>
    </row>
    <row r="398" ht="56.25" customHeight="1">
      <c r="A398" s="5" t="s">
        <v>1666</v>
      </c>
      <c r="B398" s="6" t="str">
        <f>IMAGE("https://storage.googleapis.com/acdb/housewares/FtrFittingroom_Remake_7_7.png")</f>
        <v/>
      </c>
      <c r="C398" s="5" t="s">
        <v>96</v>
      </c>
      <c r="D398" s="5" t="s">
        <v>34</v>
      </c>
      <c r="E398" s="5" t="s">
        <v>68</v>
      </c>
      <c r="F398" s="5" t="s">
        <v>1667</v>
      </c>
      <c r="G398" s="5" t="s">
        <v>36</v>
      </c>
      <c r="H398" s="5" t="s">
        <v>36</v>
      </c>
      <c r="I398" s="5" t="s">
        <v>35</v>
      </c>
      <c r="J398" s="6">
        <v>2.0</v>
      </c>
      <c r="K398" s="6">
        <v>3700.0</v>
      </c>
      <c r="L398" s="6">
        <v>925.0</v>
      </c>
      <c r="M398" s="8" t="s">
        <v>1175</v>
      </c>
      <c r="N398" s="8" t="s">
        <v>1175</v>
      </c>
      <c r="O398" s="6" t="s">
        <v>40</v>
      </c>
      <c r="P398" s="5" t="s">
        <v>59</v>
      </c>
      <c r="Q398" s="5" t="s">
        <v>122</v>
      </c>
      <c r="R398" s="6" t="s">
        <v>42</v>
      </c>
      <c r="S398" s="5" t="s">
        <v>62</v>
      </c>
      <c r="T398" s="5" t="s">
        <v>141</v>
      </c>
      <c r="U398" s="5" t="s">
        <v>44</v>
      </c>
      <c r="V398" s="5" t="s">
        <v>44</v>
      </c>
      <c r="W398" s="5" t="s">
        <v>35</v>
      </c>
      <c r="X398" s="8" t="s">
        <v>194</v>
      </c>
      <c r="Y398" s="5" t="s">
        <v>46</v>
      </c>
      <c r="Z398" s="5" t="s">
        <v>47</v>
      </c>
      <c r="AA398" s="5" t="s">
        <v>64</v>
      </c>
      <c r="AB398" s="5" t="s">
        <v>1924</v>
      </c>
      <c r="AC398" s="6" t="s">
        <v>1925</v>
      </c>
      <c r="AD398" s="6">
        <v>1816.0</v>
      </c>
    </row>
    <row r="399" ht="56.25" customHeight="1">
      <c r="A399" s="5" t="s">
        <v>1926</v>
      </c>
      <c r="B399" s="6" t="str">
        <f>IMAGE("https://storage.googleapis.com/acdb/housewares/FtrSakuraBranch.png")</f>
        <v/>
      </c>
      <c r="C399" s="5" t="s">
        <v>34</v>
      </c>
      <c r="D399" s="5" t="s">
        <v>34</v>
      </c>
      <c r="E399" s="5" t="s">
        <v>34</v>
      </c>
      <c r="F399" s="5" t="s">
        <v>34</v>
      </c>
      <c r="G399" s="5" t="s">
        <v>35</v>
      </c>
      <c r="H399" s="5" t="s">
        <v>36</v>
      </c>
      <c r="I399" s="5" t="s">
        <v>36</v>
      </c>
      <c r="J399" s="6" t="s">
        <v>34</v>
      </c>
      <c r="K399" s="6" t="s">
        <v>37</v>
      </c>
      <c r="L399" s="6">
        <v>4240.0</v>
      </c>
      <c r="M399" s="5" t="s">
        <v>69</v>
      </c>
      <c r="N399" s="5" t="s">
        <v>54</v>
      </c>
      <c r="O399" s="6" t="s">
        <v>1243</v>
      </c>
      <c r="P399" s="5" t="s">
        <v>41</v>
      </c>
      <c r="Q399" s="5" t="s">
        <v>513</v>
      </c>
      <c r="R399" s="6" t="s">
        <v>42</v>
      </c>
      <c r="S399" s="5" t="s">
        <v>266</v>
      </c>
      <c r="T399" s="5" t="s">
        <v>61</v>
      </c>
      <c r="U399" s="5" t="s">
        <v>514</v>
      </c>
      <c r="V399" s="5" t="s">
        <v>44</v>
      </c>
      <c r="W399" s="5" t="s">
        <v>35</v>
      </c>
      <c r="X399" s="8" t="s">
        <v>244</v>
      </c>
      <c r="Y399" s="5" t="s">
        <v>46</v>
      </c>
      <c r="Z399" s="5" t="s">
        <v>47</v>
      </c>
      <c r="AA399" s="5" t="s">
        <v>48</v>
      </c>
      <c r="AB399" s="5" t="s">
        <v>1929</v>
      </c>
      <c r="AC399" s="6" t="s">
        <v>34</v>
      </c>
      <c r="AD399" s="6">
        <v>6031.0</v>
      </c>
    </row>
    <row r="400" ht="56.25" customHeight="1">
      <c r="A400" s="5" t="s">
        <v>1933</v>
      </c>
      <c r="B400" s="6" t="str">
        <f>IMAGE("https://storage.googleapis.com/acdb/housewares/FtrStonewaterbowlSakura.png")</f>
        <v/>
      </c>
      <c r="C400" s="5" t="s">
        <v>34</v>
      </c>
      <c r="D400" s="5" t="s">
        <v>34</v>
      </c>
      <c r="E400" s="5" t="s">
        <v>34</v>
      </c>
      <c r="F400" s="5" t="s">
        <v>34</v>
      </c>
      <c r="G400" s="5" t="s">
        <v>35</v>
      </c>
      <c r="H400" s="5" t="s">
        <v>36</v>
      </c>
      <c r="I400" s="5" t="s">
        <v>36</v>
      </c>
      <c r="J400" s="6" t="s">
        <v>34</v>
      </c>
      <c r="K400" s="6" t="s">
        <v>37</v>
      </c>
      <c r="L400" s="6">
        <v>2700.0</v>
      </c>
      <c r="M400" s="5" t="s">
        <v>95</v>
      </c>
      <c r="N400" s="5" t="s">
        <v>69</v>
      </c>
      <c r="O400" s="6" t="s">
        <v>276</v>
      </c>
      <c r="P400" s="5" t="s">
        <v>41</v>
      </c>
      <c r="Q400" s="5" t="s">
        <v>513</v>
      </c>
      <c r="R400" s="6" t="s">
        <v>42</v>
      </c>
      <c r="S400" s="5" t="s">
        <v>266</v>
      </c>
      <c r="T400" s="5" t="s">
        <v>172</v>
      </c>
      <c r="U400" s="5" t="s">
        <v>514</v>
      </c>
      <c r="V400" s="5" t="s">
        <v>44</v>
      </c>
      <c r="W400" s="5" t="s">
        <v>36</v>
      </c>
      <c r="X400" s="8" t="s">
        <v>650</v>
      </c>
      <c r="Y400" s="5" t="s">
        <v>46</v>
      </c>
      <c r="Z400" s="5" t="s">
        <v>47</v>
      </c>
      <c r="AA400" s="5" t="s">
        <v>48</v>
      </c>
      <c r="AB400" s="5" t="s">
        <v>1934</v>
      </c>
      <c r="AC400" s="6" t="s">
        <v>34</v>
      </c>
      <c r="AD400" s="6">
        <v>7409.0</v>
      </c>
    </row>
    <row r="401" ht="56.25" customHeight="1">
      <c r="A401" s="5" t="s">
        <v>1936</v>
      </c>
      <c r="B401" s="6" t="str">
        <f>IMAGE("https://storage.googleapis.com/acdb/housewares/FtrSakuraPetal.png")</f>
        <v/>
      </c>
      <c r="C401" s="5" t="s">
        <v>34</v>
      </c>
      <c r="D401" s="5" t="s">
        <v>34</v>
      </c>
      <c r="E401" s="5" t="s">
        <v>34</v>
      </c>
      <c r="F401" s="5" t="s">
        <v>34</v>
      </c>
      <c r="G401" s="5" t="s">
        <v>35</v>
      </c>
      <c r="H401" s="5" t="s">
        <v>36</v>
      </c>
      <c r="I401" s="5" t="s">
        <v>36</v>
      </c>
      <c r="J401" s="6" t="s">
        <v>34</v>
      </c>
      <c r="K401" s="6" t="s">
        <v>37</v>
      </c>
      <c r="L401" s="6">
        <v>2000.0</v>
      </c>
      <c r="M401" s="5" t="s">
        <v>69</v>
      </c>
      <c r="N401" s="5" t="s">
        <v>69</v>
      </c>
      <c r="O401" s="6" t="s">
        <v>40</v>
      </c>
      <c r="P401" s="5" t="s">
        <v>41</v>
      </c>
      <c r="Q401" s="5" t="s">
        <v>513</v>
      </c>
      <c r="R401" s="6" t="s">
        <v>42</v>
      </c>
      <c r="S401" s="5" t="s">
        <v>266</v>
      </c>
      <c r="T401" s="5" t="s">
        <v>61</v>
      </c>
      <c r="U401" s="5" t="s">
        <v>514</v>
      </c>
      <c r="V401" s="5" t="s">
        <v>44</v>
      </c>
      <c r="W401" s="5" t="s">
        <v>35</v>
      </c>
      <c r="X401" s="8" t="s">
        <v>244</v>
      </c>
      <c r="Y401" s="5" t="s">
        <v>46</v>
      </c>
      <c r="Z401" s="5" t="s">
        <v>47</v>
      </c>
      <c r="AA401" s="5" t="s">
        <v>48</v>
      </c>
      <c r="AB401" s="5" t="s">
        <v>1938</v>
      </c>
      <c r="AC401" s="6" t="s">
        <v>34</v>
      </c>
      <c r="AD401" s="6">
        <v>6032.0</v>
      </c>
    </row>
    <row r="402" ht="56.25" customHeight="1">
      <c r="A402" s="5" t="s">
        <v>1939</v>
      </c>
      <c r="B402" s="6" t="str">
        <f>IMAGE("https://storage.googleapis.com/acdb/housewares/FtrKatakatatoy_Remake_0_0.png")</f>
        <v/>
      </c>
      <c r="C402" s="5" t="s">
        <v>32</v>
      </c>
      <c r="D402" s="5" t="s">
        <v>748</v>
      </c>
      <c r="E402" s="5" t="s">
        <v>34</v>
      </c>
      <c r="F402" s="5" t="s">
        <v>34</v>
      </c>
      <c r="G402" s="5" t="s">
        <v>35</v>
      </c>
      <c r="H402" s="5" t="s">
        <v>35</v>
      </c>
      <c r="I402" s="5" t="s">
        <v>36</v>
      </c>
      <c r="J402" s="6">
        <v>2.0</v>
      </c>
      <c r="K402" s="6" t="s">
        <v>37</v>
      </c>
      <c r="L402" s="6">
        <v>960.0</v>
      </c>
      <c r="M402" s="8" t="s">
        <v>38</v>
      </c>
      <c r="N402" s="8" t="s">
        <v>39</v>
      </c>
      <c r="O402" s="6" t="s">
        <v>40</v>
      </c>
      <c r="P402" s="5" t="s">
        <v>41</v>
      </c>
      <c r="Q402" s="5"/>
      <c r="R402" s="6" t="s">
        <v>42</v>
      </c>
      <c r="S402" s="5" t="s">
        <v>99</v>
      </c>
      <c r="T402" s="5" t="s">
        <v>44</v>
      </c>
      <c r="U402" s="5" t="s">
        <v>44</v>
      </c>
      <c r="V402" s="5" t="s">
        <v>44</v>
      </c>
      <c r="W402" s="5" t="s">
        <v>36</v>
      </c>
      <c r="X402" s="8" t="s">
        <v>356</v>
      </c>
      <c r="Y402" s="5" t="s">
        <v>46</v>
      </c>
      <c r="Z402" s="5" t="s">
        <v>47</v>
      </c>
      <c r="AA402" s="5" t="s">
        <v>48</v>
      </c>
      <c r="AB402" s="5" t="s">
        <v>1944</v>
      </c>
      <c r="AC402" s="6" t="s">
        <v>50</v>
      </c>
      <c r="AD402" s="6">
        <v>80.0</v>
      </c>
    </row>
    <row r="403" ht="56.25" customHeight="1">
      <c r="A403" s="5" t="s">
        <v>1939</v>
      </c>
      <c r="B403" s="6" t="str">
        <f>IMAGE("https://storage.googleapis.com/acdb/housewares/FtrKatakatatoy_Remake_1_0.png")</f>
        <v/>
      </c>
      <c r="C403" s="5" t="s">
        <v>58</v>
      </c>
      <c r="D403" s="5" t="s">
        <v>748</v>
      </c>
      <c r="E403" s="5" t="s">
        <v>34</v>
      </c>
      <c r="F403" s="5" t="s">
        <v>34</v>
      </c>
      <c r="G403" s="5" t="s">
        <v>35</v>
      </c>
      <c r="H403" s="5" t="s">
        <v>35</v>
      </c>
      <c r="I403" s="5" t="s">
        <v>36</v>
      </c>
      <c r="J403" s="6">
        <v>2.0</v>
      </c>
      <c r="K403" s="6" t="s">
        <v>37</v>
      </c>
      <c r="L403" s="6">
        <v>960.0</v>
      </c>
      <c r="M403" s="8" t="s">
        <v>114</v>
      </c>
      <c r="N403" s="8" t="s">
        <v>58</v>
      </c>
      <c r="O403" s="6" t="s">
        <v>40</v>
      </c>
      <c r="P403" s="5" t="s">
        <v>41</v>
      </c>
      <c r="Q403" s="5"/>
      <c r="R403" s="6" t="s">
        <v>42</v>
      </c>
      <c r="S403" s="5" t="s">
        <v>99</v>
      </c>
      <c r="T403" s="5" t="s">
        <v>44</v>
      </c>
      <c r="U403" s="5" t="s">
        <v>44</v>
      </c>
      <c r="V403" s="5" t="s">
        <v>44</v>
      </c>
      <c r="W403" s="5" t="s">
        <v>36</v>
      </c>
      <c r="X403" s="8" t="s">
        <v>356</v>
      </c>
      <c r="Y403" s="5" t="s">
        <v>46</v>
      </c>
      <c r="Z403" s="5" t="s">
        <v>47</v>
      </c>
      <c r="AA403" s="5" t="s">
        <v>48</v>
      </c>
      <c r="AB403" s="5" t="s">
        <v>1947</v>
      </c>
      <c r="AC403" s="6" t="s">
        <v>56</v>
      </c>
      <c r="AD403" s="6">
        <v>80.0</v>
      </c>
    </row>
    <row r="404" ht="56.25" customHeight="1">
      <c r="A404" s="5" t="s">
        <v>1939</v>
      </c>
      <c r="B404" s="6" t="str">
        <f>IMAGE("https://storage.googleapis.com/acdb/housewares/FtrKatakatatoy_Remake_2_0.png")</f>
        <v/>
      </c>
      <c r="C404" s="5" t="s">
        <v>1167</v>
      </c>
      <c r="D404" s="5" t="s">
        <v>748</v>
      </c>
      <c r="E404" s="5" t="s">
        <v>34</v>
      </c>
      <c r="F404" s="5" t="s">
        <v>34</v>
      </c>
      <c r="G404" s="5" t="s">
        <v>35</v>
      </c>
      <c r="H404" s="5" t="s">
        <v>35</v>
      </c>
      <c r="I404" s="5" t="s">
        <v>36</v>
      </c>
      <c r="J404" s="6">
        <v>2.0</v>
      </c>
      <c r="K404" s="6" t="s">
        <v>37</v>
      </c>
      <c r="L404" s="6">
        <v>960.0</v>
      </c>
      <c r="M404" s="8" t="s">
        <v>52</v>
      </c>
      <c r="N404" s="8" t="s">
        <v>114</v>
      </c>
      <c r="O404" s="6" t="s">
        <v>40</v>
      </c>
      <c r="P404" s="5" t="s">
        <v>41</v>
      </c>
      <c r="Q404" s="5"/>
      <c r="R404" s="6" t="s">
        <v>42</v>
      </c>
      <c r="S404" s="5" t="s">
        <v>99</v>
      </c>
      <c r="T404" s="5" t="s">
        <v>44</v>
      </c>
      <c r="U404" s="5" t="s">
        <v>44</v>
      </c>
      <c r="V404" s="5" t="s">
        <v>44</v>
      </c>
      <c r="W404" s="5" t="s">
        <v>36</v>
      </c>
      <c r="X404" s="8" t="s">
        <v>356</v>
      </c>
      <c r="Y404" s="5" t="s">
        <v>46</v>
      </c>
      <c r="Z404" s="5" t="s">
        <v>47</v>
      </c>
      <c r="AA404" s="5" t="s">
        <v>48</v>
      </c>
      <c r="AB404" s="5" t="s">
        <v>1950</v>
      </c>
      <c r="AC404" s="6" t="s">
        <v>67</v>
      </c>
      <c r="AD404" s="6">
        <v>80.0</v>
      </c>
    </row>
    <row r="405" ht="56.25" customHeight="1">
      <c r="A405" s="5" t="s">
        <v>1939</v>
      </c>
      <c r="B405" s="6" t="str">
        <f>IMAGE("https://storage.googleapis.com/acdb/housewares/FtrKatakatatoy_Remake_3_0.png")</f>
        <v/>
      </c>
      <c r="C405" s="5" t="s">
        <v>1952</v>
      </c>
      <c r="D405" s="5" t="s">
        <v>748</v>
      </c>
      <c r="E405" s="5" t="s">
        <v>34</v>
      </c>
      <c r="F405" s="5" t="s">
        <v>34</v>
      </c>
      <c r="G405" s="5" t="s">
        <v>35</v>
      </c>
      <c r="H405" s="5" t="s">
        <v>35</v>
      </c>
      <c r="I405" s="5" t="s">
        <v>36</v>
      </c>
      <c r="J405" s="6">
        <v>2.0</v>
      </c>
      <c r="K405" s="6" t="s">
        <v>37</v>
      </c>
      <c r="L405" s="6">
        <v>960.0</v>
      </c>
      <c r="M405" s="8" t="s">
        <v>54</v>
      </c>
      <c r="N405" s="8" t="s">
        <v>52</v>
      </c>
      <c r="O405" s="6" t="s">
        <v>40</v>
      </c>
      <c r="P405" s="5" t="s">
        <v>41</v>
      </c>
      <c r="Q405" s="5"/>
      <c r="R405" s="6" t="s">
        <v>42</v>
      </c>
      <c r="S405" s="5" t="s">
        <v>99</v>
      </c>
      <c r="T405" s="5" t="s">
        <v>44</v>
      </c>
      <c r="U405" s="5" t="s">
        <v>44</v>
      </c>
      <c r="V405" s="5" t="s">
        <v>44</v>
      </c>
      <c r="W405" s="5" t="s">
        <v>36</v>
      </c>
      <c r="X405" s="8" t="s">
        <v>356</v>
      </c>
      <c r="Y405" s="5" t="s">
        <v>46</v>
      </c>
      <c r="Z405" s="5" t="s">
        <v>47</v>
      </c>
      <c r="AA405" s="5" t="s">
        <v>48</v>
      </c>
      <c r="AB405" s="5" t="s">
        <v>1953</v>
      </c>
      <c r="AC405" s="6" t="s">
        <v>71</v>
      </c>
      <c r="AD405" s="6">
        <v>80.0</v>
      </c>
    </row>
    <row r="406" ht="56.25" customHeight="1">
      <c r="A406" s="5" t="s">
        <v>1939</v>
      </c>
      <c r="B406" s="6" t="str">
        <f>IMAGE("https://storage.googleapis.com/acdb/housewares/FtrKatakatatoy_Remake_4_0.png")</f>
        <v/>
      </c>
      <c r="C406" s="5" t="s">
        <v>688</v>
      </c>
      <c r="D406" s="5" t="s">
        <v>748</v>
      </c>
      <c r="E406" s="5" t="s">
        <v>34</v>
      </c>
      <c r="F406" s="5" t="s">
        <v>34</v>
      </c>
      <c r="G406" s="5" t="s">
        <v>35</v>
      </c>
      <c r="H406" s="5" t="s">
        <v>35</v>
      </c>
      <c r="I406" s="5" t="s">
        <v>36</v>
      </c>
      <c r="J406" s="6">
        <v>2.0</v>
      </c>
      <c r="K406" s="6" t="s">
        <v>37</v>
      </c>
      <c r="L406" s="6">
        <v>960.0</v>
      </c>
      <c r="M406" s="8" t="s">
        <v>114</v>
      </c>
      <c r="N406" s="8" t="s">
        <v>1175</v>
      </c>
      <c r="O406" s="6" t="s">
        <v>40</v>
      </c>
      <c r="P406" s="5" t="s">
        <v>41</v>
      </c>
      <c r="Q406" s="5"/>
      <c r="R406" s="6" t="s">
        <v>42</v>
      </c>
      <c r="S406" s="5" t="s">
        <v>99</v>
      </c>
      <c r="T406" s="5" t="s">
        <v>44</v>
      </c>
      <c r="U406" s="5" t="s">
        <v>44</v>
      </c>
      <c r="V406" s="5" t="s">
        <v>44</v>
      </c>
      <c r="W406" s="5" t="s">
        <v>36</v>
      </c>
      <c r="X406" s="8" t="s">
        <v>356</v>
      </c>
      <c r="Y406" s="5" t="s">
        <v>46</v>
      </c>
      <c r="Z406" s="5" t="s">
        <v>47</v>
      </c>
      <c r="AA406" s="5" t="s">
        <v>48</v>
      </c>
      <c r="AB406" s="5" t="s">
        <v>1957</v>
      </c>
      <c r="AC406" s="6" t="s">
        <v>75</v>
      </c>
      <c r="AD406" s="6">
        <v>80.0</v>
      </c>
    </row>
    <row r="407" ht="56.25" customHeight="1">
      <c r="A407" s="5" t="s">
        <v>1939</v>
      </c>
      <c r="B407" s="6" t="str">
        <f>IMAGE("https://storage.googleapis.com/acdb/housewares/FtrKatakatatoy_Remake_5_0.png")</f>
        <v/>
      </c>
      <c r="C407" s="5" t="s">
        <v>1959</v>
      </c>
      <c r="D407" s="5" t="s">
        <v>748</v>
      </c>
      <c r="E407" s="5" t="s">
        <v>34</v>
      </c>
      <c r="F407" s="5" t="s">
        <v>34</v>
      </c>
      <c r="G407" s="5" t="s">
        <v>35</v>
      </c>
      <c r="H407" s="5" t="s">
        <v>35</v>
      </c>
      <c r="I407" s="5" t="s">
        <v>36</v>
      </c>
      <c r="J407" s="6">
        <v>2.0</v>
      </c>
      <c r="K407" s="6" t="s">
        <v>37</v>
      </c>
      <c r="L407" s="6">
        <v>960.0</v>
      </c>
      <c r="M407" s="8" t="s">
        <v>69</v>
      </c>
      <c r="N407" s="8" t="s">
        <v>106</v>
      </c>
      <c r="O407" s="6" t="s">
        <v>40</v>
      </c>
      <c r="P407" s="5" t="s">
        <v>41</v>
      </c>
      <c r="Q407" s="5"/>
      <c r="R407" s="6" t="s">
        <v>42</v>
      </c>
      <c r="S407" s="5" t="s">
        <v>99</v>
      </c>
      <c r="T407" s="5" t="s">
        <v>44</v>
      </c>
      <c r="U407" s="5" t="s">
        <v>44</v>
      </c>
      <c r="V407" s="5" t="s">
        <v>44</v>
      </c>
      <c r="W407" s="5" t="s">
        <v>36</v>
      </c>
      <c r="X407" s="8" t="s">
        <v>356</v>
      </c>
      <c r="Y407" s="5" t="s">
        <v>46</v>
      </c>
      <c r="Z407" s="5" t="s">
        <v>47</v>
      </c>
      <c r="AA407" s="5" t="s">
        <v>48</v>
      </c>
      <c r="AB407" s="5" t="s">
        <v>1962</v>
      </c>
      <c r="AC407" s="6" t="s">
        <v>79</v>
      </c>
      <c r="AD407" s="6">
        <v>80.0</v>
      </c>
    </row>
    <row r="408" ht="56.25" customHeight="1">
      <c r="A408" s="5" t="s">
        <v>1963</v>
      </c>
      <c r="B408" s="6" t="str">
        <f>IMAGE("https://storage.googleapis.com/acdb/housewares/FtrBathtubCabriole_Remake_0_0.png")</f>
        <v/>
      </c>
      <c r="C408" s="5" t="s">
        <v>57</v>
      </c>
      <c r="D408" s="5" t="s">
        <v>34</v>
      </c>
      <c r="E408" s="5" t="s">
        <v>34</v>
      </c>
      <c r="F408" s="5" t="s">
        <v>34</v>
      </c>
      <c r="G408" s="5" t="s">
        <v>36</v>
      </c>
      <c r="H408" s="5" t="s">
        <v>36</v>
      </c>
      <c r="I408" s="5" t="s">
        <v>36</v>
      </c>
      <c r="J408" s="6" t="s">
        <v>34</v>
      </c>
      <c r="K408" s="6">
        <v>63000.0</v>
      </c>
      <c r="L408" s="6">
        <v>15750.0</v>
      </c>
      <c r="M408" s="8" t="s">
        <v>57</v>
      </c>
      <c r="N408" s="8" t="s">
        <v>57</v>
      </c>
      <c r="O408" s="6" t="s">
        <v>276</v>
      </c>
      <c r="P408" s="5" t="s">
        <v>59</v>
      </c>
      <c r="Q408" s="5" t="s">
        <v>115</v>
      </c>
      <c r="R408" s="6" t="s">
        <v>42</v>
      </c>
      <c r="S408" s="5" t="s">
        <v>288</v>
      </c>
      <c r="T408" s="5" t="s">
        <v>116</v>
      </c>
      <c r="U408" s="5" t="s">
        <v>44</v>
      </c>
      <c r="V408" s="5" t="s">
        <v>44</v>
      </c>
      <c r="W408" s="5" t="s">
        <v>36</v>
      </c>
      <c r="X408" s="8" t="s">
        <v>1968</v>
      </c>
      <c r="Y408" s="5" t="s">
        <v>46</v>
      </c>
      <c r="Z408" s="5" t="s">
        <v>47</v>
      </c>
      <c r="AA408" s="5" t="s">
        <v>64</v>
      </c>
      <c r="AB408" s="5" t="s">
        <v>1969</v>
      </c>
      <c r="AC408" s="6" t="s">
        <v>50</v>
      </c>
      <c r="AD408" s="6">
        <v>1757.0</v>
      </c>
    </row>
    <row r="409" ht="56.25" customHeight="1">
      <c r="A409" s="5" t="s">
        <v>1963</v>
      </c>
      <c r="B409" s="6" t="str">
        <f>IMAGE("https://storage.googleapis.com/acdb/housewares/FtrBathtubCabriole_Remake_1_0.png")</f>
        <v/>
      </c>
      <c r="C409" s="5" t="s">
        <v>54</v>
      </c>
      <c r="D409" s="5" t="s">
        <v>34</v>
      </c>
      <c r="E409" s="5" t="s">
        <v>34</v>
      </c>
      <c r="F409" s="5" t="s">
        <v>34</v>
      </c>
      <c r="G409" s="5" t="s">
        <v>36</v>
      </c>
      <c r="H409" s="5" t="s">
        <v>36</v>
      </c>
      <c r="I409" s="5" t="s">
        <v>36</v>
      </c>
      <c r="J409" s="6" t="s">
        <v>34</v>
      </c>
      <c r="K409" s="6">
        <v>63000.0</v>
      </c>
      <c r="L409" s="6">
        <v>15750.0</v>
      </c>
      <c r="M409" s="8" t="s">
        <v>54</v>
      </c>
      <c r="N409" s="8" t="s">
        <v>57</v>
      </c>
      <c r="O409" s="6" t="s">
        <v>276</v>
      </c>
      <c r="P409" s="5" t="s">
        <v>59</v>
      </c>
      <c r="Q409" s="5" t="s">
        <v>115</v>
      </c>
      <c r="R409" s="6" t="s">
        <v>42</v>
      </c>
      <c r="S409" s="5" t="s">
        <v>288</v>
      </c>
      <c r="T409" s="5" t="s">
        <v>116</v>
      </c>
      <c r="U409" s="5" t="s">
        <v>44</v>
      </c>
      <c r="V409" s="5" t="s">
        <v>44</v>
      </c>
      <c r="W409" s="5" t="s">
        <v>36</v>
      </c>
      <c r="X409" s="8" t="s">
        <v>1968</v>
      </c>
      <c r="Y409" s="5" t="s">
        <v>46</v>
      </c>
      <c r="Z409" s="5" t="s">
        <v>47</v>
      </c>
      <c r="AA409" s="5" t="s">
        <v>64</v>
      </c>
      <c r="AB409" s="5" t="s">
        <v>1973</v>
      </c>
      <c r="AC409" s="6" t="s">
        <v>56</v>
      </c>
      <c r="AD409" s="6">
        <v>1757.0</v>
      </c>
    </row>
    <row r="410" ht="56.25" customHeight="1">
      <c r="A410" s="5" t="s">
        <v>1963</v>
      </c>
      <c r="B410" s="6" t="str">
        <f>IMAGE("https://storage.googleapis.com/acdb/housewares/FtrBathtubCabriole_Remake_2_0.png")</f>
        <v/>
      </c>
      <c r="C410" s="5" t="s">
        <v>52</v>
      </c>
      <c r="D410" s="5" t="s">
        <v>34</v>
      </c>
      <c r="E410" s="5" t="s">
        <v>34</v>
      </c>
      <c r="F410" s="5" t="s">
        <v>34</v>
      </c>
      <c r="G410" s="5" t="s">
        <v>36</v>
      </c>
      <c r="H410" s="5" t="s">
        <v>36</v>
      </c>
      <c r="I410" s="5" t="s">
        <v>36</v>
      </c>
      <c r="J410" s="6" t="s">
        <v>34</v>
      </c>
      <c r="K410" s="6">
        <v>63000.0</v>
      </c>
      <c r="L410" s="6">
        <v>15750.0</v>
      </c>
      <c r="M410" s="8" t="s">
        <v>52</v>
      </c>
      <c r="N410" s="8" t="s">
        <v>57</v>
      </c>
      <c r="O410" s="6" t="s">
        <v>276</v>
      </c>
      <c r="P410" s="5" t="s">
        <v>59</v>
      </c>
      <c r="Q410" s="5" t="s">
        <v>115</v>
      </c>
      <c r="R410" s="6" t="s">
        <v>42</v>
      </c>
      <c r="S410" s="5" t="s">
        <v>288</v>
      </c>
      <c r="T410" s="5" t="s">
        <v>116</v>
      </c>
      <c r="U410" s="5" t="s">
        <v>44</v>
      </c>
      <c r="V410" s="5" t="s">
        <v>44</v>
      </c>
      <c r="W410" s="5" t="s">
        <v>36</v>
      </c>
      <c r="X410" s="8" t="s">
        <v>1968</v>
      </c>
      <c r="Y410" s="5" t="s">
        <v>46</v>
      </c>
      <c r="Z410" s="5" t="s">
        <v>47</v>
      </c>
      <c r="AA410" s="5" t="s">
        <v>64</v>
      </c>
      <c r="AB410" s="5" t="s">
        <v>1977</v>
      </c>
      <c r="AC410" s="6" t="s">
        <v>67</v>
      </c>
      <c r="AD410" s="6">
        <v>1757.0</v>
      </c>
    </row>
    <row r="411" ht="56.25" customHeight="1">
      <c r="A411" s="5" t="s">
        <v>1963</v>
      </c>
      <c r="B411" s="6" t="str">
        <f>IMAGE("https://storage.googleapis.com/acdb/housewares/FtrBathtubCabriole_Remake_3_0.png")</f>
        <v/>
      </c>
      <c r="C411" s="5" t="s">
        <v>68</v>
      </c>
      <c r="D411" s="5" t="s">
        <v>34</v>
      </c>
      <c r="E411" s="5" t="s">
        <v>34</v>
      </c>
      <c r="F411" s="5" t="s">
        <v>34</v>
      </c>
      <c r="G411" s="5" t="s">
        <v>36</v>
      </c>
      <c r="H411" s="5" t="s">
        <v>36</v>
      </c>
      <c r="I411" s="5" t="s">
        <v>36</v>
      </c>
      <c r="J411" s="6" t="s">
        <v>34</v>
      </c>
      <c r="K411" s="6">
        <v>63000.0</v>
      </c>
      <c r="L411" s="6">
        <v>15750.0</v>
      </c>
      <c r="M411" s="8" t="s">
        <v>1175</v>
      </c>
      <c r="N411" s="8" t="s">
        <v>57</v>
      </c>
      <c r="O411" s="6" t="s">
        <v>276</v>
      </c>
      <c r="P411" s="5" t="s">
        <v>59</v>
      </c>
      <c r="Q411" s="5" t="s">
        <v>115</v>
      </c>
      <c r="R411" s="6" t="s">
        <v>42</v>
      </c>
      <c r="S411" s="5" t="s">
        <v>288</v>
      </c>
      <c r="T411" s="5" t="s">
        <v>116</v>
      </c>
      <c r="U411" s="5" t="s">
        <v>44</v>
      </c>
      <c r="V411" s="5" t="s">
        <v>44</v>
      </c>
      <c r="W411" s="5" t="s">
        <v>36</v>
      </c>
      <c r="X411" s="8" t="s">
        <v>1968</v>
      </c>
      <c r="Y411" s="5" t="s">
        <v>46</v>
      </c>
      <c r="Z411" s="5" t="s">
        <v>47</v>
      </c>
      <c r="AA411" s="5" t="s">
        <v>64</v>
      </c>
      <c r="AB411" s="5" t="s">
        <v>1981</v>
      </c>
      <c r="AC411" s="6" t="s">
        <v>71</v>
      </c>
      <c r="AD411" s="6">
        <v>1757.0</v>
      </c>
    </row>
    <row r="412" ht="56.25" customHeight="1">
      <c r="A412" s="5" t="s">
        <v>1963</v>
      </c>
      <c r="B412" s="6" t="str">
        <f>IMAGE("https://storage.googleapis.com/acdb/housewares/FtrBathtubCabriole_Remake_4_0.png")</f>
        <v/>
      </c>
      <c r="C412" s="5" t="s">
        <v>69</v>
      </c>
      <c r="D412" s="5" t="s">
        <v>34</v>
      </c>
      <c r="E412" s="5" t="s">
        <v>34</v>
      </c>
      <c r="F412" s="5" t="s">
        <v>34</v>
      </c>
      <c r="G412" s="5" t="s">
        <v>36</v>
      </c>
      <c r="H412" s="5" t="s">
        <v>36</v>
      </c>
      <c r="I412" s="5" t="s">
        <v>36</v>
      </c>
      <c r="J412" s="6" t="s">
        <v>34</v>
      </c>
      <c r="K412" s="6">
        <v>63000.0</v>
      </c>
      <c r="L412" s="6">
        <v>15750.0</v>
      </c>
      <c r="M412" s="8" t="s">
        <v>69</v>
      </c>
      <c r="N412" s="8" t="s">
        <v>57</v>
      </c>
      <c r="O412" s="6" t="s">
        <v>276</v>
      </c>
      <c r="P412" s="5" t="s">
        <v>59</v>
      </c>
      <c r="Q412" s="5" t="s">
        <v>115</v>
      </c>
      <c r="R412" s="6" t="s">
        <v>42</v>
      </c>
      <c r="S412" s="5" t="s">
        <v>288</v>
      </c>
      <c r="T412" s="5" t="s">
        <v>116</v>
      </c>
      <c r="U412" s="5" t="s">
        <v>44</v>
      </c>
      <c r="V412" s="5" t="s">
        <v>44</v>
      </c>
      <c r="W412" s="5" t="s">
        <v>36</v>
      </c>
      <c r="X412" s="8" t="s">
        <v>1968</v>
      </c>
      <c r="Y412" s="5" t="s">
        <v>46</v>
      </c>
      <c r="Z412" s="5" t="s">
        <v>47</v>
      </c>
      <c r="AA412" s="5" t="s">
        <v>64</v>
      </c>
      <c r="AB412" s="5" t="s">
        <v>1983</v>
      </c>
      <c r="AC412" s="6" t="s">
        <v>75</v>
      </c>
      <c r="AD412" s="6">
        <v>1757.0</v>
      </c>
    </row>
    <row r="413" ht="56.25" customHeight="1">
      <c r="A413" s="5" t="s">
        <v>1963</v>
      </c>
      <c r="B413" s="6" t="str">
        <f>IMAGE("https://storage.googleapis.com/acdb/housewares/FtrBathtubCabriole_Remake_5_0.png")</f>
        <v/>
      </c>
      <c r="C413" s="5" t="s">
        <v>114</v>
      </c>
      <c r="D413" s="5" t="s">
        <v>34</v>
      </c>
      <c r="E413" s="5" t="s">
        <v>34</v>
      </c>
      <c r="F413" s="5" t="s">
        <v>34</v>
      </c>
      <c r="G413" s="5" t="s">
        <v>36</v>
      </c>
      <c r="H413" s="5" t="s">
        <v>36</v>
      </c>
      <c r="I413" s="5" t="s">
        <v>36</v>
      </c>
      <c r="J413" s="6" t="s">
        <v>34</v>
      </c>
      <c r="K413" s="6">
        <v>63000.0</v>
      </c>
      <c r="L413" s="6">
        <v>15750.0</v>
      </c>
      <c r="M413" s="8" t="s">
        <v>114</v>
      </c>
      <c r="N413" s="8" t="s">
        <v>57</v>
      </c>
      <c r="O413" s="6" t="s">
        <v>276</v>
      </c>
      <c r="P413" s="5" t="s">
        <v>59</v>
      </c>
      <c r="Q413" s="5" t="s">
        <v>115</v>
      </c>
      <c r="R413" s="6" t="s">
        <v>42</v>
      </c>
      <c r="S413" s="5" t="s">
        <v>288</v>
      </c>
      <c r="T413" s="5" t="s">
        <v>116</v>
      </c>
      <c r="U413" s="5" t="s">
        <v>44</v>
      </c>
      <c r="V413" s="5" t="s">
        <v>44</v>
      </c>
      <c r="W413" s="5" t="s">
        <v>36</v>
      </c>
      <c r="X413" s="8" t="s">
        <v>1968</v>
      </c>
      <c r="Y413" s="5" t="s">
        <v>46</v>
      </c>
      <c r="Z413" s="5" t="s">
        <v>47</v>
      </c>
      <c r="AA413" s="5" t="s">
        <v>64</v>
      </c>
      <c r="AB413" s="5" t="s">
        <v>1987</v>
      </c>
      <c r="AC413" s="6" t="s">
        <v>79</v>
      </c>
      <c r="AD413" s="6">
        <v>1757.0</v>
      </c>
    </row>
    <row r="414" ht="56.25" customHeight="1">
      <c r="A414" s="5" t="s">
        <v>1988</v>
      </c>
      <c r="B414" s="6" t="str">
        <f>IMAGE("https://storage.googleapis.com/acdb/housewares/FtrKitchenKamado.png")</f>
        <v/>
      </c>
      <c r="C414" s="5" t="s">
        <v>34</v>
      </c>
      <c r="D414" s="5" t="s">
        <v>34</v>
      </c>
      <c r="E414" s="5" t="s">
        <v>34</v>
      </c>
      <c r="F414" s="5" t="s">
        <v>34</v>
      </c>
      <c r="G414" s="5" t="s">
        <v>36</v>
      </c>
      <c r="H414" s="5" t="s">
        <v>36</v>
      </c>
      <c r="I414" s="5" t="s">
        <v>36</v>
      </c>
      <c r="J414" s="6" t="s">
        <v>34</v>
      </c>
      <c r="K414" s="6">
        <v>3300.0</v>
      </c>
      <c r="L414" s="6">
        <v>825.0</v>
      </c>
      <c r="M414" s="5" t="s">
        <v>38</v>
      </c>
      <c r="N414" s="5" t="s">
        <v>39</v>
      </c>
      <c r="O414" s="6" t="s">
        <v>276</v>
      </c>
      <c r="P414" s="5" t="s">
        <v>59</v>
      </c>
      <c r="Q414" s="5" t="s">
        <v>89</v>
      </c>
      <c r="R414" s="6" t="s">
        <v>42</v>
      </c>
      <c r="S414" s="5" t="s">
        <v>159</v>
      </c>
      <c r="T414" s="5" t="s">
        <v>266</v>
      </c>
      <c r="U414" s="5" t="s">
        <v>44</v>
      </c>
      <c r="V414" s="5" t="s">
        <v>44</v>
      </c>
      <c r="W414" s="5" t="s">
        <v>35</v>
      </c>
      <c r="X414" s="8" t="s">
        <v>1244</v>
      </c>
      <c r="Y414" s="5" t="s">
        <v>46</v>
      </c>
      <c r="Z414" s="5" t="s">
        <v>47</v>
      </c>
      <c r="AA414" s="5" t="s">
        <v>64</v>
      </c>
      <c r="AB414" s="5" t="s">
        <v>1989</v>
      </c>
      <c r="AC414" s="6" t="s">
        <v>34</v>
      </c>
      <c r="AD414" s="6">
        <v>717.0</v>
      </c>
    </row>
    <row r="415" ht="56.25" customHeight="1">
      <c r="A415" s="5" t="s">
        <v>1992</v>
      </c>
      <c r="B415" s="6" t="str">
        <f>IMAGE("https://storage.googleapis.com/acdb/housewares/FtrClimbingwall_Remake_0_0.png")</f>
        <v/>
      </c>
      <c r="C415" s="5" t="s">
        <v>32</v>
      </c>
      <c r="D415" s="5" t="s">
        <v>34</v>
      </c>
      <c r="E415" s="5" t="s">
        <v>34</v>
      </c>
      <c r="F415" s="5" t="s">
        <v>34</v>
      </c>
      <c r="G415" s="5" t="s">
        <v>36</v>
      </c>
      <c r="H415" s="5" t="s">
        <v>36</v>
      </c>
      <c r="I415" s="5" t="s">
        <v>36</v>
      </c>
      <c r="J415" s="6" t="s">
        <v>34</v>
      </c>
      <c r="K415" s="6">
        <v>4300.0</v>
      </c>
      <c r="L415" s="6">
        <v>1075.0</v>
      </c>
      <c r="M415" s="8" t="s">
        <v>38</v>
      </c>
      <c r="N415" s="8" t="s">
        <v>58</v>
      </c>
      <c r="O415" s="6" t="s">
        <v>714</v>
      </c>
      <c r="P415" s="5" t="s">
        <v>59</v>
      </c>
      <c r="Q415" s="5" t="s">
        <v>122</v>
      </c>
      <c r="R415" s="6" t="s">
        <v>42</v>
      </c>
      <c r="S415" s="5" t="s">
        <v>474</v>
      </c>
      <c r="T415" s="5" t="s">
        <v>44</v>
      </c>
      <c r="U415" s="5" t="s">
        <v>44</v>
      </c>
      <c r="V415" s="5" t="s">
        <v>44</v>
      </c>
      <c r="W415" s="5" t="s">
        <v>36</v>
      </c>
      <c r="X415" s="8" t="s">
        <v>475</v>
      </c>
      <c r="Y415" s="5" t="s">
        <v>46</v>
      </c>
      <c r="Z415" s="5" t="s">
        <v>47</v>
      </c>
      <c r="AA415" s="5" t="s">
        <v>64</v>
      </c>
      <c r="AB415" s="5" t="s">
        <v>1995</v>
      </c>
      <c r="AC415" s="6" t="s">
        <v>50</v>
      </c>
      <c r="AD415" s="6">
        <v>4006.0</v>
      </c>
    </row>
    <row r="416" ht="56.25" customHeight="1">
      <c r="A416" s="5" t="s">
        <v>1992</v>
      </c>
      <c r="B416" s="6" t="str">
        <f>IMAGE("https://storage.googleapis.com/acdb/housewares/FtrClimbingwall_Remake_1_0.png")</f>
        <v/>
      </c>
      <c r="C416" s="5" t="s">
        <v>69</v>
      </c>
      <c r="D416" s="5" t="s">
        <v>34</v>
      </c>
      <c r="E416" s="5" t="s">
        <v>34</v>
      </c>
      <c r="F416" s="5" t="s">
        <v>34</v>
      </c>
      <c r="G416" s="5" t="s">
        <v>36</v>
      </c>
      <c r="H416" s="5" t="s">
        <v>36</v>
      </c>
      <c r="I416" s="5" t="s">
        <v>36</v>
      </c>
      <c r="J416" s="6" t="s">
        <v>34</v>
      </c>
      <c r="K416" s="6">
        <v>4300.0</v>
      </c>
      <c r="L416" s="6">
        <v>1075.0</v>
      </c>
      <c r="M416" s="8" t="s">
        <v>69</v>
      </c>
      <c r="N416" s="8" t="s">
        <v>58</v>
      </c>
      <c r="O416" s="6" t="s">
        <v>714</v>
      </c>
      <c r="P416" s="5" t="s">
        <v>59</v>
      </c>
      <c r="Q416" s="5" t="s">
        <v>122</v>
      </c>
      <c r="R416" s="6" t="s">
        <v>42</v>
      </c>
      <c r="S416" s="5" t="s">
        <v>474</v>
      </c>
      <c r="T416" s="5" t="s">
        <v>44</v>
      </c>
      <c r="U416" s="5" t="s">
        <v>44</v>
      </c>
      <c r="V416" s="5" t="s">
        <v>44</v>
      </c>
      <c r="W416" s="5" t="s">
        <v>36</v>
      </c>
      <c r="X416" s="8" t="s">
        <v>475</v>
      </c>
      <c r="Y416" s="5" t="s">
        <v>46</v>
      </c>
      <c r="Z416" s="5" t="s">
        <v>47</v>
      </c>
      <c r="AA416" s="5" t="s">
        <v>64</v>
      </c>
      <c r="AB416" s="5" t="s">
        <v>1998</v>
      </c>
      <c r="AC416" s="6" t="s">
        <v>56</v>
      </c>
      <c r="AD416" s="6">
        <v>4006.0</v>
      </c>
    </row>
    <row r="417" ht="56.25" customHeight="1">
      <c r="A417" s="5" t="s">
        <v>1992</v>
      </c>
      <c r="B417" s="6" t="str">
        <f>IMAGE("https://storage.googleapis.com/acdb/housewares/FtrClimbingwall_Remake_2_0.png")</f>
        <v/>
      </c>
      <c r="C417" s="5" t="s">
        <v>68</v>
      </c>
      <c r="D417" s="5" t="s">
        <v>34</v>
      </c>
      <c r="E417" s="5" t="s">
        <v>34</v>
      </c>
      <c r="F417" s="5" t="s">
        <v>34</v>
      </c>
      <c r="G417" s="5" t="s">
        <v>36</v>
      </c>
      <c r="H417" s="5" t="s">
        <v>36</v>
      </c>
      <c r="I417" s="5" t="s">
        <v>36</v>
      </c>
      <c r="J417" s="6" t="s">
        <v>34</v>
      </c>
      <c r="K417" s="6">
        <v>4300.0</v>
      </c>
      <c r="L417" s="6">
        <v>1075.0</v>
      </c>
      <c r="M417" s="8" t="s">
        <v>1175</v>
      </c>
      <c r="N417" s="8" t="s">
        <v>58</v>
      </c>
      <c r="O417" s="6" t="s">
        <v>714</v>
      </c>
      <c r="P417" s="5" t="s">
        <v>59</v>
      </c>
      <c r="Q417" s="5" t="s">
        <v>122</v>
      </c>
      <c r="R417" s="6" t="s">
        <v>42</v>
      </c>
      <c r="S417" s="5" t="s">
        <v>474</v>
      </c>
      <c r="T417" s="5" t="s">
        <v>44</v>
      </c>
      <c r="U417" s="5" t="s">
        <v>44</v>
      </c>
      <c r="V417" s="5" t="s">
        <v>44</v>
      </c>
      <c r="W417" s="5" t="s">
        <v>36</v>
      </c>
      <c r="X417" s="8" t="s">
        <v>475</v>
      </c>
      <c r="Y417" s="5" t="s">
        <v>46</v>
      </c>
      <c r="Z417" s="5" t="s">
        <v>47</v>
      </c>
      <c r="AA417" s="5" t="s">
        <v>64</v>
      </c>
      <c r="AB417" s="5" t="s">
        <v>2001</v>
      </c>
      <c r="AC417" s="6" t="s">
        <v>67</v>
      </c>
      <c r="AD417" s="6">
        <v>4006.0</v>
      </c>
    </row>
    <row r="418" ht="56.25" customHeight="1">
      <c r="A418" s="5" t="s">
        <v>1992</v>
      </c>
      <c r="B418" s="6" t="str">
        <f>IMAGE("https://storage.googleapis.com/acdb/housewares/FtrClimbingwall_Remake_3_0.png")</f>
        <v/>
      </c>
      <c r="C418" s="5" t="s">
        <v>57</v>
      </c>
      <c r="D418" s="5" t="s">
        <v>34</v>
      </c>
      <c r="E418" s="5" t="s">
        <v>34</v>
      </c>
      <c r="F418" s="5" t="s">
        <v>34</v>
      </c>
      <c r="G418" s="5" t="s">
        <v>36</v>
      </c>
      <c r="H418" s="5" t="s">
        <v>36</v>
      </c>
      <c r="I418" s="5" t="s">
        <v>36</v>
      </c>
      <c r="J418" s="6" t="s">
        <v>34</v>
      </c>
      <c r="K418" s="6">
        <v>4300.0</v>
      </c>
      <c r="L418" s="6">
        <v>1075.0</v>
      </c>
      <c r="M418" s="8" t="s">
        <v>57</v>
      </c>
      <c r="N418" s="8" t="s">
        <v>58</v>
      </c>
      <c r="O418" s="6" t="s">
        <v>714</v>
      </c>
      <c r="P418" s="5" t="s">
        <v>59</v>
      </c>
      <c r="Q418" s="5" t="s">
        <v>122</v>
      </c>
      <c r="R418" s="6" t="s">
        <v>42</v>
      </c>
      <c r="S418" s="5" t="s">
        <v>474</v>
      </c>
      <c r="T418" s="5" t="s">
        <v>44</v>
      </c>
      <c r="U418" s="5" t="s">
        <v>44</v>
      </c>
      <c r="V418" s="5" t="s">
        <v>44</v>
      </c>
      <c r="W418" s="5" t="s">
        <v>36</v>
      </c>
      <c r="X418" s="8" t="s">
        <v>475</v>
      </c>
      <c r="Y418" s="5" t="s">
        <v>46</v>
      </c>
      <c r="Z418" s="5" t="s">
        <v>47</v>
      </c>
      <c r="AA418" s="5" t="s">
        <v>64</v>
      </c>
      <c r="AB418" s="5" t="s">
        <v>2004</v>
      </c>
      <c r="AC418" s="6" t="s">
        <v>71</v>
      </c>
      <c r="AD418" s="6">
        <v>4006.0</v>
      </c>
    </row>
    <row r="419" ht="56.25" customHeight="1">
      <c r="A419" s="5" t="s">
        <v>2005</v>
      </c>
      <c r="B419" s="6" t="str">
        <f>IMAGE("https://storage.googleapis.com/acdb/housewares/FtrFashioncase_Remake_0_0.png")</f>
        <v/>
      </c>
      <c r="C419" s="5" t="s">
        <v>57</v>
      </c>
      <c r="D419" s="5" t="s">
        <v>34</v>
      </c>
      <c r="E419" s="5" t="s">
        <v>34</v>
      </c>
      <c r="F419" s="5" t="s">
        <v>34</v>
      </c>
      <c r="G419" s="5" t="s">
        <v>36</v>
      </c>
      <c r="H419" s="5" t="s">
        <v>36</v>
      </c>
      <c r="I419" s="5" t="s">
        <v>36</v>
      </c>
      <c r="J419" s="6" t="s">
        <v>34</v>
      </c>
      <c r="K419" s="6">
        <v>3100.0</v>
      </c>
      <c r="L419" s="6">
        <v>775.0</v>
      </c>
      <c r="M419" s="8" t="s">
        <v>38</v>
      </c>
      <c r="N419" s="8" t="s">
        <v>38</v>
      </c>
      <c r="O419" s="6" t="s">
        <v>40</v>
      </c>
      <c r="P419" s="5" t="s">
        <v>59</v>
      </c>
      <c r="Q419" s="5" t="s">
        <v>89</v>
      </c>
      <c r="R419" s="6" t="s">
        <v>42</v>
      </c>
      <c r="S419" s="5" t="s">
        <v>90</v>
      </c>
      <c r="T419" s="5" t="s">
        <v>44</v>
      </c>
      <c r="U419" s="5" t="s">
        <v>44</v>
      </c>
      <c r="V419" s="5" t="s">
        <v>44</v>
      </c>
      <c r="W419" s="5" t="s">
        <v>35</v>
      </c>
      <c r="X419" s="8" t="s">
        <v>322</v>
      </c>
      <c r="Y419" s="5" t="s">
        <v>46</v>
      </c>
      <c r="Z419" s="5" t="s">
        <v>47</v>
      </c>
      <c r="AA419" s="5" t="s">
        <v>64</v>
      </c>
      <c r="AB419" s="5" t="s">
        <v>2008</v>
      </c>
      <c r="AC419" s="6" t="s">
        <v>50</v>
      </c>
      <c r="AD419" s="6">
        <v>9502.0</v>
      </c>
    </row>
    <row r="420" ht="56.25" customHeight="1">
      <c r="A420" s="5" t="s">
        <v>2005</v>
      </c>
      <c r="B420" s="6" t="str">
        <f>IMAGE("https://storage.googleapis.com/acdb/housewares/FtrFashioncase_Remake_1_0.png")</f>
        <v/>
      </c>
      <c r="C420" s="5" t="s">
        <v>54</v>
      </c>
      <c r="D420" s="5" t="s">
        <v>34</v>
      </c>
      <c r="E420" s="5" t="s">
        <v>34</v>
      </c>
      <c r="F420" s="5" t="s">
        <v>34</v>
      </c>
      <c r="G420" s="5" t="s">
        <v>36</v>
      </c>
      <c r="H420" s="5" t="s">
        <v>36</v>
      </c>
      <c r="I420" s="5" t="s">
        <v>36</v>
      </c>
      <c r="J420" s="6" t="s">
        <v>34</v>
      </c>
      <c r="K420" s="6">
        <v>3100.0</v>
      </c>
      <c r="L420" s="6">
        <v>775.0</v>
      </c>
      <c r="M420" s="8" t="s">
        <v>54</v>
      </c>
      <c r="N420" s="8" t="s">
        <v>54</v>
      </c>
      <c r="O420" s="6" t="s">
        <v>40</v>
      </c>
      <c r="P420" s="5" t="s">
        <v>59</v>
      </c>
      <c r="Q420" s="5" t="s">
        <v>89</v>
      </c>
      <c r="R420" s="6" t="s">
        <v>42</v>
      </c>
      <c r="S420" s="5" t="s">
        <v>90</v>
      </c>
      <c r="T420" s="5" t="s">
        <v>44</v>
      </c>
      <c r="U420" s="5" t="s">
        <v>44</v>
      </c>
      <c r="V420" s="5" t="s">
        <v>44</v>
      </c>
      <c r="W420" s="5" t="s">
        <v>35</v>
      </c>
      <c r="X420" s="8" t="s">
        <v>322</v>
      </c>
      <c r="Y420" s="5" t="s">
        <v>46</v>
      </c>
      <c r="Z420" s="5" t="s">
        <v>47</v>
      </c>
      <c r="AA420" s="5" t="s">
        <v>64</v>
      </c>
      <c r="AB420" s="5" t="s">
        <v>2012</v>
      </c>
      <c r="AC420" s="6" t="s">
        <v>56</v>
      </c>
      <c r="AD420" s="6">
        <v>9502.0</v>
      </c>
    </row>
    <row r="421" ht="56.25" customHeight="1">
      <c r="A421" s="5" t="s">
        <v>2005</v>
      </c>
      <c r="B421" s="6" t="str">
        <f>IMAGE("https://storage.googleapis.com/acdb/housewares/FtrFashioncase_Remake_2_0.png")</f>
        <v/>
      </c>
      <c r="C421" s="5" t="s">
        <v>142</v>
      </c>
      <c r="D421" s="5" t="s">
        <v>34</v>
      </c>
      <c r="E421" s="5" t="s">
        <v>34</v>
      </c>
      <c r="F421" s="5" t="s">
        <v>34</v>
      </c>
      <c r="G421" s="5" t="s">
        <v>36</v>
      </c>
      <c r="H421" s="5" t="s">
        <v>36</v>
      </c>
      <c r="I421" s="5" t="s">
        <v>36</v>
      </c>
      <c r="J421" s="6" t="s">
        <v>34</v>
      </c>
      <c r="K421" s="6">
        <v>3100.0</v>
      </c>
      <c r="L421" s="6">
        <v>775.0</v>
      </c>
      <c r="M421" s="8" t="s">
        <v>142</v>
      </c>
      <c r="N421" s="8" t="s">
        <v>142</v>
      </c>
      <c r="O421" s="6" t="s">
        <v>40</v>
      </c>
      <c r="P421" s="5" t="s">
        <v>59</v>
      </c>
      <c r="Q421" s="5" t="s">
        <v>89</v>
      </c>
      <c r="R421" s="6" t="s">
        <v>42</v>
      </c>
      <c r="S421" s="5" t="s">
        <v>90</v>
      </c>
      <c r="T421" s="5" t="s">
        <v>44</v>
      </c>
      <c r="U421" s="5" t="s">
        <v>44</v>
      </c>
      <c r="V421" s="5" t="s">
        <v>44</v>
      </c>
      <c r="W421" s="5" t="s">
        <v>35</v>
      </c>
      <c r="X421" s="8" t="s">
        <v>322</v>
      </c>
      <c r="Y421" s="5" t="s">
        <v>46</v>
      </c>
      <c r="Z421" s="5" t="s">
        <v>47</v>
      </c>
      <c r="AA421" s="5" t="s">
        <v>64</v>
      </c>
      <c r="AB421" s="5" t="s">
        <v>2014</v>
      </c>
      <c r="AC421" s="6" t="s">
        <v>67</v>
      </c>
      <c r="AD421" s="6">
        <v>9502.0</v>
      </c>
    </row>
    <row r="422" ht="56.25" customHeight="1">
      <c r="A422" s="5" t="s">
        <v>2005</v>
      </c>
      <c r="B422" s="6" t="str">
        <f>IMAGE("https://storage.googleapis.com/acdb/housewares/FtrFashioncase_Remake_3_0.png")</f>
        <v/>
      </c>
      <c r="C422" s="5" t="s">
        <v>68</v>
      </c>
      <c r="D422" s="5" t="s">
        <v>34</v>
      </c>
      <c r="E422" s="5" t="s">
        <v>34</v>
      </c>
      <c r="F422" s="5" t="s">
        <v>34</v>
      </c>
      <c r="G422" s="5" t="s">
        <v>36</v>
      </c>
      <c r="H422" s="5" t="s">
        <v>36</v>
      </c>
      <c r="I422" s="5" t="s">
        <v>36</v>
      </c>
      <c r="J422" s="6" t="s">
        <v>34</v>
      </c>
      <c r="K422" s="6">
        <v>3100.0</v>
      </c>
      <c r="L422" s="6">
        <v>775.0</v>
      </c>
      <c r="M422" s="8" t="s">
        <v>68</v>
      </c>
      <c r="N422" s="8" t="s">
        <v>68</v>
      </c>
      <c r="O422" s="6" t="s">
        <v>40</v>
      </c>
      <c r="P422" s="5" t="s">
        <v>59</v>
      </c>
      <c r="Q422" s="5" t="s">
        <v>89</v>
      </c>
      <c r="R422" s="6" t="s">
        <v>42</v>
      </c>
      <c r="S422" s="5" t="s">
        <v>90</v>
      </c>
      <c r="T422" s="5" t="s">
        <v>44</v>
      </c>
      <c r="U422" s="5" t="s">
        <v>44</v>
      </c>
      <c r="V422" s="5" t="s">
        <v>44</v>
      </c>
      <c r="W422" s="5" t="s">
        <v>35</v>
      </c>
      <c r="X422" s="8" t="s">
        <v>322</v>
      </c>
      <c r="Y422" s="5" t="s">
        <v>46</v>
      </c>
      <c r="Z422" s="5" t="s">
        <v>47</v>
      </c>
      <c r="AA422" s="5" t="s">
        <v>64</v>
      </c>
      <c r="AB422" s="5" t="s">
        <v>2019</v>
      </c>
      <c r="AC422" s="6" t="s">
        <v>71</v>
      </c>
      <c r="AD422" s="6">
        <v>9502.0</v>
      </c>
    </row>
    <row r="423" ht="56.25" customHeight="1">
      <c r="A423" s="5" t="s">
        <v>2005</v>
      </c>
      <c r="B423" s="6" t="str">
        <f>IMAGE("https://storage.googleapis.com/acdb/housewares/FtrFashioncase_Remake_4_0.png")</f>
        <v/>
      </c>
      <c r="C423" s="5" t="s">
        <v>69</v>
      </c>
      <c r="D423" s="5" t="s">
        <v>34</v>
      </c>
      <c r="E423" s="5" t="s">
        <v>34</v>
      </c>
      <c r="F423" s="5" t="s">
        <v>34</v>
      </c>
      <c r="G423" s="5" t="s">
        <v>36</v>
      </c>
      <c r="H423" s="5" t="s">
        <v>36</v>
      </c>
      <c r="I423" s="5" t="s">
        <v>36</v>
      </c>
      <c r="J423" s="6" t="s">
        <v>34</v>
      </c>
      <c r="K423" s="6">
        <v>3100.0</v>
      </c>
      <c r="L423" s="6">
        <v>775.0</v>
      </c>
      <c r="M423" s="8" t="s">
        <v>69</v>
      </c>
      <c r="N423" s="8" t="s">
        <v>69</v>
      </c>
      <c r="O423" s="6" t="s">
        <v>40</v>
      </c>
      <c r="P423" s="5" t="s">
        <v>59</v>
      </c>
      <c r="Q423" s="5" t="s">
        <v>89</v>
      </c>
      <c r="R423" s="6" t="s">
        <v>42</v>
      </c>
      <c r="S423" s="5" t="s">
        <v>90</v>
      </c>
      <c r="T423" s="5" t="s">
        <v>44</v>
      </c>
      <c r="U423" s="5" t="s">
        <v>44</v>
      </c>
      <c r="V423" s="5" t="s">
        <v>44</v>
      </c>
      <c r="W423" s="5" t="s">
        <v>35</v>
      </c>
      <c r="X423" s="8" t="s">
        <v>322</v>
      </c>
      <c r="Y423" s="5" t="s">
        <v>46</v>
      </c>
      <c r="Z423" s="5" t="s">
        <v>47</v>
      </c>
      <c r="AA423" s="5" t="s">
        <v>64</v>
      </c>
      <c r="AB423" s="5" t="s">
        <v>2020</v>
      </c>
      <c r="AC423" s="6" t="s">
        <v>75</v>
      </c>
      <c r="AD423" s="6">
        <v>9502.0</v>
      </c>
    </row>
    <row r="424" ht="56.25" customHeight="1">
      <c r="A424" s="5" t="s">
        <v>2005</v>
      </c>
      <c r="B424" s="6" t="str">
        <f>IMAGE("https://storage.googleapis.com/acdb/housewares/FtrFashioncase_Remake_5_0.png")</f>
        <v/>
      </c>
      <c r="C424" s="5" t="s">
        <v>83</v>
      </c>
      <c r="D424" s="5" t="s">
        <v>34</v>
      </c>
      <c r="E424" s="5" t="s">
        <v>34</v>
      </c>
      <c r="F424" s="5" t="s">
        <v>34</v>
      </c>
      <c r="G424" s="5" t="s">
        <v>36</v>
      </c>
      <c r="H424" s="5" t="s">
        <v>36</v>
      </c>
      <c r="I424" s="5" t="s">
        <v>36</v>
      </c>
      <c r="J424" s="6" t="s">
        <v>34</v>
      </c>
      <c r="K424" s="6">
        <v>3100.0</v>
      </c>
      <c r="L424" s="6">
        <v>775.0</v>
      </c>
      <c r="M424" s="8" t="s">
        <v>96</v>
      </c>
      <c r="N424" s="8" t="s">
        <v>96</v>
      </c>
      <c r="O424" s="6" t="s">
        <v>40</v>
      </c>
      <c r="P424" s="5" t="s">
        <v>59</v>
      </c>
      <c r="Q424" s="5" t="s">
        <v>89</v>
      </c>
      <c r="R424" s="6" t="s">
        <v>42</v>
      </c>
      <c r="S424" s="5" t="s">
        <v>90</v>
      </c>
      <c r="T424" s="5" t="s">
        <v>44</v>
      </c>
      <c r="U424" s="5" t="s">
        <v>44</v>
      </c>
      <c r="V424" s="5" t="s">
        <v>44</v>
      </c>
      <c r="W424" s="5" t="s">
        <v>35</v>
      </c>
      <c r="X424" s="8" t="s">
        <v>322</v>
      </c>
      <c r="Y424" s="5" t="s">
        <v>46</v>
      </c>
      <c r="Z424" s="5" t="s">
        <v>47</v>
      </c>
      <c r="AA424" s="5" t="s">
        <v>64</v>
      </c>
      <c r="AB424" s="5" t="s">
        <v>2024</v>
      </c>
      <c r="AC424" s="6" t="s">
        <v>79</v>
      </c>
      <c r="AD424" s="6">
        <v>9502.0</v>
      </c>
    </row>
    <row r="425" ht="56.25" customHeight="1">
      <c r="A425" s="5" t="s">
        <v>2025</v>
      </c>
      <c r="B425" s="6" t="str">
        <f>IMAGE("https://storage.googleapis.com/acdb/housewares/FtrClothesline_Remake_0_0.png")</f>
        <v/>
      </c>
      <c r="C425" s="5" t="s">
        <v>34</v>
      </c>
      <c r="D425" s="5" t="s">
        <v>34</v>
      </c>
      <c r="E425" s="5" t="s">
        <v>57</v>
      </c>
      <c r="F425" s="5" t="s">
        <v>2026</v>
      </c>
      <c r="G425" s="5" t="s">
        <v>35</v>
      </c>
      <c r="H425" s="5" t="s">
        <v>36</v>
      </c>
      <c r="I425" s="5" t="s">
        <v>35</v>
      </c>
      <c r="J425" s="6">
        <v>2.0</v>
      </c>
      <c r="K425" s="6" t="s">
        <v>37</v>
      </c>
      <c r="L425" s="6">
        <v>100.0</v>
      </c>
      <c r="M425" s="8" t="s">
        <v>39</v>
      </c>
      <c r="N425" s="8" t="s">
        <v>57</v>
      </c>
      <c r="O425" s="6" t="s">
        <v>714</v>
      </c>
      <c r="P425" s="5" t="s">
        <v>41</v>
      </c>
      <c r="Q425" s="5"/>
      <c r="R425" s="6" t="s">
        <v>42</v>
      </c>
      <c r="S425" s="5" t="s">
        <v>172</v>
      </c>
      <c r="T425" s="5" t="s">
        <v>44</v>
      </c>
      <c r="U425" s="5" t="s">
        <v>44</v>
      </c>
      <c r="V425" s="5" t="s">
        <v>44</v>
      </c>
      <c r="W425" s="5" t="s">
        <v>36</v>
      </c>
      <c r="X425" s="8" t="s">
        <v>432</v>
      </c>
      <c r="Y425" s="5" t="s">
        <v>46</v>
      </c>
      <c r="Z425" s="5" t="s">
        <v>47</v>
      </c>
      <c r="AA425" s="5" t="s">
        <v>48</v>
      </c>
      <c r="AB425" s="5" t="s">
        <v>2030</v>
      </c>
      <c r="AC425" s="6" t="s">
        <v>50</v>
      </c>
      <c r="AD425" s="6">
        <v>3229.0</v>
      </c>
    </row>
    <row r="426" ht="56.25" customHeight="1">
      <c r="A426" s="5" t="s">
        <v>2025</v>
      </c>
      <c r="B426" s="6" t="str">
        <f>IMAGE("https://storage.googleapis.com/acdb/housewares/FtrClothesline_Remake_0_1.png")</f>
        <v/>
      </c>
      <c r="C426" s="5" t="s">
        <v>34</v>
      </c>
      <c r="D426" s="5" t="s">
        <v>34</v>
      </c>
      <c r="E426" s="5" t="s">
        <v>2031</v>
      </c>
      <c r="F426" s="5" t="s">
        <v>2026</v>
      </c>
      <c r="G426" s="5" t="s">
        <v>35</v>
      </c>
      <c r="H426" s="5" t="s">
        <v>36</v>
      </c>
      <c r="I426" s="5" t="s">
        <v>35</v>
      </c>
      <c r="J426" s="6">
        <v>2.0</v>
      </c>
      <c r="K426" s="6" t="s">
        <v>37</v>
      </c>
      <c r="L426" s="6">
        <v>100.0</v>
      </c>
      <c r="M426" s="8" t="s">
        <v>39</v>
      </c>
      <c r="N426" s="8" t="s">
        <v>38</v>
      </c>
      <c r="O426" s="6" t="s">
        <v>714</v>
      </c>
      <c r="P426" s="5" t="s">
        <v>41</v>
      </c>
      <c r="Q426" s="5"/>
      <c r="R426" s="6" t="s">
        <v>42</v>
      </c>
      <c r="S426" s="5" t="s">
        <v>172</v>
      </c>
      <c r="T426" s="5" t="s">
        <v>44</v>
      </c>
      <c r="U426" s="5" t="s">
        <v>44</v>
      </c>
      <c r="V426" s="5" t="s">
        <v>44</v>
      </c>
      <c r="W426" s="5" t="s">
        <v>36</v>
      </c>
      <c r="X426" s="8" t="s">
        <v>432</v>
      </c>
      <c r="Y426" s="5" t="s">
        <v>46</v>
      </c>
      <c r="Z426" s="5" t="s">
        <v>47</v>
      </c>
      <c r="AA426" s="5" t="s">
        <v>48</v>
      </c>
      <c r="AB426" s="5" t="s">
        <v>2032</v>
      </c>
      <c r="AC426" s="6" t="s">
        <v>217</v>
      </c>
      <c r="AD426" s="6">
        <v>3229.0</v>
      </c>
    </row>
    <row r="427" ht="56.25" customHeight="1">
      <c r="A427" s="5" t="s">
        <v>2025</v>
      </c>
      <c r="B427" s="6" t="str">
        <f>IMAGE("https://storage.googleapis.com/acdb/housewares/FtrClothesline_Remake_0_2.png")</f>
        <v/>
      </c>
      <c r="C427" s="5" t="s">
        <v>34</v>
      </c>
      <c r="D427" s="5" t="s">
        <v>34</v>
      </c>
      <c r="E427" s="5" t="s">
        <v>2033</v>
      </c>
      <c r="F427" s="5" t="s">
        <v>2026</v>
      </c>
      <c r="G427" s="5" t="s">
        <v>35</v>
      </c>
      <c r="H427" s="5" t="s">
        <v>36</v>
      </c>
      <c r="I427" s="5" t="s">
        <v>35</v>
      </c>
      <c r="J427" s="6">
        <v>2.0</v>
      </c>
      <c r="K427" s="6" t="s">
        <v>37</v>
      </c>
      <c r="L427" s="6">
        <v>100.0</v>
      </c>
      <c r="M427" s="8" t="s">
        <v>39</v>
      </c>
      <c r="N427" s="8" t="s">
        <v>68</v>
      </c>
      <c r="O427" s="6" t="s">
        <v>714</v>
      </c>
      <c r="P427" s="5" t="s">
        <v>41</v>
      </c>
      <c r="Q427" s="5"/>
      <c r="R427" s="6" t="s">
        <v>42</v>
      </c>
      <c r="S427" s="5" t="s">
        <v>172</v>
      </c>
      <c r="T427" s="5" t="s">
        <v>44</v>
      </c>
      <c r="U427" s="5" t="s">
        <v>44</v>
      </c>
      <c r="V427" s="5" t="s">
        <v>44</v>
      </c>
      <c r="W427" s="5" t="s">
        <v>36</v>
      </c>
      <c r="X427" s="8" t="s">
        <v>432</v>
      </c>
      <c r="Y427" s="5" t="s">
        <v>46</v>
      </c>
      <c r="Z427" s="5" t="s">
        <v>47</v>
      </c>
      <c r="AA427" s="5" t="s">
        <v>48</v>
      </c>
      <c r="AB427" s="5" t="s">
        <v>2038</v>
      </c>
      <c r="AC427" s="6" t="s">
        <v>347</v>
      </c>
      <c r="AD427" s="6">
        <v>3229.0</v>
      </c>
    </row>
    <row r="428" ht="56.25" customHeight="1">
      <c r="A428" s="5" t="s">
        <v>2025</v>
      </c>
      <c r="B428" s="6" t="str">
        <f>IMAGE("https://storage.googleapis.com/acdb/housewares/FtrClothesline_Remake_0_3.png")</f>
        <v/>
      </c>
      <c r="C428" s="5" t="s">
        <v>34</v>
      </c>
      <c r="D428" s="5" t="s">
        <v>34</v>
      </c>
      <c r="E428" s="5" t="s">
        <v>2039</v>
      </c>
      <c r="F428" s="5" t="s">
        <v>2026</v>
      </c>
      <c r="G428" s="5" t="s">
        <v>35</v>
      </c>
      <c r="H428" s="5" t="s">
        <v>36</v>
      </c>
      <c r="I428" s="5" t="s">
        <v>35</v>
      </c>
      <c r="J428" s="6">
        <v>2.0</v>
      </c>
      <c r="K428" s="6" t="s">
        <v>37</v>
      </c>
      <c r="L428" s="6">
        <v>100.0</v>
      </c>
      <c r="M428" s="8" t="s">
        <v>39</v>
      </c>
      <c r="N428" s="8" t="s">
        <v>52</v>
      </c>
      <c r="O428" s="6" t="s">
        <v>714</v>
      </c>
      <c r="P428" s="5" t="s">
        <v>41</v>
      </c>
      <c r="Q428" s="5"/>
      <c r="R428" s="6" t="s">
        <v>42</v>
      </c>
      <c r="S428" s="5" t="s">
        <v>172</v>
      </c>
      <c r="T428" s="5" t="s">
        <v>44</v>
      </c>
      <c r="U428" s="5" t="s">
        <v>44</v>
      </c>
      <c r="V428" s="5" t="s">
        <v>44</v>
      </c>
      <c r="W428" s="5" t="s">
        <v>36</v>
      </c>
      <c r="X428" s="8" t="s">
        <v>432</v>
      </c>
      <c r="Y428" s="5" t="s">
        <v>46</v>
      </c>
      <c r="Z428" s="5" t="s">
        <v>47</v>
      </c>
      <c r="AA428" s="5" t="s">
        <v>48</v>
      </c>
      <c r="AB428" s="5" t="s">
        <v>2040</v>
      </c>
      <c r="AC428" s="6" t="s">
        <v>354</v>
      </c>
      <c r="AD428" s="6">
        <v>3229.0</v>
      </c>
    </row>
    <row r="429" ht="56.25" customHeight="1">
      <c r="A429" s="5" t="s">
        <v>2025</v>
      </c>
      <c r="B429" s="6" t="str">
        <f>IMAGE("https://storage.googleapis.com/acdb/housewares/FtrClothesline_Remake_0_4.png")</f>
        <v/>
      </c>
      <c r="C429" s="5" t="s">
        <v>34</v>
      </c>
      <c r="D429" s="5" t="s">
        <v>34</v>
      </c>
      <c r="E429" s="5" t="s">
        <v>2042</v>
      </c>
      <c r="F429" s="5" t="s">
        <v>2026</v>
      </c>
      <c r="G429" s="5" t="s">
        <v>35</v>
      </c>
      <c r="H429" s="5" t="s">
        <v>36</v>
      </c>
      <c r="I429" s="5" t="s">
        <v>35</v>
      </c>
      <c r="J429" s="6">
        <v>2.0</v>
      </c>
      <c r="K429" s="6" t="s">
        <v>37</v>
      </c>
      <c r="L429" s="6">
        <v>100.0</v>
      </c>
      <c r="M429" s="8" t="s">
        <v>39</v>
      </c>
      <c r="N429" s="8" t="s">
        <v>96</v>
      </c>
      <c r="O429" s="6" t="s">
        <v>714</v>
      </c>
      <c r="P429" s="5" t="s">
        <v>41</v>
      </c>
      <c r="Q429" s="5"/>
      <c r="R429" s="6" t="s">
        <v>42</v>
      </c>
      <c r="S429" s="5" t="s">
        <v>172</v>
      </c>
      <c r="T429" s="5" t="s">
        <v>44</v>
      </c>
      <c r="U429" s="5" t="s">
        <v>44</v>
      </c>
      <c r="V429" s="5" t="s">
        <v>44</v>
      </c>
      <c r="W429" s="5" t="s">
        <v>36</v>
      </c>
      <c r="X429" s="8" t="s">
        <v>432</v>
      </c>
      <c r="Y429" s="5" t="s">
        <v>46</v>
      </c>
      <c r="Z429" s="5" t="s">
        <v>47</v>
      </c>
      <c r="AA429" s="5" t="s">
        <v>48</v>
      </c>
      <c r="AB429" s="5" t="s">
        <v>2045</v>
      </c>
      <c r="AC429" s="6" t="s">
        <v>486</v>
      </c>
      <c r="AD429" s="6">
        <v>3229.0</v>
      </c>
    </row>
    <row r="430" ht="56.25" customHeight="1">
      <c r="A430" s="5" t="s">
        <v>2046</v>
      </c>
      <c r="B430" s="6" t="str">
        <f>IMAGE("https://storage.googleapis.com/acdb/housewares/FtrClotheshorse_Remake_0_0.png")</f>
        <v/>
      </c>
      <c r="C430" s="5" t="s">
        <v>146</v>
      </c>
      <c r="D430" s="5" t="s">
        <v>34</v>
      </c>
      <c r="E430" s="5" t="s">
        <v>811</v>
      </c>
      <c r="F430" s="5" t="s">
        <v>2026</v>
      </c>
      <c r="G430" s="5" t="s">
        <v>36</v>
      </c>
      <c r="H430" s="5" t="s">
        <v>36</v>
      </c>
      <c r="I430" s="5" t="s">
        <v>35</v>
      </c>
      <c r="J430" s="6">
        <v>1.0</v>
      </c>
      <c r="K430" s="6">
        <v>1100.0</v>
      </c>
      <c r="L430" s="6">
        <v>275.0</v>
      </c>
      <c r="M430" s="8" t="s">
        <v>95</v>
      </c>
      <c r="N430" s="8" t="s">
        <v>57</v>
      </c>
      <c r="O430" s="6" t="s">
        <v>714</v>
      </c>
      <c r="P430" s="5" t="s">
        <v>59</v>
      </c>
      <c r="Q430" s="5" t="s">
        <v>89</v>
      </c>
      <c r="R430" s="6" t="s">
        <v>42</v>
      </c>
      <c r="S430" s="5" t="s">
        <v>172</v>
      </c>
      <c r="T430" s="5" t="s">
        <v>288</v>
      </c>
      <c r="U430" s="5" t="s">
        <v>44</v>
      </c>
      <c r="V430" s="5" t="s">
        <v>44</v>
      </c>
      <c r="W430" s="5" t="s">
        <v>36</v>
      </c>
      <c r="X430" s="8" t="s">
        <v>432</v>
      </c>
      <c r="Y430" s="5" t="s">
        <v>46</v>
      </c>
      <c r="Z430" s="5" t="s">
        <v>47</v>
      </c>
      <c r="AA430" s="5" t="s">
        <v>64</v>
      </c>
      <c r="AB430" s="5" t="s">
        <v>2047</v>
      </c>
      <c r="AC430" s="6" t="s">
        <v>50</v>
      </c>
      <c r="AD430" s="6">
        <v>1778.0</v>
      </c>
    </row>
    <row r="431" ht="56.25" customHeight="1">
      <c r="A431" s="5" t="s">
        <v>2046</v>
      </c>
      <c r="B431" s="6" t="str">
        <f>IMAGE("https://storage.googleapis.com/acdb/housewares/FtrClotheshorse_Remake_0_1.png")</f>
        <v/>
      </c>
      <c r="C431" s="5" t="s">
        <v>146</v>
      </c>
      <c r="D431" s="5" t="s">
        <v>34</v>
      </c>
      <c r="E431" s="5" t="s">
        <v>2050</v>
      </c>
      <c r="F431" s="5" t="s">
        <v>2026</v>
      </c>
      <c r="G431" s="5" t="s">
        <v>36</v>
      </c>
      <c r="H431" s="5" t="s">
        <v>36</v>
      </c>
      <c r="I431" s="5" t="s">
        <v>35</v>
      </c>
      <c r="J431" s="6">
        <v>1.0</v>
      </c>
      <c r="K431" s="6">
        <v>1100.0</v>
      </c>
      <c r="L431" s="6">
        <v>275.0</v>
      </c>
      <c r="M431" s="8" t="s">
        <v>95</v>
      </c>
      <c r="N431" s="8" t="s">
        <v>38</v>
      </c>
      <c r="O431" s="6" t="s">
        <v>714</v>
      </c>
      <c r="P431" s="5" t="s">
        <v>59</v>
      </c>
      <c r="Q431" s="5" t="s">
        <v>89</v>
      </c>
      <c r="R431" s="6" t="s">
        <v>42</v>
      </c>
      <c r="S431" s="5" t="s">
        <v>172</v>
      </c>
      <c r="T431" s="5" t="s">
        <v>288</v>
      </c>
      <c r="U431" s="5" t="s">
        <v>44</v>
      </c>
      <c r="V431" s="5" t="s">
        <v>44</v>
      </c>
      <c r="W431" s="5" t="s">
        <v>36</v>
      </c>
      <c r="X431" s="8" t="s">
        <v>432</v>
      </c>
      <c r="Y431" s="5" t="s">
        <v>46</v>
      </c>
      <c r="Z431" s="5" t="s">
        <v>47</v>
      </c>
      <c r="AA431" s="5" t="s">
        <v>64</v>
      </c>
      <c r="AB431" s="5" t="s">
        <v>2051</v>
      </c>
      <c r="AC431" s="6" t="s">
        <v>217</v>
      </c>
      <c r="AD431" s="6">
        <v>1778.0</v>
      </c>
    </row>
    <row r="432" ht="56.25" customHeight="1">
      <c r="A432" s="5" t="s">
        <v>2046</v>
      </c>
      <c r="B432" s="6" t="str">
        <f>IMAGE("https://storage.googleapis.com/acdb/housewares/FtrClotheshorse_Remake_0_2.png")</f>
        <v/>
      </c>
      <c r="C432" s="5" t="s">
        <v>146</v>
      </c>
      <c r="D432" s="5" t="s">
        <v>34</v>
      </c>
      <c r="E432" s="5" t="s">
        <v>219</v>
      </c>
      <c r="F432" s="5" t="s">
        <v>2026</v>
      </c>
      <c r="G432" s="5" t="s">
        <v>36</v>
      </c>
      <c r="H432" s="5" t="s">
        <v>36</v>
      </c>
      <c r="I432" s="5" t="s">
        <v>35</v>
      </c>
      <c r="J432" s="6">
        <v>1.0</v>
      </c>
      <c r="K432" s="6">
        <v>1100.0</v>
      </c>
      <c r="L432" s="6">
        <v>275.0</v>
      </c>
      <c r="M432" s="8" t="s">
        <v>95</v>
      </c>
      <c r="N432" s="8" t="s">
        <v>1175</v>
      </c>
      <c r="O432" s="6" t="s">
        <v>714</v>
      </c>
      <c r="P432" s="5" t="s">
        <v>59</v>
      </c>
      <c r="Q432" s="5" t="s">
        <v>89</v>
      </c>
      <c r="R432" s="6" t="s">
        <v>42</v>
      </c>
      <c r="S432" s="5" t="s">
        <v>172</v>
      </c>
      <c r="T432" s="5" t="s">
        <v>288</v>
      </c>
      <c r="U432" s="5" t="s">
        <v>44</v>
      </c>
      <c r="V432" s="5" t="s">
        <v>44</v>
      </c>
      <c r="W432" s="5" t="s">
        <v>36</v>
      </c>
      <c r="X432" s="8" t="s">
        <v>432</v>
      </c>
      <c r="Y432" s="5" t="s">
        <v>46</v>
      </c>
      <c r="Z432" s="5" t="s">
        <v>47</v>
      </c>
      <c r="AA432" s="5" t="s">
        <v>64</v>
      </c>
      <c r="AB432" s="5" t="s">
        <v>2054</v>
      </c>
      <c r="AC432" s="6" t="s">
        <v>347</v>
      </c>
      <c r="AD432" s="6">
        <v>1778.0</v>
      </c>
    </row>
    <row r="433" ht="56.25" customHeight="1">
      <c r="A433" s="5" t="s">
        <v>2046</v>
      </c>
      <c r="B433" s="6" t="str">
        <f>IMAGE("https://storage.googleapis.com/acdb/housewares/FtrClotheshorse_Remake_0_3.png")</f>
        <v/>
      </c>
      <c r="C433" s="5" t="s">
        <v>146</v>
      </c>
      <c r="D433" s="5" t="s">
        <v>34</v>
      </c>
      <c r="E433" s="5" t="s">
        <v>2056</v>
      </c>
      <c r="F433" s="5" t="s">
        <v>2026</v>
      </c>
      <c r="G433" s="5" t="s">
        <v>36</v>
      </c>
      <c r="H433" s="5" t="s">
        <v>36</v>
      </c>
      <c r="I433" s="5" t="s">
        <v>35</v>
      </c>
      <c r="J433" s="6">
        <v>1.0</v>
      </c>
      <c r="K433" s="6">
        <v>1100.0</v>
      </c>
      <c r="L433" s="6">
        <v>275.0</v>
      </c>
      <c r="M433" s="8" t="s">
        <v>95</v>
      </c>
      <c r="N433" s="8" t="s">
        <v>114</v>
      </c>
      <c r="O433" s="6" t="s">
        <v>714</v>
      </c>
      <c r="P433" s="5" t="s">
        <v>59</v>
      </c>
      <c r="Q433" s="5" t="s">
        <v>89</v>
      </c>
      <c r="R433" s="6" t="s">
        <v>42</v>
      </c>
      <c r="S433" s="5" t="s">
        <v>172</v>
      </c>
      <c r="T433" s="5" t="s">
        <v>288</v>
      </c>
      <c r="U433" s="5" t="s">
        <v>44</v>
      </c>
      <c r="V433" s="5" t="s">
        <v>44</v>
      </c>
      <c r="W433" s="5" t="s">
        <v>36</v>
      </c>
      <c r="X433" s="8" t="s">
        <v>432</v>
      </c>
      <c r="Y433" s="5" t="s">
        <v>46</v>
      </c>
      <c r="Z433" s="5" t="s">
        <v>47</v>
      </c>
      <c r="AA433" s="5" t="s">
        <v>64</v>
      </c>
      <c r="AB433" s="5" t="s">
        <v>2059</v>
      </c>
      <c r="AC433" s="6" t="s">
        <v>354</v>
      </c>
      <c r="AD433" s="6">
        <v>1778.0</v>
      </c>
    </row>
    <row r="434" ht="56.25" customHeight="1">
      <c r="A434" s="5" t="s">
        <v>2046</v>
      </c>
      <c r="B434" s="6" t="str">
        <f>IMAGE("https://storage.googleapis.com/acdb/housewares/FtrClotheshorse_Remake_1_0.png")</f>
        <v/>
      </c>
      <c r="C434" s="5" t="s">
        <v>68</v>
      </c>
      <c r="D434" s="5" t="s">
        <v>34</v>
      </c>
      <c r="E434" s="5" t="s">
        <v>811</v>
      </c>
      <c r="F434" s="5" t="s">
        <v>2026</v>
      </c>
      <c r="G434" s="5" t="s">
        <v>36</v>
      </c>
      <c r="H434" s="5" t="s">
        <v>36</v>
      </c>
      <c r="I434" s="5" t="s">
        <v>35</v>
      </c>
      <c r="J434" s="6">
        <v>1.0</v>
      </c>
      <c r="K434" s="6">
        <v>1100.0</v>
      </c>
      <c r="L434" s="6">
        <v>275.0</v>
      </c>
      <c r="M434" s="8" t="s">
        <v>1175</v>
      </c>
      <c r="N434" s="8" t="s">
        <v>57</v>
      </c>
      <c r="O434" s="6" t="s">
        <v>714</v>
      </c>
      <c r="P434" s="5" t="s">
        <v>59</v>
      </c>
      <c r="Q434" s="5" t="s">
        <v>89</v>
      </c>
      <c r="R434" s="6" t="s">
        <v>42</v>
      </c>
      <c r="S434" s="5" t="s">
        <v>172</v>
      </c>
      <c r="T434" s="5" t="s">
        <v>288</v>
      </c>
      <c r="U434" s="5" t="s">
        <v>44</v>
      </c>
      <c r="V434" s="5" t="s">
        <v>44</v>
      </c>
      <c r="W434" s="5" t="s">
        <v>36</v>
      </c>
      <c r="X434" s="8" t="s">
        <v>432</v>
      </c>
      <c r="Y434" s="5" t="s">
        <v>46</v>
      </c>
      <c r="Z434" s="5" t="s">
        <v>47</v>
      </c>
      <c r="AA434" s="5" t="s">
        <v>64</v>
      </c>
      <c r="AB434" s="5" t="s">
        <v>2062</v>
      </c>
      <c r="AC434" s="6" t="s">
        <v>56</v>
      </c>
      <c r="AD434" s="6">
        <v>1778.0</v>
      </c>
    </row>
    <row r="435" ht="56.25" customHeight="1">
      <c r="A435" s="5" t="s">
        <v>2046</v>
      </c>
      <c r="B435" s="6" t="str">
        <f>IMAGE("https://storage.googleapis.com/acdb/housewares/FtrClotheshorse_Remake_1_1.png")</f>
        <v/>
      </c>
      <c r="C435" s="5" t="s">
        <v>68</v>
      </c>
      <c r="D435" s="5" t="s">
        <v>34</v>
      </c>
      <c r="E435" s="5" t="s">
        <v>2050</v>
      </c>
      <c r="F435" s="5" t="s">
        <v>2026</v>
      </c>
      <c r="G435" s="5" t="s">
        <v>36</v>
      </c>
      <c r="H435" s="5" t="s">
        <v>36</v>
      </c>
      <c r="I435" s="5" t="s">
        <v>35</v>
      </c>
      <c r="J435" s="6">
        <v>1.0</v>
      </c>
      <c r="K435" s="6">
        <v>1100.0</v>
      </c>
      <c r="L435" s="6">
        <v>275.0</v>
      </c>
      <c r="M435" s="8" t="s">
        <v>1175</v>
      </c>
      <c r="N435" s="8" t="s">
        <v>38</v>
      </c>
      <c r="O435" s="6" t="s">
        <v>714</v>
      </c>
      <c r="P435" s="5" t="s">
        <v>59</v>
      </c>
      <c r="Q435" s="5" t="s">
        <v>89</v>
      </c>
      <c r="R435" s="6" t="s">
        <v>42</v>
      </c>
      <c r="S435" s="5" t="s">
        <v>172</v>
      </c>
      <c r="T435" s="5" t="s">
        <v>288</v>
      </c>
      <c r="U435" s="5" t="s">
        <v>44</v>
      </c>
      <c r="V435" s="5" t="s">
        <v>44</v>
      </c>
      <c r="W435" s="5" t="s">
        <v>36</v>
      </c>
      <c r="X435" s="8" t="s">
        <v>432</v>
      </c>
      <c r="Y435" s="5" t="s">
        <v>46</v>
      </c>
      <c r="Z435" s="5" t="s">
        <v>47</v>
      </c>
      <c r="AA435" s="5" t="s">
        <v>64</v>
      </c>
      <c r="AB435" s="5" t="s">
        <v>2067</v>
      </c>
      <c r="AC435" s="6" t="s">
        <v>234</v>
      </c>
      <c r="AD435" s="6">
        <v>1778.0</v>
      </c>
    </row>
    <row r="436" ht="56.25" customHeight="1">
      <c r="A436" s="5" t="s">
        <v>2046</v>
      </c>
      <c r="B436" s="6" t="str">
        <f>IMAGE("https://storage.googleapis.com/acdb/housewares/FtrClotheshorse_Remake_1_2.png")</f>
        <v/>
      </c>
      <c r="C436" s="5" t="s">
        <v>68</v>
      </c>
      <c r="D436" s="5" t="s">
        <v>34</v>
      </c>
      <c r="E436" s="5" t="s">
        <v>219</v>
      </c>
      <c r="F436" s="5" t="s">
        <v>2026</v>
      </c>
      <c r="G436" s="5" t="s">
        <v>36</v>
      </c>
      <c r="H436" s="5" t="s">
        <v>36</v>
      </c>
      <c r="I436" s="5" t="s">
        <v>35</v>
      </c>
      <c r="J436" s="6">
        <v>1.0</v>
      </c>
      <c r="K436" s="6">
        <v>1100.0</v>
      </c>
      <c r="L436" s="6">
        <v>275.0</v>
      </c>
      <c r="M436" s="8" t="s">
        <v>1175</v>
      </c>
      <c r="N436" s="8" t="s">
        <v>1175</v>
      </c>
      <c r="O436" s="6" t="s">
        <v>714</v>
      </c>
      <c r="P436" s="5" t="s">
        <v>59</v>
      </c>
      <c r="Q436" s="5" t="s">
        <v>89</v>
      </c>
      <c r="R436" s="6" t="s">
        <v>42</v>
      </c>
      <c r="S436" s="5" t="s">
        <v>172</v>
      </c>
      <c r="T436" s="5" t="s">
        <v>288</v>
      </c>
      <c r="U436" s="5" t="s">
        <v>44</v>
      </c>
      <c r="V436" s="5" t="s">
        <v>44</v>
      </c>
      <c r="W436" s="5" t="s">
        <v>36</v>
      </c>
      <c r="X436" s="8" t="s">
        <v>432</v>
      </c>
      <c r="Y436" s="5" t="s">
        <v>46</v>
      </c>
      <c r="Z436" s="5" t="s">
        <v>47</v>
      </c>
      <c r="AA436" s="5" t="s">
        <v>64</v>
      </c>
      <c r="AB436" s="5" t="s">
        <v>2069</v>
      </c>
      <c r="AC436" s="6" t="s">
        <v>370</v>
      </c>
      <c r="AD436" s="6">
        <v>1778.0</v>
      </c>
    </row>
    <row r="437" ht="56.25" customHeight="1">
      <c r="A437" s="5" t="s">
        <v>2046</v>
      </c>
      <c r="B437" s="6" t="str">
        <f>IMAGE("https://storage.googleapis.com/acdb/housewares/FtrClotheshorse_Remake_1_3.png")</f>
        <v/>
      </c>
      <c r="C437" s="5" t="s">
        <v>68</v>
      </c>
      <c r="D437" s="5" t="s">
        <v>34</v>
      </c>
      <c r="E437" s="5" t="s">
        <v>2056</v>
      </c>
      <c r="F437" s="5" t="s">
        <v>2026</v>
      </c>
      <c r="G437" s="5" t="s">
        <v>36</v>
      </c>
      <c r="H437" s="5" t="s">
        <v>36</v>
      </c>
      <c r="I437" s="5" t="s">
        <v>35</v>
      </c>
      <c r="J437" s="6">
        <v>1.0</v>
      </c>
      <c r="K437" s="6">
        <v>1100.0</v>
      </c>
      <c r="L437" s="6">
        <v>275.0</v>
      </c>
      <c r="M437" s="8" t="s">
        <v>1175</v>
      </c>
      <c r="N437" s="8" t="s">
        <v>114</v>
      </c>
      <c r="O437" s="6" t="s">
        <v>714</v>
      </c>
      <c r="P437" s="5" t="s">
        <v>59</v>
      </c>
      <c r="Q437" s="5" t="s">
        <v>89</v>
      </c>
      <c r="R437" s="6" t="s">
        <v>42</v>
      </c>
      <c r="S437" s="5" t="s">
        <v>172</v>
      </c>
      <c r="T437" s="5" t="s">
        <v>288</v>
      </c>
      <c r="U437" s="5" t="s">
        <v>44</v>
      </c>
      <c r="V437" s="5" t="s">
        <v>44</v>
      </c>
      <c r="W437" s="5" t="s">
        <v>36</v>
      </c>
      <c r="X437" s="8" t="s">
        <v>432</v>
      </c>
      <c r="Y437" s="5" t="s">
        <v>46</v>
      </c>
      <c r="Z437" s="5" t="s">
        <v>47</v>
      </c>
      <c r="AA437" s="5" t="s">
        <v>64</v>
      </c>
      <c r="AB437" s="5" t="s">
        <v>2074</v>
      </c>
      <c r="AC437" s="6" t="s">
        <v>377</v>
      </c>
      <c r="AD437" s="6">
        <v>1778.0</v>
      </c>
    </row>
    <row r="438" ht="56.25" customHeight="1">
      <c r="A438" s="5" t="s">
        <v>2075</v>
      </c>
      <c r="B438" s="6" t="str">
        <f>IMAGE("https://storage.googleapis.com/acdb/housewares/FtrRoulette_Remake_0_0.png")</f>
        <v/>
      </c>
      <c r="C438" s="5" t="s">
        <v>2076</v>
      </c>
      <c r="D438" s="5" t="s">
        <v>34</v>
      </c>
      <c r="E438" s="5" t="s">
        <v>34</v>
      </c>
      <c r="F438" s="5" t="s">
        <v>34</v>
      </c>
      <c r="G438" s="5" t="s">
        <v>36</v>
      </c>
      <c r="H438" s="5" t="s">
        <v>36</v>
      </c>
      <c r="I438" s="5" t="s">
        <v>36</v>
      </c>
      <c r="J438" s="6" t="s">
        <v>34</v>
      </c>
      <c r="K438" s="6">
        <v>2900.0</v>
      </c>
      <c r="L438" s="6">
        <v>725.0</v>
      </c>
      <c r="M438" s="8" t="s">
        <v>58</v>
      </c>
      <c r="N438" s="8" t="s">
        <v>58</v>
      </c>
      <c r="O438" s="6" t="s">
        <v>276</v>
      </c>
      <c r="P438" s="5" t="s">
        <v>59</v>
      </c>
      <c r="Q438" s="5" t="s">
        <v>122</v>
      </c>
      <c r="R438" s="6" t="s">
        <v>42</v>
      </c>
      <c r="S438" s="5" t="s">
        <v>465</v>
      </c>
      <c r="T438" s="5" t="s">
        <v>44</v>
      </c>
      <c r="U438" s="5" t="s">
        <v>44</v>
      </c>
      <c r="V438" s="5" t="s">
        <v>44</v>
      </c>
      <c r="W438" s="5" t="s">
        <v>35</v>
      </c>
      <c r="X438" s="8" t="s">
        <v>356</v>
      </c>
      <c r="Y438" s="5" t="s">
        <v>46</v>
      </c>
      <c r="Z438" s="5" t="s">
        <v>47</v>
      </c>
      <c r="AA438" s="5" t="s">
        <v>64</v>
      </c>
      <c r="AB438" s="5" t="s">
        <v>2078</v>
      </c>
      <c r="AC438" s="6" t="s">
        <v>50</v>
      </c>
      <c r="AD438" s="6">
        <v>1112.0</v>
      </c>
    </row>
    <row r="439" ht="56.25" customHeight="1">
      <c r="A439" s="5" t="s">
        <v>2075</v>
      </c>
      <c r="B439" s="6" t="str">
        <f>IMAGE("https://storage.googleapis.com/acdb/housewares/FtrRoulette_Remake_1_0.png")</f>
        <v/>
      </c>
      <c r="C439" s="5" t="s">
        <v>2081</v>
      </c>
      <c r="D439" s="5" t="s">
        <v>34</v>
      </c>
      <c r="E439" s="5" t="s">
        <v>34</v>
      </c>
      <c r="F439" s="5" t="s">
        <v>34</v>
      </c>
      <c r="G439" s="5" t="s">
        <v>36</v>
      </c>
      <c r="H439" s="5" t="s">
        <v>36</v>
      </c>
      <c r="I439" s="5" t="s">
        <v>36</v>
      </c>
      <c r="J439" s="6" t="s">
        <v>34</v>
      </c>
      <c r="K439" s="6">
        <v>2900.0</v>
      </c>
      <c r="L439" s="6">
        <v>725.0</v>
      </c>
      <c r="M439" s="8" t="s">
        <v>68</v>
      </c>
      <c r="N439" s="8" t="s">
        <v>57</v>
      </c>
      <c r="O439" s="6" t="s">
        <v>276</v>
      </c>
      <c r="P439" s="5" t="s">
        <v>59</v>
      </c>
      <c r="Q439" s="5" t="s">
        <v>122</v>
      </c>
      <c r="R439" s="6" t="s">
        <v>42</v>
      </c>
      <c r="S439" s="5" t="s">
        <v>465</v>
      </c>
      <c r="T439" s="5" t="s">
        <v>44</v>
      </c>
      <c r="U439" s="5" t="s">
        <v>44</v>
      </c>
      <c r="V439" s="5" t="s">
        <v>44</v>
      </c>
      <c r="W439" s="5" t="s">
        <v>35</v>
      </c>
      <c r="X439" s="8" t="s">
        <v>356</v>
      </c>
      <c r="Y439" s="5" t="s">
        <v>46</v>
      </c>
      <c r="Z439" s="5" t="s">
        <v>47</v>
      </c>
      <c r="AA439" s="5" t="s">
        <v>64</v>
      </c>
      <c r="AB439" s="5" t="s">
        <v>2085</v>
      </c>
      <c r="AC439" s="6" t="s">
        <v>56</v>
      </c>
      <c r="AD439" s="6">
        <v>1112.0</v>
      </c>
    </row>
    <row r="440" ht="56.25" customHeight="1">
      <c r="A440" s="5" t="s">
        <v>2075</v>
      </c>
      <c r="B440" s="6" t="str">
        <f>IMAGE("https://storage.googleapis.com/acdb/housewares/FtrRoulette_Remake_2_0.png")</f>
        <v/>
      </c>
      <c r="C440" s="5" t="s">
        <v>2086</v>
      </c>
      <c r="D440" s="5" t="s">
        <v>34</v>
      </c>
      <c r="E440" s="5" t="s">
        <v>34</v>
      </c>
      <c r="F440" s="5" t="s">
        <v>34</v>
      </c>
      <c r="G440" s="5" t="s">
        <v>36</v>
      </c>
      <c r="H440" s="5" t="s">
        <v>36</v>
      </c>
      <c r="I440" s="5" t="s">
        <v>36</v>
      </c>
      <c r="J440" s="6" t="s">
        <v>34</v>
      </c>
      <c r="K440" s="6">
        <v>2900.0</v>
      </c>
      <c r="L440" s="6">
        <v>725.0</v>
      </c>
      <c r="M440" s="8" t="s">
        <v>106</v>
      </c>
      <c r="N440" s="8" t="s">
        <v>114</v>
      </c>
      <c r="O440" s="6" t="s">
        <v>276</v>
      </c>
      <c r="P440" s="5" t="s">
        <v>59</v>
      </c>
      <c r="Q440" s="5" t="s">
        <v>122</v>
      </c>
      <c r="R440" s="6" t="s">
        <v>42</v>
      </c>
      <c r="S440" s="5" t="s">
        <v>465</v>
      </c>
      <c r="T440" s="5" t="s">
        <v>44</v>
      </c>
      <c r="U440" s="5" t="s">
        <v>44</v>
      </c>
      <c r="V440" s="5" t="s">
        <v>44</v>
      </c>
      <c r="W440" s="5" t="s">
        <v>35</v>
      </c>
      <c r="X440" s="8" t="s">
        <v>356</v>
      </c>
      <c r="Y440" s="5" t="s">
        <v>46</v>
      </c>
      <c r="Z440" s="5" t="s">
        <v>47</v>
      </c>
      <c r="AA440" s="5" t="s">
        <v>64</v>
      </c>
      <c r="AB440" s="5" t="s">
        <v>2092</v>
      </c>
      <c r="AC440" s="6" t="s">
        <v>67</v>
      </c>
      <c r="AD440" s="6">
        <v>1112.0</v>
      </c>
    </row>
    <row r="441" ht="56.25" customHeight="1">
      <c r="A441" s="5" t="s">
        <v>2075</v>
      </c>
      <c r="B441" s="6" t="str">
        <f>IMAGE("https://storage.googleapis.com/acdb/housewares/FtrRoulette_Remake_3_0.png")</f>
        <v/>
      </c>
      <c r="C441" s="5" t="s">
        <v>2093</v>
      </c>
      <c r="D441" s="5" t="s">
        <v>34</v>
      </c>
      <c r="E441" s="5" t="s">
        <v>34</v>
      </c>
      <c r="F441" s="5" t="s">
        <v>34</v>
      </c>
      <c r="G441" s="5" t="s">
        <v>36</v>
      </c>
      <c r="H441" s="5" t="s">
        <v>36</v>
      </c>
      <c r="I441" s="5" t="s">
        <v>36</v>
      </c>
      <c r="J441" s="6" t="s">
        <v>34</v>
      </c>
      <c r="K441" s="6">
        <v>2900.0</v>
      </c>
      <c r="L441" s="6">
        <v>725.0</v>
      </c>
      <c r="M441" s="8" t="s">
        <v>52</v>
      </c>
      <c r="N441" s="8" t="s">
        <v>54</v>
      </c>
      <c r="O441" s="6" t="s">
        <v>276</v>
      </c>
      <c r="P441" s="5" t="s">
        <v>59</v>
      </c>
      <c r="Q441" s="5" t="s">
        <v>122</v>
      </c>
      <c r="R441" s="6" t="s">
        <v>42</v>
      </c>
      <c r="S441" s="5" t="s">
        <v>465</v>
      </c>
      <c r="T441" s="5" t="s">
        <v>44</v>
      </c>
      <c r="U441" s="5" t="s">
        <v>44</v>
      </c>
      <c r="V441" s="5" t="s">
        <v>44</v>
      </c>
      <c r="W441" s="5" t="s">
        <v>35</v>
      </c>
      <c r="X441" s="8" t="s">
        <v>356</v>
      </c>
      <c r="Y441" s="5" t="s">
        <v>46</v>
      </c>
      <c r="Z441" s="5" t="s">
        <v>47</v>
      </c>
      <c r="AA441" s="5" t="s">
        <v>64</v>
      </c>
      <c r="AB441" s="5" t="s">
        <v>2095</v>
      </c>
      <c r="AC441" s="6" t="s">
        <v>71</v>
      </c>
      <c r="AD441" s="6">
        <v>1112.0</v>
      </c>
    </row>
    <row r="442" ht="56.25" customHeight="1">
      <c r="A442" s="5" t="s">
        <v>2075</v>
      </c>
      <c r="B442" s="6" t="str">
        <f>IMAGE("https://storage.googleapis.com/acdb/housewares/FtrRoulette_Remake_4_0.png")</f>
        <v/>
      </c>
      <c r="C442" s="5" t="s">
        <v>2097</v>
      </c>
      <c r="D442" s="5" t="s">
        <v>34</v>
      </c>
      <c r="E442" s="5" t="s">
        <v>34</v>
      </c>
      <c r="F442" s="5" t="s">
        <v>34</v>
      </c>
      <c r="G442" s="5" t="s">
        <v>36</v>
      </c>
      <c r="H442" s="5" t="s">
        <v>36</v>
      </c>
      <c r="I442" s="5" t="s">
        <v>36</v>
      </c>
      <c r="J442" s="6" t="s">
        <v>34</v>
      </c>
      <c r="K442" s="6">
        <v>2900.0</v>
      </c>
      <c r="L442" s="6">
        <v>725.0</v>
      </c>
      <c r="M442" s="8" t="s">
        <v>58</v>
      </c>
      <c r="N442" s="8" t="s">
        <v>58</v>
      </c>
      <c r="O442" s="6" t="s">
        <v>276</v>
      </c>
      <c r="P442" s="5" t="s">
        <v>59</v>
      </c>
      <c r="Q442" s="5" t="s">
        <v>122</v>
      </c>
      <c r="R442" s="6" t="s">
        <v>42</v>
      </c>
      <c r="S442" s="5" t="s">
        <v>465</v>
      </c>
      <c r="T442" s="5" t="s">
        <v>44</v>
      </c>
      <c r="U442" s="5" t="s">
        <v>44</v>
      </c>
      <c r="V442" s="5" t="s">
        <v>44</v>
      </c>
      <c r="W442" s="5" t="s">
        <v>35</v>
      </c>
      <c r="X442" s="8" t="s">
        <v>356</v>
      </c>
      <c r="Y442" s="5" t="s">
        <v>46</v>
      </c>
      <c r="Z442" s="5" t="s">
        <v>47</v>
      </c>
      <c r="AA442" s="5" t="s">
        <v>64</v>
      </c>
      <c r="AB442" s="5" t="s">
        <v>2099</v>
      </c>
      <c r="AC442" s="6" t="s">
        <v>75</v>
      </c>
      <c r="AD442" s="6">
        <v>1112.0</v>
      </c>
    </row>
    <row r="443" ht="56.25" customHeight="1">
      <c r="A443" s="5" t="s">
        <v>2101</v>
      </c>
      <c r="B443" s="6" t="str">
        <f>IMAGE("https://storage.googleapis.com/acdb/housewares/FtrPylon_Remake_0_0.png")</f>
        <v/>
      </c>
      <c r="C443" s="5" t="s">
        <v>52</v>
      </c>
      <c r="D443" s="5" t="s">
        <v>34</v>
      </c>
      <c r="E443" s="5" t="s">
        <v>34</v>
      </c>
      <c r="F443" s="5" t="s">
        <v>34</v>
      </c>
      <c r="G443" s="5" t="s">
        <v>36</v>
      </c>
      <c r="H443" s="5" t="s">
        <v>36</v>
      </c>
      <c r="I443" s="5" t="s">
        <v>36</v>
      </c>
      <c r="J443" s="6" t="s">
        <v>34</v>
      </c>
      <c r="K443" s="6">
        <v>630.0</v>
      </c>
      <c r="L443" s="6">
        <v>157.0</v>
      </c>
      <c r="M443" s="8" t="s">
        <v>52</v>
      </c>
      <c r="N443" s="8" t="s">
        <v>52</v>
      </c>
      <c r="O443" s="6" t="s">
        <v>40</v>
      </c>
      <c r="P443" s="5" t="s">
        <v>59</v>
      </c>
      <c r="Q443" s="5" t="s">
        <v>89</v>
      </c>
      <c r="R443" s="6" t="s">
        <v>42</v>
      </c>
      <c r="S443" s="5" t="s">
        <v>141</v>
      </c>
      <c r="T443" s="5" t="s">
        <v>416</v>
      </c>
      <c r="U443" s="5" t="s">
        <v>44</v>
      </c>
      <c r="V443" s="5" t="s">
        <v>44</v>
      </c>
      <c r="W443" s="5" t="s">
        <v>36</v>
      </c>
      <c r="X443" s="8" t="s">
        <v>173</v>
      </c>
      <c r="Y443" s="5" t="s">
        <v>46</v>
      </c>
      <c r="Z443" s="5" t="s">
        <v>47</v>
      </c>
      <c r="AA443" s="5" t="s">
        <v>64</v>
      </c>
      <c r="AB443" s="5" t="s">
        <v>2105</v>
      </c>
      <c r="AC443" s="6" t="s">
        <v>50</v>
      </c>
      <c r="AD443" s="6">
        <v>146.0</v>
      </c>
    </row>
    <row r="444" ht="56.25" customHeight="1">
      <c r="A444" s="5" t="s">
        <v>2101</v>
      </c>
      <c r="B444" s="6" t="str">
        <f>IMAGE("https://storage.googleapis.com/acdb/housewares/FtrPylon_Remake_1_0.png")</f>
        <v/>
      </c>
      <c r="C444" s="5" t="s">
        <v>68</v>
      </c>
      <c r="D444" s="5" t="s">
        <v>34</v>
      </c>
      <c r="E444" s="5" t="s">
        <v>34</v>
      </c>
      <c r="F444" s="5" t="s">
        <v>34</v>
      </c>
      <c r="G444" s="5" t="s">
        <v>36</v>
      </c>
      <c r="H444" s="5" t="s">
        <v>36</v>
      </c>
      <c r="I444" s="5" t="s">
        <v>36</v>
      </c>
      <c r="J444" s="6" t="s">
        <v>34</v>
      </c>
      <c r="K444" s="6">
        <v>630.0</v>
      </c>
      <c r="L444" s="6">
        <v>157.0</v>
      </c>
      <c r="M444" s="8" t="s">
        <v>68</v>
      </c>
      <c r="N444" s="8" t="s">
        <v>68</v>
      </c>
      <c r="O444" s="6" t="s">
        <v>40</v>
      </c>
      <c r="P444" s="5" t="s">
        <v>59</v>
      </c>
      <c r="Q444" s="5" t="s">
        <v>89</v>
      </c>
      <c r="R444" s="6" t="s">
        <v>42</v>
      </c>
      <c r="S444" s="5" t="s">
        <v>141</v>
      </c>
      <c r="T444" s="5" t="s">
        <v>416</v>
      </c>
      <c r="U444" s="5" t="s">
        <v>44</v>
      </c>
      <c r="V444" s="5" t="s">
        <v>44</v>
      </c>
      <c r="W444" s="5" t="s">
        <v>36</v>
      </c>
      <c r="X444" s="8" t="s">
        <v>173</v>
      </c>
      <c r="Y444" s="5" t="s">
        <v>46</v>
      </c>
      <c r="Z444" s="5" t="s">
        <v>47</v>
      </c>
      <c r="AA444" s="5" t="s">
        <v>64</v>
      </c>
      <c r="AB444" s="5" t="s">
        <v>2109</v>
      </c>
      <c r="AC444" s="6" t="s">
        <v>56</v>
      </c>
      <c r="AD444" s="6">
        <v>146.0</v>
      </c>
    </row>
    <row r="445" ht="56.25" customHeight="1">
      <c r="A445" s="5" t="s">
        <v>2101</v>
      </c>
      <c r="B445" s="6" t="str">
        <f>IMAGE("https://storage.googleapis.com/acdb/housewares/FtrPylon_Remake_2_0.png")</f>
        <v/>
      </c>
      <c r="C445" s="5" t="s">
        <v>114</v>
      </c>
      <c r="D445" s="5" t="s">
        <v>34</v>
      </c>
      <c r="E445" s="5" t="s">
        <v>34</v>
      </c>
      <c r="F445" s="5" t="s">
        <v>34</v>
      </c>
      <c r="G445" s="5" t="s">
        <v>36</v>
      </c>
      <c r="H445" s="5" t="s">
        <v>36</v>
      </c>
      <c r="I445" s="5" t="s">
        <v>36</v>
      </c>
      <c r="J445" s="6" t="s">
        <v>34</v>
      </c>
      <c r="K445" s="6">
        <v>630.0</v>
      </c>
      <c r="L445" s="6">
        <v>157.0</v>
      </c>
      <c r="M445" s="8" t="s">
        <v>114</v>
      </c>
      <c r="N445" s="8" t="s">
        <v>114</v>
      </c>
      <c r="O445" s="6" t="s">
        <v>40</v>
      </c>
      <c r="P445" s="5" t="s">
        <v>59</v>
      </c>
      <c r="Q445" s="5" t="s">
        <v>89</v>
      </c>
      <c r="R445" s="6" t="s">
        <v>42</v>
      </c>
      <c r="S445" s="5" t="s">
        <v>141</v>
      </c>
      <c r="T445" s="5" t="s">
        <v>416</v>
      </c>
      <c r="U445" s="5" t="s">
        <v>44</v>
      </c>
      <c r="V445" s="5" t="s">
        <v>44</v>
      </c>
      <c r="W445" s="5" t="s">
        <v>36</v>
      </c>
      <c r="X445" s="8" t="s">
        <v>173</v>
      </c>
      <c r="Y445" s="5" t="s">
        <v>46</v>
      </c>
      <c r="Z445" s="5" t="s">
        <v>47</v>
      </c>
      <c r="AA445" s="5" t="s">
        <v>64</v>
      </c>
      <c r="AB445" s="5" t="s">
        <v>2116</v>
      </c>
      <c r="AC445" s="6" t="s">
        <v>67</v>
      </c>
      <c r="AD445" s="6">
        <v>146.0</v>
      </c>
    </row>
    <row r="446" ht="56.25" customHeight="1">
      <c r="A446" s="5" t="s">
        <v>2101</v>
      </c>
      <c r="B446" s="6" t="str">
        <f>IMAGE("https://storage.googleapis.com/acdb/housewares/FtrPylon_Remake_3_0.png")</f>
        <v/>
      </c>
      <c r="C446" s="5" t="s">
        <v>57</v>
      </c>
      <c r="D446" s="5" t="s">
        <v>34</v>
      </c>
      <c r="E446" s="5" t="s">
        <v>34</v>
      </c>
      <c r="F446" s="5" t="s">
        <v>34</v>
      </c>
      <c r="G446" s="5" t="s">
        <v>36</v>
      </c>
      <c r="H446" s="5" t="s">
        <v>36</v>
      </c>
      <c r="I446" s="5" t="s">
        <v>36</v>
      </c>
      <c r="J446" s="6" t="s">
        <v>34</v>
      </c>
      <c r="K446" s="6">
        <v>630.0</v>
      </c>
      <c r="L446" s="6">
        <v>157.0</v>
      </c>
      <c r="M446" s="8" t="s">
        <v>57</v>
      </c>
      <c r="N446" s="8" t="s">
        <v>57</v>
      </c>
      <c r="O446" s="6" t="s">
        <v>40</v>
      </c>
      <c r="P446" s="5" t="s">
        <v>59</v>
      </c>
      <c r="Q446" s="5" t="s">
        <v>89</v>
      </c>
      <c r="R446" s="6" t="s">
        <v>42</v>
      </c>
      <c r="S446" s="5" t="s">
        <v>141</v>
      </c>
      <c r="T446" s="5" t="s">
        <v>416</v>
      </c>
      <c r="U446" s="5" t="s">
        <v>44</v>
      </c>
      <c r="V446" s="5" t="s">
        <v>44</v>
      </c>
      <c r="W446" s="5" t="s">
        <v>36</v>
      </c>
      <c r="X446" s="8" t="s">
        <v>173</v>
      </c>
      <c r="Y446" s="5" t="s">
        <v>46</v>
      </c>
      <c r="Z446" s="5" t="s">
        <v>47</v>
      </c>
      <c r="AA446" s="5" t="s">
        <v>64</v>
      </c>
      <c r="AB446" s="5" t="s">
        <v>2119</v>
      </c>
      <c r="AC446" s="6" t="s">
        <v>71</v>
      </c>
      <c r="AD446" s="6">
        <v>146.0</v>
      </c>
    </row>
    <row r="447" ht="56.25" customHeight="1">
      <c r="A447" s="5" t="s">
        <v>2101</v>
      </c>
      <c r="B447" s="6" t="str">
        <f>IMAGE("https://storage.googleapis.com/acdb/housewares/FtrPylon_Remake_4_0.png")</f>
        <v/>
      </c>
      <c r="C447" s="5" t="s">
        <v>906</v>
      </c>
      <c r="D447" s="5" t="s">
        <v>34</v>
      </c>
      <c r="E447" s="5" t="s">
        <v>34</v>
      </c>
      <c r="F447" s="5" t="s">
        <v>34</v>
      </c>
      <c r="G447" s="5" t="s">
        <v>36</v>
      </c>
      <c r="H447" s="5" t="s">
        <v>36</v>
      </c>
      <c r="I447" s="5" t="s">
        <v>36</v>
      </c>
      <c r="J447" s="6" t="s">
        <v>34</v>
      </c>
      <c r="K447" s="6">
        <v>630.0</v>
      </c>
      <c r="L447" s="6">
        <v>157.0</v>
      </c>
      <c r="M447" s="8" t="s">
        <v>52</v>
      </c>
      <c r="N447" s="8" t="s">
        <v>57</v>
      </c>
      <c r="O447" s="6" t="s">
        <v>40</v>
      </c>
      <c r="P447" s="5" t="s">
        <v>59</v>
      </c>
      <c r="Q447" s="5" t="s">
        <v>89</v>
      </c>
      <c r="R447" s="6" t="s">
        <v>42</v>
      </c>
      <c r="S447" s="5" t="s">
        <v>141</v>
      </c>
      <c r="T447" s="5" t="s">
        <v>416</v>
      </c>
      <c r="U447" s="5" t="s">
        <v>44</v>
      </c>
      <c r="V447" s="5" t="s">
        <v>44</v>
      </c>
      <c r="W447" s="5" t="s">
        <v>36</v>
      </c>
      <c r="X447" s="8" t="s">
        <v>173</v>
      </c>
      <c r="Y447" s="5" t="s">
        <v>46</v>
      </c>
      <c r="Z447" s="5" t="s">
        <v>47</v>
      </c>
      <c r="AA447" s="5" t="s">
        <v>64</v>
      </c>
      <c r="AB447" s="5" t="s">
        <v>2122</v>
      </c>
      <c r="AC447" s="6" t="s">
        <v>75</v>
      </c>
      <c r="AD447" s="6">
        <v>146.0</v>
      </c>
    </row>
    <row r="448" ht="56.25" customHeight="1">
      <c r="A448" s="5" t="s">
        <v>2101</v>
      </c>
      <c r="B448" s="6" t="str">
        <f>IMAGE("https://storage.googleapis.com/acdb/housewares/FtrPylon_Remake_5_0.png")</f>
        <v/>
      </c>
      <c r="C448" s="5" t="s">
        <v>2123</v>
      </c>
      <c r="D448" s="5" t="s">
        <v>34</v>
      </c>
      <c r="E448" s="5" t="s">
        <v>34</v>
      </c>
      <c r="F448" s="5" t="s">
        <v>34</v>
      </c>
      <c r="G448" s="5" t="s">
        <v>36</v>
      </c>
      <c r="H448" s="5" t="s">
        <v>36</v>
      </c>
      <c r="I448" s="5" t="s">
        <v>36</v>
      </c>
      <c r="J448" s="6" t="s">
        <v>34</v>
      </c>
      <c r="K448" s="6">
        <v>630.0</v>
      </c>
      <c r="L448" s="6">
        <v>157.0</v>
      </c>
      <c r="M448" s="8" t="s">
        <v>96</v>
      </c>
      <c r="N448" s="8" t="s">
        <v>57</v>
      </c>
      <c r="O448" s="6" t="s">
        <v>40</v>
      </c>
      <c r="P448" s="5" t="s">
        <v>59</v>
      </c>
      <c r="Q448" s="5" t="s">
        <v>89</v>
      </c>
      <c r="R448" s="6" t="s">
        <v>42</v>
      </c>
      <c r="S448" s="5" t="s">
        <v>141</v>
      </c>
      <c r="T448" s="5" t="s">
        <v>416</v>
      </c>
      <c r="U448" s="5" t="s">
        <v>44</v>
      </c>
      <c r="V448" s="5" t="s">
        <v>44</v>
      </c>
      <c r="W448" s="5" t="s">
        <v>36</v>
      </c>
      <c r="X448" s="8" t="s">
        <v>173</v>
      </c>
      <c r="Y448" s="5" t="s">
        <v>46</v>
      </c>
      <c r="Z448" s="5" t="s">
        <v>47</v>
      </c>
      <c r="AA448" s="5" t="s">
        <v>64</v>
      </c>
      <c r="AB448" s="5" t="s">
        <v>2127</v>
      </c>
      <c r="AC448" s="6" t="s">
        <v>79</v>
      </c>
      <c r="AD448" s="6">
        <v>146.0</v>
      </c>
    </row>
    <row r="449" ht="56.25" customHeight="1">
      <c r="A449" s="5" t="s">
        <v>2101</v>
      </c>
      <c r="B449" s="6" t="str">
        <f>IMAGE("https://storage.googleapis.com/acdb/housewares/FtrPylon_Remake_6_0.png")</f>
        <v/>
      </c>
      <c r="C449" s="5" t="s">
        <v>2128</v>
      </c>
      <c r="D449" s="5" t="s">
        <v>34</v>
      </c>
      <c r="E449" s="5" t="s">
        <v>34</v>
      </c>
      <c r="F449" s="5" t="s">
        <v>34</v>
      </c>
      <c r="G449" s="5" t="s">
        <v>36</v>
      </c>
      <c r="H449" s="5" t="s">
        <v>36</v>
      </c>
      <c r="I449" s="5" t="s">
        <v>36</v>
      </c>
      <c r="J449" s="6" t="s">
        <v>34</v>
      </c>
      <c r="K449" s="6">
        <v>630.0</v>
      </c>
      <c r="L449" s="6">
        <v>157.0</v>
      </c>
      <c r="M449" s="8" t="s">
        <v>52</v>
      </c>
      <c r="N449" s="8" t="s">
        <v>57</v>
      </c>
      <c r="O449" s="6" t="s">
        <v>40</v>
      </c>
      <c r="P449" s="5" t="s">
        <v>59</v>
      </c>
      <c r="Q449" s="5" t="s">
        <v>89</v>
      </c>
      <c r="R449" s="6" t="s">
        <v>42</v>
      </c>
      <c r="S449" s="5" t="s">
        <v>141</v>
      </c>
      <c r="T449" s="5" t="s">
        <v>416</v>
      </c>
      <c r="U449" s="5" t="s">
        <v>44</v>
      </c>
      <c r="V449" s="5" t="s">
        <v>44</v>
      </c>
      <c r="W449" s="5" t="s">
        <v>36</v>
      </c>
      <c r="X449" s="8" t="s">
        <v>173</v>
      </c>
      <c r="Y449" s="5" t="s">
        <v>46</v>
      </c>
      <c r="Z449" s="5" t="s">
        <v>47</v>
      </c>
      <c r="AA449" s="5" t="s">
        <v>64</v>
      </c>
      <c r="AB449" s="5" t="s">
        <v>2131</v>
      </c>
      <c r="AC449" s="6" t="s">
        <v>86</v>
      </c>
      <c r="AD449" s="6">
        <v>146.0</v>
      </c>
    </row>
    <row r="450" ht="56.25" customHeight="1">
      <c r="A450" s="5" t="s">
        <v>2101</v>
      </c>
      <c r="B450" s="6" t="str">
        <f>IMAGE("https://storage.googleapis.com/acdb/housewares/FtrPylon_Remake_7_0.png")</f>
        <v/>
      </c>
      <c r="C450" s="5" t="s">
        <v>2133</v>
      </c>
      <c r="D450" s="5" t="s">
        <v>34</v>
      </c>
      <c r="E450" s="5" t="s">
        <v>34</v>
      </c>
      <c r="F450" s="5" t="s">
        <v>34</v>
      </c>
      <c r="G450" s="5" t="s">
        <v>36</v>
      </c>
      <c r="H450" s="5" t="s">
        <v>36</v>
      </c>
      <c r="I450" s="5" t="s">
        <v>36</v>
      </c>
      <c r="J450" s="6" t="s">
        <v>34</v>
      </c>
      <c r="K450" s="6">
        <v>630.0</v>
      </c>
      <c r="L450" s="6">
        <v>157.0</v>
      </c>
      <c r="M450" s="8" t="s">
        <v>114</v>
      </c>
      <c r="N450" s="8" t="s">
        <v>54</v>
      </c>
      <c r="O450" s="6" t="s">
        <v>40</v>
      </c>
      <c r="P450" s="5" t="s">
        <v>59</v>
      </c>
      <c r="Q450" s="5" t="s">
        <v>89</v>
      </c>
      <c r="R450" s="6" t="s">
        <v>42</v>
      </c>
      <c r="S450" s="5" t="s">
        <v>141</v>
      </c>
      <c r="T450" s="5" t="s">
        <v>416</v>
      </c>
      <c r="U450" s="5" t="s">
        <v>44</v>
      </c>
      <c r="V450" s="5" t="s">
        <v>44</v>
      </c>
      <c r="W450" s="5" t="s">
        <v>36</v>
      </c>
      <c r="X450" s="8" t="s">
        <v>173</v>
      </c>
      <c r="Y450" s="5" t="s">
        <v>46</v>
      </c>
      <c r="Z450" s="5" t="s">
        <v>47</v>
      </c>
      <c r="AA450" s="5" t="s">
        <v>64</v>
      </c>
      <c r="AB450" s="5" t="s">
        <v>2136</v>
      </c>
      <c r="AC450" s="6" t="s">
        <v>208</v>
      </c>
      <c r="AD450" s="6">
        <v>146.0</v>
      </c>
    </row>
    <row r="451" ht="56.25" customHeight="1">
      <c r="A451" s="5" t="s">
        <v>2137</v>
      </c>
      <c r="B451" s="6" t="str">
        <f>IMAGE("https://storage.googleapis.com/acdb/housewares/FtrSignConstruction_Remake_0_0.png")</f>
        <v/>
      </c>
      <c r="C451" s="5" t="s">
        <v>2138</v>
      </c>
      <c r="D451" s="5" t="s">
        <v>34</v>
      </c>
      <c r="E451" s="5" t="s">
        <v>34</v>
      </c>
      <c r="F451" s="5" t="s">
        <v>34</v>
      </c>
      <c r="G451" s="5" t="s">
        <v>36</v>
      </c>
      <c r="H451" s="5" t="s">
        <v>36</v>
      </c>
      <c r="I451" s="5" t="s">
        <v>36</v>
      </c>
      <c r="J451" s="6" t="s">
        <v>34</v>
      </c>
      <c r="K451" s="6" t="s">
        <v>37</v>
      </c>
      <c r="L451" s="6">
        <v>5000.0</v>
      </c>
      <c r="M451" s="8" t="s">
        <v>57</v>
      </c>
      <c r="N451" s="8" t="s">
        <v>68</v>
      </c>
      <c r="O451" s="6" t="s">
        <v>40</v>
      </c>
      <c r="P451" s="5" t="s">
        <v>2140</v>
      </c>
      <c r="Q451" s="5"/>
      <c r="R451" s="6" t="s">
        <v>42</v>
      </c>
      <c r="S451" s="5" t="s">
        <v>416</v>
      </c>
      <c r="T451" s="5" t="s">
        <v>141</v>
      </c>
      <c r="U451" s="5" t="s">
        <v>44</v>
      </c>
      <c r="V451" s="5" t="s">
        <v>44</v>
      </c>
      <c r="W451" s="5" t="s">
        <v>36</v>
      </c>
      <c r="X451" s="8" t="s">
        <v>173</v>
      </c>
      <c r="Y451" s="5" t="s">
        <v>46</v>
      </c>
      <c r="Z451" s="5" t="s">
        <v>47</v>
      </c>
      <c r="AA451" s="5" t="s">
        <v>48</v>
      </c>
      <c r="AB451" s="5" t="s">
        <v>2144</v>
      </c>
      <c r="AC451" s="6" t="s">
        <v>50</v>
      </c>
      <c r="AD451" s="6">
        <v>9568.0</v>
      </c>
    </row>
    <row r="452" ht="56.25" customHeight="1">
      <c r="A452" s="5" t="s">
        <v>2137</v>
      </c>
      <c r="B452" s="6" t="str">
        <f>IMAGE("https://storage.googleapis.com/acdb/housewares/FtrSignConstruction_Remake_1_0.png")</f>
        <v/>
      </c>
      <c r="C452" s="5" t="s">
        <v>2145</v>
      </c>
      <c r="D452" s="5" t="s">
        <v>34</v>
      </c>
      <c r="E452" s="5" t="s">
        <v>34</v>
      </c>
      <c r="F452" s="5" t="s">
        <v>34</v>
      </c>
      <c r="G452" s="5" t="s">
        <v>36</v>
      </c>
      <c r="H452" s="5" t="s">
        <v>36</v>
      </c>
      <c r="I452" s="5" t="s">
        <v>36</v>
      </c>
      <c r="J452" s="6" t="s">
        <v>34</v>
      </c>
      <c r="K452" s="6" t="s">
        <v>37</v>
      </c>
      <c r="L452" s="6">
        <v>5000.0</v>
      </c>
      <c r="M452" s="8" t="s">
        <v>57</v>
      </c>
      <c r="N452" s="8" t="s">
        <v>68</v>
      </c>
      <c r="O452" s="6" t="s">
        <v>40</v>
      </c>
      <c r="P452" s="5" t="s">
        <v>2140</v>
      </c>
      <c r="Q452" s="5"/>
      <c r="R452" s="6" t="s">
        <v>42</v>
      </c>
      <c r="S452" s="5" t="s">
        <v>416</v>
      </c>
      <c r="T452" s="5" t="s">
        <v>141</v>
      </c>
      <c r="U452" s="5" t="s">
        <v>44</v>
      </c>
      <c r="V452" s="5" t="s">
        <v>44</v>
      </c>
      <c r="W452" s="5" t="s">
        <v>36</v>
      </c>
      <c r="X452" s="8" t="s">
        <v>173</v>
      </c>
      <c r="Y452" s="5" t="s">
        <v>46</v>
      </c>
      <c r="Z452" s="5" t="s">
        <v>47</v>
      </c>
      <c r="AA452" s="5" t="s">
        <v>48</v>
      </c>
      <c r="AB452" s="5" t="s">
        <v>2146</v>
      </c>
      <c r="AC452" s="6" t="s">
        <v>56</v>
      </c>
      <c r="AD452" s="6">
        <v>9568.0</v>
      </c>
    </row>
    <row r="453" ht="56.25" customHeight="1">
      <c r="A453" s="5" t="s">
        <v>2137</v>
      </c>
      <c r="B453" s="6" t="str">
        <f>IMAGE("https://storage.googleapis.com/acdb/housewares/FtrSignConstruction_Remake_2_0.png")</f>
        <v/>
      </c>
      <c r="C453" s="5" t="s">
        <v>2149</v>
      </c>
      <c r="D453" s="5" t="s">
        <v>34</v>
      </c>
      <c r="E453" s="5" t="s">
        <v>34</v>
      </c>
      <c r="F453" s="5" t="s">
        <v>34</v>
      </c>
      <c r="G453" s="5" t="s">
        <v>36</v>
      </c>
      <c r="H453" s="5" t="s">
        <v>36</v>
      </c>
      <c r="I453" s="5" t="s">
        <v>36</v>
      </c>
      <c r="J453" s="6" t="s">
        <v>34</v>
      </c>
      <c r="K453" s="6" t="s">
        <v>37</v>
      </c>
      <c r="L453" s="6">
        <v>5000.0</v>
      </c>
      <c r="M453" s="8" t="s">
        <v>57</v>
      </c>
      <c r="N453" s="8" t="s">
        <v>68</v>
      </c>
      <c r="O453" s="6" t="s">
        <v>40</v>
      </c>
      <c r="P453" s="5" t="s">
        <v>2140</v>
      </c>
      <c r="Q453" s="5"/>
      <c r="R453" s="6" t="s">
        <v>42</v>
      </c>
      <c r="S453" s="5" t="s">
        <v>416</v>
      </c>
      <c r="T453" s="5" t="s">
        <v>141</v>
      </c>
      <c r="U453" s="5" t="s">
        <v>44</v>
      </c>
      <c r="V453" s="5" t="s">
        <v>44</v>
      </c>
      <c r="W453" s="5" t="s">
        <v>36</v>
      </c>
      <c r="X453" s="8" t="s">
        <v>173</v>
      </c>
      <c r="Y453" s="5" t="s">
        <v>46</v>
      </c>
      <c r="Z453" s="5" t="s">
        <v>47</v>
      </c>
      <c r="AA453" s="5" t="s">
        <v>48</v>
      </c>
      <c r="AB453" s="5" t="s">
        <v>2152</v>
      </c>
      <c r="AC453" s="6" t="s">
        <v>67</v>
      </c>
      <c r="AD453" s="6">
        <v>9568.0</v>
      </c>
    </row>
    <row r="454" ht="56.25" customHeight="1">
      <c r="A454" s="5" t="s">
        <v>2137</v>
      </c>
      <c r="B454" s="6" t="str">
        <f>IMAGE("https://storage.googleapis.com/acdb/housewares/FtrSignConstruction_Remake_3_0.png")</f>
        <v/>
      </c>
      <c r="C454" s="5" t="s">
        <v>2154</v>
      </c>
      <c r="D454" s="5" t="s">
        <v>34</v>
      </c>
      <c r="E454" s="5" t="s">
        <v>34</v>
      </c>
      <c r="F454" s="5" t="s">
        <v>34</v>
      </c>
      <c r="G454" s="5" t="s">
        <v>36</v>
      </c>
      <c r="H454" s="5" t="s">
        <v>36</v>
      </c>
      <c r="I454" s="5" t="s">
        <v>36</v>
      </c>
      <c r="J454" s="6" t="s">
        <v>34</v>
      </c>
      <c r="K454" s="6" t="s">
        <v>37</v>
      </c>
      <c r="L454" s="6">
        <v>5000.0</v>
      </c>
      <c r="M454" s="8" t="s">
        <v>68</v>
      </c>
      <c r="N454" s="8" t="s">
        <v>57</v>
      </c>
      <c r="O454" s="6" t="s">
        <v>40</v>
      </c>
      <c r="P454" s="5" t="s">
        <v>2140</v>
      </c>
      <c r="Q454" s="5"/>
      <c r="R454" s="6" t="s">
        <v>42</v>
      </c>
      <c r="S454" s="5" t="s">
        <v>416</v>
      </c>
      <c r="T454" s="5" t="s">
        <v>141</v>
      </c>
      <c r="U454" s="5" t="s">
        <v>44</v>
      </c>
      <c r="V454" s="5" t="s">
        <v>44</v>
      </c>
      <c r="W454" s="5" t="s">
        <v>36</v>
      </c>
      <c r="X454" s="8" t="s">
        <v>173</v>
      </c>
      <c r="Y454" s="5" t="s">
        <v>46</v>
      </c>
      <c r="Z454" s="5" t="s">
        <v>47</v>
      </c>
      <c r="AA454" s="5" t="s">
        <v>48</v>
      </c>
      <c r="AB454" s="5" t="s">
        <v>2156</v>
      </c>
      <c r="AC454" s="6" t="s">
        <v>71</v>
      </c>
      <c r="AD454" s="6">
        <v>9568.0</v>
      </c>
    </row>
    <row r="455" ht="56.25" customHeight="1">
      <c r="A455" s="5" t="s">
        <v>2137</v>
      </c>
      <c r="B455" s="6" t="str">
        <f>IMAGE("https://storage.googleapis.com/acdb/housewares/FtrSignConstruction_Remake_4_0.png")</f>
        <v/>
      </c>
      <c r="C455" s="5" t="s">
        <v>2157</v>
      </c>
      <c r="D455" s="5" t="s">
        <v>34</v>
      </c>
      <c r="E455" s="5" t="s">
        <v>34</v>
      </c>
      <c r="F455" s="5" t="s">
        <v>34</v>
      </c>
      <c r="G455" s="5" t="s">
        <v>36</v>
      </c>
      <c r="H455" s="5" t="s">
        <v>36</v>
      </c>
      <c r="I455" s="5" t="s">
        <v>36</v>
      </c>
      <c r="J455" s="6" t="s">
        <v>34</v>
      </c>
      <c r="K455" s="6" t="s">
        <v>37</v>
      </c>
      <c r="L455" s="6">
        <v>5000.0</v>
      </c>
      <c r="M455" s="8" t="s">
        <v>142</v>
      </c>
      <c r="N455" s="8" t="s">
        <v>54</v>
      </c>
      <c r="O455" s="6" t="s">
        <v>40</v>
      </c>
      <c r="P455" s="5" t="s">
        <v>2140</v>
      </c>
      <c r="Q455" s="5"/>
      <c r="R455" s="6" t="s">
        <v>42</v>
      </c>
      <c r="S455" s="5" t="s">
        <v>416</v>
      </c>
      <c r="T455" s="5" t="s">
        <v>141</v>
      </c>
      <c r="U455" s="5" t="s">
        <v>44</v>
      </c>
      <c r="V455" s="5" t="s">
        <v>44</v>
      </c>
      <c r="W455" s="5" t="s">
        <v>36</v>
      </c>
      <c r="X455" s="8" t="s">
        <v>173</v>
      </c>
      <c r="Y455" s="5" t="s">
        <v>46</v>
      </c>
      <c r="Z455" s="5" t="s">
        <v>47</v>
      </c>
      <c r="AA455" s="5" t="s">
        <v>48</v>
      </c>
      <c r="AB455" s="5" t="s">
        <v>2161</v>
      </c>
      <c r="AC455" s="6" t="s">
        <v>75</v>
      </c>
      <c r="AD455" s="6">
        <v>9568.0</v>
      </c>
    </row>
    <row r="456" ht="56.25" customHeight="1">
      <c r="A456" s="5" t="s">
        <v>2162</v>
      </c>
      <c r="B456" s="6" t="str">
        <f>IMAGE("https://storage.googleapis.com/acdb/housewares/FtrFlowerShower_Remake_0_0.png")</f>
        <v/>
      </c>
      <c r="C456" s="5" t="s">
        <v>69</v>
      </c>
      <c r="D456" s="5" t="s">
        <v>2163</v>
      </c>
      <c r="E456" s="5" t="s">
        <v>34</v>
      </c>
      <c r="F456" s="5" t="s">
        <v>34</v>
      </c>
      <c r="G456" s="5" t="s">
        <v>35</v>
      </c>
      <c r="H456" s="5" t="s">
        <v>35</v>
      </c>
      <c r="I456" s="5" t="s">
        <v>36</v>
      </c>
      <c r="J456" s="6">
        <v>5.0</v>
      </c>
      <c r="K456" s="6" t="s">
        <v>37</v>
      </c>
      <c r="L456" s="6">
        <v>3050.0</v>
      </c>
      <c r="M456" s="8" t="s">
        <v>69</v>
      </c>
      <c r="N456" s="8" t="s">
        <v>96</v>
      </c>
      <c r="O456" s="6" t="s">
        <v>40</v>
      </c>
      <c r="P456" s="5" t="s">
        <v>41</v>
      </c>
      <c r="Q456" s="5"/>
      <c r="R456" s="6" t="s">
        <v>42</v>
      </c>
      <c r="S456" s="5" t="s">
        <v>288</v>
      </c>
      <c r="T456" s="5" t="s">
        <v>61</v>
      </c>
      <c r="U456" s="5" t="s">
        <v>311</v>
      </c>
      <c r="V456" s="5" t="s">
        <v>44</v>
      </c>
      <c r="W456" s="5" t="s">
        <v>35</v>
      </c>
      <c r="X456" s="8" t="s">
        <v>1968</v>
      </c>
      <c r="Y456" s="5" t="s">
        <v>46</v>
      </c>
      <c r="Z456" s="5" t="s">
        <v>47</v>
      </c>
      <c r="AA456" s="5" t="s">
        <v>48</v>
      </c>
      <c r="AB456" s="5" t="s">
        <v>2168</v>
      </c>
      <c r="AC456" s="6" t="s">
        <v>50</v>
      </c>
      <c r="AD456" s="6">
        <v>7230.0</v>
      </c>
    </row>
    <row r="457" ht="56.25" customHeight="1">
      <c r="A457" s="5" t="s">
        <v>2162</v>
      </c>
      <c r="B457" s="6" t="str">
        <f>IMAGE("https://storage.googleapis.com/acdb/housewares/FtrFlowerShower_Remake_1_0.png")</f>
        <v/>
      </c>
      <c r="C457" s="5" t="s">
        <v>52</v>
      </c>
      <c r="D457" s="5" t="s">
        <v>2163</v>
      </c>
      <c r="E457" s="5" t="s">
        <v>34</v>
      </c>
      <c r="F457" s="5" t="s">
        <v>34</v>
      </c>
      <c r="G457" s="5" t="s">
        <v>35</v>
      </c>
      <c r="H457" s="5" t="s">
        <v>35</v>
      </c>
      <c r="I457" s="5" t="s">
        <v>36</v>
      </c>
      <c r="J457" s="6">
        <v>5.0</v>
      </c>
      <c r="K457" s="6" t="s">
        <v>37</v>
      </c>
      <c r="L457" s="6">
        <v>3050.0</v>
      </c>
      <c r="M457" s="8" t="s">
        <v>52</v>
      </c>
      <c r="N457" s="8" t="s">
        <v>96</v>
      </c>
      <c r="O457" s="6" t="s">
        <v>40</v>
      </c>
      <c r="P457" s="5" t="s">
        <v>41</v>
      </c>
      <c r="Q457" s="5"/>
      <c r="R457" s="6" t="s">
        <v>42</v>
      </c>
      <c r="S457" s="5" t="s">
        <v>288</v>
      </c>
      <c r="T457" s="5" t="s">
        <v>61</v>
      </c>
      <c r="U457" s="5" t="s">
        <v>311</v>
      </c>
      <c r="V457" s="5" t="s">
        <v>44</v>
      </c>
      <c r="W457" s="5" t="s">
        <v>35</v>
      </c>
      <c r="X457" s="8" t="s">
        <v>1968</v>
      </c>
      <c r="Y457" s="5" t="s">
        <v>46</v>
      </c>
      <c r="Z457" s="5" t="s">
        <v>47</v>
      </c>
      <c r="AA457" s="5" t="s">
        <v>48</v>
      </c>
      <c r="AB457" s="5" t="s">
        <v>2173</v>
      </c>
      <c r="AC457" s="6" t="s">
        <v>56</v>
      </c>
      <c r="AD457" s="6">
        <v>7230.0</v>
      </c>
    </row>
    <row r="458" ht="56.25" customHeight="1">
      <c r="A458" s="5" t="s">
        <v>2162</v>
      </c>
      <c r="B458" s="6" t="str">
        <f>IMAGE("https://storage.googleapis.com/acdb/housewares/FtrFlowerShower_Remake_2_0.png")</f>
        <v/>
      </c>
      <c r="C458" s="5" t="s">
        <v>57</v>
      </c>
      <c r="D458" s="5" t="s">
        <v>2163</v>
      </c>
      <c r="E458" s="5" t="s">
        <v>34</v>
      </c>
      <c r="F458" s="5" t="s">
        <v>34</v>
      </c>
      <c r="G458" s="5" t="s">
        <v>35</v>
      </c>
      <c r="H458" s="5" t="s">
        <v>35</v>
      </c>
      <c r="I458" s="5" t="s">
        <v>36</v>
      </c>
      <c r="J458" s="6">
        <v>5.0</v>
      </c>
      <c r="K458" s="6" t="s">
        <v>37</v>
      </c>
      <c r="L458" s="6">
        <v>3050.0</v>
      </c>
      <c r="M458" s="8" t="s">
        <v>57</v>
      </c>
      <c r="N458" s="8" t="s">
        <v>96</v>
      </c>
      <c r="O458" s="6" t="s">
        <v>40</v>
      </c>
      <c r="P458" s="5" t="s">
        <v>41</v>
      </c>
      <c r="Q458" s="5"/>
      <c r="R458" s="6" t="s">
        <v>42</v>
      </c>
      <c r="S458" s="5" t="s">
        <v>288</v>
      </c>
      <c r="T458" s="5" t="s">
        <v>61</v>
      </c>
      <c r="U458" s="5" t="s">
        <v>311</v>
      </c>
      <c r="V458" s="5" t="s">
        <v>44</v>
      </c>
      <c r="W458" s="5" t="s">
        <v>35</v>
      </c>
      <c r="X458" s="8" t="s">
        <v>1968</v>
      </c>
      <c r="Y458" s="5" t="s">
        <v>46</v>
      </c>
      <c r="Z458" s="5" t="s">
        <v>47</v>
      </c>
      <c r="AA458" s="5" t="s">
        <v>48</v>
      </c>
      <c r="AB458" s="5" t="s">
        <v>2181</v>
      </c>
      <c r="AC458" s="6" t="s">
        <v>67</v>
      </c>
      <c r="AD458" s="6">
        <v>7230.0</v>
      </c>
    </row>
    <row r="459" ht="56.25" customHeight="1">
      <c r="A459" s="5" t="s">
        <v>2182</v>
      </c>
      <c r="B459" s="6" t="str">
        <f>IMAGE("https://storage.googleapis.com/acdb/housewares/FtrCottoncandymachine_Remake_0_0.png")</f>
        <v/>
      </c>
      <c r="C459" s="5" t="s">
        <v>69</v>
      </c>
      <c r="D459" s="5" t="s">
        <v>34</v>
      </c>
      <c r="E459" s="5" t="s">
        <v>34</v>
      </c>
      <c r="F459" s="5" t="s">
        <v>34</v>
      </c>
      <c r="G459" s="5" t="s">
        <v>36</v>
      </c>
      <c r="H459" s="5" t="s">
        <v>36</v>
      </c>
      <c r="I459" s="5" t="s">
        <v>36</v>
      </c>
      <c r="J459" s="6" t="s">
        <v>34</v>
      </c>
      <c r="K459" s="6" t="s">
        <v>37</v>
      </c>
      <c r="L459" s="6">
        <v>15000.0</v>
      </c>
      <c r="M459" s="8" t="s">
        <v>69</v>
      </c>
      <c r="N459" s="8" t="s">
        <v>52</v>
      </c>
      <c r="O459" s="6" t="s">
        <v>276</v>
      </c>
      <c r="P459" s="5" t="s">
        <v>2140</v>
      </c>
      <c r="Q459" s="5"/>
      <c r="R459" s="6" t="s">
        <v>42</v>
      </c>
      <c r="S459" s="5" t="s">
        <v>61</v>
      </c>
      <c r="T459" s="5" t="s">
        <v>465</v>
      </c>
      <c r="U459" s="5" t="s">
        <v>44</v>
      </c>
      <c r="V459" s="5" t="s">
        <v>44</v>
      </c>
      <c r="W459" s="5" t="s">
        <v>35</v>
      </c>
      <c r="X459" s="8" t="s">
        <v>194</v>
      </c>
      <c r="Y459" s="5" t="s">
        <v>46</v>
      </c>
      <c r="Z459" s="5" t="s">
        <v>47</v>
      </c>
      <c r="AA459" s="5" t="s">
        <v>48</v>
      </c>
      <c r="AB459" s="5" t="s">
        <v>2186</v>
      </c>
      <c r="AC459" s="6" t="s">
        <v>50</v>
      </c>
      <c r="AD459" s="6">
        <v>4412.0</v>
      </c>
    </row>
    <row r="460" ht="56.25" customHeight="1">
      <c r="A460" s="5" t="s">
        <v>2182</v>
      </c>
      <c r="B460" s="6" t="str">
        <f>IMAGE("https://storage.googleapis.com/acdb/housewares/FtrCottoncandymachine_Remake_1_0.png")</f>
        <v/>
      </c>
      <c r="C460" s="5" t="s">
        <v>68</v>
      </c>
      <c r="D460" s="5" t="s">
        <v>34</v>
      </c>
      <c r="E460" s="5" t="s">
        <v>34</v>
      </c>
      <c r="F460" s="5" t="s">
        <v>34</v>
      </c>
      <c r="G460" s="5" t="s">
        <v>36</v>
      </c>
      <c r="H460" s="5" t="s">
        <v>36</v>
      </c>
      <c r="I460" s="5" t="s">
        <v>36</v>
      </c>
      <c r="J460" s="6" t="s">
        <v>34</v>
      </c>
      <c r="K460" s="6" t="s">
        <v>37</v>
      </c>
      <c r="L460" s="6">
        <v>15000.0</v>
      </c>
      <c r="M460" s="8" t="s">
        <v>57</v>
      </c>
      <c r="N460" s="8" t="s">
        <v>68</v>
      </c>
      <c r="O460" s="6" t="s">
        <v>276</v>
      </c>
      <c r="P460" s="5" t="s">
        <v>2140</v>
      </c>
      <c r="Q460" s="5"/>
      <c r="R460" s="6" t="s">
        <v>42</v>
      </c>
      <c r="S460" s="5" t="s">
        <v>61</v>
      </c>
      <c r="T460" s="5" t="s">
        <v>465</v>
      </c>
      <c r="U460" s="5" t="s">
        <v>44</v>
      </c>
      <c r="V460" s="5" t="s">
        <v>44</v>
      </c>
      <c r="W460" s="5" t="s">
        <v>35</v>
      </c>
      <c r="X460" s="8" t="s">
        <v>194</v>
      </c>
      <c r="Y460" s="5" t="s">
        <v>46</v>
      </c>
      <c r="Z460" s="5" t="s">
        <v>47</v>
      </c>
      <c r="AA460" s="5" t="s">
        <v>48</v>
      </c>
      <c r="AB460" s="5" t="s">
        <v>2190</v>
      </c>
      <c r="AC460" s="6" t="s">
        <v>56</v>
      </c>
      <c r="AD460" s="6">
        <v>4412.0</v>
      </c>
    </row>
    <row r="461" ht="56.25" customHeight="1">
      <c r="A461" s="5" t="s">
        <v>2182</v>
      </c>
      <c r="B461" s="6" t="str">
        <f>IMAGE("https://storage.googleapis.com/acdb/housewares/FtrCottoncandymachine_Remake_2_0.png")</f>
        <v/>
      </c>
      <c r="C461" s="5" t="s">
        <v>54</v>
      </c>
      <c r="D461" s="5" t="s">
        <v>34</v>
      </c>
      <c r="E461" s="5" t="s">
        <v>34</v>
      </c>
      <c r="F461" s="5" t="s">
        <v>34</v>
      </c>
      <c r="G461" s="5" t="s">
        <v>36</v>
      </c>
      <c r="H461" s="5" t="s">
        <v>36</v>
      </c>
      <c r="I461" s="5" t="s">
        <v>36</v>
      </c>
      <c r="J461" s="6" t="s">
        <v>34</v>
      </c>
      <c r="K461" s="6" t="s">
        <v>37</v>
      </c>
      <c r="L461" s="6">
        <v>15000.0</v>
      </c>
      <c r="M461" s="8" t="s">
        <v>54</v>
      </c>
      <c r="N461" s="8" t="s">
        <v>39</v>
      </c>
      <c r="O461" s="6" t="s">
        <v>276</v>
      </c>
      <c r="P461" s="5" t="s">
        <v>2140</v>
      </c>
      <c r="Q461" s="5"/>
      <c r="R461" s="6" t="s">
        <v>42</v>
      </c>
      <c r="S461" s="5" t="s">
        <v>61</v>
      </c>
      <c r="T461" s="5" t="s">
        <v>465</v>
      </c>
      <c r="U461" s="5" t="s">
        <v>44</v>
      </c>
      <c r="V461" s="5" t="s">
        <v>44</v>
      </c>
      <c r="W461" s="5" t="s">
        <v>35</v>
      </c>
      <c r="X461" s="8" t="s">
        <v>194</v>
      </c>
      <c r="Y461" s="5" t="s">
        <v>46</v>
      </c>
      <c r="Z461" s="5" t="s">
        <v>47</v>
      </c>
      <c r="AA461" s="5" t="s">
        <v>48</v>
      </c>
      <c r="AB461" s="5" t="s">
        <v>2193</v>
      </c>
      <c r="AC461" s="6" t="s">
        <v>67</v>
      </c>
      <c r="AD461" s="6">
        <v>4412.0</v>
      </c>
    </row>
    <row r="462" ht="56.25" customHeight="1">
      <c r="A462" s="5" t="s">
        <v>2194</v>
      </c>
      <c r="B462" s="6" t="str">
        <f>IMAGE("https://storage.googleapis.com/acdb/housewares/FtrStarMoonChairL_Remake_0_0.png")</f>
        <v/>
      </c>
      <c r="C462" s="5" t="s">
        <v>114</v>
      </c>
      <c r="D462" s="5" t="s">
        <v>135</v>
      </c>
      <c r="E462" s="5" t="s">
        <v>34</v>
      </c>
      <c r="F462" s="5" t="s">
        <v>34</v>
      </c>
      <c r="G462" s="5" t="s">
        <v>35</v>
      </c>
      <c r="H462" s="5" t="s">
        <v>35</v>
      </c>
      <c r="I462" s="5" t="s">
        <v>36</v>
      </c>
      <c r="J462" s="6">
        <v>7.0</v>
      </c>
      <c r="K462" s="6" t="s">
        <v>37</v>
      </c>
      <c r="L462" s="6">
        <v>8500.0</v>
      </c>
      <c r="M462" s="8" t="s">
        <v>114</v>
      </c>
      <c r="N462" s="8" t="s">
        <v>114</v>
      </c>
      <c r="O462" s="6" t="s">
        <v>276</v>
      </c>
      <c r="P462" s="5" t="s">
        <v>41</v>
      </c>
      <c r="Q462" s="5"/>
      <c r="R462" s="6" t="s">
        <v>42</v>
      </c>
      <c r="S462" s="5" t="s">
        <v>401</v>
      </c>
      <c r="T462" s="5" t="s">
        <v>61</v>
      </c>
      <c r="U462" s="5" t="s">
        <v>349</v>
      </c>
      <c r="V462" s="5" t="s">
        <v>44</v>
      </c>
      <c r="W462" s="5" t="s">
        <v>35</v>
      </c>
      <c r="X462" s="8" t="s">
        <v>248</v>
      </c>
      <c r="Y462" s="5" t="s">
        <v>46</v>
      </c>
      <c r="Z462" s="5" t="s">
        <v>502</v>
      </c>
      <c r="AA462" s="5" t="s">
        <v>48</v>
      </c>
      <c r="AB462" s="5" t="s">
        <v>2196</v>
      </c>
      <c r="AC462" s="6" t="s">
        <v>50</v>
      </c>
      <c r="AD462" s="6">
        <v>6829.0</v>
      </c>
    </row>
    <row r="463" ht="56.25" customHeight="1">
      <c r="A463" s="5" t="s">
        <v>2194</v>
      </c>
      <c r="B463" s="6" t="str">
        <f>IMAGE("https://storage.googleapis.com/acdb/housewares/FtrStarMoonChairL_Remake_1_0.png")</f>
        <v/>
      </c>
      <c r="C463" s="5" t="s">
        <v>96</v>
      </c>
      <c r="D463" s="5" t="s">
        <v>135</v>
      </c>
      <c r="E463" s="5" t="s">
        <v>34</v>
      </c>
      <c r="F463" s="5" t="s">
        <v>34</v>
      </c>
      <c r="G463" s="5" t="s">
        <v>35</v>
      </c>
      <c r="H463" s="5" t="s">
        <v>35</v>
      </c>
      <c r="I463" s="5" t="s">
        <v>36</v>
      </c>
      <c r="J463" s="6">
        <v>7.0</v>
      </c>
      <c r="K463" s="6" t="s">
        <v>37</v>
      </c>
      <c r="L463" s="6">
        <v>8500.0</v>
      </c>
      <c r="M463" s="8" t="s">
        <v>96</v>
      </c>
      <c r="N463" s="8" t="s">
        <v>114</v>
      </c>
      <c r="O463" s="6" t="s">
        <v>276</v>
      </c>
      <c r="P463" s="5" t="s">
        <v>41</v>
      </c>
      <c r="Q463" s="5"/>
      <c r="R463" s="6" t="s">
        <v>42</v>
      </c>
      <c r="S463" s="5" t="s">
        <v>401</v>
      </c>
      <c r="T463" s="5" t="s">
        <v>61</v>
      </c>
      <c r="U463" s="5" t="s">
        <v>349</v>
      </c>
      <c r="V463" s="5" t="s">
        <v>44</v>
      </c>
      <c r="W463" s="5" t="s">
        <v>35</v>
      </c>
      <c r="X463" s="8" t="s">
        <v>248</v>
      </c>
      <c r="Y463" s="5" t="s">
        <v>46</v>
      </c>
      <c r="Z463" s="5" t="s">
        <v>502</v>
      </c>
      <c r="AA463" s="5" t="s">
        <v>48</v>
      </c>
      <c r="AB463" s="5" t="s">
        <v>2198</v>
      </c>
      <c r="AC463" s="6" t="s">
        <v>56</v>
      </c>
      <c r="AD463" s="6">
        <v>6829.0</v>
      </c>
    </row>
    <row r="464" ht="56.25" customHeight="1">
      <c r="A464" s="5" t="s">
        <v>2194</v>
      </c>
      <c r="B464" s="6" t="str">
        <f>IMAGE("https://storage.googleapis.com/acdb/housewares/FtrStarMoonChairL_Remake_2_0.png")</f>
        <v/>
      </c>
      <c r="C464" s="5" t="s">
        <v>68</v>
      </c>
      <c r="D464" s="5" t="s">
        <v>135</v>
      </c>
      <c r="E464" s="5" t="s">
        <v>34</v>
      </c>
      <c r="F464" s="5" t="s">
        <v>34</v>
      </c>
      <c r="G464" s="5" t="s">
        <v>35</v>
      </c>
      <c r="H464" s="5" t="s">
        <v>35</v>
      </c>
      <c r="I464" s="5" t="s">
        <v>36</v>
      </c>
      <c r="J464" s="6">
        <v>7.0</v>
      </c>
      <c r="K464" s="6" t="s">
        <v>37</v>
      </c>
      <c r="L464" s="6">
        <v>8500.0</v>
      </c>
      <c r="M464" s="8" t="s">
        <v>1175</v>
      </c>
      <c r="N464" s="8" t="s">
        <v>114</v>
      </c>
      <c r="O464" s="6" t="s">
        <v>276</v>
      </c>
      <c r="P464" s="5" t="s">
        <v>41</v>
      </c>
      <c r="Q464" s="5"/>
      <c r="R464" s="6" t="s">
        <v>42</v>
      </c>
      <c r="S464" s="5" t="s">
        <v>401</v>
      </c>
      <c r="T464" s="5" t="s">
        <v>61</v>
      </c>
      <c r="U464" s="5" t="s">
        <v>349</v>
      </c>
      <c r="V464" s="5" t="s">
        <v>44</v>
      </c>
      <c r="W464" s="5" t="s">
        <v>35</v>
      </c>
      <c r="X464" s="8" t="s">
        <v>248</v>
      </c>
      <c r="Y464" s="5" t="s">
        <v>46</v>
      </c>
      <c r="Z464" s="5" t="s">
        <v>502</v>
      </c>
      <c r="AA464" s="5" t="s">
        <v>48</v>
      </c>
      <c r="AB464" s="5" t="s">
        <v>2200</v>
      </c>
      <c r="AC464" s="6" t="s">
        <v>67</v>
      </c>
      <c r="AD464" s="6">
        <v>6829.0</v>
      </c>
    </row>
    <row r="465" ht="56.25" customHeight="1">
      <c r="A465" s="5" t="s">
        <v>2194</v>
      </c>
      <c r="B465" s="6" t="str">
        <f>IMAGE("https://storage.googleapis.com/acdb/housewares/FtrStarMoonChairL_Remake_3_0.png")</f>
        <v/>
      </c>
      <c r="C465" s="5" t="s">
        <v>106</v>
      </c>
      <c r="D465" s="5" t="s">
        <v>135</v>
      </c>
      <c r="E465" s="5" t="s">
        <v>34</v>
      </c>
      <c r="F465" s="5" t="s">
        <v>34</v>
      </c>
      <c r="G465" s="5" t="s">
        <v>35</v>
      </c>
      <c r="H465" s="5" t="s">
        <v>35</v>
      </c>
      <c r="I465" s="5" t="s">
        <v>36</v>
      </c>
      <c r="J465" s="6">
        <v>7.0</v>
      </c>
      <c r="K465" s="6" t="s">
        <v>37</v>
      </c>
      <c r="L465" s="6">
        <v>8500.0</v>
      </c>
      <c r="M465" s="8" t="s">
        <v>106</v>
      </c>
      <c r="N465" s="8" t="s">
        <v>114</v>
      </c>
      <c r="O465" s="6" t="s">
        <v>276</v>
      </c>
      <c r="P465" s="5" t="s">
        <v>41</v>
      </c>
      <c r="Q465" s="5"/>
      <c r="R465" s="6" t="s">
        <v>42</v>
      </c>
      <c r="S465" s="5" t="s">
        <v>401</v>
      </c>
      <c r="T465" s="5" t="s">
        <v>61</v>
      </c>
      <c r="U465" s="5" t="s">
        <v>349</v>
      </c>
      <c r="V465" s="5" t="s">
        <v>44</v>
      </c>
      <c r="W465" s="5" t="s">
        <v>35</v>
      </c>
      <c r="X465" s="8" t="s">
        <v>248</v>
      </c>
      <c r="Y465" s="5" t="s">
        <v>46</v>
      </c>
      <c r="Z465" s="5" t="s">
        <v>502</v>
      </c>
      <c r="AA465" s="5" t="s">
        <v>48</v>
      </c>
      <c r="AB465" s="5" t="s">
        <v>2203</v>
      </c>
      <c r="AC465" s="6" t="s">
        <v>71</v>
      </c>
      <c r="AD465" s="6">
        <v>6829.0</v>
      </c>
    </row>
    <row r="466" ht="56.25" customHeight="1">
      <c r="A466" s="5" t="s">
        <v>2194</v>
      </c>
      <c r="B466" s="6" t="str">
        <f>IMAGE("https://storage.googleapis.com/acdb/housewares/FtrStarMoonChairL_Remake_4_0.png")</f>
        <v/>
      </c>
      <c r="C466" s="5" t="s">
        <v>69</v>
      </c>
      <c r="D466" s="5" t="s">
        <v>135</v>
      </c>
      <c r="E466" s="5" t="s">
        <v>34</v>
      </c>
      <c r="F466" s="5" t="s">
        <v>34</v>
      </c>
      <c r="G466" s="5" t="s">
        <v>35</v>
      </c>
      <c r="H466" s="5" t="s">
        <v>35</v>
      </c>
      <c r="I466" s="5" t="s">
        <v>36</v>
      </c>
      <c r="J466" s="6">
        <v>7.0</v>
      </c>
      <c r="K466" s="6" t="s">
        <v>37</v>
      </c>
      <c r="L466" s="6">
        <v>8500.0</v>
      </c>
      <c r="M466" s="8" t="s">
        <v>69</v>
      </c>
      <c r="N466" s="8" t="s">
        <v>114</v>
      </c>
      <c r="O466" s="6" t="s">
        <v>276</v>
      </c>
      <c r="P466" s="5" t="s">
        <v>41</v>
      </c>
      <c r="Q466" s="5"/>
      <c r="R466" s="6" t="s">
        <v>42</v>
      </c>
      <c r="S466" s="5" t="s">
        <v>401</v>
      </c>
      <c r="T466" s="5" t="s">
        <v>61</v>
      </c>
      <c r="U466" s="5" t="s">
        <v>349</v>
      </c>
      <c r="V466" s="5" t="s">
        <v>44</v>
      </c>
      <c r="W466" s="5" t="s">
        <v>35</v>
      </c>
      <c r="X466" s="8" t="s">
        <v>248</v>
      </c>
      <c r="Y466" s="5" t="s">
        <v>46</v>
      </c>
      <c r="Z466" s="5" t="s">
        <v>502</v>
      </c>
      <c r="AA466" s="5" t="s">
        <v>48</v>
      </c>
      <c r="AB466" s="5" t="s">
        <v>2205</v>
      </c>
      <c r="AC466" s="6" t="s">
        <v>75</v>
      </c>
      <c r="AD466" s="6">
        <v>6829.0</v>
      </c>
    </row>
    <row r="467" ht="56.25" customHeight="1">
      <c r="A467" s="5" t="s">
        <v>2194</v>
      </c>
      <c r="B467" s="6" t="str">
        <f>IMAGE("https://storage.googleapis.com/acdb/housewares/FtrStarMoonChairL_Remake_5_0.png")</f>
        <v/>
      </c>
      <c r="C467" s="5" t="s">
        <v>142</v>
      </c>
      <c r="D467" s="5" t="s">
        <v>135</v>
      </c>
      <c r="E467" s="5" t="s">
        <v>34</v>
      </c>
      <c r="F467" s="5" t="s">
        <v>34</v>
      </c>
      <c r="G467" s="5" t="s">
        <v>35</v>
      </c>
      <c r="H467" s="5" t="s">
        <v>35</v>
      </c>
      <c r="I467" s="5" t="s">
        <v>36</v>
      </c>
      <c r="J467" s="6">
        <v>7.0</v>
      </c>
      <c r="K467" s="6" t="s">
        <v>37</v>
      </c>
      <c r="L467" s="6">
        <v>8500.0</v>
      </c>
      <c r="M467" s="8" t="s">
        <v>142</v>
      </c>
      <c r="N467" s="8" t="s">
        <v>114</v>
      </c>
      <c r="O467" s="6" t="s">
        <v>276</v>
      </c>
      <c r="P467" s="5" t="s">
        <v>41</v>
      </c>
      <c r="Q467" s="5"/>
      <c r="R467" s="6" t="s">
        <v>42</v>
      </c>
      <c r="S467" s="5" t="s">
        <v>401</v>
      </c>
      <c r="T467" s="5" t="s">
        <v>61</v>
      </c>
      <c r="U467" s="5" t="s">
        <v>349</v>
      </c>
      <c r="V467" s="5" t="s">
        <v>44</v>
      </c>
      <c r="W467" s="5" t="s">
        <v>35</v>
      </c>
      <c r="X467" s="8" t="s">
        <v>248</v>
      </c>
      <c r="Y467" s="5" t="s">
        <v>46</v>
      </c>
      <c r="Z467" s="5" t="s">
        <v>502</v>
      </c>
      <c r="AA467" s="5" t="s">
        <v>48</v>
      </c>
      <c r="AB467" s="5" t="s">
        <v>2208</v>
      </c>
      <c r="AC467" s="6" t="s">
        <v>79</v>
      </c>
      <c r="AD467" s="6">
        <v>6829.0</v>
      </c>
    </row>
    <row r="468" ht="56.25" customHeight="1">
      <c r="A468" s="5" t="s">
        <v>2194</v>
      </c>
      <c r="B468" s="6" t="str">
        <f>IMAGE("https://storage.googleapis.com/acdb/housewares/FtrStarMoonChairL_Remake_6_0.png")</f>
        <v/>
      </c>
      <c r="C468" s="5" t="s">
        <v>57</v>
      </c>
      <c r="D468" s="5" t="s">
        <v>135</v>
      </c>
      <c r="E468" s="5" t="s">
        <v>34</v>
      </c>
      <c r="F468" s="5" t="s">
        <v>34</v>
      </c>
      <c r="G468" s="5" t="s">
        <v>35</v>
      </c>
      <c r="H468" s="5" t="s">
        <v>35</v>
      </c>
      <c r="I468" s="5" t="s">
        <v>36</v>
      </c>
      <c r="J468" s="6">
        <v>7.0</v>
      </c>
      <c r="K468" s="6" t="s">
        <v>37</v>
      </c>
      <c r="L468" s="6">
        <v>8500.0</v>
      </c>
      <c r="M468" s="8" t="s">
        <v>57</v>
      </c>
      <c r="N468" s="8" t="s">
        <v>95</v>
      </c>
      <c r="O468" s="6" t="s">
        <v>276</v>
      </c>
      <c r="P468" s="5" t="s">
        <v>41</v>
      </c>
      <c r="Q468" s="5"/>
      <c r="R468" s="6" t="s">
        <v>42</v>
      </c>
      <c r="S468" s="5" t="s">
        <v>401</v>
      </c>
      <c r="T468" s="5" t="s">
        <v>61</v>
      </c>
      <c r="U468" s="5" t="s">
        <v>349</v>
      </c>
      <c r="V468" s="5" t="s">
        <v>44</v>
      </c>
      <c r="W468" s="5" t="s">
        <v>35</v>
      </c>
      <c r="X468" s="8" t="s">
        <v>248</v>
      </c>
      <c r="Y468" s="5" t="s">
        <v>46</v>
      </c>
      <c r="Z468" s="5" t="s">
        <v>502</v>
      </c>
      <c r="AA468" s="5" t="s">
        <v>48</v>
      </c>
      <c r="AB468" s="5" t="s">
        <v>2212</v>
      </c>
      <c r="AC468" s="6" t="s">
        <v>86</v>
      </c>
      <c r="AD468" s="6">
        <v>6829.0</v>
      </c>
    </row>
    <row r="469" ht="56.25" customHeight="1">
      <c r="A469" s="5" t="s">
        <v>2213</v>
      </c>
      <c r="B469" s="6" t="str">
        <f>IMAGE("https://storage.googleapis.com/acdb/housewares/FtrSpacecraft.png")</f>
        <v/>
      </c>
      <c r="C469" s="5" t="s">
        <v>34</v>
      </c>
      <c r="D469" s="5" t="s">
        <v>34</v>
      </c>
      <c r="E469" s="5" t="s">
        <v>34</v>
      </c>
      <c r="F469" s="5" t="s">
        <v>34</v>
      </c>
      <c r="G469" s="5" t="s">
        <v>35</v>
      </c>
      <c r="H469" s="5" t="s">
        <v>36</v>
      </c>
      <c r="I469" s="5" t="s">
        <v>36</v>
      </c>
      <c r="J469" s="6" t="s">
        <v>34</v>
      </c>
      <c r="K469" s="6" t="s">
        <v>37</v>
      </c>
      <c r="L469" s="6">
        <v>20000.0</v>
      </c>
      <c r="M469" s="5" t="s">
        <v>57</v>
      </c>
      <c r="N469" s="5" t="s">
        <v>54</v>
      </c>
      <c r="O469" s="6" t="s">
        <v>214</v>
      </c>
      <c r="P469" s="5" t="s">
        <v>41</v>
      </c>
      <c r="Q469" s="5"/>
      <c r="R469" s="6" t="s">
        <v>42</v>
      </c>
      <c r="S469" s="5" t="s">
        <v>401</v>
      </c>
      <c r="T469" s="5" t="s">
        <v>44</v>
      </c>
      <c r="U469" s="5" t="s">
        <v>44</v>
      </c>
      <c r="V469" s="5" t="s">
        <v>44</v>
      </c>
      <c r="W469" s="5" t="s">
        <v>35</v>
      </c>
      <c r="X469" s="8" t="s">
        <v>403</v>
      </c>
      <c r="Y469" s="5" t="s">
        <v>46</v>
      </c>
      <c r="Z469" s="5" t="s">
        <v>47</v>
      </c>
      <c r="AA469" s="5" t="s">
        <v>48</v>
      </c>
      <c r="AB469" s="5" t="s">
        <v>2217</v>
      </c>
      <c r="AC469" s="6" t="s">
        <v>34</v>
      </c>
      <c r="AD469" s="6">
        <v>5676.0</v>
      </c>
    </row>
    <row r="470" ht="56.25" customHeight="1">
      <c r="A470" s="5" t="s">
        <v>2218</v>
      </c>
      <c r="B470" s="6" t="str">
        <f>IMAGE("https://storage.googleapis.com/acdb/housewares/FtrCuteBedW_Remake_0_0.png")</f>
        <v/>
      </c>
      <c r="C470" s="5" t="s">
        <v>57</v>
      </c>
      <c r="D470" s="5" t="s">
        <v>34</v>
      </c>
      <c r="E470" s="5" t="s">
        <v>34</v>
      </c>
      <c r="F470" s="5" t="s">
        <v>34</v>
      </c>
      <c r="G470" s="5" t="s">
        <v>36</v>
      </c>
      <c r="H470" s="5" t="s">
        <v>36</v>
      </c>
      <c r="I470" s="5" t="s">
        <v>36</v>
      </c>
      <c r="J470" s="6" t="s">
        <v>34</v>
      </c>
      <c r="K470" s="6">
        <v>12000.0</v>
      </c>
      <c r="L470" s="6">
        <v>3000.0</v>
      </c>
      <c r="M470" s="8" t="s">
        <v>57</v>
      </c>
      <c r="N470" s="8" t="s">
        <v>69</v>
      </c>
      <c r="O470" s="6" t="s">
        <v>214</v>
      </c>
      <c r="P470" s="5" t="s">
        <v>59</v>
      </c>
      <c r="Q470" s="5" t="s">
        <v>115</v>
      </c>
      <c r="R470" s="6" t="s">
        <v>42</v>
      </c>
      <c r="S470" s="5" t="s">
        <v>61</v>
      </c>
      <c r="T470" s="5" t="s">
        <v>44</v>
      </c>
      <c r="U470" s="5" t="s">
        <v>704</v>
      </c>
      <c r="V470" s="5" t="s">
        <v>44</v>
      </c>
      <c r="W470" s="5" t="s">
        <v>35</v>
      </c>
      <c r="X470" s="8" t="s">
        <v>218</v>
      </c>
      <c r="Y470" s="5" t="s">
        <v>46</v>
      </c>
      <c r="Z470" s="5" t="s">
        <v>47</v>
      </c>
      <c r="AA470" s="5" t="s">
        <v>64</v>
      </c>
      <c r="AB470" s="5" t="s">
        <v>2223</v>
      </c>
      <c r="AC470" s="6" t="s">
        <v>50</v>
      </c>
      <c r="AD470" s="6">
        <v>3624.0</v>
      </c>
    </row>
    <row r="471" ht="56.25" customHeight="1">
      <c r="A471" s="5" t="s">
        <v>2218</v>
      </c>
      <c r="B471" s="6" t="str">
        <f>IMAGE("https://storage.googleapis.com/acdb/housewares/FtrCuteBedW_Remake_1_0.png")</f>
        <v/>
      </c>
      <c r="C471" s="5" t="s">
        <v>708</v>
      </c>
      <c r="D471" s="5" t="s">
        <v>34</v>
      </c>
      <c r="E471" s="5" t="s">
        <v>34</v>
      </c>
      <c r="F471" s="5" t="s">
        <v>34</v>
      </c>
      <c r="G471" s="5" t="s">
        <v>36</v>
      </c>
      <c r="H471" s="5" t="s">
        <v>36</v>
      </c>
      <c r="I471" s="5" t="s">
        <v>36</v>
      </c>
      <c r="J471" s="6" t="s">
        <v>34</v>
      </c>
      <c r="K471" s="6">
        <v>12000.0</v>
      </c>
      <c r="L471" s="6">
        <v>3000.0</v>
      </c>
      <c r="M471" s="8" t="s">
        <v>1175</v>
      </c>
      <c r="N471" s="8" t="s">
        <v>57</v>
      </c>
      <c r="O471" s="6" t="s">
        <v>214</v>
      </c>
      <c r="P471" s="5" t="s">
        <v>59</v>
      </c>
      <c r="Q471" s="5" t="s">
        <v>115</v>
      </c>
      <c r="R471" s="6" t="s">
        <v>42</v>
      </c>
      <c r="S471" s="5" t="s">
        <v>61</v>
      </c>
      <c r="T471" s="5" t="s">
        <v>44</v>
      </c>
      <c r="U471" s="5" t="s">
        <v>704</v>
      </c>
      <c r="V471" s="5" t="s">
        <v>44</v>
      </c>
      <c r="W471" s="5" t="s">
        <v>35</v>
      </c>
      <c r="X471" s="8" t="s">
        <v>218</v>
      </c>
      <c r="Y471" s="5" t="s">
        <v>46</v>
      </c>
      <c r="Z471" s="5" t="s">
        <v>47</v>
      </c>
      <c r="AA471" s="5" t="s">
        <v>64</v>
      </c>
      <c r="AB471" s="5" t="s">
        <v>2228</v>
      </c>
      <c r="AC471" s="6" t="s">
        <v>56</v>
      </c>
      <c r="AD471" s="6">
        <v>3624.0</v>
      </c>
    </row>
    <row r="472" ht="56.25" customHeight="1">
      <c r="A472" s="5" t="s">
        <v>2218</v>
      </c>
      <c r="B472" s="6" t="str">
        <f>IMAGE("https://storage.googleapis.com/acdb/housewares/FtrCuteBedW_Remake_2_0.png")</f>
        <v/>
      </c>
      <c r="C472" s="5" t="s">
        <v>114</v>
      </c>
      <c r="D472" s="5" t="s">
        <v>34</v>
      </c>
      <c r="E472" s="5" t="s">
        <v>34</v>
      </c>
      <c r="F472" s="5" t="s">
        <v>34</v>
      </c>
      <c r="G472" s="5" t="s">
        <v>36</v>
      </c>
      <c r="H472" s="5" t="s">
        <v>36</v>
      </c>
      <c r="I472" s="5" t="s">
        <v>36</v>
      </c>
      <c r="J472" s="6" t="s">
        <v>34</v>
      </c>
      <c r="K472" s="6">
        <v>12000.0</v>
      </c>
      <c r="L472" s="6">
        <v>3000.0</v>
      </c>
      <c r="M472" s="8" t="s">
        <v>114</v>
      </c>
      <c r="N472" s="8" t="s">
        <v>142</v>
      </c>
      <c r="O472" s="6" t="s">
        <v>214</v>
      </c>
      <c r="P472" s="5" t="s">
        <v>59</v>
      </c>
      <c r="Q472" s="5" t="s">
        <v>115</v>
      </c>
      <c r="R472" s="6" t="s">
        <v>42</v>
      </c>
      <c r="S472" s="5" t="s">
        <v>61</v>
      </c>
      <c r="T472" s="5" t="s">
        <v>44</v>
      </c>
      <c r="U472" s="5" t="s">
        <v>704</v>
      </c>
      <c r="V472" s="5" t="s">
        <v>44</v>
      </c>
      <c r="W472" s="5" t="s">
        <v>35</v>
      </c>
      <c r="X472" s="8" t="s">
        <v>218</v>
      </c>
      <c r="Y472" s="5" t="s">
        <v>46</v>
      </c>
      <c r="Z472" s="5" t="s">
        <v>47</v>
      </c>
      <c r="AA472" s="5" t="s">
        <v>64</v>
      </c>
      <c r="AB472" s="5" t="s">
        <v>2232</v>
      </c>
      <c r="AC472" s="6" t="s">
        <v>67</v>
      </c>
      <c r="AD472" s="6">
        <v>3624.0</v>
      </c>
    </row>
    <row r="473" ht="56.25" customHeight="1">
      <c r="A473" s="5" t="s">
        <v>2218</v>
      </c>
      <c r="B473" s="6" t="str">
        <f>IMAGE("https://storage.googleapis.com/acdb/housewares/FtrCuteBedW_Remake_3_0.png")</f>
        <v/>
      </c>
      <c r="C473" s="5" t="s">
        <v>52</v>
      </c>
      <c r="D473" s="5" t="s">
        <v>34</v>
      </c>
      <c r="E473" s="5" t="s">
        <v>34</v>
      </c>
      <c r="F473" s="5" t="s">
        <v>34</v>
      </c>
      <c r="G473" s="5" t="s">
        <v>36</v>
      </c>
      <c r="H473" s="5" t="s">
        <v>36</v>
      </c>
      <c r="I473" s="5" t="s">
        <v>36</v>
      </c>
      <c r="J473" s="6" t="s">
        <v>34</v>
      </c>
      <c r="K473" s="6">
        <v>12000.0</v>
      </c>
      <c r="L473" s="6">
        <v>3000.0</v>
      </c>
      <c r="M473" s="8" t="s">
        <v>52</v>
      </c>
      <c r="N473" s="8" t="s">
        <v>52</v>
      </c>
      <c r="O473" s="6" t="s">
        <v>214</v>
      </c>
      <c r="P473" s="5" t="s">
        <v>59</v>
      </c>
      <c r="Q473" s="5" t="s">
        <v>115</v>
      </c>
      <c r="R473" s="6" t="s">
        <v>42</v>
      </c>
      <c r="S473" s="5" t="s">
        <v>61</v>
      </c>
      <c r="T473" s="5" t="s">
        <v>44</v>
      </c>
      <c r="U473" s="5" t="s">
        <v>704</v>
      </c>
      <c r="V473" s="5" t="s">
        <v>44</v>
      </c>
      <c r="W473" s="5" t="s">
        <v>35</v>
      </c>
      <c r="X473" s="8" t="s">
        <v>218</v>
      </c>
      <c r="Y473" s="5" t="s">
        <v>46</v>
      </c>
      <c r="Z473" s="5" t="s">
        <v>47</v>
      </c>
      <c r="AA473" s="5" t="s">
        <v>64</v>
      </c>
      <c r="AB473" s="5" t="s">
        <v>2235</v>
      </c>
      <c r="AC473" s="6" t="s">
        <v>71</v>
      </c>
      <c r="AD473" s="6">
        <v>3624.0</v>
      </c>
    </row>
    <row r="474" ht="56.25" customHeight="1">
      <c r="A474" s="5" t="s">
        <v>2218</v>
      </c>
      <c r="B474" s="6" t="str">
        <f>IMAGE("https://storage.googleapis.com/acdb/housewares/FtrCuteBedW_Remake_4_0.png")</f>
        <v/>
      </c>
      <c r="C474" s="5" t="s">
        <v>68</v>
      </c>
      <c r="D474" s="5" t="s">
        <v>34</v>
      </c>
      <c r="E474" s="5" t="s">
        <v>34</v>
      </c>
      <c r="F474" s="5" t="s">
        <v>34</v>
      </c>
      <c r="G474" s="5" t="s">
        <v>36</v>
      </c>
      <c r="H474" s="5" t="s">
        <v>36</v>
      </c>
      <c r="I474" s="5" t="s">
        <v>36</v>
      </c>
      <c r="J474" s="6" t="s">
        <v>34</v>
      </c>
      <c r="K474" s="6">
        <v>12000.0</v>
      </c>
      <c r="L474" s="6">
        <v>3000.0</v>
      </c>
      <c r="M474" s="8" t="s">
        <v>68</v>
      </c>
      <c r="N474" s="8" t="s">
        <v>54</v>
      </c>
      <c r="O474" s="6" t="s">
        <v>214</v>
      </c>
      <c r="P474" s="5" t="s">
        <v>59</v>
      </c>
      <c r="Q474" s="5" t="s">
        <v>115</v>
      </c>
      <c r="R474" s="6" t="s">
        <v>42</v>
      </c>
      <c r="S474" s="5" t="s">
        <v>61</v>
      </c>
      <c r="T474" s="5" t="s">
        <v>44</v>
      </c>
      <c r="U474" s="5" t="s">
        <v>704</v>
      </c>
      <c r="V474" s="5" t="s">
        <v>44</v>
      </c>
      <c r="W474" s="5" t="s">
        <v>35</v>
      </c>
      <c r="X474" s="8" t="s">
        <v>218</v>
      </c>
      <c r="Y474" s="5" t="s">
        <v>46</v>
      </c>
      <c r="Z474" s="5" t="s">
        <v>47</v>
      </c>
      <c r="AA474" s="5" t="s">
        <v>64</v>
      </c>
      <c r="AB474" s="5" t="s">
        <v>2238</v>
      </c>
      <c r="AC474" s="6" t="s">
        <v>75</v>
      </c>
      <c r="AD474" s="6">
        <v>3624.0</v>
      </c>
    </row>
    <row r="475" ht="56.25" customHeight="1">
      <c r="A475" s="5" t="s">
        <v>2239</v>
      </c>
      <c r="B475" s="6" t="str">
        <f>IMAGE("https://storage.googleapis.com/acdb/housewares/FtrCuteChairS_Remake_0_0.png")</f>
        <v/>
      </c>
      <c r="C475" s="5" t="s">
        <v>57</v>
      </c>
      <c r="D475" s="5" t="s">
        <v>34</v>
      </c>
      <c r="E475" s="5" t="s">
        <v>34</v>
      </c>
      <c r="F475" s="5" t="s">
        <v>34</v>
      </c>
      <c r="G475" s="5" t="s">
        <v>36</v>
      </c>
      <c r="H475" s="5" t="s">
        <v>36</v>
      </c>
      <c r="I475" s="5" t="s">
        <v>36</v>
      </c>
      <c r="J475" s="6" t="s">
        <v>34</v>
      </c>
      <c r="K475" s="6">
        <v>4300.0</v>
      </c>
      <c r="L475" s="6">
        <v>1075.0</v>
      </c>
      <c r="M475" s="8" t="s">
        <v>57</v>
      </c>
      <c r="N475" s="8" t="s">
        <v>69</v>
      </c>
      <c r="O475" s="6" t="s">
        <v>40</v>
      </c>
      <c r="P475" s="5" t="s">
        <v>59</v>
      </c>
      <c r="Q475" s="5" t="s">
        <v>122</v>
      </c>
      <c r="R475" s="6" t="s">
        <v>42</v>
      </c>
      <c r="S475" s="5" t="s">
        <v>61</v>
      </c>
      <c r="T475" s="5" t="s">
        <v>44</v>
      </c>
      <c r="U475" s="5" t="s">
        <v>704</v>
      </c>
      <c r="V475" s="5" t="s">
        <v>44</v>
      </c>
      <c r="W475" s="5" t="s">
        <v>35</v>
      </c>
      <c r="X475" s="8" t="s">
        <v>248</v>
      </c>
      <c r="Y475" s="5" t="s">
        <v>46</v>
      </c>
      <c r="Z475" s="5" t="s">
        <v>47</v>
      </c>
      <c r="AA475" s="5" t="s">
        <v>64</v>
      </c>
      <c r="AB475" s="5" t="s">
        <v>2242</v>
      </c>
      <c r="AC475" s="6" t="s">
        <v>50</v>
      </c>
      <c r="AD475" s="6">
        <v>3999.0</v>
      </c>
    </row>
    <row r="476" ht="56.25" customHeight="1">
      <c r="A476" s="5" t="s">
        <v>2239</v>
      </c>
      <c r="B476" s="6" t="str">
        <f>IMAGE("https://storage.googleapis.com/acdb/housewares/FtrCuteChairS_Remake_1_0.png")</f>
        <v/>
      </c>
      <c r="C476" s="5" t="s">
        <v>708</v>
      </c>
      <c r="D476" s="5" t="s">
        <v>34</v>
      </c>
      <c r="E476" s="5" t="s">
        <v>34</v>
      </c>
      <c r="F476" s="5" t="s">
        <v>34</v>
      </c>
      <c r="G476" s="5" t="s">
        <v>36</v>
      </c>
      <c r="H476" s="5" t="s">
        <v>36</v>
      </c>
      <c r="I476" s="5" t="s">
        <v>36</v>
      </c>
      <c r="J476" s="6" t="s">
        <v>34</v>
      </c>
      <c r="K476" s="6">
        <v>4300.0</v>
      </c>
      <c r="L476" s="6">
        <v>1075.0</v>
      </c>
      <c r="M476" s="8" t="s">
        <v>1175</v>
      </c>
      <c r="N476" s="8" t="s">
        <v>68</v>
      </c>
      <c r="O476" s="6" t="s">
        <v>40</v>
      </c>
      <c r="P476" s="5" t="s">
        <v>59</v>
      </c>
      <c r="Q476" s="5" t="s">
        <v>122</v>
      </c>
      <c r="R476" s="6" t="s">
        <v>42</v>
      </c>
      <c r="S476" s="5" t="s">
        <v>61</v>
      </c>
      <c r="T476" s="5" t="s">
        <v>44</v>
      </c>
      <c r="U476" s="5" t="s">
        <v>704</v>
      </c>
      <c r="V476" s="5" t="s">
        <v>44</v>
      </c>
      <c r="W476" s="5" t="s">
        <v>35</v>
      </c>
      <c r="X476" s="8" t="s">
        <v>248</v>
      </c>
      <c r="Y476" s="5" t="s">
        <v>46</v>
      </c>
      <c r="Z476" s="5" t="s">
        <v>47</v>
      </c>
      <c r="AA476" s="5" t="s">
        <v>64</v>
      </c>
      <c r="AB476" s="5" t="s">
        <v>2245</v>
      </c>
      <c r="AC476" s="6" t="s">
        <v>56</v>
      </c>
      <c r="AD476" s="6">
        <v>3999.0</v>
      </c>
    </row>
    <row r="477" ht="56.25" customHeight="1">
      <c r="A477" s="5" t="s">
        <v>2239</v>
      </c>
      <c r="B477" s="6" t="str">
        <f>IMAGE("https://storage.googleapis.com/acdb/housewares/FtrCuteChairS_Remake_2_0.png")</f>
        <v/>
      </c>
      <c r="C477" s="5" t="s">
        <v>114</v>
      </c>
      <c r="D477" s="5" t="s">
        <v>34</v>
      </c>
      <c r="E477" s="5" t="s">
        <v>34</v>
      </c>
      <c r="F477" s="5" t="s">
        <v>34</v>
      </c>
      <c r="G477" s="5" t="s">
        <v>36</v>
      </c>
      <c r="H477" s="5" t="s">
        <v>36</v>
      </c>
      <c r="I477" s="5" t="s">
        <v>36</v>
      </c>
      <c r="J477" s="6" t="s">
        <v>34</v>
      </c>
      <c r="K477" s="6">
        <v>4300.0</v>
      </c>
      <c r="L477" s="6">
        <v>1075.0</v>
      </c>
      <c r="M477" s="8" t="s">
        <v>114</v>
      </c>
      <c r="N477" s="8" t="s">
        <v>142</v>
      </c>
      <c r="O477" s="6" t="s">
        <v>40</v>
      </c>
      <c r="P477" s="5" t="s">
        <v>59</v>
      </c>
      <c r="Q477" s="5" t="s">
        <v>122</v>
      </c>
      <c r="R477" s="6" t="s">
        <v>42</v>
      </c>
      <c r="S477" s="5" t="s">
        <v>61</v>
      </c>
      <c r="T477" s="5" t="s">
        <v>44</v>
      </c>
      <c r="U477" s="5" t="s">
        <v>704</v>
      </c>
      <c r="V477" s="5" t="s">
        <v>44</v>
      </c>
      <c r="W477" s="5" t="s">
        <v>35</v>
      </c>
      <c r="X477" s="8" t="s">
        <v>248</v>
      </c>
      <c r="Y477" s="5" t="s">
        <v>46</v>
      </c>
      <c r="Z477" s="5" t="s">
        <v>47</v>
      </c>
      <c r="AA477" s="5" t="s">
        <v>64</v>
      </c>
      <c r="AB477" s="5" t="s">
        <v>2247</v>
      </c>
      <c r="AC477" s="6" t="s">
        <v>67</v>
      </c>
      <c r="AD477" s="6">
        <v>3999.0</v>
      </c>
    </row>
    <row r="478" ht="56.25" customHeight="1">
      <c r="A478" s="5" t="s">
        <v>2239</v>
      </c>
      <c r="B478" s="6" t="str">
        <f>IMAGE("https://storage.googleapis.com/acdb/housewares/FtrCuteChairS_Remake_3_0.png")</f>
        <v/>
      </c>
      <c r="C478" s="5" t="s">
        <v>52</v>
      </c>
      <c r="D478" s="5" t="s">
        <v>34</v>
      </c>
      <c r="E478" s="5" t="s">
        <v>34</v>
      </c>
      <c r="F478" s="5" t="s">
        <v>34</v>
      </c>
      <c r="G478" s="5" t="s">
        <v>36</v>
      </c>
      <c r="H478" s="5" t="s">
        <v>36</v>
      </c>
      <c r="I478" s="5" t="s">
        <v>36</v>
      </c>
      <c r="J478" s="6" t="s">
        <v>34</v>
      </c>
      <c r="K478" s="6">
        <v>4300.0</v>
      </c>
      <c r="L478" s="6">
        <v>1075.0</v>
      </c>
      <c r="M478" s="8" t="s">
        <v>52</v>
      </c>
      <c r="N478" s="8" t="s">
        <v>57</v>
      </c>
      <c r="O478" s="6" t="s">
        <v>40</v>
      </c>
      <c r="P478" s="5" t="s">
        <v>59</v>
      </c>
      <c r="Q478" s="5" t="s">
        <v>122</v>
      </c>
      <c r="R478" s="6" t="s">
        <v>42</v>
      </c>
      <c r="S478" s="5" t="s">
        <v>61</v>
      </c>
      <c r="T478" s="5" t="s">
        <v>44</v>
      </c>
      <c r="U478" s="5" t="s">
        <v>704</v>
      </c>
      <c r="V478" s="5" t="s">
        <v>44</v>
      </c>
      <c r="W478" s="5" t="s">
        <v>35</v>
      </c>
      <c r="X478" s="8" t="s">
        <v>248</v>
      </c>
      <c r="Y478" s="5" t="s">
        <v>46</v>
      </c>
      <c r="Z478" s="5" t="s">
        <v>47</v>
      </c>
      <c r="AA478" s="5" t="s">
        <v>64</v>
      </c>
      <c r="AB478" s="5" t="s">
        <v>2251</v>
      </c>
      <c r="AC478" s="6" t="s">
        <v>71</v>
      </c>
      <c r="AD478" s="6">
        <v>3999.0</v>
      </c>
    </row>
    <row r="479" ht="56.25" customHeight="1">
      <c r="A479" s="5" t="s">
        <v>2239</v>
      </c>
      <c r="B479" s="6" t="str">
        <f>IMAGE("https://storage.googleapis.com/acdb/housewares/FtrCuteChairS_Remake_4_0.png")</f>
        <v/>
      </c>
      <c r="C479" s="5" t="s">
        <v>68</v>
      </c>
      <c r="D479" s="5" t="s">
        <v>34</v>
      </c>
      <c r="E479" s="5" t="s">
        <v>34</v>
      </c>
      <c r="F479" s="5" t="s">
        <v>34</v>
      </c>
      <c r="G479" s="5" t="s">
        <v>36</v>
      </c>
      <c r="H479" s="5" t="s">
        <v>36</v>
      </c>
      <c r="I479" s="5" t="s">
        <v>36</v>
      </c>
      <c r="J479" s="6" t="s">
        <v>34</v>
      </c>
      <c r="K479" s="6">
        <v>4300.0</v>
      </c>
      <c r="L479" s="6">
        <v>1075.0</v>
      </c>
      <c r="M479" s="8" t="s">
        <v>68</v>
      </c>
      <c r="N479" s="8" t="s">
        <v>54</v>
      </c>
      <c r="O479" s="6" t="s">
        <v>40</v>
      </c>
      <c r="P479" s="5" t="s">
        <v>59</v>
      </c>
      <c r="Q479" s="5" t="s">
        <v>122</v>
      </c>
      <c r="R479" s="6" t="s">
        <v>42</v>
      </c>
      <c r="S479" s="5" t="s">
        <v>61</v>
      </c>
      <c r="T479" s="5" t="s">
        <v>44</v>
      </c>
      <c r="U479" s="5" t="s">
        <v>704</v>
      </c>
      <c r="V479" s="5" t="s">
        <v>44</v>
      </c>
      <c r="W479" s="5" t="s">
        <v>35</v>
      </c>
      <c r="X479" s="8" t="s">
        <v>248</v>
      </c>
      <c r="Y479" s="5" t="s">
        <v>46</v>
      </c>
      <c r="Z479" s="5" t="s">
        <v>47</v>
      </c>
      <c r="AA479" s="5" t="s">
        <v>64</v>
      </c>
      <c r="AB479" s="5" t="s">
        <v>2255</v>
      </c>
      <c r="AC479" s="6" t="s">
        <v>75</v>
      </c>
      <c r="AD479" s="6">
        <v>3999.0</v>
      </c>
    </row>
    <row r="480" ht="56.25" customHeight="1">
      <c r="A480" s="5" t="s">
        <v>2256</v>
      </c>
      <c r="B480" s="6" t="str">
        <f>IMAGE("https://storage.googleapis.com/acdb/housewares/FtrCuteWorkbench_Remake_0_0.png")</f>
        <v/>
      </c>
      <c r="C480" s="5" t="s">
        <v>57</v>
      </c>
      <c r="D480" s="5" t="s">
        <v>34</v>
      </c>
      <c r="E480" s="5" t="s">
        <v>34</v>
      </c>
      <c r="F480" s="5" t="s">
        <v>34</v>
      </c>
      <c r="G480" s="5" t="s">
        <v>36</v>
      </c>
      <c r="H480" s="5" t="s">
        <v>36</v>
      </c>
      <c r="I480" s="5" t="s">
        <v>36</v>
      </c>
      <c r="J480" s="6" t="s">
        <v>34</v>
      </c>
      <c r="K480" s="6">
        <v>7000.0</v>
      </c>
      <c r="L480" s="6">
        <v>1750.0</v>
      </c>
      <c r="M480" s="8" t="s">
        <v>57</v>
      </c>
      <c r="N480" s="8" t="s">
        <v>69</v>
      </c>
      <c r="O480" s="6" t="s">
        <v>276</v>
      </c>
      <c r="P480" s="5" t="s">
        <v>59</v>
      </c>
      <c r="Q480" s="5" t="s">
        <v>122</v>
      </c>
      <c r="R480" s="6" t="s">
        <v>42</v>
      </c>
      <c r="S480" s="5" t="s">
        <v>61</v>
      </c>
      <c r="T480" s="5" t="s">
        <v>44</v>
      </c>
      <c r="U480" s="5" t="s">
        <v>704</v>
      </c>
      <c r="V480" s="5" t="s">
        <v>44</v>
      </c>
      <c r="W480" s="5" t="s">
        <v>35</v>
      </c>
      <c r="X480" s="8" t="s">
        <v>2261</v>
      </c>
      <c r="Y480" s="5" t="s">
        <v>46</v>
      </c>
      <c r="Z480" s="5" t="s">
        <v>1749</v>
      </c>
      <c r="AA480" s="5" t="s">
        <v>64</v>
      </c>
      <c r="AB480" s="5" t="s">
        <v>2262</v>
      </c>
      <c r="AC480" s="6" t="s">
        <v>50</v>
      </c>
      <c r="AD480" s="6">
        <v>3995.0</v>
      </c>
    </row>
    <row r="481" ht="56.25" customHeight="1">
      <c r="A481" s="5" t="s">
        <v>2256</v>
      </c>
      <c r="B481" s="6" t="str">
        <f>IMAGE("https://storage.googleapis.com/acdb/housewares/FtrCuteWorkbench_Remake_1_0.png")</f>
        <v/>
      </c>
      <c r="C481" s="5" t="s">
        <v>708</v>
      </c>
      <c r="D481" s="5" t="s">
        <v>34</v>
      </c>
      <c r="E481" s="5" t="s">
        <v>34</v>
      </c>
      <c r="F481" s="5" t="s">
        <v>34</v>
      </c>
      <c r="G481" s="5" t="s">
        <v>36</v>
      </c>
      <c r="H481" s="5" t="s">
        <v>36</v>
      </c>
      <c r="I481" s="5" t="s">
        <v>36</v>
      </c>
      <c r="J481" s="6" t="s">
        <v>34</v>
      </c>
      <c r="K481" s="6">
        <v>7000.0</v>
      </c>
      <c r="L481" s="6">
        <v>1750.0</v>
      </c>
      <c r="M481" s="8" t="s">
        <v>1175</v>
      </c>
      <c r="N481" s="8" t="s">
        <v>68</v>
      </c>
      <c r="O481" s="6" t="s">
        <v>276</v>
      </c>
      <c r="P481" s="5" t="s">
        <v>59</v>
      </c>
      <c r="Q481" s="5" t="s">
        <v>122</v>
      </c>
      <c r="R481" s="6" t="s">
        <v>42</v>
      </c>
      <c r="S481" s="5" t="s">
        <v>61</v>
      </c>
      <c r="T481" s="5" t="s">
        <v>44</v>
      </c>
      <c r="U481" s="5" t="s">
        <v>704</v>
      </c>
      <c r="V481" s="5" t="s">
        <v>44</v>
      </c>
      <c r="W481" s="5" t="s">
        <v>35</v>
      </c>
      <c r="X481" s="8" t="s">
        <v>2261</v>
      </c>
      <c r="Y481" s="5" t="s">
        <v>46</v>
      </c>
      <c r="Z481" s="5" t="s">
        <v>1749</v>
      </c>
      <c r="AA481" s="5" t="s">
        <v>64</v>
      </c>
      <c r="AB481" s="5" t="s">
        <v>2266</v>
      </c>
      <c r="AC481" s="6" t="s">
        <v>56</v>
      </c>
      <c r="AD481" s="6">
        <v>3995.0</v>
      </c>
    </row>
    <row r="482" ht="56.25" customHeight="1">
      <c r="A482" s="5" t="s">
        <v>2256</v>
      </c>
      <c r="B482" s="6" t="str">
        <f>IMAGE("https://storage.googleapis.com/acdb/housewares/FtrCuteWorkbench_Remake_2_0.png")</f>
        <v/>
      </c>
      <c r="C482" s="5" t="s">
        <v>114</v>
      </c>
      <c r="D482" s="5" t="s">
        <v>34</v>
      </c>
      <c r="E482" s="5" t="s">
        <v>34</v>
      </c>
      <c r="F482" s="5" t="s">
        <v>34</v>
      </c>
      <c r="G482" s="5" t="s">
        <v>36</v>
      </c>
      <c r="H482" s="5" t="s">
        <v>36</v>
      </c>
      <c r="I482" s="5" t="s">
        <v>36</v>
      </c>
      <c r="J482" s="6" t="s">
        <v>34</v>
      </c>
      <c r="K482" s="6">
        <v>7000.0</v>
      </c>
      <c r="L482" s="6">
        <v>1750.0</v>
      </c>
      <c r="M482" s="8" t="s">
        <v>114</v>
      </c>
      <c r="N482" s="8" t="s">
        <v>142</v>
      </c>
      <c r="O482" s="6" t="s">
        <v>276</v>
      </c>
      <c r="P482" s="5" t="s">
        <v>59</v>
      </c>
      <c r="Q482" s="5" t="s">
        <v>122</v>
      </c>
      <c r="R482" s="6" t="s">
        <v>42</v>
      </c>
      <c r="S482" s="5" t="s">
        <v>61</v>
      </c>
      <c r="T482" s="5" t="s">
        <v>44</v>
      </c>
      <c r="U482" s="5" t="s">
        <v>704</v>
      </c>
      <c r="V482" s="5" t="s">
        <v>44</v>
      </c>
      <c r="W482" s="5" t="s">
        <v>35</v>
      </c>
      <c r="X482" s="8" t="s">
        <v>2261</v>
      </c>
      <c r="Y482" s="5" t="s">
        <v>46</v>
      </c>
      <c r="Z482" s="5" t="s">
        <v>1749</v>
      </c>
      <c r="AA482" s="5" t="s">
        <v>64</v>
      </c>
      <c r="AB482" s="5" t="s">
        <v>2269</v>
      </c>
      <c r="AC482" s="6" t="s">
        <v>67</v>
      </c>
      <c r="AD482" s="6">
        <v>3995.0</v>
      </c>
    </row>
    <row r="483" ht="56.25" customHeight="1">
      <c r="A483" s="5" t="s">
        <v>2256</v>
      </c>
      <c r="B483" s="6" t="str">
        <f>IMAGE("https://storage.googleapis.com/acdb/housewares/FtrCuteWorkbench_Remake_3_0.png")</f>
        <v/>
      </c>
      <c r="C483" s="5" t="s">
        <v>52</v>
      </c>
      <c r="D483" s="5" t="s">
        <v>34</v>
      </c>
      <c r="E483" s="5" t="s">
        <v>34</v>
      </c>
      <c r="F483" s="5" t="s">
        <v>34</v>
      </c>
      <c r="G483" s="5" t="s">
        <v>36</v>
      </c>
      <c r="H483" s="5" t="s">
        <v>36</v>
      </c>
      <c r="I483" s="5" t="s">
        <v>36</v>
      </c>
      <c r="J483" s="6" t="s">
        <v>34</v>
      </c>
      <c r="K483" s="6">
        <v>7000.0</v>
      </c>
      <c r="L483" s="6">
        <v>1750.0</v>
      </c>
      <c r="M483" s="8" t="s">
        <v>52</v>
      </c>
      <c r="N483" s="8" t="s">
        <v>52</v>
      </c>
      <c r="O483" s="6" t="s">
        <v>276</v>
      </c>
      <c r="P483" s="5" t="s">
        <v>59</v>
      </c>
      <c r="Q483" s="5" t="s">
        <v>122</v>
      </c>
      <c r="R483" s="6" t="s">
        <v>42</v>
      </c>
      <c r="S483" s="5" t="s">
        <v>61</v>
      </c>
      <c r="T483" s="5" t="s">
        <v>44</v>
      </c>
      <c r="U483" s="5" t="s">
        <v>704</v>
      </c>
      <c r="V483" s="5" t="s">
        <v>44</v>
      </c>
      <c r="W483" s="5" t="s">
        <v>35</v>
      </c>
      <c r="X483" s="8" t="s">
        <v>2261</v>
      </c>
      <c r="Y483" s="5" t="s">
        <v>46</v>
      </c>
      <c r="Z483" s="5" t="s">
        <v>1749</v>
      </c>
      <c r="AA483" s="5" t="s">
        <v>64</v>
      </c>
      <c r="AB483" s="5" t="s">
        <v>2271</v>
      </c>
      <c r="AC483" s="6" t="s">
        <v>71</v>
      </c>
      <c r="AD483" s="6">
        <v>3995.0</v>
      </c>
    </row>
    <row r="484" ht="56.25" customHeight="1">
      <c r="A484" s="5" t="s">
        <v>2256</v>
      </c>
      <c r="B484" s="6" t="str">
        <f>IMAGE("https://storage.googleapis.com/acdb/housewares/FtrCuteWorkbench_Remake_4_0.png")</f>
        <v/>
      </c>
      <c r="C484" s="5" t="s">
        <v>68</v>
      </c>
      <c r="D484" s="5" t="s">
        <v>34</v>
      </c>
      <c r="E484" s="5" t="s">
        <v>34</v>
      </c>
      <c r="F484" s="5" t="s">
        <v>34</v>
      </c>
      <c r="G484" s="5" t="s">
        <v>36</v>
      </c>
      <c r="H484" s="5" t="s">
        <v>36</v>
      </c>
      <c r="I484" s="5" t="s">
        <v>36</v>
      </c>
      <c r="J484" s="6" t="s">
        <v>34</v>
      </c>
      <c r="K484" s="6">
        <v>7000.0</v>
      </c>
      <c r="L484" s="6">
        <v>1750.0</v>
      </c>
      <c r="M484" s="8" t="s">
        <v>68</v>
      </c>
      <c r="N484" s="8" t="s">
        <v>54</v>
      </c>
      <c r="O484" s="6" t="s">
        <v>276</v>
      </c>
      <c r="P484" s="5" t="s">
        <v>59</v>
      </c>
      <c r="Q484" s="5" t="s">
        <v>122</v>
      </c>
      <c r="R484" s="6" t="s">
        <v>42</v>
      </c>
      <c r="S484" s="5" t="s">
        <v>61</v>
      </c>
      <c r="T484" s="5" t="s">
        <v>44</v>
      </c>
      <c r="U484" s="5" t="s">
        <v>704</v>
      </c>
      <c r="V484" s="5" t="s">
        <v>44</v>
      </c>
      <c r="W484" s="5" t="s">
        <v>35</v>
      </c>
      <c r="X484" s="8" t="s">
        <v>2261</v>
      </c>
      <c r="Y484" s="5" t="s">
        <v>46</v>
      </c>
      <c r="Z484" s="5" t="s">
        <v>1749</v>
      </c>
      <c r="AA484" s="5" t="s">
        <v>64</v>
      </c>
      <c r="AB484" s="5" t="s">
        <v>2274</v>
      </c>
      <c r="AC484" s="6" t="s">
        <v>75</v>
      </c>
      <c r="AD484" s="6">
        <v>3995.0</v>
      </c>
    </row>
    <row r="485" ht="56.25" customHeight="1">
      <c r="A485" s="5" t="s">
        <v>2278</v>
      </c>
      <c r="B485" s="6" t="str">
        <f>IMAGE("https://storage.googleapis.com/acdb/housewares/FtrCuteLamp_Remake_0_0.png")</f>
        <v/>
      </c>
      <c r="C485" s="5" t="s">
        <v>57</v>
      </c>
      <c r="D485" s="5" t="s">
        <v>34</v>
      </c>
      <c r="E485" s="5" t="s">
        <v>34</v>
      </c>
      <c r="F485" s="5" t="s">
        <v>34</v>
      </c>
      <c r="G485" s="5" t="s">
        <v>36</v>
      </c>
      <c r="H485" s="5" t="s">
        <v>36</v>
      </c>
      <c r="I485" s="5" t="s">
        <v>36</v>
      </c>
      <c r="J485" s="6" t="s">
        <v>34</v>
      </c>
      <c r="K485" s="6">
        <v>3500.0</v>
      </c>
      <c r="L485" s="6">
        <v>875.0</v>
      </c>
      <c r="M485" s="8" t="s">
        <v>57</v>
      </c>
      <c r="N485" s="8" t="s">
        <v>69</v>
      </c>
      <c r="O485" s="6" t="s">
        <v>40</v>
      </c>
      <c r="P485" s="5" t="s">
        <v>59</v>
      </c>
      <c r="Q485" s="5" t="s">
        <v>122</v>
      </c>
      <c r="R485" s="6" t="s">
        <v>42</v>
      </c>
      <c r="S485" s="5" t="s">
        <v>61</v>
      </c>
      <c r="T485" s="5" t="s">
        <v>44</v>
      </c>
      <c r="U485" s="5" t="s">
        <v>704</v>
      </c>
      <c r="V485" s="5" t="s">
        <v>44</v>
      </c>
      <c r="W485" s="5" t="s">
        <v>35</v>
      </c>
      <c r="X485" s="8" t="s">
        <v>467</v>
      </c>
      <c r="Y485" s="5" t="s">
        <v>46</v>
      </c>
      <c r="Z485" s="5" t="s">
        <v>502</v>
      </c>
      <c r="AA485" s="5" t="s">
        <v>64</v>
      </c>
      <c r="AB485" s="5" t="s">
        <v>2279</v>
      </c>
      <c r="AC485" s="6" t="s">
        <v>50</v>
      </c>
      <c r="AD485" s="6">
        <v>4002.0</v>
      </c>
    </row>
    <row r="486" ht="56.25" customHeight="1">
      <c r="A486" s="5" t="s">
        <v>2278</v>
      </c>
      <c r="B486" s="6" t="str">
        <f>IMAGE("https://storage.googleapis.com/acdb/housewares/FtrCuteLamp_Remake_1_0.png")</f>
        <v/>
      </c>
      <c r="C486" s="5" t="s">
        <v>708</v>
      </c>
      <c r="D486" s="5" t="s">
        <v>34</v>
      </c>
      <c r="E486" s="5" t="s">
        <v>34</v>
      </c>
      <c r="F486" s="5" t="s">
        <v>34</v>
      </c>
      <c r="G486" s="5" t="s">
        <v>36</v>
      </c>
      <c r="H486" s="5" t="s">
        <v>36</v>
      </c>
      <c r="I486" s="5" t="s">
        <v>36</v>
      </c>
      <c r="J486" s="6" t="s">
        <v>34</v>
      </c>
      <c r="K486" s="6">
        <v>3500.0</v>
      </c>
      <c r="L486" s="6">
        <v>875.0</v>
      </c>
      <c r="M486" s="8" t="s">
        <v>1175</v>
      </c>
      <c r="N486" s="8" t="s">
        <v>68</v>
      </c>
      <c r="O486" s="6" t="s">
        <v>40</v>
      </c>
      <c r="P486" s="5" t="s">
        <v>59</v>
      </c>
      <c r="Q486" s="5" t="s">
        <v>122</v>
      </c>
      <c r="R486" s="6" t="s">
        <v>42</v>
      </c>
      <c r="S486" s="5" t="s">
        <v>61</v>
      </c>
      <c r="T486" s="5" t="s">
        <v>44</v>
      </c>
      <c r="U486" s="5" t="s">
        <v>704</v>
      </c>
      <c r="V486" s="5" t="s">
        <v>44</v>
      </c>
      <c r="W486" s="5" t="s">
        <v>35</v>
      </c>
      <c r="X486" s="8" t="s">
        <v>467</v>
      </c>
      <c r="Y486" s="5" t="s">
        <v>46</v>
      </c>
      <c r="Z486" s="5" t="s">
        <v>502</v>
      </c>
      <c r="AA486" s="5" t="s">
        <v>64</v>
      </c>
      <c r="AB486" s="5" t="s">
        <v>2282</v>
      </c>
      <c r="AC486" s="6" t="s">
        <v>56</v>
      </c>
      <c r="AD486" s="6">
        <v>4002.0</v>
      </c>
    </row>
    <row r="487" ht="56.25" customHeight="1">
      <c r="A487" s="5" t="s">
        <v>2278</v>
      </c>
      <c r="B487" s="6" t="str">
        <f>IMAGE("https://storage.googleapis.com/acdb/housewares/FtrCuteLamp_Remake_2_0.png")</f>
        <v/>
      </c>
      <c r="C487" s="5" t="s">
        <v>114</v>
      </c>
      <c r="D487" s="5" t="s">
        <v>34</v>
      </c>
      <c r="E487" s="5" t="s">
        <v>34</v>
      </c>
      <c r="F487" s="5" t="s">
        <v>34</v>
      </c>
      <c r="G487" s="5" t="s">
        <v>36</v>
      </c>
      <c r="H487" s="5" t="s">
        <v>36</v>
      </c>
      <c r="I487" s="5" t="s">
        <v>36</v>
      </c>
      <c r="J487" s="6" t="s">
        <v>34</v>
      </c>
      <c r="K487" s="6">
        <v>3500.0</v>
      </c>
      <c r="L487" s="6">
        <v>875.0</v>
      </c>
      <c r="M487" s="8" t="s">
        <v>114</v>
      </c>
      <c r="N487" s="8" t="s">
        <v>106</v>
      </c>
      <c r="O487" s="6" t="s">
        <v>40</v>
      </c>
      <c r="P487" s="5" t="s">
        <v>59</v>
      </c>
      <c r="Q487" s="5" t="s">
        <v>122</v>
      </c>
      <c r="R487" s="6" t="s">
        <v>42</v>
      </c>
      <c r="S487" s="5" t="s">
        <v>61</v>
      </c>
      <c r="T487" s="5" t="s">
        <v>44</v>
      </c>
      <c r="U487" s="5" t="s">
        <v>704</v>
      </c>
      <c r="V487" s="5" t="s">
        <v>44</v>
      </c>
      <c r="W487" s="5" t="s">
        <v>35</v>
      </c>
      <c r="X487" s="8" t="s">
        <v>467</v>
      </c>
      <c r="Y487" s="5" t="s">
        <v>46</v>
      </c>
      <c r="Z487" s="5" t="s">
        <v>502</v>
      </c>
      <c r="AA487" s="5" t="s">
        <v>64</v>
      </c>
      <c r="AB487" s="5" t="s">
        <v>2284</v>
      </c>
      <c r="AC487" s="6" t="s">
        <v>67</v>
      </c>
      <c r="AD487" s="6">
        <v>4002.0</v>
      </c>
    </row>
    <row r="488" ht="56.25" customHeight="1">
      <c r="A488" s="5" t="s">
        <v>2278</v>
      </c>
      <c r="B488" s="6" t="str">
        <f>IMAGE("https://storage.googleapis.com/acdb/housewares/FtrCuteLamp_Remake_3_0.png")</f>
        <v/>
      </c>
      <c r="C488" s="5" t="s">
        <v>52</v>
      </c>
      <c r="D488" s="5" t="s">
        <v>34</v>
      </c>
      <c r="E488" s="5" t="s">
        <v>34</v>
      </c>
      <c r="F488" s="5" t="s">
        <v>34</v>
      </c>
      <c r="G488" s="5" t="s">
        <v>36</v>
      </c>
      <c r="H488" s="5" t="s">
        <v>36</v>
      </c>
      <c r="I488" s="5" t="s">
        <v>36</v>
      </c>
      <c r="J488" s="6" t="s">
        <v>34</v>
      </c>
      <c r="K488" s="6">
        <v>3500.0</v>
      </c>
      <c r="L488" s="6">
        <v>875.0</v>
      </c>
      <c r="M488" s="8" t="s">
        <v>52</v>
      </c>
      <c r="N488" s="8" t="s">
        <v>57</v>
      </c>
      <c r="O488" s="6" t="s">
        <v>40</v>
      </c>
      <c r="P488" s="5" t="s">
        <v>59</v>
      </c>
      <c r="Q488" s="5" t="s">
        <v>122</v>
      </c>
      <c r="R488" s="6" t="s">
        <v>42</v>
      </c>
      <c r="S488" s="5" t="s">
        <v>61</v>
      </c>
      <c r="T488" s="5" t="s">
        <v>44</v>
      </c>
      <c r="U488" s="5" t="s">
        <v>704</v>
      </c>
      <c r="V488" s="5" t="s">
        <v>44</v>
      </c>
      <c r="W488" s="5" t="s">
        <v>35</v>
      </c>
      <c r="X488" s="8" t="s">
        <v>467</v>
      </c>
      <c r="Y488" s="5" t="s">
        <v>46</v>
      </c>
      <c r="Z488" s="5" t="s">
        <v>502</v>
      </c>
      <c r="AA488" s="5" t="s">
        <v>64</v>
      </c>
      <c r="AB488" s="5" t="s">
        <v>2286</v>
      </c>
      <c r="AC488" s="6" t="s">
        <v>71</v>
      </c>
      <c r="AD488" s="6">
        <v>4002.0</v>
      </c>
    </row>
    <row r="489" ht="56.25" customHeight="1">
      <c r="A489" s="5" t="s">
        <v>2278</v>
      </c>
      <c r="B489" s="6" t="str">
        <f>IMAGE("https://storage.googleapis.com/acdb/housewares/FtrCuteLamp_Remake_4_0.png")</f>
        <v/>
      </c>
      <c r="C489" s="5" t="s">
        <v>68</v>
      </c>
      <c r="D489" s="5" t="s">
        <v>34</v>
      </c>
      <c r="E489" s="5" t="s">
        <v>34</v>
      </c>
      <c r="F489" s="5" t="s">
        <v>34</v>
      </c>
      <c r="G489" s="5" t="s">
        <v>36</v>
      </c>
      <c r="H489" s="5" t="s">
        <v>36</v>
      </c>
      <c r="I489" s="5" t="s">
        <v>36</v>
      </c>
      <c r="J489" s="6" t="s">
        <v>34</v>
      </c>
      <c r="K489" s="6">
        <v>3500.0</v>
      </c>
      <c r="L489" s="6">
        <v>875.0</v>
      </c>
      <c r="M489" s="8" t="s">
        <v>68</v>
      </c>
      <c r="N489" s="8" t="s">
        <v>54</v>
      </c>
      <c r="O489" s="6" t="s">
        <v>40</v>
      </c>
      <c r="P489" s="5" t="s">
        <v>59</v>
      </c>
      <c r="Q489" s="5" t="s">
        <v>122</v>
      </c>
      <c r="R489" s="6" t="s">
        <v>42</v>
      </c>
      <c r="S489" s="5" t="s">
        <v>61</v>
      </c>
      <c r="T489" s="5" t="s">
        <v>44</v>
      </c>
      <c r="U489" s="5" t="s">
        <v>704</v>
      </c>
      <c r="V489" s="5" t="s">
        <v>44</v>
      </c>
      <c r="W489" s="5" t="s">
        <v>35</v>
      </c>
      <c r="X489" s="8" t="s">
        <v>467</v>
      </c>
      <c r="Y489" s="5" t="s">
        <v>46</v>
      </c>
      <c r="Z489" s="5" t="s">
        <v>502</v>
      </c>
      <c r="AA489" s="5" t="s">
        <v>64</v>
      </c>
      <c r="AB489" s="5" t="s">
        <v>2290</v>
      </c>
      <c r="AC489" s="6" t="s">
        <v>75</v>
      </c>
      <c r="AD489" s="6">
        <v>4002.0</v>
      </c>
    </row>
    <row r="490" ht="56.25" customHeight="1">
      <c r="A490" s="5" t="s">
        <v>2292</v>
      </c>
      <c r="B490" s="6" t="str">
        <f>IMAGE("https://storage.googleapis.com/acdb/housewares/FtrCuteChairL_Remake_0_0.png")</f>
        <v/>
      </c>
      <c r="C490" s="5" t="s">
        <v>57</v>
      </c>
      <c r="D490" s="5" t="s">
        <v>34</v>
      </c>
      <c r="E490" s="5" t="s">
        <v>34</v>
      </c>
      <c r="F490" s="5" t="s">
        <v>34</v>
      </c>
      <c r="G490" s="5" t="s">
        <v>36</v>
      </c>
      <c r="H490" s="5" t="s">
        <v>36</v>
      </c>
      <c r="I490" s="5" t="s">
        <v>36</v>
      </c>
      <c r="J490" s="6" t="s">
        <v>34</v>
      </c>
      <c r="K490" s="6">
        <v>9600.0</v>
      </c>
      <c r="L490" s="6">
        <v>2400.0</v>
      </c>
      <c r="M490" s="8" t="s">
        <v>57</v>
      </c>
      <c r="N490" s="8" t="s">
        <v>69</v>
      </c>
      <c r="O490" s="6" t="s">
        <v>276</v>
      </c>
      <c r="P490" s="5" t="s">
        <v>59</v>
      </c>
      <c r="Q490" s="5" t="s">
        <v>122</v>
      </c>
      <c r="R490" s="6" t="s">
        <v>42</v>
      </c>
      <c r="S490" s="5" t="s">
        <v>61</v>
      </c>
      <c r="T490" s="5" t="s">
        <v>44</v>
      </c>
      <c r="U490" s="5" t="s">
        <v>704</v>
      </c>
      <c r="V490" s="5" t="s">
        <v>44</v>
      </c>
      <c r="W490" s="5" t="s">
        <v>35</v>
      </c>
      <c r="X490" s="8" t="s">
        <v>671</v>
      </c>
      <c r="Y490" s="5" t="s">
        <v>46</v>
      </c>
      <c r="Z490" s="5" t="s">
        <v>47</v>
      </c>
      <c r="AA490" s="5" t="s">
        <v>64</v>
      </c>
      <c r="AB490" s="5" t="s">
        <v>2293</v>
      </c>
      <c r="AC490" s="6" t="s">
        <v>50</v>
      </c>
      <c r="AD490" s="6">
        <v>3998.0</v>
      </c>
    </row>
    <row r="491" ht="56.25" customHeight="1">
      <c r="A491" s="5" t="s">
        <v>2292</v>
      </c>
      <c r="B491" s="6" t="str">
        <f>IMAGE("https://storage.googleapis.com/acdb/housewares/FtrCuteChairL_Remake_1_0.png")</f>
        <v/>
      </c>
      <c r="C491" s="5" t="s">
        <v>708</v>
      </c>
      <c r="D491" s="5" t="s">
        <v>34</v>
      </c>
      <c r="E491" s="5" t="s">
        <v>34</v>
      </c>
      <c r="F491" s="5" t="s">
        <v>34</v>
      </c>
      <c r="G491" s="5" t="s">
        <v>36</v>
      </c>
      <c r="H491" s="5" t="s">
        <v>36</v>
      </c>
      <c r="I491" s="5" t="s">
        <v>36</v>
      </c>
      <c r="J491" s="6" t="s">
        <v>34</v>
      </c>
      <c r="K491" s="6">
        <v>9600.0</v>
      </c>
      <c r="L491" s="6">
        <v>2400.0</v>
      </c>
      <c r="M491" s="8" t="s">
        <v>1175</v>
      </c>
      <c r="N491" s="8" t="s">
        <v>68</v>
      </c>
      <c r="O491" s="6" t="s">
        <v>276</v>
      </c>
      <c r="P491" s="5" t="s">
        <v>59</v>
      </c>
      <c r="Q491" s="5" t="s">
        <v>122</v>
      </c>
      <c r="R491" s="6" t="s">
        <v>42</v>
      </c>
      <c r="S491" s="5" t="s">
        <v>61</v>
      </c>
      <c r="T491" s="5" t="s">
        <v>44</v>
      </c>
      <c r="U491" s="5" t="s">
        <v>704</v>
      </c>
      <c r="V491" s="5" t="s">
        <v>44</v>
      </c>
      <c r="W491" s="5" t="s">
        <v>35</v>
      </c>
      <c r="X491" s="8" t="s">
        <v>671</v>
      </c>
      <c r="Y491" s="5" t="s">
        <v>46</v>
      </c>
      <c r="Z491" s="5" t="s">
        <v>47</v>
      </c>
      <c r="AA491" s="5" t="s">
        <v>64</v>
      </c>
      <c r="AB491" s="5" t="s">
        <v>2296</v>
      </c>
      <c r="AC491" s="6" t="s">
        <v>56</v>
      </c>
      <c r="AD491" s="6">
        <v>3998.0</v>
      </c>
    </row>
    <row r="492" ht="56.25" customHeight="1">
      <c r="A492" s="5" t="s">
        <v>2292</v>
      </c>
      <c r="B492" s="6" t="str">
        <f>IMAGE("https://storage.googleapis.com/acdb/housewares/FtrCuteChairL_Remake_2_0.png")</f>
        <v/>
      </c>
      <c r="C492" s="5" t="s">
        <v>114</v>
      </c>
      <c r="D492" s="5" t="s">
        <v>34</v>
      </c>
      <c r="E492" s="5" t="s">
        <v>34</v>
      </c>
      <c r="F492" s="5" t="s">
        <v>34</v>
      </c>
      <c r="G492" s="5" t="s">
        <v>36</v>
      </c>
      <c r="H492" s="5" t="s">
        <v>36</v>
      </c>
      <c r="I492" s="5" t="s">
        <v>36</v>
      </c>
      <c r="J492" s="6" t="s">
        <v>34</v>
      </c>
      <c r="K492" s="6">
        <v>9600.0</v>
      </c>
      <c r="L492" s="6">
        <v>2400.0</v>
      </c>
      <c r="M492" s="8" t="s">
        <v>114</v>
      </c>
      <c r="N492" s="8" t="s">
        <v>142</v>
      </c>
      <c r="O492" s="6" t="s">
        <v>276</v>
      </c>
      <c r="P492" s="5" t="s">
        <v>59</v>
      </c>
      <c r="Q492" s="5" t="s">
        <v>122</v>
      </c>
      <c r="R492" s="6" t="s">
        <v>42</v>
      </c>
      <c r="S492" s="5" t="s">
        <v>61</v>
      </c>
      <c r="T492" s="5" t="s">
        <v>44</v>
      </c>
      <c r="U492" s="5" t="s">
        <v>704</v>
      </c>
      <c r="V492" s="5" t="s">
        <v>44</v>
      </c>
      <c r="W492" s="5" t="s">
        <v>35</v>
      </c>
      <c r="X492" s="8" t="s">
        <v>671</v>
      </c>
      <c r="Y492" s="5" t="s">
        <v>46</v>
      </c>
      <c r="Z492" s="5" t="s">
        <v>47</v>
      </c>
      <c r="AA492" s="5" t="s">
        <v>64</v>
      </c>
      <c r="AB492" s="5" t="s">
        <v>2297</v>
      </c>
      <c r="AC492" s="6" t="s">
        <v>67</v>
      </c>
      <c r="AD492" s="6">
        <v>3998.0</v>
      </c>
    </row>
    <row r="493" ht="56.25" customHeight="1">
      <c r="A493" s="5" t="s">
        <v>2292</v>
      </c>
      <c r="B493" s="6" t="str">
        <f>IMAGE("https://storage.googleapis.com/acdb/housewares/FtrCuteChairL_Remake_3_0.png")</f>
        <v/>
      </c>
      <c r="C493" s="5" t="s">
        <v>52</v>
      </c>
      <c r="D493" s="5" t="s">
        <v>34</v>
      </c>
      <c r="E493" s="5" t="s">
        <v>34</v>
      </c>
      <c r="F493" s="5" t="s">
        <v>34</v>
      </c>
      <c r="G493" s="5" t="s">
        <v>36</v>
      </c>
      <c r="H493" s="5" t="s">
        <v>36</v>
      </c>
      <c r="I493" s="5" t="s">
        <v>36</v>
      </c>
      <c r="J493" s="6" t="s">
        <v>34</v>
      </c>
      <c r="K493" s="6">
        <v>9600.0</v>
      </c>
      <c r="L493" s="6">
        <v>2400.0</v>
      </c>
      <c r="M493" s="8" t="s">
        <v>52</v>
      </c>
      <c r="N493" s="8" t="s">
        <v>57</v>
      </c>
      <c r="O493" s="6" t="s">
        <v>276</v>
      </c>
      <c r="P493" s="5" t="s">
        <v>59</v>
      </c>
      <c r="Q493" s="5" t="s">
        <v>122</v>
      </c>
      <c r="R493" s="6" t="s">
        <v>42</v>
      </c>
      <c r="S493" s="5" t="s">
        <v>61</v>
      </c>
      <c r="T493" s="5" t="s">
        <v>44</v>
      </c>
      <c r="U493" s="5" t="s">
        <v>704</v>
      </c>
      <c r="V493" s="5" t="s">
        <v>44</v>
      </c>
      <c r="W493" s="5" t="s">
        <v>35</v>
      </c>
      <c r="X493" s="8" t="s">
        <v>671</v>
      </c>
      <c r="Y493" s="5" t="s">
        <v>46</v>
      </c>
      <c r="Z493" s="5" t="s">
        <v>47</v>
      </c>
      <c r="AA493" s="5" t="s">
        <v>64</v>
      </c>
      <c r="AB493" s="5" t="s">
        <v>2301</v>
      </c>
      <c r="AC493" s="6" t="s">
        <v>71</v>
      </c>
      <c r="AD493" s="6">
        <v>3998.0</v>
      </c>
    </row>
    <row r="494" ht="56.25" customHeight="1">
      <c r="A494" s="5" t="s">
        <v>2292</v>
      </c>
      <c r="B494" s="6" t="str">
        <f>IMAGE("https://storage.googleapis.com/acdb/housewares/FtrCuteChairL_Remake_4_0.png")</f>
        <v/>
      </c>
      <c r="C494" s="5" t="s">
        <v>68</v>
      </c>
      <c r="D494" s="5" t="s">
        <v>34</v>
      </c>
      <c r="E494" s="5" t="s">
        <v>34</v>
      </c>
      <c r="F494" s="5" t="s">
        <v>34</v>
      </c>
      <c r="G494" s="5" t="s">
        <v>36</v>
      </c>
      <c r="H494" s="5" t="s">
        <v>36</v>
      </c>
      <c r="I494" s="5" t="s">
        <v>36</v>
      </c>
      <c r="J494" s="6" t="s">
        <v>34</v>
      </c>
      <c r="K494" s="6">
        <v>9600.0</v>
      </c>
      <c r="L494" s="6">
        <v>2400.0</v>
      </c>
      <c r="M494" s="8" t="s">
        <v>68</v>
      </c>
      <c r="N494" s="8" t="s">
        <v>54</v>
      </c>
      <c r="O494" s="6" t="s">
        <v>276</v>
      </c>
      <c r="P494" s="5" t="s">
        <v>59</v>
      </c>
      <c r="Q494" s="5" t="s">
        <v>122</v>
      </c>
      <c r="R494" s="6" t="s">
        <v>42</v>
      </c>
      <c r="S494" s="5" t="s">
        <v>61</v>
      </c>
      <c r="T494" s="5" t="s">
        <v>44</v>
      </c>
      <c r="U494" s="5" t="s">
        <v>704</v>
      </c>
      <c r="V494" s="5" t="s">
        <v>44</v>
      </c>
      <c r="W494" s="5" t="s">
        <v>35</v>
      </c>
      <c r="X494" s="8" t="s">
        <v>671</v>
      </c>
      <c r="Y494" s="5" t="s">
        <v>46</v>
      </c>
      <c r="Z494" s="5" t="s">
        <v>47</v>
      </c>
      <c r="AA494" s="5" t="s">
        <v>64</v>
      </c>
      <c r="AB494" s="5" t="s">
        <v>2303</v>
      </c>
      <c r="AC494" s="6" t="s">
        <v>75</v>
      </c>
      <c r="AD494" s="6">
        <v>3998.0</v>
      </c>
    </row>
    <row r="495" ht="56.25" customHeight="1">
      <c r="A495" s="5" t="s">
        <v>2304</v>
      </c>
      <c r="B495" s="6" t="str">
        <f>IMAGE("https://storage.googleapis.com/acdb/housewares/FtrCuteTableS_Remake_0_0.png")</f>
        <v/>
      </c>
      <c r="C495" s="5" t="s">
        <v>57</v>
      </c>
      <c r="D495" s="5" t="s">
        <v>34</v>
      </c>
      <c r="E495" s="5" t="s">
        <v>34</v>
      </c>
      <c r="F495" s="5" t="s">
        <v>34</v>
      </c>
      <c r="G495" s="5" t="s">
        <v>36</v>
      </c>
      <c r="H495" s="5" t="s">
        <v>36</v>
      </c>
      <c r="I495" s="5" t="s">
        <v>36</v>
      </c>
      <c r="J495" s="6" t="s">
        <v>34</v>
      </c>
      <c r="K495" s="6">
        <v>3000.0</v>
      </c>
      <c r="L495" s="6">
        <v>750.0</v>
      </c>
      <c r="M495" s="8" t="s">
        <v>57</v>
      </c>
      <c r="N495" s="8" t="s">
        <v>69</v>
      </c>
      <c r="O495" s="6" t="s">
        <v>40</v>
      </c>
      <c r="P495" s="5" t="s">
        <v>59</v>
      </c>
      <c r="Q495" s="5" t="s">
        <v>122</v>
      </c>
      <c r="R495" s="6" t="s">
        <v>42</v>
      </c>
      <c r="S495" s="5" t="s">
        <v>61</v>
      </c>
      <c r="T495" s="5" t="s">
        <v>44</v>
      </c>
      <c r="U495" s="5" t="s">
        <v>704</v>
      </c>
      <c r="V495" s="5" t="s">
        <v>44</v>
      </c>
      <c r="W495" s="5" t="s">
        <v>36</v>
      </c>
      <c r="X495" s="8" t="s">
        <v>278</v>
      </c>
      <c r="Y495" s="5" t="s">
        <v>46</v>
      </c>
      <c r="Z495" s="5" t="s">
        <v>47</v>
      </c>
      <c r="AA495" s="5" t="s">
        <v>64</v>
      </c>
      <c r="AB495" s="5" t="s">
        <v>2308</v>
      </c>
      <c r="AC495" s="6" t="s">
        <v>50</v>
      </c>
      <c r="AD495" s="6">
        <v>4000.0</v>
      </c>
    </row>
    <row r="496" ht="56.25" customHeight="1">
      <c r="A496" s="5" t="s">
        <v>2304</v>
      </c>
      <c r="B496" s="6" t="str">
        <f>IMAGE("https://storage.googleapis.com/acdb/housewares/FtrCuteTableS_Remake_1_0.png")</f>
        <v/>
      </c>
      <c r="C496" s="5" t="s">
        <v>708</v>
      </c>
      <c r="D496" s="5" t="s">
        <v>34</v>
      </c>
      <c r="E496" s="5" t="s">
        <v>34</v>
      </c>
      <c r="F496" s="5" t="s">
        <v>34</v>
      </c>
      <c r="G496" s="5" t="s">
        <v>36</v>
      </c>
      <c r="H496" s="5" t="s">
        <v>36</v>
      </c>
      <c r="I496" s="5" t="s">
        <v>36</v>
      </c>
      <c r="J496" s="6" t="s">
        <v>34</v>
      </c>
      <c r="K496" s="6">
        <v>3000.0</v>
      </c>
      <c r="L496" s="6">
        <v>750.0</v>
      </c>
      <c r="M496" s="8" t="s">
        <v>1175</v>
      </c>
      <c r="N496" s="8" t="s">
        <v>57</v>
      </c>
      <c r="O496" s="6" t="s">
        <v>40</v>
      </c>
      <c r="P496" s="5" t="s">
        <v>59</v>
      </c>
      <c r="Q496" s="5" t="s">
        <v>122</v>
      </c>
      <c r="R496" s="6" t="s">
        <v>42</v>
      </c>
      <c r="S496" s="5" t="s">
        <v>61</v>
      </c>
      <c r="T496" s="5" t="s">
        <v>44</v>
      </c>
      <c r="U496" s="5" t="s">
        <v>704</v>
      </c>
      <c r="V496" s="5" t="s">
        <v>44</v>
      </c>
      <c r="W496" s="5" t="s">
        <v>36</v>
      </c>
      <c r="X496" s="8" t="s">
        <v>278</v>
      </c>
      <c r="Y496" s="5" t="s">
        <v>46</v>
      </c>
      <c r="Z496" s="5" t="s">
        <v>47</v>
      </c>
      <c r="AA496" s="5" t="s">
        <v>64</v>
      </c>
      <c r="AB496" s="5" t="s">
        <v>2309</v>
      </c>
      <c r="AC496" s="6" t="s">
        <v>56</v>
      </c>
      <c r="AD496" s="6">
        <v>4000.0</v>
      </c>
    </row>
    <row r="497" ht="56.25" customHeight="1">
      <c r="A497" s="5" t="s">
        <v>2304</v>
      </c>
      <c r="B497" s="6" t="str">
        <f>IMAGE("https://storage.googleapis.com/acdb/housewares/FtrCuteTableS_Remake_2_0.png")</f>
        <v/>
      </c>
      <c r="C497" s="5" t="s">
        <v>114</v>
      </c>
      <c r="D497" s="5" t="s">
        <v>34</v>
      </c>
      <c r="E497" s="5" t="s">
        <v>34</v>
      </c>
      <c r="F497" s="5" t="s">
        <v>34</v>
      </c>
      <c r="G497" s="5" t="s">
        <v>36</v>
      </c>
      <c r="H497" s="5" t="s">
        <v>36</v>
      </c>
      <c r="I497" s="5" t="s">
        <v>36</v>
      </c>
      <c r="J497" s="6" t="s">
        <v>34</v>
      </c>
      <c r="K497" s="6">
        <v>3000.0</v>
      </c>
      <c r="L497" s="6">
        <v>750.0</v>
      </c>
      <c r="M497" s="8" t="s">
        <v>114</v>
      </c>
      <c r="N497" s="8" t="s">
        <v>57</v>
      </c>
      <c r="O497" s="6" t="s">
        <v>40</v>
      </c>
      <c r="P497" s="5" t="s">
        <v>59</v>
      </c>
      <c r="Q497" s="5" t="s">
        <v>122</v>
      </c>
      <c r="R497" s="6" t="s">
        <v>42</v>
      </c>
      <c r="S497" s="5" t="s">
        <v>61</v>
      </c>
      <c r="T497" s="5" t="s">
        <v>44</v>
      </c>
      <c r="U497" s="5" t="s">
        <v>704</v>
      </c>
      <c r="V497" s="5" t="s">
        <v>44</v>
      </c>
      <c r="W497" s="5" t="s">
        <v>36</v>
      </c>
      <c r="X497" s="8" t="s">
        <v>278</v>
      </c>
      <c r="Y497" s="5" t="s">
        <v>46</v>
      </c>
      <c r="Z497" s="5" t="s">
        <v>47</v>
      </c>
      <c r="AA497" s="5" t="s">
        <v>64</v>
      </c>
      <c r="AB497" s="5" t="s">
        <v>2312</v>
      </c>
      <c r="AC497" s="6" t="s">
        <v>67</v>
      </c>
      <c r="AD497" s="6">
        <v>4000.0</v>
      </c>
    </row>
    <row r="498" ht="56.25" customHeight="1">
      <c r="A498" s="5" t="s">
        <v>2304</v>
      </c>
      <c r="B498" s="6" t="str">
        <f>IMAGE("https://storage.googleapis.com/acdb/housewares/FtrCuteTableS_Remake_3_0.png")</f>
        <v/>
      </c>
      <c r="C498" s="5" t="s">
        <v>52</v>
      </c>
      <c r="D498" s="5" t="s">
        <v>34</v>
      </c>
      <c r="E498" s="5" t="s">
        <v>34</v>
      </c>
      <c r="F498" s="5" t="s">
        <v>34</v>
      </c>
      <c r="G498" s="5" t="s">
        <v>36</v>
      </c>
      <c r="H498" s="5" t="s">
        <v>36</v>
      </c>
      <c r="I498" s="5" t="s">
        <v>36</v>
      </c>
      <c r="J498" s="6" t="s">
        <v>34</v>
      </c>
      <c r="K498" s="6">
        <v>3000.0</v>
      </c>
      <c r="L498" s="6">
        <v>750.0</v>
      </c>
      <c r="M498" s="8" t="s">
        <v>52</v>
      </c>
      <c r="N498" s="8" t="s">
        <v>57</v>
      </c>
      <c r="O498" s="6" t="s">
        <v>40</v>
      </c>
      <c r="P498" s="5" t="s">
        <v>59</v>
      </c>
      <c r="Q498" s="5" t="s">
        <v>122</v>
      </c>
      <c r="R498" s="6" t="s">
        <v>42</v>
      </c>
      <c r="S498" s="5" t="s">
        <v>61</v>
      </c>
      <c r="T498" s="5" t="s">
        <v>44</v>
      </c>
      <c r="U498" s="5" t="s">
        <v>704</v>
      </c>
      <c r="V498" s="5" t="s">
        <v>44</v>
      </c>
      <c r="W498" s="5" t="s">
        <v>36</v>
      </c>
      <c r="X498" s="8" t="s">
        <v>278</v>
      </c>
      <c r="Y498" s="5" t="s">
        <v>46</v>
      </c>
      <c r="Z498" s="5" t="s">
        <v>47</v>
      </c>
      <c r="AA498" s="5" t="s">
        <v>64</v>
      </c>
      <c r="AB498" s="5" t="s">
        <v>2315</v>
      </c>
      <c r="AC498" s="6" t="s">
        <v>71</v>
      </c>
      <c r="AD498" s="6">
        <v>4000.0</v>
      </c>
    </row>
    <row r="499" ht="56.25" customHeight="1">
      <c r="A499" s="5" t="s">
        <v>2304</v>
      </c>
      <c r="B499" s="6" t="str">
        <f>IMAGE("https://storage.googleapis.com/acdb/housewares/FtrCuteTableS_Remake_4_0.png")</f>
        <v/>
      </c>
      <c r="C499" s="5" t="s">
        <v>68</v>
      </c>
      <c r="D499" s="5" t="s">
        <v>34</v>
      </c>
      <c r="E499" s="5" t="s">
        <v>34</v>
      </c>
      <c r="F499" s="5" t="s">
        <v>34</v>
      </c>
      <c r="G499" s="5" t="s">
        <v>36</v>
      </c>
      <c r="H499" s="5" t="s">
        <v>36</v>
      </c>
      <c r="I499" s="5" t="s">
        <v>36</v>
      </c>
      <c r="J499" s="6" t="s">
        <v>34</v>
      </c>
      <c r="K499" s="6">
        <v>3000.0</v>
      </c>
      <c r="L499" s="6">
        <v>750.0</v>
      </c>
      <c r="M499" s="8" t="s">
        <v>68</v>
      </c>
      <c r="N499" s="8" t="s">
        <v>106</v>
      </c>
      <c r="O499" s="6" t="s">
        <v>40</v>
      </c>
      <c r="P499" s="5" t="s">
        <v>59</v>
      </c>
      <c r="Q499" s="5" t="s">
        <v>122</v>
      </c>
      <c r="R499" s="6" t="s">
        <v>42</v>
      </c>
      <c r="S499" s="5" t="s">
        <v>61</v>
      </c>
      <c r="T499" s="5" t="s">
        <v>44</v>
      </c>
      <c r="U499" s="5" t="s">
        <v>704</v>
      </c>
      <c r="V499" s="5" t="s">
        <v>44</v>
      </c>
      <c r="W499" s="5" t="s">
        <v>36</v>
      </c>
      <c r="X499" s="8" t="s">
        <v>278</v>
      </c>
      <c r="Y499" s="5" t="s">
        <v>46</v>
      </c>
      <c r="Z499" s="5" t="s">
        <v>47</v>
      </c>
      <c r="AA499" s="5" t="s">
        <v>64</v>
      </c>
      <c r="AB499" s="5" t="s">
        <v>2317</v>
      </c>
      <c r="AC499" s="6" t="s">
        <v>75</v>
      </c>
      <c r="AD499" s="6">
        <v>4000.0</v>
      </c>
    </row>
    <row r="500" ht="56.25" customHeight="1">
      <c r="A500" s="5" t="s">
        <v>2318</v>
      </c>
      <c r="B500" s="6" t="str">
        <f>IMAGE("https://storage.googleapis.com/acdb/housewares/FtrCuteDresser_Remake_0_0.png")</f>
        <v/>
      </c>
      <c r="C500" s="5" t="s">
        <v>57</v>
      </c>
      <c r="D500" s="5" t="s">
        <v>34</v>
      </c>
      <c r="E500" s="5" t="s">
        <v>34</v>
      </c>
      <c r="F500" s="5" t="s">
        <v>34</v>
      </c>
      <c r="G500" s="5" t="s">
        <v>36</v>
      </c>
      <c r="H500" s="5" t="s">
        <v>36</v>
      </c>
      <c r="I500" s="5" t="s">
        <v>36</v>
      </c>
      <c r="J500" s="6" t="s">
        <v>34</v>
      </c>
      <c r="K500" s="6">
        <v>5400.0</v>
      </c>
      <c r="L500" s="6">
        <v>1350.0</v>
      </c>
      <c r="M500" s="8" t="s">
        <v>57</v>
      </c>
      <c r="N500" s="8" t="s">
        <v>69</v>
      </c>
      <c r="O500" s="6" t="s">
        <v>40</v>
      </c>
      <c r="P500" s="5" t="s">
        <v>59</v>
      </c>
      <c r="Q500" s="5" t="s">
        <v>122</v>
      </c>
      <c r="R500" s="6" t="s">
        <v>42</v>
      </c>
      <c r="S500" s="5" t="s">
        <v>61</v>
      </c>
      <c r="T500" s="5" t="s">
        <v>44</v>
      </c>
      <c r="U500" s="5" t="s">
        <v>704</v>
      </c>
      <c r="V500" s="5" t="s">
        <v>44</v>
      </c>
      <c r="W500" s="5" t="s">
        <v>35</v>
      </c>
      <c r="X500" s="8" t="s">
        <v>309</v>
      </c>
      <c r="Y500" s="5" t="s">
        <v>46</v>
      </c>
      <c r="Z500" s="5" t="s">
        <v>47</v>
      </c>
      <c r="AA500" s="5" t="s">
        <v>64</v>
      </c>
      <c r="AB500" s="5" t="s">
        <v>2322</v>
      </c>
      <c r="AC500" s="6" t="s">
        <v>50</v>
      </c>
      <c r="AD500" s="6">
        <v>4001.0</v>
      </c>
    </row>
    <row r="501" ht="56.25" customHeight="1">
      <c r="A501" s="5" t="s">
        <v>2318</v>
      </c>
      <c r="B501" s="6" t="str">
        <f>IMAGE("https://storage.googleapis.com/acdb/housewares/FtrCuteDresser_Remake_1_0.png")</f>
        <v/>
      </c>
      <c r="C501" s="5" t="s">
        <v>708</v>
      </c>
      <c r="D501" s="5" t="s">
        <v>34</v>
      </c>
      <c r="E501" s="5" t="s">
        <v>34</v>
      </c>
      <c r="F501" s="5" t="s">
        <v>34</v>
      </c>
      <c r="G501" s="5" t="s">
        <v>36</v>
      </c>
      <c r="H501" s="5" t="s">
        <v>36</v>
      </c>
      <c r="I501" s="5" t="s">
        <v>36</v>
      </c>
      <c r="J501" s="6" t="s">
        <v>34</v>
      </c>
      <c r="K501" s="6">
        <v>5400.0</v>
      </c>
      <c r="L501" s="6">
        <v>1350.0</v>
      </c>
      <c r="M501" s="8" t="s">
        <v>1175</v>
      </c>
      <c r="N501" s="8" t="s">
        <v>68</v>
      </c>
      <c r="O501" s="6" t="s">
        <v>40</v>
      </c>
      <c r="P501" s="5" t="s">
        <v>59</v>
      </c>
      <c r="Q501" s="5" t="s">
        <v>122</v>
      </c>
      <c r="R501" s="6" t="s">
        <v>42</v>
      </c>
      <c r="S501" s="5" t="s">
        <v>61</v>
      </c>
      <c r="T501" s="5" t="s">
        <v>44</v>
      </c>
      <c r="U501" s="5" t="s">
        <v>704</v>
      </c>
      <c r="V501" s="5" t="s">
        <v>44</v>
      </c>
      <c r="W501" s="5" t="s">
        <v>35</v>
      </c>
      <c r="X501" s="8" t="s">
        <v>309</v>
      </c>
      <c r="Y501" s="5" t="s">
        <v>46</v>
      </c>
      <c r="Z501" s="5" t="s">
        <v>47</v>
      </c>
      <c r="AA501" s="5" t="s">
        <v>64</v>
      </c>
      <c r="AB501" s="5" t="s">
        <v>2325</v>
      </c>
      <c r="AC501" s="6" t="s">
        <v>56</v>
      </c>
      <c r="AD501" s="6">
        <v>4001.0</v>
      </c>
    </row>
    <row r="502" ht="56.25" customHeight="1">
      <c r="A502" s="5" t="s">
        <v>2318</v>
      </c>
      <c r="B502" s="6" t="str">
        <f>IMAGE("https://storage.googleapis.com/acdb/housewares/FtrCuteDresser_Remake_2_0.png")</f>
        <v/>
      </c>
      <c r="C502" s="5" t="s">
        <v>114</v>
      </c>
      <c r="D502" s="5" t="s">
        <v>34</v>
      </c>
      <c r="E502" s="5" t="s">
        <v>34</v>
      </c>
      <c r="F502" s="5" t="s">
        <v>34</v>
      </c>
      <c r="G502" s="5" t="s">
        <v>36</v>
      </c>
      <c r="H502" s="5" t="s">
        <v>36</v>
      </c>
      <c r="I502" s="5" t="s">
        <v>36</v>
      </c>
      <c r="J502" s="6" t="s">
        <v>34</v>
      </c>
      <c r="K502" s="6">
        <v>5400.0</v>
      </c>
      <c r="L502" s="6">
        <v>1350.0</v>
      </c>
      <c r="M502" s="8" t="s">
        <v>114</v>
      </c>
      <c r="N502" s="8" t="s">
        <v>142</v>
      </c>
      <c r="O502" s="6" t="s">
        <v>40</v>
      </c>
      <c r="P502" s="5" t="s">
        <v>59</v>
      </c>
      <c r="Q502" s="5" t="s">
        <v>122</v>
      </c>
      <c r="R502" s="6" t="s">
        <v>42</v>
      </c>
      <c r="S502" s="5" t="s">
        <v>61</v>
      </c>
      <c r="T502" s="5" t="s">
        <v>44</v>
      </c>
      <c r="U502" s="5" t="s">
        <v>704</v>
      </c>
      <c r="V502" s="5" t="s">
        <v>44</v>
      </c>
      <c r="W502" s="5" t="s">
        <v>35</v>
      </c>
      <c r="X502" s="8" t="s">
        <v>309</v>
      </c>
      <c r="Y502" s="5" t="s">
        <v>46</v>
      </c>
      <c r="Z502" s="5" t="s">
        <v>47</v>
      </c>
      <c r="AA502" s="5" t="s">
        <v>64</v>
      </c>
      <c r="AB502" s="5" t="s">
        <v>2328</v>
      </c>
      <c r="AC502" s="6" t="s">
        <v>67</v>
      </c>
      <c r="AD502" s="6">
        <v>4001.0</v>
      </c>
    </row>
    <row r="503" ht="56.25" customHeight="1">
      <c r="A503" s="5" t="s">
        <v>2318</v>
      </c>
      <c r="B503" s="6" t="str">
        <f>IMAGE("https://storage.googleapis.com/acdb/housewares/FtrCuteDresser_Remake_3_0.png")</f>
        <v/>
      </c>
      <c r="C503" s="5" t="s">
        <v>52</v>
      </c>
      <c r="D503" s="5" t="s">
        <v>34</v>
      </c>
      <c r="E503" s="5" t="s">
        <v>34</v>
      </c>
      <c r="F503" s="5" t="s">
        <v>34</v>
      </c>
      <c r="G503" s="5" t="s">
        <v>36</v>
      </c>
      <c r="H503" s="5" t="s">
        <v>36</v>
      </c>
      <c r="I503" s="5" t="s">
        <v>36</v>
      </c>
      <c r="J503" s="6" t="s">
        <v>34</v>
      </c>
      <c r="K503" s="6">
        <v>5400.0</v>
      </c>
      <c r="L503" s="6">
        <v>1350.0</v>
      </c>
      <c r="M503" s="8" t="s">
        <v>52</v>
      </c>
      <c r="N503" s="8" t="s">
        <v>57</v>
      </c>
      <c r="O503" s="6" t="s">
        <v>40</v>
      </c>
      <c r="P503" s="5" t="s">
        <v>59</v>
      </c>
      <c r="Q503" s="5" t="s">
        <v>122</v>
      </c>
      <c r="R503" s="6" t="s">
        <v>42</v>
      </c>
      <c r="S503" s="5" t="s">
        <v>61</v>
      </c>
      <c r="T503" s="5" t="s">
        <v>44</v>
      </c>
      <c r="U503" s="5" t="s">
        <v>704</v>
      </c>
      <c r="V503" s="5" t="s">
        <v>44</v>
      </c>
      <c r="W503" s="5" t="s">
        <v>35</v>
      </c>
      <c r="X503" s="8" t="s">
        <v>309</v>
      </c>
      <c r="Y503" s="5" t="s">
        <v>46</v>
      </c>
      <c r="Z503" s="5" t="s">
        <v>47</v>
      </c>
      <c r="AA503" s="5" t="s">
        <v>64</v>
      </c>
      <c r="AB503" s="5" t="s">
        <v>2331</v>
      </c>
      <c r="AC503" s="6" t="s">
        <v>71</v>
      </c>
      <c r="AD503" s="6">
        <v>4001.0</v>
      </c>
    </row>
    <row r="504" ht="56.25" customHeight="1">
      <c r="A504" s="5" t="s">
        <v>2318</v>
      </c>
      <c r="B504" s="6" t="str">
        <f>IMAGE("https://storage.googleapis.com/acdb/housewares/FtrCuteDresser_Remake_4_0.png")</f>
        <v/>
      </c>
      <c r="C504" s="5" t="s">
        <v>68</v>
      </c>
      <c r="D504" s="5" t="s">
        <v>34</v>
      </c>
      <c r="E504" s="5" t="s">
        <v>34</v>
      </c>
      <c r="F504" s="5" t="s">
        <v>34</v>
      </c>
      <c r="G504" s="5" t="s">
        <v>36</v>
      </c>
      <c r="H504" s="5" t="s">
        <v>36</v>
      </c>
      <c r="I504" s="5" t="s">
        <v>36</v>
      </c>
      <c r="J504" s="6" t="s">
        <v>34</v>
      </c>
      <c r="K504" s="6">
        <v>5400.0</v>
      </c>
      <c r="L504" s="6">
        <v>1350.0</v>
      </c>
      <c r="M504" s="8" t="s">
        <v>68</v>
      </c>
      <c r="N504" s="8" t="s">
        <v>54</v>
      </c>
      <c r="O504" s="6" t="s">
        <v>40</v>
      </c>
      <c r="P504" s="5" t="s">
        <v>59</v>
      </c>
      <c r="Q504" s="5" t="s">
        <v>122</v>
      </c>
      <c r="R504" s="6" t="s">
        <v>42</v>
      </c>
      <c r="S504" s="5" t="s">
        <v>61</v>
      </c>
      <c r="T504" s="5" t="s">
        <v>44</v>
      </c>
      <c r="U504" s="5" t="s">
        <v>704</v>
      </c>
      <c r="V504" s="5" t="s">
        <v>44</v>
      </c>
      <c r="W504" s="5" t="s">
        <v>35</v>
      </c>
      <c r="X504" s="8" t="s">
        <v>309</v>
      </c>
      <c r="Y504" s="5" t="s">
        <v>46</v>
      </c>
      <c r="Z504" s="5" t="s">
        <v>47</v>
      </c>
      <c r="AA504" s="5" t="s">
        <v>64</v>
      </c>
      <c r="AB504" s="5" t="s">
        <v>2333</v>
      </c>
      <c r="AC504" s="6" t="s">
        <v>75</v>
      </c>
      <c r="AD504" s="6">
        <v>4001.0</v>
      </c>
    </row>
    <row r="505" ht="56.25" customHeight="1">
      <c r="A505" s="5" t="s">
        <v>2334</v>
      </c>
      <c r="B505" s="6" t="str">
        <f>IMAGE("https://storage.googleapis.com/acdb/housewares/FtrCuteClosetLR_Remake_0_0.png")</f>
        <v/>
      </c>
      <c r="C505" s="5" t="s">
        <v>57</v>
      </c>
      <c r="D505" s="5" t="s">
        <v>34</v>
      </c>
      <c r="E505" s="5" t="s">
        <v>34</v>
      </c>
      <c r="F505" s="5" t="s">
        <v>34</v>
      </c>
      <c r="G505" s="5" t="s">
        <v>36</v>
      </c>
      <c r="H505" s="5" t="s">
        <v>36</v>
      </c>
      <c r="I505" s="5" t="s">
        <v>36</v>
      </c>
      <c r="J505" s="6" t="s">
        <v>34</v>
      </c>
      <c r="K505" s="6">
        <v>7300.0</v>
      </c>
      <c r="L505" s="6">
        <v>1825.0</v>
      </c>
      <c r="M505" s="8" t="s">
        <v>57</v>
      </c>
      <c r="N505" s="8" t="s">
        <v>69</v>
      </c>
      <c r="O505" s="6" t="s">
        <v>40</v>
      </c>
      <c r="P505" s="5" t="s">
        <v>59</v>
      </c>
      <c r="Q505" s="5" t="s">
        <v>122</v>
      </c>
      <c r="R505" s="6" t="s">
        <v>42</v>
      </c>
      <c r="S505" s="5" t="s">
        <v>61</v>
      </c>
      <c r="T505" s="5" t="s">
        <v>44</v>
      </c>
      <c r="U505" s="5" t="s">
        <v>704</v>
      </c>
      <c r="V505" s="5" t="s">
        <v>44</v>
      </c>
      <c r="W505" s="5" t="s">
        <v>35</v>
      </c>
      <c r="X505" s="8" t="s">
        <v>322</v>
      </c>
      <c r="Y505" s="5" t="s">
        <v>46</v>
      </c>
      <c r="Z505" s="5" t="s">
        <v>47</v>
      </c>
      <c r="AA505" s="5" t="s">
        <v>64</v>
      </c>
      <c r="AB505" s="5" t="s">
        <v>2336</v>
      </c>
      <c r="AC505" s="6" t="s">
        <v>50</v>
      </c>
      <c r="AD505" s="6">
        <v>3997.0</v>
      </c>
    </row>
    <row r="506" ht="56.25" customHeight="1">
      <c r="A506" s="5" t="s">
        <v>2334</v>
      </c>
      <c r="B506" s="6" t="str">
        <f>IMAGE("https://storage.googleapis.com/acdb/housewares/FtrCuteClosetLR_Remake_1_0.png")</f>
        <v/>
      </c>
      <c r="C506" s="5" t="s">
        <v>708</v>
      </c>
      <c r="D506" s="5" t="s">
        <v>34</v>
      </c>
      <c r="E506" s="5" t="s">
        <v>34</v>
      </c>
      <c r="F506" s="5" t="s">
        <v>34</v>
      </c>
      <c r="G506" s="5" t="s">
        <v>36</v>
      </c>
      <c r="H506" s="5" t="s">
        <v>36</v>
      </c>
      <c r="I506" s="5" t="s">
        <v>36</v>
      </c>
      <c r="J506" s="6" t="s">
        <v>34</v>
      </c>
      <c r="K506" s="6">
        <v>7300.0</v>
      </c>
      <c r="L506" s="6">
        <v>1825.0</v>
      </c>
      <c r="M506" s="8" t="s">
        <v>1175</v>
      </c>
      <c r="N506" s="8" t="s">
        <v>68</v>
      </c>
      <c r="O506" s="6" t="s">
        <v>40</v>
      </c>
      <c r="P506" s="5" t="s">
        <v>59</v>
      </c>
      <c r="Q506" s="5" t="s">
        <v>122</v>
      </c>
      <c r="R506" s="6" t="s">
        <v>42</v>
      </c>
      <c r="S506" s="5" t="s">
        <v>61</v>
      </c>
      <c r="T506" s="5" t="s">
        <v>44</v>
      </c>
      <c r="U506" s="5" t="s">
        <v>704</v>
      </c>
      <c r="V506" s="5" t="s">
        <v>44</v>
      </c>
      <c r="W506" s="5" t="s">
        <v>35</v>
      </c>
      <c r="X506" s="8" t="s">
        <v>322</v>
      </c>
      <c r="Y506" s="5" t="s">
        <v>46</v>
      </c>
      <c r="Z506" s="5" t="s">
        <v>47</v>
      </c>
      <c r="AA506" s="5" t="s">
        <v>64</v>
      </c>
      <c r="AB506" s="5" t="s">
        <v>2339</v>
      </c>
      <c r="AC506" s="6" t="s">
        <v>56</v>
      </c>
      <c r="AD506" s="6">
        <v>3997.0</v>
      </c>
    </row>
    <row r="507" ht="56.25" customHeight="1">
      <c r="A507" s="5" t="s">
        <v>2334</v>
      </c>
      <c r="B507" s="6" t="str">
        <f>IMAGE("https://storage.googleapis.com/acdb/housewares/FtrCuteClosetLR_Remake_2_0.png")</f>
        <v/>
      </c>
      <c r="C507" s="5" t="s">
        <v>114</v>
      </c>
      <c r="D507" s="5" t="s">
        <v>34</v>
      </c>
      <c r="E507" s="5" t="s">
        <v>34</v>
      </c>
      <c r="F507" s="5" t="s">
        <v>34</v>
      </c>
      <c r="G507" s="5" t="s">
        <v>36</v>
      </c>
      <c r="H507" s="5" t="s">
        <v>36</v>
      </c>
      <c r="I507" s="5" t="s">
        <v>36</v>
      </c>
      <c r="J507" s="6" t="s">
        <v>34</v>
      </c>
      <c r="K507" s="6">
        <v>7300.0</v>
      </c>
      <c r="L507" s="6">
        <v>1825.0</v>
      </c>
      <c r="M507" s="8" t="s">
        <v>114</v>
      </c>
      <c r="N507" s="8" t="s">
        <v>142</v>
      </c>
      <c r="O507" s="6" t="s">
        <v>40</v>
      </c>
      <c r="P507" s="5" t="s">
        <v>59</v>
      </c>
      <c r="Q507" s="5" t="s">
        <v>122</v>
      </c>
      <c r="R507" s="6" t="s">
        <v>42</v>
      </c>
      <c r="S507" s="5" t="s">
        <v>61</v>
      </c>
      <c r="T507" s="5" t="s">
        <v>44</v>
      </c>
      <c r="U507" s="5" t="s">
        <v>704</v>
      </c>
      <c r="V507" s="5" t="s">
        <v>44</v>
      </c>
      <c r="W507" s="5" t="s">
        <v>35</v>
      </c>
      <c r="X507" s="8" t="s">
        <v>322</v>
      </c>
      <c r="Y507" s="5" t="s">
        <v>46</v>
      </c>
      <c r="Z507" s="5" t="s">
        <v>47</v>
      </c>
      <c r="AA507" s="5" t="s">
        <v>64</v>
      </c>
      <c r="AB507" s="5" t="s">
        <v>2341</v>
      </c>
      <c r="AC507" s="6" t="s">
        <v>67</v>
      </c>
      <c r="AD507" s="6">
        <v>3997.0</v>
      </c>
    </row>
    <row r="508" ht="56.25" customHeight="1">
      <c r="A508" s="5" t="s">
        <v>2334</v>
      </c>
      <c r="B508" s="6" t="str">
        <f>IMAGE("https://storage.googleapis.com/acdb/housewares/FtrCuteClosetLR_Remake_3_0.png")</f>
        <v/>
      </c>
      <c r="C508" s="5" t="s">
        <v>52</v>
      </c>
      <c r="D508" s="5" t="s">
        <v>34</v>
      </c>
      <c r="E508" s="5" t="s">
        <v>34</v>
      </c>
      <c r="F508" s="5" t="s">
        <v>34</v>
      </c>
      <c r="G508" s="5" t="s">
        <v>36</v>
      </c>
      <c r="H508" s="5" t="s">
        <v>36</v>
      </c>
      <c r="I508" s="5" t="s">
        <v>36</v>
      </c>
      <c r="J508" s="6" t="s">
        <v>34</v>
      </c>
      <c r="K508" s="6">
        <v>7300.0</v>
      </c>
      <c r="L508" s="6">
        <v>1825.0</v>
      </c>
      <c r="M508" s="8" t="s">
        <v>52</v>
      </c>
      <c r="N508" s="8" t="s">
        <v>57</v>
      </c>
      <c r="O508" s="6" t="s">
        <v>40</v>
      </c>
      <c r="P508" s="5" t="s">
        <v>59</v>
      </c>
      <c r="Q508" s="5" t="s">
        <v>122</v>
      </c>
      <c r="R508" s="6" t="s">
        <v>42</v>
      </c>
      <c r="S508" s="5" t="s">
        <v>61</v>
      </c>
      <c r="T508" s="5" t="s">
        <v>44</v>
      </c>
      <c r="U508" s="5" t="s">
        <v>704</v>
      </c>
      <c r="V508" s="5" t="s">
        <v>44</v>
      </c>
      <c r="W508" s="5" t="s">
        <v>35</v>
      </c>
      <c r="X508" s="8" t="s">
        <v>322</v>
      </c>
      <c r="Y508" s="5" t="s">
        <v>46</v>
      </c>
      <c r="Z508" s="5" t="s">
        <v>47</v>
      </c>
      <c r="AA508" s="5" t="s">
        <v>64</v>
      </c>
      <c r="AB508" s="5" t="s">
        <v>2343</v>
      </c>
      <c r="AC508" s="6" t="s">
        <v>71</v>
      </c>
      <c r="AD508" s="6">
        <v>3997.0</v>
      </c>
    </row>
    <row r="509" ht="56.25" customHeight="1">
      <c r="A509" s="5" t="s">
        <v>2334</v>
      </c>
      <c r="B509" s="6" t="str">
        <f>IMAGE("https://storage.googleapis.com/acdb/housewares/FtrCuteClosetLR_Remake_4_0.png")</f>
        <v/>
      </c>
      <c r="C509" s="5" t="s">
        <v>68</v>
      </c>
      <c r="D509" s="5" t="s">
        <v>34</v>
      </c>
      <c r="E509" s="5" t="s">
        <v>34</v>
      </c>
      <c r="F509" s="5" t="s">
        <v>34</v>
      </c>
      <c r="G509" s="5" t="s">
        <v>36</v>
      </c>
      <c r="H509" s="5" t="s">
        <v>36</v>
      </c>
      <c r="I509" s="5" t="s">
        <v>36</v>
      </c>
      <c r="J509" s="6" t="s">
        <v>34</v>
      </c>
      <c r="K509" s="6">
        <v>7300.0</v>
      </c>
      <c r="L509" s="6">
        <v>1825.0</v>
      </c>
      <c r="M509" s="8" t="s">
        <v>68</v>
      </c>
      <c r="N509" s="8" t="s">
        <v>57</v>
      </c>
      <c r="O509" s="6" t="s">
        <v>40</v>
      </c>
      <c r="P509" s="5" t="s">
        <v>59</v>
      </c>
      <c r="Q509" s="5" t="s">
        <v>122</v>
      </c>
      <c r="R509" s="6" t="s">
        <v>42</v>
      </c>
      <c r="S509" s="5" t="s">
        <v>61</v>
      </c>
      <c r="T509" s="5" t="s">
        <v>44</v>
      </c>
      <c r="U509" s="5" t="s">
        <v>704</v>
      </c>
      <c r="V509" s="5" t="s">
        <v>44</v>
      </c>
      <c r="W509" s="5" t="s">
        <v>35</v>
      </c>
      <c r="X509" s="8" t="s">
        <v>322</v>
      </c>
      <c r="Y509" s="5" t="s">
        <v>46</v>
      </c>
      <c r="Z509" s="5" t="s">
        <v>47</v>
      </c>
      <c r="AA509" s="5" t="s">
        <v>64</v>
      </c>
      <c r="AB509" s="5" t="s">
        <v>2345</v>
      </c>
      <c r="AC509" s="6" t="s">
        <v>75</v>
      </c>
      <c r="AD509" s="6">
        <v>3997.0</v>
      </c>
    </row>
    <row r="510" ht="56.25" customHeight="1">
      <c r="A510" s="5" t="s">
        <v>2346</v>
      </c>
      <c r="B510" s="6" t="str">
        <f>IMAGE("https://storage.googleapis.com/acdb/housewares/FtrBathHinoki_Remake_0_0.png")</f>
        <v/>
      </c>
      <c r="C510" s="5" t="s">
        <v>1137</v>
      </c>
      <c r="D510" s="5" t="s">
        <v>34</v>
      </c>
      <c r="E510" s="5" t="s">
        <v>34</v>
      </c>
      <c r="F510" s="5" t="s">
        <v>34</v>
      </c>
      <c r="G510" s="5" t="s">
        <v>36</v>
      </c>
      <c r="H510" s="5" t="s">
        <v>36</v>
      </c>
      <c r="I510" s="5" t="s">
        <v>36</v>
      </c>
      <c r="J510" s="6" t="s">
        <v>34</v>
      </c>
      <c r="K510" s="6">
        <v>13000.0</v>
      </c>
      <c r="L510" s="6">
        <v>3250.0</v>
      </c>
      <c r="M510" s="8" t="s">
        <v>38</v>
      </c>
      <c r="N510" s="8" t="s">
        <v>38</v>
      </c>
      <c r="O510" s="6" t="s">
        <v>214</v>
      </c>
      <c r="P510" s="5" t="s">
        <v>59</v>
      </c>
      <c r="Q510" s="5" t="s">
        <v>115</v>
      </c>
      <c r="R510" s="6" t="s">
        <v>42</v>
      </c>
      <c r="S510" s="5" t="s">
        <v>288</v>
      </c>
      <c r="T510" s="5" t="s">
        <v>44</v>
      </c>
      <c r="U510" s="5" t="s">
        <v>44</v>
      </c>
      <c r="V510" s="5" t="s">
        <v>44</v>
      </c>
      <c r="W510" s="5" t="s">
        <v>36</v>
      </c>
      <c r="X510" s="8" t="s">
        <v>1968</v>
      </c>
      <c r="Y510" s="5" t="s">
        <v>46</v>
      </c>
      <c r="Z510" s="5" t="s">
        <v>47</v>
      </c>
      <c r="AA510" s="5" t="s">
        <v>64</v>
      </c>
      <c r="AB510" s="5" t="s">
        <v>2348</v>
      </c>
      <c r="AC510" s="6" t="s">
        <v>50</v>
      </c>
      <c r="AD510" s="6">
        <v>7153.0</v>
      </c>
    </row>
    <row r="511" ht="56.25" customHeight="1">
      <c r="A511" s="5" t="s">
        <v>2346</v>
      </c>
      <c r="B511" s="6" t="str">
        <f>IMAGE("https://storage.googleapis.com/acdb/housewares/FtrBathHinoki_Remake_1_0.png")</f>
        <v/>
      </c>
      <c r="C511" s="5" t="s">
        <v>366</v>
      </c>
      <c r="D511" s="5" t="s">
        <v>34</v>
      </c>
      <c r="E511" s="5" t="s">
        <v>34</v>
      </c>
      <c r="F511" s="5" t="s">
        <v>34</v>
      </c>
      <c r="G511" s="5" t="s">
        <v>36</v>
      </c>
      <c r="H511" s="5" t="s">
        <v>36</v>
      </c>
      <c r="I511" s="5" t="s">
        <v>36</v>
      </c>
      <c r="J511" s="6" t="s">
        <v>34</v>
      </c>
      <c r="K511" s="6">
        <v>13000.0</v>
      </c>
      <c r="L511" s="6">
        <v>3250.0</v>
      </c>
      <c r="M511" s="8" t="s">
        <v>114</v>
      </c>
      <c r="N511" s="8" t="s">
        <v>114</v>
      </c>
      <c r="O511" s="6" t="s">
        <v>214</v>
      </c>
      <c r="P511" s="5" t="s">
        <v>59</v>
      </c>
      <c r="Q511" s="5" t="s">
        <v>115</v>
      </c>
      <c r="R511" s="6" t="s">
        <v>42</v>
      </c>
      <c r="S511" s="5" t="s">
        <v>288</v>
      </c>
      <c r="T511" s="5" t="s">
        <v>44</v>
      </c>
      <c r="U511" s="5" t="s">
        <v>44</v>
      </c>
      <c r="V511" s="5" t="s">
        <v>44</v>
      </c>
      <c r="W511" s="5" t="s">
        <v>36</v>
      </c>
      <c r="X511" s="8" t="s">
        <v>1968</v>
      </c>
      <c r="Y511" s="5" t="s">
        <v>46</v>
      </c>
      <c r="Z511" s="5" t="s">
        <v>47</v>
      </c>
      <c r="AA511" s="5" t="s">
        <v>64</v>
      </c>
      <c r="AB511" s="5" t="s">
        <v>2352</v>
      </c>
      <c r="AC511" s="6" t="s">
        <v>56</v>
      </c>
      <c r="AD511" s="6">
        <v>7153.0</v>
      </c>
    </row>
    <row r="512" ht="56.25" customHeight="1">
      <c r="A512" s="5" t="s">
        <v>2346</v>
      </c>
      <c r="B512" s="6" t="str">
        <f>IMAGE("https://storage.googleapis.com/acdb/housewares/FtrBathHinoki_Remake_2_0.png")</f>
        <v/>
      </c>
      <c r="C512" s="5" t="s">
        <v>1132</v>
      </c>
      <c r="D512" s="5" t="s">
        <v>34</v>
      </c>
      <c r="E512" s="5" t="s">
        <v>34</v>
      </c>
      <c r="F512" s="5" t="s">
        <v>34</v>
      </c>
      <c r="G512" s="5" t="s">
        <v>36</v>
      </c>
      <c r="H512" s="5" t="s">
        <v>36</v>
      </c>
      <c r="I512" s="5" t="s">
        <v>36</v>
      </c>
      <c r="J512" s="6" t="s">
        <v>34</v>
      </c>
      <c r="K512" s="6">
        <v>13000.0</v>
      </c>
      <c r="L512" s="6">
        <v>3250.0</v>
      </c>
      <c r="M512" s="8" t="s">
        <v>39</v>
      </c>
      <c r="N512" s="8" t="s">
        <v>39</v>
      </c>
      <c r="O512" s="6" t="s">
        <v>214</v>
      </c>
      <c r="P512" s="5" t="s">
        <v>59</v>
      </c>
      <c r="Q512" s="5" t="s">
        <v>115</v>
      </c>
      <c r="R512" s="6" t="s">
        <v>42</v>
      </c>
      <c r="S512" s="5" t="s">
        <v>288</v>
      </c>
      <c r="T512" s="5" t="s">
        <v>44</v>
      </c>
      <c r="U512" s="5" t="s">
        <v>44</v>
      </c>
      <c r="V512" s="5" t="s">
        <v>44</v>
      </c>
      <c r="W512" s="5" t="s">
        <v>36</v>
      </c>
      <c r="X512" s="8" t="s">
        <v>1968</v>
      </c>
      <c r="Y512" s="5" t="s">
        <v>46</v>
      </c>
      <c r="Z512" s="5" t="s">
        <v>47</v>
      </c>
      <c r="AA512" s="5" t="s">
        <v>64</v>
      </c>
      <c r="AB512" s="5" t="s">
        <v>2356</v>
      </c>
      <c r="AC512" s="6" t="s">
        <v>67</v>
      </c>
      <c r="AD512" s="6">
        <v>7153.0</v>
      </c>
    </row>
    <row r="513" ht="56.25" customHeight="1">
      <c r="A513" s="5" t="s">
        <v>2357</v>
      </c>
      <c r="B513" s="6" t="str">
        <f>IMAGE("https://storage.googleapis.com/acdb/housewares/FtrPlantGoldcrest_Remake_0_0.png")</f>
        <v/>
      </c>
      <c r="C513" s="5" t="s">
        <v>39</v>
      </c>
      <c r="D513" s="5" t="s">
        <v>34</v>
      </c>
      <c r="E513" s="5" t="s">
        <v>34</v>
      </c>
      <c r="F513" s="5" t="s">
        <v>34</v>
      </c>
      <c r="G513" s="5" t="s">
        <v>36</v>
      </c>
      <c r="H513" s="5" t="s">
        <v>36</v>
      </c>
      <c r="I513" s="5" t="s">
        <v>36</v>
      </c>
      <c r="J513" s="6" t="s">
        <v>34</v>
      </c>
      <c r="K513" s="6">
        <v>1000.0</v>
      </c>
      <c r="L513" s="6">
        <v>250.0</v>
      </c>
      <c r="M513" s="8" t="s">
        <v>96</v>
      </c>
      <c r="N513" s="8" t="s">
        <v>39</v>
      </c>
      <c r="O513" s="6" t="s">
        <v>40</v>
      </c>
      <c r="P513" s="5" t="s">
        <v>59</v>
      </c>
      <c r="Q513" s="5" t="s">
        <v>89</v>
      </c>
      <c r="R513" s="6" t="s">
        <v>42</v>
      </c>
      <c r="S513" s="5" t="s">
        <v>90</v>
      </c>
      <c r="T513" s="5" t="s">
        <v>44</v>
      </c>
      <c r="U513" s="5" t="s">
        <v>44</v>
      </c>
      <c r="V513" s="5" t="s">
        <v>44</v>
      </c>
      <c r="W513" s="5" t="s">
        <v>36</v>
      </c>
      <c r="X513" s="8" t="s">
        <v>244</v>
      </c>
      <c r="Y513" s="5" t="s">
        <v>46</v>
      </c>
      <c r="Z513" s="5" t="s">
        <v>47</v>
      </c>
      <c r="AA513" s="5" t="s">
        <v>64</v>
      </c>
      <c r="AB513" s="5" t="s">
        <v>2358</v>
      </c>
      <c r="AC513" s="6" t="s">
        <v>50</v>
      </c>
      <c r="AD513" s="6">
        <v>1829.0</v>
      </c>
    </row>
    <row r="514" ht="56.25" customHeight="1">
      <c r="A514" s="5" t="s">
        <v>2357</v>
      </c>
      <c r="B514" s="6" t="str">
        <f>IMAGE("https://storage.googleapis.com/acdb/housewares/FtrPlantGoldcrest_Remake_1_0.png")</f>
        <v/>
      </c>
      <c r="C514" s="5" t="s">
        <v>68</v>
      </c>
      <c r="D514" s="5" t="s">
        <v>34</v>
      </c>
      <c r="E514" s="5" t="s">
        <v>34</v>
      </c>
      <c r="F514" s="5" t="s">
        <v>34</v>
      </c>
      <c r="G514" s="5" t="s">
        <v>36</v>
      </c>
      <c r="H514" s="5" t="s">
        <v>36</v>
      </c>
      <c r="I514" s="5" t="s">
        <v>36</v>
      </c>
      <c r="J514" s="6" t="s">
        <v>34</v>
      </c>
      <c r="K514" s="6">
        <v>1000.0</v>
      </c>
      <c r="L514" s="6">
        <v>250.0</v>
      </c>
      <c r="M514" s="8" t="s">
        <v>96</v>
      </c>
      <c r="N514" s="8" t="s">
        <v>1175</v>
      </c>
      <c r="O514" s="6" t="s">
        <v>40</v>
      </c>
      <c r="P514" s="5" t="s">
        <v>59</v>
      </c>
      <c r="Q514" s="5" t="s">
        <v>89</v>
      </c>
      <c r="R514" s="6" t="s">
        <v>42</v>
      </c>
      <c r="S514" s="5" t="s">
        <v>90</v>
      </c>
      <c r="T514" s="5" t="s">
        <v>44</v>
      </c>
      <c r="U514" s="5" t="s">
        <v>44</v>
      </c>
      <c r="V514" s="5" t="s">
        <v>44</v>
      </c>
      <c r="W514" s="5" t="s">
        <v>36</v>
      </c>
      <c r="X514" s="8" t="s">
        <v>244</v>
      </c>
      <c r="Y514" s="5" t="s">
        <v>46</v>
      </c>
      <c r="Z514" s="5" t="s">
        <v>47</v>
      </c>
      <c r="AA514" s="5" t="s">
        <v>64</v>
      </c>
      <c r="AB514" s="5" t="s">
        <v>2362</v>
      </c>
      <c r="AC514" s="6" t="s">
        <v>56</v>
      </c>
      <c r="AD514" s="6">
        <v>1829.0</v>
      </c>
    </row>
    <row r="515" ht="56.25" customHeight="1">
      <c r="A515" s="5" t="s">
        <v>2357</v>
      </c>
      <c r="B515" s="6" t="str">
        <f>IMAGE("https://storage.googleapis.com/acdb/housewares/FtrPlantGoldcrest_Remake_2_0.png")</f>
        <v/>
      </c>
      <c r="C515" s="5" t="s">
        <v>114</v>
      </c>
      <c r="D515" s="5" t="s">
        <v>34</v>
      </c>
      <c r="E515" s="5" t="s">
        <v>34</v>
      </c>
      <c r="F515" s="5" t="s">
        <v>34</v>
      </c>
      <c r="G515" s="5" t="s">
        <v>36</v>
      </c>
      <c r="H515" s="5" t="s">
        <v>36</v>
      </c>
      <c r="I515" s="5" t="s">
        <v>36</v>
      </c>
      <c r="J515" s="6" t="s">
        <v>34</v>
      </c>
      <c r="K515" s="6">
        <v>1000.0</v>
      </c>
      <c r="L515" s="6">
        <v>250.0</v>
      </c>
      <c r="M515" s="8" t="s">
        <v>96</v>
      </c>
      <c r="N515" s="8" t="s">
        <v>114</v>
      </c>
      <c r="O515" s="6" t="s">
        <v>40</v>
      </c>
      <c r="P515" s="5" t="s">
        <v>59</v>
      </c>
      <c r="Q515" s="5" t="s">
        <v>89</v>
      </c>
      <c r="R515" s="6" t="s">
        <v>42</v>
      </c>
      <c r="S515" s="5" t="s">
        <v>90</v>
      </c>
      <c r="T515" s="5" t="s">
        <v>44</v>
      </c>
      <c r="U515" s="5" t="s">
        <v>44</v>
      </c>
      <c r="V515" s="5" t="s">
        <v>44</v>
      </c>
      <c r="W515" s="5" t="s">
        <v>36</v>
      </c>
      <c r="X515" s="8" t="s">
        <v>244</v>
      </c>
      <c r="Y515" s="5" t="s">
        <v>46</v>
      </c>
      <c r="Z515" s="5" t="s">
        <v>47</v>
      </c>
      <c r="AA515" s="5" t="s">
        <v>64</v>
      </c>
      <c r="AB515" s="5" t="s">
        <v>2363</v>
      </c>
      <c r="AC515" s="6" t="s">
        <v>67</v>
      </c>
      <c r="AD515" s="6">
        <v>1829.0</v>
      </c>
    </row>
    <row r="516" ht="56.25" customHeight="1">
      <c r="A516" s="5" t="s">
        <v>2357</v>
      </c>
      <c r="B516" s="6" t="str">
        <f>IMAGE("https://storage.googleapis.com/acdb/housewares/FtrPlantGoldcrest_Remake_3_0.png")</f>
        <v/>
      </c>
      <c r="C516" s="5" t="s">
        <v>54</v>
      </c>
      <c r="D516" s="5" t="s">
        <v>34</v>
      </c>
      <c r="E516" s="5" t="s">
        <v>34</v>
      </c>
      <c r="F516" s="5" t="s">
        <v>34</v>
      </c>
      <c r="G516" s="5" t="s">
        <v>36</v>
      </c>
      <c r="H516" s="5" t="s">
        <v>36</v>
      </c>
      <c r="I516" s="5" t="s">
        <v>36</v>
      </c>
      <c r="J516" s="6" t="s">
        <v>34</v>
      </c>
      <c r="K516" s="6">
        <v>1000.0</v>
      </c>
      <c r="L516" s="6">
        <v>250.0</v>
      </c>
      <c r="M516" s="8" t="s">
        <v>96</v>
      </c>
      <c r="N516" s="8" t="s">
        <v>54</v>
      </c>
      <c r="O516" s="6" t="s">
        <v>40</v>
      </c>
      <c r="P516" s="5" t="s">
        <v>59</v>
      </c>
      <c r="Q516" s="5" t="s">
        <v>89</v>
      </c>
      <c r="R516" s="6" t="s">
        <v>42</v>
      </c>
      <c r="S516" s="5" t="s">
        <v>90</v>
      </c>
      <c r="T516" s="5" t="s">
        <v>44</v>
      </c>
      <c r="U516" s="5" t="s">
        <v>44</v>
      </c>
      <c r="V516" s="5" t="s">
        <v>44</v>
      </c>
      <c r="W516" s="5" t="s">
        <v>36</v>
      </c>
      <c r="X516" s="8" t="s">
        <v>244</v>
      </c>
      <c r="Y516" s="5" t="s">
        <v>46</v>
      </c>
      <c r="Z516" s="5" t="s">
        <v>47</v>
      </c>
      <c r="AA516" s="5" t="s">
        <v>64</v>
      </c>
      <c r="AB516" s="5" t="s">
        <v>2367</v>
      </c>
      <c r="AC516" s="6" t="s">
        <v>71</v>
      </c>
      <c r="AD516" s="6">
        <v>1829.0</v>
      </c>
    </row>
    <row r="517" ht="56.25" customHeight="1">
      <c r="A517" s="5" t="s">
        <v>2357</v>
      </c>
      <c r="B517" s="6" t="str">
        <f>IMAGE("https://storage.googleapis.com/acdb/housewares/FtrPlantGoldcrest_Remake_4_0.png")</f>
        <v/>
      </c>
      <c r="C517" s="5" t="s">
        <v>57</v>
      </c>
      <c r="D517" s="5" t="s">
        <v>34</v>
      </c>
      <c r="E517" s="5" t="s">
        <v>34</v>
      </c>
      <c r="F517" s="5" t="s">
        <v>34</v>
      </c>
      <c r="G517" s="5" t="s">
        <v>36</v>
      </c>
      <c r="H517" s="5" t="s">
        <v>36</v>
      </c>
      <c r="I517" s="5" t="s">
        <v>36</v>
      </c>
      <c r="J517" s="6" t="s">
        <v>34</v>
      </c>
      <c r="K517" s="6">
        <v>1000.0</v>
      </c>
      <c r="L517" s="6">
        <v>250.0</v>
      </c>
      <c r="M517" s="8" t="s">
        <v>96</v>
      </c>
      <c r="N517" s="8" t="s">
        <v>57</v>
      </c>
      <c r="O517" s="6" t="s">
        <v>40</v>
      </c>
      <c r="P517" s="5" t="s">
        <v>59</v>
      </c>
      <c r="Q517" s="5" t="s">
        <v>89</v>
      </c>
      <c r="R517" s="6" t="s">
        <v>42</v>
      </c>
      <c r="S517" s="5" t="s">
        <v>90</v>
      </c>
      <c r="T517" s="5" t="s">
        <v>44</v>
      </c>
      <c r="U517" s="5" t="s">
        <v>44</v>
      </c>
      <c r="V517" s="5" t="s">
        <v>44</v>
      </c>
      <c r="W517" s="5" t="s">
        <v>36</v>
      </c>
      <c r="X517" s="8" t="s">
        <v>244</v>
      </c>
      <c r="Y517" s="5" t="s">
        <v>46</v>
      </c>
      <c r="Z517" s="5" t="s">
        <v>47</v>
      </c>
      <c r="AA517" s="5" t="s">
        <v>64</v>
      </c>
      <c r="AB517" s="5" t="s">
        <v>2368</v>
      </c>
      <c r="AC517" s="6" t="s">
        <v>75</v>
      </c>
      <c r="AD517" s="6">
        <v>1829.0</v>
      </c>
    </row>
    <row r="518" ht="56.25" customHeight="1">
      <c r="A518" s="5" t="s">
        <v>2369</v>
      </c>
      <c r="B518" s="6" t="str">
        <f>IMAGE("https://storage.googleapis.com/acdb/housewares/FtrDarts.png")</f>
        <v/>
      </c>
      <c r="C518" s="5" t="s">
        <v>34</v>
      </c>
      <c r="D518" s="5" t="s">
        <v>34</v>
      </c>
      <c r="E518" s="5" t="s">
        <v>34</v>
      </c>
      <c r="F518" s="5" t="s">
        <v>34</v>
      </c>
      <c r="G518" s="5" t="s">
        <v>36</v>
      </c>
      <c r="H518" s="5" t="s">
        <v>36</v>
      </c>
      <c r="I518" s="5" t="s">
        <v>36</v>
      </c>
      <c r="J518" s="6" t="s">
        <v>34</v>
      </c>
      <c r="K518" s="6">
        <v>5200.0</v>
      </c>
      <c r="L518" s="6">
        <v>1300.0</v>
      </c>
      <c r="M518" s="5" t="s">
        <v>54</v>
      </c>
      <c r="N518" s="5" t="s">
        <v>58</v>
      </c>
      <c r="O518" s="6" t="s">
        <v>40</v>
      </c>
      <c r="P518" s="5" t="s">
        <v>59</v>
      </c>
      <c r="Q518" s="5" t="s">
        <v>122</v>
      </c>
      <c r="R518" s="6" t="s">
        <v>42</v>
      </c>
      <c r="S518" s="5" t="s">
        <v>62</v>
      </c>
      <c r="T518" s="5" t="s">
        <v>141</v>
      </c>
      <c r="U518" s="5" t="s">
        <v>44</v>
      </c>
      <c r="V518" s="5" t="s">
        <v>44</v>
      </c>
      <c r="W518" s="5" t="s">
        <v>35</v>
      </c>
      <c r="X518" s="8" t="s">
        <v>475</v>
      </c>
      <c r="Y518" s="5" t="s">
        <v>46</v>
      </c>
      <c r="Z518" s="5" t="s">
        <v>47</v>
      </c>
      <c r="AA518" s="5" t="s">
        <v>64</v>
      </c>
      <c r="AB518" s="5" t="s">
        <v>2371</v>
      </c>
      <c r="AC518" s="6" t="s">
        <v>34</v>
      </c>
      <c r="AD518" s="6">
        <v>937.0</v>
      </c>
    </row>
    <row r="519" ht="56.25" customHeight="1">
      <c r="A519" s="5" t="s">
        <v>2373</v>
      </c>
      <c r="B519" s="6" t="str">
        <f>IMAGE("https://storage.googleapis.com/acdb/housewares/FtrShishiodoshi_Remake_0_0.png")</f>
        <v/>
      </c>
      <c r="C519" s="5" t="s">
        <v>261</v>
      </c>
      <c r="D519" s="5" t="s">
        <v>262</v>
      </c>
      <c r="E519" s="5" t="s">
        <v>34</v>
      </c>
      <c r="F519" s="5" t="s">
        <v>34</v>
      </c>
      <c r="G519" s="5" t="s">
        <v>35</v>
      </c>
      <c r="H519" s="5" t="s">
        <v>35</v>
      </c>
      <c r="I519" s="5" t="s">
        <v>36</v>
      </c>
      <c r="J519" s="6">
        <v>3.0</v>
      </c>
      <c r="K519" s="6" t="s">
        <v>37</v>
      </c>
      <c r="L519" s="6">
        <v>1740.0</v>
      </c>
      <c r="M519" s="8" t="s">
        <v>96</v>
      </c>
      <c r="N519" s="8" t="s">
        <v>95</v>
      </c>
      <c r="O519" s="6" t="s">
        <v>40</v>
      </c>
      <c r="P519" s="5" t="s">
        <v>41</v>
      </c>
      <c r="Q519" s="5"/>
      <c r="R519" s="6" t="s">
        <v>42</v>
      </c>
      <c r="S519" s="5" t="s">
        <v>266</v>
      </c>
      <c r="T519" s="5" t="s">
        <v>172</v>
      </c>
      <c r="U519" s="5" t="s">
        <v>267</v>
      </c>
      <c r="V519" s="5" t="s">
        <v>44</v>
      </c>
      <c r="W519" s="5" t="s">
        <v>35</v>
      </c>
      <c r="X519" s="8" t="s">
        <v>650</v>
      </c>
      <c r="Y519" s="5" t="s">
        <v>46</v>
      </c>
      <c r="Z519" s="5" t="s">
        <v>47</v>
      </c>
      <c r="AA519" s="5" t="s">
        <v>48</v>
      </c>
      <c r="AB519" s="5" t="s">
        <v>2375</v>
      </c>
      <c r="AC519" s="6" t="s">
        <v>50</v>
      </c>
      <c r="AD519" s="6">
        <v>677.0</v>
      </c>
    </row>
    <row r="520" ht="56.25" customHeight="1">
      <c r="A520" s="5" t="s">
        <v>2373</v>
      </c>
      <c r="B520" s="6" t="str">
        <f>IMAGE("https://storage.googleapis.com/acdb/housewares/FtrShishiodoshi_Remake_1_0.png")</f>
        <v/>
      </c>
      <c r="C520" s="5" t="s">
        <v>271</v>
      </c>
      <c r="D520" s="5" t="s">
        <v>262</v>
      </c>
      <c r="E520" s="5" t="s">
        <v>34</v>
      </c>
      <c r="F520" s="5" t="s">
        <v>34</v>
      </c>
      <c r="G520" s="5" t="s">
        <v>35</v>
      </c>
      <c r="H520" s="5" t="s">
        <v>35</v>
      </c>
      <c r="I520" s="5" t="s">
        <v>36</v>
      </c>
      <c r="J520" s="6">
        <v>3.0</v>
      </c>
      <c r="K520" s="6" t="s">
        <v>37</v>
      </c>
      <c r="L520" s="6">
        <v>1740.0</v>
      </c>
      <c r="M520" s="8" t="s">
        <v>38</v>
      </c>
      <c r="N520" s="8" t="s">
        <v>39</v>
      </c>
      <c r="O520" s="6" t="s">
        <v>40</v>
      </c>
      <c r="P520" s="5" t="s">
        <v>41</v>
      </c>
      <c r="Q520" s="5"/>
      <c r="R520" s="6" t="s">
        <v>42</v>
      </c>
      <c r="S520" s="5" t="s">
        <v>266</v>
      </c>
      <c r="T520" s="5" t="s">
        <v>172</v>
      </c>
      <c r="U520" s="5" t="s">
        <v>267</v>
      </c>
      <c r="V520" s="5" t="s">
        <v>44</v>
      </c>
      <c r="W520" s="5" t="s">
        <v>35</v>
      </c>
      <c r="X520" s="8" t="s">
        <v>650</v>
      </c>
      <c r="Y520" s="5" t="s">
        <v>46</v>
      </c>
      <c r="Z520" s="5" t="s">
        <v>47</v>
      </c>
      <c r="AA520" s="5" t="s">
        <v>48</v>
      </c>
      <c r="AB520" s="5" t="s">
        <v>2378</v>
      </c>
      <c r="AC520" s="6" t="s">
        <v>56</v>
      </c>
      <c r="AD520" s="6">
        <v>677.0</v>
      </c>
    </row>
    <row r="521" ht="56.25" customHeight="1">
      <c r="A521" s="5" t="s">
        <v>2373</v>
      </c>
      <c r="B521" s="6" t="str">
        <f>IMAGE("https://storage.googleapis.com/acdb/housewares/FtrShishiodoshi_Remake_2_0.png")</f>
        <v/>
      </c>
      <c r="C521" s="5" t="s">
        <v>279</v>
      </c>
      <c r="D521" s="5" t="s">
        <v>262</v>
      </c>
      <c r="E521" s="5" t="s">
        <v>34</v>
      </c>
      <c r="F521" s="5" t="s">
        <v>34</v>
      </c>
      <c r="G521" s="5" t="s">
        <v>35</v>
      </c>
      <c r="H521" s="5" t="s">
        <v>35</v>
      </c>
      <c r="I521" s="5" t="s">
        <v>36</v>
      </c>
      <c r="J521" s="6">
        <v>3.0</v>
      </c>
      <c r="K521" s="6" t="s">
        <v>37</v>
      </c>
      <c r="L521" s="6">
        <v>1740.0</v>
      </c>
      <c r="M521" s="8" t="s">
        <v>39</v>
      </c>
      <c r="N521" s="8" t="s">
        <v>54</v>
      </c>
      <c r="O521" s="6" t="s">
        <v>40</v>
      </c>
      <c r="P521" s="5" t="s">
        <v>41</v>
      </c>
      <c r="Q521" s="5"/>
      <c r="R521" s="6" t="s">
        <v>42</v>
      </c>
      <c r="S521" s="5" t="s">
        <v>266</v>
      </c>
      <c r="T521" s="5" t="s">
        <v>172</v>
      </c>
      <c r="U521" s="5" t="s">
        <v>267</v>
      </c>
      <c r="V521" s="5" t="s">
        <v>44</v>
      </c>
      <c r="W521" s="5" t="s">
        <v>35</v>
      </c>
      <c r="X521" s="8" t="s">
        <v>650</v>
      </c>
      <c r="Y521" s="5" t="s">
        <v>46</v>
      </c>
      <c r="Z521" s="5" t="s">
        <v>47</v>
      </c>
      <c r="AA521" s="5" t="s">
        <v>48</v>
      </c>
      <c r="AB521" s="5" t="s">
        <v>2381</v>
      </c>
      <c r="AC521" s="6" t="s">
        <v>67</v>
      </c>
      <c r="AD521" s="6">
        <v>677.0</v>
      </c>
    </row>
    <row r="522" ht="56.25" customHeight="1">
      <c r="A522" s="5" t="s">
        <v>2382</v>
      </c>
      <c r="B522" s="6" t="str">
        <f>IMAGE("https://storage.googleapis.com/acdb/housewares/FtrWashingmachineDrum_Remake_0_0.png")</f>
        <v/>
      </c>
      <c r="C522" s="5" t="s">
        <v>57</v>
      </c>
      <c r="D522" s="5" t="s">
        <v>34</v>
      </c>
      <c r="E522" s="5" t="s">
        <v>34</v>
      </c>
      <c r="F522" s="5" t="s">
        <v>34</v>
      </c>
      <c r="G522" s="5" t="s">
        <v>36</v>
      </c>
      <c r="H522" s="5" t="s">
        <v>36</v>
      </c>
      <c r="I522" s="5" t="s">
        <v>36</v>
      </c>
      <c r="J522" s="6" t="s">
        <v>34</v>
      </c>
      <c r="K522" s="6">
        <v>76000.0</v>
      </c>
      <c r="L522" s="6">
        <v>19000.0</v>
      </c>
      <c r="M522" s="8" t="s">
        <v>57</v>
      </c>
      <c r="N522" s="8" t="s">
        <v>57</v>
      </c>
      <c r="O522" s="6" t="s">
        <v>40</v>
      </c>
      <c r="P522" s="5" t="s">
        <v>59</v>
      </c>
      <c r="Q522" s="5" t="s">
        <v>115</v>
      </c>
      <c r="R522" s="6" t="s">
        <v>42</v>
      </c>
      <c r="S522" s="5" t="s">
        <v>288</v>
      </c>
      <c r="T522" s="5" t="s">
        <v>44</v>
      </c>
      <c r="U522" s="5" t="s">
        <v>44</v>
      </c>
      <c r="V522" s="5" t="s">
        <v>44</v>
      </c>
      <c r="W522" s="5" t="s">
        <v>35</v>
      </c>
      <c r="X522" s="8" t="s">
        <v>182</v>
      </c>
      <c r="Y522" s="5" t="s">
        <v>46</v>
      </c>
      <c r="Z522" s="5" t="s">
        <v>47</v>
      </c>
      <c r="AA522" s="5" t="s">
        <v>64</v>
      </c>
      <c r="AB522" s="5" t="s">
        <v>2383</v>
      </c>
      <c r="AC522" s="6" t="s">
        <v>50</v>
      </c>
      <c r="AD522" s="6">
        <v>1227.0</v>
      </c>
    </row>
    <row r="523" ht="56.25" customHeight="1">
      <c r="A523" s="5" t="s">
        <v>2382</v>
      </c>
      <c r="B523" s="6" t="str">
        <f>IMAGE("https://storage.googleapis.com/acdb/housewares/FtrWashingmachineDrum_Remake_1_0.png")</f>
        <v/>
      </c>
      <c r="C523" s="5" t="s">
        <v>54</v>
      </c>
      <c r="D523" s="5" t="s">
        <v>34</v>
      </c>
      <c r="E523" s="5" t="s">
        <v>34</v>
      </c>
      <c r="F523" s="5" t="s">
        <v>34</v>
      </c>
      <c r="G523" s="5" t="s">
        <v>36</v>
      </c>
      <c r="H523" s="5" t="s">
        <v>36</v>
      </c>
      <c r="I523" s="5" t="s">
        <v>36</v>
      </c>
      <c r="J523" s="6" t="s">
        <v>34</v>
      </c>
      <c r="K523" s="6">
        <v>76000.0</v>
      </c>
      <c r="L523" s="6">
        <v>19000.0</v>
      </c>
      <c r="M523" s="8" t="s">
        <v>54</v>
      </c>
      <c r="N523" s="8" t="s">
        <v>54</v>
      </c>
      <c r="O523" s="6" t="s">
        <v>40</v>
      </c>
      <c r="P523" s="5" t="s">
        <v>59</v>
      </c>
      <c r="Q523" s="5" t="s">
        <v>115</v>
      </c>
      <c r="R523" s="6" t="s">
        <v>42</v>
      </c>
      <c r="S523" s="5" t="s">
        <v>288</v>
      </c>
      <c r="T523" s="5" t="s">
        <v>44</v>
      </c>
      <c r="U523" s="5" t="s">
        <v>44</v>
      </c>
      <c r="V523" s="5" t="s">
        <v>44</v>
      </c>
      <c r="W523" s="5" t="s">
        <v>35</v>
      </c>
      <c r="X523" s="8" t="s">
        <v>182</v>
      </c>
      <c r="Y523" s="5" t="s">
        <v>46</v>
      </c>
      <c r="Z523" s="5" t="s">
        <v>47</v>
      </c>
      <c r="AA523" s="5" t="s">
        <v>64</v>
      </c>
      <c r="AB523" s="5" t="s">
        <v>2386</v>
      </c>
      <c r="AC523" s="6" t="s">
        <v>56</v>
      </c>
      <c r="AD523" s="6">
        <v>1227.0</v>
      </c>
    </row>
    <row r="524" ht="56.25" customHeight="1">
      <c r="A524" s="5" t="s">
        <v>2382</v>
      </c>
      <c r="B524" s="6" t="str">
        <f>IMAGE("https://storage.googleapis.com/acdb/housewares/FtrWashingmachineDrum_Remake_2_0.png")</f>
        <v/>
      </c>
      <c r="C524" s="5" t="s">
        <v>68</v>
      </c>
      <c r="D524" s="5" t="s">
        <v>34</v>
      </c>
      <c r="E524" s="5" t="s">
        <v>34</v>
      </c>
      <c r="F524" s="5" t="s">
        <v>34</v>
      </c>
      <c r="G524" s="5" t="s">
        <v>36</v>
      </c>
      <c r="H524" s="5" t="s">
        <v>36</v>
      </c>
      <c r="I524" s="5" t="s">
        <v>36</v>
      </c>
      <c r="J524" s="6" t="s">
        <v>34</v>
      </c>
      <c r="K524" s="6">
        <v>76000.0</v>
      </c>
      <c r="L524" s="6">
        <v>19000.0</v>
      </c>
      <c r="M524" s="8" t="s">
        <v>68</v>
      </c>
      <c r="N524" s="8" t="s">
        <v>68</v>
      </c>
      <c r="O524" s="6" t="s">
        <v>40</v>
      </c>
      <c r="P524" s="5" t="s">
        <v>59</v>
      </c>
      <c r="Q524" s="5" t="s">
        <v>115</v>
      </c>
      <c r="R524" s="6" t="s">
        <v>42</v>
      </c>
      <c r="S524" s="5" t="s">
        <v>288</v>
      </c>
      <c r="T524" s="5" t="s">
        <v>44</v>
      </c>
      <c r="U524" s="5" t="s">
        <v>44</v>
      </c>
      <c r="V524" s="5" t="s">
        <v>44</v>
      </c>
      <c r="W524" s="5" t="s">
        <v>35</v>
      </c>
      <c r="X524" s="8" t="s">
        <v>182</v>
      </c>
      <c r="Y524" s="5" t="s">
        <v>46</v>
      </c>
      <c r="Z524" s="5" t="s">
        <v>47</v>
      </c>
      <c r="AA524" s="5" t="s">
        <v>64</v>
      </c>
      <c r="AB524" s="5" t="s">
        <v>2388</v>
      </c>
      <c r="AC524" s="6" t="s">
        <v>67</v>
      </c>
      <c r="AD524" s="6">
        <v>1227.0</v>
      </c>
    </row>
    <row r="525" ht="56.25" customHeight="1">
      <c r="A525" s="5" t="s">
        <v>2382</v>
      </c>
      <c r="B525" s="6" t="str">
        <f>IMAGE("https://storage.googleapis.com/acdb/housewares/FtrWashingmachineDrum_Remake_3_0.png")</f>
        <v/>
      </c>
      <c r="C525" s="5" t="s">
        <v>52</v>
      </c>
      <c r="D525" s="5" t="s">
        <v>34</v>
      </c>
      <c r="E525" s="5" t="s">
        <v>34</v>
      </c>
      <c r="F525" s="5" t="s">
        <v>34</v>
      </c>
      <c r="G525" s="5" t="s">
        <v>36</v>
      </c>
      <c r="H525" s="5" t="s">
        <v>36</v>
      </c>
      <c r="I525" s="5" t="s">
        <v>36</v>
      </c>
      <c r="J525" s="6" t="s">
        <v>34</v>
      </c>
      <c r="K525" s="6">
        <v>76000.0</v>
      </c>
      <c r="L525" s="6">
        <v>19000.0</v>
      </c>
      <c r="M525" s="8" t="s">
        <v>52</v>
      </c>
      <c r="N525" s="8" t="s">
        <v>52</v>
      </c>
      <c r="O525" s="6" t="s">
        <v>40</v>
      </c>
      <c r="P525" s="5" t="s">
        <v>59</v>
      </c>
      <c r="Q525" s="5" t="s">
        <v>115</v>
      </c>
      <c r="R525" s="6" t="s">
        <v>42</v>
      </c>
      <c r="S525" s="5" t="s">
        <v>288</v>
      </c>
      <c r="T525" s="5" t="s">
        <v>44</v>
      </c>
      <c r="U525" s="5" t="s">
        <v>44</v>
      </c>
      <c r="V525" s="5" t="s">
        <v>44</v>
      </c>
      <c r="W525" s="5" t="s">
        <v>35</v>
      </c>
      <c r="X525" s="8" t="s">
        <v>182</v>
      </c>
      <c r="Y525" s="5" t="s">
        <v>46</v>
      </c>
      <c r="Z525" s="5" t="s">
        <v>47</v>
      </c>
      <c r="AA525" s="5" t="s">
        <v>64</v>
      </c>
      <c r="AB525" s="5" t="s">
        <v>2391</v>
      </c>
      <c r="AC525" s="6" t="s">
        <v>71</v>
      </c>
      <c r="AD525" s="6">
        <v>1227.0</v>
      </c>
    </row>
    <row r="526" ht="56.25" customHeight="1">
      <c r="A526" s="5" t="s">
        <v>2382</v>
      </c>
      <c r="B526" s="6" t="str">
        <f>IMAGE("https://storage.googleapis.com/acdb/housewares/FtrWashingmachineDrum_Remake_4_0.png")</f>
        <v/>
      </c>
      <c r="C526" s="5" t="s">
        <v>114</v>
      </c>
      <c r="D526" s="5" t="s">
        <v>34</v>
      </c>
      <c r="E526" s="5" t="s">
        <v>34</v>
      </c>
      <c r="F526" s="5" t="s">
        <v>34</v>
      </c>
      <c r="G526" s="5" t="s">
        <v>36</v>
      </c>
      <c r="H526" s="5" t="s">
        <v>36</v>
      </c>
      <c r="I526" s="5" t="s">
        <v>36</v>
      </c>
      <c r="J526" s="6" t="s">
        <v>34</v>
      </c>
      <c r="K526" s="6">
        <v>76000.0</v>
      </c>
      <c r="L526" s="6">
        <v>19000.0</v>
      </c>
      <c r="M526" s="8" t="s">
        <v>114</v>
      </c>
      <c r="N526" s="8" t="s">
        <v>114</v>
      </c>
      <c r="O526" s="6" t="s">
        <v>40</v>
      </c>
      <c r="P526" s="5" t="s">
        <v>59</v>
      </c>
      <c r="Q526" s="5" t="s">
        <v>115</v>
      </c>
      <c r="R526" s="6" t="s">
        <v>42</v>
      </c>
      <c r="S526" s="5" t="s">
        <v>288</v>
      </c>
      <c r="T526" s="5" t="s">
        <v>44</v>
      </c>
      <c r="U526" s="5" t="s">
        <v>44</v>
      </c>
      <c r="V526" s="5" t="s">
        <v>44</v>
      </c>
      <c r="W526" s="5" t="s">
        <v>35</v>
      </c>
      <c r="X526" s="8" t="s">
        <v>182</v>
      </c>
      <c r="Y526" s="5" t="s">
        <v>46</v>
      </c>
      <c r="Z526" s="5" t="s">
        <v>47</v>
      </c>
      <c r="AA526" s="5" t="s">
        <v>64</v>
      </c>
      <c r="AB526" s="5" t="s">
        <v>2393</v>
      </c>
      <c r="AC526" s="6" t="s">
        <v>75</v>
      </c>
      <c r="AD526" s="6">
        <v>1227.0</v>
      </c>
    </row>
    <row r="527" ht="56.25" customHeight="1">
      <c r="A527" s="5" t="s">
        <v>2382</v>
      </c>
      <c r="B527" s="6" t="str">
        <f>IMAGE("https://storage.googleapis.com/acdb/housewares/FtrWashingmachineDrum_Remake_5_0.png")</f>
        <v/>
      </c>
      <c r="C527" s="5" t="s">
        <v>69</v>
      </c>
      <c r="D527" s="5" t="s">
        <v>34</v>
      </c>
      <c r="E527" s="5" t="s">
        <v>34</v>
      </c>
      <c r="F527" s="5" t="s">
        <v>34</v>
      </c>
      <c r="G527" s="5" t="s">
        <v>36</v>
      </c>
      <c r="H527" s="5" t="s">
        <v>36</v>
      </c>
      <c r="I527" s="5" t="s">
        <v>36</v>
      </c>
      <c r="J527" s="6" t="s">
        <v>34</v>
      </c>
      <c r="K527" s="6">
        <v>76000.0</v>
      </c>
      <c r="L527" s="6">
        <v>19000.0</v>
      </c>
      <c r="M527" s="8" t="s">
        <v>69</v>
      </c>
      <c r="N527" s="8" t="s">
        <v>69</v>
      </c>
      <c r="O527" s="6" t="s">
        <v>40</v>
      </c>
      <c r="P527" s="5" t="s">
        <v>59</v>
      </c>
      <c r="Q527" s="5" t="s">
        <v>115</v>
      </c>
      <c r="R527" s="6" t="s">
        <v>42</v>
      </c>
      <c r="S527" s="5" t="s">
        <v>288</v>
      </c>
      <c r="T527" s="5" t="s">
        <v>44</v>
      </c>
      <c r="U527" s="5" t="s">
        <v>44</v>
      </c>
      <c r="V527" s="5" t="s">
        <v>44</v>
      </c>
      <c r="W527" s="5" t="s">
        <v>35</v>
      </c>
      <c r="X527" s="8" t="s">
        <v>182</v>
      </c>
      <c r="Y527" s="5" t="s">
        <v>46</v>
      </c>
      <c r="Z527" s="5" t="s">
        <v>47</v>
      </c>
      <c r="AA527" s="5" t="s">
        <v>64</v>
      </c>
      <c r="AB527" s="5" t="s">
        <v>2398</v>
      </c>
      <c r="AC527" s="6" t="s">
        <v>79</v>
      </c>
      <c r="AD527" s="6">
        <v>1227.0</v>
      </c>
    </row>
    <row r="528" ht="56.25" customHeight="1">
      <c r="A528" s="5" t="s">
        <v>2399</v>
      </c>
      <c r="B528" s="6" t="str">
        <f>IMAGE("https://storage.googleapis.com/acdb/housewares/FtrDrawingChair_Remake_0_0.png")</f>
        <v/>
      </c>
      <c r="C528" s="5" t="s">
        <v>54</v>
      </c>
      <c r="D528" s="5" t="s">
        <v>34</v>
      </c>
      <c r="E528" s="5" t="s">
        <v>34</v>
      </c>
      <c r="F528" s="5" t="s">
        <v>34</v>
      </c>
      <c r="G528" s="5" t="s">
        <v>36</v>
      </c>
      <c r="H528" s="5" t="s">
        <v>36</v>
      </c>
      <c r="I528" s="5" t="s">
        <v>36</v>
      </c>
      <c r="J528" s="6" t="s">
        <v>34</v>
      </c>
      <c r="K528" s="6">
        <v>8700.0</v>
      </c>
      <c r="L528" s="6">
        <v>2175.0</v>
      </c>
      <c r="M528" s="8" t="s">
        <v>54</v>
      </c>
      <c r="N528" s="8" t="s">
        <v>54</v>
      </c>
      <c r="O528" s="6" t="s">
        <v>40</v>
      </c>
      <c r="P528" s="5" t="s">
        <v>59</v>
      </c>
      <c r="Q528" s="5" t="s">
        <v>122</v>
      </c>
      <c r="R528" s="6" t="s">
        <v>42</v>
      </c>
      <c r="S528" s="5" t="s">
        <v>202</v>
      </c>
      <c r="T528" s="5" t="s">
        <v>44</v>
      </c>
      <c r="U528" s="5" t="s">
        <v>44</v>
      </c>
      <c r="V528" s="5" t="s">
        <v>202</v>
      </c>
      <c r="W528" s="5" t="s">
        <v>35</v>
      </c>
      <c r="X528" s="8" t="s">
        <v>248</v>
      </c>
      <c r="Y528" s="5" t="s">
        <v>46</v>
      </c>
      <c r="Z528" s="5" t="s">
        <v>47</v>
      </c>
      <c r="AA528" s="5" t="s">
        <v>64</v>
      </c>
      <c r="AB528" s="5" t="s">
        <v>2404</v>
      </c>
      <c r="AC528" s="6" t="s">
        <v>50</v>
      </c>
      <c r="AD528" s="6">
        <v>3784.0</v>
      </c>
    </row>
    <row r="529" ht="56.25" customHeight="1">
      <c r="A529" s="5" t="s">
        <v>2399</v>
      </c>
      <c r="B529" s="6" t="str">
        <f>IMAGE("https://storage.googleapis.com/acdb/housewares/FtrDrawingChair_Remake_1_0.png")</f>
        <v/>
      </c>
      <c r="C529" s="5" t="s">
        <v>57</v>
      </c>
      <c r="D529" s="5" t="s">
        <v>34</v>
      </c>
      <c r="E529" s="5" t="s">
        <v>34</v>
      </c>
      <c r="F529" s="5" t="s">
        <v>34</v>
      </c>
      <c r="G529" s="5" t="s">
        <v>36</v>
      </c>
      <c r="H529" s="5" t="s">
        <v>36</v>
      </c>
      <c r="I529" s="5" t="s">
        <v>36</v>
      </c>
      <c r="J529" s="6" t="s">
        <v>34</v>
      </c>
      <c r="K529" s="6">
        <v>8700.0</v>
      </c>
      <c r="L529" s="6">
        <v>2175.0</v>
      </c>
      <c r="M529" s="8" t="s">
        <v>57</v>
      </c>
      <c r="N529" s="8" t="s">
        <v>57</v>
      </c>
      <c r="O529" s="6" t="s">
        <v>40</v>
      </c>
      <c r="P529" s="5" t="s">
        <v>59</v>
      </c>
      <c r="Q529" s="5" t="s">
        <v>122</v>
      </c>
      <c r="R529" s="6" t="s">
        <v>42</v>
      </c>
      <c r="S529" s="5" t="s">
        <v>202</v>
      </c>
      <c r="T529" s="5" t="s">
        <v>44</v>
      </c>
      <c r="U529" s="5" t="s">
        <v>44</v>
      </c>
      <c r="V529" s="5" t="s">
        <v>202</v>
      </c>
      <c r="W529" s="5" t="s">
        <v>35</v>
      </c>
      <c r="X529" s="8" t="s">
        <v>248</v>
      </c>
      <c r="Y529" s="5" t="s">
        <v>46</v>
      </c>
      <c r="Z529" s="5" t="s">
        <v>47</v>
      </c>
      <c r="AA529" s="5" t="s">
        <v>64</v>
      </c>
      <c r="AB529" s="5" t="s">
        <v>2407</v>
      </c>
      <c r="AC529" s="6" t="s">
        <v>56</v>
      </c>
      <c r="AD529" s="6">
        <v>3784.0</v>
      </c>
    </row>
    <row r="530" ht="56.25" customHeight="1">
      <c r="A530" s="5" t="s">
        <v>2399</v>
      </c>
      <c r="B530" s="6" t="str">
        <f>IMAGE("https://storage.googleapis.com/acdb/housewares/FtrDrawingChair_Remake_2_0.png")</f>
        <v/>
      </c>
      <c r="C530" s="5" t="s">
        <v>2408</v>
      </c>
      <c r="D530" s="5" t="s">
        <v>34</v>
      </c>
      <c r="E530" s="5" t="s">
        <v>34</v>
      </c>
      <c r="F530" s="5" t="s">
        <v>34</v>
      </c>
      <c r="G530" s="5" t="s">
        <v>36</v>
      </c>
      <c r="H530" s="5" t="s">
        <v>36</v>
      </c>
      <c r="I530" s="5" t="s">
        <v>36</v>
      </c>
      <c r="J530" s="6" t="s">
        <v>34</v>
      </c>
      <c r="K530" s="6">
        <v>8700.0</v>
      </c>
      <c r="L530" s="6">
        <v>2175.0</v>
      </c>
      <c r="M530" s="8" t="s">
        <v>142</v>
      </c>
      <c r="N530" s="8" t="s">
        <v>142</v>
      </c>
      <c r="O530" s="6" t="s">
        <v>40</v>
      </c>
      <c r="P530" s="5" t="s">
        <v>59</v>
      </c>
      <c r="Q530" s="5" t="s">
        <v>122</v>
      </c>
      <c r="R530" s="6" t="s">
        <v>42</v>
      </c>
      <c r="S530" s="5" t="s">
        <v>202</v>
      </c>
      <c r="T530" s="5" t="s">
        <v>44</v>
      </c>
      <c r="U530" s="5" t="s">
        <v>44</v>
      </c>
      <c r="V530" s="5" t="s">
        <v>202</v>
      </c>
      <c r="W530" s="5" t="s">
        <v>35</v>
      </c>
      <c r="X530" s="8" t="s">
        <v>248</v>
      </c>
      <c r="Y530" s="5" t="s">
        <v>46</v>
      </c>
      <c r="Z530" s="5" t="s">
        <v>47</v>
      </c>
      <c r="AA530" s="5" t="s">
        <v>64</v>
      </c>
      <c r="AB530" s="5" t="s">
        <v>2411</v>
      </c>
      <c r="AC530" s="6" t="s">
        <v>67</v>
      </c>
      <c r="AD530" s="6">
        <v>3784.0</v>
      </c>
    </row>
    <row r="531" ht="56.25" customHeight="1">
      <c r="A531" s="5" t="s">
        <v>2399</v>
      </c>
      <c r="B531" s="6" t="str">
        <f>IMAGE("https://storage.googleapis.com/acdb/housewares/FtrDrawingChair_Remake_3_0.png")</f>
        <v/>
      </c>
      <c r="C531" s="5" t="s">
        <v>39</v>
      </c>
      <c r="D531" s="5" t="s">
        <v>34</v>
      </c>
      <c r="E531" s="5" t="s">
        <v>34</v>
      </c>
      <c r="F531" s="5" t="s">
        <v>34</v>
      </c>
      <c r="G531" s="5" t="s">
        <v>36</v>
      </c>
      <c r="H531" s="5" t="s">
        <v>36</v>
      </c>
      <c r="I531" s="5" t="s">
        <v>36</v>
      </c>
      <c r="J531" s="6" t="s">
        <v>34</v>
      </c>
      <c r="K531" s="6">
        <v>8700.0</v>
      </c>
      <c r="L531" s="6">
        <v>2175.0</v>
      </c>
      <c r="M531" s="8" t="s">
        <v>39</v>
      </c>
      <c r="N531" s="8" t="s">
        <v>39</v>
      </c>
      <c r="O531" s="6" t="s">
        <v>40</v>
      </c>
      <c r="P531" s="5" t="s">
        <v>59</v>
      </c>
      <c r="Q531" s="5" t="s">
        <v>122</v>
      </c>
      <c r="R531" s="6" t="s">
        <v>42</v>
      </c>
      <c r="S531" s="5" t="s">
        <v>202</v>
      </c>
      <c r="T531" s="5" t="s">
        <v>44</v>
      </c>
      <c r="U531" s="5" t="s">
        <v>44</v>
      </c>
      <c r="V531" s="5" t="s">
        <v>202</v>
      </c>
      <c r="W531" s="5" t="s">
        <v>35</v>
      </c>
      <c r="X531" s="8" t="s">
        <v>248</v>
      </c>
      <c r="Y531" s="5" t="s">
        <v>46</v>
      </c>
      <c r="Z531" s="5" t="s">
        <v>47</v>
      </c>
      <c r="AA531" s="5" t="s">
        <v>64</v>
      </c>
      <c r="AB531" s="5" t="s">
        <v>2414</v>
      </c>
      <c r="AC531" s="6" t="s">
        <v>71</v>
      </c>
      <c r="AD531" s="6">
        <v>3784.0</v>
      </c>
    </row>
    <row r="532" ht="56.25" customHeight="1">
      <c r="A532" s="5" t="s">
        <v>2399</v>
      </c>
      <c r="B532" s="6" t="str">
        <f>IMAGE("https://storage.googleapis.com/acdb/housewares/FtrDrawingChair_Remake_4_0.png")</f>
        <v/>
      </c>
      <c r="C532" s="5" t="s">
        <v>96</v>
      </c>
      <c r="D532" s="5" t="s">
        <v>34</v>
      </c>
      <c r="E532" s="5" t="s">
        <v>34</v>
      </c>
      <c r="F532" s="5" t="s">
        <v>34</v>
      </c>
      <c r="G532" s="5" t="s">
        <v>36</v>
      </c>
      <c r="H532" s="5" t="s">
        <v>36</v>
      </c>
      <c r="I532" s="5" t="s">
        <v>36</v>
      </c>
      <c r="J532" s="6" t="s">
        <v>34</v>
      </c>
      <c r="K532" s="6">
        <v>8700.0</v>
      </c>
      <c r="L532" s="6">
        <v>2175.0</v>
      </c>
      <c r="M532" s="8" t="s">
        <v>96</v>
      </c>
      <c r="N532" s="8" t="s">
        <v>96</v>
      </c>
      <c r="O532" s="6" t="s">
        <v>40</v>
      </c>
      <c r="P532" s="5" t="s">
        <v>59</v>
      </c>
      <c r="Q532" s="5" t="s">
        <v>122</v>
      </c>
      <c r="R532" s="6" t="s">
        <v>42</v>
      </c>
      <c r="S532" s="5" t="s">
        <v>202</v>
      </c>
      <c r="T532" s="5" t="s">
        <v>44</v>
      </c>
      <c r="U532" s="5" t="s">
        <v>44</v>
      </c>
      <c r="V532" s="5" t="s">
        <v>202</v>
      </c>
      <c r="W532" s="5" t="s">
        <v>35</v>
      </c>
      <c r="X532" s="8" t="s">
        <v>248</v>
      </c>
      <c r="Y532" s="5" t="s">
        <v>46</v>
      </c>
      <c r="Z532" s="5" t="s">
        <v>47</v>
      </c>
      <c r="AA532" s="5" t="s">
        <v>64</v>
      </c>
      <c r="AB532" s="5" t="s">
        <v>2418</v>
      </c>
      <c r="AC532" s="6" t="s">
        <v>75</v>
      </c>
      <c r="AD532" s="6">
        <v>3784.0</v>
      </c>
    </row>
    <row r="533" ht="56.25" customHeight="1">
      <c r="A533" s="5" t="s">
        <v>2399</v>
      </c>
      <c r="B533" s="6" t="str">
        <f>IMAGE("https://storage.googleapis.com/acdb/housewares/FtrDrawingChair_Remake_5_0.png")</f>
        <v/>
      </c>
      <c r="C533" s="5" t="s">
        <v>52</v>
      </c>
      <c r="D533" s="5" t="s">
        <v>34</v>
      </c>
      <c r="E533" s="5" t="s">
        <v>34</v>
      </c>
      <c r="F533" s="5" t="s">
        <v>34</v>
      </c>
      <c r="G533" s="5" t="s">
        <v>36</v>
      </c>
      <c r="H533" s="5" t="s">
        <v>36</v>
      </c>
      <c r="I533" s="5" t="s">
        <v>36</v>
      </c>
      <c r="J533" s="6" t="s">
        <v>34</v>
      </c>
      <c r="K533" s="6">
        <v>8700.0</v>
      </c>
      <c r="L533" s="6">
        <v>2175.0</v>
      </c>
      <c r="M533" s="8" t="s">
        <v>52</v>
      </c>
      <c r="N533" s="8" t="s">
        <v>52</v>
      </c>
      <c r="O533" s="6" t="s">
        <v>40</v>
      </c>
      <c r="P533" s="5" t="s">
        <v>59</v>
      </c>
      <c r="Q533" s="5" t="s">
        <v>122</v>
      </c>
      <c r="R533" s="6" t="s">
        <v>42</v>
      </c>
      <c r="S533" s="5" t="s">
        <v>202</v>
      </c>
      <c r="T533" s="5" t="s">
        <v>44</v>
      </c>
      <c r="U533" s="5" t="s">
        <v>44</v>
      </c>
      <c r="V533" s="5" t="s">
        <v>202</v>
      </c>
      <c r="W533" s="5" t="s">
        <v>35</v>
      </c>
      <c r="X533" s="8" t="s">
        <v>248</v>
      </c>
      <c r="Y533" s="5" t="s">
        <v>46</v>
      </c>
      <c r="Z533" s="5" t="s">
        <v>47</v>
      </c>
      <c r="AA533" s="5" t="s">
        <v>64</v>
      </c>
      <c r="AB533" s="5" t="s">
        <v>2421</v>
      </c>
      <c r="AC533" s="6" t="s">
        <v>79</v>
      </c>
      <c r="AD533" s="6">
        <v>3784.0</v>
      </c>
    </row>
    <row r="534" ht="56.25" customHeight="1">
      <c r="A534" s="5" t="s">
        <v>2422</v>
      </c>
      <c r="B534" s="6" t="str">
        <f>IMAGE("https://storage.googleapis.com/acdb/housewares/FtrDrawingTable_Remake_0_0.png")</f>
        <v/>
      </c>
      <c r="C534" s="5" t="s">
        <v>1132</v>
      </c>
      <c r="D534" s="5" t="s">
        <v>34</v>
      </c>
      <c r="E534" s="5" t="s">
        <v>34</v>
      </c>
      <c r="F534" s="5" t="s">
        <v>34</v>
      </c>
      <c r="G534" s="5" t="s">
        <v>36</v>
      </c>
      <c r="H534" s="5" t="s">
        <v>36</v>
      </c>
      <c r="I534" s="5" t="s">
        <v>36</v>
      </c>
      <c r="J534" s="6" t="s">
        <v>34</v>
      </c>
      <c r="K534" s="6">
        <v>10000.0</v>
      </c>
      <c r="L534" s="6">
        <v>2500.0</v>
      </c>
      <c r="M534" s="8" t="s">
        <v>39</v>
      </c>
      <c r="N534" s="8" t="s">
        <v>39</v>
      </c>
      <c r="O534" s="6" t="s">
        <v>276</v>
      </c>
      <c r="P534" s="5" t="s">
        <v>59</v>
      </c>
      <c r="Q534" s="5" t="s">
        <v>122</v>
      </c>
      <c r="R534" s="6" t="s">
        <v>42</v>
      </c>
      <c r="S534" s="5" t="s">
        <v>202</v>
      </c>
      <c r="T534" s="5" t="s">
        <v>44</v>
      </c>
      <c r="U534" s="5" t="s">
        <v>44</v>
      </c>
      <c r="V534" s="5" t="s">
        <v>202</v>
      </c>
      <c r="W534" s="5" t="s">
        <v>36</v>
      </c>
      <c r="X534" s="8" t="s">
        <v>230</v>
      </c>
      <c r="Y534" s="5" t="s">
        <v>46</v>
      </c>
      <c r="Z534" s="5" t="s">
        <v>47</v>
      </c>
      <c r="AA534" s="5" t="s">
        <v>64</v>
      </c>
      <c r="AB534" s="5" t="s">
        <v>2425</v>
      </c>
      <c r="AC534" s="6" t="s">
        <v>50</v>
      </c>
      <c r="AD534" s="6">
        <v>3783.0</v>
      </c>
    </row>
    <row r="535" ht="56.25" customHeight="1">
      <c r="A535" s="5" t="s">
        <v>2422</v>
      </c>
      <c r="B535" s="6" t="str">
        <f>IMAGE("https://storage.googleapis.com/acdb/housewares/FtrDrawingTable_Remake_1_0.png")</f>
        <v/>
      </c>
      <c r="C535" s="5" t="s">
        <v>1551</v>
      </c>
      <c r="D535" s="5" t="s">
        <v>34</v>
      </c>
      <c r="E535" s="5" t="s">
        <v>34</v>
      </c>
      <c r="F535" s="5" t="s">
        <v>34</v>
      </c>
      <c r="G535" s="5" t="s">
        <v>36</v>
      </c>
      <c r="H535" s="5" t="s">
        <v>36</v>
      </c>
      <c r="I535" s="5" t="s">
        <v>36</v>
      </c>
      <c r="J535" s="6" t="s">
        <v>34</v>
      </c>
      <c r="K535" s="6">
        <v>10000.0</v>
      </c>
      <c r="L535" s="6">
        <v>2500.0</v>
      </c>
      <c r="M535" s="8" t="s">
        <v>142</v>
      </c>
      <c r="N535" s="8" t="s">
        <v>142</v>
      </c>
      <c r="O535" s="6" t="s">
        <v>276</v>
      </c>
      <c r="P535" s="5" t="s">
        <v>59</v>
      </c>
      <c r="Q535" s="5" t="s">
        <v>122</v>
      </c>
      <c r="R535" s="6" t="s">
        <v>42</v>
      </c>
      <c r="S535" s="5" t="s">
        <v>202</v>
      </c>
      <c r="T535" s="5" t="s">
        <v>44</v>
      </c>
      <c r="U535" s="5" t="s">
        <v>44</v>
      </c>
      <c r="V535" s="5" t="s">
        <v>202</v>
      </c>
      <c r="W535" s="5" t="s">
        <v>36</v>
      </c>
      <c r="X535" s="8" t="s">
        <v>230</v>
      </c>
      <c r="Y535" s="5" t="s">
        <v>46</v>
      </c>
      <c r="Z535" s="5" t="s">
        <v>47</v>
      </c>
      <c r="AA535" s="5" t="s">
        <v>64</v>
      </c>
      <c r="AB535" s="5" t="s">
        <v>2428</v>
      </c>
      <c r="AC535" s="6" t="s">
        <v>56</v>
      </c>
      <c r="AD535" s="6">
        <v>3783.0</v>
      </c>
    </row>
    <row r="536" ht="56.25" customHeight="1">
      <c r="A536" s="5" t="s">
        <v>2422</v>
      </c>
      <c r="B536" s="6" t="str">
        <f>IMAGE("https://storage.googleapis.com/acdb/housewares/FtrDrawingTable_Remake_2_0.png")</f>
        <v/>
      </c>
      <c r="C536" s="5" t="s">
        <v>2430</v>
      </c>
      <c r="D536" s="5" t="s">
        <v>34</v>
      </c>
      <c r="E536" s="5" t="s">
        <v>34</v>
      </c>
      <c r="F536" s="5" t="s">
        <v>34</v>
      </c>
      <c r="G536" s="5" t="s">
        <v>36</v>
      </c>
      <c r="H536" s="5" t="s">
        <v>36</v>
      </c>
      <c r="I536" s="5" t="s">
        <v>36</v>
      </c>
      <c r="J536" s="6" t="s">
        <v>34</v>
      </c>
      <c r="K536" s="6">
        <v>10000.0</v>
      </c>
      <c r="L536" s="6">
        <v>2500.0</v>
      </c>
      <c r="M536" s="8" t="s">
        <v>39</v>
      </c>
      <c r="N536" s="8" t="s">
        <v>39</v>
      </c>
      <c r="O536" s="6" t="s">
        <v>276</v>
      </c>
      <c r="P536" s="5" t="s">
        <v>59</v>
      </c>
      <c r="Q536" s="5" t="s">
        <v>122</v>
      </c>
      <c r="R536" s="6" t="s">
        <v>42</v>
      </c>
      <c r="S536" s="5" t="s">
        <v>202</v>
      </c>
      <c r="T536" s="5" t="s">
        <v>44</v>
      </c>
      <c r="U536" s="5" t="s">
        <v>44</v>
      </c>
      <c r="V536" s="5" t="s">
        <v>202</v>
      </c>
      <c r="W536" s="5" t="s">
        <v>36</v>
      </c>
      <c r="X536" s="8" t="s">
        <v>230</v>
      </c>
      <c r="Y536" s="5" t="s">
        <v>46</v>
      </c>
      <c r="Z536" s="5" t="s">
        <v>47</v>
      </c>
      <c r="AA536" s="5" t="s">
        <v>64</v>
      </c>
      <c r="AB536" s="5" t="s">
        <v>2432</v>
      </c>
      <c r="AC536" s="6" t="s">
        <v>67</v>
      </c>
      <c r="AD536" s="6">
        <v>3783.0</v>
      </c>
    </row>
    <row r="537" ht="56.25" customHeight="1">
      <c r="A537" s="5" t="s">
        <v>2422</v>
      </c>
      <c r="B537" s="6" t="str">
        <f>IMAGE("https://storage.googleapis.com/acdb/housewares/FtrDrawingTable_Remake_3_0.png")</f>
        <v/>
      </c>
      <c r="C537" s="5" t="s">
        <v>366</v>
      </c>
      <c r="D537" s="5" t="s">
        <v>34</v>
      </c>
      <c r="E537" s="5" t="s">
        <v>34</v>
      </c>
      <c r="F537" s="5" t="s">
        <v>34</v>
      </c>
      <c r="G537" s="5" t="s">
        <v>36</v>
      </c>
      <c r="H537" s="5" t="s">
        <v>36</v>
      </c>
      <c r="I537" s="5" t="s">
        <v>36</v>
      </c>
      <c r="J537" s="6" t="s">
        <v>34</v>
      </c>
      <c r="K537" s="6">
        <v>10000.0</v>
      </c>
      <c r="L537" s="6">
        <v>2500.0</v>
      </c>
      <c r="M537" s="8" t="s">
        <v>38</v>
      </c>
      <c r="N537" s="8" t="s">
        <v>38</v>
      </c>
      <c r="O537" s="6" t="s">
        <v>276</v>
      </c>
      <c r="P537" s="5" t="s">
        <v>59</v>
      </c>
      <c r="Q537" s="5" t="s">
        <v>122</v>
      </c>
      <c r="R537" s="6" t="s">
        <v>42</v>
      </c>
      <c r="S537" s="5" t="s">
        <v>202</v>
      </c>
      <c r="T537" s="5" t="s">
        <v>44</v>
      </c>
      <c r="U537" s="5" t="s">
        <v>44</v>
      </c>
      <c r="V537" s="5" t="s">
        <v>202</v>
      </c>
      <c r="W537" s="5" t="s">
        <v>36</v>
      </c>
      <c r="X537" s="8" t="s">
        <v>230</v>
      </c>
      <c r="Y537" s="5" t="s">
        <v>46</v>
      </c>
      <c r="Z537" s="5" t="s">
        <v>47</v>
      </c>
      <c r="AA537" s="5" t="s">
        <v>64</v>
      </c>
      <c r="AB537" s="5" t="s">
        <v>2436</v>
      </c>
      <c r="AC537" s="6" t="s">
        <v>71</v>
      </c>
      <c r="AD537" s="6">
        <v>3783.0</v>
      </c>
    </row>
    <row r="538" ht="56.25" customHeight="1">
      <c r="A538" s="5" t="s">
        <v>2422</v>
      </c>
      <c r="B538" s="6" t="str">
        <f>IMAGE("https://storage.googleapis.com/acdb/housewares/FtrDrawingTable_Remake_4_0.png")</f>
        <v/>
      </c>
      <c r="C538" s="5" t="s">
        <v>57</v>
      </c>
      <c r="D538" s="5" t="s">
        <v>34</v>
      </c>
      <c r="E538" s="5" t="s">
        <v>34</v>
      </c>
      <c r="F538" s="5" t="s">
        <v>34</v>
      </c>
      <c r="G538" s="5" t="s">
        <v>36</v>
      </c>
      <c r="H538" s="5" t="s">
        <v>36</v>
      </c>
      <c r="I538" s="5" t="s">
        <v>36</v>
      </c>
      <c r="J538" s="6" t="s">
        <v>34</v>
      </c>
      <c r="K538" s="6">
        <v>10000.0</v>
      </c>
      <c r="L538" s="6">
        <v>2500.0</v>
      </c>
      <c r="M538" s="8" t="s">
        <v>57</v>
      </c>
      <c r="N538" s="8" t="s">
        <v>57</v>
      </c>
      <c r="O538" s="6" t="s">
        <v>276</v>
      </c>
      <c r="P538" s="5" t="s">
        <v>59</v>
      </c>
      <c r="Q538" s="5" t="s">
        <v>122</v>
      </c>
      <c r="R538" s="6" t="s">
        <v>42</v>
      </c>
      <c r="S538" s="5" t="s">
        <v>202</v>
      </c>
      <c r="T538" s="5" t="s">
        <v>44</v>
      </c>
      <c r="U538" s="5" t="s">
        <v>44</v>
      </c>
      <c r="V538" s="5" t="s">
        <v>202</v>
      </c>
      <c r="W538" s="5" t="s">
        <v>36</v>
      </c>
      <c r="X538" s="8" t="s">
        <v>230</v>
      </c>
      <c r="Y538" s="5" t="s">
        <v>46</v>
      </c>
      <c r="Z538" s="5" t="s">
        <v>47</v>
      </c>
      <c r="AA538" s="5" t="s">
        <v>64</v>
      </c>
      <c r="AB538" s="5" t="s">
        <v>2438</v>
      </c>
      <c r="AC538" s="6" t="s">
        <v>75</v>
      </c>
      <c r="AD538" s="6">
        <v>3783.0</v>
      </c>
    </row>
    <row r="539" ht="56.25" customHeight="1">
      <c r="A539" s="5" t="s">
        <v>2439</v>
      </c>
      <c r="B539" s="6" t="str">
        <f>IMAGE("https://storage.googleapis.com/acdb/housewares/FtrSignpostWorld_Remake_0_0.png")</f>
        <v/>
      </c>
      <c r="C539" s="5" t="s">
        <v>32</v>
      </c>
      <c r="D539" s="5" t="s">
        <v>135</v>
      </c>
      <c r="E539" s="5" t="s">
        <v>34</v>
      </c>
      <c r="F539" s="5" t="s">
        <v>34</v>
      </c>
      <c r="G539" s="5" t="s">
        <v>35</v>
      </c>
      <c r="H539" s="5" t="s">
        <v>35</v>
      </c>
      <c r="I539" s="5" t="s">
        <v>36</v>
      </c>
      <c r="J539" s="6">
        <v>2.0</v>
      </c>
      <c r="K539" s="6" t="s">
        <v>37</v>
      </c>
      <c r="L539" s="6">
        <v>1440.0</v>
      </c>
      <c r="M539" s="8" t="s">
        <v>142</v>
      </c>
      <c r="N539" s="8" t="s">
        <v>142</v>
      </c>
      <c r="O539" s="6" t="s">
        <v>1243</v>
      </c>
      <c r="P539" s="5" t="s">
        <v>41</v>
      </c>
      <c r="Q539" s="5"/>
      <c r="R539" s="6" t="s">
        <v>42</v>
      </c>
      <c r="S539" s="5" t="s">
        <v>172</v>
      </c>
      <c r="T539" s="5" t="s">
        <v>44</v>
      </c>
      <c r="U539" s="5" t="s">
        <v>44</v>
      </c>
      <c r="V539" s="5" t="s">
        <v>44</v>
      </c>
      <c r="W539" s="5" t="s">
        <v>36</v>
      </c>
      <c r="X539" s="8" t="s">
        <v>173</v>
      </c>
      <c r="Y539" s="5" t="s">
        <v>46</v>
      </c>
      <c r="Z539" s="5" t="s">
        <v>47</v>
      </c>
      <c r="AA539" s="5" t="s">
        <v>48</v>
      </c>
      <c r="AB539" s="5" t="s">
        <v>2442</v>
      </c>
      <c r="AC539" s="6" t="s">
        <v>50</v>
      </c>
      <c r="AD539" s="6">
        <v>4309.0</v>
      </c>
    </row>
    <row r="540" ht="56.25" customHeight="1">
      <c r="A540" s="5" t="s">
        <v>2439</v>
      </c>
      <c r="B540" s="6" t="str">
        <f>IMAGE("https://storage.googleapis.com/acdb/housewares/FtrSignpostWorld_Remake_1_0.png")</f>
        <v/>
      </c>
      <c r="C540" s="5" t="s">
        <v>57</v>
      </c>
      <c r="D540" s="5" t="s">
        <v>135</v>
      </c>
      <c r="E540" s="5" t="s">
        <v>34</v>
      </c>
      <c r="F540" s="5" t="s">
        <v>34</v>
      </c>
      <c r="G540" s="5" t="s">
        <v>35</v>
      </c>
      <c r="H540" s="5" t="s">
        <v>35</v>
      </c>
      <c r="I540" s="5" t="s">
        <v>36</v>
      </c>
      <c r="J540" s="6">
        <v>2.0</v>
      </c>
      <c r="K540" s="6" t="s">
        <v>37</v>
      </c>
      <c r="L540" s="6">
        <v>1440.0</v>
      </c>
      <c r="M540" s="8" t="s">
        <v>57</v>
      </c>
      <c r="N540" s="8" t="s">
        <v>57</v>
      </c>
      <c r="O540" s="6" t="s">
        <v>1243</v>
      </c>
      <c r="P540" s="5" t="s">
        <v>41</v>
      </c>
      <c r="Q540" s="5"/>
      <c r="R540" s="6" t="s">
        <v>42</v>
      </c>
      <c r="S540" s="5" t="s">
        <v>172</v>
      </c>
      <c r="T540" s="5" t="s">
        <v>44</v>
      </c>
      <c r="U540" s="5" t="s">
        <v>44</v>
      </c>
      <c r="V540" s="5" t="s">
        <v>44</v>
      </c>
      <c r="W540" s="5" t="s">
        <v>36</v>
      </c>
      <c r="X540" s="8" t="s">
        <v>173</v>
      </c>
      <c r="Y540" s="5" t="s">
        <v>46</v>
      </c>
      <c r="Z540" s="5" t="s">
        <v>47</v>
      </c>
      <c r="AA540" s="5" t="s">
        <v>48</v>
      </c>
      <c r="AB540" s="5" t="s">
        <v>2445</v>
      </c>
      <c r="AC540" s="6" t="s">
        <v>56</v>
      </c>
      <c r="AD540" s="6">
        <v>4309.0</v>
      </c>
    </row>
    <row r="541" ht="56.25" customHeight="1">
      <c r="A541" s="5" t="s">
        <v>2439</v>
      </c>
      <c r="B541" s="6" t="str">
        <f>IMAGE("https://storage.googleapis.com/acdb/housewares/FtrSignpostWorld_Remake_2_0.png")</f>
        <v/>
      </c>
      <c r="C541" s="5" t="s">
        <v>54</v>
      </c>
      <c r="D541" s="5" t="s">
        <v>135</v>
      </c>
      <c r="E541" s="5" t="s">
        <v>34</v>
      </c>
      <c r="F541" s="5" t="s">
        <v>34</v>
      </c>
      <c r="G541" s="5" t="s">
        <v>35</v>
      </c>
      <c r="H541" s="5" t="s">
        <v>35</v>
      </c>
      <c r="I541" s="5" t="s">
        <v>36</v>
      </c>
      <c r="J541" s="6">
        <v>2.0</v>
      </c>
      <c r="K541" s="6" t="s">
        <v>37</v>
      </c>
      <c r="L541" s="6">
        <v>1440.0</v>
      </c>
      <c r="M541" s="8" t="s">
        <v>54</v>
      </c>
      <c r="N541" s="8" t="s">
        <v>54</v>
      </c>
      <c r="O541" s="6" t="s">
        <v>1243</v>
      </c>
      <c r="P541" s="5" t="s">
        <v>41</v>
      </c>
      <c r="Q541" s="5"/>
      <c r="R541" s="6" t="s">
        <v>42</v>
      </c>
      <c r="S541" s="5" t="s">
        <v>172</v>
      </c>
      <c r="T541" s="5" t="s">
        <v>44</v>
      </c>
      <c r="U541" s="5" t="s">
        <v>44</v>
      </c>
      <c r="V541" s="5" t="s">
        <v>44</v>
      </c>
      <c r="W541" s="5" t="s">
        <v>36</v>
      </c>
      <c r="X541" s="8" t="s">
        <v>173</v>
      </c>
      <c r="Y541" s="5" t="s">
        <v>46</v>
      </c>
      <c r="Z541" s="5" t="s">
        <v>47</v>
      </c>
      <c r="AA541" s="5" t="s">
        <v>48</v>
      </c>
      <c r="AB541" s="5" t="s">
        <v>2451</v>
      </c>
      <c r="AC541" s="6" t="s">
        <v>67</v>
      </c>
      <c r="AD541" s="6">
        <v>4309.0</v>
      </c>
    </row>
    <row r="542" ht="56.25" customHeight="1">
      <c r="A542" s="5" t="s">
        <v>2439</v>
      </c>
      <c r="B542" s="6" t="str">
        <f>IMAGE("https://storage.googleapis.com/acdb/housewares/FtrSignpostWorld_Remake_3_0.png")</f>
        <v/>
      </c>
      <c r="C542" s="5" t="s">
        <v>58</v>
      </c>
      <c r="D542" s="5" t="s">
        <v>135</v>
      </c>
      <c r="E542" s="5" t="s">
        <v>34</v>
      </c>
      <c r="F542" s="5" t="s">
        <v>34</v>
      </c>
      <c r="G542" s="5" t="s">
        <v>35</v>
      </c>
      <c r="H542" s="5" t="s">
        <v>35</v>
      </c>
      <c r="I542" s="5" t="s">
        <v>36</v>
      </c>
      <c r="J542" s="6">
        <v>2.0</v>
      </c>
      <c r="K542" s="6" t="s">
        <v>37</v>
      </c>
      <c r="L542" s="6">
        <v>1440.0</v>
      </c>
      <c r="M542" s="8" t="s">
        <v>58</v>
      </c>
      <c r="N542" s="8" t="s">
        <v>39</v>
      </c>
      <c r="O542" s="6" t="s">
        <v>1243</v>
      </c>
      <c r="P542" s="5" t="s">
        <v>41</v>
      </c>
      <c r="Q542" s="5"/>
      <c r="R542" s="6" t="s">
        <v>42</v>
      </c>
      <c r="S542" s="5" t="s">
        <v>172</v>
      </c>
      <c r="T542" s="5" t="s">
        <v>44</v>
      </c>
      <c r="U542" s="5" t="s">
        <v>44</v>
      </c>
      <c r="V542" s="5" t="s">
        <v>44</v>
      </c>
      <c r="W542" s="5" t="s">
        <v>36</v>
      </c>
      <c r="X542" s="8" t="s">
        <v>173</v>
      </c>
      <c r="Y542" s="5" t="s">
        <v>46</v>
      </c>
      <c r="Z542" s="5" t="s">
        <v>47</v>
      </c>
      <c r="AA542" s="5" t="s">
        <v>48</v>
      </c>
      <c r="AB542" s="5" t="s">
        <v>2456</v>
      </c>
      <c r="AC542" s="6" t="s">
        <v>71</v>
      </c>
      <c r="AD542" s="6">
        <v>4309.0</v>
      </c>
    </row>
    <row r="543" ht="56.25" customHeight="1">
      <c r="A543" s="5" t="s">
        <v>2439</v>
      </c>
      <c r="B543" s="6" t="str">
        <f>IMAGE("https://storage.googleapis.com/acdb/housewares/FtrSignpostWorld_Remake_4_0.png")</f>
        <v/>
      </c>
      <c r="C543" s="5" t="s">
        <v>2458</v>
      </c>
      <c r="D543" s="5" t="s">
        <v>135</v>
      </c>
      <c r="E543" s="5" t="s">
        <v>34</v>
      </c>
      <c r="F543" s="5" t="s">
        <v>34</v>
      </c>
      <c r="G543" s="5" t="s">
        <v>35</v>
      </c>
      <c r="H543" s="5" t="s">
        <v>35</v>
      </c>
      <c r="I543" s="5" t="s">
        <v>36</v>
      </c>
      <c r="J543" s="6">
        <v>2.0</v>
      </c>
      <c r="K543" s="6" t="s">
        <v>37</v>
      </c>
      <c r="L543" s="6">
        <v>1440.0</v>
      </c>
      <c r="M543" s="8" t="s">
        <v>68</v>
      </c>
      <c r="N543" s="8" t="s">
        <v>1175</v>
      </c>
      <c r="O543" s="6" t="s">
        <v>1243</v>
      </c>
      <c r="P543" s="5" t="s">
        <v>41</v>
      </c>
      <c r="Q543" s="5"/>
      <c r="R543" s="6" t="s">
        <v>42</v>
      </c>
      <c r="S543" s="5" t="s">
        <v>172</v>
      </c>
      <c r="T543" s="5" t="s">
        <v>44</v>
      </c>
      <c r="U543" s="5" t="s">
        <v>44</v>
      </c>
      <c r="V543" s="5" t="s">
        <v>44</v>
      </c>
      <c r="W543" s="5" t="s">
        <v>36</v>
      </c>
      <c r="X543" s="8" t="s">
        <v>173</v>
      </c>
      <c r="Y543" s="5" t="s">
        <v>46</v>
      </c>
      <c r="Z543" s="5" t="s">
        <v>47</v>
      </c>
      <c r="AA543" s="5" t="s">
        <v>48</v>
      </c>
      <c r="AB543" s="5" t="s">
        <v>2460</v>
      </c>
      <c r="AC543" s="6" t="s">
        <v>75</v>
      </c>
      <c r="AD543" s="6">
        <v>4309.0</v>
      </c>
    </row>
    <row r="544" ht="56.25" customHeight="1">
      <c r="A544" s="5" t="s">
        <v>2439</v>
      </c>
      <c r="B544" s="6" t="str">
        <f>IMAGE("https://storage.googleapis.com/acdb/housewares/FtrSignpostWorld_Remake_5_0.png")</f>
        <v/>
      </c>
      <c r="C544" s="5" t="s">
        <v>1531</v>
      </c>
      <c r="D544" s="5" t="s">
        <v>135</v>
      </c>
      <c r="E544" s="5" t="s">
        <v>34</v>
      </c>
      <c r="F544" s="5" t="s">
        <v>34</v>
      </c>
      <c r="G544" s="5" t="s">
        <v>35</v>
      </c>
      <c r="H544" s="5" t="s">
        <v>35</v>
      </c>
      <c r="I544" s="5" t="s">
        <v>36</v>
      </c>
      <c r="J544" s="6">
        <v>2.0</v>
      </c>
      <c r="K544" s="6" t="s">
        <v>37</v>
      </c>
      <c r="L544" s="6">
        <v>1440.0</v>
      </c>
      <c r="M544" s="8" t="s">
        <v>38</v>
      </c>
      <c r="N544" s="8" t="s">
        <v>38</v>
      </c>
      <c r="O544" s="6" t="s">
        <v>1243</v>
      </c>
      <c r="P544" s="5" t="s">
        <v>41</v>
      </c>
      <c r="Q544" s="5"/>
      <c r="R544" s="6" t="s">
        <v>42</v>
      </c>
      <c r="S544" s="5" t="s">
        <v>172</v>
      </c>
      <c r="T544" s="5" t="s">
        <v>44</v>
      </c>
      <c r="U544" s="5" t="s">
        <v>44</v>
      </c>
      <c r="V544" s="5" t="s">
        <v>44</v>
      </c>
      <c r="W544" s="5" t="s">
        <v>36</v>
      </c>
      <c r="X544" s="8" t="s">
        <v>173</v>
      </c>
      <c r="Y544" s="5" t="s">
        <v>46</v>
      </c>
      <c r="Z544" s="5" t="s">
        <v>47</v>
      </c>
      <c r="AA544" s="5" t="s">
        <v>48</v>
      </c>
      <c r="AB544" s="5" t="s">
        <v>2466</v>
      </c>
      <c r="AC544" s="6" t="s">
        <v>79</v>
      </c>
      <c r="AD544" s="6">
        <v>4309.0</v>
      </c>
    </row>
    <row r="545" ht="56.25" customHeight="1">
      <c r="A545" s="5" t="s">
        <v>2467</v>
      </c>
      <c r="B545" s="6" t="str">
        <f>IMAGE("https://storage.googleapis.com/acdb/housewares/FtrWeightscale_Remake_0_0.png")</f>
        <v/>
      </c>
      <c r="C545" s="5" t="s">
        <v>57</v>
      </c>
      <c r="D545" s="5" t="s">
        <v>34</v>
      </c>
      <c r="E545" s="5" t="s">
        <v>57</v>
      </c>
      <c r="F545" s="5" t="s">
        <v>373</v>
      </c>
      <c r="G545" s="5" t="s">
        <v>36</v>
      </c>
      <c r="H545" s="5" t="s">
        <v>36</v>
      </c>
      <c r="I545" s="5" t="s">
        <v>35</v>
      </c>
      <c r="J545" s="6">
        <v>1.0</v>
      </c>
      <c r="K545" s="6">
        <v>930.0</v>
      </c>
      <c r="L545" s="6">
        <v>232.0</v>
      </c>
      <c r="M545" s="8" t="s">
        <v>57</v>
      </c>
      <c r="N545" s="8" t="s">
        <v>57</v>
      </c>
      <c r="O545" s="6" t="s">
        <v>40</v>
      </c>
      <c r="P545" s="5" t="s">
        <v>59</v>
      </c>
      <c r="Q545" s="5" t="s">
        <v>89</v>
      </c>
      <c r="R545" s="6" t="s">
        <v>42</v>
      </c>
      <c r="S545" s="5" t="s">
        <v>288</v>
      </c>
      <c r="T545" s="5" t="s">
        <v>44</v>
      </c>
      <c r="U545" s="5" t="s">
        <v>44</v>
      </c>
      <c r="V545" s="5" t="s">
        <v>44</v>
      </c>
      <c r="W545" s="5" t="s">
        <v>36</v>
      </c>
      <c r="X545" s="8" t="s">
        <v>289</v>
      </c>
      <c r="Y545" s="5" t="s">
        <v>46</v>
      </c>
      <c r="Z545" s="5" t="s">
        <v>47</v>
      </c>
      <c r="AA545" s="5" t="s">
        <v>64</v>
      </c>
      <c r="AB545" s="5" t="s">
        <v>2470</v>
      </c>
      <c r="AC545" s="6" t="s">
        <v>50</v>
      </c>
      <c r="AD545" s="6">
        <v>3307.0</v>
      </c>
    </row>
    <row r="546" ht="56.25" customHeight="1">
      <c r="A546" s="5" t="s">
        <v>2467</v>
      </c>
      <c r="B546" s="6" t="str">
        <f>IMAGE("https://storage.googleapis.com/acdb/housewares/FtrWeightscale_Remake_0_1.png")</f>
        <v/>
      </c>
      <c r="C546" s="5" t="s">
        <v>57</v>
      </c>
      <c r="D546" s="5" t="s">
        <v>34</v>
      </c>
      <c r="E546" s="5" t="s">
        <v>400</v>
      </c>
      <c r="F546" s="5" t="s">
        <v>373</v>
      </c>
      <c r="G546" s="5" t="s">
        <v>36</v>
      </c>
      <c r="H546" s="5" t="s">
        <v>36</v>
      </c>
      <c r="I546" s="5" t="s">
        <v>35</v>
      </c>
      <c r="J546" s="6">
        <v>1.0</v>
      </c>
      <c r="K546" s="6">
        <v>930.0</v>
      </c>
      <c r="L546" s="6">
        <v>232.0</v>
      </c>
      <c r="M546" s="8" t="s">
        <v>57</v>
      </c>
      <c r="N546" s="8" t="s">
        <v>52</v>
      </c>
      <c r="O546" s="6" t="s">
        <v>40</v>
      </c>
      <c r="P546" s="5" t="s">
        <v>59</v>
      </c>
      <c r="Q546" s="5" t="s">
        <v>89</v>
      </c>
      <c r="R546" s="6" t="s">
        <v>42</v>
      </c>
      <c r="S546" s="5" t="s">
        <v>288</v>
      </c>
      <c r="T546" s="5" t="s">
        <v>44</v>
      </c>
      <c r="U546" s="5" t="s">
        <v>44</v>
      </c>
      <c r="V546" s="5" t="s">
        <v>44</v>
      </c>
      <c r="W546" s="5" t="s">
        <v>36</v>
      </c>
      <c r="X546" s="8" t="s">
        <v>289</v>
      </c>
      <c r="Y546" s="5" t="s">
        <v>46</v>
      </c>
      <c r="Z546" s="5" t="s">
        <v>47</v>
      </c>
      <c r="AA546" s="5" t="s">
        <v>64</v>
      </c>
      <c r="AB546" s="5" t="s">
        <v>2476</v>
      </c>
      <c r="AC546" s="6" t="s">
        <v>217</v>
      </c>
      <c r="AD546" s="6">
        <v>3307.0</v>
      </c>
    </row>
    <row r="547" ht="56.25" customHeight="1">
      <c r="A547" s="5" t="s">
        <v>2467</v>
      </c>
      <c r="B547" s="6" t="str">
        <f>IMAGE("https://storage.googleapis.com/acdb/housewares/FtrWeightscale_Remake_0_2.png")</f>
        <v/>
      </c>
      <c r="C547" s="5" t="s">
        <v>57</v>
      </c>
      <c r="D547" s="5" t="s">
        <v>34</v>
      </c>
      <c r="E547" s="5" t="s">
        <v>1044</v>
      </c>
      <c r="F547" s="5" t="s">
        <v>373</v>
      </c>
      <c r="G547" s="5" t="s">
        <v>36</v>
      </c>
      <c r="H547" s="5" t="s">
        <v>36</v>
      </c>
      <c r="I547" s="5" t="s">
        <v>35</v>
      </c>
      <c r="J547" s="6">
        <v>1.0</v>
      </c>
      <c r="K547" s="6">
        <v>930.0</v>
      </c>
      <c r="L547" s="6">
        <v>232.0</v>
      </c>
      <c r="M547" s="8" t="s">
        <v>57</v>
      </c>
      <c r="N547" s="8" t="s">
        <v>96</v>
      </c>
      <c r="O547" s="6" t="s">
        <v>40</v>
      </c>
      <c r="P547" s="5" t="s">
        <v>59</v>
      </c>
      <c r="Q547" s="5" t="s">
        <v>89</v>
      </c>
      <c r="R547" s="6" t="s">
        <v>42</v>
      </c>
      <c r="S547" s="5" t="s">
        <v>288</v>
      </c>
      <c r="T547" s="5" t="s">
        <v>44</v>
      </c>
      <c r="U547" s="5" t="s">
        <v>44</v>
      </c>
      <c r="V547" s="5" t="s">
        <v>44</v>
      </c>
      <c r="W547" s="5" t="s">
        <v>36</v>
      </c>
      <c r="X547" s="8" t="s">
        <v>289</v>
      </c>
      <c r="Y547" s="5" t="s">
        <v>46</v>
      </c>
      <c r="Z547" s="5" t="s">
        <v>47</v>
      </c>
      <c r="AA547" s="5" t="s">
        <v>64</v>
      </c>
      <c r="AB547" s="5" t="s">
        <v>2481</v>
      </c>
      <c r="AC547" s="6" t="s">
        <v>347</v>
      </c>
      <c r="AD547" s="6">
        <v>3307.0</v>
      </c>
    </row>
    <row r="548" ht="56.25" customHeight="1">
      <c r="A548" s="5" t="s">
        <v>2467</v>
      </c>
      <c r="B548" s="6" t="str">
        <f>IMAGE("https://storage.googleapis.com/acdb/housewares/FtrWeightscale_Remake_0_3.png")</f>
        <v/>
      </c>
      <c r="C548" s="5" t="s">
        <v>57</v>
      </c>
      <c r="D548" s="5" t="s">
        <v>34</v>
      </c>
      <c r="E548" s="5" t="s">
        <v>2482</v>
      </c>
      <c r="F548" s="5" t="s">
        <v>373</v>
      </c>
      <c r="G548" s="5" t="s">
        <v>36</v>
      </c>
      <c r="H548" s="5" t="s">
        <v>36</v>
      </c>
      <c r="I548" s="5" t="s">
        <v>35</v>
      </c>
      <c r="J548" s="6">
        <v>1.0</v>
      </c>
      <c r="K548" s="6">
        <v>930.0</v>
      </c>
      <c r="L548" s="6">
        <v>232.0</v>
      </c>
      <c r="M548" s="8" t="s">
        <v>57</v>
      </c>
      <c r="N548" s="8" t="s">
        <v>95</v>
      </c>
      <c r="O548" s="6" t="s">
        <v>40</v>
      </c>
      <c r="P548" s="5" t="s">
        <v>59</v>
      </c>
      <c r="Q548" s="5" t="s">
        <v>89</v>
      </c>
      <c r="R548" s="6" t="s">
        <v>42</v>
      </c>
      <c r="S548" s="5" t="s">
        <v>288</v>
      </c>
      <c r="T548" s="5" t="s">
        <v>44</v>
      </c>
      <c r="U548" s="5" t="s">
        <v>44</v>
      </c>
      <c r="V548" s="5" t="s">
        <v>44</v>
      </c>
      <c r="W548" s="5" t="s">
        <v>36</v>
      </c>
      <c r="X548" s="8" t="s">
        <v>289</v>
      </c>
      <c r="Y548" s="5" t="s">
        <v>46</v>
      </c>
      <c r="Z548" s="5" t="s">
        <v>47</v>
      </c>
      <c r="AA548" s="5" t="s">
        <v>64</v>
      </c>
      <c r="AB548" s="5" t="s">
        <v>2486</v>
      </c>
      <c r="AC548" s="6" t="s">
        <v>354</v>
      </c>
      <c r="AD548" s="6">
        <v>3307.0</v>
      </c>
    </row>
    <row r="549" ht="56.25" customHeight="1">
      <c r="A549" s="5" t="s">
        <v>2467</v>
      </c>
      <c r="B549" s="6" t="str">
        <f>IMAGE("https://storage.googleapis.com/acdb/housewares/FtrWeightscale_Remake_0_4.png")</f>
        <v/>
      </c>
      <c r="C549" s="5" t="s">
        <v>57</v>
      </c>
      <c r="D549" s="5" t="s">
        <v>34</v>
      </c>
      <c r="E549" s="5" t="s">
        <v>2489</v>
      </c>
      <c r="F549" s="5" t="s">
        <v>373</v>
      </c>
      <c r="G549" s="5" t="s">
        <v>36</v>
      </c>
      <c r="H549" s="5" t="s">
        <v>36</v>
      </c>
      <c r="I549" s="5" t="s">
        <v>35</v>
      </c>
      <c r="J549" s="6">
        <v>1.0</v>
      </c>
      <c r="K549" s="6">
        <v>930.0</v>
      </c>
      <c r="L549" s="6">
        <v>232.0</v>
      </c>
      <c r="M549" s="8" t="s">
        <v>57</v>
      </c>
      <c r="N549" s="8" t="s">
        <v>114</v>
      </c>
      <c r="O549" s="6" t="s">
        <v>40</v>
      </c>
      <c r="P549" s="5" t="s">
        <v>59</v>
      </c>
      <c r="Q549" s="5" t="s">
        <v>89</v>
      </c>
      <c r="R549" s="6" t="s">
        <v>42</v>
      </c>
      <c r="S549" s="5" t="s">
        <v>288</v>
      </c>
      <c r="T549" s="5" t="s">
        <v>44</v>
      </c>
      <c r="U549" s="5" t="s">
        <v>44</v>
      </c>
      <c r="V549" s="5" t="s">
        <v>44</v>
      </c>
      <c r="W549" s="5" t="s">
        <v>36</v>
      </c>
      <c r="X549" s="8" t="s">
        <v>289</v>
      </c>
      <c r="Y549" s="5" t="s">
        <v>46</v>
      </c>
      <c r="Z549" s="5" t="s">
        <v>47</v>
      </c>
      <c r="AA549" s="5" t="s">
        <v>64</v>
      </c>
      <c r="AB549" s="5" t="s">
        <v>2492</v>
      </c>
      <c r="AC549" s="6" t="s">
        <v>486</v>
      </c>
      <c r="AD549" s="6">
        <v>3307.0</v>
      </c>
    </row>
    <row r="550" ht="56.25" customHeight="1">
      <c r="A550" s="5" t="s">
        <v>2467</v>
      </c>
      <c r="B550" s="6" t="str">
        <f>IMAGE("https://storage.googleapis.com/acdb/housewares/FtrWeightscale_Remake_1_0.png")</f>
        <v/>
      </c>
      <c r="C550" s="5" t="s">
        <v>54</v>
      </c>
      <c r="D550" s="5" t="s">
        <v>34</v>
      </c>
      <c r="E550" s="5" t="s">
        <v>57</v>
      </c>
      <c r="F550" s="5" t="s">
        <v>373</v>
      </c>
      <c r="G550" s="5" t="s">
        <v>36</v>
      </c>
      <c r="H550" s="5" t="s">
        <v>36</v>
      </c>
      <c r="I550" s="5" t="s">
        <v>35</v>
      </c>
      <c r="J550" s="6">
        <v>1.0</v>
      </c>
      <c r="K550" s="6">
        <v>930.0</v>
      </c>
      <c r="L550" s="6">
        <v>232.0</v>
      </c>
      <c r="M550" s="5" t="s">
        <v>54</v>
      </c>
      <c r="N550" s="8" t="s">
        <v>57</v>
      </c>
      <c r="O550" s="6" t="s">
        <v>40</v>
      </c>
      <c r="P550" s="5" t="s">
        <v>59</v>
      </c>
      <c r="Q550" s="5" t="s">
        <v>89</v>
      </c>
      <c r="R550" s="6" t="s">
        <v>42</v>
      </c>
      <c r="S550" s="5" t="s">
        <v>288</v>
      </c>
      <c r="T550" s="5" t="s">
        <v>44</v>
      </c>
      <c r="U550" s="5" t="s">
        <v>44</v>
      </c>
      <c r="V550" s="5" t="s">
        <v>44</v>
      </c>
      <c r="W550" s="5" t="s">
        <v>36</v>
      </c>
      <c r="X550" s="8" t="s">
        <v>289</v>
      </c>
      <c r="Y550" s="5" t="s">
        <v>46</v>
      </c>
      <c r="Z550" s="5" t="s">
        <v>47</v>
      </c>
      <c r="AA550" s="5" t="s">
        <v>64</v>
      </c>
      <c r="AB550" s="5" t="s">
        <v>2494</v>
      </c>
      <c r="AC550" s="6" t="s">
        <v>56</v>
      </c>
      <c r="AD550" s="6">
        <v>3307.0</v>
      </c>
    </row>
    <row r="551" ht="56.25" customHeight="1">
      <c r="A551" s="5" t="s">
        <v>2467</v>
      </c>
      <c r="B551" s="6" t="str">
        <f>IMAGE("https://storage.googleapis.com/acdb/housewares/FtrWeightscale_Remake_1_1.png")</f>
        <v/>
      </c>
      <c r="C551" s="5" t="s">
        <v>54</v>
      </c>
      <c r="D551" s="5" t="s">
        <v>34</v>
      </c>
      <c r="E551" s="5" t="s">
        <v>400</v>
      </c>
      <c r="F551" s="5" t="s">
        <v>373</v>
      </c>
      <c r="G551" s="5" t="s">
        <v>36</v>
      </c>
      <c r="H551" s="5" t="s">
        <v>36</v>
      </c>
      <c r="I551" s="5" t="s">
        <v>35</v>
      </c>
      <c r="J551" s="6">
        <v>1.0</v>
      </c>
      <c r="K551" s="6">
        <v>930.0</v>
      </c>
      <c r="L551" s="6">
        <v>232.0</v>
      </c>
      <c r="M551" s="5" t="s">
        <v>54</v>
      </c>
      <c r="N551" s="8" t="s">
        <v>52</v>
      </c>
      <c r="O551" s="6" t="s">
        <v>40</v>
      </c>
      <c r="P551" s="5" t="s">
        <v>59</v>
      </c>
      <c r="Q551" s="5" t="s">
        <v>89</v>
      </c>
      <c r="R551" s="6" t="s">
        <v>42</v>
      </c>
      <c r="S551" s="5" t="s">
        <v>288</v>
      </c>
      <c r="T551" s="5" t="s">
        <v>44</v>
      </c>
      <c r="U551" s="5" t="s">
        <v>44</v>
      </c>
      <c r="V551" s="5" t="s">
        <v>44</v>
      </c>
      <c r="W551" s="5" t="s">
        <v>36</v>
      </c>
      <c r="X551" s="8" t="s">
        <v>289</v>
      </c>
      <c r="Y551" s="5" t="s">
        <v>46</v>
      </c>
      <c r="Z551" s="5" t="s">
        <v>47</v>
      </c>
      <c r="AA551" s="5" t="s">
        <v>64</v>
      </c>
      <c r="AB551" s="5" t="s">
        <v>2498</v>
      </c>
      <c r="AC551" s="6" t="s">
        <v>234</v>
      </c>
      <c r="AD551" s="6">
        <v>3307.0</v>
      </c>
    </row>
    <row r="552" ht="56.25" customHeight="1">
      <c r="A552" s="5" t="s">
        <v>2467</v>
      </c>
      <c r="B552" s="6" t="str">
        <f>IMAGE("https://storage.googleapis.com/acdb/housewares/FtrWeightscale_Remake_1_2.png")</f>
        <v/>
      </c>
      <c r="C552" s="5" t="s">
        <v>54</v>
      </c>
      <c r="D552" s="5" t="s">
        <v>34</v>
      </c>
      <c r="E552" s="5" t="s">
        <v>1044</v>
      </c>
      <c r="F552" s="5" t="s">
        <v>373</v>
      </c>
      <c r="G552" s="5" t="s">
        <v>36</v>
      </c>
      <c r="H552" s="5" t="s">
        <v>36</v>
      </c>
      <c r="I552" s="5" t="s">
        <v>35</v>
      </c>
      <c r="J552" s="6">
        <v>1.0</v>
      </c>
      <c r="K552" s="6">
        <v>930.0</v>
      </c>
      <c r="L552" s="6">
        <v>232.0</v>
      </c>
      <c r="M552" s="5" t="s">
        <v>54</v>
      </c>
      <c r="N552" s="8" t="s">
        <v>96</v>
      </c>
      <c r="O552" s="6" t="s">
        <v>40</v>
      </c>
      <c r="P552" s="5" t="s">
        <v>59</v>
      </c>
      <c r="Q552" s="5" t="s">
        <v>89</v>
      </c>
      <c r="R552" s="6" t="s">
        <v>42</v>
      </c>
      <c r="S552" s="5" t="s">
        <v>288</v>
      </c>
      <c r="T552" s="5" t="s">
        <v>44</v>
      </c>
      <c r="U552" s="5" t="s">
        <v>44</v>
      </c>
      <c r="V552" s="5" t="s">
        <v>44</v>
      </c>
      <c r="W552" s="5" t="s">
        <v>36</v>
      </c>
      <c r="X552" s="8" t="s">
        <v>289</v>
      </c>
      <c r="Y552" s="5" t="s">
        <v>46</v>
      </c>
      <c r="Z552" s="5" t="s">
        <v>47</v>
      </c>
      <c r="AA552" s="5" t="s">
        <v>64</v>
      </c>
      <c r="AB552" s="5" t="s">
        <v>2499</v>
      </c>
      <c r="AC552" s="6" t="s">
        <v>370</v>
      </c>
      <c r="AD552" s="6">
        <v>3307.0</v>
      </c>
    </row>
    <row r="553" ht="56.25" customHeight="1">
      <c r="A553" s="5" t="s">
        <v>2467</v>
      </c>
      <c r="B553" s="6" t="str">
        <f>IMAGE("https://storage.googleapis.com/acdb/housewares/FtrWeightscale_Remake_1_3.png")</f>
        <v/>
      </c>
      <c r="C553" s="5" t="s">
        <v>54</v>
      </c>
      <c r="D553" s="5" t="s">
        <v>34</v>
      </c>
      <c r="E553" s="5" t="s">
        <v>2482</v>
      </c>
      <c r="F553" s="5" t="s">
        <v>373</v>
      </c>
      <c r="G553" s="5" t="s">
        <v>36</v>
      </c>
      <c r="H553" s="5" t="s">
        <v>36</v>
      </c>
      <c r="I553" s="5" t="s">
        <v>35</v>
      </c>
      <c r="J553" s="6">
        <v>1.0</v>
      </c>
      <c r="K553" s="6">
        <v>930.0</v>
      </c>
      <c r="L553" s="6">
        <v>232.0</v>
      </c>
      <c r="M553" s="5" t="s">
        <v>54</v>
      </c>
      <c r="N553" s="8" t="s">
        <v>95</v>
      </c>
      <c r="O553" s="6" t="s">
        <v>40</v>
      </c>
      <c r="P553" s="5" t="s">
        <v>59</v>
      </c>
      <c r="Q553" s="5" t="s">
        <v>89</v>
      </c>
      <c r="R553" s="6" t="s">
        <v>42</v>
      </c>
      <c r="S553" s="5" t="s">
        <v>288</v>
      </c>
      <c r="T553" s="5" t="s">
        <v>44</v>
      </c>
      <c r="U553" s="5" t="s">
        <v>44</v>
      </c>
      <c r="V553" s="5" t="s">
        <v>44</v>
      </c>
      <c r="W553" s="5" t="s">
        <v>36</v>
      </c>
      <c r="X553" s="8" t="s">
        <v>289</v>
      </c>
      <c r="Y553" s="5" t="s">
        <v>46</v>
      </c>
      <c r="Z553" s="5" t="s">
        <v>47</v>
      </c>
      <c r="AA553" s="5" t="s">
        <v>64</v>
      </c>
      <c r="AB553" s="5" t="s">
        <v>2503</v>
      </c>
      <c r="AC553" s="6" t="s">
        <v>377</v>
      </c>
      <c r="AD553" s="6">
        <v>3307.0</v>
      </c>
    </row>
    <row r="554" ht="56.25" customHeight="1">
      <c r="A554" s="5" t="s">
        <v>2467</v>
      </c>
      <c r="B554" s="6" t="str">
        <f>IMAGE("https://storage.googleapis.com/acdb/housewares/FtrWeightscale_Remake_1_4.png")</f>
        <v/>
      </c>
      <c r="C554" s="5" t="s">
        <v>54</v>
      </c>
      <c r="D554" s="5" t="s">
        <v>34</v>
      </c>
      <c r="E554" s="5" t="s">
        <v>2489</v>
      </c>
      <c r="F554" s="5" t="s">
        <v>373</v>
      </c>
      <c r="G554" s="5" t="s">
        <v>36</v>
      </c>
      <c r="H554" s="5" t="s">
        <v>36</v>
      </c>
      <c r="I554" s="5" t="s">
        <v>35</v>
      </c>
      <c r="J554" s="6">
        <v>1.0</v>
      </c>
      <c r="K554" s="6">
        <v>930.0</v>
      </c>
      <c r="L554" s="6">
        <v>232.0</v>
      </c>
      <c r="M554" s="5" t="s">
        <v>54</v>
      </c>
      <c r="N554" s="8" t="s">
        <v>114</v>
      </c>
      <c r="O554" s="6" t="s">
        <v>40</v>
      </c>
      <c r="P554" s="5" t="s">
        <v>59</v>
      </c>
      <c r="Q554" s="5" t="s">
        <v>89</v>
      </c>
      <c r="R554" s="6" t="s">
        <v>42</v>
      </c>
      <c r="S554" s="5" t="s">
        <v>288</v>
      </c>
      <c r="T554" s="5" t="s">
        <v>44</v>
      </c>
      <c r="U554" s="5" t="s">
        <v>44</v>
      </c>
      <c r="V554" s="5" t="s">
        <v>44</v>
      </c>
      <c r="W554" s="5" t="s">
        <v>36</v>
      </c>
      <c r="X554" s="8" t="s">
        <v>289</v>
      </c>
      <c r="Y554" s="5" t="s">
        <v>46</v>
      </c>
      <c r="Z554" s="5" t="s">
        <v>47</v>
      </c>
      <c r="AA554" s="5" t="s">
        <v>64</v>
      </c>
      <c r="AB554" s="5" t="s">
        <v>2506</v>
      </c>
      <c r="AC554" s="6" t="s">
        <v>520</v>
      </c>
      <c r="AD554" s="6">
        <v>3307.0</v>
      </c>
    </row>
    <row r="555" ht="56.25" customHeight="1">
      <c r="A555" s="5" t="s">
        <v>2467</v>
      </c>
      <c r="B555" s="6" t="str">
        <f>IMAGE("https://storage.googleapis.com/acdb/housewares/FtrWeightscale_Remake_2_0.png")</f>
        <v/>
      </c>
      <c r="C555" s="5" t="s">
        <v>52</v>
      </c>
      <c r="D555" s="5" t="s">
        <v>34</v>
      </c>
      <c r="E555" s="5" t="s">
        <v>57</v>
      </c>
      <c r="F555" s="5" t="s">
        <v>373</v>
      </c>
      <c r="G555" s="5" t="s">
        <v>36</v>
      </c>
      <c r="H555" s="5" t="s">
        <v>36</v>
      </c>
      <c r="I555" s="5" t="s">
        <v>35</v>
      </c>
      <c r="J555" s="6">
        <v>1.0</v>
      </c>
      <c r="K555" s="6">
        <v>930.0</v>
      </c>
      <c r="L555" s="6">
        <v>232.0</v>
      </c>
      <c r="M555" s="5" t="s">
        <v>52</v>
      </c>
      <c r="N555" s="8" t="s">
        <v>57</v>
      </c>
      <c r="O555" s="6" t="s">
        <v>40</v>
      </c>
      <c r="P555" s="5" t="s">
        <v>59</v>
      </c>
      <c r="Q555" s="5" t="s">
        <v>89</v>
      </c>
      <c r="R555" s="6" t="s">
        <v>42</v>
      </c>
      <c r="S555" s="5" t="s">
        <v>288</v>
      </c>
      <c r="T555" s="5" t="s">
        <v>44</v>
      </c>
      <c r="U555" s="5" t="s">
        <v>44</v>
      </c>
      <c r="V555" s="5" t="s">
        <v>44</v>
      </c>
      <c r="W555" s="5" t="s">
        <v>36</v>
      </c>
      <c r="X555" s="8" t="s">
        <v>289</v>
      </c>
      <c r="Y555" s="5" t="s">
        <v>46</v>
      </c>
      <c r="Z555" s="5" t="s">
        <v>47</v>
      </c>
      <c r="AA555" s="5" t="s">
        <v>64</v>
      </c>
      <c r="AB555" s="5" t="s">
        <v>2508</v>
      </c>
      <c r="AC555" s="6" t="s">
        <v>67</v>
      </c>
      <c r="AD555" s="6">
        <v>3307.0</v>
      </c>
    </row>
    <row r="556" ht="56.25" customHeight="1">
      <c r="A556" s="5" t="s">
        <v>2467</v>
      </c>
      <c r="B556" s="6" t="str">
        <f>IMAGE("https://storage.googleapis.com/acdb/housewares/FtrWeightscale_Remake_2_1.png")</f>
        <v/>
      </c>
      <c r="C556" s="5" t="s">
        <v>52</v>
      </c>
      <c r="D556" s="5" t="s">
        <v>34</v>
      </c>
      <c r="E556" s="5" t="s">
        <v>400</v>
      </c>
      <c r="F556" s="5" t="s">
        <v>373</v>
      </c>
      <c r="G556" s="5" t="s">
        <v>36</v>
      </c>
      <c r="H556" s="5" t="s">
        <v>36</v>
      </c>
      <c r="I556" s="5" t="s">
        <v>35</v>
      </c>
      <c r="J556" s="6">
        <v>1.0</v>
      </c>
      <c r="K556" s="6">
        <v>930.0</v>
      </c>
      <c r="L556" s="6">
        <v>232.0</v>
      </c>
      <c r="M556" s="5" t="s">
        <v>52</v>
      </c>
      <c r="N556" s="8" t="s">
        <v>52</v>
      </c>
      <c r="O556" s="6" t="s">
        <v>40</v>
      </c>
      <c r="P556" s="5" t="s">
        <v>59</v>
      </c>
      <c r="Q556" s="5" t="s">
        <v>89</v>
      </c>
      <c r="R556" s="6" t="s">
        <v>42</v>
      </c>
      <c r="S556" s="5" t="s">
        <v>288</v>
      </c>
      <c r="T556" s="5" t="s">
        <v>44</v>
      </c>
      <c r="U556" s="5" t="s">
        <v>44</v>
      </c>
      <c r="V556" s="5" t="s">
        <v>44</v>
      </c>
      <c r="W556" s="5" t="s">
        <v>36</v>
      </c>
      <c r="X556" s="8" t="s">
        <v>289</v>
      </c>
      <c r="Y556" s="5" t="s">
        <v>46</v>
      </c>
      <c r="Z556" s="5" t="s">
        <v>47</v>
      </c>
      <c r="AA556" s="5" t="s">
        <v>64</v>
      </c>
      <c r="AB556" s="5" t="s">
        <v>2512</v>
      </c>
      <c r="AC556" s="6" t="s">
        <v>247</v>
      </c>
      <c r="AD556" s="6">
        <v>3307.0</v>
      </c>
    </row>
    <row r="557" ht="56.25" customHeight="1">
      <c r="A557" s="5" t="s">
        <v>2467</v>
      </c>
      <c r="B557" s="6" t="str">
        <f>IMAGE("https://storage.googleapis.com/acdb/housewares/FtrWeightscale_Remake_2_2.png")</f>
        <v/>
      </c>
      <c r="C557" s="5" t="s">
        <v>52</v>
      </c>
      <c r="D557" s="5" t="s">
        <v>34</v>
      </c>
      <c r="E557" s="5" t="s">
        <v>1044</v>
      </c>
      <c r="F557" s="5" t="s">
        <v>373</v>
      </c>
      <c r="G557" s="5" t="s">
        <v>36</v>
      </c>
      <c r="H557" s="5" t="s">
        <v>36</v>
      </c>
      <c r="I557" s="5" t="s">
        <v>35</v>
      </c>
      <c r="J557" s="6">
        <v>1.0</v>
      </c>
      <c r="K557" s="6">
        <v>930.0</v>
      </c>
      <c r="L557" s="6">
        <v>232.0</v>
      </c>
      <c r="M557" s="5" t="s">
        <v>52</v>
      </c>
      <c r="N557" s="8" t="s">
        <v>96</v>
      </c>
      <c r="O557" s="6" t="s">
        <v>40</v>
      </c>
      <c r="P557" s="5" t="s">
        <v>59</v>
      </c>
      <c r="Q557" s="5" t="s">
        <v>89</v>
      </c>
      <c r="R557" s="6" t="s">
        <v>42</v>
      </c>
      <c r="S557" s="5" t="s">
        <v>288</v>
      </c>
      <c r="T557" s="5" t="s">
        <v>44</v>
      </c>
      <c r="U557" s="5" t="s">
        <v>44</v>
      </c>
      <c r="V557" s="5" t="s">
        <v>44</v>
      </c>
      <c r="W557" s="5" t="s">
        <v>36</v>
      </c>
      <c r="X557" s="8" t="s">
        <v>289</v>
      </c>
      <c r="Y557" s="5" t="s">
        <v>46</v>
      </c>
      <c r="Z557" s="5" t="s">
        <v>47</v>
      </c>
      <c r="AA557" s="5" t="s">
        <v>64</v>
      </c>
      <c r="AB557" s="5" t="s">
        <v>2513</v>
      </c>
      <c r="AC557" s="6" t="s">
        <v>390</v>
      </c>
      <c r="AD557" s="6">
        <v>3307.0</v>
      </c>
    </row>
    <row r="558" ht="56.25" customHeight="1">
      <c r="A558" s="5" t="s">
        <v>2467</v>
      </c>
      <c r="B558" s="6" t="str">
        <f>IMAGE("https://storage.googleapis.com/acdb/housewares/FtrWeightscale_Remake_2_3.png")</f>
        <v/>
      </c>
      <c r="C558" s="5" t="s">
        <v>52</v>
      </c>
      <c r="D558" s="5" t="s">
        <v>34</v>
      </c>
      <c r="E558" s="5" t="s">
        <v>2482</v>
      </c>
      <c r="F558" s="5" t="s">
        <v>373</v>
      </c>
      <c r="G558" s="5" t="s">
        <v>36</v>
      </c>
      <c r="H558" s="5" t="s">
        <v>36</v>
      </c>
      <c r="I558" s="5" t="s">
        <v>35</v>
      </c>
      <c r="J558" s="6">
        <v>1.0</v>
      </c>
      <c r="K558" s="6">
        <v>930.0</v>
      </c>
      <c r="L558" s="6">
        <v>232.0</v>
      </c>
      <c r="M558" s="5" t="s">
        <v>52</v>
      </c>
      <c r="N558" s="8" t="s">
        <v>95</v>
      </c>
      <c r="O558" s="6" t="s">
        <v>40</v>
      </c>
      <c r="P558" s="5" t="s">
        <v>59</v>
      </c>
      <c r="Q558" s="5" t="s">
        <v>89</v>
      </c>
      <c r="R558" s="6" t="s">
        <v>42</v>
      </c>
      <c r="S558" s="5" t="s">
        <v>288</v>
      </c>
      <c r="T558" s="5" t="s">
        <v>44</v>
      </c>
      <c r="U558" s="5" t="s">
        <v>44</v>
      </c>
      <c r="V558" s="5" t="s">
        <v>44</v>
      </c>
      <c r="W558" s="5" t="s">
        <v>36</v>
      </c>
      <c r="X558" s="8" t="s">
        <v>289</v>
      </c>
      <c r="Y558" s="5" t="s">
        <v>46</v>
      </c>
      <c r="Z558" s="5" t="s">
        <v>47</v>
      </c>
      <c r="AA558" s="5" t="s">
        <v>64</v>
      </c>
      <c r="AB558" s="5" t="s">
        <v>2516</v>
      </c>
      <c r="AC558" s="6" t="s">
        <v>396</v>
      </c>
      <c r="AD558" s="6">
        <v>3307.0</v>
      </c>
    </row>
    <row r="559" ht="56.25" customHeight="1">
      <c r="A559" s="5" t="s">
        <v>2467</v>
      </c>
      <c r="B559" s="6" t="str">
        <f>IMAGE("https://storage.googleapis.com/acdb/housewares/FtrWeightscale_Remake_2_4.png")</f>
        <v/>
      </c>
      <c r="C559" s="5" t="s">
        <v>52</v>
      </c>
      <c r="D559" s="5" t="s">
        <v>34</v>
      </c>
      <c r="E559" s="5" t="s">
        <v>2489</v>
      </c>
      <c r="F559" s="5" t="s">
        <v>373</v>
      </c>
      <c r="G559" s="5" t="s">
        <v>36</v>
      </c>
      <c r="H559" s="5" t="s">
        <v>36</v>
      </c>
      <c r="I559" s="5" t="s">
        <v>35</v>
      </c>
      <c r="J559" s="6">
        <v>1.0</v>
      </c>
      <c r="K559" s="6">
        <v>930.0</v>
      </c>
      <c r="L559" s="6">
        <v>232.0</v>
      </c>
      <c r="M559" s="5" t="s">
        <v>52</v>
      </c>
      <c r="N559" s="8" t="s">
        <v>114</v>
      </c>
      <c r="O559" s="6" t="s">
        <v>40</v>
      </c>
      <c r="P559" s="5" t="s">
        <v>59</v>
      </c>
      <c r="Q559" s="5" t="s">
        <v>89</v>
      </c>
      <c r="R559" s="6" t="s">
        <v>42</v>
      </c>
      <c r="S559" s="5" t="s">
        <v>288</v>
      </c>
      <c r="T559" s="5" t="s">
        <v>44</v>
      </c>
      <c r="U559" s="5" t="s">
        <v>44</v>
      </c>
      <c r="V559" s="5" t="s">
        <v>44</v>
      </c>
      <c r="W559" s="5" t="s">
        <v>36</v>
      </c>
      <c r="X559" s="8" t="s">
        <v>289</v>
      </c>
      <c r="Y559" s="5" t="s">
        <v>46</v>
      </c>
      <c r="Z559" s="5" t="s">
        <v>47</v>
      </c>
      <c r="AA559" s="5" t="s">
        <v>64</v>
      </c>
      <c r="AB559" s="5" t="s">
        <v>2518</v>
      </c>
      <c r="AC559" s="6" t="s">
        <v>541</v>
      </c>
      <c r="AD559" s="6">
        <v>3307.0</v>
      </c>
    </row>
    <row r="560" ht="56.25" customHeight="1">
      <c r="A560" s="5" t="s">
        <v>2467</v>
      </c>
      <c r="B560" s="6" t="str">
        <f>IMAGE("https://storage.googleapis.com/acdb/housewares/FtrWeightscale_Remake_3_0.png")</f>
        <v/>
      </c>
      <c r="C560" s="5" t="s">
        <v>68</v>
      </c>
      <c r="D560" s="5" t="s">
        <v>34</v>
      </c>
      <c r="E560" s="5" t="s">
        <v>57</v>
      </c>
      <c r="F560" s="5" t="s">
        <v>373</v>
      </c>
      <c r="G560" s="5" t="s">
        <v>36</v>
      </c>
      <c r="H560" s="5" t="s">
        <v>36</v>
      </c>
      <c r="I560" s="5" t="s">
        <v>35</v>
      </c>
      <c r="J560" s="6">
        <v>1.0</v>
      </c>
      <c r="K560" s="6">
        <v>930.0</v>
      </c>
      <c r="L560" s="6">
        <v>232.0</v>
      </c>
      <c r="M560" s="5" t="s">
        <v>68</v>
      </c>
      <c r="N560" s="8" t="s">
        <v>57</v>
      </c>
      <c r="O560" s="6" t="s">
        <v>40</v>
      </c>
      <c r="P560" s="5" t="s">
        <v>59</v>
      </c>
      <c r="Q560" s="5" t="s">
        <v>89</v>
      </c>
      <c r="R560" s="6" t="s">
        <v>42</v>
      </c>
      <c r="S560" s="5" t="s">
        <v>288</v>
      </c>
      <c r="T560" s="5" t="s">
        <v>44</v>
      </c>
      <c r="U560" s="5" t="s">
        <v>44</v>
      </c>
      <c r="V560" s="5" t="s">
        <v>44</v>
      </c>
      <c r="W560" s="5" t="s">
        <v>36</v>
      </c>
      <c r="X560" s="8" t="s">
        <v>289</v>
      </c>
      <c r="Y560" s="5" t="s">
        <v>46</v>
      </c>
      <c r="Z560" s="5" t="s">
        <v>47</v>
      </c>
      <c r="AA560" s="5" t="s">
        <v>64</v>
      </c>
      <c r="AB560" s="5" t="s">
        <v>2521</v>
      </c>
      <c r="AC560" s="6" t="s">
        <v>71</v>
      </c>
      <c r="AD560" s="6">
        <v>3307.0</v>
      </c>
    </row>
    <row r="561" ht="56.25" customHeight="1">
      <c r="A561" s="5" t="s">
        <v>2467</v>
      </c>
      <c r="B561" s="6" t="str">
        <f>IMAGE("https://storage.googleapis.com/acdb/housewares/FtrWeightscale_Remake_3_1.png")</f>
        <v/>
      </c>
      <c r="C561" s="5" t="s">
        <v>68</v>
      </c>
      <c r="D561" s="5" t="s">
        <v>34</v>
      </c>
      <c r="E561" s="5" t="s">
        <v>400</v>
      </c>
      <c r="F561" s="5" t="s">
        <v>373</v>
      </c>
      <c r="G561" s="5" t="s">
        <v>36</v>
      </c>
      <c r="H561" s="5" t="s">
        <v>36</v>
      </c>
      <c r="I561" s="5" t="s">
        <v>35</v>
      </c>
      <c r="J561" s="6">
        <v>1.0</v>
      </c>
      <c r="K561" s="6">
        <v>930.0</v>
      </c>
      <c r="L561" s="6">
        <v>232.0</v>
      </c>
      <c r="M561" s="5" t="s">
        <v>68</v>
      </c>
      <c r="N561" s="8" t="s">
        <v>52</v>
      </c>
      <c r="O561" s="6" t="s">
        <v>40</v>
      </c>
      <c r="P561" s="5" t="s">
        <v>59</v>
      </c>
      <c r="Q561" s="5" t="s">
        <v>89</v>
      </c>
      <c r="R561" s="6" t="s">
        <v>42</v>
      </c>
      <c r="S561" s="5" t="s">
        <v>288</v>
      </c>
      <c r="T561" s="5" t="s">
        <v>44</v>
      </c>
      <c r="U561" s="5" t="s">
        <v>44</v>
      </c>
      <c r="V561" s="5" t="s">
        <v>44</v>
      </c>
      <c r="W561" s="5" t="s">
        <v>36</v>
      </c>
      <c r="X561" s="8" t="s">
        <v>289</v>
      </c>
      <c r="Y561" s="5" t="s">
        <v>46</v>
      </c>
      <c r="Z561" s="5" t="s">
        <v>47</v>
      </c>
      <c r="AA561" s="5" t="s">
        <v>64</v>
      </c>
      <c r="AB561" s="5" t="s">
        <v>2524</v>
      </c>
      <c r="AC561" s="6" t="s">
        <v>257</v>
      </c>
      <c r="AD561" s="6">
        <v>3307.0</v>
      </c>
    </row>
    <row r="562" ht="56.25" customHeight="1">
      <c r="A562" s="5" t="s">
        <v>2467</v>
      </c>
      <c r="B562" s="6" t="str">
        <f>IMAGE("https://storage.googleapis.com/acdb/housewares/FtrWeightscale_Remake_3_2.png")</f>
        <v/>
      </c>
      <c r="C562" s="5" t="s">
        <v>68</v>
      </c>
      <c r="D562" s="5" t="s">
        <v>34</v>
      </c>
      <c r="E562" s="5" t="s">
        <v>1044</v>
      </c>
      <c r="F562" s="5" t="s">
        <v>373</v>
      </c>
      <c r="G562" s="5" t="s">
        <v>36</v>
      </c>
      <c r="H562" s="5" t="s">
        <v>36</v>
      </c>
      <c r="I562" s="5" t="s">
        <v>35</v>
      </c>
      <c r="J562" s="6">
        <v>1.0</v>
      </c>
      <c r="K562" s="6">
        <v>930.0</v>
      </c>
      <c r="L562" s="6">
        <v>232.0</v>
      </c>
      <c r="M562" s="5" t="s">
        <v>68</v>
      </c>
      <c r="N562" s="8" t="s">
        <v>96</v>
      </c>
      <c r="O562" s="6" t="s">
        <v>40</v>
      </c>
      <c r="P562" s="5" t="s">
        <v>59</v>
      </c>
      <c r="Q562" s="5" t="s">
        <v>89</v>
      </c>
      <c r="R562" s="6" t="s">
        <v>42</v>
      </c>
      <c r="S562" s="5" t="s">
        <v>288</v>
      </c>
      <c r="T562" s="5" t="s">
        <v>44</v>
      </c>
      <c r="U562" s="5" t="s">
        <v>44</v>
      </c>
      <c r="V562" s="5" t="s">
        <v>44</v>
      </c>
      <c r="W562" s="5" t="s">
        <v>36</v>
      </c>
      <c r="X562" s="8" t="s">
        <v>289</v>
      </c>
      <c r="Y562" s="5" t="s">
        <v>46</v>
      </c>
      <c r="Z562" s="5" t="s">
        <v>47</v>
      </c>
      <c r="AA562" s="5" t="s">
        <v>64</v>
      </c>
      <c r="AB562" s="5" t="s">
        <v>2528</v>
      </c>
      <c r="AC562" s="6" t="s">
        <v>414</v>
      </c>
      <c r="AD562" s="6">
        <v>3307.0</v>
      </c>
    </row>
    <row r="563" ht="56.25" customHeight="1">
      <c r="A563" s="5" t="s">
        <v>2467</v>
      </c>
      <c r="B563" s="6" t="str">
        <f>IMAGE("https://storage.googleapis.com/acdb/housewares/FtrWeightscale_Remake_3_3.png")</f>
        <v/>
      </c>
      <c r="C563" s="5" t="s">
        <v>68</v>
      </c>
      <c r="D563" s="5" t="s">
        <v>34</v>
      </c>
      <c r="E563" s="5" t="s">
        <v>2482</v>
      </c>
      <c r="F563" s="5" t="s">
        <v>373</v>
      </c>
      <c r="G563" s="5" t="s">
        <v>36</v>
      </c>
      <c r="H563" s="5" t="s">
        <v>36</v>
      </c>
      <c r="I563" s="5" t="s">
        <v>35</v>
      </c>
      <c r="J563" s="6">
        <v>1.0</v>
      </c>
      <c r="K563" s="6">
        <v>930.0</v>
      </c>
      <c r="L563" s="6">
        <v>232.0</v>
      </c>
      <c r="M563" s="5" t="s">
        <v>68</v>
      </c>
      <c r="N563" s="8" t="s">
        <v>95</v>
      </c>
      <c r="O563" s="6" t="s">
        <v>40</v>
      </c>
      <c r="P563" s="5" t="s">
        <v>59</v>
      </c>
      <c r="Q563" s="5" t="s">
        <v>89</v>
      </c>
      <c r="R563" s="6" t="s">
        <v>42</v>
      </c>
      <c r="S563" s="5" t="s">
        <v>288</v>
      </c>
      <c r="T563" s="5" t="s">
        <v>44</v>
      </c>
      <c r="U563" s="5" t="s">
        <v>44</v>
      </c>
      <c r="V563" s="5" t="s">
        <v>44</v>
      </c>
      <c r="W563" s="5" t="s">
        <v>36</v>
      </c>
      <c r="X563" s="8" t="s">
        <v>289</v>
      </c>
      <c r="Y563" s="5" t="s">
        <v>46</v>
      </c>
      <c r="Z563" s="5" t="s">
        <v>47</v>
      </c>
      <c r="AA563" s="5" t="s">
        <v>64</v>
      </c>
      <c r="AB563" s="5" t="s">
        <v>2530</v>
      </c>
      <c r="AC563" s="6" t="s">
        <v>418</v>
      </c>
      <c r="AD563" s="6">
        <v>3307.0</v>
      </c>
    </row>
    <row r="564" ht="56.25" customHeight="1">
      <c r="A564" s="5" t="s">
        <v>2467</v>
      </c>
      <c r="B564" s="6" t="str">
        <f>IMAGE("https://storage.googleapis.com/acdb/housewares/FtrWeightscale_Remake_3_4.png")</f>
        <v/>
      </c>
      <c r="C564" s="5" t="s">
        <v>68</v>
      </c>
      <c r="D564" s="5" t="s">
        <v>34</v>
      </c>
      <c r="E564" s="5" t="s">
        <v>2489</v>
      </c>
      <c r="F564" s="5" t="s">
        <v>373</v>
      </c>
      <c r="G564" s="5" t="s">
        <v>36</v>
      </c>
      <c r="H564" s="5" t="s">
        <v>36</v>
      </c>
      <c r="I564" s="5" t="s">
        <v>35</v>
      </c>
      <c r="J564" s="6">
        <v>1.0</v>
      </c>
      <c r="K564" s="6">
        <v>930.0</v>
      </c>
      <c r="L564" s="6">
        <v>232.0</v>
      </c>
      <c r="M564" s="5" t="s">
        <v>68</v>
      </c>
      <c r="N564" s="8" t="s">
        <v>114</v>
      </c>
      <c r="O564" s="6" t="s">
        <v>40</v>
      </c>
      <c r="P564" s="5" t="s">
        <v>59</v>
      </c>
      <c r="Q564" s="5" t="s">
        <v>89</v>
      </c>
      <c r="R564" s="6" t="s">
        <v>42</v>
      </c>
      <c r="S564" s="5" t="s">
        <v>288</v>
      </c>
      <c r="T564" s="5" t="s">
        <v>44</v>
      </c>
      <c r="U564" s="5" t="s">
        <v>44</v>
      </c>
      <c r="V564" s="5" t="s">
        <v>44</v>
      </c>
      <c r="W564" s="5" t="s">
        <v>36</v>
      </c>
      <c r="X564" s="8" t="s">
        <v>289</v>
      </c>
      <c r="Y564" s="5" t="s">
        <v>46</v>
      </c>
      <c r="Z564" s="5" t="s">
        <v>47</v>
      </c>
      <c r="AA564" s="5" t="s">
        <v>64</v>
      </c>
      <c r="AB564" s="5" t="s">
        <v>2532</v>
      </c>
      <c r="AC564" s="6" t="s">
        <v>563</v>
      </c>
      <c r="AD564" s="6">
        <v>3307.0</v>
      </c>
    </row>
    <row r="565" ht="56.25" customHeight="1">
      <c r="A565" s="5" t="s">
        <v>2467</v>
      </c>
      <c r="B565" s="6" t="str">
        <f>IMAGE("https://storage.googleapis.com/acdb/housewares/FtrWeightscale_Remake_4_0.png")</f>
        <v/>
      </c>
      <c r="C565" s="5" t="s">
        <v>114</v>
      </c>
      <c r="D565" s="5" t="s">
        <v>34</v>
      </c>
      <c r="E565" s="5" t="s">
        <v>57</v>
      </c>
      <c r="F565" s="5" t="s">
        <v>373</v>
      </c>
      <c r="G565" s="5" t="s">
        <v>36</v>
      </c>
      <c r="H565" s="5" t="s">
        <v>36</v>
      </c>
      <c r="I565" s="5" t="s">
        <v>35</v>
      </c>
      <c r="J565" s="6">
        <v>1.0</v>
      </c>
      <c r="K565" s="6">
        <v>930.0</v>
      </c>
      <c r="L565" s="6">
        <v>232.0</v>
      </c>
      <c r="M565" s="5" t="s">
        <v>114</v>
      </c>
      <c r="N565" s="8" t="s">
        <v>57</v>
      </c>
      <c r="O565" s="6" t="s">
        <v>40</v>
      </c>
      <c r="P565" s="5" t="s">
        <v>59</v>
      </c>
      <c r="Q565" s="5" t="s">
        <v>89</v>
      </c>
      <c r="R565" s="6" t="s">
        <v>42</v>
      </c>
      <c r="S565" s="5" t="s">
        <v>288</v>
      </c>
      <c r="T565" s="5" t="s">
        <v>44</v>
      </c>
      <c r="U565" s="5" t="s">
        <v>44</v>
      </c>
      <c r="V565" s="5" t="s">
        <v>44</v>
      </c>
      <c r="W565" s="5" t="s">
        <v>36</v>
      </c>
      <c r="X565" s="8" t="s">
        <v>289</v>
      </c>
      <c r="Y565" s="5" t="s">
        <v>46</v>
      </c>
      <c r="Z565" s="5" t="s">
        <v>47</v>
      </c>
      <c r="AA565" s="5" t="s">
        <v>64</v>
      </c>
      <c r="AB565" s="5" t="s">
        <v>2535</v>
      </c>
      <c r="AC565" s="6" t="s">
        <v>75</v>
      </c>
      <c r="AD565" s="6">
        <v>3307.0</v>
      </c>
    </row>
    <row r="566" ht="56.25" customHeight="1">
      <c r="A566" s="5" t="s">
        <v>2467</v>
      </c>
      <c r="B566" s="6" t="str">
        <f>IMAGE("https://storage.googleapis.com/acdb/housewares/FtrWeightscale_Remake_4_1.png")</f>
        <v/>
      </c>
      <c r="C566" s="5" t="s">
        <v>114</v>
      </c>
      <c r="D566" s="5" t="s">
        <v>34</v>
      </c>
      <c r="E566" s="5" t="s">
        <v>400</v>
      </c>
      <c r="F566" s="5" t="s">
        <v>373</v>
      </c>
      <c r="G566" s="5" t="s">
        <v>36</v>
      </c>
      <c r="H566" s="5" t="s">
        <v>36</v>
      </c>
      <c r="I566" s="5" t="s">
        <v>35</v>
      </c>
      <c r="J566" s="6">
        <v>1.0</v>
      </c>
      <c r="K566" s="6">
        <v>930.0</v>
      </c>
      <c r="L566" s="6">
        <v>232.0</v>
      </c>
      <c r="M566" s="5" t="s">
        <v>114</v>
      </c>
      <c r="N566" s="8" t="s">
        <v>52</v>
      </c>
      <c r="O566" s="6" t="s">
        <v>40</v>
      </c>
      <c r="P566" s="5" t="s">
        <v>59</v>
      </c>
      <c r="Q566" s="5" t="s">
        <v>89</v>
      </c>
      <c r="R566" s="6" t="s">
        <v>42</v>
      </c>
      <c r="S566" s="5" t="s">
        <v>288</v>
      </c>
      <c r="T566" s="5" t="s">
        <v>44</v>
      </c>
      <c r="U566" s="5" t="s">
        <v>44</v>
      </c>
      <c r="V566" s="5" t="s">
        <v>44</v>
      </c>
      <c r="W566" s="5" t="s">
        <v>36</v>
      </c>
      <c r="X566" s="8" t="s">
        <v>289</v>
      </c>
      <c r="Y566" s="5" t="s">
        <v>46</v>
      </c>
      <c r="Z566" s="5" t="s">
        <v>47</v>
      </c>
      <c r="AA566" s="5" t="s">
        <v>64</v>
      </c>
      <c r="AB566" s="5" t="s">
        <v>2538</v>
      </c>
      <c r="AC566" s="6" t="s">
        <v>429</v>
      </c>
      <c r="AD566" s="6">
        <v>3307.0</v>
      </c>
    </row>
    <row r="567" ht="56.25" customHeight="1">
      <c r="A567" s="5" t="s">
        <v>2467</v>
      </c>
      <c r="B567" s="6" t="str">
        <f>IMAGE("https://storage.googleapis.com/acdb/housewares/FtrWeightscale_Remake_4_2.png")</f>
        <v/>
      </c>
      <c r="C567" s="5" t="s">
        <v>114</v>
      </c>
      <c r="D567" s="5" t="s">
        <v>34</v>
      </c>
      <c r="E567" s="5" t="s">
        <v>1044</v>
      </c>
      <c r="F567" s="5" t="s">
        <v>373</v>
      </c>
      <c r="G567" s="5" t="s">
        <v>36</v>
      </c>
      <c r="H567" s="5" t="s">
        <v>36</v>
      </c>
      <c r="I567" s="5" t="s">
        <v>35</v>
      </c>
      <c r="J567" s="6">
        <v>1.0</v>
      </c>
      <c r="K567" s="6">
        <v>930.0</v>
      </c>
      <c r="L567" s="6">
        <v>232.0</v>
      </c>
      <c r="M567" s="5" t="s">
        <v>114</v>
      </c>
      <c r="N567" s="8" t="s">
        <v>96</v>
      </c>
      <c r="O567" s="6" t="s">
        <v>40</v>
      </c>
      <c r="P567" s="5" t="s">
        <v>59</v>
      </c>
      <c r="Q567" s="5" t="s">
        <v>89</v>
      </c>
      <c r="R567" s="6" t="s">
        <v>42</v>
      </c>
      <c r="S567" s="5" t="s">
        <v>288</v>
      </c>
      <c r="T567" s="5" t="s">
        <v>44</v>
      </c>
      <c r="U567" s="5" t="s">
        <v>44</v>
      </c>
      <c r="V567" s="5" t="s">
        <v>44</v>
      </c>
      <c r="W567" s="5" t="s">
        <v>36</v>
      </c>
      <c r="X567" s="8" t="s">
        <v>289</v>
      </c>
      <c r="Y567" s="5" t="s">
        <v>46</v>
      </c>
      <c r="Z567" s="5" t="s">
        <v>47</v>
      </c>
      <c r="AA567" s="5" t="s">
        <v>64</v>
      </c>
      <c r="AB567" s="5" t="s">
        <v>2541</v>
      </c>
      <c r="AC567" s="6" t="s">
        <v>434</v>
      </c>
      <c r="AD567" s="6">
        <v>3307.0</v>
      </c>
    </row>
    <row r="568" ht="56.25" customHeight="1">
      <c r="A568" s="5" t="s">
        <v>2467</v>
      </c>
      <c r="B568" s="6" t="str">
        <f>IMAGE("https://storage.googleapis.com/acdb/housewares/FtrWeightscale_Remake_4_3.png")</f>
        <v/>
      </c>
      <c r="C568" s="5" t="s">
        <v>114</v>
      </c>
      <c r="D568" s="5" t="s">
        <v>34</v>
      </c>
      <c r="E568" s="5" t="s">
        <v>2482</v>
      </c>
      <c r="F568" s="5" t="s">
        <v>373</v>
      </c>
      <c r="G568" s="5" t="s">
        <v>36</v>
      </c>
      <c r="H568" s="5" t="s">
        <v>36</v>
      </c>
      <c r="I568" s="5" t="s">
        <v>35</v>
      </c>
      <c r="J568" s="6">
        <v>1.0</v>
      </c>
      <c r="K568" s="6">
        <v>930.0</v>
      </c>
      <c r="L568" s="6">
        <v>232.0</v>
      </c>
      <c r="M568" s="5" t="s">
        <v>114</v>
      </c>
      <c r="N568" s="8" t="s">
        <v>95</v>
      </c>
      <c r="O568" s="6" t="s">
        <v>40</v>
      </c>
      <c r="P568" s="5" t="s">
        <v>59</v>
      </c>
      <c r="Q568" s="5" t="s">
        <v>89</v>
      </c>
      <c r="R568" s="6" t="s">
        <v>42</v>
      </c>
      <c r="S568" s="5" t="s">
        <v>288</v>
      </c>
      <c r="T568" s="5" t="s">
        <v>44</v>
      </c>
      <c r="U568" s="5" t="s">
        <v>44</v>
      </c>
      <c r="V568" s="5" t="s">
        <v>44</v>
      </c>
      <c r="W568" s="5" t="s">
        <v>36</v>
      </c>
      <c r="X568" s="8" t="s">
        <v>289</v>
      </c>
      <c r="Y568" s="5" t="s">
        <v>46</v>
      </c>
      <c r="Z568" s="5" t="s">
        <v>47</v>
      </c>
      <c r="AA568" s="5" t="s">
        <v>64</v>
      </c>
      <c r="AB568" s="5" t="s">
        <v>2547</v>
      </c>
      <c r="AC568" s="6" t="s">
        <v>438</v>
      </c>
      <c r="AD568" s="6">
        <v>3307.0</v>
      </c>
    </row>
    <row r="569" ht="56.25" customHeight="1">
      <c r="A569" s="5" t="s">
        <v>2467</v>
      </c>
      <c r="B569" s="6" t="str">
        <f>IMAGE("https://storage.googleapis.com/acdb/housewares/FtrWeightscale_Remake_4_4.png")</f>
        <v/>
      </c>
      <c r="C569" s="5" t="s">
        <v>114</v>
      </c>
      <c r="D569" s="5" t="s">
        <v>34</v>
      </c>
      <c r="E569" s="5" t="s">
        <v>2489</v>
      </c>
      <c r="F569" s="5" t="s">
        <v>373</v>
      </c>
      <c r="G569" s="5" t="s">
        <v>36</v>
      </c>
      <c r="H569" s="5" t="s">
        <v>36</v>
      </c>
      <c r="I569" s="5" t="s">
        <v>35</v>
      </c>
      <c r="J569" s="6">
        <v>1.0</v>
      </c>
      <c r="K569" s="6">
        <v>930.0</v>
      </c>
      <c r="L569" s="6">
        <v>232.0</v>
      </c>
      <c r="M569" s="5" t="s">
        <v>114</v>
      </c>
      <c r="N569" s="8" t="s">
        <v>114</v>
      </c>
      <c r="O569" s="6" t="s">
        <v>40</v>
      </c>
      <c r="P569" s="5" t="s">
        <v>59</v>
      </c>
      <c r="Q569" s="5" t="s">
        <v>89</v>
      </c>
      <c r="R569" s="6" t="s">
        <v>42</v>
      </c>
      <c r="S569" s="5" t="s">
        <v>288</v>
      </c>
      <c r="T569" s="5" t="s">
        <v>44</v>
      </c>
      <c r="U569" s="5" t="s">
        <v>44</v>
      </c>
      <c r="V569" s="5" t="s">
        <v>44</v>
      </c>
      <c r="W569" s="5" t="s">
        <v>36</v>
      </c>
      <c r="X569" s="8" t="s">
        <v>289</v>
      </c>
      <c r="Y569" s="5" t="s">
        <v>46</v>
      </c>
      <c r="Z569" s="5" t="s">
        <v>47</v>
      </c>
      <c r="AA569" s="5" t="s">
        <v>64</v>
      </c>
      <c r="AB569" s="5" t="s">
        <v>2550</v>
      </c>
      <c r="AC569" s="6" t="s">
        <v>585</v>
      </c>
      <c r="AD569" s="6">
        <v>3307.0</v>
      </c>
    </row>
    <row r="570" ht="56.25" customHeight="1">
      <c r="A570" s="5" t="s">
        <v>2467</v>
      </c>
      <c r="B570" s="6" t="str">
        <f>IMAGE("https://storage.googleapis.com/acdb/housewares/FtrWeightscale_Remake_5_0.png")</f>
        <v/>
      </c>
      <c r="C570" s="5" t="s">
        <v>96</v>
      </c>
      <c r="D570" s="5" t="s">
        <v>34</v>
      </c>
      <c r="E570" s="5" t="s">
        <v>57</v>
      </c>
      <c r="F570" s="5" t="s">
        <v>373</v>
      </c>
      <c r="G570" s="5" t="s">
        <v>36</v>
      </c>
      <c r="H570" s="5" t="s">
        <v>36</v>
      </c>
      <c r="I570" s="5" t="s">
        <v>35</v>
      </c>
      <c r="J570" s="6">
        <v>1.0</v>
      </c>
      <c r="K570" s="6">
        <v>930.0</v>
      </c>
      <c r="L570" s="6">
        <v>232.0</v>
      </c>
      <c r="M570" s="5" t="s">
        <v>96</v>
      </c>
      <c r="N570" s="8" t="s">
        <v>57</v>
      </c>
      <c r="O570" s="6" t="s">
        <v>40</v>
      </c>
      <c r="P570" s="5" t="s">
        <v>59</v>
      </c>
      <c r="Q570" s="5" t="s">
        <v>89</v>
      </c>
      <c r="R570" s="6" t="s">
        <v>42</v>
      </c>
      <c r="S570" s="5" t="s">
        <v>288</v>
      </c>
      <c r="T570" s="5" t="s">
        <v>44</v>
      </c>
      <c r="U570" s="5" t="s">
        <v>44</v>
      </c>
      <c r="V570" s="5" t="s">
        <v>44</v>
      </c>
      <c r="W570" s="5" t="s">
        <v>36</v>
      </c>
      <c r="X570" s="8" t="s">
        <v>289</v>
      </c>
      <c r="Y570" s="5" t="s">
        <v>46</v>
      </c>
      <c r="Z570" s="5" t="s">
        <v>47</v>
      </c>
      <c r="AA570" s="5" t="s">
        <v>64</v>
      </c>
      <c r="AB570" s="5" t="s">
        <v>2553</v>
      </c>
      <c r="AC570" s="6" t="s">
        <v>79</v>
      </c>
      <c r="AD570" s="6">
        <v>3307.0</v>
      </c>
    </row>
    <row r="571" ht="56.25" customHeight="1">
      <c r="A571" s="5" t="s">
        <v>2467</v>
      </c>
      <c r="B571" s="6" t="str">
        <f>IMAGE("https://storage.googleapis.com/acdb/housewares/FtrWeightscale_Remake_5_1.png")</f>
        <v/>
      </c>
      <c r="C571" s="5" t="s">
        <v>96</v>
      </c>
      <c r="D571" s="5" t="s">
        <v>34</v>
      </c>
      <c r="E571" s="5" t="s">
        <v>400</v>
      </c>
      <c r="F571" s="5" t="s">
        <v>373</v>
      </c>
      <c r="G571" s="5" t="s">
        <v>36</v>
      </c>
      <c r="H571" s="5" t="s">
        <v>36</v>
      </c>
      <c r="I571" s="5" t="s">
        <v>35</v>
      </c>
      <c r="J571" s="6">
        <v>1.0</v>
      </c>
      <c r="K571" s="6">
        <v>930.0</v>
      </c>
      <c r="L571" s="6">
        <v>232.0</v>
      </c>
      <c r="M571" s="5" t="s">
        <v>96</v>
      </c>
      <c r="N571" s="8" t="s">
        <v>52</v>
      </c>
      <c r="O571" s="6" t="s">
        <v>40</v>
      </c>
      <c r="P571" s="5" t="s">
        <v>59</v>
      </c>
      <c r="Q571" s="5" t="s">
        <v>89</v>
      </c>
      <c r="R571" s="6" t="s">
        <v>42</v>
      </c>
      <c r="S571" s="5" t="s">
        <v>288</v>
      </c>
      <c r="T571" s="5" t="s">
        <v>44</v>
      </c>
      <c r="U571" s="5" t="s">
        <v>44</v>
      </c>
      <c r="V571" s="5" t="s">
        <v>44</v>
      </c>
      <c r="W571" s="5" t="s">
        <v>36</v>
      </c>
      <c r="X571" s="8" t="s">
        <v>289</v>
      </c>
      <c r="Y571" s="5" t="s">
        <v>46</v>
      </c>
      <c r="Z571" s="5" t="s">
        <v>47</v>
      </c>
      <c r="AA571" s="5" t="s">
        <v>64</v>
      </c>
      <c r="AB571" s="5" t="s">
        <v>2554</v>
      </c>
      <c r="AC571" s="6" t="s">
        <v>448</v>
      </c>
      <c r="AD571" s="6">
        <v>3307.0</v>
      </c>
    </row>
    <row r="572" ht="56.25" customHeight="1">
      <c r="A572" s="5" t="s">
        <v>2467</v>
      </c>
      <c r="B572" s="6" t="str">
        <f>IMAGE("https://storage.googleapis.com/acdb/housewares/FtrWeightscale_Remake_5_2.png")</f>
        <v/>
      </c>
      <c r="C572" s="5" t="s">
        <v>96</v>
      </c>
      <c r="D572" s="5" t="s">
        <v>34</v>
      </c>
      <c r="E572" s="5" t="s">
        <v>1044</v>
      </c>
      <c r="F572" s="5" t="s">
        <v>373</v>
      </c>
      <c r="G572" s="5" t="s">
        <v>36</v>
      </c>
      <c r="H572" s="5" t="s">
        <v>36</v>
      </c>
      <c r="I572" s="5" t="s">
        <v>35</v>
      </c>
      <c r="J572" s="6">
        <v>1.0</v>
      </c>
      <c r="K572" s="6">
        <v>930.0</v>
      </c>
      <c r="L572" s="6">
        <v>232.0</v>
      </c>
      <c r="M572" s="5" t="s">
        <v>96</v>
      </c>
      <c r="N572" s="8" t="s">
        <v>96</v>
      </c>
      <c r="O572" s="6" t="s">
        <v>40</v>
      </c>
      <c r="P572" s="5" t="s">
        <v>59</v>
      </c>
      <c r="Q572" s="5" t="s">
        <v>89</v>
      </c>
      <c r="R572" s="6" t="s">
        <v>42</v>
      </c>
      <c r="S572" s="5" t="s">
        <v>288</v>
      </c>
      <c r="T572" s="5" t="s">
        <v>44</v>
      </c>
      <c r="U572" s="5" t="s">
        <v>44</v>
      </c>
      <c r="V572" s="5" t="s">
        <v>44</v>
      </c>
      <c r="W572" s="5" t="s">
        <v>36</v>
      </c>
      <c r="X572" s="8" t="s">
        <v>289</v>
      </c>
      <c r="Y572" s="5" t="s">
        <v>46</v>
      </c>
      <c r="Z572" s="5" t="s">
        <v>47</v>
      </c>
      <c r="AA572" s="5" t="s">
        <v>64</v>
      </c>
      <c r="AB572" s="5" t="s">
        <v>2557</v>
      </c>
      <c r="AC572" s="6" t="s">
        <v>452</v>
      </c>
      <c r="AD572" s="6">
        <v>3307.0</v>
      </c>
    </row>
    <row r="573" ht="56.25" customHeight="1">
      <c r="A573" s="5" t="s">
        <v>2467</v>
      </c>
      <c r="B573" s="6" t="str">
        <f>IMAGE("https://storage.googleapis.com/acdb/housewares/FtrWeightscale_Remake_5_3.png")</f>
        <v/>
      </c>
      <c r="C573" s="5" t="s">
        <v>96</v>
      </c>
      <c r="D573" s="5" t="s">
        <v>34</v>
      </c>
      <c r="E573" s="5" t="s">
        <v>2482</v>
      </c>
      <c r="F573" s="5" t="s">
        <v>373</v>
      </c>
      <c r="G573" s="5" t="s">
        <v>36</v>
      </c>
      <c r="H573" s="5" t="s">
        <v>36</v>
      </c>
      <c r="I573" s="5" t="s">
        <v>35</v>
      </c>
      <c r="J573" s="6">
        <v>1.0</v>
      </c>
      <c r="K573" s="6">
        <v>930.0</v>
      </c>
      <c r="L573" s="6">
        <v>232.0</v>
      </c>
      <c r="M573" s="5" t="s">
        <v>96</v>
      </c>
      <c r="N573" s="8" t="s">
        <v>95</v>
      </c>
      <c r="O573" s="6" t="s">
        <v>40</v>
      </c>
      <c r="P573" s="5" t="s">
        <v>59</v>
      </c>
      <c r="Q573" s="5" t="s">
        <v>89</v>
      </c>
      <c r="R573" s="6" t="s">
        <v>42</v>
      </c>
      <c r="S573" s="5" t="s">
        <v>288</v>
      </c>
      <c r="T573" s="5" t="s">
        <v>44</v>
      </c>
      <c r="U573" s="5" t="s">
        <v>44</v>
      </c>
      <c r="V573" s="5" t="s">
        <v>44</v>
      </c>
      <c r="W573" s="5" t="s">
        <v>36</v>
      </c>
      <c r="X573" s="8" t="s">
        <v>289</v>
      </c>
      <c r="Y573" s="5" t="s">
        <v>46</v>
      </c>
      <c r="Z573" s="5" t="s">
        <v>47</v>
      </c>
      <c r="AA573" s="5" t="s">
        <v>64</v>
      </c>
      <c r="AB573" s="5" t="s">
        <v>2559</v>
      </c>
      <c r="AC573" s="6" t="s">
        <v>455</v>
      </c>
      <c r="AD573" s="6">
        <v>3307.0</v>
      </c>
    </row>
    <row r="574" ht="56.25" customHeight="1">
      <c r="A574" s="5" t="s">
        <v>2467</v>
      </c>
      <c r="B574" s="6" t="str">
        <f>IMAGE("https://storage.googleapis.com/acdb/housewares/FtrWeightscale_Remake_5_4.png")</f>
        <v/>
      </c>
      <c r="C574" s="5" t="s">
        <v>96</v>
      </c>
      <c r="D574" s="5" t="s">
        <v>34</v>
      </c>
      <c r="E574" s="5" t="s">
        <v>2489</v>
      </c>
      <c r="F574" s="5" t="s">
        <v>373</v>
      </c>
      <c r="G574" s="5" t="s">
        <v>36</v>
      </c>
      <c r="H574" s="5" t="s">
        <v>36</v>
      </c>
      <c r="I574" s="5" t="s">
        <v>35</v>
      </c>
      <c r="J574" s="6">
        <v>1.0</v>
      </c>
      <c r="K574" s="6">
        <v>930.0</v>
      </c>
      <c r="L574" s="6">
        <v>232.0</v>
      </c>
      <c r="M574" s="5" t="s">
        <v>96</v>
      </c>
      <c r="N574" s="8" t="s">
        <v>114</v>
      </c>
      <c r="O574" s="6" t="s">
        <v>40</v>
      </c>
      <c r="P574" s="5" t="s">
        <v>59</v>
      </c>
      <c r="Q574" s="5" t="s">
        <v>89</v>
      </c>
      <c r="R574" s="6" t="s">
        <v>42</v>
      </c>
      <c r="S574" s="5" t="s">
        <v>288</v>
      </c>
      <c r="T574" s="5" t="s">
        <v>44</v>
      </c>
      <c r="U574" s="5" t="s">
        <v>44</v>
      </c>
      <c r="V574" s="5" t="s">
        <v>44</v>
      </c>
      <c r="W574" s="5" t="s">
        <v>36</v>
      </c>
      <c r="X574" s="8" t="s">
        <v>289</v>
      </c>
      <c r="Y574" s="5" t="s">
        <v>46</v>
      </c>
      <c r="Z574" s="5" t="s">
        <v>47</v>
      </c>
      <c r="AA574" s="5" t="s">
        <v>64</v>
      </c>
      <c r="AB574" s="5" t="s">
        <v>2562</v>
      </c>
      <c r="AC574" s="6" t="s">
        <v>609</v>
      </c>
      <c r="AD574" s="6">
        <v>3307.0</v>
      </c>
    </row>
    <row r="575" ht="56.25" customHeight="1">
      <c r="A575" s="5" t="s">
        <v>2467</v>
      </c>
      <c r="B575" s="6" t="str">
        <f>IMAGE("https://storage.googleapis.com/acdb/housewares/FtrWeightscale_Remake_6_0.png")</f>
        <v/>
      </c>
      <c r="C575" s="5" t="s">
        <v>39</v>
      </c>
      <c r="D575" s="5" t="s">
        <v>34</v>
      </c>
      <c r="E575" s="5" t="s">
        <v>57</v>
      </c>
      <c r="F575" s="5" t="s">
        <v>373</v>
      </c>
      <c r="G575" s="5" t="s">
        <v>36</v>
      </c>
      <c r="H575" s="5" t="s">
        <v>36</v>
      </c>
      <c r="I575" s="5" t="s">
        <v>35</v>
      </c>
      <c r="J575" s="6">
        <v>1.0</v>
      </c>
      <c r="K575" s="6">
        <v>930.0</v>
      </c>
      <c r="L575" s="6">
        <v>232.0</v>
      </c>
      <c r="M575" s="5" t="s">
        <v>39</v>
      </c>
      <c r="N575" s="8" t="s">
        <v>57</v>
      </c>
      <c r="O575" s="6" t="s">
        <v>40</v>
      </c>
      <c r="P575" s="5" t="s">
        <v>59</v>
      </c>
      <c r="Q575" s="5" t="s">
        <v>89</v>
      </c>
      <c r="R575" s="6" t="s">
        <v>42</v>
      </c>
      <c r="S575" s="5" t="s">
        <v>288</v>
      </c>
      <c r="T575" s="5" t="s">
        <v>44</v>
      </c>
      <c r="U575" s="5" t="s">
        <v>44</v>
      </c>
      <c r="V575" s="5" t="s">
        <v>44</v>
      </c>
      <c r="W575" s="5" t="s">
        <v>36</v>
      </c>
      <c r="X575" s="8" t="s">
        <v>289</v>
      </c>
      <c r="Y575" s="5" t="s">
        <v>46</v>
      </c>
      <c r="Z575" s="5" t="s">
        <v>47</v>
      </c>
      <c r="AA575" s="5" t="s">
        <v>64</v>
      </c>
      <c r="AB575" s="5" t="s">
        <v>2564</v>
      </c>
      <c r="AC575" s="6" t="s">
        <v>86</v>
      </c>
      <c r="AD575" s="6">
        <v>3307.0</v>
      </c>
    </row>
    <row r="576" ht="56.25" customHeight="1">
      <c r="A576" s="5" t="s">
        <v>2467</v>
      </c>
      <c r="B576" s="6" t="str">
        <f>IMAGE("https://storage.googleapis.com/acdb/housewares/FtrWeightscale_Remake_6_1.png")</f>
        <v/>
      </c>
      <c r="C576" s="5" t="s">
        <v>39</v>
      </c>
      <c r="D576" s="5" t="s">
        <v>34</v>
      </c>
      <c r="E576" s="5" t="s">
        <v>400</v>
      </c>
      <c r="F576" s="5" t="s">
        <v>373</v>
      </c>
      <c r="G576" s="5" t="s">
        <v>36</v>
      </c>
      <c r="H576" s="5" t="s">
        <v>36</v>
      </c>
      <c r="I576" s="5" t="s">
        <v>35</v>
      </c>
      <c r="J576" s="6">
        <v>1.0</v>
      </c>
      <c r="K576" s="6">
        <v>930.0</v>
      </c>
      <c r="L576" s="6">
        <v>232.0</v>
      </c>
      <c r="M576" s="5" t="s">
        <v>39</v>
      </c>
      <c r="N576" s="8" t="s">
        <v>52</v>
      </c>
      <c r="O576" s="6" t="s">
        <v>40</v>
      </c>
      <c r="P576" s="5" t="s">
        <v>59</v>
      </c>
      <c r="Q576" s="5" t="s">
        <v>89</v>
      </c>
      <c r="R576" s="6" t="s">
        <v>42</v>
      </c>
      <c r="S576" s="5" t="s">
        <v>288</v>
      </c>
      <c r="T576" s="5" t="s">
        <v>44</v>
      </c>
      <c r="U576" s="5" t="s">
        <v>44</v>
      </c>
      <c r="V576" s="5" t="s">
        <v>44</v>
      </c>
      <c r="W576" s="5" t="s">
        <v>36</v>
      </c>
      <c r="X576" s="8" t="s">
        <v>289</v>
      </c>
      <c r="Y576" s="5" t="s">
        <v>46</v>
      </c>
      <c r="Z576" s="5" t="s">
        <v>47</v>
      </c>
      <c r="AA576" s="5" t="s">
        <v>64</v>
      </c>
      <c r="AB576" s="5" t="s">
        <v>2568</v>
      </c>
      <c r="AC576" s="6" t="s">
        <v>620</v>
      </c>
      <c r="AD576" s="6">
        <v>3307.0</v>
      </c>
    </row>
    <row r="577" ht="56.25" customHeight="1">
      <c r="A577" s="5" t="s">
        <v>2467</v>
      </c>
      <c r="B577" s="6" t="str">
        <f>IMAGE("https://storage.googleapis.com/acdb/housewares/FtrWeightscale_Remake_6_2.png")</f>
        <v/>
      </c>
      <c r="C577" s="5" t="s">
        <v>39</v>
      </c>
      <c r="D577" s="5" t="s">
        <v>34</v>
      </c>
      <c r="E577" s="5" t="s">
        <v>1044</v>
      </c>
      <c r="F577" s="5" t="s">
        <v>373</v>
      </c>
      <c r="G577" s="5" t="s">
        <v>36</v>
      </c>
      <c r="H577" s="5" t="s">
        <v>36</v>
      </c>
      <c r="I577" s="5" t="s">
        <v>35</v>
      </c>
      <c r="J577" s="6">
        <v>1.0</v>
      </c>
      <c r="K577" s="6">
        <v>930.0</v>
      </c>
      <c r="L577" s="6">
        <v>232.0</v>
      </c>
      <c r="M577" s="5" t="s">
        <v>39</v>
      </c>
      <c r="N577" s="8" t="s">
        <v>96</v>
      </c>
      <c r="O577" s="6" t="s">
        <v>40</v>
      </c>
      <c r="P577" s="5" t="s">
        <v>59</v>
      </c>
      <c r="Q577" s="5" t="s">
        <v>89</v>
      </c>
      <c r="R577" s="6" t="s">
        <v>42</v>
      </c>
      <c r="S577" s="5" t="s">
        <v>288</v>
      </c>
      <c r="T577" s="5" t="s">
        <v>44</v>
      </c>
      <c r="U577" s="5" t="s">
        <v>44</v>
      </c>
      <c r="V577" s="5" t="s">
        <v>44</v>
      </c>
      <c r="W577" s="5" t="s">
        <v>36</v>
      </c>
      <c r="X577" s="8" t="s">
        <v>289</v>
      </c>
      <c r="Y577" s="5" t="s">
        <v>46</v>
      </c>
      <c r="Z577" s="5" t="s">
        <v>47</v>
      </c>
      <c r="AA577" s="5" t="s">
        <v>64</v>
      </c>
      <c r="AB577" s="5" t="s">
        <v>2571</v>
      </c>
      <c r="AC577" s="6" t="s">
        <v>626</v>
      </c>
      <c r="AD577" s="6">
        <v>3307.0</v>
      </c>
    </row>
    <row r="578" ht="56.25" customHeight="1">
      <c r="A578" s="5" t="s">
        <v>2467</v>
      </c>
      <c r="B578" s="6" t="str">
        <f>IMAGE("https://storage.googleapis.com/acdb/housewares/FtrWeightscale_Remake_6_3.png")</f>
        <v/>
      </c>
      <c r="C578" s="5" t="s">
        <v>39</v>
      </c>
      <c r="D578" s="5" t="s">
        <v>34</v>
      </c>
      <c r="E578" s="5" t="s">
        <v>2482</v>
      </c>
      <c r="F578" s="5" t="s">
        <v>373</v>
      </c>
      <c r="G578" s="5" t="s">
        <v>36</v>
      </c>
      <c r="H578" s="5" t="s">
        <v>36</v>
      </c>
      <c r="I578" s="5" t="s">
        <v>35</v>
      </c>
      <c r="J578" s="6">
        <v>1.0</v>
      </c>
      <c r="K578" s="6">
        <v>930.0</v>
      </c>
      <c r="L578" s="6">
        <v>232.0</v>
      </c>
      <c r="M578" s="5" t="s">
        <v>39</v>
      </c>
      <c r="N578" s="8" t="s">
        <v>95</v>
      </c>
      <c r="O578" s="6" t="s">
        <v>40</v>
      </c>
      <c r="P578" s="5" t="s">
        <v>59</v>
      </c>
      <c r="Q578" s="5" t="s">
        <v>89</v>
      </c>
      <c r="R578" s="6" t="s">
        <v>42</v>
      </c>
      <c r="S578" s="5" t="s">
        <v>288</v>
      </c>
      <c r="T578" s="5" t="s">
        <v>44</v>
      </c>
      <c r="U578" s="5" t="s">
        <v>44</v>
      </c>
      <c r="V578" s="5" t="s">
        <v>44</v>
      </c>
      <c r="W578" s="5" t="s">
        <v>36</v>
      </c>
      <c r="X578" s="8" t="s">
        <v>289</v>
      </c>
      <c r="Y578" s="5" t="s">
        <v>46</v>
      </c>
      <c r="Z578" s="5" t="s">
        <v>47</v>
      </c>
      <c r="AA578" s="5" t="s">
        <v>64</v>
      </c>
      <c r="AB578" s="5" t="s">
        <v>2573</v>
      </c>
      <c r="AC578" s="6" t="s">
        <v>634</v>
      </c>
      <c r="AD578" s="6">
        <v>3307.0</v>
      </c>
    </row>
    <row r="579" ht="56.25" customHeight="1">
      <c r="A579" s="5" t="s">
        <v>2467</v>
      </c>
      <c r="B579" s="6" t="str">
        <f>IMAGE("https://storage.googleapis.com/acdb/housewares/FtrWeightscale_Remake_6_4.png")</f>
        <v/>
      </c>
      <c r="C579" s="5" t="s">
        <v>39</v>
      </c>
      <c r="D579" s="5" t="s">
        <v>34</v>
      </c>
      <c r="E579" s="5" t="s">
        <v>2489</v>
      </c>
      <c r="F579" s="5" t="s">
        <v>373</v>
      </c>
      <c r="G579" s="5" t="s">
        <v>36</v>
      </c>
      <c r="H579" s="5" t="s">
        <v>36</v>
      </c>
      <c r="I579" s="5" t="s">
        <v>35</v>
      </c>
      <c r="J579" s="6">
        <v>1.0</v>
      </c>
      <c r="K579" s="6">
        <v>930.0</v>
      </c>
      <c r="L579" s="6">
        <v>232.0</v>
      </c>
      <c r="M579" s="5" t="s">
        <v>39</v>
      </c>
      <c r="N579" s="8" t="s">
        <v>114</v>
      </c>
      <c r="O579" s="6" t="s">
        <v>40</v>
      </c>
      <c r="P579" s="5" t="s">
        <v>59</v>
      </c>
      <c r="Q579" s="5" t="s">
        <v>89</v>
      </c>
      <c r="R579" s="6" t="s">
        <v>42</v>
      </c>
      <c r="S579" s="5" t="s">
        <v>288</v>
      </c>
      <c r="T579" s="5" t="s">
        <v>44</v>
      </c>
      <c r="U579" s="5" t="s">
        <v>44</v>
      </c>
      <c r="V579" s="5" t="s">
        <v>44</v>
      </c>
      <c r="W579" s="5" t="s">
        <v>36</v>
      </c>
      <c r="X579" s="8" t="s">
        <v>289</v>
      </c>
      <c r="Y579" s="5" t="s">
        <v>46</v>
      </c>
      <c r="Z579" s="5" t="s">
        <v>47</v>
      </c>
      <c r="AA579" s="5" t="s">
        <v>64</v>
      </c>
      <c r="AB579" s="5" t="s">
        <v>2576</v>
      </c>
      <c r="AC579" s="6" t="s">
        <v>641</v>
      </c>
      <c r="AD579" s="6">
        <v>3307.0</v>
      </c>
    </row>
    <row r="580" ht="56.25" customHeight="1">
      <c r="A580" s="5" t="s">
        <v>2577</v>
      </c>
      <c r="B580" s="6" t="str">
        <f>IMAGE("https://storage.googleapis.com/acdb/housewares/FtrAmeretroChairS_Remake_0_0.png")</f>
        <v/>
      </c>
      <c r="C580" s="5" t="s">
        <v>52</v>
      </c>
      <c r="D580" s="5" t="s">
        <v>34</v>
      </c>
      <c r="E580" s="5" t="s">
        <v>34</v>
      </c>
      <c r="F580" s="5" t="s">
        <v>34</v>
      </c>
      <c r="G580" s="5" t="s">
        <v>36</v>
      </c>
      <c r="H580" s="5" t="s">
        <v>36</v>
      </c>
      <c r="I580" s="5" t="s">
        <v>36</v>
      </c>
      <c r="J580" s="6" t="s">
        <v>34</v>
      </c>
      <c r="K580" s="6">
        <v>1600.0</v>
      </c>
      <c r="L580" s="6">
        <v>400.0</v>
      </c>
      <c r="M580" s="8" t="s">
        <v>52</v>
      </c>
      <c r="N580" s="8" t="s">
        <v>57</v>
      </c>
      <c r="O580" s="6" t="s">
        <v>40</v>
      </c>
      <c r="P580" s="5" t="s">
        <v>59</v>
      </c>
      <c r="Q580" s="5" t="s">
        <v>122</v>
      </c>
      <c r="R580" s="6" t="s">
        <v>42</v>
      </c>
      <c r="S580" s="5" t="s">
        <v>62</v>
      </c>
      <c r="T580" s="5" t="s">
        <v>44</v>
      </c>
      <c r="U580" s="5" t="s">
        <v>780</v>
      </c>
      <c r="V580" s="5" t="s">
        <v>44</v>
      </c>
      <c r="W580" s="5" t="s">
        <v>35</v>
      </c>
      <c r="X580" s="8" t="s">
        <v>248</v>
      </c>
      <c r="Y580" s="5" t="s">
        <v>46</v>
      </c>
      <c r="Z580" s="5" t="s">
        <v>47</v>
      </c>
      <c r="AA580" s="5" t="s">
        <v>64</v>
      </c>
      <c r="AB580" s="5" t="s">
        <v>2580</v>
      </c>
      <c r="AC580" s="6" t="s">
        <v>50</v>
      </c>
      <c r="AD580" s="6">
        <v>4137.0</v>
      </c>
    </row>
    <row r="581" ht="56.25" customHeight="1">
      <c r="A581" s="5" t="s">
        <v>2577</v>
      </c>
      <c r="B581" s="6" t="str">
        <f>IMAGE("https://storage.googleapis.com/acdb/housewares/FtrAmeretroChairS_Remake_1_0.png")</f>
        <v/>
      </c>
      <c r="C581" s="5" t="s">
        <v>68</v>
      </c>
      <c r="D581" s="5" t="s">
        <v>34</v>
      </c>
      <c r="E581" s="5" t="s">
        <v>34</v>
      </c>
      <c r="F581" s="5" t="s">
        <v>34</v>
      </c>
      <c r="G581" s="5" t="s">
        <v>36</v>
      </c>
      <c r="H581" s="5" t="s">
        <v>36</v>
      </c>
      <c r="I581" s="5" t="s">
        <v>36</v>
      </c>
      <c r="J581" s="6" t="s">
        <v>34</v>
      </c>
      <c r="K581" s="6">
        <v>1600.0</v>
      </c>
      <c r="L581" s="6">
        <v>400.0</v>
      </c>
      <c r="M581" s="8" t="s">
        <v>68</v>
      </c>
      <c r="N581" s="8" t="s">
        <v>57</v>
      </c>
      <c r="O581" s="6" t="s">
        <v>40</v>
      </c>
      <c r="P581" s="5" t="s">
        <v>59</v>
      </c>
      <c r="Q581" s="5" t="s">
        <v>122</v>
      </c>
      <c r="R581" s="6" t="s">
        <v>42</v>
      </c>
      <c r="S581" s="5" t="s">
        <v>62</v>
      </c>
      <c r="T581" s="5" t="s">
        <v>44</v>
      </c>
      <c r="U581" s="5" t="s">
        <v>780</v>
      </c>
      <c r="V581" s="5" t="s">
        <v>44</v>
      </c>
      <c r="W581" s="5" t="s">
        <v>35</v>
      </c>
      <c r="X581" s="8" t="s">
        <v>248</v>
      </c>
      <c r="Y581" s="5" t="s">
        <v>46</v>
      </c>
      <c r="Z581" s="5" t="s">
        <v>47</v>
      </c>
      <c r="AA581" s="5" t="s">
        <v>64</v>
      </c>
      <c r="AB581" s="5" t="s">
        <v>2582</v>
      </c>
      <c r="AC581" s="6" t="s">
        <v>56</v>
      </c>
      <c r="AD581" s="6">
        <v>4137.0</v>
      </c>
    </row>
    <row r="582" ht="56.25" customHeight="1">
      <c r="A582" s="5" t="s">
        <v>2577</v>
      </c>
      <c r="B582" s="6" t="str">
        <f>IMAGE("https://storage.googleapis.com/acdb/housewares/FtrAmeretroChairS_Remake_2_0.png")</f>
        <v/>
      </c>
      <c r="C582" s="5" t="s">
        <v>114</v>
      </c>
      <c r="D582" s="5" t="s">
        <v>34</v>
      </c>
      <c r="E582" s="5" t="s">
        <v>34</v>
      </c>
      <c r="F582" s="5" t="s">
        <v>34</v>
      </c>
      <c r="G582" s="5" t="s">
        <v>36</v>
      </c>
      <c r="H582" s="5" t="s">
        <v>36</v>
      </c>
      <c r="I582" s="5" t="s">
        <v>36</v>
      </c>
      <c r="J582" s="6" t="s">
        <v>34</v>
      </c>
      <c r="K582" s="6">
        <v>1600.0</v>
      </c>
      <c r="L582" s="6">
        <v>400.0</v>
      </c>
      <c r="M582" s="8" t="s">
        <v>114</v>
      </c>
      <c r="N582" s="8" t="s">
        <v>57</v>
      </c>
      <c r="O582" s="6" t="s">
        <v>40</v>
      </c>
      <c r="P582" s="5" t="s">
        <v>59</v>
      </c>
      <c r="Q582" s="5" t="s">
        <v>122</v>
      </c>
      <c r="R582" s="6" t="s">
        <v>42</v>
      </c>
      <c r="S582" s="5" t="s">
        <v>62</v>
      </c>
      <c r="T582" s="5" t="s">
        <v>44</v>
      </c>
      <c r="U582" s="5" t="s">
        <v>780</v>
      </c>
      <c r="V582" s="5" t="s">
        <v>44</v>
      </c>
      <c r="W582" s="5" t="s">
        <v>35</v>
      </c>
      <c r="X582" s="8" t="s">
        <v>248</v>
      </c>
      <c r="Y582" s="5" t="s">
        <v>46</v>
      </c>
      <c r="Z582" s="5" t="s">
        <v>47</v>
      </c>
      <c r="AA582" s="5" t="s">
        <v>64</v>
      </c>
      <c r="AB582" s="5" t="s">
        <v>2585</v>
      </c>
      <c r="AC582" s="6" t="s">
        <v>67</v>
      </c>
      <c r="AD582" s="6">
        <v>4137.0</v>
      </c>
    </row>
    <row r="583" ht="56.25" customHeight="1">
      <c r="A583" s="5" t="s">
        <v>2577</v>
      </c>
      <c r="B583" s="6" t="str">
        <f>IMAGE("https://storage.googleapis.com/acdb/housewares/FtrAmeretroChairS_Remake_3_0.png")</f>
        <v/>
      </c>
      <c r="C583" s="5" t="s">
        <v>819</v>
      </c>
      <c r="D583" s="5" t="s">
        <v>34</v>
      </c>
      <c r="E583" s="5" t="s">
        <v>34</v>
      </c>
      <c r="F583" s="5" t="s">
        <v>34</v>
      </c>
      <c r="G583" s="5" t="s">
        <v>36</v>
      </c>
      <c r="H583" s="5" t="s">
        <v>36</v>
      </c>
      <c r="I583" s="5" t="s">
        <v>36</v>
      </c>
      <c r="J583" s="6" t="s">
        <v>34</v>
      </c>
      <c r="K583" s="6">
        <v>1600.0</v>
      </c>
      <c r="L583" s="6">
        <v>400.0</v>
      </c>
      <c r="M583" s="8" t="s">
        <v>96</v>
      </c>
      <c r="N583" s="8" t="s">
        <v>57</v>
      </c>
      <c r="O583" s="6" t="s">
        <v>40</v>
      </c>
      <c r="P583" s="5" t="s">
        <v>59</v>
      </c>
      <c r="Q583" s="5" t="s">
        <v>122</v>
      </c>
      <c r="R583" s="6" t="s">
        <v>42</v>
      </c>
      <c r="S583" s="5" t="s">
        <v>62</v>
      </c>
      <c r="T583" s="5" t="s">
        <v>44</v>
      </c>
      <c r="U583" s="5" t="s">
        <v>780</v>
      </c>
      <c r="V583" s="5" t="s">
        <v>44</v>
      </c>
      <c r="W583" s="5" t="s">
        <v>35</v>
      </c>
      <c r="X583" s="8" t="s">
        <v>248</v>
      </c>
      <c r="Y583" s="5" t="s">
        <v>46</v>
      </c>
      <c r="Z583" s="5" t="s">
        <v>47</v>
      </c>
      <c r="AA583" s="5" t="s">
        <v>64</v>
      </c>
      <c r="AB583" s="5" t="s">
        <v>2588</v>
      </c>
      <c r="AC583" s="6" t="s">
        <v>71</v>
      </c>
      <c r="AD583" s="6">
        <v>4137.0</v>
      </c>
    </row>
    <row r="584" ht="56.25" customHeight="1">
      <c r="A584" s="5" t="s">
        <v>2577</v>
      </c>
      <c r="B584" s="6" t="str">
        <f>IMAGE("https://storage.googleapis.com/acdb/housewares/FtrAmeretroChairS_Remake_4_0.png")</f>
        <v/>
      </c>
      <c r="C584" s="5" t="s">
        <v>69</v>
      </c>
      <c r="D584" s="5" t="s">
        <v>34</v>
      </c>
      <c r="E584" s="5" t="s">
        <v>34</v>
      </c>
      <c r="F584" s="5" t="s">
        <v>34</v>
      </c>
      <c r="G584" s="5" t="s">
        <v>36</v>
      </c>
      <c r="H584" s="5" t="s">
        <v>36</v>
      </c>
      <c r="I584" s="5" t="s">
        <v>36</v>
      </c>
      <c r="J584" s="6" t="s">
        <v>34</v>
      </c>
      <c r="K584" s="6">
        <v>1600.0</v>
      </c>
      <c r="L584" s="6">
        <v>400.0</v>
      </c>
      <c r="M584" s="8" t="s">
        <v>69</v>
      </c>
      <c r="N584" s="8" t="s">
        <v>57</v>
      </c>
      <c r="O584" s="6" t="s">
        <v>40</v>
      </c>
      <c r="P584" s="5" t="s">
        <v>59</v>
      </c>
      <c r="Q584" s="5" t="s">
        <v>122</v>
      </c>
      <c r="R584" s="6" t="s">
        <v>42</v>
      </c>
      <c r="S584" s="5" t="s">
        <v>62</v>
      </c>
      <c r="T584" s="5" t="s">
        <v>44</v>
      </c>
      <c r="U584" s="5" t="s">
        <v>780</v>
      </c>
      <c r="V584" s="5" t="s">
        <v>44</v>
      </c>
      <c r="W584" s="5" t="s">
        <v>35</v>
      </c>
      <c r="X584" s="8" t="s">
        <v>248</v>
      </c>
      <c r="Y584" s="5" t="s">
        <v>46</v>
      </c>
      <c r="Z584" s="5" t="s">
        <v>47</v>
      </c>
      <c r="AA584" s="5" t="s">
        <v>64</v>
      </c>
      <c r="AB584" s="5" t="s">
        <v>2590</v>
      </c>
      <c r="AC584" s="6" t="s">
        <v>75</v>
      </c>
      <c r="AD584" s="6">
        <v>4137.0</v>
      </c>
    </row>
    <row r="585" ht="56.25" customHeight="1">
      <c r="A585" s="5" t="s">
        <v>2577</v>
      </c>
      <c r="B585" s="6" t="str">
        <f>IMAGE("https://storage.googleapis.com/acdb/housewares/FtrAmeretroChairS_Remake_5_0.png")</f>
        <v/>
      </c>
      <c r="C585" s="5" t="s">
        <v>307</v>
      </c>
      <c r="D585" s="5" t="s">
        <v>34</v>
      </c>
      <c r="E585" s="5" t="s">
        <v>34</v>
      </c>
      <c r="F585" s="5" t="s">
        <v>34</v>
      </c>
      <c r="G585" s="5" t="s">
        <v>36</v>
      </c>
      <c r="H585" s="5" t="s">
        <v>36</v>
      </c>
      <c r="I585" s="5" t="s">
        <v>36</v>
      </c>
      <c r="J585" s="6" t="s">
        <v>34</v>
      </c>
      <c r="K585" s="6">
        <v>1600.0</v>
      </c>
      <c r="L585" s="6">
        <v>400.0</v>
      </c>
      <c r="M585" s="8" t="s">
        <v>38</v>
      </c>
      <c r="N585" s="8" t="s">
        <v>57</v>
      </c>
      <c r="O585" s="6" t="s">
        <v>40</v>
      </c>
      <c r="P585" s="5" t="s">
        <v>59</v>
      </c>
      <c r="Q585" s="5" t="s">
        <v>122</v>
      </c>
      <c r="R585" s="6" t="s">
        <v>42</v>
      </c>
      <c r="S585" s="5" t="s">
        <v>62</v>
      </c>
      <c r="T585" s="5" t="s">
        <v>44</v>
      </c>
      <c r="U585" s="5" t="s">
        <v>780</v>
      </c>
      <c r="V585" s="5" t="s">
        <v>44</v>
      </c>
      <c r="W585" s="5" t="s">
        <v>35</v>
      </c>
      <c r="X585" s="8" t="s">
        <v>248</v>
      </c>
      <c r="Y585" s="5" t="s">
        <v>46</v>
      </c>
      <c r="Z585" s="5" t="s">
        <v>47</v>
      </c>
      <c r="AA585" s="5" t="s">
        <v>64</v>
      </c>
      <c r="AB585" s="5" t="s">
        <v>2594</v>
      </c>
      <c r="AC585" s="6" t="s">
        <v>79</v>
      </c>
      <c r="AD585" s="6">
        <v>4137.0</v>
      </c>
    </row>
    <row r="586" ht="56.25" customHeight="1">
      <c r="A586" s="5" t="s">
        <v>2577</v>
      </c>
      <c r="B586" s="6" t="str">
        <f>IMAGE("https://storage.googleapis.com/acdb/housewares/FtrAmeretroChairS_Remake_6_0.png")</f>
        <v/>
      </c>
      <c r="C586" s="5" t="s">
        <v>54</v>
      </c>
      <c r="D586" s="5" t="s">
        <v>34</v>
      </c>
      <c r="E586" s="5" t="s">
        <v>34</v>
      </c>
      <c r="F586" s="5" t="s">
        <v>34</v>
      </c>
      <c r="G586" s="5" t="s">
        <v>36</v>
      </c>
      <c r="H586" s="5" t="s">
        <v>36</v>
      </c>
      <c r="I586" s="5" t="s">
        <v>36</v>
      </c>
      <c r="J586" s="6" t="s">
        <v>34</v>
      </c>
      <c r="K586" s="6">
        <v>1600.0</v>
      </c>
      <c r="L586" s="6">
        <v>400.0</v>
      </c>
      <c r="M586" s="8" t="s">
        <v>54</v>
      </c>
      <c r="N586" s="8" t="s">
        <v>57</v>
      </c>
      <c r="O586" s="6" t="s">
        <v>40</v>
      </c>
      <c r="P586" s="5" t="s">
        <v>59</v>
      </c>
      <c r="Q586" s="5" t="s">
        <v>122</v>
      </c>
      <c r="R586" s="6" t="s">
        <v>42</v>
      </c>
      <c r="S586" s="5" t="s">
        <v>62</v>
      </c>
      <c r="T586" s="5" t="s">
        <v>44</v>
      </c>
      <c r="U586" s="5" t="s">
        <v>780</v>
      </c>
      <c r="V586" s="5" t="s">
        <v>44</v>
      </c>
      <c r="W586" s="5" t="s">
        <v>35</v>
      </c>
      <c r="X586" s="8" t="s">
        <v>248</v>
      </c>
      <c r="Y586" s="5" t="s">
        <v>46</v>
      </c>
      <c r="Z586" s="5" t="s">
        <v>47</v>
      </c>
      <c r="AA586" s="5" t="s">
        <v>64</v>
      </c>
      <c r="AB586" s="5" t="s">
        <v>2597</v>
      </c>
      <c r="AC586" s="6" t="s">
        <v>86</v>
      </c>
      <c r="AD586" s="6">
        <v>4137.0</v>
      </c>
    </row>
    <row r="587" ht="56.25" customHeight="1">
      <c r="A587" s="5" t="s">
        <v>2598</v>
      </c>
      <c r="B587" s="6" t="str">
        <f>IMAGE("https://storage.googleapis.com/acdb/housewares/FtrAmeretroCounterchair_Remake_0_0.png")</f>
        <v/>
      </c>
      <c r="C587" s="5" t="s">
        <v>52</v>
      </c>
      <c r="D587" s="5" t="s">
        <v>34</v>
      </c>
      <c r="E587" s="5" t="s">
        <v>34</v>
      </c>
      <c r="F587" s="5" t="s">
        <v>34</v>
      </c>
      <c r="G587" s="5" t="s">
        <v>36</v>
      </c>
      <c r="H587" s="5" t="s">
        <v>36</v>
      </c>
      <c r="I587" s="5" t="s">
        <v>36</v>
      </c>
      <c r="J587" s="6" t="s">
        <v>34</v>
      </c>
      <c r="K587" s="6">
        <v>1100.0</v>
      </c>
      <c r="L587" s="6">
        <v>275.0</v>
      </c>
      <c r="M587" s="5" t="s">
        <v>95</v>
      </c>
      <c r="N587" s="8" t="s">
        <v>52</v>
      </c>
      <c r="O587" s="6" t="s">
        <v>40</v>
      </c>
      <c r="P587" s="5" t="s">
        <v>59</v>
      </c>
      <c r="Q587" s="5" t="s">
        <v>122</v>
      </c>
      <c r="R587" s="6" t="s">
        <v>42</v>
      </c>
      <c r="S587" s="5" t="s">
        <v>62</v>
      </c>
      <c r="T587" s="5" t="s">
        <v>44</v>
      </c>
      <c r="U587" s="5" t="s">
        <v>780</v>
      </c>
      <c r="V587" s="5" t="s">
        <v>44</v>
      </c>
      <c r="W587" s="5" t="s">
        <v>35</v>
      </c>
      <c r="X587" s="8" t="s">
        <v>248</v>
      </c>
      <c r="Y587" s="5" t="s">
        <v>46</v>
      </c>
      <c r="Z587" s="5" t="s">
        <v>47</v>
      </c>
      <c r="AA587" s="5" t="s">
        <v>64</v>
      </c>
      <c r="AB587" s="5" t="s">
        <v>2600</v>
      </c>
      <c r="AC587" s="6" t="s">
        <v>50</v>
      </c>
      <c r="AD587" s="6">
        <v>4138.0</v>
      </c>
    </row>
    <row r="588" ht="56.25" customHeight="1">
      <c r="A588" s="5" t="s">
        <v>2598</v>
      </c>
      <c r="B588" s="6" t="str">
        <f>IMAGE("https://storage.googleapis.com/acdb/housewares/FtrAmeretroCounterchair_Remake_1_0.png")</f>
        <v/>
      </c>
      <c r="C588" s="5" t="s">
        <v>68</v>
      </c>
      <c r="D588" s="5" t="s">
        <v>34</v>
      </c>
      <c r="E588" s="5" t="s">
        <v>34</v>
      </c>
      <c r="F588" s="5" t="s">
        <v>34</v>
      </c>
      <c r="G588" s="5" t="s">
        <v>36</v>
      </c>
      <c r="H588" s="5" t="s">
        <v>36</v>
      </c>
      <c r="I588" s="5" t="s">
        <v>36</v>
      </c>
      <c r="J588" s="6" t="s">
        <v>34</v>
      </c>
      <c r="K588" s="6">
        <v>1100.0</v>
      </c>
      <c r="L588" s="6">
        <v>275.0</v>
      </c>
      <c r="M588" s="5" t="s">
        <v>95</v>
      </c>
      <c r="N588" s="8" t="s">
        <v>68</v>
      </c>
      <c r="O588" s="6" t="s">
        <v>40</v>
      </c>
      <c r="P588" s="5" t="s">
        <v>59</v>
      </c>
      <c r="Q588" s="5" t="s">
        <v>122</v>
      </c>
      <c r="R588" s="6" t="s">
        <v>42</v>
      </c>
      <c r="S588" s="5" t="s">
        <v>62</v>
      </c>
      <c r="T588" s="5" t="s">
        <v>44</v>
      </c>
      <c r="U588" s="5" t="s">
        <v>780</v>
      </c>
      <c r="V588" s="5" t="s">
        <v>44</v>
      </c>
      <c r="W588" s="5" t="s">
        <v>35</v>
      </c>
      <c r="X588" s="8" t="s">
        <v>248</v>
      </c>
      <c r="Y588" s="5" t="s">
        <v>46</v>
      </c>
      <c r="Z588" s="5" t="s">
        <v>47</v>
      </c>
      <c r="AA588" s="5" t="s">
        <v>64</v>
      </c>
      <c r="AB588" s="5" t="s">
        <v>2602</v>
      </c>
      <c r="AC588" s="6" t="s">
        <v>56</v>
      </c>
      <c r="AD588" s="6">
        <v>4138.0</v>
      </c>
    </row>
    <row r="589" ht="56.25" customHeight="1">
      <c r="A589" s="5" t="s">
        <v>2598</v>
      </c>
      <c r="B589" s="6" t="str">
        <f>IMAGE("https://storage.googleapis.com/acdb/housewares/FtrAmeretroCounterchair_Remake_2_0.png")</f>
        <v/>
      </c>
      <c r="C589" s="5" t="s">
        <v>114</v>
      </c>
      <c r="D589" s="5" t="s">
        <v>34</v>
      </c>
      <c r="E589" s="5" t="s">
        <v>34</v>
      </c>
      <c r="F589" s="5" t="s">
        <v>34</v>
      </c>
      <c r="G589" s="5" t="s">
        <v>36</v>
      </c>
      <c r="H589" s="5" t="s">
        <v>36</v>
      </c>
      <c r="I589" s="5" t="s">
        <v>36</v>
      </c>
      <c r="J589" s="6" t="s">
        <v>34</v>
      </c>
      <c r="K589" s="6">
        <v>1100.0</v>
      </c>
      <c r="L589" s="6">
        <v>275.0</v>
      </c>
      <c r="M589" s="5" t="s">
        <v>95</v>
      </c>
      <c r="N589" s="8" t="s">
        <v>114</v>
      </c>
      <c r="O589" s="6" t="s">
        <v>40</v>
      </c>
      <c r="P589" s="5" t="s">
        <v>59</v>
      </c>
      <c r="Q589" s="5" t="s">
        <v>122</v>
      </c>
      <c r="R589" s="6" t="s">
        <v>42</v>
      </c>
      <c r="S589" s="5" t="s">
        <v>62</v>
      </c>
      <c r="T589" s="5" t="s">
        <v>44</v>
      </c>
      <c r="U589" s="5" t="s">
        <v>780</v>
      </c>
      <c r="V589" s="5" t="s">
        <v>44</v>
      </c>
      <c r="W589" s="5" t="s">
        <v>35</v>
      </c>
      <c r="X589" s="8" t="s">
        <v>248</v>
      </c>
      <c r="Y589" s="5" t="s">
        <v>46</v>
      </c>
      <c r="Z589" s="5" t="s">
        <v>47</v>
      </c>
      <c r="AA589" s="5" t="s">
        <v>64</v>
      </c>
      <c r="AB589" s="5" t="s">
        <v>2605</v>
      </c>
      <c r="AC589" s="6" t="s">
        <v>67</v>
      </c>
      <c r="AD589" s="6">
        <v>4138.0</v>
      </c>
    </row>
    <row r="590" ht="56.25" customHeight="1">
      <c r="A590" s="5" t="s">
        <v>2598</v>
      </c>
      <c r="B590" s="6" t="str">
        <f>IMAGE("https://storage.googleapis.com/acdb/housewares/FtrAmeretroCounterchair_Remake_3_0.png")</f>
        <v/>
      </c>
      <c r="C590" s="5" t="s">
        <v>819</v>
      </c>
      <c r="D590" s="5" t="s">
        <v>34</v>
      </c>
      <c r="E590" s="5" t="s">
        <v>34</v>
      </c>
      <c r="F590" s="5" t="s">
        <v>34</v>
      </c>
      <c r="G590" s="5" t="s">
        <v>36</v>
      </c>
      <c r="H590" s="5" t="s">
        <v>36</v>
      </c>
      <c r="I590" s="5" t="s">
        <v>36</v>
      </c>
      <c r="J590" s="6" t="s">
        <v>34</v>
      </c>
      <c r="K590" s="6">
        <v>1100.0</v>
      </c>
      <c r="L590" s="6">
        <v>275.0</v>
      </c>
      <c r="M590" s="5" t="s">
        <v>95</v>
      </c>
      <c r="N590" s="8" t="s">
        <v>1175</v>
      </c>
      <c r="O590" s="6" t="s">
        <v>40</v>
      </c>
      <c r="P590" s="5" t="s">
        <v>59</v>
      </c>
      <c r="Q590" s="5" t="s">
        <v>122</v>
      </c>
      <c r="R590" s="6" t="s">
        <v>42</v>
      </c>
      <c r="S590" s="5" t="s">
        <v>62</v>
      </c>
      <c r="T590" s="5" t="s">
        <v>44</v>
      </c>
      <c r="U590" s="5" t="s">
        <v>780</v>
      </c>
      <c r="V590" s="5" t="s">
        <v>44</v>
      </c>
      <c r="W590" s="5" t="s">
        <v>35</v>
      </c>
      <c r="X590" s="8" t="s">
        <v>248</v>
      </c>
      <c r="Y590" s="5" t="s">
        <v>46</v>
      </c>
      <c r="Z590" s="5" t="s">
        <v>47</v>
      </c>
      <c r="AA590" s="5" t="s">
        <v>64</v>
      </c>
      <c r="AB590" s="5" t="s">
        <v>2608</v>
      </c>
      <c r="AC590" s="6" t="s">
        <v>71</v>
      </c>
      <c r="AD590" s="6">
        <v>4138.0</v>
      </c>
    </row>
    <row r="591" ht="56.25" customHeight="1">
      <c r="A591" s="5" t="s">
        <v>2598</v>
      </c>
      <c r="B591" s="6" t="str">
        <f>IMAGE("https://storage.googleapis.com/acdb/housewares/FtrAmeretroCounterchair_Remake_4_0.png")</f>
        <v/>
      </c>
      <c r="C591" s="5" t="s">
        <v>69</v>
      </c>
      <c r="D591" s="5" t="s">
        <v>34</v>
      </c>
      <c r="E591" s="5" t="s">
        <v>34</v>
      </c>
      <c r="F591" s="5" t="s">
        <v>34</v>
      </c>
      <c r="G591" s="5" t="s">
        <v>36</v>
      </c>
      <c r="H591" s="5" t="s">
        <v>36</v>
      </c>
      <c r="I591" s="5" t="s">
        <v>36</v>
      </c>
      <c r="J591" s="6" t="s">
        <v>34</v>
      </c>
      <c r="K591" s="6">
        <v>1100.0</v>
      </c>
      <c r="L591" s="6">
        <v>275.0</v>
      </c>
      <c r="M591" s="5" t="s">
        <v>95</v>
      </c>
      <c r="N591" s="8" t="s">
        <v>69</v>
      </c>
      <c r="O591" s="6" t="s">
        <v>40</v>
      </c>
      <c r="P591" s="5" t="s">
        <v>59</v>
      </c>
      <c r="Q591" s="5" t="s">
        <v>122</v>
      </c>
      <c r="R591" s="6" t="s">
        <v>42</v>
      </c>
      <c r="S591" s="5" t="s">
        <v>62</v>
      </c>
      <c r="T591" s="5" t="s">
        <v>44</v>
      </c>
      <c r="U591" s="5" t="s">
        <v>780</v>
      </c>
      <c r="V591" s="5" t="s">
        <v>44</v>
      </c>
      <c r="W591" s="5" t="s">
        <v>35</v>
      </c>
      <c r="X591" s="8" t="s">
        <v>248</v>
      </c>
      <c r="Y591" s="5" t="s">
        <v>46</v>
      </c>
      <c r="Z591" s="5" t="s">
        <v>47</v>
      </c>
      <c r="AA591" s="5" t="s">
        <v>64</v>
      </c>
      <c r="AB591" s="5" t="s">
        <v>2610</v>
      </c>
      <c r="AC591" s="6" t="s">
        <v>75</v>
      </c>
      <c r="AD591" s="6">
        <v>4138.0</v>
      </c>
    </row>
    <row r="592" ht="56.25" customHeight="1">
      <c r="A592" s="5" t="s">
        <v>2598</v>
      </c>
      <c r="B592" s="6" t="str">
        <f>IMAGE("https://storage.googleapis.com/acdb/housewares/FtrAmeretroCounterchair_Remake_5_0.png")</f>
        <v/>
      </c>
      <c r="C592" s="5" t="s">
        <v>307</v>
      </c>
      <c r="D592" s="5" t="s">
        <v>34</v>
      </c>
      <c r="E592" s="5" t="s">
        <v>34</v>
      </c>
      <c r="F592" s="5" t="s">
        <v>34</v>
      </c>
      <c r="G592" s="5" t="s">
        <v>36</v>
      </c>
      <c r="H592" s="5" t="s">
        <v>36</v>
      </c>
      <c r="I592" s="5" t="s">
        <v>36</v>
      </c>
      <c r="J592" s="6" t="s">
        <v>34</v>
      </c>
      <c r="K592" s="6">
        <v>1100.0</v>
      </c>
      <c r="L592" s="6">
        <v>275.0</v>
      </c>
      <c r="M592" s="5" t="s">
        <v>95</v>
      </c>
      <c r="N592" s="8" t="s">
        <v>57</v>
      </c>
      <c r="O592" s="6" t="s">
        <v>40</v>
      </c>
      <c r="P592" s="5" t="s">
        <v>59</v>
      </c>
      <c r="Q592" s="5" t="s">
        <v>122</v>
      </c>
      <c r="R592" s="6" t="s">
        <v>42</v>
      </c>
      <c r="S592" s="5" t="s">
        <v>62</v>
      </c>
      <c r="T592" s="5" t="s">
        <v>44</v>
      </c>
      <c r="U592" s="5" t="s">
        <v>780</v>
      </c>
      <c r="V592" s="5" t="s">
        <v>44</v>
      </c>
      <c r="W592" s="5" t="s">
        <v>35</v>
      </c>
      <c r="X592" s="8" t="s">
        <v>248</v>
      </c>
      <c r="Y592" s="5" t="s">
        <v>46</v>
      </c>
      <c r="Z592" s="5" t="s">
        <v>47</v>
      </c>
      <c r="AA592" s="5" t="s">
        <v>64</v>
      </c>
      <c r="AB592" s="5" t="s">
        <v>2613</v>
      </c>
      <c r="AC592" s="6" t="s">
        <v>79</v>
      </c>
      <c r="AD592" s="6">
        <v>4138.0</v>
      </c>
    </row>
    <row r="593" ht="56.25" customHeight="1">
      <c r="A593" s="5" t="s">
        <v>2598</v>
      </c>
      <c r="B593" s="6" t="str">
        <f>IMAGE("https://storage.googleapis.com/acdb/housewares/FtrAmeretroCounterchair_Remake_6_0.png")</f>
        <v/>
      </c>
      <c r="C593" s="5" t="s">
        <v>54</v>
      </c>
      <c r="D593" s="5" t="s">
        <v>34</v>
      </c>
      <c r="E593" s="5" t="s">
        <v>34</v>
      </c>
      <c r="F593" s="5" t="s">
        <v>34</v>
      </c>
      <c r="G593" s="5" t="s">
        <v>36</v>
      </c>
      <c r="H593" s="5" t="s">
        <v>36</v>
      </c>
      <c r="I593" s="5" t="s">
        <v>36</v>
      </c>
      <c r="J593" s="6" t="s">
        <v>34</v>
      </c>
      <c r="K593" s="6">
        <v>1100.0</v>
      </c>
      <c r="L593" s="6">
        <v>275.0</v>
      </c>
      <c r="M593" s="5" t="s">
        <v>95</v>
      </c>
      <c r="N593" s="8" t="s">
        <v>54</v>
      </c>
      <c r="O593" s="6" t="s">
        <v>40</v>
      </c>
      <c r="P593" s="5" t="s">
        <v>59</v>
      </c>
      <c r="Q593" s="5" t="s">
        <v>122</v>
      </c>
      <c r="R593" s="6" t="s">
        <v>42</v>
      </c>
      <c r="S593" s="5" t="s">
        <v>62</v>
      </c>
      <c r="T593" s="5" t="s">
        <v>44</v>
      </c>
      <c r="U593" s="5" t="s">
        <v>780</v>
      </c>
      <c r="V593" s="5" t="s">
        <v>44</v>
      </c>
      <c r="W593" s="5" t="s">
        <v>35</v>
      </c>
      <c r="X593" s="8" t="s">
        <v>248</v>
      </c>
      <c r="Y593" s="5" t="s">
        <v>46</v>
      </c>
      <c r="Z593" s="5" t="s">
        <v>47</v>
      </c>
      <c r="AA593" s="5" t="s">
        <v>64</v>
      </c>
      <c r="AB593" s="5" t="s">
        <v>2617</v>
      </c>
      <c r="AC593" s="6" t="s">
        <v>86</v>
      </c>
      <c r="AD593" s="6">
        <v>4138.0</v>
      </c>
    </row>
    <row r="594" ht="56.25" customHeight="1">
      <c r="A594" s="5" t="s">
        <v>2618</v>
      </c>
      <c r="B594" s="6" t="str">
        <f>IMAGE("https://storage.googleapis.com/acdb/housewares/FtrAmeretroCounter_Remake_0_0.png")</f>
        <v/>
      </c>
      <c r="C594" s="5" t="s">
        <v>52</v>
      </c>
      <c r="D594" s="5" t="s">
        <v>34</v>
      </c>
      <c r="E594" s="5" t="s">
        <v>34</v>
      </c>
      <c r="F594" s="5" t="s">
        <v>34</v>
      </c>
      <c r="G594" s="5" t="s">
        <v>36</v>
      </c>
      <c r="H594" s="5" t="s">
        <v>36</v>
      </c>
      <c r="I594" s="5" t="s">
        <v>36</v>
      </c>
      <c r="J594" s="6" t="s">
        <v>34</v>
      </c>
      <c r="K594" s="6">
        <v>6000.0</v>
      </c>
      <c r="L594" s="6">
        <v>1500.0</v>
      </c>
      <c r="M594" s="8" t="s">
        <v>52</v>
      </c>
      <c r="N594" s="8" t="s">
        <v>95</v>
      </c>
      <c r="O594" s="6" t="s">
        <v>276</v>
      </c>
      <c r="P594" s="5" t="s">
        <v>59</v>
      </c>
      <c r="Q594" s="5" t="s">
        <v>122</v>
      </c>
      <c r="R594" s="6" t="s">
        <v>42</v>
      </c>
      <c r="S594" s="5" t="s">
        <v>62</v>
      </c>
      <c r="T594" s="5" t="s">
        <v>44</v>
      </c>
      <c r="U594" s="5" t="s">
        <v>780</v>
      </c>
      <c r="V594" s="5" t="s">
        <v>44</v>
      </c>
      <c r="W594" s="5" t="s">
        <v>36</v>
      </c>
      <c r="X594" s="8" t="s">
        <v>278</v>
      </c>
      <c r="Y594" s="5" t="s">
        <v>46</v>
      </c>
      <c r="Z594" s="5" t="s">
        <v>47</v>
      </c>
      <c r="AA594" s="5" t="s">
        <v>64</v>
      </c>
      <c r="AB594" s="5" t="s">
        <v>2622</v>
      </c>
      <c r="AC594" s="6" t="s">
        <v>50</v>
      </c>
      <c r="AD594" s="6">
        <v>4139.0</v>
      </c>
    </row>
    <row r="595" ht="56.25" customHeight="1">
      <c r="A595" s="5" t="s">
        <v>2618</v>
      </c>
      <c r="B595" s="6" t="str">
        <f>IMAGE("https://storage.googleapis.com/acdb/housewares/FtrAmeretroCounter_Remake_1_0.png")</f>
        <v/>
      </c>
      <c r="C595" s="5" t="s">
        <v>68</v>
      </c>
      <c r="D595" s="5" t="s">
        <v>34</v>
      </c>
      <c r="E595" s="5" t="s">
        <v>34</v>
      </c>
      <c r="F595" s="5" t="s">
        <v>34</v>
      </c>
      <c r="G595" s="5" t="s">
        <v>36</v>
      </c>
      <c r="H595" s="5" t="s">
        <v>36</v>
      </c>
      <c r="I595" s="5" t="s">
        <v>36</v>
      </c>
      <c r="J595" s="6" t="s">
        <v>34</v>
      </c>
      <c r="K595" s="6">
        <v>6000.0</v>
      </c>
      <c r="L595" s="6">
        <v>1500.0</v>
      </c>
      <c r="M595" s="8" t="s">
        <v>68</v>
      </c>
      <c r="N595" s="8" t="s">
        <v>95</v>
      </c>
      <c r="O595" s="6" t="s">
        <v>276</v>
      </c>
      <c r="P595" s="5" t="s">
        <v>59</v>
      </c>
      <c r="Q595" s="5" t="s">
        <v>122</v>
      </c>
      <c r="R595" s="6" t="s">
        <v>42</v>
      </c>
      <c r="S595" s="5" t="s">
        <v>62</v>
      </c>
      <c r="T595" s="5" t="s">
        <v>44</v>
      </c>
      <c r="U595" s="5" t="s">
        <v>780</v>
      </c>
      <c r="V595" s="5" t="s">
        <v>44</v>
      </c>
      <c r="W595" s="5" t="s">
        <v>36</v>
      </c>
      <c r="X595" s="8" t="s">
        <v>278</v>
      </c>
      <c r="Y595" s="5" t="s">
        <v>46</v>
      </c>
      <c r="Z595" s="5" t="s">
        <v>47</v>
      </c>
      <c r="AA595" s="5" t="s">
        <v>64</v>
      </c>
      <c r="AB595" s="5" t="s">
        <v>2623</v>
      </c>
      <c r="AC595" s="6" t="s">
        <v>56</v>
      </c>
      <c r="AD595" s="6">
        <v>4139.0</v>
      </c>
    </row>
    <row r="596" ht="56.25" customHeight="1">
      <c r="A596" s="5" t="s">
        <v>2618</v>
      </c>
      <c r="B596" s="6" t="str">
        <f>IMAGE("https://storage.googleapis.com/acdb/housewares/FtrAmeretroCounter_Remake_2_0.png")</f>
        <v/>
      </c>
      <c r="C596" s="5" t="s">
        <v>114</v>
      </c>
      <c r="D596" s="5" t="s">
        <v>34</v>
      </c>
      <c r="E596" s="5" t="s">
        <v>34</v>
      </c>
      <c r="F596" s="5" t="s">
        <v>34</v>
      </c>
      <c r="G596" s="5" t="s">
        <v>36</v>
      </c>
      <c r="H596" s="5" t="s">
        <v>36</v>
      </c>
      <c r="I596" s="5" t="s">
        <v>36</v>
      </c>
      <c r="J596" s="6" t="s">
        <v>34</v>
      </c>
      <c r="K596" s="6">
        <v>6000.0</v>
      </c>
      <c r="L596" s="6">
        <v>1500.0</v>
      </c>
      <c r="M596" s="8" t="s">
        <v>114</v>
      </c>
      <c r="N596" s="8" t="s">
        <v>95</v>
      </c>
      <c r="O596" s="6" t="s">
        <v>276</v>
      </c>
      <c r="P596" s="5" t="s">
        <v>59</v>
      </c>
      <c r="Q596" s="5" t="s">
        <v>122</v>
      </c>
      <c r="R596" s="6" t="s">
        <v>42</v>
      </c>
      <c r="S596" s="5" t="s">
        <v>62</v>
      </c>
      <c r="T596" s="5" t="s">
        <v>44</v>
      </c>
      <c r="U596" s="5" t="s">
        <v>780</v>
      </c>
      <c r="V596" s="5" t="s">
        <v>44</v>
      </c>
      <c r="W596" s="5" t="s">
        <v>36</v>
      </c>
      <c r="X596" s="8" t="s">
        <v>278</v>
      </c>
      <c r="Y596" s="5" t="s">
        <v>46</v>
      </c>
      <c r="Z596" s="5" t="s">
        <v>47</v>
      </c>
      <c r="AA596" s="5" t="s">
        <v>64</v>
      </c>
      <c r="AB596" s="5" t="s">
        <v>2626</v>
      </c>
      <c r="AC596" s="6" t="s">
        <v>67</v>
      </c>
      <c r="AD596" s="6">
        <v>4139.0</v>
      </c>
    </row>
    <row r="597" ht="56.25" customHeight="1">
      <c r="A597" s="5" t="s">
        <v>2618</v>
      </c>
      <c r="B597" s="6" t="str">
        <f>IMAGE("https://storage.googleapis.com/acdb/housewares/FtrAmeretroCounter_Remake_3_0.png")</f>
        <v/>
      </c>
      <c r="C597" s="5" t="s">
        <v>819</v>
      </c>
      <c r="D597" s="5" t="s">
        <v>34</v>
      </c>
      <c r="E597" s="5" t="s">
        <v>34</v>
      </c>
      <c r="F597" s="5" t="s">
        <v>34</v>
      </c>
      <c r="G597" s="5" t="s">
        <v>36</v>
      </c>
      <c r="H597" s="5" t="s">
        <v>36</v>
      </c>
      <c r="I597" s="5" t="s">
        <v>36</v>
      </c>
      <c r="J597" s="6" t="s">
        <v>34</v>
      </c>
      <c r="K597" s="6">
        <v>6000.0</v>
      </c>
      <c r="L597" s="6">
        <v>1500.0</v>
      </c>
      <c r="M597" s="8" t="s">
        <v>96</v>
      </c>
      <c r="N597" s="8" t="s">
        <v>95</v>
      </c>
      <c r="O597" s="6" t="s">
        <v>276</v>
      </c>
      <c r="P597" s="5" t="s">
        <v>59</v>
      </c>
      <c r="Q597" s="5" t="s">
        <v>122</v>
      </c>
      <c r="R597" s="6" t="s">
        <v>42</v>
      </c>
      <c r="S597" s="5" t="s">
        <v>62</v>
      </c>
      <c r="T597" s="5" t="s">
        <v>44</v>
      </c>
      <c r="U597" s="5" t="s">
        <v>780</v>
      </c>
      <c r="V597" s="5" t="s">
        <v>44</v>
      </c>
      <c r="W597" s="5" t="s">
        <v>36</v>
      </c>
      <c r="X597" s="8" t="s">
        <v>278</v>
      </c>
      <c r="Y597" s="5" t="s">
        <v>46</v>
      </c>
      <c r="Z597" s="5" t="s">
        <v>47</v>
      </c>
      <c r="AA597" s="5" t="s">
        <v>64</v>
      </c>
      <c r="AB597" s="5" t="s">
        <v>2628</v>
      </c>
      <c r="AC597" s="6" t="s">
        <v>71</v>
      </c>
      <c r="AD597" s="6">
        <v>4139.0</v>
      </c>
    </row>
    <row r="598" ht="56.25" customHeight="1">
      <c r="A598" s="5" t="s">
        <v>2618</v>
      </c>
      <c r="B598" s="6" t="str">
        <f>IMAGE("https://storage.googleapis.com/acdb/housewares/FtrAmeretroCounter_Remake_4_0.png")</f>
        <v/>
      </c>
      <c r="C598" s="5" t="s">
        <v>69</v>
      </c>
      <c r="D598" s="5" t="s">
        <v>34</v>
      </c>
      <c r="E598" s="5" t="s">
        <v>34</v>
      </c>
      <c r="F598" s="5" t="s">
        <v>34</v>
      </c>
      <c r="G598" s="5" t="s">
        <v>36</v>
      </c>
      <c r="H598" s="5" t="s">
        <v>36</v>
      </c>
      <c r="I598" s="5" t="s">
        <v>36</v>
      </c>
      <c r="J598" s="6" t="s">
        <v>34</v>
      </c>
      <c r="K598" s="6">
        <v>6000.0</v>
      </c>
      <c r="L598" s="6">
        <v>1500.0</v>
      </c>
      <c r="M598" s="8" t="s">
        <v>69</v>
      </c>
      <c r="N598" s="8" t="s">
        <v>95</v>
      </c>
      <c r="O598" s="6" t="s">
        <v>276</v>
      </c>
      <c r="P598" s="5" t="s">
        <v>59</v>
      </c>
      <c r="Q598" s="5" t="s">
        <v>122</v>
      </c>
      <c r="R598" s="6" t="s">
        <v>42</v>
      </c>
      <c r="S598" s="5" t="s">
        <v>62</v>
      </c>
      <c r="T598" s="5" t="s">
        <v>44</v>
      </c>
      <c r="U598" s="5" t="s">
        <v>780</v>
      </c>
      <c r="V598" s="5" t="s">
        <v>44</v>
      </c>
      <c r="W598" s="5" t="s">
        <v>36</v>
      </c>
      <c r="X598" s="8" t="s">
        <v>278</v>
      </c>
      <c r="Y598" s="5" t="s">
        <v>46</v>
      </c>
      <c r="Z598" s="5" t="s">
        <v>47</v>
      </c>
      <c r="AA598" s="5" t="s">
        <v>64</v>
      </c>
      <c r="AB598" s="5" t="s">
        <v>2630</v>
      </c>
      <c r="AC598" s="6" t="s">
        <v>75</v>
      </c>
      <c r="AD598" s="6">
        <v>4139.0</v>
      </c>
    </row>
    <row r="599" ht="56.25" customHeight="1">
      <c r="A599" s="5" t="s">
        <v>2618</v>
      </c>
      <c r="B599" s="6" t="str">
        <f>IMAGE("https://storage.googleapis.com/acdb/housewares/FtrAmeretroCounter_Remake_5_0.png")</f>
        <v/>
      </c>
      <c r="C599" s="5" t="s">
        <v>307</v>
      </c>
      <c r="D599" s="5" t="s">
        <v>34</v>
      </c>
      <c r="E599" s="5" t="s">
        <v>34</v>
      </c>
      <c r="F599" s="5" t="s">
        <v>34</v>
      </c>
      <c r="G599" s="5" t="s">
        <v>36</v>
      </c>
      <c r="H599" s="5" t="s">
        <v>36</v>
      </c>
      <c r="I599" s="5" t="s">
        <v>36</v>
      </c>
      <c r="J599" s="6" t="s">
        <v>34</v>
      </c>
      <c r="K599" s="6">
        <v>6000.0</v>
      </c>
      <c r="L599" s="6">
        <v>1500.0</v>
      </c>
      <c r="M599" s="8" t="s">
        <v>38</v>
      </c>
      <c r="N599" s="8" t="s">
        <v>95</v>
      </c>
      <c r="O599" s="6" t="s">
        <v>276</v>
      </c>
      <c r="P599" s="5" t="s">
        <v>59</v>
      </c>
      <c r="Q599" s="5" t="s">
        <v>122</v>
      </c>
      <c r="R599" s="6" t="s">
        <v>42</v>
      </c>
      <c r="S599" s="5" t="s">
        <v>62</v>
      </c>
      <c r="T599" s="5" t="s">
        <v>44</v>
      </c>
      <c r="U599" s="5" t="s">
        <v>780</v>
      </c>
      <c r="V599" s="5" t="s">
        <v>44</v>
      </c>
      <c r="W599" s="5" t="s">
        <v>36</v>
      </c>
      <c r="X599" s="8" t="s">
        <v>278</v>
      </c>
      <c r="Y599" s="5" t="s">
        <v>46</v>
      </c>
      <c r="Z599" s="5" t="s">
        <v>47</v>
      </c>
      <c r="AA599" s="5" t="s">
        <v>64</v>
      </c>
      <c r="AB599" s="5" t="s">
        <v>2634</v>
      </c>
      <c r="AC599" s="6" t="s">
        <v>79</v>
      </c>
      <c r="AD599" s="6">
        <v>4139.0</v>
      </c>
    </row>
    <row r="600" ht="56.25" customHeight="1">
      <c r="A600" s="5" t="s">
        <v>2618</v>
      </c>
      <c r="B600" s="6" t="str">
        <f>IMAGE("https://storage.googleapis.com/acdb/housewares/FtrAmeretroCounter_Remake_6_0.png")</f>
        <v/>
      </c>
      <c r="C600" s="5" t="s">
        <v>54</v>
      </c>
      <c r="D600" s="5" t="s">
        <v>34</v>
      </c>
      <c r="E600" s="5" t="s">
        <v>34</v>
      </c>
      <c r="F600" s="5" t="s">
        <v>34</v>
      </c>
      <c r="G600" s="5" t="s">
        <v>36</v>
      </c>
      <c r="H600" s="5" t="s">
        <v>36</v>
      </c>
      <c r="I600" s="5" t="s">
        <v>36</v>
      </c>
      <c r="J600" s="6" t="s">
        <v>34</v>
      </c>
      <c r="K600" s="6">
        <v>6000.0</v>
      </c>
      <c r="L600" s="6">
        <v>1500.0</v>
      </c>
      <c r="M600" s="8" t="s">
        <v>54</v>
      </c>
      <c r="N600" s="8" t="s">
        <v>95</v>
      </c>
      <c r="O600" s="6" t="s">
        <v>276</v>
      </c>
      <c r="P600" s="5" t="s">
        <v>59</v>
      </c>
      <c r="Q600" s="5" t="s">
        <v>122</v>
      </c>
      <c r="R600" s="6" t="s">
        <v>42</v>
      </c>
      <c r="S600" s="5" t="s">
        <v>62</v>
      </c>
      <c r="T600" s="5" t="s">
        <v>44</v>
      </c>
      <c r="U600" s="5" t="s">
        <v>780</v>
      </c>
      <c r="V600" s="5" t="s">
        <v>44</v>
      </c>
      <c r="W600" s="5" t="s">
        <v>36</v>
      </c>
      <c r="X600" s="8" t="s">
        <v>278</v>
      </c>
      <c r="Y600" s="5" t="s">
        <v>46</v>
      </c>
      <c r="Z600" s="5" t="s">
        <v>47</v>
      </c>
      <c r="AA600" s="5" t="s">
        <v>64</v>
      </c>
      <c r="AB600" s="5" t="s">
        <v>2635</v>
      </c>
      <c r="AC600" s="6" t="s">
        <v>86</v>
      </c>
      <c r="AD600" s="6">
        <v>4139.0</v>
      </c>
    </row>
    <row r="601" ht="56.25" customHeight="1">
      <c r="A601" s="5" t="s">
        <v>2637</v>
      </c>
      <c r="B601" s="6" t="str">
        <f>IMAGE("https://storage.googleapis.com/acdb/housewares/FtrAmeretroTableM_Remake_0_0.png")</f>
        <v/>
      </c>
      <c r="C601" s="5" t="s">
        <v>52</v>
      </c>
      <c r="D601" s="5" t="s">
        <v>34</v>
      </c>
      <c r="E601" s="5" t="s">
        <v>34</v>
      </c>
      <c r="F601" s="5" t="s">
        <v>34</v>
      </c>
      <c r="G601" s="5" t="s">
        <v>36</v>
      </c>
      <c r="H601" s="5" t="s">
        <v>36</v>
      </c>
      <c r="I601" s="5" t="s">
        <v>36</v>
      </c>
      <c r="J601" s="6" t="s">
        <v>34</v>
      </c>
      <c r="K601" s="6">
        <v>6400.0</v>
      </c>
      <c r="L601" s="6">
        <v>1600.0</v>
      </c>
      <c r="M601" s="8" t="s">
        <v>95</v>
      </c>
      <c r="N601" s="8" t="s">
        <v>52</v>
      </c>
      <c r="O601" s="6" t="s">
        <v>214</v>
      </c>
      <c r="P601" s="5" t="s">
        <v>59</v>
      </c>
      <c r="Q601" s="5" t="s">
        <v>115</v>
      </c>
      <c r="R601" s="6" t="s">
        <v>42</v>
      </c>
      <c r="S601" s="5" t="s">
        <v>62</v>
      </c>
      <c r="T601" s="5" t="s">
        <v>44</v>
      </c>
      <c r="U601" s="5" t="s">
        <v>780</v>
      </c>
      <c r="V601" s="5" t="s">
        <v>44</v>
      </c>
      <c r="W601" s="5" t="s">
        <v>36</v>
      </c>
      <c r="X601" s="8" t="s">
        <v>278</v>
      </c>
      <c r="Y601" s="5" t="s">
        <v>46</v>
      </c>
      <c r="Z601" s="5" t="s">
        <v>47</v>
      </c>
      <c r="AA601" s="5" t="s">
        <v>64</v>
      </c>
      <c r="AB601" s="5" t="s">
        <v>2639</v>
      </c>
      <c r="AC601" s="6" t="s">
        <v>50</v>
      </c>
      <c r="AD601" s="6">
        <v>4142.0</v>
      </c>
    </row>
    <row r="602" ht="56.25" customHeight="1">
      <c r="A602" s="5" t="s">
        <v>2637</v>
      </c>
      <c r="B602" s="6" t="str">
        <f>IMAGE("https://storage.googleapis.com/acdb/housewares/FtrAmeretroTableM_Remake_1_0.png")</f>
        <v/>
      </c>
      <c r="C602" s="5" t="s">
        <v>68</v>
      </c>
      <c r="D602" s="5" t="s">
        <v>34</v>
      </c>
      <c r="E602" s="5" t="s">
        <v>34</v>
      </c>
      <c r="F602" s="5" t="s">
        <v>34</v>
      </c>
      <c r="G602" s="5" t="s">
        <v>36</v>
      </c>
      <c r="H602" s="5" t="s">
        <v>36</v>
      </c>
      <c r="I602" s="5" t="s">
        <v>36</v>
      </c>
      <c r="J602" s="6" t="s">
        <v>34</v>
      </c>
      <c r="K602" s="6">
        <v>6400.0</v>
      </c>
      <c r="L602" s="6">
        <v>1600.0</v>
      </c>
      <c r="M602" s="8" t="s">
        <v>95</v>
      </c>
      <c r="N602" s="8" t="s">
        <v>68</v>
      </c>
      <c r="O602" s="6" t="s">
        <v>214</v>
      </c>
      <c r="P602" s="5" t="s">
        <v>59</v>
      </c>
      <c r="Q602" s="5" t="s">
        <v>115</v>
      </c>
      <c r="R602" s="6" t="s">
        <v>42</v>
      </c>
      <c r="S602" s="5" t="s">
        <v>62</v>
      </c>
      <c r="T602" s="5" t="s">
        <v>44</v>
      </c>
      <c r="U602" s="5" t="s">
        <v>780</v>
      </c>
      <c r="V602" s="5" t="s">
        <v>44</v>
      </c>
      <c r="W602" s="5" t="s">
        <v>36</v>
      </c>
      <c r="X602" s="8" t="s">
        <v>278</v>
      </c>
      <c r="Y602" s="5" t="s">
        <v>46</v>
      </c>
      <c r="Z602" s="5" t="s">
        <v>47</v>
      </c>
      <c r="AA602" s="5" t="s">
        <v>64</v>
      </c>
      <c r="AB602" s="5" t="s">
        <v>2642</v>
      </c>
      <c r="AC602" s="6" t="s">
        <v>56</v>
      </c>
      <c r="AD602" s="6">
        <v>4142.0</v>
      </c>
    </row>
    <row r="603" ht="56.25" customHeight="1">
      <c r="A603" s="5" t="s">
        <v>2637</v>
      </c>
      <c r="B603" s="6" t="str">
        <f>IMAGE("https://storage.googleapis.com/acdb/housewares/FtrAmeretroTableM_Remake_2_0.png")</f>
        <v/>
      </c>
      <c r="C603" s="5" t="s">
        <v>114</v>
      </c>
      <c r="D603" s="5" t="s">
        <v>34</v>
      </c>
      <c r="E603" s="5" t="s">
        <v>34</v>
      </c>
      <c r="F603" s="5" t="s">
        <v>34</v>
      </c>
      <c r="G603" s="5" t="s">
        <v>36</v>
      </c>
      <c r="H603" s="5" t="s">
        <v>36</v>
      </c>
      <c r="I603" s="5" t="s">
        <v>36</v>
      </c>
      <c r="J603" s="6" t="s">
        <v>34</v>
      </c>
      <c r="K603" s="6">
        <v>6400.0</v>
      </c>
      <c r="L603" s="6">
        <v>1600.0</v>
      </c>
      <c r="M603" s="8" t="s">
        <v>95</v>
      </c>
      <c r="N603" s="8" t="s">
        <v>114</v>
      </c>
      <c r="O603" s="6" t="s">
        <v>214</v>
      </c>
      <c r="P603" s="5" t="s">
        <v>59</v>
      </c>
      <c r="Q603" s="5" t="s">
        <v>115</v>
      </c>
      <c r="R603" s="6" t="s">
        <v>42</v>
      </c>
      <c r="S603" s="5" t="s">
        <v>62</v>
      </c>
      <c r="T603" s="5" t="s">
        <v>44</v>
      </c>
      <c r="U603" s="5" t="s">
        <v>780</v>
      </c>
      <c r="V603" s="5" t="s">
        <v>44</v>
      </c>
      <c r="W603" s="5" t="s">
        <v>36</v>
      </c>
      <c r="X603" s="8" t="s">
        <v>278</v>
      </c>
      <c r="Y603" s="5" t="s">
        <v>46</v>
      </c>
      <c r="Z603" s="5" t="s">
        <v>47</v>
      </c>
      <c r="AA603" s="5" t="s">
        <v>64</v>
      </c>
      <c r="AB603" s="5" t="s">
        <v>2643</v>
      </c>
      <c r="AC603" s="6" t="s">
        <v>67</v>
      </c>
      <c r="AD603" s="6">
        <v>4142.0</v>
      </c>
    </row>
    <row r="604" ht="56.25" customHeight="1">
      <c r="A604" s="5" t="s">
        <v>2637</v>
      </c>
      <c r="B604" s="6" t="str">
        <f>IMAGE("https://storage.googleapis.com/acdb/housewares/FtrAmeretroTableM_Remake_3_0.png")</f>
        <v/>
      </c>
      <c r="C604" s="5" t="s">
        <v>819</v>
      </c>
      <c r="D604" s="5" t="s">
        <v>34</v>
      </c>
      <c r="E604" s="5" t="s">
        <v>34</v>
      </c>
      <c r="F604" s="5" t="s">
        <v>34</v>
      </c>
      <c r="G604" s="5" t="s">
        <v>36</v>
      </c>
      <c r="H604" s="5" t="s">
        <v>36</v>
      </c>
      <c r="I604" s="5" t="s">
        <v>36</v>
      </c>
      <c r="J604" s="6" t="s">
        <v>34</v>
      </c>
      <c r="K604" s="6">
        <v>6400.0</v>
      </c>
      <c r="L604" s="6">
        <v>1600.0</v>
      </c>
      <c r="M604" s="8" t="s">
        <v>95</v>
      </c>
      <c r="N604" s="8" t="s">
        <v>1175</v>
      </c>
      <c r="O604" s="6" t="s">
        <v>214</v>
      </c>
      <c r="P604" s="5" t="s">
        <v>59</v>
      </c>
      <c r="Q604" s="5" t="s">
        <v>115</v>
      </c>
      <c r="R604" s="6" t="s">
        <v>42</v>
      </c>
      <c r="S604" s="5" t="s">
        <v>62</v>
      </c>
      <c r="T604" s="5" t="s">
        <v>44</v>
      </c>
      <c r="U604" s="5" t="s">
        <v>780</v>
      </c>
      <c r="V604" s="5" t="s">
        <v>44</v>
      </c>
      <c r="W604" s="5" t="s">
        <v>36</v>
      </c>
      <c r="X604" s="8" t="s">
        <v>278</v>
      </c>
      <c r="Y604" s="5" t="s">
        <v>46</v>
      </c>
      <c r="Z604" s="5" t="s">
        <v>47</v>
      </c>
      <c r="AA604" s="5" t="s">
        <v>64</v>
      </c>
      <c r="AB604" s="5" t="s">
        <v>2646</v>
      </c>
      <c r="AC604" s="6" t="s">
        <v>71</v>
      </c>
      <c r="AD604" s="6">
        <v>4142.0</v>
      </c>
    </row>
    <row r="605" ht="56.25" customHeight="1">
      <c r="A605" s="5" t="s">
        <v>2637</v>
      </c>
      <c r="B605" s="6" t="str">
        <f>IMAGE("https://storage.googleapis.com/acdb/housewares/FtrAmeretroTableM_Remake_4_0.png")</f>
        <v/>
      </c>
      <c r="C605" s="5" t="s">
        <v>69</v>
      </c>
      <c r="D605" s="5" t="s">
        <v>34</v>
      </c>
      <c r="E605" s="5" t="s">
        <v>34</v>
      </c>
      <c r="F605" s="5" t="s">
        <v>34</v>
      </c>
      <c r="G605" s="5" t="s">
        <v>36</v>
      </c>
      <c r="H605" s="5" t="s">
        <v>36</v>
      </c>
      <c r="I605" s="5" t="s">
        <v>36</v>
      </c>
      <c r="J605" s="6" t="s">
        <v>34</v>
      </c>
      <c r="K605" s="6">
        <v>6400.0</v>
      </c>
      <c r="L605" s="6">
        <v>1600.0</v>
      </c>
      <c r="M605" s="8" t="s">
        <v>95</v>
      </c>
      <c r="N605" s="8" t="s">
        <v>69</v>
      </c>
      <c r="O605" s="6" t="s">
        <v>214</v>
      </c>
      <c r="P605" s="5" t="s">
        <v>59</v>
      </c>
      <c r="Q605" s="5" t="s">
        <v>115</v>
      </c>
      <c r="R605" s="6" t="s">
        <v>42</v>
      </c>
      <c r="S605" s="5" t="s">
        <v>62</v>
      </c>
      <c r="T605" s="5" t="s">
        <v>44</v>
      </c>
      <c r="U605" s="5" t="s">
        <v>780</v>
      </c>
      <c r="V605" s="5" t="s">
        <v>44</v>
      </c>
      <c r="W605" s="5" t="s">
        <v>36</v>
      </c>
      <c r="X605" s="8" t="s">
        <v>278</v>
      </c>
      <c r="Y605" s="5" t="s">
        <v>46</v>
      </c>
      <c r="Z605" s="5" t="s">
        <v>47</v>
      </c>
      <c r="AA605" s="5" t="s">
        <v>64</v>
      </c>
      <c r="AB605" s="5" t="s">
        <v>2648</v>
      </c>
      <c r="AC605" s="6" t="s">
        <v>75</v>
      </c>
      <c r="AD605" s="6">
        <v>4142.0</v>
      </c>
    </row>
    <row r="606" ht="56.25" customHeight="1">
      <c r="A606" s="5" t="s">
        <v>2637</v>
      </c>
      <c r="B606" s="6" t="str">
        <f>IMAGE("https://storage.googleapis.com/acdb/housewares/FtrAmeretroTableM_Remake_5_0.png")</f>
        <v/>
      </c>
      <c r="C606" s="5" t="s">
        <v>307</v>
      </c>
      <c r="D606" s="5" t="s">
        <v>34</v>
      </c>
      <c r="E606" s="5" t="s">
        <v>34</v>
      </c>
      <c r="F606" s="5" t="s">
        <v>34</v>
      </c>
      <c r="G606" s="5" t="s">
        <v>36</v>
      </c>
      <c r="H606" s="5" t="s">
        <v>36</v>
      </c>
      <c r="I606" s="5" t="s">
        <v>36</v>
      </c>
      <c r="J606" s="6" t="s">
        <v>34</v>
      </c>
      <c r="K606" s="6">
        <v>6400.0</v>
      </c>
      <c r="L606" s="6">
        <v>1600.0</v>
      </c>
      <c r="M606" s="8" t="s">
        <v>95</v>
      </c>
      <c r="N606" s="8" t="s">
        <v>57</v>
      </c>
      <c r="O606" s="6" t="s">
        <v>214</v>
      </c>
      <c r="P606" s="5" t="s">
        <v>59</v>
      </c>
      <c r="Q606" s="5" t="s">
        <v>115</v>
      </c>
      <c r="R606" s="6" t="s">
        <v>42</v>
      </c>
      <c r="S606" s="5" t="s">
        <v>62</v>
      </c>
      <c r="T606" s="5" t="s">
        <v>44</v>
      </c>
      <c r="U606" s="5" t="s">
        <v>780</v>
      </c>
      <c r="V606" s="5" t="s">
        <v>44</v>
      </c>
      <c r="W606" s="5" t="s">
        <v>36</v>
      </c>
      <c r="X606" s="8" t="s">
        <v>278</v>
      </c>
      <c r="Y606" s="5" t="s">
        <v>46</v>
      </c>
      <c r="Z606" s="5" t="s">
        <v>47</v>
      </c>
      <c r="AA606" s="5" t="s">
        <v>64</v>
      </c>
      <c r="AB606" s="5" t="s">
        <v>2651</v>
      </c>
      <c r="AC606" s="6" t="s">
        <v>79</v>
      </c>
      <c r="AD606" s="6">
        <v>4142.0</v>
      </c>
    </row>
    <row r="607" ht="56.25" customHeight="1">
      <c r="A607" s="5" t="s">
        <v>2637</v>
      </c>
      <c r="B607" s="6" t="str">
        <f>IMAGE("https://storage.googleapis.com/acdb/housewares/FtrAmeretroTableM_Remake_6_0.png")</f>
        <v/>
      </c>
      <c r="C607" s="5" t="s">
        <v>54</v>
      </c>
      <c r="D607" s="5" t="s">
        <v>34</v>
      </c>
      <c r="E607" s="5" t="s">
        <v>34</v>
      </c>
      <c r="F607" s="5" t="s">
        <v>34</v>
      </c>
      <c r="G607" s="5" t="s">
        <v>36</v>
      </c>
      <c r="H607" s="5" t="s">
        <v>36</v>
      </c>
      <c r="I607" s="5" t="s">
        <v>36</v>
      </c>
      <c r="J607" s="6" t="s">
        <v>34</v>
      </c>
      <c r="K607" s="6">
        <v>6400.0</v>
      </c>
      <c r="L607" s="6">
        <v>1600.0</v>
      </c>
      <c r="M607" s="8" t="s">
        <v>95</v>
      </c>
      <c r="N607" s="8" t="s">
        <v>54</v>
      </c>
      <c r="O607" s="6" t="s">
        <v>214</v>
      </c>
      <c r="P607" s="5" t="s">
        <v>59</v>
      </c>
      <c r="Q607" s="5" t="s">
        <v>115</v>
      </c>
      <c r="R607" s="6" t="s">
        <v>42</v>
      </c>
      <c r="S607" s="5" t="s">
        <v>62</v>
      </c>
      <c r="T607" s="5" t="s">
        <v>44</v>
      </c>
      <c r="U607" s="5" t="s">
        <v>780</v>
      </c>
      <c r="V607" s="5" t="s">
        <v>44</v>
      </c>
      <c r="W607" s="5" t="s">
        <v>36</v>
      </c>
      <c r="X607" s="8" t="s">
        <v>278</v>
      </c>
      <c r="Y607" s="5" t="s">
        <v>46</v>
      </c>
      <c r="Z607" s="5" t="s">
        <v>47</v>
      </c>
      <c r="AA607" s="5" t="s">
        <v>64</v>
      </c>
      <c r="AB607" s="5" t="s">
        <v>2653</v>
      </c>
      <c r="AC607" s="6" t="s">
        <v>86</v>
      </c>
      <c r="AD607" s="6">
        <v>4142.0</v>
      </c>
    </row>
    <row r="608" ht="56.25" customHeight="1">
      <c r="A608" s="5" t="s">
        <v>2654</v>
      </c>
      <c r="B608" s="6" t="str">
        <f>IMAGE("https://storage.googleapis.com/acdb/housewares/FtrAmeretroTableS_Remake_0_0.png")</f>
        <v/>
      </c>
      <c r="C608" s="5" t="s">
        <v>52</v>
      </c>
      <c r="D608" s="5" t="s">
        <v>34</v>
      </c>
      <c r="E608" s="5" t="s">
        <v>34</v>
      </c>
      <c r="F608" s="5" t="s">
        <v>34</v>
      </c>
      <c r="G608" s="5" t="s">
        <v>36</v>
      </c>
      <c r="H608" s="5" t="s">
        <v>36</v>
      </c>
      <c r="I608" s="5" t="s">
        <v>36</v>
      </c>
      <c r="J608" s="6" t="s">
        <v>34</v>
      </c>
      <c r="K608" s="6">
        <v>1600.0</v>
      </c>
      <c r="L608" s="6">
        <v>400.0</v>
      </c>
      <c r="M608" s="8" t="s">
        <v>95</v>
      </c>
      <c r="N608" s="8" t="s">
        <v>52</v>
      </c>
      <c r="O608" s="6" t="s">
        <v>40</v>
      </c>
      <c r="P608" s="5" t="s">
        <v>59</v>
      </c>
      <c r="Q608" s="5" t="s">
        <v>122</v>
      </c>
      <c r="R608" s="6" t="s">
        <v>42</v>
      </c>
      <c r="S608" s="5" t="s">
        <v>62</v>
      </c>
      <c r="T608" s="5" t="s">
        <v>44</v>
      </c>
      <c r="U608" s="5" t="s">
        <v>780</v>
      </c>
      <c r="V608" s="5" t="s">
        <v>44</v>
      </c>
      <c r="W608" s="5" t="s">
        <v>36</v>
      </c>
      <c r="X608" s="8" t="s">
        <v>278</v>
      </c>
      <c r="Y608" s="5" t="s">
        <v>46</v>
      </c>
      <c r="Z608" s="5" t="s">
        <v>47</v>
      </c>
      <c r="AA608" s="5" t="s">
        <v>64</v>
      </c>
      <c r="AB608" s="5" t="s">
        <v>2659</v>
      </c>
      <c r="AC608" s="6" t="s">
        <v>50</v>
      </c>
      <c r="AD608" s="6">
        <v>4441.0</v>
      </c>
    </row>
    <row r="609" ht="56.25" customHeight="1">
      <c r="A609" s="5" t="s">
        <v>2654</v>
      </c>
      <c r="B609" s="6" t="str">
        <f>IMAGE("https://storage.googleapis.com/acdb/housewares/FtrAmeretroTableS_Remake_1_0.png")</f>
        <v/>
      </c>
      <c r="C609" s="5" t="s">
        <v>68</v>
      </c>
      <c r="D609" s="5" t="s">
        <v>34</v>
      </c>
      <c r="E609" s="5" t="s">
        <v>34</v>
      </c>
      <c r="F609" s="5" t="s">
        <v>34</v>
      </c>
      <c r="G609" s="5" t="s">
        <v>36</v>
      </c>
      <c r="H609" s="5" t="s">
        <v>36</v>
      </c>
      <c r="I609" s="5" t="s">
        <v>36</v>
      </c>
      <c r="J609" s="6" t="s">
        <v>34</v>
      </c>
      <c r="K609" s="6">
        <v>1600.0</v>
      </c>
      <c r="L609" s="6">
        <v>400.0</v>
      </c>
      <c r="M609" s="8" t="s">
        <v>95</v>
      </c>
      <c r="N609" s="8" t="s">
        <v>68</v>
      </c>
      <c r="O609" s="6" t="s">
        <v>40</v>
      </c>
      <c r="P609" s="5" t="s">
        <v>59</v>
      </c>
      <c r="Q609" s="5" t="s">
        <v>122</v>
      </c>
      <c r="R609" s="6" t="s">
        <v>42</v>
      </c>
      <c r="S609" s="5" t="s">
        <v>62</v>
      </c>
      <c r="T609" s="5" t="s">
        <v>44</v>
      </c>
      <c r="U609" s="5" t="s">
        <v>780</v>
      </c>
      <c r="V609" s="5" t="s">
        <v>44</v>
      </c>
      <c r="W609" s="5" t="s">
        <v>36</v>
      </c>
      <c r="X609" s="8" t="s">
        <v>278</v>
      </c>
      <c r="Y609" s="5" t="s">
        <v>46</v>
      </c>
      <c r="Z609" s="5" t="s">
        <v>47</v>
      </c>
      <c r="AA609" s="5" t="s">
        <v>64</v>
      </c>
      <c r="AB609" s="5" t="s">
        <v>2661</v>
      </c>
      <c r="AC609" s="6" t="s">
        <v>56</v>
      </c>
      <c r="AD609" s="6">
        <v>4441.0</v>
      </c>
    </row>
    <row r="610" ht="56.25" customHeight="1">
      <c r="A610" s="5" t="s">
        <v>2654</v>
      </c>
      <c r="B610" s="6" t="str">
        <f>IMAGE("https://storage.googleapis.com/acdb/housewares/FtrAmeretroTableS_Remake_2_0.png")</f>
        <v/>
      </c>
      <c r="C610" s="5" t="s">
        <v>114</v>
      </c>
      <c r="D610" s="5" t="s">
        <v>34</v>
      </c>
      <c r="E610" s="5" t="s">
        <v>34</v>
      </c>
      <c r="F610" s="5" t="s">
        <v>34</v>
      </c>
      <c r="G610" s="5" t="s">
        <v>36</v>
      </c>
      <c r="H610" s="5" t="s">
        <v>36</v>
      </c>
      <c r="I610" s="5" t="s">
        <v>36</v>
      </c>
      <c r="J610" s="6" t="s">
        <v>34</v>
      </c>
      <c r="K610" s="6">
        <v>1600.0</v>
      </c>
      <c r="L610" s="6">
        <v>400.0</v>
      </c>
      <c r="M610" s="8" t="s">
        <v>95</v>
      </c>
      <c r="N610" s="8" t="s">
        <v>114</v>
      </c>
      <c r="O610" s="6" t="s">
        <v>40</v>
      </c>
      <c r="P610" s="5" t="s">
        <v>59</v>
      </c>
      <c r="Q610" s="5" t="s">
        <v>122</v>
      </c>
      <c r="R610" s="6" t="s">
        <v>42</v>
      </c>
      <c r="S610" s="5" t="s">
        <v>62</v>
      </c>
      <c r="T610" s="5" t="s">
        <v>44</v>
      </c>
      <c r="U610" s="5" t="s">
        <v>780</v>
      </c>
      <c r="V610" s="5" t="s">
        <v>44</v>
      </c>
      <c r="W610" s="5" t="s">
        <v>36</v>
      </c>
      <c r="X610" s="8" t="s">
        <v>278</v>
      </c>
      <c r="Y610" s="5" t="s">
        <v>46</v>
      </c>
      <c r="Z610" s="5" t="s">
        <v>47</v>
      </c>
      <c r="AA610" s="5" t="s">
        <v>64</v>
      </c>
      <c r="AB610" s="5" t="s">
        <v>2664</v>
      </c>
      <c r="AC610" s="6" t="s">
        <v>67</v>
      </c>
      <c r="AD610" s="6">
        <v>4441.0</v>
      </c>
    </row>
    <row r="611" ht="56.25" customHeight="1">
      <c r="A611" s="5" t="s">
        <v>2654</v>
      </c>
      <c r="B611" s="6" t="str">
        <f>IMAGE("https://storage.googleapis.com/acdb/housewares/FtrAmeretroTableS_Remake_3_0.png")</f>
        <v/>
      </c>
      <c r="C611" s="5" t="s">
        <v>819</v>
      </c>
      <c r="D611" s="5" t="s">
        <v>34</v>
      </c>
      <c r="E611" s="5" t="s">
        <v>34</v>
      </c>
      <c r="F611" s="5" t="s">
        <v>34</v>
      </c>
      <c r="G611" s="5" t="s">
        <v>36</v>
      </c>
      <c r="H611" s="5" t="s">
        <v>36</v>
      </c>
      <c r="I611" s="5" t="s">
        <v>36</v>
      </c>
      <c r="J611" s="6" t="s">
        <v>34</v>
      </c>
      <c r="K611" s="6">
        <v>1600.0</v>
      </c>
      <c r="L611" s="6">
        <v>400.0</v>
      </c>
      <c r="M611" s="8" t="s">
        <v>95</v>
      </c>
      <c r="N611" s="8" t="s">
        <v>1175</v>
      </c>
      <c r="O611" s="6" t="s">
        <v>40</v>
      </c>
      <c r="P611" s="5" t="s">
        <v>59</v>
      </c>
      <c r="Q611" s="5" t="s">
        <v>122</v>
      </c>
      <c r="R611" s="6" t="s">
        <v>42</v>
      </c>
      <c r="S611" s="5" t="s">
        <v>62</v>
      </c>
      <c r="T611" s="5" t="s">
        <v>44</v>
      </c>
      <c r="U611" s="5" t="s">
        <v>780</v>
      </c>
      <c r="V611" s="5" t="s">
        <v>44</v>
      </c>
      <c r="W611" s="5" t="s">
        <v>36</v>
      </c>
      <c r="X611" s="8" t="s">
        <v>278</v>
      </c>
      <c r="Y611" s="5" t="s">
        <v>46</v>
      </c>
      <c r="Z611" s="5" t="s">
        <v>47</v>
      </c>
      <c r="AA611" s="5" t="s">
        <v>64</v>
      </c>
      <c r="AB611" s="5" t="s">
        <v>2667</v>
      </c>
      <c r="AC611" s="6" t="s">
        <v>71</v>
      </c>
      <c r="AD611" s="6">
        <v>4441.0</v>
      </c>
    </row>
    <row r="612" ht="56.25" customHeight="1">
      <c r="A612" s="5" t="s">
        <v>2654</v>
      </c>
      <c r="B612" s="6" t="str">
        <f>IMAGE("https://storage.googleapis.com/acdb/housewares/FtrAmeretroTableS_Remake_4_0.png")</f>
        <v/>
      </c>
      <c r="C612" s="5" t="s">
        <v>69</v>
      </c>
      <c r="D612" s="5" t="s">
        <v>34</v>
      </c>
      <c r="E612" s="5" t="s">
        <v>34</v>
      </c>
      <c r="F612" s="5" t="s">
        <v>34</v>
      </c>
      <c r="G612" s="5" t="s">
        <v>36</v>
      </c>
      <c r="H612" s="5" t="s">
        <v>36</v>
      </c>
      <c r="I612" s="5" t="s">
        <v>36</v>
      </c>
      <c r="J612" s="6" t="s">
        <v>34</v>
      </c>
      <c r="K612" s="6">
        <v>1600.0</v>
      </c>
      <c r="L612" s="6">
        <v>400.0</v>
      </c>
      <c r="M612" s="8" t="s">
        <v>95</v>
      </c>
      <c r="N612" s="8" t="s">
        <v>69</v>
      </c>
      <c r="O612" s="6" t="s">
        <v>40</v>
      </c>
      <c r="P612" s="5" t="s">
        <v>59</v>
      </c>
      <c r="Q612" s="5" t="s">
        <v>122</v>
      </c>
      <c r="R612" s="6" t="s">
        <v>42</v>
      </c>
      <c r="S612" s="5" t="s">
        <v>62</v>
      </c>
      <c r="T612" s="5" t="s">
        <v>44</v>
      </c>
      <c r="U612" s="5" t="s">
        <v>780</v>
      </c>
      <c r="V612" s="5" t="s">
        <v>44</v>
      </c>
      <c r="W612" s="5" t="s">
        <v>36</v>
      </c>
      <c r="X612" s="8" t="s">
        <v>278</v>
      </c>
      <c r="Y612" s="5" t="s">
        <v>46</v>
      </c>
      <c r="Z612" s="5" t="s">
        <v>47</v>
      </c>
      <c r="AA612" s="5" t="s">
        <v>64</v>
      </c>
      <c r="AB612" s="5" t="s">
        <v>2671</v>
      </c>
      <c r="AC612" s="6" t="s">
        <v>75</v>
      </c>
      <c r="AD612" s="6">
        <v>4441.0</v>
      </c>
    </row>
    <row r="613" ht="56.25" customHeight="1">
      <c r="A613" s="5" t="s">
        <v>2654</v>
      </c>
      <c r="B613" s="6" t="str">
        <f>IMAGE("https://storage.googleapis.com/acdb/housewares/FtrAmeretroTableS_Remake_5_0.png")</f>
        <v/>
      </c>
      <c r="C613" s="5" t="s">
        <v>307</v>
      </c>
      <c r="D613" s="5" t="s">
        <v>34</v>
      </c>
      <c r="E613" s="5" t="s">
        <v>34</v>
      </c>
      <c r="F613" s="5" t="s">
        <v>34</v>
      </c>
      <c r="G613" s="5" t="s">
        <v>36</v>
      </c>
      <c r="H613" s="5" t="s">
        <v>36</v>
      </c>
      <c r="I613" s="5" t="s">
        <v>36</v>
      </c>
      <c r="J613" s="6" t="s">
        <v>34</v>
      </c>
      <c r="K613" s="6">
        <v>1600.0</v>
      </c>
      <c r="L613" s="6">
        <v>400.0</v>
      </c>
      <c r="M613" s="8" t="s">
        <v>95</v>
      </c>
      <c r="N613" s="8" t="s">
        <v>57</v>
      </c>
      <c r="O613" s="6" t="s">
        <v>40</v>
      </c>
      <c r="P613" s="5" t="s">
        <v>59</v>
      </c>
      <c r="Q613" s="5" t="s">
        <v>122</v>
      </c>
      <c r="R613" s="6" t="s">
        <v>42</v>
      </c>
      <c r="S613" s="5" t="s">
        <v>62</v>
      </c>
      <c r="T613" s="5" t="s">
        <v>44</v>
      </c>
      <c r="U613" s="5" t="s">
        <v>780</v>
      </c>
      <c r="V613" s="5" t="s">
        <v>44</v>
      </c>
      <c r="W613" s="5" t="s">
        <v>36</v>
      </c>
      <c r="X613" s="8" t="s">
        <v>278</v>
      </c>
      <c r="Y613" s="5" t="s">
        <v>46</v>
      </c>
      <c r="Z613" s="5" t="s">
        <v>47</v>
      </c>
      <c r="AA613" s="5" t="s">
        <v>64</v>
      </c>
      <c r="AB613" s="5" t="s">
        <v>2673</v>
      </c>
      <c r="AC613" s="6" t="s">
        <v>79</v>
      </c>
      <c r="AD613" s="6">
        <v>4441.0</v>
      </c>
    </row>
    <row r="614" ht="56.25" customHeight="1">
      <c r="A614" s="5" t="s">
        <v>2654</v>
      </c>
      <c r="B614" s="6" t="str">
        <f>IMAGE("https://storage.googleapis.com/acdb/housewares/FtrAmeretroTableS_Remake_6_0.png")</f>
        <v/>
      </c>
      <c r="C614" s="5" t="s">
        <v>54</v>
      </c>
      <c r="D614" s="5" t="s">
        <v>34</v>
      </c>
      <c r="E614" s="5" t="s">
        <v>34</v>
      </c>
      <c r="F614" s="5" t="s">
        <v>34</v>
      </c>
      <c r="G614" s="5" t="s">
        <v>36</v>
      </c>
      <c r="H614" s="5" t="s">
        <v>36</v>
      </c>
      <c r="I614" s="5" t="s">
        <v>36</v>
      </c>
      <c r="J614" s="6" t="s">
        <v>34</v>
      </c>
      <c r="K614" s="6">
        <v>1600.0</v>
      </c>
      <c r="L614" s="6">
        <v>400.0</v>
      </c>
      <c r="M614" s="8" t="s">
        <v>95</v>
      </c>
      <c r="N614" s="8" t="s">
        <v>54</v>
      </c>
      <c r="O614" s="6" t="s">
        <v>40</v>
      </c>
      <c r="P614" s="5" t="s">
        <v>59</v>
      </c>
      <c r="Q614" s="5" t="s">
        <v>122</v>
      </c>
      <c r="R614" s="6" t="s">
        <v>42</v>
      </c>
      <c r="S614" s="5" t="s">
        <v>62</v>
      </c>
      <c r="T614" s="5" t="s">
        <v>44</v>
      </c>
      <c r="U614" s="5" t="s">
        <v>780</v>
      </c>
      <c r="V614" s="5" t="s">
        <v>44</v>
      </c>
      <c r="W614" s="5" t="s">
        <v>36</v>
      </c>
      <c r="X614" s="8" t="s">
        <v>278</v>
      </c>
      <c r="Y614" s="5" t="s">
        <v>46</v>
      </c>
      <c r="Z614" s="5" t="s">
        <v>47</v>
      </c>
      <c r="AA614" s="5" t="s">
        <v>64</v>
      </c>
      <c r="AB614" s="5" t="s">
        <v>2677</v>
      </c>
      <c r="AC614" s="6" t="s">
        <v>86</v>
      </c>
      <c r="AD614" s="6">
        <v>4441.0</v>
      </c>
    </row>
    <row r="615" ht="56.25" customHeight="1">
      <c r="A615" s="5" t="s">
        <v>2678</v>
      </c>
      <c r="B615" s="6" t="str">
        <f>IMAGE("https://storage.googleapis.com/acdb/housewares/FtrAmeretroNeon_Remake_0_0.png")</f>
        <v/>
      </c>
      <c r="C615" s="5" t="s">
        <v>52</v>
      </c>
      <c r="D615" s="5" t="s">
        <v>34</v>
      </c>
      <c r="E615" s="5" t="s">
        <v>34</v>
      </c>
      <c r="F615" s="5" t="s">
        <v>34</v>
      </c>
      <c r="G615" s="5" t="s">
        <v>36</v>
      </c>
      <c r="H615" s="5" t="s">
        <v>36</v>
      </c>
      <c r="I615" s="5" t="s">
        <v>36</v>
      </c>
      <c r="J615" s="6" t="s">
        <v>34</v>
      </c>
      <c r="K615" s="6">
        <v>3900.0</v>
      </c>
      <c r="L615" s="6">
        <v>975.0</v>
      </c>
      <c r="M615" s="8" t="s">
        <v>68</v>
      </c>
      <c r="N615" s="8" t="s">
        <v>52</v>
      </c>
      <c r="O615" s="6" t="s">
        <v>276</v>
      </c>
      <c r="P615" s="5" t="s">
        <v>59</v>
      </c>
      <c r="Q615" s="5" t="s">
        <v>122</v>
      </c>
      <c r="R615" s="6" t="s">
        <v>42</v>
      </c>
      <c r="S615" s="5" t="s">
        <v>62</v>
      </c>
      <c r="T615" s="5" t="s">
        <v>44</v>
      </c>
      <c r="U615" s="5" t="s">
        <v>780</v>
      </c>
      <c r="V615" s="5" t="s">
        <v>44</v>
      </c>
      <c r="W615" s="5" t="s">
        <v>35</v>
      </c>
      <c r="X615" s="8" t="s">
        <v>467</v>
      </c>
      <c r="Y615" s="5" t="s">
        <v>46</v>
      </c>
      <c r="Z615" s="5" t="s">
        <v>102</v>
      </c>
      <c r="AA615" s="5" t="s">
        <v>64</v>
      </c>
      <c r="AB615" s="5" t="s">
        <v>2681</v>
      </c>
      <c r="AC615" s="6" t="s">
        <v>50</v>
      </c>
      <c r="AD615" s="6">
        <v>4143.0</v>
      </c>
    </row>
    <row r="616" ht="56.25" customHeight="1">
      <c r="A616" s="5" t="s">
        <v>2678</v>
      </c>
      <c r="B616" s="6" t="str">
        <f>IMAGE("https://storage.googleapis.com/acdb/housewares/FtrAmeretroNeon_Remake_1_0.png")</f>
        <v/>
      </c>
      <c r="C616" s="5" t="s">
        <v>142</v>
      </c>
      <c r="D616" s="5" t="s">
        <v>34</v>
      </c>
      <c r="E616" s="5" t="s">
        <v>34</v>
      </c>
      <c r="F616" s="5" t="s">
        <v>34</v>
      </c>
      <c r="G616" s="5" t="s">
        <v>36</v>
      </c>
      <c r="H616" s="5" t="s">
        <v>36</v>
      </c>
      <c r="I616" s="5" t="s">
        <v>36</v>
      </c>
      <c r="J616" s="6" t="s">
        <v>34</v>
      </c>
      <c r="K616" s="6">
        <v>3900.0</v>
      </c>
      <c r="L616" s="6">
        <v>975.0</v>
      </c>
      <c r="M616" s="8" t="s">
        <v>114</v>
      </c>
      <c r="N616" s="8" t="s">
        <v>142</v>
      </c>
      <c r="O616" s="6" t="s">
        <v>276</v>
      </c>
      <c r="P616" s="5" t="s">
        <v>59</v>
      </c>
      <c r="Q616" s="5" t="s">
        <v>122</v>
      </c>
      <c r="R616" s="6" t="s">
        <v>42</v>
      </c>
      <c r="S616" s="5" t="s">
        <v>62</v>
      </c>
      <c r="T616" s="5" t="s">
        <v>44</v>
      </c>
      <c r="U616" s="5" t="s">
        <v>780</v>
      </c>
      <c r="V616" s="5" t="s">
        <v>44</v>
      </c>
      <c r="W616" s="5" t="s">
        <v>35</v>
      </c>
      <c r="X616" s="8" t="s">
        <v>467</v>
      </c>
      <c r="Y616" s="5" t="s">
        <v>46</v>
      </c>
      <c r="Z616" s="5" t="s">
        <v>102</v>
      </c>
      <c r="AA616" s="5" t="s">
        <v>64</v>
      </c>
      <c r="AB616" s="5" t="s">
        <v>2686</v>
      </c>
      <c r="AC616" s="6" t="s">
        <v>56</v>
      </c>
      <c r="AD616" s="6">
        <v>4143.0</v>
      </c>
    </row>
    <row r="617" ht="56.25" customHeight="1">
      <c r="A617" s="5" t="s">
        <v>2678</v>
      </c>
      <c r="B617" s="6" t="str">
        <f>IMAGE("https://storage.googleapis.com/acdb/housewares/FtrAmeretroNeon_Remake_2_0.png")</f>
        <v/>
      </c>
      <c r="C617" s="5" t="s">
        <v>96</v>
      </c>
      <c r="D617" s="5" t="s">
        <v>34</v>
      </c>
      <c r="E617" s="5" t="s">
        <v>34</v>
      </c>
      <c r="F617" s="5" t="s">
        <v>34</v>
      </c>
      <c r="G617" s="5" t="s">
        <v>36</v>
      </c>
      <c r="H617" s="5" t="s">
        <v>36</v>
      </c>
      <c r="I617" s="5" t="s">
        <v>36</v>
      </c>
      <c r="J617" s="6" t="s">
        <v>34</v>
      </c>
      <c r="K617" s="6">
        <v>3900.0</v>
      </c>
      <c r="L617" s="6">
        <v>975.0</v>
      </c>
      <c r="M617" s="8" t="s">
        <v>52</v>
      </c>
      <c r="N617" s="8" t="s">
        <v>96</v>
      </c>
      <c r="O617" s="6" t="s">
        <v>276</v>
      </c>
      <c r="P617" s="5" t="s">
        <v>59</v>
      </c>
      <c r="Q617" s="5" t="s">
        <v>122</v>
      </c>
      <c r="R617" s="6" t="s">
        <v>42</v>
      </c>
      <c r="S617" s="5" t="s">
        <v>62</v>
      </c>
      <c r="T617" s="5" t="s">
        <v>44</v>
      </c>
      <c r="U617" s="5" t="s">
        <v>780</v>
      </c>
      <c r="V617" s="5" t="s">
        <v>44</v>
      </c>
      <c r="W617" s="5" t="s">
        <v>35</v>
      </c>
      <c r="X617" s="8" t="s">
        <v>467</v>
      </c>
      <c r="Y617" s="5" t="s">
        <v>46</v>
      </c>
      <c r="Z617" s="5" t="s">
        <v>102</v>
      </c>
      <c r="AA617" s="5" t="s">
        <v>64</v>
      </c>
      <c r="AB617" s="5" t="s">
        <v>2689</v>
      </c>
      <c r="AC617" s="6" t="s">
        <v>67</v>
      </c>
      <c r="AD617" s="6">
        <v>4143.0</v>
      </c>
    </row>
    <row r="618" ht="56.25" customHeight="1">
      <c r="A618" s="5" t="s">
        <v>2678</v>
      </c>
      <c r="B618" s="6" t="str">
        <f>IMAGE("https://storage.googleapis.com/acdb/housewares/FtrAmeretroNeon_Remake_3_0.png")</f>
        <v/>
      </c>
      <c r="C618" s="5" t="s">
        <v>106</v>
      </c>
      <c r="D618" s="5" t="s">
        <v>34</v>
      </c>
      <c r="E618" s="5" t="s">
        <v>34</v>
      </c>
      <c r="F618" s="5" t="s">
        <v>34</v>
      </c>
      <c r="G618" s="5" t="s">
        <v>36</v>
      </c>
      <c r="H618" s="5" t="s">
        <v>36</v>
      </c>
      <c r="I618" s="5" t="s">
        <v>36</v>
      </c>
      <c r="J618" s="6" t="s">
        <v>34</v>
      </c>
      <c r="K618" s="6">
        <v>3900.0</v>
      </c>
      <c r="L618" s="6">
        <v>975.0</v>
      </c>
      <c r="M618" s="8" t="s">
        <v>69</v>
      </c>
      <c r="N618" s="8" t="s">
        <v>106</v>
      </c>
      <c r="O618" s="6" t="s">
        <v>276</v>
      </c>
      <c r="P618" s="5" t="s">
        <v>59</v>
      </c>
      <c r="Q618" s="5" t="s">
        <v>122</v>
      </c>
      <c r="R618" s="6" t="s">
        <v>42</v>
      </c>
      <c r="S618" s="5" t="s">
        <v>62</v>
      </c>
      <c r="T618" s="5" t="s">
        <v>44</v>
      </c>
      <c r="U618" s="5" t="s">
        <v>780</v>
      </c>
      <c r="V618" s="5" t="s">
        <v>44</v>
      </c>
      <c r="W618" s="5" t="s">
        <v>35</v>
      </c>
      <c r="X618" s="8" t="s">
        <v>467</v>
      </c>
      <c r="Y618" s="5" t="s">
        <v>46</v>
      </c>
      <c r="Z618" s="5" t="s">
        <v>102</v>
      </c>
      <c r="AA618" s="5" t="s">
        <v>64</v>
      </c>
      <c r="AB618" s="5" t="s">
        <v>2692</v>
      </c>
      <c r="AC618" s="6" t="s">
        <v>71</v>
      </c>
      <c r="AD618" s="6">
        <v>4143.0</v>
      </c>
    </row>
    <row r="619" ht="56.25" customHeight="1">
      <c r="A619" s="5" t="s">
        <v>2678</v>
      </c>
      <c r="B619" s="6" t="str">
        <f>IMAGE("https://storage.googleapis.com/acdb/housewares/FtrAmeretroNeon_Remake_4_0.png")</f>
        <v/>
      </c>
      <c r="C619" s="5" t="s">
        <v>68</v>
      </c>
      <c r="D619" s="5" t="s">
        <v>34</v>
      </c>
      <c r="E619" s="5" t="s">
        <v>34</v>
      </c>
      <c r="F619" s="5" t="s">
        <v>34</v>
      </c>
      <c r="G619" s="5" t="s">
        <v>36</v>
      </c>
      <c r="H619" s="5" t="s">
        <v>36</v>
      </c>
      <c r="I619" s="5" t="s">
        <v>36</v>
      </c>
      <c r="J619" s="6" t="s">
        <v>34</v>
      </c>
      <c r="K619" s="6">
        <v>3900.0</v>
      </c>
      <c r="L619" s="6">
        <v>975.0</v>
      </c>
      <c r="M619" s="8" t="s">
        <v>52</v>
      </c>
      <c r="N619" s="8" t="s">
        <v>68</v>
      </c>
      <c r="O619" s="6" t="s">
        <v>276</v>
      </c>
      <c r="P619" s="5" t="s">
        <v>59</v>
      </c>
      <c r="Q619" s="5" t="s">
        <v>122</v>
      </c>
      <c r="R619" s="6" t="s">
        <v>42</v>
      </c>
      <c r="S619" s="5" t="s">
        <v>62</v>
      </c>
      <c r="T619" s="5" t="s">
        <v>44</v>
      </c>
      <c r="U619" s="5" t="s">
        <v>780</v>
      </c>
      <c r="V619" s="5" t="s">
        <v>44</v>
      </c>
      <c r="W619" s="5" t="s">
        <v>35</v>
      </c>
      <c r="X619" s="8" t="s">
        <v>467</v>
      </c>
      <c r="Y619" s="5" t="s">
        <v>46</v>
      </c>
      <c r="Z619" s="5" t="s">
        <v>102</v>
      </c>
      <c r="AA619" s="5" t="s">
        <v>64</v>
      </c>
      <c r="AB619" s="5" t="s">
        <v>2696</v>
      </c>
      <c r="AC619" s="6" t="s">
        <v>75</v>
      </c>
      <c r="AD619" s="6">
        <v>4143.0</v>
      </c>
    </row>
    <row r="620" ht="56.25" customHeight="1">
      <c r="A620" s="5" t="s">
        <v>2697</v>
      </c>
      <c r="B620" s="6" t="str">
        <f>IMAGE("https://storage.googleapis.com/acdb/housewares/FtrAmeretroChairL_Remake_0_0.png")</f>
        <v/>
      </c>
      <c r="C620" s="5" t="s">
        <v>52</v>
      </c>
      <c r="D620" s="5" t="s">
        <v>34</v>
      </c>
      <c r="E620" s="5" t="s">
        <v>34</v>
      </c>
      <c r="F620" s="5" t="s">
        <v>34</v>
      </c>
      <c r="G620" s="5" t="s">
        <v>36</v>
      </c>
      <c r="H620" s="5" t="s">
        <v>36</v>
      </c>
      <c r="I620" s="5" t="s">
        <v>36</v>
      </c>
      <c r="J620" s="6" t="s">
        <v>34</v>
      </c>
      <c r="K620" s="6">
        <v>3500.0</v>
      </c>
      <c r="L620" s="6">
        <v>875.0</v>
      </c>
      <c r="M620" s="8" t="s">
        <v>52</v>
      </c>
      <c r="N620" s="8" t="s">
        <v>57</v>
      </c>
      <c r="O620" s="6" t="s">
        <v>276</v>
      </c>
      <c r="P620" s="5" t="s">
        <v>59</v>
      </c>
      <c r="Q620" s="5" t="s">
        <v>122</v>
      </c>
      <c r="R620" s="6" t="s">
        <v>42</v>
      </c>
      <c r="S620" s="5" t="s">
        <v>62</v>
      </c>
      <c r="T620" s="5" t="s">
        <v>44</v>
      </c>
      <c r="U620" s="5" t="s">
        <v>780</v>
      </c>
      <c r="V620" s="5" t="s">
        <v>44</v>
      </c>
      <c r="W620" s="5" t="s">
        <v>35</v>
      </c>
      <c r="X620" s="8" t="s">
        <v>671</v>
      </c>
      <c r="Y620" s="5" t="s">
        <v>46</v>
      </c>
      <c r="Z620" s="5" t="s">
        <v>47</v>
      </c>
      <c r="AA620" s="5" t="s">
        <v>64</v>
      </c>
      <c r="AB620" s="5" t="s">
        <v>2698</v>
      </c>
      <c r="AC620" s="6" t="s">
        <v>50</v>
      </c>
      <c r="AD620" s="6">
        <v>4141.0</v>
      </c>
    </row>
    <row r="621" ht="56.25" customHeight="1">
      <c r="A621" s="5" t="s">
        <v>2697</v>
      </c>
      <c r="B621" s="6" t="str">
        <f>IMAGE("https://storage.googleapis.com/acdb/housewares/FtrAmeretroChairL_Remake_1_0.png")</f>
        <v/>
      </c>
      <c r="C621" s="5" t="s">
        <v>68</v>
      </c>
      <c r="D621" s="5" t="s">
        <v>34</v>
      </c>
      <c r="E621" s="5" t="s">
        <v>34</v>
      </c>
      <c r="F621" s="5" t="s">
        <v>34</v>
      </c>
      <c r="G621" s="5" t="s">
        <v>36</v>
      </c>
      <c r="H621" s="5" t="s">
        <v>36</v>
      </c>
      <c r="I621" s="5" t="s">
        <v>36</v>
      </c>
      <c r="J621" s="6" t="s">
        <v>34</v>
      </c>
      <c r="K621" s="6">
        <v>3500.0</v>
      </c>
      <c r="L621" s="6">
        <v>875.0</v>
      </c>
      <c r="M621" s="8" t="s">
        <v>68</v>
      </c>
      <c r="N621" s="8" t="s">
        <v>57</v>
      </c>
      <c r="O621" s="6" t="s">
        <v>276</v>
      </c>
      <c r="P621" s="5" t="s">
        <v>59</v>
      </c>
      <c r="Q621" s="5" t="s">
        <v>122</v>
      </c>
      <c r="R621" s="6" t="s">
        <v>42</v>
      </c>
      <c r="S621" s="5" t="s">
        <v>62</v>
      </c>
      <c r="T621" s="5" t="s">
        <v>44</v>
      </c>
      <c r="U621" s="5" t="s">
        <v>780</v>
      </c>
      <c r="V621" s="5" t="s">
        <v>44</v>
      </c>
      <c r="W621" s="5" t="s">
        <v>35</v>
      </c>
      <c r="X621" s="8" t="s">
        <v>671</v>
      </c>
      <c r="Y621" s="5" t="s">
        <v>46</v>
      </c>
      <c r="Z621" s="5" t="s">
        <v>47</v>
      </c>
      <c r="AA621" s="5" t="s">
        <v>64</v>
      </c>
      <c r="AB621" s="5" t="s">
        <v>2701</v>
      </c>
      <c r="AC621" s="6" t="s">
        <v>56</v>
      </c>
      <c r="AD621" s="6">
        <v>4141.0</v>
      </c>
    </row>
    <row r="622" ht="56.25" customHeight="1">
      <c r="A622" s="5" t="s">
        <v>2697</v>
      </c>
      <c r="B622" s="6" t="str">
        <f>IMAGE("https://storage.googleapis.com/acdb/housewares/FtrAmeretroChairL_Remake_2_0.png")</f>
        <v/>
      </c>
      <c r="C622" s="5" t="s">
        <v>114</v>
      </c>
      <c r="D622" s="5" t="s">
        <v>34</v>
      </c>
      <c r="E622" s="5" t="s">
        <v>34</v>
      </c>
      <c r="F622" s="5" t="s">
        <v>34</v>
      </c>
      <c r="G622" s="5" t="s">
        <v>36</v>
      </c>
      <c r="H622" s="5" t="s">
        <v>36</v>
      </c>
      <c r="I622" s="5" t="s">
        <v>36</v>
      </c>
      <c r="J622" s="6" t="s">
        <v>34</v>
      </c>
      <c r="K622" s="6">
        <v>3500.0</v>
      </c>
      <c r="L622" s="6">
        <v>875.0</v>
      </c>
      <c r="M622" s="8" t="s">
        <v>114</v>
      </c>
      <c r="N622" s="8" t="s">
        <v>57</v>
      </c>
      <c r="O622" s="6" t="s">
        <v>276</v>
      </c>
      <c r="P622" s="5" t="s">
        <v>59</v>
      </c>
      <c r="Q622" s="5" t="s">
        <v>122</v>
      </c>
      <c r="R622" s="6" t="s">
        <v>42</v>
      </c>
      <c r="S622" s="5" t="s">
        <v>62</v>
      </c>
      <c r="T622" s="5" t="s">
        <v>44</v>
      </c>
      <c r="U622" s="5" t="s">
        <v>780</v>
      </c>
      <c r="V622" s="5" t="s">
        <v>44</v>
      </c>
      <c r="W622" s="5" t="s">
        <v>35</v>
      </c>
      <c r="X622" s="8" t="s">
        <v>671</v>
      </c>
      <c r="Y622" s="5" t="s">
        <v>46</v>
      </c>
      <c r="Z622" s="5" t="s">
        <v>47</v>
      </c>
      <c r="AA622" s="5" t="s">
        <v>64</v>
      </c>
      <c r="AB622" s="5" t="s">
        <v>2703</v>
      </c>
      <c r="AC622" s="6" t="s">
        <v>67</v>
      </c>
      <c r="AD622" s="6">
        <v>4141.0</v>
      </c>
    </row>
    <row r="623" ht="56.25" customHeight="1">
      <c r="A623" s="5" t="s">
        <v>2697</v>
      </c>
      <c r="B623" s="6" t="str">
        <f>IMAGE("https://storage.googleapis.com/acdb/housewares/FtrAmeretroChairL_Remake_3_0.png")</f>
        <v/>
      </c>
      <c r="C623" s="5" t="s">
        <v>819</v>
      </c>
      <c r="D623" s="5" t="s">
        <v>34</v>
      </c>
      <c r="E623" s="5" t="s">
        <v>34</v>
      </c>
      <c r="F623" s="5" t="s">
        <v>34</v>
      </c>
      <c r="G623" s="5" t="s">
        <v>36</v>
      </c>
      <c r="H623" s="5" t="s">
        <v>36</v>
      </c>
      <c r="I623" s="5" t="s">
        <v>36</v>
      </c>
      <c r="J623" s="6" t="s">
        <v>34</v>
      </c>
      <c r="K623" s="6">
        <v>3500.0</v>
      </c>
      <c r="L623" s="6">
        <v>875.0</v>
      </c>
      <c r="M623" s="8" t="s">
        <v>96</v>
      </c>
      <c r="N623" s="8" t="s">
        <v>57</v>
      </c>
      <c r="O623" s="6" t="s">
        <v>276</v>
      </c>
      <c r="P623" s="5" t="s">
        <v>59</v>
      </c>
      <c r="Q623" s="5" t="s">
        <v>122</v>
      </c>
      <c r="R623" s="6" t="s">
        <v>42</v>
      </c>
      <c r="S623" s="5" t="s">
        <v>62</v>
      </c>
      <c r="T623" s="5" t="s">
        <v>44</v>
      </c>
      <c r="U623" s="5" t="s">
        <v>780</v>
      </c>
      <c r="V623" s="5" t="s">
        <v>44</v>
      </c>
      <c r="W623" s="5" t="s">
        <v>35</v>
      </c>
      <c r="X623" s="8" t="s">
        <v>671</v>
      </c>
      <c r="Y623" s="5" t="s">
        <v>46</v>
      </c>
      <c r="Z623" s="5" t="s">
        <v>47</v>
      </c>
      <c r="AA623" s="5" t="s">
        <v>64</v>
      </c>
      <c r="AB623" s="5" t="s">
        <v>2707</v>
      </c>
      <c r="AC623" s="6" t="s">
        <v>71</v>
      </c>
      <c r="AD623" s="6">
        <v>4141.0</v>
      </c>
    </row>
    <row r="624" ht="56.25" customHeight="1">
      <c r="A624" s="5" t="s">
        <v>2697</v>
      </c>
      <c r="B624" s="6" t="str">
        <f>IMAGE("https://storage.googleapis.com/acdb/housewares/FtrAmeretroChairL_Remake_4_0.png")</f>
        <v/>
      </c>
      <c r="C624" s="5" t="s">
        <v>69</v>
      </c>
      <c r="D624" s="5" t="s">
        <v>34</v>
      </c>
      <c r="E624" s="5" t="s">
        <v>34</v>
      </c>
      <c r="F624" s="5" t="s">
        <v>34</v>
      </c>
      <c r="G624" s="5" t="s">
        <v>36</v>
      </c>
      <c r="H624" s="5" t="s">
        <v>36</v>
      </c>
      <c r="I624" s="5" t="s">
        <v>36</v>
      </c>
      <c r="J624" s="6" t="s">
        <v>34</v>
      </c>
      <c r="K624" s="6">
        <v>3500.0</v>
      </c>
      <c r="L624" s="6">
        <v>875.0</v>
      </c>
      <c r="M624" s="8" t="s">
        <v>69</v>
      </c>
      <c r="N624" s="8" t="s">
        <v>57</v>
      </c>
      <c r="O624" s="6" t="s">
        <v>276</v>
      </c>
      <c r="P624" s="5" t="s">
        <v>59</v>
      </c>
      <c r="Q624" s="5" t="s">
        <v>122</v>
      </c>
      <c r="R624" s="6" t="s">
        <v>42</v>
      </c>
      <c r="S624" s="5" t="s">
        <v>62</v>
      </c>
      <c r="T624" s="5" t="s">
        <v>44</v>
      </c>
      <c r="U624" s="5" t="s">
        <v>780</v>
      </c>
      <c r="V624" s="5" t="s">
        <v>44</v>
      </c>
      <c r="W624" s="5" t="s">
        <v>35</v>
      </c>
      <c r="X624" s="8" t="s">
        <v>671</v>
      </c>
      <c r="Y624" s="5" t="s">
        <v>46</v>
      </c>
      <c r="Z624" s="5" t="s">
        <v>47</v>
      </c>
      <c r="AA624" s="5" t="s">
        <v>64</v>
      </c>
      <c r="AB624" s="5" t="s">
        <v>2708</v>
      </c>
      <c r="AC624" s="6" t="s">
        <v>75</v>
      </c>
      <c r="AD624" s="6">
        <v>4141.0</v>
      </c>
    </row>
    <row r="625" ht="56.25" customHeight="1">
      <c r="A625" s="5" t="s">
        <v>2697</v>
      </c>
      <c r="B625" s="6" t="str">
        <f>IMAGE("https://storage.googleapis.com/acdb/housewares/FtrAmeretroChairL_Remake_5_0.png")</f>
        <v/>
      </c>
      <c r="C625" s="5" t="s">
        <v>307</v>
      </c>
      <c r="D625" s="5" t="s">
        <v>34</v>
      </c>
      <c r="E625" s="5" t="s">
        <v>34</v>
      </c>
      <c r="F625" s="5" t="s">
        <v>34</v>
      </c>
      <c r="G625" s="5" t="s">
        <v>36</v>
      </c>
      <c r="H625" s="5" t="s">
        <v>36</v>
      </c>
      <c r="I625" s="5" t="s">
        <v>36</v>
      </c>
      <c r="J625" s="6" t="s">
        <v>34</v>
      </c>
      <c r="K625" s="6">
        <v>3500.0</v>
      </c>
      <c r="L625" s="6">
        <v>875.0</v>
      </c>
      <c r="M625" s="8" t="s">
        <v>38</v>
      </c>
      <c r="N625" s="8" t="s">
        <v>57</v>
      </c>
      <c r="O625" s="6" t="s">
        <v>276</v>
      </c>
      <c r="P625" s="5" t="s">
        <v>59</v>
      </c>
      <c r="Q625" s="5" t="s">
        <v>122</v>
      </c>
      <c r="R625" s="6" t="s">
        <v>42</v>
      </c>
      <c r="S625" s="5" t="s">
        <v>62</v>
      </c>
      <c r="T625" s="5" t="s">
        <v>44</v>
      </c>
      <c r="U625" s="5" t="s">
        <v>780</v>
      </c>
      <c r="V625" s="5" t="s">
        <v>44</v>
      </c>
      <c r="W625" s="5" t="s">
        <v>35</v>
      </c>
      <c r="X625" s="8" t="s">
        <v>671</v>
      </c>
      <c r="Y625" s="5" t="s">
        <v>46</v>
      </c>
      <c r="Z625" s="5" t="s">
        <v>47</v>
      </c>
      <c r="AA625" s="5" t="s">
        <v>64</v>
      </c>
      <c r="AB625" s="5" t="s">
        <v>2711</v>
      </c>
      <c r="AC625" s="6" t="s">
        <v>79</v>
      </c>
      <c r="AD625" s="6">
        <v>4141.0</v>
      </c>
    </row>
    <row r="626" ht="56.25" customHeight="1">
      <c r="A626" s="5" t="s">
        <v>2697</v>
      </c>
      <c r="B626" s="6" t="str">
        <f>IMAGE("https://storage.googleapis.com/acdb/housewares/FtrAmeretroChairL_Remake_6_0.png")</f>
        <v/>
      </c>
      <c r="C626" s="5" t="s">
        <v>54</v>
      </c>
      <c r="D626" s="5" t="s">
        <v>34</v>
      </c>
      <c r="E626" s="5" t="s">
        <v>34</v>
      </c>
      <c r="F626" s="5" t="s">
        <v>34</v>
      </c>
      <c r="G626" s="5" t="s">
        <v>36</v>
      </c>
      <c r="H626" s="5" t="s">
        <v>36</v>
      </c>
      <c r="I626" s="5" t="s">
        <v>36</v>
      </c>
      <c r="J626" s="6" t="s">
        <v>34</v>
      </c>
      <c r="K626" s="6">
        <v>3500.0</v>
      </c>
      <c r="L626" s="6">
        <v>875.0</v>
      </c>
      <c r="M626" s="8" t="s">
        <v>54</v>
      </c>
      <c r="N626" s="8" t="s">
        <v>57</v>
      </c>
      <c r="O626" s="6" t="s">
        <v>276</v>
      </c>
      <c r="P626" s="5" t="s">
        <v>59</v>
      </c>
      <c r="Q626" s="5" t="s">
        <v>122</v>
      </c>
      <c r="R626" s="6" t="s">
        <v>42</v>
      </c>
      <c r="S626" s="5" t="s">
        <v>62</v>
      </c>
      <c r="T626" s="5" t="s">
        <v>44</v>
      </c>
      <c r="U626" s="5" t="s">
        <v>780</v>
      </c>
      <c r="V626" s="5" t="s">
        <v>44</v>
      </c>
      <c r="W626" s="5" t="s">
        <v>35</v>
      </c>
      <c r="X626" s="8" t="s">
        <v>671</v>
      </c>
      <c r="Y626" s="5" t="s">
        <v>46</v>
      </c>
      <c r="Z626" s="5" t="s">
        <v>47</v>
      </c>
      <c r="AA626" s="5" t="s">
        <v>64</v>
      </c>
      <c r="AB626" s="5" t="s">
        <v>2712</v>
      </c>
      <c r="AC626" s="6" t="s">
        <v>86</v>
      </c>
      <c r="AD626" s="6">
        <v>4141.0</v>
      </c>
    </row>
    <row r="627" ht="56.25" customHeight="1">
      <c r="A627" s="5" t="s">
        <v>2713</v>
      </c>
      <c r="B627" s="6" t="str">
        <f>IMAGE("https://storage.googleapis.com/acdb/housewares/FtrDirectorchair_Remake_0_0.png")</f>
        <v/>
      </c>
      <c r="C627" s="5" t="s">
        <v>935</v>
      </c>
      <c r="D627" s="5" t="s">
        <v>34</v>
      </c>
      <c r="E627" s="5" t="s">
        <v>2715</v>
      </c>
      <c r="F627" s="5" t="s">
        <v>2716</v>
      </c>
      <c r="G627" s="5" t="s">
        <v>36</v>
      </c>
      <c r="H627" s="5" t="s">
        <v>36</v>
      </c>
      <c r="I627" s="5" t="s">
        <v>35</v>
      </c>
      <c r="J627" s="6">
        <v>1.0</v>
      </c>
      <c r="K627" s="6">
        <v>1600.0</v>
      </c>
      <c r="L627" s="6">
        <v>400.0</v>
      </c>
      <c r="M627" s="8" t="s">
        <v>142</v>
      </c>
      <c r="N627" s="8" t="s">
        <v>57</v>
      </c>
      <c r="O627" s="6" t="s">
        <v>40</v>
      </c>
      <c r="P627" s="5" t="s">
        <v>59</v>
      </c>
      <c r="Q627" s="5" t="s">
        <v>554</v>
      </c>
      <c r="R627" s="6" t="s">
        <v>42</v>
      </c>
      <c r="S627" s="5" t="s">
        <v>765</v>
      </c>
      <c r="T627" s="5" t="s">
        <v>44</v>
      </c>
      <c r="U627" s="5" t="s">
        <v>44</v>
      </c>
      <c r="V627" s="5" t="s">
        <v>44</v>
      </c>
      <c r="W627" s="5" t="s">
        <v>35</v>
      </c>
      <c r="X627" s="8" t="s">
        <v>248</v>
      </c>
      <c r="Y627" s="5" t="s">
        <v>46</v>
      </c>
      <c r="Z627" s="5" t="s">
        <v>47</v>
      </c>
      <c r="AA627" s="5" t="s">
        <v>64</v>
      </c>
      <c r="AB627" s="5" t="s">
        <v>2718</v>
      </c>
      <c r="AC627" s="6" t="s">
        <v>50</v>
      </c>
      <c r="AD627" s="6">
        <v>2020.0</v>
      </c>
    </row>
    <row r="628" ht="56.25" customHeight="1">
      <c r="A628" s="5" t="s">
        <v>2713</v>
      </c>
      <c r="B628" s="6" t="str">
        <f>IMAGE("https://storage.googleapis.com/acdb/housewares/FtrDirectorchair_Remake_0_1.png")</f>
        <v/>
      </c>
      <c r="C628" s="5" t="s">
        <v>935</v>
      </c>
      <c r="D628" s="5" t="s">
        <v>34</v>
      </c>
      <c r="E628" s="5" t="s">
        <v>2721</v>
      </c>
      <c r="F628" s="5" t="s">
        <v>2716</v>
      </c>
      <c r="G628" s="5" t="s">
        <v>36</v>
      </c>
      <c r="H628" s="5" t="s">
        <v>36</v>
      </c>
      <c r="I628" s="5" t="s">
        <v>35</v>
      </c>
      <c r="J628" s="6">
        <v>1.0</v>
      </c>
      <c r="K628" s="6">
        <v>1600.0</v>
      </c>
      <c r="L628" s="6">
        <v>400.0</v>
      </c>
      <c r="M628" s="8" t="s">
        <v>142</v>
      </c>
      <c r="N628" s="8" t="s">
        <v>54</v>
      </c>
      <c r="O628" s="6" t="s">
        <v>40</v>
      </c>
      <c r="P628" s="5" t="s">
        <v>59</v>
      </c>
      <c r="Q628" s="5" t="s">
        <v>554</v>
      </c>
      <c r="R628" s="6" t="s">
        <v>42</v>
      </c>
      <c r="S628" s="5" t="s">
        <v>765</v>
      </c>
      <c r="T628" s="5" t="s">
        <v>44</v>
      </c>
      <c r="U628" s="5" t="s">
        <v>44</v>
      </c>
      <c r="V628" s="5" t="s">
        <v>44</v>
      </c>
      <c r="W628" s="5" t="s">
        <v>35</v>
      </c>
      <c r="X628" s="8" t="s">
        <v>248</v>
      </c>
      <c r="Y628" s="5" t="s">
        <v>46</v>
      </c>
      <c r="Z628" s="5" t="s">
        <v>47</v>
      </c>
      <c r="AA628" s="5" t="s">
        <v>64</v>
      </c>
      <c r="AB628" s="5" t="s">
        <v>2723</v>
      </c>
      <c r="AC628" s="6" t="s">
        <v>217</v>
      </c>
      <c r="AD628" s="6">
        <v>2020.0</v>
      </c>
    </row>
    <row r="629" ht="56.25" customHeight="1">
      <c r="A629" s="5" t="s">
        <v>2713</v>
      </c>
      <c r="B629" s="6" t="str">
        <f>IMAGE("https://storage.googleapis.com/acdb/housewares/FtrDirectorchair_Remake_0_2.png")</f>
        <v/>
      </c>
      <c r="C629" s="5" t="s">
        <v>935</v>
      </c>
      <c r="D629" s="5" t="s">
        <v>34</v>
      </c>
      <c r="E629" s="5" t="s">
        <v>2725</v>
      </c>
      <c r="F629" s="5" t="s">
        <v>2716</v>
      </c>
      <c r="G629" s="5" t="s">
        <v>36</v>
      </c>
      <c r="H629" s="5" t="s">
        <v>36</v>
      </c>
      <c r="I629" s="5" t="s">
        <v>35</v>
      </c>
      <c r="J629" s="6">
        <v>1.0</v>
      </c>
      <c r="K629" s="6">
        <v>1600.0</v>
      </c>
      <c r="L629" s="6">
        <v>400.0</v>
      </c>
      <c r="M629" s="8" t="s">
        <v>142</v>
      </c>
      <c r="N629" s="8" t="s">
        <v>39</v>
      </c>
      <c r="O629" s="6" t="s">
        <v>40</v>
      </c>
      <c r="P629" s="5" t="s">
        <v>59</v>
      </c>
      <c r="Q629" s="5" t="s">
        <v>554</v>
      </c>
      <c r="R629" s="6" t="s">
        <v>42</v>
      </c>
      <c r="S629" s="5" t="s">
        <v>765</v>
      </c>
      <c r="T629" s="5" t="s">
        <v>44</v>
      </c>
      <c r="U629" s="5" t="s">
        <v>44</v>
      </c>
      <c r="V629" s="5" t="s">
        <v>44</v>
      </c>
      <c r="W629" s="5" t="s">
        <v>35</v>
      </c>
      <c r="X629" s="8" t="s">
        <v>248</v>
      </c>
      <c r="Y629" s="5" t="s">
        <v>46</v>
      </c>
      <c r="Z629" s="5" t="s">
        <v>47</v>
      </c>
      <c r="AA629" s="5" t="s">
        <v>64</v>
      </c>
      <c r="AB629" s="5" t="s">
        <v>2727</v>
      </c>
      <c r="AC629" s="6" t="s">
        <v>347</v>
      </c>
      <c r="AD629" s="6">
        <v>2020.0</v>
      </c>
    </row>
    <row r="630" ht="56.25" customHeight="1">
      <c r="A630" s="5" t="s">
        <v>2713</v>
      </c>
      <c r="B630" s="6" t="str">
        <f>IMAGE("https://storage.googleapis.com/acdb/housewares/FtrDirectorchair_Remake_1_0.png")</f>
        <v/>
      </c>
      <c r="C630" s="5" t="s">
        <v>387</v>
      </c>
      <c r="D630" s="5" t="s">
        <v>34</v>
      </c>
      <c r="E630" s="5" t="s">
        <v>2715</v>
      </c>
      <c r="F630" s="5" t="s">
        <v>2716</v>
      </c>
      <c r="G630" s="5" t="s">
        <v>36</v>
      </c>
      <c r="H630" s="5" t="s">
        <v>36</v>
      </c>
      <c r="I630" s="5" t="s">
        <v>35</v>
      </c>
      <c r="J630" s="6">
        <v>1.0</v>
      </c>
      <c r="K630" s="6">
        <v>1600.0</v>
      </c>
      <c r="L630" s="6">
        <v>400.0</v>
      </c>
      <c r="M630" s="8" t="s">
        <v>39</v>
      </c>
      <c r="N630" s="8" t="s">
        <v>57</v>
      </c>
      <c r="O630" s="6" t="s">
        <v>40</v>
      </c>
      <c r="P630" s="5" t="s">
        <v>59</v>
      </c>
      <c r="Q630" s="5" t="s">
        <v>554</v>
      </c>
      <c r="R630" s="6" t="s">
        <v>42</v>
      </c>
      <c r="S630" s="5" t="s">
        <v>765</v>
      </c>
      <c r="T630" s="5" t="s">
        <v>44</v>
      </c>
      <c r="U630" s="5" t="s">
        <v>44</v>
      </c>
      <c r="V630" s="5" t="s">
        <v>44</v>
      </c>
      <c r="W630" s="5" t="s">
        <v>35</v>
      </c>
      <c r="X630" s="8" t="s">
        <v>248</v>
      </c>
      <c r="Y630" s="5" t="s">
        <v>46</v>
      </c>
      <c r="Z630" s="5" t="s">
        <v>47</v>
      </c>
      <c r="AA630" s="5" t="s">
        <v>64</v>
      </c>
      <c r="AB630" s="5" t="s">
        <v>2731</v>
      </c>
      <c r="AC630" s="6" t="s">
        <v>56</v>
      </c>
      <c r="AD630" s="6">
        <v>2020.0</v>
      </c>
    </row>
    <row r="631" ht="56.25" customHeight="1">
      <c r="A631" s="5" t="s">
        <v>2713</v>
      </c>
      <c r="B631" s="6" t="str">
        <f>IMAGE("https://storage.googleapis.com/acdb/housewares/FtrDirectorchair_Remake_1_1.png")</f>
        <v/>
      </c>
      <c r="C631" s="5" t="s">
        <v>387</v>
      </c>
      <c r="D631" s="5" t="s">
        <v>34</v>
      </c>
      <c r="E631" s="5" t="s">
        <v>2721</v>
      </c>
      <c r="F631" s="5" t="s">
        <v>2716</v>
      </c>
      <c r="G631" s="5" t="s">
        <v>36</v>
      </c>
      <c r="H631" s="5" t="s">
        <v>36</v>
      </c>
      <c r="I631" s="5" t="s">
        <v>35</v>
      </c>
      <c r="J631" s="6">
        <v>1.0</v>
      </c>
      <c r="K631" s="6">
        <v>1600.0</v>
      </c>
      <c r="L631" s="6">
        <v>400.0</v>
      </c>
      <c r="M631" s="8" t="s">
        <v>39</v>
      </c>
      <c r="N631" s="8" t="s">
        <v>54</v>
      </c>
      <c r="O631" s="6" t="s">
        <v>40</v>
      </c>
      <c r="P631" s="5" t="s">
        <v>59</v>
      </c>
      <c r="Q631" s="5" t="s">
        <v>554</v>
      </c>
      <c r="R631" s="6" t="s">
        <v>42</v>
      </c>
      <c r="S631" s="5" t="s">
        <v>765</v>
      </c>
      <c r="T631" s="5" t="s">
        <v>44</v>
      </c>
      <c r="U631" s="5" t="s">
        <v>44</v>
      </c>
      <c r="V631" s="5" t="s">
        <v>44</v>
      </c>
      <c r="W631" s="5" t="s">
        <v>35</v>
      </c>
      <c r="X631" s="8" t="s">
        <v>248</v>
      </c>
      <c r="Y631" s="5" t="s">
        <v>46</v>
      </c>
      <c r="Z631" s="5" t="s">
        <v>47</v>
      </c>
      <c r="AA631" s="5" t="s">
        <v>64</v>
      </c>
      <c r="AB631" s="5" t="s">
        <v>2736</v>
      </c>
      <c r="AC631" s="6" t="s">
        <v>234</v>
      </c>
      <c r="AD631" s="6">
        <v>2020.0</v>
      </c>
    </row>
    <row r="632" ht="56.25" customHeight="1">
      <c r="A632" s="5" t="s">
        <v>2713</v>
      </c>
      <c r="B632" s="6" t="str">
        <f>IMAGE("https://storage.googleapis.com/acdb/housewares/FtrDirectorchair_Remake_1_2.png")</f>
        <v/>
      </c>
      <c r="C632" s="5" t="s">
        <v>387</v>
      </c>
      <c r="D632" s="5" t="s">
        <v>34</v>
      </c>
      <c r="E632" s="5" t="s">
        <v>2725</v>
      </c>
      <c r="F632" s="5" t="s">
        <v>2716</v>
      </c>
      <c r="G632" s="5" t="s">
        <v>36</v>
      </c>
      <c r="H632" s="5" t="s">
        <v>36</v>
      </c>
      <c r="I632" s="5" t="s">
        <v>35</v>
      </c>
      <c r="J632" s="6">
        <v>1.0</v>
      </c>
      <c r="K632" s="6">
        <v>1600.0</v>
      </c>
      <c r="L632" s="6">
        <v>400.0</v>
      </c>
      <c r="M632" s="8" t="s">
        <v>39</v>
      </c>
      <c r="N632" s="8" t="s">
        <v>39</v>
      </c>
      <c r="O632" s="6" t="s">
        <v>40</v>
      </c>
      <c r="P632" s="5" t="s">
        <v>59</v>
      </c>
      <c r="Q632" s="5" t="s">
        <v>554</v>
      </c>
      <c r="R632" s="6" t="s">
        <v>42</v>
      </c>
      <c r="S632" s="5" t="s">
        <v>765</v>
      </c>
      <c r="T632" s="5" t="s">
        <v>44</v>
      </c>
      <c r="U632" s="5" t="s">
        <v>44</v>
      </c>
      <c r="V632" s="5" t="s">
        <v>44</v>
      </c>
      <c r="W632" s="5" t="s">
        <v>35</v>
      </c>
      <c r="X632" s="8" t="s">
        <v>248</v>
      </c>
      <c r="Y632" s="5" t="s">
        <v>46</v>
      </c>
      <c r="Z632" s="5" t="s">
        <v>47</v>
      </c>
      <c r="AA632" s="5" t="s">
        <v>64</v>
      </c>
      <c r="AB632" s="5" t="s">
        <v>2740</v>
      </c>
      <c r="AC632" s="6" t="s">
        <v>370</v>
      </c>
      <c r="AD632" s="6">
        <v>2020.0</v>
      </c>
    </row>
    <row r="633" ht="56.25" customHeight="1">
      <c r="A633" s="5" t="s">
        <v>2713</v>
      </c>
      <c r="B633" s="6" t="str">
        <f>IMAGE("https://storage.googleapis.com/acdb/housewares/FtrDirectorchair_Remake_2_0.png")</f>
        <v/>
      </c>
      <c r="C633" s="5" t="s">
        <v>57</v>
      </c>
      <c r="D633" s="5" t="s">
        <v>34</v>
      </c>
      <c r="E633" s="5" t="s">
        <v>2715</v>
      </c>
      <c r="F633" s="5" t="s">
        <v>2716</v>
      </c>
      <c r="G633" s="5" t="s">
        <v>36</v>
      </c>
      <c r="H633" s="5" t="s">
        <v>36</v>
      </c>
      <c r="I633" s="5" t="s">
        <v>35</v>
      </c>
      <c r="J633" s="6">
        <v>1.0</v>
      </c>
      <c r="K633" s="6">
        <v>1600.0</v>
      </c>
      <c r="L633" s="6">
        <v>400.0</v>
      </c>
      <c r="M633" s="8" t="s">
        <v>57</v>
      </c>
      <c r="N633" s="8" t="s">
        <v>57</v>
      </c>
      <c r="O633" s="6" t="s">
        <v>40</v>
      </c>
      <c r="P633" s="5" t="s">
        <v>59</v>
      </c>
      <c r="Q633" s="5" t="s">
        <v>554</v>
      </c>
      <c r="R633" s="6" t="s">
        <v>42</v>
      </c>
      <c r="S633" s="5" t="s">
        <v>765</v>
      </c>
      <c r="T633" s="5" t="s">
        <v>44</v>
      </c>
      <c r="U633" s="5" t="s">
        <v>44</v>
      </c>
      <c r="V633" s="5" t="s">
        <v>44</v>
      </c>
      <c r="W633" s="5" t="s">
        <v>35</v>
      </c>
      <c r="X633" s="8" t="s">
        <v>248</v>
      </c>
      <c r="Y633" s="5" t="s">
        <v>46</v>
      </c>
      <c r="Z633" s="5" t="s">
        <v>47</v>
      </c>
      <c r="AA633" s="5" t="s">
        <v>64</v>
      </c>
      <c r="AB633" s="5" t="s">
        <v>2743</v>
      </c>
      <c r="AC633" s="6" t="s">
        <v>67</v>
      </c>
      <c r="AD633" s="6">
        <v>2020.0</v>
      </c>
    </row>
    <row r="634" ht="56.25" customHeight="1">
      <c r="A634" s="5" t="s">
        <v>2713</v>
      </c>
      <c r="B634" s="6" t="str">
        <f>IMAGE("https://storage.googleapis.com/acdb/housewares/FtrDirectorchair_Remake_2_1.png")</f>
        <v/>
      </c>
      <c r="C634" s="5" t="s">
        <v>57</v>
      </c>
      <c r="D634" s="5" t="s">
        <v>34</v>
      </c>
      <c r="E634" s="5" t="s">
        <v>2721</v>
      </c>
      <c r="F634" s="5" t="s">
        <v>2716</v>
      </c>
      <c r="G634" s="5" t="s">
        <v>36</v>
      </c>
      <c r="H634" s="5" t="s">
        <v>36</v>
      </c>
      <c r="I634" s="5" t="s">
        <v>35</v>
      </c>
      <c r="J634" s="6">
        <v>1.0</v>
      </c>
      <c r="K634" s="6">
        <v>1600.0</v>
      </c>
      <c r="L634" s="6">
        <v>400.0</v>
      </c>
      <c r="M634" s="8" t="s">
        <v>57</v>
      </c>
      <c r="N634" s="8" t="s">
        <v>54</v>
      </c>
      <c r="O634" s="6" t="s">
        <v>40</v>
      </c>
      <c r="P634" s="5" t="s">
        <v>59</v>
      </c>
      <c r="Q634" s="5" t="s">
        <v>554</v>
      </c>
      <c r="R634" s="6" t="s">
        <v>42</v>
      </c>
      <c r="S634" s="5" t="s">
        <v>765</v>
      </c>
      <c r="T634" s="5" t="s">
        <v>44</v>
      </c>
      <c r="U634" s="5" t="s">
        <v>44</v>
      </c>
      <c r="V634" s="5" t="s">
        <v>44</v>
      </c>
      <c r="W634" s="5" t="s">
        <v>35</v>
      </c>
      <c r="X634" s="8" t="s">
        <v>248</v>
      </c>
      <c r="Y634" s="5" t="s">
        <v>46</v>
      </c>
      <c r="Z634" s="5" t="s">
        <v>47</v>
      </c>
      <c r="AA634" s="5" t="s">
        <v>64</v>
      </c>
      <c r="AB634" s="5" t="s">
        <v>2748</v>
      </c>
      <c r="AC634" s="6" t="s">
        <v>247</v>
      </c>
      <c r="AD634" s="6">
        <v>2020.0</v>
      </c>
    </row>
    <row r="635" ht="56.25" customHeight="1">
      <c r="A635" s="5" t="s">
        <v>2713</v>
      </c>
      <c r="B635" s="6" t="str">
        <f>IMAGE("https://storage.googleapis.com/acdb/housewares/FtrDirectorchair_Remake_2_2.png")</f>
        <v/>
      </c>
      <c r="C635" s="5" t="s">
        <v>57</v>
      </c>
      <c r="D635" s="5" t="s">
        <v>34</v>
      </c>
      <c r="E635" s="5" t="s">
        <v>2725</v>
      </c>
      <c r="F635" s="5" t="s">
        <v>2716</v>
      </c>
      <c r="G635" s="5" t="s">
        <v>36</v>
      </c>
      <c r="H635" s="5" t="s">
        <v>36</v>
      </c>
      <c r="I635" s="5" t="s">
        <v>35</v>
      </c>
      <c r="J635" s="6">
        <v>1.0</v>
      </c>
      <c r="K635" s="6">
        <v>1600.0</v>
      </c>
      <c r="L635" s="6">
        <v>400.0</v>
      </c>
      <c r="M635" s="8" t="s">
        <v>57</v>
      </c>
      <c r="N635" s="8" t="s">
        <v>39</v>
      </c>
      <c r="O635" s="6" t="s">
        <v>40</v>
      </c>
      <c r="P635" s="5" t="s">
        <v>59</v>
      </c>
      <c r="Q635" s="5" t="s">
        <v>554</v>
      </c>
      <c r="R635" s="6" t="s">
        <v>42</v>
      </c>
      <c r="S635" s="5" t="s">
        <v>765</v>
      </c>
      <c r="T635" s="5" t="s">
        <v>44</v>
      </c>
      <c r="U635" s="5" t="s">
        <v>44</v>
      </c>
      <c r="V635" s="5" t="s">
        <v>44</v>
      </c>
      <c r="W635" s="5" t="s">
        <v>35</v>
      </c>
      <c r="X635" s="8" t="s">
        <v>248</v>
      </c>
      <c r="Y635" s="5" t="s">
        <v>46</v>
      </c>
      <c r="Z635" s="5" t="s">
        <v>47</v>
      </c>
      <c r="AA635" s="5" t="s">
        <v>64</v>
      </c>
      <c r="AB635" s="5" t="s">
        <v>2752</v>
      </c>
      <c r="AC635" s="6" t="s">
        <v>390</v>
      </c>
      <c r="AD635" s="6">
        <v>2020.0</v>
      </c>
    </row>
    <row r="636" ht="56.25" customHeight="1">
      <c r="A636" s="5" t="s">
        <v>2713</v>
      </c>
      <c r="B636" s="6" t="str">
        <f>IMAGE("https://storage.googleapis.com/acdb/housewares/FtrDirectorchair_Remake_3_0.png")</f>
        <v/>
      </c>
      <c r="C636" s="5" t="s">
        <v>54</v>
      </c>
      <c r="D636" s="5" t="s">
        <v>34</v>
      </c>
      <c r="E636" s="5" t="s">
        <v>2715</v>
      </c>
      <c r="F636" s="5" t="s">
        <v>2716</v>
      </c>
      <c r="G636" s="5" t="s">
        <v>36</v>
      </c>
      <c r="H636" s="5" t="s">
        <v>36</v>
      </c>
      <c r="I636" s="5" t="s">
        <v>35</v>
      </c>
      <c r="J636" s="6">
        <v>1.0</v>
      </c>
      <c r="K636" s="6">
        <v>1600.0</v>
      </c>
      <c r="L636" s="6">
        <v>400.0</v>
      </c>
      <c r="M636" s="8" t="s">
        <v>54</v>
      </c>
      <c r="N636" s="8" t="s">
        <v>57</v>
      </c>
      <c r="O636" s="6" t="s">
        <v>40</v>
      </c>
      <c r="P636" s="5" t="s">
        <v>59</v>
      </c>
      <c r="Q636" s="5" t="s">
        <v>554</v>
      </c>
      <c r="R636" s="6" t="s">
        <v>42</v>
      </c>
      <c r="S636" s="5" t="s">
        <v>765</v>
      </c>
      <c r="T636" s="5" t="s">
        <v>44</v>
      </c>
      <c r="U636" s="5" t="s">
        <v>44</v>
      </c>
      <c r="V636" s="5" t="s">
        <v>44</v>
      </c>
      <c r="W636" s="5" t="s">
        <v>35</v>
      </c>
      <c r="X636" s="8" t="s">
        <v>248</v>
      </c>
      <c r="Y636" s="5" t="s">
        <v>46</v>
      </c>
      <c r="Z636" s="5" t="s">
        <v>47</v>
      </c>
      <c r="AA636" s="5" t="s">
        <v>64</v>
      </c>
      <c r="AB636" s="5" t="s">
        <v>2754</v>
      </c>
      <c r="AC636" s="6" t="s">
        <v>71</v>
      </c>
      <c r="AD636" s="6">
        <v>2020.0</v>
      </c>
    </row>
    <row r="637" ht="56.25" customHeight="1">
      <c r="A637" s="5" t="s">
        <v>2713</v>
      </c>
      <c r="B637" s="6" t="str">
        <f>IMAGE("https://storage.googleapis.com/acdb/housewares/FtrDirectorchair_Remake_3_1.png")</f>
        <v/>
      </c>
      <c r="C637" s="5" t="s">
        <v>54</v>
      </c>
      <c r="D637" s="5" t="s">
        <v>34</v>
      </c>
      <c r="E637" s="5" t="s">
        <v>2721</v>
      </c>
      <c r="F637" s="5" t="s">
        <v>2716</v>
      </c>
      <c r="G637" s="5" t="s">
        <v>36</v>
      </c>
      <c r="H637" s="5" t="s">
        <v>36</v>
      </c>
      <c r="I637" s="5" t="s">
        <v>35</v>
      </c>
      <c r="J637" s="6">
        <v>1.0</v>
      </c>
      <c r="K637" s="6">
        <v>1600.0</v>
      </c>
      <c r="L637" s="6">
        <v>400.0</v>
      </c>
      <c r="M637" s="8" t="s">
        <v>54</v>
      </c>
      <c r="N637" s="8" t="s">
        <v>54</v>
      </c>
      <c r="O637" s="6" t="s">
        <v>40</v>
      </c>
      <c r="P637" s="5" t="s">
        <v>59</v>
      </c>
      <c r="Q637" s="5" t="s">
        <v>554</v>
      </c>
      <c r="R637" s="6" t="s">
        <v>42</v>
      </c>
      <c r="S637" s="5" t="s">
        <v>765</v>
      </c>
      <c r="T637" s="5" t="s">
        <v>44</v>
      </c>
      <c r="U637" s="5" t="s">
        <v>44</v>
      </c>
      <c r="V637" s="5" t="s">
        <v>44</v>
      </c>
      <c r="W637" s="5" t="s">
        <v>35</v>
      </c>
      <c r="X637" s="8" t="s">
        <v>248</v>
      </c>
      <c r="Y637" s="5" t="s">
        <v>46</v>
      </c>
      <c r="Z637" s="5" t="s">
        <v>47</v>
      </c>
      <c r="AA637" s="5" t="s">
        <v>64</v>
      </c>
      <c r="AB637" s="5" t="s">
        <v>2757</v>
      </c>
      <c r="AC637" s="6" t="s">
        <v>257</v>
      </c>
      <c r="AD637" s="6">
        <v>2020.0</v>
      </c>
    </row>
    <row r="638" ht="56.25" customHeight="1">
      <c r="A638" s="5" t="s">
        <v>2713</v>
      </c>
      <c r="B638" s="6" t="str">
        <f>IMAGE("https://storage.googleapis.com/acdb/housewares/FtrDirectorchair_Remake_3_2.png")</f>
        <v/>
      </c>
      <c r="C638" s="5" t="s">
        <v>54</v>
      </c>
      <c r="D638" s="5" t="s">
        <v>34</v>
      </c>
      <c r="E638" s="5" t="s">
        <v>2725</v>
      </c>
      <c r="F638" s="5" t="s">
        <v>2716</v>
      </c>
      <c r="G638" s="5" t="s">
        <v>36</v>
      </c>
      <c r="H638" s="5" t="s">
        <v>36</v>
      </c>
      <c r="I638" s="5" t="s">
        <v>35</v>
      </c>
      <c r="J638" s="6">
        <v>1.0</v>
      </c>
      <c r="K638" s="6">
        <v>1600.0</v>
      </c>
      <c r="L638" s="6">
        <v>400.0</v>
      </c>
      <c r="M638" s="8" t="s">
        <v>54</v>
      </c>
      <c r="N638" s="8" t="s">
        <v>39</v>
      </c>
      <c r="O638" s="6" t="s">
        <v>40</v>
      </c>
      <c r="P638" s="5" t="s">
        <v>59</v>
      </c>
      <c r="Q638" s="5" t="s">
        <v>554</v>
      </c>
      <c r="R638" s="6" t="s">
        <v>42</v>
      </c>
      <c r="S638" s="5" t="s">
        <v>765</v>
      </c>
      <c r="T638" s="5" t="s">
        <v>44</v>
      </c>
      <c r="U638" s="5" t="s">
        <v>44</v>
      </c>
      <c r="V638" s="5" t="s">
        <v>44</v>
      </c>
      <c r="W638" s="5" t="s">
        <v>35</v>
      </c>
      <c r="X638" s="8" t="s">
        <v>248</v>
      </c>
      <c r="Y638" s="5" t="s">
        <v>46</v>
      </c>
      <c r="Z638" s="5" t="s">
        <v>47</v>
      </c>
      <c r="AA638" s="5" t="s">
        <v>64</v>
      </c>
      <c r="AB638" s="5" t="s">
        <v>2760</v>
      </c>
      <c r="AC638" s="6" t="s">
        <v>414</v>
      </c>
      <c r="AD638" s="6">
        <v>2020.0</v>
      </c>
    </row>
    <row r="639" ht="56.25" customHeight="1">
      <c r="A639" s="5" t="s">
        <v>2761</v>
      </c>
      <c r="B639" s="6" t="str">
        <f>IMAGE("https://storage.googleapis.com/acdb/housewares/FtrWorkbench_Remake_0_0.png")</f>
        <v/>
      </c>
      <c r="C639" s="5" t="s">
        <v>32</v>
      </c>
      <c r="D639" s="5" t="s">
        <v>748</v>
      </c>
      <c r="E639" s="5" t="s">
        <v>34</v>
      </c>
      <c r="F639" s="5" t="s">
        <v>34</v>
      </c>
      <c r="G639" s="5" t="s">
        <v>35</v>
      </c>
      <c r="H639" s="5" t="s">
        <v>35</v>
      </c>
      <c r="I639" s="5" t="s">
        <v>36</v>
      </c>
      <c r="J639" s="6">
        <v>7.0</v>
      </c>
      <c r="K639" s="6" t="s">
        <v>37</v>
      </c>
      <c r="L639" s="6">
        <v>6630.0</v>
      </c>
      <c r="M639" s="8" t="s">
        <v>38</v>
      </c>
      <c r="N639" s="8" t="s">
        <v>58</v>
      </c>
      <c r="O639" s="6" t="s">
        <v>276</v>
      </c>
      <c r="P639" s="5" t="s">
        <v>41</v>
      </c>
      <c r="Q639" s="5"/>
      <c r="R639" s="6" t="s">
        <v>42</v>
      </c>
      <c r="S639" s="5" t="s">
        <v>416</v>
      </c>
      <c r="T639" s="5" t="s">
        <v>44</v>
      </c>
      <c r="U639" s="5" t="s">
        <v>44</v>
      </c>
      <c r="V639" s="5" t="s">
        <v>44</v>
      </c>
      <c r="W639" s="5" t="s">
        <v>35</v>
      </c>
      <c r="X639" s="8" t="s">
        <v>2261</v>
      </c>
      <c r="Y639" s="5" t="s">
        <v>46</v>
      </c>
      <c r="Z639" s="5" t="s">
        <v>47</v>
      </c>
      <c r="AA639" s="5" t="s">
        <v>48</v>
      </c>
      <c r="AB639" s="5" t="s">
        <v>2764</v>
      </c>
      <c r="AC639" s="6" t="s">
        <v>50</v>
      </c>
      <c r="AD639" s="6">
        <v>1241.0</v>
      </c>
    </row>
    <row r="640" ht="56.25" customHeight="1">
      <c r="A640" s="5" t="s">
        <v>2761</v>
      </c>
      <c r="B640" s="6" t="str">
        <f>IMAGE("https://storage.googleapis.com/acdb/housewares/FtrWorkbench_Remake_1_0.png")</f>
        <v/>
      </c>
      <c r="C640" s="5" t="s">
        <v>1470</v>
      </c>
      <c r="D640" s="5" t="s">
        <v>748</v>
      </c>
      <c r="E640" s="5" t="s">
        <v>34</v>
      </c>
      <c r="F640" s="5" t="s">
        <v>34</v>
      </c>
      <c r="G640" s="5" t="s">
        <v>35</v>
      </c>
      <c r="H640" s="5" t="s">
        <v>35</v>
      </c>
      <c r="I640" s="5" t="s">
        <v>36</v>
      </c>
      <c r="J640" s="6">
        <v>7.0</v>
      </c>
      <c r="K640" s="6" t="s">
        <v>37</v>
      </c>
      <c r="L640" s="6">
        <v>6630.0</v>
      </c>
      <c r="M640" s="8" t="s">
        <v>39</v>
      </c>
      <c r="N640" s="8" t="s">
        <v>58</v>
      </c>
      <c r="O640" s="6" t="s">
        <v>276</v>
      </c>
      <c r="P640" s="5" t="s">
        <v>41</v>
      </c>
      <c r="Q640" s="5"/>
      <c r="R640" s="6" t="s">
        <v>42</v>
      </c>
      <c r="S640" s="5" t="s">
        <v>416</v>
      </c>
      <c r="T640" s="5" t="s">
        <v>44</v>
      </c>
      <c r="U640" s="5" t="s">
        <v>44</v>
      </c>
      <c r="V640" s="5" t="s">
        <v>44</v>
      </c>
      <c r="W640" s="5" t="s">
        <v>35</v>
      </c>
      <c r="X640" s="8" t="s">
        <v>2261</v>
      </c>
      <c r="Y640" s="5" t="s">
        <v>46</v>
      </c>
      <c r="Z640" s="5" t="s">
        <v>47</v>
      </c>
      <c r="AA640" s="5" t="s">
        <v>48</v>
      </c>
      <c r="AB640" s="5" t="s">
        <v>2768</v>
      </c>
      <c r="AC640" s="6" t="s">
        <v>56</v>
      </c>
      <c r="AD640" s="6">
        <v>1241.0</v>
      </c>
    </row>
    <row r="641" ht="56.25" customHeight="1">
      <c r="A641" s="5" t="s">
        <v>2761</v>
      </c>
      <c r="B641" s="6" t="str">
        <f>IMAGE("https://storage.googleapis.com/acdb/housewares/FtrWorkbench_Remake_2_0.png")</f>
        <v/>
      </c>
      <c r="C641" s="5" t="s">
        <v>39</v>
      </c>
      <c r="D641" s="5" t="s">
        <v>748</v>
      </c>
      <c r="E641" s="5" t="s">
        <v>34</v>
      </c>
      <c r="F641" s="5" t="s">
        <v>34</v>
      </c>
      <c r="G641" s="5" t="s">
        <v>35</v>
      </c>
      <c r="H641" s="5" t="s">
        <v>35</v>
      </c>
      <c r="I641" s="5" t="s">
        <v>36</v>
      </c>
      <c r="J641" s="6">
        <v>7.0</v>
      </c>
      <c r="K641" s="6" t="s">
        <v>37</v>
      </c>
      <c r="L641" s="6">
        <v>6630.0</v>
      </c>
      <c r="M641" s="8" t="s">
        <v>39</v>
      </c>
      <c r="N641" s="8" t="s">
        <v>58</v>
      </c>
      <c r="O641" s="6" t="s">
        <v>276</v>
      </c>
      <c r="P641" s="5" t="s">
        <v>41</v>
      </c>
      <c r="Q641" s="5"/>
      <c r="R641" s="6" t="s">
        <v>42</v>
      </c>
      <c r="S641" s="5" t="s">
        <v>416</v>
      </c>
      <c r="T641" s="5" t="s">
        <v>44</v>
      </c>
      <c r="U641" s="5" t="s">
        <v>44</v>
      </c>
      <c r="V641" s="5" t="s">
        <v>44</v>
      </c>
      <c r="W641" s="5" t="s">
        <v>35</v>
      </c>
      <c r="X641" s="8" t="s">
        <v>2261</v>
      </c>
      <c r="Y641" s="5" t="s">
        <v>46</v>
      </c>
      <c r="Z641" s="5" t="s">
        <v>47</v>
      </c>
      <c r="AA641" s="5" t="s">
        <v>48</v>
      </c>
      <c r="AB641" s="5" t="s">
        <v>2770</v>
      </c>
      <c r="AC641" s="6" t="s">
        <v>67</v>
      </c>
      <c r="AD641" s="6">
        <v>1241.0</v>
      </c>
    </row>
    <row r="642" ht="56.25" customHeight="1">
      <c r="A642" s="5" t="s">
        <v>2761</v>
      </c>
      <c r="B642" s="6" t="str">
        <f>IMAGE("https://storage.googleapis.com/acdb/housewares/FtrWorkbench_Remake_3_0.png")</f>
        <v/>
      </c>
      <c r="C642" s="5" t="s">
        <v>54</v>
      </c>
      <c r="D642" s="5" t="s">
        <v>748</v>
      </c>
      <c r="E642" s="5" t="s">
        <v>34</v>
      </c>
      <c r="F642" s="5" t="s">
        <v>34</v>
      </c>
      <c r="G642" s="5" t="s">
        <v>35</v>
      </c>
      <c r="H642" s="5" t="s">
        <v>35</v>
      </c>
      <c r="I642" s="5" t="s">
        <v>36</v>
      </c>
      <c r="J642" s="6">
        <v>7.0</v>
      </c>
      <c r="K642" s="6" t="s">
        <v>37</v>
      </c>
      <c r="L642" s="6">
        <v>6630.0</v>
      </c>
      <c r="M642" s="8" t="s">
        <v>54</v>
      </c>
      <c r="N642" s="8" t="s">
        <v>58</v>
      </c>
      <c r="O642" s="6" t="s">
        <v>276</v>
      </c>
      <c r="P642" s="5" t="s">
        <v>41</v>
      </c>
      <c r="Q642" s="5"/>
      <c r="R642" s="6" t="s">
        <v>42</v>
      </c>
      <c r="S642" s="5" t="s">
        <v>416</v>
      </c>
      <c r="T642" s="5" t="s">
        <v>44</v>
      </c>
      <c r="U642" s="5" t="s">
        <v>44</v>
      </c>
      <c r="V642" s="5" t="s">
        <v>44</v>
      </c>
      <c r="W642" s="5" t="s">
        <v>35</v>
      </c>
      <c r="X642" s="8" t="s">
        <v>2261</v>
      </c>
      <c r="Y642" s="5" t="s">
        <v>46</v>
      </c>
      <c r="Z642" s="5" t="s">
        <v>47</v>
      </c>
      <c r="AA642" s="5" t="s">
        <v>48</v>
      </c>
      <c r="AB642" s="5" t="s">
        <v>2778</v>
      </c>
      <c r="AC642" s="6" t="s">
        <v>71</v>
      </c>
      <c r="AD642" s="6">
        <v>1241.0</v>
      </c>
    </row>
    <row r="643" ht="56.25" customHeight="1">
      <c r="A643" s="5" t="s">
        <v>2761</v>
      </c>
      <c r="B643" s="6" t="str">
        <f>IMAGE("https://storage.googleapis.com/acdb/housewares/FtrWorkbench_Remake_4_0.png")</f>
        <v/>
      </c>
      <c r="C643" s="5" t="s">
        <v>57</v>
      </c>
      <c r="D643" s="5" t="s">
        <v>748</v>
      </c>
      <c r="E643" s="5" t="s">
        <v>34</v>
      </c>
      <c r="F643" s="5" t="s">
        <v>34</v>
      </c>
      <c r="G643" s="5" t="s">
        <v>35</v>
      </c>
      <c r="H643" s="5" t="s">
        <v>35</v>
      </c>
      <c r="I643" s="5" t="s">
        <v>36</v>
      </c>
      <c r="J643" s="6">
        <v>7.0</v>
      </c>
      <c r="K643" s="6" t="s">
        <v>37</v>
      </c>
      <c r="L643" s="6">
        <v>6630.0</v>
      </c>
      <c r="M643" s="8" t="s">
        <v>57</v>
      </c>
      <c r="N643" s="8" t="s">
        <v>58</v>
      </c>
      <c r="O643" s="6" t="s">
        <v>276</v>
      </c>
      <c r="P643" s="5" t="s">
        <v>41</v>
      </c>
      <c r="Q643" s="5"/>
      <c r="R643" s="6" t="s">
        <v>42</v>
      </c>
      <c r="S643" s="5" t="s">
        <v>416</v>
      </c>
      <c r="T643" s="5" t="s">
        <v>44</v>
      </c>
      <c r="U643" s="5" t="s">
        <v>44</v>
      </c>
      <c r="V643" s="5" t="s">
        <v>44</v>
      </c>
      <c r="W643" s="5" t="s">
        <v>35</v>
      </c>
      <c r="X643" s="8" t="s">
        <v>2261</v>
      </c>
      <c r="Y643" s="5" t="s">
        <v>46</v>
      </c>
      <c r="Z643" s="5" t="s">
        <v>47</v>
      </c>
      <c r="AA643" s="5" t="s">
        <v>48</v>
      </c>
      <c r="AB643" s="5" t="s">
        <v>2784</v>
      </c>
      <c r="AC643" s="6" t="s">
        <v>75</v>
      </c>
      <c r="AD643" s="6">
        <v>1241.0</v>
      </c>
    </row>
    <row r="644" ht="56.25" customHeight="1">
      <c r="A644" s="5" t="s">
        <v>2761</v>
      </c>
      <c r="B644" s="6" t="str">
        <f>IMAGE("https://storage.googleapis.com/acdb/housewares/FtrWorkbench_Remake_5_0.png")</f>
        <v/>
      </c>
      <c r="C644" s="5" t="s">
        <v>2786</v>
      </c>
      <c r="D644" s="5" t="s">
        <v>748</v>
      </c>
      <c r="E644" s="5" t="s">
        <v>34</v>
      </c>
      <c r="F644" s="5" t="s">
        <v>34</v>
      </c>
      <c r="G644" s="5" t="s">
        <v>35</v>
      </c>
      <c r="H644" s="5" t="s">
        <v>35</v>
      </c>
      <c r="I644" s="5" t="s">
        <v>36</v>
      </c>
      <c r="J644" s="6">
        <v>7.0</v>
      </c>
      <c r="K644" s="6" t="s">
        <v>37</v>
      </c>
      <c r="L644" s="6">
        <v>6630.0</v>
      </c>
      <c r="M644" s="8" t="s">
        <v>1175</v>
      </c>
      <c r="N644" s="8" t="s">
        <v>58</v>
      </c>
      <c r="O644" s="6" t="s">
        <v>276</v>
      </c>
      <c r="P644" s="5" t="s">
        <v>41</v>
      </c>
      <c r="Q644" s="5"/>
      <c r="R644" s="6" t="s">
        <v>42</v>
      </c>
      <c r="S644" s="5" t="s">
        <v>416</v>
      </c>
      <c r="T644" s="5" t="s">
        <v>44</v>
      </c>
      <c r="U644" s="5" t="s">
        <v>44</v>
      </c>
      <c r="V644" s="5" t="s">
        <v>44</v>
      </c>
      <c r="W644" s="5" t="s">
        <v>35</v>
      </c>
      <c r="X644" s="8" t="s">
        <v>2261</v>
      </c>
      <c r="Y644" s="5" t="s">
        <v>46</v>
      </c>
      <c r="Z644" s="5" t="s">
        <v>47</v>
      </c>
      <c r="AA644" s="5" t="s">
        <v>48</v>
      </c>
      <c r="AB644" s="5" t="s">
        <v>2792</v>
      </c>
      <c r="AC644" s="6" t="s">
        <v>79</v>
      </c>
      <c r="AD644" s="6">
        <v>1241.0</v>
      </c>
    </row>
    <row r="645" ht="56.25" customHeight="1">
      <c r="A645" s="5" t="s">
        <v>2761</v>
      </c>
      <c r="B645" s="6" t="str">
        <f>IMAGE("https://storage.googleapis.com/acdb/housewares/FtrWorkbench_Remake_6_0.png")</f>
        <v/>
      </c>
      <c r="C645" s="5" t="s">
        <v>114</v>
      </c>
      <c r="D645" s="5" t="s">
        <v>748</v>
      </c>
      <c r="E645" s="5" t="s">
        <v>34</v>
      </c>
      <c r="F645" s="5" t="s">
        <v>34</v>
      </c>
      <c r="G645" s="5" t="s">
        <v>35</v>
      </c>
      <c r="H645" s="5" t="s">
        <v>35</v>
      </c>
      <c r="I645" s="5" t="s">
        <v>36</v>
      </c>
      <c r="J645" s="6">
        <v>7.0</v>
      </c>
      <c r="K645" s="6" t="s">
        <v>37</v>
      </c>
      <c r="L645" s="6">
        <v>6630.0</v>
      </c>
      <c r="M645" s="8" t="s">
        <v>114</v>
      </c>
      <c r="N645" s="8" t="s">
        <v>58</v>
      </c>
      <c r="O645" s="6" t="s">
        <v>276</v>
      </c>
      <c r="P645" s="5" t="s">
        <v>41</v>
      </c>
      <c r="Q645" s="5"/>
      <c r="R645" s="6" t="s">
        <v>42</v>
      </c>
      <c r="S645" s="5" t="s">
        <v>416</v>
      </c>
      <c r="T645" s="5" t="s">
        <v>44</v>
      </c>
      <c r="U645" s="5" t="s">
        <v>44</v>
      </c>
      <c r="V645" s="5" t="s">
        <v>44</v>
      </c>
      <c r="W645" s="5" t="s">
        <v>35</v>
      </c>
      <c r="X645" s="8" t="s">
        <v>2261</v>
      </c>
      <c r="Y645" s="5" t="s">
        <v>46</v>
      </c>
      <c r="Z645" s="5" t="s">
        <v>47</v>
      </c>
      <c r="AA645" s="5" t="s">
        <v>48</v>
      </c>
      <c r="AB645" s="5" t="s">
        <v>2798</v>
      </c>
      <c r="AC645" s="6" t="s">
        <v>86</v>
      </c>
      <c r="AD645" s="6">
        <v>1241.0</v>
      </c>
    </row>
    <row r="646" ht="56.25" customHeight="1">
      <c r="A646" s="5" t="s">
        <v>2761</v>
      </c>
      <c r="B646" s="6" t="str">
        <f>IMAGE("https://storage.googleapis.com/acdb/housewares/FtrWorkbench_Remake_7_0.png")</f>
        <v/>
      </c>
      <c r="C646" s="5" t="s">
        <v>52</v>
      </c>
      <c r="D646" s="5" t="s">
        <v>748</v>
      </c>
      <c r="E646" s="5" t="s">
        <v>34</v>
      </c>
      <c r="F646" s="5" t="s">
        <v>34</v>
      </c>
      <c r="G646" s="5" t="s">
        <v>35</v>
      </c>
      <c r="H646" s="5" t="s">
        <v>35</v>
      </c>
      <c r="I646" s="5" t="s">
        <v>36</v>
      </c>
      <c r="J646" s="6">
        <v>7.0</v>
      </c>
      <c r="K646" s="6" t="s">
        <v>37</v>
      </c>
      <c r="L646" s="6">
        <v>6630.0</v>
      </c>
      <c r="M646" s="8" t="s">
        <v>52</v>
      </c>
      <c r="N646" s="8" t="s">
        <v>58</v>
      </c>
      <c r="O646" s="6" t="s">
        <v>276</v>
      </c>
      <c r="P646" s="5" t="s">
        <v>41</v>
      </c>
      <c r="Q646" s="5"/>
      <c r="R646" s="6" t="s">
        <v>42</v>
      </c>
      <c r="S646" s="5" t="s">
        <v>416</v>
      </c>
      <c r="T646" s="5" t="s">
        <v>44</v>
      </c>
      <c r="U646" s="5" t="s">
        <v>44</v>
      </c>
      <c r="V646" s="5" t="s">
        <v>44</v>
      </c>
      <c r="W646" s="5" t="s">
        <v>35</v>
      </c>
      <c r="X646" s="8" t="s">
        <v>2261</v>
      </c>
      <c r="Y646" s="5" t="s">
        <v>46</v>
      </c>
      <c r="Z646" s="5" t="s">
        <v>47</v>
      </c>
      <c r="AA646" s="5" t="s">
        <v>48</v>
      </c>
      <c r="AB646" s="5" t="s">
        <v>2802</v>
      </c>
      <c r="AC646" s="6" t="s">
        <v>208</v>
      </c>
      <c r="AD646" s="6">
        <v>1241.0</v>
      </c>
    </row>
    <row r="647" ht="56.25" customHeight="1">
      <c r="A647" s="5" t="s">
        <v>2803</v>
      </c>
      <c r="B647" s="6" t="str">
        <f>IMAGE("https://storage.googleapis.com/acdb/housewares/FtrDJbooth_Remake_0_0.png")</f>
        <v/>
      </c>
      <c r="C647" s="5" t="s">
        <v>54</v>
      </c>
      <c r="D647" s="5" t="s">
        <v>34</v>
      </c>
      <c r="E647" s="5" t="s">
        <v>44</v>
      </c>
      <c r="F647" s="5" t="s">
        <v>2808</v>
      </c>
      <c r="G647" s="5" t="s">
        <v>36</v>
      </c>
      <c r="H647" s="5" t="s">
        <v>36</v>
      </c>
      <c r="I647" s="5" t="s">
        <v>35</v>
      </c>
      <c r="J647" s="6">
        <v>4.0</v>
      </c>
      <c r="K647" s="6">
        <v>9300.0</v>
      </c>
      <c r="L647" s="6">
        <v>2325.0</v>
      </c>
      <c r="M647" s="8" t="s">
        <v>54</v>
      </c>
      <c r="N647" s="8" t="s">
        <v>95</v>
      </c>
      <c r="O647" s="6" t="s">
        <v>276</v>
      </c>
      <c r="P647" s="5" t="s">
        <v>59</v>
      </c>
      <c r="Q647" s="5" t="s">
        <v>122</v>
      </c>
      <c r="R647" s="6" t="s">
        <v>42</v>
      </c>
      <c r="S647" s="5" t="s">
        <v>465</v>
      </c>
      <c r="T647" s="5" t="s">
        <v>129</v>
      </c>
      <c r="U647" s="5" t="s">
        <v>44</v>
      </c>
      <c r="V647" s="5" t="s">
        <v>44</v>
      </c>
      <c r="W647" s="5" t="s">
        <v>35</v>
      </c>
      <c r="X647" s="8" t="s">
        <v>45</v>
      </c>
      <c r="Y647" s="5" t="s">
        <v>2810</v>
      </c>
      <c r="Z647" s="5" t="s">
        <v>47</v>
      </c>
      <c r="AA647" s="5" t="s">
        <v>64</v>
      </c>
      <c r="AB647" s="5" t="s">
        <v>2811</v>
      </c>
      <c r="AC647" s="6" t="s">
        <v>50</v>
      </c>
      <c r="AD647" s="6">
        <v>941.0</v>
      </c>
    </row>
    <row r="648" ht="56.25" customHeight="1">
      <c r="A648" s="5" t="s">
        <v>2803</v>
      </c>
      <c r="B648" s="6" t="str">
        <f>IMAGE("https://storage.googleapis.com/acdb/housewares/FtrDJbooth_Remake_0_1.png")</f>
        <v/>
      </c>
      <c r="C648" s="5" t="s">
        <v>54</v>
      </c>
      <c r="D648" s="5" t="s">
        <v>34</v>
      </c>
      <c r="E648" s="5" t="s">
        <v>2817</v>
      </c>
      <c r="F648" s="5" t="s">
        <v>2808</v>
      </c>
      <c r="G648" s="5" t="s">
        <v>36</v>
      </c>
      <c r="H648" s="5" t="s">
        <v>36</v>
      </c>
      <c r="I648" s="5" t="s">
        <v>35</v>
      </c>
      <c r="J648" s="6">
        <v>4.0</v>
      </c>
      <c r="K648" s="6">
        <v>9300.0</v>
      </c>
      <c r="L648" s="6">
        <v>2325.0</v>
      </c>
      <c r="M648" s="8" t="s">
        <v>54</v>
      </c>
      <c r="N648" s="8" t="s">
        <v>54</v>
      </c>
      <c r="O648" s="6" t="s">
        <v>276</v>
      </c>
      <c r="P648" s="5" t="s">
        <v>59</v>
      </c>
      <c r="Q648" s="5" t="s">
        <v>122</v>
      </c>
      <c r="R648" s="6" t="s">
        <v>42</v>
      </c>
      <c r="S648" s="5" t="s">
        <v>465</v>
      </c>
      <c r="T648" s="5" t="s">
        <v>129</v>
      </c>
      <c r="U648" s="5" t="s">
        <v>44</v>
      </c>
      <c r="V648" s="5" t="s">
        <v>44</v>
      </c>
      <c r="W648" s="5" t="s">
        <v>35</v>
      </c>
      <c r="X648" s="8" t="s">
        <v>45</v>
      </c>
      <c r="Y648" s="5" t="s">
        <v>2810</v>
      </c>
      <c r="Z648" s="5" t="s">
        <v>47</v>
      </c>
      <c r="AA648" s="5" t="s">
        <v>64</v>
      </c>
      <c r="AB648" s="5" t="s">
        <v>2821</v>
      </c>
      <c r="AC648" s="6" t="s">
        <v>217</v>
      </c>
      <c r="AD648" s="6">
        <v>941.0</v>
      </c>
    </row>
    <row r="649" ht="56.25" customHeight="1">
      <c r="A649" s="5" t="s">
        <v>2803</v>
      </c>
      <c r="B649" s="6" t="str">
        <f>IMAGE("https://storage.googleapis.com/acdb/housewares/FtrDJbooth_Remake_0_2.png")</f>
        <v/>
      </c>
      <c r="C649" s="5" t="s">
        <v>54</v>
      </c>
      <c r="D649" s="5" t="s">
        <v>34</v>
      </c>
      <c r="E649" s="5" t="s">
        <v>2827</v>
      </c>
      <c r="F649" s="5" t="s">
        <v>2808</v>
      </c>
      <c r="G649" s="5" t="s">
        <v>36</v>
      </c>
      <c r="H649" s="5" t="s">
        <v>36</v>
      </c>
      <c r="I649" s="5" t="s">
        <v>35</v>
      </c>
      <c r="J649" s="6">
        <v>4.0</v>
      </c>
      <c r="K649" s="6">
        <v>9300.0</v>
      </c>
      <c r="L649" s="6">
        <v>2325.0</v>
      </c>
      <c r="M649" s="8" t="s">
        <v>54</v>
      </c>
      <c r="N649" s="8" t="s">
        <v>57</v>
      </c>
      <c r="O649" s="6" t="s">
        <v>276</v>
      </c>
      <c r="P649" s="5" t="s">
        <v>59</v>
      </c>
      <c r="Q649" s="5" t="s">
        <v>122</v>
      </c>
      <c r="R649" s="6" t="s">
        <v>42</v>
      </c>
      <c r="S649" s="5" t="s">
        <v>465</v>
      </c>
      <c r="T649" s="5" t="s">
        <v>129</v>
      </c>
      <c r="U649" s="5" t="s">
        <v>44</v>
      </c>
      <c r="V649" s="5" t="s">
        <v>44</v>
      </c>
      <c r="W649" s="5" t="s">
        <v>35</v>
      </c>
      <c r="X649" s="8" t="s">
        <v>45</v>
      </c>
      <c r="Y649" s="5" t="s">
        <v>2810</v>
      </c>
      <c r="Z649" s="5" t="s">
        <v>47</v>
      </c>
      <c r="AA649" s="5" t="s">
        <v>64</v>
      </c>
      <c r="AB649" s="5" t="s">
        <v>2832</v>
      </c>
      <c r="AC649" s="6" t="s">
        <v>347</v>
      </c>
      <c r="AD649" s="6">
        <v>941.0</v>
      </c>
    </row>
    <row r="650" ht="56.25" customHeight="1">
      <c r="A650" s="5" t="s">
        <v>2803</v>
      </c>
      <c r="B650" s="6" t="str">
        <f>IMAGE("https://storage.googleapis.com/acdb/housewares/FtrDJbooth_Remake_0_3.png")</f>
        <v/>
      </c>
      <c r="C650" s="5" t="s">
        <v>54</v>
      </c>
      <c r="D650" s="5" t="s">
        <v>34</v>
      </c>
      <c r="E650" s="5" t="s">
        <v>2833</v>
      </c>
      <c r="F650" s="5" t="s">
        <v>2808</v>
      </c>
      <c r="G650" s="5" t="s">
        <v>36</v>
      </c>
      <c r="H650" s="5" t="s">
        <v>36</v>
      </c>
      <c r="I650" s="5" t="s">
        <v>35</v>
      </c>
      <c r="J650" s="6">
        <v>4.0</v>
      </c>
      <c r="K650" s="6">
        <v>9300.0</v>
      </c>
      <c r="L650" s="6">
        <v>2325.0</v>
      </c>
      <c r="M650" s="8" t="s">
        <v>54</v>
      </c>
      <c r="N650" s="8" t="s">
        <v>106</v>
      </c>
      <c r="O650" s="6" t="s">
        <v>276</v>
      </c>
      <c r="P650" s="5" t="s">
        <v>59</v>
      </c>
      <c r="Q650" s="5" t="s">
        <v>122</v>
      </c>
      <c r="R650" s="6" t="s">
        <v>42</v>
      </c>
      <c r="S650" s="5" t="s">
        <v>465</v>
      </c>
      <c r="T650" s="5" t="s">
        <v>129</v>
      </c>
      <c r="U650" s="5" t="s">
        <v>44</v>
      </c>
      <c r="V650" s="5" t="s">
        <v>44</v>
      </c>
      <c r="W650" s="5" t="s">
        <v>35</v>
      </c>
      <c r="X650" s="8" t="s">
        <v>45</v>
      </c>
      <c r="Y650" s="5" t="s">
        <v>2810</v>
      </c>
      <c r="Z650" s="5" t="s">
        <v>47</v>
      </c>
      <c r="AA650" s="5" t="s">
        <v>64</v>
      </c>
      <c r="AB650" s="5" t="s">
        <v>2838</v>
      </c>
      <c r="AC650" s="6" t="s">
        <v>354</v>
      </c>
      <c r="AD650" s="6">
        <v>941.0</v>
      </c>
    </row>
    <row r="651" ht="56.25" customHeight="1">
      <c r="A651" s="5" t="s">
        <v>2803</v>
      </c>
      <c r="B651" s="6" t="str">
        <f>IMAGE("https://storage.googleapis.com/acdb/housewares/FtrDJbooth_Remake_0_4.png")</f>
        <v/>
      </c>
      <c r="C651" s="5" t="s">
        <v>54</v>
      </c>
      <c r="D651" s="5" t="s">
        <v>34</v>
      </c>
      <c r="E651" s="5" t="s">
        <v>2841</v>
      </c>
      <c r="F651" s="5" t="s">
        <v>2808</v>
      </c>
      <c r="G651" s="5" t="s">
        <v>36</v>
      </c>
      <c r="H651" s="5" t="s">
        <v>36</v>
      </c>
      <c r="I651" s="5" t="s">
        <v>35</v>
      </c>
      <c r="J651" s="6">
        <v>4.0</v>
      </c>
      <c r="K651" s="6">
        <v>9300.0</v>
      </c>
      <c r="L651" s="6">
        <v>2325.0</v>
      </c>
      <c r="M651" s="8" t="s">
        <v>54</v>
      </c>
      <c r="N651" s="8" t="s">
        <v>96</v>
      </c>
      <c r="O651" s="6" t="s">
        <v>276</v>
      </c>
      <c r="P651" s="5" t="s">
        <v>59</v>
      </c>
      <c r="Q651" s="5" t="s">
        <v>122</v>
      </c>
      <c r="R651" s="6" t="s">
        <v>42</v>
      </c>
      <c r="S651" s="5" t="s">
        <v>465</v>
      </c>
      <c r="T651" s="5" t="s">
        <v>129</v>
      </c>
      <c r="U651" s="5" t="s">
        <v>44</v>
      </c>
      <c r="V651" s="5" t="s">
        <v>44</v>
      </c>
      <c r="W651" s="5" t="s">
        <v>35</v>
      </c>
      <c r="X651" s="8" t="s">
        <v>45</v>
      </c>
      <c r="Y651" s="5" t="s">
        <v>2810</v>
      </c>
      <c r="Z651" s="5" t="s">
        <v>47</v>
      </c>
      <c r="AA651" s="5" t="s">
        <v>64</v>
      </c>
      <c r="AB651" s="5" t="s">
        <v>2846</v>
      </c>
      <c r="AC651" s="6" t="s">
        <v>486</v>
      </c>
      <c r="AD651" s="6">
        <v>941.0</v>
      </c>
    </row>
    <row r="652" ht="56.25" customHeight="1">
      <c r="A652" s="5" t="s">
        <v>2803</v>
      </c>
      <c r="B652" s="6" t="str">
        <f>IMAGE("https://storage.googleapis.com/acdb/housewares/FtrDJbooth_Remake_0_5.png")</f>
        <v/>
      </c>
      <c r="C652" s="5" t="s">
        <v>54</v>
      </c>
      <c r="D652" s="5" t="s">
        <v>34</v>
      </c>
      <c r="E652" s="5" t="s">
        <v>2848</v>
      </c>
      <c r="F652" s="5" t="s">
        <v>2808</v>
      </c>
      <c r="G652" s="5" t="s">
        <v>36</v>
      </c>
      <c r="H652" s="5" t="s">
        <v>36</v>
      </c>
      <c r="I652" s="5" t="s">
        <v>35</v>
      </c>
      <c r="J652" s="6">
        <v>4.0</v>
      </c>
      <c r="K652" s="6">
        <v>9300.0</v>
      </c>
      <c r="L652" s="6">
        <v>2325.0</v>
      </c>
      <c r="M652" s="8" t="s">
        <v>54</v>
      </c>
      <c r="N652" s="8" t="s">
        <v>1175</v>
      </c>
      <c r="O652" s="6" t="s">
        <v>276</v>
      </c>
      <c r="P652" s="5" t="s">
        <v>59</v>
      </c>
      <c r="Q652" s="5" t="s">
        <v>122</v>
      </c>
      <c r="R652" s="6" t="s">
        <v>42</v>
      </c>
      <c r="S652" s="5" t="s">
        <v>465</v>
      </c>
      <c r="T652" s="5" t="s">
        <v>129</v>
      </c>
      <c r="U652" s="5" t="s">
        <v>44</v>
      </c>
      <c r="V652" s="5" t="s">
        <v>44</v>
      </c>
      <c r="W652" s="5" t="s">
        <v>35</v>
      </c>
      <c r="X652" s="8" t="s">
        <v>45</v>
      </c>
      <c r="Y652" s="5" t="s">
        <v>2810</v>
      </c>
      <c r="Z652" s="5" t="s">
        <v>47</v>
      </c>
      <c r="AA652" s="5" t="s">
        <v>64</v>
      </c>
      <c r="AB652" s="5" t="s">
        <v>2853</v>
      </c>
      <c r="AC652" s="6" t="s">
        <v>934</v>
      </c>
      <c r="AD652" s="6">
        <v>941.0</v>
      </c>
    </row>
    <row r="653" ht="56.25" customHeight="1">
      <c r="A653" s="5" t="s">
        <v>2803</v>
      </c>
      <c r="B653" s="6" t="str">
        <f>IMAGE("https://storage.googleapis.com/acdb/housewares/FtrDJbooth_Remake_0_6.png")</f>
        <v/>
      </c>
      <c r="C653" s="5" t="s">
        <v>54</v>
      </c>
      <c r="D653" s="5" t="s">
        <v>34</v>
      </c>
      <c r="E653" s="5" t="s">
        <v>2855</v>
      </c>
      <c r="F653" s="5" t="s">
        <v>2808</v>
      </c>
      <c r="G653" s="5" t="s">
        <v>36</v>
      </c>
      <c r="H653" s="5" t="s">
        <v>36</v>
      </c>
      <c r="I653" s="5" t="s">
        <v>35</v>
      </c>
      <c r="J653" s="6">
        <v>4.0</v>
      </c>
      <c r="K653" s="6">
        <v>9300.0</v>
      </c>
      <c r="L653" s="6">
        <v>2325.0</v>
      </c>
      <c r="M653" s="8" t="s">
        <v>54</v>
      </c>
      <c r="N653" s="8" t="s">
        <v>114</v>
      </c>
      <c r="O653" s="6" t="s">
        <v>276</v>
      </c>
      <c r="P653" s="5" t="s">
        <v>59</v>
      </c>
      <c r="Q653" s="5" t="s">
        <v>122</v>
      </c>
      <c r="R653" s="6" t="s">
        <v>42</v>
      </c>
      <c r="S653" s="5" t="s">
        <v>465</v>
      </c>
      <c r="T653" s="5" t="s">
        <v>129</v>
      </c>
      <c r="U653" s="5" t="s">
        <v>44</v>
      </c>
      <c r="V653" s="5" t="s">
        <v>44</v>
      </c>
      <c r="W653" s="5" t="s">
        <v>35</v>
      </c>
      <c r="X653" s="8" t="s">
        <v>45</v>
      </c>
      <c r="Y653" s="5" t="s">
        <v>2810</v>
      </c>
      <c r="Z653" s="5" t="s">
        <v>47</v>
      </c>
      <c r="AA653" s="5" t="s">
        <v>64</v>
      </c>
      <c r="AB653" s="5" t="s">
        <v>2860</v>
      </c>
      <c r="AC653" s="6" t="s">
        <v>938</v>
      </c>
      <c r="AD653" s="6">
        <v>941.0</v>
      </c>
    </row>
    <row r="654" ht="56.25" customHeight="1">
      <c r="A654" s="5" t="s">
        <v>2803</v>
      </c>
      <c r="B654" s="6" t="str">
        <f>IMAGE("https://storage.googleapis.com/acdb/housewares/FtrDJbooth_Remake_0_7.png")</f>
        <v/>
      </c>
      <c r="C654" s="5" t="s">
        <v>54</v>
      </c>
      <c r="D654" s="5" t="s">
        <v>34</v>
      </c>
      <c r="E654" s="5" t="s">
        <v>2863</v>
      </c>
      <c r="F654" s="5" t="s">
        <v>2808</v>
      </c>
      <c r="G654" s="5" t="s">
        <v>36</v>
      </c>
      <c r="H654" s="5" t="s">
        <v>36</v>
      </c>
      <c r="I654" s="5" t="s">
        <v>35</v>
      </c>
      <c r="J654" s="6">
        <v>4.0</v>
      </c>
      <c r="K654" s="6">
        <v>9300.0</v>
      </c>
      <c r="L654" s="6">
        <v>2325.0</v>
      </c>
      <c r="M654" s="8" t="s">
        <v>54</v>
      </c>
      <c r="N654" s="8" t="s">
        <v>69</v>
      </c>
      <c r="O654" s="6" t="s">
        <v>276</v>
      </c>
      <c r="P654" s="5" t="s">
        <v>59</v>
      </c>
      <c r="Q654" s="5" t="s">
        <v>122</v>
      </c>
      <c r="R654" s="6" t="s">
        <v>42</v>
      </c>
      <c r="S654" s="5" t="s">
        <v>465</v>
      </c>
      <c r="T654" s="5" t="s">
        <v>129</v>
      </c>
      <c r="U654" s="5" t="s">
        <v>44</v>
      </c>
      <c r="V654" s="5" t="s">
        <v>44</v>
      </c>
      <c r="W654" s="5" t="s">
        <v>35</v>
      </c>
      <c r="X654" s="8" t="s">
        <v>45</v>
      </c>
      <c r="Y654" s="5" t="s">
        <v>2810</v>
      </c>
      <c r="Z654" s="5" t="s">
        <v>47</v>
      </c>
      <c r="AA654" s="5" t="s">
        <v>64</v>
      </c>
      <c r="AB654" s="5" t="s">
        <v>2867</v>
      </c>
      <c r="AC654" s="6" t="s">
        <v>1700</v>
      </c>
      <c r="AD654" s="6">
        <v>941.0</v>
      </c>
    </row>
    <row r="655" ht="56.25" customHeight="1">
      <c r="A655" s="5" t="s">
        <v>2803</v>
      </c>
      <c r="B655" s="6" t="str">
        <f>IMAGE("https://storage.googleapis.com/acdb/housewares/FtrDJbooth_Remake_1_0.png")</f>
        <v/>
      </c>
      <c r="C655" s="5" t="s">
        <v>57</v>
      </c>
      <c r="D655" s="5" t="s">
        <v>34</v>
      </c>
      <c r="E655" s="5" t="s">
        <v>44</v>
      </c>
      <c r="F655" s="5" t="s">
        <v>2808</v>
      </c>
      <c r="G655" s="5" t="s">
        <v>36</v>
      </c>
      <c r="H655" s="5" t="s">
        <v>36</v>
      </c>
      <c r="I655" s="5" t="s">
        <v>35</v>
      </c>
      <c r="J655" s="6">
        <v>4.0</v>
      </c>
      <c r="K655" s="6">
        <v>9300.0</v>
      </c>
      <c r="L655" s="6">
        <v>2325.0</v>
      </c>
      <c r="M655" s="8" t="s">
        <v>57</v>
      </c>
      <c r="N655" s="8" t="s">
        <v>95</v>
      </c>
      <c r="O655" s="6" t="s">
        <v>276</v>
      </c>
      <c r="P655" s="5" t="s">
        <v>59</v>
      </c>
      <c r="Q655" s="5" t="s">
        <v>122</v>
      </c>
      <c r="R655" s="6" t="s">
        <v>42</v>
      </c>
      <c r="S655" s="5" t="s">
        <v>465</v>
      </c>
      <c r="T655" s="5" t="s">
        <v>129</v>
      </c>
      <c r="U655" s="5" t="s">
        <v>44</v>
      </c>
      <c r="V655" s="5" t="s">
        <v>44</v>
      </c>
      <c r="W655" s="5" t="s">
        <v>35</v>
      </c>
      <c r="X655" s="8" t="s">
        <v>45</v>
      </c>
      <c r="Y655" s="5" t="s">
        <v>2810</v>
      </c>
      <c r="Z655" s="5" t="s">
        <v>47</v>
      </c>
      <c r="AA655" s="5" t="s">
        <v>64</v>
      </c>
      <c r="AB655" s="5" t="s">
        <v>2869</v>
      </c>
      <c r="AC655" s="6" t="s">
        <v>56</v>
      </c>
      <c r="AD655" s="6">
        <v>941.0</v>
      </c>
    </row>
    <row r="656" ht="56.25" customHeight="1">
      <c r="A656" s="5" t="s">
        <v>2803</v>
      </c>
      <c r="B656" s="6" t="str">
        <f>IMAGE("https://storage.googleapis.com/acdb/housewares/FtrDJbooth_Remake_1_1.png")</f>
        <v/>
      </c>
      <c r="C656" s="5" t="s">
        <v>57</v>
      </c>
      <c r="D656" s="5" t="s">
        <v>34</v>
      </c>
      <c r="E656" s="5" t="s">
        <v>2817</v>
      </c>
      <c r="F656" s="5" t="s">
        <v>2808</v>
      </c>
      <c r="G656" s="5" t="s">
        <v>36</v>
      </c>
      <c r="H656" s="5" t="s">
        <v>36</v>
      </c>
      <c r="I656" s="5" t="s">
        <v>35</v>
      </c>
      <c r="J656" s="6">
        <v>4.0</v>
      </c>
      <c r="K656" s="6">
        <v>9300.0</v>
      </c>
      <c r="L656" s="6">
        <v>2325.0</v>
      </c>
      <c r="M656" s="8" t="s">
        <v>57</v>
      </c>
      <c r="N656" s="8" t="s">
        <v>54</v>
      </c>
      <c r="O656" s="6" t="s">
        <v>276</v>
      </c>
      <c r="P656" s="5" t="s">
        <v>59</v>
      </c>
      <c r="Q656" s="5" t="s">
        <v>122</v>
      </c>
      <c r="R656" s="6" t="s">
        <v>42</v>
      </c>
      <c r="S656" s="5" t="s">
        <v>465</v>
      </c>
      <c r="T656" s="5" t="s">
        <v>129</v>
      </c>
      <c r="U656" s="5" t="s">
        <v>44</v>
      </c>
      <c r="V656" s="5" t="s">
        <v>44</v>
      </c>
      <c r="W656" s="5" t="s">
        <v>35</v>
      </c>
      <c r="X656" s="8" t="s">
        <v>45</v>
      </c>
      <c r="Y656" s="5" t="s">
        <v>2810</v>
      </c>
      <c r="Z656" s="5" t="s">
        <v>47</v>
      </c>
      <c r="AA656" s="5" t="s">
        <v>64</v>
      </c>
      <c r="AB656" s="5" t="s">
        <v>2873</v>
      </c>
      <c r="AC656" s="6" t="s">
        <v>234</v>
      </c>
      <c r="AD656" s="6">
        <v>941.0</v>
      </c>
    </row>
    <row r="657" ht="56.25" customHeight="1">
      <c r="A657" s="5" t="s">
        <v>2803</v>
      </c>
      <c r="B657" s="6" t="str">
        <f>IMAGE("https://storage.googleapis.com/acdb/housewares/FtrDJbooth_Remake_1_2.png")</f>
        <v/>
      </c>
      <c r="C657" s="5" t="s">
        <v>57</v>
      </c>
      <c r="D657" s="5" t="s">
        <v>34</v>
      </c>
      <c r="E657" s="5" t="s">
        <v>2827</v>
      </c>
      <c r="F657" s="5" t="s">
        <v>2808</v>
      </c>
      <c r="G657" s="5" t="s">
        <v>36</v>
      </c>
      <c r="H657" s="5" t="s">
        <v>36</v>
      </c>
      <c r="I657" s="5" t="s">
        <v>35</v>
      </c>
      <c r="J657" s="6">
        <v>4.0</v>
      </c>
      <c r="K657" s="6">
        <v>9300.0</v>
      </c>
      <c r="L657" s="6">
        <v>2325.0</v>
      </c>
      <c r="M657" s="8" t="s">
        <v>57</v>
      </c>
      <c r="N657" s="8" t="s">
        <v>57</v>
      </c>
      <c r="O657" s="6" t="s">
        <v>276</v>
      </c>
      <c r="P657" s="5" t="s">
        <v>59</v>
      </c>
      <c r="Q657" s="5" t="s">
        <v>122</v>
      </c>
      <c r="R657" s="6" t="s">
        <v>42</v>
      </c>
      <c r="S657" s="5" t="s">
        <v>465</v>
      </c>
      <c r="T657" s="5" t="s">
        <v>129</v>
      </c>
      <c r="U657" s="5" t="s">
        <v>44</v>
      </c>
      <c r="V657" s="5" t="s">
        <v>44</v>
      </c>
      <c r="W657" s="5" t="s">
        <v>35</v>
      </c>
      <c r="X657" s="8" t="s">
        <v>45</v>
      </c>
      <c r="Y657" s="5" t="s">
        <v>2810</v>
      </c>
      <c r="Z657" s="5" t="s">
        <v>47</v>
      </c>
      <c r="AA657" s="5" t="s">
        <v>64</v>
      </c>
      <c r="AB657" s="5" t="s">
        <v>2875</v>
      </c>
      <c r="AC657" s="6" t="s">
        <v>370</v>
      </c>
      <c r="AD657" s="6">
        <v>941.0</v>
      </c>
    </row>
    <row r="658" ht="56.25" customHeight="1">
      <c r="A658" s="5" t="s">
        <v>2803</v>
      </c>
      <c r="B658" s="6" t="str">
        <f>IMAGE("https://storage.googleapis.com/acdb/housewares/FtrDJbooth_Remake_1_3.png")</f>
        <v/>
      </c>
      <c r="C658" s="5" t="s">
        <v>57</v>
      </c>
      <c r="D658" s="5" t="s">
        <v>34</v>
      </c>
      <c r="E658" s="5" t="s">
        <v>2833</v>
      </c>
      <c r="F658" s="5" t="s">
        <v>2808</v>
      </c>
      <c r="G658" s="5" t="s">
        <v>36</v>
      </c>
      <c r="H658" s="5" t="s">
        <v>36</v>
      </c>
      <c r="I658" s="5" t="s">
        <v>35</v>
      </c>
      <c r="J658" s="6">
        <v>4.0</v>
      </c>
      <c r="K658" s="6">
        <v>9300.0</v>
      </c>
      <c r="L658" s="6">
        <v>2325.0</v>
      </c>
      <c r="M658" s="8" t="s">
        <v>57</v>
      </c>
      <c r="N658" s="8" t="s">
        <v>106</v>
      </c>
      <c r="O658" s="6" t="s">
        <v>276</v>
      </c>
      <c r="P658" s="5" t="s">
        <v>59</v>
      </c>
      <c r="Q658" s="5" t="s">
        <v>122</v>
      </c>
      <c r="R658" s="6" t="s">
        <v>42</v>
      </c>
      <c r="S658" s="5" t="s">
        <v>465</v>
      </c>
      <c r="T658" s="5" t="s">
        <v>129</v>
      </c>
      <c r="U658" s="5" t="s">
        <v>44</v>
      </c>
      <c r="V658" s="5" t="s">
        <v>44</v>
      </c>
      <c r="W658" s="5" t="s">
        <v>35</v>
      </c>
      <c r="X658" s="8" t="s">
        <v>45</v>
      </c>
      <c r="Y658" s="5" t="s">
        <v>2810</v>
      </c>
      <c r="Z658" s="5" t="s">
        <v>47</v>
      </c>
      <c r="AA658" s="5" t="s">
        <v>64</v>
      </c>
      <c r="AB658" s="5" t="s">
        <v>2880</v>
      </c>
      <c r="AC658" s="6" t="s">
        <v>377</v>
      </c>
      <c r="AD658" s="6">
        <v>941.0</v>
      </c>
    </row>
    <row r="659" ht="56.25" customHeight="1">
      <c r="A659" s="5" t="s">
        <v>2803</v>
      </c>
      <c r="B659" s="6" t="str">
        <f>IMAGE("https://storage.googleapis.com/acdb/housewares/FtrDJbooth_Remake_1_4.png")</f>
        <v/>
      </c>
      <c r="C659" s="5" t="s">
        <v>57</v>
      </c>
      <c r="D659" s="5" t="s">
        <v>34</v>
      </c>
      <c r="E659" s="5" t="s">
        <v>2841</v>
      </c>
      <c r="F659" s="5" t="s">
        <v>2808</v>
      </c>
      <c r="G659" s="5" t="s">
        <v>36</v>
      </c>
      <c r="H659" s="5" t="s">
        <v>36</v>
      </c>
      <c r="I659" s="5" t="s">
        <v>35</v>
      </c>
      <c r="J659" s="6">
        <v>4.0</v>
      </c>
      <c r="K659" s="6">
        <v>9300.0</v>
      </c>
      <c r="L659" s="6">
        <v>2325.0</v>
      </c>
      <c r="M659" s="8" t="s">
        <v>57</v>
      </c>
      <c r="N659" s="8" t="s">
        <v>96</v>
      </c>
      <c r="O659" s="6" t="s">
        <v>276</v>
      </c>
      <c r="P659" s="5" t="s">
        <v>59</v>
      </c>
      <c r="Q659" s="5" t="s">
        <v>122</v>
      </c>
      <c r="R659" s="6" t="s">
        <v>42</v>
      </c>
      <c r="S659" s="5" t="s">
        <v>465</v>
      </c>
      <c r="T659" s="5" t="s">
        <v>129</v>
      </c>
      <c r="U659" s="5" t="s">
        <v>44</v>
      </c>
      <c r="V659" s="5" t="s">
        <v>44</v>
      </c>
      <c r="W659" s="5" t="s">
        <v>35</v>
      </c>
      <c r="X659" s="8" t="s">
        <v>45</v>
      </c>
      <c r="Y659" s="5" t="s">
        <v>2810</v>
      </c>
      <c r="Z659" s="5" t="s">
        <v>47</v>
      </c>
      <c r="AA659" s="5" t="s">
        <v>64</v>
      </c>
      <c r="AB659" s="5" t="s">
        <v>2882</v>
      </c>
      <c r="AC659" s="6" t="s">
        <v>520</v>
      </c>
      <c r="AD659" s="6">
        <v>941.0</v>
      </c>
    </row>
    <row r="660" ht="56.25" customHeight="1">
      <c r="A660" s="5" t="s">
        <v>2803</v>
      </c>
      <c r="B660" s="6" t="str">
        <f>IMAGE("https://storage.googleapis.com/acdb/housewares/FtrDJbooth_Remake_1_5.png")</f>
        <v/>
      </c>
      <c r="C660" s="5" t="s">
        <v>57</v>
      </c>
      <c r="D660" s="5" t="s">
        <v>34</v>
      </c>
      <c r="E660" s="5" t="s">
        <v>2848</v>
      </c>
      <c r="F660" s="5" t="s">
        <v>2808</v>
      </c>
      <c r="G660" s="5" t="s">
        <v>36</v>
      </c>
      <c r="H660" s="5" t="s">
        <v>36</v>
      </c>
      <c r="I660" s="5" t="s">
        <v>35</v>
      </c>
      <c r="J660" s="6">
        <v>4.0</v>
      </c>
      <c r="K660" s="6">
        <v>9300.0</v>
      </c>
      <c r="L660" s="6">
        <v>2325.0</v>
      </c>
      <c r="M660" s="8" t="s">
        <v>57</v>
      </c>
      <c r="N660" s="8" t="s">
        <v>1175</v>
      </c>
      <c r="O660" s="6" t="s">
        <v>276</v>
      </c>
      <c r="P660" s="5" t="s">
        <v>59</v>
      </c>
      <c r="Q660" s="5" t="s">
        <v>122</v>
      </c>
      <c r="R660" s="6" t="s">
        <v>42</v>
      </c>
      <c r="S660" s="5" t="s">
        <v>465</v>
      </c>
      <c r="T660" s="5" t="s">
        <v>129</v>
      </c>
      <c r="U660" s="5" t="s">
        <v>44</v>
      </c>
      <c r="V660" s="5" t="s">
        <v>44</v>
      </c>
      <c r="W660" s="5" t="s">
        <v>35</v>
      </c>
      <c r="X660" s="8" t="s">
        <v>45</v>
      </c>
      <c r="Y660" s="5" t="s">
        <v>2810</v>
      </c>
      <c r="Z660" s="5" t="s">
        <v>47</v>
      </c>
      <c r="AA660" s="5" t="s">
        <v>64</v>
      </c>
      <c r="AB660" s="5" t="s">
        <v>2886</v>
      </c>
      <c r="AC660" s="6" t="s">
        <v>1389</v>
      </c>
      <c r="AD660" s="6">
        <v>941.0</v>
      </c>
    </row>
    <row r="661" ht="56.25" customHeight="1">
      <c r="A661" s="5" t="s">
        <v>2803</v>
      </c>
      <c r="B661" s="6" t="str">
        <f>IMAGE("https://storage.googleapis.com/acdb/housewares/FtrDJbooth_Remake_1_6.png")</f>
        <v/>
      </c>
      <c r="C661" s="5" t="s">
        <v>57</v>
      </c>
      <c r="D661" s="5" t="s">
        <v>34</v>
      </c>
      <c r="E661" s="5" t="s">
        <v>2855</v>
      </c>
      <c r="F661" s="5" t="s">
        <v>2808</v>
      </c>
      <c r="G661" s="5" t="s">
        <v>36</v>
      </c>
      <c r="H661" s="5" t="s">
        <v>36</v>
      </c>
      <c r="I661" s="5" t="s">
        <v>35</v>
      </c>
      <c r="J661" s="6">
        <v>4.0</v>
      </c>
      <c r="K661" s="6">
        <v>9300.0</v>
      </c>
      <c r="L661" s="6">
        <v>2325.0</v>
      </c>
      <c r="M661" s="8" t="s">
        <v>57</v>
      </c>
      <c r="N661" s="8" t="s">
        <v>114</v>
      </c>
      <c r="O661" s="6" t="s">
        <v>276</v>
      </c>
      <c r="P661" s="5" t="s">
        <v>59</v>
      </c>
      <c r="Q661" s="5" t="s">
        <v>122</v>
      </c>
      <c r="R661" s="6" t="s">
        <v>42</v>
      </c>
      <c r="S661" s="5" t="s">
        <v>465</v>
      </c>
      <c r="T661" s="5" t="s">
        <v>129</v>
      </c>
      <c r="U661" s="5" t="s">
        <v>44</v>
      </c>
      <c r="V661" s="5" t="s">
        <v>44</v>
      </c>
      <c r="W661" s="5" t="s">
        <v>35</v>
      </c>
      <c r="X661" s="8" t="s">
        <v>45</v>
      </c>
      <c r="Y661" s="5" t="s">
        <v>2810</v>
      </c>
      <c r="Z661" s="5" t="s">
        <v>47</v>
      </c>
      <c r="AA661" s="5" t="s">
        <v>64</v>
      </c>
      <c r="AB661" s="5" t="s">
        <v>2893</v>
      </c>
      <c r="AC661" s="6" t="s">
        <v>1394</v>
      </c>
      <c r="AD661" s="6">
        <v>941.0</v>
      </c>
    </row>
    <row r="662" ht="56.25" customHeight="1">
      <c r="A662" s="5" t="s">
        <v>2803</v>
      </c>
      <c r="B662" s="6" t="str">
        <f>IMAGE("https://storage.googleapis.com/acdb/housewares/FtrDJbooth_Remake_1_7.png")</f>
        <v/>
      </c>
      <c r="C662" s="5" t="s">
        <v>57</v>
      </c>
      <c r="D662" s="5" t="s">
        <v>34</v>
      </c>
      <c r="E662" s="5" t="s">
        <v>2863</v>
      </c>
      <c r="F662" s="5" t="s">
        <v>2808</v>
      </c>
      <c r="G662" s="5" t="s">
        <v>36</v>
      </c>
      <c r="H662" s="5" t="s">
        <v>36</v>
      </c>
      <c r="I662" s="5" t="s">
        <v>35</v>
      </c>
      <c r="J662" s="6">
        <v>4.0</v>
      </c>
      <c r="K662" s="6">
        <v>9300.0</v>
      </c>
      <c r="L662" s="6">
        <v>2325.0</v>
      </c>
      <c r="M662" s="8" t="s">
        <v>57</v>
      </c>
      <c r="N662" s="8" t="s">
        <v>69</v>
      </c>
      <c r="O662" s="6" t="s">
        <v>276</v>
      </c>
      <c r="P662" s="5" t="s">
        <v>59</v>
      </c>
      <c r="Q662" s="5" t="s">
        <v>122</v>
      </c>
      <c r="R662" s="6" t="s">
        <v>42</v>
      </c>
      <c r="S662" s="5" t="s">
        <v>465</v>
      </c>
      <c r="T662" s="5" t="s">
        <v>129</v>
      </c>
      <c r="U662" s="5" t="s">
        <v>44</v>
      </c>
      <c r="V662" s="5" t="s">
        <v>44</v>
      </c>
      <c r="W662" s="5" t="s">
        <v>35</v>
      </c>
      <c r="X662" s="8" t="s">
        <v>45</v>
      </c>
      <c r="Y662" s="5" t="s">
        <v>2810</v>
      </c>
      <c r="Z662" s="5" t="s">
        <v>47</v>
      </c>
      <c r="AA662" s="5" t="s">
        <v>64</v>
      </c>
      <c r="AB662" s="5" t="s">
        <v>2896</v>
      </c>
      <c r="AC662" s="6" t="s">
        <v>1729</v>
      </c>
      <c r="AD662" s="6">
        <v>941.0</v>
      </c>
    </row>
    <row r="663" ht="56.25" customHeight="1">
      <c r="A663" s="5" t="s">
        <v>2803</v>
      </c>
      <c r="B663" s="6" t="str">
        <f>IMAGE("https://storage.googleapis.com/acdb/housewares/FtrDJbooth_Remake_2_0.png")</f>
        <v/>
      </c>
      <c r="C663" s="5" t="s">
        <v>39</v>
      </c>
      <c r="D663" s="5" t="s">
        <v>34</v>
      </c>
      <c r="E663" s="5" t="s">
        <v>44</v>
      </c>
      <c r="F663" s="5" t="s">
        <v>2808</v>
      </c>
      <c r="G663" s="5" t="s">
        <v>36</v>
      </c>
      <c r="H663" s="5" t="s">
        <v>36</v>
      </c>
      <c r="I663" s="5" t="s">
        <v>35</v>
      </c>
      <c r="J663" s="6">
        <v>4.0</v>
      </c>
      <c r="K663" s="6">
        <v>9300.0</v>
      </c>
      <c r="L663" s="6">
        <v>2325.0</v>
      </c>
      <c r="M663" s="8" t="s">
        <v>142</v>
      </c>
      <c r="N663" s="8" t="s">
        <v>95</v>
      </c>
      <c r="O663" s="6" t="s">
        <v>276</v>
      </c>
      <c r="P663" s="5" t="s">
        <v>59</v>
      </c>
      <c r="Q663" s="5" t="s">
        <v>122</v>
      </c>
      <c r="R663" s="6" t="s">
        <v>42</v>
      </c>
      <c r="S663" s="5" t="s">
        <v>465</v>
      </c>
      <c r="T663" s="5" t="s">
        <v>129</v>
      </c>
      <c r="U663" s="5" t="s">
        <v>44</v>
      </c>
      <c r="V663" s="5" t="s">
        <v>44</v>
      </c>
      <c r="W663" s="5" t="s">
        <v>35</v>
      </c>
      <c r="X663" s="8" t="s">
        <v>45</v>
      </c>
      <c r="Y663" s="5" t="s">
        <v>2810</v>
      </c>
      <c r="Z663" s="5" t="s">
        <v>47</v>
      </c>
      <c r="AA663" s="5" t="s">
        <v>64</v>
      </c>
      <c r="AB663" s="5" t="s">
        <v>2901</v>
      </c>
      <c r="AC663" s="6" t="s">
        <v>67</v>
      </c>
      <c r="AD663" s="6">
        <v>941.0</v>
      </c>
    </row>
    <row r="664" ht="56.25" customHeight="1">
      <c r="A664" s="5" t="s">
        <v>2803</v>
      </c>
      <c r="B664" s="6" t="str">
        <f>IMAGE("https://storage.googleapis.com/acdb/housewares/FtrDJbooth_Remake_2_1.png")</f>
        <v/>
      </c>
      <c r="C664" s="5" t="s">
        <v>39</v>
      </c>
      <c r="D664" s="5" t="s">
        <v>34</v>
      </c>
      <c r="E664" s="5" t="s">
        <v>2817</v>
      </c>
      <c r="F664" s="5" t="s">
        <v>2808</v>
      </c>
      <c r="G664" s="5" t="s">
        <v>36</v>
      </c>
      <c r="H664" s="5" t="s">
        <v>36</v>
      </c>
      <c r="I664" s="5" t="s">
        <v>35</v>
      </c>
      <c r="J664" s="6">
        <v>4.0</v>
      </c>
      <c r="K664" s="6">
        <v>9300.0</v>
      </c>
      <c r="L664" s="6">
        <v>2325.0</v>
      </c>
      <c r="M664" s="8" t="s">
        <v>142</v>
      </c>
      <c r="N664" s="8" t="s">
        <v>54</v>
      </c>
      <c r="O664" s="6" t="s">
        <v>276</v>
      </c>
      <c r="P664" s="5" t="s">
        <v>59</v>
      </c>
      <c r="Q664" s="5" t="s">
        <v>122</v>
      </c>
      <c r="R664" s="6" t="s">
        <v>42</v>
      </c>
      <c r="S664" s="5" t="s">
        <v>465</v>
      </c>
      <c r="T664" s="5" t="s">
        <v>129</v>
      </c>
      <c r="U664" s="5" t="s">
        <v>44</v>
      </c>
      <c r="V664" s="5" t="s">
        <v>44</v>
      </c>
      <c r="W664" s="5" t="s">
        <v>35</v>
      </c>
      <c r="X664" s="8" t="s">
        <v>45</v>
      </c>
      <c r="Y664" s="5" t="s">
        <v>2810</v>
      </c>
      <c r="Z664" s="5" t="s">
        <v>47</v>
      </c>
      <c r="AA664" s="5" t="s">
        <v>64</v>
      </c>
      <c r="AB664" s="5" t="s">
        <v>2906</v>
      </c>
      <c r="AC664" s="6" t="s">
        <v>247</v>
      </c>
      <c r="AD664" s="6">
        <v>941.0</v>
      </c>
    </row>
    <row r="665" ht="56.25" customHeight="1">
      <c r="A665" s="5" t="s">
        <v>2803</v>
      </c>
      <c r="B665" s="6" t="str">
        <f>IMAGE("https://storage.googleapis.com/acdb/housewares/FtrDJbooth_Remake_2_2.png")</f>
        <v/>
      </c>
      <c r="C665" s="5" t="s">
        <v>39</v>
      </c>
      <c r="D665" s="5" t="s">
        <v>34</v>
      </c>
      <c r="E665" s="5" t="s">
        <v>2827</v>
      </c>
      <c r="F665" s="5" t="s">
        <v>2808</v>
      </c>
      <c r="G665" s="5" t="s">
        <v>36</v>
      </c>
      <c r="H665" s="5" t="s">
        <v>36</v>
      </c>
      <c r="I665" s="5" t="s">
        <v>35</v>
      </c>
      <c r="J665" s="6">
        <v>4.0</v>
      </c>
      <c r="K665" s="6">
        <v>9300.0</v>
      </c>
      <c r="L665" s="6">
        <v>2325.0</v>
      </c>
      <c r="M665" s="8" t="s">
        <v>142</v>
      </c>
      <c r="N665" s="8" t="s">
        <v>57</v>
      </c>
      <c r="O665" s="6" t="s">
        <v>276</v>
      </c>
      <c r="P665" s="5" t="s">
        <v>59</v>
      </c>
      <c r="Q665" s="5" t="s">
        <v>122</v>
      </c>
      <c r="R665" s="6" t="s">
        <v>42</v>
      </c>
      <c r="S665" s="5" t="s">
        <v>465</v>
      </c>
      <c r="T665" s="5" t="s">
        <v>129</v>
      </c>
      <c r="U665" s="5" t="s">
        <v>44</v>
      </c>
      <c r="V665" s="5" t="s">
        <v>44</v>
      </c>
      <c r="W665" s="5" t="s">
        <v>35</v>
      </c>
      <c r="X665" s="8" t="s">
        <v>45</v>
      </c>
      <c r="Y665" s="5" t="s">
        <v>2810</v>
      </c>
      <c r="Z665" s="5" t="s">
        <v>47</v>
      </c>
      <c r="AA665" s="5" t="s">
        <v>64</v>
      </c>
      <c r="AB665" s="5" t="s">
        <v>2911</v>
      </c>
      <c r="AC665" s="6" t="s">
        <v>390</v>
      </c>
      <c r="AD665" s="6">
        <v>941.0</v>
      </c>
    </row>
    <row r="666" ht="56.25" customHeight="1">
      <c r="A666" s="5" t="s">
        <v>2803</v>
      </c>
      <c r="B666" s="6" t="str">
        <f>IMAGE("https://storage.googleapis.com/acdb/housewares/FtrDJbooth_Remake_2_3.png")</f>
        <v/>
      </c>
      <c r="C666" s="5" t="s">
        <v>39</v>
      </c>
      <c r="D666" s="5" t="s">
        <v>34</v>
      </c>
      <c r="E666" s="5" t="s">
        <v>2833</v>
      </c>
      <c r="F666" s="5" t="s">
        <v>2808</v>
      </c>
      <c r="G666" s="5" t="s">
        <v>36</v>
      </c>
      <c r="H666" s="5" t="s">
        <v>36</v>
      </c>
      <c r="I666" s="5" t="s">
        <v>35</v>
      </c>
      <c r="J666" s="6">
        <v>4.0</v>
      </c>
      <c r="K666" s="6">
        <v>9300.0</v>
      </c>
      <c r="L666" s="6">
        <v>2325.0</v>
      </c>
      <c r="M666" s="8" t="s">
        <v>142</v>
      </c>
      <c r="N666" s="8" t="s">
        <v>106</v>
      </c>
      <c r="O666" s="6" t="s">
        <v>276</v>
      </c>
      <c r="P666" s="5" t="s">
        <v>59</v>
      </c>
      <c r="Q666" s="5" t="s">
        <v>122</v>
      </c>
      <c r="R666" s="6" t="s">
        <v>42</v>
      </c>
      <c r="S666" s="5" t="s">
        <v>465</v>
      </c>
      <c r="T666" s="5" t="s">
        <v>129</v>
      </c>
      <c r="U666" s="5" t="s">
        <v>44</v>
      </c>
      <c r="V666" s="5" t="s">
        <v>44</v>
      </c>
      <c r="W666" s="5" t="s">
        <v>35</v>
      </c>
      <c r="X666" s="8" t="s">
        <v>45</v>
      </c>
      <c r="Y666" s="5" t="s">
        <v>2810</v>
      </c>
      <c r="Z666" s="5" t="s">
        <v>47</v>
      </c>
      <c r="AA666" s="5" t="s">
        <v>64</v>
      </c>
      <c r="AB666" s="5" t="s">
        <v>2915</v>
      </c>
      <c r="AC666" s="6" t="s">
        <v>396</v>
      </c>
      <c r="AD666" s="6">
        <v>941.0</v>
      </c>
    </row>
    <row r="667" ht="56.25" customHeight="1">
      <c r="A667" s="5" t="s">
        <v>2803</v>
      </c>
      <c r="B667" s="6" t="str">
        <f>IMAGE("https://storage.googleapis.com/acdb/housewares/FtrDJbooth_Remake_2_4.png")</f>
        <v/>
      </c>
      <c r="C667" s="5" t="s">
        <v>39</v>
      </c>
      <c r="D667" s="5" t="s">
        <v>34</v>
      </c>
      <c r="E667" s="5" t="s">
        <v>2841</v>
      </c>
      <c r="F667" s="5" t="s">
        <v>2808</v>
      </c>
      <c r="G667" s="5" t="s">
        <v>36</v>
      </c>
      <c r="H667" s="5" t="s">
        <v>36</v>
      </c>
      <c r="I667" s="5" t="s">
        <v>35</v>
      </c>
      <c r="J667" s="6">
        <v>4.0</v>
      </c>
      <c r="K667" s="6">
        <v>9300.0</v>
      </c>
      <c r="L667" s="6">
        <v>2325.0</v>
      </c>
      <c r="M667" s="8" t="s">
        <v>142</v>
      </c>
      <c r="N667" s="8" t="s">
        <v>96</v>
      </c>
      <c r="O667" s="6" t="s">
        <v>276</v>
      </c>
      <c r="P667" s="5" t="s">
        <v>59</v>
      </c>
      <c r="Q667" s="5" t="s">
        <v>122</v>
      </c>
      <c r="R667" s="6" t="s">
        <v>42</v>
      </c>
      <c r="S667" s="5" t="s">
        <v>465</v>
      </c>
      <c r="T667" s="5" t="s">
        <v>129</v>
      </c>
      <c r="U667" s="5" t="s">
        <v>44</v>
      </c>
      <c r="V667" s="5" t="s">
        <v>44</v>
      </c>
      <c r="W667" s="5" t="s">
        <v>35</v>
      </c>
      <c r="X667" s="8" t="s">
        <v>45</v>
      </c>
      <c r="Y667" s="5" t="s">
        <v>2810</v>
      </c>
      <c r="Z667" s="5" t="s">
        <v>47</v>
      </c>
      <c r="AA667" s="5" t="s">
        <v>64</v>
      </c>
      <c r="AB667" s="5" t="s">
        <v>2920</v>
      </c>
      <c r="AC667" s="6" t="s">
        <v>541</v>
      </c>
      <c r="AD667" s="6">
        <v>941.0</v>
      </c>
    </row>
    <row r="668" ht="56.25" customHeight="1">
      <c r="A668" s="5" t="s">
        <v>2803</v>
      </c>
      <c r="B668" s="6" t="str">
        <f>IMAGE("https://storage.googleapis.com/acdb/housewares/FtrDJbooth_Remake_2_5.png")</f>
        <v/>
      </c>
      <c r="C668" s="5" t="s">
        <v>39</v>
      </c>
      <c r="D668" s="5" t="s">
        <v>34</v>
      </c>
      <c r="E668" s="5" t="s">
        <v>2848</v>
      </c>
      <c r="F668" s="5" t="s">
        <v>2808</v>
      </c>
      <c r="G668" s="5" t="s">
        <v>36</v>
      </c>
      <c r="H668" s="5" t="s">
        <v>36</v>
      </c>
      <c r="I668" s="5" t="s">
        <v>35</v>
      </c>
      <c r="J668" s="6">
        <v>4.0</v>
      </c>
      <c r="K668" s="6">
        <v>9300.0</v>
      </c>
      <c r="L668" s="6">
        <v>2325.0</v>
      </c>
      <c r="M668" s="8" t="s">
        <v>142</v>
      </c>
      <c r="N668" s="8" t="s">
        <v>1175</v>
      </c>
      <c r="O668" s="6" t="s">
        <v>276</v>
      </c>
      <c r="P668" s="5" t="s">
        <v>59</v>
      </c>
      <c r="Q668" s="5" t="s">
        <v>122</v>
      </c>
      <c r="R668" s="6" t="s">
        <v>42</v>
      </c>
      <c r="S668" s="5" t="s">
        <v>465</v>
      </c>
      <c r="T668" s="5" t="s">
        <v>129</v>
      </c>
      <c r="U668" s="5" t="s">
        <v>44</v>
      </c>
      <c r="V668" s="5" t="s">
        <v>44</v>
      </c>
      <c r="W668" s="5" t="s">
        <v>35</v>
      </c>
      <c r="X668" s="8" t="s">
        <v>45</v>
      </c>
      <c r="Y668" s="5" t="s">
        <v>2810</v>
      </c>
      <c r="Z668" s="5" t="s">
        <v>47</v>
      </c>
      <c r="AA668" s="5" t="s">
        <v>64</v>
      </c>
      <c r="AB668" s="5" t="s">
        <v>2922</v>
      </c>
      <c r="AC668" s="6" t="s">
        <v>1415</v>
      </c>
      <c r="AD668" s="6">
        <v>941.0</v>
      </c>
    </row>
    <row r="669" ht="56.25" customHeight="1">
      <c r="A669" s="5" t="s">
        <v>2803</v>
      </c>
      <c r="B669" s="6" t="str">
        <f>IMAGE("https://storage.googleapis.com/acdb/housewares/FtrDJbooth_Remake_2_6.png")</f>
        <v/>
      </c>
      <c r="C669" s="5" t="s">
        <v>39</v>
      </c>
      <c r="D669" s="5" t="s">
        <v>34</v>
      </c>
      <c r="E669" s="5" t="s">
        <v>2855</v>
      </c>
      <c r="F669" s="5" t="s">
        <v>2808</v>
      </c>
      <c r="G669" s="5" t="s">
        <v>36</v>
      </c>
      <c r="H669" s="5" t="s">
        <v>36</v>
      </c>
      <c r="I669" s="5" t="s">
        <v>35</v>
      </c>
      <c r="J669" s="6">
        <v>4.0</v>
      </c>
      <c r="K669" s="6">
        <v>9300.0</v>
      </c>
      <c r="L669" s="6">
        <v>2325.0</v>
      </c>
      <c r="M669" s="8" t="s">
        <v>142</v>
      </c>
      <c r="N669" s="8" t="s">
        <v>114</v>
      </c>
      <c r="O669" s="6" t="s">
        <v>276</v>
      </c>
      <c r="P669" s="5" t="s">
        <v>59</v>
      </c>
      <c r="Q669" s="5" t="s">
        <v>122</v>
      </c>
      <c r="R669" s="6" t="s">
        <v>42</v>
      </c>
      <c r="S669" s="5" t="s">
        <v>465</v>
      </c>
      <c r="T669" s="5" t="s">
        <v>129</v>
      </c>
      <c r="U669" s="5" t="s">
        <v>44</v>
      </c>
      <c r="V669" s="5" t="s">
        <v>44</v>
      </c>
      <c r="W669" s="5" t="s">
        <v>35</v>
      </c>
      <c r="X669" s="8" t="s">
        <v>45</v>
      </c>
      <c r="Y669" s="5" t="s">
        <v>2810</v>
      </c>
      <c r="Z669" s="5" t="s">
        <v>47</v>
      </c>
      <c r="AA669" s="5" t="s">
        <v>64</v>
      </c>
      <c r="AB669" s="5" t="s">
        <v>2928</v>
      </c>
      <c r="AC669" s="6" t="s">
        <v>1421</v>
      </c>
      <c r="AD669" s="6">
        <v>941.0</v>
      </c>
    </row>
    <row r="670" ht="56.25" customHeight="1">
      <c r="A670" s="5" t="s">
        <v>2803</v>
      </c>
      <c r="B670" s="6" t="str">
        <f>IMAGE("https://storage.googleapis.com/acdb/housewares/FtrDJbooth_Remake_2_7.png")</f>
        <v/>
      </c>
      <c r="C670" s="5" t="s">
        <v>39</v>
      </c>
      <c r="D670" s="5" t="s">
        <v>34</v>
      </c>
      <c r="E670" s="5" t="s">
        <v>2863</v>
      </c>
      <c r="F670" s="5" t="s">
        <v>2808</v>
      </c>
      <c r="G670" s="5" t="s">
        <v>36</v>
      </c>
      <c r="H670" s="5" t="s">
        <v>36</v>
      </c>
      <c r="I670" s="5" t="s">
        <v>35</v>
      </c>
      <c r="J670" s="6">
        <v>4.0</v>
      </c>
      <c r="K670" s="6">
        <v>9300.0</v>
      </c>
      <c r="L670" s="6">
        <v>2325.0</v>
      </c>
      <c r="M670" s="8" t="s">
        <v>142</v>
      </c>
      <c r="N670" s="8" t="s">
        <v>69</v>
      </c>
      <c r="O670" s="6" t="s">
        <v>276</v>
      </c>
      <c r="P670" s="5" t="s">
        <v>59</v>
      </c>
      <c r="Q670" s="5" t="s">
        <v>122</v>
      </c>
      <c r="R670" s="6" t="s">
        <v>42</v>
      </c>
      <c r="S670" s="5" t="s">
        <v>465</v>
      </c>
      <c r="T670" s="5" t="s">
        <v>129</v>
      </c>
      <c r="U670" s="5" t="s">
        <v>44</v>
      </c>
      <c r="V670" s="5" t="s">
        <v>44</v>
      </c>
      <c r="W670" s="5" t="s">
        <v>35</v>
      </c>
      <c r="X670" s="8" t="s">
        <v>45</v>
      </c>
      <c r="Y670" s="5" t="s">
        <v>2810</v>
      </c>
      <c r="Z670" s="5" t="s">
        <v>47</v>
      </c>
      <c r="AA670" s="5" t="s">
        <v>64</v>
      </c>
      <c r="AB670" s="5" t="s">
        <v>2933</v>
      </c>
      <c r="AC670" s="6" t="s">
        <v>1759</v>
      </c>
      <c r="AD670" s="6">
        <v>941.0</v>
      </c>
    </row>
    <row r="671" ht="56.25" customHeight="1">
      <c r="A671" s="5" t="s">
        <v>2803</v>
      </c>
      <c r="B671" s="6" t="str">
        <f>IMAGE("https://storage.googleapis.com/acdb/housewares/FtrDJbooth_Remake_3_0.png")</f>
        <v/>
      </c>
      <c r="C671" s="5" t="s">
        <v>69</v>
      </c>
      <c r="D671" s="5" t="s">
        <v>34</v>
      </c>
      <c r="E671" s="5" t="s">
        <v>44</v>
      </c>
      <c r="F671" s="5" t="s">
        <v>2808</v>
      </c>
      <c r="G671" s="5" t="s">
        <v>36</v>
      </c>
      <c r="H671" s="5" t="s">
        <v>36</v>
      </c>
      <c r="I671" s="5" t="s">
        <v>35</v>
      </c>
      <c r="J671" s="6">
        <v>4.0</v>
      </c>
      <c r="K671" s="6">
        <v>9300.0</v>
      </c>
      <c r="L671" s="6">
        <v>2325.0</v>
      </c>
      <c r="M671" s="8" t="s">
        <v>69</v>
      </c>
      <c r="N671" s="8" t="s">
        <v>95</v>
      </c>
      <c r="O671" s="6" t="s">
        <v>276</v>
      </c>
      <c r="P671" s="5" t="s">
        <v>59</v>
      </c>
      <c r="Q671" s="5" t="s">
        <v>122</v>
      </c>
      <c r="R671" s="6" t="s">
        <v>42</v>
      </c>
      <c r="S671" s="5" t="s">
        <v>465</v>
      </c>
      <c r="T671" s="5" t="s">
        <v>129</v>
      </c>
      <c r="U671" s="5" t="s">
        <v>44</v>
      </c>
      <c r="V671" s="5" t="s">
        <v>44</v>
      </c>
      <c r="W671" s="5" t="s">
        <v>35</v>
      </c>
      <c r="X671" s="8" t="s">
        <v>45</v>
      </c>
      <c r="Y671" s="5" t="s">
        <v>2810</v>
      </c>
      <c r="Z671" s="5" t="s">
        <v>47</v>
      </c>
      <c r="AA671" s="5" t="s">
        <v>64</v>
      </c>
      <c r="AB671" s="5" t="s">
        <v>2938</v>
      </c>
      <c r="AC671" s="6" t="s">
        <v>71</v>
      </c>
      <c r="AD671" s="6">
        <v>941.0</v>
      </c>
    </row>
    <row r="672" ht="56.25" customHeight="1">
      <c r="A672" s="5" t="s">
        <v>2803</v>
      </c>
      <c r="B672" s="6" t="str">
        <f>IMAGE("https://storage.googleapis.com/acdb/housewares/FtrDJbooth_Remake_3_1.png")</f>
        <v/>
      </c>
      <c r="C672" s="5" t="s">
        <v>69</v>
      </c>
      <c r="D672" s="5" t="s">
        <v>34</v>
      </c>
      <c r="E672" s="5" t="s">
        <v>2817</v>
      </c>
      <c r="F672" s="5" t="s">
        <v>2808</v>
      </c>
      <c r="G672" s="5" t="s">
        <v>36</v>
      </c>
      <c r="H672" s="5" t="s">
        <v>36</v>
      </c>
      <c r="I672" s="5" t="s">
        <v>35</v>
      </c>
      <c r="J672" s="6">
        <v>4.0</v>
      </c>
      <c r="K672" s="6">
        <v>9300.0</v>
      </c>
      <c r="L672" s="6">
        <v>2325.0</v>
      </c>
      <c r="M672" s="8" t="s">
        <v>69</v>
      </c>
      <c r="N672" s="8" t="s">
        <v>54</v>
      </c>
      <c r="O672" s="6" t="s">
        <v>276</v>
      </c>
      <c r="P672" s="5" t="s">
        <v>59</v>
      </c>
      <c r="Q672" s="5" t="s">
        <v>122</v>
      </c>
      <c r="R672" s="6" t="s">
        <v>42</v>
      </c>
      <c r="S672" s="5" t="s">
        <v>465</v>
      </c>
      <c r="T672" s="5" t="s">
        <v>129</v>
      </c>
      <c r="U672" s="5" t="s">
        <v>44</v>
      </c>
      <c r="V672" s="5" t="s">
        <v>44</v>
      </c>
      <c r="W672" s="5" t="s">
        <v>35</v>
      </c>
      <c r="X672" s="8" t="s">
        <v>45</v>
      </c>
      <c r="Y672" s="5" t="s">
        <v>2810</v>
      </c>
      <c r="Z672" s="5" t="s">
        <v>47</v>
      </c>
      <c r="AA672" s="5" t="s">
        <v>64</v>
      </c>
      <c r="AB672" s="5" t="s">
        <v>2943</v>
      </c>
      <c r="AC672" s="6" t="s">
        <v>257</v>
      </c>
      <c r="AD672" s="6">
        <v>941.0</v>
      </c>
    </row>
    <row r="673" ht="56.25" customHeight="1">
      <c r="A673" s="5" t="s">
        <v>2803</v>
      </c>
      <c r="B673" s="6" t="str">
        <f>IMAGE("https://storage.googleapis.com/acdb/housewares/FtrDJbooth_Remake_3_2.png")</f>
        <v/>
      </c>
      <c r="C673" s="5" t="s">
        <v>69</v>
      </c>
      <c r="D673" s="5" t="s">
        <v>34</v>
      </c>
      <c r="E673" s="5" t="s">
        <v>2827</v>
      </c>
      <c r="F673" s="5" t="s">
        <v>2808</v>
      </c>
      <c r="G673" s="5" t="s">
        <v>36</v>
      </c>
      <c r="H673" s="5" t="s">
        <v>36</v>
      </c>
      <c r="I673" s="5" t="s">
        <v>35</v>
      </c>
      <c r="J673" s="6">
        <v>4.0</v>
      </c>
      <c r="K673" s="6">
        <v>9300.0</v>
      </c>
      <c r="L673" s="6">
        <v>2325.0</v>
      </c>
      <c r="M673" s="8" t="s">
        <v>69</v>
      </c>
      <c r="N673" s="8" t="s">
        <v>57</v>
      </c>
      <c r="O673" s="6" t="s">
        <v>276</v>
      </c>
      <c r="P673" s="5" t="s">
        <v>59</v>
      </c>
      <c r="Q673" s="5" t="s">
        <v>122</v>
      </c>
      <c r="R673" s="6" t="s">
        <v>42</v>
      </c>
      <c r="S673" s="5" t="s">
        <v>465</v>
      </c>
      <c r="T673" s="5" t="s">
        <v>129</v>
      </c>
      <c r="U673" s="5" t="s">
        <v>44</v>
      </c>
      <c r="V673" s="5" t="s">
        <v>44</v>
      </c>
      <c r="W673" s="5" t="s">
        <v>35</v>
      </c>
      <c r="X673" s="8" t="s">
        <v>45</v>
      </c>
      <c r="Y673" s="5" t="s">
        <v>2810</v>
      </c>
      <c r="Z673" s="5" t="s">
        <v>47</v>
      </c>
      <c r="AA673" s="5" t="s">
        <v>64</v>
      </c>
      <c r="AB673" s="5" t="s">
        <v>2946</v>
      </c>
      <c r="AC673" s="6" t="s">
        <v>414</v>
      </c>
      <c r="AD673" s="6">
        <v>941.0</v>
      </c>
    </row>
    <row r="674" ht="56.25" customHeight="1">
      <c r="A674" s="5" t="s">
        <v>2803</v>
      </c>
      <c r="B674" s="6" t="str">
        <f>IMAGE("https://storage.googleapis.com/acdb/housewares/FtrDJbooth_Remake_3_3.png")</f>
        <v/>
      </c>
      <c r="C674" s="5" t="s">
        <v>69</v>
      </c>
      <c r="D674" s="5" t="s">
        <v>34</v>
      </c>
      <c r="E674" s="5" t="s">
        <v>2833</v>
      </c>
      <c r="F674" s="5" t="s">
        <v>2808</v>
      </c>
      <c r="G674" s="5" t="s">
        <v>36</v>
      </c>
      <c r="H674" s="5" t="s">
        <v>36</v>
      </c>
      <c r="I674" s="5" t="s">
        <v>35</v>
      </c>
      <c r="J674" s="6">
        <v>4.0</v>
      </c>
      <c r="K674" s="6">
        <v>9300.0</v>
      </c>
      <c r="L674" s="6">
        <v>2325.0</v>
      </c>
      <c r="M674" s="8" t="s">
        <v>69</v>
      </c>
      <c r="N674" s="8" t="s">
        <v>106</v>
      </c>
      <c r="O674" s="6" t="s">
        <v>276</v>
      </c>
      <c r="P674" s="5" t="s">
        <v>59</v>
      </c>
      <c r="Q674" s="5" t="s">
        <v>122</v>
      </c>
      <c r="R674" s="6" t="s">
        <v>42</v>
      </c>
      <c r="S674" s="5" t="s">
        <v>465</v>
      </c>
      <c r="T674" s="5" t="s">
        <v>129</v>
      </c>
      <c r="U674" s="5" t="s">
        <v>44</v>
      </c>
      <c r="V674" s="5" t="s">
        <v>44</v>
      </c>
      <c r="W674" s="5" t="s">
        <v>35</v>
      </c>
      <c r="X674" s="8" t="s">
        <v>45</v>
      </c>
      <c r="Y674" s="5" t="s">
        <v>2810</v>
      </c>
      <c r="Z674" s="5" t="s">
        <v>47</v>
      </c>
      <c r="AA674" s="5" t="s">
        <v>64</v>
      </c>
      <c r="AB674" s="5" t="s">
        <v>2951</v>
      </c>
      <c r="AC674" s="6" t="s">
        <v>418</v>
      </c>
      <c r="AD674" s="6">
        <v>941.0</v>
      </c>
    </row>
    <row r="675" ht="56.25" customHeight="1">
      <c r="A675" s="5" t="s">
        <v>2803</v>
      </c>
      <c r="B675" s="6" t="str">
        <f>IMAGE("https://storage.googleapis.com/acdb/housewares/FtrDJbooth_Remake_3_4.png")</f>
        <v/>
      </c>
      <c r="C675" s="5" t="s">
        <v>69</v>
      </c>
      <c r="D675" s="5" t="s">
        <v>34</v>
      </c>
      <c r="E675" s="5" t="s">
        <v>2841</v>
      </c>
      <c r="F675" s="5" t="s">
        <v>2808</v>
      </c>
      <c r="G675" s="5" t="s">
        <v>36</v>
      </c>
      <c r="H675" s="5" t="s">
        <v>36</v>
      </c>
      <c r="I675" s="5" t="s">
        <v>35</v>
      </c>
      <c r="J675" s="6">
        <v>4.0</v>
      </c>
      <c r="K675" s="6">
        <v>9300.0</v>
      </c>
      <c r="L675" s="6">
        <v>2325.0</v>
      </c>
      <c r="M675" s="8" t="s">
        <v>69</v>
      </c>
      <c r="N675" s="8" t="s">
        <v>96</v>
      </c>
      <c r="O675" s="6" t="s">
        <v>276</v>
      </c>
      <c r="P675" s="5" t="s">
        <v>59</v>
      </c>
      <c r="Q675" s="5" t="s">
        <v>122</v>
      </c>
      <c r="R675" s="6" t="s">
        <v>42</v>
      </c>
      <c r="S675" s="5" t="s">
        <v>465</v>
      </c>
      <c r="T675" s="5" t="s">
        <v>129</v>
      </c>
      <c r="U675" s="5" t="s">
        <v>44</v>
      </c>
      <c r="V675" s="5" t="s">
        <v>44</v>
      </c>
      <c r="W675" s="5" t="s">
        <v>35</v>
      </c>
      <c r="X675" s="8" t="s">
        <v>45</v>
      </c>
      <c r="Y675" s="5" t="s">
        <v>2810</v>
      </c>
      <c r="Z675" s="5" t="s">
        <v>47</v>
      </c>
      <c r="AA675" s="5" t="s">
        <v>64</v>
      </c>
      <c r="AB675" s="5" t="s">
        <v>2955</v>
      </c>
      <c r="AC675" s="6" t="s">
        <v>563</v>
      </c>
      <c r="AD675" s="6">
        <v>941.0</v>
      </c>
    </row>
    <row r="676" ht="56.25" customHeight="1">
      <c r="A676" s="5" t="s">
        <v>2803</v>
      </c>
      <c r="B676" s="6" t="str">
        <f>IMAGE("https://storage.googleapis.com/acdb/housewares/FtrDJbooth_Remake_3_5.png")</f>
        <v/>
      </c>
      <c r="C676" s="5" t="s">
        <v>69</v>
      </c>
      <c r="D676" s="5" t="s">
        <v>34</v>
      </c>
      <c r="E676" s="5" t="s">
        <v>2848</v>
      </c>
      <c r="F676" s="5" t="s">
        <v>2808</v>
      </c>
      <c r="G676" s="5" t="s">
        <v>36</v>
      </c>
      <c r="H676" s="5" t="s">
        <v>36</v>
      </c>
      <c r="I676" s="5" t="s">
        <v>35</v>
      </c>
      <c r="J676" s="6">
        <v>4.0</v>
      </c>
      <c r="K676" s="6">
        <v>9300.0</v>
      </c>
      <c r="L676" s="6">
        <v>2325.0</v>
      </c>
      <c r="M676" s="8" t="s">
        <v>69</v>
      </c>
      <c r="N676" s="8" t="s">
        <v>1175</v>
      </c>
      <c r="O676" s="6" t="s">
        <v>276</v>
      </c>
      <c r="P676" s="5" t="s">
        <v>59</v>
      </c>
      <c r="Q676" s="5" t="s">
        <v>122</v>
      </c>
      <c r="R676" s="6" t="s">
        <v>42</v>
      </c>
      <c r="S676" s="5" t="s">
        <v>465</v>
      </c>
      <c r="T676" s="5" t="s">
        <v>129</v>
      </c>
      <c r="U676" s="5" t="s">
        <v>44</v>
      </c>
      <c r="V676" s="5" t="s">
        <v>44</v>
      </c>
      <c r="W676" s="5" t="s">
        <v>35</v>
      </c>
      <c r="X676" s="8" t="s">
        <v>45</v>
      </c>
      <c r="Y676" s="5" t="s">
        <v>2810</v>
      </c>
      <c r="Z676" s="5" t="s">
        <v>47</v>
      </c>
      <c r="AA676" s="5" t="s">
        <v>64</v>
      </c>
      <c r="AB676" s="5" t="s">
        <v>2960</v>
      </c>
      <c r="AC676" s="6" t="s">
        <v>1443</v>
      </c>
      <c r="AD676" s="6">
        <v>941.0</v>
      </c>
    </row>
    <row r="677" ht="56.25" customHeight="1">
      <c r="A677" s="5" t="s">
        <v>2803</v>
      </c>
      <c r="B677" s="6" t="str">
        <f>IMAGE("https://storage.googleapis.com/acdb/housewares/FtrDJbooth_Remake_3_6.png")</f>
        <v/>
      </c>
      <c r="C677" s="5" t="s">
        <v>69</v>
      </c>
      <c r="D677" s="5" t="s">
        <v>34</v>
      </c>
      <c r="E677" s="5" t="s">
        <v>2855</v>
      </c>
      <c r="F677" s="5" t="s">
        <v>2808</v>
      </c>
      <c r="G677" s="5" t="s">
        <v>36</v>
      </c>
      <c r="H677" s="5" t="s">
        <v>36</v>
      </c>
      <c r="I677" s="5" t="s">
        <v>35</v>
      </c>
      <c r="J677" s="6">
        <v>4.0</v>
      </c>
      <c r="K677" s="6">
        <v>9300.0</v>
      </c>
      <c r="L677" s="6">
        <v>2325.0</v>
      </c>
      <c r="M677" s="8" t="s">
        <v>69</v>
      </c>
      <c r="N677" s="8" t="s">
        <v>114</v>
      </c>
      <c r="O677" s="6" t="s">
        <v>276</v>
      </c>
      <c r="P677" s="5" t="s">
        <v>59</v>
      </c>
      <c r="Q677" s="5" t="s">
        <v>122</v>
      </c>
      <c r="R677" s="6" t="s">
        <v>42</v>
      </c>
      <c r="S677" s="5" t="s">
        <v>465</v>
      </c>
      <c r="T677" s="5" t="s">
        <v>129</v>
      </c>
      <c r="U677" s="5" t="s">
        <v>44</v>
      </c>
      <c r="V677" s="5" t="s">
        <v>44</v>
      </c>
      <c r="W677" s="5" t="s">
        <v>35</v>
      </c>
      <c r="X677" s="8" t="s">
        <v>45</v>
      </c>
      <c r="Y677" s="5" t="s">
        <v>2810</v>
      </c>
      <c r="Z677" s="5" t="s">
        <v>47</v>
      </c>
      <c r="AA677" s="5" t="s">
        <v>64</v>
      </c>
      <c r="AB677" s="5" t="s">
        <v>2963</v>
      </c>
      <c r="AC677" s="6" t="s">
        <v>1450</v>
      </c>
      <c r="AD677" s="6">
        <v>941.0</v>
      </c>
    </row>
    <row r="678" ht="56.25" customHeight="1">
      <c r="A678" s="5" t="s">
        <v>2803</v>
      </c>
      <c r="B678" s="6" t="str">
        <f>IMAGE("https://storage.googleapis.com/acdb/housewares/FtrDJbooth_Remake_3_7.png")</f>
        <v/>
      </c>
      <c r="C678" s="5" t="s">
        <v>69</v>
      </c>
      <c r="D678" s="5" t="s">
        <v>34</v>
      </c>
      <c r="E678" s="5" t="s">
        <v>2863</v>
      </c>
      <c r="F678" s="5" t="s">
        <v>2808</v>
      </c>
      <c r="G678" s="5" t="s">
        <v>36</v>
      </c>
      <c r="H678" s="5" t="s">
        <v>36</v>
      </c>
      <c r="I678" s="5" t="s">
        <v>35</v>
      </c>
      <c r="J678" s="6">
        <v>4.0</v>
      </c>
      <c r="K678" s="6">
        <v>9300.0</v>
      </c>
      <c r="L678" s="6">
        <v>2325.0</v>
      </c>
      <c r="M678" s="8" t="s">
        <v>69</v>
      </c>
      <c r="N678" s="8" t="s">
        <v>69</v>
      </c>
      <c r="O678" s="6" t="s">
        <v>276</v>
      </c>
      <c r="P678" s="5" t="s">
        <v>59</v>
      </c>
      <c r="Q678" s="5" t="s">
        <v>122</v>
      </c>
      <c r="R678" s="6" t="s">
        <v>42</v>
      </c>
      <c r="S678" s="5" t="s">
        <v>465</v>
      </c>
      <c r="T678" s="5" t="s">
        <v>129</v>
      </c>
      <c r="U678" s="5" t="s">
        <v>44</v>
      </c>
      <c r="V678" s="5" t="s">
        <v>44</v>
      </c>
      <c r="W678" s="5" t="s">
        <v>35</v>
      </c>
      <c r="X678" s="8" t="s">
        <v>45</v>
      </c>
      <c r="Y678" s="5" t="s">
        <v>2810</v>
      </c>
      <c r="Z678" s="5" t="s">
        <v>47</v>
      </c>
      <c r="AA678" s="5" t="s">
        <v>64</v>
      </c>
      <c r="AB678" s="5" t="s">
        <v>2969</v>
      </c>
      <c r="AC678" s="6" t="s">
        <v>1792</v>
      </c>
      <c r="AD678" s="6">
        <v>941.0</v>
      </c>
    </row>
    <row r="679" ht="56.25" customHeight="1">
      <c r="A679" s="5" t="s">
        <v>2970</v>
      </c>
      <c r="B679" s="6" t="str">
        <f>IMAGE("https://storage.googleapis.com/acdb/housewares/FtrDoghouse_Remake_0_0.png")</f>
        <v/>
      </c>
      <c r="C679" s="5" t="s">
        <v>32</v>
      </c>
      <c r="D679" s="5" t="s">
        <v>748</v>
      </c>
      <c r="E679" s="5" t="s">
        <v>34</v>
      </c>
      <c r="F679" s="5" t="s">
        <v>34</v>
      </c>
      <c r="G679" s="5" t="s">
        <v>35</v>
      </c>
      <c r="H679" s="5" t="s">
        <v>35</v>
      </c>
      <c r="I679" s="5" t="s">
        <v>36</v>
      </c>
      <c r="J679" s="6">
        <v>3.0</v>
      </c>
      <c r="K679" s="6" t="s">
        <v>37</v>
      </c>
      <c r="L679" s="6">
        <v>2040.0</v>
      </c>
      <c r="M679" s="8" t="s">
        <v>39</v>
      </c>
      <c r="N679" s="8" t="s">
        <v>39</v>
      </c>
      <c r="O679" s="6" t="s">
        <v>40</v>
      </c>
      <c r="P679" s="5" t="s">
        <v>41</v>
      </c>
      <c r="Q679" s="5"/>
      <c r="R679" s="6" t="s">
        <v>42</v>
      </c>
      <c r="S679" s="5" t="s">
        <v>172</v>
      </c>
      <c r="T679" s="5" t="s">
        <v>44</v>
      </c>
      <c r="U679" s="5" t="s">
        <v>44</v>
      </c>
      <c r="V679" s="5" t="s">
        <v>44</v>
      </c>
      <c r="W679" s="5" t="s">
        <v>35</v>
      </c>
      <c r="X679" s="8" t="s">
        <v>330</v>
      </c>
      <c r="Y679" s="5" t="s">
        <v>46</v>
      </c>
      <c r="Z679" s="5" t="s">
        <v>47</v>
      </c>
      <c r="AA679" s="5" t="s">
        <v>48</v>
      </c>
      <c r="AB679" s="5" t="s">
        <v>2972</v>
      </c>
      <c r="AC679" s="6" t="s">
        <v>50</v>
      </c>
      <c r="AD679" s="6">
        <v>1799.0</v>
      </c>
    </row>
    <row r="680" ht="56.25" customHeight="1">
      <c r="A680" s="5" t="s">
        <v>2970</v>
      </c>
      <c r="B680" s="6" t="str">
        <f>IMAGE("https://storage.googleapis.com/acdb/housewares/FtrDoghouse_Remake_1_0.png")</f>
        <v/>
      </c>
      <c r="C680" s="5" t="s">
        <v>96</v>
      </c>
      <c r="D680" s="5" t="s">
        <v>748</v>
      </c>
      <c r="E680" s="5" t="s">
        <v>34</v>
      </c>
      <c r="F680" s="5" t="s">
        <v>34</v>
      </c>
      <c r="G680" s="5" t="s">
        <v>35</v>
      </c>
      <c r="H680" s="5" t="s">
        <v>35</v>
      </c>
      <c r="I680" s="5" t="s">
        <v>36</v>
      </c>
      <c r="J680" s="6">
        <v>3.0</v>
      </c>
      <c r="K680" s="6" t="s">
        <v>37</v>
      </c>
      <c r="L680" s="6">
        <v>2040.0</v>
      </c>
      <c r="M680" s="8" t="s">
        <v>96</v>
      </c>
      <c r="N680" s="8" t="s">
        <v>39</v>
      </c>
      <c r="O680" s="6" t="s">
        <v>40</v>
      </c>
      <c r="P680" s="5" t="s">
        <v>41</v>
      </c>
      <c r="Q680" s="5"/>
      <c r="R680" s="6" t="s">
        <v>42</v>
      </c>
      <c r="S680" s="5" t="s">
        <v>172</v>
      </c>
      <c r="T680" s="5" t="s">
        <v>44</v>
      </c>
      <c r="U680" s="5" t="s">
        <v>44</v>
      </c>
      <c r="V680" s="5" t="s">
        <v>44</v>
      </c>
      <c r="W680" s="5" t="s">
        <v>35</v>
      </c>
      <c r="X680" s="8" t="s">
        <v>330</v>
      </c>
      <c r="Y680" s="5" t="s">
        <v>46</v>
      </c>
      <c r="Z680" s="5" t="s">
        <v>47</v>
      </c>
      <c r="AA680" s="5" t="s">
        <v>48</v>
      </c>
      <c r="AB680" s="5" t="s">
        <v>2976</v>
      </c>
      <c r="AC680" s="6" t="s">
        <v>56</v>
      </c>
      <c r="AD680" s="6">
        <v>1799.0</v>
      </c>
    </row>
    <row r="681" ht="56.25" customHeight="1">
      <c r="A681" s="5" t="s">
        <v>2970</v>
      </c>
      <c r="B681" s="6" t="str">
        <f>IMAGE("https://storage.googleapis.com/acdb/housewares/FtrDoghouse_Remake_2_0.png")</f>
        <v/>
      </c>
      <c r="C681" s="5" t="s">
        <v>68</v>
      </c>
      <c r="D681" s="5" t="s">
        <v>748</v>
      </c>
      <c r="E681" s="5" t="s">
        <v>34</v>
      </c>
      <c r="F681" s="5" t="s">
        <v>34</v>
      </c>
      <c r="G681" s="5" t="s">
        <v>35</v>
      </c>
      <c r="H681" s="5" t="s">
        <v>35</v>
      </c>
      <c r="I681" s="5" t="s">
        <v>36</v>
      </c>
      <c r="J681" s="6">
        <v>3.0</v>
      </c>
      <c r="K681" s="6" t="s">
        <v>37</v>
      </c>
      <c r="L681" s="6">
        <v>2040.0</v>
      </c>
      <c r="M681" s="8" t="s">
        <v>68</v>
      </c>
      <c r="N681" s="8" t="s">
        <v>39</v>
      </c>
      <c r="O681" s="6" t="s">
        <v>40</v>
      </c>
      <c r="P681" s="5" t="s">
        <v>41</v>
      </c>
      <c r="Q681" s="5"/>
      <c r="R681" s="6" t="s">
        <v>42</v>
      </c>
      <c r="S681" s="5" t="s">
        <v>172</v>
      </c>
      <c r="T681" s="5" t="s">
        <v>44</v>
      </c>
      <c r="U681" s="5" t="s">
        <v>44</v>
      </c>
      <c r="V681" s="5" t="s">
        <v>44</v>
      </c>
      <c r="W681" s="5" t="s">
        <v>35</v>
      </c>
      <c r="X681" s="8" t="s">
        <v>330</v>
      </c>
      <c r="Y681" s="5" t="s">
        <v>46</v>
      </c>
      <c r="Z681" s="5" t="s">
        <v>47</v>
      </c>
      <c r="AA681" s="5" t="s">
        <v>48</v>
      </c>
      <c r="AB681" s="5" t="s">
        <v>2981</v>
      </c>
      <c r="AC681" s="6" t="s">
        <v>67</v>
      </c>
      <c r="AD681" s="6">
        <v>1799.0</v>
      </c>
    </row>
    <row r="682" ht="56.25" customHeight="1">
      <c r="A682" s="5" t="s">
        <v>2970</v>
      </c>
      <c r="B682" s="6" t="str">
        <f>IMAGE("https://storage.googleapis.com/acdb/housewares/FtrDoghouse_Remake_3_0.png")</f>
        <v/>
      </c>
      <c r="C682" s="5" t="s">
        <v>52</v>
      </c>
      <c r="D682" s="5" t="s">
        <v>748</v>
      </c>
      <c r="E682" s="5" t="s">
        <v>34</v>
      </c>
      <c r="F682" s="5" t="s">
        <v>34</v>
      </c>
      <c r="G682" s="5" t="s">
        <v>35</v>
      </c>
      <c r="H682" s="5" t="s">
        <v>35</v>
      </c>
      <c r="I682" s="5" t="s">
        <v>36</v>
      </c>
      <c r="J682" s="6">
        <v>3.0</v>
      </c>
      <c r="K682" s="6" t="s">
        <v>37</v>
      </c>
      <c r="L682" s="6">
        <v>2040.0</v>
      </c>
      <c r="M682" s="8" t="s">
        <v>52</v>
      </c>
      <c r="N682" s="8" t="s">
        <v>57</v>
      </c>
      <c r="O682" s="6" t="s">
        <v>40</v>
      </c>
      <c r="P682" s="5" t="s">
        <v>41</v>
      </c>
      <c r="Q682" s="5"/>
      <c r="R682" s="6" t="s">
        <v>42</v>
      </c>
      <c r="S682" s="5" t="s">
        <v>172</v>
      </c>
      <c r="T682" s="5" t="s">
        <v>44</v>
      </c>
      <c r="U682" s="5" t="s">
        <v>44</v>
      </c>
      <c r="V682" s="5" t="s">
        <v>44</v>
      </c>
      <c r="W682" s="5" t="s">
        <v>35</v>
      </c>
      <c r="X682" s="8" t="s">
        <v>330</v>
      </c>
      <c r="Y682" s="5" t="s">
        <v>46</v>
      </c>
      <c r="Z682" s="5" t="s">
        <v>47</v>
      </c>
      <c r="AA682" s="5" t="s">
        <v>48</v>
      </c>
      <c r="AB682" s="5" t="s">
        <v>2987</v>
      </c>
      <c r="AC682" s="6" t="s">
        <v>71</v>
      </c>
      <c r="AD682" s="6">
        <v>1799.0</v>
      </c>
    </row>
    <row r="683" ht="56.25" customHeight="1">
      <c r="A683" s="5" t="s">
        <v>2970</v>
      </c>
      <c r="B683" s="6" t="str">
        <f>IMAGE("https://storage.googleapis.com/acdb/housewares/FtrDoghouse_Remake_4_0.png")</f>
        <v/>
      </c>
      <c r="C683" s="5" t="s">
        <v>54</v>
      </c>
      <c r="D683" s="5" t="s">
        <v>748</v>
      </c>
      <c r="E683" s="5" t="s">
        <v>34</v>
      </c>
      <c r="F683" s="5" t="s">
        <v>34</v>
      </c>
      <c r="G683" s="5" t="s">
        <v>35</v>
      </c>
      <c r="H683" s="5" t="s">
        <v>35</v>
      </c>
      <c r="I683" s="5" t="s">
        <v>36</v>
      </c>
      <c r="J683" s="6">
        <v>3.0</v>
      </c>
      <c r="K683" s="6" t="s">
        <v>37</v>
      </c>
      <c r="L683" s="6">
        <v>2040.0</v>
      </c>
      <c r="M683" s="8" t="s">
        <v>54</v>
      </c>
      <c r="N683" s="8" t="s">
        <v>1175</v>
      </c>
      <c r="O683" s="6" t="s">
        <v>40</v>
      </c>
      <c r="P683" s="5" t="s">
        <v>41</v>
      </c>
      <c r="Q683" s="5"/>
      <c r="R683" s="6" t="s">
        <v>42</v>
      </c>
      <c r="S683" s="5" t="s">
        <v>172</v>
      </c>
      <c r="T683" s="5" t="s">
        <v>44</v>
      </c>
      <c r="U683" s="5" t="s">
        <v>44</v>
      </c>
      <c r="V683" s="5" t="s">
        <v>44</v>
      </c>
      <c r="W683" s="5" t="s">
        <v>35</v>
      </c>
      <c r="X683" s="8" t="s">
        <v>330</v>
      </c>
      <c r="Y683" s="5" t="s">
        <v>46</v>
      </c>
      <c r="Z683" s="5" t="s">
        <v>47</v>
      </c>
      <c r="AA683" s="5" t="s">
        <v>48</v>
      </c>
      <c r="AB683" s="5" t="s">
        <v>2993</v>
      </c>
      <c r="AC683" s="6" t="s">
        <v>75</v>
      </c>
      <c r="AD683" s="6">
        <v>1799.0</v>
      </c>
    </row>
    <row r="684" ht="56.25" customHeight="1">
      <c r="A684" s="5" t="s">
        <v>2994</v>
      </c>
      <c r="B684" s="6" t="str">
        <f>IMAGE("https://storage.googleapis.com/acdb/housewares/FtrSofaL_Remake_0_0.png")</f>
        <v/>
      </c>
      <c r="C684" s="5" t="s">
        <v>52</v>
      </c>
      <c r="D684" s="5" t="s">
        <v>34</v>
      </c>
      <c r="E684" s="5" t="s">
        <v>34</v>
      </c>
      <c r="F684" s="5" t="s">
        <v>34</v>
      </c>
      <c r="G684" s="5" t="s">
        <v>36</v>
      </c>
      <c r="H684" s="5" t="s">
        <v>36</v>
      </c>
      <c r="I684" s="5" t="s">
        <v>36</v>
      </c>
      <c r="J684" s="6" t="s">
        <v>34</v>
      </c>
      <c r="K684" s="6">
        <v>4300.0</v>
      </c>
      <c r="L684" s="6">
        <v>1075.0</v>
      </c>
      <c r="M684" s="8" t="s">
        <v>52</v>
      </c>
      <c r="N684" s="8" t="s">
        <v>52</v>
      </c>
      <c r="O684" s="6" t="s">
        <v>276</v>
      </c>
      <c r="P684" s="5" t="s">
        <v>59</v>
      </c>
      <c r="Q684" s="5" t="s">
        <v>89</v>
      </c>
      <c r="R684" s="6" t="s">
        <v>42</v>
      </c>
      <c r="S684" s="5" t="s">
        <v>90</v>
      </c>
      <c r="T684" s="5" t="s">
        <v>44</v>
      </c>
      <c r="U684" s="5" t="s">
        <v>44</v>
      </c>
      <c r="V684" s="5" t="s">
        <v>44</v>
      </c>
      <c r="W684" s="5" t="s">
        <v>35</v>
      </c>
      <c r="X684" s="8" t="s">
        <v>671</v>
      </c>
      <c r="Y684" s="5" t="s">
        <v>46</v>
      </c>
      <c r="Z684" s="5" t="s">
        <v>47</v>
      </c>
      <c r="AA684" s="5" t="s">
        <v>64</v>
      </c>
      <c r="AB684" s="5" t="s">
        <v>2999</v>
      </c>
      <c r="AC684" s="6" t="s">
        <v>50</v>
      </c>
      <c r="AD684" s="6">
        <v>2554.0</v>
      </c>
    </row>
    <row r="685" ht="56.25" customHeight="1">
      <c r="A685" s="5" t="s">
        <v>2994</v>
      </c>
      <c r="B685" s="6" t="str">
        <f>IMAGE("https://storage.googleapis.com/acdb/housewares/FtrSofaL_Remake_1_0.png")</f>
        <v/>
      </c>
      <c r="C685" s="5" t="s">
        <v>114</v>
      </c>
      <c r="D685" s="5" t="s">
        <v>34</v>
      </c>
      <c r="E685" s="5" t="s">
        <v>34</v>
      </c>
      <c r="F685" s="5" t="s">
        <v>34</v>
      </c>
      <c r="G685" s="5" t="s">
        <v>36</v>
      </c>
      <c r="H685" s="5" t="s">
        <v>36</v>
      </c>
      <c r="I685" s="5" t="s">
        <v>36</v>
      </c>
      <c r="J685" s="6" t="s">
        <v>34</v>
      </c>
      <c r="K685" s="6">
        <v>4300.0</v>
      </c>
      <c r="L685" s="6">
        <v>1075.0</v>
      </c>
      <c r="M685" s="8" t="s">
        <v>114</v>
      </c>
      <c r="N685" s="8" t="s">
        <v>114</v>
      </c>
      <c r="O685" s="6" t="s">
        <v>276</v>
      </c>
      <c r="P685" s="5" t="s">
        <v>59</v>
      </c>
      <c r="Q685" s="5" t="s">
        <v>89</v>
      </c>
      <c r="R685" s="6" t="s">
        <v>42</v>
      </c>
      <c r="S685" s="5" t="s">
        <v>90</v>
      </c>
      <c r="T685" s="5" t="s">
        <v>44</v>
      </c>
      <c r="U685" s="5" t="s">
        <v>44</v>
      </c>
      <c r="V685" s="5" t="s">
        <v>44</v>
      </c>
      <c r="W685" s="5" t="s">
        <v>35</v>
      </c>
      <c r="X685" s="8" t="s">
        <v>671</v>
      </c>
      <c r="Y685" s="5" t="s">
        <v>46</v>
      </c>
      <c r="Z685" s="5" t="s">
        <v>47</v>
      </c>
      <c r="AA685" s="5" t="s">
        <v>64</v>
      </c>
      <c r="AB685" s="5" t="s">
        <v>3001</v>
      </c>
      <c r="AC685" s="6" t="s">
        <v>56</v>
      </c>
      <c r="AD685" s="6">
        <v>2554.0</v>
      </c>
    </row>
    <row r="686" ht="56.25" customHeight="1">
      <c r="A686" s="5" t="s">
        <v>2994</v>
      </c>
      <c r="B686" s="6" t="str">
        <f>IMAGE("https://storage.googleapis.com/acdb/housewares/FtrSofaL_Remake_2_0.png")</f>
        <v/>
      </c>
      <c r="C686" s="5" t="s">
        <v>96</v>
      </c>
      <c r="D686" s="5" t="s">
        <v>34</v>
      </c>
      <c r="E686" s="5" t="s">
        <v>34</v>
      </c>
      <c r="F686" s="5" t="s">
        <v>34</v>
      </c>
      <c r="G686" s="5" t="s">
        <v>36</v>
      </c>
      <c r="H686" s="5" t="s">
        <v>36</v>
      </c>
      <c r="I686" s="5" t="s">
        <v>36</v>
      </c>
      <c r="J686" s="6" t="s">
        <v>34</v>
      </c>
      <c r="K686" s="6">
        <v>4300.0</v>
      </c>
      <c r="L686" s="6">
        <v>1075.0</v>
      </c>
      <c r="M686" s="8" t="s">
        <v>96</v>
      </c>
      <c r="N686" s="8" t="s">
        <v>96</v>
      </c>
      <c r="O686" s="6" t="s">
        <v>276</v>
      </c>
      <c r="P686" s="5" t="s">
        <v>59</v>
      </c>
      <c r="Q686" s="5" t="s">
        <v>89</v>
      </c>
      <c r="R686" s="6" t="s">
        <v>42</v>
      </c>
      <c r="S686" s="5" t="s">
        <v>90</v>
      </c>
      <c r="T686" s="5" t="s">
        <v>44</v>
      </c>
      <c r="U686" s="5" t="s">
        <v>44</v>
      </c>
      <c r="V686" s="5" t="s">
        <v>44</v>
      </c>
      <c r="W686" s="5" t="s">
        <v>35</v>
      </c>
      <c r="X686" s="8" t="s">
        <v>671</v>
      </c>
      <c r="Y686" s="5" t="s">
        <v>46</v>
      </c>
      <c r="Z686" s="5" t="s">
        <v>47</v>
      </c>
      <c r="AA686" s="5" t="s">
        <v>64</v>
      </c>
      <c r="AB686" s="5" t="s">
        <v>3005</v>
      </c>
      <c r="AC686" s="6" t="s">
        <v>67</v>
      </c>
      <c r="AD686" s="6">
        <v>2554.0</v>
      </c>
    </row>
    <row r="687" ht="56.25" customHeight="1">
      <c r="A687" s="5" t="s">
        <v>2994</v>
      </c>
      <c r="B687" s="6" t="str">
        <f>IMAGE("https://storage.googleapis.com/acdb/housewares/FtrSofaL_Remake_3_0.png")</f>
        <v/>
      </c>
      <c r="C687" s="5" t="s">
        <v>68</v>
      </c>
      <c r="D687" s="5" t="s">
        <v>34</v>
      </c>
      <c r="E687" s="5" t="s">
        <v>34</v>
      </c>
      <c r="F687" s="5" t="s">
        <v>34</v>
      </c>
      <c r="G687" s="5" t="s">
        <v>36</v>
      </c>
      <c r="H687" s="5" t="s">
        <v>36</v>
      </c>
      <c r="I687" s="5" t="s">
        <v>36</v>
      </c>
      <c r="J687" s="6" t="s">
        <v>34</v>
      </c>
      <c r="K687" s="6">
        <v>4300.0</v>
      </c>
      <c r="L687" s="6">
        <v>1075.0</v>
      </c>
      <c r="M687" s="8" t="s">
        <v>68</v>
      </c>
      <c r="N687" s="8" t="s">
        <v>68</v>
      </c>
      <c r="O687" s="6" t="s">
        <v>276</v>
      </c>
      <c r="P687" s="5" t="s">
        <v>59</v>
      </c>
      <c r="Q687" s="5" t="s">
        <v>89</v>
      </c>
      <c r="R687" s="6" t="s">
        <v>42</v>
      </c>
      <c r="S687" s="5" t="s">
        <v>90</v>
      </c>
      <c r="T687" s="5" t="s">
        <v>44</v>
      </c>
      <c r="U687" s="5" t="s">
        <v>44</v>
      </c>
      <c r="V687" s="5" t="s">
        <v>44</v>
      </c>
      <c r="W687" s="5" t="s">
        <v>35</v>
      </c>
      <c r="X687" s="8" t="s">
        <v>671</v>
      </c>
      <c r="Y687" s="5" t="s">
        <v>46</v>
      </c>
      <c r="Z687" s="5" t="s">
        <v>47</v>
      </c>
      <c r="AA687" s="5" t="s">
        <v>64</v>
      </c>
      <c r="AB687" s="5" t="s">
        <v>3010</v>
      </c>
      <c r="AC687" s="6" t="s">
        <v>71</v>
      </c>
      <c r="AD687" s="6">
        <v>2554.0</v>
      </c>
    </row>
    <row r="688" ht="56.25" customHeight="1">
      <c r="A688" s="5" t="s">
        <v>2994</v>
      </c>
      <c r="B688" s="6" t="str">
        <f>IMAGE("https://storage.googleapis.com/acdb/housewares/FtrSofaL_Remake_4_0.png")</f>
        <v/>
      </c>
      <c r="C688" s="5" t="s">
        <v>57</v>
      </c>
      <c r="D688" s="5" t="s">
        <v>34</v>
      </c>
      <c r="E688" s="5" t="s">
        <v>34</v>
      </c>
      <c r="F688" s="5" t="s">
        <v>34</v>
      </c>
      <c r="G688" s="5" t="s">
        <v>36</v>
      </c>
      <c r="H688" s="5" t="s">
        <v>36</v>
      </c>
      <c r="I688" s="5" t="s">
        <v>36</v>
      </c>
      <c r="J688" s="6" t="s">
        <v>34</v>
      </c>
      <c r="K688" s="6">
        <v>4300.0</v>
      </c>
      <c r="L688" s="6">
        <v>1075.0</v>
      </c>
      <c r="M688" s="8" t="s">
        <v>57</v>
      </c>
      <c r="N688" s="8" t="s">
        <v>57</v>
      </c>
      <c r="O688" s="6" t="s">
        <v>276</v>
      </c>
      <c r="P688" s="5" t="s">
        <v>59</v>
      </c>
      <c r="Q688" s="5" t="s">
        <v>89</v>
      </c>
      <c r="R688" s="6" t="s">
        <v>42</v>
      </c>
      <c r="S688" s="5" t="s">
        <v>90</v>
      </c>
      <c r="T688" s="5" t="s">
        <v>44</v>
      </c>
      <c r="U688" s="5" t="s">
        <v>44</v>
      </c>
      <c r="V688" s="5" t="s">
        <v>44</v>
      </c>
      <c r="W688" s="5" t="s">
        <v>35</v>
      </c>
      <c r="X688" s="8" t="s">
        <v>671</v>
      </c>
      <c r="Y688" s="5" t="s">
        <v>46</v>
      </c>
      <c r="Z688" s="5" t="s">
        <v>47</v>
      </c>
      <c r="AA688" s="5" t="s">
        <v>64</v>
      </c>
      <c r="AB688" s="5" t="s">
        <v>3011</v>
      </c>
      <c r="AC688" s="6" t="s">
        <v>75</v>
      </c>
      <c r="AD688" s="6">
        <v>2554.0</v>
      </c>
    </row>
    <row r="689" ht="56.25" customHeight="1">
      <c r="A689" s="5" t="s">
        <v>2994</v>
      </c>
      <c r="B689" s="6" t="str">
        <f>IMAGE("https://storage.googleapis.com/acdb/housewares/FtrSofaL_Remake_5_0.png")</f>
        <v/>
      </c>
      <c r="C689" s="5" t="s">
        <v>935</v>
      </c>
      <c r="D689" s="5" t="s">
        <v>34</v>
      </c>
      <c r="E689" s="5" t="s">
        <v>34</v>
      </c>
      <c r="F689" s="5" t="s">
        <v>34</v>
      </c>
      <c r="G689" s="5" t="s">
        <v>36</v>
      </c>
      <c r="H689" s="5" t="s">
        <v>36</v>
      </c>
      <c r="I689" s="5" t="s">
        <v>36</v>
      </c>
      <c r="J689" s="6" t="s">
        <v>34</v>
      </c>
      <c r="K689" s="6">
        <v>4300.0</v>
      </c>
      <c r="L689" s="6">
        <v>1075.0</v>
      </c>
      <c r="M689" s="8" t="s">
        <v>142</v>
      </c>
      <c r="N689" s="8" t="s">
        <v>142</v>
      </c>
      <c r="O689" s="6" t="s">
        <v>276</v>
      </c>
      <c r="P689" s="5" t="s">
        <v>59</v>
      </c>
      <c r="Q689" s="5" t="s">
        <v>89</v>
      </c>
      <c r="R689" s="6" t="s">
        <v>42</v>
      </c>
      <c r="S689" s="5" t="s">
        <v>90</v>
      </c>
      <c r="T689" s="5" t="s">
        <v>44</v>
      </c>
      <c r="U689" s="5" t="s">
        <v>44</v>
      </c>
      <c r="V689" s="5" t="s">
        <v>44</v>
      </c>
      <c r="W689" s="5" t="s">
        <v>35</v>
      </c>
      <c r="X689" s="8" t="s">
        <v>671</v>
      </c>
      <c r="Y689" s="5" t="s">
        <v>46</v>
      </c>
      <c r="Z689" s="5" t="s">
        <v>47</v>
      </c>
      <c r="AA689" s="5" t="s">
        <v>64</v>
      </c>
      <c r="AB689" s="5" t="s">
        <v>3016</v>
      </c>
      <c r="AC689" s="6" t="s">
        <v>79</v>
      </c>
      <c r="AD689" s="6">
        <v>2554.0</v>
      </c>
    </row>
    <row r="690" ht="56.25" customHeight="1">
      <c r="A690" s="5" t="s">
        <v>2994</v>
      </c>
      <c r="B690" s="6" t="str">
        <f>IMAGE("https://storage.googleapis.com/acdb/housewares/FtrSofaL_Remake_6_0.png")</f>
        <v/>
      </c>
      <c r="C690" s="5" t="s">
        <v>387</v>
      </c>
      <c r="D690" s="5" t="s">
        <v>34</v>
      </c>
      <c r="E690" s="5" t="s">
        <v>34</v>
      </c>
      <c r="F690" s="5" t="s">
        <v>34</v>
      </c>
      <c r="G690" s="5" t="s">
        <v>36</v>
      </c>
      <c r="H690" s="5" t="s">
        <v>36</v>
      </c>
      <c r="I690" s="5" t="s">
        <v>36</v>
      </c>
      <c r="J690" s="6" t="s">
        <v>34</v>
      </c>
      <c r="K690" s="6">
        <v>4300.0</v>
      </c>
      <c r="L690" s="6">
        <v>1075.0</v>
      </c>
      <c r="M690" s="8" t="s">
        <v>39</v>
      </c>
      <c r="N690" s="8" t="s">
        <v>39</v>
      </c>
      <c r="O690" s="6" t="s">
        <v>276</v>
      </c>
      <c r="P690" s="5" t="s">
        <v>59</v>
      </c>
      <c r="Q690" s="5" t="s">
        <v>89</v>
      </c>
      <c r="R690" s="6" t="s">
        <v>42</v>
      </c>
      <c r="S690" s="5" t="s">
        <v>90</v>
      </c>
      <c r="T690" s="5" t="s">
        <v>44</v>
      </c>
      <c r="U690" s="5" t="s">
        <v>44</v>
      </c>
      <c r="V690" s="5" t="s">
        <v>44</v>
      </c>
      <c r="W690" s="5" t="s">
        <v>35</v>
      </c>
      <c r="X690" s="8" t="s">
        <v>671</v>
      </c>
      <c r="Y690" s="5" t="s">
        <v>46</v>
      </c>
      <c r="Z690" s="5" t="s">
        <v>47</v>
      </c>
      <c r="AA690" s="5" t="s">
        <v>64</v>
      </c>
      <c r="AB690" s="5" t="s">
        <v>3021</v>
      </c>
      <c r="AC690" s="6" t="s">
        <v>86</v>
      </c>
      <c r="AD690" s="6">
        <v>2554.0</v>
      </c>
    </row>
    <row r="691" ht="56.25" customHeight="1">
      <c r="A691" s="5" t="s">
        <v>2994</v>
      </c>
      <c r="B691" s="6" t="str">
        <f>IMAGE("https://storage.googleapis.com/acdb/housewares/FtrSofaL_Remake_7_0.png")</f>
        <v/>
      </c>
      <c r="C691" s="5" t="s">
        <v>54</v>
      </c>
      <c r="D691" s="5" t="s">
        <v>34</v>
      </c>
      <c r="E691" s="5" t="s">
        <v>34</v>
      </c>
      <c r="F691" s="5" t="s">
        <v>34</v>
      </c>
      <c r="G691" s="5" t="s">
        <v>36</v>
      </c>
      <c r="H691" s="5" t="s">
        <v>36</v>
      </c>
      <c r="I691" s="5" t="s">
        <v>36</v>
      </c>
      <c r="J691" s="6" t="s">
        <v>34</v>
      </c>
      <c r="K691" s="6">
        <v>4300.0</v>
      </c>
      <c r="L691" s="6">
        <v>1075.0</v>
      </c>
      <c r="M691" s="8" t="s">
        <v>54</v>
      </c>
      <c r="N691" s="8" t="s">
        <v>54</v>
      </c>
      <c r="O691" s="6" t="s">
        <v>276</v>
      </c>
      <c r="P691" s="5" t="s">
        <v>59</v>
      </c>
      <c r="Q691" s="5" t="s">
        <v>89</v>
      </c>
      <c r="R691" s="6" t="s">
        <v>42</v>
      </c>
      <c r="S691" s="5" t="s">
        <v>90</v>
      </c>
      <c r="T691" s="5" t="s">
        <v>44</v>
      </c>
      <c r="U691" s="5" t="s">
        <v>44</v>
      </c>
      <c r="V691" s="5" t="s">
        <v>44</v>
      </c>
      <c r="W691" s="5" t="s">
        <v>35</v>
      </c>
      <c r="X691" s="8" t="s">
        <v>671</v>
      </c>
      <c r="Y691" s="5" t="s">
        <v>46</v>
      </c>
      <c r="Z691" s="5" t="s">
        <v>47</v>
      </c>
      <c r="AA691" s="5" t="s">
        <v>64</v>
      </c>
      <c r="AB691" s="5" t="s">
        <v>3022</v>
      </c>
      <c r="AC691" s="6" t="s">
        <v>208</v>
      </c>
      <c r="AD691" s="6">
        <v>2554.0</v>
      </c>
    </row>
    <row r="692" ht="56.25" customHeight="1">
      <c r="A692" s="5" t="s">
        <v>3024</v>
      </c>
      <c r="B692" s="6" t="str">
        <f>IMAGE("https://storage.googleapis.com/acdb/housewares/FtrRefrigeratorDoubledoor_Remake_0_0.png")</f>
        <v/>
      </c>
      <c r="C692" s="5" t="s">
        <v>146</v>
      </c>
      <c r="D692" s="5" t="s">
        <v>34</v>
      </c>
      <c r="E692" s="5" t="s">
        <v>34</v>
      </c>
      <c r="F692" s="5" t="s">
        <v>34</v>
      </c>
      <c r="G692" s="5" t="s">
        <v>36</v>
      </c>
      <c r="H692" s="5" t="s">
        <v>36</v>
      </c>
      <c r="I692" s="5" t="s">
        <v>36</v>
      </c>
      <c r="J692" s="6" t="s">
        <v>34</v>
      </c>
      <c r="K692" s="6">
        <v>60000.0</v>
      </c>
      <c r="L692" s="6">
        <v>15000.0</v>
      </c>
      <c r="M692" s="8" t="s">
        <v>95</v>
      </c>
      <c r="N692" s="8" t="s">
        <v>95</v>
      </c>
      <c r="O692" s="6" t="s">
        <v>40</v>
      </c>
      <c r="P692" s="5" t="s">
        <v>59</v>
      </c>
      <c r="Q692" s="5" t="s">
        <v>115</v>
      </c>
      <c r="R692" s="6" t="s">
        <v>42</v>
      </c>
      <c r="S692" s="5" t="s">
        <v>159</v>
      </c>
      <c r="T692" s="5" t="s">
        <v>116</v>
      </c>
      <c r="U692" s="5" t="s">
        <v>44</v>
      </c>
      <c r="V692" s="5" t="s">
        <v>44</v>
      </c>
      <c r="W692" s="5" t="s">
        <v>35</v>
      </c>
      <c r="X692" s="8" t="s">
        <v>182</v>
      </c>
      <c r="Y692" s="5" t="s">
        <v>46</v>
      </c>
      <c r="Z692" s="5" t="s">
        <v>47</v>
      </c>
      <c r="AA692" s="5" t="s">
        <v>64</v>
      </c>
      <c r="AB692" s="5" t="s">
        <v>3028</v>
      </c>
      <c r="AC692" s="6" t="s">
        <v>50</v>
      </c>
      <c r="AD692" s="6">
        <v>4109.0</v>
      </c>
    </row>
    <row r="693" ht="56.25" customHeight="1">
      <c r="A693" s="5" t="s">
        <v>3024</v>
      </c>
      <c r="B693" s="6" t="str">
        <f>IMAGE("https://storage.googleapis.com/acdb/housewares/FtrRefrigeratorDoubledoor_Remake_1_0.png")</f>
        <v/>
      </c>
      <c r="C693" s="5" t="s">
        <v>57</v>
      </c>
      <c r="D693" s="5" t="s">
        <v>34</v>
      </c>
      <c r="E693" s="5" t="s">
        <v>34</v>
      </c>
      <c r="F693" s="5" t="s">
        <v>34</v>
      </c>
      <c r="G693" s="5" t="s">
        <v>36</v>
      </c>
      <c r="H693" s="5" t="s">
        <v>36</v>
      </c>
      <c r="I693" s="5" t="s">
        <v>36</v>
      </c>
      <c r="J693" s="6" t="s">
        <v>34</v>
      </c>
      <c r="K693" s="6">
        <v>60000.0</v>
      </c>
      <c r="L693" s="6">
        <v>15000.0</v>
      </c>
      <c r="M693" s="8" t="s">
        <v>57</v>
      </c>
      <c r="N693" s="8" t="s">
        <v>95</v>
      </c>
      <c r="O693" s="6" t="s">
        <v>40</v>
      </c>
      <c r="P693" s="5" t="s">
        <v>59</v>
      </c>
      <c r="Q693" s="5" t="s">
        <v>115</v>
      </c>
      <c r="R693" s="6" t="s">
        <v>42</v>
      </c>
      <c r="S693" s="5" t="s">
        <v>159</v>
      </c>
      <c r="T693" s="5" t="s">
        <v>116</v>
      </c>
      <c r="U693" s="5" t="s">
        <v>44</v>
      </c>
      <c r="V693" s="5" t="s">
        <v>44</v>
      </c>
      <c r="W693" s="5" t="s">
        <v>35</v>
      </c>
      <c r="X693" s="8" t="s">
        <v>182</v>
      </c>
      <c r="Y693" s="5" t="s">
        <v>46</v>
      </c>
      <c r="Z693" s="5" t="s">
        <v>47</v>
      </c>
      <c r="AA693" s="5" t="s">
        <v>64</v>
      </c>
      <c r="AB693" s="5" t="s">
        <v>3034</v>
      </c>
      <c r="AC693" s="6" t="s">
        <v>56</v>
      </c>
      <c r="AD693" s="6">
        <v>4109.0</v>
      </c>
    </row>
    <row r="694" ht="56.25" customHeight="1">
      <c r="A694" s="5" t="s">
        <v>3024</v>
      </c>
      <c r="B694" s="6" t="str">
        <f>IMAGE("https://storage.googleapis.com/acdb/housewares/FtrRefrigeratorDoubledoor_Remake_2_0.png")</f>
        <v/>
      </c>
      <c r="C694" s="5" t="s">
        <v>54</v>
      </c>
      <c r="D694" s="5" t="s">
        <v>34</v>
      </c>
      <c r="E694" s="5" t="s">
        <v>34</v>
      </c>
      <c r="F694" s="5" t="s">
        <v>34</v>
      </c>
      <c r="G694" s="5" t="s">
        <v>36</v>
      </c>
      <c r="H694" s="5" t="s">
        <v>36</v>
      </c>
      <c r="I694" s="5" t="s">
        <v>36</v>
      </c>
      <c r="J694" s="6" t="s">
        <v>34</v>
      </c>
      <c r="K694" s="6">
        <v>60000.0</v>
      </c>
      <c r="L694" s="6">
        <v>15000.0</v>
      </c>
      <c r="M694" s="8" t="s">
        <v>54</v>
      </c>
      <c r="N694" s="8" t="s">
        <v>95</v>
      </c>
      <c r="O694" s="6" t="s">
        <v>40</v>
      </c>
      <c r="P694" s="5" t="s">
        <v>59</v>
      </c>
      <c r="Q694" s="5" t="s">
        <v>115</v>
      </c>
      <c r="R694" s="6" t="s">
        <v>42</v>
      </c>
      <c r="S694" s="5" t="s">
        <v>159</v>
      </c>
      <c r="T694" s="5" t="s">
        <v>116</v>
      </c>
      <c r="U694" s="5" t="s">
        <v>44</v>
      </c>
      <c r="V694" s="5" t="s">
        <v>44</v>
      </c>
      <c r="W694" s="5" t="s">
        <v>35</v>
      </c>
      <c r="X694" s="8" t="s">
        <v>182</v>
      </c>
      <c r="Y694" s="5" t="s">
        <v>46</v>
      </c>
      <c r="Z694" s="5" t="s">
        <v>47</v>
      </c>
      <c r="AA694" s="5" t="s">
        <v>64</v>
      </c>
      <c r="AB694" s="5" t="s">
        <v>3039</v>
      </c>
      <c r="AC694" s="6" t="s">
        <v>67</v>
      </c>
      <c r="AD694" s="6">
        <v>4109.0</v>
      </c>
    </row>
    <row r="695" ht="56.25" customHeight="1">
      <c r="A695" s="5" t="s">
        <v>3024</v>
      </c>
      <c r="B695" s="6" t="str">
        <f>IMAGE("https://storage.googleapis.com/acdb/housewares/FtrRefrigeratorDoubledoor_Remake_3_0.png")</f>
        <v/>
      </c>
      <c r="C695" s="5" t="s">
        <v>52</v>
      </c>
      <c r="D695" s="5" t="s">
        <v>34</v>
      </c>
      <c r="E695" s="5" t="s">
        <v>34</v>
      </c>
      <c r="F695" s="5" t="s">
        <v>34</v>
      </c>
      <c r="G695" s="5" t="s">
        <v>36</v>
      </c>
      <c r="H695" s="5" t="s">
        <v>36</v>
      </c>
      <c r="I695" s="5" t="s">
        <v>36</v>
      </c>
      <c r="J695" s="6" t="s">
        <v>34</v>
      </c>
      <c r="K695" s="6">
        <v>60000.0</v>
      </c>
      <c r="L695" s="6">
        <v>15000.0</v>
      </c>
      <c r="M695" s="8" t="s">
        <v>52</v>
      </c>
      <c r="N695" s="8" t="s">
        <v>95</v>
      </c>
      <c r="O695" s="6" t="s">
        <v>40</v>
      </c>
      <c r="P695" s="5" t="s">
        <v>59</v>
      </c>
      <c r="Q695" s="5" t="s">
        <v>115</v>
      </c>
      <c r="R695" s="6" t="s">
        <v>42</v>
      </c>
      <c r="S695" s="5" t="s">
        <v>159</v>
      </c>
      <c r="T695" s="5" t="s">
        <v>116</v>
      </c>
      <c r="U695" s="5" t="s">
        <v>44</v>
      </c>
      <c r="V695" s="5" t="s">
        <v>44</v>
      </c>
      <c r="W695" s="5" t="s">
        <v>35</v>
      </c>
      <c r="X695" s="8" t="s">
        <v>182</v>
      </c>
      <c r="Y695" s="5" t="s">
        <v>46</v>
      </c>
      <c r="Z695" s="5" t="s">
        <v>47</v>
      </c>
      <c r="AA695" s="5" t="s">
        <v>64</v>
      </c>
      <c r="AB695" s="5" t="s">
        <v>3046</v>
      </c>
      <c r="AC695" s="6" t="s">
        <v>71</v>
      </c>
      <c r="AD695" s="6">
        <v>4109.0</v>
      </c>
    </row>
    <row r="696" ht="56.25" customHeight="1">
      <c r="A696" s="5" t="s">
        <v>3047</v>
      </c>
      <c r="B696" s="6" t="str">
        <f>IMAGE("https://storage.googleapis.com/acdb/housewares/FtrDrinkmachine_Remake_0_0.png")</f>
        <v/>
      </c>
      <c r="C696" s="5" t="s">
        <v>52</v>
      </c>
      <c r="D696" s="5" t="s">
        <v>34</v>
      </c>
      <c r="E696" s="5" t="s">
        <v>3049</v>
      </c>
      <c r="F696" s="5" t="s">
        <v>3050</v>
      </c>
      <c r="G696" s="5" t="s">
        <v>36</v>
      </c>
      <c r="H696" s="5" t="s">
        <v>36</v>
      </c>
      <c r="I696" s="5" t="s">
        <v>35</v>
      </c>
      <c r="J696" s="6">
        <v>7.0</v>
      </c>
      <c r="K696" s="6" t="s">
        <v>37</v>
      </c>
      <c r="L696" s="6">
        <v>10000.0</v>
      </c>
      <c r="M696" s="8" t="s">
        <v>52</v>
      </c>
      <c r="N696" s="8" t="s">
        <v>142</v>
      </c>
      <c r="O696" s="6" t="s">
        <v>40</v>
      </c>
      <c r="P696" s="5" t="s">
        <v>2140</v>
      </c>
      <c r="Q696" s="5"/>
      <c r="R696" s="6" t="s">
        <v>42</v>
      </c>
      <c r="S696" s="5" t="s">
        <v>62</v>
      </c>
      <c r="T696" s="5" t="s">
        <v>141</v>
      </c>
      <c r="U696" s="5" t="s">
        <v>44</v>
      </c>
      <c r="V696" s="5" t="s">
        <v>44</v>
      </c>
      <c r="W696" s="5" t="s">
        <v>35</v>
      </c>
      <c r="X696" s="8" t="s">
        <v>921</v>
      </c>
      <c r="Y696" s="5" t="s">
        <v>46</v>
      </c>
      <c r="Z696" s="5" t="s">
        <v>357</v>
      </c>
      <c r="AA696" s="5" t="s">
        <v>48</v>
      </c>
      <c r="AB696" s="5" t="s">
        <v>3053</v>
      </c>
      <c r="AC696" s="6" t="s">
        <v>50</v>
      </c>
      <c r="AD696" s="6">
        <v>1802.0</v>
      </c>
    </row>
    <row r="697" ht="56.25" customHeight="1">
      <c r="A697" s="5" t="s">
        <v>3047</v>
      </c>
      <c r="B697" s="6" t="str">
        <f>IMAGE("https://storage.googleapis.com/acdb/housewares/FtrDrinkmachine_Remake_0_1.png")</f>
        <v/>
      </c>
      <c r="C697" s="5" t="s">
        <v>52</v>
      </c>
      <c r="D697" s="5" t="s">
        <v>34</v>
      </c>
      <c r="E697" s="5" t="s">
        <v>3055</v>
      </c>
      <c r="F697" s="5" t="s">
        <v>3050</v>
      </c>
      <c r="G697" s="5" t="s">
        <v>36</v>
      </c>
      <c r="H697" s="5" t="s">
        <v>36</v>
      </c>
      <c r="I697" s="5" t="s">
        <v>35</v>
      </c>
      <c r="J697" s="6">
        <v>7.0</v>
      </c>
      <c r="K697" s="6" t="s">
        <v>37</v>
      </c>
      <c r="L697" s="6">
        <v>10000.0</v>
      </c>
      <c r="M697" s="8" t="s">
        <v>52</v>
      </c>
      <c r="N697" s="8" t="s">
        <v>1175</v>
      </c>
      <c r="O697" s="6" t="s">
        <v>40</v>
      </c>
      <c r="P697" s="5" t="s">
        <v>2140</v>
      </c>
      <c r="Q697" s="5"/>
      <c r="R697" s="6" t="s">
        <v>42</v>
      </c>
      <c r="S697" s="5" t="s">
        <v>62</v>
      </c>
      <c r="T697" s="5" t="s">
        <v>141</v>
      </c>
      <c r="U697" s="5" t="s">
        <v>44</v>
      </c>
      <c r="V697" s="5" t="s">
        <v>44</v>
      </c>
      <c r="W697" s="5" t="s">
        <v>35</v>
      </c>
      <c r="X697" s="8" t="s">
        <v>921</v>
      </c>
      <c r="Y697" s="5" t="s">
        <v>46</v>
      </c>
      <c r="Z697" s="5" t="s">
        <v>357</v>
      </c>
      <c r="AA697" s="5" t="s">
        <v>48</v>
      </c>
      <c r="AB697" s="5" t="s">
        <v>3059</v>
      </c>
      <c r="AC697" s="6" t="s">
        <v>217</v>
      </c>
      <c r="AD697" s="6">
        <v>1802.0</v>
      </c>
    </row>
    <row r="698" ht="56.25" customHeight="1">
      <c r="A698" s="5" t="s">
        <v>3047</v>
      </c>
      <c r="B698" s="6" t="str">
        <f>IMAGE("https://storage.googleapis.com/acdb/housewares/FtrDrinkmachine_Remake_0_2.png")</f>
        <v/>
      </c>
      <c r="C698" s="5" t="s">
        <v>52</v>
      </c>
      <c r="D698" s="5" t="s">
        <v>34</v>
      </c>
      <c r="E698" s="5" t="s">
        <v>3061</v>
      </c>
      <c r="F698" s="5" t="s">
        <v>3050</v>
      </c>
      <c r="G698" s="5" t="s">
        <v>36</v>
      </c>
      <c r="H698" s="5" t="s">
        <v>36</v>
      </c>
      <c r="I698" s="5" t="s">
        <v>35</v>
      </c>
      <c r="J698" s="6">
        <v>7.0</v>
      </c>
      <c r="K698" s="6" t="s">
        <v>37</v>
      </c>
      <c r="L698" s="6">
        <v>10000.0</v>
      </c>
      <c r="M698" s="8" t="s">
        <v>52</v>
      </c>
      <c r="N698" s="8" t="s">
        <v>96</v>
      </c>
      <c r="O698" s="6" t="s">
        <v>40</v>
      </c>
      <c r="P698" s="5" t="s">
        <v>2140</v>
      </c>
      <c r="Q698" s="5"/>
      <c r="R698" s="6" t="s">
        <v>42</v>
      </c>
      <c r="S698" s="5" t="s">
        <v>62</v>
      </c>
      <c r="T698" s="5" t="s">
        <v>141</v>
      </c>
      <c r="U698" s="5" t="s">
        <v>44</v>
      </c>
      <c r="V698" s="5" t="s">
        <v>44</v>
      </c>
      <c r="W698" s="5" t="s">
        <v>35</v>
      </c>
      <c r="X698" s="8" t="s">
        <v>921</v>
      </c>
      <c r="Y698" s="5" t="s">
        <v>46</v>
      </c>
      <c r="Z698" s="5" t="s">
        <v>357</v>
      </c>
      <c r="AA698" s="5" t="s">
        <v>48</v>
      </c>
      <c r="AB698" s="5" t="s">
        <v>3065</v>
      </c>
      <c r="AC698" s="6" t="s">
        <v>347</v>
      </c>
      <c r="AD698" s="6">
        <v>1802.0</v>
      </c>
    </row>
    <row r="699" ht="56.25" customHeight="1">
      <c r="A699" s="5" t="s">
        <v>3047</v>
      </c>
      <c r="B699" s="6" t="str">
        <f>IMAGE("https://storage.googleapis.com/acdb/housewares/FtrDrinkmachine_Remake_0_3.png")</f>
        <v/>
      </c>
      <c r="C699" s="5" t="s">
        <v>52</v>
      </c>
      <c r="D699" s="5" t="s">
        <v>34</v>
      </c>
      <c r="E699" s="5" t="s">
        <v>1959</v>
      </c>
      <c r="F699" s="5" t="s">
        <v>3050</v>
      </c>
      <c r="G699" s="5" t="s">
        <v>36</v>
      </c>
      <c r="H699" s="5" t="s">
        <v>36</v>
      </c>
      <c r="I699" s="5" t="s">
        <v>35</v>
      </c>
      <c r="J699" s="6">
        <v>7.0</v>
      </c>
      <c r="K699" s="6" t="s">
        <v>37</v>
      </c>
      <c r="L699" s="6">
        <v>10000.0</v>
      </c>
      <c r="M699" s="8" t="s">
        <v>52</v>
      </c>
      <c r="N699" s="8" t="s">
        <v>57</v>
      </c>
      <c r="O699" s="6" t="s">
        <v>40</v>
      </c>
      <c r="P699" s="5" t="s">
        <v>2140</v>
      </c>
      <c r="Q699" s="5"/>
      <c r="R699" s="6" t="s">
        <v>42</v>
      </c>
      <c r="S699" s="5" t="s">
        <v>62</v>
      </c>
      <c r="T699" s="5" t="s">
        <v>141</v>
      </c>
      <c r="U699" s="5" t="s">
        <v>44</v>
      </c>
      <c r="V699" s="5" t="s">
        <v>44</v>
      </c>
      <c r="W699" s="5" t="s">
        <v>35</v>
      </c>
      <c r="X699" s="8" t="s">
        <v>921</v>
      </c>
      <c r="Y699" s="5" t="s">
        <v>46</v>
      </c>
      <c r="Z699" s="5" t="s">
        <v>357</v>
      </c>
      <c r="AA699" s="5" t="s">
        <v>48</v>
      </c>
      <c r="AB699" s="5" t="s">
        <v>3069</v>
      </c>
      <c r="AC699" s="6" t="s">
        <v>354</v>
      </c>
      <c r="AD699" s="6">
        <v>1802.0</v>
      </c>
    </row>
    <row r="700" ht="56.25" customHeight="1">
      <c r="A700" s="5" t="s">
        <v>3047</v>
      </c>
      <c r="B700" s="6" t="str">
        <f>IMAGE("https://storage.googleapis.com/acdb/housewares/FtrDrinkmachine_Remake_1_0.png")</f>
        <v/>
      </c>
      <c r="C700" s="5" t="s">
        <v>68</v>
      </c>
      <c r="D700" s="5" t="s">
        <v>34</v>
      </c>
      <c r="E700" s="5" t="s">
        <v>3049</v>
      </c>
      <c r="F700" s="5" t="s">
        <v>3050</v>
      </c>
      <c r="G700" s="5" t="s">
        <v>36</v>
      </c>
      <c r="H700" s="5" t="s">
        <v>36</v>
      </c>
      <c r="I700" s="5" t="s">
        <v>35</v>
      </c>
      <c r="J700" s="6">
        <v>7.0</v>
      </c>
      <c r="K700" s="6" t="s">
        <v>37</v>
      </c>
      <c r="L700" s="6">
        <v>10000.0</v>
      </c>
      <c r="M700" s="8" t="s">
        <v>68</v>
      </c>
      <c r="N700" s="8" t="s">
        <v>142</v>
      </c>
      <c r="O700" s="6" t="s">
        <v>40</v>
      </c>
      <c r="P700" s="5" t="s">
        <v>2140</v>
      </c>
      <c r="Q700" s="5"/>
      <c r="R700" s="6" t="s">
        <v>42</v>
      </c>
      <c r="S700" s="5" t="s">
        <v>62</v>
      </c>
      <c r="T700" s="5" t="s">
        <v>141</v>
      </c>
      <c r="U700" s="5" t="s">
        <v>44</v>
      </c>
      <c r="V700" s="5" t="s">
        <v>44</v>
      </c>
      <c r="W700" s="5" t="s">
        <v>35</v>
      </c>
      <c r="X700" s="8" t="s">
        <v>921</v>
      </c>
      <c r="Y700" s="5" t="s">
        <v>46</v>
      </c>
      <c r="Z700" s="5" t="s">
        <v>357</v>
      </c>
      <c r="AA700" s="5" t="s">
        <v>48</v>
      </c>
      <c r="AB700" s="5" t="s">
        <v>3076</v>
      </c>
      <c r="AC700" s="6" t="s">
        <v>56</v>
      </c>
      <c r="AD700" s="6">
        <v>1802.0</v>
      </c>
    </row>
    <row r="701" ht="56.25" customHeight="1">
      <c r="A701" s="5" t="s">
        <v>3047</v>
      </c>
      <c r="B701" s="6" t="str">
        <f>IMAGE("https://storage.googleapis.com/acdb/housewares/FtrDrinkmachine_Remake_1_1.png")</f>
        <v/>
      </c>
      <c r="C701" s="5" t="s">
        <v>68</v>
      </c>
      <c r="D701" s="5" t="s">
        <v>34</v>
      </c>
      <c r="E701" s="5" t="s">
        <v>3055</v>
      </c>
      <c r="F701" s="5" t="s">
        <v>3050</v>
      </c>
      <c r="G701" s="5" t="s">
        <v>36</v>
      </c>
      <c r="H701" s="5" t="s">
        <v>36</v>
      </c>
      <c r="I701" s="5" t="s">
        <v>35</v>
      </c>
      <c r="J701" s="6">
        <v>7.0</v>
      </c>
      <c r="K701" s="6" t="s">
        <v>37</v>
      </c>
      <c r="L701" s="6">
        <v>10000.0</v>
      </c>
      <c r="M701" s="8" t="s">
        <v>68</v>
      </c>
      <c r="N701" s="8" t="s">
        <v>1175</v>
      </c>
      <c r="O701" s="6" t="s">
        <v>40</v>
      </c>
      <c r="P701" s="5" t="s">
        <v>2140</v>
      </c>
      <c r="Q701" s="5"/>
      <c r="R701" s="6" t="s">
        <v>42</v>
      </c>
      <c r="S701" s="5" t="s">
        <v>62</v>
      </c>
      <c r="T701" s="5" t="s">
        <v>141</v>
      </c>
      <c r="U701" s="5" t="s">
        <v>44</v>
      </c>
      <c r="V701" s="5" t="s">
        <v>44</v>
      </c>
      <c r="W701" s="5" t="s">
        <v>35</v>
      </c>
      <c r="X701" s="8" t="s">
        <v>921</v>
      </c>
      <c r="Y701" s="5" t="s">
        <v>46</v>
      </c>
      <c r="Z701" s="5" t="s">
        <v>357</v>
      </c>
      <c r="AA701" s="5" t="s">
        <v>48</v>
      </c>
      <c r="AB701" s="5" t="s">
        <v>3080</v>
      </c>
      <c r="AC701" s="6" t="s">
        <v>234</v>
      </c>
      <c r="AD701" s="6">
        <v>1802.0</v>
      </c>
    </row>
    <row r="702" ht="56.25" customHeight="1">
      <c r="A702" s="5" t="s">
        <v>3047</v>
      </c>
      <c r="B702" s="6" t="str">
        <f>IMAGE("https://storage.googleapis.com/acdb/housewares/FtrDrinkmachine_Remake_1_2.png")</f>
        <v/>
      </c>
      <c r="C702" s="5" t="s">
        <v>68</v>
      </c>
      <c r="D702" s="5" t="s">
        <v>34</v>
      </c>
      <c r="E702" s="5" t="s">
        <v>3061</v>
      </c>
      <c r="F702" s="5" t="s">
        <v>3050</v>
      </c>
      <c r="G702" s="5" t="s">
        <v>36</v>
      </c>
      <c r="H702" s="5" t="s">
        <v>36</v>
      </c>
      <c r="I702" s="5" t="s">
        <v>35</v>
      </c>
      <c r="J702" s="6">
        <v>7.0</v>
      </c>
      <c r="K702" s="6" t="s">
        <v>37</v>
      </c>
      <c r="L702" s="6">
        <v>10000.0</v>
      </c>
      <c r="M702" s="8" t="s">
        <v>68</v>
      </c>
      <c r="N702" s="8" t="s">
        <v>96</v>
      </c>
      <c r="O702" s="6" t="s">
        <v>40</v>
      </c>
      <c r="P702" s="5" t="s">
        <v>2140</v>
      </c>
      <c r="Q702" s="5"/>
      <c r="R702" s="6" t="s">
        <v>42</v>
      </c>
      <c r="S702" s="5" t="s">
        <v>62</v>
      </c>
      <c r="T702" s="5" t="s">
        <v>141</v>
      </c>
      <c r="U702" s="5" t="s">
        <v>44</v>
      </c>
      <c r="V702" s="5" t="s">
        <v>44</v>
      </c>
      <c r="W702" s="5" t="s">
        <v>35</v>
      </c>
      <c r="X702" s="8" t="s">
        <v>921</v>
      </c>
      <c r="Y702" s="5" t="s">
        <v>46</v>
      </c>
      <c r="Z702" s="5" t="s">
        <v>357</v>
      </c>
      <c r="AA702" s="5" t="s">
        <v>48</v>
      </c>
      <c r="AB702" s="5" t="s">
        <v>3085</v>
      </c>
      <c r="AC702" s="6" t="s">
        <v>370</v>
      </c>
      <c r="AD702" s="6">
        <v>1802.0</v>
      </c>
    </row>
    <row r="703" ht="56.25" customHeight="1">
      <c r="A703" s="5" t="s">
        <v>3047</v>
      </c>
      <c r="B703" s="6" t="str">
        <f>IMAGE("https://storage.googleapis.com/acdb/housewares/FtrDrinkmachine_Remake_1_3.png")</f>
        <v/>
      </c>
      <c r="C703" s="5" t="s">
        <v>68</v>
      </c>
      <c r="D703" s="5" t="s">
        <v>34</v>
      </c>
      <c r="E703" s="5" t="s">
        <v>1959</v>
      </c>
      <c r="F703" s="5" t="s">
        <v>3050</v>
      </c>
      <c r="G703" s="5" t="s">
        <v>36</v>
      </c>
      <c r="H703" s="5" t="s">
        <v>36</v>
      </c>
      <c r="I703" s="5" t="s">
        <v>35</v>
      </c>
      <c r="J703" s="6">
        <v>7.0</v>
      </c>
      <c r="K703" s="6" t="s">
        <v>37</v>
      </c>
      <c r="L703" s="6">
        <v>10000.0</v>
      </c>
      <c r="M703" s="8" t="s">
        <v>68</v>
      </c>
      <c r="N703" s="8" t="s">
        <v>57</v>
      </c>
      <c r="O703" s="6" t="s">
        <v>40</v>
      </c>
      <c r="P703" s="5" t="s">
        <v>2140</v>
      </c>
      <c r="Q703" s="5"/>
      <c r="R703" s="6" t="s">
        <v>42</v>
      </c>
      <c r="S703" s="5" t="s">
        <v>62</v>
      </c>
      <c r="T703" s="5" t="s">
        <v>141</v>
      </c>
      <c r="U703" s="5" t="s">
        <v>44</v>
      </c>
      <c r="V703" s="5" t="s">
        <v>44</v>
      </c>
      <c r="W703" s="5" t="s">
        <v>35</v>
      </c>
      <c r="X703" s="8" t="s">
        <v>921</v>
      </c>
      <c r="Y703" s="5" t="s">
        <v>46</v>
      </c>
      <c r="Z703" s="5" t="s">
        <v>357</v>
      </c>
      <c r="AA703" s="5" t="s">
        <v>48</v>
      </c>
      <c r="AB703" s="5" t="s">
        <v>3089</v>
      </c>
      <c r="AC703" s="6" t="s">
        <v>377</v>
      </c>
      <c r="AD703" s="6">
        <v>1802.0</v>
      </c>
    </row>
    <row r="704" ht="56.25" customHeight="1">
      <c r="A704" s="5" t="s">
        <v>3047</v>
      </c>
      <c r="B704" s="6" t="str">
        <f>IMAGE("https://storage.googleapis.com/acdb/housewares/FtrDrinkmachine_Remake_2_0.png")</f>
        <v/>
      </c>
      <c r="C704" s="5" t="s">
        <v>57</v>
      </c>
      <c r="D704" s="5" t="s">
        <v>34</v>
      </c>
      <c r="E704" s="5" t="s">
        <v>3049</v>
      </c>
      <c r="F704" s="5" t="s">
        <v>3050</v>
      </c>
      <c r="G704" s="5" t="s">
        <v>36</v>
      </c>
      <c r="H704" s="5" t="s">
        <v>36</v>
      </c>
      <c r="I704" s="5" t="s">
        <v>35</v>
      </c>
      <c r="J704" s="6">
        <v>7.0</v>
      </c>
      <c r="K704" s="6" t="s">
        <v>37</v>
      </c>
      <c r="L704" s="6">
        <v>10000.0</v>
      </c>
      <c r="M704" s="8" t="s">
        <v>57</v>
      </c>
      <c r="N704" s="8" t="s">
        <v>142</v>
      </c>
      <c r="O704" s="6" t="s">
        <v>40</v>
      </c>
      <c r="P704" s="5" t="s">
        <v>2140</v>
      </c>
      <c r="Q704" s="5"/>
      <c r="R704" s="6" t="s">
        <v>42</v>
      </c>
      <c r="S704" s="5" t="s">
        <v>62</v>
      </c>
      <c r="T704" s="5" t="s">
        <v>141</v>
      </c>
      <c r="U704" s="5" t="s">
        <v>44</v>
      </c>
      <c r="V704" s="5" t="s">
        <v>44</v>
      </c>
      <c r="W704" s="5" t="s">
        <v>35</v>
      </c>
      <c r="X704" s="8" t="s">
        <v>921</v>
      </c>
      <c r="Y704" s="5" t="s">
        <v>46</v>
      </c>
      <c r="Z704" s="5" t="s">
        <v>357</v>
      </c>
      <c r="AA704" s="5" t="s">
        <v>48</v>
      </c>
      <c r="AB704" s="5" t="s">
        <v>3091</v>
      </c>
      <c r="AC704" s="6" t="s">
        <v>67</v>
      </c>
      <c r="AD704" s="6">
        <v>1802.0</v>
      </c>
    </row>
    <row r="705" ht="56.25" customHeight="1">
      <c r="A705" s="5" t="s">
        <v>3047</v>
      </c>
      <c r="B705" s="6" t="str">
        <f>IMAGE("https://storage.googleapis.com/acdb/housewares/FtrDrinkmachine_Remake_2_1.png")</f>
        <v/>
      </c>
      <c r="C705" s="5" t="s">
        <v>57</v>
      </c>
      <c r="D705" s="5" t="s">
        <v>34</v>
      </c>
      <c r="E705" s="5" t="s">
        <v>3055</v>
      </c>
      <c r="F705" s="5" t="s">
        <v>3050</v>
      </c>
      <c r="G705" s="5" t="s">
        <v>36</v>
      </c>
      <c r="H705" s="5" t="s">
        <v>36</v>
      </c>
      <c r="I705" s="5" t="s">
        <v>35</v>
      </c>
      <c r="J705" s="6">
        <v>7.0</v>
      </c>
      <c r="K705" s="6" t="s">
        <v>37</v>
      </c>
      <c r="L705" s="6">
        <v>10000.0</v>
      </c>
      <c r="M705" s="8" t="s">
        <v>57</v>
      </c>
      <c r="N705" s="8" t="s">
        <v>1175</v>
      </c>
      <c r="O705" s="6" t="s">
        <v>40</v>
      </c>
      <c r="P705" s="5" t="s">
        <v>2140</v>
      </c>
      <c r="Q705" s="5"/>
      <c r="R705" s="6" t="s">
        <v>42</v>
      </c>
      <c r="S705" s="5" t="s">
        <v>62</v>
      </c>
      <c r="T705" s="5" t="s">
        <v>141</v>
      </c>
      <c r="U705" s="5" t="s">
        <v>44</v>
      </c>
      <c r="V705" s="5" t="s">
        <v>44</v>
      </c>
      <c r="W705" s="5" t="s">
        <v>35</v>
      </c>
      <c r="X705" s="8" t="s">
        <v>921</v>
      </c>
      <c r="Y705" s="5" t="s">
        <v>46</v>
      </c>
      <c r="Z705" s="5" t="s">
        <v>357</v>
      </c>
      <c r="AA705" s="5" t="s">
        <v>48</v>
      </c>
      <c r="AB705" s="5" t="s">
        <v>3094</v>
      </c>
      <c r="AC705" s="6" t="s">
        <v>247</v>
      </c>
      <c r="AD705" s="6">
        <v>1802.0</v>
      </c>
    </row>
    <row r="706" ht="56.25" customHeight="1">
      <c r="A706" s="5" t="s">
        <v>3047</v>
      </c>
      <c r="B706" s="6" t="str">
        <f>IMAGE("https://storage.googleapis.com/acdb/housewares/FtrDrinkmachine_Remake_2_2.png")</f>
        <v/>
      </c>
      <c r="C706" s="5" t="s">
        <v>57</v>
      </c>
      <c r="D706" s="5" t="s">
        <v>34</v>
      </c>
      <c r="E706" s="5" t="s">
        <v>3061</v>
      </c>
      <c r="F706" s="5" t="s">
        <v>3050</v>
      </c>
      <c r="G706" s="5" t="s">
        <v>36</v>
      </c>
      <c r="H706" s="5" t="s">
        <v>36</v>
      </c>
      <c r="I706" s="5" t="s">
        <v>35</v>
      </c>
      <c r="J706" s="6">
        <v>7.0</v>
      </c>
      <c r="K706" s="6" t="s">
        <v>37</v>
      </c>
      <c r="L706" s="6">
        <v>10000.0</v>
      </c>
      <c r="M706" s="8" t="s">
        <v>57</v>
      </c>
      <c r="N706" s="8" t="s">
        <v>96</v>
      </c>
      <c r="O706" s="6" t="s">
        <v>40</v>
      </c>
      <c r="P706" s="5" t="s">
        <v>2140</v>
      </c>
      <c r="Q706" s="5"/>
      <c r="R706" s="6" t="s">
        <v>42</v>
      </c>
      <c r="S706" s="5" t="s">
        <v>62</v>
      </c>
      <c r="T706" s="5" t="s">
        <v>141</v>
      </c>
      <c r="U706" s="5" t="s">
        <v>44</v>
      </c>
      <c r="V706" s="5" t="s">
        <v>44</v>
      </c>
      <c r="W706" s="5" t="s">
        <v>35</v>
      </c>
      <c r="X706" s="8" t="s">
        <v>921</v>
      </c>
      <c r="Y706" s="5" t="s">
        <v>46</v>
      </c>
      <c r="Z706" s="5" t="s">
        <v>357</v>
      </c>
      <c r="AA706" s="5" t="s">
        <v>48</v>
      </c>
      <c r="AB706" s="5" t="s">
        <v>3100</v>
      </c>
      <c r="AC706" s="6" t="s">
        <v>390</v>
      </c>
      <c r="AD706" s="6">
        <v>1802.0</v>
      </c>
    </row>
    <row r="707" ht="56.25" customHeight="1">
      <c r="A707" s="5" t="s">
        <v>3047</v>
      </c>
      <c r="B707" s="6" t="str">
        <f>IMAGE("https://storage.googleapis.com/acdb/housewares/FtrDrinkmachine_Remake_2_3.png")</f>
        <v/>
      </c>
      <c r="C707" s="5" t="s">
        <v>57</v>
      </c>
      <c r="D707" s="5" t="s">
        <v>34</v>
      </c>
      <c r="E707" s="5" t="s">
        <v>1959</v>
      </c>
      <c r="F707" s="5" t="s">
        <v>3050</v>
      </c>
      <c r="G707" s="5" t="s">
        <v>36</v>
      </c>
      <c r="H707" s="5" t="s">
        <v>36</v>
      </c>
      <c r="I707" s="5" t="s">
        <v>35</v>
      </c>
      <c r="J707" s="6">
        <v>7.0</v>
      </c>
      <c r="K707" s="6" t="s">
        <v>37</v>
      </c>
      <c r="L707" s="6">
        <v>10000.0</v>
      </c>
      <c r="M707" s="8" t="s">
        <v>57</v>
      </c>
      <c r="N707" s="8" t="s">
        <v>57</v>
      </c>
      <c r="O707" s="6" t="s">
        <v>40</v>
      </c>
      <c r="P707" s="5" t="s">
        <v>2140</v>
      </c>
      <c r="Q707" s="5"/>
      <c r="R707" s="6" t="s">
        <v>42</v>
      </c>
      <c r="S707" s="5" t="s">
        <v>62</v>
      </c>
      <c r="T707" s="5" t="s">
        <v>141</v>
      </c>
      <c r="U707" s="5" t="s">
        <v>44</v>
      </c>
      <c r="V707" s="5" t="s">
        <v>44</v>
      </c>
      <c r="W707" s="5" t="s">
        <v>35</v>
      </c>
      <c r="X707" s="8" t="s">
        <v>921</v>
      </c>
      <c r="Y707" s="5" t="s">
        <v>46</v>
      </c>
      <c r="Z707" s="5" t="s">
        <v>357</v>
      </c>
      <c r="AA707" s="5" t="s">
        <v>48</v>
      </c>
      <c r="AB707" s="5" t="s">
        <v>3102</v>
      </c>
      <c r="AC707" s="6" t="s">
        <v>396</v>
      </c>
      <c r="AD707" s="6">
        <v>1802.0</v>
      </c>
    </row>
    <row r="708" ht="56.25" customHeight="1">
      <c r="A708" s="5" t="s">
        <v>3047</v>
      </c>
      <c r="B708" s="6" t="str">
        <f>IMAGE("https://storage.googleapis.com/acdb/housewares/FtrDrinkmachine_Remake_3_0.png")</f>
        <v/>
      </c>
      <c r="C708" s="5" t="s">
        <v>54</v>
      </c>
      <c r="D708" s="5" t="s">
        <v>34</v>
      </c>
      <c r="E708" s="5" t="s">
        <v>3049</v>
      </c>
      <c r="F708" s="5" t="s">
        <v>3050</v>
      </c>
      <c r="G708" s="5" t="s">
        <v>36</v>
      </c>
      <c r="H708" s="5" t="s">
        <v>36</v>
      </c>
      <c r="I708" s="5" t="s">
        <v>35</v>
      </c>
      <c r="J708" s="6">
        <v>7.0</v>
      </c>
      <c r="K708" s="6" t="s">
        <v>37</v>
      </c>
      <c r="L708" s="6">
        <v>10000.0</v>
      </c>
      <c r="M708" s="8" t="s">
        <v>39</v>
      </c>
      <c r="N708" s="8" t="s">
        <v>142</v>
      </c>
      <c r="O708" s="6" t="s">
        <v>40</v>
      </c>
      <c r="P708" s="5" t="s">
        <v>2140</v>
      </c>
      <c r="Q708" s="5"/>
      <c r="R708" s="6" t="s">
        <v>42</v>
      </c>
      <c r="S708" s="5" t="s">
        <v>62</v>
      </c>
      <c r="T708" s="5" t="s">
        <v>141</v>
      </c>
      <c r="U708" s="5" t="s">
        <v>44</v>
      </c>
      <c r="V708" s="5" t="s">
        <v>44</v>
      </c>
      <c r="W708" s="5" t="s">
        <v>35</v>
      </c>
      <c r="X708" s="8" t="s">
        <v>921</v>
      </c>
      <c r="Y708" s="5" t="s">
        <v>46</v>
      </c>
      <c r="Z708" s="5" t="s">
        <v>357</v>
      </c>
      <c r="AA708" s="5" t="s">
        <v>48</v>
      </c>
      <c r="AB708" s="5" t="s">
        <v>3105</v>
      </c>
      <c r="AC708" s="6" t="s">
        <v>71</v>
      </c>
      <c r="AD708" s="6">
        <v>1802.0</v>
      </c>
    </row>
    <row r="709" ht="56.25" customHeight="1">
      <c r="A709" s="5" t="s">
        <v>3047</v>
      </c>
      <c r="B709" s="6" t="str">
        <f>IMAGE("https://storage.googleapis.com/acdb/housewares/FtrDrinkmachine_Remake_3_1.png")</f>
        <v/>
      </c>
      <c r="C709" s="5" t="s">
        <v>54</v>
      </c>
      <c r="D709" s="5" t="s">
        <v>34</v>
      </c>
      <c r="E709" s="5" t="s">
        <v>3055</v>
      </c>
      <c r="F709" s="5" t="s">
        <v>3050</v>
      </c>
      <c r="G709" s="5" t="s">
        <v>36</v>
      </c>
      <c r="H709" s="5" t="s">
        <v>36</v>
      </c>
      <c r="I709" s="5" t="s">
        <v>35</v>
      </c>
      <c r="J709" s="6">
        <v>7.0</v>
      </c>
      <c r="K709" s="6" t="s">
        <v>37</v>
      </c>
      <c r="L709" s="6">
        <v>10000.0</v>
      </c>
      <c r="M709" s="8" t="s">
        <v>39</v>
      </c>
      <c r="N709" s="8" t="s">
        <v>1175</v>
      </c>
      <c r="O709" s="6" t="s">
        <v>40</v>
      </c>
      <c r="P709" s="5" t="s">
        <v>2140</v>
      </c>
      <c r="Q709" s="5"/>
      <c r="R709" s="6" t="s">
        <v>42</v>
      </c>
      <c r="S709" s="5" t="s">
        <v>62</v>
      </c>
      <c r="T709" s="5" t="s">
        <v>141</v>
      </c>
      <c r="U709" s="5" t="s">
        <v>44</v>
      </c>
      <c r="V709" s="5" t="s">
        <v>44</v>
      </c>
      <c r="W709" s="5" t="s">
        <v>35</v>
      </c>
      <c r="X709" s="8" t="s">
        <v>921</v>
      </c>
      <c r="Y709" s="5" t="s">
        <v>46</v>
      </c>
      <c r="Z709" s="5" t="s">
        <v>357</v>
      </c>
      <c r="AA709" s="5" t="s">
        <v>48</v>
      </c>
      <c r="AB709" s="5" t="s">
        <v>3110</v>
      </c>
      <c r="AC709" s="6" t="s">
        <v>257</v>
      </c>
      <c r="AD709" s="6">
        <v>1802.0</v>
      </c>
    </row>
    <row r="710" ht="56.25" customHeight="1">
      <c r="A710" s="5" t="s">
        <v>3047</v>
      </c>
      <c r="B710" s="6" t="str">
        <f>IMAGE("https://storage.googleapis.com/acdb/housewares/FtrDrinkmachine_Remake_3_2.png")</f>
        <v/>
      </c>
      <c r="C710" s="5" t="s">
        <v>54</v>
      </c>
      <c r="D710" s="5" t="s">
        <v>34</v>
      </c>
      <c r="E710" s="5" t="s">
        <v>3061</v>
      </c>
      <c r="F710" s="5" t="s">
        <v>3050</v>
      </c>
      <c r="G710" s="5" t="s">
        <v>36</v>
      </c>
      <c r="H710" s="5" t="s">
        <v>36</v>
      </c>
      <c r="I710" s="5" t="s">
        <v>35</v>
      </c>
      <c r="J710" s="6">
        <v>7.0</v>
      </c>
      <c r="K710" s="6" t="s">
        <v>37</v>
      </c>
      <c r="L710" s="6">
        <v>10000.0</v>
      </c>
      <c r="M710" s="8" t="s">
        <v>39</v>
      </c>
      <c r="N710" s="8" t="s">
        <v>96</v>
      </c>
      <c r="O710" s="6" t="s">
        <v>40</v>
      </c>
      <c r="P710" s="5" t="s">
        <v>2140</v>
      </c>
      <c r="Q710" s="5"/>
      <c r="R710" s="6" t="s">
        <v>42</v>
      </c>
      <c r="S710" s="5" t="s">
        <v>62</v>
      </c>
      <c r="T710" s="5" t="s">
        <v>141</v>
      </c>
      <c r="U710" s="5" t="s">
        <v>44</v>
      </c>
      <c r="V710" s="5" t="s">
        <v>44</v>
      </c>
      <c r="W710" s="5" t="s">
        <v>35</v>
      </c>
      <c r="X710" s="8" t="s">
        <v>921</v>
      </c>
      <c r="Y710" s="5" t="s">
        <v>46</v>
      </c>
      <c r="Z710" s="5" t="s">
        <v>357</v>
      </c>
      <c r="AA710" s="5" t="s">
        <v>48</v>
      </c>
      <c r="AB710" s="5" t="s">
        <v>3112</v>
      </c>
      <c r="AC710" s="6" t="s">
        <v>414</v>
      </c>
      <c r="AD710" s="6">
        <v>1802.0</v>
      </c>
    </row>
    <row r="711" ht="56.25" customHeight="1">
      <c r="A711" s="5" t="s">
        <v>3047</v>
      </c>
      <c r="B711" s="6" t="str">
        <f>IMAGE("https://storage.googleapis.com/acdb/housewares/FtrDrinkmachine_Remake_3_3.png")</f>
        <v/>
      </c>
      <c r="C711" s="5" t="s">
        <v>54</v>
      </c>
      <c r="D711" s="5" t="s">
        <v>34</v>
      </c>
      <c r="E711" s="5" t="s">
        <v>1959</v>
      </c>
      <c r="F711" s="5" t="s">
        <v>3050</v>
      </c>
      <c r="G711" s="5" t="s">
        <v>36</v>
      </c>
      <c r="H711" s="5" t="s">
        <v>36</v>
      </c>
      <c r="I711" s="5" t="s">
        <v>35</v>
      </c>
      <c r="J711" s="6">
        <v>7.0</v>
      </c>
      <c r="K711" s="6" t="s">
        <v>37</v>
      </c>
      <c r="L711" s="6">
        <v>10000.0</v>
      </c>
      <c r="M711" s="8" t="s">
        <v>39</v>
      </c>
      <c r="N711" s="8" t="s">
        <v>57</v>
      </c>
      <c r="O711" s="6" t="s">
        <v>40</v>
      </c>
      <c r="P711" s="5" t="s">
        <v>2140</v>
      </c>
      <c r="Q711" s="5"/>
      <c r="R711" s="6" t="s">
        <v>42</v>
      </c>
      <c r="S711" s="5" t="s">
        <v>62</v>
      </c>
      <c r="T711" s="5" t="s">
        <v>141</v>
      </c>
      <c r="U711" s="5" t="s">
        <v>44</v>
      </c>
      <c r="V711" s="5" t="s">
        <v>44</v>
      </c>
      <c r="W711" s="5" t="s">
        <v>35</v>
      </c>
      <c r="X711" s="8" t="s">
        <v>921</v>
      </c>
      <c r="Y711" s="5" t="s">
        <v>46</v>
      </c>
      <c r="Z711" s="5" t="s">
        <v>357</v>
      </c>
      <c r="AA711" s="5" t="s">
        <v>48</v>
      </c>
      <c r="AB711" s="5" t="s">
        <v>3117</v>
      </c>
      <c r="AC711" s="6" t="s">
        <v>418</v>
      </c>
      <c r="AD711" s="6">
        <v>1802.0</v>
      </c>
    </row>
    <row r="712" ht="56.25" customHeight="1">
      <c r="A712" s="5" t="s">
        <v>3047</v>
      </c>
      <c r="B712" s="6" t="str">
        <f>IMAGE("https://storage.googleapis.com/acdb/housewares/FtrDrinkmachine_Remake_4_0.png")</f>
        <v/>
      </c>
      <c r="C712" s="5" t="s">
        <v>96</v>
      </c>
      <c r="D712" s="5" t="s">
        <v>34</v>
      </c>
      <c r="E712" s="5" t="s">
        <v>3049</v>
      </c>
      <c r="F712" s="5" t="s">
        <v>3050</v>
      </c>
      <c r="G712" s="5" t="s">
        <v>36</v>
      </c>
      <c r="H712" s="5" t="s">
        <v>36</v>
      </c>
      <c r="I712" s="5" t="s">
        <v>35</v>
      </c>
      <c r="J712" s="6">
        <v>7.0</v>
      </c>
      <c r="K712" s="6" t="s">
        <v>37</v>
      </c>
      <c r="L712" s="6">
        <v>10000.0</v>
      </c>
      <c r="M712" s="5" t="s">
        <v>96</v>
      </c>
      <c r="N712" s="8" t="s">
        <v>142</v>
      </c>
      <c r="O712" s="6" t="s">
        <v>40</v>
      </c>
      <c r="P712" s="5" t="s">
        <v>2140</v>
      </c>
      <c r="Q712" s="5"/>
      <c r="R712" s="6" t="s">
        <v>42</v>
      </c>
      <c r="S712" s="5" t="s">
        <v>62</v>
      </c>
      <c r="T712" s="5" t="s">
        <v>141</v>
      </c>
      <c r="U712" s="5" t="s">
        <v>44</v>
      </c>
      <c r="V712" s="5" t="s">
        <v>44</v>
      </c>
      <c r="W712" s="5" t="s">
        <v>35</v>
      </c>
      <c r="X712" s="8" t="s">
        <v>921</v>
      </c>
      <c r="Y712" s="5" t="s">
        <v>46</v>
      </c>
      <c r="Z712" s="5" t="s">
        <v>357</v>
      </c>
      <c r="AA712" s="5" t="s">
        <v>48</v>
      </c>
      <c r="AB712" s="5" t="s">
        <v>3120</v>
      </c>
      <c r="AC712" s="6" t="s">
        <v>75</v>
      </c>
      <c r="AD712" s="6">
        <v>1802.0</v>
      </c>
    </row>
    <row r="713" ht="56.25" customHeight="1">
      <c r="A713" s="5" t="s">
        <v>3047</v>
      </c>
      <c r="B713" s="6" t="str">
        <f>IMAGE("https://storage.googleapis.com/acdb/housewares/FtrDrinkmachine_Remake_4_1.png")</f>
        <v/>
      </c>
      <c r="C713" s="5" t="s">
        <v>96</v>
      </c>
      <c r="D713" s="5" t="s">
        <v>34</v>
      </c>
      <c r="E713" s="5" t="s">
        <v>3055</v>
      </c>
      <c r="F713" s="5" t="s">
        <v>3050</v>
      </c>
      <c r="G713" s="5" t="s">
        <v>36</v>
      </c>
      <c r="H713" s="5" t="s">
        <v>36</v>
      </c>
      <c r="I713" s="5" t="s">
        <v>35</v>
      </c>
      <c r="J713" s="6">
        <v>7.0</v>
      </c>
      <c r="K713" s="6" t="s">
        <v>37</v>
      </c>
      <c r="L713" s="6">
        <v>10000.0</v>
      </c>
      <c r="M713" s="5" t="s">
        <v>96</v>
      </c>
      <c r="N713" s="8" t="s">
        <v>1175</v>
      </c>
      <c r="O713" s="6" t="s">
        <v>40</v>
      </c>
      <c r="P713" s="5" t="s">
        <v>2140</v>
      </c>
      <c r="Q713" s="5"/>
      <c r="R713" s="6" t="s">
        <v>42</v>
      </c>
      <c r="S713" s="5" t="s">
        <v>62</v>
      </c>
      <c r="T713" s="5" t="s">
        <v>141</v>
      </c>
      <c r="U713" s="5" t="s">
        <v>44</v>
      </c>
      <c r="V713" s="5" t="s">
        <v>44</v>
      </c>
      <c r="W713" s="5" t="s">
        <v>35</v>
      </c>
      <c r="X713" s="8" t="s">
        <v>921</v>
      </c>
      <c r="Y713" s="5" t="s">
        <v>46</v>
      </c>
      <c r="Z713" s="5" t="s">
        <v>357</v>
      </c>
      <c r="AA713" s="5" t="s">
        <v>48</v>
      </c>
      <c r="AB713" s="5" t="s">
        <v>3125</v>
      </c>
      <c r="AC713" s="6" t="s">
        <v>429</v>
      </c>
      <c r="AD713" s="6">
        <v>1802.0</v>
      </c>
    </row>
    <row r="714" ht="56.25" customHeight="1">
      <c r="A714" s="5" t="s">
        <v>3047</v>
      </c>
      <c r="B714" s="6" t="str">
        <f>IMAGE("https://storage.googleapis.com/acdb/housewares/FtrDrinkmachine_Remake_4_2.png")</f>
        <v/>
      </c>
      <c r="C714" s="5" t="s">
        <v>96</v>
      </c>
      <c r="D714" s="5" t="s">
        <v>34</v>
      </c>
      <c r="E714" s="5" t="s">
        <v>3061</v>
      </c>
      <c r="F714" s="5" t="s">
        <v>3050</v>
      </c>
      <c r="G714" s="5" t="s">
        <v>36</v>
      </c>
      <c r="H714" s="5" t="s">
        <v>36</v>
      </c>
      <c r="I714" s="5" t="s">
        <v>35</v>
      </c>
      <c r="J714" s="6">
        <v>7.0</v>
      </c>
      <c r="K714" s="6" t="s">
        <v>37</v>
      </c>
      <c r="L714" s="6">
        <v>10000.0</v>
      </c>
      <c r="M714" s="5" t="s">
        <v>96</v>
      </c>
      <c r="N714" s="8" t="s">
        <v>96</v>
      </c>
      <c r="O714" s="6" t="s">
        <v>40</v>
      </c>
      <c r="P714" s="5" t="s">
        <v>2140</v>
      </c>
      <c r="Q714" s="5"/>
      <c r="R714" s="6" t="s">
        <v>42</v>
      </c>
      <c r="S714" s="5" t="s">
        <v>62</v>
      </c>
      <c r="T714" s="5" t="s">
        <v>141</v>
      </c>
      <c r="U714" s="5" t="s">
        <v>44</v>
      </c>
      <c r="V714" s="5" t="s">
        <v>44</v>
      </c>
      <c r="W714" s="5" t="s">
        <v>35</v>
      </c>
      <c r="X714" s="8" t="s">
        <v>921</v>
      </c>
      <c r="Y714" s="5" t="s">
        <v>46</v>
      </c>
      <c r="Z714" s="5" t="s">
        <v>357</v>
      </c>
      <c r="AA714" s="5" t="s">
        <v>48</v>
      </c>
      <c r="AB714" s="5" t="s">
        <v>3130</v>
      </c>
      <c r="AC714" s="6" t="s">
        <v>434</v>
      </c>
      <c r="AD714" s="6">
        <v>1802.0</v>
      </c>
    </row>
    <row r="715" ht="56.25" customHeight="1">
      <c r="A715" s="5" t="s">
        <v>3047</v>
      </c>
      <c r="B715" s="6" t="str">
        <f>IMAGE("https://storage.googleapis.com/acdb/housewares/FtrDrinkmachine_Remake_4_3.png")</f>
        <v/>
      </c>
      <c r="C715" s="5" t="s">
        <v>96</v>
      </c>
      <c r="D715" s="5" t="s">
        <v>34</v>
      </c>
      <c r="E715" s="5" t="s">
        <v>1959</v>
      </c>
      <c r="F715" s="5" t="s">
        <v>3050</v>
      </c>
      <c r="G715" s="5" t="s">
        <v>36</v>
      </c>
      <c r="H715" s="5" t="s">
        <v>36</v>
      </c>
      <c r="I715" s="5" t="s">
        <v>35</v>
      </c>
      <c r="J715" s="6">
        <v>7.0</v>
      </c>
      <c r="K715" s="6" t="s">
        <v>37</v>
      </c>
      <c r="L715" s="6">
        <v>10000.0</v>
      </c>
      <c r="M715" s="5" t="s">
        <v>96</v>
      </c>
      <c r="N715" s="8" t="s">
        <v>57</v>
      </c>
      <c r="O715" s="6" t="s">
        <v>40</v>
      </c>
      <c r="P715" s="5" t="s">
        <v>2140</v>
      </c>
      <c r="Q715" s="5"/>
      <c r="R715" s="6" t="s">
        <v>42</v>
      </c>
      <c r="S715" s="5" t="s">
        <v>62</v>
      </c>
      <c r="T715" s="5" t="s">
        <v>141</v>
      </c>
      <c r="U715" s="5" t="s">
        <v>44</v>
      </c>
      <c r="V715" s="5" t="s">
        <v>44</v>
      </c>
      <c r="W715" s="5" t="s">
        <v>35</v>
      </c>
      <c r="X715" s="8" t="s">
        <v>921</v>
      </c>
      <c r="Y715" s="5" t="s">
        <v>46</v>
      </c>
      <c r="Z715" s="5" t="s">
        <v>357</v>
      </c>
      <c r="AA715" s="5" t="s">
        <v>48</v>
      </c>
      <c r="AB715" s="5" t="s">
        <v>3132</v>
      </c>
      <c r="AC715" s="6" t="s">
        <v>438</v>
      </c>
      <c r="AD715" s="6">
        <v>1802.0</v>
      </c>
    </row>
    <row r="716" ht="56.25" customHeight="1">
      <c r="A716" s="5" t="s">
        <v>3047</v>
      </c>
      <c r="B716" s="6" t="str">
        <f>IMAGE("https://storage.googleapis.com/acdb/housewares/FtrDrinkmachine_Remake_5_0.png")</f>
        <v/>
      </c>
      <c r="C716" s="5" t="s">
        <v>69</v>
      </c>
      <c r="D716" s="5" t="s">
        <v>34</v>
      </c>
      <c r="E716" s="5" t="s">
        <v>3049</v>
      </c>
      <c r="F716" s="5" t="s">
        <v>3050</v>
      </c>
      <c r="G716" s="5" t="s">
        <v>36</v>
      </c>
      <c r="H716" s="5" t="s">
        <v>36</v>
      </c>
      <c r="I716" s="5" t="s">
        <v>35</v>
      </c>
      <c r="J716" s="6">
        <v>7.0</v>
      </c>
      <c r="K716" s="6" t="s">
        <v>37</v>
      </c>
      <c r="L716" s="6">
        <v>10000.0</v>
      </c>
      <c r="M716" s="8" t="s">
        <v>69</v>
      </c>
      <c r="N716" s="8" t="s">
        <v>142</v>
      </c>
      <c r="O716" s="6" t="s">
        <v>40</v>
      </c>
      <c r="P716" s="5" t="s">
        <v>2140</v>
      </c>
      <c r="Q716" s="5"/>
      <c r="R716" s="6" t="s">
        <v>42</v>
      </c>
      <c r="S716" s="5" t="s">
        <v>62</v>
      </c>
      <c r="T716" s="5" t="s">
        <v>141</v>
      </c>
      <c r="U716" s="5" t="s">
        <v>44</v>
      </c>
      <c r="V716" s="5" t="s">
        <v>44</v>
      </c>
      <c r="W716" s="5" t="s">
        <v>35</v>
      </c>
      <c r="X716" s="8" t="s">
        <v>921</v>
      </c>
      <c r="Y716" s="5" t="s">
        <v>46</v>
      </c>
      <c r="Z716" s="5" t="s">
        <v>357</v>
      </c>
      <c r="AA716" s="5" t="s">
        <v>48</v>
      </c>
      <c r="AB716" s="5" t="s">
        <v>3136</v>
      </c>
      <c r="AC716" s="6" t="s">
        <v>79</v>
      </c>
      <c r="AD716" s="6">
        <v>1802.0</v>
      </c>
    </row>
    <row r="717" ht="56.25" customHeight="1">
      <c r="A717" s="5" t="s">
        <v>3047</v>
      </c>
      <c r="B717" s="6" t="str">
        <f>IMAGE("https://storage.googleapis.com/acdb/housewares/FtrDrinkmachine_Remake_5_1.png")</f>
        <v/>
      </c>
      <c r="C717" s="5" t="s">
        <v>69</v>
      </c>
      <c r="D717" s="5" t="s">
        <v>34</v>
      </c>
      <c r="E717" s="5" t="s">
        <v>3055</v>
      </c>
      <c r="F717" s="5" t="s">
        <v>3050</v>
      </c>
      <c r="G717" s="5" t="s">
        <v>36</v>
      </c>
      <c r="H717" s="5" t="s">
        <v>36</v>
      </c>
      <c r="I717" s="5" t="s">
        <v>35</v>
      </c>
      <c r="J717" s="6">
        <v>7.0</v>
      </c>
      <c r="K717" s="6" t="s">
        <v>37</v>
      </c>
      <c r="L717" s="6">
        <v>10000.0</v>
      </c>
      <c r="M717" s="8" t="s">
        <v>69</v>
      </c>
      <c r="N717" s="8" t="s">
        <v>1175</v>
      </c>
      <c r="O717" s="6" t="s">
        <v>40</v>
      </c>
      <c r="P717" s="5" t="s">
        <v>2140</v>
      </c>
      <c r="Q717" s="5"/>
      <c r="R717" s="6" t="s">
        <v>42</v>
      </c>
      <c r="S717" s="5" t="s">
        <v>62</v>
      </c>
      <c r="T717" s="5" t="s">
        <v>141</v>
      </c>
      <c r="U717" s="5" t="s">
        <v>44</v>
      </c>
      <c r="V717" s="5" t="s">
        <v>44</v>
      </c>
      <c r="W717" s="5" t="s">
        <v>35</v>
      </c>
      <c r="X717" s="8" t="s">
        <v>921</v>
      </c>
      <c r="Y717" s="5" t="s">
        <v>46</v>
      </c>
      <c r="Z717" s="5" t="s">
        <v>357</v>
      </c>
      <c r="AA717" s="5" t="s">
        <v>48</v>
      </c>
      <c r="AB717" s="5" t="s">
        <v>3141</v>
      </c>
      <c r="AC717" s="6" t="s">
        <v>448</v>
      </c>
      <c r="AD717" s="6">
        <v>1802.0</v>
      </c>
    </row>
    <row r="718" ht="56.25" customHeight="1">
      <c r="A718" s="5" t="s">
        <v>3047</v>
      </c>
      <c r="B718" s="6" t="str">
        <f>IMAGE("https://storage.googleapis.com/acdb/housewares/FtrDrinkmachine_Remake_5_2.png")</f>
        <v/>
      </c>
      <c r="C718" s="5" t="s">
        <v>69</v>
      </c>
      <c r="D718" s="5" t="s">
        <v>34</v>
      </c>
      <c r="E718" s="5" t="s">
        <v>3061</v>
      </c>
      <c r="F718" s="5" t="s">
        <v>3050</v>
      </c>
      <c r="G718" s="5" t="s">
        <v>36</v>
      </c>
      <c r="H718" s="5" t="s">
        <v>36</v>
      </c>
      <c r="I718" s="5" t="s">
        <v>35</v>
      </c>
      <c r="J718" s="6">
        <v>7.0</v>
      </c>
      <c r="K718" s="6" t="s">
        <v>37</v>
      </c>
      <c r="L718" s="6">
        <v>10000.0</v>
      </c>
      <c r="M718" s="8" t="s">
        <v>69</v>
      </c>
      <c r="N718" s="8" t="s">
        <v>96</v>
      </c>
      <c r="O718" s="6" t="s">
        <v>40</v>
      </c>
      <c r="P718" s="5" t="s">
        <v>2140</v>
      </c>
      <c r="Q718" s="5"/>
      <c r="R718" s="6" t="s">
        <v>42</v>
      </c>
      <c r="S718" s="5" t="s">
        <v>62</v>
      </c>
      <c r="T718" s="5" t="s">
        <v>141</v>
      </c>
      <c r="U718" s="5" t="s">
        <v>44</v>
      </c>
      <c r="V718" s="5" t="s">
        <v>44</v>
      </c>
      <c r="W718" s="5" t="s">
        <v>35</v>
      </c>
      <c r="X718" s="8" t="s">
        <v>921</v>
      </c>
      <c r="Y718" s="5" t="s">
        <v>46</v>
      </c>
      <c r="Z718" s="5" t="s">
        <v>357</v>
      </c>
      <c r="AA718" s="5" t="s">
        <v>48</v>
      </c>
      <c r="AB718" s="5" t="s">
        <v>3146</v>
      </c>
      <c r="AC718" s="6" t="s">
        <v>452</v>
      </c>
      <c r="AD718" s="6">
        <v>1802.0</v>
      </c>
    </row>
    <row r="719" ht="56.25" customHeight="1">
      <c r="A719" s="5" t="s">
        <v>3047</v>
      </c>
      <c r="B719" s="6" t="str">
        <f>IMAGE("https://storage.googleapis.com/acdb/housewares/FtrDrinkmachine_Remake_5_3.png")</f>
        <v/>
      </c>
      <c r="C719" s="5" t="s">
        <v>69</v>
      </c>
      <c r="D719" s="5" t="s">
        <v>34</v>
      </c>
      <c r="E719" s="5" t="s">
        <v>1959</v>
      </c>
      <c r="F719" s="5" t="s">
        <v>3050</v>
      </c>
      <c r="G719" s="5" t="s">
        <v>36</v>
      </c>
      <c r="H719" s="5" t="s">
        <v>36</v>
      </c>
      <c r="I719" s="5" t="s">
        <v>35</v>
      </c>
      <c r="J719" s="6">
        <v>7.0</v>
      </c>
      <c r="K719" s="6" t="s">
        <v>37</v>
      </c>
      <c r="L719" s="6">
        <v>10000.0</v>
      </c>
      <c r="M719" s="8" t="s">
        <v>69</v>
      </c>
      <c r="N719" s="8" t="s">
        <v>57</v>
      </c>
      <c r="O719" s="6" t="s">
        <v>40</v>
      </c>
      <c r="P719" s="5" t="s">
        <v>2140</v>
      </c>
      <c r="Q719" s="5"/>
      <c r="R719" s="6" t="s">
        <v>42</v>
      </c>
      <c r="S719" s="5" t="s">
        <v>62</v>
      </c>
      <c r="T719" s="5" t="s">
        <v>141</v>
      </c>
      <c r="U719" s="5" t="s">
        <v>44</v>
      </c>
      <c r="V719" s="5" t="s">
        <v>44</v>
      </c>
      <c r="W719" s="5" t="s">
        <v>35</v>
      </c>
      <c r="X719" s="8" t="s">
        <v>921</v>
      </c>
      <c r="Y719" s="5" t="s">
        <v>46</v>
      </c>
      <c r="Z719" s="5" t="s">
        <v>357</v>
      </c>
      <c r="AA719" s="5" t="s">
        <v>48</v>
      </c>
      <c r="AB719" s="5" t="s">
        <v>3151</v>
      </c>
      <c r="AC719" s="6" t="s">
        <v>455</v>
      </c>
      <c r="AD719" s="6">
        <v>1802.0</v>
      </c>
    </row>
    <row r="720" ht="56.25" customHeight="1">
      <c r="A720" s="5" t="s">
        <v>3152</v>
      </c>
      <c r="B720" s="6" t="str">
        <f>IMAGE("https://storage.googleapis.com/acdb/housewares/FtrDrinkingfountain_Remake_0_0.png")</f>
        <v/>
      </c>
      <c r="C720" s="5" t="s">
        <v>186</v>
      </c>
      <c r="D720" s="5" t="s">
        <v>135</v>
      </c>
      <c r="E720" s="5" t="s">
        <v>34</v>
      </c>
      <c r="F720" s="5" t="s">
        <v>34</v>
      </c>
      <c r="G720" s="5" t="s">
        <v>35</v>
      </c>
      <c r="H720" s="5" t="s">
        <v>35</v>
      </c>
      <c r="I720" s="5" t="s">
        <v>36</v>
      </c>
      <c r="J720" s="6">
        <v>4.0</v>
      </c>
      <c r="K720" s="6" t="s">
        <v>37</v>
      </c>
      <c r="L720" s="6">
        <v>2700.0</v>
      </c>
      <c r="M720" s="8" t="s">
        <v>38</v>
      </c>
      <c r="N720" s="8" t="s">
        <v>38</v>
      </c>
      <c r="O720" s="6" t="s">
        <v>40</v>
      </c>
      <c r="P720" s="5" t="s">
        <v>41</v>
      </c>
      <c r="Q720" s="5"/>
      <c r="R720" s="6" t="s">
        <v>42</v>
      </c>
      <c r="S720" s="5" t="s">
        <v>172</v>
      </c>
      <c r="T720" s="5" t="s">
        <v>44</v>
      </c>
      <c r="U720" s="5" t="s">
        <v>44</v>
      </c>
      <c r="V720" s="5" t="s">
        <v>44</v>
      </c>
      <c r="W720" s="5" t="s">
        <v>35</v>
      </c>
      <c r="X720" s="8" t="s">
        <v>3156</v>
      </c>
      <c r="Y720" s="5" t="s">
        <v>46</v>
      </c>
      <c r="Z720" s="5" t="s">
        <v>47</v>
      </c>
      <c r="AA720" s="5" t="s">
        <v>48</v>
      </c>
      <c r="AB720" s="5" t="s">
        <v>3157</v>
      </c>
      <c r="AC720" s="6" t="s">
        <v>50</v>
      </c>
      <c r="AD720" s="6">
        <v>2319.0</v>
      </c>
    </row>
    <row r="721" ht="56.25" customHeight="1">
      <c r="A721" s="5" t="s">
        <v>3152</v>
      </c>
      <c r="B721" s="6" t="str">
        <f>IMAGE("https://storage.googleapis.com/acdb/housewares/FtrDrinkingfountain_Remake_1_0.png")</f>
        <v/>
      </c>
      <c r="C721" s="5" t="s">
        <v>95</v>
      </c>
      <c r="D721" s="5" t="s">
        <v>135</v>
      </c>
      <c r="E721" s="5" t="s">
        <v>34</v>
      </c>
      <c r="F721" s="5" t="s">
        <v>34</v>
      </c>
      <c r="G721" s="5" t="s">
        <v>35</v>
      </c>
      <c r="H721" s="5" t="s">
        <v>35</v>
      </c>
      <c r="I721" s="5" t="s">
        <v>36</v>
      </c>
      <c r="J721" s="6">
        <v>4.0</v>
      </c>
      <c r="K721" s="6" t="s">
        <v>37</v>
      </c>
      <c r="L721" s="6">
        <v>2700.0</v>
      </c>
      <c r="M721" s="8" t="s">
        <v>95</v>
      </c>
      <c r="N721" s="8" t="s">
        <v>95</v>
      </c>
      <c r="O721" s="6" t="s">
        <v>40</v>
      </c>
      <c r="P721" s="5" t="s">
        <v>41</v>
      </c>
      <c r="Q721" s="5"/>
      <c r="R721" s="6" t="s">
        <v>42</v>
      </c>
      <c r="S721" s="5" t="s">
        <v>172</v>
      </c>
      <c r="T721" s="5" t="s">
        <v>44</v>
      </c>
      <c r="U721" s="5" t="s">
        <v>44</v>
      </c>
      <c r="V721" s="5" t="s">
        <v>44</v>
      </c>
      <c r="W721" s="5" t="s">
        <v>35</v>
      </c>
      <c r="X721" s="8" t="s">
        <v>3156</v>
      </c>
      <c r="Y721" s="5" t="s">
        <v>46</v>
      </c>
      <c r="Z721" s="5" t="s">
        <v>47</v>
      </c>
      <c r="AA721" s="5" t="s">
        <v>48</v>
      </c>
      <c r="AB721" s="5" t="s">
        <v>3163</v>
      </c>
      <c r="AC721" s="6" t="s">
        <v>56</v>
      </c>
      <c r="AD721" s="6">
        <v>2319.0</v>
      </c>
    </row>
    <row r="722" ht="56.25" customHeight="1">
      <c r="A722" s="5" t="s">
        <v>3152</v>
      </c>
      <c r="B722" s="6" t="str">
        <f>IMAGE("https://storage.googleapis.com/acdb/housewares/FtrDrinkingfountain_Remake_2_0.png")</f>
        <v/>
      </c>
      <c r="C722" s="5" t="s">
        <v>39</v>
      </c>
      <c r="D722" s="5" t="s">
        <v>135</v>
      </c>
      <c r="E722" s="5" t="s">
        <v>34</v>
      </c>
      <c r="F722" s="5" t="s">
        <v>34</v>
      </c>
      <c r="G722" s="5" t="s">
        <v>35</v>
      </c>
      <c r="H722" s="5" t="s">
        <v>35</v>
      </c>
      <c r="I722" s="5" t="s">
        <v>36</v>
      </c>
      <c r="J722" s="6">
        <v>4.0</v>
      </c>
      <c r="K722" s="6" t="s">
        <v>37</v>
      </c>
      <c r="L722" s="6">
        <v>2700.0</v>
      </c>
      <c r="M722" s="8" t="s">
        <v>39</v>
      </c>
      <c r="N722" s="8" t="s">
        <v>39</v>
      </c>
      <c r="O722" s="6" t="s">
        <v>40</v>
      </c>
      <c r="P722" s="5" t="s">
        <v>41</v>
      </c>
      <c r="Q722" s="5"/>
      <c r="R722" s="6" t="s">
        <v>42</v>
      </c>
      <c r="S722" s="5" t="s">
        <v>172</v>
      </c>
      <c r="T722" s="5" t="s">
        <v>44</v>
      </c>
      <c r="U722" s="5" t="s">
        <v>44</v>
      </c>
      <c r="V722" s="5" t="s">
        <v>44</v>
      </c>
      <c r="W722" s="5" t="s">
        <v>35</v>
      </c>
      <c r="X722" s="8" t="s">
        <v>3156</v>
      </c>
      <c r="Y722" s="5" t="s">
        <v>46</v>
      </c>
      <c r="Z722" s="5" t="s">
        <v>47</v>
      </c>
      <c r="AA722" s="5" t="s">
        <v>48</v>
      </c>
      <c r="AB722" s="5" t="s">
        <v>3167</v>
      </c>
      <c r="AC722" s="6" t="s">
        <v>67</v>
      </c>
      <c r="AD722" s="6">
        <v>2319.0</v>
      </c>
    </row>
    <row r="723" ht="56.25" customHeight="1">
      <c r="A723" s="5" t="s">
        <v>3152</v>
      </c>
      <c r="B723" s="6" t="str">
        <f>IMAGE("https://storage.googleapis.com/acdb/housewares/FtrDrinkingfountain_Remake_3_0.png")</f>
        <v/>
      </c>
      <c r="C723" s="5" t="s">
        <v>54</v>
      </c>
      <c r="D723" s="5" t="s">
        <v>135</v>
      </c>
      <c r="E723" s="5" t="s">
        <v>34</v>
      </c>
      <c r="F723" s="5" t="s">
        <v>34</v>
      </c>
      <c r="G723" s="5" t="s">
        <v>35</v>
      </c>
      <c r="H723" s="5" t="s">
        <v>35</v>
      </c>
      <c r="I723" s="5" t="s">
        <v>36</v>
      </c>
      <c r="J723" s="6">
        <v>4.0</v>
      </c>
      <c r="K723" s="6" t="s">
        <v>37</v>
      </c>
      <c r="L723" s="6">
        <v>2700.0</v>
      </c>
      <c r="M723" s="8" t="s">
        <v>54</v>
      </c>
      <c r="N723" s="8" t="s">
        <v>54</v>
      </c>
      <c r="O723" s="6" t="s">
        <v>40</v>
      </c>
      <c r="P723" s="5" t="s">
        <v>41</v>
      </c>
      <c r="Q723" s="5"/>
      <c r="R723" s="6" t="s">
        <v>42</v>
      </c>
      <c r="S723" s="5" t="s">
        <v>172</v>
      </c>
      <c r="T723" s="5" t="s">
        <v>44</v>
      </c>
      <c r="U723" s="5" t="s">
        <v>44</v>
      </c>
      <c r="V723" s="5" t="s">
        <v>44</v>
      </c>
      <c r="W723" s="5" t="s">
        <v>35</v>
      </c>
      <c r="X723" s="8" t="s">
        <v>3156</v>
      </c>
      <c r="Y723" s="5" t="s">
        <v>46</v>
      </c>
      <c r="Z723" s="5" t="s">
        <v>47</v>
      </c>
      <c r="AA723" s="5" t="s">
        <v>48</v>
      </c>
      <c r="AB723" s="5" t="s">
        <v>3171</v>
      </c>
      <c r="AC723" s="6" t="s">
        <v>71</v>
      </c>
      <c r="AD723" s="6">
        <v>2319.0</v>
      </c>
    </row>
    <row r="724" ht="56.25" customHeight="1">
      <c r="A724" s="5" t="s">
        <v>3172</v>
      </c>
      <c r="B724" s="6" t="str">
        <f>IMAGE("https://storage.googleapis.com/acdb/housewares/FtrDrumSet_Remake_0_0.png")</f>
        <v/>
      </c>
      <c r="C724" s="5" t="s">
        <v>3173</v>
      </c>
      <c r="D724" s="5" t="s">
        <v>34</v>
      </c>
      <c r="E724" s="5" t="s">
        <v>3174</v>
      </c>
      <c r="F724" s="5" t="s">
        <v>3175</v>
      </c>
      <c r="G724" s="5" t="s">
        <v>36</v>
      </c>
      <c r="H724" s="5" t="s">
        <v>36</v>
      </c>
      <c r="I724" s="5" t="s">
        <v>35</v>
      </c>
      <c r="J724" s="6">
        <v>2.0</v>
      </c>
      <c r="K724" s="6">
        <v>5600.0</v>
      </c>
      <c r="L724" s="6">
        <v>1400.0</v>
      </c>
      <c r="M724" s="8" t="s">
        <v>142</v>
      </c>
      <c r="N724" s="8" t="s">
        <v>57</v>
      </c>
      <c r="O724" s="6" t="s">
        <v>276</v>
      </c>
      <c r="P724" s="5" t="s">
        <v>59</v>
      </c>
      <c r="Q724" s="5" t="s">
        <v>122</v>
      </c>
      <c r="R724" s="6" t="s">
        <v>42</v>
      </c>
      <c r="S724" s="5" t="s">
        <v>129</v>
      </c>
      <c r="T724" s="5" t="s">
        <v>44</v>
      </c>
      <c r="U724" s="5" t="s">
        <v>44</v>
      </c>
      <c r="V724" s="5" t="s">
        <v>44</v>
      </c>
      <c r="W724" s="5" t="s">
        <v>35</v>
      </c>
      <c r="X724" s="8" t="s">
        <v>45</v>
      </c>
      <c r="Y724" s="5" t="s">
        <v>46</v>
      </c>
      <c r="Z724" s="5" t="s">
        <v>47</v>
      </c>
      <c r="AA724" s="5" t="s">
        <v>64</v>
      </c>
      <c r="AB724" s="5" t="s">
        <v>3180</v>
      </c>
      <c r="AC724" s="6" t="s">
        <v>50</v>
      </c>
      <c r="AD724" s="6">
        <v>1803.0</v>
      </c>
    </row>
    <row r="725" ht="56.25" customHeight="1">
      <c r="A725" s="5" t="s">
        <v>3172</v>
      </c>
      <c r="B725" s="6" t="str">
        <f>IMAGE("https://storage.googleapis.com/acdb/housewares/FtrDrumSet_Remake_0_1.png")</f>
        <v/>
      </c>
      <c r="C725" s="5" t="s">
        <v>3173</v>
      </c>
      <c r="D725" s="5" t="s">
        <v>34</v>
      </c>
      <c r="E725" s="5" t="s">
        <v>3181</v>
      </c>
      <c r="F725" s="5" t="s">
        <v>3175</v>
      </c>
      <c r="G725" s="5" t="s">
        <v>36</v>
      </c>
      <c r="H725" s="5" t="s">
        <v>36</v>
      </c>
      <c r="I725" s="5" t="s">
        <v>35</v>
      </c>
      <c r="J725" s="6">
        <v>2.0</v>
      </c>
      <c r="K725" s="6">
        <v>5600.0</v>
      </c>
      <c r="L725" s="6">
        <v>1400.0</v>
      </c>
      <c r="M725" s="8" t="s">
        <v>142</v>
      </c>
      <c r="N725" s="8" t="s">
        <v>54</v>
      </c>
      <c r="O725" s="6" t="s">
        <v>276</v>
      </c>
      <c r="P725" s="5" t="s">
        <v>59</v>
      </c>
      <c r="Q725" s="5" t="s">
        <v>122</v>
      </c>
      <c r="R725" s="6" t="s">
        <v>42</v>
      </c>
      <c r="S725" s="5" t="s">
        <v>129</v>
      </c>
      <c r="T725" s="5" t="s">
        <v>44</v>
      </c>
      <c r="U725" s="5" t="s">
        <v>44</v>
      </c>
      <c r="V725" s="5" t="s">
        <v>44</v>
      </c>
      <c r="W725" s="5" t="s">
        <v>35</v>
      </c>
      <c r="X725" s="8" t="s">
        <v>45</v>
      </c>
      <c r="Y725" s="5" t="s">
        <v>46</v>
      </c>
      <c r="Z725" s="5" t="s">
        <v>47</v>
      </c>
      <c r="AA725" s="5" t="s">
        <v>64</v>
      </c>
      <c r="AB725" s="5" t="s">
        <v>3185</v>
      </c>
      <c r="AC725" s="6" t="s">
        <v>217</v>
      </c>
      <c r="AD725" s="6">
        <v>1803.0</v>
      </c>
    </row>
    <row r="726" ht="56.25" customHeight="1">
      <c r="A726" s="5" t="s">
        <v>3172</v>
      </c>
      <c r="B726" s="6" t="str">
        <f>IMAGE("https://storage.googleapis.com/acdb/housewares/FtrDrumSet_Remake_0_2.png")</f>
        <v/>
      </c>
      <c r="C726" s="5" t="s">
        <v>3173</v>
      </c>
      <c r="D726" s="5" t="s">
        <v>34</v>
      </c>
      <c r="E726" s="5" t="s">
        <v>3186</v>
      </c>
      <c r="F726" s="5" t="s">
        <v>3175</v>
      </c>
      <c r="G726" s="5" t="s">
        <v>36</v>
      </c>
      <c r="H726" s="5" t="s">
        <v>36</v>
      </c>
      <c r="I726" s="5" t="s">
        <v>35</v>
      </c>
      <c r="J726" s="6">
        <v>2.0</v>
      </c>
      <c r="K726" s="6">
        <v>5600.0</v>
      </c>
      <c r="L726" s="6">
        <v>1400.0</v>
      </c>
      <c r="M726" s="8" t="s">
        <v>142</v>
      </c>
      <c r="N726" s="8" t="s">
        <v>54</v>
      </c>
      <c r="O726" s="6" t="s">
        <v>276</v>
      </c>
      <c r="P726" s="5" t="s">
        <v>59</v>
      </c>
      <c r="Q726" s="5" t="s">
        <v>122</v>
      </c>
      <c r="R726" s="6" t="s">
        <v>42</v>
      </c>
      <c r="S726" s="5" t="s">
        <v>129</v>
      </c>
      <c r="T726" s="5" t="s">
        <v>44</v>
      </c>
      <c r="U726" s="5" t="s">
        <v>44</v>
      </c>
      <c r="V726" s="5" t="s">
        <v>44</v>
      </c>
      <c r="W726" s="5" t="s">
        <v>35</v>
      </c>
      <c r="X726" s="8" t="s">
        <v>45</v>
      </c>
      <c r="Y726" s="5" t="s">
        <v>46</v>
      </c>
      <c r="Z726" s="5" t="s">
        <v>47</v>
      </c>
      <c r="AA726" s="5" t="s">
        <v>64</v>
      </c>
      <c r="AB726" s="5" t="s">
        <v>3190</v>
      </c>
      <c r="AC726" s="6" t="s">
        <v>347</v>
      </c>
      <c r="AD726" s="6">
        <v>1803.0</v>
      </c>
    </row>
    <row r="727" ht="56.25" customHeight="1">
      <c r="A727" s="5" t="s">
        <v>3172</v>
      </c>
      <c r="B727" s="6" t="str">
        <f>IMAGE("https://storage.googleapis.com/acdb/housewares/FtrDrumSet_Remake_0_3.png")</f>
        <v/>
      </c>
      <c r="C727" s="5" t="s">
        <v>3173</v>
      </c>
      <c r="D727" s="5" t="s">
        <v>34</v>
      </c>
      <c r="E727" s="5" t="s">
        <v>3191</v>
      </c>
      <c r="F727" s="5" t="s">
        <v>3175</v>
      </c>
      <c r="G727" s="5" t="s">
        <v>36</v>
      </c>
      <c r="H727" s="5" t="s">
        <v>36</v>
      </c>
      <c r="I727" s="5" t="s">
        <v>35</v>
      </c>
      <c r="J727" s="6">
        <v>2.0</v>
      </c>
      <c r="K727" s="6">
        <v>5600.0</v>
      </c>
      <c r="L727" s="6">
        <v>1400.0</v>
      </c>
      <c r="M727" s="8" t="s">
        <v>142</v>
      </c>
      <c r="N727" s="8" t="s">
        <v>57</v>
      </c>
      <c r="O727" s="6" t="s">
        <v>276</v>
      </c>
      <c r="P727" s="5" t="s">
        <v>59</v>
      </c>
      <c r="Q727" s="5" t="s">
        <v>122</v>
      </c>
      <c r="R727" s="6" t="s">
        <v>42</v>
      </c>
      <c r="S727" s="5" t="s">
        <v>129</v>
      </c>
      <c r="T727" s="5" t="s">
        <v>44</v>
      </c>
      <c r="U727" s="5" t="s">
        <v>44</v>
      </c>
      <c r="V727" s="5" t="s">
        <v>44</v>
      </c>
      <c r="W727" s="5" t="s">
        <v>35</v>
      </c>
      <c r="X727" s="8" t="s">
        <v>45</v>
      </c>
      <c r="Y727" s="5" t="s">
        <v>46</v>
      </c>
      <c r="Z727" s="5" t="s">
        <v>47</v>
      </c>
      <c r="AA727" s="5" t="s">
        <v>64</v>
      </c>
      <c r="AB727" s="5" t="s">
        <v>3196</v>
      </c>
      <c r="AC727" s="6" t="s">
        <v>354</v>
      </c>
      <c r="AD727" s="6">
        <v>1803.0</v>
      </c>
    </row>
    <row r="728" ht="56.25" customHeight="1">
      <c r="A728" s="5" t="s">
        <v>3172</v>
      </c>
      <c r="B728" s="6" t="str">
        <f>IMAGE("https://storage.googleapis.com/acdb/housewares/FtrDrumSet_Remake_0_4.png")</f>
        <v/>
      </c>
      <c r="C728" s="5" t="s">
        <v>3173</v>
      </c>
      <c r="D728" s="5" t="s">
        <v>34</v>
      </c>
      <c r="E728" s="5" t="s">
        <v>2833</v>
      </c>
      <c r="F728" s="5" t="s">
        <v>3175</v>
      </c>
      <c r="G728" s="5" t="s">
        <v>36</v>
      </c>
      <c r="H728" s="5" t="s">
        <v>36</v>
      </c>
      <c r="I728" s="5" t="s">
        <v>35</v>
      </c>
      <c r="J728" s="6">
        <v>2.0</v>
      </c>
      <c r="K728" s="6">
        <v>5600.0</v>
      </c>
      <c r="L728" s="6">
        <v>1400.0</v>
      </c>
      <c r="M728" s="8" t="s">
        <v>142</v>
      </c>
      <c r="N728" s="8" t="s">
        <v>54</v>
      </c>
      <c r="O728" s="6" t="s">
        <v>276</v>
      </c>
      <c r="P728" s="5" t="s">
        <v>59</v>
      </c>
      <c r="Q728" s="5" t="s">
        <v>122</v>
      </c>
      <c r="R728" s="6" t="s">
        <v>42</v>
      </c>
      <c r="S728" s="5" t="s">
        <v>129</v>
      </c>
      <c r="T728" s="5" t="s">
        <v>44</v>
      </c>
      <c r="U728" s="5" t="s">
        <v>44</v>
      </c>
      <c r="V728" s="5" t="s">
        <v>44</v>
      </c>
      <c r="W728" s="5" t="s">
        <v>35</v>
      </c>
      <c r="X728" s="8" t="s">
        <v>45</v>
      </c>
      <c r="Y728" s="5" t="s">
        <v>46</v>
      </c>
      <c r="Z728" s="5" t="s">
        <v>47</v>
      </c>
      <c r="AA728" s="5" t="s">
        <v>64</v>
      </c>
      <c r="AB728" s="5" t="s">
        <v>3201</v>
      </c>
      <c r="AC728" s="6" t="s">
        <v>486</v>
      </c>
      <c r="AD728" s="6">
        <v>1803.0</v>
      </c>
    </row>
    <row r="729" ht="56.25" customHeight="1">
      <c r="A729" s="5" t="s">
        <v>3172</v>
      </c>
      <c r="B729" s="6" t="str">
        <f>IMAGE("https://storage.googleapis.com/acdb/housewares/FtrDrumSet_Remake_0_5.png")</f>
        <v/>
      </c>
      <c r="C729" s="5" t="s">
        <v>3173</v>
      </c>
      <c r="D729" s="5" t="s">
        <v>34</v>
      </c>
      <c r="E729" s="5" t="s">
        <v>3203</v>
      </c>
      <c r="F729" s="5" t="s">
        <v>3175</v>
      </c>
      <c r="G729" s="5" t="s">
        <v>36</v>
      </c>
      <c r="H729" s="5" t="s">
        <v>36</v>
      </c>
      <c r="I729" s="5" t="s">
        <v>35</v>
      </c>
      <c r="J729" s="6">
        <v>2.0</v>
      </c>
      <c r="K729" s="6">
        <v>5600.0</v>
      </c>
      <c r="L729" s="6">
        <v>1400.0</v>
      </c>
      <c r="M729" s="8" t="s">
        <v>142</v>
      </c>
      <c r="N729" s="8" t="s">
        <v>38</v>
      </c>
      <c r="O729" s="6" t="s">
        <v>276</v>
      </c>
      <c r="P729" s="5" t="s">
        <v>59</v>
      </c>
      <c r="Q729" s="5" t="s">
        <v>122</v>
      </c>
      <c r="R729" s="6" t="s">
        <v>42</v>
      </c>
      <c r="S729" s="5" t="s">
        <v>129</v>
      </c>
      <c r="T729" s="5" t="s">
        <v>44</v>
      </c>
      <c r="U729" s="5" t="s">
        <v>44</v>
      </c>
      <c r="V729" s="5" t="s">
        <v>44</v>
      </c>
      <c r="W729" s="5" t="s">
        <v>35</v>
      </c>
      <c r="X729" s="8" t="s">
        <v>45</v>
      </c>
      <c r="Y729" s="5" t="s">
        <v>46</v>
      </c>
      <c r="Z729" s="5" t="s">
        <v>47</v>
      </c>
      <c r="AA729" s="5" t="s">
        <v>64</v>
      </c>
      <c r="AB729" s="5" t="s">
        <v>3207</v>
      </c>
      <c r="AC729" s="6" t="s">
        <v>934</v>
      </c>
      <c r="AD729" s="6">
        <v>1803.0</v>
      </c>
    </row>
    <row r="730" ht="56.25" customHeight="1">
      <c r="A730" s="5" t="s">
        <v>3172</v>
      </c>
      <c r="B730" s="6" t="str">
        <f>IMAGE("https://storage.googleapis.com/acdb/housewares/FtrDrumSet_Remake_1_0.png")</f>
        <v/>
      </c>
      <c r="C730" s="5" t="s">
        <v>3208</v>
      </c>
      <c r="D730" s="5" t="s">
        <v>34</v>
      </c>
      <c r="E730" s="5" t="s">
        <v>3174</v>
      </c>
      <c r="F730" s="5" t="s">
        <v>3175</v>
      </c>
      <c r="G730" s="5" t="s">
        <v>36</v>
      </c>
      <c r="H730" s="5" t="s">
        <v>36</v>
      </c>
      <c r="I730" s="5" t="s">
        <v>35</v>
      </c>
      <c r="J730" s="6">
        <v>2.0</v>
      </c>
      <c r="K730" s="6">
        <v>5600.0</v>
      </c>
      <c r="L730" s="6">
        <v>1400.0</v>
      </c>
      <c r="M730" s="8" t="s">
        <v>54</v>
      </c>
      <c r="N730" s="8" t="s">
        <v>57</v>
      </c>
      <c r="O730" s="6" t="s">
        <v>276</v>
      </c>
      <c r="P730" s="5" t="s">
        <v>59</v>
      </c>
      <c r="Q730" s="5" t="s">
        <v>122</v>
      </c>
      <c r="R730" s="6" t="s">
        <v>42</v>
      </c>
      <c r="S730" s="5" t="s">
        <v>129</v>
      </c>
      <c r="T730" s="5" t="s">
        <v>44</v>
      </c>
      <c r="U730" s="5" t="s">
        <v>44</v>
      </c>
      <c r="V730" s="5" t="s">
        <v>44</v>
      </c>
      <c r="W730" s="5" t="s">
        <v>35</v>
      </c>
      <c r="X730" s="8" t="s">
        <v>45</v>
      </c>
      <c r="Y730" s="5" t="s">
        <v>46</v>
      </c>
      <c r="Z730" s="5" t="s">
        <v>47</v>
      </c>
      <c r="AA730" s="5" t="s">
        <v>64</v>
      </c>
      <c r="AB730" s="5" t="s">
        <v>3212</v>
      </c>
      <c r="AC730" s="6" t="s">
        <v>56</v>
      </c>
      <c r="AD730" s="6">
        <v>1803.0</v>
      </c>
    </row>
    <row r="731" ht="56.25" customHeight="1">
      <c r="A731" s="5" t="s">
        <v>3172</v>
      </c>
      <c r="B731" s="6" t="str">
        <f>IMAGE("https://storage.googleapis.com/acdb/housewares/FtrDrumSet_Remake_1_1.png")</f>
        <v/>
      </c>
      <c r="C731" s="5" t="s">
        <v>3208</v>
      </c>
      <c r="D731" s="5" t="s">
        <v>34</v>
      </c>
      <c r="E731" s="5" t="s">
        <v>3181</v>
      </c>
      <c r="F731" s="5" t="s">
        <v>3175</v>
      </c>
      <c r="G731" s="5" t="s">
        <v>36</v>
      </c>
      <c r="H731" s="5" t="s">
        <v>36</v>
      </c>
      <c r="I731" s="5" t="s">
        <v>35</v>
      </c>
      <c r="J731" s="6">
        <v>2.0</v>
      </c>
      <c r="K731" s="6">
        <v>5600.0</v>
      </c>
      <c r="L731" s="6">
        <v>1400.0</v>
      </c>
      <c r="M731" s="8" t="s">
        <v>54</v>
      </c>
      <c r="N731" s="8" t="s">
        <v>54</v>
      </c>
      <c r="O731" s="6" t="s">
        <v>276</v>
      </c>
      <c r="P731" s="5" t="s">
        <v>59</v>
      </c>
      <c r="Q731" s="5" t="s">
        <v>122</v>
      </c>
      <c r="R731" s="6" t="s">
        <v>42</v>
      </c>
      <c r="S731" s="5" t="s">
        <v>129</v>
      </c>
      <c r="T731" s="5" t="s">
        <v>44</v>
      </c>
      <c r="U731" s="5" t="s">
        <v>44</v>
      </c>
      <c r="V731" s="5" t="s">
        <v>44</v>
      </c>
      <c r="W731" s="5" t="s">
        <v>35</v>
      </c>
      <c r="X731" s="8" t="s">
        <v>45</v>
      </c>
      <c r="Y731" s="5" t="s">
        <v>46</v>
      </c>
      <c r="Z731" s="5" t="s">
        <v>47</v>
      </c>
      <c r="AA731" s="5" t="s">
        <v>64</v>
      </c>
      <c r="AB731" s="5" t="s">
        <v>3218</v>
      </c>
      <c r="AC731" s="6" t="s">
        <v>234</v>
      </c>
      <c r="AD731" s="6">
        <v>1803.0</v>
      </c>
    </row>
    <row r="732" ht="56.25" customHeight="1">
      <c r="A732" s="5" t="s">
        <v>3172</v>
      </c>
      <c r="B732" s="6" t="str">
        <f>IMAGE("https://storage.googleapis.com/acdb/housewares/FtrDrumSet_Remake_1_2.png")</f>
        <v/>
      </c>
      <c r="C732" s="5" t="s">
        <v>3208</v>
      </c>
      <c r="D732" s="5" t="s">
        <v>34</v>
      </c>
      <c r="E732" s="5" t="s">
        <v>3186</v>
      </c>
      <c r="F732" s="5" t="s">
        <v>3175</v>
      </c>
      <c r="G732" s="5" t="s">
        <v>36</v>
      </c>
      <c r="H732" s="5" t="s">
        <v>36</v>
      </c>
      <c r="I732" s="5" t="s">
        <v>35</v>
      </c>
      <c r="J732" s="6">
        <v>2.0</v>
      </c>
      <c r="K732" s="6">
        <v>5600.0</v>
      </c>
      <c r="L732" s="6">
        <v>1400.0</v>
      </c>
      <c r="M732" s="8" t="s">
        <v>54</v>
      </c>
      <c r="N732" s="8" t="s">
        <v>54</v>
      </c>
      <c r="O732" s="6" t="s">
        <v>276</v>
      </c>
      <c r="P732" s="5" t="s">
        <v>59</v>
      </c>
      <c r="Q732" s="5" t="s">
        <v>122</v>
      </c>
      <c r="R732" s="6" t="s">
        <v>42</v>
      </c>
      <c r="S732" s="5" t="s">
        <v>129</v>
      </c>
      <c r="T732" s="5" t="s">
        <v>44</v>
      </c>
      <c r="U732" s="5" t="s">
        <v>44</v>
      </c>
      <c r="V732" s="5" t="s">
        <v>44</v>
      </c>
      <c r="W732" s="5" t="s">
        <v>35</v>
      </c>
      <c r="X732" s="8" t="s">
        <v>45</v>
      </c>
      <c r="Y732" s="5" t="s">
        <v>46</v>
      </c>
      <c r="Z732" s="5" t="s">
        <v>47</v>
      </c>
      <c r="AA732" s="5" t="s">
        <v>64</v>
      </c>
      <c r="AB732" s="5" t="s">
        <v>3221</v>
      </c>
      <c r="AC732" s="6" t="s">
        <v>370</v>
      </c>
      <c r="AD732" s="6">
        <v>1803.0</v>
      </c>
    </row>
    <row r="733" ht="56.25" customHeight="1">
      <c r="A733" s="5" t="s">
        <v>3172</v>
      </c>
      <c r="B733" s="6" t="str">
        <f>IMAGE("https://storage.googleapis.com/acdb/housewares/FtrDrumSet_Remake_1_3.png")</f>
        <v/>
      </c>
      <c r="C733" s="5" t="s">
        <v>3208</v>
      </c>
      <c r="D733" s="5" t="s">
        <v>34</v>
      </c>
      <c r="E733" s="5" t="s">
        <v>3191</v>
      </c>
      <c r="F733" s="5" t="s">
        <v>3175</v>
      </c>
      <c r="G733" s="5" t="s">
        <v>36</v>
      </c>
      <c r="H733" s="5" t="s">
        <v>36</v>
      </c>
      <c r="I733" s="5" t="s">
        <v>35</v>
      </c>
      <c r="J733" s="6">
        <v>2.0</v>
      </c>
      <c r="K733" s="6">
        <v>5600.0</v>
      </c>
      <c r="L733" s="6">
        <v>1400.0</v>
      </c>
      <c r="M733" s="8" t="s">
        <v>54</v>
      </c>
      <c r="N733" s="8" t="s">
        <v>57</v>
      </c>
      <c r="O733" s="6" t="s">
        <v>276</v>
      </c>
      <c r="P733" s="5" t="s">
        <v>59</v>
      </c>
      <c r="Q733" s="5" t="s">
        <v>122</v>
      </c>
      <c r="R733" s="6" t="s">
        <v>42</v>
      </c>
      <c r="S733" s="5" t="s">
        <v>129</v>
      </c>
      <c r="T733" s="5" t="s">
        <v>44</v>
      </c>
      <c r="U733" s="5" t="s">
        <v>44</v>
      </c>
      <c r="V733" s="5" t="s">
        <v>44</v>
      </c>
      <c r="W733" s="5" t="s">
        <v>35</v>
      </c>
      <c r="X733" s="8" t="s">
        <v>45</v>
      </c>
      <c r="Y733" s="5" t="s">
        <v>46</v>
      </c>
      <c r="Z733" s="5" t="s">
        <v>47</v>
      </c>
      <c r="AA733" s="5" t="s">
        <v>64</v>
      </c>
      <c r="AB733" s="5" t="s">
        <v>3226</v>
      </c>
      <c r="AC733" s="6" t="s">
        <v>377</v>
      </c>
      <c r="AD733" s="6">
        <v>1803.0</v>
      </c>
    </row>
    <row r="734" ht="56.25" customHeight="1">
      <c r="A734" s="5" t="s">
        <v>3172</v>
      </c>
      <c r="B734" s="6" t="str">
        <f>IMAGE("https://storage.googleapis.com/acdb/housewares/FtrDrumSet_Remake_1_4.png")</f>
        <v/>
      </c>
      <c r="C734" s="5" t="s">
        <v>3208</v>
      </c>
      <c r="D734" s="5" t="s">
        <v>34</v>
      </c>
      <c r="E734" s="5" t="s">
        <v>2833</v>
      </c>
      <c r="F734" s="5" t="s">
        <v>3175</v>
      </c>
      <c r="G734" s="5" t="s">
        <v>36</v>
      </c>
      <c r="H734" s="5" t="s">
        <v>36</v>
      </c>
      <c r="I734" s="5" t="s">
        <v>35</v>
      </c>
      <c r="J734" s="6">
        <v>2.0</v>
      </c>
      <c r="K734" s="6">
        <v>5600.0</v>
      </c>
      <c r="L734" s="6">
        <v>1400.0</v>
      </c>
      <c r="M734" s="8" t="s">
        <v>54</v>
      </c>
      <c r="N734" s="8" t="s">
        <v>54</v>
      </c>
      <c r="O734" s="6" t="s">
        <v>276</v>
      </c>
      <c r="P734" s="5" t="s">
        <v>59</v>
      </c>
      <c r="Q734" s="5" t="s">
        <v>122</v>
      </c>
      <c r="R734" s="6" t="s">
        <v>42</v>
      </c>
      <c r="S734" s="5" t="s">
        <v>129</v>
      </c>
      <c r="T734" s="5" t="s">
        <v>44</v>
      </c>
      <c r="U734" s="5" t="s">
        <v>44</v>
      </c>
      <c r="V734" s="5" t="s">
        <v>44</v>
      </c>
      <c r="W734" s="5" t="s">
        <v>35</v>
      </c>
      <c r="X734" s="8" t="s">
        <v>45</v>
      </c>
      <c r="Y734" s="5" t="s">
        <v>46</v>
      </c>
      <c r="Z734" s="5" t="s">
        <v>47</v>
      </c>
      <c r="AA734" s="5" t="s">
        <v>64</v>
      </c>
      <c r="AB734" s="5" t="s">
        <v>3231</v>
      </c>
      <c r="AC734" s="6" t="s">
        <v>520</v>
      </c>
      <c r="AD734" s="6">
        <v>1803.0</v>
      </c>
    </row>
    <row r="735" ht="56.25" customHeight="1">
      <c r="A735" s="5" t="s">
        <v>3172</v>
      </c>
      <c r="B735" s="6" t="str">
        <f>IMAGE("https://storage.googleapis.com/acdb/housewares/FtrDrumSet_Remake_1_5.png")</f>
        <v/>
      </c>
      <c r="C735" s="5" t="s">
        <v>3208</v>
      </c>
      <c r="D735" s="5" t="s">
        <v>34</v>
      </c>
      <c r="E735" s="5" t="s">
        <v>3203</v>
      </c>
      <c r="F735" s="5" t="s">
        <v>3175</v>
      </c>
      <c r="G735" s="5" t="s">
        <v>36</v>
      </c>
      <c r="H735" s="5" t="s">
        <v>36</v>
      </c>
      <c r="I735" s="5" t="s">
        <v>35</v>
      </c>
      <c r="J735" s="6">
        <v>2.0</v>
      </c>
      <c r="K735" s="6">
        <v>5600.0</v>
      </c>
      <c r="L735" s="6">
        <v>1400.0</v>
      </c>
      <c r="M735" s="8" t="s">
        <v>54</v>
      </c>
      <c r="N735" s="8" t="s">
        <v>38</v>
      </c>
      <c r="O735" s="6" t="s">
        <v>276</v>
      </c>
      <c r="P735" s="5" t="s">
        <v>59</v>
      </c>
      <c r="Q735" s="5" t="s">
        <v>122</v>
      </c>
      <c r="R735" s="6" t="s">
        <v>42</v>
      </c>
      <c r="S735" s="5" t="s">
        <v>129</v>
      </c>
      <c r="T735" s="5" t="s">
        <v>44</v>
      </c>
      <c r="U735" s="5" t="s">
        <v>44</v>
      </c>
      <c r="V735" s="5" t="s">
        <v>44</v>
      </c>
      <c r="W735" s="5" t="s">
        <v>35</v>
      </c>
      <c r="X735" s="8" t="s">
        <v>45</v>
      </c>
      <c r="Y735" s="5" t="s">
        <v>46</v>
      </c>
      <c r="Z735" s="5" t="s">
        <v>47</v>
      </c>
      <c r="AA735" s="5" t="s">
        <v>64</v>
      </c>
      <c r="AB735" s="5" t="s">
        <v>3240</v>
      </c>
      <c r="AC735" s="6" t="s">
        <v>1389</v>
      </c>
      <c r="AD735" s="6">
        <v>1803.0</v>
      </c>
    </row>
    <row r="736" ht="56.25" customHeight="1">
      <c r="A736" s="5" t="s">
        <v>3172</v>
      </c>
      <c r="B736" s="6" t="str">
        <f>IMAGE("https://storage.googleapis.com/acdb/housewares/FtrDrumSet_Remake_2_0.png")</f>
        <v/>
      </c>
      <c r="C736" s="5" t="s">
        <v>3245</v>
      </c>
      <c r="D736" s="5" t="s">
        <v>34</v>
      </c>
      <c r="E736" s="5" t="s">
        <v>3174</v>
      </c>
      <c r="F736" s="5" t="s">
        <v>3175</v>
      </c>
      <c r="G736" s="5" t="s">
        <v>36</v>
      </c>
      <c r="H736" s="5" t="s">
        <v>36</v>
      </c>
      <c r="I736" s="5" t="s">
        <v>35</v>
      </c>
      <c r="J736" s="6">
        <v>2.0</v>
      </c>
      <c r="K736" s="6">
        <v>5600.0</v>
      </c>
      <c r="L736" s="6">
        <v>1400.0</v>
      </c>
      <c r="M736" s="8" t="s">
        <v>57</v>
      </c>
      <c r="N736" s="8" t="s">
        <v>57</v>
      </c>
      <c r="O736" s="6" t="s">
        <v>276</v>
      </c>
      <c r="P736" s="5" t="s">
        <v>59</v>
      </c>
      <c r="Q736" s="5" t="s">
        <v>122</v>
      </c>
      <c r="R736" s="6" t="s">
        <v>42</v>
      </c>
      <c r="S736" s="5" t="s">
        <v>129</v>
      </c>
      <c r="T736" s="5" t="s">
        <v>44</v>
      </c>
      <c r="U736" s="5" t="s">
        <v>44</v>
      </c>
      <c r="V736" s="5" t="s">
        <v>44</v>
      </c>
      <c r="W736" s="5" t="s">
        <v>35</v>
      </c>
      <c r="X736" s="8" t="s">
        <v>45</v>
      </c>
      <c r="Y736" s="5" t="s">
        <v>46</v>
      </c>
      <c r="Z736" s="5" t="s">
        <v>47</v>
      </c>
      <c r="AA736" s="5" t="s">
        <v>64</v>
      </c>
      <c r="AB736" s="5" t="s">
        <v>3246</v>
      </c>
      <c r="AC736" s="6" t="s">
        <v>67</v>
      </c>
      <c r="AD736" s="6">
        <v>1803.0</v>
      </c>
    </row>
    <row r="737" ht="56.25" customHeight="1">
      <c r="A737" s="5" t="s">
        <v>3172</v>
      </c>
      <c r="B737" s="6" t="str">
        <f>IMAGE("https://storage.googleapis.com/acdb/housewares/FtrDrumSet_Remake_2_1.png")</f>
        <v/>
      </c>
      <c r="C737" s="5" t="s">
        <v>3245</v>
      </c>
      <c r="D737" s="5" t="s">
        <v>34</v>
      </c>
      <c r="E737" s="5" t="s">
        <v>3181</v>
      </c>
      <c r="F737" s="5" t="s">
        <v>3175</v>
      </c>
      <c r="G737" s="5" t="s">
        <v>36</v>
      </c>
      <c r="H737" s="5" t="s">
        <v>36</v>
      </c>
      <c r="I737" s="5" t="s">
        <v>35</v>
      </c>
      <c r="J737" s="6">
        <v>2.0</v>
      </c>
      <c r="K737" s="6">
        <v>5600.0</v>
      </c>
      <c r="L737" s="6">
        <v>1400.0</v>
      </c>
      <c r="M737" s="8" t="s">
        <v>57</v>
      </c>
      <c r="N737" s="8" t="s">
        <v>54</v>
      </c>
      <c r="O737" s="6" t="s">
        <v>276</v>
      </c>
      <c r="P737" s="5" t="s">
        <v>59</v>
      </c>
      <c r="Q737" s="5" t="s">
        <v>122</v>
      </c>
      <c r="R737" s="6" t="s">
        <v>42</v>
      </c>
      <c r="S737" s="5" t="s">
        <v>129</v>
      </c>
      <c r="T737" s="5" t="s">
        <v>44</v>
      </c>
      <c r="U737" s="5" t="s">
        <v>44</v>
      </c>
      <c r="V737" s="5" t="s">
        <v>44</v>
      </c>
      <c r="W737" s="5" t="s">
        <v>35</v>
      </c>
      <c r="X737" s="8" t="s">
        <v>45</v>
      </c>
      <c r="Y737" s="5" t="s">
        <v>46</v>
      </c>
      <c r="Z737" s="5" t="s">
        <v>47</v>
      </c>
      <c r="AA737" s="5" t="s">
        <v>64</v>
      </c>
      <c r="AB737" s="5" t="s">
        <v>3250</v>
      </c>
      <c r="AC737" s="6" t="s">
        <v>247</v>
      </c>
      <c r="AD737" s="6">
        <v>1803.0</v>
      </c>
    </row>
    <row r="738" ht="56.25" customHeight="1">
      <c r="A738" s="5" t="s">
        <v>3172</v>
      </c>
      <c r="B738" s="6" t="str">
        <f>IMAGE("https://storage.googleapis.com/acdb/housewares/FtrDrumSet_Remake_2_2.png")</f>
        <v/>
      </c>
      <c r="C738" s="5" t="s">
        <v>3245</v>
      </c>
      <c r="D738" s="5" t="s">
        <v>34</v>
      </c>
      <c r="E738" s="5" t="s">
        <v>3186</v>
      </c>
      <c r="F738" s="5" t="s">
        <v>3175</v>
      </c>
      <c r="G738" s="5" t="s">
        <v>36</v>
      </c>
      <c r="H738" s="5" t="s">
        <v>36</v>
      </c>
      <c r="I738" s="5" t="s">
        <v>35</v>
      </c>
      <c r="J738" s="6">
        <v>2.0</v>
      </c>
      <c r="K738" s="6">
        <v>5600.0</v>
      </c>
      <c r="L738" s="6">
        <v>1400.0</v>
      </c>
      <c r="M738" s="8" t="s">
        <v>57</v>
      </c>
      <c r="N738" s="8" t="s">
        <v>54</v>
      </c>
      <c r="O738" s="6" t="s">
        <v>276</v>
      </c>
      <c r="P738" s="5" t="s">
        <v>59</v>
      </c>
      <c r="Q738" s="5" t="s">
        <v>122</v>
      </c>
      <c r="R738" s="6" t="s">
        <v>42</v>
      </c>
      <c r="S738" s="5" t="s">
        <v>129</v>
      </c>
      <c r="T738" s="5" t="s">
        <v>44</v>
      </c>
      <c r="U738" s="5" t="s">
        <v>44</v>
      </c>
      <c r="V738" s="5" t="s">
        <v>44</v>
      </c>
      <c r="W738" s="5" t="s">
        <v>35</v>
      </c>
      <c r="X738" s="8" t="s">
        <v>45</v>
      </c>
      <c r="Y738" s="5" t="s">
        <v>46</v>
      </c>
      <c r="Z738" s="5" t="s">
        <v>47</v>
      </c>
      <c r="AA738" s="5" t="s">
        <v>64</v>
      </c>
      <c r="AB738" s="5" t="s">
        <v>3255</v>
      </c>
      <c r="AC738" s="6" t="s">
        <v>390</v>
      </c>
      <c r="AD738" s="6">
        <v>1803.0</v>
      </c>
    </row>
    <row r="739" ht="56.25" customHeight="1">
      <c r="A739" s="5" t="s">
        <v>3172</v>
      </c>
      <c r="B739" s="6" t="str">
        <f>IMAGE("https://storage.googleapis.com/acdb/housewares/FtrDrumSet_Remake_2_3.png")</f>
        <v/>
      </c>
      <c r="C739" s="5" t="s">
        <v>3245</v>
      </c>
      <c r="D739" s="5" t="s">
        <v>34</v>
      </c>
      <c r="E739" s="5" t="s">
        <v>3191</v>
      </c>
      <c r="F739" s="5" t="s">
        <v>3175</v>
      </c>
      <c r="G739" s="5" t="s">
        <v>36</v>
      </c>
      <c r="H739" s="5" t="s">
        <v>36</v>
      </c>
      <c r="I739" s="5" t="s">
        <v>35</v>
      </c>
      <c r="J739" s="6">
        <v>2.0</v>
      </c>
      <c r="K739" s="6">
        <v>5600.0</v>
      </c>
      <c r="L739" s="6">
        <v>1400.0</v>
      </c>
      <c r="M739" s="8" t="s">
        <v>57</v>
      </c>
      <c r="N739" s="8" t="s">
        <v>57</v>
      </c>
      <c r="O739" s="6" t="s">
        <v>276</v>
      </c>
      <c r="P739" s="5" t="s">
        <v>59</v>
      </c>
      <c r="Q739" s="5" t="s">
        <v>122</v>
      </c>
      <c r="R739" s="6" t="s">
        <v>42</v>
      </c>
      <c r="S739" s="5" t="s">
        <v>129</v>
      </c>
      <c r="T739" s="5" t="s">
        <v>44</v>
      </c>
      <c r="U739" s="5" t="s">
        <v>44</v>
      </c>
      <c r="V739" s="5" t="s">
        <v>44</v>
      </c>
      <c r="W739" s="5" t="s">
        <v>35</v>
      </c>
      <c r="X739" s="8" t="s">
        <v>45</v>
      </c>
      <c r="Y739" s="5" t="s">
        <v>46</v>
      </c>
      <c r="Z739" s="5" t="s">
        <v>47</v>
      </c>
      <c r="AA739" s="5" t="s">
        <v>64</v>
      </c>
      <c r="AB739" s="5" t="s">
        <v>3260</v>
      </c>
      <c r="AC739" s="6" t="s">
        <v>396</v>
      </c>
      <c r="AD739" s="6">
        <v>1803.0</v>
      </c>
    </row>
    <row r="740" ht="56.25" customHeight="1">
      <c r="A740" s="5" t="s">
        <v>3172</v>
      </c>
      <c r="B740" s="6" t="str">
        <f>IMAGE("https://storage.googleapis.com/acdb/housewares/FtrDrumSet_Remake_2_4.png")</f>
        <v/>
      </c>
      <c r="C740" s="5" t="s">
        <v>3245</v>
      </c>
      <c r="D740" s="5" t="s">
        <v>34</v>
      </c>
      <c r="E740" s="5" t="s">
        <v>2833</v>
      </c>
      <c r="F740" s="5" t="s">
        <v>3175</v>
      </c>
      <c r="G740" s="5" t="s">
        <v>36</v>
      </c>
      <c r="H740" s="5" t="s">
        <v>36</v>
      </c>
      <c r="I740" s="5" t="s">
        <v>35</v>
      </c>
      <c r="J740" s="6">
        <v>2.0</v>
      </c>
      <c r="K740" s="6">
        <v>5600.0</v>
      </c>
      <c r="L740" s="6">
        <v>1400.0</v>
      </c>
      <c r="M740" s="8" t="s">
        <v>57</v>
      </c>
      <c r="N740" s="8" t="s">
        <v>54</v>
      </c>
      <c r="O740" s="6" t="s">
        <v>276</v>
      </c>
      <c r="P740" s="5" t="s">
        <v>59</v>
      </c>
      <c r="Q740" s="5" t="s">
        <v>122</v>
      </c>
      <c r="R740" s="6" t="s">
        <v>42</v>
      </c>
      <c r="S740" s="5" t="s">
        <v>129</v>
      </c>
      <c r="T740" s="5" t="s">
        <v>44</v>
      </c>
      <c r="U740" s="5" t="s">
        <v>44</v>
      </c>
      <c r="V740" s="5" t="s">
        <v>44</v>
      </c>
      <c r="W740" s="5" t="s">
        <v>35</v>
      </c>
      <c r="X740" s="8" t="s">
        <v>45</v>
      </c>
      <c r="Y740" s="5" t="s">
        <v>46</v>
      </c>
      <c r="Z740" s="5" t="s">
        <v>47</v>
      </c>
      <c r="AA740" s="5" t="s">
        <v>64</v>
      </c>
      <c r="AB740" s="5" t="s">
        <v>3265</v>
      </c>
      <c r="AC740" s="6" t="s">
        <v>541</v>
      </c>
      <c r="AD740" s="6">
        <v>1803.0</v>
      </c>
    </row>
    <row r="741" ht="56.25" customHeight="1">
      <c r="A741" s="5" t="s">
        <v>3172</v>
      </c>
      <c r="B741" s="6" t="str">
        <f>IMAGE("https://storage.googleapis.com/acdb/housewares/FtrDrumSet_Remake_2_5.png")</f>
        <v/>
      </c>
      <c r="C741" s="5" t="s">
        <v>3245</v>
      </c>
      <c r="D741" s="5" t="s">
        <v>34</v>
      </c>
      <c r="E741" s="5" t="s">
        <v>3203</v>
      </c>
      <c r="F741" s="5" t="s">
        <v>3175</v>
      </c>
      <c r="G741" s="5" t="s">
        <v>36</v>
      </c>
      <c r="H741" s="5" t="s">
        <v>36</v>
      </c>
      <c r="I741" s="5" t="s">
        <v>35</v>
      </c>
      <c r="J741" s="6">
        <v>2.0</v>
      </c>
      <c r="K741" s="6">
        <v>5600.0</v>
      </c>
      <c r="L741" s="6">
        <v>1400.0</v>
      </c>
      <c r="M741" s="8" t="s">
        <v>57</v>
      </c>
      <c r="N741" s="8" t="s">
        <v>38</v>
      </c>
      <c r="O741" s="6" t="s">
        <v>276</v>
      </c>
      <c r="P741" s="5" t="s">
        <v>59</v>
      </c>
      <c r="Q741" s="5" t="s">
        <v>122</v>
      </c>
      <c r="R741" s="6" t="s">
        <v>42</v>
      </c>
      <c r="S741" s="5" t="s">
        <v>129</v>
      </c>
      <c r="T741" s="5" t="s">
        <v>44</v>
      </c>
      <c r="U741" s="5" t="s">
        <v>44</v>
      </c>
      <c r="V741" s="5" t="s">
        <v>44</v>
      </c>
      <c r="W741" s="5" t="s">
        <v>35</v>
      </c>
      <c r="X741" s="8" t="s">
        <v>45</v>
      </c>
      <c r="Y741" s="5" t="s">
        <v>46</v>
      </c>
      <c r="Z741" s="5" t="s">
        <v>47</v>
      </c>
      <c r="AA741" s="5" t="s">
        <v>64</v>
      </c>
      <c r="AB741" s="5" t="s">
        <v>3269</v>
      </c>
      <c r="AC741" s="6" t="s">
        <v>1415</v>
      </c>
      <c r="AD741" s="6">
        <v>1803.0</v>
      </c>
    </row>
    <row r="742" ht="56.25" customHeight="1">
      <c r="A742" s="5" t="s">
        <v>3172</v>
      </c>
      <c r="B742" s="6" t="str">
        <f>IMAGE("https://storage.googleapis.com/acdb/housewares/FtrDrumSet_Remake_3_0.png")</f>
        <v/>
      </c>
      <c r="C742" s="5" t="s">
        <v>366</v>
      </c>
      <c r="D742" s="5" t="s">
        <v>34</v>
      </c>
      <c r="E742" s="5" t="s">
        <v>3174</v>
      </c>
      <c r="F742" s="5" t="s">
        <v>3175</v>
      </c>
      <c r="G742" s="5" t="s">
        <v>36</v>
      </c>
      <c r="H742" s="5" t="s">
        <v>36</v>
      </c>
      <c r="I742" s="5" t="s">
        <v>35</v>
      </c>
      <c r="J742" s="6">
        <v>2.0</v>
      </c>
      <c r="K742" s="6">
        <v>5600.0</v>
      </c>
      <c r="L742" s="6">
        <v>1400.0</v>
      </c>
      <c r="M742" s="8" t="s">
        <v>39</v>
      </c>
      <c r="N742" s="8" t="s">
        <v>57</v>
      </c>
      <c r="O742" s="6" t="s">
        <v>276</v>
      </c>
      <c r="P742" s="5" t="s">
        <v>59</v>
      </c>
      <c r="Q742" s="5" t="s">
        <v>122</v>
      </c>
      <c r="R742" s="6" t="s">
        <v>42</v>
      </c>
      <c r="S742" s="5" t="s">
        <v>129</v>
      </c>
      <c r="T742" s="5" t="s">
        <v>44</v>
      </c>
      <c r="U742" s="5" t="s">
        <v>44</v>
      </c>
      <c r="V742" s="5" t="s">
        <v>44</v>
      </c>
      <c r="W742" s="5" t="s">
        <v>35</v>
      </c>
      <c r="X742" s="8" t="s">
        <v>45</v>
      </c>
      <c r="Y742" s="5" t="s">
        <v>46</v>
      </c>
      <c r="Z742" s="5" t="s">
        <v>47</v>
      </c>
      <c r="AA742" s="5" t="s">
        <v>64</v>
      </c>
      <c r="AB742" s="5" t="s">
        <v>3275</v>
      </c>
      <c r="AC742" s="6" t="s">
        <v>71</v>
      </c>
      <c r="AD742" s="6">
        <v>1803.0</v>
      </c>
    </row>
    <row r="743" ht="56.25" customHeight="1">
      <c r="A743" s="5" t="s">
        <v>3172</v>
      </c>
      <c r="B743" s="6" t="str">
        <f>IMAGE("https://storage.googleapis.com/acdb/housewares/FtrDrumSet_Remake_3_1.png")</f>
        <v/>
      </c>
      <c r="C743" s="5" t="s">
        <v>366</v>
      </c>
      <c r="D743" s="5" t="s">
        <v>34</v>
      </c>
      <c r="E743" s="5" t="s">
        <v>3181</v>
      </c>
      <c r="F743" s="5" t="s">
        <v>3175</v>
      </c>
      <c r="G743" s="5" t="s">
        <v>36</v>
      </c>
      <c r="H743" s="5" t="s">
        <v>36</v>
      </c>
      <c r="I743" s="5" t="s">
        <v>35</v>
      </c>
      <c r="J743" s="6">
        <v>2.0</v>
      </c>
      <c r="K743" s="6">
        <v>5600.0</v>
      </c>
      <c r="L743" s="6">
        <v>1400.0</v>
      </c>
      <c r="M743" s="8" t="s">
        <v>39</v>
      </c>
      <c r="N743" s="8" t="s">
        <v>54</v>
      </c>
      <c r="O743" s="6" t="s">
        <v>276</v>
      </c>
      <c r="P743" s="5" t="s">
        <v>59</v>
      </c>
      <c r="Q743" s="5" t="s">
        <v>122</v>
      </c>
      <c r="R743" s="6" t="s">
        <v>42</v>
      </c>
      <c r="S743" s="5" t="s">
        <v>129</v>
      </c>
      <c r="T743" s="5" t="s">
        <v>44</v>
      </c>
      <c r="U743" s="5" t="s">
        <v>44</v>
      </c>
      <c r="V743" s="5" t="s">
        <v>44</v>
      </c>
      <c r="W743" s="5" t="s">
        <v>35</v>
      </c>
      <c r="X743" s="8" t="s">
        <v>45</v>
      </c>
      <c r="Y743" s="5" t="s">
        <v>46</v>
      </c>
      <c r="Z743" s="5" t="s">
        <v>47</v>
      </c>
      <c r="AA743" s="5" t="s">
        <v>64</v>
      </c>
      <c r="AB743" s="5" t="s">
        <v>3279</v>
      </c>
      <c r="AC743" s="6" t="s">
        <v>257</v>
      </c>
      <c r="AD743" s="6">
        <v>1803.0</v>
      </c>
    </row>
    <row r="744" ht="56.25" customHeight="1">
      <c r="A744" s="5" t="s">
        <v>3172</v>
      </c>
      <c r="B744" s="6" t="str">
        <f>IMAGE("https://storage.googleapis.com/acdb/housewares/FtrDrumSet_Remake_3_2.png")</f>
        <v/>
      </c>
      <c r="C744" s="5" t="s">
        <v>366</v>
      </c>
      <c r="D744" s="5" t="s">
        <v>34</v>
      </c>
      <c r="E744" s="5" t="s">
        <v>3186</v>
      </c>
      <c r="F744" s="5" t="s">
        <v>3175</v>
      </c>
      <c r="G744" s="5" t="s">
        <v>36</v>
      </c>
      <c r="H744" s="5" t="s">
        <v>36</v>
      </c>
      <c r="I744" s="5" t="s">
        <v>35</v>
      </c>
      <c r="J744" s="6">
        <v>2.0</v>
      </c>
      <c r="K744" s="6">
        <v>5600.0</v>
      </c>
      <c r="L744" s="6">
        <v>1400.0</v>
      </c>
      <c r="M744" s="8" t="s">
        <v>39</v>
      </c>
      <c r="N744" s="8" t="s">
        <v>54</v>
      </c>
      <c r="O744" s="6" t="s">
        <v>276</v>
      </c>
      <c r="P744" s="5" t="s">
        <v>59</v>
      </c>
      <c r="Q744" s="5" t="s">
        <v>122</v>
      </c>
      <c r="R744" s="6" t="s">
        <v>42</v>
      </c>
      <c r="S744" s="5" t="s">
        <v>129</v>
      </c>
      <c r="T744" s="5" t="s">
        <v>44</v>
      </c>
      <c r="U744" s="5" t="s">
        <v>44</v>
      </c>
      <c r="V744" s="5" t="s">
        <v>44</v>
      </c>
      <c r="W744" s="5" t="s">
        <v>35</v>
      </c>
      <c r="X744" s="8" t="s">
        <v>45</v>
      </c>
      <c r="Y744" s="5" t="s">
        <v>46</v>
      </c>
      <c r="Z744" s="5" t="s">
        <v>47</v>
      </c>
      <c r="AA744" s="5" t="s">
        <v>64</v>
      </c>
      <c r="AB744" s="5" t="s">
        <v>3287</v>
      </c>
      <c r="AC744" s="6" t="s">
        <v>414</v>
      </c>
      <c r="AD744" s="6">
        <v>1803.0</v>
      </c>
    </row>
    <row r="745" ht="56.25" customHeight="1">
      <c r="A745" s="5" t="s">
        <v>3172</v>
      </c>
      <c r="B745" s="6" t="str">
        <f>IMAGE("https://storage.googleapis.com/acdb/housewares/FtrDrumSet_Remake_3_3.png")</f>
        <v/>
      </c>
      <c r="C745" s="5" t="s">
        <v>366</v>
      </c>
      <c r="D745" s="5" t="s">
        <v>34</v>
      </c>
      <c r="E745" s="5" t="s">
        <v>3191</v>
      </c>
      <c r="F745" s="5" t="s">
        <v>3175</v>
      </c>
      <c r="G745" s="5" t="s">
        <v>36</v>
      </c>
      <c r="H745" s="5" t="s">
        <v>36</v>
      </c>
      <c r="I745" s="5" t="s">
        <v>35</v>
      </c>
      <c r="J745" s="6">
        <v>2.0</v>
      </c>
      <c r="K745" s="6">
        <v>5600.0</v>
      </c>
      <c r="L745" s="6">
        <v>1400.0</v>
      </c>
      <c r="M745" s="8" t="s">
        <v>39</v>
      </c>
      <c r="N745" s="8" t="s">
        <v>57</v>
      </c>
      <c r="O745" s="6" t="s">
        <v>276</v>
      </c>
      <c r="P745" s="5" t="s">
        <v>59</v>
      </c>
      <c r="Q745" s="5" t="s">
        <v>122</v>
      </c>
      <c r="R745" s="6" t="s">
        <v>42</v>
      </c>
      <c r="S745" s="5" t="s">
        <v>129</v>
      </c>
      <c r="T745" s="5" t="s">
        <v>44</v>
      </c>
      <c r="U745" s="5" t="s">
        <v>44</v>
      </c>
      <c r="V745" s="5" t="s">
        <v>44</v>
      </c>
      <c r="W745" s="5" t="s">
        <v>35</v>
      </c>
      <c r="X745" s="8" t="s">
        <v>45</v>
      </c>
      <c r="Y745" s="5" t="s">
        <v>46</v>
      </c>
      <c r="Z745" s="5" t="s">
        <v>47</v>
      </c>
      <c r="AA745" s="5" t="s">
        <v>64</v>
      </c>
      <c r="AB745" s="5" t="s">
        <v>3292</v>
      </c>
      <c r="AC745" s="6" t="s">
        <v>418</v>
      </c>
      <c r="AD745" s="6">
        <v>1803.0</v>
      </c>
    </row>
    <row r="746" ht="56.25" customHeight="1">
      <c r="A746" s="5" t="s">
        <v>3172</v>
      </c>
      <c r="B746" s="6" t="str">
        <f>IMAGE("https://storage.googleapis.com/acdb/housewares/FtrDrumSet_Remake_3_4.png")</f>
        <v/>
      </c>
      <c r="C746" s="5" t="s">
        <v>366</v>
      </c>
      <c r="D746" s="5" t="s">
        <v>34</v>
      </c>
      <c r="E746" s="5" t="s">
        <v>2833</v>
      </c>
      <c r="F746" s="5" t="s">
        <v>3175</v>
      </c>
      <c r="G746" s="5" t="s">
        <v>36</v>
      </c>
      <c r="H746" s="5" t="s">
        <v>36</v>
      </c>
      <c r="I746" s="5" t="s">
        <v>35</v>
      </c>
      <c r="J746" s="6">
        <v>2.0</v>
      </c>
      <c r="K746" s="6">
        <v>5600.0</v>
      </c>
      <c r="L746" s="6">
        <v>1400.0</v>
      </c>
      <c r="M746" s="8" t="s">
        <v>39</v>
      </c>
      <c r="N746" s="8" t="s">
        <v>54</v>
      </c>
      <c r="O746" s="6" t="s">
        <v>276</v>
      </c>
      <c r="P746" s="5" t="s">
        <v>59</v>
      </c>
      <c r="Q746" s="5" t="s">
        <v>122</v>
      </c>
      <c r="R746" s="6" t="s">
        <v>42</v>
      </c>
      <c r="S746" s="5" t="s">
        <v>129</v>
      </c>
      <c r="T746" s="5" t="s">
        <v>44</v>
      </c>
      <c r="U746" s="5" t="s">
        <v>44</v>
      </c>
      <c r="V746" s="5" t="s">
        <v>44</v>
      </c>
      <c r="W746" s="5" t="s">
        <v>35</v>
      </c>
      <c r="X746" s="8" t="s">
        <v>45</v>
      </c>
      <c r="Y746" s="5" t="s">
        <v>46</v>
      </c>
      <c r="Z746" s="5" t="s">
        <v>47</v>
      </c>
      <c r="AA746" s="5" t="s">
        <v>64</v>
      </c>
      <c r="AB746" s="5" t="s">
        <v>3298</v>
      </c>
      <c r="AC746" s="6" t="s">
        <v>563</v>
      </c>
      <c r="AD746" s="6">
        <v>1803.0</v>
      </c>
    </row>
    <row r="747" ht="56.25" customHeight="1">
      <c r="A747" s="5" t="s">
        <v>3172</v>
      </c>
      <c r="B747" s="6" t="str">
        <f>IMAGE("https://storage.googleapis.com/acdb/housewares/FtrDrumSet_Remake_3_5.png")</f>
        <v/>
      </c>
      <c r="C747" s="5" t="s">
        <v>366</v>
      </c>
      <c r="D747" s="5" t="s">
        <v>34</v>
      </c>
      <c r="E747" s="5" t="s">
        <v>3203</v>
      </c>
      <c r="F747" s="5" t="s">
        <v>3175</v>
      </c>
      <c r="G747" s="5" t="s">
        <v>36</v>
      </c>
      <c r="H747" s="5" t="s">
        <v>36</v>
      </c>
      <c r="I747" s="5" t="s">
        <v>35</v>
      </c>
      <c r="J747" s="6">
        <v>2.0</v>
      </c>
      <c r="K747" s="6">
        <v>5600.0</v>
      </c>
      <c r="L747" s="6">
        <v>1400.0</v>
      </c>
      <c r="M747" s="8" t="s">
        <v>39</v>
      </c>
      <c r="N747" s="8" t="s">
        <v>38</v>
      </c>
      <c r="O747" s="6" t="s">
        <v>276</v>
      </c>
      <c r="P747" s="5" t="s">
        <v>59</v>
      </c>
      <c r="Q747" s="5" t="s">
        <v>122</v>
      </c>
      <c r="R747" s="6" t="s">
        <v>42</v>
      </c>
      <c r="S747" s="5" t="s">
        <v>129</v>
      </c>
      <c r="T747" s="5" t="s">
        <v>44</v>
      </c>
      <c r="U747" s="5" t="s">
        <v>44</v>
      </c>
      <c r="V747" s="5" t="s">
        <v>44</v>
      </c>
      <c r="W747" s="5" t="s">
        <v>35</v>
      </c>
      <c r="X747" s="8" t="s">
        <v>45</v>
      </c>
      <c r="Y747" s="5" t="s">
        <v>46</v>
      </c>
      <c r="Z747" s="5" t="s">
        <v>47</v>
      </c>
      <c r="AA747" s="5" t="s">
        <v>64</v>
      </c>
      <c r="AB747" s="5" t="s">
        <v>3303</v>
      </c>
      <c r="AC747" s="6" t="s">
        <v>1443</v>
      </c>
      <c r="AD747" s="6">
        <v>1803.0</v>
      </c>
    </row>
    <row r="748" ht="56.25" customHeight="1">
      <c r="A748" s="5" t="s">
        <v>3172</v>
      </c>
      <c r="B748" s="6" t="str">
        <f>IMAGE("https://storage.googleapis.com/acdb/housewares/FtrDrumSet_Remake_4_0.png")</f>
        <v/>
      </c>
      <c r="C748" s="5" t="s">
        <v>2786</v>
      </c>
      <c r="D748" s="5" t="s">
        <v>34</v>
      </c>
      <c r="E748" s="5" t="s">
        <v>3174</v>
      </c>
      <c r="F748" s="5" t="s">
        <v>3175</v>
      </c>
      <c r="G748" s="5" t="s">
        <v>36</v>
      </c>
      <c r="H748" s="5" t="s">
        <v>36</v>
      </c>
      <c r="I748" s="5" t="s">
        <v>35</v>
      </c>
      <c r="J748" s="6">
        <v>2.0</v>
      </c>
      <c r="K748" s="6">
        <v>5600.0</v>
      </c>
      <c r="L748" s="6">
        <v>1400.0</v>
      </c>
      <c r="M748" s="8" t="s">
        <v>68</v>
      </c>
      <c r="N748" s="8" t="s">
        <v>57</v>
      </c>
      <c r="O748" s="6" t="s">
        <v>276</v>
      </c>
      <c r="P748" s="5" t="s">
        <v>59</v>
      </c>
      <c r="Q748" s="5" t="s">
        <v>122</v>
      </c>
      <c r="R748" s="6" t="s">
        <v>42</v>
      </c>
      <c r="S748" s="5" t="s">
        <v>129</v>
      </c>
      <c r="T748" s="5" t="s">
        <v>44</v>
      </c>
      <c r="U748" s="5" t="s">
        <v>44</v>
      </c>
      <c r="V748" s="5" t="s">
        <v>44</v>
      </c>
      <c r="W748" s="5" t="s">
        <v>35</v>
      </c>
      <c r="X748" s="8" t="s">
        <v>45</v>
      </c>
      <c r="Y748" s="5" t="s">
        <v>46</v>
      </c>
      <c r="Z748" s="5" t="s">
        <v>47</v>
      </c>
      <c r="AA748" s="5" t="s">
        <v>64</v>
      </c>
      <c r="AB748" s="5" t="s">
        <v>3307</v>
      </c>
      <c r="AC748" s="6" t="s">
        <v>75</v>
      </c>
      <c r="AD748" s="6">
        <v>1803.0</v>
      </c>
    </row>
    <row r="749" ht="56.25" customHeight="1">
      <c r="A749" s="5" t="s">
        <v>3172</v>
      </c>
      <c r="B749" s="6" t="str">
        <f>IMAGE("https://storage.googleapis.com/acdb/housewares/FtrDrumSet_Remake_4_1.png")</f>
        <v/>
      </c>
      <c r="C749" s="5" t="s">
        <v>2786</v>
      </c>
      <c r="D749" s="5" t="s">
        <v>34</v>
      </c>
      <c r="E749" s="5" t="s">
        <v>3181</v>
      </c>
      <c r="F749" s="5" t="s">
        <v>3175</v>
      </c>
      <c r="G749" s="5" t="s">
        <v>36</v>
      </c>
      <c r="H749" s="5" t="s">
        <v>36</v>
      </c>
      <c r="I749" s="5" t="s">
        <v>35</v>
      </c>
      <c r="J749" s="6">
        <v>2.0</v>
      </c>
      <c r="K749" s="6">
        <v>5600.0</v>
      </c>
      <c r="L749" s="6">
        <v>1400.0</v>
      </c>
      <c r="M749" s="8" t="s">
        <v>68</v>
      </c>
      <c r="N749" s="8" t="s">
        <v>54</v>
      </c>
      <c r="O749" s="6" t="s">
        <v>276</v>
      </c>
      <c r="P749" s="5" t="s">
        <v>59</v>
      </c>
      <c r="Q749" s="5" t="s">
        <v>122</v>
      </c>
      <c r="R749" s="6" t="s">
        <v>42</v>
      </c>
      <c r="S749" s="5" t="s">
        <v>129</v>
      </c>
      <c r="T749" s="5" t="s">
        <v>44</v>
      </c>
      <c r="U749" s="5" t="s">
        <v>44</v>
      </c>
      <c r="V749" s="5" t="s">
        <v>44</v>
      </c>
      <c r="W749" s="5" t="s">
        <v>35</v>
      </c>
      <c r="X749" s="8" t="s">
        <v>45</v>
      </c>
      <c r="Y749" s="5" t="s">
        <v>46</v>
      </c>
      <c r="Z749" s="5" t="s">
        <v>47</v>
      </c>
      <c r="AA749" s="5" t="s">
        <v>64</v>
      </c>
      <c r="AB749" s="5" t="s">
        <v>3312</v>
      </c>
      <c r="AC749" s="6" t="s">
        <v>429</v>
      </c>
      <c r="AD749" s="6">
        <v>1803.0</v>
      </c>
    </row>
    <row r="750" ht="56.25" customHeight="1">
      <c r="A750" s="5" t="s">
        <v>3172</v>
      </c>
      <c r="B750" s="6" t="str">
        <f>IMAGE("https://storage.googleapis.com/acdb/housewares/FtrDrumSet_Remake_4_2.png")</f>
        <v/>
      </c>
      <c r="C750" s="5" t="s">
        <v>2786</v>
      </c>
      <c r="D750" s="5" t="s">
        <v>34</v>
      </c>
      <c r="E750" s="5" t="s">
        <v>3186</v>
      </c>
      <c r="F750" s="5" t="s">
        <v>3175</v>
      </c>
      <c r="G750" s="5" t="s">
        <v>36</v>
      </c>
      <c r="H750" s="5" t="s">
        <v>36</v>
      </c>
      <c r="I750" s="5" t="s">
        <v>35</v>
      </c>
      <c r="J750" s="6">
        <v>2.0</v>
      </c>
      <c r="K750" s="6">
        <v>5600.0</v>
      </c>
      <c r="L750" s="6">
        <v>1400.0</v>
      </c>
      <c r="M750" s="8" t="s">
        <v>68</v>
      </c>
      <c r="N750" s="8" t="s">
        <v>54</v>
      </c>
      <c r="O750" s="6" t="s">
        <v>276</v>
      </c>
      <c r="P750" s="5" t="s">
        <v>59</v>
      </c>
      <c r="Q750" s="5" t="s">
        <v>122</v>
      </c>
      <c r="R750" s="6" t="s">
        <v>42</v>
      </c>
      <c r="S750" s="5" t="s">
        <v>129</v>
      </c>
      <c r="T750" s="5" t="s">
        <v>44</v>
      </c>
      <c r="U750" s="5" t="s">
        <v>44</v>
      </c>
      <c r="V750" s="5" t="s">
        <v>44</v>
      </c>
      <c r="W750" s="5" t="s">
        <v>35</v>
      </c>
      <c r="X750" s="8" t="s">
        <v>45</v>
      </c>
      <c r="Y750" s="5" t="s">
        <v>46</v>
      </c>
      <c r="Z750" s="5" t="s">
        <v>47</v>
      </c>
      <c r="AA750" s="5" t="s">
        <v>64</v>
      </c>
      <c r="AB750" s="5" t="s">
        <v>3317</v>
      </c>
      <c r="AC750" s="6" t="s">
        <v>434</v>
      </c>
      <c r="AD750" s="6">
        <v>1803.0</v>
      </c>
    </row>
    <row r="751" ht="56.25" customHeight="1">
      <c r="A751" s="5" t="s">
        <v>3172</v>
      </c>
      <c r="B751" s="6" t="str">
        <f>IMAGE("https://storage.googleapis.com/acdb/housewares/FtrDrumSet_Remake_4_3.png")</f>
        <v/>
      </c>
      <c r="C751" s="5" t="s">
        <v>2786</v>
      </c>
      <c r="D751" s="5" t="s">
        <v>34</v>
      </c>
      <c r="E751" s="5" t="s">
        <v>3191</v>
      </c>
      <c r="F751" s="5" t="s">
        <v>3175</v>
      </c>
      <c r="G751" s="5" t="s">
        <v>36</v>
      </c>
      <c r="H751" s="5" t="s">
        <v>36</v>
      </c>
      <c r="I751" s="5" t="s">
        <v>35</v>
      </c>
      <c r="J751" s="6">
        <v>2.0</v>
      </c>
      <c r="K751" s="6">
        <v>5600.0</v>
      </c>
      <c r="L751" s="6">
        <v>1400.0</v>
      </c>
      <c r="M751" s="8" t="s">
        <v>68</v>
      </c>
      <c r="N751" s="8" t="s">
        <v>57</v>
      </c>
      <c r="O751" s="6" t="s">
        <v>276</v>
      </c>
      <c r="P751" s="5" t="s">
        <v>59</v>
      </c>
      <c r="Q751" s="5" t="s">
        <v>122</v>
      </c>
      <c r="R751" s="6" t="s">
        <v>42</v>
      </c>
      <c r="S751" s="5" t="s">
        <v>129</v>
      </c>
      <c r="T751" s="5" t="s">
        <v>44</v>
      </c>
      <c r="U751" s="5" t="s">
        <v>44</v>
      </c>
      <c r="V751" s="5" t="s">
        <v>44</v>
      </c>
      <c r="W751" s="5" t="s">
        <v>35</v>
      </c>
      <c r="X751" s="8" t="s">
        <v>45</v>
      </c>
      <c r="Y751" s="5" t="s">
        <v>46</v>
      </c>
      <c r="Z751" s="5" t="s">
        <v>47</v>
      </c>
      <c r="AA751" s="5" t="s">
        <v>64</v>
      </c>
      <c r="AB751" s="5" t="s">
        <v>3323</v>
      </c>
      <c r="AC751" s="6" t="s">
        <v>438</v>
      </c>
      <c r="AD751" s="6">
        <v>1803.0</v>
      </c>
    </row>
    <row r="752" ht="56.25" customHeight="1">
      <c r="A752" s="5" t="s">
        <v>3172</v>
      </c>
      <c r="B752" s="6" t="str">
        <f>IMAGE("https://storage.googleapis.com/acdb/housewares/FtrDrumSet_Remake_4_4.png")</f>
        <v/>
      </c>
      <c r="C752" s="5" t="s">
        <v>2786</v>
      </c>
      <c r="D752" s="5" t="s">
        <v>34</v>
      </c>
      <c r="E752" s="5" t="s">
        <v>2833</v>
      </c>
      <c r="F752" s="5" t="s">
        <v>3175</v>
      </c>
      <c r="G752" s="5" t="s">
        <v>36</v>
      </c>
      <c r="H752" s="5" t="s">
        <v>36</v>
      </c>
      <c r="I752" s="5" t="s">
        <v>35</v>
      </c>
      <c r="J752" s="6">
        <v>2.0</v>
      </c>
      <c r="K752" s="6">
        <v>5600.0</v>
      </c>
      <c r="L752" s="6">
        <v>1400.0</v>
      </c>
      <c r="M752" s="8" t="s">
        <v>68</v>
      </c>
      <c r="N752" s="8" t="s">
        <v>54</v>
      </c>
      <c r="O752" s="6" t="s">
        <v>276</v>
      </c>
      <c r="P752" s="5" t="s">
        <v>59</v>
      </c>
      <c r="Q752" s="5" t="s">
        <v>122</v>
      </c>
      <c r="R752" s="6" t="s">
        <v>42</v>
      </c>
      <c r="S752" s="5" t="s">
        <v>129</v>
      </c>
      <c r="T752" s="5" t="s">
        <v>44</v>
      </c>
      <c r="U752" s="5" t="s">
        <v>44</v>
      </c>
      <c r="V752" s="5" t="s">
        <v>44</v>
      </c>
      <c r="W752" s="5" t="s">
        <v>35</v>
      </c>
      <c r="X752" s="8" t="s">
        <v>45</v>
      </c>
      <c r="Y752" s="5" t="s">
        <v>46</v>
      </c>
      <c r="Z752" s="5" t="s">
        <v>47</v>
      </c>
      <c r="AA752" s="5" t="s">
        <v>64</v>
      </c>
      <c r="AB752" s="5" t="s">
        <v>3328</v>
      </c>
      <c r="AC752" s="6" t="s">
        <v>585</v>
      </c>
      <c r="AD752" s="6">
        <v>1803.0</v>
      </c>
    </row>
    <row r="753" ht="56.25" customHeight="1">
      <c r="A753" s="5" t="s">
        <v>3172</v>
      </c>
      <c r="B753" s="6" t="str">
        <f>IMAGE("https://storage.googleapis.com/acdb/housewares/FtrDrumSet_Remake_4_5.png")</f>
        <v/>
      </c>
      <c r="C753" s="5" t="s">
        <v>2786</v>
      </c>
      <c r="D753" s="5" t="s">
        <v>34</v>
      </c>
      <c r="E753" s="5" t="s">
        <v>3203</v>
      </c>
      <c r="F753" s="5" t="s">
        <v>3175</v>
      </c>
      <c r="G753" s="5" t="s">
        <v>36</v>
      </c>
      <c r="H753" s="5" t="s">
        <v>36</v>
      </c>
      <c r="I753" s="5" t="s">
        <v>35</v>
      </c>
      <c r="J753" s="6">
        <v>2.0</v>
      </c>
      <c r="K753" s="6">
        <v>5600.0</v>
      </c>
      <c r="L753" s="6">
        <v>1400.0</v>
      </c>
      <c r="M753" s="8" t="s">
        <v>68</v>
      </c>
      <c r="N753" s="8" t="s">
        <v>38</v>
      </c>
      <c r="O753" s="6" t="s">
        <v>276</v>
      </c>
      <c r="P753" s="5" t="s">
        <v>59</v>
      </c>
      <c r="Q753" s="5" t="s">
        <v>122</v>
      </c>
      <c r="R753" s="6" t="s">
        <v>42</v>
      </c>
      <c r="S753" s="5" t="s">
        <v>129</v>
      </c>
      <c r="T753" s="5" t="s">
        <v>44</v>
      </c>
      <c r="U753" s="5" t="s">
        <v>44</v>
      </c>
      <c r="V753" s="5" t="s">
        <v>44</v>
      </c>
      <c r="W753" s="5" t="s">
        <v>35</v>
      </c>
      <c r="X753" s="8" t="s">
        <v>45</v>
      </c>
      <c r="Y753" s="5" t="s">
        <v>46</v>
      </c>
      <c r="Z753" s="5" t="s">
        <v>47</v>
      </c>
      <c r="AA753" s="5" t="s">
        <v>64</v>
      </c>
      <c r="AB753" s="5" t="s">
        <v>3336</v>
      </c>
      <c r="AC753" s="6" t="s">
        <v>1816</v>
      </c>
      <c r="AD753" s="6">
        <v>1803.0</v>
      </c>
    </row>
    <row r="754" ht="56.25" customHeight="1">
      <c r="A754" s="5" t="s">
        <v>3172</v>
      </c>
      <c r="B754" s="6" t="str">
        <f>IMAGE("https://storage.googleapis.com/acdb/housewares/FtrDrumSet_Remake_5_0.png")</f>
        <v/>
      </c>
      <c r="C754" s="5" t="s">
        <v>3340</v>
      </c>
      <c r="D754" s="5" t="s">
        <v>34</v>
      </c>
      <c r="E754" s="5" t="s">
        <v>3174</v>
      </c>
      <c r="F754" s="5" t="s">
        <v>3175</v>
      </c>
      <c r="G754" s="5" t="s">
        <v>36</v>
      </c>
      <c r="H754" s="5" t="s">
        <v>36</v>
      </c>
      <c r="I754" s="5" t="s">
        <v>35</v>
      </c>
      <c r="J754" s="6">
        <v>2.0</v>
      </c>
      <c r="K754" s="6">
        <v>5600.0</v>
      </c>
      <c r="L754" s="6">
        <v>1400.0</v>
      </c>
      <c r="M754" s="8" t="s">
        <v>52</v>
      </c>
      <c r="N754" s="8" t="s">
        <v>57</v>
      </c>
      <c r="O754" s="6" t="s">
        <v>276</v>
      </c>
      <c r="P754" s="5" t="s">
        <v>59</v>
      </c>
      <c r="Q754" s="5" t="s">
        <v>122</v>
      </c>
      <c r="R754" s="6" t="s">
        <v>42</v>
      </c>
      <c r="S754" s="5" t="s">
        <v>129</v>
      </c>
      <c r="T754" s="5" t="s">
        <v>44</v>
      </c>
      <c r="U754" s="5" t="s">
        <v>44</v>
      </c>
      <c r="V754" s="5" t="s">
        <v>44</v>
      </c>
      <c r="W754" s="5" t="s">
        <v>35</v>
      </c>
      <c r="X754" s="8" t="s">
        <v>45</v>
      </c>
      <c r="Y754" s="5" t="s">
        <v>46</v>
      </c>
      <c r="Z754" s="5" t="s">
        <v>47</v>
      </c>
      <c r="AA754" s="5" t="s">
        <v>64</v>
      </c>
      <c r="AB754" s="5" t="s">
        <v>3343</v>
      </c>
      <c r="AC754" s="6" t="s">
        <v>79</v>
      </c>
      <c r="AD754" s="6">
        <v>1803.0</v>
      </c>
    </row>
    <row r="755" ht="56.25" customHeight="1">
      <c r="A755" s="5" t="s">
        <v>3172</v>
      </c>
      <c r="B755" s="6" t="str">
        <f>IMAGE("https://storage.googleapis.com/acdb/housewares/FtrDrumSet_Remake_5_1.png")</f>
        <v/>
      </c>
      <c r="C755" s="5" t="s">
        <v>3340</v>
      </c>
      <c r="D755" s="5" t="s">
        <v>34</v>
      </c>
      <c r="E755" s="5" t="s">
        <v>3181</v>
      </c>
      <c r="F755" s="5" t="s">
        <v>3175</v>
      </c>
      <c r="G755" s="5" t="s">
        <v>36</v>
      </c>
      <c r="H755" s="5" t="s">
        <v>36</v>
      </c>
      <c r="I755" s="5" t="s">
        <v>35</v>
      </c>
      <c r="J755" s="6">
        <v>2.0</v>
      </c>
      <c r="K755" s="6">
        <v>5600.0</v>
      </c>
      <c r="L755" s="6">
        <v>1400.0</v>
      </c>
      <c r="M755" s="8" t="s">
        <v>52</v>
      </c>
      <c r="N755" s="8" t="s">
        <v>54</v>
      </c>
      <c r="O755" s="6" t="s">
        <v>276</v>
      </c>
      <c r="P755" s="5" t="s">
        <v>59</v>
      </c>
      <c r="Q755" s="5" t="s">
        <v>122</v>
      </c>
      <c r="R755" s="6" t="s">
        <v>42</v>
      </c>
      <c r="S755" s="5" t="s">
        <v>129</v>
      </c>
      <c r="T755" s="5" t="s">
        <v>44</v>
      </c>
      <c r="U755" s="5" t="s">
        <v>44</v>
      </c>
      <c r="V755" s="5" t="s">
        <v>44</v>
      </c>
      <c r="W755" s="5" t="s">
        <v>35</v>
      </c>
      <c r="X755" s="8" t="s">
        <v>45</v>
      </c>
      <c r="Y755" s="5" t="s">
        <v>46</v>
      </c>
      <c r="Z755" s="5" t="s">
        <v>47</v>
      </c>
      <c r="AA755" s="5" t="s">
        <v>64</v>
      </c>
      <c r="AB755" s="5" t="s">
        <v>3348</v>
      </c>
      <c r="AC755" s="6" t="s">
        <v>448</v>
      </c>
      <c r="AD755" s="6">
        <v>1803.0</v>
      </c>
    </row>
    <row r="756" ht="56.25" customHeight="1">
      <c r="A756" s="5" t="s">
        <v>3172</v>
      </c>
      <c r="B756" s="6" t="str">
        <f>IMAGE("https://storage.googleapis.com/acdb/housewares/FtrDrumSet_Remake_5_2.png")</f>
        <v/>
      </c>
      <c r="C756" s="5" t="s">
        <v>3340</v>
      </c>
      <c r="D756" s="5" t="s">
        <v>34</v>
      </c>
      <c r="E756" s="5" t="s">
        <v>3186</v>
      </c>
      <c r="F756" s="5" t="s">
        <v>3175</v>
      </c>
      <c r="G756" s="5" t="s">
        <v>36</v>
      </c>
      <c r="H756" s="5" t="s">
        <v>36</v>
      </c>
      <c r="I756" s="5" t="s">
        <v>35</v>
      </c>
      <c r="J756" s="6">
        <v>2.0</v>
      </c>
      <c r="K756" s="6">
        <v>5600.0</v>
      </c>
      <c r="L756" s="6">
        <v>1400.0</v>
      </c>
      <c r="M756" s="8" t="s">
        <v>52</v>
      </c>
      <c r="N756" s="8" t="s">
        <v>54</v>
      </c>
      <c r="O756" s="6" t="s">
        <v>276</v>
      </c>
      <c r="P756" s="5" t="s">
        <v>59</v>
      </c>
      <c r="Q756" s="5" t="s">
        <v>122</v>
      </c>
      <c r="R756" s="6" t="s">
        <v>42</v>
      </c>
      <c r="S756" s="5" t="s">
        <v>129</v>
      </c>
      <c r="T756" s="5" t="s">
        <v>44</v>
      </c>
      <c r="U756" s="5" t="s">
        <v>44</v>
      </c>
      <c r="V756" s="5" t="s">
        <v>44</v>
      </c>
      <c r="W756" s="5" t="s">
        <v>35</v>
      </c>
      <c r="X756" s="8" t="s">
        <v>45</v>
      </c>
      <c r="Y756" s="5" t="s">
        <v>46</v>
      </c>
      <c r="Z756" s="5" t="s">
        <v>47</v>
      </c>
      <c r="AA756" s="5" t="s">
        <v>64</v>
      </c>
      <c r="AB756" s="5" t="s">
        <v>3354</v>
      </c>
      <c r="AC756" s="6" t="s">
        <v>452</v>
      </c>
      <c r="AD756" s="6">
        <v>1803.0</v>
      </c>
    </row>
    <row r="757" ht="56.25" customHeight="1">
      <c r="A757" s="5" t="s">
        <v>3172</v>
      </c>
      <c r="B757" s="6" t="str">
        <f>IMAGE("https://storage.googleapis.com/acdb/housewares/FtrDrumSet_Remake_5_3.png")</f>
        <v/>
      </c>
      <c r="C757" s="5" t="s">
        <v>3340</v>
      </c>
      <c r="D757" s="5" t="s">
        <v>34</v>
      </c>
      <c r="E757" s="5" t="s">
        <v>3191</v>
      </c>
      <c r="F757" s="5" t="s">
        <v>3175</v>
      </c>
      <c r="G757" s="5" t="s">
        <v>36</v>
      </c>
      <c r="H757" s="5" t="s">
        <v>36</v>
      </c>
      <c r="I757" s="5" t="s">
        <v>35</v>
      </c>
      <c r="J757" s="6">
        <v>2.0</v>
      </c>
      <c r="K757" s="6">
        <v>5600.0</v>
      </c>
      <c r="L757" s="6">
        <v>1400.0</v>
      </c>
      <c r="M757" s="8" t="s">
        <v>52</v>
      </c>
      <c r="N757" s="8" t="s">
        <v>57</v>
      </c>
      <c r="O757" s="6" t="s">
        <v>276</v>
      </c>
      <c r="P757" s="5" t="s">
        <v>59</v>
      </c>
      <c r="Q757" s="5" t="s">
        <v>122</v>
      </c>
      <c r="R757" s="6" t="s">
        <v>42</v>
      </c>
      <c r="S757" s="5" t="s">
        <v>129</v>
      </c>
      <c r="T757" s="5" t="s">
        <v>44</v>
      </c>
      <c r="U757" s="5" t="s">
        <v>44</v>
      </c>
      <c r="V757" s="5" t="s">
        <v>44</v>
      </c>
      <c r="W757" s="5" t="s">
        <v>35</v>
      </c>
      <c r="X757" s="8" t="s">
        <v>45</v>
      </c>
      <c r="Y757" s="5" t="s">
        <v>46</v>
      </c>
      <c r="Z757" s="5" t="s">
        <v>47</v>
      </c>
      <c r="AA757" s="5" t="s">
        <v>64</v>
      </c>
      <c r="AB757" s="5" t="s">
        <v>3358</v>
      </c>
      <c r="AC757" s="6" t="s">
        <v>455</v>
      </c>
      <c r="AD757" s="6">
        <v>1803.0</v>
      </c>
    </row>
    <row r="758" ht="56.25" customHeight="1">
      <c r="A758" s="5" t="s">
        <v>3172</v>
      </c>
      <c r="B758" s="6" t="str">
        <f>IMAGE("https://storage.googleapis.com/acdb/housewares/FtrDrumSet_Remake_5_4.png")</f>
        <v/>
      </c>
      <c r="C758" s="5" t="s">
        <v>3340</v>
      </c>
      <c r="D758" s="5" t="s">
        <v>34</v>
      </c>
      <c r="E758" s="5" t="s">
        <v>2833</v>
      </c>
      <c r="F758" s="5" t="s">
        <v>3175</v>
      </c>
      <c r="G758" s="5" t="s">
        <v>36</v>
      </c>
      <c r="H758" s="5" t="s">
        <v>36</v>
      </c>
      <c r="I758" s="5" t="s">
        <v>35</v>
      </c>
      <c r="J758" s="6">
        <v>2.0</v>
      </c>
      <c r="K758" s="6">
        <v>5600.0</v>
      </c>
      <c r="L758" s="6">
        <v>1400.0</v>
      </c>
      <c r="M758" s="8" t="s">
        <v>52</v>
      </c>
      <c r="N758" s="8" t="s">
        <v>54</v>
      </c>
      <c r="O758" s="6" t="s">
        <v>276</v>
      </c>
      <c r="P758" s="5" t="s">
        <v>59</v>
      </c>
      <c r="Q758" s="5" t="s">
        <v>122</v>
      </c>
      <c r="R758" s="6" t="s">
        <v>42</v>
      </c>
      <c r="S758" s="5" t="s">
        <v>129</v>
      </c>
      <c r="T758" s="5" t="s">
        <v>44</v>
      </c>
      <c r="U758" s="5" t="s">
        <v>44</v>
      </c>
      <c r="V758" s="5" t="s">
        <v>44</v>
      </c>
      <c r="W758" s="5" t="s">
        <v>35</v>
      </c>
      <c r="X758" s="8" t="s">
        <v>45</v>
      </c>
      <c r="Y758" s="5" t="s">
        <v>46</v>
      </c>
      <c r="Z758" s="5" t="s">
        <v>47</v>
      </c>
      <c r="AA758" s="5" t="s">
        <v>64</v>
      </c>
      <c r="AB758" s="5" t="s">
        <v>3361</v>
      </c>
      <c r="AC758" s="6" t="s">
        <v>609</v>
      </c>
      <c r="AD758" s="6">
        <v>1803.0</v>
      </c>
    </row>
    <row r="759" ht="56.25" customHeight="1">
      <c r="A759" s="5" t="s">
        <v>3172</v>
      </c>
      <c r="B759" s="6" t="str">
        <f>IMAGE("https://storage.googleapis.com/acdb/housewares/FtrDrumSet_Remake_5_5.png")</f>
        <v/>
      </c>
      <c r="C759" s="5" t="s">
        <v>3340</v>
      </c>
      <c r="D759" s="5" t="s">
        <v>34</v>
      </c>
      <c r="E759" s="5" t="s">
        <v>3203</v>
      </c>
      <c r="F759" s="5" t="s">
        <v>3175</v>
      </c>
      <c r="G759" s="5" t="s">
        <v>36</v>
      </c>
      <c r="H759" s="5" t="s">
        <v>36</v>
      </c>
      <c r="I759" s="5" t="s">
        <v>35</v>
      </c>
      <c r="J759" s="6">
        <v>2.0</v>
      </c>
      <c r="K759" s="6">
        <v>5600.0</v>
      </c>
      <c r="L759" s="6">
        <v>1400.0</v>
      </c>
      <c r="M759" s="8" t="s">
        <v>52</v>
      </c>
      <c r="N759" s="8" t="s">
        <v>38</v>
      </c>
      <c r="O759" s="6" t="s">
        <v>276</v>
      </c>
      <c r="P759" s="5" t="s">
        <v>59</v>
      </c>
      <c r="Q759" s="5" t="s">
        <v>122</v>
      </c>
      <c r="R759" s="6" t="s">
        <v>42</v>
      </c>
      <c r="S759" s="5" t="s">
        <v>129</v>
      </c>
      <c r="T759" s="5" t="s">
        <v>44</v>
      </c>
      <c r="U759" s="5" t="s">
        <v>44</v>
      </c>
      <c r="V759" s="5" t="s">
        <v>44</v>
      </c>
      <c r="W759" s="5" t="s">
        <v>35</v>
      </c>
      <c r="X759" s="8" t="s">
        <v>45</v>
      </c>
      <c r="Y759" s="5" t="s">
        <v>46</v>
      </c>
      <c r="Z759" s="5" t="s">
        <v>47</v>
      </c>
      <c r="AA759" s="5" t="s">
        <v>64</v>
      </c>
      <c r="AB759" s="5" t="s">
        <v>3365</v>
      </c>
      <c r="AC759" s="6" t="s">
        <v>1843</v>
      </c>
      <c r="AD759" s="6">
        <v>1803.0</v>
      </c>
    </row>
    <row r="760" ht="56.25" customHeight="1">
      <c r="A760" s="5" t="s">
        <v>3172</v>
      </c>
      <c r="B760" s="6" t="str">
        <f>IMAGE("https://storage.googleapis.com/acdb/housewares/FtrDrumSet_Remake_6_0.png")</f>
        <v/>
      </c>
      <c r="C760" s="5" t="s">
        <v>3368</v>
      </c>
      <c r="D760" s="5" t="s">
        <v>34</v>
      </c>
      <c r="E760" s="5" t="s">
        <v>3174</v>
      </c>
      <c r="F760" s="5" t="s">
        <v>3175</v>
      </c>
      <c r="G760" s="5" t="s">
        <v>36</v>
      </c>
      <c r="H760" s="5" t="s">
        <v>36</v>
      </c>
      <c r="I760" s="5" t="s">
        <v>35</v>
      </c>
      <c r="J760" s="6">
        <v>2.0</v>
      </c>
      <c r="K760" s="6">
        <v>5600.0</v>
      </c>
      <c r="L760" s="6">
        <v>1400.0</v>
      </c>
      <c r="M760" s="8" t="s">
        <v>96</v>
      </c>
      <c r="N760" s="8" t="s">
        <v>57</v>
      </c>
      <c r="O760" s="6" t="s">
        <v>276</v>
      </c>
      <c r="P760" s="5" t="s">
        <v>59</v>
      </c>
      <c r="Q760" s="5" t="s">
        <v>122</v>
      </c>
      <c r="R760" s="6" t="s">
        <v>42</v>
      </c>
      <c r="S760" s="5" t="s">
        <v>129</v>
      </c>
      <c r="T760" s="5" t="s">
        <v>44</v>
      </c>
      <c r="U760" s="5" t="s">
        <v>44</v>
      </c>
      <c r="V760" s="5" t="s">
        <v>44</v>
      </c>
      <c r="W760" s="5" t="s">
        <v>35</v>
      </c>
      <c r="X760" s="8" t="s">
        <v>45</v>
      </c>
      <c r="Y760" s="5" t="s">
        <v>46</v>
      </c>
      <c r="Z760" s="5" t="s">
        <v>47</v>
      </c>
      <c r="AA760" s="5" t="s">
        <v>64</v>
      </c>
      <c r="AB760" s="5" t="s">
        <v>3373</v>
      </c>
      <c r="AC760" s="6" t="s">
        <v>86</v>
      </c>
      <c r="AD760" s="6">
        <v>1803.0</v>
      </c>
    </row>
    <row r="761" ht="56.25" customHeight="1">
      <c r="A761" s="5" t="s">
        <v>3172</v>
      </c>
      <c r="B761" s="6" t="str">
        <f>IMAGE("https://storage.googleapis.com/acdb/housewares/FtrDrumSet_Remake_6_1.png")</f>
        <v/>
      </c>
      <c r="C761" s="5" t="s">
        <v>3368</v>
      </c>
      <c r="D761" s="5" t="s">
        <v>34</v>
      </c>
      <c r="E761" s="5" t="s">
        <v>3181</v>
      </c>
      <c r="F761" s="5" t="s">
        <v>3175</v>
      </c>
      <c r="G761" s="5" t="s">
        <v>36</v>
      </c>
      <c r="H761" s="5" t="s">
        <v>36</v>
      </c>
      <c r="I761" s="5" t="s">
        <v>35</v>
      </c>
      <c r="J761" s="6">
        <v>2.0</v>
      </c>
      <c r="K761" s="6">
        <v>5600.0</v>
      </c>
      <c r="L761" s="6">
        <v>1400.0</v>
      </c>
      <c r="M761" s="8" t="s">
        <v>96</v>
      </c>
      <c r="N761" s="8" t="s">
        <v>54</v>
      </c>
      <c r="O761" s="6" t="s">
        <v>276</v>
      </c>
      <c r="P761" s="5" t="s">
        <v>59</v>
      </c>
      <c r="Q761" s="5" t="s">
        <v>122</v>
      </c>
      <c r="R761" s="6" t="s">
        <v>42</v>
      </c>
      <c r="S761" s="5" t="s">
        <v>129</v>
      </c>
      <c r="T761" s="5" t="s">
        <v>44</v>
      </c>
      <c r="U761" s="5" t="s">
        <v>44</v>
      </c>
      <c r="V761" s="5" t="s">
        <v>44</v>
      </c>
      <c r="W761" s="5" t="s">
        <v>35</v>
      </c>
      <c r="X761" s="8" t="s">
        <v>45</v>
      </c>
      <c r="Y761" s="5" t="s">
        <v>46</v>
      </c>
      <c r="Z761" s="5" t="s">
        <v>47</v>
      </c>
      <c r="AA761" s="5" t="s">
        <v>64</v>
      </c>
      <c r="AB761" s="5" t="s">
        <v>3379</v>
      </c>
      <c r="AC761" s="6" t="s">
        <v>620</v>
      </c>
      <c r="AD761" s="6">
        <v>1803.0</v>
      </c>
    </row>
    <row r="762" ht="56.25" customHeight="1">
      <c r="A762" s="5" t="s">
        <v>3172</v>
      </c>
      <c r="B762" s="6" t="str">
        <f>IMAGE("https://storage.googleapis.com/acdb/housewares/FtrDrumSet_Remake_6_2.png")</f>
        <v/>
      </c>
      <c r="C762" s="5" t="s">
        <v>3368</v>
      </c>
      <c r="D762" s="5" t="s">
        <v>34</v>
      </c>
      <c r="E762" s="5" t="s">
        <v>3186</v>
      </c>
      <c r="F762" s="5" t="s">
        <v>3175</v>
      </c>
      <c r="G762" s="5" t="s">
        <v>36</v>
      </c>
      <c r="H762" s="5" t="s">
        <v>36</v>
      </c>
      <c r="I762" s="5" t="s">
        <v>35</v>
      </c>
      <c r="J762" s="6">
        <v>2.0</v>
      </c>
      <c r="K762" s="6">
        <v>5600.0</v>
      </c>
      <c r="L762" s="6">
        <v>1400.0</v>
      </c>
      <c r="M762" s="8" t="s">
        <v>96</v>
      </c>
      <c r="N762" s="8" t="s">
        <v>54</v>
      </c>
      <c r="O762" s="6" t="s">
        <v>276</v>
      </c>
      <c r="P762" s="5" t="s">
        <v>59</v>
      </c>
      <c r="Q762" s="5" t="s">
        <v>122</v>
      </c>
      <c r="R762" s="6" t="s">
        <v>42</v>
      </c>
      <c r="S762" s="5" t="s">
        <v>129</v>
      </c>
      <c r="T762" s="5" t="s">
        <v>44</v>
      </c>
      <c r="U762" s="5" t="s">
        <v>44</v>
      </c>
      <c r="V762" s="5" t="s">
        <v>44</v>
      </c>
      <c r="W762" s="5" t="s">
        <v>35</v>
      </c>
      <c r="X762" s="8" t="s">
        <v>45</v>
      </c>
      <c r="Y762" s="5" t="s">
        <v>46</v>
      </c>
      <c r="Z762" s="5" t="s">
        <v>47</v>
      </c>
      <c r="AA762" s="5" t="s">
        <v>64</v>
      </c>
      <c r="AB762" s="5" t="s">
        <v>3385</v>
      </c>
      <c r="AC762" s="6" t="s">
        <v>626</v>
      </c>
      <c r="AD762" s="6">
        <v>1803.0</v>
      </c>
    </row>
    <row r="763" ht="56.25" customHeight="1">
      <c r="A763" s="5" t="s">
        <v>3172</v>
      </c>
      <c r="B763" s="6" t="str">
        <f>IMAGE("https://storage.googleapis.com/acdb/housewares/FtrDrumSet_Remake_6_3.png")</f>
        <v/>
      </c>
      <c r="C763" s="5" t="s">
        <v>3368</v>
      </c>
      <c r="D763" s="5" t="s">
        <v>34</v>
      </c>
      <c r="E763" s="5" t="s">
        <v>3191</v>
      </c>
      <c r="F763" s="5" t="s">
        <v>3175</v>
      </c>
      <c r="G763" s="5" t="s">
        <v>36</v>
      </c>
      <c r="H763" s="5" t="s">
        <v>36</v>
      </c>
      <c r="I763" s="5" t="s">
        <v>35</v>
      </c>
      <c r="J763" s="6">
        <v>2.0</v>
      </c>
      <c r="K763" s="6">
        <v>5600.0</v>
      </c>
      <c r="L763" s="6">
        <v>1400.0</v>
      </c>
      <c r="M763" s="8" t="s">
        <v>96</v>
      </c>
      <c r="N763" s="8" t="s">
        <v>57</v>
      </c>
      <c r="O763" s="6" t="s">
        <v>276</v>
      </c>
      <c r="P763" s="5" t="s">
        <v>59</v>
      </c>
      <c r="Q763" s="5" t="s">
        <v>122</v>
      </c>
      <c r="R763" s="6" t="s">
        <v>42</v>
      </c>
      <c r="S763" s="5" t="s">
        <v>129</v>
      </c>
      <c r="T763" s="5" t="s">
        <v>44</v>
      </c>
      <c r="U763" s="5" t="s">
        <v>44</v>
      </c>
      <c r="V763" s="5" t="s">
        <v>44</v>
      </c>
      <c r="W763" s="5" t="s">
        <v>35</v>
      </c>
      <c r="X763" s="8" t="s">
        <v>45</v>
      </c>
      <c r="Y763" s="5" t="s">
        <v>46</v>
      </c>
      <c r="Z763" s="5" t="s">
        <v>47</v>
      </c>
      <c r="AA763" s="5" t="s">
        <v>64</v>
      </c>
      <c r="AB763" s="5" t="s">
        <v>3390</v>
      </c>
      <c r="AC763" s="6" t="s">
        <v>634</v>
      </c>
      <c r="AD763" s="6">
        <v>1803.0</v>
      </c>
    </row>
    <row r="764" ht="56.25" customHeight="1">
      <c r="A764" s="5" t="s">
        <v>3172</v>
      </c>
      <c r="B764" s="6" t="str">
        <f>IMAGE("https://storage.googleapis.com/acdb/housewares/FtrDrumSet_Remake_6_4.png")</f>
        <v/>
      </c>
      <c r="C764" s="5" t="s">
        <v>3368</v>
      </c>
      <c r="D764" s="5" t="s">
        <v>34</v>
      </c>
      <c r="E764" s="5" t="s">
        <v>2833</v>
      </c>
      <c r="F764" s="5" t="s">
        <v>3175</v>
      </c>
      <c r="G764" s="5" t="s">
        <v>36</v>
      </c>
      <c r="H764" s="5" t="s">
        <v>36</v>
      </c>
      <c r="I764" s="5" t="s">
        <v>35</v>
      </c>
      <c r="J764" s="6">
        <v>2.0</v>
      </c>
      <c r="K764" s="6">
        <v>5600.0</v>
      </c>
      <c r="L764" s="6">
        <v>1400.0</v>
      </c>
      <c r="M764" s="8" t="s">
        <v>96</v>
      </c>
      <c r="N764" s="8" t="s">
        <v>54</v>
      </c>
      <c r="O764" s="6" t="s">
        <v>276</v>
      </c>
      <c r="P764" s="5" t="s">
        <v>59</v>
      </c>
      <c r="Q764" s="5" t="s">
        <v>122</v>
      </c>
      <c r="R764" s="6" t="s">
        <v>42</v>
      </c>
      <c r="S764" s="5" t="s">
        <v>129</v>
      </c>
      <c r="T764" s="5" t="s">
        <v>44</v>
      </c>
      <c r="U764" s="5" t="s">
        <v>44</v>
      </c>
      <c r="V764" s="5" t="s">
        <v>44</v>
      </c>
      <c r="W764" s="5" t="s">
        <v>35</v>
      </c>
      <c r="X764" s="8" t="s">
        <v>45</v>
      </c>
      <c r="Y764" s="5" t="s">
        <v>46</v>
      </c>
      <c r="Z764" s="5" t="s">
        <v>47</v>
      </c>
      <c r="AA764" s="5" t="s">
        <v>64</v>
      </c>
      <c r="AB764" s="5" t="s">
        <v>3394</v>
      </c>
      <c r="AC764" s="6" t="s">
        <v>641</v>
      </c>
      <c r="AD764" s="6">
        <v>1803.0</v>
      </c>
    </row>
    <row r="765" ht="56.25" customHeight="1">
      <c r="A765" s="5" t="s">
        <v>3172</v>
      </c>
      <c r="B765" s="6" t="str">
        <f>IMAGE("https://storage.googleapis.com/acdb/housewares/FtrDrumSet_Remake_6_5.png")</f>
        <v/>
      </c>
      <c r="C765" s="5" t="s">
        <v>3368</v>
      </c>
      <c r="D765" s="5" t="s">
        <v>34</v>
      </c>
      <c r="E765" s="5" t="s">
        <v>3203</v>
      </c>
      <c r="F765" s="5" t="s">
        <v>3175</v>
      </c>
      <c r="G765" s="5" t="s">
        <v>36</v>
      </c>
      <c r="H765" s="5" t="s">
        <v>36</v>
      </c>
      <c r="I765" s="5" t="s">
        <v>35</v>
      </c>
      <c r="J765" s="6">
        <v>2.0</v>
      </c>
      <c r="K765" s="6">
        <v>5600.0</v>
      </c>
      <c r="L765" s="6">
        <v>1400.0</v>
      </c>
      <c r="M765" s="8" t="s">
        <v>96</v>
      </c>
      <c r="N765" s="8" t="s">
        <v>38</v>
      </c>
      <c r="O765" s="6" t="s">
        <v>276</v>
      </c>
      <c r="P765" s="5" t="s">
        <v>59</v>
      </c>
      <c r="Q765" s="5" t="s">
        <v>122</v>
      </c>
      <c r="R765" s="6" t="s">
        <v>42</v>
      </c>
      <c r="S765" s="5" t="s">
        <v>129</v>
      </c>
      <c r="T765" s="5" t="s">
        <v>44</v>
      </c>
      <c r="U765" s="5" t="s">
        <v>44</v>
      </c>
      <c r="V765" s="5" t="s">
        <v>44</v>
      </c>
      <c r="W765" s="5" t="s">
        <v>35</v>
      </c>
      <c r="X765" s="8" t="s">
        <v>45</v>
      </c>
      <c r="Y765" s="5" t="s">
        <v>46</v>
      </c>
      <c r="Z765" s="5" t="s">
        <v>47</v>
      </c>
      <c r="AA765" s="5" t="s">
        <v>64</v>
      </c>
      <c r="AB765" s="5" t="s">
        <v>3397</v>
      </c>
      <c r="AC765" s="6" t="s">
        <v>1870</v>
      </c>
      <c r="AD765" s="6">
        <v>1803.0</v>
      </c>
    </row>
    <row r="766" ht="56.25" customHeight="1">
      <c r="A766" s="5" t="s">
        <v>3172</v>
      </c>
      <c r="B766" s="6" t="str">
        <f>IMAGE("https://storage.googleapis.com/acdb/housewares/FtrDrumSet_Remake_7_0.png")</f>
        <v/>
      </c>
      <c r="C766" s="5" t="s">
        <v>3399</v>
      </c>
      <c r="D766" s="5" t="s">
        <v>34</v>
      </c>
      <c r="E766" s="5" t="s">
        <v>3174</v>
      </c>
      <c r="F766" s="5" t="s">
        <v>3175</v>
      </c>
      <c r="G766" s="5" t="s">
        <v>36</v>
      </c>
      <c r="H766" s="5" t="s">
        <v>36</v>
      </c>
      <c r="I766" s="5" t="s">
        <v>35</v>
      </c>
      <c r="J766" s="6">
        <v>2.0</v>
      </c>
      <c r="K766" s="6">
        <v>5600.0</v>
      </c>
      <c r="L766" s="6">
        <v>1400.0</v>
      </c>
      <c r="M766" s="8" t="s">
        <v>95</v>
      </c>
      <c r="N766" s="8" t="s">
        <v>57</v>
      </c>
      <c r="O766" s="6" t="s">
        <v>276</v>
      </c>
      <c r="P766" s="5" t="s">
        <v>59</v>
      </c>
      <c r="Q766" s="5" t="s">
        <v>122</v>
      </c>
      <c r="R766" s="6" t="s">
        <v>42</v>
      </c>
      <c r="S766" s="5" t="s">
        <v>129</v>
      </c>
      <c r="T766" s="5" t="s">
        <v>44</v>
      </c>
      <c r="U766" s="5" t="s">
        <v>44</v>
      </c>
      <c r="V766" s="5" t="s">
        <v>44</v>
      </c>
      <c r="W766" s="5" t="s">
        <v>35</v>
      </c>
      <c r="X766" s="8" t="s">
        <v>45</v>
      </c>
      <c r="Y766" s="5" t="s">
        <v>46</v>
      </c>
      <c r="Z766" s="5" t="s">
        <v>47</v>
      </c>
      <c r="AA766" s="5" t="s">
        <v>64</v>
      </c>
      <c r="AB766" s="5" t="s">
        <v>3403</v>
      </c>
      <c r="AC766" s="6" t="s">
        <v>208</v>
      </c>
      <c r="AD766" s="6">
        <v>1803.0</v>
      </c>
    </row>
    <row r="767" ht="56.25" customHeight="1">
      <c r="A767" s="5" t="s">
        <v>3172</v>
      </c>
      <c r="B767" s="6" t="str">
        <f>IMAGE("https://storage.googleapis.com/acdb/housewares/FtrDrumSet_Remake_7_1.png")</f>
        <v/>
      </c>
      <c r="C767" s="5" t="s">
        <v>3399</v>
      </c>
      <c r="D767" s="5" t="s">
        <v>34</v>
      </c>
      <c r="E767" s="5" t="s">
        <v>3181</v>
      </c>
      <c r="F767" s="5" t="s">
        <v>3175</v>
      </c>
      <c r="G767" s="5" t="s">
        <v>36</v>
      </c>
      <c r="H767" s="5" t="s">
        <v>36</v>
      </c>
      <c r="I767" s="5" t="s">
        <v>35</v>
      </c>
      <c r="J767" s="6">
        <v>2.0</v>
      </c>
      <c r="K767" s="6">
        <v>5600.0</v>
      </c>
      <c r="L767" s="6">
        <v>1400.0</v>
      </c>
      <c r="M767" s="8" t="s">
        <v>95</v>
      </c>
      <c r="N767" s="8" t="s">
        <v>54</v>
      </c>
      <c r="O767" s="6" t="s">
        <v>276</v>
      </c>
      <c r="P767" s="5" t="s">
        <v>59</v>
      </c>
      <c r="Q767" s="5" t="s">
        <v>122</v>
      </c>
      <c r="R767" s="6" t="s">
        <v>42</v>
      </c>
      <c r="S767" s="5" t="s">
        <v>129</v>
      </c>
      <c r="T767" s="5" t="s">
        <v>44</v>
      </c>
      <c r="U767" s="5" t="s">
        <v>44</v>
      </c>
      <c r="V767" s="5" t="s">
        <v>44</v>
      </c>
      <c r="W767" s="5" t="s">
        <v>35</v>
      </c>
      <c r="X767" s="8" t="s">
        <v>45</v>
      </c>
      <c r="Y767" s="5" t="s">
        <v>46</v>
      </c>
      <c r="Z767" s="5" t="s">
        <v>47</v>
      </c>
      <c r="AA767" s="5" t="s">
        <v>64</v>
      </c>
      <c r="AB767" s="5" t="s">
        <v>3410</v>
      </c>
      <c r="AC767" s="6" t="s">
        <v>1892</v>
      </c>
      <c r="AD767" s="6">
        <v>1803.0</v>
      </c>
    </row>
    <row r="768" ht="56.25" customHeight="1">
      <c r="A768" s="5" t="s">
        <v>3172</v>
      </c>
      <c r="B768" s="6" t="str">
        <f>IMAGE("https://storage.googleapis.com/acdb/housewares/FtrDrumSet_Remake_7_2.png")</f>
        <v/>
      </c>
      <c r="C768" s="5" t="s">
        <v>3399</v>
      </c>
      <c r="D768" s="5" t="s">
        <v>34</v>
      </c>
      <c r="E768" s="5" t="s">
        <v>3186</v>
      </c>
      <c r="F768" s="5" t="s">
        <v>3175</v>
      </c>
      <c r="G768" s="5" t="s">
        <v>36</v>
      </c>
      <c r="H768" s="5" t="s">
        <v>36</v>
      </c>
      <c r="I768" s="5" t="s">
        <v>35</v>
      </c>
      <c r="J768" s="6">
        <v>2.0</v>
      </c>
      <c r="K768" s="6">
        <v>5600.0</v>
      </c>
      <c r="L768" s="6">
        <v>1400.0</v>
      </c>
      <c r="M768" s="8" t="s">
        <v>95</v>
      </c>
      <c r="N768" s="8" t="s">
        <v>54</v>
      </c>
      <c r="O768" s="6" t="s">
        <v>276</v>
      </c>
      <c r="P768" s="5" t="s">
        <v>59</v>
      </c>
      <c r="Q768" s="5" t="s">
        <v>122</v>
      </c>
      <c r="R768" s="6" t="s">
        <v>42</v>
      </c>
      <c r="S768" s="5" t="s">
        <v>129</v>
      </c>
      <c r="T768" s="5" t="s">
        <v>44</v>
      </c>
      <c r="U768" s="5" t="s">
        <v>44</v>
      </c>
      <c r="V768" s="5" t="s">
        <v>44</v>
      </c>
      <c r="W768" s="5" t="s">
        <v>35</v>
      </c>
      <c r="X768" s="8" t="s">
        <v>45</v>
      </c>
      <c r="Y768" s="5" t="s">
        <v>46</v>
      </c>
      <c r="Z768" s="5" t="s">
        <v>47</v>
      </c>
      <c r="AA768" s="5" t="s">
        <v>64</v>
      </c>
      <c r="AB768" s="5" t="s">
        <v>3415</v>
      </c>
      <c r="AC768" s="6" t="s">
        <v>1901</v>
      </c>
      <c r="AD768" s="6">
        <v>1803.0</v>
      </c>
    </row>
    <row r="769" ht="56.25" customHeight="1">
      <c r="A769" s="5" t="s">
        <v>3172</v>
      </c>
      <c r="B769" s="6" t="str">
        <f>IMAGE("https://storage.googleapis.com/acdb/housewares/FtrDrumSet_Remake_7_3.png")</f>
        <v/>
      </c>
      <c r="C769" s="5" t="s">
        <v>3399</v>
      </c>
      <c r="D769" s="5" t="s">
        <v>34</v>
      </c>
      <c r="E769" s="5" t="s">
        <v>3191</v>
      </c>
      <c r="F769" s="5" t="s">
        <v>3175</v>
      </c>
      <c r="G769" s="5" t="s">
        <v>36</v>
      </c>
      <c r="H769" s="5" t="s">
        <v>36</v>
      </c>
      <c r="I769" s="5" t="s">
        <v>35</v>
      </c>
      <c r="J769" s="6">
        <v>2.0</v>
      </c>
      <c r="K769" s="6">
        <v>5600.0</v>
      </c>
      <c r="L769" s="6">
        <v>1400.0</v>
      </c>
      <c r="M769" s="8" t="s">
        <v>95</v>
      </c>
      <c r="N769" s="8" t="s">
        <v>57</v>
      </c>
      <c r="O769" s="6" t="s">
        <v>276</v>
      </c>
      <c r="P769" s="5" t="s">
        <v>59</v>
      </c>
      <c r="Q769" s="5" t="s">
        <v>122</v>
      </c>
      <c r="R769" s="6" t="s">
        <v>42</v>
      </c>
      <c r="S769" s="5" t="s">
        <v>129</v>
      </c>
      <c r="T769" s="5" t="s">
        <v>44</v>
      </c>
      <c r="U769" s="5" t="s">
        <v>44</v>
      </c>
      <c r="V769" s="5" t="s">
        <v>44</v>
      </c>
      <c r="W769" s="5" t="s">
        <v>35</v>
      </c>
      <c r="X769" s="8" t="s">
        <v>45</v>
      </c>
      <c r="Y769" s="5" t="s">
        <v>46</v>
      </c>
      <c r="Z769" s="5" t="s">
        <v>47</v>
      </c>
      <c r="AA769" s="5" t="s">
        <v>64</v>
      </c>
      <c r="AB769" s="5" t="s">
        <v>3419</v>
      </c>
      <c r="AC769" s="6" t="s">
        <v>1906</v>
      </c>
      <c r="AD769" s="6">
        <v>1803.0</v>
      </c>
    </row>
    <row r="770" ht="56.25" customHeight="1">
      <c r="A770" s="5" t="s">
        <v>3172</v>
      </c>
      <c r="B770" s="6" t="str">
        <f>IMAGE("https://storage.googleapis.com/acdb/housewares/FtrDrumSet_Remake_7_4.png")</f>
        <v/>
      </c>
      <c r="C770" s="5" t="s">
        <v>3399</v>
      </c>
      <c r="D770" s="5" t="s">
        <v>34</v>
      </c>
      <c r="E770" s="5" t="s">
        <v>2833</v>
      </c>
      <c r="F770" s="5" t="s">
        <v>3175</v>
      </c>
      <c r="G770" s="5" t="s">
        <v>36</v>
      </c>
      <c r="H770" s="5" t="s">
        <v>36</v>
      </c>
      <c r="I770" s="5" t="s">
        <v>35</v>
      </c>
      <c r="J770" s="6">
        <v>2.0</v>
      </c>
      <c r="K770" s="6">
        <v>5600.0</v>
      </c>
      <c r="L770" s="6">
        <v>1400.0</v>
      </c>
      <c r="M770" s="8" t="s">
        <v>95</v>
      </c>
      <c r="N770" s="8" t="s">
        <v>54</v>
      </c>
      <c r="O770" s="6" t="s">
        <v>276</v>
      </c>
      <c r="P770" s="5" t="s">
        <v>59</v>
      </c>
      <c r="Q770" s="5" t="s">
        <v>122</v>
      </c>
      <c r="R770" s="6" t="s">
        <v>42</v>
      </c>
      <c r="S770" s="5" t="s">
        <v>129</v>
      </c>
      <c r="T770" s="5" t="s">
        <v>44</v>
      </c>
      <c r="U770" s="5" t="s">
        <v>44</v>
      </c>
      <c r="V770" s="5" t="s">
        <v>44</v>
      </c>
      <c r="W770" s="5" t="s">
        <v>35</v>
      </c>
      <c r="X770" s="8" t="s">
        <v>45</v>
      </c>
      <c r="Y770" s="5" t="s">
        <v>46</v>
      </c>
      <c r="Z770" s="5" t="s">
        <v>47</v>
      </c>
      <c r="AA770" s="5" t="s">
        <v>64</v>
      </c>
      <c r="AB770" s="5" t="s">
        <v>3423</v>
      </c>
      <c r="AC770" s="6" t="s">
        <v>1910</v>
      </c>
      <c r="AD770" s="6">
        <v>1803.0</v>
      </c>
    </row>
    <row r="771" ht="56.25" customHeight="1">
      <c r="A771" s="5" t="s">
        <v>3172</v>
      </c>
      <c r="B771" s="6" t="str">
        <f>IMAGE("https://storage.googleapis.com/acdb/housewares/FtrDrumSet_Remake_7_5.png")</f>
        <v/>
      </c>
      <c r="C771" s="5" t="s">
        <v>3399</v>
      </c>
      <c r="D771" s="5" t="s">
        <v>34</v>
      </c>
      <c r="E771" s="5" t="s">
        <v>3203</v>
      </c>
      <c r="F771" s="5" t="s">
        <v>3175</v>
      </c>
      <c r="G771" s="5" t="s">
        <v>36</v>
      </c>
      <c r="H771" s="5" t="s">
        <v>36</v>
      </c>
      <c r="I771" s="5" t="s">
        <v>35</v>
      </c>
      <c r="J771" s="6">
        <v>2.0</v>
      </c>
      <c r="K771" s="6">
        <v>5600.0</v>
      </c>
      <c r="L771" s="6">
        <v>1400.0</v>
      </c>
      <c r="M771" s="8" t="s">
        <v>95</v>
      </c>
      <c r="N771" s="8" t="s">
        <v>38</v>
      </c>
      <c r="O771" s="6" t="s">
        <v>276</v>
      </c>
      <c r="P771" s="5" t="s">
        <v>59</v>
      </c>
      <c r="Q771" s="5" t="s">
        <v>122</v>
      </c>
      <c r="R771" s="6" t="s">
        <v>42</v>
      </c>
      <c r="S771" s="5" t="s">
        <v>129</v>
      </c>
      <c r="T771" s="5" t="s">
        <v>44</v>
      </c>
      <c r="U771" s="5" t="s">
        <v>44</v>
      </c>
      <c r="V771" s="5" t="s">
        <v>44</v>
      </c>
      <c r="W771" s="5" t="s">
        <v>35</v>
      </c>
      <c r="X771" s="8" t="s">
        <v>45</v>
      </c>
      <c r="Y771" s="5" t="s">
        <v>46</v>
      </c>
      <c r="Z771" s="5" t="s">
        <v>47</v>
      </c>
      <c r="AA771" s="5" t="s">
        <v>64</v>
      </c>
      <c r="AB771" s="5" t="s">
        <v>3428</v>
      </c>
      <c r="AC771" s="6" t="s">
        <v>1915</v>
      </c>
      <c r="AD771" s="6">
        <v>1803.0</v>
      </c>
    </row>
    <row r="772" ht="56.25" customHeight="1">
      <c r="A772" s="5" t="s">
        <v>3430</v>
      </c>
      <c r="B772" s="6" t="str">
        <f>IMAGE("https://storage.googleapis.com/acdb/housewares/FtrClothesstand_Remake_0_0.png")</f>
        <v/>
      </c>
      <c r="C772" s="5" t="s">
        <v>146</v>
      </c>
      <c r="D772" s="5" t="s">
        <v>34</v>
      </c>
      <c r="E772" s="5" t="s">
        <v>34</v>
      </c>
      <c r="F772" s="5" t="s">
        <v>34</v>
      </c>
      <c r="G772" s="5" t="s">
        <v>36</v>
      </c>
      <c r="H772" s="5" t="s">
        <v>36</v>
      </c>
      <c r="I772" s="5" t="s">
        <v>36</v>
      </c>
      <c r="J772" s="6" t="s">
        <v>34</v>
      </c>
      <c r="K772" s="6">
        <v>2700.0</v>
      </c>
      <c r="L772" s="6">
        <v>675.0</v>
      </c>
      <c r="M772" s="8" t="s">
        <v>95</v>
      </c>
      <c r="N772" s="8" t="s">
        <v>58</v>
      </c>
      <c r="O772" s="6" t="s">
        <v>276</v>
      </c>
      <c r="P772" s="5" t="s">
        <v>59</v>
      </c>
      <c r="Q772" s="5" t="s">
        <v>89</v>
      </c>
      <c r="R772" s="6" t="s">
        <v>42</v>
      </c>
      <c r="S772" s="5" t="s">
        <v>172</v>
      </c>
      <c r="T772" s="5" t="s">
        <v>288</v>
      </c>
      <c r="U772" s="5" t="s">
        <v>44</v>
      </c>
      <c r="V772" s="5" t="s">
        <v>44</v>
      </c>
      <c r="W772" s="5" t="s">
        <v>36</v>
      </c>
      <c r="X772" s="8" t="s">
        <v>432</v>
      </c>
      <c r="Y772" s="5" t="s">
        <v>46</v>
      </c>
      <c r="Z772" s="5" t="s">
        <v>47</v>
      </c>
      <c r="AA772" s="5" t="s">
        <v>64</v>
      </c>
      <c r="AB772" s="5" t="s">
        <v>3434</v>
      </c>
      <c r="AC772" s="6" t="s">
        <v>50</v>
      </c>
      <c r="AD772" s="6">
        <v>7789.0</v>
      </c>
    </row>
    <row r="773" ht="56.25" customHeight="1">
      <c r="A773" s="5" t="s">
        <v>3430</v>
      </c>
      <c r="B773" s="6" t="str">
        <f>IMAGE("https://storage.googleapis.com/acdb/housewares/FtrClothesstand_Remake_1_0.png")</f>
        <v/>
      </c>
      <c r="C773" s="5" t="s">
        <v>186</v>
      </c>
      <c r="D773" s="5" t="s">
        <v>34</v>
      </c>
      <c r="E773" s="5" t="s">
        <v>34</v>
      </c>
      <c r="F773" s="5" t="s">
        <v>34</v>
      </c>
      <c r="G773" s="5" t="s">
        <v>36</v>
      </c>
      <c r="H773" s="5" t="s">
        <v>36</v>
      </c>
      <c r="I773" s="5" t="s">
        <v>36</v>
      </c>
      <c r="J773" s="6" t="s">
        <v>34</v>
      </c>
      <c r="K773" s="6">
        <v>2700.0</v>
      </c>
      <c r="L773" s="6">
        <v>675.0</v>
      </c>
      <c r="M773" s="8" t="s">
        <v>38</v>
      </c>
      <c r="N773" s="8" t="s">
        <v>58</v>
      </c>
      <c r="O773" s="6" t="s">
        <v>276</v>
      </c>
      <c r="P773" s="5" t="s">
        <v>59</v>
      </c>
      <c r="Q773" s="5" t="s">
        <v>89</v>
      </c>
      <c r="R773" s="6" t="s">
        <v>42</v>
      </c>
      <c r="S773" s="5" t="s">
        <v>172</v>
      </c>
      <c r="T773" s="5" t="s">
        <v>288</v>
      </c>
      <c r="U773" s="5" t="s">
        <v>44</v>
      </c>
      <c r="V773" s="5" t="s">
        <v>44</v>
      </c>
      <c r="W773" s="5" t="s">
        <v>36</v>
      </c>
      <c r="X773" s="8" t="s">
        <v>432</v>
      </c>
      <c r="Y773" s="5" t="s">
        <v>46</v>
      </c>
      <c r="Z773" s="5" t="s">
        <v>47</v>
      </c>
      <c r="AA773" s="5" t="s">
        <v>64</v>
      </c>
      <c r="AB773" s="5" t="s">
        <v>3440</v>
      </c>
      <c r="AC773" s="6" t="s">
        <v>56</v>
      </c>
      <c r="AD773" s="6">
        <v>7789.0</v>
      </c>
    </row>
    <row r="774" ht="56.25" customHeight="1">
      <c r="A774" s="5" t="s">
        <v>3430</v>
      </c>
      <c r="B774" s="6" t="str">
        <f>IMAGE("https://storage.googleapis.com/acdb/housewares/FtrClothesstand_Remake_2_0.png")</f>
        <v/>
      </c>
      <c r="C774" s="5" t="s">
        <v>54</v>
      </c>
      <c r="D774" s="5" t="s">
        <v>34</v>
      </c>
      <c r="E774" s="5" t="s">
        <v>34</v>
      </c>
      <c r="F774" s="5" t="s">
        <v>34</v>
      </c>
      <c r="G774" s="5" t="s">
        <v>36</v>
      </c>
      <c r="H774" s="5" t="s">
        <v>36</v>
      </c>
      <c r="I774" s="5" t="s">
        <v>36</v>
      </c>
      <c r="J774" s="6" t="s">
        <v>34</v>
      </c>
      <c r="K774" s="6">
        <v>2700.0</v>
      </c>
      <c r="L774" s="6">
        <v>675.0</v>
      </c>
      <c r="M774" s="8" t="s">
        <v>54</v>
      </c>
      <c r="N774" s="8" t="s">
        <v>58</v>
      </c>
      <c r="O774" s="6" t="s">
        <v>276</v>
      </c>
      <c r="P774" s="5" t="s">
        <v>59</v>
      </c>
      <c r="Q774" s="5" t="s">
        <v>89</v>
      </c>
      <c r="R774" s="6" t="s">
        <v>42</v>
      </c>
      <c r="S774" s="5" t="s">
        <v>172</v>
      </c>
      <c r="T774" s="5" t="s">
        <v>288</v>
      </c>
      <c r="U774" s="5" t="s">
        <v>44</v>
      </c>
      <c r="V774" s="5" t="s">
        <v>44</v>
      </c>
      <c r="W774" s="5" t="s">
        <v>36</v>
      </c>
      <c r="X774" s="8" t="s">
        <v>432</v>
      </c>
      <c r="Y774" s="5" t="s">
        <v>46</v>
      </c>
      <c r="Z774" s="5" t="s">
        <v>47</v>
      </c>
      <c r="AA774" s="5" t="s">
        <v>64</v>
      </c>
      <c r="AB774" s="5" t="s">
        <v>3445</v>
      </c>
      <c r="AC774" s="6" t="s">
        <v>67</v>
      </c>
      <c r="AD774" s="6">
        <v>7789.0</v>
      </c>
    </row>
    <row r="775" ht="56.25" customHeight="1">
      <c r="A775" s="5" t="s">
        <v>3430</v>
      </c>
      <c r="B775" s="6" t="str">
        <f>IMAGE("https://storage.googleapis.com/acdb/housewares/FtrClothesstand_Remake_3_0.png")</f>
        <v/>
      </c>
      <c r="C775" s="5" t="s">
        <v>57</v>
      </c>
      <c r="D775" s="5" t="s">
        <v>34</v>
      </c>
      <c r="E775" s="5" t="s">
        <v>34</v>
      </c>
      <c r="F775" s="5" t="s">
        <v>34</v>
      </c>
      <c r="G775" s="5" t="s">
        <v>36</v>
      </c>
      <c r="H775" s="5" t="s">
        <v>36</v>
      </c>
      <c r="I775" s="5" t="s">
        <v>36</v>
      </c>
      <c r="J775" s="6" t="s">
        <v>34</v>
      </c>
      <c r="K775" s="6">
        <v>2700.0</v>
      </c>
      <c r="L775" s="6">
        <v>675.0</v>
      </c>
      <c r="M775" s="8" t="s">
        <v>57</v>
      </c>
      <c r="N775" s="8" t="s">
        <v>58</v>
      </c>
      <c r="O775" s="6" t="s">
        <v>276</v>
      </c>
      <c r="P775" s="5" t="s">
        <v>59</v>
      </c>
      <c r="Q775" s="5" t="s">
        <v>89</v>
      </c>
      <c r="R775" s="6" t="s">
        <v>42</v>
      </c>
      <c r="S775" s="5" t="s">
        <v>172</v>
      </c>
      <c r="T775" s="5" t="s">
        <v>288</v>
      </c>
      <c r="U775" s="5" t="s">
        <v>44</v>
      </c>
      <c r="V775" s="5" t="s">
        <v>44</v>
      </c>
      <c r="W775" s="5" t="s">
        <v>36</v>
      </c>
      <c r="X775" s="8" t="s">
        <v>432</v>
      </c>
      <c r="Y775" s="5" t="s">
        <v>46</v>
      </c>
      <c r="Z775" s="5" t="s">
        <v>47</v>
      </c>
      <c r="AA775" s="5" t="s">
        <v>64</v>
      </c>
      <c r="AB775" s="5" t="s">
        <v>3450</v>
      </c>
      <c r="AC775" s="6" t="s">
        <v>71</v>
      </c>
      <c r="AD775" s="6">
        <v>7789.0</v>
      </c>
    </row>
    <row r="776" ht="56.25" customHeight="1">
      <c r="A776" s="5" t="s">
        <v>3451</v>
      </c>
      <c r="B776" s="6" t="str">
        <f>IMAGE("https://storage.googleapis.com/acdb/housewares/FtrEffectorrack_Remake_0_0.png")</f>
        <v/>
      </c>
      <c r="C776" s="5" t="s">
        <v>54</v>
      </c>
      <c r="D776" s="5" t="s">
        <v>34</v>
      </c>
      <c r="E776" s="5" t="s">
        <v>44</v>
      </c>
      <c r="F776" s="5" t="s">
        <v>3454</v>
      </c>
      <c r="G776" s="5" t="s">
        <v>36</v>
      </c>
      <c r="H776" s="5" t="s">
        <v>36</v>
      </c>
      <c r="I776" s="5" t="s">
        <v>35</v>
      </c>
      <c r="J776" s="6">
        <v>3.0</v>
      </c>
      <c r="K776" s="6">
        <v>6800.0</v>
      </c>
      <c r="L776" s="6">
        <v>1700.0</v>
      </c>
      <c r="M776" s="8" t="s">
        <v>54</v>
      </c>
      <c r="N776" s="8" t="s">
        <v>54</v>
      </c>
      <c r="O776" s="6" t="s">
        <v>40</v>
      </c>
      <c r="P776" s="5" t="s">
        <v>59</v>
      </c>
      <c r="Q776" s="5" t="s">
        <v>122</v>
      </c>
      <c r="R776" s="6" t="s">
        <v>42</v>
      </c>
      <c r="S776" s="5" t="s">
        <v>129</v>
      </c>
      <c r="T776" s="5" t="s">
        <v>141</v>
      </c>
      <c r="U776" s="5" t="s">
        <v>44</v>
      </c>
      <c r="V776" s="5" t="s">
        <v>44</v>
      </c>
      <c r="W776" s="5" t="s">
        <v>36</v>
      </c>
      <c r="X776" s="8" t="s">
        <v>45</v>
      </c>
      <c r="Y776" s="5" t="s">
        <v>46</v>
      </c>
      <c r="Z776" s="5" t="s">
        <v>47</v>
      </c>
      <c r="AA776" s="5" t="s">
        <v>64</v>
      </c>
      <c r="AB776" s="5" t="s">
        <v>3457</v>
      </c>
      <c r="AC776" s="6" t="s">
        <v>50</v>
      </c>
      <c r="AD776" s="6">
        <v>950.0</v>
      </c>
    </row>
    <row r="777" ht="56.25" customHeight="1">
      <c r="A777" s="5" t="s">
        <v>3451</v>
      </c>
      <c r="B777" s="6" t="str">
        <f>IMAGE("https://storage.googleapis.com/acdb/housewares/FtrEffectorrack_Remake_0_1.png")</f>
        <v/>
      </c>
      <c r="C777" s="5" t="s">
        <v>54</v>
      </c>
      <c r="D777" s="5" t="s">
        <v>34</v>
      </c>
      <c r="E777" s="5" t="s">
        <v>2817</v>
      </c>
      <c r="F777" s="5" t="s">
        <v>3454</v>
      </c>
      <c r="G777" s="5" t="s">
        <v>36</v>
      </c>
      <c r="H777" s="5" t="s">
        <v>36</v>
      </c>
      <c r="I777" s="5" t="s">
        <v>35</v>
      </c>
      <c r="J777" s="6">
        <v>3.0</v>
      </c>
      <c r="K777" s="6">
        <v>6800.0</v>
      </c>
      <c r="L777" s="6">
        <v>1700.0</v>
      </c>
      <c r="M777" s="8" t="s">
        <v>54</v>
      </c>
      <c r="N777" s="8" t="s">
        <v>57</v>
      </c>
      <c r="O777" s="6" t="s">
        <v>40</v>
      </c>
      <c r="P777" s="5" t="s">
        <v>59</v>
      </c>
      <c r="Q777" s="5" t="s">
        <v>122</v>
      </c>
      <c r="R777" s="6" t="s">
        <v>42</v>
      </c>
      <c r="S777" s="5" t="s">
        <v>129</v>
      </c>
      <c r="T777" s="5" t="s">
        <v>141</v>
      </c>
      <c r="U777" s="5" t="s">
        <v>44</v>
      </c>
      <c r="V777" s="5" t="s">
        <v>44</v>
      </c>
      <c r="W777" s="5" t="s">
        <v>36</v>
      </c>
      <c r="X777" s="8" t="s">
        <v>45</v>
      </c>
      <c r="Y777" s="5" t="s">
        <v>46</v>
      </c>
      <c r="Z777" s="5" t="s">
        <v>47</v>
      </c>
      <c r="AA777" s="5" t="s">
        <v>64</v>
      </c>
      <c r="AB777" s="5" t="s">
        <v>3462</v>
      </c>
      <c r="AC777" s="6" t="s">
        <v>217</v>
      </c>
      <c r="AD777" s="6">
        <v>950.0</v>
      </c>
    </row>
    <row r="778" ht="56.25" customHeight="1">
      <c r="A778" s="5" t="s">
        <v>3451</v>
      </c>
      <c r="B778" s="6" t="str">
        <f>IMAGE("https://storage.googleapis.com/acdb/housewares/FtrEffectorrack_Remake_0_2.png")</f>
        <v/>
      </c>
      <c r="C778" s="5" t="s">
        <v>54</v>
      </c>
      <c r="D778" s="5" t="s">
        <v>34</v>
      </c>
      <c r="E778" s="5" t="s">
        <v>2827</v>
      </c>
      <c r="F778" s="5" t="s">
        <v>3454</v>
      </c>
      <c r="G778" s="5" t="s">
        <v>36</v>
      </c>
      <c r="H778" s="5" t="s">
        <v>36</v>
      </c>
      <c r="I778" s="5" t="s">
        <v>35</v>
      </c>
      <c r="J778" s="6">
        <v>3.0</v>
      </c>
      <c r="K778" s="6">
        <v>6800.0</v>
      </c>
      <c r="L778" s="6">
        <v>1700.0</v>
      </c>
      <c r="M778" s="8" t="s">
        <v>54</v>
      </c>
      <c r="N778" s="8" t="s">
        <v>57</v>
      </c>
      <c r="O778" s="6" t="s">
        <v>40</v>
      </c>
      <c r="P778" s="5" t="s">
        <v>59</v>
      </c>
      <c r="Q778" s="5" t="s">
        <v>122</v>
      </c>
      <c r="R778" s="6" t="s">
        <v>42</v>
      </c>
      <c r="S778" s="5" t="s">
        <v>129</v>
      </c>
      <c r="T778" s="5" t="s">
        <v>141</v>
      </c>
      <c r="U778" s="5" t="s">
        <v>44</v>
      </c>
      <c r="V778" s="5" t="s">
        <v>44</v>
      </c>
      <c r="W778" s="5" t="s">
        <v>36</v>
      </c>
      <c r="X778" s="8" t="s">
        <v>45</v>
      </c>
      <c r="Y778" s="5" t="s">
        <v>46</v>
      </c>
      <c r="Z778" s="5" t="s">
        <v>47</v>
      </c>
      <c r="AA778" s="5" t="s">
        <v>64</v>
      </c>
      <c r="AB778" s="5" t="s">
        <v>3469</v>
      </c>
      <c r="AC778" s="6" t="s">
        <v>347</v>
      </c>
      <c r="AD778" s="6">
        <v>950.0</v>
      </c>
    </row>
    <row r="779" ht="56.25" customHeight="1">
      <c r="A779" s="5" t="s">
        <v>3451</v>
      </c>
      <c r="B779" s="6" t="str">
        <f>IMAGE("https://storage.googleapis.com/acdb/housewares/FtrEffectorrack_Remake_0_3.png")</f>
        <v/>
      </c>
      <c r="C779" s="5" t="s">
        <v>54</v>
      </c>
      <c r="D779" s="5" t="s">
        <v>34</v>
      </c>
      <c r="E779" s="5" t="s">
        <v>2833</v>
      </c>
      <c r="F779" s="5" t="s">
        <v>3454</v>
      </c>
      <c r="G779" s="5" t="s">
        <v>36</v>
      </c>
      <c r="H779" s="5" t="s">
        <v>36</v>
      </c>
      <c r="I779" s="5" t="s">
        <v>35</v>
      </c>
      <c r="J779" s="6">
        <v>3.0</v>
      </c>
      <c r="K779" s="6">
        <v>6800.0</v>
      </c>
      <c r="L779" s="6">
        <v>1700.0</v>
      </c>
      <c r="M779" s="8" t="s">
        <v>54</v>
      </c>
      <c r="N779" s="8" t="s">
        <v>106</v>
      </c>
      <c r="O779" s="6" t="s">
        <v>40</v>
      </c>
      <c r="P779" s="5" t="s">
        <v>59</v>
      </c>
      <c r="Q779" s="5" t="s">
        <v>122</v>
      </c>
      <c r="R779" s="6" t="s">
        <v>42</v>
      </c>
      <c r="S779" s="5" t="s">
        <v>129</v>
      </c>
      <c r="T779" s="5" t="s">
        <v>141</v>
      </c>
      <c r="U779" s="5" t="s">
        <v>44</v>
      </c>
      <c r="V779" s="5" t="s">
        <v>44</v>
      </c>
      <c r="W779" s="5" t="s">
        <v>36</v>
      </c>
      <c r="X779" s="8" t="s">
        <v>45</v>
      </c>
      <c r="Y779" s="5" t="s">
        <v>46</v>
      </c>
      <c r="Z779" s="5" t="s">
        <v>47</v>
      </c>
      <c r="AA779" s="5" t="s">
        <v>64</v>
      </c>
      <c r="AB779" s="5" t="s">
        <v>3475</v>
      </c>
      <c r="AC779" s="6" t="s">
        <v>354</v>
      </c>
      <c r="AD779" s="6">
        <v>950.0</v>
      </c>
    </row>
    <row r="780" ht="56.25" customHeight="1">
      <c r="A780" s="5" t="s">
        <v>3451</v>
      </c>
      <c r="B780" s="6" t="str">
        <f>IMAGE("https://storage.googleapis.com/acdb/housewares/FtrEffectorrack_Remake_0_4.png")</f>
        <v/>
      </c>
      <c r="C780" s="5" t="s">
        <v>54</v>
      </c>
      <c r="D780" s="5" t="s">
        <v>34</v>
      </c>
      <c r="E780" s="5" t="s">
        <v>2841</v>
      </c>
      <c r="F780" s="5" t="s">
        <v>3454</v>
      </c>
      <c r="G780" s="5" t="s">
        <v>36</v>
      </c>
      <c r="H780" s="5" t="s">
        <v>36</v>
      </c>
      <c r="I780" s="5" t="s">
        <v>35</v>
      </c>
      <c r="J780" s="6">
        <v>3.0</v>
      </c>
      <c r="K780" s="6">
        <v>6800.0</v>
      </c>
      <c r="L780" s="6">
        <v>1700.0</v>
      </c>
      <c r="M780" s="8" t="s">
        <v>54</v>
      </c>
      <c r="N780" s="8" t="s">
        <v>96</v>
      </c>
      <c r="O780" s="6" t="s">
        <v>40</v>
      </c>
      <c r="P780" s="5" t="s">
        <v>59</v>
      </c>
      <c r="Q780" s="5" t="s">
        <v>122</v>
      </c>
      <c r="R780" s="6" t="s">
        <v>42</v>
      </c>
      <c r="S780" s="5" t="s">
        <v>129</v>
      </c>
      <c r="T780" s="5" t="s">
        <v>141</v>
      </c>
      <c r="U780" s="5" t="s">
        <v>44</v>
      </c>
      <c r="V780" s="5" t="s">
        <v>44</v>
      </c>
      <c r="W780" s="5" t="s">
        <v>36</v>
      </c>
      <c r="X780" s="8" t="s">
        <v>45</v>
      </c>
      <c r="Y780" s="5" t="s">
        <v>46</v>
      </c>
      <c r="Z780" s="5" t="s">
        <v>47</v>
      </c>
      <c r="AA780" s="5" t="s">
        <v>64</v>
      </c>
      <c r="AB780" s="5" t="s">
        <v>3480</v>
      </c>
      <c r="AC780" s="6" t="s">
        <v>486</v>
      </c>
      <c r="AD780" s="6">
        <v>950.0</v>
      </c>
    </row>
    <row r="781" ht="56.25" customHeight="1">
      <c r="A781" s="5" t="s">
        <v>3451</v>
      </c>
      <c r="B781" s="6" t="str">
        <f>IMAGE("https://storage.googleapis.com/acdb/housewares/FtrEffectorrack_Remake_0_5.png")</f>
        <v/>
      </c>
      <c r="C781" s="5" t="s">
        <v>54</v>
      </c>
      <c r="D781" s="5" t="s">
        <v>34</v>
      </c>
      <c r="E781" s="5" t="s">
        <v>2848</v>
      </c>
      <c r="F781" s="5" t="s">
        <v>3454</v>
      </c>
      <c r="G781" s="5" t="s">
        <v>36</v>
      </c>
      <c r="H781" s="5" t="s">
        <v>36</v>
      </c>
      <c r="I781" s="5" t="s">
        <v>35</v>
      </c>
      <c r="J781" s="6">
        <v>3.0</v>
      </c>
      <c r="K781" s="6">
        <v>6800.0</v>
      </c>
      <c r="L781" s="6">
        <v>1700.0</v>
      </c>
      <c r="M781" s="8" t="s">
        <v>54</v>
      </c>
      <c r="N781" s="8" t="s">
        <v>1175</v>
      </c>
      <c r="O781" s="6" t="s">
        <v>40</v>
      </c>
      <c r="P781" s="5" t="s">
        <v>59</v>
      </c>
      <c r="Q781" s="5" t="s">
        <v>122</v>
      </c>
      <c r="R781" s="6" t="s">
        <v>42</v>
      </c>
      <c r="S781" s="5" t="s">
        <v>129</v>
      </c>
      <c r="T781" s="5" t="s">
        <v>141</v>
      </c>
      <c r="U781" s="5" t="s">
        <v>44</v>
      </c>
      <c r="V781" s="5" t="s">
        <v>44</v>
      </c>
      <c r="W781" s="5" t="s">
        <v>36</v>
      </c>
      <c r="X781" s="8" t="s">
        <v>45</v>
      </c>
      <c r="Y781" s="5" t="s">
        <v>46</v>
      </c>
      <c r="Z781" s="5" t="s">
        <v>47</v>
      </c>
      <c r="AA781" s="5" t="s">
        <v>64</v>
      </c>
      <c r="AB781" s="5" t="s">
        <v>3487</v>
      </c>
      <c r="AC781" s="6" t="s">
        <v>934</v>
      </c>
      <c r="AD781" s="6">
        <v>950.0</v>
      </c>
    </row>
    <row r="782" ht="56.25" customHeight="1">
      <c r="A782" s="5" t="s">
        <v>3451</v>
      </c>
      <c r="B782" s="6" t="str">
        <f>IMAGE("https://storage.googleapis.com/acdb/housewares/FtrEffectorrack_Remake_0_6.png")</f>
        <v/>
      </c>
      <c r="C782" s="5" t="s">
        <v>54</v>
      </c>
      <c r="D782" s="5" t="s">
        <v>34</v>
      </c>
      <c r="E782" s="5" t="s">
        <v>2855</v>
      </c>
      <c r="F782" s="5" t="s">
        <v>3454</v>
      </c>
      <c r="G782" s="5" t="s">
        <v>36</v>
      </c>
      <c r="H782" s="5" t="s">
        <v>36</v>
      </c>
      <c r="I782" s="5" t="s">
        <v>35</v>
      </c>
      <c r="J782" s="6">
        <v>3.0</v>
      </c>
      <c r="K782" s="6">
        <v>6800.0</v>
      </c>
      <c r="L782" s="6">
        <v>1700.0</v>
      </c>
      <c r="M782" s="8" t="s">
        <v>54</v>
      </c>
      <c r="N782" s="8" t="s">
        <v>52</v>
      </c>
      <c r="O782" s="6" t="s">
        <v>40</v>
      </c>
      <c r="P782" s="5" t="s">
        <v>59</v>
      </c>
      <c r="Q782" s="5" t="s">
        <v>122</v>
      </c>
      <c r="R782" s="6" t="s">
        <v>42</v>
      </c>
      <c r="S782" s="5" t="s">
        <v>129</v>
      </c>
      <c r="T782" s="5" t="s">
        <v>141</v>
      </c>
      <c r="U782" s="5" t="s">
        <v>44</v>
      </c>
      <c r="V782" s="5" t="s">
        <v>44</v>
      </c>
      <c r="W782" s="5" t="s">
        <v>36</v>
      </c>
      <c r="X782" s="8" t="s">
        <v>45</v>
      </c>
      <c r="Y782" s="5" t="s">
        <v>46</v>
      </c>
      <c r="Z782" s="5" t="s">
        <v>47</v>
      </c>
      <c r="AA782" s="5" t="s">
        <v>64</v>
      </c>
      <c r="AB782" s="5" t="s">
        <v>3492</v>
      </c>
      <c r="AC782" s="6" t="s">
        <v>938</v>
      </c>
      <c r="AD782" s="6">
        <v>950.0</v>
      </c>
    </row>
    <row r="783" ht="56.25" customHeight="1">
      <c r="A783" s="5" t="s">
        <v>3451</v>
      </c>
      <c r="B783" s="6" t="str">
        <f>IMAGE("https://storage.googleapis.com/acdb/housewares/FtrEffectorrack_Remake_0_7.png")</f>
        <v/>
      </c>
      <c r="C783" s="5" t="s">
        <v>54</v>
      </c>
      <c r="D783" s="5" t="s">
        <v>34</v>
      </c>
      <c r="E783" s="5" t="s">
        <v>2863</v>
      </c>
      <c r="F783" s="5" t="s">
        <v>3454</v>
      </c>
      <c r="G783" s="5" t="s">
        <v>36</v>
      </c>
      <c r="H783" s="5" t="s">
        <v>36</v>
      </c>
      <c r="I783" s="5" t="s">
        <v>35</v>
      </c>
      <c r="J783" s="6">
        <v>3.0</v>
      </c>
      <c r="K783" s="6">
        <v>6800.0</v>
      </c>
      <c r="L783" s="6">
        <v>1700.0</v>
      </c>
      <c r="M783" s="8" t="s">
        <v>54</v>
      </c>
      <c r="N783" s="8" t="s">
        <v>69</v>
      </c>
      <c r="O783" s="6" t="s">
        <v>40</v>
      </c>
      <c r="P783" s="5" t="s">
        <v>59</v>
      </c>
      <c r="Q783" s="5" t="s">
        <v>122</v>
      </c>
      <c r="R783" s="6" t="s">
        <v>42</v>
      </c>
      <c r="S783" s="5" t="s">
        <v>129</v>
      </c>
      <c r="T783" s="5" t="s">
        <v>141</v>
      </c>
      <c r="U783" s="5" t="s">
        <v>44</v>
      </c>
      <c r="V783" s="5" t="s">
        <v>44</v>
      </c>
      <c r="W783" s="5" t="s">
        <v>36</v>
      </c>
      <c r="X783" s="8" t="s">
        <v>45</v>
      </c>
      <c r="Y783" s="5" t="s">
        <v>46</v>
      </c>
      <c r="Z783" s="5" t="s">
        <v>47</v>
      </c>
      <c r="AA783" s="5" t="s">
        <v>64</v>
      </c>
      <c r="AB783" s="5" t="s">
        <v>3496</v>
      </c>
      <c r="AC783" s="6" t="s">
        <v>1700</v>
      </c>
      <c r="AD783" s="6">
        <v>950.0</v>
      </c>
    </row>
    <row r="784" ht="56.25" customHeight="1">
      <c r="A784" s="5" t="s">
        <v>3451</v>
      </c>
      <c r="B784" s="6" t="str">
        <f>IMAGE("https://storage.googleapis.com/acdb/housewares/FtrEffectorrack_Remake_1_0.png")</f>
        <v/>
      </c>
      <c r="C784" s="5" t="s">
        <v>57</v>
      </c>
      <c r="D784" s="5" t="s">
        <v>34</v>
      </c>
      <c r="E784" s="5" t="s">
        <v>44</v>
      </c>
      <c r="F784" s="5" t="s">
        <v>3454</v>
      </c>
      <c r="G784" s="5" t="s">
        <v>36</v>
      </c>
      <c r="H784" s="5" t="s">
        <v>36</v>
      </c>
      <c r="I784" s="5" t="s">
        <v>35</v>
      </c>
      <c r="J784" s="6">
        <v>3.0</v>
      </c>
      <c r="K784" s="6">
        <v>6800.0</v>
      </c>
      <c r="L784" s="6">
        <v>1700.0</v>
      </c>
      <c r="M784" s="8" t="s">
        <v>57</v>
      </c>
      <c r="N784" s="8" t="s">
        <v>54</v>
      </c>
      <c r="O784" s="6" t="s">
        <v>40</v>
      </c>
      <c r="P784" s="5" t="s">
        <v>59</v>
      </c>
      <c r="Q784" s="5" t="s">
        <v>122</v>
      </c>
      <c r="R784" s="6" t="s">
        <v>42</v>
      </c>
      <c r="S784" s="5" t="s">
        <v>129</v>
      </c>
      <c r="T784" s="5" t="s">
        <v>141</v>
      </c>
      <c r="U784" s="5" t="s">
        <v>44</v>
      </c>
      <c r="V784" s="5" t="s">
        <v>44</v>
      </c>
      <c r="W784" s="5" t="s">
        <v>36</v>
      </c>
      <c r="X784" s="8" t="s">
        <v>45</v>
      </c>
      <c r="Y784" s="5" t="s">
        <v>46</v>
      </c>
      <c r="Z784" s="5" t="s">
        <v>47</v>
      </c>
      <c r="AA784" s="5" t="s">
        <v>64</v>
      </c>
      <c r="AB784" s="5" t="s">
        <v>3501</v>
      </c>
      <c r="AC784" s="6" t="s">
        <v>56</v>
      </c>
      <c r="AD784" s="6">
        <v>950.0</v>
      </c>
    </row>
    <row r="785" ht="56.25" customHeight="1">
      <c r="A785" s="5" t="s">
        <v>3451</v>
      </c>
      <c r="B785" s="6" t="str">
        <f>IMAGE("https://storage.googleapis.com/acdb/housewares/FtrEffectorrack_Remake_1_1.png")</f>
        <v/>
      </c>
      <c r="C785" s="5" t="s">
        <v>57</v>
      </c>
      <c r="D785" s="5" t="s">
        <v>34</v>
      </c>
      <c r="E785" s="5" t="s">
        <v>2817</v>
      </c>
      <c r="F785" s="5" t="s">
        <v>3454</v>
      </c>
      <c r="G785" s="5" t="s">
        <v>36</v>
      </c>
      <c r="H785" s="5" t="s">
        <v>36</v>
      </c>
      <c r="I785" s="5" t="s">
        <v>35</v>
      </c>
      <c r="J785" s="6">
        <v>3.0</v>
      </c>
      <c r="K785" s="6">
        <v>6800.0</v>
      </c>
      <c r="L785" s="6">
        <v>1700.0</v>
      </c>
      <c r="M785" s="8" t="s">
        <v>57</v>
      </c>
      <c r="N785" s="8" t="s">
        <v>57</v>
      </c>
      <c r="O785" s="6" t="s">
        <v>40</v>
      </c>
      <c r="P785" s="5" t="s">
        <v>59</v>
      </c>
      <c r="Q785" s="5" t="s">
        <v>122</v>
      </c>
      <c r="R785" s="6" t="s">
        <v>42</v>
      </c>
      <c r="S785" s="5" t="s">
        <v>129</v>
      </c>
      <c r="T785" s="5" t="s">
        <v>141</v>
      </c>
      <c r="U785" s="5" t="s">
        <v>44</v>
      </c>
      <c r="V785" s="5" t="s">
        <v>44</v>
      </c>
      <c r="W785" s="5" t="s">
        <v>36</v>
      </c>
      <c r="X785" s="8" t="s">
        <v>45</v>
      </c>
      <c r="Y785" s="5" t="s">
        <v>46</v>
      </c>
      <c r="Z785" s="5" t="s">
        <v>47</v>
      </c>
      <c r="AA785" s="5" t="s">
        <v>64</v>
      </c>
      <c r="AB785" s="5" t="s">
        <v>3510</v>
      </c>
      <c r="AC785" s="6" t="s">
        <v>234</v>
      </c>
      <c r="AD785" s="6">
        <v>950.0</v>
      </c>
    </row>
    <row r="786" ht="56.25" customHeight="1">
      <c r="A786" s="5" t="s">
        <v>3451</v>
      </c>
      <c r="B786" s="6" t="str">
        <f>IMAGE("https://storage.googleapis.com/acdb/housewares/FtrEffectorrack_Remake_1_2.png")</f>
        <v/>
      </c>
      <c r="C786" s="5" t="s">
        <v>57</v>
      </c>
      <c r="D786" s="5" t="s">
        <v>34</v>
      </c>
      <c r="E786" s="5" t="s">
        <v>2827</v>
      </c>
      <c r="F786" s="5" t="s">
        <v>3454</v>
      </c>
      <c r="G786" s="5" t="s">
        <v>36</v>
      </c>
      <c r="H786" s="5" t="s">
        <v>36</v>
      </c>
      <c r="I786" s="5" t="s">
        <v>35</v>
      </c>
      <c r="J786" s="6">
        <v>3.0</v>
      </c>
      <c r="K786" s="6">
        <v>6800.0</v>
      </c>
      <c r="L786" s="6">
        <v>1700.0</v>
      </c>
      <c r="M786" s="8" t="s">
        <v>57</v>
      </c>
      <c r="N786" s="8" t="s">
        <v>57</v>
      </c>
      <c r="O786" s="6" t="s">
        <v>40</v>
      </c>
      <c r="P786" s="5" t="s">
        <v>59</v>
      </c>
      <c r="Q786" s="5" t="s">
        <v>122</v>
      </c>
      <c r="R786" s="6" t="s">
        <v>42</v>
      </c>
      <c r="S786" s="5" t="s">
        <v>129</v>
      </c>
      <c r="T786" s="5" t="s">
        <v>141</v>
      </c>
      <c r="U786" s="5" t="s">
        <v>44</v>
      </c>
      <c r="V786" s="5" t="s">
        <v>44</v>
      </c>
      <c r="W786" s="5" t="s">
        <v>36</v>
      </c>
      <c r="X786" s="8" t="s">
        <v>45</v>
      </c>
      <c r="Y786" s="5" t="s">
        <v>46</v>
      </c>
      <c r="Z786" s="5" t="s">
        <v>47</v>
      </c>
      <c r="AA786" s="5" t="s">
        <v>64</v>
      </c>
      <c r="AB786" s="5" t="s">
        <v>3515</v>
      </c>
      <c r="AC786" s="6" t="s">
        <v>370</v>
      </c>
      <c r="AD786" s="6">
        <v>950.0</v>
      </c>
    </row>
    <row r="787" ht="56.25" customHeight="1">
      <c r="A787" s="5" t="s">
        <v>3451</v>
      </c>
      <c r="B787" s="6" t="str">
        <f>IMAGE("https://storage.googleapis.com/acdb/housewares/FtrEffectorrack_Remake_1_3.png")</f>
        <v/>
      </c>
      <c r="C787" s="5" t="s">
        <v>57</v>
      </c>
      <c r="D787" s="5" t="s">
        <v>34</v>
      </c>
      <c r="E787" s="5" t="s">
        <v>2833</v>
      </c>
      <c r="F787" s="5" t="s">
        <v>3454</v>
      </c>
      <c r="G787" s="5" t="s">
        <v>36</v>
      </c>
      <c r="H787" s="5" t="s">
        <v>36</v>
      </c>
      <c r="I787" s="5" t="s">
        <v>35</v>
      </c>
      <c r="J787" s="6">
        <v>3.0</v>
      </c>
      <c r="K787" s="6">
        <v>6800.0</v>
      </c>
      <c r="L787" s="6">
        <v>1700.0</v>
      </c>
      <c r="M787" s="8" t="s">
        <v>57</v>
      </c>
      <c r="N787" s="8" t="s">
        <v>106</v>
      </c>
      <c r="O787" s="6" t="s">
        <v>40</v>
      </c>
      <c r="P787" s="5" t="s">
        <v>59</v>
      </c>
      <c r="Q787" s="5" t="s">
        <v>122</v>
      </c>
      <c r="R787" s="6" t="s">
        <v>42</v>
      </c>
      <c r="S787" s="5" t="s">
        <v>129</v>
      </c>
      <c r="T787" s="5" t="s">
        <v>141</v>
      </c>
      <c r="U787" s="5" t="s">
        <v>44</v>
      </c>
      <c r="V787" s="5" t="s">
        <v>44</v>
      </c>
      <c r="W787" s="5" t="s">
        <v>36</v>
      </c>
      <c r="X787" s="8" t="s">
        <v>45</v>
      </c>
      <c r="Y787" s="5" t="s">
        <v>46</v>
      </c>
      <c r="Z787" s="5" t="s">
        <v>47</v>
      </c>
      <c r="AA787" s="5" t="s">
        <v>64</v>
      </c>
      <c r="AB787" s="5" t="s">
        <v>3519</v>
      </c>
      <c r="AC787" s="6" t="s">
        <v>377</v>
      </c>
      <c r="AD787" s="6">
        <v>950.0</v>
      </c>
    </row>
    <row r="788" ht="56.25" customHeight="1">
      <c r="A788" s="5" t="s">
        <v>3451</v>
      </c>
      <c r="B788" s="6" t="str">
        <f>IMAGE("https://storage.googleapis.com/acdb/housewares/FtrEffectorrack_Remake_1_4.png")</f>
        <v/>
      </c>
      <c r="C788" s="5" t="s">
        <v>57</v>
      </c>
      <c r="D788" s="5" t="s">
        <v>34</v>
      </c>
      <c r="E788" s="5" t="s">
        <v>2841</v>
      </c>
      <c r="F788" s="5" t="s">
        <v>3454</v>
      </c>
      <c r="G788" s="5" t="s">
        <v>36</v>
      </c>
      <c r="H788" s="5" t="s">
        <v>36</v>
      </c>
      <c r="I788" s="5" t="s">
        <v>35</v>
      </c>
      <c r="J788" s="6">
        <v>3.0</v>
      </c>
      <c r="K788" s="6">
        <v>6800.0</v>
      </c>
      <c r="L788" s="6">
        <v>1700.0</v>
      </c>
      <c r="M788" s="8" t="s">
        <v>57</v>
      </c>
      <c r="N788" s="8" t="s">
        <v>96</v>
      </c>
      <c r="O788" s="6" t="s">
        <v>40</v>
      </c>
      <c r="P788" s="5" t="s">
        <v>59</v>
      </c>
      <c r="Q788" s="5" t="s">
        <v>122</v>
      </c>
      <c r="R788" s="6" t="s">
        <v>42</v>
      </c>
      <c r="S788" s="5" t="s">
        <v>129</v>
      </c>
      <c r="T788" s="5" t="s">
        <v>141</v>
      </c>
      <c r="U788" s="5" t="s">
        <v>44</v>
      </c>
      <c r="V788" s="5" t="s">
        <v>44</v>
      </c>
      <c r="W788" s="5" t="s">
        <v>36</v>
      </c>
      <c r="X788" s="8" t="s">
        <v>45</v>
      </c>
      <c r="Y788" s="5" t="s">
        <v>46</v>
      </c>
      <c r="Z788" s="5" t="s">
        <v>47</v>
      </c>
      <c r="AA788" s="5" t="s">
        <v>64</v>
      </c>
      <c r="AB788" s="5" t="s">
        <v>3523</v>
      </c>
      <c r="AC788" s="6" t="s">
        <v>520</v>
      </c>
      <c r="AD788" s="6">
        <v>950.0</v>
      </c>
    </row>
    <row r="789" ht="56.25" customHeight="1">
      <c r="A789" s="5" t="s">
        <v>3451</v>
      </c>
      <c r="B789" s="6" t="str">
        <f>IMAGE("https://storage.googleapis.com/acdb/housewares/FtrEffectorrack_Remake_1_5.png")</f>
        <v/>
      </c>
      <c r="C789" s="5" t="s">
        <v>57</v>
      </c>
      <c r="D789" s="5" t="s">
        <v>34</v>
      </c>
      <c r="E789" s="5" t="s">
        <v>2848</v>
      </c>
      <c r="F789" s="5" t="s">
        <v>3454</v>
      </c>
      <c r="G789" s="5" t="s">
        <v>36</v>
      </c>
      <c r="H789" s="5" t="s">
        <v>36</v>
      </c>
      <c r="I789" s="5" t="s">
        <v>35</v>
      </c>
      <c r="J789" s="6">
        <v>3.0</v>
      </c>
      <c r="K789" s="6">
        <v>6800.0</v>
      </c>
      <c r="L789" s="6">
        <v>1700.0</v>
      </c>
      <c r="M789" s="8" t="s">
        <v>57</v>
      </c>
      <c r="N789" s="8" t="s">
        <v>1175</v>
      </c>
      <c r="O789" s="6" t="s">
        <v>40</v>
      </c>
      <c r="P789" s="5" t="s">
        <v>59</v>
      </c>
      <c r="Q789" s="5" t="s">
        <v>122</v>
      </c>
      <c r="R789" s="6" t="s">
        <v>42</v>
      </c>
      <c r="S789" s="5" t="s">
        <v>129</v>
      </c>
      <c r="T789" s="5" t="s">
        <v>141</v>
      </c>
      <c r="U789" s="5" t="s">
        <v>44</v>
      </c>
      <c r="V789" s="5" t="s">
        <v>44</v>
      </c>
      <c r="W789" s="5" t="s">
        <v>36</v>
      </c>
      <c r="X789" s="8" t="s">
        <v>45</v>
      </c>
      <c r="Y789" s="5" t="s">
        <v>46</v>
      </c>
      <c r="Z789" s="5" t="s">
        <v>47</v>
      </c>
      <c r="AA789" s="5" t="s">
        <v>64</v>
      </c>
      <c r="AB789" s="5" t="s">
        <v>3527</v>
      </c>
      <c r="AC789" s="6" t="s">
        <v>1389</v>
      </c>
      <c r="AD789" s="6">
        <v>950.0</v>
      </c>
    </row>
    <row r="790" ht="56.25" customHeight="1">
      <c r="A790" s="5" t="s">
        <v>3451</v>
      </c>
      <c r="B790" s="6" t="str">
        <f>IMAGE("https://storage.googleapis.com/acdb/housewares/FtrEffectorrack_Remake_1_6.png")</f>
        <v/>
      </c>
      <c r="C790" s="5" t="s">
        <v>57</v>
      </c>
      <c r="D790" s="5" t="s">
        <v>34</v>
      </c>
      <c r="E790" s="5" t="s">
        <v>2855</v>
      </c>
      <c r="F790" s="5" t="s">
        <v>3454</v>
      </c>
      <c r="G790" s="5" t="s">
        <v>36</v>
      </c>
      <c r="H790" s="5" t="s">
        <v>36</v>
      </c>
      <c r="I790" s="5" t="s">
        <v>35</v>
      </c>
      <c r="J790" s="6">
        <v>3.0</v>
      </c>
      <c r="K790" s="6">
        <v>6800.0</v>
      </c>
      <c r="L790" s="6">
        <v>1700.0</v>
      </c>
      <c r="M790" s="8" t="s">
        <v>57</v>
      </c>
      <c r="N790" s="8" t="s">
        <v>52</v>
      </c>
      <c r="O790" s="6" t="s">
        <v>40</v>
      </c>
      <c r="P790" s="5" t="s">
        <v>59</v>
      </c>
      <c r="Q790" s="5" t="s">
        <v>122</v>
      </c>
      <c r="R790" s="6" t="s">
        <v>42</v>
      </c>
      <c r="S790" s="5" t="s">
        <v>129</v>
      </c>
      <c r="T790" s="5" t="s">
        <v>141</v>
      </c>
      <c r="U790" s="5" t="s">
        <v>44</v>
      </c>
      <c r="V790" s="5" t="s">
        <v>44</v>
      </c>
      <c r="W790" s="5" t="s">
        <v>36</v>
      </c>
      <c r="X790" s="8" t="s">
        <v>45</v>
      </c>
      <c r="Y790" s="5" t="s">
        <v>46</v>
      </c>
      <c r="Z790" s="5" t="s">
        <v>47</v>
      </c>
      <c r="AA790" s="5" t="s">
        <v>64</v>
      </c>
      <c r="AB790" s="5" t="s">
        <v>3532</v>
      </c>
      <c r="AC790" s="6" t="s">
        <v>1394</v>
      </c>
      <c r="AD790" s="6">
        <v>950.0</v>
      </c>
    </row>
    <row r="791" ht="56.25" customHeight="1">
      <c r="A791" s="5" t="s">
        <v>3451</v>
      </c>
      <c r="B791" s="6" t="str">
        <f>IMAGE("https://storage.googleapis.com/acdb/housewares/FtrEffectorrack_Remake_1_7.png")</f>
        <v/>
      </c>
      <c r="C791" s="5" t="s">
        <v>57</v>
      </c>
      <c r="D791" s="5" t="s">
        <v>34</v>
      </c>
      <c r="E791" s="5" t="s">
        <v>2863</v>
      </c>
      <c r="F791" s="5" t="s">
        <v>3454</v>
      </c>
      <c r="G791" s="5" t="s">
        <v>36</v>
      </c>
      <c r="H791" s="5" t="s">
        <v>36</v>
      </c>
      <c r="I791" s="5" t="s">
        <v>35</v>
      </c>
      <c r="J791" s="6">
        <v>3.0</v>
      </c>
      <c r="K791" s="6">
        <v>6800.0</v>
      </c>
      <c r="L791" s="6">
        <v>1700.0</v>
      </c>
      <c r="M791" s="8" t="s">
        <v>57</v>
      </c>
      <c r="N791" s="8" t="s">
        <v>69</v>
      </c>
      <c r="O791" s="6" t="s">
        <v>40</v>
      </c>
      <c r="P791" s="5" t="s">
        <v>59</v>
      </c>
      <c r="Q791" s="5" t="s">
        <v>122</v>
      </c>
      <c r="R791" s="6" t="s">
        <v>42</v>
      </c>
      <c r="S791" s="5" t="s">
        <v>129</v>
      </c>
      <c r="T791" s="5" t="s">
        <v>141</v>
      </c>
      <c r="U791" s="5" t="s">
        <v>44</v>
      </c>
      <c r="V791" s="5" t="s">
        <v>44</v>
      </c>
      <c r="W791" s="5" t="s">
        <v>36</v>
      </c>
      <c r="X791" s="8" t="s">
        <v>45</v>
      </c>
      <c r="Y791" s="5" t="s">
        <v>46</v>
      </c>
      <c r="Z791" s="5" t="s">
        <v>47</v>
      </c>
      <c r="AA791" s="5" t="s">
        <v>64</v>
      </c>
      <c r="AB791" s="5" t="s">
        <v>3538</v>
      </c>
      <c r="AC791" s="6" t="s">
        <v>1729</v>
      </c>
      <c r="AD791" s="6">
        <v>950.0</v>
      </c>
    </row>
    <row r="792" ht="56.25" customHeight="1">
      <c r="A792" s="5" t="s">
        <v>3451</v>
      </c>
      <c r="B792" s="6" t="str">
        <f>IMAGE("https://storage.googleapis.com/acdb/housewares/FtrEffectorrack_Remake_2_0.png")</f>
        <v/>
      </c>
      <c r="C792" s="5" t="s">
        <v>142</v>
      </c>
      <c r="D792" s="5" t="s">
        <v>34</v>
      </c>
      <c r="E792" s="5" t="s">
        <v>44</v>
      </c>
      <c r="F792" s="5" t="s">
        <v>3454</v>
      </c>
      <c r="G792" s="5" t="s">
        <v>36</v>
      </c>
      <c r="H792" s="5" t="s">
        <v>36</v>
      </c>
      <c r="I792" s="5" t="s">
        <v>35</v>
      </c>
      <c r="J792" s="6">
        <v>3.0</v>
      </c>
      <c r="K792" s="6">
        <v>6800.0</v>
      </c>
      <c r="L792" s="6">
        <v>1700.0</v>
      </c>
      <c r="M792" s="8" t="s">
        <v>114</v>
      </c>
      <c r="N792" s="8" t="s">
        <v>54</v>
      </c>
      <c r="O792" s="6" t="s">
        <v>40</v>
      </c>
      <c r="P792" s="5" t="s">
        <v>59</v>
      </c>
      <c r="Q792" s="5" t="s">
        <v>122</v>
      </c>
      <c r="R792" s="6" t="s">
        <v>42</v>
      </c>
      <c r="S792" s="5" t="s">
        <v>129</v>
      </c>
      <c r="T792" s="5" t="s">
        <v>141</v>
      </c>
      <c r="U792" s="5" t="s">
        <v>44</v>
      </c>
      <c r="V792" s="5" t="s">
        <v>44</v>
      </c>
      <c r="W792" s="5" t="s">
        <v>36</v>
      </c>
      <c r="X792" s="8" t="s">
        <v>45</v>
      </c>
      <c r="Y792" s="5" t="s">
        <v>46</v>
      </c>
      <c r="Z792" s="5" t="s">
        <v>47</v>
      </c>
      <c r="AA792" s="5" t="s">
        <v>64</v>
      </c>
      <c r="AB792" s="5" t="s">
        <v>3543</v>
      </c>
      <c r="AC792" s="6" t="s">
        <v>67</v>
      </c>
      <c r="AD792" s="6">
        <v>950.0</v>
      </c>
    </row>
    <row r="793" ht="56.25" customHeight="1">
      <c r="A793" s="5" t="s">
        <v>3451</v>
      </c>
      <c r="B793" s="6" t="str">
        <f>IMAGE("https://storage.googleapis.com/acdb/housewares/FtrEffectorrack_Remake_2_1.png")</f>
        <v/>
      </c>
      <c r="C793" s="5" t="s">
        <v>142</v>
      </c>
      <c r="D793" s="5" t="s">
        <v>34</v>
      </c>
      <c r="E793" s="5" t="s">
        <v>2817</v>
      </c>
      <c r="F793" s="5" t="s">
        <v>3454</v>
      </c>
      <c r="G793" s="5" t="s">
        <v>36</v>
      </c>
      <c r="H793" s="5" t="s">
        <v>36</v>
      </c>
      <c r="I793" s="5" t="s">
        <v>35</v>
      </c>
      <c r="J793" s="6">
        <v>3.0</v>
      </c>
      <c r="K793" s="6">
        <v>6800.0</v>
      </c>
      <c r="L793" s="6">
        <v>1700.0</v>
      </c>
      <c r="M793" s="8" t="s">
        <v>114</v>
      </c>
      <c r="N793" s="8" t="s">
        <v>57</v>
      </c>
      <c r="O793" s="6" t="s">
        <v>40</v>
      </c>
      <c r="P793" s="5" t="s">
        <v>59</v>
      </c>
      <c r="Q793" s="5" t="s">
        <v>122</v>
      </c>
      <c r="R793" s="6" t="s">
        <v>42</v>
      </c>
      <c r="S793" s="5" t="s">
        <v>129</v>
      </c>
      <c r="T793" s="5" t="s">
        <v>141</v>
      </c>
      <c r="U793" s="5" t="s">
        <v>44</v>
      </c>
      <c r="V793" s="5" t="s">
        <v>44</v>
      </c>
      <c r="W793" s="5" t="s">
        <v>36</v>
      </c>
      <c r="X793" s="8" t="s">
        <v>45</v>
      </c>
      <c r="Y793" s="5" t="s">
        <v>46</v>
      </c>
      <c r="Z793" s="5" t="s">
        <v>47</v>
      </c>
      <c r="AA793" s="5" t="s">
        <v>64</v>
      </c>
      <c r="AB793" s="5" t="s">
        <v>3546</v>
      </c>
      <c r="AC793" s="6" t="s">
        <v>247</v>
      </c>
      <c r="AD793" s="6">
        <v>950.0</v>
      </c>
    </row>
    <row r="794" ht="56.25" customHeight="1">
      <c r="A794" s="5" t="s">
        <v>3451</v>
      </c>
      <c r="B794" s="6" t="str">
        <f>IMAGE("https://storage.googleapis.com/acdb/housewares/FtrEffectorrack_Remake_2_2.png")</f>
        <v/>
      </c>
      <c r="C794" s="5" t="s">
        <v>142</v>
      </c>
      <c r="D794" s="5" t="s">
        <v>34</v>
      </c>
      <c r="E794" s="5" t="s">
        <v>2827</v>
      </c>
      <c r="F794" s="5" t="s">
        <v>3454</v>
      </c>
      <c r="G794" s="5" t="s">
        <v>36</v>
      </c>
      <c r="H794" s="5" t="s">
        <v>36</v>
      </c>
      <c r="I794" s="5" t="s">
        <v>35</v>
      </c>
      <c r="J794" s="6">
        <v>3.0</v>
      </c>
      <c r="K794" s="6">
        <v>6800.0</v>
      </c>
      <c r="L794" s="6">
        <v>1700.0</v>
      </c>
      <c r="M794" s="8" t="s">
        <v>114</v>
      </c>
      <c r="N794" s="8" t="s">
        <v>57</v>
      </c>
      <c r="O794" s="6" t="s">
        <v>40</v>
      </c>
      <c r="P794" s="5" t="s">
        <v>59</v>
      </c>
      <c r="Q794" s="5" t="s">
        <v>122</v>
      </c>
      <c r="R794" s="6" t="s">
        <v>42</v>
      </c>
      <c r="S794" s="5" t="s">
        <v>129</v>
      </c>
      <c r="T794" s="5" t="s">
        <v>141</v>
      </c>
      <c r="U794" s="5" t="s">
        <v>44</v>
      </c>
      <c r="V794" s="5" t="s">
        <v>44</v>
      </c>
      <c r="W794" s="5" t="s">
        <v>36</v>
      </c>
      <c r="X794" s="8" t="s">
        <v>45</v>
      </c>
      <c r="Y794" s="5" t="s">
        <v>46</v>
      </c>
      <c r="Z794" s="5" t="s">
        <v>47</v>
      </c>
      <c r="AA794" s="5" t="s">
        <v>64</v>
      </c>
      <c r="AB794" s="5" t="s">
        <v>3550</v>
      </c>
      <c r="AC794" s="6" t="s">
        <v>390</v>
      </c>
      <c r="AD794" s="6">
        <v>950.0</v>
      </c>
    </row>
    <row r="795" ht="56.25" customHeight="1">
      <c r="A795" s="5" t="s">
        <v>3451</v>
      </c>
      <c r="B795" s="6" t="str">
        <f>IMAGE("https://storage.googleapis.com/acdb/housewares/FtrEffectorrack_Remake_2_3.png")</f>
        <v/>
      </c>
      <c r="C795" s="5" t="s">
        <v>142</v>
      </c>
      <c r="D795" s="5" t="s">
        <v>34</v>
      </c>
      <c r="E795" s="5" t="s">
        <v>2833</v>
      </c>
      <c r="F795" s="5" t="s">
        <v>3454</v>
      </c>
      <c r="G795" s="5" t="s">
        <v>36</v>
      </c>
      <c r="H795" s="5" t="s">
        <v>36</v>
      </c>
      <c r="I795" s="5" t="s">
        <v>35</v>
      </c>
      <c r="J795" s="6">
        <v>3.0</v>
      </c>
      <c r="K795" s="6">
        <v>6800.0</v>
      </c>
      <c r="L795" s="6">
        <v>1700.0</v>
      </c>
      <c r="M795" s="8" t="s">
        <v>114</v>
      </c>
      <c r="N795" s="8" t="s">
        <v>106</v>
      </c>
      <c r="O795" s="6" t="s">
        <v>40</v>
      </c>
      <c r="P795" s="5" t="s">
        <v>59</v>
      </c>
      <c r="Q795" s="5" t="s">
        <v>122</v>
      </c>
      <c r="R795" s="6" t="s">
        <v>42</v>
      </c>
      <c r="S795" s="5" t="s">
        <v>129</v>
      </c>
      <c r="T795" s="5" t="s">
        <v>141</v>
      </c>
      <c r="U795" s="5" t="s">
        <v>44</v>
      </c>
      <c r="V795" s="5" t="s">
        <v>44</v>
      </c>
      <c r="W795" s="5" t="s">
        <v>36</v>
      </c>
      <c r="X795" s="8" t="s">
        <v>45</v>
      </c>
      <c r="Y795" s="5" t="s">
        <v>46</v>
      </c>
      <c r="Z795" s="5" t="s">
        <v>47</v>
      </c>
      <c r="AA795" s="5" t="s">
        <v>64</v>
      </c>
      <c r="AB795" s="5" t="s">
        <v>3555</v>
      </c>
      <c r="AC795" s="6" t="s">
        <v>396</v>
      </c>
      <c r="AD795" s="6">
        <v>950.0</v>
      </c>
    </row>
    <row r="796" ht="56.25" customHeight="1">
      <c r="A796" s="5" t="s">
        <v>3451</v>
      </c>
      <c r="B796" s="6" t="str">
        <f>IMAGE("https://storage.googleapis.com/acdb/housewares/FtrEffectorrack_Remake_2_4.png")</f>
        <v/>
      </c>
      <c r="C796" s="5" t="s">
        <v>142</v>
      </c>
      <c r="D796" s="5" t="s">
        <v>34</v>
      </c>
      <c r="E796" s="5" t="s">
        <v>2841</v>
      </c>
      <c r="F796" s="5" t="s">
        <v>3454</v>
      </c>
      <c r="G796" s="5" t="s">
        <v>36</v>
      </c>
      <c r="H796" s="5" t="s">
        <v>36</v>
      </c>
      <c r="I796" s="5" t="s">
        <v>35</v>
      </c>
      <c r="J796" s="6">
        <v>3.0</v>
      </c>
      <c r="K796" s="6">
        <v>6800.0</v>
      </c>
      <c r="L796" s="6">
        <v>1700.0</v>
      </c>
      <c r="M796" s="8" t="s">
        <v>114</v>
      </c>
      <c r="N796" s="8" t="s">
        <v>96</v>
      </c>
      <c r="O796" s="6" t="s">
        <v>40</v>
      </c>
      <c r="P796" s="5" t="s">
        <v>59</v>
      </c>
      <c r="Q796" s="5" t="s">
        <v>122</v>
      </c>
      <c r="R796" s="6" t="s">
        <v>42</v>
      </c>
      <c r="S796" s="5" t="s">
        <v>129</v>
      </c>
      <c r="T796" s="5" t="s">
        <v>141</v>
      </c>
      <c r="U796" s="5" t="s">
        <v>44</v>
      </c>
      <c r="V796" s="5" t="s">
        <v>44</v>
      </c>
      <c r="W796" s="5" t="s">
        <v>36</v>
      </c>
      <c r="X796" s="8" t="s">
        <v>45</v>
      </c>
      <c r="Y796" s="5" t="s">
        <v>46</v>
      </c>
      <c r="Z796" s="5" t="s">
        <v>47</v>
      </c>
      <c r="AA796" s="5" t="s">
        <v>64</v>
      </c>
      <c r="AB796" s="5" t="s">
        <v>3559</v>
      </c>
      <c r="AC796" s="6" t="s">
        <v>541</v>
      </c>
      <c r="AD796" s="6">
        <v>950.0</v>
      </c>
    </row>
    <row r="797" ht="56.25" customHeight="1">
      <c r="A797" s="5" t="s">
        <v>3451</v>
      </c>
      <c r="B797" s="6" t="str">
        <f>IMAGE("https://storage.googleapis.com/acdb/housewares/FtrEffectorrack_Remake_2_5.png")</f>
        <v/>
      </c>
      <c r="C797" s="5" t="s">
        <v>142</v>
      </c>
      <c r="D797" s="5" t="s">
        <v>34</v>
      </c>
      <c r="E797" s="5" t="s">
        <v>2848</v>
      </c>
      <c r="F797" s="5" t="s">
        <v>3454</v>
      </c>
      <c r="G797" s="5" t="s">
        <v>36</v>
      </c>
      <c r="H797" s="5" t="s">
        <v>36</v>
      </c>
      <c r="I797" s="5" t="s">
        <v>35</v>
      </c>
      <c r="J797" s="6">
        <v>3.0</v>
      </c>
      <c r="K797" s="6">
        <v>6800.0</v>
      </c>
      <c r="L797" s="6">
        <v>1700.0</v>
      </c>
      <c r="M797" s="8" t="s">
        <v>114</v>
      </c>
      <c r="N797" s="8" t="s">
        <v>1175</v>
      </c>
      <c r="O797" s="6" t="s">
        <v>40</v>
      </c>
      <c r="P797" s="5" t="s">
        <v>59</v>
      </c>
      <c r="Q797" s="5" t="s">
        <v>122</v>
      </c>
      <c r="R797" s="6" t="s">
        <v>42</v>
      </c>
      <c r="S797" s="5" t="s">
        <v>129</v>
      </c>
      <c r="T797" s="5" t="s">
        <v>141</v>
      </c>
      <c r="U797" s="5" t="s">
        <v>44</v>
      </c>
      <c r="V797" s="5" t="s">
        <v>44</v>
      </c>
      <c r="W797" s="5" t="s">
        <v>36</v>
      </c>
      <c r="X797" s="8" t="s">
        <v>45</v>
      </c>
      <c r="Y797" s="5" t="s">
        <v>46</v>
      </c>
      <c r="Z797" s="5" t="s">
        <v>47</v>
      </c>
      <c r="AA797" s="5" t="s">
        <v>64</v>
      </c>
      <c r="AB797" s="5" t="s">
        <v>3564</v>
      </c>
      <c r="AC797" s="6" t="s">
        <v>1415</v>
      </c>
      <c r="AD797" s="6">
        <v>950.0</v>
      </c>
    </row>
    <row r="798" ht="56.25" customHeight="1">
      <c r="A798" s="5" t="s">
        <v>3451</v>
      </c>
      <c r="B798" s="6" t="str">
        <f>IMAGE("https://storage.googleapis.com/acdb/housewares/FtrEffectorrack_Remake_2_6.png")</f>
        <v/>
      </c>
      <c r="C798" s="5" t="s">
        <v>142</v>
      </c>
      <c r="D798" s="5" t="s">
        <v>34</v>
      </c>
      <c r="E798" s="5" t="s">
        <v>2855</v>
      </c>
      <c r="F798" s="5" t="s">
        <v>3454</v>
      </c>
      <c r="G798" s="5" t="s">
        <v>36</v>
      </c>
      <c r="H798" s="5" t="s">
        <v>36</v>
      </c>
      <c r="I798" s="5" t="s">
        <v>35</v>
      </c>
      <c r="J798" s="6">
        <v>3.0</v>
      </c>
      <c r="K798" s="6">
        <v>6800.0</v>
      </c>
      <c r="L798" s="6">
        <v>1700.0</v>
      </c>
      <c r="M798" s="8" t="s">
        <v>114</v>
      </c>
      <c r="N798" s="8" t="s">
        <v>52</v>
      </c>
      <c r="O798" s="6" t="s">
        <v>40</v>
      </c>
      <c r="P798" s="5" t="s">
        <v>59</v>
      </c>
      <c r="Q798" s="5" t="s">
        <v>122</v>
      </c>
      <c r="R798" s="6" t="s">
        <v>42</v>
      </c>
      <c r="S798" s="5" t="s">
        <v>129</v>
      </c>
      <c r="T798" s="5" t="s">
        <v>141</v>
      </c>
      <c r="U798" s="5" t="s">
        <v>44</v>
      </c>
      <c r="V798" s="5" t="s">
        <v>44</v>
      </c>
      <c r="W798" s="5" t="s">
        <v>36</v>
      </c>
      <c r="X798" s="8" t="s">
        <v>45</v>
      </c>
      <c r="Y798" s="5" t="s">
        <v>46</v>
      </c>
      <c r="Z798" s="5" t="s">
        <v>47</v>
      </c>
      <c r="AA798" s="5" t="s">
        <v>64</v>
      </c>
      <c r="AB798" s="5" t="s">
        <v>3569</v>
      </c>
      <c r="AC798" s="6" t="s">
        <v>1421</v>
      </c>
      <c r="AD798" s="6">
        <v>950.0</v>
      </c>
    </row>
    <row r="799" ht="56.25" customHeight="1">
      <c r="A799" s="5" t="s">
        <v>3451</v>
      </c>
      <c r="B799" s="6" t="str">
        <f>IMAGE("https://storage.googleapis.com/acdb/housewares/FtrEffectorrack_Remake_2_7.png")</f>
        <v/>
      </c>
      <c r="C799" s="5" t="s">
        <v>142</v>
      </c>
      <c r="D799" s="5" t="s">
        <v>34</v>
      </c>
      <c r="E799" s="5" t="s">
        <v>2863</v>
      </c>
      <c r="F799" s="5" t="s">
        <v>3454</v>
      </c>
      <c r="G799" s="5" t="s">
        <v>36</v>
      </c>
      <c r="H799" s="5" t="s">
        <v>36</v>
      </c>
      <c r="I799" s="5" t="s">
        <v>35</v>
      </c>
      <c r="J799" s="6">
        <v>3.0</v>
      </c>
      <c r="K799" s="6">
        <v>6800.0</v>
      </c>
      <c r="L799" s="6">
        <v>1700.0</v>
      </c>
      <c r="M799" s="8" t="s">
        <v>114</v>
      </c>
      <c r="N799" s="8" t="s">
        <v>69</v>
      </c>
      <c r="O799" s="6" t="s">
        <v>40</v>
      </c>
      <c r="P799" s="5" t="s">
        <v>59</v>
      </c>
      <c r="Q799" s="5" t="s">
        <v>122</v>
      </c>
      <c r="R799" s="6" t="s">
        <v>42</v>
      </c>
      <c r="S799" s="5" t="s">
        <v>129</v>
      </c>
      <c r="T799" s="5" t="s">
        <v>141</v>
      </c>
      <c r="U799" s="5" t="s">
        <v>44</v>
      </c>
      <c r="V799" s="5" t="s">
        <v>44</v>
      </c>
      <c r="W799" s="5" t="s">
        <v>36</v>
      </c>
      <c r="X799" s="8" t="s">
        <v>45</v>
      </c>
      <c r="Y799" s="5" t="s">
        <v>46</v>
      </c>
      <c r="Z799" s="5" t="s">
        <v>47</v>
      </c>
      <c r="AA799" s="5" t="s">
        <v>64</v>
      </c>
      <c r="AB799" s="5" t="s">
        <v>3574</v>
      </c>
      <c r="AC799" s="6" t="s">
        <v>1759</v>
      </c>
      <c r="AD799" s="6">
        <v>950.0</v>
      </c>
    </row>
    <row r="800" ht="56.25" customHeight="1">
      <c r="A800" s="5" t="s">
        <v>3451</v>
      </c>
      <c r="B800" s="6" t="str">
        <f>IMAGE("https://storage.googleapis.com/acdb/housewares/FtrEffectorrack_Remake_3_0.png")</f>
        <v/>
      </c>
      <c r="C800" s="5" t="s">
        <v>68</v>
      </c>
      <c r="D800" s="5" t="s">
        <v>34</v>
      </c>
      <c r="E800" s="5" t="s">
        <v>44</v>
      </c>
      <c r="F800" s="5" t="s">
        <v>3454</v>
      </c>
      <c r="G800" s="5" t="s">
        <v>36</v>
      </c>
      <c r="H800" s="5" t="s">
        <v>36</v>
      </c>
      <c r="I800" s="5" t="s">
        <v>35</v>
      </c>
      <c r="J800" s="6">
        <v>3.0</v>
      </c>
      <c r="K800" s="6">
        <v>6800.0</v>
      </c>
      <c r="L800" s="6">
        <v>1700.0</v>
      </c>
      <c r="M800" s="8" t="s">
        <v>68</v>
      </c>
      <c r="N800" s="8" t="s">
        <v>54</v>
      </c>
      <c r="O800" s="6" t="s">
        <v>40</v>
      </c>
      <c r="P800" s="5" t="s">
        <v>59</v>
      </c>
      <c r="Q800" s="5" t="s">
        <v>122</v>
      </c>
      <c r="R800" s="6" t="s">
        <v>42</v>
      </c>
      <c r="S800" s="5" t="s">
        <v>129</v>
      </c>
      <c r="T800" s="5" t="s">
        <v>141</v>
      </c>
      <c r="U800" s="5" t="s">
        <v>44</v>
      </c>
      <c r="V800" s="5" t="s">
        <v>44</v>
      </c>
      <c r="W800" s="5" t="s">
        <v>36</v>
      </c>
      <c r="X800" s="8" t="s">
        <v>45</v>
      </c>
      <c r="Y800" s="5" t="s">
        <v>46</v>
      </c>
      <c r="Z800" s="5" t="s">
        <v>47</v>
      </c>
      <c r="AA800" s="5" t="s">
        <v>64</v>
      </c>
      <c r="AB800" s="5" t="s">
        <v>3579</v>
      </c>
      <c r="AC800" s="6" t="s">
        <v>71</v>
      </c>
      <c r="AD800" s="6">
        <v>950.0</v>
      </c>
    </row>
    <row r="801" ht="56.25" customHeight="1">
      <c r="A801" s="5" t="s">
        <v>3451</v>
      </c>
      <c r="B801" s="6" t="str">
        <f>IMAGE("https://storage.googleapis.com/acdb/housewares/FtrEffectorrack_Remake_3_1.png")</f>
        <v/>
      </c>
      <c r="C801" s="5" t="s">
        <v>68</v>
      </c>
      <c r="D801" s="5" t="s">
        <v>34</v>
      </c>
      <c r="E801" s="5" t="s">
        <v>2817</v>
      </c>
      <c r="F801" s="5" t="s">
        <v>3454</v>
      </c>
      <c r="G801" s="5" t="s">
        <v>36</v>
      </c>
      <c r="H801" s="5" t="s">
        <v>36</v>
      </c>
      <c r="I801" s="5" t="s">
        <v>35</v>
      </c>
      <c r="J801" s="6">
        <v>3.0</v>
      </c>
      <c r="K801" s="6">
        <v>6800.0</v>
      </c>
      <c r="L801" s="6">
        <v>1700.0</v>
      </c>
      <c r="M801" s="8" t="s">
        <v>68</v>
      </c>
      <c r="N801" s="8" t="s">
        <v>57</v>
      </c>
      <c r="O801" s="6" t="s">
        <v>40</v>
      </c>
      <c r="P801" s="5" t="s">
        <v>59</v>
      </c>
      <c r="Q801" s="5" t="s">
        <v>122</v>
      </c>
      <c r="R801" s="6" t="s">
        <v>42</v>
      </c>
      <c r="S801" s="5" t="s">
        <v>129</v>
      </c>
      <c r="T801" s="5" t="s">
        <v>141</v>
      </c>
      <c r="U801" s="5" t="s">
        <v>44</v>
      </c>
      <c r="V801" s="5" t="s">
        <v>44</v>
      </c>
      <c r="W801" s="5" t="s">
        <v>36</v>
      </c>
      <c r="X801" s="8" t="s">
        <v>45</v>
      </c>
      <c r="Y801" s="5" t="s">
        <v>46</v>
      </c>
      <c r="Z801" s="5" t="s">
        <v>47</v>
      </c>
      <c r="AA801" s="5" t="s">
        <v>64</v>
      </c>
      <c r="AB801" s="5" t="s">
        <v>3586</v>
      </c>
      <c r="AC801" s="6" t="s">
        <v>257</v>
      </c>
      <c r="AD801" s="6">
        <v>950.0</v>
      </c>
    </row>
    <row r="802" ht="56.25" customHeight="1">
      <c r="A802" s="5" t="s">
        <v>3451</v>
      </c>
      <c r="B802" s="6" t="str">
        <f>IMAGE("https://storage.googleapis.com/acdb/housewares/FtrEffectorrack_Remake_3_2.png")</f>
        <v/>
      </c>
      <c r="C802" s="5" t="s">
        <v>68</v>
      </c>
      <c r="D802" s="5" t="s">
        <v>34</v>
      </c>
      <c r="E802" s="5" t="s">
        <v>2827</v>
      </c>
      <c r="F802" s="5" t="s">
        <v>3454</v>
      </c>
      <c r="G802" s="5" t="s">
        <v>36</v>
      </c>
      <c r="H802" s="5" t="s">
        <v>36</v>
      </c>
      <c r="I802" s="5" t="s">
        <v>35</v>
      </c>
      <c r="J802" s="6">
        <v>3.0</v>
      </c>
      <c r="K802" s="6">
        <v>6800.0</v>
      </c>
      <c r="L802" s="6">
        <v>1700.0</v>
      </c>
      <c r="M802" s="8" t="s">
        <v>68</v>
      </c>
      <c r="N802" s="8" t="s">
        <v>57</v>
      </c>
      <c r="O802" s="6" t="s">
        <v>40</v>
      </c>
      <c r="P802" s="5" t="s">
        <v>59</v>
      </c>
      <c r="Q802" s="5" t="s">
        <v>122</v>
      </c>
      <c r="R802" s="6" t="s">
        <v>42</v>
      </c>
      <c r="S802" s="5" t="s">
        <v>129</v>
      </c>
      <c r="T802" s="5" t="s">
        <v>141</v>
      </c>
      <c r="U802" s="5" t="s">
        <v>44</v>
      </c>
      <c r="V802" s="5" t="s">
        <v>44</v>
      </c>
      <c r="W802" s="5" t="s">
        <v>36</v>
      </c>
      <c r="X802" s="8" t="s">
        <v>45</v>
      </c>
      <c r="Y802" s="5" t="s">
        <v>46</v>
      </c>
      <c r="Z802" s="5" t="s">
        <v>47</v>
      </c>
      <c r="AA802" s="5" t="s">
        <v>64</v>
      </c>
      <c r="AB802" s="5" t="s">
        <v>3591</v>
      </c>
      <c r="AC802" s="6" t="s">
        <v>414</v>
      </c>
      <c r="AD802" s="6">
        <v>950.0</v>
      </c>
    </row>
    <row r="803" ht="56.25" customHeight="1">
      <c r="A803" s="5" t="s">
        <v>3451</v>
      </c>
      <c r="B803" s="6" t="str">
        <f>IMAGE("https://storage.googleapis.com/acdb/housewares/FtrEffectorrack_Remake_3_3.png")</f>
        <v/>
      </c>
      <c r="C803" s="5" t="s">
        <v>68</v>
      </c>
      <c r="D803" s="5" t="s">
        <v>34</v>
      </c>
      <c r="E803" s="5" t="s">
        <v>2833</v>
      </c>
      <c r="F803" s="5" t="s">
        <v>3454</v>
      </c>
      <c r="G803" s="5" t="s">
        <v>36</v>
      </c>
      <c r="H803" s="5" t="s">
        <v>36</v>
      </c>
      <c r="I803" s="5" t="s">
        <v>35</v>
      </c>
      <c r="J803" s="6">
        <v>3.0</v>
      </c>
      <c r="K803" s="6">
        <v>6800.0</v>
      </c>
      <c r="L803" s="6">
        <v>1700.0</v>
      </c>
      <c r="M803" s="8" t="s">
        <v>68</v>
      </c>
      <c r="N803" s="8" t="s">
        <v>106</v>
      </c>
      <c r="O803" s="6" t="s">
        <v>40</v>
      </c>
      <c r="P803" s="5" t="s">
        <v>59</v>
      </c>
      <c r="Q803" s="5" t="s">
        <v>122</v>
      </c>
      <c r="R803" s="6" t="s">
        <v>42</v>
      </c>
      <c r="S803" s="5" t="s">
        <v>129</v>
      </c>
      <c r="T803" s="5" t="s">
        <v>141</v>
      </c>
      <c r="U803" s="5" t="s">
        <v>44</v>
      </c>
      <c r="V803" s="5" t="s">
        <v>44</v>
      </c>
      <c r="W803" s="5" t="s">
        <v>36</v>
      </c>
      <c r="X803" s="8" t="s">
        <v>45</v>
      </c>
      <c r="Y803" s="5" t="s">
        <v>46</v>
      </c>
      <c r="Z803" s="5" t="s">
        <v>47</v>
      </c>
      <c r="AA803" s="5" t="s">
        <v>64</v>
      </c>
      <c r="AB803" s="5" t="s">
        <v>3598</v>
      </c>
      <c r="AC803" s="6" t="s">
        <v>418</v>
      </c>
      <c r="AD803" s="6">
        <v>950.0</v>
      </c>
    </row>
    <row r="804" ht="56.25" customHeight="1">
      <c r="A804" s="5" t="s">
        <v>3451</v>
      </c>
      <c r="B804" s="6" t="str">
        <f>IMAGE("https://storage.googleapis.com/acdb/housewares/FtrEffectorrack_Remake_3_4.png")</f>
        <v/>
      </c>
      <c r="C804" s="5" t="s">
        <v>68</v>
      </c>
      <c r="D804" s="5" t="s">
        <v>34</v>
      </c>
      <c r="E804" s="5" t="s">
        <v>2841</v>
      </c>
      <c r="F804" s="5" t="s">
        <v>3454</v>
      </c>
      <c r="G804" s="5" t="s">
        <v>36</v>
      </c>
      <c r="H804" s="5" t="s">
        <v>36</v>
      </c>
      <c r="I804" s="5" t="s">
        <v>35</v>
      </c>
      <c r="J804" s="6">
        <v>3.0</v>
      </c>
      <c r="K804" s="6">
        <v>6800.0</v>
      </c>
      <c r="L804" s="6">
        <v>1700.0</v>
      </c>
      <c r="M804" s="8" t="s">
        <v>68</v>
      </c>
      <c r="N804" s="8" t="s">
        <v>96</v>
      </c>
      <c r="O804" s="6" t="s">
        <v>40</v>
      </c>
      <c r="P804" s="5" t="s">
        <v>59</v>
      </c>
      <c r="Q804" s="5" t="s">
        <v>122</v>
      </c>
      <c r="R804" s="6" t="s">
        <v>42</v>
      </c>
      <c r="S804" s="5" t="s">
        <v>129</v>
      </c>
      <c r="T804" s="5" t="s">
        <v>141</v>
      </c>
      <c r="U804" s="5" t="s">
        <v>44</v>
      </c>
      <c r="V804" s="5" t="s">
        <v>44</v>
      </c>
      <c r="W804" s="5" t="s">
        <v>36</v>
      </c>
      <c r="X804" s="8" t="s">
        <v>45</v>
      </c>
      <c r="Y804" s="5" t="s">
        <v>46</v>
      </c>
      <c r="Z804" s="5" t="s">
        <v>47</v>
      </c>
      <c r="AA804" s="5" t="s">
        <v>64</v>
      </c>
      <c r="AB804" s="5" t="s">
        <v>3603</v>
      </c>
      <c r="AC804" s="6" t="s">
        <v>563</v>
      </c>
      <c r="AD804" s="6">
        <v>950.0</v>
      </c>
    </row>
    <row r="805" ht="56.25" customHeight="1">
      <c r="A805" s="5" t="s">
        <v>3451</v>
      </c>
      <c r="B805" s="6" t="str">
        <f>IMAGE("https://storage.googleapis.com/acdb/housewares/FtrEffectorrack_Remake_3_5.png")</f>
        <v/>
      </c>
      <c r="C805" s="5" t="s">
        <v>68</v>
      </c>
      <c r="D805" s="5" t="s">
        <v>34</v>
      </c>
      <c r="E805" s="5" t="s">
        <v>2848</v>
      </c>
      <c r="F805" s="5" t="s">
        <v>3454</v>
      </c>
      <c r="G805" s="5" t="s">
        <v>36</v>
      </c>
      <c r="H805" s="5" t="s">
        <v>36</v>
      </c>
      <c r="I805" s="5" t="s">
        <v>35</v>
      </c>
      <c r="J805" s="6">
        <v>3.0</v>
      </c>
      <c r="K805" s="6">
        <v>6800.0</v>
      </c>
      <c r="L805" s="6">
        <v>1700.0</v>
      </c>
      <c r="M805" s="8" t="s">
        <v>68</v>
      </c>
      <c r="N805" s="8" t="s">
        <v>1175</v>
      </c>
      <c r="O805" s="6" t="s">
        <v>40</v>
      </c>
      <c r="P805" s="5" t="s">
        <v>59</v>
      </c>
      <c r="Q805" s="5" t="s">
        <v>122</v>
      </c>
      <c r="R805" s="6" t="s">
        <v>42</v>
      </c>
      <c r="S805" s="5" t="s">
        <v>129</v>
      </c>
      <c r="T805" s="5" t="s">
        <v>141</v>
      </c>
      <c r="U805" s="5" t="s">
        <v>44</v>
      </c>
      <c r="V805" s="5" t="s">
        <v>44</v>
      </c>
      <c r="W805" s="5" t="s">
        <v>36</v>
      </c>
      <c r="X805" s="8" t="s">
        <v>45</v>
      </c>
      <c r="Y805" s="5" t="s">
        <v>46</v>
      </c>
      <c r="Z805" s="5" t="s">
        <v>47</v>
      </c>
      <c r="AA805" s="5" t="s">
        <v>64</v>
      </c>
      <c r="AB805" s="5" t="s">
        <v>3608</v>
      </c>
      <c r="AC805" s="6" t="s">
        <v>1443</v>
      </c>
      <c r="AD805" s="6">
        <v>950.0</v>
      </c>
    </row>
    <row r="806" ht="56.25" customHeight="1">
      <c r="A806" s="5" t="s">
        <v>3451</v>
      </c>
      <c r="B806" s="6" t="str">
        <f>IMAGE("https://storage.googleapis.com/acdb/housewares/FtrEffectorrack_Remake_3_6.png")</f>
        <v/>
      </c>
      <c r="C806" s="5" t="s">
        <v>68</v>
      </c>
      <c r="D806" s="5" t="s">
        <v>34</v>
      </c>
      <c r="E806" s="5" t="s">
        <v>2855</v>
      </c>
      <c r="F806" s="5" t="s">
        <v>3454</v>
      </c>
      <c r="G806" s="5" t="s">
        <v>36</v>
      </c>
      <c r="H806" s="5" t="s">
        <v>36</v>
      </c>
      <c r="I806" s="5" t="s">
        <v>35</v>
      </c>
      <c r="J806" s="6">
        <v>3.0</v>
      </c>
      <c r="K806" s="6">
        <v>6800.0</v>
      </c>
      <c r="L806" s="6">
        <v>1700.0</v>
      </c>
      <c r="M806" s="8" t="s">
        <v>68</v>
      </c>
      <c r="N806" s="8" t="s">
        <v>52</v>
      </c>
      <c r="O806" s="6" t="s">
        <v>40</v>
      </c>
      <c r="P806" s="5" t="s">
        <v>59</v>
      </c>
      <c r="Q806" s="5" t="s">
        <v>122</v>
      </c>
      <c r="R806" s="6" t="s">
        <v>42</v>
      </c>
      <c r="S806" s="5" t="s">
        <v>129</v>
      </c>
      <c r="T806" s="5" t="s">
        <v>141</v>
      </c>
      <c r="U806" s="5" t="s">
        <v>44</v>
      </c>
      <c r="V806" s="5" t="s">
        <v>44</v>
      </c>
      <c r="W806" s="5" t="s">
        <v>36</v>
      </c>
      <c r="X806" s="8" t="s">
        <v>45</v>
      </c>
      <c r="Y806" s="5" t="s">
        <v>46</v>
      </c>
      <c r="Z806" s="5" t="s">
        <v>47</v>
      </c>
      <c r="AA806" s="5" t="s">
        <v>64</v>
      </c>
      <c r="AB806" s="5" t="s">
        <v>3613</v>
      </c>
      <c r="AC806" s="6" t="s">
        <v>1450</v>
      </c>
      <c r="AD806" s="6">
        <v>950.0</v>
      </c>
    </row>
    <row r="807" ht="56.25" customHeight="1">
      <c r="A807" s="5" t="s">
        <v>3451</v>
      </c>
      <c r="B807" s="6" t="str">
        <f>IMAGE("https://storage.googleapis.com/acdb/housewares/FtrEffectorrack_Remake_3_7.png")</f>
        <v/>
      </c>
      <c r="C807" s="5" t="s">
        <v>68</v>
      </c>
      <c r="D807" s="5" t="s">
        <v>34</v>
      </c>
      <c r="E807" s="5" t="s">
        <v>2863</v>
      </c>
      <c r="F807" s="5" t="s">
        <v>3454</v>
      </c>
      <c r="G807" s="5" t="s">
        <v>36</v>
      </c>
      <c r="H807" s="5" t="s">
        <v>36</v>
      </c>
      <c r="I807" s="5" t="s">
        <v>35</v>
      </c>
      <c r="J807" s="6">
        <v>3.0</v>
      </c>
      <c r="K807" s="6">
        <v>6800.0</v>
      </c>
      <c r="L807" s="6">
        <v>1700.0</v>
      </c>
      <c r="M807" s="8" t="s">
        <v>68</v>
      </c>
      <c r="N807" s="8" t="s">
        <v>69</v>
      </c>
      <c r="O807" s="6" t="s">
        <v>40</v>
      </c>
      <c r="P807" s="5" t="s">
        <v>59</v>
      </c>
      <c r="Q807" s="5" t="s">
        <v>122</v>
      </c>
      <c r="R807" s="6" t="s">
        <v>42</v>
      </c>
      <c r="S807" s="5" t="s">
        <v>129</v>
      </c>
      <c r="T807" s="5" t="s">
        <v>141</v>
      </c>
      <c r="U807" s="5" t="s">
        <v>44</v>
      </c>
      <c r="V807" s="5" t="s">
        <v>44</v>
      </c>
      <c r="W807" s="5" t="s">
        <v>36</v>
      </c>
      <c r="X807" s="8" t="s">
        <v>45</v>
      </c>
      <c r="Y807" s="5" t="s">
        <v>46</v>
      </c>
      <c r="Z807" s="5" t="s">
        <v>47</v>
      </c>
      <c r="AA807" s="5" t="s">
        <v>64</v>
      </c>
      <c r="AB807" s="5" t="s">
        <v>3617</v>
      </c>
      <c r="AC807" s="6" t="s">
        <v>1792</v>
      </c>
      <c r="AD807" s="6">
        <v>950.0</v>
      </c>
    </row>
    <row r="808" ht="56.25" customHeight="1">
      <c r="A808" s="5" t="s">
        <v>3451</v>
      </c>
      <c r="B808" s="6" t="str">
        <f>IMAGE("https://storage.googleapis.com/acdb/housewares/FtrEffectorrack_Remake_4_0.png")</f>
        <v/>
      </c>
      <c r="C808" s="5" t="s">
        <v>52</v>
      </c>
      <c r="D808" s="5" t="s">
        <v>34</v>
      </c>
      <c r="E808" s="5" t="s">
        <v>44</v>
      </c>
      <c r="F808" s="5" t="s">
        <v>3454</v>
      </c>
      <c r="G808" s="5" t="s">
        <v>36</v>
      </c>
      <c r="H808" s="5" t="s">
        <v>36</v>
      </c>
      <c r="I808" s="5" t="s">
        <v>35</v>
      </c>
      <c r="J808" s="6">
        <v>3.0</v>
      </c>
      <c r="K808" s="6">
        <v>6800.0</v>
      </c>
      <c r="L808" s="6">
        <v>1700.0</v>
      </c>
      <c r="M808" s="8" t="s">
        <v>52</v>
      </c>
      <c r="N808" s="8" t="s">
        <v>54</v>
      </c>
      <c r="O808" s="6" t="s">
        <v>40</v>
      </c>
      <c r="P808" s="5" t="s">
        <v>59</v>
      </c>
      <c r="Q808" s="5" t="s">
        <v>122</v>
      </c>
      <c r="R808" s="6" t="s">
        <v>42</v>
      </c>
      <c r="S808" s="5" t="s">
        <v>129</v>
      </c>
      <c r="T808" s="5" t="s">
        <v>141</v>
      </c>
      <c r="U808" s="5" t="s">
        <v>44</v>
      </c>
      <c r="V808" s="5" t="s">
        <v>44</v>
      </c>
      <c r="W808" s="5" t="s">
        <v>36</v>
      </c>
      <c r="X808" s="8" t="s">
        <v>45</v>
      </c>
      <c r="Y808" s="5" t="s">
        <v>46</v>
      </c>
      <c r="Z808" s="5" t="s">
        <v>47</v>
      </c>
      <c r="AA808" s="5" t="s">
        <v>64</v>
      </c>
      <c r="AB808" s="5" t="s">
        <v>3621</v>
      </c>
      <c r="AC808" s="6" t="s">
        <v>75</v>
      </c>
      <c r="AD808" s="6">
        <v>950.0</v>
      </c>
    </row>
    <row r="809" ht="56.25" customHeight="1">
      <c r="A809" s="5" t="s">
        <v>3451</v>
      </c>
      <c r="B809" s="6" t="str">
        <f>IMAGE("https://storage.googleapis.com/acdb/housewares/FtrEffectorrack_Remake_4_1.png")</f>
        <v/>
      </c>
      <c r="C809" s="5" t="s">
        <v>52</v>
      </c>
      <c r="D809" s="5" t="s">
        <v>34</v>
      </c>
      <c r="E809" s="5" t="s">
        <v>2817</v>
      </c>
      <c r="F809" s="5" t="s">
        <v>3454</v>
      </c>
      <c r="G809" s="5" t="s">
        <v>36</v>
      </c>
      <c r="H809" s="5" t="s">
        <v>36</v>
      </c>
      <c r="I809" s="5" t="s">
        <v>35</v>
      </c>
      <c r="J809" s="6">
        <v>3.0</v>
      </c>
      <c r="K809" s="6">
        <v>6800.0</v>
      </c>
      <c r="L809" s="6">
        <v>1700.0</v>
      </c>
      <c r="M809" s="8" t="s">
        <v>52</v>
      </c>
      <c r="N809" s="8" t="s">
        <v>57</v>
      </c>
      <c r="O809" s="6" t="s">
        <v>40</v>
      </c>
      <c r="P809" s="5" t="s">
        <v>59</v>
      </c>
      <c r="Q809" s="5" t="s">
        <v>122</v>
      </c>
      <c r="R809" s="6" t="s">
        <v>42</v>
      </c>
      <c r="S809" s="5" t="s">
        <v>129</v>
      </c>
      <c r="T809" s="5" t="s">
        <v>141</v>
      </c>
      <c r="U809" s="5" t="s">
        <v>44</v>
      </c>
      <c r="V809" s="5" t="s">
        <v>44</v>
      </c>
      <c r="W809" s="5" t="s">
        <v>36</v>
      </c>
      <c r="X809" s="8" t="s">
        <v>45</v>
      </c>
      <c r="Y809" s="5" t="s">
        <v>46</v>
      </c>
      <c r="Z809" s="5" t="s">
        <v>47</v>
      </c>
      <c r="AA809" s="5" t="s">
        <v>64</v>
      </c>
      <c r="AB809" s="5" t="s">
        <v>3625</v>
      </c>
      <c r="AC809" s="6" t="s">
        <v>429</v>
      </c>
      <c r="AD809" s="6">
        <v>950.0</v>
      </c>
    </row>
    <row r="810" ht="56.25" customHeight="1">
      <c r="A810" s="5" t="s">
        <v>3451</v>
      </c>
      <c r="B810" s="6" t="str">
        <f>IMAGE("https://storage.googleapis.com/acdb/housewares/FtrEffectorrack_Remake_4_2.png")</f>
        <v/>
      </c>
      <c r="C810" s="5" t="s">
        <v>52</v>
      </c>
      <c r="D810" s="5" t="s">
        <v>34</v>
      </c>
      <c r="E810" s="5" t="s">
        <v>2827</v>
      </c>
      <c r="F810" s="5" t="s">
        <v>3454</v>
      </c>
      <c r="G810" s="5" t="s">
        <v>36</v>
      </c>
      <c r="H810" s="5" t="s">
        <v>36</v>
      </c>
      <c r="I810" s="5" t="s">
        <v>35</v>
      </c>
      <c r="J810" s="6">
        <v>3.0</v>
      </c>
      <c r="K810" s="6">
        <v>6800.0</v>
      </c>
      <c r="L810" s="6">
        <v>1700.0</v>
      </c>
      <c r="M810" s="8" t="s">
        <v>52</v>
      </c>
      <c r="N810" s="8" t="s">
        <v>57</v>
      </c>
      <c r="O810" s="6" t="s">
        <v>40</v>
      </c>
      <c r="P810" s="5" t="s">
        <v>59</v>
      </c>
      <c r="Q810" s="5" t="s">
        <v>122</v>
      </c>
      <c r="R810" s="6" t="s">
        <v>42</v>
      </c>
      <c r="S810" s="5" t="s">
        <v>129</v>
      </c>
      <c r="T810" s="5" t="s">
        <v>141</v>
      </c>
      <c r="U810" s="5" t="s">
        <v>44</v>
      </c>
      <c r="V810" s="5" t="s">
        <v>44</v>
      </c>
      <c r="W810" s="5" t="s">
        <v>36</v>
      </c>
      <c r="X810" s="8" t="s">
        <v>45</v>
      </c>
      <c r="Y810" s="5" t="s">
        <v>46</v>
      </c>
      <c r="Z810" s="5" t="s">
        <v>47</v>
      </c>
      <c r="AA810" s="5" t="s">
        <v>64</v>
      </c>
      <c r="AB810" s="5" t="s">
        <v>3630</v>
      </c>
      <c r="AC810" s="6" t="s">
        <v>434</v>
      </c>
      <c r="AD810" s="6">
        <v>950.0</v>
      </c>
    </row>
    <row r="811" ht="56.25" customHeight="1">
      <c r="A811" s="5" t="s">
        <v>3451</v>
      </c>
      <c r="B811" s="6" t="str">
        <f>IMAGE("https://storage.googleapis.com/acdb/housewares/FtrEffectorrack_Remake_4_3.png")</f>
        <v/>
      </c>
      <c r="C811" s="5" t="s">
        <v>52</v>
      </c>
      <c r="D811" s="5" t="s">
        <v>34</v>
      </c>
      <c r="E811" s="5" t="s">
        <v>2833</v>
      </c>
      <c r="F811" s="5" t="s">
        <v>3454</v>
      </c>
      <c r="G811" s="5" t="s">
        <v>36</v>
      </c>
      <c r="H811" s="5" t="s">
        <v>36</v>
      </c>
      <c r="I811" s="5" t="s">
        <v>35</v>
      </c>
      <c r="J811" s="6">
        <v>3.0</v>
      </c>
      <c r="K811" s="6">
        <v>6800.0</v>
      </c>
      <c r="L811" s="6">
        <v>1700.0</v>
      </c>
      <c r="M811" s="8" t="s">
        <v>52</v>
      </c>
      <c r="N811" s="8" t="s">
        <v>106</v>
      </c>
      <c r="O811" s="6" t="s">
        <v>40</v>
      </c>
      <c r="P811" s="5" t="s">
        <v>59</v>
      </c>
      <c r="Q811" s="5" t="s">
        <v>122</v>
      </c>
      <c r="R811" s="6" t="s">
        <v>42</v>
      </c>
      <c r="S811" s="5" t="s">
        <v>129</v>
      </c>
      <c r="T811" s="5" t="s">
        <v>141</v>
      </c>
      <c r="U811" s="5" t="s">
        <v>44</v>
      </c>
      <c r="V811" s="5" t="s">
        <v>44</v>
      </c>
      <c r="W811" s="5" t="s">
        <v>36</v>
      </c>
      <c r="X811" s="8" t="s">
        <v>45</v>
      </c>
      <c r="Y811" s="5" t="s">
        <v>46</v>
      </c>
      <c r="Z811" s="5" t="s">
        <v>47</v>
      </c>
      <c r="AA811" s="5" t="s">
        <v>64</v>
      </c>
      <c r="AB811" s="5" t="s">
        <v>3633</v>
      </c>
      <c r="AC811" s="6" t="s">
        <v>438</v>
      </c>
      <c r="AD811" s="6">
        <v>950.0</v>
      </c>
    </row>
    <row r="812" ht="56.25" customHeight="1">
      <c r="A812" s="5" t="s">
        <v>3451</v>
      </c>
      <c r="B812" s="6" t="str">
        <f>IMAGE("https://storage.googleapis.com/acdb/housewares/FtrEffectorrack_Remake_4_4.png")</f>
        <v/>
      </c>
      <c r="C812" s="5" t="s">
        <v>52</v>
      </c>
      <c r="D812" s="5" t="s">
        <v>34</v>
      </c>
      <c r="E812" s="5" t="s">
        <v>2841</v>
      </c>
      <c r="F812" s="5" t="s">
        <v>3454</v>
      </c>
      <c r="G812" s="5" t="s">
        <v>36</v>
      </c>
      <c r="H812" s="5" t="s">
        <v>36</v>
      </c>
      <c r="I812" s="5" t="s">
        <v>35</v>
      </c>
      <c r="J812" s="6">
        <v>3.0</v>
      </c>
      <c r="K812" s="6">
        <v>6800.0</v>
      </c>
      <c r="L812" s="6">
        <v>1700.0</v>
      </c>
      <c r="M812" s="8" t="s">
        <v>52</v>
      </c>
      <c r="N812" s="8" t="s">
        <v>96</v>
      </c>
      <c r="O812" s="6" t="s">
        <v>40</v>
      </c>
      <c r="P812" s="5" t="s">
        <v>59</v>
      </c>
      <c r="Q812" s="5" t="s">
        <v>122</v>
      </c>
      <c r="R812" s="6" t="s">
        <v>42</v>
      </c>
      <c r="S812" s="5" t="s">
        <v>129</v>
      </c>
      <c r="T812" s="5" t="s">
        <v>141</v>
      </c>
      <c r="U812" s="5" t="s">
        <v>44</v>
      </c>
      <c r="V812" s="5" t="s">
        <v>44</v>
      </c>
      <c r="W812" s="5" t="s">
        <v>36</v>
      </c>
      <c r="X812" s="8" t="s">
        <v>45</v>
      </c>
      <c r="Y812" s="5" t="s">
        <v>46</v>
      </c>
      <c r="Z812" s="5" t="s">
        <v>47</v>
      </c>
      <c r="AA812" s="5" t="s">
        <v>64</v>
      </c>
      <c r="AB812" s="5" t="s">
        <v>3637</v>
      </c>
      <c r="AC812" s="6" t="s">
        <v>585</v>
      </c>
      <c r="AD812" s="6">
        <v>950.0</v>
      </c>
    </row>
    <row r="813" ht="56.25" customHeight="1">
      <c r="A813" s="5" t="s">
        <v>3451</v>
      </c>
      <c r="B813" s="6" t="str">
        <f>IMAGE("https://storage.googleapis.com/acdb/housewares/FtrEffectorrack_Remake_4_5.png")</f>
        <v/>
      </c>
      <c r="C813" s="5" t="s">
        <v>52</v>
      </c>
      <c r="D813" s="5" t="s">
        <v>34</v>
      </c>
      <c r="E813" s="5" t="s">
        <v>2848</v>
      </c>
      <c r="F813" s="5" t="s">
        <v>3454</v>
      </c>
      <c r="G813" s="5" t="s">
        <v>36</v>
      </c>
      <c r="H813" s="5" t="s">
        <v>36</v>
      </c>
      <c r="I813" s="5" t="s">
        <v>35</v>
      </c>
      <c r="J813" s="6">
        <v>3.0</v>
      </c>
      <c r="K813" s="6">
        <v>6800.0</v>
      </c>
      <c r="L813" s="6">
        <v>1700.0</v>
      </c>
      <c r="M813" s="8" t="s">
        <v>52</v>
      </c>
      <c r="N813" s="8" t="s">
        <v>1175</v>
      </c>
      <c r="O813" s="6" t="s">
        <v>40</v>
      </c>
      <c r="P813" s="5" t="s">
        <v>59</v>
      </c>
      <c r="Q813" s="5" t="s">
        <v>122</v>
      </c>
      <c r="R813" s="6" t="s">
        <v>42</v>
      </c>
      <c r="S813" s="5" t="s">
        <v>129</v>
      </c>
      <c r="T813" s="5" t="s">
        <v>141</v>
      </c>
      <c r="U813" s="5" t="s">
        <v>44</v>
      </c>
      <c r="V813" s="5" t="s">
        <v>44</v>
      </c>
      <c r="W813" s="5" t="s">
        <v>36</v>
      </c>
      <c r="X813" s="8" t="s">
        <v>45</v>
      </c>
      <c r="Y813" s="5" t="s">
        <v>46</v>
      </c>
      <c r="Z813" s="5" t="s">
        <v>47</v>
      </c>
      <c r="AA813" s="5" t="s">
        <v>64</v>
      </c>
      <c r="AB813" s="5" t="s">
        <v>3641</v>
      </c>
      <c r="AC813" s="6" t="s">
        <v>1816</v>
      </c>
      <c r="AD813" s="6">
        <v>950.0</v>
      </c>
    </row>
    <row r="814" ht="56.25" customHeight="1">
      <c r="A814" s="5" t="s">
        <v>3451</v>
      </c>
      <c r="B814" s="6" t="str">
        <f>IMAGE("https://storage.googleapis.com/acdb/housewares/FtrEffectorrack_Remake_4_6.png")</f>
        <v/>
      </c>
      <c r="C814" s="5" t="s">
        <v>52</v>
      </c>
      <c r="D814" s="5" t="s">
        <v>34</v>
      </c>
      <c r="E814" s="5" t="s">
        <v>2855</v>
      </c>
      <c r="F814" s="5" t="s">
        <v>3454</v>
      </c>
      <c r="G814" s="5" t="s">
        <v>36</v>
      </c>
      <c r="H814" s="5" t="s">
        <v>36</v>
      </c>
      <c r="I814" s="5" t="s">
        <v>35</v>
      </c>
      <c r="J814" s="6">
        <v>3.0</v>
      </c>
      <c r="K814" s="6">
        <v>6800.0</v>
      </c>
      <c r="L814" s="6">
        <v>1700.0</v>
      </c>
      <c r="M814" s="8" t="s">
        <v>52</v>
      </c>
      <c r="N814" s="8" t="s">
        <v>52</v>
      </c>
      <c r="O814" s="6" t="s">
        <v>40</v>
      </c>
      <c r="P814" s="5" t="s">
        <v>59</v>
      </c>
      <c r="Q814" s="5" t="s">
        <v>122</v>
      </c>
      <c r="R814" s="6" t="s">
        <v>42</v>
      </c>
      <c r="S814" s="5" t="s">
        <v>129</v>
      </c>
      <c r="T814" s="5" t="s">
        <v>141</v>
      </c>
      <c r="U814" s="5" t="s">
        <v>44</v>
      </c>
      <c r="V814" s="5" t="s">
        <v>44</v>
      </c>
      <c r="W814" s="5" t="s">
        <v>36</v>
      </c>
      <c r="X814" s="8" t="s">
        <v>45</v>
      </c>
      <c r="Y814" s="5" t="s">
        <v>46</v>
      </c>
      <c r="Z814" s="5" t="s">
        <v>47</v>
      </c>
      <c r="AA814" s="5" t="s">
        <v>64</v>
      </c>
      <c r="AB814" s="5" t="s">
        <v>3643</v>
      </c>
      <c r="AC814" s="6" t="s">
        <v>1820</v>
      </c>
      <c r="AD814" s="6">
        <v>950.0</v>
      </c>
    </row>
    <row r="815" ht="56.25" customHeight="1">
      <c r="A815" s="5" t="s">
        <v>3451</v>
      </c>
      <c r="B815" s="6" t="str">
        <f>IMAGE("https://storage.googleapis.com/acdb/housewares/FtrEffectorrack_Remake_4_7.png")</f>
        <v/>
      </c>
      <c r="C815" s="5" t="s">
        <v>52</v>
      </c>
      <c r="D815" s="5" t="s">
        <v>34</v>
      </c>
      <c r="E815" s="5" t="s">
        <v>2863</v>
      </c>
      <c r="F815" s="5" t="s">
        <v>3454</v>
      </c>
      <c r="G815" s="5" t="s">
        <v>36</v>
      </c>
      <c r="H815" s="5" t="s">
        <v>36</v>
      </c>
      <c r="I815" s="5" t="s">
        <v>35</v>
      </c>
      <c r="J815" s="6">
        <v>3.0</v>
      </c>
      <c r="K815" s="6">
        <v>6800.0</v>
      </c>
      <c r="L815" s="6">
        <v>1700.0</v>
      </c>
      <c r="M815" s="8" t="s">
        <v>52</v>
      </c>
      <c r="N815" s="8" t="s">
        <v>69</v>
      </c>
      <c r="O815" s="6" t="s">
        <v>40</v>
      </c>
      <c r="P815" s="5" t="s">
        <v>59</v>
      </c>
      <c r="Q815" s="5" t="s">
        <v>122</v>
      </c>
      <c r="R815" s="6" t="s">
        <v>42</v>
      </c>
      <c r="S815" s="5" t="s">
        <v>129</v>
      </c>
      <c r="T815" s="5" t="s">
        <v>141</v>
      </c>
      <c r="U815" s="5" t="s">
        <v>44</v>
      </c>
      <c r="V815" s="5" t="s">
        <v>44</v>
      </c>
      <c r="W815" s="5" t="s">
        <v>36</v>
      </c>
      <c r="X815" s="8" t="s">
        <v>45</v>
      </c>
      <c r="Y815" s="5" t="s">
        <v>46</v>
      </c>
      <c r="Z815" s="5" t="s">
        <v>47</v>
      </c>
      <c r="AA815" s="5" t="s">
        <v>64</v>
      </c>
      <c r="AB815" s="5" t="s">
        <v>3646</v>
      </c>
      <c r="AC815" s="6" t="s">
        <v>1825</v>
      </c>
      <c r="AD815" s="6">
        <v>950.0</v>
      </c>
    </row>
    <row r="816" ht="56.25" customHeight="1">
      <c r="A816" s="5" t="s">
        <v>3451</v>
      </c>
      <c r="B816" s="6" t="str">
        <f>IMAGE("https://storage.googleapis.com/acdb/housewares/FtrEffectorrack_Remake_5_0.png")</f>
        <v/>
      </c>
      <c r="C816" s="5" t="s">
        <v>69</v>
      </c>
      <c r="D816" s="5" t="s">
        <v>34</v>
      </c>
      <c r="E816" s="5" t="s">
        <v>44</v>
      </c>
      <c r="F816" s="5" t="s">
        <v>3454</v>
      </c>
      <c r="G816" s="5" t="s">
        <v>36</v>
      </c>
      <c r="H816" s="5" t="s">
        <v>36</v>
      </c>
      <c r="I816" s="5" t="s">
        <v>35</v>
      </c>
      <c r="J816" s="6">
        <v>3.0</v>
      </c>
      <c r="K816" s="6">
        <v>6800.0</v>
      </c>
      <c r="L816" s="6">
        <v>1700.0</v>
      </c>
      <c r="M816" s="8" t="s">
        <v>69</v>
      </c>
      <c r="N816" s="8" t="s">
        <v>54</v>
      </c>
      <c r="O816" s="6" t="s">
        <v>40</v>
      </c>
      <c r="P816" s="5" t="s">
        <v>59</v>
      </c>
      <c r="Q816" s="5" t="s">
        <v>122</v>
      </c>
      <c r="R816" s="6" t="s">
        <v>42</v>
      </c>
      <c r="S816" s="5" t="s">
        <v>129</v>
      </c>
      <c r="T816" s="5" t="s">
        <v>141</v>
      </c>
      <c r="U816" s="5" t="s">
        <v>44</v>
      </c>
      <c r="V816" s="5" t="s">
        <v>44</v>
      </c>
      <c r="W816" s="5" t="s">
        <v>36</v>
      </c>
      <c r="X816" s="8" t="s">
        <v>45</v>
      </c>
      <c r="Y816" s="5" t="s">
        <v>46</v>
      </c>
      <c r="Z816" s="5" t="s">
        <v>47</v>
      </c>
      <c r="AA816" s="5" t="s">
        <v>64</v>
      </c>
      <c r="AB816" s="5" t="s">
        <v>3650</v>
      </c>
      <c r="AC816" s="6" t="s">
        <v>79</v>
      </c>
      <c r="AD816" s="6">
        <v>950.0</v>
      </c>
    </row>
    <row r="817" ht="56.25" customHeight="1">
      <c r="A817" s="5" t="s">
        <v>3451</v>
      </c>
      <c r="B817" s="6" t="str">
        <f>IMAGE("https://storage.googleapis.com/acdb/housewares/FtrEffectorrack_Remake_5_1.png")</f>
        <v/>
      </c>
      <c r="C817" s="5" t="s">
        <v>69</v>
      </c>
      <c r="D817" s="5" t="s">
        <v>34</v>
      </c>
      <c r="E817" s="5" t="s">
        <v>2817</v>
      </c>
      <c r="F817" s="5" t="s">
        <v>3454</v>
      </c>
      <c r="G817" s="5" t="s">
        <v>36</v>
      </c>
      <c r="H817" s="5" t="s">
        <v>36</v>
      </c>
      <c r="I817" s="5" t="s">
        <v>35</v>
      </c>
      <c r="J817" s="6">
        <v>3.0</v>
      </c>
      <c r="K817" s="6">
        <v>6800.0</v>
      </c>
      <c r="L817" s="6">
        <v>1700.0</v>
      </c>
      <c r="M817" s="8" t="s">
        <v>69</v>
      </c>
      <c r="N817" s="8" t="s">
        <v>57</v>
      </c>
      <c r="O817" s="6" t="s">
        <v>40</v>
      </c>
      <c r="P817" s="5" t="s">
        <v>59</v>
      </c>
      <c r="Q817" s="5" t="s">
        <v>122</v>
      </c>
      <c r="R817" s="6" t="s">
        <v>42</v>
      </c>
      <c r="S817" s="5" t="s">
        <v>129</v>
      </c>
      <c r="T817" s="5" t="s">
        <v>141</v>
      </c>
      <c r="U817" s="5" t="s">
        <v>44</v>
      </c>
      <c r="V817" s="5" t="s">
        <v>44</v>
      </c>
      <c r="W817" s="5" t="s">
        <v>36</v>
      </c>
      <c r="X817" s="8" t="s">
        <v>45</v>
      </c>
      <c r="Y817" s="5" t="s">
        <v>46</v>
      </c>
      <c r="Z817" s="5" t="s">
        <v>47</v>
      </c>
      <c r="AA817" s="5" t="s">
        <v>64</v>
      </c>
      <c r="AB817" s="5" t="s">
        <v>3653</v>
      </c>
      <c r="AC817" s="6" t="s">
        <v>448</v>
      </c>
      <c r="AD817" s="6">
        <v>950.0</v>
      </c>
    </row>
    <row r="818" ht="56.25" customHeight="1">
      <c r="A818" s="5" t="s">
        <v>3451</v>
      </c>
      <c r="B818" s="6" t="str">
        <f>IMAGE("https://storage.googleapis.com/acdb/housewares/FtrEffectorrack_Remake_5_2.png")</f>
        <v/>
      </c>
      <c r="C818" s="5" t="s">
        <v>69</v>
      </c>
      <c r="D818" s="5" t="s">
        <v>34</v>
      </c>
      <c r="E818" s="5" t="s">
        <v>2827</v>
      </c>
      <c r="F818" s="5" t="s">
        <v>3454</v>
      </c>
      <c r="G818" s="5" t="s">
        <v>36</v>
      </c>
      <c r="H818" s="5" t="s">
        <v>36</v>
      </c>
      <c r="I818" s="5" t="s">
        <v>35</v>
      </c>
      <c r="J818" s="6">
        <v>3.0</v>
      </c>
      <c r="K818" s="6">
        <v>6800.0</v>
      </c>
      <c r="L818" s="6">
        <v>1700.0</v>
      </c>
      <c r="M818" s="8" t="s">
        <v>69</v>
      </c>
      <c r="N818" s="8" t="s">
        <v>57</v>
      </c>
      <c r="O818" s="6" t="s">
        <v>40</v>
      </c>
      <c r="P818" s="5" t="s">
        <v>59</v>
      </c>
      <c r="Q818" s="5" t="s">
        <v>122</v>
      </c>
      <c r="R818" s="6" t="s">
        <v>42</v>
      </c>
      <c r="S818" s="5" t="s">
        <v>129</v>
      </c>
      <c r="T818" s="5" t="s">
        <v>141</v>
      </c>
      <c r="U818" s="5" t="s">
        <v>44</v>
      </c>
      <c r="V818" s="5" t="s">
        <v>44</v>
      </c>
      <c r="W818" s="5" t="s">
        <v>36</v>
      </c>
      <c r="X818" s="8" t="s">
        <v>45</v>
      </c>
      <c r="Y818" s="5" t="s">
        <v>46</v>
      </c>
      <c r="Z818" s="5" t="s">
        <v>47</v>
      </c>
      <c r="AA818" s="5" t="s">
        <v>64</v>
      </c>
      <c r="AB818" s="5" t="s">
        <v>3657</v>
      </c>
      <c r="AC818" s="6" t="s">
        <v>452</v>
      </c>
      <c r="AD818" s="6">
        <v>950.0</v>
      </c>
    </row>
    <row r="819" ht="56.25" customHeight="1">
      <c r="A819" s="5" t="s">
        <v>3451</v>
      </c>
      <c r="B819" s="6" t="str">
        <f>IMAGE("https://storage.googleapis.com/acdb/housewares/FtrEffectorrack_Remake_5_3.png")</f>
        <v/>
      </c>
      <c r="C819" s="5" t="s">
        <v>69</v>
      </c>
      <c r="D819" s="5" t="s">
        <v>34</v>
      </c>
      <c r="E819" s="5" t="s">
        <v>2833</v>
      </c>
      <c r="F819" s="5" t="s">
        <v>3454</v>
      </c>
      <c r="G819" s="5" t="s">
        <v>36</v>
      </c>
      <c r="H819" s="5" t="s">
        <v>36</v>
      </c>
      <c r="I819" s="5" t="s">
        <v>35</v>
      </c>
      <c r="J819" s="6">
        <v>3.0</v>
      </c>
      <c r="K819" s="6">
        <v>6800.0</v>
      </c>
      <c r="L819" s="6">
        <v>1700.0</v>
      </c>
      <c r="M819" s="8" t="s">
        <v>69</v>
      </c>
      <c r="N819" s="8" t="s">
        <v>106</v>
      </c>
      <c r="O819" s="6" t="s">
        <v>40</v>
      </c>
      <c r="P819" s="5" t="s">
        <v>59</v>
      </c>
      <c r="Q819" s="5" t="s">
        <v>122</v>
      </c>
      <c r="R819" s="6" t="s">
        <v>42</v>
      </c>
      <c r="S819" s="5" t="s">
        <v>129</v>
      </c>
      <c r="T819" s="5" t="s">
        <v>141</v>
      </c>
      <c r="U819" s="5" t="s">
        <v>44</v>
      </c>
      <c r="V819" s="5" t="s">
        <v>44</v>
      </c>
      <c r="W819" s="5" t="s">
        <v>36</v>
      </c>
      <c r="X819" s="8" t="s">
        <v>45</v>
      </c>
      <c r="Y819" s="5" t="s">
        <v>46</v>
      </c>
      <c r="Z819" s="5" t="s">
        <v>47</v>
      </c>
      <c r="AA819" s="5" t="s">
        <v>64</v>
      </c>
      <c r="AB819" s="5" t="s">
        <v>3661</v>
      </c>
      <c r="AC819" s="6" t="s">
        <v>455</v>
      </c>
      <c r="AD819" s="6">
        <v>950.0</v>
      </c>
    </row>
    <row r="820" ht="56.25" customHeight="1">
      <c r="A820" s="5" t="s">
        <v>3451</v>
      </c>
      <c r="B820" s="6" t="str">
        <f>IMAGE("https://storage.googleapis.com/acdb/housewares/FtrEffectorrack_Remake_5_4.png")</f>
        <v/>
      </c>
      <c r="C820" s="5" t="s">
        <v>69</v>
      </c>
      <c r="D820" s="5" t="s">
        <v>34</v>
      </c>
      <c r="E820" s="5" t="s">
        <v>2841</v>
      </c>
      <c r="F820" s="5" t="s">
        <v>3454</v>
      </c>
      <c r="G820" s="5" t="s">
        <v>36</v>
      </c>
      <c r="H820" s="5" t="s">
        <v>36</v>
      </c>
      <c r="I820" s="5" t="s">
        <v>35</v>
      </c>
      <c r="J820" s="6">
        <v>3.0</v>
      </c>
      <c r="K820" s="6">
        <v>6800.0</v>
      </c>
      <c r="L820" s="6">
        <v>1700.0</v>
      </c>
      <c r="M820" s="8" t="s">
        <v>69</v>
      </c>
      <c r="N820" s="8" t="s">
        <v>96</v>
      </c>
      <c r="O820" s="6" t="s">
        <v>40</v>
      </c>
      <c r="P820" s="5" t="s">
        <v>59</v>
      </c>
      <c r="Q820" s="5" t="s">
        <v>122</v>
      </c>
      <c r="R820" s="6" t="s">
        <v>42</v>
      </c>
      <c r="S820" s="5" t="s">
        <v>129</v>
      </c>
      <c r="T820" s="5" t="s">
        <v>141</v>
      </c>
      <c r="U820" s="5" t="s">
        <v>44</v>
      </c>
      <c r="V820" s="5" t="s">
        <v>44</v>
      </c>
      <c r="W820" s="5" t="s">
        <v>36</v>
      </c>
      <c r="X820" s="8" t="s">
        <v>45</v>
      </c>
      <c r="Y820" s="5" t="s">
        <v>46</v>
      </c>
      <c r="Z820" s="5" t="s">
        <v>47</v>
      </c>
      <c r="AA820" s="5" t="s">
        <v>64</v>
      </c>
      <c r="AB820" s="5" t="s">
        <v>3665</v>
      </c>
      <c r="AC820" s="6" t="s">
        <v>609</v>
      </c>
      <c r="AD820" s="6">
        <v>950.0</v>
      </c>
    </row>
    <row r="821" ht="56.25" customHeight="1">
      <c r="A821" s="5" t="s">
        <v>3451</v>
      </c>
      <c r="B821" s="6" t="str">
        <f>IMAGE("https://storage.googleapis.com/acdb/housewares/FtrEffectorrack_Remake_5_5.png")</f>
        <v/>
      </c>
      <c r="C821" s="5" t="s">
        <v>69</v>
      </c>
      <c r="D821" s="5" t="s">
        <v>34</v>
      </c>
      <c r="E821" s="5" t="s">
        <v>2848</v>
      </c>
      <c r="F821" s="5" t="s">
        <v>3454</v>
      </c>
      <c r="G821" s="5" t="s">
        <v>36</v>
      </c>
      <c r="H821" s="5" t="s">
        <v>36</v>
      </c>
      <c r="I821" s="5" t="s">
        <v>35</v>
      </c>
      <c r="J821" s="6">
        <v>3.0</v>
      </c>
      <c r="K821" s="6">
        <v>6800.0</v>
      </c>
      <c r="L821" s="6">
        <v>1700.0</v>
      </c>
      <c r="M821" s="8" t="s">
        <v>69</v>
      </c>
      <c r="N821" s="8" t="s">
        <v>1175</v>
      </c>
      <c r="O821" s="6" t="s">
        <v>40</v>
      </c>
      <c r="P821" s="5" t="s">
        <v>59</v>
      </c>
      <c r="Q821" s="5" t="s">
        <v>122</v>
      </c>
      <c r="R821" s="6" t="s">
        <v>42</v>
      </c>
      <c r="S821" s="5" t="s">
        <v>129</v>
      </c>
      <c r="T821" s="5" t="s">
        <v>141</v>
      </c>
      <c r="U821" s="5" t="s">
        <v>44</v>
      </c>
      <c r="V821" s="5" t="s">
        <v>44</v>
      </c>
      <c r="W821" s="5" t="s">
        <v>36</v>
      </c>
      <c r="X821" s="8" t="s">
        <v>45</v>
      </c>
      <c r="Y821" s="5" t="s">
        <v>46</v>
      </c>
      <c r="Z821" s="5" t="s">
        <v>47</v>
      </c>
      <c r="AA821" s="5" t="s">
        <v>64</v>
      </c>
      <c r="AB821" s="5" t="s">
        <v>3669</v>
      </c>
      <c r="AC821" s="6" t="s">
        <v>1843</v>
      </c>
      <c r="AD821" s="6">
        <v>950.0</v>
      </c>
    </row>
    <row r="822" ht="56.25" customHeight="1">
      <c r="A822" s="5" t="s">
        <v>3451</v>
      </c>
      <c r="B822" s="6" t="str">
        <f>IMAGE("https://storage.googleapis.com/acdb/housewares/FtrEffectorrack_Remake_5_6.png")</f>
        <v/>
      </c>
      <c r="C822" s="5" t="s">
        <v>69</v>
      </c>
      <c r="D822" s="5" t="s">
        <v>34</v>
      </c>
      <c r="E822" s="5" t="s">
        <v>2855</v>
      </c>
      <c r="F822" s="5" t="s">
        <v>3454</v>
      </c>
      <c r="G822" s="5" t="s">
        <v>36</v>
      </c>
      <c r="H822" s="5" t="s">
        <v>36</v>
      </c>
      <c r="I822" s="5" t="s">
        <v>35</v>
      </c>
      <c r="J822" s="6">
        <v>3.0</v>
      </c>
      <c r="K822" s="6">
        <v>6800.0</v>
      </c>
      <c r="L822" s="6">
        <v>1700.0</v>
      </c>
      <c r="M822" s="8" t="s">
        <v>69</v>
      </c>
      <c r="N822" s="8" t="s">
        <v>52</v>
      </c>
      <c r="O822" s="6" t="s">
        <v>40</v>
      </c>
      <c r="P822" s="5" t="s">
        <v>59</v>
      </c>
      <c r="Q822" s="5" t="s">
        <v>122</v>
      </c>
      <c r="R822" s="6" t="s">
        <v>42</v>
      </c>
      <c r="S822" s="5" t="s">
        <v>129</v>
      </c>
      <c r="T822" s="5" t="s">
        <v>141</v>
      </c>
      <c r="U822" s="5" t="s">
        <v>44</v>
      </c>
      <c r="V822" s="5" t="s">
        <v>44</v>
      </c>
      <c r="W822" s="5" t="s">
        <v>36</v>
      </c>
      <c r="X822" s="8" t="s">
        <v>45</v>
      </c>
      <c r="Y822" s="5" t="s">
        <v>46</v>
      </c>
      <c r="Z822" s="5" t="s">
        <v>47</v>
      </c>
      <c r="AA822" s="5" t="s">
        <v>64</v>
      </c>
      <c r="AB822" s="5" t="s">
        <v>3673</v>
      </c>
      <c r="AC822" s="6" t="s">
        <v>1847</v>
      </c>
      <c r="AD822" s="6">
        <v>950.0</v>
      </c>
    </row>
    <row r="823" ht="56.25" customHeight="1">
      <c r="A823" s="5" t="s">
        <v>3451</v>
      </c>
      <c r="B823" s="6" t="str">
        <f>IMAGE("https://storage.googleapis.com/acdb/housewares/FtrEffectorrack_Remake_5_7.png")</f>
        <v/>
      </c>
      <c r="C823" s="5" t="s">
        <v>69</v>
      </c>
      <c r="D823" s="5" t="s">
        <v>34</v>
      </c>
      <c r="E823" s="5" t="s">
        <v>2863</v>
      </c>
      <c r="F823" s="5" t="s">
        <v>3454</v>
      </c>
      <c r="G823" s="5" t="s">
        <v>36</v>
      </c>
      <c r="H823" s="5" t="s">
        <v>36</v>
      </c>
      <c r="I823" s="5" t="s">
        <v>35</v>
      </c>
      <c r="J823" s="6">
        <v>3.0</v>
      </c>
      <c r="K823" s="6">
        <v>6800.0</v>
      </c>
      <c r="L823" s="6">
        <v>1700.0</v>
      </c>
      <c r="M823" s="8" t="s">
        <v>69</v>
      </c>
      <c r="N823" s="8" t="s">
        <v>69</v>
      </c>
      <c r="O823" s="6" t="s">
        <v>40</v>
      </c>
      <c r="P823" s="5" t="s">
        <v>59</v>
      </c>
      <c r="Q823" s="5" t="s">
        <v>122</v>
      </c>
      <c r="R823" s="6" t="s">
        <v>42</v>
      </c>
      <c r="S823" s="5" t="s">
        <v>129</v>
      </c>
      <c r="T823" s="5" t="s">
        <v>141</v>
      </c>
      <c r="U823" s="5" t="s">
        <v>44</v>
      </c>
      <c r="V823" s="5" t="s">
        <v>44</v>
      </c>
      <c r="W823" s="5" t="s">
        <v>36</v>
      </c>
      <c r="X823" s="8" t="s">
        <v>45</v>
      </c>
      <c r="Y823" s="5" t="s">
        <v>46</v>
      </c>
      <c r="Z823" s="5" t="s">
        <v>47</v>
      </c>
      <c r="AA823" s="5" t="s">
        <v>64</v>
      </c>
      <c r="AB823" s="5" t="s">
        <v>3676</v>
      </c>
      <c r="AC823" s="6" t="s">
        <v>1850</v>
      </c>
      <c r="AD823" s="6">
        <v>950.0</v>
      </c>
    </row>
    <row r="824" ht="56.25" customHeight="1">
      <c r="A824" s="5" t="s">
        <v>3678</v>
      </c>
      <c r="B824" s="6" t="str">
        <f>IMAGE("https://storage.googleapis.com/acdb/housewares/FtrKimonostandRich_Remake_0_0.png")</f>
        <v/>
      </c>
      <c r="C824" s="5" t="s">
        <v>3679</v>
      </c>
      <c r="D824" s="5" t="s">
        <v>34</v>
      </c>
      <c r="E824" s="5" t="s">
        <v>34</v>
      </c>
      <c r="F824" s="5" t="s">
        <v>34</v>
      </c>
      <c r="G824" s="5" t="s">
        <v>36</v>
      </c>
      <c r="H824" s="5" t="s">
        <v>36</v>
      </c>
      <c r="I824" s="5" t="s">
        <v>36</v>
      </c>
      <c r="J824" s="6" t="s">
        <v>34</v>
      </c>
      <c r="K824" s="6">
        <v>220000.0</v>
      </c>
      <c r="L824" s="6">
        <v>55000.0</v>
      </c>
      <c r="M824" s="8" t="s">
        <v>52</v>
      </c>
      <c r="N824" s="8" t="s">
        <v>54</v>
      </c>
      <c r="O824" s="6" t="s">
        <v>276</v>
      </c>
      <c r="P824" s="5" t="s">
        <v>59</v>
      </c>
      <c r="Q824" s="5" t="s">
        <v>115</v>
      </c>
      <c r="R824" s="6" t="s">
        <v>42</v>
      </c>
      <c r="S824" s="5" t="s">
        <v>266</v>
      </c>
      <c r="T824" s="5" t="s">
        <v>116</v>
      </c>
      <c r="U824" s="5" t="s">
        <v>44</v>
      </c>
      <c r="V824" s="5" t="s">
        <v>44</v>
      </c>
      <c r="W824" s="5" t="s">
        <v>36</v>
      </c>
      <c r="X824" s="8" t="s">
        <v>650</v>
      </c>
      <c r="Y824" s="5" t="s">
        <v>46</v>
      </c>
      <c r="Z824" s="5" t="s">
        <v>47</v>
      </c>
      <c r="AA824" s="5" t="s">
        <v>64</v>
      </c>
      <c r="AB824" s="5" t="s">
        <v>3682</v>
      </c>
      <c r="AC824" s="6" t="s">
        <v>50</v>
      </c>
      <c r="AD824" s="6">
        <v>7865.0</v>
      </c>
    </row>
    <row r="825" ht="56.25" customHeight="1">
      <c r="A825" s="5" t="s">
        <v>3678</v>
      </c>
      <c r="B825" s="6" t="str">
        <f>IMAGE("https://storage.googleapis.com/acdb/housewares/FtrKimonostandRich_Remake_1_0.png")</f>
        <v/>
      </c>
      <c r="C825" s="5" t="s">
        <v>3684</v>
      </c>
      <c r="D825" s="5" t="s">
        <v>34</v>
      </c>
      <c r="E825" s="5" t="s">
        <v>34</v>
      </c>
      <c r="F825" s="5" t="s">
        <v>34</v>
      </c>
      <c r="G825" s="5" t="s">
        <v>36</v>
      </c>
      <c r="H825" s="5" t="s">
        <v>36</v>
      </c>
      <c r="I825" s="5" t="s">
        <v>36</v>
      </c>
      <c r="J825" s="6" t="s">
        <v>34</v>
      </c>
      <c r="K825" s="6">
        <v>220000.0</v>
      </c>
      <c r="L825" s="6">
        <v>55000.0</v>
      </c>
      <c r="M825" s="8" t="s">
        <v>1175</v>
      </c>
      <c r="N825" s="8" t="s">
        <v>57</v>
      </c>
      <c r="O825" s="6" t="s">
        <v>276</v>
      </c>
      <c r="P825" s="5" t="s">
        <v>59</v>
      </c>
      <c r="Q825" s="5" t="s">
        <v>115</v>
      </c>
      <c r="R825" s="6" t="s">
        <v>42</v>
      </c>
      <c r="S825" s="5" t="s">
        <v>266</v>
      </c>
      <c r="T825" s="5" t="s">
        <v>116</v>
      </c>
      <c r="U825" s="5" t="s">
        <v>44</v>
      </c>
      <c r="V825" s="5" t="s">
        <v>44</v>
      </c>
      <c r="W825" s="5" t="s">
        <v>36</v>
      </c>
      <c r="X825" s="8" t="s">
        <v>650</v>
      </c>
      <c r="Y825" s="5" t="s">
        <v>46</v>
      </c>
      <c r="Z825" s="5" t="s">
        <v>47</v>
      </c>
      <c r="AA825" s="5" t="s">
        <v>64</v>
      </c>
      <c r="AB825" s="5" t="s">
        <v>3687</v>
      </c>
      <c r="AC825" s="6" t="s">
        <v>56</v>
      </c>
      <c r="AD825" s="6">
        <v>7865.0</v>
      </c>
    </row>
    <row r="826" ht="56.25" customHeight="1">
      <c r="A826" s="5" t="s">
        <v>3678</v>
      </c>
      <c r="B826" s="6" t="str">
        <f>IMAGE("https://storage.googleapis.com/acdb/housewares/FtrKimonostandRich_Remake_2_0.png")</f>
        <v/>
      </c>
      <c r="C826" s="5" t="s">
        <v>3689</v>
      </c>
      <c r="D826" s="5" t="s">
        <v>34</v>
      </c>
      <c r="E826" s="5" t="s">
        <v>34</v>
      </c>
      <c r="F826" s="5" t="s">
        <v>34</v>
      </c>
      <c r="G826" s="5" t="s">
        <v>36</v>
      </c>
      <c r="H826" s="5" t="s">
        <v>36</v>
      </c>
      <c r="I826" s="5" t="s">
        <v>36</v>
      </c>
      <c r="J826" s="6" t="s">
        <v>34</v>
      </c>
      <c r="K826" s="6">
        <v>220000.0</v>
      </c>
      <c r="L826" s="6">
        <v>55000.0</v>
      </c>
      <c r="M826" s="8" t="s">
        <v>106</v>
      </c>
      <c r="N826" s="8" t="s">
        <v>54</v>
      </c>
      <c r="O826" s="6" t="s">
        <v>276</v>
      </c>
      <c r="P826" s="5" t="s">
        <v>59</v>
      </c>
      <c r="Q826" s="5" t="s">
        <v>115</v>
      </c>
      <c r="R826" s="6" t="s">
        <v>42</v>
      </c>
      <c r="S826" s="5" t="s">
        <v>266</v>
      </c>
      <c r="T826" s="5" t="s">
        <v>116</v>
      </c>
      <c r="U826" s="5" t="s">
        <v>44</v>
      </c>
      <c r="V826" s="5" t="s">
        <v>44</v>
      </c>
      <c r="W826" s="5" t="s">
        <v>36</v>
      </c>
      <c r="X826" s="8" t="s">
        <v>650</v>
      </c>
      <c r="Y826" s="5" t="s">
        <v>46</v>
      </c>
      <c r="Z826" s="5" t="s">
        <v>47</v>
      </c>
      <c r="AA826" s="5" t="s">
        <v>64</v>
      </c>
      <c r="AB826" s="5" t="s">
        <v>3692</v>
      </c>
      <c r="AC826" s="6" t="s">
        <v>67</v>
      </c>
      <c r="AD826" s="6">
        <v>7865.0</v>
      </c>
    </row>
    <row r="827" ht="56.25" customHeight="1">
      <c r="A827" s="5" t="s">
        <v>3678</v>
      </c>
      <c r="B827" s="6" t="str">
        <f>IMAGE("https://storage.googleapis.com/acdb/housewares/FtrKimonostandRich_Remake_3_0.png")</f>
        <v/>
      </c>
      <c r="C827" s="5" t="s">
        <v>3694</v>
      </c>
      <c r="D827" s="5" t="s">
        <v>34</v>
      </c>
      <c r="E827" s="5" t="s">
        <v>34</v>
      </c>
      <c r="F827" s="5" t="s">
        <v>34</v>
      </c>
      <c r="G827" s="5" t="s">
        <v>36</v>
      </c>
      <c r="H827" s="5" t="s">
        <v>36</v>
      </c>
      <c r="I827" s="5" t="s">
        <v>36</v>
      </c>
      <c r="J827" s="6" t="s">
        <v>34</v>
      </c>
      <c r="K827" s="6">
        <v>220000.0</v>
      </c>
      <c r="L827" s="6">
        <v>55000.0</v>
      </c>
      <c r="M827" s="8" t="s">
        <v>69</v>
      </c>
      <c r="N827" s="8" t="s">
        <v>57</v>
      </c>
      <c r="O827" s="6" t="s">
        <v>276</v>
      </c>
      <c r="P827" s="5" t="s">
        <v>59</v>
      </c>
      <c r="Q827" s="5" t="s">
        <v>115</v>
      </c>
      <c r="R827" s="6" t="s">
        <v>42</v>
      </c>
      <c r="S827" s="5" t="s">
        <v>266</v>
      </c>
      <c r="T827" s="5" t="s">
        <v>116</v>
      </c>
      <c r="U827" s="5" t="s">
        <v>44</v>
      </c>
      <c r="V827" s="5" t="s">
        <v>44</v>
      </c>
      <c r="W827" s="5" t="s">
        <v>36</v>
      </c>
      <c r="X827" s="8" t="s">
        <v>650</v>
      </c>
      <c r="Y827" s="5" t="s">
        <v>46</v>
      </c>
      <c r="Z827" s="5" t="s">
        <v>47</v>
      </c>
      <c r="AA827" s="5" t="s">
        <v>64</v>
      </c>
      <c r="AB827" s="5" t="s">
        <v>3700</v>
      </c>
      <c r="AC827" s="6" t="s">
        <v>71</v>
      </c>
      <c r="AD827" s="6">
        <v>7865.0</v>
      </c>
    </row>
    <row r="828" ht="56.25" customHeight="1">
      <c r="A828" s="5" t="s">
        <v>3678</v>
      </c>
      <c r="B828" s="6" t="str">
        <f>IMAGE("https://storage.googleapis.com/acdb/housewares/FtrKimonostandRich_Remake_4_0.png")</f>
        <v/>
      </c>
      <c r="C828" s="5" t="s">
        <v>3701</v>
      </c>
      <c r="D828" s="5" t="s">
        <v>34</v>
      </c>
      <c r="E828" s="5" t="s">
        <v>34</v>
      </c>
      <c r="F828" s="5" t="s">
        <v>34</v>
      </c>
      <c r="G828" s="5" t="s">
        <v>36</v>
      </c>
      <c r="H828" s="5" t="s">
        <v>36</v>
      </c>
      <c r="I828" s="5" t="s">
        <v>36</v>
      </c>
      <c r="J828" s="6" t="s">
        <v>34</v>
      </c>
      <c r="K828" s="6">
        <v>220000.0</v>
      </c>
      <c r="L828" s="6">
        <v>55000.0</v>
      </c>
      <c r="M828" s="8" t="s">
        <v>96</v>
      </c>
      <c r="N828" s="8" t="s">
        <v>54</v>
      </c>
      <c r="O828" s="6" t="s">
        <v>276</v>
      </c>
      <c r="P828" s="5" t="s">
        <v>59</v>
      </c>
      <c r="Q828" s="5" t="s">
        <v>115</v>
      </c>
      <c r="R828" s="6" t="s">
        <v>42</v>
      </c>
      <c r="S828" s="5" t="s">
        <v>266</v>
      </c>
      <c r="T828" s="5" t="s">
        <v>116</v>
      </c>
      <c r="U828" s="5" t="s">
        <v>44</v>
      </c>
      <c r="V828" s="5" t="s">
        <v>44</v>
      </c>
      <c r="W828" s="5" t="s">
        <v>36</v>
      </c>
      <c r="X828" s="8" t="s">
        <v>650</v>
      </c>
      <c r="Y828" s="5" t="s">
        <v>46</v>
      </c>
      <c r="Z828" s="5" t="s">
        <v>47</v>
      </c>
      <c r="AA828" s="5" t="s">
        <v>64</v>
      </c>
      <c r="AB828" s="5" t="s">
        <v>3705</v>
      </c>
      <c r="AC828" s="6" t="s">
        <v>75</v>
      </c>
      <c r="AD828" s="6">
        <v>7865.0</v>
      </c>
    </row>
    <row r="829" ht="56.25" customHeight="1">
      <c r="A829" s="5" t="s">
        <v>3706</v>
      </c>
      <c r="B829" s="6" t="str">
        <f>IMAGE("https://storage.googleapis.com/acdb/housewares/FtrElectricbass_Remake_0_0.png")</f>
        <v/>
      </c>
      <c r="C829" s="5" t="s">
        <v>3707</v>
      </c>
      <c r="D829" s="5" t="s">
        <v>34</v>
      </c>
      <c r="E829" s="5" t="s">
        <v>34</v>
      </c>
      <c r="F829" s="5" t="s">
        <v>34</v>
      </c>
      <c r="G829" s="5" t="s">
        <v>36</v>
      </c>
      <c r="H829" s="5" t="s">
        <v>36</v>
      </c>
      <c r="I829" s="5" t="s">
        <v>36</v>
      </c>
      <c r="J829" s="6" t="s">
        <v>34</v>
      </c>
      <c r="K829" s="6">
        <v>82000.0</v>
      </c>
      <c r="L829" s="6">
        <v>20500.0</v>
      </c>
      <c r="M829" s="8" t="s">
        <v>57</v>
      </c>
      <c r="N829" s="8" t="s">
        <v>39</v>
      </c>
      <c r="O829" s="6" t="s">
        <v>40</v>
      </c>
      <c r="P829" s="5" t="s">
        <v>59</v>
      </c>
      <c r="Q829" s="5" t="s">
        <v>115</v>
      </c>
      <c r="R829" s="6" t="s">
        <v>42</v>
      </c>
      <c r="S829" s="5" t="s">
        <v>129</v>
      </c>
      <c r="T829" s="5" t="s">
        <v>44</v>
      </c>
      <c r="U829" s="5" t="s">
        <v>44</v>
      </c>
      <c r="V829" s="5" t="s">
        <v>44</v>
      </c>
      <c r="W829" s="5" t="s">
        <v>35</v>
      </c>
      <c r="X829" s="8" t="s">
        <v>45</v>
      </c>
      <c r="Y829" s="5" t="s">
        <v>46</v>
      </c>
      <c r="Z829" s="5" t="s">
        <v>47</v>
      </c>
      <c r="AA829" s="5" t="s">
        <v>64</v>
      </c>
      <c r="AB829" s="5" t="s">
        <v>3711</v>
      </c>
      <c r="AC829" s="6" t="s">
        <v>50</v>
      </c>
      <c r="AD829" s="6">
        <v>1804.0</v>
      </c>
    </row>
    <row r="830" ht="56.25" customHeight="1">
      <c r="A830" s="5" t="s">
        <v>3706</v>
      </c>
      <c r="B830" s="6" t="str">
        <f>IMAGE("https://storage.googleapis.com/acdb/housewares/FtrElectricbass_Remake_1_0.png")</f>
        <v/>
      </c>
      <c r="C830" s="5" t="s">
        <v>366</v>
      </c>
      <c r="D830" s="5" t="s">
        <v>34</v>
      </c>
      <c r="E830" s="5" t="s">
        <v>34</v>
      </c>
      <c r="F830" s="5" t="s">
        <v>34</v>
      </c>
      <c r="G830" s="5" t="s">
        <v>36</v>
      </c>
      <c r="H830" s="5" t="s">
        <v>36</v>
      </c>
      <c r="I830" s="5" t="s">
        <v>36</v>
      </c>
      <c r="J830" s="6" t="s">
        <v>34</v>
      </c>
      <c r="K830" s="6">
        <v>82000.0</v>
      </c>
      <c r="L830" s="6">
        <v>20500.0</v>
      </c>
      <c r="M830" s="8" t="s">
        <v>38</v>
      </c>
      <c r="N830" s="8" t="s">
        <v>54</v>
      </c>
      <c r="O830" s="6" t="s">
        <v>40</v>
      </c>
      <c r="P830" s="5" t="s">
        <v>59</v>
      </c>
      <c r="Q830" s="5" t="s">
        <v>115</v>
      </c>
      <c r="R830" s="6" t="s">
        <v>42</v>
      </c>
      <c r="S830" s="5" t="s">
        <v>129</v>
      </c>
      <c r="T830" s="5" t="s">
        <v>44</v>
      </c>
      <c r="U830" s="5" t="s">
        <v>44</v>
      </c>
      <c r="V830" s="5" t="s">
        <v>44</v>
      </c>
      <c r="W830" s="5" t="s">
        <v>35</v>
      </c>
      <c r="X830" s="8" t="s">
        <v>45</v>
      </c>
      <c r="Y830" s="5" t="s">
        <v>46</v>
      </c>
      <c r="Z830" s="5" t="s">
        <v>47</v>
      </c>
      <c r="AA830" s="5" t="s">
        <v>64</v>
      </c>
      <c r="AB830" s="5" t="s">
        <v>3715</v>
      </c>
      <c r="AC830" s="6" t="s">
        <v>56</v>
      </c>
      <c r="AD830" s="6">
        <v>1804.0</v>
      </c>
    </row>
    <row r="831" ht="56.25" customHeight="1">
      <c r="A831" s="5" t="s">
        <v>3706</v>
      </c>
      <c r="B831" s="6" t="str">
        <f>IMAGE("https://storage.googleapis.com/acdb/housewares/FtrElectricbass_Remake_2_0.png")</f>
        <v/>
      </c>
      <c r="C831" s="5" t="s">
        <v>3716</v>
      </c>
      <c r="D831" s="5" t="s">
        <v>34</v>
      </c>
      <c r="E831" s="5" t="s">
        <v>34</v>
      </c>
      <c r="F831" s="5" t="s">
        <v>34</v>
      </c>
      <c r="G831" s="5" t="s">
        <v>36</v>
      </c>
      <c r="H831" s="5" t="s">
        <v>36</v>
      </c>
      <c r="I831" s="5" t="s">
        <v>36</v>
      </c>
      <c r="J831" s="6" t="s">
        <v>34</v>
      </c>
      <c r="K831" s="6">
        <v>82000.0</v>
      </c>
      <c r="L831" s="6">
        <v>20500.0</v>
      </c>
      <c r="M831" s="8" t="s">
        <v>142</v>
      </c>
      <c r="N831" s="8" t="s">
        <v>39</v>
      </c>
      <c r="O831" s="6" t="s">
        <v>40</v>
      </c>
      <c r="P831" s="5" t="s">
        <v>59</v>
      </c>
      <c r="Q831" s="5" t="s">
        <v>115</v>
      </c>
      <c r="R831" s="6" t="s">
        <v>42</v>
      </c>
      <c r="S831" s="5" t="s">
        <v>129</v>
      </c>
      <c r="T831" s="5" t="s">
        <v>44</v>
      </c>
      <c r="U831" s="5" t="s">
        <v>44</v>
      </c>
      <c r="V831" s="5" t="s">
        <v>44</v>
      </c>
      <c r="W831" s="5" t="s">
        <v>35</v>
      </c>
      <c r="X831" s="8" t="s">
        <v>45</v>
      </c>
      <c r="Y831" s="5" t="s">
        <v>46</v>
      </c>
      <c r="Z831" s="5" t="s">
        <v>47</v>
      </c>
      <c r="AA831" s="5" t="s">
        <v>64</v>
      </c>
      <c r="AB831" s="5" t="s">
        <v>3720</v>
      </c>
      <c r="AC831" s="6" t="s">
        <v>67</v>
      </c>
      <c r="AD831" s="6">
        <v>1804.0</v>
      </c>
    </row>
    <row r="832" ht="56.25" customHeight="1">
      <c r="A832" s="5" t="s">
        <v>3706</v>
      </c>
      <c r="B832" s="6" t="str">
        <f>IMAGE("https://storage.googleapis.com/acdb/housewares/FtrElectricbass_Remake_3_0.png")</f>
        <v/>
      </c>
      <c r="C832" s="5" t="s">
        <v>3208</v>
      </c>
      <c r="D832" s="5" t="s">
        <v>34</v>
      </c>
      <c r="E832" s="5" t="s">
        <v>34</v>
      </c>
      <c r="F832" s="5" t="s">
        <v>34</v>
      </c>
      <c r="G832" s="5" t="s">
        <v>36</v>
      </c>
      <c r="H832" s="5" t="s">
        <v>36</v>
      </c>
      <c r="I832" s="5" t="s">
        <v>36</v>
      </c>
      <c r="J832" s="6" t="s">
        <v>34</v>
      </c>
      <c r="K832" s="6">
        <v>82000.0</v>
      </c>
      <c r="L832" s="6">
        <v>20500.0</v>
      </c>
      <c r="M832" s="8" t="s">
        <v>54</v>
      </c>
      <c r="N832" s="8" t="s">
        <v>57</v>
      </c>
      <c r="O832" s="6" t="s">
        <v>40</v>
      </c>
      <c r="P832" s="5" t="s">
        <v>59</v>
      </c>
      <c r="Q832" s="5" t="s">
        <v>115</v>
      </c>
      <c r="R832" s="6" t="s">
        <v>42</v>
      </c>
      <c r="S832" s="5" t="s">
        <v>129</v>
      </c>
      <c r="T832" s="5" t="s">
        <v>44</v>
      </c>
      <c r="U832" s="5" t="s">
        <v>44</v>
      </c>
      <c r="V832" s="5" t="s">
        <v>44</v>
      </c>
      <c r="W832" s="5" t="s">
        <v>35</v>
      </c>
      <c r="X832" s="8" t="s">
        <v>45</v>
      </c>
      <c r="Y832" s="5" t="s">
        <v>46</v>
      </c>
      <c r="Z832" s="5" t="s">
        <v>47</v>
      </c>
      <c r="AA832" s="5" t="s">
        <v>64</v>
      </c>
      <c r="AB832" s="5" t="s">
        <v>3724</v>
      </c>
      <c r="AC832" s="6" t="s">
        <v>71</v>
      </c>
      <c r="AD832" s="6">
        <v>1804.0</v>
      </c>
    </row>
    <row r="833" ht="56.25" customHeight="1">
      <c r="A833" s="5" t="s">
        <v>3706</v>
      </c>
      <c r="B833" s="6" t="str">
        <f>IMAGE("https://storage.googleapis.com/acdb/housewares/FtrElectricbass_Remake_4_0.png")</f>
        <v/>
      </c>
      <c r="C833" s="5" t="s">
        <v>3726</v>
      </c>
      <c r="D833" s="5" t="s">
        <v>34</v>
      </c>
      <c r="E833" s="5" t="s">
        <v>34</v>
      </c>
      <c r="F833" s="5" t="s">
        <v>34</v>
      </c>
      <c r="G833" s="5" t="s">
        <v>36</v>
      </c>
      <c r="H833" s="5" t="s">
        <v>36</v>
      </c>
      <c r="I833" s="5" t="s">
        <v>36</v>
      </c>
      <c r="J833" s="6" t="s">
        <v>34</v>
      </c>
      <c r="K833" s="6">
        <v>82000.0</v>
      </c>
      <c r="L833" s="6">
        <v>20500.0</v>
      </c>
      <c r="M833" s="8" t="s">
        <v>68</v>
      </c>
      <c r="N833" s="8" t="s">
        <v>1175</v>
      </c>
      <c r="O833" s="6" t="s">
        <v>40</v>
      </c>
      <c r="P833" s="5" t="s">
        <v>59</v>
      </c>
      <c r="Q833" s="5" t="s">
        <v>115</v>
      </c>
      <c r="R833" s="6" t="s">
        <v>42</v>
      </c>
      <c r="S833" s="5" t="s">
        <v>129</v>
      </c>
      <c r="T833" s="5" t="s">
        <v>44</v>
      </c>
      <c r="U833" s="5" t="s">
        <v>44</v>
      </c>
      <c r="V833" s="5" t="s">
        <v>44</v>
      </c>
      <c r="W833" s="5" t="s">
        <v>35</v>
      </c>
      <c r="X833" s="8" t="s">
        <v>45</v>
      </c>
      <c r="Y833" s="5" t="s">
        <v>46</v>
      </c>
      <c r="Z833" s="5" t="s">
        <v>47</v>
      </c>
      <c r="AA833" s="5" t="s">
        <v>64</v>
      </c>
      <c r="AB833" s="5" t="s">
        <v>3728</v>
      </c>
      <c r="AC833" s="6" t="s">
        <v>75</v>
      </c>
      <c r="AD833" s="6">
        <v>1804.0</v>
      </c>
    </row>
    <row r="834" ht="56.25" customHeight="1">
      <c r="A834" s="5" t="s">
        <v>3706</v>
      </c>
      <c r="B834" s="6" t="str">
        <f>IMAGE("https://storage.googleapis.com/acdb/housewares/FtrElectricbass_Remake_5_0.png")</f>
        <v/>
      </c>
      <c r="C834" s="5" t="s">
        <v>3730</v>
      </c>
      <c r="D834" s="5" t="s">
        <v>34</v>
      </c>
      <c r="E834" s="5" t="s">
        <v>34</v>
      </c>
      <c r="F834" s="5" t="s">
        <v>34</v>
      </c>
      <c r="G834" s="5" t="s">
        <v>36</v>
      </c>
      <c r="H834" s="5" t="s">
        <v>36</v>
      </c>
      <c r="I834" s="5" t="s">
        <v>36</v>
      </c>
      <c r="J834" s="6" t="s">
        <v>34</v>
      </c>
      <c r="K834" s="6">
        <v>82000.0</v>
      </c>
      <c r="L834" s="6">
        <v>20500.0</v>
      </c>
      <c r="M834" s="8" t="s">
        <v>96</v>
      </c>
      <c r="N834" s="8" t="s">
        <v>54</v>
      </c>
      <c r="O834" s="6" t="s">
        <v>40</v>
      </c>
      <c r="P834" s="5" t="s">
        <v>59</v>
      </c>
      <c r="Q834" s="5" t="s">
        <v>115</v>
      </c>
      <c r="R834" s="6" t="s">
        <v>42</v>
      </c>
      <c r="S834" s="5" t="s">
        <v>129</v>
      </c>
      <c r="T834" s="5" t="s">
        <v>44</v>
      </c>
      <c r="U834" s="5" t="s">
        <v>44</v>
      </c>
      <c r="V834" s="5" t="s">
        <v>44</v>
      </c>
      <c r="W834" s="5" t="s">
        <v>35</v>
      </c>
      <c r="X834" s="8" t="s">
        <v>45</v>
      </c>
      <c r="Y834" s="5" t="s">
        <v>46</v>
      </c>
      <c r="Z834" s="5" t="s">
        <v>47</v>
      </c>
      <c r="AA834" s="5" t="s">
        <v>64</v>
      </c>
      <c r="AB834" s="5" t="s">
        <v>3733</v>
      </c>
      <c r="AC834" s="6" t="s">
        <v>79</v>
      </c>
      <c r="AD834" s="6">
        <v>1804.0</v>
      </c>
    </row>
    <row r="835" ht="56.25" customHeight="1">
      <c r="A835" s="5" t="s">
        <v>3706</v>
      </c>
      <c r="B835" s="6" t="str">
        <f>IMAGE("https://storage.googleapis.com/acdb/housewares/FtrElectricbass_Remake_6_0.png")</f>
        <v/>
      </c>
      <c r="C835" s="5" t="s">
        <v>3735</v>
      </c>
      <c r="D835" s="5" t="s">
        <v>34</v>
      </c>
      <c r="E835" s="5" t="s">
        <v>34</v>
      </c>
      <c r="F835" s="5" t="s">
        <v>34</v>
      </c>
      <c r="G835" s="5" t="s">
        <v>36</v>
      </c>
      <c r="H835" s="5" t="s">
        <v>36</v>
      </c>
      <c r="I835" s="5" t="s">
        <v>36</v>
      </c>
      <c r="J835" s="6" t="s">
        <v>34</v>
      </c>
      <c r="K835" s="6">
        <v>82000.0</v>
      </c>
      <c r="L835" s="6">
        <v>20500.0</v>
      </c>
      <c r="M835" s="8" t="s">
        <v>69</v>
      </c>
      <c r="N835" s="8" t="s">
        <v>69</v>
      </c>
      <c r="O835" s="6" t="s">
        <v>40</v>
      </c>
      <c r="P835" s="5" t="s">
        <v>59</v>
      </c>
      <c r="Q835" s="5" t="s">
        <v>115</v>
      </c>
      <c r="R835" s="6" t="s">
        <v>42</v>
      </c>
      <c r="S835" s="5" t="s">
        <v>129</v>
      </c>
      <c r="T835" s="5" t="s">
        <v>44</v>
      </c>
      <c r="U835" s="5" t="s">
        <v>44</v>
      </c>
      <c r="V835" s="5" t="s">
        <v>44</v>
      </c>
      <c r="W835" s="5" t="s">
        <v>35</v>
      </c>
      <c r="X835" s="8" t="s">
        <v>45</v>
      </c>
      <c r="Y835" s="5" t="s">
        <v>46</v>
      </c>
      <c r="Z835" s="5" t="s">
        <v>47</v>
      </c>
      <c r="AA835" s="5" t="s">
        <v>64</v>
      </c>
      <c r="AB835" s="5" t="s">
        <v>3737</v>
      </c>
      <c r="AC835" s="6" t="s">
        <v>86</v>
      </c>
      <c r="AD835" s="6">
        <v>1804.0</v>
      </c>
    </row>
    <row r="836" ht="56.25" customHeight="1">
      <c r="A836" s="5" t="s">
        <v>3706</v>
      </c>
      <c r="B836" s="6" t="str">
        <f>IMAGE("https://storage.googleapis.com/acdb/housewares/FtrElectricbass_Remake_7_0.png")</f>
        <v/>
      </c>
      <c r="C836" s="5" t="s">
        <v>3739</v>
      </c>
      <c r="D836" s="5" t="s">
        <v>34</v>
      </c>
      <c r="E836" s="5" t="s">
        <v>34</v>
      </c>
      <c r="F836" s="5" t="s">
        <v>34</v>
      </c>
      <c r="G836" s="5" t="s">
        <v>36</v>
      </c>
      <c r="H836" s="5" t="s">
        <v>36</v>
      </c>
      <c r="I836" s="5" t="s">
        <v>36</v>
      </c>
      <c r="J836" s="6" t="s">
        <v>34</v>
      </c>
      <c r="K836" s="6">
        <v>82000.0</v>
      </c>
      <c r="L836" s="6">
        <v>20500.0</v>
      </c>
      <c r="M836" s="8" t="s">
        <v>95</v>
      </c>
      <c r="N836" s="8" t="s">
        <v>54</v>
      </c>
      <c r="O836" s="6" t="s">
        <v>40</v>
      </c>
      <c r="P836" s="5" t="s">
        <v>59</v>
      </c>
      <c r="Q836" s="5" t="s">
        <v>115</v>
      </c>
      <c r="R836" s="6" t="s">
        <v>42</v>
      </c>
      <c r="S836" s="5" t="s">
        <v>129</v>
      </c>
      <c r="T836" s="5" t="s">
        <v>44</v>
      </c>
      <c r="U836" s="5" t="s">
        <v>44</v>
      </c>
      <c r="V836" s="5" t="s">
        <v>44</v>
      </c>
      <c r="W836" s="5" t="s">
        <v>35</v>
      </c>
      <c r="X836" s="8" t="s">
        <v>45</v>
      </c>
      <c r="Y836" s="5" t="s">
        <v>46</v>
      </c>
      <c r="Z836" s="5" t="s">
        <v>47</v>
      </c>
      <c r="AA836" s="5" t="s">
        <v>64</v>
      </c>
      <c r="AB836" s="5" t="s">
        <v>3742</v>
      </c>
      <c r="AC836" s="6" t="s">
        <v>208</v>
      </c>
      <c r="AD836" s="6">
        <v>1804.0</v>
      </c>
    </row>
    <row r="837" ht="56.25" customHeight="1">
      <c r="A837" s="5" t="s">
        <v>3743</v>
      </c>
      <c r="B837" s="6" t="str">
        <f>IMAGE("https://storage.googleapis.com/acdb/housewares/FtrElectricguitar2_Remake_0_0.png")</f>
        <v/>
      </c>
      <c r="C837" s="5" t="s">
        <v>3744</v>
      </c>
      <c r="D837" s="5" t="s">
        <v>34</v>
      </c>
      <c r="E837" s="5" t="s">
        <v>44</v>
      </c>
      <c r="F837" s="5" t="s">
        <v>3454</v>
      </c>
      <c r="G837" s="5" t="s">
        <v>36</v>
      </c>
      <c r="H837" s="5" t="s">
        <v>36</v>
      </c>
      <c r="I837" s="5" t="s">
        <v>35</v>
      </c>
      <c r="J837" s="6">
        <v>7.0</v>
      </c>
      <c r="K837" s="6">
        <v>71000.0</v>
      </c>
      <c r="L837" s="6">
        <v>17750.0</v>
      </c>
      <c r="M837" s="8" t="s">
        <v>52</v>
      </c>
      <c r="N837" s="8" t="s">
        <v>52</v>
      </c>
      <c r="O837" s="6" t="s">
        <v>40</v>
      </c>
      <c r="P837" s="5" t="s">
        <v>59</v>
      </c>
      <c r="Q837" s="5" t="s">
        <v>115</v>
      </c>
      <c r="R837" s="6" t="s">
        <v>42</v>
      </c>
      <c r="S837" s="5" t="s">
        <v>129</v>
      </c>
      <c r="T837" s="5" t="s">
        <v>44</v>
      </c>
      <c r="U837" s="5" t="s">
        <v>44</v>
      </c>
      <c r="V837" s="5" t="s">
        <v>44</v>
      </c>
      <c r="W837" s="5" t="s">
        <v>35</v>
      </c>
      <c r="X837" s="8" t="s">
        <v>45</v>
      </c>
      <c r="Y837" s="5" t="s">
        <v>46</v>
      </c>
      <c r="Z837" s="5" t="s">
        <v>47</v>
      </c>
      <c r="AA837" s="5" t="s">
        <v>64</v>
      </c>
      <c r="AB837" s="5" t="s">
        <v>3747</v>
      </c>
      <c r="AC837" s="6" t="s">
        <v>50</v>
      </c>
      <c r="AD837" s="6">
        <v>1645.0</v>
      </c>
    </row>
    <row r="838" ht="56.25" customHeight="1">
      <c r="A838" s="5" t="s">
        <v>3743</v>
      </c>
      <c r="B838" s="6" t="str">
        <f>IMAGE("https://storage.googleapis.com/acdb/housewares/FtrElectricguitar2_Remake_0_1.png")</f>
        <v/>
      </c>
      <c r="C838" s="5" t="s">
        <v>3744</v>
      </c>
      <c r="D838" s="5" t="s">
        <v>34</v>
      </c>
      <c r="E838" s="5" t="s">
        <v>2817</v>
      </c>
      <c r="F838" s="5" t="s">
        <v>3454</v>
      </c>
      <c r="G838" s="5" t="s">
        <v>36</v>
      </c>
      <c r="H838" s="5" t="s">
        <v>36</v>
      </c>
      <c r="I838" s="5" t="s">
        <v>35</v>
      </c>
      <c r="J838" s="6">
        <v>7.0</v>
      </c>
      <c r="K838" s="6">
        <v>71000.0</v>
      </c>
      <c r="L838" s="6">
        <v>17750.0</v>
      </c>
      <c r="M838" s="8" t="s">
        <v>52</v>
      </c>
      <c r="N838" s="8" t="s">
        <v>54</v>
      </c>
      <c r="O838" s="6" t="s">
        <v>40</v>
      </c>
      <c r="P838" s="5" t="s">
        <v>59</v>
      </c>
      <c r="Q838" s="5" t="s">
        <v>115</v>
      </c>
      <c r="R838" s="6" t="s">
        <v>42</v>
      </c>
      <c r="S838" s="5" t="s">
        <v>129</v>
      </c>
      <c r="T838" s="5" t="s">
        <v>44</v>
      </c>
      <c r="U838" s="5" t="s">
        <v>44</v>
      </c>
      <c r="V838" s="5" t="s">
        <v>44</v>
      </c>
      <c r="W838" s="5" t="s">
        <v>35</v>
      </c>
      <c r="X838" s="8" t="s">
        <v>45</v>
      </c>
      <c r="Y838" s="5" t="s">
        <v>46</v>
      </c>
      <c r="Z838" s="5" t="s">
        <v>47</v>
      </c>
      <c r="AA838" s="5" t="s">
        <v>64</v>
      </c>
      <c r="AB838" s="5" t="s">
        <v>3753</v>
      </c>
      <c r="AC838" s="6" t="s">
        <v>217</v>
      </c>
      <c r="AD838" s="6">
        <v>1645.0</v>
      </c>
    </row>
    <row r="839" ht="56.25" customHeight="1">
      <c r="A839" s="5" t="s">
        <v>3743</v>
      </c>
      <c r="B839" s="6" t="str">
        <f>IMAGE("https://storage.googleapis.com/acdb/housewares/FtrElectricguitar2_Remake_0_2.png")</f>
        <v/>
      </c>
      <c r="C839" s="5" t="s">
        <v>3744</v>
      </c>
      <c r="D839" s="5" t="s">
        <v>34</v>
      </c>
      <c r="E839" s="5" t="s">
        <v>2827</v>
      </c>
      <c r="F839" s="5" t="s">
        <v>3454</v>
      </c>
      <c r="G839" s="5" t="s">
        <v>36</v>
      </c>
      <c r="H839" s="5" t="s">
        <v>36</v>
      </c>
      <c r="I839" s="5" t="s">
        <v>35</v>
      </c>
      <c r="J839" s="6">
        <v>7.0</v>
      </c>
      <c r="K839" s="6">
        <v>71000.0</v>
      </c>
      <c r="L839" s="6">
        <v>17750.0</v>
      </c>
      <c r="M839" s="8" t="s">
        <v>52</v>
      </c>
      <c r="N839" s="8" t="s">
        <v>57</v>
      </c>
      <c r="O839" s="6" t="s">
        <v>40</v>
      </c>
      <c r="P839" s="5" t="s">
        <v>59</v>
      </c>
      <c r="Q839" s="5" t="s">
        <v>115</v>
      </c>
      <c r="R839" s="6" t="s">
        <v>42</v>
      </c>
      <c r="S839" s="5" t="s">
        <v>129</v>
      </c>
      <c r="T839" s="5" t="s">
        <v>44</v>
      </c>
      <c r="U839" s="5" t="s">
        <v>44</v>
      </c>
      <c r="V839" s="5" t="s">
        <v>44</v>
      </c>
      <c r="W839" s="5" t="s">
        <v>35</v>
      </c>
      <c r="X839" s="8" t="s">
        <v>45</v>
      </c>
      <c r="Y839" s="5" t="s">
        <v>46</v>
      </c>
      <c r="Z839" s="5" t="s">
        <v>47</v>
      </c>
      <c r="AA839" s="5" t="s">
        <v>64</v>
      </c>
      <c r="AB839" s="5" t="s">
        <v>3757</v>
      </c>
      <c r="AC839" s="6" t="s">
        <v>347</v>
      </c>
      <c r="AD839" s="6">
        <v>1645.0</v>
      </c>
    </row>
    <row r="840" ht="56.25" customHeight="1">
      <c r="A840" s="5" t="s">
        <v>3743</v>
      </c>
      <c r="B840" s="6" t="str">
        <f>IMAGE("https://storage.googleapis.com/acdb/housewares/FtrElectricguitar2_Remake_0_3.png")</f>
        <v/>
      </c>
      <c r="C840" s="5" t="s">
        <v>3744</v>
      </c>
      <c r="D840" s="5" t="s">
        <v>34</v>
      </c>
      <c r="E840" s="5" t="s">
        <v>2833</v>
      </c>
      <c r="F840" s="5" t="s">
        <v>3454</v>
      </c>
      <c r="G840" s="5" t="s">
        <v>36</v>
      </c>
      <c r="H840" s="5" t="s">
        <v>36</v>
      </c>
      <c r="I840" s="5" t="s">
        <v>35</v>
      </c>
      <c r="J840" s="6">
        <v>7.0</v>
      </c>
      <c r="K840" s="6">
        <v>71000.0</v>
      </c>
      <c r="L840" s="6">
        <v>17750.0</v>
      </c>
      <c r="M840" s="8" t="s">
        <v>52</v>
      </c>
      <c r="N840" s="8" t="s">
        <v>106</v>
      </c>
      <c r="O840" s="6" t="s">
        <v>40</v>
      </c>
      <c r="P840" s="5" t="s">
        <v>59</v>
      </c>
      <c r="Q840" s="5" t="s">
        <v>115</v>
      </c>
      <c r="R840" s="6" t="s">
        <v>42</v>
      </c>
      <c r="S840" s="5" t="s">
        <v>129</v>
      </c>
      <c r="T840" s="5" t="s">
        <v>44</v>
      </c>
      <c r="U840" s="5" t="s">
        <v>44</v>
      </c>
      <c r="V840" s="5" t="s">
        <v>44</v>
      </c>
      <c r="W840" s="5" t="s">
        <v>35</v>
      </c>
      <c r="X840" s="8" t="s">
        <v>45</v>
      </c>
      <c r="Y840" s="5" t="s">
        <v>46</v>
      </c>
      <c r="Z840" s="5" t="s">
        <v>47</v>
      </c>
      <c r="AA840" s="5" t="s">
        <v>64</v>
      </c>
      <c r="AB840" s="5" t="s">
        <v>3761</v>
      </c>
      <c r="AC840" s="6" t="s">
        <v>354</v>
      </c>
      <c r="AD840" s="6">
        <v>1645.0</v>
      </c>
    </row>
    <row r="841" ht="56.25" customHeight="1">
      <c r="A841" s="5" t="s">
        <v>3743</v>
      </c>
      <c r="B841" s="6" t="str">
        <f>IMAGE("https://storage.googleapis.com/acdb/housewares/FtrElectricguitar2_Remake_0_4.png")</f>
        <v/>
      </c>
      <c r="C841" s="5" t="s">
        <v>3744</v>
      </c>
      <c r="D841" s="5" t="s">
        <v>34</v>
      </c>
      <c r="E841" s="5" t="s">
        <v>2841</v>
      </c>
      <c r="F841" s="5" t="s">
        <v>3454</v>
      </c>
      <c r="G841" s="5" t="s">
        <v>36</v>
      </c>
      <c r="H841" s="5" t="s">
        <v>36</v>
      </c>
      <c r="I841" s="5" t="s">
        <v>35</v>
      </c>
      <c r="J841" s="6">
        <v>7.0</v>
      </c>
      <c r="K841" s="6">
        <v>71000.0</v>
      </c>
      <c r="L841" s="6">
        <v>17750.0</v>
      </c>
      <c r="M841" s="8" t="s">
        <v>52</v>
      </c>
      <c r="N841" s="8" t="s">
        <v>96</v>
      </c>
      <c r="O841" s="6" t="s">
        <v>40</v>
      </c>
      <c r="P841" s="5" t="s">
        <v>59</v>
      </c>
      <c r="Q841" s="5" t="s">
        <v>115</v>
      </c>
      <c r="R841" s="6" t="s">
        <v>42</v>
      </c>
      <c r="S841" s="5" t="s">
        <v>129</v>
      </c>
      <c r="T841" s="5" t="s">
        <v>44</v>
      </c>
      <c r="U841" s="5" t="s">
        <v>44</v>
      </c>
      <c r="V841" s="5" t="s">
        <v>44</v>
      </c>
      <c r="W841" s="5" t="s">
        <v>35</v>
      </c>
      <c r="X841" s="8" t="s">
        <v>45</v>
      </c>
      <c r="Y841" s="5" t="s">
        <v>46</v>
      </c>
      <c r="Z841" s="5" t="s">
        <v>47</v>
      </c>
      <c r="AA841" s="5" t="s">
        <v>64</v>
      </c>
      <c r="AB841" s="5" t="s">
        <v>3765</v>
      </c>
      <c r="AC841" s="6" t="s">
        <v>486</v>
      </c>
      <c r="AD841" s="6">
        <v>1645.0</v>
      </c>
    </row>
    <row r="842" ht="56.25" customHeight="1">
      <c r="A842" s="5" t="s">
        <v>3743</v>
      </c>
      <c r="B842" s="6" t="str">
        <f>IMAGE("https://storage.googleapis.com/acdb/housewares/FtrElectricguitar2_Remake_0_5.png")</f>
        <v/>
      </c>
      <c r="C842" s="5" t="s">
        <v>3744</v>
      </c>
      <c r="D842" s="5" t="s">
        <v>34</v>
      </c>
      <c r="E842" s="5" t="s">
        <v>2848</v>
      </c>
      <c r="F842" s="5" t="s">
        <v>3454</v>
      </c>
      <c r="G842" s="5" t="s">
        <v>36</v>
      </c>
      <c r="H842" s="5" t="s">
        <v>36</v>
      </c>
      <c r="I842" s="5" t="s">
        <v>35</v>
      </c>
      <c r="J842" s="6">
        <v>7.0</v>
      </c>
      <c r="K842" s="6">
        <v>71000.0</v>
      </c>
      <c r="L842" s="6">
        <v>17750.0</v>
      </c>
      <c r="M842" s="8" t="s">
        <v>52</v>
      </c>
      <c r="N842" s="8" t="s">
        <v>1175</v>
      </c>
      <c r="O842" s="6" t="s">
        <v>40</v>
      </c>
      <c r="P842" s="5" t="s">
        <v>59</v>
      </c>
      <c r="Q842" s="5" t="s">
        <v>115</v>
      </c>
      <c r="R842" s="6" t="s">
        <v>42</v>
      </c>
      <c r="S842" s="5" t="s">
        <v>129</v>
      </c>
      <c r="T842" s="5" t="s">
        <v>44</v>
      </c>
      <c r="U842" s="5" t="s">
        <v>44</v>
      </c>
      <c r="V842" s="5" t="s">
        <v>44</v>
      </c>
      <c r="W842" s="5" t="s">
        <v>35</v>
      </c>
      <c r="X842" s="8" t="s">
        <v>45</v>
      </c>
      <c r="Y842" s="5" t="s">
        <v>46</v>
      </c>
      <c r="Z842" s="5" t="s">
        <v>47</v>
      </c>
      <c r="AA842" s="5" t="s">
        <v>64</v>
      </c>
      <c r="AB842" s="5" t="s">
        <v>3769</v>
      </c>
      <c r="AC842" s="6" t="s">
        <v>934</v>
      </c>
      <c r="AD842" s="6">
        <v>1645.0</v>
      </c>
    </row>
    <row r="843" ht="56.25" customHeight="1">
      <c r="A843" s="5" t="s">
        <v>3743</v>
      </c>
      <c r="B843" s="6" t="str">
        <f>IMAGE("https://storage.googleapis.com/acdb/housewares/FtrElectricguitar2_Remake_0_6.png")</f>
        <v/>
      </c>
      <c r="C843" s="5" t="s">
        <v>3744</v>
      </c>
      <c r="D843" s="5" t="s">
        <v>34</v>
      </c>
      <c r="E843" s="5" t="s">
        <v>2855</v>
      </c>
      <c r="F843" s="5" t="s">
        <v>3454</v>
      </c>
      <c r="G843" s="5" t="s">
        <v>36</v>
      </c>
      <c r="H843" s="5" t="s">
        <v>36</v>
      </c>
      <c r="I843" s="5" t="s">
        <v>35</v>
      </c>
      <c r="J843" s="6">
        <v>7.0</v>
      </c>
      <c r="K843" s="6">
        <v>71000.0</v>
      </c>
      <c r="L843" s="6">
        <v>17750.0</v>
      </c>
      <c r="M843" s="8" t="s">
        <v>52</v>
      </c>
      <c r="N843" s="8" t="s">
        <v>58</v>
      </c>
      <c r="O843" s="6" t="s">
        <v>40</v>
      </c>
      <c r="P843" s="5" t="s">
        <v>59</v>
      </c>
      <c r="Q843" s="5" t="s">
        <v>115</v>
      </c>
      <c r="R843" s="6" t="s">
        <v>42</v>
      </c>
      <c r="S843" s="5" t="s">
        <v>129</v>
      </c>
      <c r="T843" s="5" t="s">
        <v>44</v>
      </c>
      <c r="U843" s="5" t="s">
        <v>44</v>
      </c>
      <c r="V843" s="5" t="s">
        <v>44</v>
      </c>
      <c r="W843" s="5" t="s">
        <v>35</v>
      </c>
      <c r="X843" s="8" t="s">
        <v>45</v>
      </c>
      <c r="Y843" s="5" t="s">
        <v>46</v>
      </c>
      <c r="Z843" s="5" t="s">
        <v>47</v>
      </c>
      <c r="AA843" s="5" t="s">
        <v>64</v>
      </c>
      <c r="AB843" s="5" t="s">
        <v>3773</v>
      </c>
      <c r="AC843" s="6" t="s">
        <v>938</v>
      </c>
      <c r="AD843" s="6">
        <v>1645.0</v>
      </c>
    </row>
    <row r="844" ht="56.25" customHeight="1">
      <c r="A844" s="5" t="s">
        <v>3743</v>
      </c>
      <c r="B844" s="6" t="str">
        <f>IMAGE("https://storage.googleapis.com/acdb/housewares/FtrElectricguitar2_Remake_0_7.png")</f>
        <v/>
      </c>
      <c r="C844" s="5" t="s">
        <v>3744</v>
      </c>
      <c r="D844" s="5" t="s">
        <v>34</v>
      </c>
      <c r="E844" s="5" t="s">
        <v>2863</v>
      </c>
      <c r="F844" s="5" t="s">
        <v>3454</v>
      </c>
      <c r="G844" s="5" t="s">
        <v>36</v>
      </c>
      <c r="H844" s="5" t="s">
        <v>36</v>
      </c>
      <c r="I844" s="5" t="s">
        <v>35</v>
      </c>
      <c r="J844" s="6">
        <v>7.0</v>
      </c>
      <c r="K844" s="6">
        <v>71000.0</v>
      </c>
      <c r="L844" s="6">
        <v>17750.0</v>
      </c>
      <c r="M844" s="8" t="s">
        <v>52</v>
      </c>
      <c r="N844" s="8" t="s">
        <v>69</v>
      </c>
      <c r="O844" s="6" t="s">
        <v>40</v>
      </c>
      <c r="P844" s="5" t="s">
        <v>59</v>
      </c>
      <c r="Q844" s="5" t="s">
        <v>115</v>
      </c>
      <c r="R844" s="6" t="s">
        <v>42</v>
      </c>
      <c r="S844" s="5" t="s">
        <v>129</v>
      </c>
      <c r="T844" s="5" t="s">
        <v>44</v>
      </c>
      <c r="U844" s="5" t="s">
        <v>44</v>
      </c>
      <c r="V844" s="5" t="s">
        <v>44</v>
      </c>
      <c r="W844" s="5" t="s">
        <v>35</v>
      </c>
      <c r="X844" s="8" t="s">
        <v>45</v>
      </c>
      <c r="Y844" s="5" t="s">
        <v>46</v>
      </c>
      <c r="Z844" s="5" t="s">
        <v>47</v>
      </c>
      <c r="AA844" s="5" t="s">
        <v>64</v>
      </c>
      <c r="AB844" s="5" t="s">
        <v>3776</v>
      </c>
      <c r="AC844" s="6" t="s">
        <v>1700</v>
      </c>
      <c r="AD844" s="6">
        <v>1645.0</v>
      </c>
    </row>
    <row r="845" ht="56.25" customHeight="1">
      <c r="A845" s="5" t="s">
        <v>3743</v>
      </c>
      <c r="B845" s="6" t="str">
        <f>IMAGE("https://storage.googleapis.com/acdb/housewares/FtrElectricguitar2_Remake_1_0.png")</f>
        <v/>
      </c>
      <c r="C845" s="5" t="s">
        <v>366</v>
      </c>
      <c r="D845" s="5" t="s">
        <v>34</v>
      </c>
      <c r="E845" s="5" t="s">
        <v>44</v>
      </c>
      <c r="F845" s="5" t="s">
        <v>3454</v>
      </c>
      <c r="G845" s="5" t="s">
        <v>36</v>
      </c>
      <c r="H845" s="5" t="s">
        <v>36</v>
      </c>
      <c r="I845" s="5" t="s">
        <v>35</v>
      </c>
      <c r="J845" s="6">
        <v>7.0</v>
      </c>
      <c r="K845" s="6">
        <v>71000.0</v>
      </c>
      <c r="L845" s="6">
        <v>17750.0</v>
      </c>
      <c r="M845" s="8" t="s">
        <v>38</v>
      </c>
      <c r="N845" s="8" t="s">
        <v>38</v>
      </c>
      <c r="O845" s="6" t="s">
        <v>40</v>
      </c>
      <c r="P845" s="5" t="s">
        <v>59</v>
      </c>
      <c r="Q845" s="5" t="s">
        <v>115</v>
      </c>
      <c r="R845" s="6" t="s">
        <v>42</v>
      </c>
      <c r="S845" s="5" t="s">
        <v>129</v>
      </c>
      <c r="T845" s="5" t="s">
        <v>44</v>
      </c>
      <c r="U845" s="5" t="s">
        <v>44</v>
      </c>
      <c r="V845" s="5" t="s">
        <v>44</v>
      </c>
      <c r="W845" s="5" t="s">
        <v>35</v>
      </c>
      <c r="X845" s="8" t="s">
        <v>45</v>
      </c>
      <c r="Y845" s="5" t="s">
        <v>46</v>
      </c>
      <c r="Z845" s="5" t="s">
        <v>47</v>
      </c>
      <c r="AA845" s="5" t="s">
        <v>64</v>
      </c>
      <c r="AB845" s="5" t="s">
        <v>3780</v>
      </c>
      <c r="AC845" s="6" t="s">
        <v>56</v>
      </c>
      <c r="AD845" s="6">
        <v>1645.0</v>
      </c>
    </row>
    <row r="846" ht="56.25" customHeight="1">
      <c r="A846" s="5" t="s">
        <v>3743</v>
      </c>
      <c r="B846" s="6" t="str">
        <f>IMAGE("https://storage.googleapis.com/acdb/housewares/FtrElectricguitar2_Remake_1_1.png")</f>
        <v/>
      </c>
      <c r="C846" s="5" t="s">
        <v>366</v>
      </c>
      <c r="D846" s="5" t="s">
        <v>34</v>
      </c>
      <c r="E846" s="5" t="s">
        <v>2817</v>
      </c>
      <c r="F846" s="5" t="s">
        <v>3454</v>
      </c>
      <c r="G846" s="5" t="s">
        <v>36</v>
      </c>
      <c r="H846" s="5" t="s">
        <v>36</v>
      </c>
      <c r="I846" s="5" t="s">
        <v>35</v>
      </c>
      <c r="J846" s="6">
        <v>7.0</v>
      </c>
      <c r="K846" s="6">
        <v>71000.0</v>
      </c>
      <c r="L846" s="6">
        <v>17750.0</v>
      </c>
      <c r="M846" s="8" t="s">
        <v>38</v>
      </c>
      <c r="N846" s="8" t="s">
        <v>54</v>
      </c>
      <c r="O846" s="6" t="s">
        <v>40</v>
      </c>
      <c r="P846" s="5" t="s">
        <v>59</v>
      </c>
      <c r="Q846" s="5" t="s">
        <v>115</v>
      </c>
      <c r="R846" s="6" t="s">
        <v>42</v>
      </c>
      <c r="S846" s="5" t="s">
        <v>129</v>
      </c>
      <c r="T846" s="5" t="s">
        <v>44</v>
      </c>
      <c r="U846" s="5" t="s">
        <v>44</v>
      </c>
      <c r="V846" s="5" t="s">
        <v>44</v>
      </c>
      <c r="W846" s="5" t="s">
        <v>35</v>
      </c>
      <c r="X846" s="8" t="s">
        <v>45</v>
      </c>
      <c r="Y846" s="5" t="s">
        <v>46</v>
      </c>
      <c r="Z846" s="5" t="s">
        <v>47</v>
      </c>
      <c r="AA846" s="5" t="s">
        <v>64</v>
      </c>
      <c r="AB846" s="5" t="s">
        <v>3782</v>
      </c>
      <c r="AC846" s="6" t="s">
        <v>234</v>
      </c>
      <c r="AD846" s="6">
        <v>1645.0</v>
      </c>
    </row>
    <row r="847" ht="56.25" customHeight="1">
      <c r="A847" s="5" t="s">
        <v>3743</v>
      </c>
      <c r="B847" s="6" t="str">
        <f>IMAGE("https://storage.googleapis.com/acdb/housewares/FtrElectricguitar2_Remake_1_2.png")</f>
        <v/>
      </c>
      <c r="C847" s="5" t="s">
        <v>366</v>
      </c>
      <c r="D847" s="5" t="s">
        <v>34</v>
      </c>
      <c r="E847" s="5" t="s">
        <v>2827</v>
      </c>
      <c r="F847" s="5" t="s">
        <v>3454</v>
      </c>
      <c r="G847" s="5" t="s">
        <v>36</v>
      </c>
      <c r="H847" s="5" t="s">
        <v>36</v>
      </c>
      <c r="I847" s="5" t="s">
        <v>35</v>
      </c>
      <c r="J847" s="6">
        <v>7.0</v>
      </c>
      <c r="K847" s="6">
        <v>71000.0</v>
      </c>
      <c r="L847" s="6">
        <v>17750.0</v>
      </c>
      <c r="M847" s="8" t="s">
        <v>38</v>
      </c>
      <c r="N847" s="8" t="s">
        <v>57</v>
      </c>
      <c r="O847" s="6" t="s">
        <v>40</v>
      </c>
      <c r="P847" s="5" t="s">
        <v>59</v>
      </c>
      <c r="Q847" s="5" t="s">
        <v>115</v>
      </c>
      <c r="R847" s="6" t="s">
        <v>42</v>
      </c>
      <c r="S847" s="5" t="s">
        <v>129</v>
      </c>
      <c r="T847" s="5" t="s">
        <v>44</v>
      </c>
      <c r="U847" s="5" t="s">
        <v>44</v>
      </c>
      <c r="V847" s="5" t="s">
        <v>44</v>
      </c>
      <c r="W847" s="5" t="s">
        <v>35</v>
      </c>
      <c r="X847" s="8" t="s">
        <v>45</v>
      </c>
      <c r="Y847" s="5" t="s">
        <v>46</v>
      </c>
      <c r="Z847" s="5" t="s">
        <v>47</v>
      </c>
      <c r="AA847" s="5" t="s">
        <v>64</v>
      </c>
      <c r="AB847" s="5" t="s">
        <v>3787</v>
      </c>
      <c r="AC847" s="6" t="s">
        <v>370</v>
      </c>
      <c r="AD847" s="6">
        <v>1645.0</v>
      </c>
    </row>
    <row r="848" ht="56.25" customHeight="1">
      <c r="A848" s="5" t="s">
        <v>3743</v>
      </c>
      <c r="B848" s="6" t="str">
        <f>IMAGE("https://storage.googleapis.com/acdb/housewares/FtrElectricguitar2_Remake_1_3.png")</f>
        <v/>
      </c>
      <c r="C848" s="5" t="s">
        <v>366</v>
      </c>
      <c r="D848" s="5" t="s">
        <v>34</v>
      </c>
      <c r="E848" s="5" t="s">
        <v>2833</v>
      </c>
      <c r="F848" s="5" t="s">
        <v>3454</v>
      </c>
      <c r="G848" s="5" t="s">
        <v>36</v>
      </c>
      <c r="H848" s="5" t="s">
        <v>36</v>
      </c>
      <c r="I848" s="5" t="s">
        <v>35</v>
      </c>
      <c r="J848" s="6">
        <v>7.0</v>
      </c>
      <c r="K848" s="6">
        <v>71000.0</v>
      </c>
      <c r="L848" s="6">
        <v>17750.0</v>
      </c>
      <c r="M848" s="8" t="s">
        <v>38</v>
      </c>
      <c r="N848" s="8" t="s">
        <v>106</v>
      </c>
      <c r="O848" s="6" t="s">
        <v>40</v>
      </c>
      <c r="P848" s="5" t="s">
        <v>59</v>
      </c>
      <c r="Q848" s="5" t="s">
        <v>115</v>
      </c>
      <c r="R848" s="6" t="s">
        <v>42</v>
      </c>
      <c r="S848" s="5" t="s">
        <v>129</v>
      </c>
      <c r="T848" s="5" t="s">
        <v>44</v>
      </c>
      <c r="U848" s="5" t="s">
        <v>44</v>
      </c>
      <c r="V848" s="5" t="s">
        <v>44</v>
      </c>
      <c r="W848" s="5" t="s">
        <v>35</v>
      </c>
      <c r="X848" s="8" t="s">
        <v>45</v>
      </c>
      <c r="Y848" s="5" t="s">
        <v>46</v>
      </c>
      <c r="Z848" s="5" t="s">
        <v>47</v>
      </c>
      <c r="AA848" s="5" t="s">
        <v>64</v>
      </c>
      <c r="AB848" s="5" t="s">
        <v>3791</v>
      </c>
      <c r="AC848" s="6" t="s">
        <v>377</v>
      </c>
      <c r="AD848" s="6">
        <v>1645.0</v>
      </c>
    </row>
    <row r="849" ht="56.25" customHeight="1">
      <c r="A849" s="5" t="s">
        <v>3743</v>
      </c>
      <c r="B849" s="6" t="str">
        <f>IMAGE("https://storage.googleapis.com/acdb/housewares/FtrElectricguitar2_Remake_1_4.png")</f>
        <v/>
      </c>
      <c r="C849" s="5" t="s">
        <v>366</v>
      </c>
      <c r="D849" s="5" t="s">
        <v>34</v>
      </c>
      <c r="E849" s="5" t="s">
        <v>2841</v>
      </c>
      <c r="F849" s="5" t="s">
        <v>3454</v>
      </c>
      <c r="G849" s="5" t="s">
        <v>36</v>
      </c>
      <c r="H849" s="5" t="s">
        <v>36</v>
      </c>
      <c r="I849" s="5" t="s">
        <v>35</v>
      </c>
      <c r="J849" s="6">
        <v>7.0</v>
      </c>
      <c r="K849" s="6">
        <v>71000.0</v>
      </c>
      <c r="L849" s="6">
        <v>17750.0</v>
      </c>
      <c r="M849" s="8" t="s">
        <v>38</v>
      </c>
      <c r="N849" s="8" t="s">
        <v>96</v>
      </c>
      <c r="O849" s="6" t="s">
        <v>40</v>
      </c>
      <c r="P849" s="5" t="s">
        <v>59</v>
      </c>
      <c r="Q849" s="5" t="s">
        <v>115</v>
      </c>
      <c r="R849" s="6" t="s">
        <v>42</v>
      </c>
      <c r="S849" s="5" t="s">
        <v>129</v>
      </c>
      <c r="T849" s="5" t="s">
        <v>44</v>
      </c>
      <c r="U849" s="5" t="s">
        <v>44</v>
      </c>
      <c r="V849" s="5" t="s">
        <v>44</v>
      </c>
      <c r="W849" s="5" t="s">
        <v>35</v>
      </c>
      <c r="X849" s="8" t="s">
        <v>45</v>
      </c>
      <c r="Y849" s="5" t="s">
        <v>46</v>
      </c>
      <c r="Z849" s="5" t="s">
        <v>47</v>
      </c>
      <c r="AA849" s="5" t="s">
        <v>64</v>
      </c>
      <c r="AB849" s="5" t="s">
        <v>3795</v>
      </c>
      <c r="AC849" s="6" t="s">
        <v>520</v>
      </c>
      <c r="AD849" s="6">
        <v>1645.0</v>
      </c>
    </row>
    <row r="850" ht="56.25" customHeight="1">
      <c r="A850" s="5" t="s">
        <v>3743</v>
      </c>
      <c r="B850" s="6" t="str">
        <f>IMAGE("https://storage.googleapis.com/acdb/housewares/FtrElectricguitar2_Remake_1_5.png")</f>
        <v/>
      </c>
      <c r="C850" s="5" t="s">
        <v>366</v>
      </c>
      <c r="D850" s="5" t="s">
        <v>34</v>
      </c>
      <c r="E850" s="5" t="s">
        <v>2848</v>
      </c>
      <c r="F850" s="5" t="s">
        <v>3454</v>
      </c>
      <c r="G850" s="5" t="s">
        <v>36</v>
      </c>
      <c r="H850" s="5" t="s">
        <v>36</v>
      </c>
      <c r="I850" s="5" t="s">
        <v>35</v>
      </c>
      <c r="J850" s="6">
        <v>7.0</v>
      </c>
      <c r="K850" s="6">
        <v>71000.0</v>
      </c>
      <c r="L850" s="6">
        <v>17750.0</v>
      </c>
      <c r="M850" s="8" t="s">
        <v>38</v>
      </c>
      <c r="N850" s="8" t="s">
        <v>1175</v>
      </c>
      <c r="O850" s="6" t="s">
        <v>40</v>
      </c>
      <c r="P850" s="5" t="s">
        <v>59</v>
      </c>
      <c r="Q850" s="5" t="s">
        <v>115</v>
      </c>
      <c r="R850" s="6" t="s">
        <v>42</v>
      </c>
      <c r="S850" s="5" t="s">
        <v>129</v>
      </c>
      <c r="T850" s="5" t="s">
        <v>44</v>
      </c>
      <c r="U850" s="5" t="s">
        <v>44</v>
      </c>
      <c r="V850" s="5" t="s">
        <v>44</v>
      </c>
      <c r="W850" s="5" t="s">
        <v>35</v>
      </c>
      <c r="X850" s="8" t="s">
        <v>45</v>
      </c>
      <c r="Y850" s="5" t="s">
        <v>46</v>
      </c>
      <c r="Z850" s="5" t="s">
        <v>47</v>
      </c>
      <c r="AA850" s="5" t="s">
        <v>64</v>
      </c>
      <c r="AB850" s="5" t="s">
        <v>3798</v>
      </c>
      <c r="AC850" s="6" t="s">
        <v>1389</v>
      </c>
      <c r="AD850" s="6">
        <v>1645.0</v>
      </c>
    </row>
    <row r="851" ht="56.25" customHeight="1">
      <c r="A851" s="5" t="s">
        <v>3743</v>
      </c>
      <c r="B851" s="6" t="str">
        <f>IMAGE("https://storage.googleapis.com/acdb/housewares/FtrElectricguitar2_Remake_1_6.png")</f>
        <v/>
      </c>
      <c r="C851" s="5" t="s">
        <v>366</v>
      </c>
      <c r="D851" s="5" t="s">
        <v>34</v>
      </c>
      <c r="E851" s="5" t="s">
        <v>2855</v>
      </c>
      <c r="F851" s="5" t="s">
        <v>3454</v>
      </c>
      <c r="G851" s="5" t="s">
        <v>36</v>
      </c>
      <c r="H851" s="5" t="s">
        <v>36</v>
      </c>
      <c r="I851" s="5" t="s">
        <v>35</v>
      </c>
      <c r="J851" s="6">
        <v>7.0</v>
      </c>
      <c r="K851" s="6">
        <v>71000.0</v>
      </c>
      <c r="L851" s="6">
        <v>17750.0</v>
      </c>
      <c r="M851" s="8" t="s">
        <v>38</v>
      </c>
      <c r="N851" s="8" t="s">
        <v>58</v>
      </c>
      <c r="O851" s="6" t="s">
        <v>40</v>
      </c>
      <c r="P851" s="5" t="s">
        <v>59</v>
      </c>
      <c r="Q851" s="5" t="s">
        <v>115</v>
      </c>
      <c r="R851" s="6" t="s">
        <v>42</v>
      </c>
      <c r="S851" s="5" t="s">
        <v>129</v>
      </c>
      <c r="T851" s="5" t="s">
        <v>44</v>
      </c>
      <c r="U851" s="5" t="s">
        <v>44</v>
      </c>
      <c r="V851" s="5" t="s">
        <v>44</v>
      </c>
      <c r="W851" s="5" t="s">
        <v>35</v>
      </c>
      <c r="X851" s="8" t="s">
        <v>45</v>
      </c>
      <c r="Y851" s="5" t="s">
        <v>46</v>
      </c>
      <c r="Z851" s="5" t="s">
        <v>47</v>
      </c>
      <c r="AA851" s="5" t="s">
        <v>64</v>
      </c>
      <c r="AB851" s="5" t="s">
        <v>3802</v>
      </c>
      <c r="AC851" s="6" t="s">
        <v>1394</v>
      </c>
      <c r="AD851" s="6">
        <v>1645.0</v>
      </c>
    </row>
    <row r="852" ht="56.25" customHeight="1">
      <c r="A852" s="5" t="s">
        <v>3743</v>
      </c>
      <c r="B852" s="6" t="str">
        <f>IMAGE("https://storage.googleapis.com/acdb/housewares/FtrElectricguitar2_Remake_1_7.png")</f>
        <v/>
      </c>
      <c r="C852" s="5" t="s">
        <v>366</v>
      </c>
      <c r="D852" s="5" t="s">
        <v>34</v>
      </c>
      <c r="E852" s="5" t="s">
        <v>2863</v>
      </c>
      <c r="F852" s="5" t="s">
        <v>3454</v>
      </c>
      <c r="G852" s="5" t="s">
        <v>36</v>
      </c>
      <c r="H852" s="5" t="s">
        <v>36</v>
      </c>
      <c r="I852" s="5" t="s">
        <v>35</v>
      </c>
      <c r="J852" s="6">
        <v>7.0</v>
      </c>
      <c r="K852" s="6">
        <v>71000.0</v>
      </c>
      <c r="L852" s="6">
        <v>17750.0</v>
      </c>
      <c r="M852" s="8" t="s">
        <v>38</v>
      </c>
      <c r="N852" s="8" t="s">
        <v>69</v>
      </c>
      <c r="O852" s="6" t="s">
        <v>40</v>
      </c>
      <c r="P852" s="5" t="s">
        <v>59</v>
      </c>
      <c r="Q852" s="5" t="s">
        <v>115</v>
      </c>
      <c r="R852" s="6" t="s">
        <v>42</v>
      </c>
      <c r="S852" s="5" t="s">
        <v>129</v>
      </c>
      <c r="T852" s="5" t="s">
        <v>44</v>
      </c>
      <c r="U852" s="5" t="s">
        <v>44</v>
      </c>
      <c r="V852" s="5" t="s">
        <v>44</v>
      </c>
      <c r="W852" s="5" t="s">
        <v>35</v>
      </c>
      <c r="X852" s="8" t="s">
        <v>45</v>
      </c>
      <c r="Y852" s="5" t="s">
        <v>46</v>
      </c>
      <c r="Z852" s="5" t="s">
        <v>47</v>
      </c>
      <c r="AA852" s="5" t="s">
        <v>64</v>
      </c>
      <c r="AB852" s="5" t="s">
        <v>3806</v>
      </c>
      <c r="AC852" s="6" t="s">
        <v>1729</v>
      </c>
      <c r="AD852" s="6">
        <v>1645.0</v>
      </c>
    </row>
    <row r="853" ht="56.25" customHeight="1">
      <c r="A853" s="5" t="s">
        <v>3743</v>
      </c>
      <c r="B853" s="6" t="str">
        <f>IMAGE("https://storage.googleapis.com/acdb/housewares/FtrElectricguitar2_Remake_2_0.png")</f>
        <v/>
      </c>
      <c r="C853" s="5" t="s">
        <v>51</v>
      </c>
      <c r="D853" s="5" t="s">
        <v>34</v>
      </c>
      <c r="E853" s="5" t="s">
        <v>44</v>
      </c>
      <c r="F853" s="5" t="s">
        <v>3454</v>
      </c>
      <c r="G853" s="5" t="s">
        <v>36</v>
      </c>
      <c r="H853" s="5" t="s">
        <v>36</v>
      </c>
      <c r="I853" s="5" t="s">
        <v>35</v>
      </c>
      <c r="J853" s="6">
        <v>7.0</v>
      </c>
      <c r="K853" s="6">
        <v>71000.0</v>
      </c>
      <c r="L853" s="6">
        <v>17750.0</v>
      </c>
      <c r="M853" s="8" t="s">
        <v>52</v>
      </c>
      <c r="N853" s="8" t="s">
        <v>142</v>
      </c>
      <c r="O853" s="6" t="s">
        <v>40</v>
      </c>
      <c r="P853" s="5" t="s">
        <v>59</v>
      </c>
      <c r="Q853" s="5" t="s">
        <v>115</v>
      </c>
      <c r="R853" s="6" t="s">
        <v>42</v>
      </c>
      <c r="S853" s="5" t="s">
        <v>129</v>
      </c>
      <c r="T853" s="5" t="s">
        <v>44</v>
      </c>
      <c r="U853" s="5" t="s">
        <v>44</v>
      </c>
      <c r="V853" s="5" t="s">
        <v>44</v>
      </c>
      <c r="W853" s="5" t="s">
        <v>35</v>
      </c>
      <c r="X853" s="8" t="s">
        <v>45</v>
      </c>
      <c r="Y853" s="5" t="s">
        <v>46</v>
      </c>
      <c r="Z853" s="5" t="s">
        <v>47</v>
      </c>
      <c r="AA853" s="5" t="s">
        <v>64</v>
      </c>
      <c r="AB853" s="5" t="s">
        <v>3810</v>
      </c>
      <c r="AC853" s="6" t="s">
        <v>67</v>
      </c>
      <c r="AD853" s="6">
        <v>1645.0</v>
      </c>
    </row>
    <row r="854" ht="56.25" customHeight="1">
      <c r="A854" s="5" t="s">
        <v>3743</v>
      </c>
      <c r="B854" s="6" t="str">
        <f>IMAGE("https://storage.googleapis.com/acdb/housewares/FtrElectricguitar2_Remake_2_1.png")</f>
        <v/>
      </c>
      <c r="C854" s="5" t="s">
        <v>51</v>
      </c>
      <c r="D854" s="5" t="s">
        <v>34</v>
      </c>
      <c r="E854" s="5" t="s">
        <v>2817</v>
      </c>
      <c r="F854" s="5" t="s">
        <v>3454</v>
      </c>
      <c r="G854" s="5" t="s">
        <v>36</v>
      </c>
      <c r="H854" s="5" t="s">
        <v>36</v>
      </c>
      <c r="I854" s="5" t="s">
        <v>35</v>
      </c>
      <c r="J854" s="6">
        <v>7.0</v>
      </c>
      <c r="K854" s="6">
        <v>71000.0</v>
      </c>
      <c r="L854" s="6">
        <v>17750.0</v>
      </c>
      <c r="M854" s="8" t="s">
        <v>52</v>
      </c>
      <c r="N854" s="8" t="s">
        <v>54</v>
      </c>
      <c r="O854" s="6" t="s">
        <v>40</v>
      </c>
      <c r="P854" s="5" t="s">
        <v>59</v>
      </c>
      <c r="Q854" s="5" t="s">
        <v>115</v>
      </c>
      <c r="R854" s="6" t="s">
        <v>42</v>
      </c>
      <c r="S854" s="5" t="s">
        <v>129</v>
      </c>
      <c r="T854" s="5" t="s">
        <v>44</v>
      </c>
      <c r="U854" s="5" t="s">
        <v>44</v>
      </c>
      <c r="V854" s="5" t="s">
        <v>44</v>
      </c>
      <c r="W854" s="5" t="s">
        <v>35</v>
      </c>
      <c r="X854" s="8" t="s">
        <v>45</v>
      </c>
      <c r="Y854" s="5" t="s">
        <v>46</v>
      </c>
      <c r="Z854" s="5" t="s">
        <v>47</v>
      </c>
      <c r="AA854" s="5" t="s">
        <v>64</v>
      </c>
      <c r="AB854" s="5" t="s">
        <v>3814</v>
      </c>
      <c r="AC854" s="6" t="s">
        <v>247</v>
      </c>
      <c r="AD854" s="6">
        <v>1645.0</v>
      </c>
    </row>
    <row r="855" ht="56.25" customHeight="1">
      <c r="A855" s="5" t="s">
        <v>3743</v>
      </c>
      <c r="B855" s="6" t="str">
        <f>IMAGE("https://storage.googleapis.com/acdb/housewares/FtrElectricguitar2_Remake_2_2.png")</f>
        <v/>
      </c>
      <c r="C855" s="5" t="s">
        <v>51</v>
      </c>
      <c r="D855" s="5" t="s">
        <v>34</v>
      </c>
      <c r="E855" s="5" t="s">
        <v>2827</v>
      </c>
      <c r="F855" s="5" t="s">
        <v>3454</v>
      </c>
      <c r="G855" s="5" t="s">
        <v>36</v>
      </c>
      <c r="H855" s="5" t="s">
        <v>36</v>
      </c>
      <c r="I855" s="5" t="s">
        <v>35</v>
      </c>
      <c r="J855" s="6">
        <v>7.0</v>
      </c>
      <c r="K855" s="6">
        <v>71000.0</v>
      </c>
      <c r="L855" s="6">
        <v>17750.0</v>
      </c>
      <c r="M855" s="8" t="s">
        <v>52</v>
      </c>
      <c r="N855" s="8" t="s">
        <v>57</v>
      </c>
      <c r="O855" s="6" t="s">
        <v>40</v>
      </c>
      <c r="P855" s="5" t="s">
        <v>59</v>
      </c>
      <c r="Q855" s="5" t="s">
        <v>115</v>
      </c>
      <c r="R855" s="6" t="s">
        <v>42</v>
      </c>
      <c r="S855" s="5" t="s">
        <v>129</v>
      </c>
      <c r="T855" s="5" t="s">
        <v>44</v>
      </c>
      <c r="U855" s="5" t="s">
        <v>44</v>
      </c>
      <c r="V855" s="5" t="s">
        <v>44</v>
      </c>
      <c r="W855" s="5" t="s">
        <v>35</v>
      </c>
      <c r="X855" s="8" t="s">
        <v>45</v>
      </c>
      <c r="Y855" s="5" t="s">
        <v>46</v>
      </c>
      <c r="Z855" s="5" t="s">
        <v>47</v>
      </c>
      <c r="AA855" s="5" t="s">
        <v>64</v>
      </c>
      <c r="AB855" s="5" t="s">
        <v>3818</v>
      </c>
      <c r="AC855" s="6" t="s">
        <v>390</v>
      </c>
      <c r="AD855" s="6">
        <v>1645.0</v>
      </c>
    </row>
    <row r="856" ht="56.25" customHeight="1">
      <c r="A856" s="5" t="s">
        <v>3743</v>
      </c>
      <c r="B856" s="6" t="str">
        <f>IMAGE("https://storage.googleapis.com/acdb/housewares/FtrElectricguitar2_Remake_2_3.png")</f>
        <v/>
      </c>
      <c r="C856" s="5" t="s">
        <v>51</v>
      </c>
      <c r="D856" s="5" t="s">
        <v>34</v>
      </c>
      <c r="E856" s="5" t="s">
        <v>2833</v>
      </c>
      <c r="F856" s="5" t="s">
        <v>3454</v>
      </c>
      <c r="G856" s="5" t="s">
        <v>36</v>
      </c>
      <c r="H856" s="5" t="s">
        <v>36</v>
      </c>
      <c r="I856" s="5" t="s">
        <v>35</v>
      </c>
      <c r="J856" s="6">
        <v>7.0</v>
      </c>
      <c r="K856" s="6">
        <v>71000.0</v>
      </c>
      <c r="L856" s="6">
        <v>17750.0</v>
      </c>
      <c r="M856" s="8" t="s">
        <v>52</v>
      </c>
      <c r="N856" s="8" t="s">
        <v>106</v>
      </c>
      <c r="O856" s="6" t="s">
        <v>40</v>
      </c>
      <c r="P856" s="5" t="s">
        <v>59</v>
      </c>
      <c r="Q856" s="5" t="s">
        <v>115</v>
      </c>
      <c r="R856" s="6" t="s">
        <v>42</v>
      </c>
      <c r="S856" s="5" t="s">
        <v>129</v>
      </c>
      <c r="T856" s="5" t="s">
        <v>44</v>
      </c>
      <c r="U856" s="5" t="s">
        <v>44</v>
      </c>
      <c r="V856" s="5" t="s">
        <v>44</v>
      </c>
      <c r="W856" s="5" t="s">
        <v>35</v>
      </c>
      <c r="X856" s="8" t="s">
        <v>45</v>
      </c>
      <c r="Y856" s="5" t="s">
        <v>46</v>
      </c>
      <c r="Z856" s="5" t="s">
        <v>47</v>
      </c>
      <c r="AA856" s="5" t="s">
        <v>64</v>
      </c>
      <c r="AB856" s="5" t="s">
        <v>3822</v>
      </c>
      <c r="AC856" s="6" t="s">
        <v>396</v>
      </c>
      <c r="AD856" s="6">
        <v>1645.0</v>
      </c>
    </row>
    <row r="857" ht="56.25" customHeight="1">
      <c r="A857" s="5" t="s">
        <v>3743</v>
      </c>
      <c r="B857" s="6" t="str">
        <f>IMAGE("https://storage.googleapis.com/acdb/housewares/FtrElectricguitar2_Remake_2_4.png")</f>
        <v/>
      </c>
      <c r="C857" s="5" t="s">
        <v>51</v>
      </c>
      <c r="D857" s="5" t="s">
        <v>34</v>
      </c>
      <c r="E857" s="5" t="s">
        <v>2841</v>
      </c>
      <c r="F857" s="5" t="s">
        <v>3454</v>
      </c>
      <c r="G857" s="5" t="s">
        <v>36</v>
      </c>
      <c r="H857" s="5" t="s">
        <v>36</v>
      </c>
      <c r="I857" s="5" t="s">
        <v>35</v>
      </c>
      <c r="J857" s="6">
        <v>7.0</v>
      </c>
      <c r="K857" s="6">
        <v>71000.0</v>
      </c>
      <c r="L857" s="6">
        <v>17750.0</v>
      </c>
      <c r="M857" s="8" t="s">
        <v>52</v>
      </c>
      <c r="N857" s="8" t="s">
        <v>96</v>
      </c>
      <c r="O857" s="6" t="s">
        <v>40</v>
      </c>
      <c r="P857" s="5" t="s">
        <v>59</v>
      </c>
      <c r="Q857" s="5" t="s">
        <v>115</v>
      </c>
      <c r="R857" s="6" t="s">
        <v>42</v>
      </c>
      <c r="S857" s="5" t="s">
        <v>129</v>
      </c>
      <c r="T857" s="5" t="s">
        <v>44</v>
      </c>
      <c r="U857" s="5" t="s">
        <v>44</v>
      </c>
      <c r="V857" s="5" t="s">
        <v>44</v>
      </c>
      <c r="W857" s="5" t="s">
        <v>35</v>
      </c>
      <c r="X857" s="8" t="s">
        <v>45</v>
      </c>
      <c r="Y857" s="5" t="s">
        <v>46</v>
      </c>
      <c r="Z857" s="5" t="s">
        <v>47</v>
      </c>
      <c r="AA857" s="5" t="s">
        <v>64</v>
      </c>
      <c r="AB857" s="5" t="s">
        <v>3826</v>
      </c>
      <c r="AC857" s="6" t="s">
        <v>541</v>
      </c>
      <c r="AD857" s="6">
        <v>1645.0</v>
      </c>
    </row>
    <row r="858" ht="56.25" customHeight="1">
      <c r="A858" s="5" t="s">
        <v>3743</v>
      </c>
      <c r="B858" s="6" t="str">
        <f>IMAGE("https://storage.googleapis.com/acdb/housewares/FtrElectricguitar2_Remake_2_5.png")</f>
        <v/>
      </c>
      <c r="C858" s="5" t="s">
        <v>51</v>
      </c>
      <c r="D858" s="5" t="s">
        <v>34</v>
      </c>
      <c r="E858" s="5" t="s">
        <v>2848</v>
      </c>
      <c r="F858" s="5" t="s">
        <v>3454</v>
      </c>
      <c r="G858" s="5" t="s">
        <v>36</v>
      </c>
      <c r="H858" s="5" t="s">
        <v>36</v>
      </c>
      <c r="I858" s="5" t="s">
        <v>35</v>
      </c>
      <c r="J858" s="6">
        <v>7.0</v>
      </c>
      <c r="K858" s="6">
        <v>71000.0</v>
      </c>
      <c r="L858" s="6">
        <v>17750.0</v>
      </c>
      <c r="M858" s="8" t="s">
        <v>52</v>
      </c>
      <c r="N858" s="8" t="s">
        <v>1175</v>
      </c>
      <c r="O858" s="6" t="s">
        <v>40</v>
      </c>
      <c r="P858" s="5" t="s">
        <v>59</v>
      </c>
      <c r="Q858" s="5" t="s">
        <v>115</v>
      </c>
      <c r="R858" s="6" t="s">
        <v>42</v>
      </c>
      <c r="S858" s="5" t="s">
        <v>129</v>
      </c>
      <c r="T858" s="5" t="s">
        <v>44</v>
      </c>
      <c r="U858" s="5" t="s">
        <v>44</v>
      </c>
      <c r="V858" s="5" t="s">
        <v>44</v>
      </c>
      <c r="W858" s="5" t="s">
        <v>35</v>
      </c>
      <c r="X858" s="8" t="s">
        <v>45</v>
      </c>
      <c r="Y858" s="5" t="s">
        <v>46</v>
      </c>
      <c r="Z858" s="5" t="s">
        <v>47</v>
      </c>
      <c r="AA858" s="5" t="s">
        <v>64</v>
      </c>
      <c r="AB858" s="5" t="s">
        <v>3830</v>
      </c>
      <c r="AC858" s="6" t="s">
        <v>1415</v>
      </c>
      <c r="AD858" s="6">
        <v>1645.0</v>
      </c>
    </row>
    <row r="859" ht="56.25" customHeight="1">
      <c r="A859" s="5" t="s">
        <v>3743</v>
      </c>
      <c r="B859" s="6" t="str">
        <f>IMAGE("https://storage.googleapis.com/acdb/housewares/FtrElectricguitar2_Remake_2_6.png")</f>
        <v/>
      </c>
      <c r="C859" s="5" t="s">
        <v>51</v>
      </c>
      <c r="D859" s="5" t="s">
        <v>34</v>
      </c>
      <c r="E859" s="5" t="s">
        <v>2855</v>
      </c>
      <c r="F859" s="5" t="s">
        <v>3454</v>
      </c>
      <c r="G859" s="5" t="s">
        <v>36</v>
      </c>
      <c r="H859" s="5" t="s">
        <v>36</v>
      </c>
      <c r="I859" s="5" t="s">
        <v>35</v>
      </c>
      <c r="J859" s="6">
        <v>7.0</v>
      </c>
      <c r="K859" s="6">
        <v>71000.0</v>
      </c>
      <c r="L859" s="6">
        <v>17750.0</v>
      </c>
      <c r="M859" s="8" t="s">
        <v>52</v>
      </c>
      <c r="N859" s="8" t="s">
        <v>58</v>
      </c>
      <c r="O859" s="6" t="s">
        <v>40</v>
      </c>
      <c r="P859" s="5" t="s">
        <v>59</v>
      </c>
      <c r="Q859" s="5" t="s">
        <v>115</v>
      </c>
      <c r="R859" s="6" t="s">
        <v>42</v>
      </c>
      <c r="S859" s="5" t="s">
        <v>129</v>
      </c>
      <c r="T859" s="5" t="s">
        <v>44</v>
      </c>
      <c r="U859" s="5" t="s">
        <v>44</v>
      </c>
      <c r="V859" s="5" t="s">
        <v>44</v>
      </c>
      <c r="W859" s="5" t="s">
        <v>35</v>
      </c>
      <c r="X859" s="8" t="s">
        <v>45</v>
      </c>
      <c r="Y859" s="5" t="s">
        <v>46</v>
      </c>
      <c r="Z859" s="5" t="s">
        <v>47</v>
      </c>
      <c r="AA859" s="5" t="s">
        <v>64</v>
      </c>
      <c r="AB859" s="5" t="s">
        <v>3832</v>
      </c>
      <c r="AC859" s="6" t="s">
        <v>1421</v>
      </c>
      <c r="AD859" s="6">
        <v>1645.0</v>
      </c>
    </row>
    <row r="860" ht="56.25" customHeight="1">
      <c r="A860" s="5" t="s">
        <v>3743</v>
      </c>
      <c r="B860" s="6" t="str">
        <f>IMAGE("https://storage.googleapis.com/acdb/housewares/FtrElectricguitar2_Remake_2_7.png")</f>
        <v/>
      </c>
      <c r="C860" s="5" t="s">
        <v>51</v>
      </c>
      <c r="D860" s="5" t="s">
        <v>34</v>
      </c>
      <c r="E860" s="5" t="s">
        <v>2863</v>
      </c>
      <c r="F860" s="5" t="s">
        <v>3454</v>
      </c>
      <c r="G860" s="5" t="s">
        <v>36</v>
      </c>
      <c r="H860" s="5" t="s">
        <v>36</v>
      </c>
      <c r="I860" s="5" t="s">
        <v>35</v>
      </c>
      <c r="J860" s="6">
        <v>7.0</v>
      </c>
      <c r="K860" s="6">
        <v>71000.0</v>
      </c>
      <c r="L860" s="6">
        <v>17750.0</v>
      </c>
      <c r="M860" s="8" t="s">
        <v>52</v>
      </c>
      <c r="N860" s="8" t="s">
        <v>69</v>
      </c>
      <c r="O860" s="6" t="s">
        <v>40</v>
      </c>
      <c r="P860" s="5" t="s">
        <v>59</v>
      </c>
      <c r="Q860" s="5" t="s">
        <v>115</v>
      </c>
      <c r="R860" s="6" t="s">
        <v>42</v>
      </c>
      <c r="S860" s="5" t="s">
        <v>129</v>
      </c>
      <c r="T860" s="5" t="s">
        <v>44</v>
      </c>
      <c r="U860" s="5" t="s">
        <v>44</v>
      </c>
      <c r="V860" s="5" t="s">
        <v>44</v>
      </c>
      <c r="W860" s="5" t="s">
        <v>35</v>
      </c>
      <c r="X860" s="8" t="s">
        <v>45</v>
      </c>
      <c r="Y860" s="5" t="s">
        <v>46</v>
      </c>
      <c r="Z860" s="5" t="s">
        <v>47</v>
      </c>
      <c r="AA860" s="5" t="s">
        <v>64</v>
      </c>
      <c r="AB860" s="5" t="s">
        <v>3835</v>
      </c>
      <c r="AC860" s="6" t="s">
        <v>1759</v>
      </c>
      <c r="AD860" s="6">
        <v>1645.0</v>
      </c>
    </row>
    <row r="861" ht="56.25" customHeight="1">
      <c r="A861" s="5" t="s">
        <v>3743</v>
      </c>
      <c r="B861" s="6" t="str">
        <f>IMAGE("https://storage.googleapis.com/acdb/housewares/FtrElectricguitar2_Remake_3_0.png")</f>
        <v/>
      </c>
      <c r="C861" s="5" t="s">
        <v>3716</v>
      </c>
      <c r="D861" s="5" t="s">
        <v>34</v>
      </c>
      <c r="E861" s="5" t="s">
        <v>44</v>
      </c>
      <c r="F861" s="5" t="s">
        <v>3454</v>
      </c>
      <c r="G861" s="5" t="s">
        <v>36</v>
      </c>
      <c r="H861" s="5" t="s">
        <v>36</v>
      </c>
      <c r="I861" s="5" t="s">
        <v>35</v>
      </c>
      <c r="J861" s="6">
        <v>7.0</v>
      </c>
      <c r="K861" s="6">
        <v>71000.0</v>
      </c>
      <c r="L861" s="6">
        <v>17750.0</v>
      </c>
      <c r="M861" s="8" t="s">
        <v>39</v>
      </c>
      <c r="N861" s="8" t="s">
        <v>142</v>
      </c>
      <c r="O861" s="6" t="s">
        <v>40</v>
      </c>
      <c r="P861" s="5" t="s">
        <v>59</v>
      </c>
      <c r="Q861" s="5" t="s">
        <v>115</v>
      </c>
      <c r="R861" s="6" t="s">
        <v>42</v>
      </c>
      <c r="S861" s="5" t="s">
        <v>129</v>
      </c>
      <c r="T861" s="5" t="s">
        <v>44</v>
      </c>
      <c r="U861" s="5" t="s">
        <v>44</v>
      </c>
      <c r="V861" s="5" t="s">
        <v>44</v>
      </c>
      <c r="W861" s="5" t="s">
        <v>35</v>
      </c>
      <c r="X861" s="8" t="s">
        <v>45</v>
      </c>
      <c r="Y861" s="5" t="s">
        <v>46</v>
      </c>
      <c r="Z861" s="5" t="s">
        <v>47</v>
      </c>
      <c r="AA861" s="5" t="s">
        <v>64</v>
      </c>
      <c r="AB861" s="5" t="s">
        <v>3840</v>
      </c>
      <c r="AC861" s="6" t="s">
        <v>71</v>
      </c>
      <c r="AD861" s="6">
        <v>1645.0</v>
      </c>
    </row>
    <row r="862" ht="56.25" customHeight="1">
      <c r="A862" s="5" t="s">
        <v>3743</v>
      </c>
      <c r="B862" s="6" t="str">
        <f>IMAGE("https://storage.googleapis.com/acdb/housewares/FtrElectricguitar2_Remake_3_1.png")</f>
        <v/>
      </c>
      <c r="C862" s="5" t="s">
        <v>3716</v>
      </c>
      <c r="D862" s="5" t="s">
        <v>34</v>
      </c>
      <c r="E862" s="5" t="s">
        <v>2817</v>
      </c>
      <c r="F862" s="5" t="s">
        <v>3454</v>
      </c>
      <c r="G862" s="5" t="s">
        <v>36</v>
      </c>
      <c r="H862" s="5" t="s">
        <v>36</v>
      </c>
      <c r="I862" s="5" t="s">
        <v>35</v>
      </c>
      <c r="J862" s="6">
        <v>7.0</v>
      </c>
      <c r="K862" s="6">
        <v>71000.0</v>
      </c>
      <c r="L862" s="6">
        <v>17750.0</v>
      </c>
      <c r="M862" s="8" t="s">
        <v>39</v>
      </c>
      <c r="N862" s="8" t="s">
        <v>54</v>
      </c>
      <c r="O862" s="6" t="s">
        <v>40</v>
      </c>
      <c r="P862" s="5" t="s">
        <v>59</v>
      </c>
      <c r="Q862" s="5" t="s">
        <v>115</v>
      </c>
      <c r="R862" s="6" t="s">
        <v>42</v>
      </c>
      <c r="S862" s="5" t="s">
        <v>129</v>
      </c>
      <c r="T862" s="5" t="s">
        <v>44</v>
      </c>
      <c r="U862" s="5" t="s">
        <v>44</v>
      </c>
      <c r="V862" s="5" t="s">
        <v>44</v>
      </c>
      <c r="W862" s="5" t="s">
        <v>35</v>
      </c>
      <c r="X862" s="8" t="s">
        <v>45</v>
      </c>
      <c r="Y862" s="5" t="s">
        <v>46</v>
      </c>
      <c r="Z862" s="5" t="s">
        <v>47</v>
      </c>
      <c r="AA862" s="5" t="s">
        <v>64</v>
      </c>
      <c r="AB862" s="5" t="s">
        <v>3847</v>
      </c>
      <c r="AC862" s="6" t="s">
        <v>257</v>
      </c>
      <c r="AD862" s="6">
        <v>1645.0</v>
      </c>
    </row>
    <row r="863" ht="56.25" customHeight="1">
      <c r="A863" s="5" t="s">
        <v>3743</v>
      </c>
      <c r="B863" s="6" t="str">
        <f>IMAGE("https://storage.googleapis.com/acdb/housewares/FtrElectricguitar2_Remake_3_2.png")</f>
        <v/>
      </c>
      <c r="C863" s="5" t="s">
        <v>3716</v>
      </c>
      <c r="D863" s="5" t="s">
        <v>34</v>
      </c>
      <c r="E863" s="5" t="s">
        <v>2827</v>
      </c>
      <c r="F863" s="5" t="s">
        <v>3454</v>
      </c>
      <c r="G863" s="5" t="s">
        <v>36</v>
      </c>
      <c r="H863" s="5" t="s">
        <v>36</v>
      </c>
      <c r="I863" s="5" t="s">
        <v>35</v>
      </c>
      <c r="J863" s="6">
        <v>7.0</v>
      </c>
      <c r="K863" s="6">
        <v>71000.0</v>
      </c>
      <c r="L863" s="6">
        <v>17750.0</v>
      </c>
      <c r="M863" s="8" t="s">
        <v>39</v>
      </c>
      <c r="N863" s="8" t="s">
        <v>57</v>
      </c>
      <c r="O863" s="6" t="s">
        <v>40</v>
      </c>
      <c r="P863" s="5" t="s">
        <v>59</v>
      </c>
      <c r="Q863" s="5" t="s">
        <v>115</v>
      </c>
      <c r="R863" s="6" t="s">
        <v>42</v>
      </c>
      <c r="S863" s="5" t="s">
        <v>129</v>
      </c>
      <c r="T863" s="5" t="s">
        <v>44</v>
      </c>
      <c r="U863" s="5" t="s">
        <v>44</v>
      </c>
      <c r="V863" s="5" t="s">
        <v>44</v>
      </c>
      <c r="W863" s="5" t="s">
        <v>35</v>
      </c>
      <c r="X863" s="8" t="s">
        <v>45</v>
      </c>
      <c r="Y863" s="5" t="s">
        <v>46</v>
      </c>
      <c r="Z863" s="5" t="s">
        <v>47</v>
      </c>
      <c r="AA863" s="5" t="s">
        <v>64</v>
      </c>
      <c r="AB863" s="5" t="s">
        <v>3853</v>
      </c>
      <c r="AC863" s="6" t="s">
        <v>414</v>
      </c>
      <c r="AD863" s="6">
        <v>1645.0</v>
      </c>
    </row>
    <row r="864" ht="56.25" customHeight="1">
      <c r="A864" s="5" t="s">
        <v>3743</v>
      </c>
      <c r="B864" s="6" t="str">
        <f>IMAGE("https://storage.googleapis.com/acdb/housewares/FtrElectricguitar2_Remake_3_3.png")</f>
        <v/>
      </c>
      <c r="C864" s="5" t="s">
        <v>3716</v>
      </c>
      <c r="D864" s="5" t="s">
        <v>34</v>
      </c>
      <c r="E864" s="5" t="s">
        <v>2833</v>
      </c>
      <c r="F864" s="5" t="s">
        <v>3454</v>
      </c>
      <c r="G864" s="5" t="s">
        <v>36</v>
      </c>
      <c r="H864" s="5" t="s">
        <v>36</v>
      </c>
      <c r="I864" s="5" t="s">
        <v>35</v>
      </c>
      <c r="J864" s="6">
        <v>7.0</v>
      </c>
      <c r="K864" s="6">
        <v>71000.0</v>
      </c>
      <c r="L864" s="6">
        <v>17750.0</v>
      </c>
      <c r="M864" s="8" t="s">
        <v>39</v>
      </c>
      <c r="N864" s="8" t="s">
        <v>106</v>
      </c>
      <c r="O864" s="6" t="s">
        <v>40</v>
      </c>
      <c r="P864" s="5" t="s">
        <v>59</v>
      </c>
      <c r="Q864" s="5" t="s">
        <v>115</v>
      </c>
      <c r="R864" s="6" t="s">
        <v>42</v>
      </c>
      <c r="S864" s="5" t="s">
        <v>129</v>
      </c>
      <c r="T864" s="5" t="s">
        <v>44</v>
      </c>
      <c r="U864" s="5" t="s">
        <v>44</v>
      </c>
      <c r="V864" s="5" t="s">
        <v>44</v>
      </c>
      <c r="W864" s="5" t="s">
        <v>35</v>
      </c>
      <c r="X864" s="8" t="s">
        <v>45</v>
      </c>
      <c r="Y864" s="5" t="s">
        <v>46</v>
      </c>
      <c r="Z864" s="5" t="s">
        <v>47</v>
      </c>
      <c r="AA864" s="5" t="s">
        <v>64</v>
      </c>
      <c r="AB864" s="5" t="s">
        <v>3860</v>
      </c>
      <c r="AC864" s="6" t="s">
        <v>418</v>
      </c>
      <c r="AD864" s="6">
        <v>1645.0</v>
      </c>
    </row>
    <row r="865" ht="56.25" customHeight="1">
      <c r="A865" s="5" t="s">
        <v>3743</v>
      </c>
      <c r="B865" s="6" t="str">
        <f>IMAGE("https://storage.googleapis.com/acdb/housewares/FtrElectricguitar2_Remake_3_4.png")</f>
        <v/>
      </c>
      <c r="C865" s="5" t="s">
        <v>3716</v>
      </c>
      <c r="D865" s="5" t="s">
        <v>34</v>
      </c>
      <c r="E865" s="5" t="s">
        <v>2841</v>
      </c>
      <c r="F865" s="5" t="s">
        <v>3454</v>
      </c>
      <c r="G865" s="5" t="s">
        <v>36</v>
      </c>
      <c r="H865" s="5" t="s">
        <v>36</v>
      </c>
      <c r="I865" s="5" t="s">
        <v>35</v>
      </c>
      <c r="J865" s="6">
        <v>7.0</v>
      </c>
      <c r="K865" s="6">
        <v>71000.0</v>
      </c>
      <c r="L865" s="6">
        <v>17750.0</v>
      </c>
      <c r="M865" s="8" t="s">
        <v>39</v>
      </c>
      <c r="N865" s="8" t="s">
        <v>96</v>
      </c>
      <c r="O865" s="6" t="s">
        <v>40</v>
      </c>
      <c r="P865" s="5" t="s">
        <v>59</v>
      </c>
      <c r="Q865" s="5" t="s">
        <v>115</v>
      </c>
      <c r="R865" s="6" t="s">
        <v>42</v>
      </c>
      <c r="S865" s="5" t="s">
        <v>129</v>
      </c>
      <c r="T865" s="5" t="s">
        <v>44</v>
      </c>
      <c r="U865" s="5" t="s">
        <v>44</v>
      </c>
      <c r="V865" s="5" t="s">
        <v>44</v>
      </c>
      <c r="W865" s="5" t="s">
        <v>35</v>
      </c>
      <c r="X865" s="8" t="s">
        <v>45</v>
      </c>
      <c r="Y865" s="5" t="s">
        <v>46</v>
      </c>
      <c r="Z865" s="5" t="s">
        <v>47</v>
      </c>
      <c r="AA865" s="5" t="s">
        <v>64</v>
      </c>
      <c r="AB865" s="5" t="s">
        <v>3866</v>
      </c>
      <c r="AC865" s="6" t="s">
        <v>563</v>
      </c>
      <c r="AD865" s="6">
        <v>1645.0</v>
      </c>
    </row>
    <row r="866" ht="56.25" customHeight="1">
      <c r="A866" s="5" t="s">
        <v>3743</v>
      </c>
      <c r="B866" s="6" t="str">
        <f>IMAGE("https://storage.googleapis.com/acdb/housewares/FtrElectricguitar2_Remake_3_5.png")</f>
        <v/>
      </c>
      <c r="C866" s="5" t="s">
        <v>3716</v>
      </c>
      <c r="D866" s="5" t="s">
        <v>34</v>
      </c>
      <c r="E866" s="5" t="s">
        <v>2848</v>
      </c>
      <c r="F866" s="5" t="s">
        <v>3454</v>
      </c>
      <c r="G866" s="5" t="s">
        <v>36</v>
      </c>
      <c r="H866" s="5" t="s">
        <v>36</v>
      </c>
      <c r="I866" s="5" t="s">
        <v>35</v>
      </c>
      <c r="J866" s="6">
        <v>7.0</v>
      </c>
      <c r="K866" s="6">
        <v>71000.0</v>
      </c>
      <c r="L866" s="6">
        <v>17750.0</v>
      </c>
      <c r="M866" s="8" t="s">
        <v>39</v>
      </c>
      <c r="N866" s="8" t="s">
        <v>1175</v>
      </c>
      <c r="O866" s="6" t="s">
        <v>40</v>
      </c>
      <c r="P866" s="5" t="s">
        <v>59</v>
      </c>
      <c r="Q866" s="5" t="s">
        <v>115</v>
      </c>
      <c r="R866" s="6" t="s">
        <v>42</v>
      </c>
      <c r="S866" s="5" t="s">
        <v>129</v>
      </c>
      <c r="T866" s="5" t="s">
        <v>44</v>
      </c>
      <c r="U866" s="5" t="s">
        <v>44</v>
      </c>
      <c r="V866" s="5" t="s">
        <v>44</v>
      </c>
      <c r="W866" s="5" t="s">
        <v>35</v>
      </c>
      <c r="X866" s="8" t="s">
        <v>45</v>
      </c>
      <c r="Y866" s="5" t="s">
        <v>46</v>
      </c>
      <c r="Z866" s="5" t="s">
        <v>47</v>
      </c>
      <c r="AA866" s="5" t="s">
        <v>64</v>
      </c>
      <c r="AB866" s="5" t="s">
        <v>3873</v>
      </c>
      <c r="AC866" s="6" t="s">
        <v>1443</v>
      </c>
      <c r="AD866" s="6">
        <v>1645.0</v>
      </c>
    </row>
    <row r="867" ht="56.25" customHeight="1">
      <c r="A867" s="5" t="s">
        <v>3743</v>
      </c>
      <c r="B867" s="6" t="str">
        <f>IMAGE("https://storage.googleapis.com/acdb/housewares/FtrElectricguitar2_Remake_3_6.png")</f>
        <v/>
      </c>
      <c r="C867" s="5" t="s">
        <v>3716</v>
      </c>
      <c r="D867" s="5" t="s">
        <v>34</v>
      </c>
      <c r="E867" s="5" t="s">
        <v>2855</v>
      </c>
      <c r="F867" s="5" t="s">
        <v>3454</v>
      </c>
      <c r="G867" s="5" t="s">
        <v>36</v>
      </c>
      <c r="H867" s="5" t="s">
        <v>36</v>
      </c>
      <c r="I867" s="5" t="s">
        <v>35</v>
      </c>
      <c r="J867" s="6">
        <v>7.0</v>
      </c>
      <c r="K867" s="6">
        <v>71000.0</v>
      </c>
      <c r="L867" s="6">
        <v>17750.0</v>
      </c>
      <c r="M867" s="8" t="s">
        <v>39</v>
      </c>
      <c r="N867" s="8" t="s">
        <v>58</v>
      </c>
      <c r="O867" s="6" t="s">
        <v>40</v>
      </c>
      <c r="P867" s="5" t="s">
        <v>59</v>
      </c>
      <c r="Q867" s="5" t="s">
        <v>115</v>
      </c>
      <c r="R867" s="6" t="s">
        <v>42</v>
      </c>
      <c r="S867" s="5" t="s">
        <v>129</v>
      </c>
      <c r="T867" s="5" t="s">
        <v>44</v>
      </c>
      <c r="U867" s="5" t="s">
        <v>44</v>
      </c>
      <c r="V867" s="5" t="s">
        <v>44</v>
      </c>
      <c r="W867" s="5" t="s">
        <v>35</v>
      </c>
      <c r="X867" s="8" t="s">
        <v>45</v>
      </c>
      <c r="Y867" s="5" t="s">
        <v>46</v>
      </c>
      <c r="Z867" s="5" t="s">
        <v>47</v>
      </c>
      <c r="AA867" s="5" t="s">
        <v>64</v>
      </c>
      <c r="AB867" s="5" t="s">
        <v>3879</v>
      </c>
      <c r="AC867" s="6" t="s">
        <v>1450</v>
      </c>
      <c r="AD867" s="6">
        <v>1645.0</v>
      </c>
    </row>
    <row r="868" ht="56.25" customHeight="1">
      <c r="A868" s="5" t="s">
        <v>3743</v>
      </c>
      <c r="B868" s="6" t="str">
        <f>IMAGE("https://storage.googleapis.com/acdb/housewares/FtrElectricguitar2_Remake_3_7.png")</f>
        <v/>
      </c>
      <c r="C868" s="5" t="s">
        <v>3716</v>
      </c>
      <c r="D868" s="5" t="s">
        <v>34</v>
      </c>
      <c r="E868" s="5" t="s">
        <v>2863</v>
      </c>
      <c r="F868" s="5" t="s">
        <v>3454</v>
      </c>
      <c r="G868" s="5" t="s">
        <v>36</v>
      </c>
      <c r="H868" s="5" t="s">
        <v>36</v>
      </c>
      <c r="I868" s="5" t="s">
        <v>35</v>
      </c>
      <c r="J868" s="6">
        <v>7.0</v>
      </c>
      <c r="K868" s="6">
        <v>71000.0</v>
      </c>
      <c r="L868" s="6">
        <v>17750.0</v>
      </c>
      <c r="M868" s="8" t="s">
        <v>39</v>
      </c>
      <c r="N868" s="8" t="s">
        <v>69</v>
      </c>
      <c r="O868" s="6" t="s">
        <v>40</v>
      </c>
      <c r="P868" s="5" t="s">
        <v>59</v>
      </c>
      <c r="Q868" s="5" t="s">
        <v>115</v>
      </c>
      <c r="R868" s="6" t="s">
        <v>42</v>
      </c>
      <c r="S868" s="5" t="s">
        <v>129</v>
      </c>
      <c r="T868" s="5" t="s">
        <v>44</v>
      </c>
      <c r="U868" s="5" t="s">
        <v>44</v>
      </c>
      <c r="V868" s="5" t="s">
        <v>44</v>
      </c>
      <c r="W868" s="5" t="s">
        <v>35</v>
      </c>
      <c r="X868" s="8" t="s">
        <v>45</v>
      </c>
      <c r="Y868" s="5" t="s">
        <v>46</v>
      </c>
      <c r="Z868" s="5" t="s">
        <v>47</v>
      </c>
      <c r="AA868" s="5" t="s">
        <v>64</v>
      </c>
      <c r="AB868" s="5" t="s">
        <v>3885</v>
      </c>
      <c r="AC868" s="6" t="s">
        <v>1792</v>
      </c>
      <c r="AD868" s="6">
        <v>1645.0</v>
      </c>
    </row>
    <row r="869" ht="56.25" customHeight="1">
      <c r="A869" s="5" t="s">
        <v>3743</v>
      </c>
      <c r="B869" s="6" t="str">
        <f>IMAGE("https://storage.googleapis.com/acdb/housewares/FtrElectricguitar2_Remake_4_0.png")</f>
        <v/>
      </c>
      <c r="C869" s="5" t="s">
        <v>3888</v>
      </c>
      <c r="D869" s="5" t="s">
        <v>34</v>
      </c>
      <c r="E869" s="5" t="s">
        <v>44</v>
      </c>
      <c r="F869" s="5" t="s">
        <v>3454</v>
      </c>
      <c r="G869" s="5" t="s">
        <v>36</v>
      </c>
      <c r="H869" s="5" t="s">
        <v>36</v>
      </c>
      <c r="I869" s="5" t="s">
        <v>35</v>
      </c>
      <c r="J869" s="6">
        <v>7.0</v>
      </c>
      <c r="K869" s="6">
        <v>71000.0</v>
      </c>
      <c r="L869" s="6">
        <v>17750.0</v>
      </c>
      <c r="M869" s="8" t="s">
        <v>1175</v>
      </c>
      <c r="N869" s="8" t="s">
        <v>1175</v>
      </c>
      <c r="O869" s="6" t="s">
        <v>40</v>
      </c>
      <c r="P869" s="5" t="s">
        <v>59</v>
      </c>
      <c r="Q869" s="5" t="s">
        <v>115</v>
      </c>
      <c r="R869" s="6" t="s">
        <v>42</v>
      </c>
      <c r="S869" s="5" t="s">
        <v>129</v>
      </c>
      <c r="T869" s="5" t="s">
        <v>44</v>
      </c>
      <c r="U869" s="5" t="s">
        <v>44</v>
      </c>
      <c r="V869" s="5" t="s">
        <v>44</v>
      </c>
      <c r="W869" s="5" t="s">
        <v>35</v>
      </c>
      <c r="X869" s="8" t="s">
        <v>45</v>
      </c>
      <c r="Y869" s="5" t="s">
        <v>46</v>
      </c>
      <c r="Z869" s="5" t="s">
        <v>47</v>
      </c>
      <c r="AA869" s="5" t="s">
        <v>64</v>
      </c>
      <c r="AB869" s="5" t="s">
        <v>3890</v>
      </c>
      <c r="AC869" s="6" t="s">
        <v>75</v>
      </c>
      <c r="AD869" s="6">
        <v>1645.0</v>
      </c>
    </row>
    <row r="870" ht="56.25" customHeight="1">
      <c r="A870" s="5" t="s">
        <v>3743</v>
      </c>
      <c r="B870" s="6" t="str">
        <f>IMAGE("https://storage.googleapis.com/acdb/housewares/FtrElectricguitar2_Remake_4_1.png")</f>
        <v/>
      </c>
      <c r="C870" s="5" t="s">
        <v>3888</v>
      </c>
      <c r="D870" s="5" t="s">
        <v>34</v>
      </c>
      <c r="E870" s="5" t="s">
        <v>2817</v>
      </c>
      <c r="F870" s="5" t="s">
        <v>3454</v>
      </c>
      <c r="G870" s="5" t="s">
        <v>36</v>
      </c>
      <c r="H870" s="5" t="s">
        <v>36</v>
      </c>
      <c r="I870" s="5" t="s">
        <v>35</v>
      </c>
      <c r="J870" s="6">
        <v>7.0</v>
      </c>
      <c r="K870" s="6">
        <v>71000.0</v>
      </c>
      <c r="L870" s="6">
        <v>17750.0</v>
      </c>
      <c r="M870" s="8" t="s">
        <v>1175</v>
      </c>
      <c r="N870" s="8" t="s">
        <v>54</v>
      </c>
      <c r="O870" s="6" t="s">
        <v>40</v>
      </c>
      <c r="P870" s="5" t="s">
        <v>59</v>
      </c>
      <c r="Q870" s="5" t="s">
        <v>115</v>
      </c>
      <c r="R870" s="6" t="s">
        <v>42</v>
      </c>
      <c r="S870" s="5" t="s">
        <v>129</v>
      </c>
      <c r="T870" s="5" t="s">
        <v>44</v>
      </c>
      <c r="U870" s="5" t="s">
        <v>44</v>
      </c>
      <c r="V870" s="5" t="s">
        <v>44</v>
      </c>
      <c r="W870" s="5" t="s">
        <v>35</v>
      </c>
      <c r="X870" s="8" t="s">
        <v>45</v>
      </c>
      <c r="Y870" s="5" t="s">
        <v>46</v>
      </c>
      <c r="Z870" s="5" t="s">
        <v>47</v>
      </c>
      <c r="AA870" s="5" t="s">
        <v>64</v>
      </c>
      <c r="AB870" s="5" t="s">
        <v>3897</v>
      </c>
      <c r="AC870" s="6" t="s">
        <v>429</v>
      </c>
      <c r="AD870" s="6">
        <v>1645.0</v>
      </c>
    </row>
    <row r="871" ht="56.25" customHeight="1">
      <c r="A871" s="5" t="s">
        <v>3743</v>
      </c>
      <c r="B871" s="6" t="str">
        <f>IMAGE("https://storage.googleapis.com/acdb/housewares/FtrElectricguitar2_Remake_4_2.png")</f>
        <v/>
      </c>
      <c r="C871" s="5" t="s">
        <v>3888</v>
      </c>
      <c r="D871" s="5" t="s">
        <v>34</v>
      </c>
      <c r="E871" s="5" t="s">
        <v>2827</v>
      </c>
      <c r="F871" s="5" t="s">
        <v>3454</v>
      </c>
      <c r="G871" s="5" t="s">
        <v>36</v>
      </c>
      <c r="H871" s="5" t="s">
        <v>36</v>
      </c>
      <c r="I871" s="5" t="s">
        <v>35</v>
      </c>
      <c r="J871" s="6">
        <v>7.0</v>
      </c>
      <c r="K871" s="6">
        <v>71000.0</v>
      </c>
      <c r="L871" s="6">
        <v>17750.0</v>
      </c>
      <c r="M871" s="8" t="s">
        <v>1175</v>
      </c>
      <c r="N871" s="8" t="s">
        <v>57</v>
      </c>
      <c r="O871" s="6" t="s">
        <v>40</v>
      </c>
      <c r="P871" s="5" t="s">
        <v>59</v>
      </c>
      <c r="Q871" s="5" t="s">
        <v>115</v>
      </c>
      <c r="R871" s="6" t="s">
        <v>42</v>
      </c>
      <c r="S871" s="5" t="s">
        <v>129</v>
      </c>
      <c r="T871" s="5" t="s">
        <v>44</v>
      </c>
      <c r="U871" s="5" t="s">
        <v>44</v>
      </c>
      <c r="V871" s="5" t="s">
        <v>44</v>
      </c>
      <c r="W871" s="5" t="s">
        <v>35</v>
      </c>
      <c r="X871" s="8" t="s">
        <v>45</v>
      </c>
      <c r="Y871" s="5" t="s">
        <v>46</v>
      </c>
      <c r="Z871" s="5" t="s">
        <v>47</v>
      </c>
      <c r="AA871" s="5" t="s">
        <v>64</v>
      </c>
      <c r="AB871" s="5" t="s">
        <v>3901</v>
      </c>
      <c r="AC871" s="6" t="s">
        <v>434</v>
      </c>
      <c r="AD871" s="6">
        <v>1645.0</v>
      </c>
    </row>
    <row r="872" ht="56.25" customHeight="1">
      <c r="A872" s="5" t="s">
        <v>3743</v>
      </c>
      <c r="B872" s="6" t="str">
        <f>IMAGE("https://storage.googleapis.com/acdb/housewares/FtrElectricguitar2_Remake_4_3.png")</f>
        <v/>
      </c>
      <c r="C872" s="5" t="s">
        <v>3888</v>
      </c>
      <c r="D872" s="5" t="s">
        <v>34</v>
      </c>
      <c r="E872" s="5" t="s">
        <v>2833</v>
      </c>
      <c r="F872" s="5" t="s">
        <v>3454</v>
      </c>
      <c r="G872" s="5" t="s">
        <v>36</v>
      </c>
      <c r="H872" s="5" t="s">
        <v>36</v>
      </c>
      <c r="I872" s="5" t="s">
        <v>35</v>
      </c>
      <c r="J872" s="6">
        <v>7.0</v>
      </c>
      <c r="K872" s="6">
        <v>71000.0</v>
      </c>
      <c r="L872" s="6">
        <v>17750.0</v>
      </c>
      <c r="M872" s="8" t="s">
        <v>1175</v>
      </c>
      <c r="N872" s="8" t="s">
        <v>106</v>
      </c>
      <c r="O872" s="6" t="s">
        <v>40</v>
      </c>
      <c r="P872" s="5" t="s">
        <v>59</v>
      </c>
      <c r="Q872" s="5" t="s">
        <v>115</v>
      </c>
      <c r="R872" s="6" t="s">
        <v>42</v>
      </c>
      <c r="S872" s="5" t="s">
        <v>129</v>
      </c>
      <c r="T872" s="5" t="s">
        <v>44</v>
      </c>
      <c r="U872" s="5" t="s">
        <v>44</v>
      </c>
      <c r="V872" s="5" t="s">
        <v>44</v>
      </c>
      <c r="W872" s="5" t="s">
        <v>35</v>
      </c>
      <c r="X872" s="8" t="s">
        <v>45</v>
      </c>
      <c r="Y872" s="5" t="s">
        <v>46</v>
      </c>
      <c r="Z872" s="5" t="s">
        <v>47</v>
      </c>
      <c r="AA872" s="5" t="s">
        <v>64</v>
      </c>
      <c r="AB872" s="5" t="s">
        <v>3903</v>
      </c>
      <c r="AC872" s="6" t="s">
        <v>438</v>
      </c>
      <c r="AD872" s="6">
        <v>1645.0</v>
      </c>
    </row>
    <row r="873" ht="56.25" customHeight="1">
      <c r="A873" s="5" t="s">
        <v>3743</v>
      </c>
      <c r="B873" s="6" t="str">
        <f>IMAGE("https://storage.googleapis.com/acdb/housewares/FtrElectricguitar2_Remake_4_4.png")</f>
        <v/>
      </c>
      <c r="C873" s="5" t="s">
        <v>3888</v>
      </c>
      <c r="D873" s="5" t="s">
        <v>34</v>
      </c>
      <c r="E873" s="5" t="s">
        <v>2841</v>
      </c>
      <c r="F873" s="5" t="s">
        <v>3454</v>
      </c>
      <c r="G873" s="5" t="s">
        <v>36</v>
      </c>
      <c r="H873" s="5" t="s">
        <v>36</v>
      </c>
      <c r="I873" s="5" t="s">
        <v>35</v>
      </c>
      <c r="J873" s="6">
        <v>7.0</v>
      </c>
      <c r="K873" s="6">
        <v>71000.0</v>
      </c>
      <c r="L873" s="6">
        <v>17750.0</v>
      </c>
      <c r="M873" s="8" t="s">
        <v>1175</v>
      </c>
      <c r="N873" s="8" t="s">
        <v>96</v>
      </c>
      <c r="O873" s="6" t="s">
        <v>40</v>
      </c>
      <c r="P873" s="5" t="s">
        <v>59</v>
      </c>
      <c r="Q873" s="5" t="s">
        <v>115</v>
      </c>
      <c r="R873" s="6" t="s">
        <v>42</v>
      </c>
      <c r="S873" s="5" t="s">
        <v>129</v>
      </c>
      <c r="T873" s="5" t="s">
        <v>44</v>
      </c>
      <c r="U873" s="5" t="s">
        <v>44</v>
      </c>
      <c r="V873" s="5" t="s">
        <v>44</v>
      </c>
      <c r="W873" s="5" t="s">
        <v>35</v>
      </c>
      <c r="X873" s="8" t="s">
        <v>45</v>
      </c>
      <c r="Y873" s="5" t="s">
        <v>46</v>
      </c>
      <c r="Z873" s="5" t="s">
        <v>47</v>
      </c>
      <c r="AA873" s="5" t="s">
        <v>64</v>
      </c>
      <c r="AB873" s="5" t="s">
        <v>3908</v>
      </c>
      <c r="AC873" s="6" t="s">
        <v>585</v>
      </c>
      <c r="AD873" s="6">
        <v>1645.0</v>
      </c>
    </row>
    <row r="874" ht="56.25" customHeight="1">
      <c r="A874" s="5" t="s">
        <v>3743</v>
      </c>
      <c r="B874" s="6" t="str">
        <f>IMAGE("https://storage.googleapis.com/acdb/housewares/FtrElectricguitar2_Remake_4_5.png")</f>
        <v/>
      </c>
      <c r="C874" s="5" t="s">
        <v>3888</v>
      </c>
      <c r="D874" s="5" t="s">
        <v>34</v>
      </c>
      <c r="E874" s="5" t="s">
        <v>2848</v>
      </c>
      <c r="F874" s="5" t="s">
        <v>3454</v>
      </c>
      <c r="G874" s="5" t="s">
        <v>36</v>
      </c>
      <c r="H874" s="5" t="s">
        <v>36</v>
      </c>
      <c r="I874" s="5" t="s">
        <v>35</v>
      </c>
      <c r="J874" s="6">
        <v>7.0</v>
      </c>
      <c r="K874" s="6">
        <v>71000.0</v>
      </c>
      <c r="L874" s="6">
        <v>17750.0</v>
      </c>
      <c r="M874" s="8" t="s">
        <v>1175</v>
      </c>
      <c r="N874" s="8" t="s">
        <v>1175</v>
      </c>
      <c r="O874" s="6" t="s">
        <v>40</v>
      </c>
      <c r="P874" s="5" t="s">
        <v>59</v>
      </c>
      <c r="Q874" s="5" t="s">
        <v>115</v>
      </c>
      <c r="R874" s="6" t="s">
        <v>42</v>
      </c>
      <c r="S874" s="5" t="s">
        <v>129</v>
      </c>
      <c r="T874" s="5" t="s">
        <v>44</v>
      </c>
      <c r="U874" s="5" t="s">
        <v>44</v>
      </c>
      <c r="V874" s="5" t="s">
        <v>44</v>
      </c>
      <c r="W874" s="5" t="s">
        <v>35</v>
      </c>
      <c r="X874" s="8" t="s">
        <v>45</v>
      </c>
      <c r="Y874" s="5" t="s">
        <v>46</v>
      </c>
      <c r="Z874" s="5" t="s">
        <v>47</v>
      </c>
      <c r="AA874" s="5" t="s">
        <v>64</v>
      </c>
      <c r="AB874" s="5" t="s">
        <v>3912</v>
      </c>
      <c r="AC874" s="6" t="s">
        <v>1816</v>
      </c>
      <c r="AD874" s="6">
        <v>1645.0</v>
      </c>
    </row>
    <row r="875" ht="56.25" customHeight="1">
      <c r="A875" s="5" t="s">
        <v>3743</v>
      </c>
      <c r="B875" s="6" t="str">
        <f>IMAGE("https://storage.googleapis.com/acdb/housewares/FtrElectricguitar2_Remake_4_6.png")</f>
        <v/>
      </c>
      <c r="C875" s="5" t="s">
        <v>3888</v>
      </c>
      <c r="D875" s="5" t="s">
        <v>34</v>
      </c>
      <c r="E875" s="5" t="s">
        <v>2855</v>
      </c>
      <c r="F875" s="5" t="s">
        <v>3454</v>
      </c>
      <c r="G875" s="5" t="s">
        <v>36</v>
      </c>
      <c r="H875" s="5" t="s">
        <v>36</v>
      </c>
      <c r="I875" s="5" t="s">
        <v>35</v>
      </c>
      <c r="J875" s="6">
        <v>7.0</v>
      </c>
      <c r="K875" s="6">
        <v>71000.0</v>
      </c>
      <c r="L875" s="6">
        <v>17750.0</v>
      </c>
      <c r="M875" s="8" t="s">
        <v>1175</v>
      </c>
      <c r="N875" s="8" t="s">
        <v>58</v>
      </c>
      <c r="O875" s="6" t="s">
        <v>40</v>
      </c>
      <c r="P875" s="5" t="s">
        <v>59</v>
      </c>
      <c r="Q875" s="5" t="s">
        <v>115</v>
      </c>
      <c r="R875" s="6" t="s">
        <v>42</v>
      </c>
      <c r="S875" s="5" t="s">
        <v>129</v>
      </c>
      <c r="T875" s="5" t="s">
        <v>44</v>
      </c>
      <c r="U875" s="5" t="s">
        <v>44</v>
      </c>
      <c r="V875" s="5" t="s">
        <v>44</v>
      </c>
      <c r="W875" s="5" t="s">
        <v>35</v>
      </c>
      <c r="X875" s="8" t="s">
        <v>45</v>
      </c>
      <c r="Y875" s="5" t="s">
        <v>46</v>
      </c>
      <c r="Z875" s="5" t="s">
        <v>47</v>
      </c>
      <c r="AA875" s="5" t="s">
        <v>64</v>
      </c>
      <c r="AB875" s="5" t="s">
        <v>3915</v>
      </c>
      <c r="AC875" s="6" t="s">
        <v>1820</v>
      </c>
      <c r="AD875" s="6">
        <v>1645.0</v>
      </c>
    </row>
    <row r="876" ht="56.25" customHeight="1">
      <c r="A876" s="5" t="s">
        <v>3743</v>
      </c>
      <c r="B876" s="6" t="str">
        <f>IMAGE("https://storage.googleapis.com/acdb/housewares/FtrElectricguitar2_Remake_4_7.png")</f>
        <v/>
      </c>
      <c r="C876" s="5" t="s">
        <v>3888</v>
      </c>
      <c r="D876" s="5" t="s">
        <v>34</v>
      </c>
      <c r="E876" s="5" t="s">
        <v>2863</v>
      </c>
      <c r="F876" s="5" t="s">
        <v>3454</v>
      </c>
      <c r="G876" s="5" t="s">
        <v>36</v>
      </c>
      <c r="H876" s="5" t="s">
        <v>36</v>
      </c>
      <c r="I876" s="5" t="s">
        <v>35</v>
      </c>
      <c r="J876" s="6">
        <v>7.0</v>
      </c>
      <c r="K876" s="6">
        <v>71000.0</v>
      </c>
      <c r="L876" s="6">
        <v>17750.0</v>
      </c>
      <c r="M876" s="8" t="s">
        <v>1175</v>
      </c>
      <c r="N876" s="8" t="s">
        <v>69</v>
      </c>
      <c r="O876" s="6" t="s">
        <v>40</v>
      </c>
      <c r="P876" s="5" t="s">
        <v>59</v>
      </c>
      <c r="Q876" s="5" t="s">
        <v>115</v>
      </c>
      <c r="R876" s="6" t="s">
        <v>42</v>
      </c>
      <c r="S876" s="5" t="s">
        <v>129</v>
      </c>
      <c r="T876" s="5" t="s">
        <v>44</v>
      </c>
      <c r="U876" s="5" t="s">
        <v>44</v>
      </c>
      <c r="V876" s="5" t="s">
        <v>44</v>
      </c>
      <c r="W876" s="5" t="s">
        <v>35</v>
      </c>
      <c r="X876" s="8" t="s">
        <v>45</v>
      </c>
      <c r="Y876" s="5" t="s">
        <v>46</v>
      </c>
      <c r="Z876" s="5" t="s">
        <v>47</v>
      </c>
      <c r="AA876" s="5" t="s">
        <v>64</v>
      </c>
      <c r="AB876" s="5" t="s">
        <v>3921</v>
      </c>
      <c r="AC876" s="6" t="s">
        <v>1825</v>
      </c>
      <c r="AD876" s="6">
        <v>1645.0</v>
      </c>
    </row>
    <row r="877" ht="56.25" customHeight="1">
      <c r="A877" s="5" t="s">
        <v>3743</v>
      </c>
      <c r="B877" s="6" t="str">
        <f>IMAGE("https://storage.googleapis.com/acdb/housewares/FtrElectricguitar2_Remake_5_0.png")</f>
        <v/>
      </c>
      <c r="C877" s="5" t="s">
        <v>3707</v>
      </c>
      <c r="D877" s="5" t="s">
        <v>34</v>
      </c>
      <c r="E877" s="5" t="s">
        <v>44</v>
      </c>
      <c r="F877" s="5" t="s">
        <v>3454</v>
      </c>
      <c r="G877" s="5" t="s">
        <v>36</v>
      </c>
      <c r="H877" s="5" t="s">
        <v>36</v>
      </c>
      <c r="I877" s="5" t="s">
        <v>35</v>
      </c>
      <c r="J877" s="6">
        <v>7.0</v>
      </c>
      <c r="K877" s="6">
        <v>71000.0</v>
      </c>
      <c r="L877" s="6">
        <v>17750.0</v>
      </c>
      <c r="M877" s="8" t="s">
        <v>57</v>
      </c>
      <c r="N877" s="8" t="s">
        <v>38</v>
      </c>
      <c r="O877" s="6" t="s">
        <v>40</v>
      </c>
      <c r="P877" s="5" t="s">
        <v>59</v>
      </c>
      <c r="Q877" s="5" t="s">
        <v>115</v>
      </c>
      <c r="R877" s="6" t="s">
        <v>42</v>
      </c>
      <c r="S877" s="5" t="s">
        <v>129</v>
      </c>
      <c r="T877" s="5" t="s">
        <v>44</v>
      </c>
      <c r="U877" s="5" t="s">
        <v>44</v>
      </c>
      <c r="V877" s="5" t="s">
        <v>44</v>
      </c>
      <c r="W877" s="5" t="s">
        <v>35</v>
      </c>
      <c r="X877" s="8" t="s">
        <v>45</v>
      </c>
      <c r="Y877" s="5" t="s">
        <v>46</v>
      </c>
      <c r="Z877" s="5" t="s">
        <v>47</v>
      </c>
      <c r="AA877" s="5" t="s">
        <v>64</v>
      </c>
      <c r="AB877" s="5" t="s">
        <v>3927</v>
      </c>
      <c r="AC877" s="6" t="s">
        <v>79</v>
      </c>
      <c r="AD877" s="6">
        <v>1645.0</v>
      </c>
    </row>
    <row r="878" ht="56.25" customHeight="1">
      <c r="A878" s="5" t="s">
        <v>3743</v>
      </c>
      <c r="B878" s="6" t="str">
        <f>IMAGE("https://storage.googleapis.com/acdb/housewares/FtrElectricguitar2_Remake_5_1.png")</f>
        <v/>
      </c>
      <c r="C878" s="5" t="s">
        <v>3707</v>
      </c>
      <c r="D878" s="5" t="s">
        <v>34</v>
      </c>
      <c r="E878" s="5" t="s">
        <v>2817</v>
      </c>
      <c r="F878" s="5" t="s">
        <v>3454</v>
      </c>
      <c r="G878" s="5" t="s">
        <v>36</v>
      </c>
      <c r="H878" s="5" t="s">
        <v>36</v>
      </c>
      <c r="I878" s="5" t="s">
        <v>35</v>
      </c>
      <c r="J878" s="6">
        <v>7.0</v>
      </c>
      <c r="K878" s="6">
        <v>71000.0</v>
      </c>
      <c r="L878" s="6">
        <v>17750.0</v>
      </c>
      <c r="M878" s="8" t="s">
        <v>57</v>
      </c>
      <c r="N878" s="8" t="s">
        <v>54</v>
      </c>
      <c r="O878" s="6" t="s">
        <v>40</v>
      </c>
      <c r="P878" s="5" t="s">
        <v>59</v>
      </c>
      <c r="Q878" s="5" t="s">
        <v>115</v>
      </c>
      <c r="R878" s="6" t="s">
        <v>42</v>
      </c>
      <c r="S878" s="5" t="s">
        <v>129</v>
      </c>
      <c r="T878" s="5" t="s">
        <v>44</v>
      </c>
      <c r="U878" s="5" t="s">
        <v>44</v>
      </c>
      <c r="V878" s="5" t="s">
        <v>44</v>
      </c>
      <c r="W878" s="5" t="s">
        <v>35</v>
      </c>
      <c r="X878" s="8" t="s">
        <v>45</v>
      </c>
      <c r="Y878" s="5" t="s">
        <v>46</v>
      </c>
      <c r="Z878" s="5" t="s">
        <v>47</v>
      </c>
      <c r="AA878" s="5" t="s">
        <v>64</v>
      </c>
      <c r="AB878" s="5" t="s">
        <v>3934</v>
      </c>
      <c r="AC878" s="6" t="s">
        <v>448</v>
      </c>
      <c r="AD878" s="6">
        <v>1645.0</v>
      </c>
    </row>
    <row r="879" ht="56.25" customHeight="1">
      <c r="A879" s="5" t="s">
        <v>3743</v>
      </c>
      <c r="B879" s="6" t="str">
        <f>IMAGE("https://storage.googleapis.com/acdb/housewares/FtrElectricguitar2_Remake_5_2.png")</f>
        <v/>
      </c>
      <c r="C879" s="5" t="s">
        <v>3707</v>
      </c>
      <c r="D879" s="5" t="s">
        <v>34</v>
      </c>
      <c r="E879" s="5" t="s">
        <v>2827</v>
      </c>
      <c r="F879" s="5" t="s">
        <v>3454</v>
      </c>
      <c r="G879" s="5" t="s">
        <v>36</v>
      </c>
      <c r="H879" s="5" t="s">
        <v>36</v>
      </c>
      <c r="I879" s="5" t="s">
        <v>35</v>
      </c>
      <c r="J879" s="6">
        <v>7.0</v>
      </c>
      <c r="K879" s="6">
        <v>71000.0</v>
      </c>
      <c r="L879" s="6">
        <v>17750.0</v>
      </c>
      <c r="M879" s="8" t="s">
        <v>57</v>
      </c>
      <c r="N879" s="8" t="s">
        <v>57</v>
      </c>
      <c r="O879" s="6" t="s">
        <v>40</v>
      </c>
      <c r="P879" s="5" t="s">
        <v>59</v>
      </c>
      <c r="Q879" s="5" t="s">
        <v>115</v>
      </c>
      <c r="R879" s="6" t="s">
        <v>42</v>
      </c>
      <c r="S879" s="5" t="s">
        <v>129</v>
      </c>
      <c r="T879" s="5" t="s">
        <v>44</v>
      </c>
      <c r="U879" s="5" t="s">
        <v>44</v>
      </c>
      <c r="V879" s="5" t="s">
        <v>44</v>
      </c>
      <c r="W879" s="5" t="s">
        <v>35</v>
      </c>
      <c r="X879" s="8" t="s">
        <v>45</v>
      </c>
      <c r="Y879" s="5" t="s">
        <v>46</v>
      </c>
      <c r="Z879" s="5" t="s">
        <v>47</v>
      </c>
      <c r="AA879" s="5" t="s">
        <v>64</v>
      </c>
      <c r="AB879" s="5" t="s">
        <v>3939</v>
      </c>
      <c r="AC879" s="6" t="s">
        <v>452</v>
      </c>
      <c r="AD879" s="6">
        <v>1645.0</v>
      </c>
    </row>
    <row r="880" ht="56.25" customHeight="1">
      <c r="A880" s="5" t="s">
        <v>3743</v>
      </c>
      <c r="B880" s="6" t="str">
        <f>IMAGE("https://storage.googleapis.com/acdb/housewares/FtrElectricguitar2_Remake_5_3.png")</f>
        <v/>
      </c>
      <c r="C880" s="5" t="s">
        <v>3707</v>
      </c>
      <c r="D880" s="5" t="s">
        <v>34</v>
      </c>
      <c r="E880" s="5" t="s">
        <v>2833</v>
      </c>
      <c r="F880" s="5" t="s">
        <v>3454</v>
      </c>
      <c r="G880" s="5" t="s">
        <v>36</v>
      </c>
      <c r="H880" s="5" t="s">
        <v>36</v>
      </c>
      <c r="I880" s="5" t="s">
        <v>35</v>
      </c>
      <c r="J880" s="6">
        <v>7.0</v>
      </c>
      <c r="K880" s="6">
        <v>71000.0</v>
      </c>
      <c r="L880" s="6">
        <v>17750.0</v>
      </c>
      <c r="M880" s="8" t="s">
        <v>57</v>
      </c>
      <c r="N880" s="8" t="s">
        <v>106</v>
      </c>
      <c r="O880" s="6" t="s">
        <v>40</v>
      </c>
      <c r="P880" s="5" t="s">
        <v>59</v>
      </c>
      <c r="Q880" s="5" t="s">
        <v>115</v>
      </c>
      <c r="R880" s="6" t="s">
        <v>42</v>
      </c>
      <c r="S880" s="5" t="s">
        <v>129</v>
      </c>
      <c r="T880" s="5" t="s">
        <v>44</v>
      </c>
      <c r="U880" s="5" t="s">
        <v>44</v>
      </c>
      <c r="V880" s="5" t="s">
        <v>44</v>
      </c>
      <c r="W880" s="5" t="s">
        <v>35</v>
      </c>
      <c r="X880" s="8" t="s">
        <v>45</v>
      </c>
      <c r="Y880" s="5" t="s">
        <v>46</v>
      </c>
      <c r="Z880" s="5" t="s">
        <v>47</v>
      </c>
      <c r="AA880" s="5" t="s">
        <v>64</v>
      </c>
      <c r="AB880" s="5" t="s">
        <v>3944</v>
      </c>
      <c r="AC880" s="6" t="s">
        <v>455</v>
      </c>
      <c r="AD880" s="6">
        <v>1645.0</v>
      </c>
    </row>
    <row r="881" ht="56.25" customHeight="1">
      <c r="A881" s="5" t="s">
        <v>3743</v>
      </c>
      <c r="B881" s="6" t="str">
        <f>IMAGE("https://storage.googleapis.com/acdb/housewares/FtrElectricguitar2_Remake_5_4.png")</f>
        <v/>
      </c>
      <c r="C881" s="5" t="s">
        <v>3707</v>
      </c>
      <c r="D881" s="5" t="s">
        <v>34</v>
      </c>
      <c r="E881" s="5" t="s">
        <v>2841</v>
      </c>
      <c r="F881" s="5" t="s">
        <v>3454</v>
      </c>
      <c r="G881" s="5" t="s">
        <v>36</v>
      </c>
      <c r="H881" s="5" t="s">
        <v>36</v>
      </c>
      <c r="I881" s="5" t="s">
        <v>35</v>
      </c>
      <c r="J881" s="6">
        <v>7.0</v>
      </c>
      <c r="K881" s="6">
        <v>71000.0</v>
      </c>
      <c r="L881" s="6">
        <v>17750.0</v>
      </c>
      <c r="M881" s="8" t="s">
        <v>57</v>
      </c>
      <c r="N881" s="8" t="s">
        <v>96</v>
      </c>
      <c r="O881" s="6" t="s">
        <v>40</v>
      </c>
      <c r="P881" s="5" t="s">
        <v>59</v>
      </c>
      <c r="Q881" s="5" t="s">
        <v>115</v>
      </c>
      <c r="R881" s="6" t="s">
        <v>42</v>
      </c>
      <c r="S881" s="5" t="s">
        <v>129</v>
      </c>
      <c r="T881" s="5" t="s">
        <v>44</v>
      </c>
      <c r="U881" s="5" t="s">
        <v>44</v>
      </c>
      <c r="V881" s="5" t="s">
        <v>44</v>
      </c>
      <c r="W881" s="5" t="s">
        <v>35</v>
      </c>
      <c r="X881" s="8" t="s">
        <v>45</v>
      </c>
      <c r="Y881" s="5" t="s">
        <v>46</v>
      </c>
      <c r="Z881" s="5" t="s">
        <v>47</v>
      </c>
      <c r="AA881" s="5" t="s">
        <v>64</v>
      </c>
      <c r="AB881" s="5" t="s">
        <v>3948</v>
      </c>
      <c r="AC881" s="6" t="s">
        <v>609</v>
      </c>
      <c r="AD881" s="6">
        <v>1645.0</v>
      </c>
    </row>
    <row r="882" ht="56.25" customHeight="1">
      <c r="A882" s="5" t="s">
        <v>3743</v>
      </c>
      <c r="B882" s="6" t="str">
        <f>IMAGE("https://storage.googleapis.com/acdb/housewares/FtrElectricguitar2_Remake_5_5.png")</f>
        <v/>
      </c>
      <c r="C882" s="5" t="s">
        <v>3707</v>
      </c>
      <c r="D882" s="5" t="s">
        <v>34</v>
      </c>
      <c r="E882" s="5" t="s">
        <v>2848</v>
      </c>
      <c r="F882" s="5" t="s">
        <v>3454</v>
      </c>
      <c r="G882" s="5" t="s">
        <v>36</v>
      </c>
      <c r="H882" s="5" t="s">
        <v>36</v>
      </c>
      <c r="I882" s="5" t="s">
        <v>35</v>
      </c>
      <c r="J882" s="6">
        <v>7.0</v>
      </c>
      <c r="K882" s="6">
        <v>71000.0</v>
      </c>
      <c r="L882" s="6">
        <v>17750.0</v>
      </c>
      <c r="M882" s="8" t="s">
        <v>57</v>
      </c>
      <c r="N882" s="8" t="s">
        <v>1175</v>
      </c>
      <c r="O882" s="6" t="s">
        <v>40</v>
      </c>
      <c r="P882" s="5" t="s">
        <v>59</v>
      </c>
      <c r="Q882" s="5" t="s">
        <v>115</v>
      </c>
      <c r="R882" s="6" t="s">
        <v>42</v>
      </c>
      <c r="S882" s="5" t="s">
        <v>129</v>
      </c>
      <c r="T882" s="5" t="s">
        <v>44</v>
      </c>
      <c r="U882" s="5" t="s">
        <v>44</v>
      </c>
      <c r="V882" s="5" t="s">
        <v>44</v>
      </c>
      <c r="W882" s="5" t="s">
        <v>35</v>
      </c>
      <c r="X882" s="8" t="s">
        <v>45</v>
      </c>
      <c r="Y882" s="5" t="s">
        <v>46</v>
      </c>
      <c r="Z882" s="5" t="s">
        <v>47</v>
      </c>
      <c r="AA882" s="5" t="s">
        <v>64</v>
      </c>
      <c r="AB882" s="5" t="s">
        <v>3952</v>
      </c>
      <c r="AC882" s="6" t="s">
        <v>1843</v>
      </c>
      <c r="AD882" s="6">
        <v>1645.0</v>
      </c>
    </row>
    <row r="883" ht="56.25" customHeight="1">
      <c r="A883" s="5" t="s">
        <v>3743</v>
      </c>
      <c r="B883" s="6" t="str">
        <f>IMAGE("https://storage.googleapis.com/acdb/housewares/FtrElectricguitar2_Remake_5_6.png")</f>
        <v/>
      </c>
      <c r="C883" s="5" t="s">
        <v>3707</v>
      </c>
      <c r="D883" s="5" t="s">
        <v>34</v>
      </c>
      <c r="E883" s="5" t="s">
        <v>2855</v>
      </c>
      <c r="F883" s="5" t="s">
        <v>3454</v>
      </c>
      <c r="G883" s="5" t="s">
        <v>36</v>
      </c>
      <c r="H883" s="5" t="s">
        <v>36</v>
      </c>
      <c r="I883" s="5" t="s">
        <v>35</v>
      </c>
      <c r="J883" s="6">
        <v>7.0</v>
      </c>
      <c r="K883" s="6">
        <v>71000.0</v>
      </c>
      <c r="L883" s="6">
        <v>17750.0</v>
      </c>
      <c r="M883" s="8" t="s">
        <v>57</v>
      </c>
      <c r="N883" s="8" t="s">
        <v>58</v>
      </c>
      <c r="O883" s="6" t="s">
        <v>40</v>
      </c>
      <c r="P883" s="5" t="s">
        <v>59</v>
      </c>
      <c r="Q883" s="5" t="s">
        <v>115</v>
      </c>
      <c r="R883" s="6" t="s">
        <v>42</v>
      </c>
      <c r="S883" s="5" t="s">
        <v>129</v>
      </c>
      <c r="T883" s="5" t="s">
        <v>44</v>
      </c>
      <c r="U883" s="5" t="s">
        <v>44</v>
      </c>
      <c r="V883" s="5" t="s">
        <v>44</v>
      </c>
      <c r="W883" s="5" t="s">
        <v>35</v>
      </c>
      <c r="X883" s="8" t="s">
        <v>45</v>
      </c>
      <c r="Y883" s="5" t="s">
        <v>46</v>
      </c>
      <c r="Z883" s="5" t="s">
        <v>47</v>
      </c>
      <c r="AA883" s="5" t="s">
        <v>64</v>
      </c>
      <c r="AB883" s="5" t="s">
        <v>3958</v>
      </c>
      <c r="AC883" s="6" t="s">
        <v>1847</v>
      </c>
      <c r="AD883" s="6">
        <v>1645.0</v>
      </c>
    </row>
    <row r="884" ht="56.25" customHeight="1">
      <c r="A884" s="5" t="s">
        <v>3743</v>
      </c>
      <c r="B884" s="6" t="str">
        <f>IMAGE("https://storage.googleapis.com/acdb/housewares/FtrElectricguitar2_Remake_5_7.png")</f>
        <v/>
      </c>
      <c r="C884" s="5" t="s">
        <v>3707</v>
      </c>
      <c r="D884" s="5" t="s">
        <v>34</v>
      </c>
      <c r="E884" s="5" t="s">
        <v>2863</v>
      </c>
      <c r="F884" s="5" t="s">
        <v>3454</v>
      </c>
      <c r="G884" s="5" t="s">
        <v>36</v>
      </c>
      <c r="H884" s="5" t="s">
        <v>36</v>
      </c>
      <c r="I884" s="5" t="s">
        <v>35</v>
      </c>
      <c r="J884" s="6">
        <v>7.0</v>
      </c>
      <c r="K884" s="6">
        <v>71000.0</v>
      </c>
      <c r="L884" s="6">
        <v>17750.0</v>
      </c>
      <c r="M884" s="8" t="s">
        <v>57</v>
      </c>
      <c r="N884" s="8" t="s">
        <v>69</v>
      </c>
      <c r="O884" s="6" t="s">
        <v>40</v>
      </c>
      <c r="P884" s="5" t="s">
        <v>59</v>
      </c>
      <c r="Q884" s="5" t="s">
        <v>115</v>
      </c>
      <c r="R884" s="6" t="s">
        <v>42</v>
      </c>
      <c r="S884" s="5" t="s">
        <v>129</v>
      </c>
      <c r="T884" s="5" t="s">
        <v>44</v>
      </c>
      <c r="U884" s="5" t="s">
        <v>44</v>
      </c>
      <c r="V884" s="5" t="s">
        <v>44</v>
      </c>
      <c r="W884" s="5" t="s">
        <v>35</v>
      </c>
      <c r="X884" s="8" t="s">
        <v>45</v>
      </c>
      <c r="Y884" s="5" t="s">
        <v>46</v>
      </c>
      <c r="Z884" s="5" t="s">
        <v>47</v>
      </c>
      <c r="AA884" s="5" t="s">
        <v>64</v>
      </c>
      <c r="AB884" s="5" t="s">
        <v>3963</v>
      </c>
      <c r="AC884" s="6" t="s">
        <v>1850</v>
      </c>
      <c r="AD884" s="6">
        <v>1645.0</v>
      </c>
    </row>
    <row r="885" ht="56.25" customHeight="1">
      <c r="A885" s="5" t="s">
        <v>3743</v>
      </c>
      <c r="B885" s="6" t="str">
        <f>IMAGE("https://storage.googleapis.com/acdb/housewares/FtrElectricguitar2_Remake_6_0.png")</f>
        <v/>
      </c>
      <c r="C885" s="5" t="s">
        <v>3208</v>
      </c>
      <c r="D885" s="5" t="s">
        <v>34</v>
      </c>
      <c r="E885" s="5" t="s">
        <v>44</v>
      </c>
      <c r="F885" s="5" t="s">
        <v>3454</v>
      </c>
      <c r="G885" s="5" t="s">
        <v>36</v>
      </c>
      <c r="H885" s="5" t="s">
        <v>36</v>
      </c>
      <c r="I885" s="5" t="s">
        <v>35</v>
      </c>
      <c r="J885" s="6">
        <v>7.0</v>
      </c>
      <c r="K885" s="6">
        <v>71000.0</v>
      </c>
      <c r="L885" s="6">
        <v>17750.0</v>
      </c>
      <c r="M885" s="8" t="s">
        <v>54</v>
      </c>
      <c r="N885" s="8" t="s">
        <v>54</v>
      </c>
      <c r="O885" s="6" t="s">
        <v>40</v>
      </c>
      <c r="P885" s="5" t="s">
        <v>59</v>
      </c>
      <c r="Q885" s="5" t="s">
        <v>115</v>
      </c>
      <c r="R885" s="6" t="s">
        <v>42</v>
      </c>
      <c r="S885" s="5" t="s">
        <v>129</v>
      </c>
      <c r="T885" s="5" t="s">
        <v>44</v>
      </c>
      <c r="U885" s="5" t="s">
        <v>44</v>
      </c>
      <c r="V885" s="5" t="s">
        <v>44</v>
      </c>
      <c r="W885" s="5" t="s">
        <v>35</v>
      </c>
      <c r="X885" s="8" t="s">
        <v>45</v>
      </c>
      <c r="Y885" s="5" t="s">
        <v>46</v>
      </c>
      <c r="Z885" s="5" t="s">
        <v>47</v>
      </c>
      <c r="AA885" s="5" t="s">
        <v>64</v>
      </c>
      <c r="AB885" s="5" t="s">
        <v>3970</v>
      </c>
      <c r="AC885" s="6" t="s">
        <v>86</v>
      </c>
      <c r="AD885" s="6">
        <v>1645.0</v>
      </c>
    </row>
    <row r="886" ht="56.25" customHeight="1">
      <c r="A886" s="5" t="s">
        <v>3743</v>
      </c>
      <c r="B886" s="6" t="str">
        <f>IMAGE("https://storage.googleapis.com/acdb/housewares/FtrElectricguitar2_Remake_6_1.png")</f>
        <v/>
      </c>
      <c r="C886" s="5" t="s">
        <v>3208</v>
      </c>
      <c r="D886" s="5" t="s">
        <v>34</v>
      </c>
      <c r="E886" s="5" t="s">
        <v>2817</v>
      </c>
      <c r="F886" s="5" t="s">
        <v>3454</v>
      </c>
      <c r="G886" s="5" t="s">
        <v>36</v>
      </c>
      <c r="H886" s="5" t="s">
        <v>36</v>
      </c>
      <c r="I886" s="5" t="s">
        <v>35</v>
      </c>
      <c r="J886" s="6">
        <v>7.0</v>
      </c>
      <c r="K886" s="6">
        <v>71000.0</v>
      </c>
      <c r="L886" s="6">
        <v>17750.0</v>
      </c>
      <c r="M886" s="8" t="s">
        <v>54</v>
      </c>
      <c r="N886" s="8" t="s">
        <v>54</v>
      </c>
      <c r="O886" s="6" t="s">
        <v>40</v>
      </c>
      <c r="P886" s="5" t="s">
        <v>59</v>
      </c>
      <c r="Q886" s="5" t="s">
        <v>115</v>
      </c>
      <c r="R886" s="6" t="s">
        <v>42</v>
      </c>
      <c r="S886" s="5" t="s">
        <v>129</v>
      </c>
      <c r="T886" s="5" t="s">
        <v>44</v>
      </c>
      <c r="U886" s="5" t="s">
        <v>44</v>
      </c>
      <c r="V886" s="5" t="s">
        <v>44</v>
      </c>
      <c r="W886" s="5" t="s">
        <v>35</v>
      </c>
      <c r="X886" s="8" t="s">
        <v>45</v>
      </c>
      <c r="Y886" s="5" t="s">
        <v>46</v>
      </c>
      <c r="Z886" s="5" t="s">
        <v>47</v>
      </c>
      <c r="AA886" s="5" t="s">
        <v>64</v>
      </c>
      <c r="AB886" s="5" t="s">
        <v>3976</v>
      </c>
      <c r="AC886" s="6" t="s">
        <v>620</v>
      </c>
      <c r="AD886" s="6">
        <v>1645.0</v>
      </c>
    </row>
    <row r="887" ht="56.25" customHeight="1">
      <c r="A887" s="5" t="s">
        <v>3743</v>
      </c>
      <c r="B887" s="6" t="str">
        <f>IMAGE("https://storage.googleapis.com/acdb/housewares/FtrElectricguitar2_Remake_6_2.png")</f>
        <v/>
      </c>
      <c r="C887" s="5" t="s">
        <v>3208</v>
      </c>
      <c r="D887" s="5" t="s">
        <v>34</v>
      </c>
      <c r="E887" s="5" t="s">
        <v>2827</v>
      </c>
      <c r="F887" s="5" t="s">
        <v>3454</v>
      </c>
      <c r="G887" s="5" t="s">
        <v>36</v>
      </c>
      <c r="H887" s="5" t="s">
        <v>36</v>
      </c>
      <c r="I887" s="5" t="s">
        <v>35</v>
      </c>
      <c r="J887" s="6">
        <v>7.0</v>
      </c>
      <c r="K887" s="6">
        <v>71000.0</v>
      </c>
      <c r="L887" s="6">
        <v>17750.0</v>
      </c>
      <c r="M887" s="8" t="s">
        <v>54</v>
      </c>
      <c r="N887" s="8" t="s">
        <v>57</v>
      </c>
      <c r="O887" s="6" t="s">
        <v>40</v>
      </c>
      <c r="P887" s="5" t="s">
        <v>59</v>
      </c>
      <c r="Q887" s="5" t="s">
        <v>115</v>
      </c>
      <c r="R887" s="6" t="s">
        <v>42</v>
      </c>
      <c r="S887" s="5" t="s">
        <v>129</v>
      </c>
      <c r="T887" s="5" t="s">
        <v>44</v>
      </c>
      <c r="U887" s="5" t="s">
        <v>44</v>
      </c>
      <c r="V887" s="5" t="s">
        <v>44</v>
      </c>
      <c r="W887" s="5" t="s">
        <v>35</v>
      </c>
      <c r="X887" s="8" t="s">
        <v>45</v>
      </c>
      <c r="Y887" s="5" t="s">
        <v>46</v>
      </c>
      <c r="Z887" s="5" t="s">
        <v>47</v>
      </c>
      <c r="AA887" s="5" t="s">
        <v>64</v>
      </c>
      <c r="AB887" s="5" t="s">
        <v>3983</v>
      </c>
      <c r="AC887" s="6" t="s">
        <v>626</v>
      </c>
      <c r="AD887" s="6">
        <v>1645.0</v>
      </c>
    </row>
    <row r="888" ht="56.25" customHeight="1">
      <c r="A888" s="5" t="s">
        <v>3743</v>
      </c>
      <c r="B888" s="6" t="str">
        <f>IMAGE("https://storage.googleapis.com/acdb/housewares/FtrElectricguitar2_Remake_6_3.png")</f>
        <v/>
      </c>
      <c r="C888" s="5" t="s">
        <v>3208</v>
      </c>
      <c r="D888" s="5" t="s">
        <v>34</v>
      </c>
      <c r="E888" s="5" t="s">
        <v>2833</v>
      </c>
      <c r="F888" s="5" t="s">
        <v>3454</v>
      </c>
      <c r="G888" s="5" t="s">
        <v>36</v>
      </c>
      <c r="H888" s="5" t="s">
        <v>36</v>
      </c>
      <c r="I888" s="5" t="s">
        <v>35</v>
      </c>
      <c r="J888" s="6">
        <v>7.0</v>
      </c>
      <c r="K888" s="6">
        <v>71000.0</v>
      </c>
      <c r="L888" s="6">
        <v>17750.0</v>
      </c>
      <c r="M888" s="8" t="s">
        <v>54</v>
      </c>
      <c r="N888" s="8" t="s">
        <v>106</v>
      </c>
      <c r="O888" s="6" t="s">
        <v>40</v>
      </c>
      <c r="P888" s="5" t="s">
        <v>59</v>
      </c>
      <c r="Q888" s="5" t="s">
        <v>115</v>
      </c>
      <c r="R888" s="6" t="s">
        <v>42</v>
      </c>
      <c r="S888" s="5" t="s">
        <v>129</v>
      </c>
      <c r="T888" s="5" t="s">
        <v>44</v>
      </c>
      <c r="U888" s="5" t="s">
        <v>44</v>
      </c>
      <c r="V888" s="5" t="s">
        <v>44</v>
      </c>
      <c r="W888" s="5" t="s">
        <v>35</v>
      </c>
      <c r="X888" s="8" t="s">
        <v>45</v>
      </c>
      <c r="Y888" s="5" t="s">
        <v>46</v>
      </c>
      <c r="Z888" s="5" t="s">
        <v>47</v>
      </c>
      <c r="AA888" s="5" t="s">
        <v>64</v>
      </c>
      <c r="AB888" s="5" t="s">
        <v>3989</v>
      </c>
      <c r="AC888" s="6" t="s">
        <v>634</v>
      </c>
      <c r="AD888" s="6">
        <v>1645.0</v>
      </c>
    </row>
    <row r="889" ht="56.25" customHeight="1">
      <c r="A889" s="5" t="s">
        <v>3743</v>
      </c>
      <c r="B889" s="6" t="str">
        <f>IMAGE("https://storage.googleapis.com/acdb/housewares/FtrElectricguitar2_Remake_6_4.png")</f>
        <v/>
      </c>
      <c r="C889" s="5" t="s">
        <v>3208</v>
      </c>
      <c r="D889" s="5" t="s">
        <v>34</v>
      </c>
      <c r="E889" s="5" t="s">
        <v>2841</v>
      </c>
      <c r="F889" s="5" t="s">
        <v>3454</v>
      </c>
      <c r="G889" s="5" t="s">
        <v>36</v>
      </c>
      <c r="H889" s="5" t="s">
        <v>36</v>
      </c>
      <c r="I889" s="5" t="s">
        <v>35</v>
      </c>
      <c r="J889" s="6">
        <v>7.0</v>
      </c>
      <c r="K889" s="6">
        <v>71000.0</v>
      </c>
      <c r="L889" s="6">
        <v>17750.0</v>
      </c>
      <c r="M889" s="8" t="s">
        <v>54</v>
      </c>
      <c r="N889" s="8" t="s">
        <v>96</v>
      </c>
      <c r="O889" s="6" t="s">
        <v>40</v>
      </c>
      <c r="P889" s="5" t="s">
        <v>59</v>
      </c>
      <c r="Q889" s="5" t="s">
        <v>115</v>
      </c>
      <c r="R889" s="6" t="s">
        <v>42</v>
      </c>
      <c r="S889" s="5" t="s">
        <v>129</v>
      </c>
      <c r="T889" s="5" t="s">
        <v>44</v>
      </c>
      <c r="U889" s="5" t="s">
        <v>44</v>
      </c>
      <c r="V889" s="5" t="s">
        <v>44</v>
      </c>
      <c r="W889" s="5" t="s">
        <v>35</v>
      </c>
      <c r="X889" s="8" t="s">
        <v>45</v>
      </c>
      <c r="Y889" s="5" t="s">
        <v>46</v>
      </c>
      <c r="Z889" s="5" t="s">
        <v>47</v>
      </c>
      <c r="AA889" s="5" t="s">
        <v>64</v>
      </c>
      <c r="AB889" s="5" t="s">
        <v>3992</v>
      </c>
      <c r="AC889" s="6" t="s">
        <v>641</v>
      </c>
      <c r="AD889" s="6">
        <v>1645.0</v>
      </c>
    </row>
    <row r="890" ht="56.25" customHeight="1">
      <c r="A890" s="5" t="s">
        <v>3743</v>
      </c>
      <c r="B890" s="6" t="str">
        <f>IMAGE("https://storage.googleapis.com/acdb/housewares/FtrElectricguitar2_Remake_6_5.png")</f>
        <v/>
      </c>
      <c r="C890" s="5" t="s">
        <v>3208</v>
      </c>
      <c r="D890" s="5" t="s">
        <v>34</v>
      </c>
      <c r="E890" s="5" t="s">
        <v>2848</v>
      </c>
      <c r="F890" s="5" t="s">
        <v>3454</v>
      </c>
      <c r="G890" s="5" t="s">
        <v>36</v>
      </c>
      <c r="H890" s="5" t="s">
        <v>36</v>
      </c>
      <c r="I890" s="5" t="s">
        <v>35</v>
      </c>
      <c r="J890" s="6">
        <v>7.0</v>
      </c>
      <c r="K890" s="6">
        <v>71000.0</v>
      </c>
      <c r="L890" s="6">
        <v>17750.0</v>
      </c>
      <c r="M890" s="8" t="s">
        <v>54</v>
      </c>
      <c r="N890" s="8" t="s">
        <v>1175</v>
      </c>
      <c r="O890" s="6" t="s">
        <v>40</v>
      </c>
      <c r="P890" s="5" t="s">
        <v>59</v>
      </c>
      <c r="Q890" s="5" t="s">
        <v>115</v>
      </c>
      <c r="R890" s="6" t="s">
        <v>42</v>
      </c>
      <c r="S890" s="5" t="s">
        <v>129</v>
      </c>
      <c r="T890" s="5" t="s">
        <v>44</v>
      </c>
      <c r="U890" s="5" t="s">
        <v>44</v>
      </c>
      <c r="V890" s="5" t="s">
        <v>44</v>
      </c>
      <c r="W890" s="5" t="s">
        <v>35</v>
      </c>
      <c r="X890" s="8" t="s">
        <v>45</v>
      </c>
      <c r="Y890" s="5" t="s">
        <v>46</v>
      </c>
      <c r="Z890" s="5" t="s">
        <v>47</v>
      </c>
      <c r="AA890" s="5" t="s">
        <v>64</v>
      </c>
      <c r="AB890" s="5" t="s">
        <v>3995</v>
      </c>
      <c r="AC890" s="6" t="s">
        <v>1870</v>
      </c>
      <c r="AD890" s="6">
        <v>1645.0</v>
      </c>
    </row>
    <row r="891" ht="56.25" customHeight="1">
      <c r="A891" s="5" t="s">
        <v>3743</v>
      </c>
      <c r="B891" s="6" t="str">
        <f>IMAGE("https://storage.googleapis.com/acdb/housewares/FtrElectricguitar2_Remake_6_6.png")</f>
        <v/>
      </c>
      <c r="C891" s="5" t="s">
        <v>3208</v>
      </c>
      <c r="D891" s="5" t="s">
        <v>34</v>
      </c>
      <c r="E891" s="5" t="s">
        <v>2855</v>
      </c>
      <c r="F891" s="5" t="s">
        <v>3454</v>
      </c>
      <c r="G891" s="5" t="s">
        <v>36</v>
      </c>
      <c r="H891" s="5" t="s">
        <v>36</v>
      </c>
      <c r="I891" s="5" t="s">
        <v>35</v>
      </c>
      <c r="J891" s="6">
        <v>7.0</v>
      </c>
      <c r="K891" s="6">
        <v>71000.0</v>
      </c>
      <c r="L891" s="6">
        <v>17750.0</v>
      </c>
      <c r="M891" s="8" t="s">
        <v>54</v>
      </c>
      <c r="N891" s="8" t="s">
        <v>58</v>
      </c>
      <c r="O891" s="6" t="s">
        <v>40</v>
      </c>
      <c r="P891" s="5" t="s">
        <v>59</v>
      </c>
      <c r="Q891" s="5" t="s">
        <v>115</v>
      </c>
      <c r="R891" s="6" t="s">
        <v>42</v>
      </c>
      <c r="S891" s="5" t="s">
        <v>129</v>
      </c>
      <c r="T891" s="5" t="s">
        <v>44</v>
      </c>
      <c r="U891" s="5" t="s">
        <v>44</v>
      </c>
      <c r="V891" s="5" t="s">
        <v>44</v>
      </c>
      <c r="W891" s="5" t="s">
        <v>35</v>
      </c>
      <c r="X891" s="8" t="s">
        <v>45</v>
      </c>
      <c r="Y891" s="5" t="s">
        <v>46</v>
      </c>
      <c r="Z891" s="5" t="s">
        <v>47</v>
      </c>
      <c r="AA891" s="5" t="s">
        <v>64</v>
      </c>
      <c r="AB891" s="5" t="s">
        <v>3997</v>
      </c>
      <c r="AC891" s="6" t="s">
        <v>1873</v>
      </c>
      <c r="AD891" s="6">
        <v>1645.0</v>
      </c>
    </row>
    <row r="892" ht="56.25" customHeight="1">
      <c r="A892" s="5" t="s">
        <v>3743</v>
      </c>
      <c r="B892" s="6" t="str">
        <f>IMAGE("https://storage.googleapis.com/acdb/housewares/FtrElectricguitar2_Remake_6_7.png")</f>
        <v/>
      </c>
      <c r="C892" s="5" t="s">
        <v>3208</v>
      </c>
      <c r="D892" s="5" t="s">
        <v>34</v>
      </c>
      <c r="E892" s="5" t="s">
        <v>2863</v>
      </c>
      <c r="F892" s="5" t="s">
        <v>3454</v>
      </c>
      <c r="G892" s="5" t="s">
        <v>36</v>
      </c>
      <c r="H892" s="5" t="s">
        <v>36</v>
      </c>
      <c r="I892" s="5" t="s">
        <v>35</v>
      </c>
      <c r="J892" s="6">
        <v>7.0</v>
      </c>
      <c r="K892" s="6">
        <v>71000.0</v>
      </c>
      <c r="L892" s="6">
        <v>17750.0</v>
      </c>
      <c r="M892" s="8" t="s">
        <v>54</v>
      </c>
      <c r="N892" s="8" t="s">
        <v>69</v>
      </c>
      <c r="O892" s="6" t="s">
        <v>40</v>
      </c>
      <c r="P892" s="5" t="s">
        <v>59</v>
      </c>
      <c r="Q892" s="5" t="s">
        <v>115</v>
      </c>
      <c r="R892" s="6" t="s">
        <v>42</v>
      </c>
      <c r="S892" s="5" t="s">
        <v>129</v>
      </c>
      <c r="T892" s="5" t="s">
        <v>44</v>
      </c>
      <c r="U892" s="5" t="s">
        <v>44</v>
      </c>
      <c r="V892" s="5" t="s">
        <v>44</v>
      </c>
      <c r="W892" s="5" t="s">
        <v>35</v>
      </c>
      <c r="X892" s="8" t="s">
        <v>45</v>
      </c>
      <c r="Y892" s="5" t="s">
        <v>46</v>
      </c>
      <c r="Z892" s="5" t="s">
        <v>47</v>
      </c>
      <c r="AA892" s="5" t="s">
        <v>64</v>
      </c>
      <c r="AB892" s="5" t="s">
        <v>4001</v>
      </c>
      <c r="AC892" s="6" t="s">
        <v>1879</v>
      </c>
      <c r="AD892" s="6">
        <v>1645.0</v>
      </c>
    </row>
    <row r="893" ht="56.25" customHeight="1">
      <c r="A893" s="5" t="s">
        <v>4002</v>
      </c>
      <c r="B893" s="6" t="str">
        <f>IMAGE("https://storage.googleapis.com/acdb/housewares/FtrKickboardElectric_Remake_0_0.png")</f>
        <v/>
      </c>
      <c r="C893" s="5" t="s">
        <v>52</v>
      </c>
      <c r="D893" s="5" t="s">
        <v>34</v>
      </c>
      <c r="E893" s="5" t="s">
        <v>34</v>
      </c>
      <c r="F893" s="5" t="s">
        <v>34</v>
      </c>
      <c r="G893" s="5" t="s">
        <v>36</v>
      </c>
      <c r="H893" s="5" t="s">
        <v>36</v>
      </c>
      <c r="I893" s="5" t="s">
        <v>36</v>
      </c>
      <c r="J893" s="6" t="s">
        <v>34</v>
      </c>
      <c r="K893" s="6">
        <v>4400.0</v>
      </c>
      <c r="L893" s="6">
        <v>1100.0</v>
      </c>
      <c r="M893" s="8" t="s">
        <v>52</v>
      </c>
      <c r="N893" s="8" t="s">
        <v>54</v>
      </c>
      <c r="O893" s="6" t="s">
        <v>40</v>
      </c>
      <c r="P893" s="5" t="s">
        <v>59</v>
      </c>
      <c r="Q893" s="5" t="s">
        <v>122</v>
      </c>
      <c r="R893" s="6" t="s">
        <v>42</v>
      </c>
      <c r="S893" s="5" t="s">
        <v>99</v>
      </c>
      <c r="T893" s="5" t="s">
        <v>172</v>
      </c>
      <c r="U893" s="5" t="s">
        <v>44</v>
      </c>
      <c r="V893" s="5" t="s">
        <v>44</v>
      </c>
      <c r="W893" s="5" t="s">
        <v>35</v>
      </c>
      <c r="X893" s="8" t="s">
        <v>475</v>
      </c>
      <c r="Y893" s="5" t="s">
        <v>46</v>
      </c>
      <c r="Z893" s="5" t="s">
        <v>1749</v>
      </c>
      <c r="AA893" s="5" t="s">
        <v>64</v>
      </c>
      <c r="AB893" s="5" t="s">
        <v>4007</v>
      </c>
      <c r="AC893" s="6" t="s">
        <v>50</v>
      </c>
      <c r="AD893" s="6">
        <v>7654.0</v>
      </c>
    </row>
    <row r="894" ht="56.25" customHeight="1">
      <c r="A894" s="5" t="s">
        <v>4002</v>
      </c>
      <c r="B894" s="6" t="str">
        <f>IMAGE("https://storage.googleapis.com/acdb/housewares/FtrKickboardElectric_Remake_1_0.png")</f>
        <v/>
      </c>
      <c r="C894" s="5" t="s">
        <v>57</v>
      </c>
      <c r="D894" s="5" t="s">
        <v>34</v>
      </c>
      <c r="E894" s="5" t="s">
        <v>34</v>
      </c>
      <c r="F894" s="5" t="s">
        <v>34</v>
      </c>
      <c r="G894" s="5" t="s">
        <v>36</v>
      </c>
      <c r="H894" s="5" t="s">
        <v>36</v>
      </c>
      <c r="I894" s="5" t="s">
        <v>36</v>
      </c>
      <c r="J894" s="6" t="s">
        <v>34</v>
      </c>
      <c r="K894" s="6">
        <v>4400.0</v>
      </c>
      <c r="L894" s="6">
        <v>1100.0</v>
      </c>
      <c r="M894" s="8" t="s">
        <v>57</v>
      </c>
      <c r="N894" s="8" t="s">
        <v>95</v>
      </c>
      <c r="O894" s="6" t="s">
        <v>40</v>
      </c>
      <c r="P894" s="5" t="s">
        <v>59</v>
      </c>
      <c r="Q894" s="5" t="s">
        <v>122</v>
      </c>
      <c r="R894" s="6" t="s">
        <v>42</v>
      </c>
      <c r="S894" s="5" t="s">
        <v>99</v>
      </c>
      <c r="T894" s="5" t="s">
        <v>172</v>
      </c>
      <c r="U894" s="5" t="s">
        <v>44</v>
      </c>
      <c r="V894" s="5" t="s">
        <v>44</v>
      </c>
      <c r="W894" s="5" t="s">
        <v>35</v>
      </c>
      <c r="X894" s="8" t="s">
        <v>475</v>
      </c>
      <c r="Y894" s="5" t="s">
        <v>46</v>
      </c>
      <c r="Z894" s="5" t="s">
        <v>1749</v>
      </c>
      <c r="AA894" s="5" t="s">
        <v>64</v>
      </c>
      <c r="AB894" s="5" t="s">
        <v>4016</v>
      </c>
      <c r="AC894" s="6" t="s">
        <v>56</v>
      </c>
      <c r="AD894" s="6">
        <v>7654.0</v>
      </c>
    </row>
    <row r="895" ht="56.25" customHeight="1">
      <c r="A895" s="5" t="s">
        <v>4002</v>
      </c>
      <c r="B895" s="6" t="str">
        <f>IMAGE("https://storage.googleapis.com/acdb/housewares/FtrKickboardElectric_Remake_2_0.png")</f>
        <v/>
      </c>
      <c r="C895" s="5" t="s">
        <v>114</v>
      </c>
      <c r="D895" s="5" t="s">
        <v>34</v>
      </c>
      <c r="E895" s="5" t="s">
        <v>34</v>
      </c>
      <c r="F895" s="5" t="s">
        <v>34</v>
      </c>
      <c r="G895" s="5" t="s">
        <v>36</v>
      </c>
      <c r="H895" s="5" t="s">
        <v>36</v>
      </c>
      <c r="I895" s="5" t="s">
        <v>36</v>
      </c>
      <c r="J895" s="6" t="s">
        <v>34</v>
      </c>
      <c r="K895" s="6">
        <v>4400.0</v>
      </c>
      <c r="L895" s="6">
        <v>1100.0</v>
      </c>
      <c r="M895" s="8" t="s">
        <v>114</v>
      </c>
      <c r="N895" s="8" t="s">
        <v>54</v>
      </c>
      <c r="O895" s="6" t="s">
        <v>40</v>
      </c>
      <c r="P895" s="5" t="s">
        <v>59</v>
      </c>
      <c r="Q895" s="5" t="s">
        <v>122</v>
      </c>
      <c r="R895" s="6" t="s">
        <v>42</v>
      </c>
      <c r="S895" s="5" t="s">
        <v>99</v>
      </c>
      <c r="T895" s="5" t="s">
        <v>172</v>
      </c>
      <c r="U895" s="5" t="s">
        <v>44</v>
      </c>
      <c r="V895" s="5" t="s">
        <v>44</v>
      </c>
      <c r="W895" s="5" t="s">
        <v>35</v>
      </c>
      <c r="X895" s="8" t="s">
        <v>475</v>
      </c>
      <c r="Y895" s="5" t="s">
        <v>46</v>
      </c>
      <c r="Z895" s="5" t="s">
        <v>1749</v>
      </c>
      <c r="AA895" s="5" t="s">
        <v>64</v>
      </c>
      <c r="AB895" s="5" t="s">
        <v>4020</v>
      </c>
      <c r="AC895" s="6" t="s">
        <v>67</v>
      </c>
      <c r="AD895" s="6">
        <v>7654.0</v>
      </c>
    </row>
    <row r="896" ht="56.25" customHeight="1">
      <c r="A896" s="5" t="s">
        <v>4002</v>
      </c>
      <c r="B896" s="6" t="str">
        <f>IMAGE("https://storage.googleapis.com/acdb/housewares/FtrKickboardElectric_Remake_3_0.png")</f>
        <v/>
      </c>
      <c r="C896" s="5" t="s">
        <v>96</v>
      </c>
      <c r="D896" s="5" t="s">
        <v>34</v>
      </c>
      <c r="E896" s="5" t="s">
        <v>34</v>
      </c>
      <c r="F896" s="5" t="s">
        <v>34</v>
      </c>
      <c r="G896" s="5" t="s">
        <v>36</v>
      </c>
      <c r="H896" s="5" t="s">
        <v>36</v>
      </c>
      <c r="I896" s="5" t="s">
        <v>36</v>
      </c>
      <c r="J896" s="6" t="s">
        <v>34</v>
      </c>
      <c r="K896" s="6">
        <v>4400.0</v>
      </c>
      <c r="L896" s="6">
        <v>1100.0</v>
      </c>
      <c r="M896" s="8" t="s">
        <v>96</v>
      </c>
      <c r="N896" s="8" t="s">
        <v>54</v>
      </c>
      <c r="O896" s="6" t="s">
        <v>40</v>
      </c>
      <c r="P896" s="5" t="s">
        <v>59</v>
      </c>
      <c r="Q896" s="5" t="s">
        <v>122</v>
      </c>
      <c r="R896" s="6" t="s">
        <v>42</v>
      </c>
      <c r="S896" s="5" t="s">
        <v>99</v>
      </c>
      <c r="T896" s="5" t="s">
        <v>172</v>
      </c>
      <c r="U896" s="5" t="s">
        <v>44</v>
      </c>
      <c r="V896" s="5" t="s">
        <v>44</v>
      </c>
      <c r="W896" s="5" t="s">
        <v>35</v>
      </c>
      <c r="X896" s="8" t="s">
        <v>475</v>
      </c>
      <c r="Y896" s="5" t="s">
        <v>46</v>
      </c>
      <c r="Z896" s="5" t="s">
        <v>1749</v>
      </c>
      <c r="AA896" s="5" t="s">
        <v>64</v>
      </c>
      <c r="AB896" s="5" t="s">
        <v>4025</v>
      </c>
      <c r="AC896" s="6" t="s">
        <v>71</v>
      </c>
      <c r="AD896" s="6">
        <v>7654.0</v>
      </c>
    </row>
    <row r="897" ht="56.25" customHeight="1">
      <c r="A897" s="5" t="s">
        <v>4002</v>
      </c>
      <c r="B897" s="6" t="str">
        <f>IMAGE("https://storage.googleapis.com/acdb/housewares/FtrKickboardElectric_Remake_4_0.png")</f>
        <v/>
      </c>
      <c r="C897" s="5" t="s">
        <v>68</v>
      </c>
      <c r="D897" s="5" t="s">
        <v>34</v>
      </c>
      <c r="E897" s="5" t="s">
        <v>34</v>
      </c>
      <c r="F897" s="5" t="s">
        <v>34</v>
      </c>
      <c r="G897" s="5" t="s">
        <v>36</v>
      </c>
      <c r="H897" s="5" t="s">
        <v>36</v>
      </c>
      <c r="I897" s="5" t="s">
        <v>36</v>
      </c>
      <c r="J897" s="6" t="s">
        <v>34</v>
      </c>
      <c r="K897" s="6">
        <v>4400.0</v>
      </c>
      <c r="L897" s="6">
        <v>1100.0</v>
      </c>
      <c r="M897" s="8" t="s">
        <v>68</v>
      </c>
      <c r="N897" s="8" t="s">
        <v>54</v>
      </c>
      <c r="O897" s="6" t="s">
        <v>40</v>
      </c>
      <c r="P897" s="5" t="s">
        <v>59</v>
      </c>
      <c r="Q897" s="5" t="s">
        <v>122</v>
      </c>
      <c r="R897" s="6" t="s">
        <v>42</v>
      </c>
      <c r="S897" s="5" t="s">
        <v>99</v>
      </c>
      <c r="T897" s="5" t="s">
        <v>172</v>
      </c>
      <c r="U897" s="5" t="s">
        <v>44</v>
      </c>
      <c r="V897" s="5" t="s">
        <v>44</v>
      </c>
      <c r="W897" s="5" t="s">
        <v>35</v>
      </c>
      <c r="X897" s="8" t="s">
        <v>475</v>
      </c>
      <c r="Y897" s="5" t="s">
        <v>46</v>
      </c>
      <c r="Z897" s="5" t="s">
        <v>1749</v>
      </c>
      <c r="AA897" s="5" t="s">
        <v>64</v>
      </c>
      <c r="AB897" s="5" t="s">
        <v>4032</v>
      </c>
      <c r="AC897" s="6" t="s">
        <v>75</v>
      </c>
      <c r="AD897" s="6">
        <v>7654.0</v>
      </c>
    </row>
    <row r="898" ht="56.25" customHeight="1">
      <c r="A898" s="5" t="s">
        <v>4002</v>
      </c>
      <c r="B898" s="6" t="str">
        <f>IMAGE("https://storage.googleapis.com/acdb/housewares/FtrKickboardElectric_Remake_5_0.png")</f>
        <v/>
      </c>
      <c r="C898" s="5" t="s">
        <v>69</v>
      </c>
      <c r="D898" s="5" t="s">
        <v>34</v>
      </c>
      <c r="E898" s="5" t="s">
        <v>34</v>
      </c>
      <c r="F898" s="5" t="s">
        <v>34</v>
      </c>
      <c r="G898" s="5" t="s">
        <v>36</v>
      </c>
      <c r="H898" s="5" t="s">
        <v>36</v>
      </c>
      <c r="I898" s="5" t="s">
        <v>36</v>
      </c>
      <c r="J898" s="6" t="s">
        <v>34</v>
      </c>
      <c r="K898" s="6">
        <v>4400.0</v>
      </c>
      <c r="L898" s="6">
        <v>1100.0</v>
      </c>
      <c r="M898" s="8" t="s">
        <v>69</v>
      </c>
      <c r="N898" s="8" t="s">
        <v>106</v>
      </c>
      <c r="O898" s="6" t="s">
        <v>40</v>
      </c>
      <c r="P898" s="5" t="s">
        <v>59</v>
      </c>
      <c r="Q898" s="5" t="s">
        <v>122</v>
      </c>
      <c r="R898" s="6" t="s">
        <v>42</v>
      </c>
      <c r="S898" s="5" t="s">
        <v>99</v>
      </c>
      <c r="T898" s="5" t="s">
        <v>172</v>
      </c>
      <c r="U898" s="5" t="s">
        <v>44</v>
      </c>
      <c r="V898" s="5" t="s">
        <v>44</v>
      </c>
      <c r="W898" s="5" t="s">
        <v>35</v>
      </c>
      <c r="X898" s="8" t="s">
        <v>475</v>
      </c>
      <c r="Y898" s="5" t="s">
        <v>46</v>
      </c>
      <c r="Z898" s="5" t="s">
        <v>1749</v>
      </c>
      <c r="AA898" s="5" t="s">
        <v>64</v>
      </c>
      <c r="AB898" s="5" t="s">
        <v>4038</v>
      </c>
      <c r="AC898" s="6" t="s">
        <v>79</v>
      </c>
      <c r="AD898" s="6">
        <v>7654.0</v>
      </c>
    </row>
    <row r="899" ht="56.25" customHeight="1">
      <c r="A899" s="5" t="s">
        <v>4039</v>
      </c>
      <c r="B899" s="6" t="str">
        <f>IMAGE("https://storage.googleapis.com/acdb/housewares/FtrSlideelephant_Remake_0_0.png")</f>
        <v/>
      </c>
      <c r="C899" s="5" t="s">
        <v>68</v>
      </c>
      <c r="D899" s="5" t="s">
        <v>34</v>
      </c>
      <c r="E899" s="5" t="s">
        <v>34</v>
      </c>
      <c r="F899" s="5" t="s">
        <v>34</v>
      </c>
      <c r="G899" s="5" t="s">
        <v>36</v>
      </c>
      <c r="H899" s="5" t="s">
        <v>36</v>
      </c>
      <c r="I899" s="5" t="s">
        <v>36</v>
      </c>
      <c r="J899" s="6" t="s">
        <v>34</v>
      </c>
      <c r="K899" s="6">
        <v>4200.0</v>
      </c>
      <c r="L899" s="6">
        <v>1050.0</v>
      </c>
      <c r="M899" s="8" t="s">
        <v>68</v>
      </c>
      <c r="N899" s="8" t="s">
        <v>114</v>
      </c>
      <c r="O899" s="6" t="s">
        <v>276</v>
      </c>
      <c r="P899" s="5" t="s">
        <v>59</v>
      </c>
      <c r="Q899" s="5" t="s">
        <v>89</v>
      </c>
      <c r="R899" s="6" t="s">
        <v>42</v>
      </c>
      <c r="S899" s="5" t="s">
        <v>172</v>
      </c>
      <c r="T899" s="5" t="s">
        <v>99</v>
      </c>
      <c r="U899" s="5" t="s">
        <v>44</v>
      </c>
      <c r="V899" s="5" t="s">
        <v>44</v>
      </c>
      <c r="W899" s="5" t="s">
        <v>36</v>
      </c>
      <c r="X899" s="8" t="s">
        <v>3156</v>
      </c>
      <c r="Y899" s="5" t="s">
        <v>46</v>
      </c>
      <c r="Z899" s="5" t="s">
        <v>47</v>
      </c>
      <c r="AA899" s="5" t="s">
        <v>64</v>
      </c>
      <c r="AB899" s="5" t="s">
        <v>4044</v>
      </c>
      <c r="AC899" s="6" t="s">
        <v>50</v>
      </c>
      <c r="AD899" s="6">
        <v>86.0</v>
      </c>
    </row>
    <row r="900" ht="56.25" customHeight="1">
      <c r="A900" s="5" t="s">
        <v>4039</v>
      </c>
      <c r="B900" s="6" t="str">
        <f>IMAGE("https://storage.googleapis.com/acdb/housewares/FtrSlideelephant_Remake_1_0.png")</f>
        <v/>
      </c>
      <c r="C900" s="5" t="s">
        <v>69</v>
      </c>
      <c r="D900" s="5" t="s">
        <v>34</v>
      </c>
      <c r="E900" s="5" t="s">
        <v>34</v>
      </c>
      <c r="F900" s="5" t="s">
        <v>34</v>
      </c>
      <c r="G900" s="5" t="s">
        <v>36</v>
      </c>
      <c r="H900" s="5" t="s">
        <v>36</v>
      </c>
      <c r="I900" s="5" t="s">
        <v>36</v>
      </c>
      <c r="J900" s="6" t="s">
        <v>34</v>
      </c>
      <c r="K900" s="6">
        <v>4200.0</v>
      </c>
      <c r="L900" s="6">
        <v>1050.0</v>
      </c>
      <c r="M900" s="8" t="s">
        <v>69</v>
      </c>
      <c r="N900" s="8" t="s">
        <v>69</v>
      </c>
      <c r="O900" s="6" t="s">
        <v>276</v>
      </c>
      <c r="P900" s="5" t="s">
        <v>59</v>
      </c>
      <c r="Q900" s="5" t="s">
        <v>89</v>
      </c>
      <c r="R900" s="6" t="s">
        <v>42</v>
      </c>
      <c r="S900" s="5" t="s">
        <v>172</v>
      </c>
      <c r="T900" s="5" t="s">
        <v>99</v>
      </c>
      <c r="U900" s="5" t="s">
        <v>44</v>
      </c>
      <c r="V900" s="5" t="s">
        <v>44</v>
      </c>
      <c r="W900" s="5" t="s">
        <v>36</v>
      </c>
      <c r="X900" s="8" t="s">
        <v>3156</v>
      </c>
      <c r="Y900" s="5" t="s">
        <v>46</v>
      </c>
      <c r="Z900" s="5" t="s">
        <v>47</v>
      </c>
      <c r="AA900" s="5" t="s">
        <v>64</v>
      </c>
      <c r="AB900" s="5" t="s">
        <v>4049</v>
      </c>
      <c r="AC900" s="6" t="s">
        <v>56</v>
      </c>
      <c r="AD900" s="6">
        <v>86.0</v>
      </c>
    </row>
    <row r="901" ht="56.25" customHeight="1">
      <c r="A901" s="5" t="s">
        <v>4039</v>
      </c>
      <c r="B901" s="6" t="str">
        <f>IMAGE("https://storage.googleapis.com/acdb/housewares/FtrSlideelephant_Remake_2_0.png")</f>
        <v/>
      </c>
      <c r="C901" s="5" t="s">
        <v>52</v>
      </c>
      <c r="D901" s="5" t="s">
        <v>34</v>
      </c>
      <c r="E901" s="5" t="s">
        <v>34</v>
      </c>
      <c r="F901" s="5" t="s">
        <v>34</v>
      </c>
      <c r="G901" s="5" t="s">
        <v>36</v>
      </c>
      <c r="H901" s="5" t="s">
        <v>36</v>
      </c>
      <c r="I901" s="5" t="s">
        <v>36</v>
      </c>
      <c r="J901" s="6" t="s">
        <v>34</v>
      </c>
      <c r="K901" s="6">
        <v>4200.0</v>
      </c>
      <c r="L901" s="6">
        <v>1050.0</v>
      </c>
      <c r="M901" s="8" t="s">
        <v>52</v>
      </c>
      <c r="N901" s="8" t="s">
        <v>1175</v>
      </c>
      <c r="O901" s="6" t="s">
        <v>276</v>
      </c>
      <c r="P901" s="5" t="s">
        <v>59</v>
      </c>
      <c r="Q901" s="5" t="s">
        <v>89</v>
      </c>
      <c r="R901" s="6" t="s">
        <v>42</v>
      </c>
      <c r="S901" s="5" t="s">
        <v>172</v>
      </c>
      <c r="T901" s="5" t="s">
        <v>99</v>
      </c>
      <c r="U901" s="5" t="s">
        <v>44</v>
      </c>
      <c r="V901" s="5" t="s">
        <v>44</v>
      </c>
      <c r="W901" s="5" t="s">
        <v>36</v>
      </c>
      <c r="X901" s="8" t="s">
        <v>3156</v>
      </c>
      <c r="Y901" s="5" t="s">
        <v>46</v>
      </c>
      <c r="Z901" s="5" t="s">
        <v>47</v>
      </c>
      <c r="AA901" s="5" t="s">
        <v>64</v>
      </c>
      <c r="AB901" s="5" t="s">
        <v>4053</v>
      </c>
      <c r="AC901" s="6" t="s">
        <v>67</v>
      </c>
      <c r="AD901" s="6">
        <v>86.0</v>
      </c>
    </row>
    <row r="902" ht="56.25" customHeight="1">
      <c r="A902" s="5" t="s">
        <v>4039</v>
      </c>
      <c r="B902" s="6" t="str">
        <f>IMAGE("https://storage.googleapis.com/acdb/housewares/FtrSlideelephant_Remake_3_0.png")</f>
        <v/>
      </c>
      <c r="C902" s="5" t="s">
        <v>83</v>
      </c>
      <c r="D902" s="5" t="s">
        <v>34</v>
      </c>
      <c r="E902" s="5" t="s">
        <v>34</v>
      </c>
      <c r="F902" s="5" t="s">
        <v>34</v>
      </c>
      <c r="G902" s="5" t="s">
        <v>36</v>
      </c>
      <c r="H902" s="5" t="s">
        <v>36</v>
      </c>
      <c r="I902" s="5" t="s">
        <v>36</v>
      </c>
      <c r="J902" s="6" t="s">
        <v>34</v>
      </c>
      <c r="K902" s="6">
        <v>4200.0</v>
      </c>
      <c r="L902" s="6">
        <v>1050.0</v>
      </c>
      <c r="M902" s="8" t="s">
        <v>1175</v>
      </c>
      <c r="N902" s="8" t="s">
        <v>57</v>
      </c>
      <c r="O902" s="6" t="s">
        <v>276</v>
      </c>
      <c r="P902" s="5" t="s">
        <v>59</v>
      </c>
      <c r="Q902" s="5" t="s">
        <v>89</v>
      </c>
      <c r="R902" s="6" t="s">
        <v>42</v>
      </c>
      <c r="S902" s="5" t="s">
        <v>172</v>
      </c>
      <c r="T902" s="5" t="s">
        <v>99</v>
      </c>
      <c r="U902" s="5" t="s">
        <v>44</v>
      </c>
      <c r="V902" s="5" t="s">
        <v>44</v>
      </c>
      <c r="W902" s="5" t="s">
        <v>36</v>
      </c>
      <c r="X902" s="8" t="s">
        <v>3156</v>
      </c>
      <c r="Y902" s="5" t="s">
        <v>46</v>
      </c>
      <c r="Z902" s="5" t="s">
        <v>47</v>
      </c>
      <c r="AA902" s="5" t="s">
        <v>64</v>
      </c>
      <c r="AB902" s="5" t="s">
        <v>4061</v>
      </c>
      <c r="AC902" s="6" t="s">
        <v>71</v>
      </c>
      <c r="AD902" s="6">
        <v>86.0</v>
      </c>
    </row>
    <row r="903" ht="56.25" customHeight="1">
      <c r="A903" s="5" t="s">
        <v>4039</v>
      </c>
      <c r="B903" s="6" t="str">
        <f>IMAGE("https://storage.googleapis.com/acdb/housewares/FtrSlideelephant_Remake_4_0.png")</f>
        <v/>
      </c>
      <c r="C903" s="5" t="s">
        <v>114</v>
      </c>
      <c r="D903" s="5" t="s">
        <v>34</v>
      </c>
      <c r="E903" s="5" t="s">
        <v>34</v>
      </c>
      <c r="F903" s="5" t="s">
        <v>34</v>
      </c>
      <c r="G903" s="5" t="s">
        <v>36</v>
      </c>
      <c r="H903" s="5" t="s">
        <v>36</v>
      </c>
      <c r="I903" s="5" t="s">
        <v>36</v>
      </c>
      <c r="J903" s="6" t="s">
        <v>34</v>
      </c>
      <c r="K903" s="6">
        <v>4200.0</v>
      </c>
      <c r="L903" s="6">
        <v>1050.0</v>
      </c>
      <c r="M903" s="8" t="s">
        <v>114</v>
      </c>
      <c r="N903" s="8" t="s">
        <v>142</v>
      </c>
      <c r="O903" s="6" t="s">
        <v>276</v>
      </c>
      <c r="P903" s="5" t="s">
        <v>59</v>
      </c>
      <c r="Q903" s="5" t="s">
        <v>89</v>
      </c>
      <c r="R903" s="6" t="s">
        <v>42</v>
      </c>
      <c r="S903" s="5" t="s">
        <v>172</v>
      </c>
      <c r="T903" s="5" t="s">
        <v>99</v>
      </c>
      <c r="U903" s="5" t="s">
        <v>44</v>
      </c>
      <c r="V903" s="5" t="s">
        <v>44</v>
      </c>
      <c r="W903" s="5" t="s">
        <v>36</v>
      </c>
      <c r="X903" s="8" t="s">
        <v>3156</v>
      </c>
      <c r="Y903" s="5" t="s">
        <v>46</v>
      </c>
      <c r="Z903" s="5" t="s">
        <v>47</v>
      </c>
      <c r="AA903" s="5" t="s">
        <v>64</v>
      </c>
      <c r="AB903" s="5" t="s">
        <v>4068</v>
      </c>
      <c r="AC903" s="6" t="s">
        <v>75</v>
      </c>
      <c r="AD903" s="6">
        <v>86.0</v>
      </c>
    </row>
    <row r="904" ht="56.25" customHeight="1">
      <c r="A904" s="5" t="s">
        <v>4039</v>
      </c>
      <c r="B904" s="6" t="str">
        <f>IMAGE("https://storage.googleapis.com/acdb/housewares/FtrSlideelephant_Remake_5_0.png")</f>
        <v/>
      </c>
      <c r="C904" s="5" t="s">
        <v>57</v>
      </c>
      <c r="D904" s="5" t="s">
        <v>34</v>
      </c>
      <c r="E904" s="5" t="s">
        <v>34</v>
      </c>
      <c r="F904" s="5" t="s">
        <v>34</v>
      </c>
      <c r="G904" s="5" t="s">
        <v>36</v>
      </c>
      <c r="H904" s="5" t="s">
        <v>36</v>
      </c>
      <c r="I904" s="5" t="s">
        <v>36</v>
      </c>
      <c r="J904" s="6" t="s">
        <v>34</v>
      </c>
      <c r="K904" s="6">
        <v>4200.0</v>
      </c>
      <c r="L904" s="6">
        <v>1050.0</v>
      </c>
      <c r="M904" s="8" t="s">
        <v>57</v>
      </c>
      <c r="N904" s="8" t="s">
        <v>69</v>
      </c>
      <c r="O904" s="6" t="s">
        <v>276</v>
      </c>
      <c r="P904" s="5" t="s">
        <v>59</v>
      </c>
      <c r="Q904" s="5" t="s">
        <v>89</v>
      </c>
      <c r="R904" s="6" t="s">
        <v>42</v>
      </c>
      <c r="S904" s="5" t="s">
        <v>172</v>
      </c>
      <c r="T904" s="5" t="s">
        <v>99</v>
      </c>
      <c r="U904" s="5" t="s">
        <v>44</v>
      </c>
      <c r="V904" s="5" t="s">
        <v>44</v>
      </c>
      <c r="W904" s="5" t="s">
        <v>36</v>
      </c>
      <c r="X904" s="8" t="s">
        <v>3156</v>
      </c>
      <c r="Y904" s="5" t="s">
        <v>46</v>
      </c>
      <c r="Z904" s="5" t="s">
        <v>47</v>
      </c>
      <c r="AA904" s="5" t="s">
        <v>64</v>
      </c>
      <c r="AB904" s="5" t="s">
        <v>4073</v>
      </c>
      <c r="AC904" s="6" t="s">
        <v>79</v>
      </c>
      <c r="AD904" s="6">
        <v>86.0</v>
      </c>
    </row>
    <row r="905" ht="56.25" customHeight="1">
      <c r="A905" s="5" t="s">
        <v>4039</v>
      </c>
      <c r="B905" s="6" t="str">
        <f>IMAGE("https://storage.googleapis.com/acdb/housewares/FtrSlideelephant_Remake_6_0.png")</f>
        <v/>
      </c>
      <c r="C905" s="5" t="s">
        <v>95</v>
      </c>
      <c r="D905" s="5" t="s">
        <v>34</v>
      </c>
      <c r="E905" s="5" t="s">
        <v>34</v>
      </c>
      <c r="F905" s="5" t="s">
        <v>34</v>
      </c>
      <c r="G905" s="5" t="s">
        <v>36</v>
      </c>
      <c r="H905" s="5" t="s">
        <v>36</v>
      </c>
      <c r="I905" s="5" t="s">
        <v>36</v>
      </c>
      <c r="J905" s="6" t="s">
        <v>34</v>
      </c>
      <c r="K905" s="6">
        <v>4200.0</v>
      </c>
      <c r="L905" s="6">
        <v>1050.0</v>
      </c>
      <c r="M905" s="8" t="s">
        <v>95</v>
      </c>
      <c r="N905" s="8" t="s">
        <v>69</v>
      </c>
      <c r="O905" s="6" t="s">
        <v>276</v>
      </c>
      <c r="P905" s="5" t="s">
        <v>59</v>
      </c>
      <c r="Q905" s="5" t="s">
        <v>89</v>
      </c>
      <c r="R905" s="6" t="s">
        <v>42</v>
      </c>
      <c r="S905" s="5" t="s">
        <v>172</v>
      </c>
      <c r="T905" s="5" t="s">
        <v>99</v>
      </c>
      <c r="U905" s="5" t="s">
        <v>44</v>
      </c>
      <c r="V905" s="5" t="s">
        <v>44</v>
      </c>
      <c r="W905" s="5" t="s">
        <v>36</v>
      </c>
      <c r="X905" s="8" t="s">
        <v>3156</v>
      </c>
      <c r="Y905" s="5" t="s">
        <v>46</v>
      </c>
      <c r="Z905" s="5" t="s">
        <v>47</v>
      </c>
      <c r="AA905" s="5" t="s">
        <v>64</v>
      </c>
      <c r="AB905" s="5" t="s">
        <v>4079</v>
      </c>
      <c r="AC905" s="6" t="s">
        <v>86</v>
      </c>
      <c r="AD905" s="6">
        <v>86.0</v>
      </c>
    </row>
    <row r="906" ht="56.25" customHeight="1">
      <c r="A906" s="5" t="s">
        <v>4039</v>
      </c>
      <c r="B906" s="6" t="str">
        <f>IMAGE("https://storage.googleapis.com/acdb/housewares/FtrSlideelephant_Remake_7_0.png")</f>
        <v/>
      </c>
      <c r="C906" s="5" t="s">
        <v>54</v>
      </c>
      <c r="D906" s="5" t="s">
        <v>34</v>
      </c>
      <c r="E906" s="5" t="s">
        <v>34</v>
      </c>
      <c r="F906" s="5" t="s">
        <v>34</v>
      </c>
      <c r="G906" s="5" t="s">
        <v>36</v>
      </c>
      <c r="H906" s="5" t="s">
        <v>36</v>
      </c>
      <c r="I906" s="5" t="s">
        <v>36</v>
      </c>
      <c r="J906" s="6" t="s">
        <v>34</v>
      </c>
      <c r="K906" s="6">
        <v>4200.0</v>
      </c>
      <c r="L906" s="6">
        <v>1050.0</v>
      </c>
      <c r="M906" s="8" t="s">
        <v>54</v>
      </c>
      <c r="N906" s="8" t="s">
        <v>142</v>
      </c>
      <c r="O906" s="6" t="s">
        <v>276</v>
      </c>
      <c r="P906" s="5" t="s">
        <v>59</v>
      </c>
      <c r="Q906" s="5" t="s">
        <v>89</v>
      </c>
      <c r="R906" s="6" t="s">
        <v>42</v>
      </c>
      <c r="S906" s="5" t="s">
        <v>172</v>
      </c>
      <c r="T906" s="5" t="s">
        <v>99</v>
      </c>
      <c r="U906" s="5" t="s">
        <v>44</v>
      </c>
      <c r="V906" s="5" t="s">
        <v>44</v>
      </c>
      <c r="W906" s="5" t="s">
        <v>36</v>
      </c>
      <c r="X906" s="8" t="s">
        <v>3156</v>
      </c>
      <c r="Y906" s="5" t="s">
        <v>46</v>
      </c>
      <c r="Z906" s="5" t="s">
        <v>47</v>
      </c>
      <c r="AA906" s="5" t="s">
        <v>64</v>
      </c>
      <c r="AB906" s="5" t="s">
        <v>4083</v>
      </c>
      <c r="AC906" s="6" t="s">
        <v>208</v>
      </c>
      <c r="AD906" s="6">
        <v>86.0</v>
      </c>
    </row>
    <row r="907" ht="56.25" customHeight="1">
      <c r="A907" s="5" t="s">
        <v>4085</v>
      </c>
      <c r="B907" s="6" t="str">
        <f>IMAGE("https://storage.googleapis.com/acdb/housewares/FtrBalanceball_Remake_0_0.png")</f>
        <v/>
      </c>
      <c r="C907" s="5" t="s">
        <v>68</v>
      </c>
      <c r="D907" s="5" t="s">
        <v>34</v>
      </c>
      <c r="E907" s="5" t="s">
        <v>34</v>
      </c>
      <c r="F907" s="5" t="s">
        <v>34</v>
      </c>
      <c r="G907" s="5" t="s">
        <v>36</v>
      </c>
      <c r="H907" s="5" t="s">
        <v>36</v>
      </c>
      <c r="I907" s="5" t="s">
        <v>36</v>
      </c>
      <c r="J907" s="6" t="s">
        <v>34</v>
      </c>
      <c r="K907" s="6">
        <v>1100.0</v>
      </c>
      <c r="L907" s="6">
        <v>275.0</v>
      </c>
      <c r="M907" s="8" t="s">
        <v>68</v>
      </c>
      <c r="N907" s="8" t="s">
        <v>68</v>
      </c>
      <c r="O907" s="6" t="s">
        <v>40</v>
      </c>
      <c r="P907" s="5" t="s">
        <v>59</v>
      </c>
      <c r="Q907" s="5" t="s">
        <v>89</v>
      </c>
      <c r="R907" s="6" t="s">
        <v>42</v>
      </c>
      <c r="S907" s="5" t="s">
        <v>474</v>
      </c>
      <c r="T907" s="5" t="s">
        <v>91</v>
      </c>
      <c r="U907" s="5" t="s">
        <v>44</v>
      </c>
      <c r="V907" s="5" t="s">
        <v>44</v>
      </c>
      <c r="W907" s="5" t="s">
        <v>35</v>
      </c>
      <c r="X907" s="8" t="s">
        <v>475</v>
      </c>
      <c r="Y907" s="5" t="s">
        <v>46</v>
      </c>
      <c r="Z907" s="5" t="s">
        <v>47</v>
      </c>
      <c r="AA907" s="5" t="s">
        <v>64</v>
      </c>
      <c r="AB907" s="5" t="s">
        <v>4089</v>
      </c>
      <c r="AC907" s="6" t="s">
        <v>50</v>
      </c>
      <c r="AD907" s="6">
        <v>1598.0</v>
      </c>
    </row>
    <row r="908" ht="56.25" customHeight="1">
      <c r="A908" s="5" t="s">
        <v>4085</v>
      </c>
      <c r="B908" s="6" t="str">
        <f>IMAGE("https://storage.googleapis.com/acdb/housewares/FtrBalanceball_Remake_1_0.png")</f>
        <v/>
      </c>
      <c r="C908" s="5" t="s">
        <v>69</v>
      </c>
      <c r="D908" s="5" t="s">
        <v>34</v>
      </c>
      <c r="E908" s="5" t="s">
        <v>34</v>
      </c>
      <c r="F908" s="5" t="s">
        <v>34</v>
      </c>
      <c r="G908" s="5" t="s">
        <v>36</v>
      </c>
      <c r="H908" s="5" t="s">
        <v>36</v>
      </c>
      <c r="I908" s="5" t="s">
        <v>36</v>
      </c>
      <c r="J908" s="6" t="s">
        <v>34</v>
      </c>
      <c r="K908" s="6">
        <v>1100.0</v>
      </c>
      <c r="L908" s="6">
        <v>275.0</v>
      </c>
      <c r="M908" s="8" t="s">
        <v>69</v>
      </c>
      <c r="N908" s="8" t="s">
        <v>69</v>
      </c>
      <c r="O908" s="6" t="s">
        <v>40</v>
      </c>
      <c r="P908" s="5" t="s">
        <v>59</v>
      </c>
      <c r="Q908" s="5" t="s">
        <v>89</v>
      </c>
      <c r="R908" s="6" t="s">
        <v>42</v>
      </c>
      <c r="S908" s="5" t="s">
        <v>474</v>
      </c>
      <c r="T908" s="5" t="s">
        <v>91</v>
      </c>
      <c r="U908" s="5" t="s">
        <v>44</v>
      </c>
      <c r="V908" s="5" t="s">
        <v>44</v>
      </c>
      <c r="W908" s="5" t="s">
        <v>35</v>
      </c>
      <c r="X908" s="8" t="s">
        <v>475</v>
      </c>
      <c r="Y908" s="5" t="s">
        <v>46</v>
      </c>
      <c r="Z908" s="5" t="s">
        <v>47</v>
      </c>
      <c r="AA908" s="5" t="s">
        <v>64</v>
      </c>
      <c r="AB908" s="5" t="s">
        <v>4094</v>
      </c>
      <c r="AC908" s="6" t="s">
        <v>56</v>
      </c>
      <c r="AD908" s="6">
        <v>1598.0</v>
      </c>
    </row>
    <row r="909" ht="56.25" customHeight="1">
      <c r="A909" s="5" t="s">
        <v>4085</v>
      </c>
      <c r="B909" s="6" t="str">
        <f>IMAGE("https://storage.googleapis.com/acdb/housewares/FtrBalanceball_Remake_2_0.png")</f>
        <v/>
      </c>
      <c r="C909" s="5" t="s">
        <v>57</v>
      </c>
      <c r="D909" s="5" t="s">
        <v>34</v>
      </c>
      <c r="E909" s="5" t="s">
        <v>34</v>
      </c>
      <c r="F909" s="5" t="s">
        <v>34</v>
      </c>
      <c r="G909" s="5" t="s">
        <v>36</v>
      </c>
      <c r="H909" s="5" t="s">
        <v>36</v>
      </c>
      <c r="I909" s="5" t="s">
        <v>36</v>
      </c>
      <c r="J909" s="6" t="s">
        <v>34</v>
      </c>
      <c r="K909" s="6">
        <v>1100.0</v>
      </c>
      <c r="L909" s="6">
        <v>275.0</v>
      </c>
      <c r="M909" s="8" t="s">
        <v>57</v>
      </c>
      <c r="N909" s="8" t="s">
        <v>57</v>
      </c>
      <c r="O909" s="6" t="s">
        <v>40</v>
      </c>
      <c r="P909" s="5" t="s">
        <v>59</v>
      </c>
      <c r="Q909" s="5" t="s">
        <v>89</v>
      </c>
      <c r="R909" s="6" t="s">
        <v>42</v>
      </c>
      <c r="S909" s="5" t="s">
        <v>474</v>
      </c>
      <c r="T909" s="5" t="s">
        <v>91</v>
      </c>
      <c r="U909" s="5" t="s">
        <v>44</v>
      </c>
      <c r="V909" s="5" t="s">
        <v>44</v>
      </c>
      <c r="W909" s="5" t="s">
        <v>35</v>
      </c>
      <c r="X909" s="8" t="s">
        <v>475</v>
      </c>
      <c r="Y909" s="5" t="s">
        <v>46</v>
      </c>
      <c r="Z909" s="5" t="s">
        <v>47</v>
      </c>
      <c r="AA909" s="5" t="s">
        <v>64</v>
      </c>
      <c r="AB909" s="5" t="s">
        <v>4097</v>
      </c>
      <c r="AC909" s="6" t="s">
        <v>67</v>
      </c>
      <c r="AD909" s="6">
        <v>1598.0</v>
      </c>
    </row>
    <row r="910" ht="56.25" customHeight="1">
      <c r="A910" s="5" t="s">
        <v>4085</v>
      </c>
      <c r="B910" s="6" t="str">
        <f>IMAGE("https://storage.googleapis.com/acdb/housewares/FtrBalanceball_Remake_3_0.png")</f>
        <v/>
      </c>
      <c r="C910" s="5" t="s">
        <v>54</v>
      </c>
      <c r="D910" s="5" t="s">
        <v>34</v>
      </c>
      <c r="E910" s="5" t="s">
        <v>34</v>
      </c>
      <c r="F910" s="5" t="s">
        <v>34</v>
      </c>
      <c r="G910" s="5" t="s">
        <v>36</v>
      </c>
      <c r="H910" s="5" t="s">
        <v>36</v>
      </c>
      <c r="I910" s="5" t="s">
        <v>36</v>
      </c>
      <c r="J910" s="6" t="s">
        <v>34</v>
      </c>
      <c r="K910" s="6">
        <v>1100.0</v>
      </c>
      <c r="L910" s="6">
        <v>275.0</v>
      </c>
      <c r="M910" s="8" t="s">
        <v>54</v>
      </c>
      <c r="N910" s="8" t="s">
        <v>54</v>
      </c>
      <c r="O910" s="6" t="s">
        <v>40</v>
      </c>
      <c r="P910" s="5" t="s">
        <v>59</v>
      </c>
      <c r="Q910" s="5" t="s">
        <v>89</v>
      </c>
      <c r="R910" s="6" t="s">
        <v>42</v>
      </c>
      <c r="S910" s="5" t="s">
        <v>474</v>
      </c>
      <c r="T910" s="5" t="s">
        <v>91</v>
      </c>
      <c r="U910" s="5" t="s">
        <v>44</v>
      </c>
      <c r="V910" s="5" t="s">
        <v>44</v>
      </c>
      <c r="W910" s="5" t="s">
        <v>35</v>
      </c>
      <c r="X910" s="8" t="s">
        <v>475</v>
      </c>
      <c r="Y910" s="5" t="s">
        <v>46</v>
      </c>
      <c r="Z910" s="5" t="s">
        <v>47</v>
      </c>
      <c r="AA910" s="5" t="s">
        <v>64</v>
      </c>
      <c r="AB910" s="5" t="s">
        <v>4104</v>
      </c>
      <c r="AC910" s="6" t="s">
        <v>71</v>
      </c>
      <c r="AD910" s="6">
        <v>1598.0</v>
      </c>
    </row>
    <row r="911" ht="56.25" customHeight="1">
      <c r="A911" s="5" t="s">
        <v>4085</v>
      </c>
      <c r="B911" s="6" t="str">
        <f>IMAGE("https://storage.googleapis.com/acdb/housewares/FtrBalanceball_Remake_4_0.png")</f>
        <v/>
      </c>
      <c r="C911" s="5" t="s">
        <v>151</v>
      </c>
      <c r="D911" s="5" t="s">
        <v>34</v>
      </c>
      <c r="E911" s="5" t="s">
        <v>34</v>
      </c>
      <c r="F911" s="5" t="s">
        <v>34</v>
      </c>
      <c r="G911" s="5" t="s">
        <v>36</v>
      </c>
      <c r="H911" s="5" t="s">
        <v>36</v>
      </c>
      <c r="I911" s="5" t="s">
        <v>36</v>
      </c>
      <c r="J911" s="6" t="s">
        <v>34</v>
      </c>
      <c r="K911" s="6">
        <v>1100.0</v>
      </c>
      <c r="L911" s="6">
        <v>275.0</v>
      </c>
      <c r="M911" s="8" t="s">
        <v>114</v>
      </c>
      <c r="N911" s="8" t="s">
        <v>114</v>
      </c>
      <c r="O911" s="6" t="s">
        <v>40</v>
      </c>
      <c r="P911" s="5" t="s">
        <v>59</v>
      </c>
      <c r="Q911" s="5" t="s">
        <v>89</v>
      </c>
      <c r="R911" s="6" t="s">
        <v>42</v>
      </c>
      <c r="S911" s="5" t="s">
        <v>474</v>
      </c>
      <c r="T911" s="5" t="s">
        <v>91</v>
      </c>
      <c r="U911" s="5" t="s">
        <v>44</v>
      </c>
      <c r="V911" s="5" t="s">
        <v>44</v>
      </c>
      <c r="W911" s="5" t="s">
        <v>35</v>
      </c>
      <c r="X911" s="8" t="s">
        <v>475</v>
      </c>
      <c r="Y911" s="5" t="s">
        <v>46</v>
      </c>
      <c r="Z911" s="5" t="s">
        <v>47</v>
      </c>
      <c r="AA911" s="5" t="s">
        <v>64</v>
      </c>
      <c r="AB911" s="5" t="s">
        <v>4110</v>
      </c>
      <c r="AC911" s="6" t="s">
        <v>75</v>
      </c>
      <c r="AD911" s="6">
        <v>1598.0</v>
      </c>
    </row>
    <row r="912" ht="56.25" customHeight="1">
      <c r="A912" s="5" t="s">
        <v>4112</v>
      </c>
      <c r="B912" s="6" t="str">
        <f>IMAGE("https://storage.googleapis.com/acdb/housewares/FtrExercisebike_Remake_0_0.png")</f>
        <v/>
      </c>
      <c r="C912" s="5" t="s">
        <v>54</v>
      </c>
      <c r="D912" s="5" t="s">
        <v>34</v>
      </c>
      <c r="E912" s="5" t="s">
        <v>34</v>
      </c>
      <c r="F912" s="5" t="s">
        <v>34</v>
      </c>
      <c r="G912" s="5" t="s">
        <v>36</v>
      </c>
      <c r="H912" s="5" t="s">
        <v>36</v>
      </c>
      <c r="I912" s="5" t="s">
        <v>36</v>
      </c>
      <c r="J912" s="6" t="s">
        <v>34</v>
      </c>
      <c r="K912" s="6">
        <v>4800.0</v>
      </c>
      <c r="L912" s="6">
        <v>1200.0</v>
      </c>
      <c r="M912" s="8" t="s">
        <v>54</v>
      </c>
      <c r="N912" s="8" t="s">
        <v>95</v>
      </c>
      <c r="O912" s="6" t="s">
        <v>40</v>
      </c>
      <c r="P912" s="5" t="s">
        <v>59</v>
      </c>
      <c r="Q912" s="5" t="s">
        <v>122</v>
      </c>
      <c r="R912" s="6" t="s">
        <v>42</v>
      </c>
      <c r="S912" s="5" t="s">
        <v>474</v>
      </c>
      <c r="T912" s="5" t="s">
        <v>44</v>
      </c>
      <c r="U912" s="5" t="s">
        <v>44</v>
      </c>
      <c r="V912" s="5" t="s">
        <v>44</v>
      </c>
      <c r="W912" s="5" t="s">
        <v>35</v>
      </c>
      <c r="X912" s="8" t="s">
        <v>475</v>
      </c>
      <c r="Y912" s="5" t="s">
        <v>46</v>
      </c>
      <c r="Z912" s="5" t="s">
        <v>47</v>
      </c>
      <c r="AA912" s="5" t="s">
        <v>64</v>
      </c>
      <c r="AB912" s="5" t="s">
        <v>4113</v>
      </c>
      <c r="AC912" s="6" t="s">
        <v>50</v>
      </c>
      <c r="AD912" s="6">
        <v>287.0</v>
      </c>
    </row>
    <row r="913" ht="56.25" customHeight="1">
      <c r="A913" s="5" t="s">
        <v>4112</v>
      </c>
      <c r="B913" s="6" t="str">
        <f>IMAGE("https://storage.googleapis.com/acdb/housewares/FtrExercisebike_Remake_1_0.png")</f>
        <v/>
      </c>
      <c r="C913" s="5" t="s">
        <v>52</v>
      </c>
      <c r="D913" s="5" t="s">
        <v>34</v>
      </c>
      <c r="E913" s="5" t="s">
        <v>34</v>
      </c>
      <c r="F913" s="5" t="s">
        <v>34</v>
      </c>
      <c r="G913" s="5" t="s">
        <v>36</v>
      </c>
      <c r="H913" s="5" t="s">
        <v>36</v>
      </c>
      <c r="I913" s="5" t="s">
        <v>36</v>
      </c>
      <c r="J913" s="6" t="s">
        <v>34</v>
      </c>
      <c r="K913" s="6">
        <v>4800.0</v>
      </c>
      <c r="L913" s="6">
        <v>1200.0</v>
      </c>
      <c r="M913" s="8" t="s">
        <v>52</v>
      </c>
      <c r="N913" s="8" t="s">
        <v>54</v>
      </c>
      <c r="O913" s="6" t="s">
        <v>40</v>
      </c>
      <c r="P913" s="5" t="s">
        <v>59</v>
      </c>
      <c r="Q913" s="5" t="s">
        <v>122</v>
      </c>
      <c r="R913" s="6" t="s">
        <v>42</v>
      </c>
      <c r="S913" s="5" t="s">
        <v>474</v>
      </c>
      <c r="T913" s="5" t="s">
        <v>44</v>
      </c>
      <c r="U913" s="5" t="s">
        <v>44</v>
      </c>
      <c r="V913" s="5" t="s">
        <v>44</v>
      </c>
      <c r="W913" s="5" t="s">
        <v>35</v>
      </c>
      <c r="X913" s="8" t="s">
        <v>475</v>
      </c>
      <c r="Y913" s="5" t="s">
        <v>46</v>
      </c>
      <c r="Z913" s="5" t="s">
        <v>47</v>
      </c>
      <c r="AA913" s="5" t="s">
        <v>64</v>
      </c>
      <c r="AB913" s="5" t="s">
        <v>4117</v>
      </c>
      <c r="AC913" s="6" t="s">
        <v>56</v>
      </c>
      <c r="AD913" s="6">
        <v>287.0</v>
      </c>
    </row>
    <row r="914" ht="56.25" customHeight="1">
      <c r="A914" s="5" t="s">
        <v>4112</v>
      </c>
      <c r="B914" s="6" t="str">
        <f>IMAGE("https://storage.googleapis.com/acdb/housewares/FtrExercisebike_Remake_2_0.png")</f>
        <v/>
      </c>
      <c r="C914" s="5" t="s">
        <v>114</v>
      </c>
      <c r="D914" s="5" t="s">
        <v>34</v>
      </c>
      <c r="E914" s="5" t="s">
        <v>34</v>
      </c>
      <c r="F914" s="5" t="s">
        <v>34</v>
      </c>
      <c r="G914" s="5" t="s">
        <v>36</v>
      </c>
      <c r="H914" s="5" t="s">
        <v>36</v>
      </c>
      <c r="I914" s="5" t="s">
        <v>36</v>
      </c>
      <c r="J914" s="6" t="s">
        <v>34</v>
      </c>
      <c r="K914" s="6">
        <v>4800.0</v>
      </c>
      <c r="L914" s="6">
        <v>1200.0</v>
      </c>
      <c r="M914" s="8" t="s">
        <v>114</v>
      </c>
      <c r="N914" s="8" t="s">
        <v>54</v>
      </c>
      <c r="O914" s="6" t="s">
        <v>40</v>
      </c>
      <c r="P914" s="5" t="s">
        <v>59</v>
      </c>
      <c r="Q914" s="5" t="s">
        <v>122</v>
      </c>
      <c r="R914" s="6" t="s">
        <v>42</v>
      </c>
      <c r="S914" s="5" t="s">
        <v>474</v>
      </c>
      <c r="T914" s="5" t="s">
        <v>44</v>
      </c>
      <c r="U914" s="5" t="s">
        <v>44</v>
      </c>
      <c r="V914" s="5" t="s">
        <v>44</v>
      </c>
      <c r="W914" s="5" t="s">
        <v>35</v>
      </c>
      <c r="X914" s="8" t="s">
        <v>475</v>
      </c>
      <c r="Y914" s="5" t="s">
        <v>46</v>
      </c>
      <c r="Z914" s="5" t="s">
        <v>47</v>
      </c>
      <c r="AA914" s="5" t="s">
        <v>64</v>
      </c>
      <c r="AB914" s="5" t="s">
        <v>4122</v>
      </c>
      <c r="AC914" s="6" t="s">
        <v>67</v>
      </c>
      <c r="AD914" s="6">
        <v>287.0</v>
      </c>
    </row>
    <row r="915" ht="56.25" customHeight="1">
      <c r="A915" s="5" t="s">
        <v>4112</v>
      </c>
      <c r="B915" s="6" t="str">
        <f>IMAGE("https://storage.googleapis.com/acdb/housewares/FtrExercisebike_Remake_3_0.png")</f>
        <v/>
      </c>
      <c r="C915" s="5" t="s">
        <v>57</v>
      </c>
      <c r="D915" s="5" t="s">
        <v>34</v>
      </c>
      <c r="E915" s="5" t="s">
        <v>34</v>
      </c>
      <c r="F915" s="5" t="s">
        <v>34</v>
      </c>
      <c r="G915" s="5" t="s">
        <v>36</v>
      </c>
      <c r="H915" s="5" t="s">
        <v>36</v>
      </c>
      <c r="I915" s="5" t="s">
        <v>36</v>
      </c>
      <c r="J915" s="6" t="s">
        <v>34</v>
      </c>
      <c r="K915" s="6">
        <v>4800.0</v>
      </c>
      <c r="L915" s="6">
        <v>1200.0</v>
      </c>
      <c r="M915" s="8" t="s">
        <v>57</v>
      </c>
      <c r="N915" s="8" t="s">
        <v>54</v>
      </c>
      <c r="O915" s="6" t="s">
        <v>40</v>
      </c>
      <c r="P915" s="5" t="s">
        <v>59</v>
      </c>
      <c r="Q915" s="5" t="s">
        <v>122</v>
      </c>
      <c r="R915" s="6" t="s">
        <v>42</v>
      </c>
      <c r="S915" s="5" t="s">
        <v>474</v>
      </c>
      <c r="T915" s="5" t="s">
        <v>44</v>
      </c>
      <c r="U915" s="5" t="s">
        <v>44</v>
      </c>
      <c r="V915" s="5" t="s">
        <v>44</v>
      </c>
      <c r="W915" s="5" t="s">
        <v>35</v>
      </c>
      <c r="X915" s="8" t="s">
        <v>475</v>
      </c>
      <c r="Y915" s="5" t="s">
        <v>46</v>
      </c>
      <c r="Z915" s="5" t="s">
        <v>47</v>
      </c>
      <c r="AA915" s="5" t="s">
        <v>64</v>
      </c>
      <c r="AB915" s="5" t="s">
        <v>4127</v>
      </c>
      <c r="AC915" s="6" t="s">
        <v>71</v>
      </c>
      <c r="AD915" s="6">
        <v>287.0</v>
      </c>
    </row>
    <row r="916" ht="56.25" customHeight="1">
      <c r="A916" s="5" t="s">
        <v>4128</v>
      </c>
      <c r="B916" s="6" t="str">
        <f>IMAGE("https://storage.googleapis.com/acdb/housewares/FtrFan_Remake_0_0.png")</f>
        <v/>
      </c>
      <c r="C916" s="5" t="s">
        <v>57</v>
      </c>
      <c r="D916" s="5" t="s">
        <v>34</v>
      </c>
      <c r="E916" s="5" t="s">
        <v>34</v>
      </c>
      <c r="F916" s="5" t="s">
        <v>34</v>
      </c>
      <c r="G916" s="5" t="s">
        <v>36</v>
      </c>
      <c r="H916" s="5" t="s">
        <v>36</v>
      </c>
      <c r="I916" s="5" t="s">
        <v>36</v>
      </c>
      <c r="J916" s="6" t="s">
        <v>34</v>
      </c>
      <c r="K916" s="6">
        <v>1700.0</v>
      </c>
      <c r="L916" s="6">
        <v>425.0</v>
      </c>
      <c r="M916" s="8" t="s">
        <v>57</v>
      </c>
      <c r="N916" s="8" t="s">
        <v>57</v>
      </c>
      <c r="O916" s="6" t="s">
        <v>40</v>
      </c>
      <c r="P916" s="5" t="s">
        <v>59</v>
      </c>
      <c r="Q916" s="5" t="s">
        <v>89</v>
      </c>
      <c r="R916" s="6" t="s">
        <v>42</v>
      </c>
      <c r="S916" s="5" t="s">
        <v>90</v>
      </c>
      <c r="T916" s="5" t="s">
        <v>99</v>
      </c>
      <c r="U916" s="5" t="s">
        <v>44</v>
      </c>
      <c r="V916" s="5" t="s">
        <v>44</v>
      </c>
      <c r="W916" s="5" t="s">
        <v>35</v>
      </c>
      <c r="X916" s="8" t="s">
        <v>92</v>
      </c>
      <c r="Y916" s="5" t="s">
        <v>46</v>
      </c>
      <c r="Z916" s="5" t="s">
        <v>47</v>
      </c>
      <c r="AA916" s="5" t="s">
        <v>64</v>
      </c>
      <c r="AB916" s="5" t="s">
        <v>4132</v>
      </c>
      <c r="AC916" s="6" t="s">
        <v>50</v>
      </c>
      <c r="AD916" s="6">
        <v>3820.0</v>
      </c>
    </row>
    <row r="917" ht="56.25" customHeight="1">
      <c r="A917" s="5" t="s">
        <v>4128</v>
      </c>
      <c r="B917" s="6" t="str">
        <f>IMAGE("https://storage.googleapis.com/acdb/housewares/FtrFan_Remake_1_0.png")</f>
        <v/>
      </c>
      <c r="C917" s="5" t="s">
        <v>54</v>
      </c>
      <c r="D917" s="5" t="s">
        <v>34</v>
      </c>
      <c r="E917" s="5" t="s">
        <v>34</v>
      </c>
      <c r="F917" s="5" t="s">
        <v>34</v>
      </c>
      <c r="G917" s="5" t="s">
        <v>36</v>
      </c>
      <c r="H917" s="5" t="s">
        <v>36</v>
      </c>
      <c r="I917" s="5" t="s">
        <v>36</v>
      </c>
      <c r="J917" s="6" t="s">
        <v>34</v>
      </c>
      <c r="K917" s="6">
        <v>1700.0</v>
      </c>
      <c r="L917" s="6">
        <v>425.0</v>
      </c>
      <c r="M917" s="8" t="s">
        <v>54</v>
      </c>
      <c r="N917" s="8" t="s">
        <v>54</v>
      </c>
      <c r="O917" s="6" t="s">
        <v>40</v>
      </c>
      <c r="P917" s="5" t="s">
        <v>59</v>
      </c>
      <c r="Q917" s="5" t="s">
        <v>89</v>
      </c>
      <c r="R917" s="6" t="s">
        <v>42</v>
      </c>
      <c r="S917" s="5" t="s">
        <v>90</v>
      </c>
      <c r="T917" s="5" t="s">
        <v>99</v>
      </c>
      <c r="U917" s="5" t="s">
        <v>44</v>
      </c>
      <c r="V917" s="5" t="s">
        <v>44</v>
      </c>
      <c r="W917" s="5" t="s">
        <v>35</v>
      </c>
      <c r="X917" s="8" t="s">
        <v>92</v>
      </c>
      <c r="Y917" s="5" t="s">
        <v>46</v>
      </c>
      <c r="Z917" s="5" t="s">
        <v>47</v>
      </c>
      <c r="AA917" s="5" t="s">
        <v>64</v>
      </c>
      <c r="AB917" s="5" t="s">
        <v>4137</v>
      </c>
      <c r="AC917" s="6" t="s">
        <v>56</v>
      </c>
      <c r="AD917" s="6">
        <v>3820.0</v>
      </c>
    </row>
    <row r="918" ht="56.25" customHeight="1">
      <c r="A918" s="5" t="s">
        <v>4128</v>
      </c>
      <c r="B918" s="6" t="str">
        <f>IMAGE("https://storage.googleapis.com/acdb/housewares/FtrFan_Remake_2_0.png")</f>
        <v/>
      </c>
      <c r="C918" s="5" t="s">
        <v>83</v>
      </c>
      <c r="D918" s="5" t="s">
        <v>34</v>
      </c>
      <c r="E918" s="5" t="s">
        <v>34</v>
      </c>
      <c r="F918" s="5" t="s">
        <v>34</v>
      </c>
      <c r="G918" s="5" t="s">
        <v>36</v>
      </c>
      <c r="H918" s="5" t="s">
        <v>36</v>
      </c>
      <c r="I918" s="5" t="s">
        <v>36</v>
      </c>
      <c r="J918" s="6" t="s">
        <v>34</v>
      </c>
      <c r="K918" s="6">
        <v>1700.0</v>
      </c>
      <c r="L918" s="6">
        <v>425.0</v>
      </c>
      <c r="M918" s="8" t="s">
        <v>1175</v>
      </c>
      <c r="N918" s="8" t="s">
        <v>1175</v>
      </c>
      <c r="O918" s="6" t="s">
        <v>40</v>
      </c>
      <c r="P918" s="5" t="s">
        <v>59</v>
      </c>
      <c r="Q918" s="5" t="s">
        <v>89</v>
      </c>
      <c r="R918" s="6" t="s">
        <v>42</v>
      </c>
      <c r="S918" s="5" t="s">
        <v>90</v>
      </c>
      <c r="T918" s="5" t="s">
        <v>99</v>
      </c>
      <c r="U918" s="5" t="s">
        <v>44</v>
      </c>
      <c r="V918" s="5" t="s">
        <v>44</v>
      </c>
      <c r="W918" s="5" t="s">
        <v>35</v>
      </c>
      <c r="X918" s="8" t="s">
        <v>92</v>
      </c>
      <c r="Y918" s="5" t="s">
        <v>46</v>
      </c>
      <c r="Z918" s="5" t="s">
        <v>47</v>
      </c>
      <c r="AA918" s="5" t="s">
        <v>64</v>
      </c>
      <c r="AB918" s="5" t="s">
        <v>4144</v>
      </c>
      <c r="AC918" s="6" t="s">
        <v>67</v>
      </c>
      <c r="AD918" s="6">
        <v>3820.0</v>
      </c>
    </row>
    <row r="919" ht="56.25" customHeight="1">
      <c r="A919" s="5" t="s">
        <v>4128</v>
      </c>
      <c r="B919" s="6" t="str">
        <f>IMAGE("https://storage.googleapis.com/acdb/housewares/FtrFan_Remake_3_0.png")</f>
        <v/>
      </c>
      <c r="C919" s="5" t="s">
        <v>69</v>
      </c>
      <c r="D919" s="5" t="s">
        <v>34</v>
      </c>
      <c r="E919" s="5" t="s">
        <v>34</v>
      </c>
      <c r="F919" s="5" t="s">
        <v>34</v>
      </c>
      <c r="G919" s="5" t="s">
        <v>36</v>
      </c>
      <c r="H919" s="5" t="s">
        <v>36</v>
      </c>
      <c r="I919" s="5" t="s">
        <v>36</v>
      </c>
      <c r="J919" s="6" t="s">
        <v>34</v>
      </c>
      <c r="K919" s="6">
        <v>1700.0</v>
      </c>
      <c r="L919" s="6">
        <v>425.0</v>
      </c>
      <c r="M919" s="8" t="s">
        <v>52</v>
      </c>
      <c r="N919" s="8" t="s">
        <v>52</v>
      </c>
      <c r="O919" s="6" t="s">
        <v>40</v>
      </c>
      <c r="P919" s="5" t="s">
        <v>59</v>
      </c>
      <c r="Q919" s="5" t="s">
        <v>89</v>
      </c>
      <c r="R919" s="6" t="s">
        <v>42</v>
      </c>
      <c r="S919" s="5" t="s">
        <v>90</v>
      </c>
      <c r="T919" s="5" t="s">
        <v>99</v>
      </c>
      <c r="U919" s="5" t="s">
        <v>44</v>
      </c>
      <c r="V919" s="5" t="s">
        <v>44</v>
      </c>
      <c r="W919" s="5" t="s">
        <v>35</v>
      </c>
      <c r="X919" s="8" t="s">
        <v>92</v>
      </c>
      <c r="Y919" s="5" t="s">
        <v>46</v>
      </c>
      <c r="Z919" s="5" t="s">
        <v>47</v>
      </c>
      <c r="AA919" s="5" t="s">
        <v>64</v>
      </c>
      <c r="AB919" s="5" t="s">
        <v>4149</v>
      </c>
      <c r="AC919" s="6" t="s">
        <v>71</v>
      </c>
      <c r="AD919" s="6">
        <v>3820.0</v>
      </c>
    </row>
    <row r="920" ht="56.25" customHeight="1">
      <c r="A920" s="5" t="s">
        <v>4150</v>
      </c>
      <c r="B920" s="6" t="str">
        <f>IMAGE("https://storage.googleapis.com/acdb/housewares/FtrPlantYamadoriyashi_Remake_0_0.png")</f>
        <v/>
      </c>
      <c r="C920" s="5" t="s">
        <v>54</v>
      </c>
      <c r="D920" s="5" t="s">
        <v>34</v>
      </c>
      <c r="E920" s="5" t="s">
        <v>34</v>
      </c>
      <c r="F920" s="5" t="s">
        <v>34</v>
      </c>
      <c r="G920" s="5" t="s">
        <v>36</v>
      </c>
      <c r="H920" s="5" t="s">
        <v>36</v>
      </c>
      <c r="I920" s="5" t="s">
        <v>36</v>
      </c>
      <c r="J920" s="6" t="s">
        <v>34</v>
      </c>
      <c r="K920" s="6">
        <v>1200.0</v>
      </c>
      <c r="L920" s="6">
        <v>300.0</v>
      </c>
      <c r="M920" s="8" t="s">
        <v>54</v>
      </c>
      <c r="N920" s="8" t="s">
        <v>96</v>
      </c>
      <c r="O920" s="6" t="s">
        <v>40</v>
      </c>
      <c r="P920" s="5" t="s">
        <v>59</v>
      </c>
      <c r="Q920" s="5" t="s">
        <v>89</v>
      </c>
      <c r="R920" s="6" t="s">
        <v>42</v>
      </c>
      <c r="S920" s="5" t="s">
        <v>90</v>
      </c>
      <c r="T920" s="5" t="s">
        <v>44</v>
      </c>
      <c r="U920" s="5" t="s">
        <v>44</v>
      </c>
      <c r="V920" s="5" t="s">
        <v>44</v>
      </c>
      <c r="W920" s="5" t="s">
        <v>36</v>
      </c>
      <c r="X920" s="8" t="s">
        <v>244</v>
      </c>
      <c r="Y920" s="5" t="s">
        <v>46</v>
      </c>
      <c r="Z920" s="5" t="s">
        <v>47</v>
      </c>
      <c r="AA920" s="5" t="s">
        <v>64</v>
      </c>
      <c r="AB920" s="5" t="s">
        <v>4156</v>
      </c>
      <c r="AC920" s="6" t="s">
        <v>50</v>
      </c>
      <c r="AD920" s="6">
        <v>1288.0</v>
      </c>
    </row>
    <row r="921" ht="56.25" customHeight="1">
      <c r="A921" s="5" t="s">
        <v>4150</v>
      </c>
      <c r="B921" s="6" t="str">
        <f>IMAGE("https://storage.googleapis.com/acdb/housewares/FtrPlantYamadoriyashi_Remake_1_0.png")</f>
        <v/>
      </c>
      <c r="C921" s="5" t="s">
        <v>57</v>
      </c>
      <c r="D921" s="5" t="s">
        <v>34</v>
      </c>
      <c r="E921" s="5" t="s">
        <v>34</v>
      </c>
      <c r="F921" s="5" t="s">
        <v>34</v>
      </c>
      <c r="G921" s="5" t="s">
        <v>36</v>
      </c>
      <c r="H921" s="5" t="s">
        <v>36</v>
      </c>
      <c r="I921" s="5" t="s">
        <v>36</v>
      </c>
      <c r="J921" s="6" t="s">
        <v>34</v>
      </c>
      <c r="K921" s="6">
        <v>1200.0</v>
      </c>
      <c r="L921" s="6">
        <v>300.0</v>
      </c>
      <c r="M921" s="8" t="s">
        <v>57</v>
      </c>
      <c r="N921" s="8" t="s">
        <v>96</v>
      </c>
      <c r="O921" s="6" t="s">
        <v>40</v>
      </c>
      <c r="P921" s="5" t="s">
        <v>59</v>
      </c>
      <c r="Q921" s="5" t="s">
        <v>89</v>
      </c>
      <c r="R921" s="6" t="s">
        <v>42</v>
      </c>
      <c r="S921" s="5" t="s">
        <v>90</v>
      </c>
      <c r="T921" s="5" t="s">
        <v>44</v>
      </c>
      <c r="U921" s="5" t="s">
        <v>44</v>
      </c>
      <c r="V921" s="5" t="s">
        <v>44</v>
      </c>
      <c r="W921" s="5" t="s">
        <v>36</v>
      </c>
      <c r="X921" s="8" t="s">
        <v>244</v>
      </c>
      <c r="Y921" s="5" t="s">
        <v>46</v>
      </c>
      <c r="Z921" s="5" t="s">
        <v>47</v>
      </c>
      <c r="AA921" s="5" t="s">
        <v>64</v>
      </c>
      <c r="AB921" s="5" t="s">
        <v>4160</v>
      </c>
      <c r="AC921" s="6" t="s">
        <v>56</v>
      </c>
      <c r="AD921" s="6">
        <v>1288.0</v>
      </c>
    </row>
    <row r="922" ht="56.25" customHeight="1">
      <c r="A922" s="5" t="s">
        <v>4150</v>
      </c>
      <c r="B922" s="6" t="str">
        <f>IMAGE("https://storage.googleapis.com/acdb/housewares/FtrPlantYamadoriyashi_Remake_2_0.png")</f>
        <v/>
      </c>
      <c r="C922" s="5" t="s">
        <v>39</v>
      </c>
      <c r="D922" s="5" t="s">
        <v>34</v>
      </c>
      <c r="E922" s="5" t="s">
        <v>34</v>
      </c>
      <c r="F922" s="5" t="s">
        <v>34</v>
      </c>
      <c r="G922" s="5" t="s">
        <v>36</v>
      </c>
      <c r="H922" s="5" t="s">
        <v>36</v>
      </c>
      <c r="I922" s="5" t="s">
        <v>36</v>
      </c>
      <c r="J922" s="6" t="s">
        <v>34</v>
      </c>
      <c r="K922" s="6">
        <v>1200.0</v>
      </c>
      <c r="L922" s="6">
        <v>300.0</v>
      </c>
      <c r="M922" s="8" t="s">
        <v>38</v>
      </c>
      <c r="N922" s="8" t="s">
        <v>96</v>
      </c>
      <c r="O922" s="6" t="s">
        <v>40</v>
      </c>
      <c r="P922" s="5" t="s">
        <v>59</v>
      </c>
      <c r="Q922" s="5" t="s">
        <v>89</v>
      </c>
      <c r="R922" s="6" t="s">
        <v>42</v>
      </c>
      <c r="S922" s="5" t="s">
        <v>90</v>
      </c>
      <c r="T922" s="5" t="s">
        <v>44</v>
      </c>
      <c r="U922" s="5" t="s">
        <v>44</v>
      </c>
      <c r="V922" s="5" t="s">
        <v>44</v>
      </c>
      <c r="W922" s="5" t="s">
        <v>36</v>
      </c>
      <c r="X922" s="8" t="s">
        <v>244</v>
      </c>
      <c r="Y922" s="5" t="s">
        <v>46</v>
      </c>
      <c r="Z922" s="5" t="s">
        <v>47</v>
      </c>
      <c r="AA922" s="5" t="s">
        <v>64</v>
      </c>
      <c r="AB922" s="5" t="s">
        <v>4165</v>
      </c>
      <c r="AC922" s="6" t="s">
        <v>67</v>
      </c>
      <c r="AD922" s="6">
        <v>1288.0</v>
      </c>
    </row>
    <row r="923" ht="56.25" customHeight="1">
      <c r="A923" s="5" t="s">
        <v>4150</v>
      </c>
      <c r="B923" s="6" t="str">
        <f>IMAGE("https://storage.googleapis.com/acdb/housewares/FtrPlantYamadoriyashi_Remake_3_0.png")</f>
        <v/>
      </c>
      <c r="C923" s="5" t="s">
        <v>68</v>
      </c>
      <c r="D923" s="5" t="s">
        <v>34</v>
      </c>
      <c r="E923" s="5" t="s">
        <v>34</v>
      </c>
      <c r="F923" s="5" t="s">
        <v>34</v>
      </c>
      <c r="G923" s="5" t="s">
        <v>36</v>
      </c>
      <c r="H923" s="5" t="s">
        <v>36</v>
      </c>
      <c r="I923" s="5" t="s">
        <v>36</v>
      </c>
      <c r="J923" s="6" t="s">
        <v>34</v>
      </c>
      <c r="K923" s="6">
        <v>1200.0</v>
      </c>
      <c r="L923" s="6">
        <v>300.0</v>
      </c>
      <c r="M923" s="8" t="s">
        <v>68</v>
      </c>
      <c r="N923" s="8" t="s">
        <v>96</v>
      </c>
      <c r="O923" s="6" t="s">
        <v>40</v>
      </c>
      <c r="P923" s="5" t="s">
        <v>59</v>
      </c>
      <c r="Q923" s="5" t="s">
        <v>89</v>
      </c>
      <c r="R923" s="6" t="s">
        <v>42</v>
      </c>
      <c r="S923" s="5" t="s">
        <v>90</v>
      </c>
      <c r="T923" s="5" t="s">
        <v>44</v>
      </c>
      <c r="U923" s="5" t="s">
        <v>44</v>
      </c>
      <c r="V923" s="5" t="s">
        <v>44</v>
      </c>
      <c r="W923" s="5" t="s">
        <v>36</v>
      </c>
      <c r="X923" s="8" t="s">
        <v>244</v>
      </c>
      <c r="Y923" s="5" t="s">
        <v>46</v>
      </c>
      <c r="Z923" s="5" t="s">
        <v>47</v>
      </c>
      <c r="AA923" s="5" t="s">
        <v>64</v>
      </c>
      <c r="AB923" s="5" t="s">
        <v>4169</v>
      </c>
      <c r="AC923" s="6" t="s">
        <v>71</v>
      </c>
      <c r="AD923" s="6">
        <v>1288.0</v>
      </c>
    </row>
    <row r="924" ht="56.25" customHeight="1">
      <c r="A924" s="5" t="s">
        <v>4150</v>
      </c>
      <c r="B924" s="6" t="str">
        <f>IMAGE("https://storage.googleapis.com/acdb/housewares/FtrPlantYamadoriyashi_Remake_4_0.png")</f>
        <v/>
      </c>
      <c r="C924" s="5" t="s">
        <v>96</v>
      </c>
      <c r="D924" s="5" t="s">
        <v>34</v>
      </c>
      <c r="E924" s="5" t="s">
        <v>34</v>
      </c>
      <c r="F924" s="5" t="s">
        <v>34</v>
      </c>
      <c r="G924" s="5" t="s">
        <v>36</v>
      </c>
      <c r="H924" s="5" t="s">
        <v>36</v>
      </c>
      <c r="I924" s="5" t="s">
        <v>36</v>
      </c>
      <c r="J924" s="6" t="s">
        <v>34</v>
      </c>
      <c r="K924" s="6">
        <v>1200.0</v>
      </c>
      <c r="L924" s="6">
        <v>300.0</v>
      </c>
      <c r="M924" s="8" t="s">
        <v>96</v>
      </c>
      <c r="N924" s="8" t="s">
        <v>96</v>
      </c>
      <c r="O924" s="6" t="s">
        <v>40</v>
      </c>
      <c r="P924" s="5" t="s">
        <v>59</v>
      </c>
      <c r="Q924" s="5" t="s">
        <v>89</v>
      </c>
      <c r="R924" s="6" t="s">
        <v>42</v>
      </c>
      <c r="S924" s="5" t="s">
        <v>90</v>
      </c>
      <c r="T924" s="5" t="s">
        <v>44</v>
      </c>
      <c r="U924" s="5" t="s">
        <v>44</v>
      </c>
      <c r="V924" s="5" t="s">
        <v>44</v>
      </c>
      <c r="W924" s="5" t="s">
        <v>36</v>
      </c>
      <c r="X924" s="8" t="s">
        <v>244</v>
      </c>
      <c r="Y924" s="5" t="s">
        <v>46</v>
      </c>
      <c r="Z924" s="5" t="s">
        <v>47</v>
      </c>
      <c r="AA924" s="5" t="s">
        <v>64</v>
      </c>
      <c r="AB924" s="5" t="s">
        <v>4176</v>
      </c>
      <c r="AC924" s="6" t="s">
        <v>75</v>
      </c>
      <c r="AD924" s="6">
        <v>1288.0</v>
      </c>
    </row>
    <row r="925" ht="56.25" customHeight="1">
      <c r="A925" s="5" t="s">
        <v>4150</v>
      </c>
      <c r="B925" s="6" t="str">
        <f>IMAGE("https://storage.googleapis.com/acdb/housewares/FtrPlantYamadoriyashi_Remake_5_0.png")</f>
        <v/>
      </c>
      <c r="C925" s="5" t="s">
        <v>52</v>
      </c>
      <c r="D925" s="5" t="s">
        <v>34</v>
      </c>
      <c r="E925" s="5" t="s">
        <v>34</v>
      </c>
      <c r="F925" s="5" t="s">
        <v>34</v>
      </c>
      <c r="G925" s="5" t="s">
        <v>36</v>
      </c>
      <c r="H925" s="5" t="s">
        <v>36</v>
      </c>
      <c r="I925" s="5" t="s">
        <v>36</v>
      </c>
      <c r="J925" s="6" t="s">
        <v>34</v>
      </c>
      <c r="K925" s="6">
        <v>1200.0</v>
      </c>
      <c r="L925" s="6">
        <v>300.0</v>
      </c>
      <c r="M925" s="8" t="s">
        <v>52</v>
      </c>
      <c r="N925" s="8" t="s">
        <v>96</v>
      </c>
      <c r="O925" s="6" t="s">
        <v>40</v>
      </c>
      <c r="P925" s="5" t="s">
        <v>59</v>
      </c>
      <c r="Q925" s="5" t="s">
        <v>89</v>
      </c>
      <c r="R925" s="6" t="s">
        <v>42</v>
      </c>
      <c r="S925" s="5" t="s">
        <v>90</v>
      </c>
      <c r="T925" s="5" t="s">
        <v>44</v>
      </c>
      <c r="U925" s="5" t="s">
        <v>44</v>
      </c>
      <c r="V925" s="5" t="s">
        <v>44</v>
      </c>
      <c r="W925" s="5" t="s">
        <v>36</v>
      </c>
      <c r="X925" s="8" t="s">
        <v>244</v>
      </c>
      <c r="Y925" s="5" t="s">
        <v>46</v>
      </c>
      <c r="Z925" s="5" t="s">
        <v>47</v>
      </c>
      <c r="AA925" s="5" t="s">
        <v>64</v>
      </c>
      <c r="AB925" s="5" t="s">
        <v>4180</v>
      </c>
      <c r="AC925" s="6" t="s">
        <v>79</v>
      </c>
      <c r="AD925" s="6">
        <v>1288.0</v>
      </c>
    </row>
    <row r="926" ht="56.25" customHeight="1">
      <c r="A926" s="5" t="s">
        <v>4181</v>
      </c>
      <c r="B926" s="6" t="str">
        <f>IMAGE("https://storage.googleapis.com/acdb/housewares/FtrTreeXmasS_Remake_0_0.png")</f>
        <v/>
      </c>
      <c r="C926" s="5" t="s">
        <v>58</v>
      </c>
      <c r="D926" s="5" t="s">
        <v>373</v>
      </c>
      <c r="E926" s="5" t="s">
        <v>34</v>
      </c>
      <c r="F926" s="5" t="s">
        <v>34</v>
      </c>
      <c r="G926" s="5" t="s">
        <v>35</v>
      </c>
      <c r="H926" s="5" t="s">
        <v>35</v>
      </c>
      <c r="I926" s="5" t="s">
        <v>36</v>
      </c>
      <c r="J926" s="6">
        <v>2.0</v>
      </c>
      <c r="K926" s="6" t="s">
        <v>37</v>
      </c>
      <c r="L926" s="6">
        <v>1400.0</v>
      </c>
      <c r="M926" s="8" t="s">
        <v>96</v>
      </c>
      <c r="N926" s="8" t="s">
        <v>58</v>
      </c>
      <c r="O926" s="6" t="s">
        <v>40</v>
      </c>
      <c r="P926" s="5" t="s">
        <v>41</v>
      </c>
      <c r="Q926" s="5" t="s">
        <v>969</v>
      </c>
      <c r="R926" s="6" t="s">
        <v>42</v>
      </c>
      <c r="S926" s="5" t="s">
        <v>465</v>
      </c>
      <c r="T926" s="5" t="s">
        <v>61</v>
      </c>
      <c r="U926" s="5" t="s">
        <v>970</v>
      </c>
      <c r="V926" s="5" t="s">
        <v>44</v>
      </c>
      <c r="W926" s="5" t="s">
        <v>35</v>
      </c>
      <c r="X926" s="8" t="s">
        <v>590</v>
      </c>
      <c r="Y926" s="5" t="s">
        <v>46</v>
      </c>
      <c r="Z926" s="5" t="s">
        <v>47</v>
      </c>
      <c r="AA926" s="5" t="s">
        <v>48</v>
      </c>
      <c r="AB926" s="5" t="s">
        <v>4188</v>
      </c>
      <c r="AC926" s="6" t="s">
        <v>50</v>
      </c>
      <c r="AD926" s="6">
        <v>3991.0</v>
      </c>
    </row>
    <row r="927" ht="56.25" customHeight="1">
      <c r="A927" s="5" t="s">
        <v>4181</v>
      </c>
      <c r="B927" s="6" t="str">
        <f>IMAGE("https://storage.googleapis.com/acdb/housewares/FtrTreeXmasS_Remake_1_0.png")</f>
        <v/>
      </c>
      <c r="C927" s="5" t="s">
        <v>68</v>
      </c>
      <c r="D927" s="5" t="s">
        <v>373</v>
      </c>
      <c r="E927" s="5" t="s">
        <v>34</v>
      </c>
      <c r="F927" s="5" t="s">
        <v>34</v>
      </c>
      <c r="G927" s="5" t="s">
        <v>35</v>
      </c>
      <c r="H927" s="5" t="s">
        <v>35</v>
      </c>
      <c r="I927" s="5" t="s">
        <v>36</v>
      </c>
      <c r="J927" s="6">
        <v>2.0</v>
      </c>
      <c r="K927" s="6" t="s">
        <v>37</v>
      </c>
      <c r="L927" s="6">
        <v>1400.0</v>
      </c>
      <c r="M927" s="8" t="s">
        <v>96</v>
      </c>
      <c r="N927" s="8" t="s">
        <v>68</v>
      </c>
      <c r="O927" s="6" t="s">
        <v>40</v>
      </c>
      <c r="P927" s="5" t="s">
        <v>41</v>
      </c>
      <c r="Q927" s="5" t="s">
        <v>969</v>
      </c>
      <c r="R927" s="6" t="s">
        <v>42</v>
      </c>
      <c r="S927" s="5" t="s">
        <v>465</v>
      </c>
      <c r="T927" s="5" t="s">
        <v>61</v>
      </c>
      <c r="U927" s="5" t="s">
        <v>970</v>
      </c>
      <c r="V927" s="5" t="s">
        <v>44</v>
      </c>
      <c r="W927" s="5" t="s">
        <v>35</v>
      </c>
      <c r="X927" s="8" t="s">
        <v>590</v>
      </c>
      <c r="Y927" s="5" t="s">
        <v>46</v>
      </c>
      <c r="Z927" s="5" t="s">
        <v>47</v>
      </c>
      <c r="AA927" s="5" t="s">
        <v>48</v>
      </c>
      <c r="AB927" s="5" t="s">
        <v>4194</v>
      </c>
      <c r="AC927" s="6" t="s">
        <v>56</v>
      </c>
      <c r="AD927" s="6">
        <v>3991.0</v>
      </c>
    </row>
    <row r="928" ht="56.25" customHeight="1">
      <c r="A928" s="5" t="s">
        <v>4181</v>
      </c>
      <c r="B928" s="6" t="str">
        <f>IMAGE("https://storage.googleapis.com/acdb/housewares/FtrTreeXmasS_Remake_2_0.png")</f>
        <v/>
      </c>
      <c r="C928" s="5" t="s">
        <v>52</v>
      </c>
      <c r="D928" s="5" t="s">
        <v>373</v>
      </c>
      <c r="E928" s="5" t="s">
        <v>34</v>
      </c>
      <c r="F928" s="5" t="s">
        <v>34</v>
      </c>
      <c r="G928" s="5" t="s">
        <v>35</v>
      </c>
      <c r="H928" s="5" t="s">
        <v>35</v>
      </c>
      <c r="I928" s="5" t="s">
        <v>36</v>
      </c>
      <c r="J928" s="6">
        <v>2.0</v>
      </c>
      <c r="K928" s="6" t="s">
        <v>37</v>
      </c>
      <c r="L928" s="6">
        <v>1400.0</v>
      </c>
      <c r="M928" s="8" t="s">
        <v>96</v>
      </c>
      <c r="N928" s="8" t="s">
        <v>52</v>
      </c>
      <c r="O928" s="6" t="s">
        <v>40</v>
      </c>
      <c r="P928" s="5" t="s">
        <v>41</v>
      </c>
      <c r="Q928" s="5" t="s">
        <v>969</v>
      </c>
      <c r="R928" s="6" t="s">
        <v>42</v>
      </c>
      <c r="S928" s="5" t="s">
        <v>465</v>
      </c>
      <c r="T928" s="5" t="s">
        <v>61</v>
      </c>
      <c r="U928" s="5" t="s">
        <v>970</v>
      </c>
      <c r="V928" s="5" t="s">
        <v>44</v>
      </c>
      <c r="W928" s="5" t="s">
        <v>35</v>
      </c>
      <c r="X928" s="8" t="s">
        <v>590</v>
      </c>
      <c r="Y928" s="5" t="s">
        <v>46</v>
      </c>
      <c r="Z928" s="5" t="s">
        <v>47</v>
      </c>
      <c r="AA928" s="5" t="s">
        <v>48</v>
      </c>
      <c r="AB928" s="5" t="s">
        <v>4199</v>
      </c>
      <c r="AC928" s="6" t="s">
        <v>67</v>
      </c>
      <c r="AD928" s="6">
        <v>3991.0</v>
      </c>
    </row>
    <row r="929" ht="56.25" customHeight="1">
      <c r="A929" s="5" t="s">
        <v>4181</v>
      </c>
      <c r="B929" s="6" t="str">
        <f>IMAGE("https://storage.googleapis.com/acdb/housewares/FtrTreeXmasS_Remake_3_0.png")</f>
        <v/>
      </c>
      <c r="C929" s="5" t="s">
        <v>69</v>
      </c>
      <c r="D929" s="5" t="s">
        <v>373</v>
      </c>
      <c r="E929" s="5" t="s">
        <v>34</v>
      </c>
      <c r="F929" s="5" t="s">
        <v>34</v>
      </c>
      <c r="G929" s="5" t="s">
        <v>35</v>
      </c>
      <c r="H929" s="5" t="s">
        <v>35</v>
      </c>
      <c r="I929" s="5" t="s">
        <v>36</v>
      </c>
      <c r="J929" s="6">
        <v>2.0</v>
      </c>
      <c r="K929" s="6" t="s">
        <v>37</v>
      </c>
      <c r="L929" s="6">
        <v>1400.0</v>
      </c>
      <c r="M929" s="8" t="s">
        <v>69</v>
      </c>
      <c r="N929" s="8" t="s">
        <v>52</v>
      </c>
      <c r="O929" s="6" t="s">
        <v>40</v>
      </c>
      <c r="P929" s="5" t="s">
        <v>41</v>
      </c>
      <c r="Q929" s="5" t="s">
        <v>969</v>
      </c>
      <c r="R929" s="6" t="s">
        <v>42</v>
      </c>
      <c r="S929" s="5" t="s">
        <v>465</v>
      </c>
      <c r="T929" s="5" t="s">
        <v>61</v>
      </c>
      <c r="U929" s="5" t="s">
        <v>970</v>
      </c>
      <c r="V929" s="5" t="s">
        <v>44</v>
      </c>
      <c r="W929" s="5" t="s">
        <v>35</v>
      </c>
      <c r="X929" s="8" t="s">
        <v>590</v>
      </c>
      <c r="Y929" s="5" t="s">
        <v>46</v>
      </c>
      <c r="Z929" s="5" t="s">
        <v>47</v>
      </c>
      <c r="AA929" s="5" t="s">
        <v>48</v>
      </c>
      <c r="AB929" s="5" t="s">
        <v>4204</v>
      </c>
      <c r="AC929" s="6" t="s">
        <v>71</v>
      </c>
      <c r="AD929" s="6">
        <v>3991.0</v>
      </c>
    </row>
    <row r="930" ht="56.25" customHeight="1">
      <c r="A930" s="5" t="s">
        <v>4181</v>
      </c>
      <c r="B930" s="6" t="str">
        <f>IMAGE("https://storage.googleapis.com/acdb/housewares/FtrTreeXmasS_Remake_4_0.png")</f>
        <v/>
      </c>
      <c r="C930" s="5" t="s">
        <v>151</v>
      </c>
      <c r="D930" s="5" t="s">
        <v>373</v>
      </c>
      <c r="E930" s="5" t="s">
        <v>34</v>
      </c>
      <c r="F930" s="5" t="s">
        <v>34</v>
      </c>
      <c r="G930" s="5" t="s">
        <v>35</v>
      </c>
      <c r="H930" s="5" t="s">
        <v>35</v>
      </c>
      <c r="I930" s="5" t="s">
        <v>36</v>
      </c>
      <c r="J930" s="6">
        <v>2.0</v>
      </c>
      <c r="K930" s="6" t="s">
        <v>37</v>
      </c>
      <c r="L930" s="6">
        <v>1400.0</v>
      </c>
      <c r="M930" s="8" t="s">
        <v>96</v>
      </c>
      <c r="N930" s="8" t="s">
        <v>114</v>
      </c>
      <c r="O930" s="6" t="s">
        <v>40</v>
      </c>
      <c r="P930" s="5" t="s">
        <v>41</v>
      </c>
      <c r="Q930" s="5" t="s">
        <v>969</v>
      </c>
      <c r="R930" s="6" t="s">
        <v>42</v>
      </c>
      <c r="S930" s="5" t="s">
        <v>465</v>
      </c>
      <c r="T930" s="5" t="s">
        <v>61</v>
      </c>
      <c r="U930" s="5" t="s">
        <v>970</v>
      </c>
      <c r="V930" s="5" t="s">
        <v>44</v>
      </c>
      <c r="W930" s="5" t="s">
        <v>35</v>
      </c>
      <c r="X930" s="8" t="s">
        <v>590</v>
      </c>
      <c r="Y930" s="5" t="s">
        <v>46</v>
      </c>
      <c r="Z930" s="5" t="s">
        <v>47</v>
      </c>
      <c r="AA930" s="5" t="s">
        <v>48</v>
      </c>
      <c r="AB930" s="5" t="s">
        <v>4209</v>
      </c>
      <c r="AC930" s="6" t="s">
        <v>75</v>
      </c>
      <c r="AD930" s="6">
        <v>3991.0</v>
      </c>
    </row>
    <row r="931" ht="56.25" customHeight="1">
      <c r="A931" s="5" t="s">
        <v>4181</v>
      </c>
      <c r="B931" s="6" t="str">
        <f>IMAGE("https://storage.googleapis.com/acdb/housewares/FtrTreeXmasS_Remake_5_0.png")</f>
        <v/>
      </c>
      <c r="C931" s="5" t="s">
        <v>57</v>
      </c>
      <c r="D931" s="5" t="s">
        <v>373</v>
      </c>
      <c r="E931" s="5" t="s">
        <v>34</v>
      </c>
      <c r="F931" s="5" t="s">
        <v>34</v>
      </c>
      <c r="G931" s="5" t="s">
        <v>35</v>
      </c>
      <c r="H931" s="5" t="s">
        <v>35</v>
      </c>
      <c r="I931" s="5" t="s">
        <v>36</v>
      </c>
      <c r="J931" s="6">
        <v>2.0</v>
      </c>
      <c r="K931" s="6" t="s">
        <v>37</v>
      </c>
      <c r="L931" s="6">
        <v>1400.0</v>
      </c>
      <c r="M931" s="8" t="s">
        <v>57</v>
      </c>
      <c r="N931" s="8" t="s">
        <v>95</v>
      </c>
      <c r="O931" s="6" t="s">
        <v>40</v>
      </c>
      <c r="P931" s="5" t="s">
        <v>41</v>
      </c>
      <c r="Q931" s="5" t="s">
        <v>969</v>
      </c>
      <c r="R931" s="6" t="s">
        <v>42</v>
      </c>
      <c r="S931" s="5" t="s">
        <v>465</v>
      </c>
      <c r="T931" s="5" t="s">
        <v>61</v>
      </c>
      <c r="U931" s="5" t="s">
        <v>970</v>
      </c>
      <c r="V931" s="5" t="s">
        <v>44</v>
      </c>
      <c r="W931" s="5" t="s">
        <v>35</v>
      </c>
      <c r="X931" s="8" t="s">
        <v>590</v>
      </c>
      <c r="Y931" s="5" t="s">
        <v>46</v>
      </c>
      <c r="Z931" s="5" t="s">
        <v>47</v>
      </c>
      <c r="AA931" s="5" t="s">
        <v>48</v>
      </c>
      <c r="AB931" s="5" t="s">
        <v>4216</v>
      </c>
      <c r="AC931" s="6" t="s">
        <v>79</v>
      </c>
      <c r="AD931" s="6">
        <v>3991.0</v>
      </c>
    </row>
    <row r="932" ht="56.25" customHeight="1">
      <c r="A932" s="5" t="s">
        <v>4217</v>
      </c>
      <c r="B932" s="6" t="str">
        <f>IMAGE("https://storage.googleapis.com/acdb/housewares/FtrFirepit.png")</f>
        <v/>
      </c>
      <c r="C932" s="5" t="s">
        <v>34</v>
      </c>
      <c r="D932" s="5" t="s">
        <v>34</v>
      </c>
      <c r="E932" s="5" t="s">
        <v>34</v>
      </c>
      <c r="F932" s="5" t="s">
        <v>34</v>
      </c>
      <c r="G932" s="5" t="s">
        <v>36</v>
      </c>
      <c r="H932" s="5" t="s">
        <v>36</v>
      </c>
      <c r="I932" s="5" t="s">
        <v>36</v>
      </c>
      <c r="J932" s="6" t="s">
        <v>34</v>
      </c>
      <c r="K932" s="6">
        <v>96000.0</v>
      </c>
      <c r="L932" s="6">
        <v>24000.0</v>
      </c>
      <c r="M932" s="5" t="s">
        <v>54</v>
      </c>
      <c r="N932" s="5" t="s">
        <v>54</v>
      </c>
      <c r="O932" s="6" t="s">
        <v>1243</v>
      </c>
      <c r="P932" s="5" t="s">
        <v>59</v>
      </c>
      <c r="Q932" s="5" t="s">
        <v>115</v>
      </c>
      <c r="R932" s="6" t="s">
        <v>42</v>
      </c>
      <c r="S932" s="5" t="s">
        <v>765</v>
      </c>
      <c r="T932" s="5" t="s">
        <v>44</v>
      </c>
      <c r="U932" s="5" t="s">
        <v>44</v>
      </c>
      <c r="V932" s="5" t="s">
        <v>44</v>
      </c>
      <c r="W932" s="5" t="s">
        <v>35</v>
      </c>
      <c r="X932" s="8" t="s">
        <v>1164</v>
      </c>
      <c r="Y932" s="5" t="s">
        <v>46</v>
      </c>
      <c r="Z932" s="5" t="s">
        <v>47</v>
      </c>
      <c r="AA932" s="5" t="s">
        <v>64</v>
      </c>
      <c r="AB932" s="5" t="s">
        <v>4223</v>
      </c>
      <c r="AC932" s="6" t="s">
        <v>34</v>
      </c>
      <c r="AD932" s="6">
        <v>4100.0</v>
      </c>
    </row>
    <row r="933" ht="56.25" customHeight="1">
      <c r="A933" s="5" t="s">
        <v>4224</v>
      </c>
      <c r="B933" s="6" t="str">
        <f>IMAGE("https://storage.googleapis.com/acdb/housewares/FtrFireplace_Remake_0_0.png")</f>
        <v/>
      </c>
      <c r="C933" s="5" t="s">
        <v>52</v>
      </c>
      <c r="D933" s="5" t="s">
        <v>34</v>
      </c>
      <c r="E933" s="5" t="s">
        <v>34</v>
      </c>
      <c r="F933" s="5" t="s">
        <v>34</v>
      </c>
      <c r="G933" s="5" t="s">
        <v>36</v>
      </c>
      <c r="H933" s="5" t="s">
        <v>36</v>
      </c>
      <c r="I933" s="5" t="s">
        <v>36</v>
      </c>
      <c r="J933" s="6" t="s">
        <v>34</v>
      </c>
      <c r="K933" s="6">
        <v>5900.0</v>
      </c>
      <c r="L933" s="6">
        <v>1475.0</v>
      </c>
      <c r="M933" s="8" t="s">
        <v>142</v>
      </c>
      <c r="N933" s="8" t="s">
        <v>39</v>
      </c>
      <c r="O933" s="6" t="s">
        <v>276</v>
      </c>
      <c r="P933" s="5" t="s">
        <v>59</v>
      </c>
      <c r="Q933" s="5" t="s">
        <v>89</v>
      </c>
      <c r="R933" s="6" t="s">
        <v>42</v>
      </c>
      <c r="S933" s="5" t="s">
        <v>90</v>
      </c>
      <c r="T933" s="5" t="s">
        <v>116</v>
      </c>
      <c r="U933" s="5" t="s">
        <v>44</v>
      </c>
      <c r="V933" s="5" t="s">
        <v>44</v>
      </c>
      <c r="W933" s="5" t="s">
        <v>35</v>
      </c>
      <c r="X933" s="8" t="s">
        <v>1164</v>
      </c>
      <c r="Y933" s="5" t="s">
        <v>46</v>
      </c>
      <c r="Z933" s="5" t="s">
        <v>47</v>
      </c>
      <c r="AA933" s="5" t="s">
        <v>64</v>
      </c>
      <c r="AB933" s="5" t="s">
        <v>4229</v>
      </c>
      <c r="AC933" s="6" t="s">
        <v>50</v>
      </c>
      <c r="AD933" s="6">
        <v>742.0</v>
      </c>
    </row>
    <row r="934" ht="56.25" customHeight="1">
      <c r="A934" s="5" t="s">
        <v>4224</v>
      </c>
      <c r="B934" s="6" t="str">
        <f>IMAGE("https://storage.googleapis.com/acdb/housewares/FtrFireplace_Remake_1_0.png")</f>
        <v/>
      </c>
      <c r="C934" s="5" t="s">
        <v>387</v>
      </c>
      <c r="D934" s="5" t="s">
        <v>34</v>
      </c>
      <c r="E934" s="5" t="s">
        <v>34</v>
      </c>
      <c r="F934" s="5" t="s">
        <v>34</v>
      </c>
      <c r="G934" s="5" t="s">
        <v>36</v>
      </c>
      <c r="H934" s="5" t="s">
        <v>36</v>
      </c>
      <c r="I934" s="5" t="s">
        <v>36</v>
      </c>
      <c r="J934" s="6" t="s">
        <v>34</v>
      </c>
      <c r="K934" s="6">
        <v>5900.0</v>
      </c>
      <c r="L934" s="6">
        <v>1475.0</v>
      </c>
      <c r="M934" s="8" t="s">
        <v>39</v>
      </c>
      <c r="N934" s="8" t="s">
        <v>39</v>
      </c>
      <c r="O934" s="6" t="s">
        <v>276</v>
      </c>
      <c r="P934" s="5" t="s">
        <v>59</v>
      </c>
      <c r="Q934" s="5" t="s">
        <v>89</v>
      </c>
      <c r="R934" s="6" t="s">
        <v>42</v>
      </c>
      <c r="S934" s="5" t="s">
        <v>90</v>
      </c>
      <c r="T934" s="5" t="s">
        <v>116</v>
      </c>
      <c r="U934" s="5" t="s">
        <v>44</v>
      </c>
      <c r="V934" s="5" t="s">
        <v>44</v>
      </c>
      <c r="W934" s="5" t="s">
        <v>35</v>
      </c>
      <c r="X934" s="8" t="s">
        <v>1164</v>
      </c>
      <c r="Y934" s="5" t="s">
        <v>46</v>
      </c>
      <c r="Z934" s="5" t="s">
        <v>47</v>
      </c>
      <c r="AA934" s="5" t="s">
        <v>64</v>
      </c>
      <c r="AB934" s="5" t="s">
        <v>4234</v>
      </c>
      <c r="AC934" s="6" t="s">
        <v>56</v>
      </c>
      <c r="AD934" s="6">
        <v>742.0</v>
      </c>
    </row>
    <row r="935" ht="56.25" customHeight="1">
      <c r="A935" s="5" t="s">
        <v>4224</v>
      </c>
      <c r="B935" s="6" t="str">
        <f>IMAGE("https://storage.googleapis.com/acdb/housewares/FtrFireplace_Remake_2_0.png")</f>
        <v/>
      </c>
      <c r="C935" s="5" t="s">
        <v>38</v>
      </c>
      <c r="D935" s="5" t="s">
        <v>34</v>
      </c>
      <c r="E935" s="5" t="s">
        <v>34</v>
      </c>
      <c r="F935" s="5" t="s">
        <v>34</v>
      </c>
      <c r="G935" s="5" t="s">
        <v>36</v>
      </c>
      <c r="H935" s="5" t="s">
        <v>36</v>
      </c>
      <c r="I935" s="5" t="s">
        <v>36</v>
      </c>
      <c r="J935" s="6" t="s">
        <v>34</v>
      </c>
      <c r="K935" s="6">
        <v>5900.0</v>
      </c>
      <c r="L935" s="6">
        <v>1475.0</v>
      </c>
      <c r="M935" s="8" t="s">
        <v>38</v>
      </c>
      <c r="N935" s="8" t="s">
        <v>38</v>
      </c>
      <c r="O935" s="6" t="s">
        <v>276</v>
      </c>
      <c r="P935" s="5" t="s">
        <v>59</v>
      </c>
      <c r="Q935" s="5" t="s">
        <v>89</v>
      </c>
      <c r="R935" s="6" t="s">
        <v>42</v>
      </c>
      <c r="S935" s="5" t="s">
        <v>90</v>
      </c>
      <c r="T935" s="5" t="s">
        <v>116</v>
      </c>
      <c r="U935" s="5" t="s">
        <v>44</v>
      </c>
      <c r="V935" s="5" t="s">
        <v>44</v>
      </c>
      <c r="W935" s="5" t="s">
        <v>35</v>
      </c>
      <c r="X935" s="8" t="s">
        <v>1164</v>
      </c>
      <c r="Y935" s="5" t="s">
        <v>46</v>
      </c>
      <c r="Z935" s="5" t="s">
        <v>47</v>
      </c>
      <c r="AA935" s="5" t="s">
        <v>64</v>
      </c>
      <c r="AB935" s="5" t="s">
        <v>4238</v>
      </c>
      <c r="AC935" s="6" t="s">
        <v>67</v>
      </c>
      <c r="AD935" s="6">
        <v>742.0</v>
      </c>
    </row>
    <row r="936" ht="56.25" customHeight="1">
      <c r="A936" s="5" t="s">
        <v>4224</v>
      </c>
      <c r="B936" s="6" t="str">
        <f>IMAGE("https://storage.googleapis.com/acdb/housewares/FtrFireplace_Remake_3_0.png")</f>
        <v/>
      </c>
      <c r="C936" s="5" t="s">
        <v>57</v>
      </c>
      <c r="D936" s="5" t="s">
        <v>34</v>
      </c>
      <c r="E936" s="5" t="s">
        <v>34</v>
      </c>
      <c r="F936" s="5" t="s">
        <v>34</v>
      </c>
      <c r="G936" s="5" t="s">
        <v>36</v>
      </c>
      <c r="H936" s="5" t="s">
        <v>36</v>
      </c>
      <c r="I936" s="5" t="s">
        <v>36</v>
      </c>
      <c r="J936" s="6" t="s">
        <v>34</v>
      </c>
      <c r="K936" s="6">
        <v>5900.0</v>
      </c>
      <c r="L936" s="6">
        <v>1475.0</v>
      </c>
      <c r="M936" s="8" t="s">
        <v>57</v>
      </c>
      <c r="N936" s="8" t="s">
        <v>95</v>
      </c>
      <c r="O936" s="6" t="s">
        <v>276</v>
      </c>
      <c r="P936" s="5" t="s">
        <v>59</v>
      </c>
      <c r="Q936" s="5" t="s">
        <v>89</v>
      </c>
      <c r="R936" s="6" t="s">
        <v>42</v>
      </c>
      <c r="S936" s="5" t="s">
        <v>90</v>
      </c>
      <c r="T936" s="5" t="s">
        <v>116</v>
      </c>
      <c r="U936" s="5" t="s">
        <v>44</v>
      </c>
      <c r="V936" s="5" t="s">
        <v>44</v>
      </c>
      <c r="W936" s="5" t="s">
        <v>35</v>
      </c>
      <c r="X936" s="8" t="s">
        <v>1164</v>
      </c>
      <c r="Y936" s="5" t="s">
        <v>46</v>
      </c>
      <c r="Z936" s="5" t="s">
        <v>47</v>
      </c>
      <c r="AA936" s="5" t="s">
        <v>64</v>
      </c>
      <c r="AB936" s="5" t="s">
        <v>4242</v>
      </c>
      <c r="AC936" s="6" t="s">
        <v>71</v>
      </c>
      <c r="AD936" s="6">
        <v>742.0</v>
      </c>
    </row>
    <row r="937" ht="56.25" customHeight="1">
      <c r="A937" s="5" t="s">
        <v>4243</v>
      </c>
      <c r="B937" s="6" t="str">
        <f>IMAGE("https://storage.googleapis.com/acdb/housewares/FtrDriedfish_Remake_0_0.png")</f>
        <v/>
      </c>
      <c r="C937" s="5" t="s">
        <v>219</v>
      </c>
      <c r="D937" s="5" t="s">
        <v>2</v>
      </c>
      <c r="E937" s="5" t="s">
        <v>34</v>
      </c>
      <c r="F937" s="5" t="s">
        <v>34</v>
      </c>
      <c r="G937" s="5" t="s">
        <v>36</v>
      </c>
      <c r="H937" s="5" t="s">
        <v>35</v>
      </c>
      <c r="I937" s="5" t="s">
        <v>36</v>
      </c>
      <c r="J937" s="6">
        <v>1.0</v>
      </c>
      <c r="K937" s="6" t="s">
        <v>37</v>
      </c>
      <c r="L937" s="6">
        <v>750.0</v>
      </c>
      <c r="M937" s="8" t="s">
        <v>39</v>
      </c>
      <c r="N937" s="8" t="s">
        <v>38</v>
      </c>
      <c r="O937" s="6" t="s">
        <v>276</v>
      </c>
      <c r="P937" s="5" t="s">
        <v>137</v>
      </c>
      <c r="Q937" s="5"/>
      <c r="R937" s="6" t="s">
        <v>42</v>
      </c>
      <c r="S937" s="5" t="s">
        <v>138</v>
      </c>
      <c r="T937" s="5" t="s">
        <v>172</v>
      </c>
      <c r="U937" s="5" t="s">
        <v>44</v>
      </c>
      <c r="V937" s="5" t="s">
        <v>44</v>
      </c>
      <c r="W937" s="5" t="s">
        <v>36</v>
      </c>
      <c r="X937" s="8" t="s">
        <v>140</v>
      </c>
      <c r="Y937" s="5" t="s">
        <v>46</v>
      </c>
      <c r="Z937" s="5" t="s">
        <v>47</v>
      </c>
      <c r="AA937" s="5" t="s">
        <v>48</v>
      </c>
      <c r="AB937" s="5" t="s">
        <v>4250</v>
      </c>
      <c r="AC937" s="6" t="s">
        <v>50</v>
      </c>
      <c r="AD937" s="6">
        <v>3581.0</v>
      </c>
    </row>
    <row r="938" ht="56.25" customHeight="1">
      <c r="A938" s="5" t="s">
        <v>4243</v>
      </c>
      <c r="B938" s="6" t="str">
        <f>IMAGE("https://storage.googleapis.com/acdb/housewares/FtrDriedfish_Remake_1_0.png")</f>
        <v/>
      </c>
      <c r="C938" s="5" t="s">
        <v>1032</v>
      </c>
      <c r="D938" s="5" t="s">
        <v>2</v>
      </c>
      <c r="E938" s="5" t="s">
        <v>34</v>
      </c>
      <c r="F938" s="5" t="s">
        <v>34</v>
      </c>
      <c r="G938" s="5" t="s">
        <v>36</v>
      </c>
      <c r="H938" s="5" t="s">
        <v>35</v>
      </c>
      <c r="I938" s="5" t="s">
        <v>36</v>
      </c>
      <c r="J938" s="6">
        <v>1.0</v>
      </c>
      <c r="K938" s="6" t="s">
        <v>37</v>
      </c>
      <c r="L938" s="6">
        <v>750.0</v>
      </c>
      <c r="M938" s="8" t="s">
        <v>114</v>
      </c>
      <c r="N938" s="8" t="s">
        <v>38</v>
      </c>
      <c r="O938" s="6" t="s">
        <v>276</v>
      </c>
      <c r="P938" s="5" t="s">
        <v>137</v>
      </c>
      <c r="Q938" s="5"/>
      <c r="R938" s="6" t="s">
        <v>42</v>
      </c>
      <c r="S938" s="5" t="s">
        <v>138</v>
      </c>
      <c r="T938" s="5" t="s">
        <v>172</v>
      </c>
      <c r="U938" s="5" t="s">
        <v>44</v>
      </c>
      <c r="V938" s="5" t="s">
        <v>44</v>
      </c>
      <c r="W938" s="5" t="s">
        <v>36</v>
      </c>
      <c r="X938" s="8" t="s">
        <v>140</v>
      </c>
      <c r="Y938" s="5" t="s">
        <v>46</v>
      </c>
      <c r="Z938" s="5" t="s">
        <v>47</v>
      </c>
      <c r="AA938" s="5" t="s">
        <v>48</v>
      </c>
      <c r="AB938" s="5" t="s">
        <v>4254</v>
      </c>
      <c r="AC938" s="6" t="s">
        <v>56</v>
      </c>
      <c r="AD938" s="6">
        <v>3581.0</v>
      </c>
    </row>
    <row r="939" ht="56.25" customHeight="1">
      <c r="A939" s="5" t="s">
        <v>4243</v>
      </c>
      <c r="B939" s="6" t="str">
        <f>IMAGE("https://storage.googleapis.com/acdb/housewares/FtrDriedfish_Remake_2_0.png")</f>
        <v/>
      </c>
      <c r="C939" s="5" t="s">
        <v>4258</v>
      </c>
      <c r="D939" s="5" t="s">
        <v>2</v>
      </c>
      <c r="E939" s="5" t="s">
        <v>34</v>
      </c>
      <c r="F939" s="5" t="s">
        <v>34</v>
      </c>
      <c r="G939" s="5" t="s">
        <v>36</v>
      </c>
      <c r="H939" s="5" t="s">
        <v>35</v>
      </c>
      <c r="I939" s="5" t="s">
        <v>36</v>
      </c>
      <c r="J939" s="6">
        <v>1.0</v>
      </c>
      <c r="K939" s="6" t="s">
        <v>37</v>
      </c>
      <c r="L939" s="6">
        <v>750.0</v>
      </c>
      <c r="M939" s="8" t="s">
        <v>142</v>
      </c>
      <c r="N939" s="8" t="s">
        <v>38</v>
      </c>
      <c r="O939" s="6" t="s">
        <v>276</v>
      </c>
      <c r="P939" s="5" t="s">
        <v>137</v>
      </c>
      <c r="Q939" s="5"/>
      <c r="R939" s="6" t="s">
        <v>42</v>
      </c>
      <c r="S939" s="5" t="s">
        <v>138</v>
      </c>
      <c r="T939" s="5" t="s">
        <v>172</v>
      </c>
      <c r="U939" s="5" t="s">
        <v>44</v>
      </c>
      <c r="V939" s="5" t="s">
        <v>44</v>
      </c>
      <c r="W939" s="5" t="s">
        <v>36</v>
      </c>
      <c r="X939" s="8" t="s">
        <v>140</v>
      </c>
      <c r="Y939" s="5" t="s">
        <v>46</v>
      </c>
      <c r="Z939" s="5" t="s">
        <v>47</v>
      </c>
      <c r="AA939" s="5" t="s">
        <v>48</v>
      </c>
      <c r="AB939" s="5" t="s">
        <v>4261</v>
      </c>
      <c r="AC939" s="6" t="s">
        <v>67</v>
      </c>
      <c r="AD939" s="6">
        <v>3581.0</v>
      </c>
    </row>
    <row r="940" ht="56.25" customHeight="1">
      <c r="A940" s="5" t="s">
        <v>4263</v>
      </c>
      <c r="B940" s="6" t="str">
        <f>IMAGE("https://storage.googleapis.com/acdb/housewares/FtrRodstand_Remake_0_0.png")</f>
        <v/>
      </c>
      <c r="C940" s="5" t="s">
        <v>32</v>
      </c>
      <c r="D940" s="5" t="s">
        <v>2</v>
      </c>
      <c r="E940" s="5" t="s">
        <v>34</v>
      </c>
      <c r="F940" s="5" t="s">
        <v>34</v>
      </c>
      <c r="G940" s="5" t="s">
        <v>36</v>
      </c>
      <c r="H940" s="5" t="s">
        <v>35</v>
      </c>
      <c r="I940" s="5" t="s">
        <v>36</v>
      </c>
      <c r="J940" s="6">
        <v>1.0</v>
      </c>
      <c r="K940" s="6" t="s">
        <v>37</v>
      </c>
      <c r="L940" s="6">
        <v>300.0</v>
      </c>
      <c r="M940" s="8" t="s">
        <v>114</v>
      </c>
      <c r="N940" s="8" t="s">
        <v>54</v>
      </c>
      <c r="O940" s="6" t="s">
        <v>40</v>
      </c>
      <c r="P940" s="5" t="s">
        <v>137</v>
      </c>
      <c r="Q940" s="5"/>
      <c r="R940" s="6" t="s">
        <v>42</v>
      </c>
      <c r="S940" s="5" t="s">
        <v>138</v>
      </c>
      <c r="T940" s="5" t="s">
        <v>90</v>
      </c>
      <c r="U940" s="5" t="s">
        <v>44</v>
      </c>
      <c r="V940" s="5" t="s">
        <v>44</v>
      </c>
      <c r="W940" s="5" t="s">
        <v>36</v>
      </c>
      <c r="X940" s="8" t="s">
        <v>432</v>
      </c>
      <c r="Y940" s="5" t="s">
        <v>46</v>
      </c>
      <c r="Z940" s="5" t="s">
        <v>47</v>
      </c>
      <c r="AA940" s="5" t="s">
        <v>48</v>
      </c>
      <c r="AB940" s="5" t="s">
        <v>4267</v>
      </c>
      <c r="AC940" s="6" t="s">
        <v>50</v>
      </c>
      <c r="AD940" s="6">
        <v>3587.0</v>
      </c>
    </row>
    <row r="941" ht="56.25" customHeight="1">
      <c r="A941" s="5" t="s">
        <v>4263</v>
      </c>
      <c r="B941" s="6" t="str">
        <f>IMAGE("https://storage.googleapis.com/acdb/housewares/FtrRodstand_Remake_1_0.png")</f>
        <v/>
      </c>
      <c r="C941" s="5" t="s">
        <v>57</v>
      </c>
      <c r="D941" s="5" t="s">
        <v>2</v>
      </c>
      <c r="E941" s="5" t="s">
        <v>34</v>
      </c>
      <c r="F941" s="5" t="s">
        <v>34</v>
      </c>
      <c r="G941" s="5" t="s">
        <v>36</v>
      </c>
      <c r="H941" s="5" t="s">
        <v>35</v>
      </c>
      <c r="I941" s="5" t="s">
        <v>36</v>
      </c>
      <c r="J941" s="6">
        <v>1.0</v>
      </c>
      <c r="K941" s="6" t="s">
        <v>37</v>
      </c>
      <c r="L941" s="6">
        <v>300.0</v>
      </c>
      <c r="M941" s="8" t="s">
        <v>114</v>
      </c>
      <c r="N941" s="8" t="s">
        <v>54</v>
      </c>
      <c r="O941" s="6" t="s">
        <v>40</v>
      </c>
      <c r="P941" s="5" t="s">
        <v>137</v>
      </c>
      <c r="Q941" s="5"/>
      <c r="R941" s="6" t="s">
        <v>42</v>
      </c>
      <c r="S941" s="5" t="s">
        <v>138</v>
      </c>
      <c r="T941" s="5" t="s">
        <v>90</v>
      </c>
      <c r="U941" s="5" t="s">
        <v>44</v>
      </c>
      <c r="V941" s="5" t="s">
        <v>44</v>
      </c>
      <c r="W941" s="5" t="s">
        <v>36</v>
      </c>
      <c r="X941" s="8" t="s">
        <v>432</v>
      </c>
      <c r="Y941" s="5" t="s">
        <v>46</v>
      </c>
      <c r="Z941" s="5" t="s">
        <v>47</v>
      </c>
      <c r="AA941" s="5" t="s">
        <v>48</v>
      </c>
      <c r="AB941" s="5" t="s">
        <v>4272</v>
      </c>
      <c r="AC941" s="6" t="s">
        <v>56</v>
      </c>
      <c r="AD941" s="6">
        <v>3587.0</v>
      </c>
    </row>
    <row r="942" ht="56.25" customHeight="1">
      <c r="A942" s="5" t="s">
        <v>4263</v>
      </c>
      <c r="B942" s="6" t="str">
        <f>IMAGE("https://storage.googleapis.com/acdb/housewares/FtrRodstand_Remake_2_0.png")</f>
        <v/>
      </c>
      <c r="C942" s="5" t="s">
        <v>54</v>
      </c>
      <c r="D942" s="5" t="s">
        <v>2</v>
      </c>
      <c r="E942" s="5" t="s">
        <v>34</v>
      </c>
      <c r="F942" s="5" t="s">
        <v>34</v>
      </c>
      <c r="G942" s="5" t="s">
        <v>36</v>
      </c>
      <c r="H942" s="5" t="s">
        <v>35</v>
      </c>
      <c r="I942" s="5" t="s">
        <v>36</v>
      </c>
      <c r="J942" s="6">
        <v>1.0</v>
      </c>
      <c r="K942" s="6" t="s">
        <v>37</v>
      </c>
      <c r="L942" s="6">
        <v>300.0</v>
      </c>
      <c r="M942" s="8" t="s">
        <v>54</v>
      </c>
      <c r="N942" s="8" t="s">
        <v>54</v>
      </c>
      <c r="O942" s="6" t="s">
        <v>40</v>
      </c>
      <c r="P942" s="5" t="s">
        <v>137</v>
      </c>
      <c r="Q942" s="5"/>
      <c r="R942" s="6" t="s">
        <v>42</v>
      </c>
      <c r="S942" s="5" t="s">
        <v>138</v>
      </c>
      <c r="T942" s="5" t="s">
        <v>90</v>
      </c>
      <c r="U942" s="5" t="s">
        <v>44</v>
      </c>
      <c r="V942" s="5" t="s">
        <v>44</v>
      </c>
      <c r="W942" s="5" t="s">
        <v>36</v>
      </c>
      <c r="X942" s="8" t="s">
        <v>432</v>
      </c>
      <c r="Y942" s="5" t="s">
        <v>46</v>
      </c>
      <c r="Z942" s="5" t="s">
        <v>47</v>
      </c>
      <c r="AA942" s="5" t="s">
        <v>48</v>
      </c>
      <c r="AB942" s="5" t="s">
        <v>4277</v>
      </c>
      <c r="AC942" s="6" t="s">
        <v>67</v>
      </c>
      <c r="AD942" s="6">
        <v>3587.0</v>
      </c>
    </row>
    <row r="943" ht="56.25" customHeight="1">
      <c r="A943" s="5" t="s">
        <v>4278</v>
      </c>
      <c r="B943" s="6" t="str">
        <f>IMAGE("https://storage.googleapis.com/acdb/housewares/FtrWreath_Remake_0_0.png")</f>
        <v/>
      </c>
      <c r="C943" s="5" t="s">
        <v>1167</v>
      </c>
      <c r="D943" s="5" t="s">
        <v>34</v>
      </c>
      <c r="E943" s="5" t="s">
        <v>34</v>
      </c>
      <c r="F943" s="5" t="s">
        <v>34</v>
      </c>
      <c r="G943" s="5" t="s">
        <v>36</v>
      </c>
      <c r="H943" s="5" t="s">
        <v>36</v>
      </c>
      <c r="I943" s="5" t="s">
        <v>36</v>
      </c>
      <c r="J943" s="6" t="s">
        <v>34</v>
      </c>
      <c r="K943" s="6">
        <v>1800.0</v>
      </c>
      <c r="L943" s="6">
        <v>450.0</v>
      </c>
      <c r="M943" s="8" t="s">
        <v>52</v>
      </c>
      <c r="N943" s="8" t="s">
        <v>58</v>
      </c>
      <c r="O943" s="6" t="s">
        <v>40</v>
      </c>
      <c r="P943" s="5" t="s">
        <v>59</v>
      </c>
      <c r="Q943" s="5" t="s">
        <v>122</v>
      </c>
      <c r="R943" s="6" t="s">
        <v>42</v>
      </c>
      <c r="S943" s="5" t="s">
        <v>465</v>
      </c>
      <c r="T943" s="5" t="s">
        <v>44</v>
      </c>
      <c r="U943" s="5" t="s">
        <v>44</v>
      </c>
      <c r="V943" s="5" t="s">
        <v>44</v>
      </c>
      <c r="W943" s="5" t="s">
        <v>36</v>
      </c>
      <c r="X943" s="8" t="s">
        <v>194</v>
      </c>
      <c r="Y943" s="5" t="s">
        <v>46</v>
      </c>
      <c r="Z943" s="5" t="s">
        <v>47</v>
      </c>
      <c r="AA943" s="5" t="s">
        <v>64</v>
      </c>
      <c r="AB943" s="5" t="s">
        <v>4283</v>
      </c>
      <c r="AC943" s="6" t="s">
        <v>50</v>
      </c>
      <c r="AD943" s="6">
        <v>1243.0</v>
      </c>
    </row>
    <row r="944" ht="56.25" customHeight="1">
      <c r="A944" s="5" t="s">
        <v>4278</v>
      </c>
      <c r="B944" s="6" t="str">
        <f>IMAGE("https://storage.googleapis.com/acdb/housewares/FtrWreath_Remake_1_0.png")</f>
        <v/>
      </c>
      <c r="C944" s="5" t="s">
        <v>1959</v>
      </c>
      <c r="D944" s="5" t="s">
        <v>34</v>
      </c>
      <c r="E944" s="5" t="s">
        <v>34</v>
      </c>
      <c r="F944" s="5" t="s">
        <v>34</v>
      </c>
      <c r="G944" s="5" t="s">
        <v>36</v>
      </c>
      <c r="H944" s="5" t="s">
        <v>36</v>
      </c>
      <c r="I944" s="5" t="s">
        <v>36</v>
      </c>
      <c r="J944" s="6" t="s">
        <v>34</v>
      </c>
      <c r="K944" s="6">
        <v>1800.0</v>
      </c>
      <c r="L944" s="6">
        <v>450.0</v>
      </c>
      <c r="M944" s="8" t="s">
        <v>52</v>
      </c>
      <c r="N944" s="8" t="s">
        <v>57</v>
      </c>
      <c r="O944" s="6" t="s">
        <v>40</v>
      </c>
      <c r="P944" s="5" t="s">
        <v>59</v>
      </c>
      <c r="Q944" s="5" t="s">
        <v>122</v>
      </c>
      <c r="R944" s="6" t="s">
        <v>42</v>
      </c>
      <c r="S944" s="5" t="s">
        <v>465</v>
      </c>
      <c r="T944" s="5" t="s">
        <v>44</v>
      </c>
      <c r="U944" s="5" t="s">
        <v>44</v>
      </c>
      <c r="V944" s="5" t="s">
        <v>44</v>
      </c>
      <c r="W944" s="5" t="s">
        <v>36</v>
      </c>
      <c r="X944" s="8" t="s">
        <v>194</v>
      </c>
      <c r="Y944" s="5" t="s">
        <v>46</v>
      </c>
      <c r="Z944" s="5" t="s">
        <v>47</v>
      </c>
      <c r="AA944" s="5" t="s">
        <v>64</v>
      </c>
      <c r="AB944" s="5" t="s">
        <v>4287</v>
      </c>
      <c r="AC944" s="6" t="s">
        <v>56</v>
      </c>
      <c r="AD944" s="6">
        <v>1243.0</v>
      </c>
    </row>
    <row r="945" ht="56.25" customHeight="1">
      <c r="A945" s="5" t="s">
        <v>4278</v>
      </c>
      <c r="B945" s="6" t="str">
        <f>IMAGE("https://storage.googleapis.com/acdb/housewares/FtrWreath_Remake_2_0.png")</f>
        <v/>
      </c>
      <c r="C945" s="5" t="s">
        <v>1059</v>
      </c>
      <c r="D945" s="5" t="s">
        <v>34</v>
      </c>
      <c r="E945" s="5" t="s">
        <v>34</v>
      </c>
      <c r="F945" s="5" t="s">
        <v>34</v>
      </c>
      <c r="G945" s="5" t="s">
        <v>36</v>
      </c>
      <c r="H945" s="5" t="s">
        <v>36</v>
      </c>
      <c r="I945" s="5" t="s">
        <v>36</v>
      </c>
      <c r="J945" s="6" t="s">
        <v>34</v>
      </c>
      <c r="K945" s="6">
        <v>1800.0</v>
      </c>
      <c r="L945" s="6">
        <v>450.0</v>
      </c>
      <c r="M945" s="8" t="s">
        <v>57</v>
      </c>
      <c r="N945" s="8" t="s">
        <v>106</v>
      </c>
      <c r="O945" s="6" t="s">
        <v>40</v>
      </c>
      <c r="P945" s="5" t="s">
        <v>59</v>
      </c>
      <c r="Q945" s="5" t="s">
        <v>122</v>
      </c>
      <c r="R945" s="6" t="s">
        <v>42</v>
      </c>
      <c r="S945" s="5" t="s">
        <v>465</v>
      </c>
      <c r="T945" s="5" t="s">
        <v>44</v>
      </c>
      <c r="U945" s="5" t="s">
        <v>44</v>
      </c>
      <c r="V945" s="5" t="s">
        <v>44</v>
      </c>
      <c r="W945" s="5" t="s">
        <v>36</v>
      </c>
      <c r="X945" s="8" t="s">
        <v>194</v>
      </c>
      <c r="Y945" s="5" t="s">
        <v>46</v>
      </c>
      <c r="Z945" s="5" t="s">
        <v>47</v>
      </c>
      <c r="AA945" s="5" t="s">
        <v>64</v>
      </c>
      <c r="AB945" s="5" t="s">
        <v>4294</v>
      </c>
      <c r="AC945" s="6" t="s">
        <v>67</v>
      </c>
      <c r="AD945" s="6">
        <v>1243.0</v>
      </c>
    </row>
    <row r="946" ht="56.25" customHeight="1">
      <c r="A946" s="5" t="s">
        <v>4295</v>
      </c>
      <c r="B946" s="6" t="str">
        <f>IMAGE("https://storage.googleapis.com/acdb/housewares/FtrGardenrockLow.png")</f>
        <v/>
      </c>
      <c r="C946" s="5" t="s">
        <v>34</v>
      </c>
      <c r="D946" s="5" t="s">
        <v>34</v>
      </c>
      <c r="E946" s="5" t="s">
        <v>34</v>
      </c>
      <c r="F946" s="5" t="s">
        <v>34</v>
      </c>
      <c r="G946" s="5" t="s">
        <v>35</v>
      </c>
      <c r="H946" s="5" t="s">
        <v>36</v>
      </c>
      <c r="I946" s="5" t="s">
        <v>36</v>
      </c>
      <c r="J946" s="6" t="s">
        <v>34</v>
      </c>
      <c r="K946" s="6" t="s">
        <v>37</v>
      </c>
      <c r="L946" s="6">
        <v>3000.0</v>
      </c>
      <c r="M946" s="5" t="s">
        <v>95</v>
      </c>
      <c r="N946" s="5" t="s">
        <v>95</v>
      </c>
      <c r="O946" s="6" t="s">
        <v>276</v>
      </c>
      <c r="P946" s="5" t="s">
        <v>41</v>
      </c>
      <c r="Q946" s="5"/>
      <c r="R946" s="6" t="s">
        <v>42</v>
      </c>
      <c r="S946" s="5" t="s">
        <v>172</v>
      </c>
      <c r="T946" s="5" t="s">
        <v>44</v>
      </c>
      <c r="U946" s="5" t="s">
        <v>44</v>
      </c>
      <c r="V946" s="5" t="s">
        <v>44</v>
      </c>
      <c r="W946" s="5" t="s">
        <v>36</v>
      </c>
      <c r="X946" s="8" t="s">
        <v>650</v>
      </c>
      <c r="Y946" s="5" t="s">
        <v>46</v>
      </c>
      <c r="Z946" s="5" t="s">
        <v>47</v>
      </c>
      <c r="AA946" s="5" t="s">
        <v>48</v>
      </c>
      <c r="AB946" s="5" t="s">
        <v>4301</v>
      </c>
      <c r="AC946" s="6" t="s">
        <v>34</v>
      </c>
      <c r="AD946" s="6">
        <v>12206.0</v>
      </c>
    </row>
    <row r="947" ht="56.25" customHeight="1">
      <c r="A947" s="5" t="s">
        <v>4303</v>
      </c>
      <c r="B947" s="6" t="str">
        <f>IMAGE("https://storage.googleapis.com/acdb/housewares/FtrLamp_Remake_0_0.png")</f>
        <v/>
      </c>
      <c r="C947" s="5" t="s">
        <v>32</v>
      </c>
      <c r="D947" s="5" t="s">
        <v>34</v>
      </c>
      <c r="E947" s="5" t="s">
        <v>57</v>
      </c>
      <c r="F947" s="5" t="s">
        <v>4305</v>
      </c>
      <c r="G947" s="5" t="s">
        <v>36</v>
      </c>
      <c r="H947" s="5" t="s">
        <v>36</v>
      </c>
      <c r="I947" s="5" t="s">
        <v>35</v>
      </c>
      <c r="J947" s="6">
        <v>1.0</v>
      </c>
      <c r="K947" s="6">
        <v>1400.0</v>
      </c>
      <c r="L947" s="6">
        <v>350.0</v>
      </c>
      <c r="M947" s="8" t="s">
        <v>38</v>
      </c>
      <c r="N947" s="8" t="s">
        <v>57</v>
      </c>
      <c r="O947" s="6" t="s">
        <v>40</v>
      </c>
      <c r="P947" s="5" t="s">
        <v>59</v>
      </c>
      <c r="Q947" s="5" t="s">
        <v>122</v>
      </c>
      <c r="R947" s="6" t="s">
        <v>42</v>
      </c>
      <c r="S947" s="5" t="s">
        <v>90</v>
      </c>
      <c r="T947" s="5" t="s">
        <v>44</v>
      </c>
      <c r="U947" s="5" t="s">
        <v>44</v>
      </c>
      <c r="V947" s="5" t="s">
        <v>44</v>
      </c>
      <c r="W947" s="5" t="s">
        <v>35</v>
      </c>
      <c r="X947" s="8" t="s">
        <v>467</v>
      </c>
      <c r="Y947" s="5" t="s">
        <v>46</v>
      </c>
      <c r="Z947" s="5" t="s">
        <v>502</v>
      </c>
      <c r="AA947" s="5" t="s">
        <v>64</v>
      </c>
      <c r="AB947" s="5" t="s">
        <v>4307</v>
      </c>
      <c r="AC947" s="6" t="s">
        <v>50</v>
      </c>
      <c r="AD947" s="6">
        <v>2561.0</v>
      </c>
    </row>
    <row r="948" ht="56.25" customHeight="1">
      <c r="A948" s="5" t="s">
        <v>4303</v>
      </c>
      <c r="B948" s="6" t="str">
        <f>IMAGE("https://storage.googleapis.com/acdb/housewares/FtrLamp_Remake_0_1.png")</f>
        <v/>
      </c>
      <c r="C948" s="5" t="s">
        <v>32</v>
      </c>
      <c r="D948" s="5" t="s">
        <v>34</v>
      </c>
      <c r="E948" s="5" t="s">
        <v>95</v>
      </c>
      <c r="F948" s="5" t="s">
        <v>4305</v>
      </c>
      <c r="G948" s="5" t="s">
        <v>36</v>
      </c>
      <c r="H948" s="5" t="s">
        <v>36</v>
      </c>
      <c r="I948" s="5" t="s">
        <v>35</v>
      </c>
      <c r="J948" s="6">
        <v>1.0</v>
      </c>
      <c r="K948" s="6">
        <v>1400.0</v>
      </c>
      <c r="L948" s="6">
        <v>350.0</v>
      </c>
      <c r="M948" s="8" t="s">
        <v>38</v>
      </c>
      <c r="N948" s="8" t="s">
        <v>95</v>
      </c>
      <c r="O948" s="6" t="s">
        <v>40</v>
      </c>
      <c r="P948" s="5" t="s">
        <v>59</v>
      </c>
      <c r="Q948" s="5" t="s">
        <v>122</v>
      </c>
      <c r="R948" s="6" t="s">
        <v>42</v>
      </c>
      <c r="S948" s="5" t="s">
        <v>90</v>
      </c>
      <c r="T948" s="5" t="s">
        <v>44</v>
      </c>
      <c r="U948" s="5" t="s">
        <v>44</v>
      </c>
      <c r="V948" s="5" t="s">
        <v>44</v>
      </c>
      <c r="W948" s="5" t="s">
        <v>35</v>
      </c>
      <c r="X948" s="8" t="s">
        <v>467</v>
      </c>
      <c r="Y948" s="5" t="s">
        <v>46</v>
      </c>
      <c r="Z948" s="5" t="s">
        <v>502</v>
      </c>
      <c r="AA948" s="5" t="s">
        <v>64</v>
      </c>
      <c r="AB948" s="5" t="s">
        <v>4312</v>
      </c>
      <c r="AC948" s="6" t="s">
        <v>217</v>
      </c>
      <c r="AD948" s="6">
        <v>2561.0</v>
      </c>
    </row>
    <row r="949" ht="56.25" customHeight="1">
      <c r="A949" s="5" t="s">
        <v>4303</v>
      </c>
      <c r="B949" s="6" t="str">
        <f>IMAGE("https://storage.googleapis.com/acdb/housewares/FtrLamp_Remake_0_2.png")</f>
        <v/>
      </c>
      <c r="C949" s="5" t="s">
        <v>32</v>
      </c>
      <c r="D949" s="5" t="s">
        <v>34</v>
      </c>
      <c r="E949" s="5" t="s">
        <v>69</v>
      </c>
      <c r="F949" s="5" t="s">
        <v>4305</v>
      </c>
      <c r="G949" s="5" t="s">
        <v>36</v>
      </c>
      <c r="H949" s="5" t="s">
        <v>36</v>
      </c>
      <c r="I949" s="5" t="s">
        <v>35</v>
      </c>
      <c r="J949" s="6">
        <v>1.0</v>
      </c>
      <c r="K949" s="6">
        <v>1400.0</v>
      </c>
      <c r="L949" s="6">
        <v>350.0</v>
      </c>
      <c r="M949" s="8" t="s">
        <v>38</v>
      </c>
      <c r="N949" s="8" t="s">
        <v>69</v>
      </c>
      <c r="O949" s="6" t="s">
        <v>40</v>
      </c>
      <c r="P949" s="5" t="s">
        <v>59</v>
      </c>
      <c r="Q949" s="5" t="s">
        <v>122</v>
      </c>
      <c r="R949" s="6" t="s">
        <v>42</v>
      </c>
      <c r="S949" s="5" t="s">
        <v>90</v>
      </c>
      <c r="T949" s="5" t="s">
        <v>44</v>
      </c>
      <c r="U949" s="5" t="s">
        <v>44</v>
      </c>
      <c r="V949" s="5" t="s">
        <v>44</v>
      </c>
      <c r="W949" s="5" t="s">
        <v>35</v>
      </c>
      <c r="X949" s="8" t="s">
        <v>467</v>
      </c>
      <c r="Y949" s="5" t="s">
        <v>46</v>
      </c>
      <c r="Z949" s="5" t="s">
        <v>502</v>
      </c>
      <c r="AA949" s="5" t="s">
        <v>64</v>
      </c>
      <c r="AB949" s="5" t="s">
        <v>4317</v>
      </c>
      <c r="AC949" s="6" t="s">
        <v>347</v>
      </c>
      <c r="AD949" s="6">
        <v>2561.0</v>
      </c>
    </row>
    <row r="950" ht="56.25" customHeight="1">
      <c r="A950" s="5" t="s">
        <v>4303</v>
      </c>
      <c r="B950" s="6" t="str">
        <f>IMAGE("https://storage.googleapis.com/acdb/housewares/FtrLamp_Remake_0_3.png")</f>
        <v/>
      </c>
      <c r="C950" s="5" t="s">
        <v>32</v>
      </c>
      <c r="D950" s="5" t="s">
        <v>34</v>
      </c>
      <c r="E950" s="5" t="s">
        <v>83</v>
      </c>
      <c r="F950" s="5" t="s">
        <v>4305</v>
      </c>
      <c r="G950" s="5" t="s">
        <v>36</v>
      </c>
      <c r="H950" s="5" t="s">
        <v>36</v>
      </c>
      <c r="I950" s="5" t="s">
        <v>35</v>
      </c>
      <c r="J950" s="6">
        <v>1.0</v>
      </c>
      <c r="K950" s="6">
        <v>1400.0</v>
      </c>
      <c r="L950" s="6">
        <v>350.0</v>
      </c>
      <c r="M950" s="8" t="s">
        <v>38</v>
      </c>
      <c r="N950" s="8" t="s">
        <v>1175</v>
      </c>
      <c r="O950" s="6" t="s">
        <v>40</v>
      </c>
      <c r="P950" s="5" t="s">
        <v>59</v>
      </c>
      <c r="Q950" s="5" t="s">
        <v>122</v>
      </c>
      <c r="R950" s="6" t="s">
        <v>42</v>
      </c>
      <c r="S950" s="5" t="s">
        <v>90</v>
      </c>
      <c r="T950" s="5" t="s">
        <v>44</v>
      </c>
      <c r="U950" s="5" t="s">
        <v>44</v>
      </c>
      <c r="V950" s="5" t="s">
        <v>44</v>
      </c>
      <c r="W950" s="5" t="s">
        <v>35</v>
      </c>
      <c r="X950" s="8" t="s">
        <v>467</v>
      </c>
      <c r="Y950" s="5" t="s">
        <v>46</v>
      </c>
      <c r="Z950" s="5" t="s">
        <v>502</v>
      </c>
      <c r="AA950" s="5" t="s">
        <v>64</v>
      </c>
      <c r="AB950" s="5" t="s">
        <v>4325</v>
      </c>
      <c r="AC950" s="6" t="s">
        <v>354</v>
      </c>
      <c r="AD950" s="6">
        <v>2561.0</v>
      </c>
    </row>
    <row r="951" ht="56.25" customHeight="1">
      <c r="A951" s="5" t="s">
        <v>4303</v>
      </c>
      <c r="B951" s="6" t="str">
        <f>IMAGE("https://storage.googleapis.com/acdb/housewares/FtrLamp_Remake_0_4.png")</f>
        <v/>
      </c>
      <c r="C951" s="5" t="s">
        <v>32</v>
      </c>
      <c r="D951" s="5" t="s">
        <v>34</v>
      </c>
      <c r="E951" s="5" t="s">
        <v>4326</v>
      </c>
      <c r="F951" s="5" t="s">
        <v>4305</v>
      </c>
      <c r="G951" s="5" t="s">
        <v>36</v>
      </c>
      <c r="H951" s="5" t="s">
        <v>36</v>
      </c>
      <c r="I951" s="5" t="s">
        <v>35</v>
      </c>
      <c r="J951" s="6">
        <v>1.0</v>
      </c>
      <c r="K951" s="6">
        <v>1400.0</v>
      </c>
      <c r="L951" s="6">
        <v>350.0</v>
      </c>
      <c r="M951" s="8" t="s">
        <v>38</v>
      </c>
      <c r="N951" s="8" t="s">
        <v>114</v>
      </c>
      <c r="O951" s="6" t="s">
        <v>40</v>
      </c>
      <c r="P951" s="5" t="s">
        <v>59</v>
      </c>
      <c r="Q951" s="5" t="s">
        <v>122</v>
      </c>
      <c r="R951" s="6" t="s">
        <v>42</v>
      </c>
      <c r="S951" s="5" t="s">
        <v>90</v>
      </c>
      <c r="T951" s="5" t="s">
        <v>44</v>
      </c>
      <c r="U951" s="5" t="s">
        <v>44</v>
      </c>
      <c r="V951" s="5" t="s">
        <v>44</v>
      </c>
      <c r="W951" s="5" t="s">
        <v>35</v>
      </c>
      <c r="X951" s="8" t="s">
        <v>467</v>
      </c>
      <c r="Y951" s="5" t="s">
        <v>46</v>
      </c>
      <c r="Z951" s="5" t="s">
        <v>502</v>
      </c>
      <c r="AA951" s="5" t="s">
        <v>64</v>
      </c>
      <c r="AB951" s="5" t="s">
        <v>4330</v>
      </c>
      <c r="AC951" s="6" t="s">
        <v>486</v>
      </c>
      <c r="AD951" s="6">
        <v>2561.0</v>
      </c>
    </row>
    <row r="952" ht="56.25" customHeight="1">
      <c r="A952" s="5" t="s">
        <v>4303</v>
      </c>
      <c r="B952" s="6" t="str">
        <f>IMAGE("https://storage.googleapis.com/acdb/housewares/FtrLamp_Remake_0_5.png")</f>
        <v/>
      </c>
      <c r="C952" s="5" t="s">
        <v>32</v>
      </c>
      <c r="D952" s="5" t="s">
        <v>34</v>
      </c>
      <c r="E952" s="5" t="s">
        <v>4334</v>
      </c>
      <c r="F952" s="5" t="s">
        <v>4305</v>
      </c>
      <c r="G952" s="5" t="s">
        <v>36</v>
      </c>
      <c r="H952" s="5" t="s">
        <v>36</v>
      </c>
      <c r="I952" s="5" t="s">
        <v>35</v>
      </c>
      <c r="J952" s="6">
        <v>1.0</v>
      </c>
      <c r="K952" s="6">
        <v>1400.0</v>
      </c>
      <c r="L952" s="6">
        <v>350.0</v>
      </c>
      <c r="M952" s="8" t="s">
        <v>38</v>
      </c>
      <c r="N952" s="8" t="s">
        <v>96</v>
      </c>
      <c r="O952" s="6" t="s">
        <v>40</v>
      </c>
      <c r="P952" s="5" t="s">
        <v>59</v>
      </c>
      <c r="Q952" s="5" t="s">
        <v>122</v>
      </c>
      <c r="R952" s="6" t="s">
        <v>42</v>
      </c>
      <c r="S952" s="5" t="s">
        <v>90</v>
      </c>
      <c r="T952" s="5" t="s">
        <v>44</v>
      </c>
      <c r="U952" s="5" t="s">
        <v>44</v>
      </c>
      <c r="V952" s="5" t="s">
        <v>44</v>
      </c>
      <c r="W952" s="5" t="s">
        <v>35</v>
      </c>
      <c r="X952" s="8" t="s">
        <v>467</v>
      </c>
      <c r="Y952" s="5" t="s">
        <v>46</v>
      </c>
      <c r="Z952" s="5" t="s">
        <v>502</v>
      </c>
      <c r="AA952" s="5" t="s">
        <v>64</v>
      </c>
      <c r="AB952" s="5" t="s">
        <v>4339</v>
      </c>
      <c r="AC952" s="6" t="s">
        <v>934</v>
      </c>
      <c r="AD952" s="6">
        <v>2561.0</v>
      </c>
    </row>
    <row r="953" ht="56.25" customHeight="1">
      <c r="A953" s="5" t="s">
        <v>4303</v>
      </c>
      <c r="B953" s="6" t="str">
        <f>IMAGE("https://storage.googleapis.com/acdb/housewares/FtrLamp_Remake_0_6.png")</f>
        <v/>
      </c>
      <c r="C953" s="5" t="s">
        <v>32</v>
      </c>
      <c r="D953" s="5" t="s">
        <v>34</v>
      </c>
      <c r="E953" s="5" t="s">
        <v>4340</v>
      </c>
      <c r="F953" s="5" t="s">
        <v>4305</v>
      </c>
      <c r="G953" s="5" t="s">
        <v>36</v>
      </c>
      <c r="H953" s="5" t="s">
        <v>36</v>
      </c>
      <c r="I953" s="5" t="s">
        <v>35</v>
      </c>
      <c r="J953" s="6">
        <v>1.0</v>
      </c>
      <c r="K953" s="6">
        <v>1400.0</v>
      </c>
      <c r="L953" s="6">
        <v>350.0</v>
      </c>
      <c r="M953" s="8" t="s">
        <v>38</v>
      </c>
      <c r="N953" s="8" t="s">
        <v>52</v>
      </c>
      <c r="O953" s="6" t="s">
        <v>40</v>
      </c>
      <c r="P953" s="5" t="s">
        <v>59</v>
      </c>
      <c r="Q953" s="5" t="s">
        <v>122</v>
      </c>
      <c r="R953" s="6" t="s">
        <v>42</v>
      </c>
      <c r="S953" s="5" t="s">
        <v>90</v>
      </c>
      <c r="T953" s="5" t="s">
        <v>44</v>
      </c>
      <c r="U953" s="5" t="s">
        <v>44</v>
      </c>
      <c r="V953" s="5" t="s">
        <v>44</v>
      </c>
      <c r="W953" s="5" t="s">
        <v>35</v>
      </c>
      <c r="X953" s="8" t="s">
        <v>467</v>
      </c>
      <c r="Y953" s="5" t="s">
        <v>46</v>
      </c>
      <c r="Z953" s="5" t="s">
        <v>502</v>
      </c>
      <c r="AA953" s="5" t="s">
        <v>64</v>
      </c>
      <c r="AB953" s="5" t="s">
        <v>4342</v>
      </c>
      <c r="AC953" s="6" t="s">
        <v>938</v>
      </c>
      <c r="AD953" s="6">
        <v>2561.0</v>
      </c>
    </row>
    <row r="954" ht="56.25" customHeight="1">
      <c r="A954" s="5" t="s">
        <v>4303</v>
      </c>
      <c r="B954" s="6" t="str">
        <f>IMAGE("https://storage.googleapis.com/acdb/housewares/FtrLamp_Remake_0_7.png")</f>
        <v/>
      </c>
      <c r="C954" s="5" t="s">
        <v>32</v>
      </c>
      <c r="D954" s="5" t="s">
        <v>34</v>
      </c>
      <c r="E954" s="5" t="s">
        <v>4346</v>
      </c>
      <c r="F954" s="5" t="s">
        <v>4305</v>
      </c>
      <c r="G954" s="5" t="s">
        <v>36</v>
      </c>
      <c r="H954" s="5" t="s">
        <v>36</v>
      </c>
      <c r="I954" s="5" t="s">
        <v>35</v>
      </c>
      <c r="J954" s="6">
        <v>1.0</v>
      </c>
      <c r="K954" s="6">
        <v>1400.0</v>
      </c>
      <c r="L954" s="6">
        <v>350.0</v>
      </c>
      <c r="M954" s="8" t="s">
        <v>38</v>
      </c>
      <c r="N954" s="8" t="s">
        <v>68</v>
      </c>
      <c r="O954" s="6" t="s">
        <v>40</v>
      </c>
      <c r="P954" s="5" t="s">
        <v>59</v>
      </c>
      <c r="Q954" s="5" t="s">
        <v>122</v>
      </c>
      <c r="R954" s="6" t="s">
        <v>42</v>
      </c>
      <c r="S954" s="5" t="s">
        <v>90</v>
      </c>
      <c r="T954" s="5" t="s">
        <v>44</v>
      </c>
      <c r="U954" s="5" t="s">
        <v>44</v>
      </c>
      <c r="V954" s="5" t="s">
        <v>44</v>
      </c>
      <c r="W954" s="5" t="s">
        <v>35</v>
      </c>
      <c r="X954" s="8" t="s">
        <v>467</v>
      </c>
      <c r="Y954" s="5" t="s">
        <v>46</v>
      </c>
      <c r="Z954" s="5" t="s">
        <v>502</v>
      </c>
      <c r="AA954" s="5" t="s">
        <v>64</v>
      </c>
      <c r="AB954" s="5" t="s">
        <v>4347</v>
      </c>
      <c r="AC954" s="6" t="s">
        <v>1700</v>
      </c>
      <c r="AD954" s="6">
        <v>2561.0</v>
      </c>
    </row>
    <row r="955" ht="56.25" customHeight="1">
      <c r="A955" s="5" t="s">
        <v>4303</v>
      </c>
      <c r="B955" s="6" t="str">
        <f>IMAGE("https://storage.googleapis.com/acdb/housewares/FtrLamp_Remake_1_0.png")</f>
        <v/>
      </c>
      <c r="C955" s="5" t="s">
        <v>39</v>
      </c>
      <c r="D955" s="5" t="s">
        <v>34</v>
      </c>
      <c r="E955" s="5" t="s">
        <v>57</v>
      </c>
      <c r="F955" s="5" t="s">
        <v>4305</v>
      </c>
      <c r="G955" s="5" t="s">
        <v>36</v>
      </c>
      <c r="H955" s="5" t="s">
        <v>36</v>
      </c>
      <c r="I955" s="5" t="s">
        <v>35</v>
      </c>
      <c r="J955" s="6">
        <v>1.0</v>
      </c>
      <c r="K955" s="6">
        <v>1400.0</v>
      </c>
      <c r="L955" s="6">
        <v>350.0</v>
      </c>
      <c r="M955" s="8" t="s">
        <v>39</v>
      </c>
      <c r="N955" s="8" t="s">
        <v>57</v>
      </c>
      <c r="O955" s="6" t="s">
        <v>40</v>
      </c>
      <c r="P955" s="5" t="s">
        <v>59</v>
      </c>
      <c r="Q955" s="5" t="s">
        <v>122</v>
      </c>
      <c r="R955" s="6" t="s">
        <v>42</v>
      </c>
      <c r="S955" s="5" t="s">
        <v>90</v>
      </c>
      <c r="T955" s="5" t="s">
        <v>44</v>
      </c>
      <c r="U955" s="5" t="s">
        <v>44</v>
      </c>
      <c r="V955" s="5" t="s">
        <v>44</v>
      </c>
      <c r="W955" s="5" t="s">
        <v>35</v>
      </c>
      <c r="X955" s="8" t="s">
        <v>467</v>
      </c>
      <c r="Y955" s="5" t="s">
        <v>46</v>
      </c>
      <c r="Z955" s="5" t="s">
        <v>502</v>
      </c>
      <c r="AA955" s="5" t="s">
        <v>64</v>
      </c>
      <c r="AB955" s="5" t="s">
        <v>4353</v>
      </c>
      <c r="AC955" s="6" t="s">
        <v>56</v>
      </c>
      <c r="AD955" s="6">
        <v>2561.0</v>
      </c>
    </row>
    <row r="956" ht="56.25" customHeight="1">
      <c r="A956" s="5" t="s">
        <v>4303</v>
      </c>
      <c r="B956" s="6" t="str">
        <f>IMAGE("https://storage.googleapis.com/acdb/housewares/FtrLamp_Remake_1_1.png")</f>
        <v/>
      </c>
      <c r="C956" s="5" t="s">
        <v>39</v>
      </c>
      <c r="D956" s="5" t="s">
        <v>34</v>
      </c>
      <c r="E956" s="5" t="s">
        <v>95</v>
      </c>
      <c r="F956" s="5" t="s">
        <v>4305</v>
      </c>
      <c r="G956" s="5" t="s">
        <v>36</v>
      </c>
      <c r="H956" s="5" t="s">
        <v>36</v>
      </c>
      <c r="I956" s="5" t="s">
        <v>35</v>
      </c>
      <c r="J956" s="6">
        <v>1.0</v>
      </c>
      <c r="K956" s="6">
        <v>1400.0</v>
      </c>
      <c r="L956" s="6">
        <v>350.0</v>
      </c>
      <c r="M956" s="8" t="s">
        <v>39</v>
      </c>
      <c r="N956" s="8" t="s">
        <v>95</v>
      </c>
      <c r="O956" s="6" t="s">
        <v>40</v>
      </c>
      <c r="P956" s="5" t="s">
        <v>59</v>
      </c>
      <c r="Q956" s="5" t="s">
        <v>122</v>
      </c>
      <c r="R956" s="6" t="s">
        <v>42</v>
      </c>
      <c r="S956" s="5" t="s">
        <v>90</v>
      </c>
      <c r="T956" s="5" t="s">
        <v>44</v>
      </c>
      <c r="U956" s="5" t="s">
        <v>44</v>
      </c>
      <c r="V956" s="5" t="s">
        <v>44</v>
      </c>
      <c r="W956" s="5" t="s">
        <v>35</v>
      </c>
      <c r="X956" s="8" t="s">
        <v>467</v>
      </c>
      <c r="Y956" s="5" t="s">
        <v>46</v>
      </c>
      <c r="Z956" s="5" t="s">
        <v>502</v>
      </c>
      <c r="AA956" s="5" t="s">
        <v>64</v>
      </c>
      <c r="AB956" s="5" t="s">
        <v>4356</v>
      </c>
      <c r="AC956" s="6" t="s">
        <v>234</v>
      </c>
      <c r="AD956" s="6">
        <v>2561.0</v>
      </c>
    </row>
    <row r="957" ht="56.25" customHeight="1">
      <c r="A957" s="5" t="s">
        <v>4303</v>
      </c>
      <c r="B957" s="6" t="str">
        <f>IMAGE("https://storage.googleapis.com/acdb/housewares/FtrLamp_Remake_1_2.png")</f>
        <v/>
      </c>
      <c r="C957" s="5" t="s">
        <v>39</v>
      </c>
      <c r="D957" s="5" t="s">
        <v>34</v>
      </c>
      <c r="E957" s="5" t="s">
        <v>69</v>
      </c>
      <c r="F957" s="5" t="s">
        <v>4305</v>
      </c>
      <c r="G957" s="5" t="s">
        <v>36</v>
      </c>
      <c r="H957" s="5" t="s">
        <v>36</v>
      </c>
      <c r="I957" s="5" t="s">
        <v>35</v>
      </c>
      <c r="J957" s="6">
        <v>1.0</v>
      </c>
      <c r="K957" s="6">
        <v>1400.0</v>
      </c>
      <c r="L957" s="6">
        <v>350.0</v>
      </c>
      <c r="M957" s="8" t="s">
        <v>39</v>
      </c>
      <c r="N957" s="8" t="s">
        <v>69</v>
      </c>
      <c r="O957" s="6" t="s">
        <v>40</v>
      </c>
      <c r="P957" s="5" t="s">
        <v>59</v>
      </c>
      <c r="Q957" s="5" t="s">
        <v>122</v>
      </c>
      <c r="R957" s="6" t="s">
        <v>42</v>
      </c>
      <c r="S957" s="5" t="s">
        <v>90</v>
      </c>
      <c r="T957" s="5" t="s">
        <v>44</v>
      </c>
      <c r="U957" s="5" t="s">
        <v>44</v>
      </c>
      <c r="V957" s="5" t="s">
        <v>44</v>
      </c>
      <c r="W957" s="5" t="s">
        <v>35</v>
      </c>
      <c r="X957" s="8" t="s">
        <v>467</v>
      </c>
      <c r="Y957" s="5" t="s">
        <v>46</v>
      </c>
      <c r="Z957" s="5" t="s">
        <v>502</v>
      </c>
      <c r="AA957" s="5" t="s">
        <v>64</v>
      </c>
      <c r="AB957" s="5" t="s">
        <v>4361</v>
      </c>
      <c r="AC957" s="6" t="s">
        <v>370</v>
      </c>
      <c r="AD957" s="6">
        <v>2561.0</v>
      </c>
    </row>
    <row r="958" ht="56.25" customHeight="1">
      <c r="A958" s="5" t="s">
        <v>4303</v>
      </c>
      <c r="B958" s="6" t="str">
        <f>IMAGE("https://storage.googleapis.com/acdb/housewares/FtrLamp_Remake_1_3.png")</f>
        <v/>
      </c>
      <c r="C958" s="5" t="s">
        <v>39</v>
      </c>
      <c r="D958" s="5" t="s">
        <v>34</v>
      </c>
      <c r="E958" s="5" t="s">
        <v>83</v>
      </c>
      <c r="F958" s="5" t="s">
        <v>4305</v>
      </c>
      <c r="G958" s="5" t="s">
        <v>36</v>
      </c>
      <c r="H958" s="5" t="s">
        <v>36</v>
      </c>
      <c r="I958" s="5" t="s">
        <v>35</v>
      </c>
      <c r="J958" s="6">
        <v>1.0</v>
      </c>
      <c r="K958" s="6">
        <v>1400.0</v>
      </c>
      <c r="L958" s="6">
        <v>350.0</v>
      </c>
      <c r="M958" s="8" t="s">
        <v>39</v>
      </c>
      <c r="N958" s="8" t="s">
        <v>1175</v>
      </c>
      <c r="O958" s="6" t="s">
        <v>40</v>
      </c>
      <c r="P958" s="5" t="s">
        <v>59</v>
      </c>
      <c r="Q958" s="5" t="s">
        <v>122</v>
      </c>
      <c r="R958" s="6" t="s">
        <v>42</v>
      </c>
      <c r="S958" s="5" t="s">
        <v>90</v>
      </c>
      <c r="T958" s="5" t="s">
        <v>44</v>
      </c>
      <c r="U958" s="5" t="s">
        <v>44</v>
      </c>
      <c r="V958" s="5" t="s">
        <v>44</v>
      </c>
      <c r="W958" s="5" t="s">
        <v>35</v>
      </c>
      <c r="X958" s="8" t="s">
        <v>467</v>
      </c>
      <c r="Y958" s="5" t="s">
        <v>46</v>
      </c>
      <c r="Z958" s="5" t="s">
        <v>502</v>
      </c>
      <c r="AA958" s="5" t="s">
        <v>64</v>
      </c>
      <c r="AB958" s="5" t="s">
        <v>4365</v>
      </c>
      <c r="AC958" s="6" t="s">
        <v>377</v>
      </c>
      <c r="AD958" s="6">
        <v>2561.0</v>
      </c>
    </row>
    <row r="959" ht="56.25" customHeight="1">
      <c r="A959" s="5" t="s">
        <v>4303</v>
      </c>
      <c r="B959" s="6" t="str">
        <f>IMAGE("https://storage.googleapis.com/acdb/housewares/FtrLamp_Remake_1_4.png")</f>
        <v/>
      </c>
      <c r="C959" s="5" t="s">
        <v>39</v>
      </c>
      <c r="D959" s="5" t="s">
        <v>34</v>
      </c>
      <c r="E959" s="5" t="s">
        <v>4326</v>
      </c>
      <c r="F959" s="5" t="s">
        <v>4305</v>
      </c>
      <c r="G959" s="5" t="s">
        <v>36</v>
      </c>
      <c r="H959" s="5" t="s">
        <v>36</v>
      </c>
      <c r="I959" s="5" t="s">
        <v>35</v>
      </c>
      <c r="J959" s="6">
        <v>1.0</v>
      </c>
      <c r="K959" s="6">
        <v>1400.0</v>
      </c>
      <c r="L959" s="6">
        <v>350.0</v>
      </c>
      <c r="M959" s="8" t="s">
        <v>39</v>
      </c>
      <c r="N959" s="8" t="s">
        <v>114</v>
      </c>
      <c r="O959" s="6" t="s">
        <v>40</v>
      </c>
      <c r="P959" s="5" t="s">
        <v>59</v>
      </c>
      <c r="Q959" s="5" t="s">
        <v>122</v>
      </c>
      <c r="R959" s="6" t="s">
        <v>42</v>
      </c>
      <c r="S959" s="5" t="s">
        <v>90</v>
      </c>
      <c r="T959" s="5" t="s">
        <v>44</v>
      </c>
      <c r="U959" s="5" t="s">
        <v>44</v>
      </c>
      <c r="V959" s="5" t="s">
        <v>44</v>
      </c>
      <c r="W959" s="5" t="s">
        <v>35</v>
      </c>
      <c r="X959" s="8" t="s">
        <v>467</v>
      </c>
      <c r="Y959" s="5" t="s">
        <v>46</v>
      </c>
      <c r="Z959" s="5" t="s">
        <v>502</v>
      </c>
      <c r="AA959" s="5" t="s">
        <v>64</v>
      </c>
      <c r="AB959" s="5" t="s">
        <v>4368</v>
      </c>
      <c r="AC959" s="6" t="s">
        <v>520</v>
      </c>
      <c r="AD959" s="6">
        <v>2561.0</v>
      </c>
    </row>
    <row r="960" ht="56.25" customHeight="1">
      <c r="A960" s="5" t="s">
        <v>4303</v>
      </c>
      <c r="B960" s="6" t="str">
        <f>IMAGE("https://storage.googleapis.com/acdb/housewares/FtrLamp_Remake_1_5.png")</f>
        <v/>
      </c>
      <c r="C960" s="5" t="s">
        <v>39</v>
      </c>
      <c r="D960" s="5" t="s">
        <v>34</v>
      </c>
      <c r="E960" s="5" t="s">
        <v>4334</v>
      </c>
      <c r="F960" s="5" t="s">
        <v>4305</v>
      </c>
      <c r="G960" s="5" t="s">
        <v>36</v>
      </c>
      <c r="H960" s="5" t="s">
        <v>36</v>
      </c>
      <c r="I960" s="5" t="s">
        <v>35</v>
      </c>
      <c r="J960" s="6">
        <v>1.0</v>
      </c>
      <c r="K960" s="6">
        <v>1400.0</v>
      </c>
      <c r="L960" s="6">
        <v>350.0</v>
      </c>
      <c r="M960" s="8" t="s">
        <v>39</v>
      </c>
      <c r="N960" s="8" t="s">
        <v>96</v>
      </c>
      <c r="O960" s="6" t="s">
        <v>40</v>
      </c>
      <c r="P960" s="5" t="s">
        <v>59</v>
      </c>
      <c r="Q960" s="5" t="s">
        <v>122</v>
      </c>
      <c r="R960" s="6" t="s">
        <v>42</v>
      </c>
      <c r="S960" s="5" t="s">
        <v>90</v>
      </c>
      <c r="T960" s="5" t="s">
        <v>44</v>
      </c>
      <c r="U960" s="5" t="s">
        <v>44</v>
      </c>
      <c r="V960" s="5" t="s">
        <v>44</v>
      </c>
      <c r="W960" s="5" t="s">
        <v>35</v>
      </c>
      <c r="X960" s="8" t="s">
        <v>467</v>
      </c>
      <c r="Y960" s="5" t="s">
        <v>46</v>
      </c>
      <c r="Z960" s="5" t="s">
        <v>502</v>
      </c>
      <c r="AA960" s="5" t="s">
        <v>64</v>
      </c>
      <c r="AB960" s="5" t="s">
        <v>4372</v>
      </c>
      <c r="AC960" s="6" t="s">
        <v>1389</v>
      </c>
      <c r="AD960" s="6">
        <v>2561.0</v>
      </c>
    </row>
    <row r="961" ht="56.25" customHeight="1">
      <c r="A961" s="5" t="s">
        <v>4303</v>
      </c>
      <c r="B961" s="6" t="str">
        <f>IMAGE("https://storage.googleapis.com/acdb/housewares/FtrLamp_Remake_1_6.png")</f>
        <v/>
      </c>
      <c r="C961" s="5" t="s">
        <v>39</v>
      </c>
      <c r="D961" s="5" t="s">
        <v>34</v>
      </c>
      <c r="E961" s="5" t="s">
        <v>4340</v>
      </c>
      <c r="F961" s="5" t="s">
        <v>4305</v>
      </c>
      <c r="G961" s="5" t="s">
        <v>36</v>
      </c>
      <c r="H961" s="5" t="s">
        <v>36</v>
      </c>
      <c r="I961" s="5" t="s">
        <v>35</v>
      </c>
      <c r="J961" s="6">
        <v>1.0</v>
      </c>
      <c r="K961" s="6">
        <v>1400.0</v>
      </c>
      <c r="L961" s="6">
        <v>350.0</v>
      </c>
      <c r="M961" s="8" t="s">
        <v>39</v>
      </c>
      <c r="N961" s="8" t="s">
        <v>52</v>
      </c>
      <c r="O961" s="6" t="s">
        <v>40</v>
      </c>
      <c r="P961" s="5" t="s">
        <v>59</v>
      </c>
      <c r="Q961" s="5" t="s">
        <v>122</v>
      </c>
      <c r="R961" s="6" t="s">
        <v>42</v>
      </c>
      <c r="S961" s="5" t="s">
        <v>90</v>
      </c>
      <c r="T961" s="5" t="s">
        <v>44</v>
      </c>
      <c r="U961" s="5" t="s">
        <v>44</v>
      </c>
      <c r="V961" s="5" t="s">
        <v>44</v>
      </c>
      <c r="W961" s="5" t="s">
        <v>35</v>
      </c>
      <c r="X961" s="8" t="s">
        <v>467</v>
      </c>
      <c r="Y961" s="5" t="s">
        <v>46</v>
      </c>
      <c r="Z961" s="5" t="s">
        <v>502</v>
      </c>
      <c r="AA961" s="5" t="s">
        <v>64</v>
      </c>
      <c r="AB961" s="5" t="s">
        <v>4375</v>
      </c>
      <c r="AC961" s="6" t="s">
        <v>1394</v>
      </c>
      <c r="AD961" s="6">
        <v>2561.0</v>
      </c>
    </row>
    <row r="962" ht="56.25" customHeight="1">
      <c r="A962" s="5" t="s">
        <v>4303</v>
      </c>
      <c r="B962" s="6" t="str">
        <f>IMAGE("https://storage.googleapis.com/acdb/housewares/FtrLamp_Remake_1_7.png")</f>
        <v/>
      </c>
      <c r="C962" s="5" t="s">
        <v>39</v>
      </c>
      <c r="D962" s="5" t="s">
        <v>34</v>
      </c>
      <c r="E962" s="5" t="s">
        <v>4346</v>
      </c>
      <c r="F962" s="5" t="s">
        <v>4305</v>
      </c>
      <c r="G962" s="5" t="s">
        <v>36</v>
      </c>
      <c r="H962" s="5" t="s">
        <v>36</v>
      </c>
      <c r="I962" s="5" t="s">
        <v>35</v>
      </c>
      <c r="J962" s="6">
        <v>1.0</v>
      </c>
      <c r="K962" s="6">
        <v>1400.0</v>
      </c>
      <c r="L962" s="6">
        <v>350.0</v>
      </c>
      <c r="M962" s="8" t="s">
        <v>39</v>
      </c>
      <c r="N962" s="8" t="s">
        <v>68</v>
      </c>
      <c r="O962" s="6" t="s">
        <v>40</v>
      </c>
      <c r="P962" s="5" t="s">
        <v>59</v>
      </c>
      <c r="Q962" s="5" t="s">
        <v>122</v>
      </c>
      <c r="R962" s="6" t="s">
        <v>42</v>
      </c>
      <c r="S962" s="5" t="s">
        <v>90</v>
      </c>
      <c r="T962" s="5" t="s">
        <v>44</v>
      </c>
      <c r="U962" s="5" t="s">
        <v>44</v>
      </c>
      <c r="V962" s="5" t="s">
        <v>44</v>
      </c>
      <c r="W962" s="5" t="s">
        <v>35</v>
      </c>
      <c r="X962" s="8" t="s">
        <v>467</v>
      </c>
      <c r="Y962" s="5" t="s">
        <v>46</v>
      </c>
      <c r="Z962" s="5" t="s">
        <v>502</v>
      </c>
      <c r="AA962" s="5" t="s">
        <v>64</v>
      </c>
      <c r="AB962" s="5" t="s">
        <v>4378</v>
      </c>
      <c r="AC962" s="6" t="s">
        <v>1729</v>
      </c>
      <c r="AD962" s="6">
        <v>2561.0</v>
      </c>
    </row>
    <row r="963" ht="56.25" customHeight="1">
      <c r="A963" s="5" t="s">
        <v>4303</v>
      </c>
      <c r="B963" s="6" t="str">
        <f>IMAGE("https://storage.googleapis.com/acdb/housewares/FtrLamp_Remake_2_0.png")</f>
        <v/>
      </c>
      <c r="C963" s="5" t="s">
        <v>57</v>
      </c>
      <c r="D963" s="5" t="s">
        <v>34</v>
      </c>
      <c r="E963" s="5" t="s">
        <v>57</v>
      </c>
      <c r="F963" s="5" t="s">
        <v>4305</v>
      </c>
      <c r="G963" s="5" t="s">
        <v>36</v>
      </c>
      <c r="H963" s="5" t="s">
        <v>36</v>
      </c>
      <c r="I963" s="5" t="s">
        <v>35</v>
      </c>
      <c r="J963" s="6">
        <v>1.0</v>
      </c>
      <c r="K963" s="6">
        <v>1400.0</v>
      </c>
      <c r="L963" s="6">
        <v>350.0</v>
      </c>
      <c r="M963" s="8" t="s">
        <v>57</v>
      </c>
      <c r="N963" s="8" t="s">
        <v>57</v>
      </c>
      <c r="O963" s="6" t="s">
        <v>40</v>
      </c>
      <c r="P963" s="5" t="s">
        <v>59</v>
      </c>
      <c r="Q963" s="5" t="s">
        <v>122</v>
      </c>
      <c r="R963" s="6" t="s">
        <v>42</v>
      </c>
      <c r="S963" s="5" t="s">
        <v>90</v>
      </c>
      <c r="T963" s="5" t="s">
        <v>44</v>
      </c>
      <c r="U963" s="5" t="s">
        <v>44</v>
      </c>
      <c r="V963" s="5" t="s">
        <v>44</v>
      </c>
      <c r="W963" s="5" t="s">
        <v>35</v>
      </c>
      <c r="X963" s="8" t="s">
        <v>467</v>
      </c>
      <c r="Y963" s="5" t="s">
        <v>46</v>
      </c>
      <c r="Z963" s="5" t="s">
        <v>502</v>
      </c>
      <c r="AA963" s="5" t="s">
        <v>64</v>
      </c>
      <c r="AB963" s="5" t="s">
        <v>4382</v>
      </c>
      <c r="AC963" s="6" t="s">
        <v>67</v>
      </c>
      <c r="AD963" s="6">
        <v>2561.0</v>
      </c>
    </row>
    <row r="964" ht="56.25" customHeight="1">
      <c r="A964" s="5" t="s">
        <v>4303</v>
      </c>
      <c r="B964" s="6" t="str">
        <f>IMAGE("https://storage.googleapis.com/acdb/housewares/FtrLamp_Remake_2_1.png")</f>
        <v/>
      </c>
      <c r="C964" s="5" t="s">
        <v>57</v>
      </c>
      <c r="D964" s="5" t="s">
        <v>34</v>
      </c>
      <c r="E964" s="5" t="s">
        <v>95</v>
      </c>
      <c r="F964" s="5" t="s">
        <v>4305</v>
      </c>
      <c r="G964" s="5" t="s">
        <v>36</v>
      </c>
      <c r="H964" s="5" t="s">
        <v>36</v>
      </c>
      <c r="I964" s="5" t="s">
        <v>35</v>
      </c>
      <c r="J964" s="6">
        <v>1.0</v>
      </c>
      <c r="K964" s="6">
        <v>1400.0</v>
      </c>
      <c r="L964" s="6">
        <v>350.0</v>
      </c>
      <c r="M964" s="8" t="s">
        <v>57</v>
      </c>
      <c r="N964" s="8" t="s">
        <v>95</v>
      </c>
      <c r="O964" s="6" t="s">
        <v>40</v>
      </c>
      <c r="P964" s="5" t="s">
        <v>59</v>
      </c>
      <c r="Q964" s="5" t="s">
        <v>122</v>
      </c>
      <c r="R964" s="6" t="s">
        <v>42</v>
      </c>
      <c r="S964" s="5" t="s">
        <v>90</v>
      </c>
      <c r="T964" s="5" t="s">
        <v>44</v>
      </c>
      <c r="U964" s="5" t="s">
        <v>44</v>
      </c>
      <c r="V964" s="5" t="s">
        <v>44</v>
      </c>
      <c r="W964" s="5" t="s">
        <v>35</v>
      </c>
      <c r="X964" s="8" t="s">
        <v>467</v>
      </c>
      <c r="Y964" s="5" t="s">
        <v>46</v>
      </c>
      <c r="Z964" s="5" t="s">
        <v>502</v>
      </c>
      <c r="AA964" s="5" t="s">
        <v>64</v>
      </c>
      <c r="AB964" s="5" t="s">
        <v>4385</v>
      </c>
      <c r="AC964" s="6" t="s">
        <v>247</v>
      </c>
      <c r="AD964" s="6">
        <v>2561.0</v>
      </c>
    </row>
    <row r="965" ht="56.25" customHeight="1">
      <c r="A965" s="5" t="s">
        <v>4303</v>
      </c>
      <c r="B965" s="6" t="str">
        <f>IMAGE("https://storage.googleapis.com/acdb/housewares/FtrLamp_Remake_2_2.png")</f>
        <v/>
      </c>
      <c r="C965" s="5" t="s">
        <v>57</v>
      </c>
      <c r="D965" s="5" t="s">
        <v>34</v>
      </c>
      <c r="E965" s="5" t="s">
        <v>69</v>
      </c>
      <c r="F965" s="5" t="s">
        <v>4305</v>
      </c>
      <c r="G965" s="5" t="s">
        <v>36</v>
      </c>
      <c r="H965" s="5" t="s">
        <v>36</v>
      </c>
      <c r="I965" s="5" t="s">
        <v>35</v>
      </c>
      <c r="J965" s="6">
        <v>1.0</v>
      </c>
      <c r="K965" s="6">
        <v>1400.0</v>
      </c>
      <c r="L965" s="6">
        <v>350.0</v>
      </c>
      <c r="M965" s="8" t="s">
        <v>57</v>
      </c>
      <c r="N965" s="8" t="s">
        <v>69</v>
      </c>
      <c r="O965" s="6" t="s">
        <v>40</v>
      </c>
      <c r="P965" s="5" t="s">
        <v>59</v>
      </c>
      <c r="Q965" s="5" t="s">
        <v>122</v>
      </c>
      <c r="R965" s="6" t="s">
        <v>42</v>
      </c>
      <c r="S965" s="5" t="s">
        <v>90</v>
      </c>
      <c r="T965" s="5" t="s">
        <v>44</v>
      </c>
      <c r="U965" s="5" t="s">
        <v>44</v>
      </c>
      <c r="V965" s="5" t="s">
        <v>44</v>
      </c>
      <c r="W965" s="5" t="s">
        <v>35</v>
      </c>
      <c r="X965" s="8" t="s">
        <v>467</v>
      </c>
      <c r="Y965" s="5" t="s">
        <v>46</v>
      </c>
      <c r="Z965" s="5" t="s">
        <v>502</v>
      </c>
      <c r="AA965" s="5" t="s">
        <v>64</v>
      </c>
      <c r="AB965" s="5" t="s">
        <v>4389</v>
      </c>
      <c r="AC965" s="6" t="s">
        <v>390</v>
      </c>
      <c r="AD965" s="6">
        <v>2561.0</v>
      </c>
    </row>
    <row r="966" ht="56.25" customHeight="1">
      <c r="A966" s="5" t="s">
        <v>4303</v>
      </c>
      <c r="B966" s="6" t="str">
        <f>IMAGE("https://storage.googleapis.com/acdb/housewares/FtrLamp_Remake_2_3.png")</f>
        <v/>
      </c>
      <c r="C966" s="5" t="s">
        <v>57</v>
      </c>
      <c r="D966" s="5" t="s">
        <v>34</v>
      </c>
      <c r="E966" s="5" t="s">
        <v>83</v>
      </c>
      <c r="F966" s="5" t="s">
        <v>4305</v>
      </c>
      <c r="G966" s="5" t="s">
        <v>36</v>
      </c>
      <c r="H966" s="5" t="s">
        <v>36</v>
      </c>
      <c r="I966" s="5" t="s">
        <v>35</v>
      </c>
      <c r="J966" s="6">
        <v>1.0</v>
      </c>
      <c r="K966" s="6">
        <v>1400.0</v>
      </c>
      <c r="L966" s="6">
        <v>350.0</v>
      </c>
      <c r="M966" s="8" t="s">
        <v>57</v>
      </c>
      <c r="N966" s="8" t="s">
        <v>1175</v>
      </c>
      <c r="O966" s="6" t="s">
        <v>40</v>
      </c>
      <c r="P966" s="5" t="s">
        <v>59</v>
      </c>
      <c r="Q966" s="5" t="s">
        <v>122</v>
      </c>
      <c r="R966" s="6" t="s">
        <v>42</v>
      </c>
      <c r="S966" s="5" t="s">
        <v>90</v>
      </c>
      <c r="T966" s="5" t="s">
        <v>44</v>
      </c>
      <c r="U966" s="5" t="s">
        <v>44</v>
      </c>
      <c r="V966" s="5" t="s">
        <v>44</v>
      </c>
      <c r="W966" s="5" t="s">
        <v>35</v>
      </c>
      <c r="X966" s="8" t="s">
        <v>467</v>
      </c>
      <c r="Y966" s="5" t="s">
        <v>46</v>
      </c>
      <c r="Z966" s="5" t="s">
        <v>502</v>
      </c>
      <c r="AA966" s="5" t="s">
        <v>64</v>
      </c>
      <c r="AB966" s="5" t="s">
        <v>4394</v>
      </c>
      <c r="AC966" s="6" t="s">
        <v>396</v>
      </c>
      <c r="AD966" s="6">
        <v>2561.0</v>
      </c>
    </row>
    <row r="967" ht="56.25" customHeight="1">
      <c r="A967" s="5" t="s">
        <v>4303</v>
      </c>
      <c r="B967" s="6" t="str">
        <f>IMAGE("https://storage.googleapis.com/acdb/housewares/FtrLamp_Remake_2_4.png")</f>
        <v/>
      </c>
      <c r="C967" s="5" t="s">
        <v>57</v>
      </c>
      <c r="D967" s="5" t="s">
        <v>34</v>
      </c>
      <c r="E967" s="5" t="s">
        <v>4326</v>
      </c>
      <c r="F967" s="5" t="s">
        <v>4305</v>
      </c>
      <c r="G967" s="5" t="s">
        <v>36</v>
      </c>
      <c r="H967" s="5" t="s">
        <v>36</v>
      </c>
      <c r="I967" s="5" t="s">
        <v>35</v>
      </c>
      <c r="J967" s="6">
        <v>1.0</v>
      </c>
      <c r="K967" s="6">
        <v>1400.0</v>
      </c>
      <c r="L967" s="6">
        <v>350.0</v>
      </c>
      <c r="M967" s="8" t="s">
        <v>57</v>
      </c>
      <c r="N967" s="8" t="s">
        <v>114</v>
      </c>
      <c r="O967" s="6" t="s">
        <v>40</v>
      </c>
      <c r="P967" s="5" t="s">
        <v>59</v>
      </c>
      <c r="Q967" s="5" t="s">
        <v>122</v>
      </c>
      <c r="R967" s="6" t="s">
        <v>42</v>
      </c>
      <c r="S967" s="5" t="s">
        <v>90</v>
      </c>
      <c r="T967" s="5" t="s">
        <v>44</v>
      </c>
      <c r="U967" s="5" t="s">
        <v>44</v>
      </c>
      <c r="V967" s="5" t="s">
        <v>44</v>
      </c>
      <c r="W967" s="5" t="s">
        <v>35</v>
      </c>
      <c r="X967" s="8" t="s">
        <v>467</v>
      </c>
      <c r="Y967" s="5" t="s">
        <v>46</v>
      </c>
      <c r="Z967" s="5" t="s">
        <v>502</v>
      </c>
      <c r="AA967" s="5" t="s">
        <v>64</v>
      </c>
      <c r="AB967" s="5" t="s">
        <v>4399</v>
      </c>
      <c r="AC967" s="6" t="s">
        <v>541</v>
      </c>
      <c r="AD967" s="6">
        <v>2561.0</v>
      </c>
    </row>
    <row r="968" ht="56.25" customHeight="1">
      <c r="A968" s="5" t="s">
        <v>4303</v>
      </c>
      <c r="B968" s="6" t="str">
        <f>IMAGE("https://storage.googleapis.com/acdb/housewares/FtrLamp_Remake_2_5.png")</f>
        <v/>
      </c>
      <c r="C968" s="5" t="s">
        <v>57</v>
      </c>
      <c r="D968" s="5" t="s">
        <v>34</v>
      </c>
      <c r="E968" s="5" t="s">
        <v>4334</v>
      </c>
      <c r="F968" s="5" t="s">
        <v>4305</v>
      </c>
      <c r="G968" s="5" t="s">
        <v>36</v>
      </c>
      <c r="H968" s="5" t="s">
        <v>36</v>
      </c>
      <c r="I968" s="5" t="s">
        <v>35</v>
      </c>
      <c r="J968" s="6">
        <v>1.0</v>
      </c>
      <c r="K968" s="6">
        <v>1400.0</v>
      </c>
      <c r="L968" s="6">
        <v>350.0</v>
      </c>
      <c r="M968" s="8" t="s">
        <v>57</v>
      </c>
      <c r="N968" s="8" t="s">
        <v>96</v>
      </c>
      <c r="O968" s="6" t="s">
        <v>40</v>
      </c>
      <c r="P968" s="5" t="s">
        <v>59</v>
      </c>
      <c r="Q968" s="5" t="s">
        <v>122</v>
      </c>
      <c r="R968" s="6" t="s">
        <v>42</v>
      </c>
      <c r="S968" s="5" t="s">
        <v>90</v>
      </c>
      <c r="T968" s="5" t="s">
        <v>44</v>
      </c>
      <c r="U968" s="5" t="s">
        <v>44</v>
      </c>
      <c r="V968" s="5" t="s">
        <v>44</v>
      </c>
      <c r="W968" s="5" t="s">
        <v>35</v>
      </c>
      <c r="X968" s="8" t="s">
        <v>467</v>
      </c>
      <c r="Y968" s="5" t="s">
        <v>46</v>
      </c>
      <c r="Z968" s="5" t="s">
        <v>502</v>
      </c>
      <c r="AA968" s="5" t="s">
        <v>64</v>
      </c>
      <c r="AB968" s="5" t="s">
        <v>4403</v>
      </c>
      <c r="AC968" s="6" t="s">
        <v>1415</v>
      </c>
      <c r="AD968" s="6">
        <v>2561.0</v>
      </c>
    </row>
    <row r="969" ht="56.25" customHeight="1">
      <c r="A969" s="5" t="s">
        <v>4303</v>
      </c>
      <c r="B969" s="6" t="str">
        <f>IMAGE("https://storage.googleapis.com/acdb/housewares/FtrLamp_Remake_2_6.png")</f>
        <v/>
      </c>
      <c r="C969" s="5" t="s">
        <v>57</v>
      </c>
      <c r="D969" s="5" t="s">
        <v>34</v>
      </c>
      <c r="E969" s="5" t="s">
        <v>4340</v>
      </c>
      <c r="F969" s="5" t="s">
        <v>4305</v>
      </c>
      <c r="G969" s="5" t="s">
        <v>36</v>
      </c>
      <c r="H969" s="5" t="s">
        <v>36</v>
      </c>
      <c r="I969" s="5" t="s">
        <v>35</v>
      </c>
      <c r="J969" s="6">
        <v>1.0</v>
      </c>
      <c r="K969" s="6">
        <v>1400.0</v>
      </c>
      <c r="L969" s="6">
        <v>350.0</v>
      </c>
      <c r="M969" s="8" t="s">
        <v>57</v>
      </c>
      <c r="N969" s="8" t="s">
        <v>52</v>
      </c>
      <c r="O969" s="6" t="s">
        <v>40</v>
      </c>
      <c r="P969" s="5" t="s">
        <v>59</v>
      </c>
      <c r="Q969" s="5" t="s">
        <v>122</v>
      </c>
      <c r="R969" s="6" t="s">
        <v>42</v>
      </c>
      <c r="S969" s="5" t="s">
        <v>90</v>
      </c>
      <c r="T969" s="5" t="s">
        <v>44</v>
      </c>
      <c r="U969" s="5" t="s">
        <v>44</v>
      </c>
      <c r="V969" s="5" t="s">
        <v>44</v>
      </c>
      <c r="W969" s="5" t="s">
        <v>35</v>
      </c>
      <c r="X969" s="8" t="s">
        <v>467</v>
      </c>
      <c r="Y969" s="5" t="s">
        <v>46</v>
      </c>
      <c r="Z969" s="5" t="s">
        <v>502</v>
      </c>
      <c r="AA969" s="5" t="s">
        <v>64</v>
      </c>
      <c r="AB969" s="5" t="s">
        <v>4409</v>
      </c>
      <c r="AC969" s="6" t="s">
        <v>1421</v>
      </c>
      <c r="AD969" s="6">
        <v>2561.0</v>
      </c>
    </row>
    <row r="970" ht="56.25" customHeight="1">
      <c r="A970" s="5" t="s">
        <v>4303</v>
      </c>
      <c r="B970" s="6" t="str">
        <f>IMAGE("https://storage.googleapis.com/acdb/housewares/FtrLamp_Remake_2_7.png")</f>
        <v/>
      </c>
      <c r="C970" s="5" t="s">
        <v>57</v>
      </c>
      <c r="D970" s="5" t="s">
        <v>34</v>
      </c>
      <c r="E970" s="5" t="s">
        <v>4346</v>
      </c>
      <c r="F970" s="5" t="s">
        <v>4305</v>
      </c>
      <c r="G970" s="5" t="s">
        <v>36</v>
      </c>
      <c r="H970" s="5" t="s">
        <v>36</v>
      </c>
      <c r="I970" s="5" t="s">
        <v>35</v>
      </c>
      <c r="J970" s="6">
        <v>1.0</v>
      </c>
      <c r="K970" s="6">
        <v>1400.0</v>
      </c>
      <c r="L970" s="6">
        <v>350.0</v>
      </c>
      <c r="M970" s="8" t="s">
        <v>57</v>
      </c>
      <c r="N970" s="8" t="s">
        <v>68</v>
      </c>
      <c r="O970" s="6" t="s">
        <v>40</v>
      </c>
      <c r="P970" s="5" t="s">
        <v>59</v>
      </c>
      <c r="Q970" s="5" t="s">
        <v>122</v>
      </c>
      <c r="R970" s="6" t="s">
        <v>42</v>
      </c>
      <c r="S970" s="5" t="s">
        <v>90</v>
      </c>
      <c r="T970" s="5" t="s">
        <v>44</v>
      </c>
      <c r="U970" s="5" t="s">
        <v>44</v>
      </c>
      <c r="V970" s="5" t="s">
        <v>44</v>
      </c>
      <c r="W970" s="5" t="s">
        <v>35</v>
      </c>
      <c r="X970" s="8" t="s">
        <v>467</v>
      </c>
      <c r="Y970" s="5" t="s">
        <v>46</v>
      </c>
      <c r="Z970" s="5" t="s">
        <v>502</v>
      </c>
      <c r="AA970" s="5" t="s">
        <v>64</v>
      </c>
      <c r="AB970" s="5" t="s">
        <v>4413</v>
      </c>
      <c r="AC970" s="6" t="s">
        <v>1759</v>
      </c>
      <c r="AD970" s="6">
        <v>2561.0</v>
      </c>
    </row>
    <row r="971" ht="56.25" customHeight="1">
      <c r="A971" s="5" t="s">
        <v>4303</v>
      </c>
      <c r="B971" s="6" t="str">
        <f>IMAGE("https://storage.googleapis.com/acdb/housewares/FtrLamp_Remake_3_0.png")</f>
        <v/>
      </c>
      <c r="C971" s="5" t="s">
        <v>54</v>
      </c>
      <c r="D971" s="5" t="s">
        <v>34</v>
      </c>
      <c r="E971" s="5" t="s">
        <v>57</v>
      </c>
      <c r="F971" s="5" t="s">
        <v>4305</v>
      </c>
      <c r="G971" s="5" t="s">
        <v>36</v>
      </c>
      <c r="H971" s="5" t="s">
        <v>36</v>
      </c>
      <c r="I971" s="5" t="s">
        <v>35</v>
      </c>
      <c r="J971" s="6">
        <v>1.0</v>
      </c>
      <c r="K971" s="6">
        <v>1400.0</v>
      </c>
      <c r="L971" s="6">
        <v>350.0</v>
      </c>
      <c r="M971" s="5" t="s">
        <v>54</v>
      </c>
      <c r="N971" s="8" t="s">
        <v>57</v>
      </c>
      <c r="O971" s="6" t="s">
        <v>40</v>
      </c>
      <c r="P971" s="5" t="s">
        <v>59</v>
      </c>
      <c r="Q971" s="5" t="s">
        <v>122</v>
      </c>
      <c r="R971" s="6" t="s">
        <v>42</v>
      </c>
      <c r="S971" s="5" t="s">
        <v>90</v>
      </c>
      <c r="T971" s="5" t="s">
        <v>44</v>
      </c>
      <c r="U971" s="5" t="s">
        <v>44</v>
      </c>
      <c r="V971" s="5" t="s">
        <v>44</v>
      </c>
      <c r="W971" s="5" t="s">
        <v>35</v>
      </c>
      <c r="X971" s="8" t="s">
        <v>467</v>
      </c>
      <c r="Y971" s="5" t="s">
        <v>46</v>
      </c>
      <c r="Z971" s="5" t="s">
        <v>502</v>
      </c>
      <c r="AA971" s="5" t="s">
        <v>64</v>
      </c>
      <c r="AB971" s="5" t="s">
        <v>4417</v>
      </c>
      <c r="AC971" s="6" t="s">
        <v>71</v>
      </c>
      <c r="AD971" s="6">
        <v>2561.0</v>
      </c>
    </row>
    <row r="972" ht="56.25" customHeight="1">
      <c r="A972" s="5" t="s">
        <v>4303</v>
      </c>
      <c r="B972" s="6" t="str">
        <f>IMAGE("https://storage.googleapis.com/acdb/housewares/FtrLamp_Remake_3_1.png")</f>
        <v/>
      </c>
      <c r="C972" s="5" t="s">
        <v>54</v>
      </c>
      <c r="D972" s="5" t="s">
        <v>34</v>
      </c>
      <c r="E972" s="5" t="s">
        <v>95</v>
      </c>
      <c r="F972" s="5" t="s">
        <v>4305</v>
      </c>
      <c r="G972" s="5" t="s">
        <v>36</v>
      </c>
      <c r="H972" s="5" t="s">
        <v>36</v>
      </c>
      <c r="I972" s="5" t="s">
        <v>35</v>
      </c>
      <c r="J972" s="6">
        <v>1.0</v>
      </c>
      <c r="K972" s="6">
        <v>1400.0</v>
      </c>
      <c r="L972" s="6">
        <v>350.0</v>
      </c>
      <c r="M972" s="5" t="s">
        <v>54</v>
      </c>
      <c r="N972" s="8" t="s">
        <v>95</v>
      </c>
      <c r="O972" s="6" t="s">
        <v>40</v>
      </c>
      <c r="P972" s="5" t="s">
        <v>59</v>
      </c>
      <c r="Q972" s="5" t="s">
        <v>122</v>
      </c>
      <c r="R972" s="6" t="s">
        <v>42</v>
      </c>
      <c r="S972" s="5" t="s">
        <v>90</v>
      </c>
      <c r="T972" s="5" t="s">
        <v>44</v>
      </c>
      <c r="U972" s="5" t="s">
        <v>44</v>
      </c>
      <c r="V972" s="5" t="s">
        <v>44</v>
      </c>
      <c r="W972" s="5" t="s">
        <v>35</v>
      </c>
      <c r="X972" s="8" t="s">
        <v>467</v>
      </c>
      <c r="Y972" s="5" t="s">
        <v>46</v>
      </c>
      <c r="Z972" s="5" t="s">
        <v>502</v>
      </c>
      <c r="AA972" s="5" t="s">
        <v>64</v>
      </c>
      <c r="AB972" s="5" t="s">
        <v>4423</v>
      </c>
      <c r="AC972" s="6" t="s">
        <v>257</v>
      </c>
      <c r="AD972" s="6">
        <v>2561.0</v>
      </c>
    </row>
    <row r="973" ht="56.25" customHeight="1">
      <c r="A973" s="5" t="s">
        <v>4303</v>
      </c>
      <c r="B973" s="6" t="str">
        <f>IMAGE("https://storage.googleapis.com/acdb/housewares/FtrLamp_Remake_3_2.png")</f>
        <v/>
      </c>
      <c r="C973" s="5" t="s">
        <v>54</v>
      </c>
      <c r="D973" s="5" t="s">
        <v>34</v>
      </c>
      <c r="E973" s="5" t="s">
        <v>69</v>
      </c>
      <c r="F973" s="5" t="s">
        <v>4305</v>
      </c>
      <c r="G973" s="5" t="s">
        <v>36</v>
      </c>
      <c r="H973" s="5" t="s">
        <v>36</v>
      </c>
      <c r="I973" s="5" t="s">
        <v>35</v>
      </c>
      <c r="J973" s="6">
        <v>1.0</v>
      </c>
      <c r="K973" s="6">
        <v>1400.0</v>
      </c>
      <c r="L973" s="6">
        <v>350.0</v>
      </c>
      <c r="M973" s="5" t="s">
        <v>54</v>
      </c>
      <c r="N973" s="8" t="s">
        <v>69</v>
      </c>
      <c r="O973" s="6" t="s">
        <v>40</v>
      </c>
      <c r="P973" s="5" t="s">
        <v>59</v>
      </c>
      <c r="Q973" s="5" t="s">
        <v>122</v>
      </c>
      <c r="R973" s="6" t="s">
        <v>42</v>
      </c>
      <c r="S973" s="5" t="s">
        <v>90</v>
      </c>
      <c r="T973" s="5" t="s">
        <v>44</v>
      </c>
      <c r="U973" s="5" t="s">
        <v>44</v>
      </c>
      <c r="V973" s="5" t="s">
        <v>44</v>
      </c>
      <c r="W973" s="5" t="s">
        <v>35</v>
      </c>
      <c r="X973" s="8" t="s">
        <v>467</v>
      </c>
      <c r="Y973" s="5" t="s">
        <v>46</v>
      </c>
      <c r="Z973" s="5" t="s">
        <v>502</v>
      </c>
      <c r="AA973" s="5" t="s">
        <v>64</v>
      </c>
      <c r="AB973" s="5" t="s">
        <v>4427</v>
      </c>
      <c r="AC973" s="6" t="s">
        <v>414</v>
      </c>
      <c r="AD973" s="6">
        <v>2561.0</v>
      </c>
    </row>
    <row r="974" ht="56.25" customHeight="1">
      <c r="A974" s="5" t="s">
        <v>4303</v>
      </c>
      <c r="B974" s="6" t="str">
        <f>IMAGE("https://storage.googleapis.com/acdb/housewares/FtrLamp_Remake_3_3.png")</f>
        <v/>
      </c>
      <c r="C974" s="5" t="s">
        <v>54</v>
      </c>
      <c r="D974" s="5" t="s">
        <v>34</v>
      </c>
      <c r="E974" s="5" t="s">
        <v>83</v>
      </c>
      <c r="F974" s="5" t="s">
        <v>4305</v>
      </c>
      <c r="G974" s="5" t="s">
        <v>36</v>
      </c>
      <c r="H974" s="5" t="s">
        <v>36</v>
      </c>
      <c r="I974" s="5" t="s">
        <v>35</v>
      </c>
      <c r="J974" s="6">
        <v>1.0</v>
      </c>
      <c r="K974" s="6">
        <v>1400.0</v>
      </c>
      <c r="L974" s="6">
        <v>350.0</v>
      </c>
      <c r="M974" s="5" t="s">
        <v>54</v>
      </c>
      <c r="N974" s="8" t="s">
        <v>1175</v>
      </c>
      <c r="O974" s="6" t="s">
        <v>40</v>
      </c>
      <c r="P974" s="5" t="s">
        <v>59</v>
      </c>
      <c r="Q974" s="5" t="s">
        <v>122</v>
      </c>
      <c r="R974" s="6" t="s">
        <v>42</v>
      </c>
      <c r="S974" s="5" t="s">
        <v>90</v>
      </c>
      <c r="T974" s="5" t="s">
        <v>44</v>
      </c>
      <c r="U974" s="5" t="s">
        <v>44</v>
      </c>
      <c r="V974" s="5" t="s">
        <v>44</v>
      </c>
      <c r="W974" s="5" t="s">
        <v>35</v>
      </c>
      <c r="X974" s="8" t="s">
        <v>467</v>
      </c>
      <c r="Y974" s="5" t="s">
        <v>46</v>
      </c>
      <c r="Z974" s="5" t="s">
        <v>502</v>
      </c>
      <c r="AA974" s="5" t="s">
        <v>64</v>
      </c>
      <c r="AB974" s="5" t="s">
        <v>4432</v>
      </c>
      <c r="AC974" s="6" t="s">
        <v>418</v>
      </c>
      <c r="AD974" s="6">
        <v>2561.0</v>
      </c>
    </row>
    <row r="975" ht="56.25" customHeight="1">
      <c r="A975" s="5" t="s">
        <v>4303</v>
      </c>
      <c r="B975" s="6" t="str">
        <f>IMAGE("https://storage.googleapis.com/acdb/housewares/FtrLamp_Remake_3_4.png")</f>
        <v/>
      </c>
      <c r="C975" s="5" t="s">
        <v>54</v>
      </c>
      <c r="D975" s="5" t="s">
        <v>34</v>
      </c>
      <c r="E975" s="5" t="s">
        <v>4326</v>
      </c>
      <c r="F975" s="5" t="s">
        <v>4305</v>
      </c>
      <c r="G975" s="5" t="s">
        <v>36</v>
      </c>
      <c r="H975" s="5" t="s">
        <v>36</v>
      </c>
      <c r="I975" s="5" t="s">
        <v>35</v>
      </c>
      <c r="J975" s="6">
        <v>1.0</v>
      </c>
      <c r="K975" s="6">
        <v>1400.0</v>
      </c>
      <c r="L975" s="6">
        <v>350.0</v>
      </c>
      <c r="M975" s="5" t="s">
        <v>54</v>
      </c>
      <c r="N975" s="8" t="s">
        <v>114</v>
      </c>
      <c r="O975" s="6" t="s">
        <v>40</v>
      </c>
      <c r="P975" s="5" t="s">
        <v>59</v>
      </c>
      <c r="Q975" s="5" t="s">
        <v>122</v>
      </c>
      <c r="R975" s="6" t="s">
        <v>42</v>
      </c>
      <c r="S975" s="5" t="s">
        <v>90</v>
      </c>
      <c r="T975" s="5" t="s">
        <v>44</v>
      </c>
      <c r="U975" s="5" t="s">
        <v>44</v>
      </c>
      <c r="V975" s="5" t="s">
        <v>44</v>
      </c>
      <c r="W975" s="5" t="s">
        <v>35</v>
      </c>
      <c r="X975" s="8" t="s">
        <v>467</v>
      </c>
      <c r="Y975" s="5" t="s">
        <v>46</v>
      </c>
      <c r="Z975" s="5" t="s">
        <v>502</v>
      </c>
      <c r="AA975" s="5" t="s">
        <v>64</v>
      </c>
      <c r="AB975" s="5" t="s">
        <v>4435</v>
      </c>
      <c r="AC975" s="6" t="s">
        <v>563</v>
      </c>
      <c r="AD975" s="6">
        <v>2561.0</v>
      </c>
    </row>
    <row r="976" ht="56.25" customHeight="1">
      <c r="A976" s="5" t="s">
        <v>4303</v>
      </c>
      <c r="B976" s="6" t="str">
        <f>IMAGE("https://storage.googleapis.com/acdb/housewares/FtrLamp_Remake_3_5.png")</f>
        <v/>
      </c>
      <c r="C976" s="5" t="s">
        <v>54</v>
      </c>
      <c r="D976" s="5" t="s">
        <v>34</v>
      </c>
      <c r="E976" s="5" t="s">
        <v>4334</v>
      </c>
      <c r="F976" s="5" t="s">
        <v>4305</v>
      </c>
      <c r="G976" s="5" t="s">
        <v>36</v>
      </c>
      <c r="H976" s="5" t="s">
        <v>36</v>
      </c>
      <c r="I976" s="5" t="s">
        <v>35</v>
      </c>
      <c r="J976" s="6">
        <v>1.0</v>
      </c>
      <c r="K976" s="6">
        <v>1400.0</v>
      </c>
      <c r="L976" s="6">
        <v>350.0</v>
      </c>
      <c r="M976" s="5" t="s">
        <v>54</v>
      </c>
      <c r="N976" s="8" t="s">
        <v>96</v>
      </c>
      <c r="O976" s="6" t="s">
        <v>40</v>
      </c>
      <c r="P976" s="5" t="s">
        <v>59</v>
      </c>
      <c r="Q976" s="5" t="s">
        <v>122</v>
      </c>
      <c r="R976" s="6" t="s">
        <v>42</v>
      </c>
      <c r="S976" s="5" t="s">
        <v>90</v>
      </c>
      <c r="T976" s="5" t="s">
        <v>44</v>
      </c>
      <c r="U976" s="5" t="s">
        <v>44</v>
      </c>
      <c r="V976" s="5" t="s">
        <v>44</v>
      </c>
      <c r="W976" s="5" t="s">
        <v>35</v>
      </c>
      <c r="X976" s="8" t="s">
        <v>467</v>
      </c>
      <c r="Y976" s="5" t="s">
        <v>46</v>
      </c>
      <c r="Z976" s="5" t="s">
        <v>502</v>
      </c>
      <c r="AA976" s="5" t="s">
        <v>64</v>
      </c>
      <c r="AB976" s="5" t="s">
        <v>4440</v>
      </c>
      <c r="AC976" s="6" t="s">
        <v>1443</v>
      </c>
      <c r="AD976" s="6">
        <v>2561.0</v>
      </c>
    </row>
    <row r="977" ht="56.25" customHeight="1">
      <c r="A977" s="5" t="s">
        <v>4303</v>
      </c>
      <c r="B977" s="6" t="str">
        <f>IMAGE("https://storage.googleapis.com/acdb/housewares/FtrLamp_Remake_3_6.png")</f>
        <v/>
      </c>
      <c r="C977" s="5" t="s">
        <v>54</v>
      </c>
      <c r="D977" s="5" t="s">
        <v>34</v>
      </c>
      <c r="E977" s="5" t="s">
        <v>4340</v>
      </c>
      <c r="F977" s="5" t="s">
        <v>4305</v>
      </c>
      <c r="G977" s="5" t="s">
        <v>36</v>
      </c>
      <c r="H977" s="5" t="s">
        <v>36</v>
      </c>
      <c r="I977" s="5" t="s">
        <v>35</v>
      </c>
      <c r="J977" s="6">
        <v>1.0</v>
      </c>
      <c r="K977" s="6">
        <v>1400.0</v>
      </c>
      <c r="L977" s="6">
        <v>350.0</v>
      </c>
      <c r="M977" s="5" t="s">
        <v>54</v>
      </c>
      <c r="N977" s="8" t="s">
        <v>52</v>
      </c>
      <c r="O977" s="6" t="s">
        <v>40</v>
      </c>
      <c r="P977" s="5" t="s">
        <v>59</v>
      </c>
      <c r="Q977" s="5" t="s">
        <v>122</v>
      </c>
      <c r="R977" s="6" t="s">
        <v>42</v>
      </c>
      <c r="S977" s="5" t="s">
        <v>90</v>
      </c>
      <c r="T977" s="5" t="s">
        <v>44</v>
      </c>
      <c r="U977" s="5" t="s">
        <v>44</v>
      </c>
      <c r="V977" s="5" t="s">
        <v>44</v>
      </c>
      <c r="W977" s="5" t="s">
        <v>35</v>
      </c>
      <c r="X977" s="8" t="s">
        <v>467</v>
      </c>
      <c r="Y977" s="5" t="s">
        <v>46</v>
      </c>
      <c r="Z977" s="5" t="s">
        <v>502</v>
      </c>
      <c r="AA977" s="5" t="s">
        <v>64</v>
      </c>
      <c r="AB977" s="5" t="s">
        <v>4445</v>
      </c>
      <c r="AC977" s="6" t="s">
        <v>1450</v>
      </c>
      <c r="AD977" s="6">
        <v>2561.0</v>
      </c>
    </row>
    <row r="978" ht="56.25" customHeight="1">
      <c r="A978" s="5" t="s">
        <v>4303</v>
      </c>
      <c r="B978" s="6" t="str">
        <f>IMAGE("https://storage.googleapis.com/acdb/housewares/FtrLamp_Remake_3_7.png")</f>
        <v/>
      </c>
      <c r="C978" s="5" t="s">
        <v>54</v>
      </c>
      <c r="D978" s="5" t="s">
        <v>34</v>
      </c>
      <c r="E978" s="5" t="s">
        <v>4346</v>
      </c>
      <c r="F978" s="5" t="s">
        <v>4305</v>
      </c>
      <c r="G978" s="5" t="s">
        <v>36</v>
      </c>
      <c r="H978" s="5" t="s">
        <v>36</v>
      </c>
      <c r="I978" s="5" t="s">
        <v>35</v>
      </c>
      <c r="J978" s="6">
        <v>1.0</v>
      </c>
      <c r="K978" s="6">
        <v>1400.0</v>
      </c>
      <c r="L978" s="6">
        <v>350.0</v>
      </c>
      <c r="M978" s="5" t="s">
        <v>54</v>
      </c>
      <c r="N978" s="8" t="s">
        <v>68</v>
      </c>
      <c r="O978" s="6" t="s">
        <v>40</v>
      </c>
      <c r="P978" s="5" t="s">
        <v>59</v>
      </c>
      <c r="Q978" s="5" t="s">
        <v>122</v>
      </c>
      <c r="R978" s="6" t="s">
        <v>42</v>
      </c>
      <c r="S978" s="5" t="s">
        <v>90</v>
      </c>
      <c r="T978" s="5" t="s">
        <v>44</v>
      </c>
      <c r="U978" s="5" t="s">
        <v>44</v>
      </c>
      <c r="V978" s="5" t="s">
        <v>44</v>
      </c>
      <c r="W978" s="5" t="s">
        <v>35</v>
      </c>
      <c r="X978" s="8" t="s">
        <v>467</v>
      </c>
      <c r="Y978" s="5" t="s">
        <v>46</v>
      </c>
      <c r="Z978" s="5" t="s">
        <v>502</v>
      </c>
      <c r="AA978" s="5" t="s">
        <v>64</v>
      </c>
      <c r="AB978" s="5" t="s">
        <v>4450</v>
      </c>
      <c r="AC978" s="6" t="s">
        <v>1792</v>
      </c>
      <c r="AD978" s="6">
        <v>2561.0</v>
      </c>
    </row>
    <row r="979" ht="56.25" customHeight="1">
      <c r="A979" s="5" t="s">
        <v>4451</v>
      </c>
      <c r="B979" s="6" t="str">
        <f>IMAGE("https://storage.googleapis.com/acdb/housewares/FtrGrandlight_Remake_0_0.png")</f>
        <v/>
      </c>
      <c r="C979" s="5" t="s">
        <v>57</v>
      </c>
      <c r="D979" s="5" t="s">
        <v>34</v>
      </c>
      <c r="E979" s="5" t="s">
        <v>34</v>
      </c>
      <c r="F979" s="5" t="s">
        <v>34</v>
      </c>
      <c r="G979" s="5" t="s">
        <v>36</v>
      </c>
      <c r="H979" s="5" t="s">
        <v>36</v>
      </c>
      <c r="I979" s="5" t="s">
        <v>36</v>
      </c>
      <c r="J979" s="6" t="s">
        <v>34</v>
      </c>
      <c r="K979" s="6">
        <v>2200.0</v>
      </c>
      <c r="L979" s="6">
        <v>550.0</v>
      </c>
      <c r="M979" s="8" t="s">
        <v>57</v>
      </c>
      <c r="N979" s="8" t="s">
        <v>57</v>
      </c>
      <c r="O979" s="6" t="s">
        <v>40</v>
      </c>
      <c r="P979" s="5" t="s">
        <v>59</v>
      </c>
      <c r="Q979" s="5" t="s">
        <v>122</v>
      </c>
      <c r="R979" s="6" t="s">
        <v>42</v>
      </c>
      <c r="S979" s="5" t="s">
        <v>141</v>
      </c>
      <c r="T979" s="5" t="s">
        <v>129</v>
      </c>
      <c r="U979" s="5" t="s">
        <v>44</v>
      </c>
      <c r="V979" s="5" t="s">
        <v>44</v>
      </c>
      <c r="W979" s="5" t="s">
        <v>35</v>
      </c>
      <c r="X979" s="8" t="s">
        <v>467</v>
      </c>
      <c r="Y979" s="5" t="s">
        <v>46</v>
      </c>
      <c r="Z979" s="5" t="s">
        <v>1749</v>
      </c>
      <c r="AA979" s="5" t="s">
        <v>64</v>
      </c>
      <c r="AB979" s="5" t="s">
        <v>4455</v>
      </c>
      <c r="AC979" s="6" t="s">
        <v>50</v>
      </c>
      <c r="AD979" s="6">
        <v>7135.0</v>
      </c>
    </row>
    <row r="980" ht="56.25" customHeight="1">
      <c r="A980" s="5" t="s">
        <v>4451</v>
      </c>
      <c r="B980" s="6" t="str">
        <f>IMAGE("https://storage.googleapis.com/acdb/housewares/FtrGrandlight_Remake_1_0.png")</f>
        <v/>
      </c>
      <c r="C980" s="5" t="s">
        <v>142</v>
      </c>
      <c r="D980" s="5" t="s">
        <v>34</v>
      </c>
      <c r="E980" s="5" t="s">
        <v>34</v>
      </c>
      <c r="F980" s="5" t="s">
        <v>34</v>
      </c>
      <c r="G980" s="5" t="s">
        <v>36</v>
      </c>
      <c r="H980" s="5" t="s">
        <v>36</v>
      </c>
      <c r="I980" s="5" t="s">
        <v>36</v>
      </c>
      <c r="J980" s="6" t="s">
        <v>34</v>
      </c>
      <c r="K980" s="6">
        <v>2200.0</v>
      </c>
      <c r="L980" s="6">
        <v>550.0</v>
      </c>
      <c r="M980" s="8" t="s">
        <v>142</v>
      </c>
      <c r="N980" s="8" t="s">
        <v>142</v>
      </c>
      <c r="O980" s="6" t="s">
        <v>40</v>
      </c>
      <c r="P980" s="5" t="s">
        <v>59</v>
      </c>
      <c r="Q980" s="5" t="s">
        <v>122</v>
      </c>
      <c r="R980" s="6" t="s">
        <v>42</v>
      </c>
      <c r="S980" s="5" t="s">
        <v>141</v>
      </c>
      <c r="T980" s="5" t="s">
        <v>129</v>
      </c>
      <c r="U980" s="5" t="s">
        <v>44</v>
      </c>
      <c r="V980" s="5" t="s">
        <v>44</v>
      </c>
      <c r="W980" s="5" t="s">
        <v>35</v>
      </c>
      <c r="X980" s="8" t="s">
        <v>467</v>
      </c>
      <c r="Y980" s="5" t="s">
        <v>46</v>
      </c>
      <c r="Z980" s="5" t="s">
        <v>1749</v>
      </c>
      <c r="AA980" s="5" t="s">
        <v>64</v>
      </c>
      <c r="AB980" s="5" t="s">
        <v>4459</v>
      </c>
      <c r="AC980" s="6" t="s">
        <v>56</v>
      </c>
      <c r="AD980" s="6">
        <v>7135.0</v>
      </c>
    </row>
    <row r="981" ht="56.25" customHeight="1">
      <c r="A981" s="5" t="s">
        <v>4451</v>
      </c>
      <c r="B981" s="6" t="str">
        <f>IMAGE("https://storage.googleapis.com/acdb/housewares/FtrGrandlight_Remake_2_0.png")</f>
        <v/>
      </c>
      <c r="C981" s="5" t="s">
        <v>52</v>
      </c>
      <c r="D981" s="5" t="s">
        <v>34</v>
      </c>
      <c r="E981" s="5" t="s">
        <v>34</v>
      </c>
      <c r="F981" s="5" t="s">
        <v>34</v>
      </c>
      <c r="G981" s="5" t="s">
        <v>36</v>
      </c>
      <c r="H981" s="5" t="s">
        <v>36</v>
      </c>
      <c r="I981" s="5" t="s">
        <v>36</v>
      </c>
      <c r="J981" s="6" t="s">
        <v>34</v>
      </c>
      <c r="K981" s="6">
        <v>2200.0</v>
      </c>
      <c r="L981" s="6">
        <v>550.0</v>
      </c>
      <c r="M981" s="8" t="s">
        <v>52</v>
      </c>
      <c r="N981" s="8" t="s">
        <v>52</v>
      </c>
      <c r="O981" s="6" t="s">
        <v>40</v>
      </c>
      <c r="P981" s="5" t="s">
        <v>59</v>
      </c>
      <c r="Q981" s="5" t="s">
        <v>122</v>
      </c>
      <c r="R981" s="6" t="s">
        <v>42</v>
      </c>
      <c r="S981" s="5" t="s">
        <v>141</v>
      </c>
      <c r="T981" s="5" t="s">
        <v>129</v>
      </c>
      <c r="U981" s="5" t="s">
        <v>44</v>
      </c>
      <c r="V981" s="5" t="s">
        <v>44</v>
      </c>
      <c r="W981" s="5" t="s">
        <v>35</v>
      </c>
      <c r="X981" s="8" t="s">
        <v>467</v>
      </c>
      <c r="Y981" s="5" t="s">
        <v>46</v>
      </c>
      <c r="Z981" s="5" t="s">
        <v>1749</v>
      </c>
      <c r="AA981" s="5" t="s">
        <v>64</v>
      </c>
      <c r="AB981" s="5" t="s">
        <v>4465</v>
      </c>
      <c r="AC981" s="6" t="s">
        <v>67</v>
      </c>
      <c r="AD981" s="6">
        <v>7135.0</v>
      </c>
    </row>
    <row r="982" ht="56.25" customHeight="1">
      <c r="A982" s="5" t="s">
        <v>4451</v>
      </c>
      <c r="B982" s="6" t="str">
        <f>IMAGE("https://storage.googleapis.com/acdb/housewares/FtrGrandlight_Remake_3_0.png")</f>
        <v/>
      </c>
      <c r="C982" s="5" t="s">
        <v>69</v>
      </c>
      <c r="D982" s="5" t="s">
        <v>34</v>
      </c>
      <c r="E982" s="5" t="s">
        <v>34</v>
      </c>
      <c r="F982" s="5" t="s">
        <v>34</v>
      </c>
      <c r="G982" s="5" t="s">
        <v>36</v>
      </c>
      <c r="H982" s="5" t="s">
        <v>36</v>
      </c>
      <c r="I982" s="5" t="s">
        <v>36</v>
      </c>
      <c r="J982" s="6" t="s">
        <v>34</v>
      </c>
      <c r="K982" s="6">
        <v>2200.0</v>
      </c>
      <c r="L982" s="6">
        <v>550.0</v>
      </c>
      <c r="M982" s="8" t="s">
        <v>69</v>
      </c>
      <c r="N982" s="8" t="s">
        <v>69</v>
      </c>
      <c r="O982" s="6" t="s">
        <v>40</v>
      </c>
      <c r="P982" s="5" t="s">
        <v>59</v>
      </c>
      <c r="Q982" s="5" t="s">
        <v>122</v>
      </c>
      <c r="R982" s="6" t="s">
        <v>42</v>
      </c>
      <c r="S982" s="5" t="s">
        <v>141</v>
      </c>
      <c r="T982" s="5" t="s">
        <v>129</v>
      </c>
      <c r="U982" s="5" t="s">
        <v>44</v>
      </c>
      <c r="V982" s="5" t="s">
        <v>44</v>
      </c>
      <c r="W982" s="5" t="s">
        <v>35</v>
      </c>
      <c r="X982" s="8" t="s">
        <v>467</v>
      </c>
      <c r="Y982" s="5" t="s">
        <v>46</v>
      </c>
      <c r="Z982" s="5" t="s">
        <v>1749</v>
      </c>
      <c r="AA982" s="5" t="s">
        <v>64</v>
      </c>
      <c r="AB982" s="5" t="s">
        <v>4469</v>
      </c>
      <c r="AC982" s="6" t="s">
        <v>71</v>
      </c>
      <c r="AD982" s="6">
        <v>7135.0</v>
      </c>
    </row>
    <row r="983" ht="56.25" customHeight="1">
      <c r="A983" s="5" t="s">
        <v>4451</v>
      </c>
      <c r="B983" s="6" t="str">
        <f>IMAGE("https://storage.googleapis.com/acdb/housewares/FtrGrandlight_Remake_4_0.png")</f>
        <v/>
      </c>
      <c r="C983" s="5" t="s">
        <v>106</v>
      </c>
      <c r="D983" s="5" t="s">
        <v>34</v>
      </c>
      <c r="E983" s="5" t="s">
        <v>34</v>
      </c>
      <c r="F983" s="5" t="s">
        <v>34</v>
      </c>
      <c r="G983" s="5" t="s">
        <v>36</v>
      </c>
      <c r="H983" s="5" t="s">
        <v>36</v>
      </c>
      <c r="I983" s="5" t="s">
        <v>36</v>
      </c>
      <c r="J983" s="6" t="s">
        <v>34</v>
      </c>
      <c r="K983" s="6">
        <v>2200.0</v>
      </c>
      <c r="L983" s="6">
        <v>550.0</v>
      </c>
      <c r="M983" s="8" t="s">
        <v>142</v>
      </c>
      <c r="N983" s="8" t="s">
        <v>142</v>
      </c>
      <c r="O983" s="6" t="s">
        <v>40</v>
      </c>
      <c r="P983" s="5" t="s">
        <v>59</v>
      </c>
      <c r="Q983" s="5" t="s">
        <v>122</v>
      </c>
      <c r="R983" s="6" t="s">
        <v>42</v>
      </c>
      <c r="S983" s="5" t="s">
        <v>141</v>
      </c>
      <c r="T983" s="5" t="s">
        <v>129</v>
      </c>
      <c r="U983" s="5" t="s">
        <v>44</v>
      </c>
      <c r="V983" s="5" t="s">
        <v>44</v>
      </c>
      <c r="W983" s="5" t="s">
        <v>35</v>
      </c>
      <c r="X983" s="8" t="s">
        <v>467</v>
      </c>
      <c r="Y983" s="5" t="s">
        <v>46</v>
      </c>
      <c r="Z983" s="5" t="s">
        <v>1749</v>
      </c>
      <c r="AA983" s="5" t="s">
        <v>64</v>
      </c>
      <c r="AB983" s="5" t="s">
        <v>4474</v>
      </c>
      <c r="AC983" s="6" t="s">
        <v>75</v>
      </c>
      <c r="AD983" s="6">
        <v>7135.0</v>
      </c>
    </row>
    <row r="984" ht="56.25" customHeight="1">
      <c r="A984" s="5" t="s">
        <v>4451</v>
      </c>
      <c r="B984" s="6" t="str">
        <f>IMAGE("https://storage.googleapis.com/acdb/housewares/FtrGrandlight_Remake_5_0.png")</f>
        <v/>
      </c>
      <c r="C984" s="5" t="s">
        <v>68</v>
      </c>
      <c r="D984" s="5" t="s">
        <v>34</v>
      </c>
      <c r="E984" s="5" t="s">
        <v>34</v>
      </c>
      <c r="F984" s="5" t="s">
        <v>34</v>
      </c>
      <c r="G984" s="5" t="s">
        <v>36</v>
      </c>
      <c r="H984" s="5" t="s">
        <v>36</v>
      </c>
      <c r="I984" s="5" t="s">
        <v>36</v>
      </c>
      <c r="J984" s="6" t="s">
        <v>34</v>
      </c>
      <c r="K984" s="6">
        <v>2200.0</v>
      </c>
      <c r="L984" s="6">
        <v>550.0</v>
      </c>
      <c r="M984" s="8" t="s">
        <v>68</v>
      </c>
      <c r="N984" s="8" t="s">
        <v>68</v>
      </c>
      <c r="O984" s="6" t="s">
        <v>40</v>
      </c>
      <c r="P984" s="5" t="s">
        <v>59</v>
      </c>
      <c r="Q984" s="5" t="s">
        <v>122</v>
      </c>
      <c r="R984" s="6" t="s">
        <v>42</v>
      </c>
      <c r="S984" s="5" t="s">
        <v>141</v>
      </c>
      <c r="T984" s="5" t="s">
        <v>129</v>
      </c>
      <c r="U984" s="5" t="s">
        <v>44</v>
      </c>
      <c r="V984" s="5" t="s">
        <v>44</v>
      </c>
      <c r="W984" s="5" t="s">
        <v>35</v>
      </c>
      <c r="X984" s="8" t="s">
        <v>467</v>
      </c>
      <c r="Y984" s="5" t="s">
        <v>46</v>
      </c>
      <c r="Z984" s="5" t="s">
        <v>1749</v>
      </c>
      <c r="AA984" s="5" t="s">
        <v>64</v>
      </c>
      <c r="AB984" s="5" t="s">
        <v>4478</v>
      </c>
      <c r="AC984" s="6" t="s">
        <v>79</v>
      </c>
      <c r="AD984" s="6">
        <v>7135.0</v>
      </c>
    </row>
    <row r="985" ht="56.25" customHeight="1">
      <c r="A985" s="5" t="s">
        <v>4451</v>
      </c>
      <c r="B985" s="6" t="str">
        <f>IMAGE("https://storage.googleapis.com/acdb/housewares/FtrGrandlight_Remake_6_0.png")</f>
        <v/>
      </c>
      <c r="C985" s="5" t="s">
        <v>83</v>
      </c>
      <c r="D985" s="5" t="s">
        <v>34</v>
      </c>
      <c r="E985" s="5" t="s">
        <v>34</v>
      </c>
      <c r="F985" s="5" t="s">
        <v>34</v>
      </c>
      <c r="G985" s="5" t="s">
        <v>36</v>
      </c>
      <c r="H985" s="5" t="s">
        <v>36</v>
      </c>
      <c r="I985" s="5" t="s">
        <v>36</v>
      </c>
      <c r="J985" s="6" t="s">
        <v>34</v>
      </c>
      <c r="K985" s="6">
        <v>2200.0</v>
      </c>
      <c r="L985" s="6">
        <v>550.0</v>
      </c>
      <c r="M985" s="8" t="s">
        <v>1175</v>
      </c>
      <c r="N985" s="8" t="s">
        <v>1175</v>
      </c>
      <c r="O985" s="6" t="s">
        <v>40</v>
      </c>
      <c r="P985" s="5" t="s">
        <v>59</v>
      </c>
      <c r="Q985" s="5" t="s">
        <v>122</v>
      </c>
      <c r="R985" s="6" t="s">
        <v>42</v>
      </c>
      <c r="S985" s="5" t="s">
        <v>141</v>
      </c>
      <c r="T985" s="5" t="s">
        <v>129</v>
      </c>
      <c r="U985" s="5" t="s">
        <v>44</v>
      </c>
      <c r="V985" s="5" t="s">
        <v>44</v>
      </c>
      <c r="W985" s="5" t="s">
        <v>35</v>
      </c>
      <c r="X985" s="8" t="s">
        <v>467</v>
      </c>
      <c r="Y985" s="5" t="s">
        <v>46</v>
      </c>
      <c r="Z985" s="5" t="s">
        <v>1749</v>
      </c>
      <c r="AA985" s="5" t="s">
        <v>64</v>
      </c>
      <c r="AB985" s="5" t="s">
        <v>4483</v>
      </c>
      <c r="AC985" s="6" t="s">
        <v>86</v>
      </c>
      <c r="AD985" s="6">
        <v>7135.0</v>
      </c>
    </row>
    <row r="986" ht="56.25" customHeight="1">
      <c r="A986" s="5" t="s">
        <v>4451</v>
      </c>
      <c r="B986" s="6" t="str">
        <f>IMAGE("https://storage.googleapis.com/acdb/housewares/FtrGrandlight_Remake_7_0.png")</f>
        <v/>
      </c>
      <c r="C986" s="5" t="s">
        <v>96</v>
      </c>
      <c r="D986" s="5" t="s">
        <v>34</v>
      </c>
      <c r="E986" s="5" t="s">
        <v>34</v>
      </c>
      <c r="F986" s="5" t="s">
        <v>34</v>
      </c>
      <c r="G986" s="5" t="s">
        <v>36</v>
      </c>
      <c r="H986" s="5" t="s">
        <v>36</v>
      </c>
      <c r="I986" s="5" t="s">
        <v>36</v>
      </c>
      <c r="J986" s="6" t="s">
        <v>34</v>
      </c>
      <c r="K986" s="6">
        <v>2200.0</v>
      </c>
      <c r="L986" s="6">
        <v>550.0</v>
      </c>
      <c r="M986" s="8" t="s">
        <v>96</v>
      </c>
      <c r="N986" s="8" t="s">
        <v>96</v>
      </c>
      <c r="O986" s="6" t="s">
        <v>40</v>
      </c>
      <c r="P986" s="5" t="s">
        <v>59</v>
      </c>
      <c r="Q986" s="5" t="s">
        <v>122</v>
      </c>
      <c r="R986" s="6" t="s">
        <v>42</v>
      </c>
      <c r="S986" s="5" t="s">
        <v>141</v>
      </c>
      <c r="T986" s="5" t="s">
        <v>129</v>
      </c>
      <c r="U986" s="5" t="s">
        <v>44</v>
      </c>
      <c r="V986" s="5" t="s">
        <v>44</v>
      </c>
      <c r="W986" s="5" t="s">
        <v>35</v>
      </c>
      <c r="X986" s="8" t="s">
        <v>467</v>
      </c>
      <c r="Y986" s="5" t="s">
        <v>46</v>
      </c>
      <c r="Z986" s="5" t="s">
        <v>1749</v>
      </c>
      <c r="AA986" s="5" t="s">
        <v>64</v>
      </c>
      <c r="AB986" s="5" t="s">
        <v>4487</v>
      </c>
      <c r="AC986" s="6" t="s">
        <v>208</v>
      </c>
      <c r="AD986" s="6">
        <v>7135.0</v>
      </c>
    </row>
    <row r="987" ht="56.25" customHeight="1">
      <c r="A987" s="5" t="s">
        <v>4489</v>
      </c>
      <c r="B987" s="6" t="str">
        <f>IMAGE("https://storage.googleapis.com/acdb/housewares/FtrFloorchair_Remake_0_0.png")</f>
        <v/>
      </c>
      <c r="C987" s="5" t="s">
        <v>32</v>
      </c>
      <c r="D987" s="5" t="s">
        <v>34</v>
      </c>
      <c r="E987" s="5" t="s">
        <v>4490</v>
      </c>
      <c r="F987" s="5" t="s">
        <v>443</v>
      </c>
      <c r="G987" s="5" t="s">
        <v>36</v>
      </c>
      <c r="H987" s="5" t="s">
        <v>36</v>
      </c>
      <c r="I987" s="5" t="s">
        <v>35</v>
      </c>
      <c r="J987" s="6">
        <v>1.0</v>
      </c>
      <c r="K987" s="6">
        <v>730.0</v>
      </c>
      <c r="L987" s="6">
        <v>182.0</v>
      </c>
      <c r="M987" s="8" t="s">
        <v>39</v>
      </c>
      <c r="N987" s="8" t="s">
        <v>96</v>
      </c>
      <c r="O987" s="6" t="s">
        <v>40</v>
      </c>
      <c r="P987" s="5" t="s">
        <v>59</v>
      </c>
      <c r="Q987" s="5" t="s">
        <v>89</v>
      </c>
      <c r="R987" s="6" t="s">
        <v>42</v>
      </c>
      <c r="S987" s="5" t="s">
        <v>266</v>
      </c>
      <c r="T987" s="5" t="s">
        <v>99</v>
      </c>
      <c r="U987" s="5" t="s">
        <v>44</v>
      </c>
      <c r="V987" s="5" t="s">
        <v>44</v>
      </c>
      <c r="W987" s="5" t="s">
        <v>35</v>
      </c>
      <c r="X987" s="8" t="s">
        <v>248</v>
      </c>
      <c r="Y987" s="5" t="s">
        <v>46</v>
      </c>
      <c r="Z987" s="5" t="s">
        <v>47</v>
      </c>
      <c r="AA987" s="5" t="s">
        <v>64</v>
      </c>
      <c r="AB987" s="5" t="s">
        <v>4493</v>
      </c>
      <c r="AC987" s="6" t="s">
        <v>50</v>
      </c>
      <c r="AD987" s="6">
        <v>3622.0</v>
      </c>
    </row>
    <row r="988" ht="56.25" customHeight="1">
      <c r="A988" s="5" t="s">
        <v>4489</v>
      </c>
      <c r="B988" s="6" t="str">
        <f>IMAGE("https://storage.googleapis.com/acdb/housewares/FtrFloorchair_Remake_0_1.png")</f>
        <v/>
      </c>
      <c r="C988" s="5" t="s">
        <v>32</v>
      </c>
      <c r="D988" s="5" t="s">
        <v>34</v>
      </c>
      <c r="E988" s="5" t="s">
        <v>4496</v>
      </c>
      <c r="F988" s="5" t="s">
        <v>443</v>
      </c>
      <c r="G988" s="5" t="s">
        <v>36</v>
      </c>
      <c r="H988" s="5" t="s">
        <v>36</v>
      </c>
      <c r="I988" s="5" t="s">
        <v>35</v>
      </c>
      <c r="J988" s="6">
        <v>1.0</v>
      </c>
      <c r="K988" s="6">
        <v>730.0</v>
      </c>
      <c r="L988" s="6">
        <v>182.0</v>
      </c>
      <c r="M988" s="8" t="s">
        <v>39</v>
      </c>
      <c r="N988" s="8" t="s">
        <v>114</v>
      </c>
      <c r="O988" s="6" t="s">
        <v>40</v>
      </c>
      <c r="P988" s="5" t="s">
        <v>59</v>
      </c>
      <c r="Q988" s="5" t="s">
        <v>89</v>
      </c>
      <c r="R988" s="6" t="s">
        <v>42</v>
      </c>
      <c r="S988" s="5" t="s">
        <v>266</v>
      </c>
      <c r="T988" s="5" t="s">
        <v>99</v>
      </c>
      <c r="U988" s="5" t="s">
        <v>44</v>
      </c>
      <c r="V988" s="5" t="s">
        <v>44</v>
      </c>
      <c r="W988" s="5" t="s">
        <v>35</v>
      </c>
      <c r="X988" s="8" t="s">
        <v>248</v>
      </c>
      <c r="Y988" s="5" t="s">
        <v>46</v>
      </c>
      <c r="Z988" s="5" t="s">
        <v>47</v>
      </c>
      <c r="AA988" s="5" t="s">
        <v>64</v>
      </c>
      <c r="AB988" s="5" t="s">
        <v>4498</v>
      </c>
      <c r="AC988" s="6" t="s">
        <v>217</v>
      </c>
      <c r="AD988" s="6">
        <v>3622.0</v>
      </c>
    </row>
    <row r="989" ht="56.25" customHeight="1">
      <c r="A989" s="5" t="s">
        <v>4489</v>
      </c>
      <c r="B989" s="6" t="str">
        <f>IMAGE("https://storage.googleapis.com/acdb/housewares/FtrFloorchair_Remake_0_2.png")</f>
        <v/>
      </c>
      <c r="C989" s="5" t="s">
        <v>32</v>
      </c>
      <c r="D989" s="5" t="s">
        <v>34</v>
      </c>
      <c r="E989" s="5" t="s">
        <v>4501</v>
      </c>
      <c r="F989" s="5" t="s">
        <v>443</v>
      </c>
      <c r="G989" s="5" t="s">
        <v>36</v>
      </c>
      <c r="H989" s="5" t="s">
        <v>36</v>
      </c>
      <c r="I989" s="5" t="s">
        <v>35</v>
      </c>
      <c r="J989" s="6">
        <v>1.0</v>
      </c>
      <c r="K989" s="6">
        <v>730.0</v>
      </c>
      <c r="L989" s="6">
        <v>182.0</v>
      </c>
      <c r="M989" s="8" t="s">
        <v>39</v>
      </c>
      <c r="N989" s="8" t="s">
        <v>69</v>
      </c>
      <c r="O989" s="6" t="s">
        <v>40</v>
      </c>
      <c r="P989" s="5" t="s">
        <v>59</v>
      </c>
      <c r="Q989" s="5" t="s">
        <v>89</v>
      </c>
      <c r="R989" s="6" t="s">
        <v>42</v>
      </c>
      <c r="S989" s="5" t="s">
        <v>266</v>
      </c>
      <c r="T989" s="5" t="s">
        <v>99</v>
      </c>
      <c r="U989" s="5" t="s">
        <v>44</v>
      </c>
      <c r="V989" s="5" t="s">
        <v>44</v>
      </c>
      <c r="W989" s="5" t="s">
        <v>35</v>
      </c>
      <c r="X989" s="8" t="s">
        <v>248</v>
      </c>
      <c r="Y989" s="5" t="s">
        <v>46</v>
      </c>
      <c r="Z989" s="5" t="s">
        <v>47</v>
      </c>
      <c r="AA989" s="5" t="s">
        <v>64</v>
      </c>
      <c r="AB989" s="5" t="s">
        <v>4504</v>
      </c>
      <c r="AC989" s="6" t="s">
        <v>347</v>
      </c>
      <c r="AD989" s="6">
        <v>3622.0</v>
      </c>
    </row>
    <row r="990" ht="56.25" customHeight="1">
      <c r="A990" s="5" t="s">
        <v>4489</v>
      </c>
      <c r="B990" s="6" t="str">
        <f>IMAGE("https://storage.googleapis.com/acdb/housewares/FtrFloorchair_Remake_0_3.png")</f>
        <v/>
      </c>
      <c r="C990" s="5" t="s">
        <v>32</v>
      </c>
      <c r="D990" s="5" t="s">
        <v>34</v>
      </c>
      <c r="E990" s="5" t="s">
        <v>4507</v>
      </c>
      <c r="F990" s="5" t="s">
        <v>443</v>
      </c>
      <c r="G990" s="5" t="s">
        <v>36</v>
      </c>
      <c r="H990" s="5" t="s">
        <v>36</v>
      </c>
      <c r="I990" s="5" t="s">
        <v>35</v>
      </c>
      <c r="J990" s="6">
        <v>1.0</v>
      </c>
      <c r="K990" s="6">
        <v>730.0</v>
      </c>
      <c r="L990" s="6">
        <v>182.0</v>
      </c>
      <c r="M990" s="8" t="s">
        <v>39</v>
      </c>
      <c r="N990" s="8" t="s">
        <v>68</v>
      </c>
      <c r="O990" s="6" t="s">
        <v>40</v>
      </c>
      <c r="P990" s="5" t="s">
        <v>59</v>
      </c>
      <c r="Q990" s="5" t="s">
        <v>89</v>
      </c>
      <c r="R990" s="6" t="s">
        <v>42</v>
      </c>
      <c r="S990" s="5" t="s">
        <v>266</v>
      </c>
      <c r="T990" s="5" t="s">
        <v>99</v>
      </c>
      <c r="U990" s="5" t="s">
        <v>44</v>
      </c>
      <c r="V990" s="5" t="s">
        <v>44</v>
      </c>
      <c r="W990" s="5" t="s">
        <v>35</v>
      </c>
      <c r="X990" s="8" t="s">
        <v>248</v>
      </c>
      <c r="Y990" s="5" t="s">
        <v>46</v>
      </c>
      <c r="Z990" s="5" t="s">
        <v>47</v>
      </c>
      <c r="AA990" s="5" t="s">
        <v>64</v>
      </c>
      <c r="AB990" s="5" t="s">
        <v>4510</v>
      </c>
      <c r="AC990" s="6" t="s">
        <v>354</v>
      </c>
      <c r="AD990" s="6">
        <v>3622.0</v>
      </c>
    </row>
    <row r="991" ht="56.25" customHeight="1">
      <c r="A991" s="5" t="s">
        <v>4489</v>
      </c>
      <c r="B991" s="6" t="str">
        <f>IMAGE("https://storage.googleapis.com/acdb/housewares/FtrFloorchair_Remake_1_0.png")</f>
        <v/>
      </c>
      <c r="C991" s="5" t="s">
        <v>1137</v>
      </c>
      <c r="D991" s="5" t="s">
        <v>34</v>
      </c>
      <c r="E991" s="5" t="s">
        <v>4490</v>
      </c>
      <c r="F991" s="5" t="s">
        <v>443</v>
      </c>
      <c r="G991" s="5" t="s">
        <v>36</v>
      </c>
      <c r="H991" s="5" t="s">
        <v>36</v>
      </c>
      <c r="I991" s="5" t="s">
        <v>35</v>
      </c>
      <c r="J991" s="6">
        <v>1.0</v>
      </c>
      <c r="K991" s="6">
        <v>730.0</v>
      </c>
      <c r="L991" s="6">
        <v>182.0</v>
      </c>
      <c r="M991" s="8" t="s">
        <v>38</v>
      </c>
      <c r="N991" s="8" t="s">
        <v>96</v>
      </c>
      <c r="O991" s="6" t="s">
        <v>40</v>
      </c>
      <c r="P991" s="5" t="s">
        <v>59</v>
      </c>
      <c r="Q991" s="5" t="s">
        <v>89</v>
      </c>
      <c r="R991" s="6" t="s">
        <v>42</v>
      </c>
      <c r="S991" s="5" t="s">
        <v>266</v>
      </c>
      <c r="T991" s="5" t="s">
        <v>99</v>
      </c>
      <c r="U991" s="5" t="s">
        <v>44</v>
      </c>
      <c r="V991" s="5" t="s">
        <v>44</v>
      </c>
      <c r="W991" s="5" t="s">
        <v>35</v>
      </c>
      <c r="X991" s="8" t="s">
        <v>248</v>
      </c>
      <c r="Y991" s="5" t="s">
        <v>46</v>
      </c>
      <c r="Z991" s="5" t="s">
        <v>47</v>
      </c>
      <c r="AA991" s="5" t="s">
        <v>64</v>
      </c>
      <c r="AB991" s="5" t="s">
        <v>4515</v>
      </c>
      <c r="AC991" s="6" t="s">
        <v>56</v>
      </c>
      <c r="AD991" s="6">
        <v>3622.0</v>
      </c>
    </row>
    <row r="992" ht="56.25" customHeight="1">
      <c r="A992" s="5" t="s">
        <v>4489</v>
      </c>
      <c r="B992" s="6" t="str">
        <f>IMAGE("https://storage.googleapis.com/acdb/housewares/FtrFloorchair_Remake_1_1.png")</f>
        <v/>
      </c>
      <c r="C992" s="5" t="s">
        <v>1137</v>
      </c>
      <c r="D992" s="5" t="s">
        <v>34</v>
      </c>
      <c r="E992" s="5" t="s">
        <v>4496</v>
      </c>
      <c r="F992" s="5" t="s">
        <v>443</v>
      </c>
      <c r="G992" s="5" t="s">
        <v>36</v>
      </c>
      <c r="H992" s="5" t="s">
        <v>36</v>
      </c>
      <c r="I992" s="5" t="s">
        <v>35</v>
      </c>
      <c r="J992" s="6">
        <v>1.0</v>
      </c>
      <c r="K992" s="6">
        <v>730.0</v>
      </c>
      <c r="L992" s="6">
        <v>182.0</v>
      </c>
      <c r="M992" s="8" t="s">
        <v>38</v>
      </c>
      <c r="N992" s="8" t="s">
        <v>114</v>
      </c>
      <c r="O992" s="6" t="s">
        <v>40</v>
      </c>
      <c r="P992" s="5" t="s">
        <v>59</v>
      </c>
      <c r="Q992" s="5" t="s">
        <v>89</v>
      </c>
      <c r="R992" s="6" t="s">
        <v>42</v>
      </c>
      <c r="S992" s="5" t="s">
        <v>266</v>
      </c>
      <c r="T992" s="5" t="s">
        <v>99</v>
      </c>
      <c r="U992" s="5" t="s">
        <v>44</v>
      </c>
      <c r="V992" s="5" t="s">
        <v>44</v>
      </c>
      <c r="W992" s="5" t="s">
        <v>35</v>
      </c>
      <c r="X992" s="8" t="s">
        <v>248</v>
      </c>
      <c r="Y992" s="5" t="s">
        <v>46</v>
      </c>
      <c r="Z992" s="5" t="s">
        <v>47</v>
      </c>
      <c r="AA992" s="5" t="s">
        <v>64</v>
      </c>
      <c r="AB992" s="5" t="s">
        <v>4518</v>
      </c>
      <c r="AC992" s="6" t="s">
        <v>234</v>
      </c>
      <c r="AD992" s="6">
        <v>3622.0</v>
      </c>
    </row>
    <row r="993" ht="56.25" customHeight="1">
      <c r="A993" s="5" t="s">
        <v>4489</v>
      </c>
      <c r="B993" s="6" t="str">
        <f>IMAGE("https://storage.googleapis.com/acdb/housewares/FtrFloorchair_Remake_1_2.png")</f>
        <v/>
      </c>
      <c r="C993" s="5" t="s">
        <v>1137</v>
      </c>
      <c r="D993" s="5" t="s">
        <v>34</v>
      </c>
      <c r="E993" s="5" t="s">
        <v>4501</v>
      </c>
      <c r="F993" s="5" t="s">
        <v>443</v>
      </c>
      <c r="G993" s="5" t="s">
        <v>36</v>
      </c>
      <c r="H993" s="5" t="s">
        <v>36</v>
      </c>
      <c r="I993" s="5" t="s">
        <v>35</v>
      </c>
      <c r="J993" s="6">
        <v>1.0</v>
      </c>
      <c r="K993" s="6">
        <v>730.0</v>
      </c>
      <c r="L993" s="6">
        <v>182.0</v>
      </c>
      <c r="M993" s="8" t="s">
        <v>38</v>
      </c>
      <c r="N993" s="8" t="s">
        <v>69</v>
      </c>
      <c r="O993" s="6" t="s">
        <v>40</v>
      </c>
      <c r="P993" s="5" t="s">
        <v>59</v>
      </c>
      <c r="Q993" s="5" t="s">
        <v>89</v>
      </c>
      <c r="R993" s="6" t="s">
        <v>42</v>
      </c>
      <c r="S993" s="5" t="s">
        <v>266</v>
      </c>
      <c r="T993" s="5" t="s">
        <v>99</v>
      </c>
      <c r="U993" s="5" t="s">
        <v>44</v>
      </c>
      <c r="V993" s="5" t="s">
        <v>44</v>
      </c>
      <c r="W993" s="5" t="s">
        <v>35</v>
      </c>
      <c r="X993" s="8" t="s">
        <v>248</v>
      </c>
      <c r="Y993" s="5" t="s">
        <v>46</v>
      </c>
      <c r="Z993" s="5" t="s">
        <v>47</v>
      </c>
      <c r="AA993" s="5" t="s">
        <v>64</v>
      </c>
      <c r="AB993" s="5" t="s">
        <v>4525</v>
      </c>
      <c r="AC993" s="6" t="s">
        <v>370</v>
      </c>
      <c r="AD993" s="6">
        <v>3622.0</v>
      </c>
    </row>
    <row r="994" ht="56.25" customHeight="1">
      <c r="A994" s="5" t="s">
        <v>4489</v>
      </c>
      <c r="B994" s="6" t="str">
        <f>IMAGE("https://storage.googleapis.com/acdb/housewares/FtrFloorchair_Remake_1_3.png")</f>
        <v/>
      </c>
      <c r="C994" s="5" t="s">
        <v>1137</v>
      </c>
      <c r="D994" s="5" t="s">
        <v>34</v>
      </c>
      <c r="E994" s="5" t="s">
        <v>4507</v>
      </c>
      <c r="F994" s="5" t="s">
        <v>443</v>
      </c>
      <c r="G994" s="5" t="s">
        <v>36</v>
      </c>
      <c r="H994" s="5" t="s">
        <v>36</v>
      </c>
      <c r="I994" s="5" t="s">
        <v>35</v>
      </c>
      <c r="J994" s="6">
        <v>1.0</v>
      </c>
      <c r="K994" s="6">
        <v>730.0</v>
      </c>
      <c r="L994" s="6">
        <v>182.0</v>
      </c>
      <c r="M994" s="8" t="s">
        <v>38</v>
      </c>
      <c r="N994" s="8" t="s">
        <v>68</v>
      </c>
      <c r="O994" s="6" t="s">
        <v>40</v>
      </c>
      <c r="P994" s="5" t="s">
        <v>59</v>
      </c>
      <c r="Q994" s="5" t="s">
        <v>89</v>
      </c>
      <c r="R994" s="6" t="s">
        <v>42</v>
      </c>
      <c r="S994" s="5" t="s">
        <v>266</v>
      </c>
      <c r="T994" s="5" t="s">
        <v>99</v>
      </c>
      <c r="U994" s="5" t="s">
        <v>44</v>
      </c>
      <c r="V994" s="5" t="s">
        <v>44</v>
      </c>
      <c r="W994" s="5" t="s">
        <v>35</v>
      </c>
      <c r="X994" s="8" t="s">
        <v>248</v>
      </c>
      <c r="Y994" s="5" t="s">
        <v>46</v>
      </c>
      <c r="Z994" s="5" t="s">
        <v>47</v>
      </c>
      <c r="AA994" s="5" t="s">
        <v>64</v>
      </c>
      <c r="AB994" s="5" t="s">
        <v>4532</v>
      </c>
      <c r="AC994" s="6" t="s">
        <v>377</v>
      </c>
      <c r="AD994" s="6">
        <v>3622.0</v>
      </c>
    </row>
    <row r="995" ht="56.25" customHeight="1">
      <c r="A995" s="5" t="s">
        <v>4489</v>
      </c>
      <c r="B995" s="6" t="str">
        <f>IMAGE("https://storage.googleapis.com/acdb/housewares/FtrFloorchair_Remake_2_0.png")</f>
        <v/>
      </c>
      <c r="C995" s="5" t="s">
        <v>1132</v>
      </c>
      <c r="D995" s="5" t="s">
        <v>34</v>
      </c>
      <c r="E995" s="5" t="s">
        <v>4490</v>
      </c>
      <c r="F995" s="5" t="s">
        <v>443</v>
      </c>
      <c r="G995" s="5" t="s">
        <v>36</v>
      </c>
      <c r="H995" s="5" t="s">
        <v>36</v>
      </c>
      <c r="I995" s="5" t="s">
        <v>35</v>
      </c>
      <c r="J995" s="6">
        <v>1.0</v>
      </c>
      <c r="K995" s="6">
        <v>730.0</v>
      </c>
      <c r="L995" s="6">
        <v>182.0</v>
      </c>
      <c r="M995" s="8" t="s">
        <v>52</v>
      </c>
      <c r="N995" s="8" t="s">
        <v>96</v>
      </c>
      <c r="O995" s="6" t="s">
        <v>40</v>
      </c>
      <c r="P995" s="5" t="s">
        <v>59</v>
      </c>
      <c r="Q995" s="5" t="s">
        <v>89</v>
      </c>
      <c r="R995" s="6" t="s">
        <v>42</v>
      </c>
      <c r="S995" s="5" t="s">
        <v>266</v>
      </c>
      <c r="T995" s="5" t="s">
        <v>99</v>
      </c>
      <c r="U995" s="5" t="s">
        <v>44</v>
      </c>
      <c r="V995" s="5" t="s">
        <v>44</v>
      </c>
      <c r="W995" s="5" t="s">
        <v>35</v>
      </c>
      <c r="X995" s="8" t="s">
        <v>248</v>
      </c>
      <c r="Y995" s="5" t="s">
        <v>46</v>
      </c>
      <c r="Z995" s="5" t="s">
        <v>47</v>
      </c>
      <c r="AA995" s="5" t="s">
        <v>64</v>
      </c>
      <c r="AB995" s="5" t="s">
        <v>4537</v>
      </c>
      <c r="AC995" s="6" t="s">
        <v>67</v>
      </c>
      <c r="AD995" s="6">
        <v>3622.0</v>
      </c>
    </row>
    <row r="996" ht="56.25" customHeight="1">
      <c r="A996" s="5" t="s">
        <v>4489</v>
      </c>
      <c r="B996" s="6" t="str">
        <f>IMAGE("https://storage.googleapis.com/acdb/housewares/FtrFloorchair_Remake_2_1.png")</f>
        <v/>
      </c>
      <c r="C996" s="5" t="s">
        <v>1132</v>
      </c>
      <c r="D996" s="5" t="s">
        <v>34</v>
      </c>
      <c r="E996" s="5" t="s">
        <v>4496</v>
      </c>
      <c r="F996" s="5" t="s">
        <v>443</v>
      </c>
      <c r="G996" s="5" t="s">
        <v>36</v>
      </c>
      <c r="H996" s="5" t="s">
        <v>36</v>
      </c>
      <c r="I996" s="5" t="s">
        <v>35</v>
      </c>
      <c r="J996" s="6">
        <v>1.0</v>
      </c>
      <c r="K996" s="6">
        <v>730.0</v>
      </c>
      <c r="L996" s="6">
        <v>182.0</v>
      </c>
      <c r="M996" s="8" t="s">
        <v>52</v>
      </c>
      <c r="N996" s="8" t="s">
        <v>114</v>
      </c>
      <c r="O996" s="6" t="s">
        <v>40</v>
      </c>
      <c r="P996" s="5" t="s">
        <v>59</v>
      </c>
      <c r="Q996" s="5" t="s">
        <v>89</v>
      </c>
      <c r="R996" s="6" t="s">
        <v>42</v>
      </c>
      <c r="S996" s="5" t="s">
        <v>266</v>
      </c>
      <c r="T996" s="5" t="s">
        <v>99</v>
      </c>
      <c r="U996" s="5" t="s">
        <v>44</v>
      </c>
      <c r="V996" s="5" t="s">
        <v>44</v>
      </c>
      <c r="W996" s="5" t="s">
        <v>35</v>
      </c>
      <c r="X996" s="8" t="s">
        <v>248</v>
      </c>
      <c r="Y996" s="5" t="s">
        <v>46</v>
      </c>
      <c r="Z996" s="5" t="s">
        <v>47</v>
      </c>
      <c r="AA996" s="5" t="s">
        <v>64</v>
      </c>
      <c r="AB996" s="5" t="s">
        <v>4541</v>
      </c>
      <c r="AC996" s="6" t="s">
        <v>247</v>
      </c>
      <c r="AD996" s="6">
        <v>3622.0</v>
      </c>
    </row>
    <row r="997" ht="56.25" customHeight="1">
      <c r="A997" s="5" t="s">
        <v>4489</v>
      </c>
      <c r="B997" s="6" t="str">
        <f>IMAGE("https://storage.googleapis.com/acdb/housewares/FtrFloorchair_Remake_2_2.png")</f>
        <v/>
      </c>
      <c r="C997" s="5" t="s">
        <v>1132</v>
      </c>
      <c r="D997" s="5" t="s">
        <v>34</v>
      </c>
      <c r="E997" s="5" t="s">
        <v>4501</v>
      </c>
      <c r="F997" s="5" t="s">
        <v>443</v>
      </c>
      <c r="G997" s="5" t="s">
        <v>36</v>
      </c>
      <c r="H997" s="5" t="s">
        <v>36</v>
      </c>
      <c r="I997" s="5" t="s">
        <v>35</v>
      </c>
      <c r="J997" s="6">
        <v>1.0</v>
      </c>
      <c r="K997" s="6">
        <v>730.0</v>
      </c>
      <c r="L997" s="6">
        <v>182.0</v>
      </c>
      <c r="M997" s="8" t="s">
        <v>52</v>
      </c>
      <c r="N997" s="8" t="s">
        <v>69</v>
      </c>
      <c r="O997" s="6" t="s">
        <v>40</v>
      </c>
      <c r="P997" s="5" t="s">
        <v>59</v>
      </c>
      <c r="Q997" s="5" t="s">
        <v>89</v>
      </c>
      <c r="R997" s="6" t="s">
        <v>42</v>
      </c>
      <c r="S997" s="5" t="s">
        <v>266</v>
      </c>
      <c r="T997" s="5" t="s">
        <v>99</v>
      </c>
      <c r="U997" s="5" t="s">
        <v>44</v>
      </c>
      <c r="V997" s="5" t="s">
        <v>44</v>
      </c>
      <c r="W997" s="5" t="s">
        <v>35</v>
      </c>
      <c r="X997" s="8" t="s">
        <v>248</v>
      </c>
      <c r="Y997" s="5" t="s">
        <v>46</v>
      </c>
      <c r="Z997" s="5" t="s">
        <v>47</v>
      </c>
      <c r="AA997" s="5" t="s">
        <v>64</v>
      </c>
      <c r="AB997" s="5" t="s">
        <v>4548</v>
      </c>
      <c r="AC997" s="6" t="s">
        <v>390</v>
      </c>
      <c r="AD997" s="6">
        <v>3622.0</v>
      </c>
    </row>
    <row r="998" ht="56.25" customHeight="1">
      <c r="A998" s="5" t="s">
        <v>4489</v>
      </c>
      <c r="B998" s="6" t="str">
        <f>IMAGE("https://storage.googleapis.com/acdb/housewares/FtrFloorchair_Remake_2_3.png")</f>
        <v/>
      </c>
      <c r="C998" s="5" t="s">
        <v>1132</v>
      </c>
      <c r="D998" s="5" t="s">
        <v>34</v>
      </c>
      <c r="E998" s="5" t="s">
        <v>4507</v>
      </c>
      <c r="F998" s="5" t="s">
        <v>443</v>
      </c>
      <c r="G998" s="5" t="s">
        <v>36</v>
      </c>
      <c r="H998" s="5" t="s">
        <v>36</v>
      </c>
      <c r="I998" s="5" t="s">
        <v>35</v>
      </c>
      <c r="J998" s="6">
        <v>1.0</v>
      </c>
      <c r="K998" s="6">
        <v>730.0</v>
      </c>
      <c r="L998" s="6">
        <v>182.0</v>
      </c>
      <c r="M998" s="8" t="s">
        <v>52</v>
      </c>
      <c r="N998" s="8" t="s">
        <v>68</v>
      </c>
      <c r="O998" s="6" t="s">
        <v>40</v>
      </c>
      <c r="P998" s="5" t="s">
        <v>59</v>
      </c>
      <c r="Q998" s="5" t="s">
        <v>89</v>
      </c>
      <c r="R998" s="6" t="s">
        <v>42</v>
      </c>
      <c r="S998" s="5" t="s">
        <v>266</v>
      </c>
      <c r="T998" s="5" t="s">
        <v>99</v>
      </c>
      <c r="U998" s="5" t="s">
        <v>44</v>
      </c>
      <c r="V998" s="5" t="s">
        <v>44</v>
      </c>
      <c r="W998" s="5" t="s">
        <v>35</v>
      </c>
      <c r="X998" s="8" t="s">
        <v>248</v>
      </c>
      <c r="Y998" s="5" t="s">
        <v>46</v>
      </c>
      <c r="Z998" s="5" t="s">
        <v>47</v>
      </c>
      <c r="AA998" s="5" t="s">
        <v>64</v>
      </c>
      <c r="AB998" s="5" t="s">
        <v>4553</v>
      </c>
      <c r="AC998" s="6" t="s">
        <v>396</v>
      </c>
      <c r="AD998" s="6">
        <v>3622.0</v>
      </c>
    </row>
    <row r="999" ht="56.25" customHeight="1">
      <c r="A999" s="5" t="s">
        <v>4489</v>
      </c>
      <c r="B999" s="6" t="str">
        <f>IMAGE("https://storage.googleapis.com/acdb/housewares/FtrFloorchair_Remake_3_0.png")</f>
        <v/>
      </c>
      <c r="C999" s="5" t="s">
        <v>54</v>
      </c>
      <c r="D999" s="5" t="s">
        <v>34</v>
      </c>
      <c r="E999" s="5" t="s">
        <v>4490</v>
      </c>
      <c r="F999" s="5" t="s">
        <v>443</v>
      </c>
      <c r="G999" s="5" t="s">
        <v>36</v>
      </c>
      <c r="H999" s="5" t="s">
        <v>36</v>
      </c>
      <c r="I999" s="5" t="s">
        <v>35</v>
      </c>
      <c r="J999" s="6">
        <v>1.0</v>
      </c>
      <c r="K999" s="6">
        <v>730.0</v>
      </c>
      <c r="L999" s="6">
        <v>182.0</v>
      </c>
      <c r="M999" s="8" t="s">
        <v>54</v>
      </c>
      <c r="N999" s="8" t="s">
        <v>96</v>
      </c>
      <c r="O999" s="6" t="s">
        <v>40</v>
      </c>
      <c r="P999" s="5" t="s">
        <v>59</v>
      </c>
      <c r="Q999" s="5" t="s">
        <v>89</v>
      </c>
      <c r="R999" s="6" t="s">
        <v>42</v>
      </c>
      <c r="S999" s="5" t="s">
        <v>266</v>
      </c>
      <c r="T999" s="5" t="s">
        <v>99</v>
      </c>
      <c r="U999" s="5" t="s">
        <v>44</v>
      </c>
      <c r="V999" s="5" t="s">
        <v>44</v>
      </c>
      <c r="W999" s="5" t="s">
        <v>35</v>
      </c>
      <c r="X999" s="8" t="s">
        <v>248</v>
      </c>
      <c r="Y999" s="5" t="s">
        <v>46</v>
      </c>
      <c r="Z999" s="5" t="s">
        <v>47</v>
      </c>
      <c r="AA999" s="5" t="s">
        <v>64</v>
      </c>
      <c r="AB999" s="5" t="s">
        <v>4558</v>
      </c>
      <c r="AC999" s="6" t="s">
        <v>71</v>
      </c>
      <c r="AD999" s="6">
        <v>3622.0</v>
      </c>
    </row>
    <row r="1000" ht="56.25" customHeight="1">
      <c r="A1000" s="5" t="s">
        <v>4489</v>
      </c>
      <c r="B1000" s="6" t="str">
        <f>IMAGE("https://storage.googleapis.com/acdb/housewares/FtrFloorchair_Remake_3_1.png")</f>
        <v/>
      </c>
      <c r="C1000" s="5" t="s">
        <v>54</v>
      </c>
      <c r="D1000" s="5" t="s">
        <v>34</v>
      </c>
      <c r="E1000" s="5" t="s">
        <v>4496</v>
      </c>
      <c r="F1000" s="5" t="s">
        <v>443</v>
      </c>
      <c r="G1000" s="5" t="s">
        <v>36</v>
      </c>
      <c r="H1000" s="5" t="s">
        <v>36</v>
      </c>
      <c r="I1000" s="5" t="s">
        <v>35</v>
      </c>
      <c r="J1000" s="6">
        <v>1.0</v>
      </c>
      <c r="K1000" s="6">
        <v>730.0</v>
      </c>
      <c r="L1000" s="6">
        <v>182.0</v>
      </c>
      <c r="M1000" s="8" t="s">
        <v>54</v>
      </c>
      <c r="N1000" s="8" t="s">
        <v>114</v>
      </c>
      <c r="O1000" s="6" t="s">
        <v>40</v>
      </c>
      <c r="P1000" s="5" t="s">
        <v>59</v>
      </c>
      <c r="Q1000" s="5" t="s">
        <v>89</v>
      </c>
      <c r="R1000" s="6" t="s">
        <v>42</v>
      </c>
      <c r="S1000" s="5" t="s">
        <v>266</v>
      </c>
      <c r="T1000" s="5" t="s">
        <v>99</v>
      </c>
      <c r="U1000" s="5" t="s">
        <v>44</v>
      </c>
      <c r="V1000" s="5" t="s">
        <v>44</v>
      </c>
      <c r="W1000" s="5" t="s">
        <v>35</v>
      </c>
      <c r="X1000" s="8" t="s">
        <v>248</v>
      </c>
      <c r="Y1000" s="5" t="s">
        <v>46</v>
      </c>
      <c r="Z1000" s="5" t="s">
        <v>47</v>
      </c>
      <c r="AA1000" s="5" t="s">
        <v>64</v>
      </c>
      <c r="AB1000" s="5" t="s">
        <v>4563</v>
      </c>
      <c r="AC1000" s="6" t="s">
        <v>257</v>
      </c>
      <c r="AD1000" s="6">
        <v>3622.0</v>
      </c>
    </row>
    <row r="1001" ht="56.25" customHeight="1">
      <c r="A1001" s="5" t="s">
        <v>4489</v>
      </c>
      <c r="B1001" s="6" t="str">
        <f>IMAGE("https://storage.googleapis.com/acdb/housewares/FtrFloorchair_Remake_3_2.png")</f>
        <v/>
      </c>
      <c r="C1001" s="5" t="s">
        <v>54</v>
      </c>
      <c r="D1001" s="5" t="s">
        <v>34</v>
      </c>
      <c r="E1001" s="5" t="s">
        <v>4501</v>
      </c>
      <c r="F1001" s="5" t="s">
        <v>443</v>
      </c>
      <c r="G1001" s="5" t="s">
        <v>36</v>
      </c>
      <c r="H1001" s="5" t="s">
        <v>36</v>
      </c>
      <c r="I1001" s="5" t="s">
        <v>35</v>
      </c>
      <c r="J1001" s="6">
        <v>1.0</v>
      </c>
      <c r="K1001" s="6">
        <v>730.0</v>
      </c>
      <c r="L1001" s="6">
        <v>182.0</v>
      </c>
      <c r="M1001" s="8" t="s">
        <v>54</v>
      </c>
      <c r="N1001" s="8" t="s">
        <v>69</v>
      </c>
      <c r="O1001" s="6" t="s">
        <v>40</v>
      </c>
      <c r="P1001" s="5" t="s">
        <v>59</v>
      </c>
      <c r="Q1001" s="5" t="s">
        <v>89</v>
      </c>
      <c r="R1001" s="6" t="s">
        <v>42</v>
      </c>
      <c r="S1001" s="5" t="s">
        <v>266</v>
      </c>
      <c r="T1001" s="5" t="s">
        <v>99</v>
      </c>
      <c r="U1001" s="5" t="s">
        <v>44</v>
      </c>
      <c r="V1001" s="5" t="s">
        <v>44</v>
      </c>
      <c r="W1001" s="5" t="s">
        <v>35</v>
      </c>
      <c r="X1001" s="8" t="s">
        <v>248</v>
      </c>
      <c r="Y1001" s="5" t="s">
        <v>46</v>
      </c>
      <c r="Z1001" s="5" t="s">
        <v>47</v>
      </c>
      <c r="AA1001" s="5" t="s">
        <v>64</v>
      </c>
      <c r="AB1001" s="5" t="s">
        <v>4568</v>
      </c>
      <c r="AC1001" s="6" t="s">
        <v>414</v>
      </c>
      <c r="AD1001" s="6">
        <v>3622.0</v>
      </c>
    </row>
    <row r="1002" ht="56.25" customHeight="1">
      <c r="A1002" s="5" t="s">
        <v>4489</v>
      </c>
      <c r="B1002" s="6" t="str">
        <f>IMAGE("https://storage.googleapis.com/acdb/housewares/FtrFloorchair_Remake_3_3.png")</f>
        <v/>
      </c>
      <c r="C1002" s="5" t="s">
        <v>54</v>
      </c>
      <c r="D1002" s="5" t="s">
        <v>34</v>
      </c>
      <c r="E1002" s="5" t="s">
        <v>4507</v>
      </c>
      <c r="F1002" s="5" t="s">
        <v>443</v>
      </c>
      <c r="G1002" s="5" t="s">
        <v>36</v>
      </c>
      <c r="H1002" s="5" t="s">
        <v>36</v>
      </c>
      <c r="I1002" s="5" t="s">
        <v>35</v>
      </c>
      <c r="J1002" s="6">
        <v>1.0</v>
      </c>
      <c r="K1002" s="6">
        <v>730.0</v>
      </c>
      <c r="L1002" s="6">
        <v>182.0</v>
      </c>
      <c r="M1002" s="8" t="s">
        <v>54</v>
      </c>
      <c r="N1002" s="8" t="s">
        <v>68</v>
      </c>
      <c r="O1002" s="6" t="s">
        <v>40</v>
      </c>
      <c r="P1002" s="5" t="s">
        <v>59</v>
      </c>
      <c r="Q1002" s="5" t="s">
        <v>89</v>
      </c>
      <c r="R1002" s="6" t="s">
        <v>42</v>
      </c>
      <c r="S1002" s="5" t="s">
        <v>266</v>
      </c>
      <c r="T1002" s="5" t="s">
        <v>99</v>
      </c>
      <c r="U1002" s="5" t="s">
        <v>44</v>
      </c>
      <c r="V1002" s="5" t="s">
        <v>44</v>
      </c>
      <c r="W1002" s="5" t="s">
        <v>35</v>
      </c>
      <c r="X1002" s="8" t="s">
        <v>248</v>
      </c>
      <c r="Y1002" s="5" t="s">
        <v>46</v>
      </c>
      <c r="Z1002" s="5" t="s">
        <v>47</v>
      </c>
      <c r="AA1002" s="5" t="s">
        <v>64</v>
      </c>
      <c r="AB1002" s="5" t="s">
        <v>4569</v>
      </c>
      <c r="AC1002" s="6" t="s">
        <v>418</v>
      </c>
      <c r="AD1002" s="6">
        <v>3622.0</v>
      </c>
    </row>
    <row r="1003" ht="56.25" customHeight="1">
      <c r="A1003" s="5" t="s">
        <v>4572</v>
      </c>
      <c r="B1003" s="6" t="str">
        <f>IMAGE("https://storage.googleapis.com/acdb/housewares/FtrStandflower_Remake_0_0.png")</f>
        <v/>
      </c>
      <c r="C1003" s="5" t="s">
        <v>58</v>
      </c>
      <c r="D1003" s="5" t="s">
        <v>2</v>
      </c>
      <c r="E1003" s="5" t="s">
        <v>34</v>
      </c>
      <c r="F1003" s="5" t="s">
        <v>34</v>
      </c>
      <c r="G1003" s="5" t="s">
        <v>35</v>
      </c>
      <c r="H1003" s="5" t="s">
        <v>35</v>
      </c>
      <c r="I1003" s="5" t="s">
        <v>36</v>
      </c>
      <c r="J1003" s="6">
        <v>4.0</v>
      </c>
      <c r="K1003" s="6" t="s">
        <v>37</v>
      </c>
      <c r="L1003" s="6">
        <v>2880.0</v>
      </c>
      <c r="M1003" s="8" t="s">
        <v>58</v>
      </c>
      <c r="N1003" s="8" t="s">
        <v>96</v>
      </c>
      <c r="O1003" s="6" t="s">
        <v>1243</v>
      </c>
      <c r="P1003" s="5" t="s">
        <v>41</v>
      </c>
      <c r="Q1003" s="5"/>
      <c r="R1003" s="6" t="s">
        <v>42</v>
      </c>
      <c r="S1003" s="5" t="s">
        <v>465</v>
      </c>
      <c r="T1003" s="5" t="s">
        <v>44</v>
      </c>
      <c r="U1003" s="5" t="s">
        <v>44</v>
      </c>
      <c r="V1003" s="5" t="s">
        <v>44</v>
      </c>
      <c r="W1003" s="5" t="s">
        <v>36</v>
      </c>
      <c r="X1003" s="8" t="s">
        <v>244</v>
      </c>
      <c r="Y1003" s="5" t="s">
        <v>46</v>
      </c>
      <c r="Z1003" s="5" t="s">
        <v>47</v>
      </c>
      <c r="AA1003" s="5" t="s">
        <v>48</v>
      </c>
      <c r="AB1003" s="5" t="s">
        <v>4577</v>
      </c>
      <c r="AC1003" s="6" t="s">
        <v>50</v>
      </c>
      <c r="AD1003" s="6">
        <v>7527.0</v>
      </c>
    </row>
    <row r="1004" ht="56.25" customHeight="1">
      <c r="A1004" s="5" t="s">
        <v>4572</v>
      </c>
      <c r="B1004" s="6" t="str">
        <f>IMAGE("https://storage.googleapis.com/acdb/housewares/FtrStandflower_Remake_1_0.png")</f>
        <v/>
      </c>
      <c r="C1004" s="5" t="s">
        <v>52</v>
      </c>
      <c r="D1004" s="5" t="s">
        <v>2</v>
      </c>
      <c r="E1004" s="5" t="s">
        <v>34</v>
      </c>
      <c r="F1004" s="5" t="s">
        <v>34</v>
      </c>
      <c r="G1004" s="5" t="s">
        <v>35</v>
      </c>
      <c r="H1004" s="5" t="s">
        <v>35</v>
      </c>
      <c r="I1004" s="5" t="s">
        <v>36</v>
      </c>
      <c r="J1004" s="6">
        <v>4.0</v>
      </c>
      <c r="K1004" s="6" t="s">
        <v>37</v>
      </c>
      <c r="L1004" s="6">
        <v>2880.0</v>
      </c>
      <c r="M1004" s="8" t="s">
        <v>52</v>
      </c>
      <c r="N1004" s="8" t="s">
        <v>96</v>
      </c>
      <c r="O1004" s="6" t="s">
        <v>1243</v>
      </c>
      <c r="P1004" s="5" t="s">
        <v>41</v>
      </c>
      <c r="Q1004" s="5"/>
      <c r="R1004" s="6" t="s">
        <v>42</v>
      </c>
      <c r="S1004" s="5" t="s">
        <v>465</v>
      </c>
      <c r="T1004" s="5" t="s">
        <v>44</v>
      </c>
      <c r="U1004" s="5" t="s">
        <v>44</v>
      </c>
      <c r="V1004" s="5" t="s">
        <v>44</v>
      </c>
      <c r="W1004" s="5" t="s">
        <v>36</v>
      </c>
      <c r="X1004" s="8" t="s">
        <v>244</v>
      </c>
      <c r="Y1004" s="5" t="s">
        <v>46</v>
      </c>
      <c r="Z1004" s="5" t="s">
        <v>47</v>
      </c>
      <c r="AA1004" s="5" t="s">
        <v>48</v>
      </c>
      <c r="AB1004" s="5" t="s">
        <v>4584</v>
      </c>
      <c r="AC1004" s="6" t="s">
        <v>56</v>
      </c>
      <c r="AD1004" s="6">
        <v>7527.0</v>
      </c>
    </row>
    <row r="1005" ht="56.25" customHeight="1">
      <c r="A1005" s="5" t="s">
        <v>4572</v>
      </c>
      <c r="B1005" s="6" t="str">
        <f>IMAGE("https://storage.googleapis.com/acdb/housewares/FtrStandflower_Remake_2_0.png")</f>
        <v/>
      </c>
      <c r="C1005" s="5" t="s">
        <v>69</v>
      </c>
      <c r="D1005" s="5" t="s">
        <v>2</v>
      </c>
      <c r="E1005" s="5" t="s">
        <v>34</v>
      </c>
      <c r="F1005" s="5" t="s">
        <v>34</v>
      </c>
      <c r="G1005" s="5" t="s">
        <v>35</v>
      </c>
      <c r="H1005" s="5" t="s">
        <v>35</v>
      </c>
      <c r="I1005" s="5" t="s">
        <v>36</v>
      </c>
      <c r="J1005" s="6">
        <v>4.0</v>
      </c>
      <c r="K1005" s="6" t="s">
        <v>37</v>
      </c>
      <c r="L1005" s="6">
        <v>2880.0</v>
      </c>
      <c r="M1005" s="8" t="s">
        <v>69</v>
      </c>
      <c r="N1005" s="8" t="s">
        <v>96</v>
      </c>
      <c r="O1005" s="6" t="s">
        <v>1243</v>
      </c>
      <c r="P1005" s="5" t="s">
        <v>41</v>
      </c>
      <c r="Q1005" s="5"/>
      <c r="R1005" s="6" t="s">
        <v>42</v>
      </c>
      <c r="S1005" s="5" t="s">
        <v>465</v>
      </c>
      <c r="T1005" s="5" t="s">
        <v>44</v>
      </c>
      <c r="U1005" s="5" t="s">
        <v>44</v>
      </c>
      <c r="V1005" s="5" t="s">
        <v>44</v>
      </c>
      <c r="W1005" s="5" t="s">
        <v>36</v>
      </c>
      <c r="X1005" s="8" t="s">
        <v>244</v>
      </c>
      <c r="Y1005" s="5" t="s">
        <v>46</v>
      </c>
      <c r="Z1005" s="5" t="s">
        <v>47</v>
      </c>
      <c r="AA1005" s="5" t="s">
        <v>48</v>
      </c>
      <c r="AB1005" s="5" t="s">
        <v>4589</v>
      </c>
      <c r="AC1005" s="6" t="s">
        <v>67</v>
      </c>
      <c r="AD1005" s="6">
        <v>7527.0</v>
      </c>
    </row>
    <row r="1006" ht="56.25" customHeight="1">
      <c r="A1006" s="5" t="s">
        <v>4572</v>
      </c>
      <c r="B1006" s="6" t="str">
        <f>IMAGE("https://storage.googleapis.com/acdb/housewares/FtrStandflower_Remake_3_0.png")</f>
        <v/>
      </c>
      <c r="C1006" s="5" t="s">
        <v>114</v>
      </c>
      <c r="D1006" s="5" t="s">
        <v>2</v>
      </c>
      <c r="E1006" s="5" t="s">
        <v>34</v>
      </c>
      <c r="F1006" s="5" t="s">
        <v>34</v>
      </c>
      <c r="G1006" s="5" t="s">
        <v>35</v>
      </c>
      <c r="H1006" s="5" t="s">
        <v>35</v>
      </c>
      <c r="I1006" s="5" t="s">
        <v>36</v>
      </c>
      <c r="J1006" s="6">
        <v>4.0</v>
      </c>
      <c r="K1006" s="6" t="s">
        <v>37</v>
      </c>
      <c r="L1006" s="6">
        <v>2880.0</v>
      </c>
      <c r="M1006" s="8" t="s">
        <v>114</v>
      </c>
      <c r="N1006" s="8" t="s">
        <v>96</v>
      </c>
      <c r="O1006" s="6" t="s">
        <v>1243</v>
      </c>
      <c r="P1006" s="5" t="s">
        <v>41</v>
      </c>
      <c r="Q1006" s="5"/>
      <c r="R1006" s="6" t="s">
        <v>42</v>
      </c>
      <c r="S1006" s="5" t="s">
        <v>465</v>
      </c>
      <c r="T1006" s="5" t="s">
        <v>44</v>
      </c>
      <c r="U1006" s="5" t="s">
        <v>44</v>
      </c>
      <c r="V1006" s="5" t="s">
        <v>44</v>
      </c>
      <c r="W1006" s="5" t="s">
        <v>36</v>
      </c>
      <c r="X1006" s="8" t="s">
        <v>244</v>
      </c>
      <c r="Y1006" s="5" t="s">
        <v>46</v>
      </c>
      <c r="Z1006" s="5" t="s">
        <v>47</v>
      </c>
      <c r="AA1006" s="5" t="s">
        <v>48</v>
      </c>
      <c r="AB1006" s="5" t="s">
        <v>4593</v>
      </c>
      <c r="AC1006" s="6" t="s">
        <v>71</v>
      </c>
      <c r="AD1006" s="6">
        <v>7527.0</v>
      </c>
    </row>
    <row r="1007" ht="56.25" customHeight="1">
      <c r="A1007" s="5" t="s">
        <v>4572</v>
      </c>
      <c r="B1007" s="6" t="str">
        <f>IMAGE("https://storage.googleapis.com/acdb/housewares/FtrStandflower_Remake_4_0.png")</f>
        <v/>
      </c>
      <c r="C1007" s="5" t="s">
        <v>106</v>
      </c>
      <c r="D1007" s="5" t="s">
        <v>2</v>
      </c>
      <c r="E1007" s="5" t="s">
        <v>34</v>
      </c>
      <c r="F1007" s="5" t="s">
        <v>34</v>
      </c>
      <c r="G1007" s="5" t="s">
        <v>35</v>
      </c>
      <c r="H1007" s="5" t="s">
        <v>35</v>
      </c>
      <c r="I1007" s="5" t="s">
        <v>36</v>
      </c>
      <c r="J1007" s="6">
        <v>4.0</v>
      </c>
      <c r="K1007" s="6" t="s">
        <v>37</v>
      </c>
      <c r="L1007" s="6">
        <v>2880.0</v>
      </c>
      <c r="M1007" s="8" t="s">
        <v>106</v>
      </c>
      <c r="N1007" s="8" t="s">
        <v>96</v>
      </c>
      <c r="O1007" s="6" t="s">
        <v>1243</v>
      </c>
      <c r="P1007" s="5" t="s">
        <v>41</v>
      </c>
      <c r="Q1007" s="5"/>
      <c r="R1007" s="6" t="s">
        <v>42</v>
      </c>
      <c r="S1007" s="5" t="s">
        <v>465</v>
      </c>
      <c r="T1007" s="5" t="s">
        <v>44</v>
      </c>
      <c r="U1007" s="5" t="s">
        <v>44</v>
      </c>
      <c r="V1007" s="5" t="s">
        <v>44</v>
      </c>
      <c r="W1007" s="5" t="s">
        <v>36</v>
      </c>
      <c r="X1007" s="8" t="s">
        <v>244</v>
      </c>
      <c r="Y1007" s="5" t="s">
        <v>46</v>
      </c>
      <c r="Z1007" s="5" t="s">
        <v>47</v>
      </c>
      <c r="AA1007" s="5" t="s">
        <v>48</v>
      </c>
      <c r="AB1007" s="5" t="s">
        <v>4597</v>
      </c>
      <c r="AC1007" s="6" t="s">
        <v>75</v>
      </c>
      <c r="AD1007" s="6">
        <v>7527.0</v>
      </c>
    </row>
    <row r="1008" ht="56.25" customHeight="1">
      <c r="A1008" s="5" t="s">
        <v>4572</v>
      </c>
      <c r="B1008" s="6" t="str">
        <f>IMAGE("https://storage.googleapis.com/acdb/housewares/FtrStandflower_Remake_5_0.png")</f>
        <v/>
      </c>
      <c r="C1008" s="5" t="s">
        <v>68</v>
      </c>
      <c r="D1008" s="5" t="s">
        <v>2</v>
      </c>
      <c r="E1008" s="5" t="s">
        <v>34</v>
      </c>
      <c r="F1008" s="5" t="s">
        <v>34</v>
      </c>
      <c r="G1008" s="5" t="s">
        <v>35</v>
      </c>
      <c r="H1008" s="5" t="s">
        <v>35</v>
      </c>
      <c r="I1008" s="5" t="s">
        <v>36</v>
      </c>
      <c r="J1008" s="6">
        <v>4.0</v>
      </c>
      <c r="K1008" s="6" t="s">
        <v>37</v>
      </c>
      <c r="L1008" s="6">
        <v>2880.0</v>
      </c>
      <c r="M1008" s="8" t="s">
        <v>68</v>
      </c>
      <c r="N1008" s="8" t="s">
        <v>96</v>
      </c>
      <c r="O1008" s="6" t="s">
        <v>1243</v>
      </c>
      <c r="P1008" s="5" t="s">
        <v>41</v>
      </c>
      <c r="Q1008" s="5"/>
      <c r="R1008" s="6" t="s">
        <v>42</v>
      </c>
      <c r="S1008" s="5" t="s">
        <v>465</v>
      </c>
      <c r="T1008" s="5" t="s">
        <v>44</v>
      </c>
      <c r="U1008" s="5" t="s">
        <v>44</v>
      </c>
      <c r="V1008" s="5" t="s">
        <v>44</v>
      </c>
      <c r="W1008" s="5" t="s">
        <v>36</v>
      </c>
      <c r="X1008" s="8" t="s">
        <v>244</v>
      </c>
      <c r="Y1008" s="5" t="s">
        <v>46</v>
      </c>
      <c r="Z1008" s="5" t="s">
        <v>47</v>
      </c>
      <c r="AA1008" s="5" t="s">
        <v>48</v>
      </c>
      <c r="AB1008" s="5" t="s">
        <v>4602</v>
      </c>
      <c r="AC1008" s="6" t="s">
        <v>79</v>
      </c>
      <c r="AD1008" s="6">
        <v>7527.0</v>
      </c>
    </row>
    <row r="1009" ht="56.25" customHeight="1">
      <c r="A1009" s="5" t="s">
        <v>4572</v>
      </c>
      <c r="B1009" s="6" t="str">
        <f>IMAGE("https://storage.googleapis.com/acdb/housewares/FtrStandflower_Remake_6_0.png")</f>
        <v/>
      </c>
      <c r="C1009" s="5" t="s">
        <v>57</v>
      </c>
      <c r="D1009" s="5" t="s">
        <v>2</v>
      </c>
      <c r="E1009" s="5" t="s">
        <v>34</v>
      </c>
      <c r="F1009" s="5" t="s">
        <v>34</v>
      </c>
      <c r="G1009" s="5" t="s">
        <v>35</v>
      </c>
      <c r="H1009" s="5" t="s">
        <v>35</v>
      </c>
      <c r="I1009" s="5" t="s">
        <v>36</v>
      </c>
      <c r="J1009" s="6">
        <v>4.0</v>
      </c>
      <c r="K1009" s="6" t="s">
        <v>37</v>
      </c>
      <c r="L1009" s="6">
        <v>2880.0</v>
      </c>
      <c r="M1009" s="8" t="s">
        <v>57</v>
      </c>
      <c r="N1009" s="8" t="s">
        <v>96</v>
      </c>
      <c r="O1009" s="6" t="s">
        <v>1243</v>
      </c>
      <c r="P1009" s="5" t="s">
        <v>41</v>
      </c>
      <c r="Q1009" s="5"/>
      <c r="R1009" s="6" t="s">
        <v>42</v>
      </c>
      <c r="S1009" s="5" t="s">
        <v>465</v>
      </c>
      <c r="T1009" s="5" t="s">
        <v>44</v>
      </c>
      <c r="U1009" s="5" t="s">
        <v>44</v>
      </c>
      <c r="V1009" s="5" t="s">
        <v>44</v>
      </c>
      <c r="W1009" s="5" t="s">
        <v>36</v>
      </c>
      <c r="X1009" s="8" t="s">
        <v>244</v>
      </c>
      <c r="Y1009" s="5" t="s">
        <v>46</v>
      </c>
      <c r="Z1009" s="5" t="s">
        <v>47</v>
      </c>
      <c r="AA1009" s="5" t="s">
        <v>48</v>
      </c>
      <c r="AB1009" s="5" t="s">
        <v>4606</v>
      </c>
      <c r="AC1009" s="6" t="s">
        <v>86</v>
      </c>
      <c r="AD1009" s="6">
        <v>7527.0</v>
      </c>
    </row>
    <row r="1010" ht="56.25" customHeight="1">
      <c r="A1010" s="5" t="s">
        <v>4608</v>
      </c>
      <c r="B1010" s="6" t="str">
        <f>IMAGE("https://storage.googleapis.com/acdb/housewares/FtrUFO.png")</f>
        <v/>
      </c>
      <c r="C1010" s="5" t="s">
        <v>34</v>
      </c>
      <c r="D1010" s="5" t="s">
        <v>34</v>
      </c>
      <c r="E1010" s="5" t="s">
        <v>34</v>
      </c>
      <c r="F1010" s="5" t="s">
        <v>34</v>
      </c>
      <c r="G1010" s="5" t="s">
        <v>35</v>
      </c>
      <c r="H1010" s="5" t="s">
        <v>36</v>
      </c>
      <c r="I1010" s="5" t="s">
        <v>36</v>
      </c>
      <c r="J1010" s="6" t="s">
        <v>34</v>
      </c>
      <c r="K1010" s="6" t="s">
        <v>37</v>
      </c>
      <c r="L1010" s="6">
        <v>15000.0</v>
      </c>
      <c r="M1010" s="5" t="s">
        <v>95</v>
      </c>
      <c r="N1010" s="5" t="s">
        <v>95</v>
      </c>
      <c r="O1010" s="6" t="s">
        <v>214</v>
      </c>
      <c r="P1010" s="5" t="s">
        <v>41</v>
      </c>
      <c r="Q1010" s="5"/>
      <c r="R1010" s="6" t="s">
        <v>42</v>
      </c>
      <c r="S1010" s="5" t="s">
        <v>401</v>
      </c>
      <c r="T1010" s="5" t="s">
        <v>44</v>
      </c>
      <c r="U1010" s="5" t="s">
        <v>44</v>
      </c>
      <c r="V1010" s="5" t="s">
        <v>44</v>
      </c>
      <c r="W1010" s="5" t="s">
        <v>35</v>
      </c>
      <c r="X1010" s="8" t="s">
        <v>403</v>
      </c>
      <c r="Y1010" s="5" t="s">
        <v>46</v>
      </c>
      <c r="Z1010" s="5" t="s">
        <v>47</v>
      </c>
      <c r="AA1010" s="5" t="s">
        <v>48</v>
      </c>
      <c r="AB1010" s="5" t="s">
        <v>4611</v>
      </c>
      <c r="AC1010" s="6" t="s">
        <v>34</v>
      </c>
      <c r="AD1010" s="6">
        <v>1447.0</v>
      </c>
    </row>
    <row r="1011" ht="56.25" customHeight="1">
      <c r="A1011" s="5" t="s">
        <v>4612</v>
      </c>
      <c r="B1011" s="6" t="str">
        <f>IMAGE("https://storage.googleapis.com/acdb/housewares/FtrPipechair_Remake_0_0.png")</f>
        <v/>
      </c>
      <c r="C1011" s="5" t="s">
        <v>68</v>
      </c>
      <c r="D1011" s="5" t="s">
        <v>34</v>
      </c>
      <c r="E1011" s="5" t="s">
        <v>34</v>
      </c>
      <c r="F1011" s="5" t="s">
        <v>34</v>
      </c>
      <c r="G1011" s="5" t="s">
        <v>36</v>
      </c>
      <c r="H1011" s="5" t="s">
        <v>36</v>
      </c>
      <c r="I1011" s="5" t="s">
        <v>36</v>
      </c>
      <c r="J1011" s="6" t="s">
        <v>34</v>
      </c>
      <c r="K1011" s="6">
        <v>920.0</v>
      </c>
      <c r="L1011" s="6">
        <v>230.0</v>
      </c>
      <c r="M1011" s="8" t="s">
        <v>68</v>
      </c>
      <c r="N1011" s="8" t="s">
        <v>95</v>
      </c>
      <c r="O1011" s="6" t="s">
        <v>40</v>
      </c>
      <c r="P1011" s="5" t="s">
        <v>59</v>
      </c>
      <c r="Q1011" s="5" t="s">
        <v>89</v>
      </c>
      <c r="R1011" s="6" t="s">
        <v>42</v>
      </c>
      <c r="S1011" s="5" t="s">
        <v>141</v>
      </c>
      <c r="T1011" s="5" t="s">
        <v>44</v>
      </c>
      <c r="U1011" s="5" t="s">
        <v>44</v>
      </c>
      <c r="V1011" s="5" t="s">
        <v>44</v>
      </c>
      <c r="W1011" s="5" t="s">
        <v>35</v>
      </c>
      <c r="X1011" s="8" t="s">
        <v>248</v>
      </c>
      <c r="Y1011" s="5" t="s">
        <v>46</v>
      </c>
      <c r="Z1011" s="5" t="s">
        <v>47</v>
      </c>
      <c r="AA1011" s="5" t="s">
        <v>64</v>
      </c>
      <c r="AB1011" s="5" t="s">
        <v>4617</v>
      </c>
      <c r="AC1011" s="6" t="s">
        <v>50</v>
      </c>
      <c r="AD1011" s="6">
        <v>7529.0</v>
      </c>
    </row>
    <row r="1012" ht="56.25" customHeight="1">
      <c r="A1012" s="5" t="s">
        <v>4612</v>
      </c>
      <c r="B1012" s="6" t="str">
        <f>IMAGE("https://storage.googleapis.com/acdb/housewares/FtrPipechair_Remake_1_0.png")</f>
        <v/>
      </c>
      <c r="C1012" s="5" t="s">
        <v>96</v>
      </c>
      <c r="D1012" s="5" t="s">
        <v>34</v>
      </c>
      <c r="E1012" s="5" t="s">
        <v>34</v>
      </c>
      <c r="F1012" s="5" t="s">
        <v>34</v>
      </c>
      <c r="G1012" s="5" t="s">
        <v>36</v>
      </c>
      <c r="H1012" s="5" t="s">
        <v>36</v>
      </c>
      <c r="I1012" s="5" t="s">
        <v>36</v>
      </c>
      <c r="J1012" s="6" t="s">
        <v>34</v>
      </c>
      <c r="K1012" s="6">
        <v>920.0</v>
      </c>
      <c r="L1012" s="6">
        <v>230.0</v>
      </c>
      <c r="M1012" s="8" t="s">
        <v>96</v>
      </c>
      <c r="N1012" s="8" t="s">
        <v>95</v>
      </c>
      <c r="O1012" s="6" t="s">
        <v>40</v>
      </c>
      <c r="P1012" s="5" t="s">
        <v>59</v>
      </c>
      <c r="Q1012" s="5" t="s">
        <v>89</v>
      </c>
      <c r="R1012" s="6" t="s">
        <v>42</v>
      </c>
      <c r="S1012" s="5" t="s">
        <v>141</v>
      </c>
      <c r="T1012" s="5" t="s">
        <v>44</v>
      </c>
      <c r="U1012" s="5" t="s">
        <v>44</v>
      </c>
      <c r="V1012" s="5" t="s">
        <v>44</v>
      </c>
      <c r="W1012" s="5" t="s">
        <v>35</v>
      </c>
      <c r="X1012" s="8" t="s">
        <v>248</v>
      </c>
      <c r="Y1012" s="5" t="s">
        <v>46</v>
      </c>
      <c r="Z1012" s="5" t="s">
        <v>47</v>
      </c>
      <c r="AA1012" s="5" t="s">
        <v>64</v>
      </c>
      <c r="AB1012" s="5" t="s">
        <v>4622</v>
      </c>
      <c r="AC1012" s="6" t="s">
        <v>56</v>
      </c>
      <c r="AD1012" s="6">
        <v>7529.0</v>
      </c>
    </row>
    <row r="1013" ht="56.25" customHeight="1">
      <c r="A1013" s="5" t="s">
        <v>4612</v>
      </c>
      <c r="B1013" s="6" t="str">
        <f>IMAGE("https://storage.googleapis.com/acdb/housewares/FtrPipechair_Remake_2_0.png")</f>
        <v/>
      </c>
      <c r="C1013" s="5" t="s">
        <v>52</v>
      </c>
      <c r="D1013" s="5" t="s">
        <v>34</v>
      </c>
      <c r="E1013" s="5" t="s">
        <v>34</v>
      </c>
      <c r="F1013" s="5" t="s">
        <v>34</v>
      </c>
      <c r="G1013" s="5" t="s">
        <v>36</v>
      </c>
      <c r="H1013" s="5" t="s">
        <v>36</v>
      </c>
      <c r="I1013" s="5" t="s">
        <v>36</v>
      </c>
      <c r="J1013" s="6" t="s">
        <v>34</v>
      </c>
      <c r="K1013" s="6">
        <v>920.0</v>
      </c>
      <c r="L1013" s="6">
        <v>230.0</v>
      </c>
      <c r="M1013" s="8" t="s">
        <v>52</v>
      </c>
      <c r="N1013" s="8" t="s">
        <v>95</v>
      </c>
      <c r="O1013" s="6" t="s">
        <v>40</v>
      </c>
      <c r="P1013" s="5" t="s">
        <v>59</v>
      </c>
      <c r="Q1013" s="5" t="s">
        <v>89</v>
      </c>
      <c r="R1013" s="6" t="s">
        <v>42</v>
      </c>
      <c r="S1013" s="5" t="s">
        <v>141</v>
      </c>
      <c r="T1013" s="5" t="s">
        <v>44</v>
      </c>
      <c r="U1013" s="5" t="s">
        <v>44</v>
      </c>
      <c r="V1013" s="5" t="s">
        <v>44</v>
      </c>
      <c r="W1013" s="5" t="s">
        <v>35</v>
      </c>
      <c r="X1013" s="8" t="s">
        <v>248</v>
      </c>
      <c r="Y1013" s="5" t="s">
        <v>46</v>
      </c>
      <c r="Z1013" s="5" t="s">
        <v>47</v>
      </c>
      <c r="AA1013" s="5" t="s">
        <v>64</v>
      </c>
      <c r="AB1013" s="5" t="s">
        <v>4626</v>
      </c>
      <c r="AC1013" s="6" t="s">
        <v>67</v>
      </c>
      <c r="AD1013" s="6">
        <v>7529.0</v>
      </c>
    </row>
    <row r="1014" ht="56.25" customHeight="1">
      <c r="A1014" s="5" t="s">
        <v>4612</v>
      </c>
      <c r="B1014" s="6" t="str">
        <f>IMAGE("https://storage.googleapis.com/acdb/housewares/FtrPipechair_Remake_3_0.png")</f>
        <v/>
      </c>
      <c r="C1014" s="5" t="s">
        <v>39</v>
      </c>
      <c r="D1014" s="5" t="s">
        <v>34</v>
      </c>
      <c r="E1014" s="5" t="s">
        <v>34</v>
      </c>
      <c r="F1014" s="5" t="s">
        <v>34</v>
      </c>
      <c r="G1014" s="5" t="s">
        <v>36</v>
      </c>
      <c r="H1014" s="5" t="s">
        <v>36</v>
      </c>
      <c r="I1014" s="5" t="s">
        <v>36</v>
      </c>
      <c r="J1014" s="6" t="s">
        <v>34</v>
      </c>
      <c r="K1014" s="6">
        <v>920.0</v>
      </c>
      <c r="L1014" s="6">
        <v>230.0</v>
      </c>
      <c r="M1014" s="8" t="s">
        <v>39</v>
      </c>
      <c r="N1014" s="8" t="s">
        <v>95</v>
      </c>
      <c r="O1014" s="6" t="s">
        <v>40</v>
      </c>
      <c r="P1014" s="5" t="s">
        <v>59</v>
      </c>
      <c r="Q1014" s="5" t="s">
        <v>89</v>
      </c>
      <c r="R1014" s="6" t="s">
        <v>42</v>
      </c>
      <c r="S1014" s="5" t="s">
        <v>141</v>
      </c>
      <c r="T1014" s="5" t="s">
        <v>44</v>
      </c>
      <c r="U1014" s="5" t="s">
        <v>44</v>
      </c>
      <c r="V1014" s="5" t="s">
        <v>44</v>
      </c>
      <c r="W1014" s="5" t="s">
        <v>35</v>
      </c>
      <c r="X1014" s="8" t="s">
        <v>248</v>
      </c>
      <c r="Y1014" s="5" t="s">
        <v>46</v>
      </c>
      <c r="Z1014" s="5" t="s">
        <v>47</v>
      </c>
      <c r="AA1014" s="5" t="s">
        <v>64</v>
      </c>
      <c r="AB1014" s="5" t="s">
        <v>4628</v>
      </c>
      <c r="AC1014" s="6" t="s">
        <v>71</v>
      </c>
      <c r="AD1014" s="6">
        <v>7529.0</v>
      </c>
    </row>
    <row r="1015" ht="56.25" customHeight="1">
      <c r="A1015" s="5" t="s">
        <v>4612</v>
      </c>
      <c r="B1015" s="6" t="str">
        <f>IMAGE("https://storage.googleapis.com/acdb/housewares/FtrPipechair_Remake_4_0.png")</f>
        <v/>
      </c>
      <c r="C1015" s="5" t="s">
        <v>54</v>
      </c>
      <c r="D1015" s="5" t="s">
        <v>34</v>
      </c>
      <c r="E1015" s="5" t="s">
        <v>34</v>
      </c>
      <c r="F1015" s="5" t="s">
        <v>34</v>
      </c>
      <c r="G1015" s="5" t="s">
        <v>36</v>
      </c>
      <c r="H1015" s="5" t="s">
        <v>36</v>
      </c>
      <c r="I1015" s="5" t="s">
        <v>36</v>
      </c>
      <c r="J1015" s="6" t="s">
        <v>34</v>
      </c>
      <c r="K1015" s="6">
        <v>920.0</v>
      </c>
      <c r="L1015" s="6">
        <v>230.0</v>
      </c>
      <c r="M1015" s="8" t="s">
        <v>54</v>
      </c>
      <c r="N1015" s="8" t="s">
        <v>95</v>
      </c>
      <c r="O1015" s="6" t="s">
        <v>40</v>
      </c>
      <c r="P1015" s="5" t="s">
        <v>59</v>
      </c>
      <c r="Q1015" s="5" t="s">
        <v>89</v>
      </c>
      <c r="R1015" s="6" t="s">
        <v>42</v>
      </c>
      <c r="S1015" s="5" t="s">
        <v>141</v>
      </c>
      <c r="T1015" s="5" t="s">
        <v>44</v>
      </c>
      <c r="U1015" s="5" t="s">
        <v>44</v>
      </c>
      <c r="V1015" s="5" t="s">
        <v>44</v>
      </c>
      <c r="W1015" s="5" t="s">
        <v>35</v>
      </c>
      <c r="X1015" s="8" t="s">
        <v>248</v>
      </c>
      <c r="Y1015" s="5" t="s">
        <v>46</v>
      </c>
      <c r="Z1015" s="5" t="s">
        <v>47</v>
      </c>
      <c r="AA1015" s="5" t="s">
        <v>64</v>
      </c>
      <c r="AB1015" s="5" t="s">
        <v>4632</v>
      </c>
      <c r="AC1015" s="6" t="s">
        <v>75</v>
      </c>
      <c r="AD1015" s="6">
        <v>7529.0</v>
      </c>
    </row>
    <row r="1016" ht="56.25" customHeight="1">
      <c r="A1016" s="5" t="s">
        <v>4612</v>
      </c>
      <c r="B1016" s="6" t="str">
        <f>IMAGE("https://storage.googleapis.com/acdb/housewares/FtrPipechair_Remake_5_0.png")</f>
        <v/>
      </c>
      <c r="C1016" s="5" t="s">
        <v>57</v>
      </c>
      <c r="D1016" s="5" t="s">
        <v>34</v>
      </c>
      <c r="E1016" s="5" t="s">
        <v>34</v>
      </c>
      <c r="F1016" s="5" t="s">
        <v>34</v>
      </c>
      <c r="G1016" s="5" t="s">
        <v>36</v>
      </c>
      <c r="H1016" s="5" t="s">
        <v>36</v>
      </c>
      <c r="I1016" s="5" t="s">
        <v>36</v>
      </c>
      <c r="J1016" s="6" t="s">
        <v>34</v>
      </c>
      <c r="K1016" s="6">
        <v>920.0</v>
      </c>
      <c r="L1016" s="6">
        <v>230.0</v>
      </c>
      <c r="M1016" s="8" t="s">
        <v>57</v>
      </c>
      <c r="N1016" s="8" t="s">
        <v>95</v>
      </c>
      <c r="O1016" s="6" t="s">
        <v>40</v>
      </c>
      <c r="P1016" s="5" t="s">
        <v>59</v>
      </c>
      <c r="Q1016" s="5" t="s">
        <v>89</v>
      </c>
      <c r="R1016" s="6" t="s">
        <v>42</v>
      </c>
      <c r="S1016" s="5" t="s">
        <v>141</v>
      </c>
      <c r="T1016" s="5" t="s">
        <v>44</v>
      </c>
      <c r="U1016" s="5" t="s">
        <v>44</v>
      </c>
      <c r="V1016" s="5" t="s">
        <v>44</v>
      </c>
      <c r="W1016" s="5" t="s">
        <v>35</v>
      </c>
      <c r="X1016" s="8" t="s">
        <v>248</v>
      </c>
      <c r="Y1016" s="5" t="s">
        <v>46</v>
      </c>
      <c r="Z1016" s="5" t="s">
        <v>47</v>
      </c>
      <c r="AA1016" s="5" t="s">
        <v>64</v>
      </c>
      <c r="AB1016" s="5" t="s">
        <v>4635</v>
      </c>
      <c r="AC1016" s="6" t="s">
        <v>79</v>
      </c>
      <c r="AD1016" s="6">
        <v>7529.0</v>
      </c>
    </row>
    <row r="1017" ht="56.25" customHeight="1">
      <c r="A1017" s="5" t="s">
        <v>4636</v>
      </c>
      <c r="B1017" s="6" t="str">
        <f>IMAGE("https://storage.googleapis.com/acdb/housewares/FtrLampArm_Remake_0_0.png")</f>
        <v/>
      </c>
      <c r="C1017" s="5" t="s">
        <v>54</v>
      </c>
      <c r="D1017" s="5" t="s">
        <v>34</v>
      </c>
      <c r="E1017" s="5" t="s">
        <v>34</v>
      </c>
      <c r="F1017" s="5" t="s">
        <v>34</v>
      </c>
      <c r="G1017" s="5" t="s">
        <v>36</v>
      </c>
      <c r="H1017" s="5" t="s">
        <v>36</v>
      </c>
      <c r="I1017" s="5" t="s">
        <v>36</v>
      </c>
      <c r="J1017" s="6" t="s">
        <v>34</v>
      </c>
      <c r="K1017" s="6">
        <v>1900.0</v>
      </c>
      <c r="L1017" s="6">
        <v>475.0</v>
      </c>
      <c r="M1017" s="8" t="s">
        <v>54</v>
      </c>
      <c r="N1017" s="8" t="s">
        <v>54</v>
      </c>
      <c r="O1017" s="6" t="s">
        <v>40</v>
      </c>
      <c r="P1017" s="5" t="s">
        <v>59</v>
      </c>
      <c r="Q1017" s="5" t="s">
        <v>122</v>
      </c>
      <c r="R1017" s="6" t="s">
        <v>42</v>
      </c>
      <c r="S1017" s="5" t="s">
        <v>99</v>
      </c>
      <c r="T1017" s="5" t="s">
        <v>90</v>
      </c>
      <c r="U1017" s="5" t="s">
        <v>44</v>
      </c>
      <c r="V1017" s="5" t="s">
        <v>44</v>
      </c>
      <c r="W1017" s="5" t="s">
        <v>35</v>
      </c>
      <c r="X1017" s="8" t="s">
        <v>467</v>
      </c>
      <c r="Y1017" s="5" t="s">
        <v>46</v>
      </c>
      <c r="Z1017" s="5" t="s">
        <v>1749</v>
      </c>
      <c r="AA1017" s="5" t="s">
        <v>64</v>
      </c>
      <c r="AB1017" s="5" t="s">
        <v>4642</v>
      </c>
      <c r="AC1017" s="6" t="s">
        <v>50</v>
      </c>
      <c r="AD1017" s="6">
        <v>4014.0</v>
      </c>
    </row>
    <row r="1018" ht="56.25" customHeight="1">
      <c r="A1018" s="5" t="s">
        <v>4636</v>
      </c>
      <c r="B1018" s="6" t="str">
        <f>IMAGE("https://storage.googleapis.com/acdb/housewares/FtrLampArm_Remake_1_0.png")</f>
        <v/>
      </c>
      <c r="C1018" s="5" t="s">
        <v>57</v>
      </c>
      <c r="D1018" s="5" t="s">
        <v>34</v>
      </c>
      <c r="E1018" s="5" t="s">
        <v>34</v>
      </c>
      <c r="F1018" s="5" t="s">
        <v>34</v>
      </c>
      <c r="G1018" s="5" t="s">
        <v>36</v>
      </c>
      <c r="H1018" s="5" t="s">
        <v>36</v>
      </c>
      <c r="I1018" s="5" t="s">
        <v>36</v>
      </c>
      <c r="J1018" s="6" t="s">
        <v>34</v>
      </c>
      <c r="K1018" s="6">
        <v>1900.0</v>
      </c>
      <c r="L1018" s="6">
        <v>475.0</v>
      </c>
      <c r="M1018" s="8" t="s">
        <v>57</v>
      </c>
      <c r="N1018" s="8" t="s">
        <v>57</v>
      </c>
      <c r="O1018" s="6" t="s">
        <v>40</v>
      </c>
      <c r="P1018" s="5" t="s">
        <v>59</v>
      </c>
      <c r="Q1018" s="5" t="s">
        <v>122</v>
      </c>
      <c r="R1018" s="6" t="s">
        <v>42</v>
      </c>
      <c r="S1018" s="5" t="s">
        <v>99</v>
      </c>
      <c r="T1018" s="5" t="s">
        <v>90</v>
      </c>
      <c r="U1018" s="5" t="s">
        <v>44</v>
      </c>
      <c r="V1018" s="5" t="s">
        <v>44</v>
      </c>
      <c r="W1018" s="5" t="s">
        <v>35</v>
      </c>
      <c r="X1018" s="8" t="s">
        <v>467</v>
      </c>
      <c r="Y1018" s="5" t="s">
        <v>46</v>
      </c>
      <c r="Z1018" s="5" t="s">
        <v>1749</v>
      </c>
      <c r="AA1018" s="5" t="s">
        <v>64</v>
      </c>
      <c r="AB1018" s="5" t="s">
        <v>4647</v>
      </c>
      <c r="AC1018" s="6" t="s">
        <v>56</v>
      </c>
      <c r="AD1018" s="6">
        <v>4014.0</v>
      </c>
    </row>
    <row r="1019" ht="56.25" customHeight="1">
      <c r="A1019" s="5" t="s">
        <v>4636</v>
      </c>
      <c r="B1019" s="6" t="str">
        <f>IMAGE("https://storage.googleapis.com/acdb/housewares/FtrLampArm_Remake_2_0.png")</f>
        <v/>
      </c>
      <c r="C1019" s="5" t="s">
        <v>114</v>
      </c>
      <c r="D1019" s="5" t="s">
        <v>34</v>
      </c>
      <c r="E1019" s="5" t="s">
        <v>34</v>
      </c>
      <c r="F1019" s="5" t="s">
        <v>34</v>
      </c>
      <c r="G1019" s="5" t="s">
        <v>36</v>
      </c>
      <c r="H1019" s="5" t="s">
        <v>36</v>
      </c>
      <c r="I1019" s="5" t="s">
        <v>36</v>
      </c>
      <c r="J1019" s="6" t="s">
        <v>34</v>
      </c>
      <c r="K1019" s="6">
        <v>1900.0</v>
      </c>
      <c r="L1019" s="6">
        <v>475.0</v>
      </c>
      <c r="M1019" s="8" t="s">
        <v>114</v>
      </c>
      <c r="N1019" s="8" t="s">
        <v>114</v>
      </c>
      <c r="O1019" s="6" t="s">
        <v>40</v>
      </c>
      <c r="P1019" s="5" t="s">
        <v>59</v>
      </c>
      <c r="Q1019" s="5" t="s">
        <v>122</v>
      </c>
      <c r="R1019" s="6" t="s">
        <v>42</v>
      </c>
      <c r="S1019" s="5" t="s">
        <v>99</v>
      </c>
      <c r="T1019" s="5" t="s">
        <v>90</v>
      </c>
      <c r="U1019" s="5" t="s">
        <v>44</v>
      </c>
      <c r="V1019" s="5" t="s">
        <v>44</v>
      </c>
      <c r="W1019" s="5" t="s">
        <v>35</v>
      </c>
      <c r="X1019" s="8" t="s">
        <v>467</v>
      </c>
      <c r="Y1019" s="5" t="s">
        <v>46</v>
      </c>
      <c r="Z1019" s="5" t="s">
        <v>1749</v>
      </c>
      <c r="AA1019" s="5" t="s">
        <v>64</v>
      </c>
      <c r="AB1019" s="5" t="s">
        <v>4654</v>
      </c>
      <c r="AC1019" s="6" t="s">
        <v>67</v>
      </c>
      <c r="AD1019" s="6">
        <v>4014.0</v>
      </c>
    </row>
    <row r="1020" ht="56.25" customHeight="1">
      <c r="A1020" s="5" t="s">
        <v>4636</v>
      </c>
      <c r="B1020" s="6" t="str">
        <f>IMAGE("https://storage.googleapis.com/acdb/housewares/FtrLampArm_Remake_3_0.png")</f>
        <v/>
      </c>
      <c r="C1020" s="5" t="s">
        <v>52</v>
      </c>
      <c r="D1020" s="5" t="s">
        <v>34</v>
      </c>
      <c r="E1020" s="5" t="s">
        <v>34</v>
      </c>
      <c r="F1020" s="5" t="s">
        <v>34</v>
      </c>
      <c r="G1020" s="5" t="s">
        <v>36</v>
      </c>
      <c r="H1020" s="5" t="s">
        <v>36</v>
      </c>
      <c r="I1020" s="5" t="s">
        <v>36</v>
      </c>
      <c r="J1020" s="6" t="s">
        <v>34</v>
      </c>
      <c r="K1020" s="6">
        <v>1900.0</v>
      </c>
      <c r="L1020" s="6">
        <v>475.0</v>
      </c>
      <c r="M1020" s="8" t="s">
        <v>52</v>
      </c>
      <c r="N1020" s="8" t="s">
        <v>52</v>
      </c>
      <c r="O1020" s="6" t="s">
        <v>40</v>
      </c>
      <c r="P1020" s="5" t="s">
        <v>59</v>
      </c>
      <c r="Q1020" s="5" t="s">
        <v>122</v>
      </c>
      <c r="R1020" s="6" t="s">
        <v>42</v>
      </c>
      <c r="S1020" s="5" t="s">
        <v>99</v>
      </c>
      <c r="T1020" s="5" t="s">
        <v>90</v>
      </c>
      <c r="U1020" s="5" t="s">
        <v>44</v>
      </c>
      <c r="V1020" s="5" t="s">
        <v>44</v>
      </c>
      <c r="W1020" s="5" t="s">
        <v>35</v>
      </c>
      <c r="X1020" s="8" t="s">
        <v>467</v>
      </c>
      <c r="Y1020" s="5" t="s">
        <v>46</v>
      </c>
      <c r="Z1020" s="5" t="s">
        <v>1749</v>
      </c>
      <c r="AA1020" s="5" t="s">
        <v>64</v>
      </c>
      <c r="AB1020" s="5" t="s">
        <v>4661</v>
      </c>
      <c r="AC1020" s="6" t="s">
        <v>71</v>
      </c>
      <c r="AD1020" s="6">
        <v>4014.0</v>
      </c>
    </row>
    <row r="1021" ht="56.25" customHeight="1">
      <c r="A1021" s="5" t="s">
        <v>4636</v>
      </c>
      <c r="B1021" s="6" t="str">
        <f>IMAGE("https://storage.googleapis.com/acdb/housewares/FtrLampArm_Remake_4_0.png")</f>
        <v/>
      </c>
      <c r="C1021" s="5" t="s">
        <v>68</v>
      </c>
      <c r="D1021" s="5" t="s">
        <v>34</v>
      </c>
      <c r="E1021" s="5" t="s">
        <v>34</v>
      </c>
      <c r="F1021" s="5" t="s">
        <v>34</v>
      </c>
      <c r="G1021" s="5" t="s">
        <v>36</v>
      </c>
      <c r="H1021" s="5" t="s">
        <v>36</v>
      </c>
      <c r="I1021" s="5" t="s">
        <v>36</v>
      </c>
      <c r="J1021" s="6" t="s">
        <v>34</v>
      </c>
      <c r="K1021" s="6">
        <v>1900.0</v>
      </c>
      <c r="L1021" s="6">
        <v>475.0</v>
      </c>
      <c r="M1021" s="8" t="s">
        <v>68</v>
      </c>
      <c r="N1021" s="8" t="s">
        <v>68</v>
      </c>
      <c r="O1021" s="6" t="s">
        <v>40</v>
      </c>
      <c r="P1021" s="5" t="s">
        <v>59</v>
      </c>
      <c r="Q1021" s="5" t="s">
        <v>122</v>
      </c>
      <c r="R1021" s="6" t="s">
        <v>42</v>
      </c>
      <c r="S1021" s="5" t="s">
        <v>99</v>
      </c>
      <c r="T1021" s="5" t="s">
        <v>90</v>
      </c>
      <c r="U1021" s="5" t="s">
        <v>44</v>
      </c>
      <c r="V1021" s="5" t="s">
        <v>44</v>
      </c>
      <c r="W1021" s="5" t="s">
        <v>35</v>
      </c>
      <c r="X1021" s="8" t="s">
        <v>467</v>
      </c>
      <c r="Y1021" s="5" t="s">
        <v>46</v>
      </c>
      <c r="Z1021" s="5" t="s">
        <v>1749</v>
      </c>
      <c r="AA1021" s="5" t="s">
        <v>64</v>
      </c>
      <c r="AB1021" s="5" t="s">
        <v>4667</v>
      </c>
      <c r="AC1021" s="6" t="s">
        <v>75</v>
      </c>
      <c r="AD1021" s="6">
        <v>4014.0</v>
      </c>
    </row>
    <row r="1022" ht="56.25" customHeight="1">
      <c r="A1022" s="5" t="s">
        <v>4636</v>
      </c>
      <c r="B1022" s="6" t="str">
        <f>IMAGE("https://storage.googleapis.com/acdb/housewares/FtrLampArm_Remake_5_0.png")</f>
        <v/>
      </c>
      <c r="C1022" s="5" t="s">
        <v>1857</v>
      </c>
      <c r="D1022" s="5" t="s">
        <v>34</v>
      </c>
      <c r="E1022" s="5" t="s">
        <v>34</v>
      </c>
      <c r="F1022" s="5" t="s">
        <v>34</v>
      </c>
      <c r="G1022" s="5" t="s">
        <v>36</v>
      </c>
      <c r="H1022" s="5" t="s">
        <v>36</v>
      </c>
      <c r="I1022" s="5" t="s">
        <v>36</v>
      </c>
      <c r="J1022" s="6" t="s">
        <v>34</v>
      </c>
      <c r="K1022" s="6">
        <v>1900.0</v>
      </c>
      <c r="L1022" s="6">
        <v>475.0</v>
      </c>
      <c r="M1022" s="8" t="s">
        <v>1175</v>
      </c>
      <c r="N1022" s="8" t="s">
        <v>1175</v>
      </c>
      <c r="O1022" s="6" t="s">
        <v>40</v>
      </c>
      <c r="P1022" s="5" t="s">
        <v>59</v>
      </c>
      <c r="Q1022" s="5" t="s">
        <v>122</v>
      </c>
      <c r="R1022" s="6" t="s">
        <v>42</v>
      </c>
      <c r="S1022" s="5" t="s">
        <v>99</v>
      </c>
      <c r="T1022" s="5" t="s">
        <v>90</v>
      </c>
      <c r="U1022" s="5" t="s">
        <v>44</v>
      </c>
      <c r="V1022" s="5" t="s">
        <v>44</v>
      </c>
      <c r="W1022" s="5" t="s">
        <v>35</v>
      </c>
      <c r="X1022" s="8" t="s">
        <v>467</v>
      </c>
      <c r="Y1022" s="5" t="s">
        <v>46</v>
      </c>
      <c r="Z1022" s="5" t="s">
        <v>1749</v>
      </c>
      <c r="AA1022" s="5" t="s">
        <v>64</v>
      </c>
      <c r="AB1022" s="5" t="s">
        <v>4673</v>
      </c>
      <c r="AC1022" s="6" t="s">
        <v>79</v>
      </c>
      <c r="AD1022" s="6">
        <v>4014.0</v>
      </c>
    </row>
    <row r="1023" ht="56.25" customHeight="1">
      <c r="A1023" s="5" t="s">
        <v>4636</v>
      </c>
      <c r="B1023" s="6" t="str">
        <f>IMAGE("https://storage.googleapis.com/acdb/housewares/FtrLampArm_Remake_6_0.png")</f>
        <v/>
      </c>
      <c r="C1023" s="5" t="s">
        <v>95</v>
      </c>
      <c r="D1023" s="5" t="s">
        <v>34</v>
      </c>
      <c r="E1023" s="5" t="s">
        <v>34</v>
      </c>
      <c r="F1023" s="5" t="s">
        <v>34</v>
      </c>
      <c r="G1023" s="5" t="s">
        <v>36</v>
      </c>
      <c r="H1023" s="5" t="s">
        <v>36</v>
      </c>
      <c r="I1023" s="5" t="s">
        <v>36</v>
      </c>
      <c r="J1023" s="6" t="s">
        <v>34</v>
      </c>
      <c r="K1023" s="6">
        <v>1900.0</v>
      </c>
      <c r="L1023" s="6">
        <v>475.0</v>
      </c>
      <c r="M1023" s="8" t="s">
        <v>95</v>
      </c>
      <c r="N1023" s="8" t="s">
        <v>95</v>
      </c>
      <c r="O1023" s="6" t="s">
        <v>40</v>
      </c>
      <c r="P1023" s="5" t="s">
        <v>59</v>
      </c>
      <c r="Q1023" s="5" t="s">
        <v>122</v>
      </c>
      <c r="R1023" s="6" t="s">
        <v>42</v>
      </c>
      <c r="S1023" s="5" t="s">
        <v>99</v>
      </c>
      <c r="T1023" s="5" t="s">
        <v>90</v>
      </c>
      <c r="U1023" s="5" t="s">
        <v>44</v>
      </c>
      <c r="V1023" s="5" t="s">
        <v>44</v>
      </c>
      <c r="W1023" s="5" t="s">
        <v>35</v>
      </c>
      <c r="X1023" s="8" t="s">
        <v>467</v>
      </c>
      <c r="Y1023" s="5" t="s">
        <v>46</v>
      </c>
      <c r="Z1023" s="5" t="s">
        <v>1749</v>
      </c>
      <c r="AA1023" s="5" t="s">
        <v>64</v>
      </c>
      <c r="AB1023" s="5" t="s">
        <v>4678</v>
      </c>
      <c r="AC1023" s="6" t="s">
        <v>86</v>
      </c>
      <c r="AD1023" s="6">
        <v>4014.0</v>
      </c>
    </row>
    <row r="1024" ht="56.25" customHeight="1">
      <c r="A1024" s="5" t="s">
        <v>4636</v>
      </c>
      <c r="B1024" s="6" t="str">
        <f>IMAGE("https://storage.googleapis.com/acdb/housewares/FtrLampArm_Remake_7_0.png")</f>
        <v/>
      </c>
      <c r="C1024" s="5" t="s">
        <v>146</v>
      </c>
      <c r="D1024" s="5" t="s">
        <v>34</v>
      </c>
      <c r="E1024" s="5" t="s">
        <v>34</v>
      </c>
      <c r="F1024" s="5" t="s">
        <v>34</v>
      </c>
      <c r="G1024" s="5" t="s">
        <v>36</v>
      </c>
      <c r="H1024" s="5" t="s">
        <v>36</v>
      </c>
      <c r="I1024" s="5" t="s">
        <v>36</v>
      </c>
      <c r="J1024" s="6" t="s">
        <v>34</v>
      </c>
      <c r="K1024" s="6">
        <v>1900.0</v>
      </c>
      <c r="L1024" s="6">
        <v>475.0</v>
      </c>
      <c r="M1024" s="8" t="s">
        <v>95</v>
      </c>
      <c r="N1024" s="8" t="s">
        <v>95</v>
      </c>
      <c r="O1024" s="6" t="s">
        <v>40</v>
      </c>
      <c r="P1024" s="5" t="s">
        <v>59</v>
      </c>
      <c r="Q1024" s="5" t="s">
        <v>122</v>
      </c>
      <c r="R1024" s="6" t="s">
        <v>42</v>
      </c>
      <c r="S1024" s="5" t="s">
        <v>99</v>
      </c>
      <c r="T1024" s="5" t="s">
        <v>90</v>
      </c>
      <c r="U1024" s="5" t="s">
        <v>44</v>
      </c>
      <c r="V1024" s="5" t="s">
        <v>44</v>
      </c>
      <c r="W1024" s="5" t="s">
        <v>35</v>
      </c>
      <c r="X1024" s="8" t="s">
        <v>467</v>
      </c>
      <c r="Y1024" s="5" t="s">
        <v>46</v>
      </c>
      <c r="Z1024" s="5" t="s">
        <v>1749</v>
      </c>
      <c r="AA1024" s="5" t="s">
        <v>64</v>
      </c>
      <c r="AB1024" s="5" t="s">
        <v>4684</v>
      </c>
      <c r="AC1024" s="6" t="s">
        <v>208</v>
      </c>
      <c r="AD1024" s="6">
        <v>4014.0</v>
      </c>
    </row>
    <row r="1025" ht="56.25" customHeight="1">
      <c r="A1025" s="5" t="s">
        <v>4685</v>
      </c>
      <c r="B1025" s="6" t="str">
        <f>IMAGE("https://storage.googleapis.com/acdb/housewares/FtrTablesoccer_Remake_0_0.png")</f>
        <v/>
      </c>
      <c r="C1025" s="5" t="s">
        <v>39</v>
      </c>
      <c r="D1025" s="5" t="s">
        <v>34</v>
      </c>
      <c r="E1025" s="5" t="s">
        <v>34</v>
      </c>
      <c r="F1025" s="5" t="s">
        <v>34</v>
      </c>
      <c r="G1025" s="5" t="s">
        <v>36</v>
      </c>
      <c r="H1025" s="5" t="s">
        <v>36</v>
      </c>
      <c r="I1025" s="5" t="s">
        <v>36</v>
      </c>
      <c r="J1025" s="6" t="s">
        <v>34</v>
      </c>
      <c r="K1025" s="6">
        <v>2300.0</v>
      </c>
      <c r="L1025" s="6">
        <v>575.0</v>
      </c>
      <c r="M1025" s="8" t="s">
        <v>142</v>
      </c>
      <c r="N1025" s="8" t="s">
        <v>96</v>
      </c>
      <c r="O1025" s="6" t="s">
        <v>276</v>
      </c>
      <c r="P1025" s="5" t="s">
        <v>59</v>
      </c>
      <c r="Q1025" s="5" t="s">
        <v>122</v>
      </c>
      <c r="R1025" s="6" t="s">
        <v>42</v>
      </c>
      <c r="S1025" s="5" t="s">
        <v>141</v>
      </c>
      <c r="T1025" s="5" t="s">
        <v>62</v>
      </c>
      <c r="U1025" s="5" t="s">
        <v>44</v>
      </c>
      <c r="V1025" s="5" t="s">
        <v>44</v>
      </c>
      <c r="W1025" s="5" t="s">
        <v>35</v>
      </c>
      <c r="X1025" s="8" t="s">
        <v>356</v>
      </c>
      <c r="Y1025" s="5" t="s">
        <v>46</v>
      </c>
      <c r="Z1025" s="5" t="s">
        <v>47</v>
      </c>
      <c r="AA1025" s="5" t="s">
        <v>64</v>
      </c>
      <c r="AB1025" s="5" t="s">
        <v>4689</v>
      </c>
      <c r="AC1025" s="6" t="s">
        <v>50</v>
      </c>
      <c r="AD1025" s="6">
        <v>1177.0</v>
      </c>
    </row>
    <row r="1026" ht="56.25" customHeight="1">
      <c r="A1026" s="5" t="s">
        <v>4685</v>
      </c>
      <c r="B1026" s="6" t="str">
        <f>IMAGE("https://storage.googleapis.com/acdb/housewares/FtrTablesoccer_Remake_1_0.png")</f>
        <v/>
      </c>
      <c r="C1026" s="5" t="s">
        <v>387</v>
      </c>
      <c r="D1026" s="5" t="s">
        <v>34</v>
      </c>
      <c r="E1026" s="5" t="s">
        <v>34</v>
      </c>
      <c r="F1026" s="5" t="s">
        <v>34</v>
      </c>
      <c r="G1026" s="5" t="s">
        <v>36</v>
      </c>
      <c r="H1026" s="5" t="s">
        <v>36</v>
      </c>
      <c r="I1026" s="5" t="s">
        <v>36</v>
      </c>
      <c r="J1026" s="6" t="s">
        <v>34</v>
      </c>
      <c r="K1026" s="6">
        <v>2300.0</v>
      </c>
      <c r="L1026" s="6">
        <v>575.0</v>
      </c>
      <c r="M1026" s="8" t="s">
        <v>39</v>
      </c>
      <c r="N1026" s="8" t="s">
        <v>96</v>
      </c>
      <c r="O1026" s="6" t="s">
        <v>276</v>
      </c>
      <c r="P1026" s="5" t="s">
        <v>59</v>
      </c>
      <c r="Q1026" s="5" t="s">
        <v>122</v>
      </c>
      <c r="R1026" s="6" t="s">
        <v>42</v>
      </c>
      <c r="S1026" s="5" t="s">
        <v>141</v>
      </c>
      <c r="T1026" s="5" t="s">
        <v>62</v>
      </c>
      <c r="U1026" s="5" t="s">
        <v>44</v>
      </c>
      <c r="V1026" s="5" t="s">
        <v>44</v>
      </c>
      <c r="W1026" s="5" t="s">
        <v>35</v>
      </c>
      <c r="X1026" s="8" t="s">
        <v>356</v>
      </c>
      <c r="Y1026" s="5" t="s">
        <v>46</v>
      </c>
      <c r="Z1026" s="5" t="s">
        <v>47</v>
      </c>
      <c r="AA1026" s="5" t="s">
        <v>64</v>
      </c>
      <c r="AB1026" s="5" t="s">
        <v>4693</v>
      </c>
      <c r="AC1026" s="6" t="s">
        <v>56</v>
      </c>
      <c r="AD1026" s="6">
        <v>1177.0</v>
      </c>
    </row>
    <row r="1027" ht="56.25" customHeight="1">
      <c r="A1027" s="5" t="s">
        <v>4685</v>
      </c>
      <c r="B1027" s="6" t="str">
        <f>IMAGE("https://storage.googleapis.com/acdb/housewares/FtrTablesoccer_Remake_2_0.png")</f>
        <v/>
      </c>
      <c r="C1027" s="5" t="s">
        <v>68</v>
      </c>
      <c r="D1027" s="5" t="s">
        <v>34</v>
      </c>
      <c r="E1027" s="5" t="s">
        <v>34</v>
      </c>
      <c r="F1027" s="5" t="s">
        <v>34</v>
      </c>
      <c r="G1027" s="5" t="s">
        <v>36</v>
      </c>
      <c r="H1027" s="5" t="s">
        <v>36</v>
      </c>
      <c r="I1027" s="5" t="s">
        <v>36</v>
      </c>
      <c r="J1027" s="6" t="s">
        <v>34</v>
      </c>
      <c r="K1027" s="6">
        <v>2300.0</v>
      </c>
      <c r="L1027" s="6">
        <v>575.0</v>
      </c>
      <c r="M1027" s="8" t="s">
        <v>68</v>
      </c>
      <c r="N1027" s="8" t="s">
        <v>96</v>
      </c>
      <c r="O1027" s="6" t="s">
        <v>276</v>
      </c>
      <c r="P1027" s="5" t="s">
        <v>59</v>
      </c>
      <c r="Q1027" s="5" t="s">
        <v>122</v>
      </c>
      <c r="R1027" s="6" t="s">
        <v>42</v>
      </c>
      <c r="S1027" s="5" t="s">
        <v>141</v>
      </c>
      <c r="T1027" s="5" t="s">
        <v>62</v>
      </c>
      <c r="U1027" s="5" t="s">
        <v>44</v>
      </c>
      <c r="V1027" s="5" t="s">
        <v>44</v>
      </c>
      <c r="W1027" s="5" t="s">
        <v>35</v>
      </c>
      <c r="X1027" s="8" t="s">
        <v>356</v>
      </c>
      <c r="Y1027" s="5" t="s">
        <v>46</v>
      </c>
      <c r="Z1027" s="5" t="s">
        <v>47</v>
      </c>
      <c r="AA1027" s="5" t="s">
        <v>64</v>
      </c>
      <c r="AB1027" s="5" t="s">
        <v>4697</v>
      </c>
      <c r="AC1027" s="6" t="s">
        <v>67</v>
      </c>
      <c r="AD1027" s="6">
        <v>1177.0</v>
      </c>
    </row>
    <row r="1028" ht="56.25" customHeight="1">
      <c r="A1028" s="5" t="s">
        <v>4698</v>
      </c>
      <c r="B1028" s="6" t="str">
        <f>image("https://storage.googleapis.com/acdb/housewares/FtrCompassFortuneshop.png")</f>
        <v/>
      </c>
      <c r="C1028" s="5" t="s">
        <v>34</v>
      </c>
      <c r="D1028" s="5" t="s">
        <v>34</v>
      </c>
      <c r="E1028" s="5" t="s">
        <v>34</v>
      </c>
      <c r="F1028" s="5" t="s">
        <v>34</v>
      </c>
      <c r="G1028" s="5" t="s">
        <v>36</v>
      </c>
      <c r="H1028" s="5" t="s">
        <v>36</v>
      </c>
      <c r="I1028" s="5" t="s">
        <v>36</v>
      </c>
      <c r="J1028" s="6" t="s">
        <v>34</v>
      </c>
      <c r="K1028" s="6">
        <v>2600.0</v>
      </c>
      <c r="L1028" s="6">
        <v>650.0</v>
      </c>
      <c r="M1028" s="5" t="s">
        <v>142</v>
      </c>
      <c r="N1028" s="5" t="s">
        <v>114</v>
      </c>
      <c r="O1028" s="6" t="s">
        <v>276</v>
      </c>
      <c r="P1028" s="5" t="s">
        <v>1234</v>
      </c>
      <c r="Q1028" s="5" t="s">
        <v>1235</v>
      </c>
      <c r="R1028" s="6" t="s">
        <v>98</v>
      </c>
      <c r="S1028" s="5" t="s">
        <v>141</v>
      </c>
      <c r="T1028" s="5" t="s">
        <v>465</v>
      </c>
      <c r="U1028" s="5" t="s">
        <v>44</v>
      </c>
      <c r="V1028" s="5" t="s">
        <v>44</v>
      </c>
      <c r="W1028" s="5" t="s">
        <v>36</v>
      </c>
      <c r="X1028" s="8" t="s">
        <v>1236</v>
      </c>
      <c r="Y1028" s="5" t="s">
        <v>46</v>
      </c>
      <c r="Z1028" s="5" t="s">
        <v>47</v>
      </c>
      <c r="AA1028" s="5" t="s">
        <v>1237</v>
      </c>
      <c r="AB1028" s="5" t="s">
        <v>4703</v>
      </c>
      <c r="AC1028" s="6" t="s">
        <v>34</v>
      </c>
      <c r="AD1028" s="6">
        <v>12369.0</v>
      </c>
    </row>
    <row r="1029" ht="56.25" customHeight="1">
      <c r="A1029" s="5" t="s">
        <v>4704</v>
      </c>
      <c r="B1029" s="6" t="str">
        <f>IMAGE("https://storage.googleapis.com/acdb/housewares/FtrFountain_Remake_0_0.png")</f>
        <v/>
      </c>
      <c r="C1029" s="5" t="s">
        <v>95</v>
      </c>
      <c r="D1029" s="5" t="s">
        <v>135</v>
      </c>
      <c r="E1029" s="5" t="s">
        <v>34</v>
      </c>
      <c r="F1029" s="5" t="s">
        <v>34</v>
      </c>
      <c r="G1029" s="5" t="s">
        <v>35</v>
      </c>
      <c r="H1029" s="5" t="s">
        <v>35</v>
      </c>
      <c r="I1029" s="5" t="s">
        <v>36</v>
      </c>
      <c r="J1029" s="6">
        <v>7.0</v>
      </c>
      <c r="K1029" s="6" t="s">
        <v>37</v>
      </c>
      <c r="L1029" s="6">
        <v>11700.0</v>
      </c>
      <c r="M1029" s="8" t="s">
        <v>95</v>
      </c>
      <c r="N1029" s="8" t="s">
        <v>95</v>
      </c>
      <c r="O1029" s="6" t="s">
        <v>4708</v>
      </c>
      <c r="P1029" s="5" t="s">
        <v>41</v>
      </c>
      <c r="Q1029" s="5"/>
      <c r="R1029" s="6" t="s">
        <v>42</v>
      </c>
      <c r="S1029" s="5" t="s">
        <v>172</v>
      </c>
      <c r="T1029" s="5" t="s">
        <v>141</v>
      </c>
      <c r="U1029" s="5" t="s">
        <v>44</v>
      </c>
      <c r="V1029" s="5" t="s">
        <v>44</v>
      </c>
      <c r="W1029" s="5" t="s">
        <v>35</v>
      </c>
      <c r="X1029" s="8" t="s">
        <v>3156</v>
      </c>
      <c r="Y1029" s="5" t="s">
        <v>46</v>
      </c>
      <c r="Z1029" s="5" t="s">
        <v>47</v>
      </c>
      <c r="AA1029" s="5" t="s">
        <v>48</v>
      </c>
      <c r="AB1029" s="5" t="s">
        <v>4709</v>
      </c>
      <c r="AC1029" s="6" t="s">
        <v>50</v>
      </c>
      <c r="AD1029" s="6">
        <v>8031.0</v>
      </c>
    </row>
    <row r="1030" ht="56.25" customHeight="1">
      <c r="A1030" s="5" t="s">
        <v>4704</v>
      </c>
      <c r="B1030" s="6" t="str">
        <f>IMAGE("https://storage.googleapis.com/acdb/housewares/FtrFountain_Remake_1_0.png")</f>
        <v/>
      </c>
      <c r="C1030" s="5" t="s">
        <v>39</v>
      </c>
      <c r="D1030" s="5" t="s">
        <v>135</v>
      </c>
      <c r="E1030" s="5" t="s">
        <v>34</v>
      </c>
      <c r="F1030" s="5" t="s">
        <v>34</v>
      </c>
      <c r="G1030" s="5" t="s">
        <v>35</v>
      </c>
      <c r="H1030" s="5" t="s">
        <v>35</v>
      </c>
      <c r="I1030" s="5" t="s">
        <v>36</v>
      </c>
      <c r="J1030" s="6">
        <v>7.0</v>
      </c>
      <c r="K1030" s="6" t="s">
        <v>37</v>
      </c>
      <c r="L1030" s="6">
        <v>11700.0</v>
      </c>
      <c r="M1030" s="8" t="s">
        <v>39</v>
      </c>
      <c r="N1030" s="8" t="s">
        <v>39</v>
      </c>
      <c r="O1030" s="6" t="s">
        <v>4708</v>
      </c>
      <c r="P1030" s="5" t="s">
        <v>41</v>
      </c>
      <c r="Q1030" s="5"/>
      <c r="R1030" s="6" t="s">
        <v>42</v>
      </c>
      <c r="S1030" s="5" t="s">
        <v>172</v>
      </c>
      <c r="T1030" s="5" t="s">
        <v>141</v>
      </c>
      <c r="U1030" s="5" t="s">
        <v>44</v>
      </c>
      <c r="V1030" s="5" t="s">
        <v>44</v>
      </c>
      <c r="W1030" s="5" t="s">
        <v>35</v>
      </c>
      <c r="X1030" s="8" t="s">
        <v>3156</v>
      </c>
      <c r="Y1030" s="5" t="s">
        <v>46</v>
      </c>
      <c r="Z1030" s="5" t="s">
        <v>47</v>
      </c>
      <c r="AA1030" s="5" t="s">
        <v>48</v>
      </c>
      <c r="AB1030" s="5" t="s">
        <v>4715</v>
      </c>
      <c r="AC1030" s="6" t="s">
        <v>56</v>
      </c>
      <c r="AD1030" s="6">
        <v>8031.0</v>
      </c>
    </row>
    <row r="1031" ht="56.25" customHeight="1">
      <c r="A1031" s="5" t="s">
        <v>4704</v>
      </c>
      <c r="B1031" s="6" t="str">
        <f>IMAGE("https://storage.googleapis.com/acdb/housewares/FtrFountain_Remake_2_0.png")</f>
        <v/>
      </c>
      <c r="C1031" s="5" t="s">
        <v>54</v>
      </c>
      <c r="D1031" s="5" t="s">
        <v>135</v>
      </c>
      <c r="E1031" s="5" t="s">
        <v>34</v>
      </c>
      <c r="F1031" s="5" t="s">
        <v>34</v>
      </c>
      <c r="G1031" s="5" t="s">
        <v>35</v>
      </c>
      <c r="H1031" s="5" t="s">
        <v>35</v>
      </c>
      <c r="I1031" s="5" t="s">
        <v>36</v>
      </c>
      <c r="J1031" s="6">
        <v>7.0</v>
      </c>
      <c r="K1031" s="6" t="s">
        <v>37</v>
      </c>
      <c r="L1031" s="6">
        <v>11700.0</v>
      </c>
      <c r="M1031" s="8" t="s">
        <v>54</v>
      </c>
      <c r="N1031" s="8" t="s">
        <v>54</v>
      </c>
      <c r="O1031" s="6" t="s">
        <v>4708</v>
      </c>
      <c r="P1031" s="5" t="s">
        <v>41</v>
      </c>
      <c r="Q1031" s="5"/>
      <c r="R1031" s="6" t="s">
        <v>42</v>
      </c>
      <c r="S1031" s="5" t="s">
        <v>172</v>
      </c>
      <c r="T1031" s="5" t="s">
        <v>141</v>
      </c>
      <c r="U1031" s="5" t="s">
        <v>44</v>
      </c>
      <c r="V1031" s="5" t="s">
        <v>44</v>
      </c>
      <c r="W1031" s="5" t="s">
        <v>35</v>
      </c>
      <c r="X1031" s="8" t="s">
        <v>3156</v>
      </c>
      <c r="Y1031" s="5" t="s">
        <v>46</v>
      </c>
      <c r="Z1031" s="5" t="s">
        <v>47</v>
      </c>
      <c r="AA1031" s="5" t="s">
        <v>48</v>
      </c>
      <c r="AB1031" s="5" t="s">
        <v>4720</v>
      </c>
      <c r="AC1031" s="6" t="s">
        <v>67</v>
      </c>
      <c r="AD1031" s="6">
        <v>8031.0</v>
      </c>
    </row>
    <row r="1032" ht="56.25" customHeight="1">
      <c r="A1032" s="5" t="s">
        <v>4704</v>
      </c>
      <c r="B1032" s="6" t="str">
        <f>IMAGE("https://storage.googleapis.com/acdb/housewares/FtrFountain_Remake_3_0.png")</f>
        <v/>
      </c>
      <c r="C1032" s="5" t="s">
        <v>57</v>
      </c>
      <c r="D1032" s="5" t="s">
        <v>135</v>
      </c>
      <c r="E1032" s="5" t="s">
        <v>34</v>
      </c>
      <c r="F1032" s="5" t="s">
        <v>34</v>
      </c>
      <c r="G1032" s="5" t="s">
        <v>35</v>
      </c>
      <c r="H1032" s="5" t="s">
        <v>35</v>
      </c>
      <c r="I1032" s="5" t="s">
        <v>36</v>
      </c>
      <c r="J1032" s="6">
        <v>7.0</v>
      </c>
      <c r="K1032" s="6" t="s">
        <v>37</v>
      </c>
      <c r="L1032" s="6">
        <v>11700.0</v>
      </c>
      <c r="M1032" s="8" t="s">
        <v>57</v>
      </c>
      <c r="N1032" s="8" t="s">
        <v>57</v>
      </c>
      <c r="O1032" s="6" t="s">
        <v>4708</v>
      </c>
      <c r="P1032" s="5" t="s">
        <v>41</v>
      </c>
      <c r="Q1032" s="5"/>
      <c r="R1032" s="6" t="s">
        <v>42</v>
      </c>
      <c r="S1032" s="5" t="s">
        <v>172</v>
      </c>
      <c r="T1032" s="5" t="s">
        <v>141</v>
      </c>
      <c r="U1032" s="5" t="s">
        <v>44</v>
      </c>
      <c r="V1032" s="5" t="s">
        <v>44</v>
      </c>
      <c r="W1032" s="5" t="s">
        <v>35</v>
      </c>
      <c r="X1032" s="8" t="s">
        <v>3156</v>
      </c>
      <c r="Y1032" s="5" t="s">
        <v>46</v>
      </c>
      <c r="Z1032" s="5" t="s">
        <v>47</v>
      </c>
      <c r="AA1032" s="5" t="s">
        <v>48</v>
      </c>
      <c r="AB1032" s="5" t="s">
        <v>4724</v>
      </c>
      <c r="AC1032" s="6" t="s">
        <v>71</v>
      </c>
      <c r="AD1032" s="6">
        <v>8031.0</v>
      </c>
    </row>
    <row r="1033" ht="56.25" customHeight="1">
      <c r="A1033" s="5" t="s">
        <v>4725</v>
      </c>
      <c r="B1033" s="6" t="str">
        <f>IMAGE("https://storage.googleapis.com/acdb/housewares/FtrFreezer_Remake_0_0.png")</f>
        <v/>
      </c>
      <c r="C1033" s="5" t="s">
        <v>57</v>
      </c>
      <c r="D1033" s="5" t="s">
        <v>34</v>
      </c>
      <c r="E1033" s="5" t="s">
        <v>34</v>
      </c>
      <c r="F1033" s="5" t="s">
        <v>34</v>
      </c>
      <c r="G1033" s="5" t="s">
        <v>36</v>
      </c>
      <c r="H1033" s="5" t="s">
        <v>36</v>
      </c>
      <c r="I1033" s="5" t="s">
        <v>36</v>
      </c>
      <c r="J1033" s="6" t="s">
        <v>34</v>
      </c>
      <c r="K1033" s="6">
        <v>3500.0</v>
      </c>
      <c r="L1033" s="6">
        <v>875.0</v>
      </c>
      <c r="M1033" s="8" t="s">
        <v>57</v>
      </c>
      <c r="N1033" s="8" t="s">
        <v>57</v>
      </c>
      <c r="O1033" s="6" t="s">
        <v>276</v>
      </c>
      <c r="P1033" s="5" t="s">
        <v>59</v>
      </c>
      <c r="Q1033" s="5" t="s">
        <v>89</v>
      </c>
      <c r="R1033" s="6" t="s">
        <v>42</v>
      </c>
      <c r="S1033" s="5" t="s">
        <v>159</v>
      </c>
      <c r="T1033" s="5" t="s">
        <v>62</v>
      </c>
      <c r="U1033" s="5" t="s">
        <v>44</v>
      </c>
      <c r="V1033" s="5" t="s">
        <v>44</v>
      </c>
      <c r="W1033" s="5" t="s">
        <v>35</v>
      </c>
      <c r="X1033" s="8" t="s">
        <v>182</v>
      </c>
      <c r="Y1033" s="5" t="s">
        <v>46</v>
      </c>
      <c r="Z1033" s="5" t="s">
        <v>47</v>
      </c>
      <c r="AA1033" s="5" t="s">
        <v>64</v>
      </c>
      <c r="AB1033" s="5" t="s">
        <v>4729</v>
      </c>
      <c r="AC1033" s="6" t="s">
        <v>50</v>
      </c>
      <c r="AD1033" s="6">
        <v>4135.0</v>
      </c>
    </row>
    <row r="1034" ht="56.25" customHeight="1">
      <c r="A1034" s="5" t="s">
        <v>4725</v>
      </c>
      <c r="B1034" s="6" t="str">
        <f>IMAGE("https://storage.googleapis.com/acdb/housewares/FtrFreezer_Remake_1_0.png")</f>
        <v/>
      </c>
      <c r="C1034" s="5" t="s">
        <v>54</v>
      </c>
      <c r="D1034" s="5" t="s">
        <v>34</v>
      </c>
      <c r="E1034" s="5" t="s">
        <v>34</v>
      </c>
      <c r="F1034" s="5" t="s">
        <v>34</v>
      </c>
      <c r="G1034" s="5" t="s">
        <v>36</v>
      </c>
      <c r="H1034" s="5" t="s">
        <v>36</v>
      </c>
      <c r="I1034" s="5" t="s">
        <v>36</v>
      </c>
      <c r="J1034" s="6" t="s">
        <v>34</v>
      </c>
      <c r="K1034" s="6">
        <v>3500.0</v>
      </c>
      <c r="L1034" s="6">
        <v>875.0</v>
      </c>
      <c r="M1034" s="8" t="s">
        <v>54</v>
      </c>
      <c r="N1034" s="8" t="s">
        <v>54</v>
      </c>
      <c r="O1034" s="6" t="s">
        <v>276</v>
      </c>
      <c r="P1034" s="5" t="s">
        <v>59</v>
      </c>
      <c r="Q1034" s="5" t="s">
        <v>89</v>
      </c>
      <c r="R1034" s="6" t="s">
        <v>42</v>
      </c>
      <c r="S1034" s="5" t="s">
        <v>159</v>
      </c>
      <c r="T1034" s="5" t="s">
        <v>62</v>
      </c>
      <c r="U1034" s="5" t="s">
        <v>44</v>
      </c>
      <c r="V1034" s="5" t="s">
        <v>44</v>
      </c>
      <c r="W1034" s="5" t="s">
        <v>35</v>
      </c>
      <c r="X1034" s="8" t="s">
        <v>182</v>
      </c>
      <c r="Y1034" s="5" t="s">
        <v>46</v>
      </c>
      <c r="Z1034" s="5" t="s">
        <v>47</v>
      </c>
      <c r="AA1034" s="5" t="s">
        <v>64</v>
      </c>
      <c r="AB1034" s="5" t="s">
        <v>4732</v>
      </c>
      <c r="AC1034" s="6" t="s">
        <v>56</v>
      </c>
      <c r="AD1034" s="6">
        <v>4135.0</v>
      </c>
    </row>
    <row r="1035" ht="56.25" customHeight="1">
      <c r="A1035" s="5" t="s">
        <v>4725</v>
      </c>
      <c r="B1035" s="6" t="str">
        <f>IMAGE("https://storage.googleapis.com/acdb/housewares/FtrFreezer_Remake_2_0.png")</f>
        <v/>
      </c>
      <c r="C1035" s="5" t="s">
        <v>38</v>
      </c>
      <c r="D1035" s="5" t="s">
        <v>34</v>
      </c>
      <c r="E1035" s="5" t="s">
        <v>34</v>
      </c>
      <c r="F1035" s="5" t="s">
        <v>34</v>
      </c>
      <c r="G1035" s="5" t="s">
        <v>36</v>
      </c>
      <c r="H1035" s="5" t="s">
        <v>36</v>
      </c>
      <c r="I1035" s="5" t="s">
        <v>36</v>
      </c>
      <c r="J1035" s="6" t="s">
        <v>34</v>
      </c>
      <c r="K1035" s="6">
        <v>3500.0</v>
      </c>
      <c r="L1035" s="6">
        <v>875.0</v>
      </c>
      <c r="M1035" s="8" t="s">
        <v>38</v>
      </c>
      <c r="N1035" s="8" t="s">
        <v>38</v>
      </c>
      <c r="O1035" s="6" t="s">
        <v>276</v>
      </c>
      <c r="P1035" s="5" t="s">
        <v>59</v>
      </c>
      <c r="Q1035" s="5" t="s">
        <v>89</v>
      </c>
      <c r="R1035" s="6" t="s">
        <v>42</v>
      </c>
      <c r="S1035" s="5" t="s">
        <v>159</v>
      </c>
      <c r="T1035" s="5" t="s">
        <v>62</v>
      </c>
      <c r="U1035" s="5" t="s">
        <v>44</v>
      </c>
      <c r="V1035" s="5" t="s">
        <v>44</v>
      </c>
      <c r="W1035" s="5" t="s">
        <v>35</v>
      </c>
      <c r="X1035" s="8" t="s">
        <v>182</v>
      </c>
      <c r="Y1035" s="5" t="s">
        <v>46</v>
      </c>
      <c r="Z1035" s="5" t="s">
        <v>47</v>
      </c>
      <c r="AA1035" s="5" t="s">
        <v>64</v>
      </c>
      <c r="AB1035" s="5" t="s">
        <v>4734</v>
      </c>
      <c r="AC1035" s="6" t="s">
        <v>67</v>
      </c>
      <c r="AD1035" s="6">
        <v>4135.0</v>
      </c>
    </row>
    <row r="1036" ht="56.25" customHeight="1">
      <c r="A1036" s="5" t="s">
        <v>4725</v>
      </c>
      <c r="B1036" s="6" t="str">
        <f>IMAGE("https://storage.googleapis.com/acdb/housewares/FtrFreezer_Remake_3_0.png")</f>
        <v/>
      </c>
      <c r="C1036" s="5" t="s">
        <v>146</v>
      </c>
      <c r="D1036" s="5" t="s">
        <v>34</v>
      </c>
      <c r="E1036" s="5" t="s">
        <v>34</v>
      </c>
      <c r="F1036" s="5" t="s">
        <v>34</v>
      </c>
      <c r="G1036" s="5" t="s">
        <v>36</v>
      </c>
      <c r="H1036" s="5" t="s">
        <v>36</v>
      </c>
      <c r="I1036" s="5" t="s">
        <v>36</v>
      </c>
      <c r="J1036" s="6" t="s">
        <v>34</v>
      </c>
      <c r="K1036" s="6">
        <v>3500.0</v>
      </c>
      <c r="L1036" s="6">
        <v>875.0</v>
      </c>
      <c r="M1036" s="8" t="s">
        <v>95</v>
      </c>
      <c r="N1036" s="8" t="s">
        <v>95</v>
      </c>
      <c r="O1036" s="6" t="s">
        <v>276</v>
      </c>
      <c r="P1036" s="5" t="s">
        <v>59</v>
      </c>
      <c r="Q1036" s="5" t="s">
        <v>89</v>
      </c>
      <c r="R1036" s="6" t="s">
        <v>42</v>
      </c>
      <c r="S1036" s="5" t="s">
        <v>159</v>
      </c>
      <c r="T1036" s="5" t="s">
        <v>62</v>
      </c>
      <c r="U1036" s="5" t="s">
        <v>44</v>
      </c>
      <c r="V1036" s="5" t="s">
        <v>44</v>
      </c>
      <c r="W1036" s="5" t="s">
        <v>35</v>
      </c>
      <c r="X1036" s="8" t="s">
        <v>182</v>
      </c>
      <c r="Y1036" s="5" t="s">
        <v>46</v>
      </c>
      <c r="Z1036" s="5" t="s">
        <v>47</v>
      </c>
      <c r="AA1036" s="5" t="s">
        <v>64</v>
      </c>
      <c r="AB1036" s="5" t="s">
        <v>4738</v>
      </c>
      <c r="AC1036" s="6" t="s">
        <v>71</v>
      </c>
      <c r="AD1036" s="6">
        <v>4135.0</v>
      </c>
    </row>
    <row r="1037" ht="56.25" customHeight="1">
      <c r="A1037" s="5" t="s">
        <v>4739</v>
      </c>
      <c r="B1037" s="6" t="str">
        <f>IMAGE("https://storage.googleapis.com/acdb/housewares/FtrEventobjFishBox.png")</f>
        <v/>
      </c>
      <c r="C1037" s="5" t="s">
        <v>34</v>
      </c>
      <c r="D1037" s="5" t="s">
        <v>34</v>
      </c>
      <c r="E1037" s="5" t="s">
        <v>34</v>
      </c>
      <c r="F1037" s="5" t="s">
        <v>34</v>
      </c>
      <c r="G1037" s="5" t="s">
        <v>36</v>
      </c>
      <c r="H1037" s="5" t="s">
        <v>36</v>
      </c>
      <c r="I1037" s="5" t="s">
        <v>36</v>
      </c>
      <c r="J1037" s="6" t="s">
        <v>34</v>
      </c>
      <c r="K1037" s="6" t="s">
        <v>37</v>
      </c>
      <c r="L1037" s="6">
        <v>450.0</v>
      </c>
      <c r="M1037" s="5" t="s">
        <v>68</v>
      </c>
      <c r="N1037" s="5" t="s">
        <v>57</v>
      </c>
      <c r="O1037" s="6" t="s">
        <v>276</v>
      </c>
      <c r="P1037" s="5" t="s">
        <v>137</v>
      </c>
      <c r="Q1037" s="5"/>
      <c r="R1037" s="6" t="s">
        <v>42</v>
      </c>
      <c r="S1037" s="5" t="s">
        <v>138</v>
      </c>
      <c r="T1037" s="5" t="s">
        <v>62</v>
      </c>
      <c r="U1037" s="5" t="s">
        <v>44</v>
      </c>
      <c r="V1037" s="5" t="s">
        <v>44</v>
      </c>
      <c r="W1037" s="5" t="s">
        <v>35</v>
      </c>
      <c r="X1037" s="8" t="s">
        <v>140</v>
      </c>
      <c r="Y1037" s="5" t="s">
        <v>46</v>
      </c>
      <c r="Z1037" s="5" t="s">
        <v>47</v>
      </c>
      <c r="AA1037" s="5" t="s">
        <v>48</v>
      </c>
      <c r="AB1037" s="5" t="s">
        <v>4743</v>
      </c>
      <c r="AC1037" s="6" t="s">
        <v>34</v>
      </c>
      <c r="AD1037" s="6">
        <v>7838.0</v>
      </c>
    </row>
    <row r="1038" ht="56.25" customHeight="1">
      <c r="A1038" s="5" t="s">
        <v>4744</v>
      </c>
      <c r="B1038" s="6" t="str">
        <f>IMAGE("https://storage.googleapis.com/acdb/housewares/FtrIceGate_Remake_0_0.png")</f>
        <v/>
      </c>
      <c r="C1038" s="5" t="s">
        <v>4745</v>
      </c>
      <c r="D1038" s="5" t="s">
        <v>4747</v>
      </c>
      <c r="E1038" s="5" t="s">
        <v>34</v>
      </c>
      <c r="F1038" s="5" t="s">
        <v>34</v>
      </c>
      <c r="G1038" s="5" t="s">
        <v>35</v>
      </c>
      <c r="H1038" s="5" t="s">
        <v>35</v>
      </c>
      <c r="I1038" s="5" t="s">
        <v>36</v>
      </c>
      <c r="J1038" s="6">
        <v>7.0</v>
      </c>
      <c r="K1038" s="6" t="s">
        <v>37</v>
      </c>
      <c r="L1038" s="6">
        <v>9000.0</v>
      </c>
      <c r="M1038" s="8" t="s">
        <v>1175</v>
      </c>
      <c r="N1038" s="8" t="s">
        <v>1175</v>
      </c>
      <c r="O1038" s="6" t="s">
        <v>707</v>
      </c>
      <c r="P1038" s="5" t="s">
        <v>1891</v>
      </c>
      <c r="Q1038" s="5" t="s">
        <v>1893</v>
      </c>
      <c r="R1038" s="6" t="s">
        <v>42</v>
      </c>
      <c r="S1038" s="5" t="s">
        <v>1894</v>
      </c>
      <c r="T1038" s="5" t="s">
        <v>44</v>
      </c>
      <c r="U1038" s="5" t="s">
        <v>1895</v>
      </c>
      <c r="V1038" s="5" t="s">
        <v>44</v>
      </c>
      <c r="W1038" s="5" t="s">
        <v>36</v>
      </c>
      <c r="X1038" s="8" t="s">
        <v>1411</v>
      </c>
      <c r="Y1038" s="5" t="s">
        <v>46</v>
      </c>
      <c r="Z1038" s="5" t="s">
        <v>47</v>
      </c>
      <c r="AA1038" s="5" t="s">
        <v>48</v>
      </c>
      <c r="AB1038" s="5" t="s">
        <v>4749</v>
      </c>
      <c r="AC1038" s="6" t="s">
        <v>50</v>
      </c>
      <c r="AD1038" s="6">
        <v>3499.0</v>
      </c>
    </row>
    <row r="1039" ht="56.25" customHeight="1">
      <c r="A1039" s="5" t="s">
        <v>4744</v>
      </c>
      <c r="B1039" s="6" t="str">
        <f>IMAGE("https://storage.googleapis.com/acdb/housewares/FtrIceGate_Remake_1_0.png")</f>
        <v/>
      </c>
      <c r="C1039" s="5" t="s">
        <v>4751</v>
      </c>
      <c r="D1039" s="5" t="s">
        <v>4747</v>
      </c>
      <c r="E1039" s="5" t="s">
        <v>34</v>
      </c>
      <c r="F1039" s="5" t="s">
        <v>34</v>
      </c>
      <c r="G1039" s="5" t="s">
        <v>35</v>
      </c>
      <c r="H1039" s="5" t="s">
        <v>35</v>
      </c>
      <c r="I1039" s="5" t="s">
        <v>36</v>
      </c>
      <c r="J1039" s="6">
        <v>7.0</v>
      </c>
      <c r="K1039" s="6" t="s">
        <v>37</v>
      </c>
      <c r="L1039" s="6">
        <v>9000.0</v>
      </c>
      <c r="M1039" s="8" t="s">
        <v>68</v>
      </c>
      <c r="N1039" s="8" t="s">
        <v>68</v>
      </c>
      <c r="O1039" s="6" t="s">
        <v>707</v>
      </c>
      <c r="P1039" s="5" t="s">
        <v>1891</v>
      </c>
      <c r="Q1039" s="5" t="s">
        <v>1893</v>
      </c>
      <c r="R1039" s="6" t="s">
        <v>42</v>
      </c>
      <c r="S1039" s="5" t="s">
        <v>1894</v>
      </c>
      <c r="T1039" s="5" t="s">
        <v>44</v>
      </c>
      <c r="U1039" s="5" t="s">
        <v>1895</v>
      </c>
      <c r="V1039" s="5" t="s">
        <v>44</v>
      </c>
      <c r="W1039" s="5" t="s">
        <v>36</v>
      </c>
      <c r="X1039" s="8" t="s">
        <v>1411</v>
      </c>
      <c r="Y1039" s="5" t="s">
        <v>46</v>
      </c>
      <c r="Z1039" s="5" t="s">
        <v>47</v>
      </c>
      <c r="AA1039" s="5" t="s">
        <v>48</v>
      </c>
      <c r="AB1039" s="5" t="s">
        <v>4753</v>
      </c>
      <c r="AC1039" s="6" t="s">
        <v>56</v>
      </c>
      <c r="AD1039" s="6">
        <v>3499.0</v>
      </c>
    </row>
    <row r="1040" ht="56.25" customHeight="1">
      <c r="A1040" s="5" t="s">
        <v>4744</v>
      </c>
      <c r="B1040" s="6" t="str">
        <f>IMAGE("https://storage.googleapis.com/acdb/housewares/FtrIceGate_Remake_2_0.png")</f>
        <v/>
      </c>
      <c r="C1040" s="5" t="s">
        <v>4755</v>
      </c>
      <c r="D1040" s="5" t="s">
        <v>4747</v>
      </c>
      <c r="E1040" s="5" t="s">
        <v>34</v>
      </c>
      <c r="F1040" s="5" t="s">
        <v>34</v>
      </c>
      <c r="G1040" s="5" t="s">
        <v>35</v>
      </c>
      <c r="H1040" s="5" t="s">
        <v>35</v>
      </c>
      <c r="I1040" s="5" t="s">
        <v>36</v>
      </c>
      <c r="J1040" s="6">
        <v>7.0</v>
      </c>
      <c r="K1040" s="6" t="s">
        <v>37</v>
      </c>
      <c r="L1040" s="6">
        <v>9000.0</v>
      </c>
      <c r="M1040" s="8" t="s">
        <v>69</v>
      </c>
      <c r="N1040" s="8" t="s">
        <v>69</v>
      </c>
      <c r="O1040" s="6" t="s">
        <v>707</v>
      </c>
      <c r="P1040" s="5" t="s">
        <v>1891</v>
      </c>
      <c r="Q1040" s="5" t="s">
        <v>1893</v>
      </c>
      <c r="R1040" s="6" t="s">
        <v>42</v>
      </c>
      <c r="S1040" s="5" t="s">
        <v>1894</v>
      </c>
      <c r="T1040" s="5" t="s">
        <v>44</v>
      </c>
      <c r="U1040" s="5" t="s">
        <v>1895</v>
      </c>
      <c r="V1040" s="5" t="s">
        <v>44</v>
      </c>
      <c r="W1040" s="5" t="s">
        <v>36</v>
      </c>
      <c r="X1040" s="8" t="s">
        <v>1411</v>
      </c>
      <c r="Y1040" s="5" t="s">
        <v>46</v>
      </c>
      <c r="Z1040" s="5" t="s">
        <v>47</v>
      </c>
      <c r="AA1040" s="5" t="s">
        <v>48</v>
      </c>
      <c r="AB1040" s="5" t="s">
        <v>4756</v>
      </c>
      <c r="AC1040" s="6" t="s">
        <v>67</v>
      </c>
      <c r="AD1040" s="6">
        <v>3499.0</v>
      </c>
    </row>
    <row r="1041" ht="56.25" customHeight="1">
      <c r="A1041" s="5" t="s">
        <v>4744</v>
      </c>
      <c r="B1041" s="6" t="str">
        <f>IMAGE("https://storage.googleapis.com/acdb/housewares/FtrIceGate_Remake_3_0.png")</f>
        <v/>
      </c>
      <c r="C1041" s="5" t="s">
        <v>4757</v>
      </c>
      <c r="D1041" s="5" t="s">
        <v>4747</v>
      </c>
      <c r="E1041" s="5" t="s">
        <v>34</v>
      </c>
      <c r="F1041" s="5" t="s">
        <v>34</v>
      </c>
      <c r="G1041" s="5" t="s">
        <v>35</v>
      </c>
      <c r="H1041" s="5" t="s">
        <v>35</v>
      </c>
      <c r="I1041" s="5" t="s">
        <v>36</v>
      </c>
      <c r="J1041" s="6">
        <v>7.0</v>
      </c>
      <c r="K1041" s="6" t="s">
        <v>37</v>
      </c>
      <c r="L1041" s="6">
        <v>9000.0</v>
      </c>
      <c r="M1041" s="8" t="s">
        <v>114</v>
      </c>
      <c r="N1041" s="8" t="s">
        <v>114</v>
      </c>
      <c r="O1041" s="6" t="s">
        <v>707</v>
      </c>
      <c r="P1041" s="5" t="s">
        <v>1891</v>
      </c>
      <c r="Q1041" s="5" t="s">
        <v>1893</v>
      </c>
      <c r="R1041" s="6" t="s">
        <v>42</v>
      </c>
      <c r="S1041" s="5" t="s">
        <v>1894</v>
      </c>
      <c r="T1041" s="5" t="s">
        <v>44</v>
      </c>
      <c r="U1041" s="5" t="s">
        <v>1895</v>
      </c>
      <c r="V1041" s="5" t="s">
        <v>44</v>
      </c>
      <c r="W1041" s="5" t="s">
        <v>36</v>
      </c>
      <c r="X1041" s="8" t="s">
        <v>1411</v>
      </c>
      <c r="Y1041" s="5" t="s">
        <v>46</v>
      </c>
      <c r="Z1041" s="5" t="s">
        <v>47</v>
      </c>
      <c r="AA1041" s="5" t="s">
        <v>48</v>
      </c>
      <c r="AB1041" s="5" t="s">
        <v>4759</v>
      </c>
      <c r="AC1041" s="6" t="s">
        <v>71</v>
      </c>
      <c r="AD1041" s="6">
        <v>3499.0</v>
      </c>
    </row>
    <row r="1042" ht="56.25" customHeight="1">
      <c r="A1042" s="5" t="s">
        <v>4744</v>
      </c>
      <c r="B1042" s="6" t="str">
        <f>IMAGE("https://storage.googleapis.com/acdb/housewares/FtrIceGate_Remake_4_0.png")</f>
        <v/>
      </c>
      <c r="C1042" s="5" t="s">
        <v>4760</v>
      </c>
      <c r="D1042" s="5" t="s">
        <v>4747</v>
      </c>
      <c r="E1042" s="5" t="s">
        <v>34</v>
      </c>
      <c r="F1042" s="5" t="s">
        <v>34</v>
      </c>
      <c r="G1042" s="5" t="s">
        <v>35</v>
      </c>
      <c r="H1042" s="5" t="s">
        <v>35</v>
      </c>
      <c r="I1042" s="5" t="s">
        <v>36</v>
      </c>
      <c r="J1042" s="6">
        <v>7.0</v>
      </c>
      <c r="K1042" s="6" t="s">
        <v>37</v>
      </c>
      <c r="L1042" s="6">
        <v>9000.0</v>
      </c>
      <c r="M1042" s="8" t="s">
        <v>142</v>
      </c>
      <c r="N1042" s="8" t="s">
        <v>142</v>
      </c>
      <c r="O1042" s="6" t="s">
        <v>707</v>
      </c>
      <c r="P1042" s="5" t="s">
        <v>1891</v>
      </c>
      <c r="Q1042" s="5" t="s">
        <v>1893</v>
      </c>
      <c r="R1042" s="6" t="s">
        <v>42</v>
      </c>
      <c r="S1042" s="5" t="s">
        <v>1894</v>
      </c>
      <c r="T1042" s="5" t="s">
        <v>44</v>
      </c>
      <c r="U1042" s="5" t="s">
        <v>1895</v>
      </c>
      <c r="V1042" s="5" t="s">
        <v>44</v>
      </c>
      <c r="W1042" s="5" t="s">
        <v>36</v>
      </c>
      <c r="X1042" s="8" t="s">
        <v>1411</v>
      </c>
      <c r="Y1042" s="5" t="s">
        <v>46</v>
      </c>
      <c r="Z1042" s="5" t="s">
        <v>47</v>
      </c>
      <c r="AA1042" s="5" t="s">
        <v>48</v>
      </c>
      <c r="AB1042" s="5" t="s">
        <v>4762</v>
      </c>
      <c r="AC1042" s="6" t="s">
        <v>75</v>
      </c>
      <c r="AD1042" s="6">
        <v>3499.0</v>
      </c>
    </row>
    <row r="1043" ht="56.25" customHeight="1">
      <c r="A1043" s="5" t="s">
        <v>4744</v>
      </c>
      <c r="B1043" s="6" t="str">
        <f>IMAGE("https://storage.googleapis.com/acdb/housewares/FtrIceGate_Remake_5_0.png")</f>
        <v/>
      </c>
      <c r="C1043" s="5" t="s">
        <v>4763</v>
      </c>
      <c r="D1043" s="5" t="s">
        <v>4747</v>
      </c>
      <c r="E1043" s="5" t="s">
        <v>34</v>
      </c>
      <c r="F1043" s="5" t="s">
        <v>34</v>
      </c>
      <c r="G1043" s="5" t="s">
        <v>35</v>
      </c>
      <c r="H1043" s="5" t="s">
        <v>35</v>
      </c>
      <c r="I1043" s="5" t="s">
        <v>36</v>
      </c>
      <c r="J1043" s="6">
        <v>7.0</v>
      </c>
      <c r="K1043" s="6" t="s">
        <v>37</v>
      </c>
      <c r="L1043" s="6">
        <v>9000.0</v>
      </c>
      <c r="M1043" s="8" t="s">
        <v>96</v>
      </c>
      <c r="N1043" s="8" t="s">
        <v>96</v>
      </c>
      <c r="O1043" s="6" t="s">
        <v>707</v>
      </c>
      <c r="P1043" s="5" t="s">
        <v>1891</v>
      </c>
      <c r="Q1043" s="5" t="s">
        <v>1893</v>
      </c>
      <c r="R1043" s="6" t="s">
        <v>42</v>
      </c>
      <c r="S1043" s="5" t="s">
        <v>1894</v>
      </c>
      <c r="T1043" s="5" t="s">
        <v>44</v>
      </c>
      <c r="U1043" s="5" t="s">
        <v>1895</v>
      </c>
      <c r="V1043" s="5" t="s">
        <v>44</v>
      </c>
      <c r="W1043" s="5" t="s">
        <v>36</v>
      </c>
      <c r="X1043" s="8" t="s">
        <v>1411</v>
      </c>
      <c r="Y1043" s="5" t="s">
        <v>46</v>
      </c>
      <c r="Z1043" s="5" t="s">
        <v>47</v>
      </c>
      <c r="AA1043" s="5" t="s">
        <v>48</v>
      </c>
      <c r="AB1043" s="5" t="s">
        <v>4765</v>
      </c>
      <c r="AC1043" s="6" t="s">
        <v>79</v>
      </c>
      <c r="AD1043" s="6">
        <v>3499.0</v>
      </c>
    </row>
    <row r="1044" ht="56.25" customHeight="1">
      <c r="A1044" s="5" t="s">
        <v>4744</v>
      </c>
      <c r="B1044" s="6" t="str">
        <f>IMAGE("https://storage.googleapis.com/acdb/housewares/FtrIceGate_Remake_6_0.png")</f>
        <v/>
      </c>
      <c r="C1044" s="5" t="s">
        <v>4766</v>
      </c>
      <c r="D1044" s="5" t="s">
        <v>4747</v>
      </c>
      <c r="E1044" s="5" t="s">
        <v>34</v>
      </c>
      <c r="F1044" s="5" t="s">
        <v>34</v>
      </c>
      <c r="G1044" s="5" t="s">
        <v>35</v>
      </c>
      <c r="H1044" s="5" t="s">
        <v>35</v>
      </c>
      <c r="I1044" s="5" t="s">
        <v>36</v>
      </c>
      <c r="J1044" s="6">
        <v>7.0</v>
      </c>
      <c r="K1044" s="6" t="s">
        <v>37</v>
      </c>
      <c r="L1044" s="6">
        <v>9000.0</v>
      </c>
      <c r="M1044" s="8" t="s">
        <v>106</v>
      </c>
      <c r="N1044" s="8" t="s">
        <v>106</v>
      </c>
      <c r="O1044" s="6" t="s">
        <v>707</v>
      </c>
      <c r="P1044" s="5" t="s">
        <v>1891</v>
      </c>
      <c r="Q1044" s="5" t="s">
        <v>1893</v>
      </c>
      <c r="R1044" s="6" t="s">
        <v>42</v>
      </c>
      <c r="S1044" s="5" t="s">
        <v>1894</v>
      </c>
      <c r="T1044" s="5" t="s">
        <v>44</v>
      </c>
      <c r="U1044" s="5" t="s">
        <v>1895</v>
      </c>
      <c r="V1044" s="5" t="s">
        <v>44</v>
      </c>
      <c r="W1044" s="5" t="s">
        <v>36</v>
      </c>
      <c r="X1044" s="8" t="s">
        <v>1411</v>
      </c>
      <c r="Y1044" s="5" t="s">
        <v>46</v>
      </c>
      <c r="Z1044" s="5" t="s">
        <v>47</v>
      </c>
      <c r="AA1044" s="5" t="s">
        <v>48</v>
      </c>
      <c r="AB1044" s="5" t="s">
        <v>4767</v>
      </c>
      <c r="AC1044" s="6" t="s">
        <v>86</v>
      </c>
      <c r="AD1044" s="6">
        <v>3499.0</v>
      </c>
    </row>
    <row r="1045" ht="56.25" customHeight="1">
      <c r="A1045" s="5" t="s">
        <v>4769</v>
      </c>
      <c r="B1045" s="6" t="str">
        <f>IMAGE("https://storage.googleapis.com/acdb/housewares/FtrIceBedW_Remake_0_0.png")</f>
        <v/>
      </c>
      <c r="C1045" s="5" t="s">
        <v>4745</v>
      </c>
      <c r="D1045" s="5" t="s">
        <v>4747</v>
      </c>
      <c r="E1045" s="5" t="s">
        <v>39</v>
      </c>
      <c r="F1045" s="5" t="s">
        <v>1271</v>
      </c>
      <c r="G1045" s="5" t="s">
        <v>35</v>
      </c>
      <c r="H1045" s="5" t="s">
        <v>35</v>
      </c>
      <c r="I1045" s="5" t="s">
        <v>35</v>
      </c>
      <c r="J1045" s="6">
        <v>8.0</v>
      </c>
      <c r="K1045" s="6" t="s">
        <v>37</v>
      </c>
      <c r="L1045" s="6">
        <v>9000.0</v>
      </c>
      <c r="M1045" s="8" t="s">
        <v>1175</v>
      </c>
      <c r="N1045" s="8" t="s">
        <v>39</v>
      </c>
      <c r="O1045" s="6" t="s">
        <v>214</v>
      </c>
      <c r="P1045" s="5" t="s">
        <v>1891</v>
      </c>
      <c r="Q1045" s="5" t="s">
        <v>1893</v>
      </c>
      <c r="R1045" s="6" t="s">
        <v>42</v>
      </c>
      <c r="S1045" s="5" t="s">
        <v>1894</v>
      </c>
      <c r="T1045" s="5" t="s">
        <v>44</v>
      </c>
      <c r="U1045" s="5" t="s">
        <v>1895</v>
      </c>
      <c r="V1045" s="5" t="s">
        <v>44</v>
      </c>
      <c r="W1045" s="5" t="s">
        <v>35</v>
      </c>
      <c r="X1045" s="8" t="s">
        <v>218</v>
      </c>
      <c r="Y1045" s="5" t="s">
        <v>46</v>
      </c>
      <c r="Z1045" s="5" t="s">
        <v>47</v>
      </c>
      <c r="AA1045" s="5" t="s">
        <v>48</v>
      </c>
      <c r="AB1045" s="5" t="s">
        <v>4770</v>
      </c>
      <c r="AC1045" s="6" t="s">
        <v>50</v>
      </c>
      <c r="AD1045" s="6">
        <v>3502.0</v>
      </c>
    </row>
    <row r="1046" ht="56.25" customHeight="1">
      <c r="A1046" s="5" t="s">
        <v>4769</v>
      </c>
      <c r="B1046" s="6" t="str">
        <f>IMAGE("https://storage.googleapis.com/acdb/housewares/FtrIceBedW_Remake_0_1.png")</f>
        <v/>
      </c>
      <c r="C1046" s="5" t="s">
        <v>4745</v>
      </c>
      <c r="D1046" s="5" t="s">
        <v>4747</v>
      </c>
      <c r="E1046" s="5" t="s">
        <v>57</v>
      </c>
      <c r="F1046" s="5" t="s">
        <v>1271</v>
      </c>
      <c r="G1046" s="5" t="s">
        <v>35</v>
      </c>
      <c r="H1046" s="5" t="s">
        <v>35</v>
      </c>
      <c r="I1046" s="5" t="s">
        <v>35</v>
      </c>
      <c r="J1046" s="6">
        <v>8.0</v>
      </c>
      <c r="K1046" s="6" t="s">
        <v>37</v>
      </c>
      <c r="L1046" s="6">
        <v>9000.0</v>
      </c>
      <c r="M1046" s="8" t="s">
        <v>1175</v>
      </c>
      <c r="N1046" s="8" t="s">
        <v>57</v>
      </c>
      <c r="O1046" s="6" t="s">
        <v>214</v>
      </c>
      <c r="P1046" s="5" t="s">
        <v>1891</v>
      </c>
      <c r="Q1046" s="5" t="s">
        <v>1893</v>
      </c>
      <c r="R1046" s="6" t="s">
        <v>42</v>
      </c>
      <c r="S1046" s="5" t="s">
        <v>1894</v>
      </c>
      <c r="T1046" s="5" t="s">
        <v>44</v>
      </c>
      <c r="U1046" s="5" t="s">
        <v>1895</v>
      </c>
      <c r="V1046" s="5" t="s">
        <v>44</v>
      </c>
      <c r="W1046" s="5" t="s">
        <v>35</v>
      </c>
      <c r="X1046" s="8" t="s">
        <v>218</v>
      </c>
      <c r="Y1046" s="5" t="s">
        <v>46</v>
      </c>
      <c r="Z1046" s="5" t="s">
        <v>47</v>
      </c>
      <c r="AA1046" s="5" t="s">
        <v>48</v>
      </c>
      <c r="AB1046" s="5" t="s">
        <v>4773</v>
      </c>
      <c r="AC1046" s="6" t="s">
        <v>217</v>
      </c>
      <c r="AD1046" s="6">
        <v>3502.0</v>
      </c>
    </row>
    <row r="1047" ht="56.25" customHeight="1">
      <c r="A1047" s="5" t="s">
        <v>4769</v>
      </c>
      <c r="B1047" s="6" t="str">
        <f>IMAGE("https://storage.googleapis.com/acdb/housewares/FtrIceBedW_Remake_0_2.png")</f>
        <v/>
      </c>
      <c r="C1047" s="5" t="s">
        <v>4745</v>
      </c>
      <c r="D1047" s="5" t="s">
        <v>4747</v>
      </c>
      <c r="E1047" s="5" t="s">
        <v>95</v>
      </c>
      <c r="F1047" s="5" t="s">
        <v>1271</v>
      </c>
      <c r="G1047" s="5" t="s">
        <v>35</v>
      </c>
      <c r="H1047" s="5" t="s">
        <v>35</v>
      </c>
      <c r="I1047" s="5" t="s">
        <v>35</v>
      </c>
      <c r="J1047" s="6">
        <v>8.0</v>
      </c>
      <c r="K1047" s="6" t="s">
        <v>37</v>
      </c>
      <c r="L1047" s="6">
        <v>9000.0</v>
      </c>
      <c r="M1047" s="8" t="s">
        <v>1175</v>
      </c>
      <c r="N1047" s="8" t="s">
        <v>95</v>
      </c>
      <c r="O1047" s="6" t="s">
        <v>214</v>
      </c>
      <c r="P1047" s="5" t="s">
        <v>1891</v>
      </c>
      <c r="Q1047" s="5" t="s">
        <v>1893</v>
      </c>
      <c r="R1047" s="6" t="s">
        <v>42</v>
      </c>
      <c r="S1047" s="5" t="s">
        <v>1894</v>
      </c>
      <c r="T1047" s="5" t="s">
        <v>44</v>
      </c>
      <c r="U1047" s="5" t="s">
        <v>1895</v>
      </c>
      <c r="V1047" s="5" t="s">
        <v>44</v>
      </c>
      <c r="W1047" s="5" t="s">
        <v>35</v>
      </c>
      <c r="X1047" s="8" t="s">
        <v>218</v>
      </c>
      <c r="Y1047" s="5" t="s">
        <v>46</v>
      </c>
      <c r="Z1047" s="5" t="s">
        <v>47</v>
      </c>
      <c r="AA1047" s="5" t="s">
        <v>48</v>
      </c>
      <c r="AB1047" s="5" t="s">
        <v>4780</v>
      </c>
      <c r="AC1047" s="6" t="s">
        <v>347</v>
      </c>
      <c r="AD1047" s="6">
        <v>3502.0</v>
      </c>
    </row>
    <row r="1048" ht="56.25" customHeight="1">
      <c r="A1048" s="5" t="s">
        <v>4769</v>
      </c>
      <c r="B1048" s="6" t="str">
        <f>IMAGE("https://storage.googleapis.com/acdb/housewares/FtrIceBedW_Remake_0_3.png")</f>
        <v/>
      </c>
      <c r="C1048" s="5" t="s">
        <v>4745</v>
      </c>
      <c r="D1048" s="5" t="s">
        <v>4747</v>
      </c>
      <c r="E1048" s="5" t="s">
        <v>387</v>
      </c>
      <c r="F1048" s="5" t="s">
        <v>1271</v>
      </c>
      <c r="G1048" s="5" t="s">
        <v>35</v>
      </c>
      <c r="H1048" s="5" t="s">
        <v>35</v>
      </c>
      <c r="I1048" s="5" t="s">
        <v>35</v>
      </c>
      <c r="J1048" s="6">
        <v>8.0</v>
      </c>
      <c r="K1048" s="6" t="s">
        <v>37</v>
      </c>
      <c r="L1048" s="6">
        <v>9000.0</v>
      </c>
      <c r="M1048" s="8" t="s">
        <v>1175</v>
      </c>
      <c r="N1048" s="8" t="s">
        <v>39</v>
      </c>
      <c r="O1048" s="6" t="s">
        <v>214</v>
      </c>
      <c r="P1048" s="5" t="s">
        <v>1891</v>
      </c>
      <c r="Q1048" s="5" t="s">
        <v>1893</v>
      </c>
      <c r="R1048" s="6" t="s">
        <v>42</v>
      </c>
      <c r="S1048" s="5" t="s">
        <v>1894</v>
      </c>
      <c r="T1048" s="5" t="s">
        <v>44</v>
      </c>
      <c r="U1048" s="5" t="s">
        <v>1895</v>
      </c>
      <c r="V1048" s="5" t="s">
        <v>44</v>
      </c>
      <c r="W1048" s="5" t="s">
        <v>35</v>
      </c>
      <c r="X1048" s="8" t="s">
        <v>218</v>
      </c>
      <c r="Y1048" s="5" t="s">
        <v>46</v>
      </c>
      <c r="Z1048" s="5" t="s">
        <v>47</v>
      </c>
      <c r="AA1048" s="5" t="s">
        <v>48</v>
      </c>
      <c r="AB1048" s="5" t="s">
        <v>4783</v>
      </c>
      <c r="AC1048" s="6" t="s">
        <v>354</v>
      </c>
      <c r="AD1048" s="6">
        <v>3502.0</v>
      </c>
    </row>
    <row r="1049" ht="56.25" customHeight="1">
      <c r="A1049" s="5" t="s">
        <v>4769</v>
      </c>
      <c r="B1049" s="6" t="str">
        <f>IMAGE("https://storage.googleapis.com/acdb/housewares/FtrIceBedW_Remake_1_0.png")</f>
        <v/>
      </c>
      <c r="C1049" s="5" t="s">
        <v>4751</v>
      </c>
      <c r="D1049" s="5" t="s">
        <v>4747</v>
      </c>
      <c r="E1049" s="5" t="s">
        <v>39</v>
      </c>
      <c r="F1049" s="5" t="s">
        <v>1271</v>
      </c>
      <c r="G1049" s="5" t="s">
        <v>35</v>
      </c>
      <c r="H1049" s="5" t="s">
        <v>35</v>
      </c>
      <c r="I1049" s="5" t="s">
        <v>35</v>
      </c>
      <c r="J1049" s="6">
        <v>8.0</v>
      </c>
      <c r="K1049" s="6" t="s">
        <v>37</v>
      </c>
      <c r="L1049" s="6">
        <v>9000.0</v>
      </c>
      <c r="M1049" s="8" t="s">
        <v>68</v>
      </c>
      <c r="N1049" s="8" t="s">
        <v>39</v>
      </c>
      <c r="O1049" s="6" t="s">
        <v>214</v>
      </c>
      <c r="P1049" s="5" t="s">
        <v>1891</v>
      </c>
      <c r="Q1049" s="5" t="s">
        <v>1893</v>
      </c>
      <c r="R1049" s="6" t="s">
        <v>42</v>
      </c>
      <c r="S1049" s="5" t="s">
        <v>1894</v>
      </c>
      <c r="T1049" s="5" t="s">
        <v>44</v>
      </c>
      <c r="U1049" s="5" t="s">
        <v>1895</v>
      </c>
      <c r="V1049" s="5" t="s">
        <v>44</v>
      </c>
      <c r="W1049" s="5" t="s">
        <v>35</v>
      </c>
      <c r="X1049" s="8" t="s">
        <v>218</v>
      </c>
      <c r="Y1049" s="5" t="s">
        <v>46</v>
      </c>
      <c r="Z1049" s="5" t="s">
        <v>47</v>
      </c>
      <c r="AA1049" s="5" t="s">
        <v>48</v>
      </c>
      <c r="AB1049" s="5" t="s">
        <v>4787</v>
      </c>
      <c r="AC1049" s="6" t="s">
        <v>56</v>
      </c>
      <c r="AD1049" s="6">
        <v>3502.0</v>
      </c>
    </row>
    <row r="1050" ht="56.25" customHeight="1">
      <c r="A1050" s="5" t="s">
        <v>4769</v>
      </c>
      <c r="B1050" s="6" t="str">
        <f>IMAGE("https://storage.googleapis.com/acdb/housewares/FtrIceBedW_Remake_1_1.png")</f>
        <v/>
      </c>
      <c r="C1050" s="5" t="s">
        <v>4751</v>
      </c>
      <c r="D1050" s="5" t="s">
        <v>4747</v>
      </c>
      <c r="E1050" s="5" t="s">
        <v>57</v>
      </c>
      <c r="F1050" s="5" t="s">
        <v>1271</v>
      </c>
      <c r="G1050" s="5" t="s">
        <v>35</v>
      </c>
      <c r="H1050" s="5" t="s">
        <v>35</v>
      </c>
      <c r="I1050" s="5" t="s">
        <v>35</v>
      </c>
      <c r="J1050" s="6">
        <v>8.0</v>
      </c>
      <c r="K1050" s="6" t="s">
        <v>37</v>
      </c>
      <c r="L1050" s="6">
        <v>9000.0</v>
      </c>
      <c r="M1050" s="8" t="s">
        <v>68</v>
      </c>
      <c r="N1050" s="8" t="s">
        <v>57</v>
      </c>
      <c r="O1050" s="6" t="s">
        <v>214</v>
      </c>
      <c r="P1050" s="5" t="s">
        <v>1891</v>
      </c>
      <c r="Q1050" s="5" t="s">
        <v>1893</v>
      </c>
      <c r="R1050" s="6" t="s">
        <v>42</v>
      </c>
      <c r="S1050" s="5" t="s">
        <v>1894</v>
      </c>
      <c r="T1050" s="5" t="s">
        <v>44</v>
      </c>
      <c r="U1050" s="5" t="s">
        <v>1895</v>
      </c>
      <c r="V1050" s="5" t="s">
        <v>44</v>
      </c>
      <c r="W1050" s="5" t="s">
        <v>35</v>
      </c>
      <c r="X1050" s="8" t="s">
        <v>218</v>
      </c>
      <c r="Y1050" s="5" t="s">
        <v>46</v>
      </c>
      <c r="Z1050" s="5" t="s">
        <v>47</v>
      </c>
      <c r="AA1050" s="5" t="s">
        <v>48</v>
      </c>
      <c r="AB1050" s="5" t="s">
        <v>4792</v>
      </c>
      <c r="AC1050" s="6" t="s">
        <v>234</v>
      </c>
      <c r="AD1050" s="6">
        <v>3502.0</v>
      </c>
    </row>
    <row r="1051" ht="56.25" customHeight="1">
      <c r="A1051" s="5" t="s">
        <v>4769</v>
      </c>
      <c r="B1051" s="6" t="str">
        <f>IMAGE("https://storage.googleapis.com/acdb/housewares/FtrIceBedW_Remake_1_2.png")</f>
        <v/>
      </c>
      <c r="C1051" s="5" t="s">
        <v>4751</v>
      </c>
      <c r="D1051" s="5" t="s">
        <v>4747</v>
      </c>
      <c r="E1051" s="5" t="s">
        <v>95</v>
      </c>
      <c r="F1051" s="5" t="s">
        <v>1271</v>
      </c>
      <c r="G1051" s="5" t="s">
        <v>35</v>
      </c>
      <c r="H1051" s="5" t="s">
        <v>35</v>
      </c>
      <c r="I1051" s="5" t="s">
        <v>35</v>
      </c>
      <c r="J1051" s="6">
        <v>8.0</v>
      </c>
      <c r="K1051" s="6" t="s">
        <v>37</v>
      </c>
      <c r="L1051" s="6">
        <v>9000.0</v>
      </c>
      <c r="M1051" s="8" t="s">
        <v>68</v>
      </c>
      <c r="N1051" s="8" t="s">
        <v>95</v>
      </c>
      <c r="O1051" s="6" t="s">
        <v>214</v>
      </c>
      <c r="P1051" s="5" t="s">
        <v>1891</v>
      </c>
      <c r="Q1051" s="5" t="s">
        <v>1893</v>
      </c>
      <c r="R1051" s="6" t="s">
        <v>42</v>
      </c>
      <c r="S1051" s="5" t="s">
        <v>1894</v>
      </c>
      <c r="T1051" s="5" t="s">
        <v>44</v>
      </c>
      <c r="U1051" s="5" t="s">
        <v>1895</v>
      </c>
      <c r="V1051" s="5" t="s">
        <v>44</v>
      </c>
      <c r="W1051" s="5" t="s">
        <v>35</v>
      </c>
      <c r="X1051" s="8" t="s">
        <v>218</v>
      </c>
      <c r="Y1051" s="5" t="s">
        <v>46</v>
      </c>
      <c r="Z1051" s="5" t="s">
        <v>47</v>
      </c>
      <c r="AA1051" s="5" t="s">
        <v>48</v>
      </c>
      <c r="AB1051" s="5" t="s">
        <v>4797</v>
      </c>
      <c r="AC1051" s="6" t="s">
        <v>370</v>
      </c>
      <c r="AD1051" s="6">
        <v>3502.0</v>
      </c>
    </row>
    <row r="1052" ht="56.25" customHeight="1">
      <c r="A1052" s="5" t="s">
        <v>4769</v>
      </c>
      <c r="B1052" s="6" t="str">
        <f>IMAGE("https://storage.googleapis.com/acdb/housewares/FtrIceBedW_Remake_1_3.png")</f>
        <v/>
      </c>
      <c r="C1052" s="5" t="s">
        <v>4751</v>
      </c>
      <c r="D1052" s="5" t="s">
        <v>4747</v>
      </c>
      <c r="E1052" s="5" t="s">
        <v>387</v>
      </c>
      <c r="F1052" s="5" t="s">
        <v>1271</v>
      </c>
      <c r="G1052" s="5" t="s">
        <v>35</v>
      </c>
      <c r="H1052" s="5" t="s">
        <v>35</v>
      </c>
      <c r="I1052" s="5" t="s">
        <v>35</v>
      </c>
      <c r="J1052" s="6">
        <v>8.0</v>
      </c>
      <c r="K1052" s="6" t="s">
        <v>37</v>
      </c>
      <c r="L1052" s="6">
        <v>9000.0</v>
      </c>
      <c r="M1052" s="8" t="s">
        <v>68</v>
      </c>
      <c r="N1052" s="8" t="s">
        <v>39</v>
      </c>
      <c r="O1052" s="6" t="s">
        <v>214</v>
      </c>
      <c r="P1052" s="5" t="s">
        <v>1891</v>
      </c>
      <c r="Q1052" s="5" t="s">
        <v>1893</v>
      </c>
      <c r="R1052" s="6" t="s">
        <v>42</v>
      </c>
      <c r="S1052" s="5" t="s">
        <v>1894</v>
      </c>
      <c r="T1052" s="5" t="s">
        <v>44</v>
      </c>
      <c r="U1052" s="5" t="s">
        <v>1895</v>
      </c>
      <c r="V1052" s="5" t="s">
        <v>44</v>
      </c>
      <c r="W1052" s="5" t="s">
        <v>35</v>
      </c>
      <c r="X1052" s="8" t="s">
        <v>218</v>
      </c>
      <c r="Y1052" s="5" t="s">
        <v>46</v>
      </c>
      <c r="Z1052" s="5" t="s">
        <v>47</v>
      </c>
      <c r="AA1052" s="5" t="s">
        <v>48</v>
      </c>
      <c r="AB1052" s="5" t="s">
        <v>4801</v>
      </c>
      <c r="AC1052" s="6" t="s">
        <v>377</v>
      </c>
      <c r="AD1052" s="6">
        <v>3502.0</v>
      </c>
    </row>
    <row r="1053" ht="56.25" customHeight="1">
      <c r="A1053" s="5" t="s">
        <v>4769</v>
      </c>
      <c r="B1053" s="6" t="str">
        <f>IMAGE("https://storage.googleapis.com/acdb/housewares/FtrIceBedW_Remake_2_0.png")</f>
        <v/>
      </c>
      <c r="C1053" s="5" t="s">
        <v>4755</v>
      </c>
      <c r="D1053" s="5" t="s">
        <v>4747</v>
      </c>
      <c r="E1053" s="5" t="s">
        <v>39</v>
      </c>
      <c r="F1053" s="5" t="s">
        <v>1271</v>
      </c>
      <c r="G1053" s="5" t="s">
        <v>35</v>
      </c>
      <c r="H1053" s="5" t="s">
        <v>35</v>
      </c>
      <c r="I1053" s="5" t="s">
        <v>35</v>
      </c>
      <c r="J1053" s="6">
        <v>8.0</v>
      </c>
      <c r="K1053" s="6" t="s">
        <v>37</v>
      </c>
      <c r="L1053" s="6">
        <v>9000.0</v>
      </c>
      <c r="M1053" s="8" t="s">
        <v>69</v>
      </c>
      <c r="N1053" s="8" t="s">
        <v>39</v>
      </c>
      <c r="O1053" s="6" t="s">
        <v>214</v>
      </c>
      <c r="P1053" s="5" t="s">
        <v>1891</v>
      </c>
      <c r="Q1053" s="5" t="s">
        <v>1893</v>
      </c>
      <c r="R1053" s="6" t="s">
        <v>42</v>
      </c>
      <c r="S1053" s="5" t="s">
        <v>1894</v>
      </c>
      <c r="T1053" s="5" t="s">
        <v>44</v>
      </c>
      <c r="U1053" s="5" t="s">
        <v>1895</v>
      </c>
      <c r="V1053" s="5" t="s">
        <v>44</v>
      </c>
      <c r="W1053" s="5" t="s">
        <v>35</v>
      </c>
      <c r="X1053" s="8" t="s">
        <v>218</v>
      </c>
      <c r="Y1053" s="5" t="s">
        <v>46</v>
      </c>
      <c r="Z1053" s="5" t="s">
        <v>47</v>
      </c>
      <c r="AA1053" s="5" t="s">
        <v>48</v>
      </c>
      <c r="AB1053" s="5" t="s">
        <v>4809</v>
      </c>
      <c r="AC1053" s="6" t="s">
        <v>67</v>
      </c>
      <c r="AD1053" s="6">
        <v>3502.0</v>
      </c>
    </row>
    <row r="1054" ht="56.25" customHeight="1">
      <c r="A1054" s="5" t="s">
        <v>4769</v>
      </c>
      <c r="B1054" s="6" t="str">
        <f>IMAGE("https://storage.googleapis.com/acdb/housewares/FtrIceBedW_Remake_2_1.png")</f>
        <v/>
      </c>
      <c r="C1054" s="5" t="s">
        <v>4755</v>
      </c>
      <c r="D1054" s="5" t="s">
        <v>4747</v>
      </c>
      <c r="E1054" s="5" t="s">
        <v>57</v>
      </c>
      <c r="F1054" s="5" t="s">
        <v>1271</v>
      </c>
      <c r="G1054" s="5" t="s">
        <v>35</v>
      </c>
      <c r="H1054" s="5" t="s">
        <v>35</v>
      </c>
      <c r="I1054" s="5" t="s">
        <v>35</v>
      </c>
      <c r="J1054" s="6">
        <v>8.0</v>
      </c>
      <c r="K1054" s="6" t="s">
        <v>37</v>
      </c>
      <c r="L1054" s="6">
        <v>9000.0</v>
      </c>
      <c r="M1054" s="8" t="s">
        <v>69</v>
      </c>
      <c r="N1054" s="8" t="s">
        <v>57</v>
      </c>
      <c r="O1054" s="6" t="s">
        <v>214</v>
      </c>
      <c r="P1054" s="5" t="s">
        <v>1891</v>
      </c>
      <c r="Q1054" s="5" t="s">
        <v>1893</v>
      </c>
      <c r="R1054" s="6" t="s">
        <v>42</v>
      </c>
      <c r="S1054" s="5" t="s">
        <v>1894</v>
      </c>
      <c r="T1054" s="5" t="s">
        <v>44</v>
      </c>
      <c r="U1054" s="5" t="s">
        <v>1895</v>
      </c>
      <c r="V1054" s="5" t="s">
        <v>44</v>
      </c>
      <c r="W1054" s="5" t="s">
        <v>35</v>
      </c>
      <c r="X1054" s="8" t="s">
        <v>218</v>
      </c>
      <c r="Y1054" s="5" t="s">
        <v>46</v>
      </c>
      <c r="Z1054" s="5" t="s">
        <v>47</v>
      </c>
      <c r="AA1054" s="5" t="s">
        <v>48</v>
      </c>
      <c r="AB1054" s="5" t="s">
        <v>4815</v>
      </c>
      <c r="AC1054" s="6" t="s">
        <v>247</v>
      </c>
      <c r="AD1054" s="6">
        <v>3502.0</v>
      </c>
    </row>
    <row r="1055" ht="56.25" customHeight="1">
      <c r="A1055" s="5" t="s">
        <v>4769</v>
      </c>
      <c r="B1055" s="6" t="str">
        <f>IMAGE("https://storage.googleapis.com/acdb/housewares/FtrIceBedW_Remake_2_2.png")</f>
        <v/>
      </c>
      <c r="C1055" s="5" t="s">
        <v>4755</v>
      </c>
      <c r="D1055" s="5" t="s">
        <v>4747</v>
      </c>
      <c r="E1055" s="5" t="s">
        <v>95</v>
      </c>
      <c r="F1055" s="5" t="s">
        <v>1271</v>
      </c>
      <c r="G1055" s="5" t="s">
        <v>35</v>
      </c>
      <c r="H1055" s="5" t="s">
        <v>35</v>
      </c>
      <c r="I1055" s="5" t="s">
        <v>35</v>
      </c>
      <c r="J1055" s="6">
        <v>8.0</v>
      </c>
      <c r="K1055" s="6" t="s">
        <v>37</v>
      </c>
      <c r="L1055" s="6">
        <v>9000.0</v>
      </c>
      <c r="M1055" s="8" t="s">
        <v>69</v>
      </c>
      <c r="N1055" s="8" t="s">
        <v>95</v>
      </c>
      <c r="O1055" s="6" t="s">
        <v>214</v>
      </c>
      <c r="P1055" s="5" t="s">
        <v>1891</v>
      </c>
      <c r="Q1055" s="5" t="s">
        <v>1893</v>
      </c>
      <c r="R1055" s="6" t="s">
        <v>42</v>
      </c>
      <c r="S1055" s="5" t="s">
        <v>1894</v>
      </c>
      <c r="T1055" s="5" t="s">
        <v>44</v>
      </c>
      <c r="U1055" s="5" t="s">
        <v>1895</v>
      </c>
      <c r="V1055" s="5" t="s">
        <v>44</v>
      </c>
      <c r="W1055" s="5" t="s">
        <v>35</v>
      </c>
      <c r="X1055" s="8" t="s">
        <v>218</v>
      </c>
      <c r="Y1055" s="5" t="s">
        <v>46</v>
      </c>
      <c r="Z1055" s="5" t="s">
        <v>47</v>
      </c>
      <c r="AA1055" s="5" t="s">
        <v>48</v>
      </c>
      <c r="AB1055" s="5" t="s">
        <v>4820</v>
      </c>
      <c r="AC1055" s="6" t="s">
        <v>390</v>
      </c>
      <c r="AD1055" s="6">
        <v>3502.0</v>
      </c>
    </row>
    <row r="1056" ht="56.25" customHeight="1">
      <c r="A1056" s="5" t="s">
        <v>4769</v>
      </c>
      <c r="B1056" s="6" t="str">
        <f>IMAGE("https://storage.googleapis.com/acdb/housewares/FtrIceBedW_Remake_2_3.png")</f>
        <v/>
      </c>
      <c r="C1056" s="5" t="s">
        <v>4755</v>
      </c>
      <c r="D1056" s="5" t="s">
        <v>4747</v>
      </c>
      <c r="E1056" s="5" t="s">
        <v>387</v>
      </c>
      <c r="F1056" s="5" t="s">
        <v>1271</v>
      </c>
      <c r="G1056" s="5" t="s">
        <v>35</v>
      </c>
      <c r="H1056" s="5" t="s">
        <v>35</v>
      </c>
      <c r="I1056" s="5" t="s">
        <v>35</v>
      </c>
      <c r="J1056" s="6">
        <v>8.0</v>
      </c>
      <c r="K1056" s="6" t="s">
        <v>37</v>
      </c>
      <c r="L1056" s="6">
        <v>9000.0</v>
      </c>
      <c r="M1056" s="8" t="s">
        <v>69</v>
      </c>
      <c r="N1056" s="8" t="s">
        <v>39</v>
      </c>
      <c r="O1056" s="6" t="s">
        <v>214</v>
      </c>
      <c r="P1056" s="5" t="s">
        <v>1891</v>
      </c>
      <c r="Q1056" s="5" t="s">
        <v>1893</v>
      </c>
      <c r="R1056" s="6" t="s">
        <v>42</v>
      </c>
      <c r="S1056" s="5" t="s">
        <v>1894</v>
      </c>
      <c r="T1056" s="5" t="s">
        <v>44</v>
      </c>
      <c r="U1056" s="5" t="s">
        <v>1895</v>
      </c>
      <c r="V1056" s="5" t="s">
        <v>44</v>
      </c>
      <c r="W1056" s="5" t="s">
        <v>35</v>
      </c>
      <c r="X1056" s="8" t="s">
        <v>218</v>
      </c>
      <c r="Y1056" s="5" t="s">
        <v>46</v>
      </c>
      <c r="Z1056" s="5" t="s">
        <v>47</v>
      </c>
      <c r="AA1056" s="5" t="s">
        <v>48</v>
      </c>
      <c r="AB1056" s="5" t="s">
        <v>4824</v>
      </c>
      <c r="AC1056" s="6" t="s">
        <v>396</v>
      </c>
      <c r="AD1056" s="6">
        <v>3502.0</v>
      </c>
    </row>
    <row r="1057" ht="56.25" customHeight="1">
      <c r="A1057" s="5" t="s">
        <v>4769</v>
      </c>
      <c r="B1057" s="6" t="str">
        <f>IMAGE("https://storage.googleapis.com/acdb/housewares/FtrIceBedW_Remake_3_0.png")</f>
        <v/>
      </c>
      <c r="C1057" s="5" t="s">
        <v>4757</v>
      </c>
      <c r="D1057" s="5" t="s">
        <v>4747</v>
      </c>
      <c r="E1057" s="5" t="s">
        <v>39</v>
      </c>
      <c r="F1057" s="5" t="s">
        <v>1271</v>
      </c>
      <c r="G1057" s="5" t="s">
        <v>35</v>
      </c>
      <c r="H1057" s="5" t="s">
        <v>35</v>
      </c>
      <c r="I1057" s="5" t="s">
        <v>35</v>
      </c>
      <c r="J1057" s="6">
        <v>8.0</v>
      </c>
      <c r="K1057" s="6" t="s">
        <v>37</v>
      </c>
      <c r="L1057" s="6">
        <v>9000.0</v>
      </c>
      <c r="M1057" s="8" t="s">
        <v>114</v>
      </c>
      <c r="N1057" s="8" t="s">
        <v>39</v>
      </c>
      <c r="O1057" s="6" t="s">
        <v>214</v>
      </c>
      <c r="P1057" s="5" t="s">
        <v>1891</v>
      </c>
      <c r="Q1057" s="5" t="s">
        <v>1893</v>
      </c>
      <c r="R1057" s="6" t="s">
        <v>42</v>
      </c>
      <c r="S1057" s="5" t="s">
        <v>1894</v>
      </c>
      <c r="T1057" s="5" t="s">
        <v>44</v>
      </c>
      <c r="U1057" s="5" t="s">
        <v>1895</v>
      </c>
      <c r="V1057" s="5" t="s">
        <v>44</v>
      </c>
      <c r="W1057" s="5" t="s">
        <v>35</v>
      </c>
      <c r="X1057" s="8" t="s">
        <v>218</v>
      </c>
      <c r="Y1057" s="5" t="s">
        <v>46</v>
      </c>
      <c r="Z1057" s="5" t="s">
        <v>47</v>
      </c>
      <c r="AA1057" s="5" t="s">
        <v>48</v>
      </c>
      <c r="AB1057" s="5" t="s">
        <v>4829</v>
      </c>
      <c r="AC1057" s="6" t="s">
        <v>71</v>
      </c>
      <c r="AD1057" s="6">
        <v>3502.0</v>
      </c>
    </row>
    <row r="1058" ht="56.25" customHeight="1">
      <c r="A1058" s="5" t="s">
        <v>4769</v>
      </c>
      <c r="B1058" s="6" t="str">
        <f>IMAGE("https://storage.googleapis.com/acdb/housewares/FtrIceBedW_Remake_3_1.png")</f>
        <v/>
      </c>
      <c r="C1058" s="5" t="s">
        <v>4757</v>
      </c>
      <c r="D1058" s="5" t="s">
        <v>4747</v>
      </c>
      <c r="E1058" s="5" t="s">
        <v>57</v>
      </c>
      <c r="F1058" s="5" t="s">
        <v>1271</v>
      </c>
      <c r="G1058" s="5" t="s">
        <v>35</v>
      </c>
      <c r="H1058" s="5" t="s">
        <v>35</v>
      </c>
      <c r="I1058" s="5" t="s">
        <v>35</v>
      </c>
      <c r="J1058" s="6">
        <v>8.0</v>
      </c>
      <c r="K1058" s="6" t="s">
        <v>37</v>
      </c>
      <c r="L1058" s="6">
        <v>9000.0</v>
      </c>
      <c r="M1058" s="8" t="s">
        <v>114</v>
      </c>
      <c r="N1058" s="8" t="s">
        <v>57</v>
      </c>
      <c r="O1058" s="6" t="s">
        <v>214</v>
      </c>
      <c r="P1058" s="5" t="s">
        <v>1891</v>
      </c>
      <c r="Q1058" s="5" t="s">
        <v>1893</v>
      </c>
      <c r="R1058" s="6" t="s">
        <v>42</v>
      </c>
      <c r="S1058" s="5" t="s">
        <v>1894</v>
      </c>
      <c r="T1058" s="5" t="s">
        <v>44</v>
      </c>
      <c r="U1058" s="5" t="s">
        <v>1895</v>
      </c>
      <c r="V1058" s="5" t="s">
        <v>44</v>
      </c>
      <c r="W1058" s="5" t="s">
        <v>35</v>
      </c>
      <c r="X1058" s="8" t="s">
        <v>218</v>
      </c>
      <c r="Y1058" s="5" t="s">
        <v>46</v>
      </c>
      <c r="Z1058" s="5" t="s">
        <v>47</v>
      </c>
      <c r="AA1058" s="5" t="s">
        <v>48</v>
      </c>
      <c r="AB1058" s="5" t="s">
        <v>4833</v>
      </c>
      <c r="AC1058" s="6" t="s">
        <v>257</v>
      </c>
      <c r="AD1058" s="6">
        <v>3502.0</v>
      </c>
    </row>
    <row r="1059" ht="56.25" customHeight="1">
      <c r="A1059" s="5" t="s">
        <v>4769</v>
      </c>
      <c r="B1059" s="6" t="str">
        <f>IMAGE("https://storage.googleapis.com/acdb/housewares/FtrIceBedW_Remake_3_2.png")</f>
        <v/>
      </c>
      <c r="C1059" s="5" t="s">
        <v>4757</v>
      </c>
      <c r="D1059" s="5" t="s">
        <v>4747</v>
      </c>
      <c r="E1059" s="5" t="s">
        <v>95</v>
      </c>
      <c r="F1059" s="5" t="s">
        <v>1271</v>
      </c>
      <c r="G1059" s="5" t="s">
        <v>35</v>
      </c>
      <c r="H1059" s="5" t="s">
        <v>35</v>
      </c>
      <c r="I1059" s="5" t="s">
        <v>35</v>
      </c>
      <c r="J1059" s="6">
        <v>8.0</v>
      </c>
      <c r="K1059" s="6" t="s">
        <v>37</v>
      </c>
      <c r="L1059" s="6">
        <v>9000.0</v>
      </c>
      <c r="M1059" s="8" t="s">
        <v>114</v>
      </c>
      <c r="N1059" s="8" t="s">
        <v>95</v>
      </c>
      <c r="O1059" s="6" t="s">
        <v>214</v>
      </c>
      <c r="P1059" s="5" t="s">
        <v>1891</v>
      </c>
      <c r="Q1059" s="5" t="s">
        <v>1893</v>
      </c>
      <c r="R1059" s="6" t="s">
        <v>42</v>
      </c>
      <c r="S1059" s="5" t="s">
        <v>1894</v>
      </c>
      <c r="T1059" s="5" t="s">
        <v>44</v>
      </c>
      <c r="U1059" s="5" t="s">
        <v>1895</v>
      </c>
      <c r="V1059" s="5" t="s">
        <v>44</v>
      </c>
      <c r="W1059" s="5" t="s">
        <v>35</v>
      </c>
      <c r="X1059" s="8" t="s">
        <v>218</v>
      </c>
      <c r="Y1059" s="5" t="s">
        <v>46</v>
      </c>
      <c r="Z1059" s="5" t="s">
        <v>47</v>
      </c>
      <c r="AA1059" s="5" t="s">
        <v>48</v>
      </c>
      <c r="AB1059" s="5" t="s">
        <v>4837</v>
      </c>
      <c r="AC1059" s="6" t="s">
        <v>414</v>
      </c>
      <c r="AD1059" s="6">
        <v>3502.0</v>
      </c>
    </row>
    <row r="1060" ht="56.25" customHeight="1">
      <c r="A1060" s="5" t="s">
        <v>4769</v>
      </c>
      <c r="B1060" s="6" t="str">
        <f>IMAGE("https://storage.googleapis.com/acdb/housewares/FtrIceBedW_Remake_3_3.png")</f>
        <v/>
      </c>
      <c r="C1060" s="5" t="s">
        <v>4757</v>
      </c>
      <c r="D1060" s="5" t="s">
        <v>4747</v>
      </c>
      <c r="E1060" s="5" t="s">
        <v>387</v>
      </c>
      <c r="F1060" s="5" t="s">
        <v>1271</v>
      </c>
      <c r="G1060" s="5" t="s">
        <v>35</v>
      </c>
      <c r="H1060" s="5" t="s">
        <v>35</v>
      </c>
      <c r="I1060" s="5" t="s">
        <v>35</v>
      </c>
      <c r="J1060" s="6">
        <v>8.0</v>
      </c>
      <c r="K1060" s="6" t="s">
        <v>37</v>
      </c>
      <c r="L1060" s="6">
        <v>9000.0</v>
      </c>
      <c r="M1060" s="8" t="s">
        <v>114</v>
      </c>
      <c r="N1060" s="8" t="s">
        <v>39</v>
      </c>
      <c r="O1060" s="6" t="s">
        <v>214</v>
      </c>
      <c r="P1060" s="5" t="s">
        <v>1891</v>
      </c>
      <c r="Q1060" s="5" t="s">
        <v>1893</v>
      </c>
      <c r="R1060" s="6" t="s">
        <v>42</v>
      </c>
      <c r="S1060" s="5" t="s">
        <v>1894</v>
      </c>
      <c r="T1060" s="5" t="s">
        <v>44</v>
      </c>
      <c r="U1060" s="5" t="s">
        <v>1895</v>
      </c>
      <c r="V1060" s="5" t="s">
        <v>44</v>
      </c>
      <c r="W1060" s="5" t="s">
        <v>35</v>
      </c>
      <c r="X1060" s="8" t="s">
        <v>218</v>
      </c>
      <c r="Y1060" s="5" t="s">
        <v>46</v>
      </c>
      <c r="Z1060" s="5" t="s">
        <v>47</v>
      </c>
      <c r="AA1060" s="5" t="s">
        <v>48</v>
      </c>
      <c r="AB1060" s="5" t="s">
        <v>4842</v>
      </c>
      <c r="AC1060" s="6" t="s">
        <v>418</v>
      </c>
      <c r="AD1060" s="6">
        <v>3502.0</v>
      </c>
    </row>
    <row r="1061" ht="56.25" customHeight="1">
      <c r="A1061" s="5" t="s">
        <v>4769</v>
      </c>
      <c r="B1061" s="6" t="str">
        <f>IMAGE("https://storage.googleapis.com/acdb/housewares/FtrIceBedW_Remake_4_0.png")</f>
        <v/>
      </c>
      <c r="C1061" s="5" t="s">
        <v>4760</v>
      </c>
      <c r="D1061" s="5" t="s">
        <v>4747</v>
      </c>
      <c r="E1061" s="5" t="s">
        <v>39</v>
      </c>
      <c r="F1061" s="5" t="s">
        <v>1271</v>
      </c>
      <c r="G1061" s="5" t="s">
        <v>35</v>
      </c>
      <c r="H1061" s="5" t="s">
        <v>35</v>
      </c>
      <c r="I1061" s="5" t="s">
        <v>35</v>
      </c>
      <c r="J1061" s="6">
        <v>8.0</v>
      </c>
      <c r="K1061" s="6" t="s">
        <v>37</v>
      </c>
      <c r="L1061" s="6">
        <v>9000.0</v>
      </c>
      <c r="M1061" s="8" t="s">
        <v>142</v>
      </c>
      <c r="N1061" s="8" t="s">
        <v>39</v>
      </c>
      <c r="O1061" s="6" t="s">
        <v>214</v>
      </c>
      <c r="P1061" s="5" t="s">
        <v>1891</v>
      </c>
      <c r="Q1061" s="5" t="s">
        <v>1893</v>
      </c>
      <c r="R1061" s="6" t="s">
        <v>42</v>
      </c>
      <c r="S1061" s="5" t="s">
        <v>1894</v>
      </c>
      <c r="T1061" s="5" t="s">
        <v>44</v>
      </c>
      <c r="U1061" s="5" t="s">
        <v>1895</v>
      </c>
      <c r="V1061" s="5" t="s">
        <v>44</v>
      </c>
      <c r="W1061" s="5" t="s">
        <v>35</v>
      </c>
      <c r="X1061" s="8" t="s">
        <v>218</v>
      </c>
      <c r="Y1061" s="5" t="s">
        <v>46</v>
      </c>
      <c r="Z1061" s="5" t="s">
        <v>47</v>
      </c>
      <c r="AA1061" s="5" t="s">
        <v>48</v>
      </c>
      <c r="AB1061" s="5" t="s">
        <v>4846</v>
      </c>
      <c r="AC1061" s="6" t="s">
        <v>75</v>
      </c>
      <c r="AD1061" s="6">
        <v>3502.0</v>
      </c>
    </row>
    <row r="1062" ht="56.25" customHeight="1">
      <c r="A1062" s="5" t="s">
        <v>4769</v>
      </c>
      <c r="B1062" s="6" t="str">
        <f>IMAGE("https://storage.googleapis.com/acdb/housewares/FtrIceBedW_Remake_4_1.png")</f>
        <v/>
      </c>
      <c r="C1062" s="5" t="s">
        <v>4760</v>
      </c>
      <c r="D1062" s="5" t="s">
        <v>4747</v>
      </c>
      <c r="E1062" s="5" t="s">
        <v>57</v>
      </c>
      <c r="F1062" s="5" t="s">
        <v>1271</v>
      </c>
      <c r="G1062" s="5" t="s">
        <v>35</v>
      </c>
      <c r="H1062" s="5" t="s">
        <v>35</v>
      </c>
      <c r="I1062" s="5" t="s">
        <v>35</v>
      </c>
      <c r="J1062" s="6">
        <v>8.0</v>
      </c>
      <c r="K1062" s="6" t="s">
        <v>37</v>
      </c>
      <c r="L1062" s="6">
        <v>9000.0</v>
      </c>
      <c r="M1062" s="8" t="s">
        <v>142</v>
      </c>
      <c r="N1062" s="8" t="s">
        <v>57</v>
      </c>
      <c r="O1062" s="6" t="s">
        <v>214</v>
      </c>
      <c r="P1062" s="5" t="s">
        <v>1891</v>
      </c>
      <c r="Q1062" s="5" t="s">
        <v>1893</v>
      </c>
      <c r="R1062" s="6" t="s">
        <v>42</v>
      </c>
      <c r="S1062" s="5" t="s">
        <v>1894</v>
      </c>
      <c r="T1062" s="5" t="s">
        <v>44</v>
      </c>
      <c r="U1062" s="5" t="s">
        <v>1895</v>
      </c>
      <c r="V1062" s="5" t="s">
        <v>44</v>
      </c>
      <c r="W1062" s="5" t="s">
        <v>35</v>
      </c>
      <c r="X1062" s="8" t="s">
        <v>218</v>
      </c>
      <c r="Y1062" s="5" t="s">
        <v>46</v>
      </c>
      <c r="Z1062" s="5" t="s">
        <v>47</v>
      </c>
      <c r="AA1062" s="5" t="s">
        <v>48</v>
      </c>
      <c r="AB1062" s="5" t="s">
        <v>4852</v>
      </c>
      <c r="AC1062" s="6" t="s">
        <v>429</v>
      </c>
      <c r="AD1062" s="6">
        <v>3502.0</v>
      </c>
    </row>
    <row r="1063" ht="56.25" customHeight="1">
      <c r="A1063" s="5" t="s">
        <v>4769</v>
      </c>
      <c r="B1063" s="6" t="str">
        <f>IMAGE("https://storage.googleapis.com/acdb/housewares/FtrIceBedW_Remake_4_2.png")</f>
        <v/>
      </c>
      <c r="C1063" s="5" t="s">
        <v>4760</v>
      </c>
      <c r="D1063" s="5" t="s">
        <v>4747</v>
      </c>
      <c r="E1063" s="5" t="s">
        <v>95</v>
      </c>
      <c r="F1063" s="5" t="s">
        <v>1271</v>
      </c>
      <c r="G1063" s="5" t="s">
        <v>35</v>
      </c>
      <c r="H1063" s="5" t="s">
        <v>35</v>
      </c>
      <c r="I1063" s="5" t="s">
        <v>35</v>
      </c>
      <c r="J1063" s="6">
        <v>8.0</v>
      </c>
      <c r="K1063" s="6" t="s">
        <v>37</v>
      </c>
      <c r="L1063" s="6">
        <v>9000.0</v>
      </c>
      <c r="M1063" s="8" t="s">
        <v>142</v>
      </c>
      <c r="N1063" s="8" t="s">
        <v>95</v>
      </c>
      <c r="O1063" s="6" t="s">
        <v>214</v>
      </c>
      <c r="P1063" s="5" t="s">
        <v>1891</v>
      </c>
      <c r="Q1063" s="5" t="s">
        <v>1893</v>
      </c>
      <c r="R1063" s="6" t="s">
        <v>42</v>
      </c>
      <c r="S1063" s="5" t="s">
        <v>1894</v>
      </c>
      <c r="T1063" s="5" t="s">
        <v>44</v>
      </c>
      <c r="U1063" s="5" t="s">
        <v>1895</v>
      </c>
      <c r="V1063" s="5" t="s">
        <v>44</v>
      </c>
      <c r="W1063" s="5" t="s">
        <v>35</v>
      </c>
      <c r="X1063" s="8" t="s">
        <v>218</v>
      </c>
      <c r="Y1063" s="5" t="s">
        <v>46</v>
      </c>
      <c r="Z1063" s="5" t="s">
        <v>47</v>
      </c>
      <c r="AA1063" s="5" t="s">
        <v>48</v>
      </c>
      <c r="AB1063" s="5" t="s">
        <v>4856</v>
      </c>
      <c r="AC1063" s="6" t="s">
        <v>434</v>
      </c>
      <c r="AD1063" s="6">
        <v>3502.0</v>
      </c>
    </row>
    <row r="1064" ht="56.25" customHeight="1">
      <c r="A1064" s="5" t="s">
        <v>4769</v>
      </c>
      <c r="B1064" s="6" t="str">
        <f>IMAGE("https://storage.googleapis.com/acdb/housewares/FtrIceBedW_Remake_4_3.png")</f>
        <v/>
      </c>
      <c r="C1064" s="5" t="s">
        <v>4760</v>
      </c>
      <c r="D1064" s="5" t="s">
        <v>4747</v>
      </c>
      <c r="E1064" s="5" t="s">
        <v>387</v>
      </c>
      <c r="F1064" s="5" t="s">
        <v>1271</v>
      </c>
      <c r="G1064" s="5" t="s">
        <v>35</v>
      </c>
      <c r="H1064" s="5" t="s">
        <v>35</v>
      </c>
      <c r="I1064" s="5" t="s">
        <v>35</v>
      </c>
      <c r="J1064" s="6">
        <v>8.0</v>
      </c>
      <c r="K1064" s="6" t="s">
        <v>37</v>
      </c>
      <c r="L1064" s="6">
        <v>9000.0</v>
      </c>
      <c r="M1064" s="8" t="s">
        <v>142</v>
      </c>
      <c r="N1064" s="8" t="s">
        <v>39</v>
      </c>
      <c r="O1064" s="6" t="s">
        <v>214</v>
      </c>
      <c r="P1064" s="5" t="s">
        <v>1891</v>
      </c>
      <c r="Q1064" s="5" t="s">
        <v>1893</v>
      </c>
      <c r="R1064" s="6" t="s">
        <v>42</v>
      </c>
      <c r="S1064" s="5" t="s">
        <v>1894</v>
      </c>
      <c r="T1064" s="5" t="s">
        <v>44</v>
      </c>
      <c r="U1064" s="5" t="s">
        <v>1895</v>
      </c>
      <c r="V1064" s="5" t="s">
        <v>44</v>
      </c>
      <c r="W1064" s="5" t="s">
        <v>35</v>
      </c>
      <c r="X1064" s="8" t="s">
        <v>218</v>
      </c>
      <c r="Y1064" s="5" t="s">
        <v>46</v>
      </c>
      <c r="Z1064" s="5" t="s">
        <v>47</v>
      </c>
      <c r="AA1064" s="5" t="s">
        <v>48</v>
      </c>
      <c r="AB1064" s="5" t="s">
        <v>4862</v>
      </c>
      <c r="AC1064" s="6" t="s">
        <v>438</v>
      </c>
      <c r="AD1064" s="6">
        <v>3502.0</v>
      </c>
    </row>
    <row r="1065" ht="56.25" customHeight="1">
      <c r="A1065" s="5" t="s">
        <v>4769</v>
      </c>
      <c r="B1065" s="6" t="str">
        <f>IMAGE("https://storage.googleapis.com/acdb/housewares/FtrIceBedW_Remake_5_0.png")</f>
        <v/>
      </c>
      <c r="C1065" s="5" t="s">
        <v>4763</v>
      </c>
      <c r="D1065" s="5" t="s">
        <v>4747</v>
      </c>
      <c r="E1065" s="5" t="s">
        <v>39</v>
      </c>
      <c r="F1065" s="5" t="s">
        <v>1271</v>
      </c>
      <c r="G1065" s="5" t="s">
        <v>35</v>
      </c>
      <c r="H1065" s="5" t="s">
        <v>35</v>
      </c>
      <c r="I1065" s="5" t="s">
        <v>35</v>
      </c>
      <c r="J1065" s="6">
        <v>8.0</v>
      </c>
      <c r="K1065" s="6" t="s">
        <v>37</v>
      </c>
      <c r="L1065" s="6">
        <v>9000.0</v>
      </c>
      <c r="M1065" s="8" t="s">
        <v>96</v>
      </c>
      <c r="N1065" s="8" t="s">
        <v>39</v>
      </c>
      <c r="O1065" s="6" t="s">
        <v>214</v>
      </c>
      <c r="P1065" s="5" t="s">
        <v>1891</v>
      </c>
      <c r="Q1065" s="5" t="s">
        <v>1893</v>
      </c>
      <c r="R1065" s="6" t="s">
        <v>42</v>
      </c>
      <c r="S1065" s="5" t="s">
        <v>1894</v>
      </c>
      <c r="T1065" s="5" t="s">
        <v>44</v>
      </c>
      <c r="U1065" s="5" t="s">
        <v>1895</v>
      </c>
      <c r="V1065" s="5" t="s">
        <v>44</v>
      </c>
      <c r="W1065" s="5" t="s">
        <v>35</v>
      </c>
      <c r="X1065" s="8" t="s">
        <v>218</v>
      </c>
      <c r="Y1065" s="5" t="s">
        <v>46</v>
      </c>
      <c r="Z1065" s="5" t="s">
        <v>47</v>
      </c>
      <c r="AA1065" s="5" t="s">
        <v>48</v>
      </c>
      <c r="AB1065" s="5" t="s">
        <v>4868</v>
      </c>
      <c r="AC1065" s="6" t="s">
        <v>79</v>
      </c>
      <c r="AD1065" s="6">
        <v>3502.0</v>
      </c>
    </row>
    <row r="1066" ht="56.25" customHeight="1">
      <c r="A1066" s="5" t="s">
        <v>4769</v>
      </c>
      <c r="B1066" s="6" t="str">
        <f>IMAGE("https://storage.googleapis.com/acdb/housewares/FtrIceBedW_Remake_5_1.png")</f>
        <v/>
      </c>
      <c r="C1066" s="5" t="s">
        <v>4763</v>
      </c>
      <c r="D1066" s="5" t="s">
        <v>4747</v>
      </c>
      <c r="E1066" s="5" t="s">
        <v>57</v>
      </c>
      <c r="F1066" s="5" t="s">
        <v>1271</v>
      </c>
      <c r="G1066" s="5" t="s">
        <v>35</v>
      </c>
      <c r="H1066" s="5" t="s">
        <v>35</v>
      </c>
      <c r="I1066" s="5" t="s">
        <v>35</v>
      </c>
      <c r="J1066" s="6">
        <v>8.0</v>
      </c>
      <c r="K1066" s="6" t="s">
        <v>37</v>
      </c>
      <c r="L1066" s="6">
        <v>9000.0</v>
      </c>
      <c r="M1066" s="8" t="s">
        <v>96</v>
      </c>
      <c r="N1066" s="8" t="s">
        <v>57</v>
      </c>
      <c r="O1066" s="6" t="s">
        <v>214</v>
      </c>
      <c r="P1066" s="5" t="s">
        <v>1891</v>
      </c>
      <c r="Q1066" s="5" t="s">
        <v>1893</v>
      </c>
      <c r="R1066" s="6" t="s">
        <v>42</v>
      </c>
      <c r="S1066" s="5" t="s">
        <v>1894</v>
      </c>
      <c r="T1066" s="5" t="s">
        <v>44</v>
      </c>
      <c r="U1066" s="5" t="s">
        <v>1895</v>
      </c>
      <c r="V1066" s="5" t="s">
        <v>44</v>
      </c>
      <c r="W1066" s="5" t="s">
        <v>35</v>
      </c>
      <c r="X1066" s="8" t="s">
        <v>218</v>
      </c>
      <c r="Y1066" s="5" t="s">
        <v>46</v>
      </c>
      <c r="Z1066" s="5" t="s">
        <v>47</v>
      </c>
      <c r="AA1066" s="5" t="s">
        <v>48</v>
      </c>
      <c r="AB1066" s="5" t="s">
        <v>4872</v>
      </c>
      <c r="AC1066" s="6" t="s">
        <v>448</v>
      </c>
      <c r="AD1066" s="6">
        <v>3502.0</v>
      </c>
    </row>
    <row r="1067" ht="56.25" customHeight="1">
      <c r="A1067" s="5" t="s">
        <v>4769</v>
      </c>
      <c r="B1067" s="6" t="str">
        <f>IMAGE("https://storage.googleapis.com/acdb/housewares/FtrIceBedW_Remake_5_2.png")</f>
        <v/>
      </c>
      <c r="C1067" s="5" t="s">
        <v>4763</v>
      </c>
      <c r="D1067" s="5" t="s">
        <v>4747</v>
      </c>
      <c r="E1067" s="5" t="s">
        <v>95</v>
      </c>
      <c r="F1067" s="5" t="s">
        <v>1271</v>
      </c>
      <c r="G1067" s="5" t="s">
        <v>35</v>
      </c>
      <c r="H1067" s="5" t="s">
        <v>35</v>
      </c>
      <c r="I1067" s="5" t="s">
        <v>35</v>
      </c>
      <c r="J1067" s="6">
        <v>8.0</v>
      </c>
      <c r="K1067" s="6" t="s">
        <v>37</v>
      </c>
      <c r="L1067" s="6">
        <v>9000.0</v>
      </c>
      <c r="M1067" s="8" t="s">
        <v>96</v>
      </c>
      <c r="N1067" s="8" t="s">
        <v>95</v>
      </c>
      <c r="O1067" s="6" t="s">
        <v>214</v>
      </c>
      <c r="P1067" s="5" t="s">
        <v>1891</v>
      </c>
      <c r="Q1067" s="5" t="s">
        <v>1893</v>
      </c>
      <c r="R1067" s="6" t="s">
        <v>42</v>
      </c>
      <c r="S1067" s="5" t="s">
        <v>1894</v>
      </c>
      <c r="T1067" s="5" t="s">
        <v>44</v>
      </c>
      <c r="U1067" s="5" t="s">
        <v>1895</v>
      </c>
      <c r="V1067" s="5" t="s">
        <v>44</v>
      </c>
      <c r="W1067" s="5" t="s">
        <v>35</v>
      </c>
      <c r="X1067" s="8" t="s">
        <v>218</v>
      </c>
      <c r="Y1067" s="5" t="s">
        <v>46</v>
      </c>
      <c r="Z1067" s="5" t="s">
        <v>47</v>
      </c>
      <c r="AA1067" s="5" t="s">
        <v>48</v>
      </c>
      <c r="AB1067" s="5" t="s">
        <v>4875</v>
      </c>
      <c r="AC1067" s="6" t="s">
        <v>452</v>
      </c>
      <c r="AD1067" s="6">
        <v>3502.0</v>
      </c>
    </row>
    <row r="1068" ht="56.25" customHeight="1">
      <c r="A1068" s="5" t="s">
        <v>4769</v>
      </c>
      <c r="B1068" s="6" t="str">
        <f>IMAGE("https://storage.googleapis.com/acdb/housewares/FtrIceBedW_Remake_5_3.png")</f>
        <v/>
      </c>
      <c r="C1068" s="5" t="s">
        <v>4763</v>
      </c>
      <c r="D1068" s="5" t="s">
        <v>4747</v>
      </c>
      <c r="E1068" s="5" t="s">
        <v>387</v>
      </c>
      <c r="F1068" s="5" t="s">
        <v>1271</v>
      </c>
      <c r="G1068" s="5" t="s">
        <v>35</v>
      </c>
      <c r="H1068" s="5" t="s">
        <v>35</v>
      </c>
      <c r="I1068" s="5" t="s">
        <v>35</v>
      </c>
      <c r="J1068" s="6">
        <v>8.0</v>
      </c>
      <c r="K1068" s="6" t="s">
        <v>37</v>
      </c>
      <c r="L1068" s="6">
        <v>9000.0</v>
      </c>
      <c r="M1068" s="8" t="s">
        <v>96</v>
      </c>
      <c r="N1068" s="8" t="s">
        <v>39</v>
      </c>
      <c r="O1068" s="6" t="s">
        <v>214</v>
      </c>
      <c r="P1068" s="5" t="s">
        <v>1891</v>
      </c>
      <c r="Q1068" s="5" t="s">
        <v>1893</v>
      </c>
      <c r="R1068" s="6" t="s">
        <v>42</v>
      </c>
      <c r="S1068" s="5" t="s">
        <v>1894</v>
      </c>
      <c r="T1068" s="5" t="s">
        <v>44</v>
      </c>
      <c r="U1068" s="5" t="s">
        <v>1895</v>
      </c>
      <c r="V1068" s="5" t="s">
        <v>44</v>
      </c>
      <c r="W1068" s="5" t="s">
        <v>35</v>
      </c>
      <c r="X1068" s="8" t="s">
        <v>218</v>
      </c>
      <c r="Y1068" s="5" t="s">
        <v>46</v>
      </c>
      <c r="Z1068" s="5" t="s">
        <v>47</v>
      </c>
      <c r="AA1068" s="5" t="s">
        <v>48</v>
      </c>
      <c r="AB1068" s="5" t="s">
        <v>4879</v>
      </c>
      <c r="AC1068" s="6" t="s">
        <v>455</v>
      </c>
      <c r="AD1068" s="6">
        <v>3502.0</v>
      </c>
    </row>
    <row r="1069" ht="56.25" customHeight="1">
      <c r="A1069" s="5" t="s">
        <v>4769</v>
      </c>
      <c r="B1069" s="6" t="str">
        <f>IMAGE("https://storage.googleapis.com/acdb/housewares/FtrIceBedW_Remake_6_0.png")</f>
        <v/>
      </c>
      <c r="C1069" s="5" t="s">
        <v>4766</v>
      </c>
      <c r="D1069" s="5" t="s">
        <v>34</v>
      </c>
      <c r="E1069" s="5" t="s">
        <v>39</v>
      </c>
      <c r="F1069" s="5" t="s">
        <v>1271</v>
      </c>
      <c r="G1069" s="5" t="s">
        <v>35</v>
      </c>
      <c r="H1069" s="5" t="s">
        <v>36</v>
      </c>
      <c r="I1069" s="5" t="s">
        <v>35</v>
      </c>
      <c r="J1069" s="6">
        <v>8.0</v>
      </c>
      <c r="K1069" s="6" t="s">
        <v>37</v>
      </c>
      <c r="L1069" s="6">
        <v>9000.0</v>
      </c>
      <c r="M1069" s="8" t="s">
        <v>106</v>
      </c>
      <c r="N1069" s="8" t="s">
        <v>39</v>
      </c>
      <c r="O1069" s="6" t="s">
        <v>214</v>
      </c>
      <c r="P1069" s="5" t="s">
        <v>1891</v>
      </c>
      <c r="Q1069" s="5" t="s">
        <v>1893</v>
      </c>
      <c r="R1069" s="6" t="s">
        <v>42</v>
      </c>
      <c r="S1069" s="5" t="s">
        <v>1894</v>
      </c>
      <c r="T1069" s="5" t="s">
        <v>44</v>
      </c>
      <c r="U1069" s="5" t="s">
        <v>1895</v>
      </c>
      <c r="V1069" s="5" t="s">
        <v>44</v>
      </c>
      <c r="W1069" s="5" t="s">
        <v>35</v>
      </c>
      <c r="X1069" s="8" t="s">
        <v>218</v>
      </c>
      <c r="Y1069" s="5" t="s">
        <v>46</v>
      </c>
      <c r="Z1069" s="5" t="s">
        <v>47</v>
      </c>
      <c r="AA1069" s="5" t="s">
        <v>48</v>
      </c>
      <c r="AB1069" s="5" t="s">
        <v>4881</v>
      </c>
      <c r="AC1069" s="6" t="s">
        <v>86</v>
      </c>
      <c r="AD1069" s="6">
        <v>3502.0</v>
      </c>
    </row>
    <row r="1070" ht="56.25" customHeight="1">
      <c r="A1070" s="5" t="s">
        <v>4769</v>
      </c>
      <c r="B1070" s="6" t="str">
        <f>IMAGE("https://storage.googleapis.com/acdb/housewares/FtrIceBedW_Remake_6_1.png")</f>
        <v/>
      </c>
      <c r="C1070" s="5" t="s">
        <v>4766</v>
      </c>
      <c r="D1070" s="5" t="s">
        <v>34</v>
      </c>
      <c r="E1070" s="5" t="s">
        <v>57</v>
      </c>
      <c r="F1070" s="5" t="s">
        <v>1271</v>
      </c>
      <c r="G1070" s="5" t="s">
        <v>35</v>
      </c>
      <c r="H1070" s="5" t="s">
        <v>36</v>
      </c>
      <c r="I1070" s="5" t="s">
        <v>35</v>
      </c>
      <c r="J1070" s="6">
        <v>8.0</v>
      </c>
      <c r="K1070" s="6" t="s">
        <v>37</v>
      </c>
      <c r="L1070" s="6">
        <v>9000.0</v>
      </c>
      <c r="M1070" s="8" t="s">
        <v>106</v>
      </c>
      <c r="N1070" s="8" t="s">
        <v>57</v>
      </c>
      <c r="O1070" s="6" t="s">
        <v>214</v>
      </c>
      <c r="P1070" s="5" t="s">
        <v>1891</v>
      </c>
      <c r="Q1070" s="5" t="s">
        <v>1893</v>
      </c>
      <c r="R1070" s="6" t="s">
        <v>42</v>
      </c>
      <c r="S1070" s="5" t="s">
        <v>1894</v>
      </c>
      <c r="T1070" s="5" t="s">
        <v>44</v>
      </c>
      <c r="U1070" s="5" t="s">
        <v>1895</v>
      </c>
      <c r="V1070" s="5" t="s">
        <v>44</v>
      </c>
      <c r="W1070" s="5" t="s">
        <v>35</v>
      </c>
      <c r="X1070" s="8" t="s">
        <v>218</v>
      </c>
      <c r="Y1070" s="5" t="s">
        <v>46</v>
      </c>
      <c r="Z1070" s="5" t="s">
        <v>47</v>
      </c>
      <c r="AA1070" s="5" t="s">
        <v>48</v>
      </c>
      <c r="AB1070" s="5" t="s">
        <v>4885</v>
      </c>
      <c r="AC1070" s="6" t="s">
        <v>620</v>
      </c>
      <c r="AD1070" s="6">
        <v>3502.0</v>
      </c>
    </row>
    <row r="1071" ht="56.25" customHeight="1">
      <c r="A1071" s="5" t="s">
        <v>4769</v>
      </c>
      <c r="B1071" s="6" t="str">
        <f>IMAGE("https://storage.googleapis.com/acdb/housewares/FtrIceBedW_Remake_6_2.png")</f>
        <v/>
      </c>
      <c r="C1071" s="5" t="s">
        <v>4766</v>
      </c>
      <c r="D1071" s="5" t="s">
        <v>34</v>
      </c>
      <c r="E1071" s="5" t="s">
        <v>95</v>
      </c>
      <c r="F1071" s="5" t="s">
        <v>1271</v>
      </c>
      <c r="G1071" s="5" t="s">
        <v>35</v>
      </c>
      <c r="H1071" s="5" t="s">
        <v>36</v>
      </c>
      <c r="I1071" s="5" t="s">
        <v>35</v>
      </c>
      <c r="J1071" s="6">
        <v>8.0</v>
      </c>
      <c r="K1071" s="6" t="s">
        <v>37</v>
      </c>
      <c r="L1071" s="6">
        <v>9000.0</v>
      </c>
      <c r="M1071" s="8" t="s">
        <v>106</v>
      </c>
      <c r="N1071" s="8" t="s">
        <v>95</v>
      </c>
      <c r="O1071" s="6" t="s">
        <v>214</v>
      </c>
      <c r="P1071" s="5" t="s">
        <v>1891</v>
      </c>
      <c r="Q1071" s="5" t="s">
        <v>1893</v>
      </c>
      <c r="R1071" s="6" t="s">
        <v>42</v>
      </c>
      <c r="S1071" s="5" t="s">
        <v>1894</v>
      </c>
      <c r="T1071" s="5" t="s">
        <v>44</v>
      </c>
      <c r="U1071" s="5" t="s">
        <v>1895</v>
      </c>
      <c r="V1071" s="5" t="s">
        <v>44</v>
      </c>
      <c r="W1071" s="5" t="s">
        <v>35</v>
      </c>
      <c r="X1071" s="8" t="s">
        <v>218</v>
      </c>
      <c r="Y1071" s="5" t="s">
        <v>46</v>
      </c>
      <c r="Z1071" s="5" t="s">
        <v>47</v>
      </c>
      <c r="AA1071" s="5" t="s">
        <v>48</v>
      </c>
      <c r="AB1071" s="5" t="s">
        <v>4889</v>
      </c>
      <c r="AC1071" s="6" t="s">
        <v>626</v>
      </c>
      <c r="AD1071" s="6">
        <v>3502.0</v>
      </c>
    </row>
    <row r="1072" ht="56.25" customHeight="1">
      <c r="A1072" s="5" t="s">
        <v>4769</v>
      </c>
      <c r="B1072" s="6" t="str">
        <f>IMAGE("https://storage.googleapis.com/acdb/housewares/FtrIceBedW_Remake_6_3.png")</f>
        <v/>
      </c>
      <c r="C1072" s="5" t="s">
        <v>4766</v>
      </c>
      <c r="D1072" s="5" t="s">
        <v>34</v>
      </c>
      <c r="E1072" s="5" t="s">
        <v>387</v>
      </c>
      <c r="F1072" s="5" t="s">
        <v>1271</v>
      </c>
      <c r="G1072" s="5" t="s">
        <v>35</v>
      </c>
      <c r="H1072" s="5" t="s">
        <v>36</v>
      </c>
      <c r="I1072" s="5" t="s">
        <v>35</v>
      </c>
      <c r="J1072" s="6">
        <v>8.0</v>
      </c>
      <c r="K1072" s="6" t="s">
        <v>37</v>
      </c>
      <c r="L1072" s="6">
        <v>9000.0</v>
      </c>
      <c r="M1072" s="8" t="s">
        <v>106</v>
      </c>
      <c r="N1072" s="8" t="s">
        <v>39</v>
      </c>
      <c r="O1072" s="6" t="s">
        <v>214</v>
      </c>
      <c r="P1072" s="5" t="s">
        <v>1891</v>
      </c>
      <c r="Q1072" s="5" t="s">
        <v>1893</v>
      </c>
      <c r="R1072" s="6" t="s">
        <v>42</v>
      </c>
      <c r="S1072" s="5" t="s">
        <v>1894</v>
      </c>
      <c r="T1072" s="5" t="s">
        <v>44</v>
      </c>
      <c r="U1072" s="5" t="s">
        <v>1895</v>
      </c>
      <c r="V1072" s="5" t="s">
        <v>44</v>
      </c>
      <c r="W1072" s="5" t="s">
        <v>35</v>
      </c>
      <c r="X1072" s="8" t="s">
        <v>218</v>
      </c>
      <c r="Y1072" s="5" t="s">
        <v>46</v>
      </c>
      <c r="Z1072" s="5" t="s">
        <v>47</v>
      </c>
      <c r="AA1072" s="5" t="s">
        <v>48</v>
      </c>
      <c r="AB1072" s="5" t="s">
        <v>4896</v>
      </c>
      <c r="AC1072" s="6" t="s">
        <v>634</v>
      </c>
      <c r="AD1072" s="6">
        <v>3502.0</v>
      </c>
    </row>
    <row r="1073" ht="56.25" customHeight="1">
      <c r="A1073" s="5" t="s">
        <v>4897</v>
      </c>
      <c r="B1073" s="6" t="str">
        <f>IMAGE("https://storage.googleapis.com/acdb/housewares/FtrIceChairS_Remake_0_0.png")</f>
        <v/>
      </c>
      <c r="C1073" s="5" t="s">
        <v>4745</v>
      </c>
      <c r="D1073" s="5" t="s">
        <v>4747</v>
      </c>
      <c r="E1073" s="5" t="s">
        <v>34</v>
      </c>
      <c r="F1073" s="5" t="s">
        <v>34</v>
      </c>
      <c r="G1073" s="5" t="s">
        <v>35</v>
      </c>
      <c r="H1073" s="5" t="s">
        <v>35</v>
      </c>
      <c r="I1073" s="5" t="s">
        <v>36</v>
      </c>
      <c r="J1073" s="6">
        <v>7.0</v>
      </c>
      <c r="K1073" s="6" t="s">
        <v>37</v>
      </c>
      <c r="L1073" s="6">
        <v>6200.0</v>
      </c>
      <c r="M1073" s="8" t="s">
        <v>1175</v>
      </c>
      <c r="N1073" s="8" t="s">
        <v>1175</v>
      </c>
      <c r="O1073" s="6" t="s">
        <v>40</v>
      </c>
      <c r="P1073" s="5" t="s">
        <v>1891</v>
      </c>
      <c r="Q1073" s="5" t="s">
        <v>1893</v>
      </c>
      <c r="R1073" s="6" t="s">
        <v>42</v>
      </c>
      <c r="S1073" s="5" t="s">
        <v>1894</v>
      </c>
      <c r="T1073" s="5" t="s">
        <v>44</v>
      </c>
      <c r="U1073" s="5" t="s">
        <v>1895</v>
      </c>
      <c r="V1073" s="5" t="s">
        <v>44</v>
      </c>
      <c r="W1073" s="5" t="s">
        <v>35</v>
      </c>
      <c r="X1073" s="8" t="s">
        <v>248</v>
      </c>
      <c r="Y1073" s="5" t="s">
        <v>46</v>
      </c>
      <c r="Z1073" s="5" t="s">
        <v>47</v>
      </c>
      <c r="AA1073" s="5" t="s">
        <v>48</v>
      </c>
      <c r="AB1073" s="5" t="s">
        <v>4904</v>
      </c>
      <c r="AC1073" s="6" t="s">
        <v>50</v>
      </c>
      <c r="AD1073" s="6">
        <v>3503.0</v>
      </c>
    </row>
    <row r="1074" ht="56.25" customHeight="1">
      <c r="A1074" s="5" t="s">
        <v>4897</v>
      </c>
      <c r="B1074" s="6" t="str">
        <f>IMAGE("https://storage.googleapis.com/acdb/housewares/FtrIceChairS_Remake_1_0.png")</f>
        <v/>
      </c>
      <c r="C1074" s="5" t="s">
        <v>4751</v>
      </c>
      <c r="D1074" s="5" t="s">
        <v>4747</v>
      </c>
      <c r="E1074" s="5" t="s">
        <v>34</v>
      </c>
      <c r="F1074" s="5" t="s">
        <v>34</v>
      </c>
      <c r="G1074" s="5" t="s">
        <v>35</v>
      </c>
      <c r="H1074" s="5" t="s">
        <v>35</v>
      </c>
      <c r="I1074" s="5" t="s">
        <v>36</v>
      </c>
      <c r="J1074" s="6">
        <v>7.0</v>
      </c>
      <c r="K1074" s="6" t="s">
        <v>37</v>
      </c>
      <c r="L1074" s="6">
        <v>6200.0</v>
      </c>
      <c r="M1074" s="8" t="s">
        <v>68</v>
      </c>
      <c r="N1074" s="8" t="s">
        <v>68</v>
      </c>
      <c r="O1074" s="6" t="s">
        <v>40</v>
      </c>
      <c r="P1074" s="5" t="s">
        <v>1891</v>
      </c>
      <c r="Q1074" s="5" t="s">
        <v>1893</v>
      </c>
      <c r="R1074" s="6" t="s">
        <v>42</v>
      </c>
      <c r="S1074" s="5" t="s">
        <v>1894</v>
      </c>
      <c r="T1074" s="5" t="s">
        <v>44</v>
      </c>
      <c r="U1074" s="5" t="s">
        <v>1895</v>
      </c>
      <c r="V1074" s="5" t="s">
        <v>44</v>
      </c>
      <c r="W1074" s="5" t="s">
        <v>35</v>
      </c>
      <c r="X1074" s="8" t="s">
        <v>248</v>
      </c>
      <c r="Y1074" s="5" t="s">
        <v>46</v>
      </c>
      <c r="Z1074" s="5" t="s">
        <v>47</v>
      </c>
      <c r="AA1074" s="5" t="s">
        <v>48</v>
      </c>
      <c r="AB1074" s="5" t="s">
        <v>4912</v>
      </c>
      <c r="AC1074" s="6" t="s">
        <v>56</v>
      </c>
      <c r="AD1074" s="6">
        <v>3503.0</v>
      </c>
    </row>
    <row r="1075" ht="56.25" customHeight="1">
      <c r="A1075" s="5" t="s">
        <v>4897</v>
      </c>
      <c r="B1075" s="6" t="str">
        <f>IMAGE("https://storage.googleapis.com/acdb/housewares/FtrIceChairS_Remake_2_0.png")</f>
        <v/>
      </c>
      <c r="C1075" s="5" t="s">
        <v>4755</v>
      </c>
      <c r="D1075" s="5" t="s">
        <v>4747</v>
      </c>
      <c r="E1075" s="5" t="s">
        <v>34</v>
      </c>
      <c r="F1075" s="5" t="s">
        <v>34</v>
      </c>
      <c r="G1075" s="5" t="s">
        <v>35</v>
      </c>
      <c r="H1075" s="5" t="s">
        <v>35</v>
      </c>
      <c r="I1075" s="5" t="s">
        <v>36</v>
      </c>
      <c r="J1075" s="6">
        <v>7.0</v>
      </c>
      <c r="K1075" s="6" t="s">
        <v>37</v>
      </c>
      <c r="L1075" s="6">
        <v>6200.0</v>
      </c>
      <c r="M1075" s="8" t="s">
        <v>69</v>
      </c>
      <c r="N1075" s="8" t="s">
        <v>69</v>
      </c>
      <c r="O1075" s="6" t="s">
        <v>40</v>
      </c>
      <c r="P1075" s="5" t="s">
        <v>1891</v>
      </c>
      <c r="Q1075" s="5" t="s">
        <v>1893</v>
      </c>
      <c r="R1075" s="6" t="s">
        <v>42</v>
      </c>
      <c r="S1075" s="5" t="s">
        <v>1894</v>
      </c>
      <c r="T1075" s="5" t="s">
        <v>44</v>
      </c>
      <c r="U1075" s="5" t="s">
        <v>1895</v>
      </c>
      <c r="V1075" s="5" t="s">
        <v>44</v>
      </c>
      <c r="W1075" s="5" t="s">
        <v>35</v>
      </c>
      <c r="X1075" s="8" t="s">
        <v>248</v>
      </c>
      <c r="Y1075" s="5" t="s">
        <v>46</v>
      </c>
      <c r="Z1075" s="5" t="s">
        <v>47</v>
      </c>
      <c r="AA1075" s="5" t="s">
        <v>48</v>
      </c>
      <c r="AB1075" s="5" t="s">
        <v>4918</v>
      </c>
      <c r="AC1075" s="6" t="s">
        <v>67</v>
      </c>
      <c r="AD1075" s="6">
        <v>3503.0</v>
      </c>
    </row>
    <row r="1076" ht="56.25" customHeight="1">
      <c r="A1076" s="5" t="s">
        <v>4897</v>
      </c>
      <c r="B1076" s="6" t="str">
        <f>IMAGE("https://storage.googleapis.com/acdb/housewares/FtrIceChairS_Remake_3_0.png")</f>
        <v/>
      </c>
      <c r="C1076" s="5" t="s">
        <v>4757</v>
      </c>
      <c r="D1076" s="5" t="s">
        <v>4747</v>
      </c>
      <c r="E1076" s="5" t="s">
        <v>34</v>
      </c>
      <c r="F1076" s="5" t="s">
        <v>34</v>
      </c>
      <c r="G1076" s="5" t="s">
        <v>35</v>
      </c>
      <c r="H1076" s="5" t="s">
        <v>35</v>
      </c>
      <c r="I1076" s="5" t="s">
        <v>36</v>
      </c>
      <c r="J1076" s="6">
        <v>7.0</v>
      </c>
      <c r="K1076" s="6" t="s">
        <v>37</v>
      </c>
      <c r="L1076" s="6">
        <v>6200.0</v>
      </c>
      <c r="M1076" s="8" t="s">
        <v>114</v>
      </c>
      <c r="N1076" s="8" t="s">
        <v>114</v>
      </c>
      <c r="O1076" s="6" t="s">
        <v>40</v>
      </c>
      <c r="P1076" s="5" t="s">
        <v>1891</v>
      </c>
      <c r="Q1076" s="5" t="s">
        <v>1893</v>
      </c>
      <c r="R1076" s="6" t="s">
        <v>42</v>
      </c>
      <c r="S1076" s="5" t="s">
        <v>1894</v>
      </c>
      <c r="T1076" s="5" t="s">
        <v>44</v>
      </c>
      <c r="U1076" s="5" t="s">
        <v>1895</v>
      </c>
      <c r="V1076" s="5" t="s">
        <v>44</v>
      </c>
      <c r="W1076" s="5" t="s">
        <v>35</v>
      </c>
      <c r="X1076" s="8" t="s">
        <v>248</v>
      </c>
      <c r="Y1076" s="5" t="s">
        <v>46</v>
      </c>
      <c r="Z1076" s="5" t="s">
        <v>47</v>
      </c>
      <c r="AA1076" s="5" t="s">
        <v>48</v>
      </c>
      <c r="AB1076" s="5" t="s">
        <v>4924</v>
      </c>
      <c r="AC1076" s="6" t="s">
        <v>71</v>
      </c>
      <c r="AD1076" s="6">
        <v>3503.0</v>
      </c>
    </row>
    <row r="1077" ht="56.25" customHeight="1">
      <c r="A1077" s="5" t="s">
        <v>4897</v>
      </c>
      <c r="B1077" s="6" t="str">
        <f>IMAGE("https://storage.googleapis.com/acdb/housewares/FtrIceChairS_Remake_4_0.png")</f>
        <v/>
      </c>
      <c r="C1077" s="5" t="s">
        <v>4760</v>
      </c>
      <c r="D1077" s="5" t="s">
        <v>4747</v>
      </c>
      <c r="E1077" s="5" t="s">
        <v>34</v>
      </c>
      <c r="F1077" s="5" t="s">
        <v>34</v>
      </c>
      <c r="G1077" s="5" t="s">
        <v>35</v>
      </c>
      <c r="H1077" s="5" t="s">
        <v>35</v>
      </c>
      <c r="I1077" s="5" t="s">
        <v>36</v>
      </c>
      <c r="J1077" s="6">
        <v>7.0</v>
      </c>
      <c r="K1077" s="6" t="s">
        <v>37</v>
      </c>
      <c r="L1077" s="6">
        <v>6200.0</v>
      </c>
      <c r="M1077" s="8" t="s">
        <v>142</v>
      </c>
      <c r="N1077" s="8" t="s">
        <v>142</v>
      </c>
      <c r="O1077" s="6" t="s">
        <v>40</v>
      </c>
      <c r="P1077" s="5" t="s">
        <v>1891</v>
      </c>
      <c r="Q1077" s="5" t="s">
        <v>1893</v>
      </c>
      <c r="R1077" s="6" t="s">
        <v>42</v>
      </c>
      <c r="S1077" s="5" t="s">
        <v>1894</v>
      </c>
      <c r="T1077" s="5" t="s">
        <v>44</v>
      </c>
      <c r="U1077" s="5" t="s">
        <v>1895</v>
      </c>
      <c r="V1077" s="5" t="s">
        <v>44</v>
      </c>
      <c r="W1077" s="5" t="s">
        <v>35</v>
      </c>
      <c r="X1077" s="8" t="s">
        <v>248</v>
      </c>
      <c r="Y1077" s="5" t="s">
        <v>46</v>
      </c>
      <c r="Z1077" s="5" t="s">
        <v>47</v>
      </c>
      <c r="AA1077" s="5" t="s">
        <v>48</v>
      </c>
      <c r="AB1077" s="5" t="s">
        <v>4930</v>
      </c>
      <c r="AC1077" s="6" t="s">
        <v>75</v>
      </c>
      <c r="AD1077" s="6">
        <v>3503.0</v>
      </c>
    </row>
    <row r="1078" ht="56.25" customHeight="1">
      <c r="A1078" s="5" t="s">
        <v>4897</v>
      </c>
      <c r="B1078" s="6" t="str">
        <f>IMAGE("https://storage.googleapis.com/acdb/housewares/FtrIceChairS_Remake_5_0.png")</f>
        <v/>
      </c>
      <c r="C1078" s="5" t="s">
        <v>4763</v>
      </c>
      <c r="D1078" s="5" t="s">
        <v>4747</v>
      </c>
      <c r="E1078" s="5" t="s">
        <v>34</v>
      </c>
      <c r="F1078" s="5" t="s">
        <v>34</v>
      </c>
      <c r="G1078" s="5" t="s">
        <v>35</v>
      </c>
      <c r="H1078" s="5" t="s">
        <v>35</v>
      </c>
      <c r="I1078" s="5" t="s">
        <v>36</v>
      </c>
      <c r="J1078" s="6">
        <v>7.0</v>
      </c>
      <c r="K1078" s="6" t="s">
        <v>37</v>
      </c>
      <c r="L1078" s="6">
        <v>6200.0</v>
      </c>
      <c r="M1078" s="8" t="s">
        <v>96</v>
      </c>
      <c r="N1078" s="8" t="s">
        <v>96</v>
      </c>
      <c r="O1078" s="6" t="s">
        <v>40</v>
      </c>
      <c r="P1078" s="5" t="s">
        <v>1891</v>
      </c>
      <c r="Q1078" s="5" t="s">
        <v>1893</v>
      </c>
      <c r="R1078" s="6" t="s">
        <v>42</v>
      </c>
      <c r="S1078" s="5" t="s">
        <v>1894</v>
      </c>
      <c r="T1078" s="5" t="s">
        <v>44</v>
      </c>
      <c r="U1078" s="5" t="s">
        <v>1895</v>
      </c>
      <c r="V1078" s="5" t="s">
        <v>44</v>
      </c>
      <c r="W1078" s="5" t="s">
        <v>35</v>
      </c>
      <c r="X1078" s="8" t="s">
        <v>248</v>
      </c>
      <c r="Y1078" s="5" t="s">
        <v>46</v>
      </c>
      <c r="Z1078" s="5" t="s">
        <v>47</v>
      </c>
      <c r="AA1078" s="5" t="s">
        <v>48</v>
      </c>
      <c r="AB1078" s="5" t="s">
        <v>4936</v>
      </c>
      <c r="AC1078" s="6" t="s">
        <v>79</v>
      </c>
      <c r="AD1078" s="6">
        <v>3503.0</v>
      </c>
    </row>
    <row r="1079" ht="56.25" customHeight="1">
      <c r="A1079" s="5" t="s">
        <v>4897</v>
      </c>
      <c r="B1079" s="6" t="str">
        <f>IMAGE("https://storage.googleapis.com/acdb/housewares/FtrIceChairS_Remake_6_0.png")</f>
        <v/>
      </c>
      <c r="C1079" s="5" t="s">
        <v>4766</v>
      </c>
      <c r="D1079" s="5" t="s">
        <v>4747</v>
      </c>
      <c r="E1079" s="5" t="s">
        <v>34</v>
      </c>
      <c r="F1079" s="5" t="s">
        <v>34</v>
      </c>
      <c r="G1079" s="5" t="s">
        <v>35</v>
      </c>
      <c r="H1079" s="5" t="s">
        <v>35</v>
      </c>
      <c r="I1079" s="5" t="s">
        <v>36</v>
      </c>
      <c r="J1079" s="6">
        <v>7.0</v>
      </c>
      <c r="K1079" s="6" t="s">
        <v>37</v>
      </c>
      <c r="L1079" s="6">
        <v>6200.0</v>
      </c>
      <c r="M1079" s="8" t="s">
        <v>106</v>
      </c>
      <c r="N1079" s="8" t="s">
        <v>106</v>
      </c>
      <c r="O1079" s="6" t="s">
        <v>40</v>
      </c>
      <c r="P1079" s="5" t="s">
        <v>1891</v>
      </c>
      <c r="Q1079" s="5" t="s">
        <v>1893</v>
      </c>
      <c r="R1079" s="6" t="s">
        <v>42</v>
      </c>
      <c r="S1079" s="5" t="s">
        <v>1894</v>
      </c>
      <c r="T1079" s="5" t="s">
        <v>44</v>
      </c>
      <c r="U1079" s="5" t="s">
        <v>1895</v>
      </c>
      <c r="V1079" s="5" t="s">
        <v>44</v>
      </c>
      <c r="W1079" s="5" t="s">
        <v>35</v>
      </c>
      <c r="X1079" s="8" t="s">
        <v>248</v>
      </c>
      <c r="Y1079" s="5" t="s">
        <v>46</v>
      </c>
      <c r="Z1079" s="5" t="s">
        <v>47</v>
      </c>
      <c r="AA1079" s="5" t="s">
        <v>48</v>
      </c>
      <c r="AB1079" s="5" t="s">
        <v>4942</v>
      </c>
      <c r="AC1079" s="6" t="s">
        <v>86</v>
      </c>
      <c r="AD1079" s="6">
        <v>3503.0</v>
      </c>
    </row>
    <row r="1080" ht="56.25" customHeight="1">
      <c r="A1080" s="5" t="s">
        <v>4944</v>
      </c>
      <c r="B1080" s="6" t="str">
        <f>IMAGE("https://storage.googleapis.com/acdb/housewares/FtrIceCounter_Remake_0_0.png")</f>
        <v/>
      </c>
      <c r="C1080" s="5" t="s">
        <v>4745</v>
      </c>
      <c r="D1080" s="5" t="s">
        <v>4747</v>
      </c>
      <c r="E1080" s="5" t="s">
        <v>34</v>
      </c>
      <c r="F1080" s="5" t="s">
        <v>34</v>
      </c>
      <c r="G1080" s="5" t="s">
        <v>35</v>
      </c>
      <c r="H1080" s="5" t="s">
        <v>35</v>
      </c>
      <c r="I1080" s="5" t="s">
        <v>36</v>
      </c>
      <c r="J1080" s="6">
        <v>7.0</v>
      </c>
      <c r="K1080" s="6" t="s">
        <v>37</v>
      </c>
      <c r="L1080" s="6">
        <v>7000.0</v>
      </c>
      <c r="M1080" s="8" t="s">
        <v>1175</v>
      </c>
      <c r="N1080" s="8" t="s">
        <v>1175</v>
      </c>
      <c r="O1080" s="6" t="s">
        <v>276</v>
      </c>
      <c r="P1080" s="5" t="s">
        <v>1891</v>
      </c>
      <c r="Q1080" s="5" t="s">
        <v>1893</v>
      </c>
      <c r="R1080" s="6" t="s">
        <v>42</v>
      </c>
      <c r="S1080" s="5" t="s">
        <v>1894</v>
      </c>
      <c r="T1080" s="5" t="s">
        <v>44</v>
      </c>
      <c r="U1080" s="5" t="s">
        <v>1895</v>
      </c>
      <c r="V1080" s="5" t="s">
        <v>44</v>
      </c>
      <c r="W1080" s="5" t="s">
        <v>36</v>
      </c>
      <c r="X1080" s="8" t="s">
        <v>278</v>
      </c>
      <c r="Y1080" s="5" t="s">
        <v>46</v>
      </c>
      <c r="Z1080" s="5" t="s">
        <v>47</v>
      </c>
      <c r="AA1080" s="5" t="s">
        <v>48</v>
      </c>
      <c r="AB1080" s="5" t="s">
        <v>4950</v>
      </c>
      <c r="AC1080" s="6" t="s">
        <v>50</v>
      </c>
      <c r="AD1080" s="6">
        <v>3505.0</v>
      </c>
    </row>
    <row r="1081" ht="56.25" customHeight="1">
      <c r="A1081" s="5" t="s">
        <v>4944</v>
      </c>
      <c r="B1081" s="6" t="str">
        <f>IMAGE("https://storage.googleapis.com/acdb/housewares/FtrIceCounter_Remake_1_0.png")</f>
        <v/>
      </c>
      <c r="C1081" s="5" t="s">
        <v>4751</v>
      </c>
      <c r="D1081" s="5" t="s">
        <v>4747</v>
      </c>
      <c r="E1081" s="5" t="s">
        <v>34</v>
      </c>
      <c r="F1081" s="5" t="s">
        <v>34</v>
      </c>
      <c r="G1081" s="5" t="s">
        <v>35</v>
      </c>
      <c r="H1081" s="5" t="s">
        <v>35</v>
      </c>
      <c r="I1081" s="5" t="s">
        <v>36</v>
      </c>
      <c r="J1081" s="6">
        <v>7.0</v>
      </c>
      <c r="K1081" s="6" t="s">
        <v>37</v>
      </c>
      <c r="L1081" s="6">
        <v>7000.0</v>
      </c>
      <c r="M1081" s="8" t="s">
        <v>68</v>
      </c>
      <c r="N1081" s="8" t="s">
        <v>68</v>
      </c>
      <c r="O1081" s="6" t="s">
        <v>276</v>
      </c>
      <c r="P1081" s="5" t="s">
        <v>1891</v>
      </c>
      <c r="Q1081" s="5" t="s">
        <v>1893</v>
      </c>
      <c r="R1081" s="6" t="s">
        <v>42</v>
      </c>
      <c r="S1081" s="5" t="s">
        <v>1894</v>
      </c>
      <c r="T1081" s="5" t="s">
        <v>44</v>
      </c>
      <c r="U1081" s="5" t="s">
        <v>1895</v>
      </c>
      <c r="V1081" s="5" t="s">
        <v>44</v>
      </c>
      <c r="W1081" s="5" t="s">
        <v>36</v>
      </c>
      <c r="X1081" s="8" t="s">
        <v>278</v>
      </c>
      <c r="Y1081" s="5" t="s">
        <v>46</v>
      </c>
      <c r="Z1081" s="5" t="s">
        <v>47</v>
      </c>
      <c r="AA1081" s="5" t="s">
        <v>48</v>
      </c>
      <c r="AB1081" s="5" t="s">
        <v>4954</v>
      </c>
      <c r="AC1081" s="6" t="s">
        <v>56</v>
      </c>
      <c r="AD1081" s="6">
        <v>3505.0</v>
      </c>
    </row>
    <row r="1082" ht="56.25" customHeight="1">
      <c r="A1082" s="5" t="s">
        <v>4944</v>
      </c>
      <c r="B1082" s="6" t="str">
        <f>IMAGE("https://storage.googleapis.com/acdb/housewares/FtrIceCounter_Remake_2_0.png")</f>
        <v/>
      </c>
      <c r="C1082" s="5" t="s">
        <v>4755</v>
      </c>
      <c r="D1082" s="5" t="s">
        <v>4747</v>
      </c>
      <c r="E1082" s="5" t="s">
        <v>34</v>
      </c>
      <c r="F1082" s="5" t="s">
        <v>34</v>
      </c>
      <c r="G1082" s="5" t="s">
        <v>35</v>
      </c>
      <c r="H1082" s="5" t="s">
        <v>35</v>
      </c>
      <c r="I1082" s="5" t="s">
        <v>36</v>
      </c>
      <c r="J1082" s="6">
        <v>7.0</v>
      </c>
      <c r="K1082" s="6" t="s">
        <v>37</v>
      </c>
      <c r="L1082" s="6">
        <v>7000.0</v>
      </c>
      <c r="M1082" s="8" t="s">
        <v>69</v>
      </c>
      <c r="N1082" s="8" t="s">
        <v>69</v>
      </c>
      <c r="O1082" s="6" t="s">
        <v>276</v>
      </c>
      <c r="P1082" s="5" t="s">
        <v>1891</v>
      </c>
      <c r="Q1082" s="5" t="s">
        <v>1893</v>
      </c>
      <c r="R1082" s="6" t="s">
        <v>42</v>
      </c>
      <c r="S1082" s="5" t="s">
        <v>1894</v>
      </c>
      <c r="T1082" s="5" t="s">
        <v>44</v>
      </c>
      <c r="U1082" s="5" t="s">
        <v>1895</v>
      </c>
      <c r="V1082" s="5" t="s">
        <v>44</v>
      </c>
      <c r="W1082" s="5" t="s">
        <v>36</v>
      </c>
      <c r="X1082" s="8" t="s">
        <v>278</v>
      </c>
      <c r="Y1082" s="5" t="s">
        <v>46</v>
      </c>
      <c r="Z1082" s="5" t="s">
        <v>47</v>
      </c>
      <c r="AA1082" s="5" t="s">
        <v>48</v>
      </c>
      <c r="AB1082" s="5" t="s">
        <v>4960</v>
      </c>
      <c r="AC1082" s="6" t="s">
        <v>67</v>
      </c>
      <c r="AD1082" s="6">
        <v>3505.0</v>
      </c>
    </row>
    <row r="1083" ht="56.25" customHeight="1">
      <c r="A1083" s="5" t="s">
        <v>4944</v>
      </c>
      <c r="B1083" s="6" t="str">
        <f>IMAGE("https://storage.googleapis.com/acdb/housewares/FtrIceCounter_Remake_3_0.png")</f>
        <v/>
      </c>
      <c r="C1083" s="5" t="s">
        <v>4757</v>
      </c>
      <c r="D1083" s="5" t="s">
        <v>4747</v>
      </c>
      <c r="E1083" s="5" t="s">
        <v>34</v>
      </c>
      <c r="F1083" s="5" t="s">
        <v>34</v>
      </c>
      <c r="G1083" s="5" t="s">
        <v>35</v>
      </c>
      <c r="H1083" s="5" t="s">
        <v>35</v>
      </c>
      <c r="I1083" s="5" t="s">
        <v>36</v>
      </c>
      <c r="J1083" s="6">
        <v>7.0</v>
      </c>
      <c r="K1083" s="6" t="s">
        <v>37</v>
      </c>
      <c r="L1083" s="6">
        <v>7000.0</v>
      </c>
      <c r="M1083" s="8" t="s">
        <v>114</v>
      </c>
      <c r="N1083" s="8" t="s">
        <v>114</v>
      </c>
      <c r="O1083" s="6" t="s">
        <v>276</v>
      </c>
      <c r="P1083" s="5" t="s">
        <v>1891</v>
      </c>
      <c r="Q1083" s="5" t="s">
        <v>1893</v>
      </c>
      <c r="R1083" s="6" t="s">
        <v>42</v>
      </c>
      <c r="S1083" s="5" t="s">
        <v>1894</v>
      </c>
      <c r="T1083" s="5" t="s">
        <v>44</v>
      </c>
      <c r="U1083" s="5" t="s">
        <v>1895</v>
      </c>
      <c r="V1083" s="5" t="s">
        <v>44</v>
      </c>
      <c r="W1083" s="5" t="s">
        <v>36</v>
      </c>
      <c r="X1083" s="8" t="s">
        <v>278</v>
      </c>
      <c r="Y1083" s="5" t="s">
        <v>46</v>
      </c>
      <c r="Z1083" s="5" t="s">
        <v>47</v>
      </c>
      <c r="AA1083" s="5" t="s">
        <v>48</v>
      </c>
      <c r="AB1083" s="5" t="s">
        <v>4966</v>
      </c>
      <c r="AC1083" s="6" t="s">
        <v>71</v>
      </c>
      <c r="AD1083" s="6">
        <v>3505.0</v>
      </c>
    </row>
    <row r="1084" ht="56.25" customHeight="1">
      <c r="A1084" s="5" t="s">
        <v>4944</v>
      </c>
      <c r="B1084" s="6" t="str">
        <f>IMAGE("https://storage.googleapis.com/acdb/housewares/FtrIceCounter_Remake_4_0.png")</f>
        <v/>
      </c>
      <c r="C1084" s="5" t="s">
        <v>4760</v>
      </c>
      <c r="D1084" s="5" t="s">
        <v>4747</v>
      </c>
      <c r="E1084" s="5" t="s">
        <v>34</v>
      </c>
      <c r="F1084" s="5" t="s">
        <v>34</v>
      </c>
      <c r="G1084" s="5" t="s">
        <v>35</v>
      </c>
      <c r="H1084" s="5" t="s">
        <v>35</v>
      </c>
      <c r="I1084" s="5" t="s">
        <v>36</v>
      </c>
      <c r="J1084" s="6">
        <v>7.0</v>
      </c>
      <c r="K1084" s="6" t="s">
        <v>37</v>
      </c>
      <c r="L1084" s="6">
        <v>7000.0</v>
      </c>
      <c r="M1084" s="8" t="s">
        <v>142</v>
      </c>
      <c r="N1084" s="8" t="s">
        <v>142</v>
      </c>
      <c r="O1084" s="6" t="s">
        <v>276</v>
      </c>
      <c r="P1084" s="5" t="s">
        <v>1891</v>
      </c>
      <c r="Q1084" s="5" t="s">
        <v>1893</v>
      </c>
      <c r="R1084" s="6" t="s">
        <v>42</v>
      </c>
      <c r="S1084" s="5" t="s">
        <v>1894</v>
      </c>
      <c r="T1084" s="5" t="s">
        <v>44</v>
      </c>
      <c r="U1084" s="5" t="s">
        <v>1895</v>
      </c>
      <c r="V1084" s="5" t="s">
        <v>44</v>
      </c>
      <c r="W1084" s="5" t="s">
        <v>36</v>
      </c>
      <c r="X1084" s="8" t="s">
        <v>278</v>
      </c>
      <c r="Y1084" s="5" t="s">
        <v>46</v>
      </c>
      <c r="Z1084" s="5" t="s">
        <v>47</v>
      </c>
      <c r="AA1084" s="5" t="s">
        <v>48</v>
      </c>
      <c r="AB1084" s="5" t="s">
        <v>4971</v>
      </c>
      <c r="AC1084" s="6" t="s">
        <v>75</v>
      </c>
      <c r="AD1084" s="6">
        <v>3505.0</v>
      </c>
    </row>
    <row r="1085" ht="56.25" customHeight="1">
      <c r="A1085" s="5" t="s">
        <v>4944</v>
      </c>
      <c r="B1085" s="6" t="str">
        <f>IMAGE("https://storage.googleapis.com/acdb/housewares/FtrIceCounter_Remake_5_0.png")</f>
        <v/>
      </c>
      <c r="C1085" s="5" t="s">
        <v>4763</v>
      </c>
      <c r="D1085" s="5" t="s">
        <v>4747</v>
      </c>
      <c r="E1085" s="5" t="s">
        <v>34</v>
      </c>
      <c r="F1085" s="5" t="s">
        <v>34</v>
      </c>
      <c r="G1085" s="5" t="s">
        <v>35</v>
      </c>
      <c r="H1085" s="5" t="s">
        <v>35</v>
      </c>
      <c r="I1085" s="5" t="s">
        <v>36</v>
      </c>
      <c r="J1085" s="6">
        <v>7.0</v>
      </c>
      <c r="K1085" s="6" t="s">
        <v>37</v>
      </c>
      <c r="L1085" s="6">
        <v>7000.0</v>
      </c>
      <c r="M1085" s="8" t="s">
        <v>96</v>
      </c>
      <c r="N1085" s="8" t="s">
        <v>96</v>
      </c>
      <c r="O1085" s="6" t="s">
        <v>276</v>
      </c>
      <c r="P1085" s="5" t="s">
        <v>1891</v>
      </c>
      <c r="Q1085" s="5" t="s">
        <v>1893</v>
      </c>
      <c r="R1085" s="6" t="s">
        <v>42</v>
      </c>
      <c r="S1085" s="5" t="s">
        <v>1894</v>
      </c>
      <c r="T1085" s="5" t="s">
        <v>44</v>
      </c>
      <c r="U1085" s="5" t="s">
        <v>1895</v>
      </c>
      <c r="V1085" s="5" t="s">
        <v>44</v>
      </c>
      <c r="W1085" s="5" t="s">
        <v>36</v>
      </c>
      <c r="X1085" s="8" t="s">
        <v>278</v>
      </c>
      <c r="Y1085" s="5" t="s">
        <v>46</v>
      </c>
      <c r="Z1085" s="5" t="s">
        <v>47</v>
      </c>
      <c r="AA1085" s="5" t="s">
        <v>48</v>
      </c>
      <c r="AB1085" s="5" t="s">
        <v>4977</v>
      </c>
      <c r="AC1085" s="6" t="s">
        <v>79</v>
      </c>
      <c r="AD1085" s="6">
        <v>3505.0</v>
      </c>
    </row>
    <row r="1086" ht="56.25" customHeight="1">
      <c r="A1086" s="5" t="s">
        <v>4944</v>
      </c>
      <c r="B1086" s="6" t="str">
        <f>IMAGE("https://storage.googleapis.com/acdb/housewares/FtrIceCounter_Remake_6_0.png")</f>
        <v/>
      </c>
      <c r="C1086" s="5" t="s">
        <v>4766</v>
      </c>
      <c r="D1086" s="5" t="s">
        <v>4747</v>
      </c>
      <c r="E1086" s="5" t="s">
        <v>34</v>
      </c>
      <c r="F1086" s="5" t="s">
        <v>34</v>
      </c>
      <c r="G1086" s="5" t="s">
        <v>35</v>
      </c>
      <c r="H1086" s="5" t="s">
        <v>35</v>
      </c>
      <c r="I1086" s="5" t="s">
        <v>36</v>
      </c>
      <c r="J1086" s="6">
        <v>7.0</v>
      </c>
      <c r="K1086" s="6" t="s">
        <v>37</v>
      </c>
      <c r="L1086" s="6">
        <v>7000.0</v>
      </c>
      <c r="M1086" s="8" t="s">
        <v>106</v>
      </c>
      <c r="N1086" s="8" t="s">
        <v>106</v>
      </c>
      <c r="O1086" s="6" t="s">
        <v>276</v>
      </c>
      <c r="P1086" s="5" t="s">
        <v>1891</v>
      </c>
      <c r="Q1086" s="5" t="s">
        <v>1893</v>
      </c>
      <c r="R1086" s="6" t="s">
        <v>42</v>
      </c>
      <c r="S1086" s="5" t="s">
        <v>1894</v>
      </c>
      <c r="T1086" s="5" t="s">
        <v>44</v>
      </c>
      <c r="U1086" s="5" t="s">
        <v>1895</v>
      </c>
      <c r="V1086" s="5" t="s">
        <v>44</v>
      </c>
      <c r="W1086" s="5" t="s">
        <v>36</v>
      </c>
      <c r="X1086" s="8" t="s">
        <v>278</v>
      </c>
      <c r="Y1086" s="5" t="s">
        <v>46</v>
      </c>
      <c r="Z1086" s="5" t="s">
        <v>47</v>
      </c>
      <c r="AA1086" s="5" t="s">
        <v>48</v>
      </c>
      <c r="AB1086" s="5" t="s">
        <v>4983</v>
      </c>
      <c r="AC1086" s="6" t="s">
        <v>86</v>
      </c>
      <c r="AD1086" s="6">
        <v>3505.0</v>
      </c>
    </row>
    <row r="1087" ht="56.25" customHeight="1">
      <c r="A1087" s="5" t="s">
        <v>4984</v>
      </c>
      <c r="B1087" s="6" t="str">
        <f>IMAGE("https://storage.googleapis.com/acdb/housewares/FtrIceScreen_Remake_0_0.png")</f>
        <v/>
      </c>
      <c r="C1087" s="5" t="s">
        <v>4745</v>
      </c>
      <c r="D1087" s="5" t="s">
        <v>4747</v>
      </c>
      <c r="E1087" s="5" t="s">
        <v>34</v>
      </c>
      <c r="F1087" s="5" t="s">
        <v>34</v>
      </c>
      <c r="G1087" s="5" t="s">
        <v>35</v>
      </c>
      <c r="H1087" s="5" t="s">
        <v>35</v>
      </c>
      <c r="I1087" s="5" t="s">
        <v>36</v>
      </c>
      <c r="J1087" s="6">
        <v>7.0</v>
      </c>
      <c r="K1087" s="6" t="s">
        <v>37</v>
      </c>
      <c r="L1087" s="6">
        <v>7400.0</v>
      </c>
      <c r="M1087" s="8" t="s">
        <v>1175</v>
      </c>
      <c r="N1087" s="8" t="s">
        <v>1175</v>
      </c>
      <c r="O1087" s="6" t="s">
        <v>714</v>
      </c>
      <c r="P1087" s="5" t="s">
        <v>1891</v>
      </c>
      <c r="Q1087" s="5" t="s">
        <v>1893</v>
      </c>
      <c r="R1087" s="6" t="s">
        <v>42</v>
      </c>
      <c r="S1087" s="5" t="s">
        <v>1894</v>
      </c>
      <c r="T1087" s="5" t="s">
        <v>44</v>
      </c>
      <c r="U1087" s="5" t="s">
        <v>1895</v>
      </c>
      <c r="V1087" s="5" t="s">
        <v>44</v>
      </c>
      <c r="W1087" s="5" t="s">
        <v>36</v>
      </c>
      <c r="X1087" s="8" t="s">
        <v>590</v>
      </c>
      <c r="Y1087" s="5" t="s">
        <v>46</v>
      </c>
      <c r="Z1087" s="5" t="s">
        <v>47</v>
      </c>
      <c r="AA1087" s="5" t="s">
        <v>48</v>
      </c>
      <c r="AB1087" s="5" t="s">
        <v>4991</v>
      </c>
      <c r="AC1087" s="6" t="s">
        <v>50</v>
      </c>
      <c r="AD1087" s="6">
        <v>3498.0</v>
      </c>
    </row>
    <row r="1088" ht="56.25" customHeight="1">
      <c r="A1088" s="5" t="s">
        <v>4984</v>
      </c>
      <c r="B1088" s="6" t="str">
        <f>IMAGE("https://storage.googleapis.com/acdb/housewares/FtrIceScreen_Remake_1_0.png")</f>
        <v/>
      </c>
      <c r="C1088" s="5" t="s">
        <v>4751</v>
      </c>
      <c r="D1088" s="5" t="s">
        <v>4747</v>
      </c>
      <c r="E1088" s="5" t="s">
        <v>34</v>
      </c>
      <c r="F1088" s="5" t="s">
        <v>34</v>
      </c>
      <c r="G1088" s="5" t="s">
        <v>35</v>
      </c>
      <c r="H1088" s="5" t="s">
        <v>35</v>
      </c>
      <c r="I1088" s="5" t="s">
        <v>36</v>
      </c>
      <c r="J1088" s="6">
        <v>7.0</v>
      </c>
      <c r="K1088" s="6" t="s">
        <v>37</v>
      </c>
      <c r="L1088" s="6">
        <v>7400.0</v>
      </c>
      <c r="M1088" s="8" t="s">
        <v>68</v>
      </c>
      <c r="N1088" s="8" t="s">
        <v>68</v>
      </c>
      <c r="O1088" s="6" t="s">
        <v>714</v>
      </c>
      <c r="P1088" s="5" t="s">
        <v>1891</v>
      </c>
      <c r="Q1088" s="5" t="s">
        <v>1893</v>
      </c>
      <c r="R1088" s="6" t="s">
        <v>42</v>
      </c>
      <c r="S1088" s="5" t="s">
        <v>1894</v>
      </c>
      <c r="T1088" s="5" t="s">
        <v>44</v>
      </c>
      <c r="U1088" s="5" t="s">
        <v>1895</v>
      </c>
      <c r="V1088" s="5" t="s">
        <v>44</v>
      </c>
      <c r="W1088" s="5" t="s">
        <v>36</v>
      </c>
      <c r="X1088" s="8" t="s">
        <v>590</v>
      </c>
      <c r="Y1088" s="5" t="s">
        <v>46</v>
      </c>
      <c r="Z1088" s="5" t="s">
        <v>47</v>
      </c>
      <c r="AA1088" s="5" t="s">
        <v>48</v>
      </c>
      <c r="AB1088" s="5" t="s">
        <v>4997</v>
      </c>
      <c r="AC1088" s="6" t="s">
        <v>56</v>
      </c>
      <c r="AD1088" s="6">
        <v>3498.0</v>
      </c>
    </row>
    <row r="1089" ht="56.25" customHeight="1">
      <c r="A1089" s="5" t="s">
        <v>4984</v>
      </c>
      <c r="B1089" s="6" t="str">
        <f>IMAGE("https://storage.googleapis.com/acdb/housewares/FtrIceScreen_Remake_2_0.png")</f>
        <v/>
      </c>
      <c r="C1089" s="5" t="s">
        <v>4755</v>
      </c>
      <c r="D1089" s="5" t="s">
        <v>4747</v>
      </c>
      <c r="E1089" s="5" t="s">
        <v>34</v>
      </c>
      <c r="F1089" s="5" t="s">
        <v>34</v>
      </c>
      <c r="G1089" s="5" t="s">
        <v>35</v>
      </c>
      <c r="H1089" s="5" t="s">
        <v>35</v>
      </c>
      <c r="I1089" s="5" t="s">
        <v>36</v>
      </c>
      <c r="J1089" s="6">
        <v>7.0</v>
      </c>
      <c r="K1089" s="6" t="s">
        <v>37</v>
      </c>
      <c r="L1089" s="6">
        <v>7400.0</v>
      </c>
      <c r="M1089" s="8" t="s">
        <v>69</v>
      </c>
      <c r="N1089" s="8" t="s">
        <v>69</v>
      </c>
      <c r="O1089" s="6" t="s">
        <v>714</v>
      </c>
      <c r="P1089" s="5" t="s">
        <v>1891</v>
      </c>
      <c r="Q1089" s="5" t="s">
        <v>1893</v>
      </c>
      <c r="R1089" s="6" t="s">
        <v>42</v>
      </c>
      <c r="S1089" s="5" t="s">
        <v>1894</v>
      </c>
      <c r="T1089" s="5" t="s">
        <v>44</v>
      </c>
      <c r="U1089" s="5" t="s">
        <v>1895</v>
      </c>
      <c r="V1089" s="5" t="s">
        <v>44</v>
      </c>
      <c r="W1089" s="5" t="s">
        <v>36</v>
      </c>
      <c r="X1089" s="8" t="s">
        <v>590</v>
      </c>
      <c r="Y1089" s="5" t="s">
        <v>46</v>
      </c>
      <c r="Z1089" s="5" t="s">
        <v>47</v>
      </c>
      <c r="AA1089" s="5" t="s">
        <v>48</v>
      </c>
      <c r="AB1089" s="5" t="s">
        <v>5003</v>
      </c>
      <c r="AC1089" s="6" t="s">
        <v>67</v>
      </c>
      <c r="AD1089" s="6">
        <v>3498.0</v>
      </c>
    </row>
    <row r="1090" ht="56.25" customHeight="1">
      <c r="A1090" s="5" t="s">
        <v>4984</v>
      </c>
      <c r="B1090" s="6" t="str">
        <f>IMAGE("https://storage.googleapis.com/acdb/housewares/FtrIceScreen_Remake_3_0.png")</f>
        <v/>
      </c>
      <c r="C1090" s="5" t="s">
        <v>4757</v>
      </c>
      <c r="D1090" s="5" t="s">
        <v>4747</v>
      </c>
      <c r="E1090" s="5" t="s">
        <v>34</v>
      </c>
      <c r="F1090" s="5" t="s">
        <v>34</v>
      </c>
      <c r="G1090" s="5" t="s">
        <v>35</v>
      </c>
      <c r="H1090" s="5" t="s">
        <v>35</v>
      </c>
      <c r="I1090" s="5" t="s">
        <v>36</v>
      </c>
      <c r="J1090" s="6">
        <v>7.0</v>
      </c>
      <c r="K1090" s="6" t="s">
        <v>37</v>
      </c>
      <c r="L1090" s="6">
        <v>7400.0</v>
      </c>
      <c r="M1090" s="8" t="s">
        <v>114</v>
      </c>
      <c r="N1090" s="8" t="s">
        <v>114</v>
      </c>
      <c r="O1090" s="6" t="s">
        <v>714</v>
      </c>
      <c r="P1090" s="5" t="s">
        <v>1891</v>
      </c>
      <c r="Q1090" s="5" t="s">
        <v>1893</v>
      </c>
      <c r="R1090" s="6" t="s">
        <v>42</v>
      </c>
      <c r="S1090" s="5" t="s">
        <v>1894</v>
      </c>
      <c r="T1090" s="5" t="s">
        <v>44</v>
      </c>
      <c r="U1090" s="5" t="s">
        <v>1895</v>
      </c>
      <c r="V1090" s="5" t="s">
        <v>44</v>
      </c>
      <c r="W1090" s="5" t="s">
        <v>36</v>
      </c>
      <c r="X1090" s="8" t="s">
        <v>590</v>
      </c>
      <c r="Y1090" s="5" t="s">
        <v>46</v>
      </c>
      <c r="Z1090" s="5" t="s">
        <v>47</v>
      </c>
      <c r="AA1090" s="5" t="s">
        <v>48</v>
      </c>
      <c r="AB1090" s="5" t="s">
        <v>5009</v>
      </c>
      <c r="AC1090" s="6" t="s">
        <v>71</v>
      </c>
      <c r="AD1090" s="6">
        <v>3498.0</v>
      </c>
    </row>
    <row r="1091" ht="56.25" customHeight="1">
      <c r="A1091" s="5" t="s">
        <v>4984</v>
      </c>
      <c r="B1091" s="6" t="str">
        <f>IMAGE("https://storage.googleapis.com/acdb/housewares/FtrIceScreen_Remake_4_0.png")</f>
        <v/>
      </c>
      <c r="C1091" s="5" t="s">
        <v>4760</v>
      </c>
      <c r="D1091" s="5" t="s">
        <v>4747</v>
      </c>
      <c r="E1091" s="5" t="s">
        <v>34</v>
      </c>
      <c r="F1091" s="5" t="s">
        <v>34</v>
      </c>
      <c r="G1091" s="5" t="s">
        <v>35</v>
      </c>
      <c r="H1091" s="5" t="s">
        <v>35</v>
      </c>
      <c r="I1091" s="5" t="s">
        <v>36</v>
      </c>
      <c r="J1091" s="6">
        <v>7.0</v>
      </c>
      <c r="K1091" s="6" t="s">
        <v>37</v>
      </c>
      <c r="L1091" s="6">
        <v>7400.0</v>
      </c>
      <c r="M1091" s="8" t="s">
        <v>142</v>
      </c>
      <c r="N1091" s="8" t="s">
        <v>142</v>
      </c>
      <c r="O1091" s="6" t="s">
        <v>714</v>
      </c>
      <c r="P1091" s="5" t="s">
        <v>1891</v>
      </c>
      <c r="Q1091" s="5" t="s">
        <v>1893</v>
      </c>
      <c r="R1091" s="6" t="s">
        <v>42</v>
      </c>
      <c r="S1091" s="5" t="s">
        <v>1894</v>
      </c>
      <c r="T1091" s="5" t="s">
        <v>44</v>
      </c>
      <c r="U1091" s="5" t="s">
        <v>1895</v>
      </c>
      <c r="V1091" s="5" t="s">
        <v>44</v>
      </c>
      <c r="W1091" s="5" t="s">
        <v>36</v>
      </c>
      <c r="X1091" s="8" t="s">
        <v>590</v>
      </c>
      <c r="Y1091" s="5" t="s">
        <v>46</v>
      </c>
      <c r="Z1091" s="5" t="s">
        <v>47</v>
      </c>
      <c r="AA1091" s="5" t="s">
        <v>48</v>
      </c>
      <c r="AB1091" s="5" t="s">
        <v>5015</v>
      </c>
      <c r="AC1091" s="6" t="s">
        <v>75</v>
      </c>
      <c r="AD1091" s="6">
        <v>3498.0</v>
      </c>
    </row>
    <row r="1092" ht="56.25" customHeight="1">
      <c r="A1092" s="5" t="s">
        <v>4984</v>
      </c>
      <c r="B1092" s="6" t="str">
        <f>IMAGE("https://storage.googleapis.com/acdb/housewares/FtrIceScreen_Remake_5_0.png")</f>
        <v/>
      </c>
      <c r="C1092" s="5" t="s">
        <v>4763</v>
      </c>
      <c r="D1092" s="5" t="s">
        <v>4747</v>
      </c>
      <c r="E1092" s="5" t="s">
        <v>34</v>
      </c>
      <c r="F1092" s="5" t="s">
        <v>34</v>
      </c>
      <c r="G1092" s="5" t="s">
        <v>35</v>
      </c>
      <c r="H1092" s="5" t="s">
        <v>35</v>
      </c>
      <c r="I1092" s="5" t="s">
        <v>36</v>
      </c>
      <c r="J1092" s="6">
        <v>7.0</v>
      </c>
      <c r="K1092" s="6" t="s">
        <v>37</v>
      </c>
      <c r="L1092" s="6">
        <v>7400.0</v>
      </c>
      <c r="M1092" s="8" t="s">
        <v>96</v>
      </c>
      <c r="N1092" s="8" t="s">
        <v>96</v>
      </c>
      <c r="O1092" s="6" t="s">
        <v>714</v>
      </c>
      <c r="P1092" s="5" t="s">
        <v>1891</v>
      </c>
      <c r="Q1092" s="5" t="s">
        <v>1893</v>
      </c>
      <c r="R1092" s="6" t="s">
        <v>42</v>
      </c>
      <c r="S1092" s="5" t="s">
        <v>1894</v>
      </c>
      <c r="T1092" s="5" t="s">
        <v>44</v>
      </c>
      <c r="U1092" s="5" t="s">
        <v>1895</v>
      </c>
      <c r="V1092" s="5" t="s">
        <v>44</v>
      </c>
      <c r="W1092" s="5" t="s">
        <v>36</v>
      </c>
      <c r="X1092" s="8" t="s">
        <v>590</v>
      </c>
      <c r="Y1092" s="5" t="s">
        <v>46</v>
      </c>
      <c r="Z1092" s="5" t="s">
        <v>47</v>
      </c>
      <c r="AA1092" s="5" t="s">
        <v>48</v>
      </c>
      <c r="AB1092" s="5" t="s">
        <v>5019</v>
      </c>
      <c r="AC1092" s="6" t="s">
        <v>79</v>
      </c>
      <c r="AD1092" s="6">
        <v>3498.0</v>
      </c>
    </row>
    <row r="1093" ht="56.25" customHeight="1">
      <c r="A1093" s="5" t="s">
        <v>4984</v>
      </c>
      <c r="B1093" s="6" t="str">
        <f>IMAGE("https://storage.googleapis.com/acdb/housewares/FtrIceScreen_Remake_6_0.png")</f>
        <v/>
      </c>
      <c r="C1093" s="5" t="s">
        <v>4766</v>
      </c>
      <c r="D1093" s="5" t="s">
        <v>4747</v>
      </c>
      <c r="E1093" s="5" t="s">
        <v>34</v>
      </c>
      <c r="F1093" s="5" t="s">
        <v>34</v>
      </c>
      <c r="G1093" s="5" t="s">
        <v>35</v>
      </c>
      <c r="H1093" s="5" t="s">
        <v>35</v>
      </c>
      <c r="I1093" s="5" t="s">
        <v>36</v>
      </c>
      <c r="J1093" s="6">
        <v>7.0</v>
      </c>
      <c r="K1093" s="6" t="s">
        <v>37</v>
      </c>
      <c r="L1093" s="6">
        <v>7400.0</v>
      </c>
      <c r="M1093" s="8" t="s">
        <v>106</v>
      </c>
      <c r="N1093" s="8" t="s">
        <v>106</v>
      </c>
      <c r="O1093" s="6" t="s">
        <v>714</v>
      </c>
      <c r="P1093" s="5" t="s">
        <v>1891</v>
      </c>
      <c r="Q1093" s="5" t="s">
        <v>1893</v>
      </c>
      <c r="R1093" s="6" t="s">
        <v>42</v>
      </c>
      <c r="S1093" s="5" t="s">
        <v>1894</v>
      </c>
      <c r="T1093" s="5" t="s">
        <v>44</v>
      </c>
      <c r="U1093" s="5" t="s">
        <v>1895</v>
      </c>
      <c r="V1093" s="5" t="s">
        <v>44</v>
      </c>
      <c r="W1093" s="5" t="s">
        <v>36</v>
      </c>
      <c r="X1093" s="8" t="s">
        <v>590</v>
      </c>
      <c r="Y1093" s="5" t="s">
        <v>46</v>
      </c>
      <c r="Z1093" s="5" t="s">
        <v>47</v>
      </c>
      <c r="AA1093" s="5" t="s">
        <v>48</v>
      </c>
      <c r="AB1093" s="5" t="s">
        <v>5023</v>
      </c>
      <c r="AC1093" s="6" t="s">
        <v>86</v>
      </c>
      <c r="AD1093" s="6">
        <v>3498.0</v>
      </c>
    </row>
    <row r="1094" ht="56.25" customHeight="1">
      <c r="A1094" s="5" t="s">
        <v>5025</v>
      </c>
      <c r="B1094" s="6" t="str">
        <f>IMAGE("https://storage.googleapis.com/acdb/housewares/FtrIcePillar_Remake_0_0.png")</f>
        <v/>
      </c>
      <c r="C1094" s="5" t="s">
        <v>4745</v>
      </c>
      <c r="D1094" s="5" t="s">
        <v>4747</v>
      </c>
      <c r="E1094" s="5" t="s">
        <v>34</v>
      </c>
      <c r="F1094" s="5" t="s">
        <v>34</v>
      </c>
      <c r="G1094" s="5" t="s">
        <v>35</v>
      </c>
      <c r="H1094" s="5" t="s">
        <v>35</v>
      </c>
      <c r="I1094" s="5" t="s">
        <v>36</v>
      </c>
      <c r="J1094" s="6">
        <v>7.0</v>
      </c>
      <c r="K1094" s="6" t="s">
        <v>37</v>
      </c>
      <c r="L1094" s="6">
        <v>6200.0</v>
      </c>
      <c r="M1094" s="8" t="s">
        <v>1175</v>
      </c>
      <c r="N1094" s="8" t="s">
        <v>1175</v>
      </c>
      <c r="O1094" s="6" t="s">
        <v>40</v>
      </c>
      <c r="P1094" s="5" t="s">
        <v>1891</v>
      </c>
      <c r="Q1094" s="5" t="s">
        <v>1893</v>
      </c>
      <c r="R1094" s="6" t="s">
        <v>42</v>
      </c>
      <c r="S1094" s="5" t="s">
        <v>1894</v>
      </c>
      <c r="T1094" s="5" t="s">
        <v>44</v>
      </c>
      <c r="U1094" s="5" t="s">
        <v>1895</v>
      </c>
      <c r="V1094" s="5" t="s">
        <v>44</v>
      </c>
      <c r="W1094" s="5" t="s">
        <v>36</v>
      </c>
      <c r="X1094" s="8" t="s">
        <v>590</v>
      </c>
      <c r="Y1094" s="5" t="s">
        <v>46</v>
      </c>
      <c r="Z1094" s="5" t="s">
        <v>47</v>
      </c>
      <c r="AA1094" s="5" t="s">
        <v>48</v>
      </c>
      <c r="AB1094" s="5" t="s">
        <v>5029</v>
      </c>
      <c r="AC1094" s="6" t="s">
        <v>50</v>
      </c>
      <c r="AD1094" s="6">
        <v>3500.0</v>
      </c>
    </row>
    <row r="1095" ht="56.25" customHeight="1">
      <c r="A1095" s="5" t="s">
        <v>5025</v>
      </c>
      <c r="B1095" s="6" t="str">
        <f>IMAGE("https://storage.googleapis.com/acdb/housewares/FtrIcePillar_Remake_1_0.png")</f>
        <v/>
      </c>
      <c r="C1095" s="5" t="s">
        <v>4751</v>
      </c>
      <c r="D1095" s="5" t="s">
        <v>4747</v>
      </c>
      <c r="E1095" s="5" t="s">
        <v>34</v>
      </c>
      <c r="F1095" s="5" t="s">
        <v>34</v>
      </c>
      <c r="G1095" s="5" t="s">
        <v>35</v>
      </c>
      <c r="H1095" s="5" t="s">
        <v>35</v>
      </c>
      <c r="I1095" s="5" t="s">
        <v>36</v>
      </c>
      <c r="J1095" s="6">
        <v>7.0</v>
      </c>
      <c r="K1095" s="6" t="s">
        <v>37</v>
      </c>
      <c r="L1095" s="6">
        <v>6200.0</v>
      </c>
      <c r="M1095" s="8" t="s">
        <v>68</v>
      </c>
      <c r="N1095" s="8" t="s">
        <v>68</v>
      </c>
      <c r="O1095" s="6" t="s">
        <v>40</v>
      </c>
      <c r="P1095" s="5" t="s">
        <v>1891</v>
      </c>
      <c r="Q1095" s="5" t="s">
        <v>1893</v>
      </c>
      <c r="R1095" s="6" t="s">
        <v>42</v>
      </c>
      <c r="S1095" s="5" t="s">
        <v>1894</v>
      </c>
      <c r="T1095" s="5" t="s">
        <v>44</v>
      </c>
      <c r="U1095" s="5" t="s">
        <v>1895</v>
      </c>
      <c r="V1095" s="5" t="s">
        <v>44</v>
      </c>
      <c r="W1095" s="5" t="s">
        <v>36</v>
      </c>
      <c r="X1095" s="8" t="s">
        <v>590</v>
      </c>
      <c r="Y1095" s="5" t="s">
        <v>46</v>
      </c>
      <c r="Z1095" s="5" t="s">
        <v>47</v>
      </c>
      <c r="AA1095" s="5" t="s">
        <v>48</v>
      </c>
      <c r="AB1095" s="5" t="s">
        <v>5035</v>
      </c>
      <c r="AC1095" s="6" t="s">
        <v>56</v>
      </c>
      <c r="AD1095" s="6">
        <v>3500.0</v>
      </c>
    </row>
    <row r="1096" ht="56.25" customHeight="1">
      <c r="A1096" s="5" t="s">
        <v>5025</v>
      </c>
      <c r="B1096" s="6" t="str">
        <f>IMAGE("https://storage.googleapis.com/acdb/housewares/FtrIcePillar_Remake_2_0.png")</f>
        <v/>
      </c>
      <c r="C1096" s="5" t="s">
        <v>4755</v>
      </c>
      <c r="D1096" s="5" t="s">
        <v>4747</v>
      </c>
      <c r="E1096" s="5" t="s">
        <v>34</v>
      </c>
      <c r="F1096" s="5" t="s">
        <v>34</v>
      </c>
      <c r="G1096" s="5" t="s">
        <v>35</v>
      </c>
      <c r="H1096" s="5" t="s">
        <v>35</v>
      </c>
      <c r="I1096" s="5" t="s">
        <v>36</v>
      </c>
      <c r="J1096" s="6">
        <v>7.0</v>
      </c>
      <c r="K1096" s="6" t="s">
        <v>37</v>
      </c>
      <c r="L1096" s="6">
        <v>6200.0</v>
      </c>
      <c r="M1096" s="8" t="s">
        <v>69</v>
      </c>
      <c r="N1096" s="8" t="s">
        <v>69</v>
      </c>
      <c r="O1096" s="6" t="s">
        <v>40</v>
      </c>
      <c r="P1096" s="5" t="s">
        <v>1891</v>
      </c>
      <c r="Q1096" s="5" t="s">
        <v>1893</v>
      </c>
      <c r="R1096" s="6" t="s">
        <v>42</v>
      </c>
      <c r="S1096" s="5" t="s">
        <v>1894</v>
      </c>
      <c r="T1096" s="5" t="s">
        <v>44</v>
      </c>
      <c r="U1096" s="5" t="s">
        <v>1895</v>
      </c>
      <c r="V1096" s="5" t="s">
        <v>44</v>
      </c>
      <c r="W1096" s="5" t="s">
        <v>36</v>
      </c>
      <c r="X1096" s="8" t="s">
        <v>590</v>
      </c>
      <c r="Y1096" s="5" t="s">
        <v>46</v>
      </c>
      <c r="Z1096" s="5" t="s">
        <v>47</v>
      </c>
      <c r="AA1096" s="5" t="s">
        <v>48</v>
      </c>
      <c r="AB1096" s="5" t="s">
        <v>5042</v>
      </c>
      <c r="AC1096" s="6" t="s">
        <v>67</v>
      </c>
      <c r="AD1096" s="6">
        <v>3500.0</v>
      </c>
    </row>
    <row r="1097" ht="56.25" customHeight="1">
      <c r="A1097" s="5" t="s">
        <v>5025</v>
      </c>
      <c r="B1097" s="6" t="str">
        <f>IMAGE("https://storage.googleapis.com/acdb/housewares/FtrIcePillar_Remake_3_0.png")</f>
        <v/>
      </c>
      <c r="C1097" s="5" t="s">
        <v>4757</v>
      </c>
      <c r="D1097" s="5" t="s">
        <v>4747</v>
      </c>
      <c r="E1097" s="5" t="s">
        <v>34</v>
      </c>
      <c r="F1097" s="5" t="s">
        <v>34</v>
      </c>
      <c r="G1097" s="5" t="s">
        <v>35</v>
      </c>
      <c r="H1097" s="5" t="s">
        <v>35</v>
      </c>
      <c r="I1097" s="5" t="s">
        <v>36</v>
      </c>
      <c r="J1097" s="6">
        <v>7.0</v>
      </c>
      <c r="K1097" s="6" t="s">
        <v>37</v>
      </c>
      <c r="L1097" s="6">
        <v>6200.0</v>
      </c>
      <c r="M1097" s="8" t="s">
        <v>114</v>
      </c>
      <c r="N1097" s="8" t="s">
        <v>114</v>
      </c>
      <c r="O1097" s="6" t="s">
        <v>40</v>
      </c>
      <c r="P1097" s="5" t="s">
        <v>1891</v>
      </c>
      <c r="Q1097" s="5" t="s">
        <v>1893</v>
      </c>
      <c r="R1097" s="6" t="s">
        <v>42</v>
      </c>
      <c r="S1097" s="5" t="s">
        <v>1894</v>
      </c>
      <c r="T1097" s="5" t="s">
        <v>44</v>
      </c>
      <c r="U1097" s="5" t="s">
        <v>1895</v>
      </c>
      <c r="V1097" s="5" t="s">
        <v>44</v>
      </c>
      <c r="W1097" s="5" t="s">
        <v>36</v>
      </c>
      <c r="X1097" s="8" t="s">
        <v>590</v>
      </c>
      <c r="Y1097" s="5" t="s">
        <v>46</v>
      </c>
      <c r="Z1097" s="5" t="s">
        <v>47</v>
      </c>
      <c r="AA1097" s="5" t="s">
        <v>48</v>
      </c>
      <c r="AB1097" s="5" t="s">
        <v>5048</v>
      </c>
      <c r="AC1097" s="6" t="s">
        <v>71</v>
      </c>
      <c r="AD1097" s="6">
        <v>3500.0</v>
      </c>
    </row>
    <row r="1098" ht="56.25" customHeight="1">
      <c r="A1098" s="5" t="s">
        <v>5025</v>
      </c>
      <c r="B1098" s="6" t="str">
        <f>IMAGE("https://storage.googleapis.com/acdb/housewares/FtrIcePillar_Remake_4_0.png")</f>
        <v/>
      </c>
      <c r="C1098" s="5" t="s">
        <v>4760</v>
      </c>
      <c r="D1098" s="5" t="s">
        <v>4747</v>
      </c>
      <c r="E1098" s="5" t="s">
        <v>34</v>
      </c>
      <c r="F1098" s="5" t="s">
        <v>34</v>
      </c>
      <c r="G1098" s="5" t="s">
        <v>35</v>
      </c>
      <c r="H1098" s="5" t="s">
        <v>35</v>
      </c>
      <c r="I1098" s="5" t="s">
        <v>36</v>
      </c>
      <c r="J1098" s="6">
        <v>7.0</v>
      </c>
      <c r="K1098" s="6" t="s">
        <v>37</v>
      </c>
      <c r="L1098" s="6">
        <v>6200.0</v>
      </c>
      <c r="M1098" s="8" t="s">
        <v>142</v>
      </c>
      <c r="N1098" s="8" t="s">
        <v>142</v>
      </c>
      <c r="O1098" s="6" t="s">
        <v>40</v>
      </c>
      <c r="P1098" s="5" t="s">
        <v>1891</v>
      </c>
      <c r="Q1098" s="5" t="s">
        <v>1893</v>
      </c>
      <c r="R1098" s="6" t="s">
        <v>42</v>
      </c>
      <c r="S1098" s="5" t="s">
        <v>1894</v>
      </c>
      <c r="T1098" s="5" t="s">
        <v>44</v>
      </c>
      <c r="U1098" s="5" t="s">
        <v>1895</v>
      </c>
      <c r="V1098" s="5" t="s">
        <v>44</v>
      </c>
      <c r="W1098" s="5" t="s">
        <v>36</v>
      </c>
      <c r="X1098" s="8" t="s">
        <v>590</v>
      </c>
      <c r="Y1098" s="5" t="s">
        <v>46</v>
      </c>
      <c r="Z1098" s="5" t="s">
        <v>47</v>
      </c>
      <c r="AA1098" s="5" t="s">
        <v>48</v>
      </c>
      <c r="AB1098" s="5" t="s">
        <v>5054</v>
      </c>
      <c r="AC1098" s="6" t="s">
        <v>75</v>
      </c>
      <c r="AD1098" s="6">
        <v>3500.0</v>
      </c>
    </row>
    <row r="1099" ht="56.25" customHeight="1">
      <c r="A1099" s="5" t="s">
        <v>5025</v>
      </c>
      <c r="B1099" s="6" t="str">
        <f>IMAGE("https://storage.googleapis.com/acdb/housewares/FtrIcePillar_Remake_5_0.png")</f>
        <v/>
      </c>
      <c r="C1099" s="5" t="s">
        <v>4763</v>
      </c>
      <c r="D1099" s="5" t="s">
        <v>4747</v>
      </c>
      <c r="E1099" s="5" t="s">
        <v>34</v>
      </c>
      <c r="F1099" s="5" t="s">
        <v>34</v>
      </c>
      <c r="G1099" s="5" t="s">
        <v>35</v>
      </c>
      <c r="H1099" s="5" t="s">
        <v>35</v>
      </c>
      <c r="I1099" s="5" t="s">
        <v>36</v>
      </c>
      <c r="J1099" s="6">
        <v>7.0</v>
      </c>
      <c r="K1099" s="6" t="s">
        <v>37</v>
      </c>
      <c r="L1099" s="6">
        <v>6200.0</v>
      </c>
      <c r="M1099" s="8" t="s">
        <v>96</v>
      </c>
      <c r="N1099" s="8" t="s">
        <v>96</v>
      </c>
      <c r="O1099" s="6" t="s">
        <v>40</v>
      </c>
      <c r="P1099" s="5" t="s">
        <v>1891</v>
      </c>
      <c r="Q1099" s="5" t="s">
        <v>1893</v>
      </c>
      <c r="R1099" s="6" t="s">
        <v>42</v>
      </c>
      <c r="S1099" s="5" t="s">
        <v>1894</v>
      </c>
      <c r="T1099" s="5" t="s">
        <v>44</v>
      </c>
      <c r="U1099" s="5" t="s">
        <v>1895</v>
      </c>
      <c r="V1099" s="5" t="s">
        <v>44</v>
      </c>
      <c r="W1099" s="5" t="s">
        <v>36</v>
      </c>
      <c r="X1099" s="8" t="s">
        <v>590</v>
      </c>
      <c r="Y1099" s="5" t="s">
        <v>46</v>
      </c>
      <c r="Z1099" s="5" t="s">
        <v>47</v>
      </c>
      <c r="AA1099" s="5" t="s">
        <v>48</v>
      </c>
      <c r="AB1099" s="5" t="s">
        <v>5059</v>
      </c>
      <c r="AC1099" s="6" t="s">
        <v>79</v>
      </c>
      <c r="AD1099" s="6">
        <v>3500.0</v>
      </c>
    </row>
    <row r="1100" ht="56.25" customHeight="1">
      <c r="A1100" s="5" t="s">
        <v>5025</v>
      </c>
      <c r="B1100" s="6" t="str">
        <f>IMAGE("https://storage.googleapis.com/acdb/housewares/FtrIcePillar_Remake_6_0.png")</f>
        <v/>
      </c>
      <c r="C1100" s="5" t="s">
        <v>4766</v>
      </c>
      <c r="D1100" s="5" t="s">
        <v>4747</v>
      </c>
      <c r="E1100" s="5" t="s">
        <v>34</v>
      </c>
      <c r="F1100" s="5" t="s">
        <v>34</v>
      </c>
      <c r="G1100" s="5" t="s">
        <v>35</v>
      </c>
      <c r="H1100" s="5" t="s">
        <v>35</v>
      </c>
      <c r="I1100" s="5" t="s">
        <v>36</v>
      </c>
      <c r="J1100" s="6">
        <v>7.0</v>
      </c>
      <c r="K1100" s="6" t="s">
        <v>37</v>
      </c>
      <c r="L1100" s="6">
        <v>6200.0</v>
      </c>
      <c r="M1100" s="8" t="s">
        <v>106</v>
      </c>
      <c r="N1100" s="8" t="s">
        <v>106</v>
      </c>
      <c r="O1100" s="6" t="s">
        <v>40</v>
      </c>
      <c r="P1100" s="5" t="s">
        <v>1891</v>
      </c>
      <c r="Q1100" s="5" t="s">
        <v>1893</v>
      </c>
      <c r="R1100" s="6" t="s">
        <v>42</v>
      </c>
      <c r="S1100" s="5" t="s">
        <v>1894</v>
      </c>
      <c r="T1100" s="5" t="s">
        <v>44</v>
      </c>
      <c r="U1100" s="5" t="s">
        <v>1895</v>
      </c>
      <c r="V1100" s="5" t="s">
        <v>44</v>
      </c>
      <c r="W1100" s="5" t="s">
        <v>36</v>
      </c>
      <c r="X1100" s="8" t="s">
        <v>590</v>
      </c>
      <c r="Y1100" s="5" t="s">
        <v>46</v>
      </c>
      <c r="Z1100" s="5" t="s">
        <v>47</v>
      </c>
      <c r="AA1100" s="5" t="s">
        <v>48</v>
      </c>
      <c r="AB1100" s="5" t="s">
        <v>5063</v>
      </c>
      <c r="AC1100" s="6" t="s">
        <v>86</v>
      </c>
      <c r="AD1100" s="6">
        <v>3500.0</v>
      </c>
    </row>
    <row r="1101" ht="56.25" customHeight="1">
      <c r="A1101" s="5" t="s">
        <v>5064</v>
      </c>
      <c r="B1101" s="6" t="str">
        <f>IMAGE("https://storage.googleapis.com/acdb/housewares/FtrIceArt_Remake_0_0.png")</f>
        <v/>
      </c>
      <c r="C1101" s="5" t="s">
        <v>4745</v>
      </c>
      <c r="D1101" s="5" t="s">
        <v>4747</v>
      </c>
      <c r="E1101" s="5" t="s">
        <v>34</v>
      </c>
      <c r="F1101" s="5" t="s">
        <v>34</v>
      </c>
      <c r="G1101" s="5" t="s">
        <v>35</v>
      </c>
      <c r="H1101" s="5" t="s">
        <v>35</v>
      </c>
      <c r="I1101" s="5" t="s">
        <v>36</v>
      </c>
      <c r="J1101" s="6">
        <v>7.0</v>
      </c>
      <c r="K1101" s="6" t="s">
        <v>37</v>
      </c>
      <c r="L1101" s="6">
        <v>6600.0</v>
      </c>
      <c r="M1101" s="8" t="s">
        <v>1175</v>
      </c>
      <c r="N1101" s="8" t="s">
        <v>1175</v>
      </c>
      <c r="O1101" s="6" t="s">
        <v>1243</v>
      </c>
      <c r="P1101" s="5" t="s">
        <v>1891</v>
      </c>
      <c r="Q1101" s="5" t="s">
        <v>1893</v>
      </c>
      <c r="R1101" s="6" t="s">
        <v>42</v>
      </c>
      <c r="S1101" s="5" t="s">
        <v>1894</v>
      </c>
      <c r="T1101" s="5" t="s">
        <v>44</v>
      </c>
      <c r="U1101" s="5" t="s">
        <v>1895</v>
      </c>
      <c r="V1101" s="5" t="s">
        <v>44</v>
      </c>
      <c r="W1101" s="5" t="s">
        <v>36</v>
      </c>
      <c r="X1101" s="8" t="s">
        <v>590</v>
      </c>
      <c r="Y1101" s="5" t="s">
        <v>46</v>
      </c>
      <c r="Z1101" s="5" t="s">
        <v>47</v>
      </c>
      <c r="AA1101" s="5" t="s">
        <v>48</v>
      </c>
      <c r="AB1101" s="5" t="s">
        <v>5071</v>
      </c>
      <c r="AC1101" s="6" t="s">
        <v>50</v>
      </c>
      <c r="AD1101" s="6">
        <v>3501.0</v>
      </c>
    </row>
    <row r="1102" ht="56.25" customHeight="1">
      <c r="A1102" s="5" t="s">
        <v>5064</v>
      </c>
      <c r="B1102" s="6" t="str">
        <f>IMAGE("https://storage.googleapis.com/acdb/housewares/FtrIceArt_Remake_1_0.png")</f>
        <v/>
      </c>
      <c r="C1102" s="5" t="s">
        <v>4751</v>
      </c>
      <c r="D1102" s="5" t="s">
        <v>4747</v>
      </c>
      <c r="E1102" s="5" t="s">
        <v>34</v>
      </c>
      <c r="F1102" s="5" t="s">
        <v>34</v>
      </c>
      <c r="G1102" s="5" t="s">
        <v>35</v>
      </c>
      <c r="H1102" s="5" t="s">
        <v>35</v>
      </c>
      <c r="I1102" s="5" t="s">
        <v>36</v>
      </c>
      <c r="J1102" s="6">
        <v>7.0</v>
      </c>
      <c r="K1102" s="6" t="s">
        <v>37</v>
      </c>
      <c r="L1102" s="6">
        <v>6600.0</v>
      </c>
      <c r="M1102" s="8" t="s">
        <v>68</v>
      </c>
      <c r="N1102" s="8" t="s">
        <v>68</v>
      </c>
      <c r="O1102" s="6" t="s">
        <v>1243</v>
      </c>
      <c r="P1102" s="5" t="s">
        <v>1891</v>
      </c>
      <c r="Q1102" s="5" t="s">
        <v>1893</v>
      </c>
      <c r="R1102" s="6" t="s">
        <v>42</v>
      </c>
      <c r="S1102" s="5" t="s">
        <v>1894</v>
      </c>
      <c r="T1102" s="5" t="s">
        <v>44</v>
      </c>
      <c r="U1102" s="5" t="s">
        <v>1895</v>
      </c>
      <c r="V1102" s="5" t="s">
        <v>44</v>
      </c>
      <c r="W1102" s="5" t="s">
        <v>36</v>
      </c>
      <c r="X1102" s="8" t="s">
        <v>590</v>
      </c>
      <c r="Y1102" s="5" t="s">
        <v>46</v>
      </c>
      <c r="Z1102" s="5" t="s">
        <v>47</v>
      </c>
      <c r="AA1102" s="5" t="s">
        <v>48</v>
      </c>
      <c r="AB1102" s="5" t="s">
        <v>5076</v>
      </c>
      <c r="AC1102" s="6" t="s">
        <v>56</v>
      </c>
      <c r="AD1102" s="6">
        <v>3501.0</v>
      </c>
    </row>
    <row r="1103" ht="56.25" customHeight="1">
      <c r="A1103" s="5" t="s">
        <v>5064</v>
      </c>
      <c r="B1103" s="6" t="str">
        <f>IMAGE("https://storage.googleapis.com/acdb/housewares/FtrIceArt_Remake_2_0.png")</f>
        <v/>
      </c>
      <c r="C1103" s="5" t="s">
        <v>4755</v>
      </c>
      <c r="D1103" s="5" t="s">
        <v>4747</v>
      </c>
      <c r="E1103" s="5" t="s">
        <v>34</v>
      </c>
      <c r="F1103" s="5" t="s">
        <v>34</v>
      </c>
      <c r="G1103" s="5" t="s">
        <v>35</v>
      </c>
      <c r="H1103" s="5" t="s">
        <v>35</v>
      </c>
      <c r="I1103" s="5" t="s">
        <v>36</v>
      </c>
      <c r="J1103" s="6">
        <v>7.0</v>
      </c>
      <c r="K1103" s="6" t="s">
        <v>37</v>
      </c>
      <c r="L1103" s="6">
        <v>6600.0</v>
      </c>
      <c r="M1103" s="8" t="s">
        <v>69</v>
      </c>
      <c r="N1103" s="8" t="s">
        <v>69</v>
      </c>
      <c r="O1103" s="6" t="s">
        <v>1243</v>
      </c>
      <c r="P1103" s="5" t="s">
        <v>1891</v>
      </c>
      <c r="Q1103" s="5" t="s">
        <v>1893</v>
      </c>
      <c r="R1103" s="6" t="s">
        <v>42</v>
      </c>
      <c r="S1103" s="5" t="s">
        <v>1894</v>
      </c>
      <c r="T1103" s="5" t="s">
        <v>44</v>
      </c>
      <c r="U1103" s="5" t="s">
        <v>1895</v>
      </c>
      <c r="V1103" s="5" t="s">
        <v>44</v>
      </c>
      <c r="W1103" s="5" t="s">
        <v>36</v>
      </c>
      <c r="X1103" s="8" t="s">
        <v>590</v>
      </c>
      <c r="Y1103" s="5" t="s">
        <v>46</v>
      </c>
      <c r="Z1103" s="5" t="s">
        <v>47</v>
      </c>
      <c r="AA1103" s="5" t="s">
        <v>48</v>
      </c>
      <c r="AB1103" s="5" t="s">
        <v>5082</v>
      </c>
      <c r="AC1103" s="6" t="s">
        <v>67</v>
      </c>
      <c r="AD1103" s="6">
        <v>3501.0</v>
      </c>
    </row>
    <row r="1104" ht="56.25" customHeight="1">
      <c r="A1104" s="5" t="s">
        <v>5064</v>
      </c>
      <c r="B1104" s="6" t="str">
        <f>IMAGE("https://storage.googleapis.com/acdb/housewares/FtrIceArt_Remake_3_0.png")</f>
        <v/>
      </c>
      <c r="C1104" s="5" t="s">
        <v>4757</v>
      </c>
      <c r="D1104" s="5" t="s">
        <v>4747</v>
      </c>
      <c r="E1104" s="5" t="s">
        <v>34</v>
      </c>
      <c r="F1104" s="5" t="s">
        <v>34</v>
      </c>
      <c r="G1104" s="5" t="s">
        <v>35</v>
      </c>
      <c r="H1104" s="5" t="s">
        <v>35</v>
      </c>
      <c r="I1104" s="5" t="s">
        <v>36</v>
      </c>
      <c r="J1104" s="6">
        <v>7.0</v>
      </c>
      <c r="K1104" s="6" t="s">
        <v>37</v>
      </c>
      <c r="L1104" s="6">
        <v>6600.0</v>
      </c>
      <c r="M1104" s="8" t="s">
        <v>114</v>
      </c>
      <c r="N1104" s="8" t="s">
        <v>114</v>
      </c>
      <c r="O1104" s="6" t="s">
        <v>1243</v>
      </c>
      <c r="P1104" s="5" t="s">
        <v>1891</v>
      </c>
      <c r="Q1104" s="5" t="s">
        <v>1893</v>
      </c>
      <c r="R1104" s="6" t="s">
        <v>42</v>
      </c>
      <c r="S1104" s="5" t="s">
        <v>1894</v>
      </c>
      <c r="T1104" s="5" t="s">
        <v>44</v>
      </c>
      <c r="U1104" s="5" t="s">
        <v>1895</v>
      </c>
      <c r="V1104" s="5" t="s">
        <v>44</v>
      </c>
      <c r="W1104" s="5" t="s">
        <v>36</v>
      </c>
      <c r="X1104" s="8" t="s">
        <v>590</v>
      </c>
      <c r="Y1104" s="5" t="s">
        <v>46</v>
      </c>
      <c r="Z1104" s="5" t="s">
        <v>47</v>
      </c>
      <c r="AA1104" s="5" t="s">
        <v>48</v>
      </c>
      <c r="AB1104" s="5" t="s">
        <v>5088</v>
      </c>
      <c r="AC1104" s="6" t="s">
        <v>71</v>
      </c>
      <c r="AD1104" s="6">
        <v>3501.0</v>
      </c>
    </row>
    <row r="1105" ht="56.25" customHeight="1">
      <c r="A1105" s="5" t="s">
        <v>5064</v>
      </c>
      <c r="B1105" s="6" t="str">
        <f>IMAGE("https://storage.googleapis.com/acdb/housewares/FtrIceArt_Remake_4_0.png")</f>
        <v/>
      </c>
      <c r="C1105" s="5" t="s">
        <v>4760</v>
      </c>
      <c r="D1105" s="5" t="s">
        <v>4747</v>
      </c>
      <c r="E1105" s="5" t="s">
        <v>34</v>
      </c>
      <c r="F1105" s="5" t="s">
        <v>34</v>
      </c>
      <c r="G1105" s="5" t="s">
        <v>35</v>
      </c>
      <c r="H1105" s="5" t="s">
        <v>35</v>
      </c>
      <c r="I1105" s="5" t="s">
        <v>36</v>
      </c>
      <c r="J1105" s="6">
        <v>7.0</v>
      </c>
      <c r="K1105" s="6" t="s">
        <v>37</v>
      </c>
      <c r="L1105" s="6">
        <v>6600.0</v>
      </c>
      <c r="M1105" s="8" t="s">
        <v>142</v>
      </c>
      <c r="N1105" s="8" t="s">
        <v>142</v>
      </c>
      <c r="O1105" s="6" t="s">
        <v>1243</v>
      </c>
      <c r="P1105" s="5" t="s">
        <v>1891</v>
      </c>
      <c r="Q1105" s="5" t="s">
        <v>1893</v>
      </c>
      <c r="R1105" s="6" t="s">
        <v>42</v>
      </c>
      <c r="S1105" s="5" t="s">
        <v>1894</v>
      </c>
      <c r="T1105" s="5" t="s">
        <v>44</v>
      </c>
      <c r="U1105" s="5" t="s">
        <v>1895</v>
      </c>
      <c r="V1105" s="5" t="s">
        <v>44</v>
      </c>
      <c r="W1105" s="5" t="s">
        <v>36</v>
      </c>
      <c r="X1105" s="8" t="s">
        <v>590</v>
      </c>
      <c r="Y1105" s="5" t="s">
        <v>46</v>
      </c>
      <c r="Z1105" s="5" t="s">
        <v>47</v>
      </c>
      <c r="AA1105" s="5" t="s">
        <v>48</v>
      </c>
      <c r="AB1105" s="5" t="s">
        <v>5093</v>
      </c>
      <c r="AC1105" s="6" t="s">
        <v>75</v>
      </c>
      <c r="AD1105" s="6">
        <v>3501.0</v>
      </c>
    </row>
    <row r="1106" ht="56.25" customHeight="1">
      <c r="A1106" s="5" t="s">
        <v>5064</v>
      </c>
      <c r="B1106" s="6" t="str">
        <f>IMAGE("https://storage.googleapis.com/acdb/housewares/FtrIceArt_Remake_5_0.png")</f>
        <v/>
      </c>
      <c r="C1106" s="5" t="s">
        <v>4763</v>
      </c>
      <c r="D1106" s="5" t="s">
        <v>4747</v>
      </c>
      <c r="E1106" s="5" t="s">
        <v>34</v>
      </c>
      <c r="F1106" s="5" t="s">
        <v>34</v>
      </c>
      <c r="G1106" s="5" t="s">
        <v>35</v>
      </c>
      <c r="H1106" s="5" t="s">
        <v>35</v>
      </c>
      <c r="I1106" s="5" t="s">
        <v>36</v>
      </c>
      <c r="J1106" s="6">
        <v>7.0</v>
      </c>
      <c r="K1106" s="6" t="s">
        <v>37</v>
      </c>
      <c r="L1106" s="6">
        <v>6600.0</v>
      </c>
      <c r="M1106" s="8" t="s">
        <v>96</v>
      </c>
      <c r="N1106" s="8" t="s">
        <v>96</v>
      </c>
      <c r="O1106" s="6" t="s">
        <v>1243</v>
      </c>
      <c r="P1106" s="5" t="s">
        <v>1891</v>
      </c>
      <c r="Q1106" s="5" t="s">
        <v>1893</v>
      </c>
      <c r="R1106" s="6" t="s">
        <v>42</v>
      </c>
      <c r="S1106" s="5" t="s">
        <v>1894</v>
      </c>
      <c r="T1106" s="5" t="s">
        <v>44</v>
      </c>
      <c r="U1106" s="5" t="s">
        <v>1895</v>
      </c>
      <c r="V1106" s="5" t="s">
        <v>44</v>
      </c>
      <c r="W1106" s="5" t="s">
        <v>36</v>
      </c>
      <c r="X1106" s="8" t="s">
        <v>590</v>
      </c>
      <c r="Y1106" s="5" t="s">
        <v>46</v>
      </c>
      <c r="Z1106" s="5" t="s">
        <v>47</v>
      </c>
      <c r="AA1106" s="5" t="s">
        <v>48</v>
      </c>
      <c r="AB1106" s="5" t="s">
        <v>5100</v>
      </c>
      <c r="AC1106" s="6" t="s">
        <v>79</v>
      </c>
      <c r="AD1106" s="6">
        <v>3501.0</v>
      </c>
    </row>
    <row r="1107" ht="56.25" customHeight="1">
      <c r="A1107" s="5" t="s">
        <v>5064</v>
      </c>
      <c r="B1107" s="6" t="str">
        <f>IMAGE("https://storage.googleapis.com/acdb/housewares/FtrIceArt_Remake_6_0.png")</f>
        <v/>
      </c>
      <c r="C1107" s="5" t="s">
        <v>4766</v>
      </c>
      <c r="D1107" s="5" t="s">
        <v>4747</v>
      </c>
      <c r="E1107" s="5" t="s">
        <v>34</v>
      </c>
      <c r="F1107" s="5" t="s">
        <v>34</v>
      </c>
      <c r="G1107" s="5" t="s">
        <v>35</v>
      </c>
      <c r="H1107" s="5" t="s">
        <v>35</v>
      </c>
      <c r="I1107" s="5" t="s">
        <v>36</v>
      </c>
      <c r="J1107" s="6">
        <v>7.0</v>
      </c>
      <c r="K1107" s="6" t="s">
        <v>37</v>
      </c>
      <c r="L1107" s="6">
        <v>6600.0</v>
      </c>
      <c r="M1107" s="8" t="s">
        <v>106</v>
      </c>
      <c r="N1107" s="8" t="s">
        <v>106</v>
      </c>
      <c r="O1107" s="6" t="s">
        <v>1243</v>
      </c>
      <c r="P1107" s="5" t="s">
        <v>1891</v>
      </c>
      <c r="Q1107" s="5" t="s">
        <v>1893</v>
      </c>
      <c r="R1107" s="6" t="s">
        <v>42</v>
      </c>
      <c r="S1107" s="5" t="s">
        <v>1894</v>
      </c>
      <c r="T1107" s="5" t="s">
        <v>44</v>
      </c>
      <c r="U1107" s="5" t="s">
        <v>1895</v>
      </c>
      <c r="V1107" s="5" t="s">
        <v>44</v>
      </c>
      <c r="W1107" s="5" t="s">
        <v>36</v>
      </c>
      <c r="X1107" s="8" t="s">
        <v>590</v>
      </c>
      <c r="Y1107" s="5" t="s">
        <v>46</v>
      </c>
      <c r="Z1107" s="5" t="s">
        <v>47</v>
      </c>
      <c r="AA1107" s="5" t="s">
        <v>48</v>
      </c>
      <c r="AB1107" s="5" t="s">
        <v>5105</v>
      </c>
      <c r="AC1107" s="6" t="s">
        <v>86</v>
      </c>
      <c r="AD1107" s="6">
        <v>3501.0</v>
      </c>
    </row>
    <row r="1108" ht="56.25" customHeight="1">
      <c r="A1108" s="5" t="s">
        <v>5106</v>
      </c>
      <c r="B1108" s="6" t="str">
        <f>IMAGE("https://storage.googleapis.com/acdb/housewares/FtrIceTableL_Remake_0_0.png")</f>
        <v/>
      </c>
      <c r="C1108" s="5" t="s">
        <v>4745</v>
      </c>
      <c r="D1108" s="5" t="s">
        <v>4747</v>
      </c>
      <c r="E1108" s="5" t="s">
        <v>34</v>
      </c>
      <c r="F1108" s="5" t="s">
        <v>34</v>
      </c>
      <c r="G1108" s="5" t="s">
        <v>35</v>
      </c>
      <c r="H1108" s="5" t="s">
        <v>35</v>
      </c>
      <c r="I1108" s="5" t="s">
        <v>36</v>
      </c>
      <c r="J1108" s="6">
        <v>7.0</v>
      </c>
      <c r="K1108" s="6" t="s">
        <v>37</v>
      </c>
      <c r="L1108" s="6">
        <v>8200.0</v>
      </c>
      <c r="M1108" s="8" t="s">
        <v>1175</v>
      </c>
      <c r="N1108" s="8" t="s">
        <v>1175</v>
      </c>
      <c r="O1108" s="6" t="s">
        <v>214</v>
      </c>
      <c r="P1108" s="5" t="s">
        <v>1891</v>
      </c>
      <c r="Q1108" s="5" t="s">
        <v>1893</v>
      </c>
      <c r="R1108" s="6" t="s">
        <v>42</v>
      </c>
      <c r="S1108" s="5" t="s">
        <v>1894</v>
      </c>
      <c r="T1108" s="5" t="s">
        <v>44</v>
      </c>
      <c r="U1108" s="5" t="s">
        <v>1895</v>
      </c>
      <c r="V1108" s="5" t="s">
        <v>44</v>
      </c>
      <c r="W1108" s="5" t="s">
        <v>36</v>
      </c>
      <c r="X1108" s="8" t="s">
        <v>278</v>
      </c>
      <c r="Y1108" s="5" t="s">
        <v>46</v>
      </c>
      <c r="Z1108" s="5" t="s">
        <v>47</v>
      </c>
      <c r="AA1108" s="5" t="s">
        <v>48</v>
      </c>
      <c r="AB1108" s="5" t="s">
        <v>5113</v>
      </c>
      <c r="AC1108" s="6" t="s">
        <v>50</v>
      </c>
      <c r="AD1108" s="6">
        <v>3497.0</v>
      </c>
    </row>
    <row r="1109" ht="56.25" customHeight="1">
      <c r="A1109" s="5" t="s">
        <v>5106</v>
      </c>
      <c r="B1109" s="6" t="str">
        <f>IMAGE("https://storage.googleapis.com/acdb/housewares/FtrIceTableL_Remake_1_0.png")</f>
        <v/>
      </c>
      <c r="C1109" s="5" t="s">
        <v>4751</v>
      </c>
      <c r="D1109" s="5" t="s">
        <v>4747</v>
      </c>
      <c r="E1109" s="5" t="s">
        <v>34</v>
      </c>
      <c r="F1109" s="5" t="s">
        <v>34</v>
      </c>
      <c r="G1109" s="5" t="s">
        <v>35</v>
      </c>
      <c r="H1109" s="5" t="s">
        <v>35</v>
      </c>
      <c r="I1109" s="5" t="s">
        <v>36</v>
      </c>
      <c r="J1109" s="6">
        <v>7.0</v>
      </c>
      <c r="K1109" s="6" t="s">
        <v>37</v>
      </c>
      <c r="L1109" s="6">
        <v>8200.0</v>
      </c>
      <c r="M1109" s="8" t="s">
        <v>68</v>
      </c>
      <c r="N1109" s="8" t="s">
        <v>68</v>
      </c>
      <c r="O1109" s="6" t="s">
        <v>214</v>
      </c>
      <c r="P1109" s="5" t="s">
        <v>1891</v>
      </c>
      <c r="Q1109" s="5" t="s">
        <v>1893</v>
      </c>
      <c r="R1109" s="6" t="s">
        <v>42</v>
      </c>
      <c r="S1109" s="5" t="s">
        <v>1894</v>
      </c>
      <c r="T1109" s="5" t="s">
        <v>44</v>
      </c>
      <c r="U1109" s="5" t="s">
        <v>1895</v>
      </c>
      <c r="V1109" s="5" t="s">
        <v>44</v>
      </c>
      <c r="W1109" s="5" t="s">
        <v>36</v>
      </c>
      <c r="X1109" s="8" t="s">
        <v>278</v>
      </c>
      <c r="Y1109" s="5" t="s">
        <v>46</v>
      </c>
      <c r="Z1109" s="5" t="s">
        <v>47</v>
      </c>
      <c r="AA1109" s="5" t="s">
        <v>48</v>
      </c>
      <c r="AB1109" s="5" t="s">
        <v>5118</v>
      </c>
      <c r="AC1109" s="6" t="s">
        <v>56</v>
      </c>
      <c r="AD1109" s="6">
        <v>3497.0</v>
      </c>
    </row>
    <row r="1110" ht="56.25" customHeight="1">
      <c r="A1110" s="5" t="s">
        <v>5106</v>
      </c>
      <c r="B1110" s="6" t="str">
        <f>IMAGE("https://storage.googleapis.com/acdb/housewares/FtrIceTableL_Remake_2_0.png")</f>
        <v/>
      </c>
      <c r="C1110" s="5" t="s">
        <v>4755</v>
      </c>
      <c r="D1110" s="5" t="s">
        <v>4747</v>
      </c>
      <c r="E1110" s="5" t="s">
        <v>34</v>
      </c>
      <c r="F1110" s="5" t="s">
        <v>34</v>
      </c>
      <c r="G1110" s="5" t="s">
        <v>35</v>
      </c>
      <c r="H1110" s="5" t="s">
        <v>35</v>
      </c>
      <c r="I1110" s="5" t="s">
        <v>36</v>
      </c>
      <c r="J1110" s="6">
        <v>7.0</v>
      </c>
      <c r="K1110" s="6" t="s">
        <v>37</v>
      </c>
      <c r="L1110" s="6">
        <v>8200.0</v>
      </c>
      <c r="M1110" s="8" t="s">
        <v>69</v>
      </c>
      <c r="N1110" s="8" t="s">
        <v>69</v>
      </c>
      <c r="O1110" s="6" t="s">
        <v>214</v>
      </c>
      <c r="P1110" s="5" t="s">
        <v>1891</v>
      </c>
      <c r="Q1110" s="5" t="s">
        <v>1893</v>
      </c>
      <c r="R1110" s="6" t="s">
        <v>42</v>
      </c>
      <c r="S1110" s="5" t="s">
        <v>1894</v>
      </c>
      <c r="T1110" s="5" t="s">
        <v>44</v>
      </c>
      <c r="U1110" s="5" t="s">
        <v>1895</v>
      </c>
      <c r="V1110" s="5" t="s">
        <v>44</v>
      </c>
      <c r="W1110" s="5" t="s">
        <v>36</v>
      </c>
      <c r="X1110" s="8" t="s">
        <v>278</v>
      </c>
      <c r="Y1110" s="5" t="s">
        <v>46</v>
      </c>
      <c r="Z1110" s="5" t="s">
        <v>47</v>
      </c>
      <c r="AA1110" s="5" t="s">
        <v>48</v>
      </c>
      <c r="AB1110" s="5" t="s">
        <v>5121</v>
      </c>
      <c r="AC1110" s="6" t="s">
        <v>67</v>
      </c>
      <c r="AD1110" s="6">
        <v>3497.0</v>
      </c>
    </row>
    <row r="1111" ht="56.25" customHeight="1">
      <c r="A1111" s="5" t="s">
        <v>5106</v>
      </c>
      <c r="B1111" s="6" t="str">
        <f>IMAGE("https://storage.googleapis.com/acdb/housewares/FtrIceTableL_Remake_3_0.png")</f>
        <v/>
      </c>
      <c r="C1111" s="5" t="s">
        <v>4757</v>
      </c>
      <c r="D1111" s="5" t="s">
        <v>4747</v>
      </c>
      <c r="E1111" s="5" t="s">
        <v>34</v>
      </c>
      <c r="F1111" s="5" t="s">
        <v>34</v>
      </c>
      <c r="G1111" s="5" t="s">
        <v>35</v>
      </c>
      <c r="H1111" s="5" t="s">
        <v>35</v>
      </c>
      <c r="I1111" s="5" t="s">
        <v>36</v>
      </c>
      <c r="J1111" s="6">
        <v>7.0</v>
      </c>
      <c r="K1111" s="6" t="s">
        <v>37</v>
      </c>
      <c r="L1111" s="6">
        <v>8200.0</v>
      </c>
      <c r="M1111" s="8" t="s">
        <v>114</v>
      </c>
      <c r="N1111" s="8" t="s">
        <v>114</v>
      </c>
      <c r="O1111" s="6" t="s">
        <v>214</v>
      </c>
      <c r="P1111" s="5" t="s">
        <v>1891</v>
      </c>
      <c r="Q1111" s="5" t="s">
        <v>1893</v>
      </c>
      <c r="R1111" s="6" t="s">
        <v>42</v>
      </c>
      <c r="S1111" s="5" t="s">
        <v>1894</v>
      </c>
      <c r="T1111" s="5" t="s">
        <v>44</v>
      </c>
      <c r="U1111" s="5" t="s">
        <v>1895</v>
      </c>
      <c r="V1111" s="5" t="s">
        <v>44</v>
      </c>
      <c r="W1111" s="5" t="s">
        <v>36</v>
      </c>
      <c r="X1111" s="8" t="s">
        <v>278</v>
      </c>
      <c r="Y1111" s="5" t="s">
        <v>46</v>
      </c>
      <c r="Z1111" s="5" t="s">
        <v>47</v>
      </c>
      <c r="AA1111" s="5" t="s">
        <v>48</v>
      </c>
      <c r="AB1111" s="5" t="s">
        <v>5129</v>
      </c>
      <c r="AC1111" s="6" t="s">
        <v>71</v>
      </c>
      <c r="AD1111" s="6">
        <v>3497.0</v>
      </c>
    </row>
    <row r="1112" ht="56.25" customHeight="1">
      <c r="A1112" s="5" t="s">
        <v>5106</v>
      </c>
      <c r="B1112" s="6" t="str">
        <f>IMAGE("https://storage.googleapis.com/acdb/housewares/FtrIceTableL_Remake_4_0.png")</f>
        <v/>
      </c>
      <c r="C1112" s="5" t="s">
        <v>4760</v>
      </c>
      <c r="D1112" s="5" t="s">
        <v>4747</v>
      </c>
      <c r="E1112" s="5" t="s">
        <v>34</v>
      </c>
      <c r="F1112" s="5" t="s">
        <v>34</v>
      </c>
      <c r="G1112" s="5" t="s">
        <v>35</v>
      </c>
      <c r="H1112" s="5" t="s">
        <v>35</v>
      </c>
      <c r="I1112" s="5" t="s">
        <v>36</v>
      </c>
      <c r="J1112" s="6">
        <v>7.0</v>
      </c>
      <c r="K1112" s="6" t="s">
        <v>37</v>
      </c>
      <c r="L1112" s="6">
        <v>8200.0</v>
      </c>
      <c r="M1112" s="8" t="s">
        <v>142</v>
      </c>
      <c r="N1112" s="8" t="s">
        <v>142</v>
      </c>
      <c r="O1112" s="6" t="s">
        <v>214</v>
      </c>
      <c r="P1112" s="5" t="s">
        <v>1891</v>
      </c>
      <c r="Q1112" s="5" t="s">
        <v>1893</v>
      </c>
      <c r="R1112" s="6" t="s">
        <v>42</v>
      </c>
      <c r="S1112" s="5" t="s">
        <v>1894</v>
      </c>
      <c r="T1112" s="5" t="s">
        <v>44</v>
      </c>
      <c r="U1112" s="5" t="s">
        <v>1895</v>
      </c>
      <c r="V1112" s="5" t="s">
        <v>44</v>
      </c>
      <c r="W1112" s="5" t="s">
        <v>36</v>
      </c>
      <c r="X1112" s="8" t="s">
        <v>278</v>
      </c>
      <c r="Y1112" s="5" t="s">
        <v>46</v>
      </c>
      <c r="Z1112" s="5" t="s">
        <v>47</v>
      </c>
      <c r="AA1112" s="5" t="s">
        <v>48</v>
      </c>
      <c r="AB1112" s="5" t="s">
        <v>5134</v>
      </c>
      <c r="AC1112" s="6" t="s">
        <v>75</v>
      </c>
      <c r="AD1112" s="6">
        <v>3497.0</v>
      </c>
    </row>
    <row r="1113" ht="56.25" customHeight="1">
      <c r="A1113" s="5" t="s">
        <v>5106</v>
      </c>
      <c r="B1113" s="6" t="str">
        <f>IMAGE("https://storage.googleapis.com/acdb/housewares/FtrIceTableL_Remake_5_0.png")</f>
        <v/>
      </c>
      <c r="C1113" s="5" t="s">
        <v>4763</v>
      </c>
      <c r="D1113" s="5" t="s">
        <v>4747</v>
      </c>
      <c r="E1113" s="5" t="s">
        <v>34</v>
      </c>
      <c r="F1113" s="5" t="s">
        <v>34</v>
      </c>
      <c r="G1113" s="5" t="s">
        <v>35</v>
      </c>
      <c r="H1113" s="5" t="s">
        <v>35</v>
      </c>
      <c r="I1113" s="5" t="s">
        <v>36</v>
      </c>
      <c r="J1113" s="6">
        <v>7.0</v>
      </c>
      <c r="K1113" s="6" t="s">
        <v>37</v>
      </c>
      <c r="L1113" s="6">
        <v>8200.0</v>
      </c>
      <c r="M1113" s="8" t="s">
        <v>96</v>
      </c>
      <c r="N1113" s="8" t="s">
        <v>96</v>
      </c>
      <c r="O1113" s="6" t="s">
        <v>214</v>
      </c>
      <c r="P1113" s="5" t="s">
        <v>1891</v>
      </c>
      <c r="Q1113" s="5" t="s">
        <v>1893</v>
      </c>
      <c r="R1113" s="6" t="s">
        <v>42</v>
      </c>
      <c r="S1113" s="5" t="s">
        <v>1894</v>
      </c>
      <c r="T1113" s="5" t="s">
        <v>44</v>
      </c>
      <c r="U1113" s="5" t="s">
        <v>1895</v>
      </c>
      <c r="V1113" s="5" t="s">
        <v>44</v>
      </c>
      <c r="W1113" s="5" t="s">
        <v>36</v>
      </c>
      <c r="X1113" s="8" t="s">
        <v>278</v>
      </c>
      <c r="Y1113" s="5" t="s">
        <v>46</v>
      </c>
      <c r="Z1113" s="5" t="s">
        <v>47</v>
      </c>
      <c r="AA1113" s="5" t="s">
        <v>48</v>
      </c>
      <c r="AB1113" s="5" t="s">
        <v>5138</v>
      </c>
      <c r="AC1113" s="6" t="s">
        <v>79</v>
      </c>
      <c r="AD1113" s="6">
        <v>3497.0</v>
      </c>
    </row>
    <row r="1114" ht="56.25" customHeight="1">
      <c r="A1114" s="5" t="s">
        <v>5106</v>
      </c>
      <c r="B1114" s="6" t="str">
        <f>IMAGE("https://storage.googleapis.com/acdb/housewares/FtrIceTableL_Remake_6_0.png")</f>
        <v/>
      </c>
      <c r="C1114" s="5" t="s">
        <v>4766</v>
      </c>
      <c r="D1114" s="5" t="s">
        <v>4747</v>
      </c>
      <c r="E1114" s="5" t="s">
        <v>34</v>
      </c>
      <c r="F1114" s="5" t="s">
        <v>34</v>
      </c>
      <c r="G1114" s="5" t="s">
        <v>35</v>
      </c>
      <c r="H1114" s="5" t="s">
        <v>35</v>
      </c>
      <c r="I1114" s="5" t="s">
        <v>36</v>
      </c>
      <c r="J1114" s="6">
        <v>7.0</v>
      </c>
      <c r="K1114" s="6" t="s">
        <v>37</v>
      </c>
      <c r="L1114" s="6">
        <v>8200.0</v>
      </c>
      <c r="M1114" s="8" t="s">
        <v>106</v>
      </c>
      <c r="N1114" s="8" t="s">
        <v>106</v>
      </c>
      <c r="O1114" s="6" t="s">
        <v>214</v>
      </c>
      <c r="P1114" s="5" t="s">
        <v>1891</v>
      </c>
      <c r="Q1114" s="5" t="s">
        <v>1893</v>
      </c>
      <c r="R1114" s="6" t="s">
        <v>42</v>
      </c>
      <c r="S1114" s="5" t="s">
        <v>1894</v>
      </c>
      <c r="T1114" s="5" t="s">
        <v>44</v>
      </c>
      <c r="U1114" s="5" t="s">
        <v>1895</v>
      </c>
      <c r="V1114" s="5" t="s">
        <v>44</v>
      </c>
      <c r="W1114" s="5" t="s">
        <v>36</v>
      </c>
      <c r="X1114" s="8" t="s">
        <v>278</v>
      </c>
      <c r="Y1114" s="5" t="s">
        <v>46</v>
      </c>
      <c r="Z1114" s="5" t="s">
        <v>47</v>
      </c>
      <c r="AA1114" s="5" t="s">
        <v>48</v>
      </c>
      <c r="AB1114" s="5" t="s">
        <v>5145</v>
      </c>
      <c r="AC1114" s="6" t="s">
        <v>86</v>
      </c>
      <c r="AD1114" s="6">
        <v>3497.0</v>
      </c>
    </row>
    <row r="1115" ht="56.25" customHeight="1">
      <c r="A1115" s="5" t="s">
        <v>5148</v>
      </c>
      <c r="B1115" s="6" t="str">
        <f>IMAGE("https://storage.googleapis.com/acdb/housewares/FtrIceTree_Remake_0_0.png")</f>
        <v/>
      </c>
      <c r="C1115" s="5" t="s">
        <v>4745</v>
      </c>
      <c r="D1115" s="5" t="s">
        <v>4747</v>
      </c>
      <c r="E1115" s="5" t="s">
        <v>34</v>
      </c>
      <c r="F1115" s="5" t="s">
        <v>34</v>
      </c>
      <c r="G1115" s="5" t="s">
        <v>35</v>
      </c>
      <c r="H1115" s="5" t="s">
        <v>35</v>
      </c>
      <c r="I1115" s="5" t="s">
        <v>36</v>
      </c>
      <c r="J1115" s="6">
        <v>7.0</v>
      </c>
      <c r="K1115" s="6" t="s">
        <v>37</v>
      </c>
      <c r="L1115" s="6">
        <v>8200.0</v>
      </c>
      <c r="M1115" s="8" t="s">
        <v>1175</v>
      </c>
      <c r="N1115" s="8" t="s">
        <v>1175</v>
      </c>
      <c r="O1115" s="6" t="s">
        <v>214</v>
      </c>
      <c r="P1115" s="5" t="s">
        <v>1891</v>
      </c>
      <c r="Q1115" s="5" t="s">
        <v>1893</v>
      </c>
      <c r="R1115" s="6" t="s">
        <v>42</v>
      </c>
      <c r="S1115" s="5" t="s">
        <v>1894</v>
      </c>
      <c r="T1115" s="5" t="s">
        <v>44</v>
      </c>
      <c r="U1115" s="5" t="s">
        <v>1895</v>
      </c>
      <c r="V1115" s="5" t="s">
        <v>44</v>
      </c>
      <c r="W1115" s="5" t="s">
        <v>36</v>
      </c>
      <c r="X1115" s="8" t="s">
        <v>590</v>
      </c>
      <c r="Y1115" s="5" t="s">
        <v>46</v>
      </c>
      <c r="Z1115" s="5" t="s">
        <v>47</v>
      </c>
      <c r="AA1115" s="5" t="s">
        <v>48</v>
      </c>
      <c r="AB1115" s="5" t="s">
        <v>5152</v>
      </c>
      <c r="AC1115" s="6" t="s">
        <v>50</v>
      </c>
      <c r="AD1115" s="6">
        <v>3504.0</v>
      </c>
    </row>
    <row r="1116" ht="56.25" customHeight="1">
      <c r="A1116" s="5" t="s">
        <v>5148</v>
      </c>
      <c r="B1116" s="6" t="str">
        <f>IMAGE("https://storage.googleapis.com/acdb/housewares/FtrIceTree_Remake_1_0.png")</f>
        <v/>
      </c>
      <c r="C1116" s="5" t="s">
        <v>4751</v>
      </c>
      <c r="D1116" s="5" t="s">
        <v>4747</v>
      </c>
      <c r="E1116" s="5" t="s">
        <v>34</v>
      </c>
      <c r="F1116" s="5" t="s">
        <v>34</v>
      </c>
      <c r="G1116" s="5" t="s">
        <v>35</v>
      </c>
      <c r="H1116" s="5" t="s">
        <v>35</v>
      </c>
      <c r="I1116" s="5" t="s">
        <v>36</v>
      </c>
      <c r="J1116" s="6">
        <v>7.0</v>
      </c>
      <c r="K1116" s="6" t="s">
        <v>37</v>
      </c>
      <c r="L1116" s="6">
        <v>8200.0</v>
      </c>
      <c r="M1116" s="8" t="s">
        <v>68</v>
      </c>
      <c r="N1116" s="8" t="s">
        <v>68</v>
      </c>
      <c r="O1116" s="6" t="s">
        <v>214</v>
      </c>
      <c r="P1116" s="5" t="s">
        <v>1891</v>
      </c>
      <c r="Q1116" s="5" t="s">
        <v>1893</v>
      </c>
      <c r="R1116" s="6" t="s">
        <v>42</v>
      </c>
      <c r="S1116" s="5" t="s">
        <v>1894</v>
      </c>
      <c r="T1116" s="5" t="s">
        <v>44</v>
      </c>
      <c r="U1116" s="5" t="s">
        <v>1895</v>
      </c>
      <c r="V1116" s="5" t="s">
        <v>44</v>
      </c>
      <c r="W1116" s="5" t="s">
        <v>36</v>
      </c>
      <c r="X1116" s="8" t="s">
        <v>590</v>
      </c>
      <c r="Y1116" s="5" t="s">
        <v>46</v>
      </c>
      <c r="Z1116" s="5" t="s">
        <v>47</v>
      </c>
      <c r="AA1116" s="5" t="s">
        <v>48</v>
      </c>
      <c r="AB1116" s="5" t="s">
        <v>5155</v>
      </c>
      <c r="AC1116" s="6" t="s">
        <v>56</v>
      </c>
      <c r="AD1116" s="6">
        <v>3504.0</v>
      </c>
    </row>
    <row r="1117" ht="56.25" customHeight="1">
      <c r="A1117" s="5" t="s">
        <v>5148</v>
      </c>
      <c r="B1117" s="6" t="str">
        <f>IMAGE("https://storage.googleapis.com/acdb/housewares/FtrIceTree_Remake_2_0.png")</f>
        <v/>
      </c>
      <c r="C1117" s="5" t="s">
        <v>4755</v>
      </c>
      <c r="D1117" s="5" t="s">
        <v>4747</v>
      </c>
      <c r="E1117" s="5" t="s">
        <v>34</v>
      </c>
      <c r="F1117" s="5" t="s">
        <v>34</v>
      </c>
      <c r="G1117" s="5" t="s">
        <v>35</v>
      </c>
      <c r="H1117" s="5" t="s">
        <v>35</v>
      </c>
      <c r="I1117" s="5" t="s">
        <v>36</v>
      </c>
      <c r="J1117" s="6">
        <v>7.0</v>
      </c>
      <c r="K1117" s="6" t="s">
        <v>37</v>
      </c>
      <c r="L1117" s="6">
        <v>8200.0</v>
      </c>
      <c r="M1117" s="8" t="s">
        <v>69</v>
      </c>
      <c r="N1117" s="8" t="s">
        <v>69</v>
      </c>
      <c r="O1117" s="6" t="s">
        <v>214</v>
      </c>
      <c r="P1117" s="5" t="s">
        <v>1891</v>
      </c>
      <c r="Q1117" s="5" t="s">
        <v>1893</v>
      </c>
      <c r="R1117" s="6" t="s">
        <v>42</v>
      </c>
      <c r="S1117" s="5" t="s">
        <v>1894</v>
      </c>
      <c r="T1117" s="5" t="s">
        <v>44</v>
      </c>
      <c r="U1117" s="5" t="s">
        <v>1895</v>
      </c>
      <c r="V1117" s="5" t="s">
        <v>44</v>
      </c>
      <c r="W1117" s="5" t="s">
        <v>36</v>
      </c>
      <c r="X1117" s="8" t="s">
        <v>590</v>
      </c>
      <c r="Y1117" s="5" t="s">
        <v>46</v>
      </c>
      <c r="Z1117" s="5" t="s">
        <v>47</v>
      </c>
      <c r="AA1117" s="5" t="s">
        <v>48</v>
      </c>
      <c r="AB1117" s="5" t="s">
        <v>5161</v>
      </c>
      <c r="AC1117" s="6" t="s">
        <v>67</v>
      </c>
      <c r="AD1117" s="6">
        <v>3504.0</v>
      </c>
    </row>
    <row r="1118" ht="56.25" customHeight="1">
      <c r="A1118" s="5" t="s">
        <v>5148</v>
      </c>
      <c r="B1118" s="6" t="str">
        <f>IMAGE("https://storage.googleapis.com/acdb/housewares/FtrIceTree_Remake_3_0.png")</f>
        <v/>
      </c>
      <c r="C1118" s="5" t="s">
        <v>4757</v>
      </c>
      <c r="D1118" s="5" t="s">
        <v>4747</v>
      </c>
      <c r="E1118" s="5" t="s">
        <v>34</v>
      </c>
      <c r="F1118" s="5" t="s">
        <v>34</v>
      </c>
      <c r="G1118" s="5" t="s">
        <v>35</v>
      </c>
      <c r="H1118" s="5" t="s">
        <v>35</v>
      </c>
      <c r="I1118" s="5" t="s">
        <v>36</v>
      </c>
      <c r="J1118" s="6">
        <v>7.0</v>
      </c>
      <c r="K1118" s="6" t="s">
        <v>37</v>
      </c>
      <c r="L1118" s="6">
        <v>8200.0</v>
      </c>
      <c r="M1118" s="8" t="s">
        <v>114</v>
      </c>
      <c r="N1118" s="8" t="s">
        <v>114</v>
      </c>
      <c r="O1118" s="6" t="s">
        <v>214</v>
      </c>
      <c r="P1118" s="5" t="s">
        <v>1891</v>
      </c>
      <c r="Q1118" s="5" t="s">
        <v>1893</v>
      </c>
      <c r="R1118" s="6" t="s">
        <v>42</v>
      </c>
      <c r="S1118" s="5" t="s">
        <v>1894</v>
      </c>
      <c r="T1118" s="5" t="s">
        <v>44</v>
      </c>
      <c r="U1118" s="5" t="s">
        <v>1895</v>
      </c>
      <c r="V1118" s="5" t="s">
        <v>44</v>
      </c>
      <c r="W1118" s="5" t="s">
        <v>36</v>
      </c>
      <c r="X1118" s="8" t="s">
        <v>590</v>
      </c>
      <c r="Y1118" s="5" t="s">
        <v>46</v>
      </c>
      <c r="Z1118" s="5" t="s">
        <v>47</v>
      </c>
      <c r="AA1118" s="5" t="s">
        <v>48</v>
      </c>
      <c r="AB1118" s="5" t="s">
        <v>5166</v>
      </c>
      <c r="AC1118" s="6" t="s">
        <v>71</v>
      </c>
      <c r="AD1118" s="6">
        <v>3504.0</v>
      </c>
    </row>
    <row r="1119" ht="56.25" customHeight="1">
      <c r="A1119" s="5" t="s">
        <v>5148</v>
      </c>
      <c r="B1119" s="6" t="str">
        <f>IMAGE("https://storage.googleapis.com/acdb/housewares/FtrIceTree_Remake_4_0.png")</f>
        <v/>
      </c>
      <c r="C1119" s="5" t="s">
        <v>4760</v>
      </c>
      <c r="D1119" s="5" t="s">
        <v>4747</v>
      </c>
      <c r="E1119" s="5" t="s">
        <v>34</v>
      </c>
      <c r="F1119" s="5" t="s">
        <v>34</v>
      </c>
      <c r="G1119" s="5" t="s">
        <v>35</v>
      </c>
      <c r="H1119" s="5" t="s">
        <v>35</v>
      </c>
      <c r="I1119" s="5" t="s">
        <v>36</v>
      </c>
      <c r="J1119" s="6">
        <v>7.0</v>
      </c>
      <c r="K1119" s="6" t="s">
        <v>37</v>
      </c>
      <c r="L1119" s="6">
        <v>8200.0</v>
      </c>
      <c r="M1119" s="8" t="s">
        <v>142</v>
      </c>
      <c r="N1119" s="8" t="s">
        <v>142</v>
      </c>
      <c r="O1119" s="6" t="s">
        <v>214</v>
      </c>
      <c r="P1119" s="5" t="s">
        <v>1891</v>
      </c>
      <c r="Q1119" s="5" t="s">
        <v>1893</v>
      </c>
      <c r="R1119" s="6" t="s">
        <v>42</v>
      </c>
      <c r="S1119" s="5" t="s">
        <v>1894</v>
      </c>
      <c r="T1119" s="5" t="s">
        <v>44</v>
      </c>
      <c r="U1119" s="5" t="s">
        <v>1895</v>
      </c>
      <c r="V1119" s="5" t="s">
        <v>44</v>
      </c>
      <c r="W1119" s="5" t="s">
        <v>36</v>
      </c>
      <c r="X1119" s="8" t="s">
        <v>590</v>
      </c>
      <c r="Y1119" s="5" t="s">
        <v>46</v>
      </c>
      <c r="Z1119" s="5" t="s">
        <v>47</v>
      </c>
      <c r="AA1119" s="5" t="s">
        <v>48</v>
      </c>
      <c r="AB1119" s="5" t="s">
        <v>5170</v>
      </c>
      <c r="AC1119" s="6" t="s">
        <v>75</v>
      </c>
      <c r="AD1119" s="6">
        <v>3504.0</v>
      </c>
    </row>
    <row r="1120" ht="56.25" customHeight="1">
      <c r="A1120" s="5" t="s">
        <v>5148</v>
      </c>
      <c r="B1120" s="6" t="str">
        <f>IMAGE("https://storage.googleapis.com/acdb/housewares/FtrIceTree_Remake_5_0.png")</f>
        <v/>
      </c>
      <c r="C1120" s="5" t="s">
        <v>4763</v>
      </c>
      <c r="D1120" s="5" t="s">
        <v>4747</v>
      </c>
      <c r="E1120" s="5" t="s">
        <v>34</v>
      </c>
      <c r="F1120" s="5" t="s">
        <v>34</v>
      </c>
      <c r="G1120" s="5" t="s">
        <v>35</v>
      </c>
      <c r="H1120" s="5" t="s">
        <v>35</v>
      </c>
      <c r="I1120" s="5" t="s">
        <v>36</v>
      </c>
      <c r="J1120" s="6">
        <v>7.0</v>
      </c>
      <c r="K1120" s="6" t="s">
        <v>37</v>
      </c>
      <c r="L1120" s="6">
        <v>8200.0</v>
      </c>
      <c r="M1120" s="8" t="s">
        <v>96</v>
      </c>
      <c r="N1120" s="8" t="s">
        <v>96</v>
      </c>
      <c r="O1120" s="6" t="s">
        <v>214</v>
      </c>
      <c r="P1120" s="5" t="s">
        <v>1891</v>
      </c>
      <c r="Q1120" s="5" t="s">
        <v>1893</v>
      </c>
      <c r="R1120" s="6" t="s">
        <v>42</v>
      </c>
      <c r="S1120" s="5" t="s">
        <v>1894</v>
      </c>
      <c r="T1120" s="5" t="s">
        <v>44</v>
      </c>
      <c r="U1120" s="5" t="s">
        <v>1895</v>
      </c>
      <c r="V1120" s="5" t="s">
        <v>44</v>
      </c>
      <c r="W1120" s="5" t="s">
        <v>36</v>
      </c>
      <c r="X1120" s="8" t="s">
        <v>590</v>
      </c>
      <c r="Y1120" s="5" t="s">
        <v>46</v>
      </c>
      <c r="Z1120" s="5" t="s">
        <v>47</v>
      </c>
      <c r="AA1120" s="5" t="s">
        <v>48</v>
      </c>
      <c r="AB1120" s="5" t="s">
        <v>5173</v>
      </c>
      <c r="AC1120" s="6" t="s">
        <v>79</v>
      </c>
      <c r="AD1120" s="6">
        <v>3504.0</v>
      </c>
    </row>
    <row r="1121" ht="56.25" customHeight="1">
      <c r="A1121" s="5" t="s">
        <v>5148</v>
      </c>
      <c r="B1121" s="6" t="str">
        <f>IMAGE("https://storage.googleapis.com/acdb/housewares/FtrIceTree_Remake_6_0.png")</f>
        <v/>
      </c>
      <c r="C1121" s="5" t="s">
        <v>4766</v>
      </c>
      <c r="D1121" s="5" t="s">
        <v>4747</v>
      </c>
      <c r="E1121" s="5" t="s">
        <v>34</v>
      </c>
      <c r="F1121" s="5" t="s">
        <v>34</v>
      </c>
      <c r="G1121" s="5" t="s">
        <v>35</v>
      </c>
      <c r="H1121" s="5" t="s">
        <v>35</v>
      </c>
      <c r="I1121" s="5" t="s">
        <v>36</v>
      </c>
      <c r="J1121" s="6">
        <v>7.0</v>
      </c>
      <c r="K1121" s="6" t="s">
        <v>37</v>
      </c>
      <c r="L1121" s="6">
        <v>8200.0</v>
      </c>
      <c r="M1121" s="8" t="s">
        <v>106</v>
      </c>
      <c r="N1121" s="8" t="s">
        <v>106</v>
      </c>
      <c r="O1121" s="6" t="s">
        <v>214</v>
      </c>
      <c r="P1121" s="5" t="s">
        <v>1891</v>
      </c>
      <c r="Q1121" s="5" t="s">
        <v>1893</v>
      </c>
      <c r="R1121" s="6" t="s">
        <v>42</v>
      </c>
      <c r="S1121" s="5" t="s">
        <v>1894</v>
      </c>
      <c r="T1121" s="5" t="s">
        <v>44</v>
      </c>
      <c r="U1121" s="5" t="s">
        <v>1895</v>
      </c>
      <c r="V1121" s="5" t="s">
        <v>44</v>
      </c>
      <c r="W1121" s="5" t="s">
        <v>36</v>
      </c>
      <c r="X1121" s="8" t="s">
        <v>590</v>
      </c>
      <c r="Y1121" s="5" t="s">
        <v>46</v>
      </c>
      <c r="Z1121" s="5" t="s">
        <v>47</v>
      </c>
      <c r="AA1121" s="5" t="s">
        <v>48</v>
      </c>
      <c r="AB1121" s="5" t="s">
        <v>5177</v>
      </c>
      <c r="AC1121" s="6" t="s">
        <v>86</v>
      </c>
      <c r="AD1121" s="6">
        <v>3504.0</v>
      </c>
    </row>
    <row r="1122" ht="56.25" customHeight="1">
      <c r="A1122" s="5" t="s">
        <v>5178</v>
      </c>
      <c r="B1122" s="6" t="str">
        <f>IMAGE("https://storage.googleapis.com/acdb/housewares/FtrFuton_Remake_0_0.png")</f>
        <v/>
      </c>
      <c r="C1122" s="5" t="s">
        <v>34</v>
      </c>
      <c r="D1122" s="5" t="s">
        <v>34</v>
      </c>
      <c r="E1122" s="5" t="s">
        <v>52</v>
      </c>
      <c r="F1122" s="5" t="s">
        <v>1271</v>
      </c>
      <c r="G1122" s="5" t="s">
        <v>36</v>
      </c>
      <c r="H1122" s="5" t="s">
        <v>36</v>
      </c>
      <c r="I1122" s="5" t="s">
        <v>35</v>
      </c>
      <c r="J1122" s="6">
        <v>1.0</v>
      </c>
      <c r="K1122" s="6">
        <v>1600.0</v>
      </c>
      <c r="L1122" s="6">
        <v>400.0</v>
      </c>
      <c r="M1122" s="5" t="s">
        <v>57</v>
      </c>
      <c r="N1122" s="8" t="s">
        <v>52</v>
      </c>
      <c r="O1122" s="6" t="s">
        <v>276</v>
      </c>
      <c r="P1122" s="5" t="s">
        <v>59</v>
      </c>
      <c r="Q1122" s="5" t="s">
        <v>89</v>
      </c>
      <c r="R1122" s="6" t="s">
        <v>42</v>
      </c>
      <c r="S1122" s="5" t="s">
        <v>266</v>
      </c>
      <c r="T1122" s="5" t="s">
        <v>44</v>
      </c>
      <c r="U1122" s="5" t="s">
        <v>44</v>
      </c>
      <c r="V1122" s="5" t="s">
        <v>44</v>
      </c>
      <c r="W1122" s="5" t="s">
        <v>35</v>
      </c>
      <c r="X1122" s="8" t="s">
        <v>218</v>
      </c>
      <c r="Y1122" s="5" t="s">
        <v>46</v>
      </c>
      <c r="Z1122" s="5" t="s">
        <v>47</v>
      </c>
      <c r="AA1122" s="5" t="s">
        <v>64</v>
      </c>
      <c r="AB1122" s="5" t="s">
        <v>5181</v>
      </c>
      <c r="AC1122" s="6" t="s">
        <v>50</v>
      </c>
      <c r="AD1122" s="6">
        <v>3230.0</v>
      </c>
    </row>
    <row r="1123" ht="56.25" customHeight="1">
      <c r="A1123" s="5" t="s">
        <v>5178</v>
      </c>
      <c r="B1123" s="6" t="str">
        <f>image("https://storage.googleapis.com/acdb/housewares/FtrFuton_Remake_0_1.png")</f>
        <v/>
      </c>
      <c r="C1123" s="5" t="s">
        <v>34</v>
      </c>
      <c r="D1123" s="5" t="s">
        <v>34</v>
      </c>
      <c r="E1123" s="5" t="s">
        <v>68</v>
      </c>
      <c r="F1123" s="5" t="s">
        <v>1271</v>
      </c>
      <c r="G1123" s="5" t="s">
        <v>36</v>
      </c>
      <c r="H1123" s="5" t="s">
        <v>36</v>
      </c>
      <c r="I1123" s="5" t="s">
        <v>35</v>
      </c>
      <c r="J1123" s="6">
        <v>1.0</v>
      </c>
      <c r="K1123" s="6">
        <v>1600.0</v>
      </c>
      <c r="L1123" s="6">
        <v>400.0</v>
      </c>
      <c r="M1123" s="5" t="s">
        <v>57</v>
      </c>
      <c r="N1123" s="8" t="s">
        <v>68</v>
      </c>
      <c r="O1123" s="6" t="s">
        <v>276</v>
      </c>
      <c r="P1123" s="5" t="s">
        <v>59</v>
      </c>
      <c r="Q1123" s="5" t="s">
        <v>89</v>
      </c>
      <c r="R1123" s="6" t="s">
        <v>42</v>
      </c>
      <c r="S1123" s="5" t="s">
        <v>266</v>
      </c>
      <c r="T1123" s="5" t="s">
        <v>44</v>
      </c>
      <c r="U1123" s="5" t="s">
        <v>44</v>
      </c>
      <c r="V1123" s="5" t="s">
        <v>44</v>
      </c>
      <c r="W1123" s="5" t="s">
        <v>35</v>
      </c>
      <c r="X1123" s="8" t="s">
        <v>218</v>
      </c>
      <c r="Y1123" s="5" t="s">
        <v>46</v>
      </c>
      <c r="Z1123" s="5" t="s">
        <v>47</v>
      </c>
      <c r="AA1123" s="5" t="s">
        <v>64</v>
      </c>
      <c r="AB1123" s="5" t="s">
        <v>5187</v>
      </c>
      <c r="AC1123" s="6" t="s">
        <v>217</v>
      </c>
      <c r="AD1123" s="6">
        <v>3230.0</v>
      </c>
    </row>
    <row r="1124" ht="56.25" customHeight="1">
      <c r="A1124" s="5" t="s">
        <v>5178</v>
      </c>
      <c r="B1124" s="6" t="str">
        <f>image("https://storage.googleapis.com/acdb/housewares/FtrFuton_Remake_0_2.png")</f>
        <v/>
      </c>
      <c r="C1124" s="5" t="s">
        <v>34</v>
      </c>
      <c r="D1124" s="5" t="s">
        <v>34</v>
      </c>
      <c r="E1124" s="5" t="s">
        <v>142</v>
      </c>
      <c r="F1124" s="5" t="s">
        <v>1271</v>
      </c>
      <c r="G1124" s="5" t="s">
        <v>36</v>
      </c>
      <c r="H1124" s="5" t="s">
        <v>36</v>
      </c>
      <c r="I1124" s="5" t="s">
        <v>35</v>
      </c>
      <c r="J1124" s="6">
        <v>1.0</v>
      </c>
      <c r="K1124" s="6">
        <v>1600.0</v>
      </c>
      <c r="L1124" s="6">
        <v>400.0</v>
      </c>
      <c r="M1124" s="5" t="s">
        <v>57</v>
      </c>
      <c r="N1124" s="8" t="s">
        <v>142</v>
      </c>
      <c r="O1124" s="6" t="s">
        <v>276</v>
      </c>
      <c r="P1124" s="5" t="s">
        <v>59</v>
      </c>
      <c r="Q1124" s="5" t="s">
        <v>89</v>
      </c>
      <c r="R1124" s="6" t="s">
        <v>42</v>
      </c>
      <c r="S1124" s="5" t="s">
        <v>266</v>
      </c>
      <c r="T1124" s="5" t="s">
        <v>44</v>
      </c>
      <c r="U1124" s="5" t="s">
        <v>44</v>
      </c>
      <c r="V1124" s="5" t="s">
        <v>44</v>
      </c>
      <c r="W1124" s="5" t="s">
        <v>35</v>
      </c>
      <c r="X1124" s="8" t="s">
        <v>218</v>
      </c>
      <c r="Y1124" s="5" t="s">
        <v>46</v>
      </c>
      <c r="Z1124" s="5" t="s">
        <v>47</v>
      </c>
      <c r="AA1124" s="5" t="s">
        <v>64</v>
      </c>
      <c r="AB1124" s="5" t="s">
        <v>5193</v>
      </c>
      <c r="AC1124" s="6" t="s">
        <v>347</v>
      </c>
      <c r="AD1124" s="6">
        <v>3230.0</v>
      </c>
    </row>
    <row r="1125" ht="56.25" customHeight="1">
      <c r="A1125" s="5" t="s">
        <v>5178</v>
      </c>
      <c r="B1125" s="6" t="str">
        <f>image("https://storage.googleapis.com/acdb/housewares/FtrFuton_Remake_0_3.png")</f>
        <v/>
      </c>
      <c r="C1125" s="5" t="s">
        <v>34</v>
      </c>
      <c r="D1125" s="5" t="s">
        <v>34</v>
      </c>
      <c r="E1125" s="5" t="s">
        <v>96</v>
      </c>
      <c r="F1125" s="5" t="s">
        <v>1271</v>
      </c>
      <c r="G1125" s="5" t="s">
        <v>36</v>
      </c>
      <c r="H1125" s="5" t="s">
        <v>36</v>
      </c>
      <c r="I1125" s="5" t="s">
        <v>35</v>
      </c>
      <c r="J1125" s="6">
        <v>1.0</v>
      </c>
      <c r="K1125" s="6">
        <v>1600.0</v>
      </c>
      <c r="L1125" s="6">
        <v>400.0</v>
      </c>
      <c r="M1125" s="5" t="s">
        <v>57</v>
      </c>
      <c r="N1125" s="8" t="s">
        <v>96</v>
      </c>
      <c r="O1125" s="6" t="s">
        <v>276</v>
      </c>
      <c r="P1125" s="5" t="s">
        <v>59</v>
      </c>
      <c r="Q1125" s="5" t="s">
        <v>89</v>
      </c>
      <c r="R1125" s="6" t="s">
        <v>42</v>
      </c>
      <c r="S1125" s="5" t="s">
        <v>266</v>
      </c>
      <c r="T1125" s="5" t="s">
        <v>44</v>
      </c>
      <c r="U1125" s="5" t="s">
        <v>44</v>
      </c>
      <c r="V1125" s="5" t="s">
        <v>44</v>
      </c>
      <c r="W1125" s="5" t="s">
        <v>35</v>
      </c>
      <c r="X1125" s="8" t="s">
        <v>218</v>
      </c>
      <c r="Y1125" s="5" t="s">
        <v>46</v>
      </c>
      <c r="Z1125" s="5" t="s">
        <v>47</v>
      </c>
      <c r="AA1125" s="5" t="s">
        <v>64</v>
      </c>
      <c r="AB1125" s="5" t="s">
        <v>5199</v>
      </c>
      <c r="AC1125" s="6" t="s">
        <v>354</v>
      </c>
      <c r="AD1125" s="6">
        <v>3230.0</v>
      </c>
    </row>
    <row r="1126" ht="56.25" customHeight="1">
      <c r="A1126" s="5" t="s">
        <v>5200</v>
      </c>
      <c r="B1126" s="6" t="str">
        <f>IMAGE("https://storage.googleapis.com/acdb/housewares/FtrPaleCaster_Remake_0_0.png")</f>
        <v/>
      </c>
      <c r="C1126" s="5" t="s">
        <v>96</v>
      </c>
      <c r="D1126" s="5" t="s">
        <v>34</v>
      </c>
      <c r="E1126" s="5" t="s">
        <v>34</v>
      </c>
      <c r="F1126" s="5" t="s">
        <v>34</v>
      </c>
      <c r="G1126" s="5" t="s">
        <v>36</v>
      </c>
      <c r="H1126" s="5" t="s">
        <v>36</v>
      </c>
      <c r="I1126" s="5" t="s">
        <v>36</v>
      </c>
      <c r="J1126" s="6" t="s">
        <v>34</v>
      </c>
      <c r="K1126" s="6">
        <v>1000.0</v>
      </c>
      <c r="L1126" s="6">
        <v>250.0</v>
      </c>
      <c r="M1126" s="8" t="s">
        <v>96</v>
      </c>
      <c r="N1126" s="8" t="s">
        <v>96</v>
      </c>
      <c r="O1126" s="6" t="s">
        <v>40</v>
      </c>
      <c r="P1126" s="5" t="s">
        <v>59</v>
      </c>
      <c r="Q1126" s="5" t="s">
        <v>89</v>
      </c>
      <c r="R1126" s="6" t="s">
        <v>42</v>
      </c>
      <c r="S1126" s="5" t="s">
        <v>416</v>
      </c>
      <c r="T1126" s="5" t="s">
        <v>141</v>
      </c>
      <c r="U1126" s="5" t="s">
        <v>44</v>
      </c>
      <c r="V1126" s="5" t="s">
        <v>44</v>
      </c>
      <c r="W1126" s="5" t="s">
        <v>35</v>
      </c>
      <c r="X1126" s="8" t="s">
        <v>432</v>
      </c>
      <c r="Y1126" s="5" t="s">
        <v>46</v>
      </c>
      <c r="Z1126" s="5" t="s">
        <v>47</v>
      </c>
      <c r="AA1126" s="5" t="s">
        <v>64</v>
      </c>
      <c r="AB1126" s="5" t="s">
        <v>5205</v>
      </c>
      <c r="AC1126" s="6" t="s">
        <v>50</v>
      </c>
      <c r="AD1126" s="6">
        <v>9767.0</v>
      </c>
    </row>
    <row r="1127" ht="56.25" customHeight="1">
      <c r="A1127" s="5" t="s">
        <v>5200</v>
      </c>
      <c r="B1127" s="6" t="str">
        <f>IMAGE("https://storage.googleapis.com/acdb/housewares/FtrPaleCaster_Remake_1_0.png")</f>
        <v/>
      </c>
      <c r="C1127" s="5" t="s">
        <v>114</v>
      </c>
      <c r="D1127" s="5" t="s">
        <v>34</v>
      </c>
      <c r="E1127" s="5" t="s">
        <v>34</v>
      </c>
      <c r="F1127" s="5" t="s">
        <v>34</v>
      </c>
      <c r="G1127" s="5" t="s">
        <v>36</v>
      </c>
      <c r="H1127" s="5" t="s">
        <v>36</v>
      </c>
      <c r="I1127" s="5" t="s">
        <v>36</v>
      </c>
      <c r="J1127" s="6" t="s">
        <v>34</v>
      </c>
      <c r="K1127" s="6">
        <v>1000.0</v>
      </c>
      <c r="L1127" s="6">
        <v>250.0</v>
      </c>
      <c r="M1127" s="8" t="s">
        <v>114</v>
      </c>
      <c r="N1127" s="8" t="s">
        <v>114</v>
      </c>
      <c r="O1127" s="6" t="s">
        <v>40</v>
      </c>
      <c r="P1127" s="5" t="s">
        <v>59</v>
      </c>
      <c r="Q1127" s="5" t="s">
        <v>89</v>
      </c>
      <c r="R1127" s="6" t="s">
        <v>42</v>
      </c>
      <c r="S1127" s="5" t="s">
        <v>416</v>
      </c>
      <c r="T1127" s="5" t="s">
        <v>141</v>
      </c>
      <c r="U1127" s="5" t="s">
        <v>44</v>
      </c>
      <c r="V1127" s="5" t="s">
        <v>44</v>
      </c>
      <c r="W1127" s="5" t="s">
        <v>35</v>
      </c>
      <c r="X1127" s="8" t="s">
        <v>432</v>
      </c>
      <c r="Y1127" s="5" t="s">
        <v>46</v>
      </c>
      <c r="Z1127" s="5" t="s">
        <v>47</v>
      </c>
      <c r="AA1127" s="5" t="s">
        <v>64</v>
      </c>
      <c r="AB1127" s="5" t="s">
        <v>5211</v>
      </c>
      <c r="AC1127" s="6" t="s">
        <v>56</v>
      </c>
      <c r="AD1127" s="6">
        <v>9767.0</v>
      </c>
    </row>
    <row r="1128" ht="56.25" customHeight="1">
      <c r="A1128" s="5" t="s">
        <v>5200</v>
      </c>
      <c r="B1128" s="6" t="str">
        <f>IMAGE("https://storage.googleapis.com/acdb/housewares/FtrPaleCaster_Remake_2_0.png")</f>
        <v/>
      </c>
      <c r="C1128" s="5" t="s">
        <v>39</v>
      </c>
      <c r="D1128" s="5" t="s">
        <v>34</v>
      </c>
      <c r="E1128" s="5" t="s">
        <v>34</v>
      </c>
      <c r="F1128" s="5" t="s">
        <v>34</v>
      </c>
      <c r="G1128" s="5" t="s">
        <v>36</v>
      </c>
      <c r="H1128" s="5" t="s">
        <v>36</v>
      </c>
      <c r="I1128" s="5" t="s">
        <v>36</v>
      </c>
      <c r="J1128" s="6" t="s">
        <v>34</v>
      </c>
      <c r="K1128" s="6">
        <v>1000.0</v>
      </c>
      <c r="L1128" s="6">
        <v>250.0</v>
      </c>
      <c r="M1128" s="8" t="s">
        <v>39</v>
      </c>
      <c r="N1128" s="8" t="s">
        <v>39</v>
      </c>
      <c r="O1128" s="6" t="s">
        <v>40</v>
      </c>
      <c r="P1128" s="5" t="s">
        <v>59</v>
      </c>
      <c r="Q1128" s="5" t="s">
        <v>89</v>
      </c>
      <c r="R1128" s="6" t="s">
        <v>42</v>
      </c>
      <c r="S1128" s="5" t="s">
        <v>416</v>
      </c>
      <c r="T1128" s="5" t="s">
        <v>141</v>
      </c>
      <c r="U1128" s="5" t="s">
        <v>44</v>
      </c>
      <c r="V1128" s="5" t="s">
        <v>44</v>
      </c>
      <c r="W1128" s="5" t="s">
        <v>35</v>
      </c>
      <c r="X1128" s="8" t="s">
        <v>432</v>
      </c>
      <c r="Y1128" s="5" t="s">
        <v>46</v>
      </c>
      <c r="Z1128" s="5" t="s">
        <v>47</v>
      </c>
      <c r="AA1128" s="5" t="s">
        <v>64</v>
      </c>
      <c r="AB1128" s="5" t="s">
        <v>5220</v>
      </c>
      <c r="AC1128" s="6" t="s">
        <v>67</v>
      </c>
      <c r="AD1128" s="6">
        <v>9767.0</v>
      </c>
    </row>
    <row r="1129" ht="56.25" customHeight="1">
      <c r="A1129" s="5" t="s">
        <v>5200</v>
      </c>
      <c r="B1129" s="6" t="str">
        <f>IMAGE("https://storage.googleapis.com/acdb/housewares/FtrPaleCaster_Remake_3_0.png")</f>
        <v/>
      </c>
      <c r="C1129" s="5" t="s">
        <v>54</v>
      </c>
      <c r="D1129" s="5" t="s">
        <v>34</v>
      </c>
      <c r="E1129" s="5" t="s">
        <v>34</v>
      </c>
      <c r="F1129" s="5" t="s">
        <v>34</v>
      </c>
      <c r="G1129" s="5" t="s">
        <v>36</v>
      </c>
      <c r="H1129" s="5" t="s">
        <v>36</v>
      </c>
      <c r="I1129" s="5" t="s">
        <v>36</v>
      </c>
      <c r="J1129" s="6" t="s">
        <v>34</v>
      </c>
      <c r="K1129" s="6">
        <v>1000.0</v>
      </c>
      <c r="L1129" s="6">
        <v>250.0</v>
      </c>
      <c r="M1129" s="8" t="s">
        <v>54</v>
      </c>
      <c r="N1129" s="8" t="s">
        <v>54</v>
      </c>
      <c r="O1129" s="6" t="s">
        <v>40</v>
      </c>
      <c r="P1129" s="5" t="s">
        <v>59</v>
      </c>
      <c r="Q1129" s="5" t="s">
        <v>89</v>
      </c>
      <c r="R1129" s="6" t="s">
        <v>42</v>
      </c>
      <c r="S1129" s="5" t="s">
        <v>416</v>
      </c>
      <c r="T1129" s="5" t="s">
        <v>141</v>
      </c>
      <c r="U1129" s="5" t="s">
        <v>44</v>
      </c>
      <c r="V1129" s="5" t="s">
        <v>44</v>
      </c>
      <c r="W1129" s="5" t="s">
        <v>35</v>
      </c>
      <c r="X1129" s="8" t="s">
        <v>432</v>
      </c>
      <c r="Y1129" s="5" t="s">
        <v>46</v>
      </c>
      <c r="Z1129" s="5" t="s">
        <v>47</v>
      </c>
      <c r="AA1129" s="5" t="s">
        <v>64</v>
      </c>
      <c r="AB1129" s="5" t="s">
        <v>5226</v>
      </c>
      <c r="AC1129" s="6" t="s">
        <v>71</v>
      </c>
      <c r="AD1129" s="6">
        <v>9767.0</v>
      </c>
    </row>
    <row r="1130" ht="56.25" customHeight="1">
      <c r="A1130" s="5" t="s">
        <v>5200</v>
      </c>
      <c r="B1130" s="6" t="str">
        <f>IMAGE("https://storage.googleapis.com/acdb/housewares/FtrPaleCaster_Remake_4_0.png")</f>
        <v/>
      </c>
      <c r="C1130" s="5" t="s">
        <v>57</v>
      </c>
      <c r="D1130" s="5" t="s">
        <v>34</v>
      </c>
      <c r="E1130" s="5" t="s">
        <v>34</v>
      </c>
      <c r="F1130" s="5" t="s">
        <v>34</v>
      </c>
      <c r="G1130" s="5" t="s">
        <v>36</v>
      </c>
      <c r="H1130" s="5" t="s">
        <v>36</v>
      </c>
      <c r="I1130" s="5" t="s">
        <v>36</v>
      </c>
      <c r="J1130" s="6" t="s">
        <v>34</v>
      </c>
      <c r="K1130" s="6">
        <v>1000.0</v>
      </c>
      <c r="L1130" s="6">
        <v>250.0</v>
      </c>
      <c r="M1130" s="8" t="s">
        <v>57</v>
      </c>
      <c r="N1130" s="8" t="s">
        <v>95</v>
      </c>
      <c r="O1130" s="6" t="s">
        <v>40</v>
      </c>
      <c r="P1130" s="5" t="s">
        <v>59</v>
      </c>
      <c r="Q1130" s="5" t="s">
        <v>89</v>
      </c>
      <c r="R1130" s="6" t="s">
        <v>42</v>
      </c>
      <c r="S1130" s="5" t="s">
        <v>416</v>
      </c>
      <c r="T1130" s="5" t="s">
        <v>141</v>
      </c>
      <c r="U1130" s="5" t="s">
        <v>44</v>
      </c>
      <c r="V1130" s="5" t="s">
        <v>44</v>
      </c>
      <c r="W1130" s="5" t="s">
        <v>35</v>
      </c>
      <c r="X1130" s="8" t="s">
        <v>432</v>
      </c>
      <c r="Y1130" s="5" t="s">
        <v>46</v>
      </c>
      <c r="Z1130" s="5" t="s">
        <v>47</v>
      </c>
      <c r="AA1130" s="5" t="s">
        <v>64</v>
      </c>
      <c r="AB1130" s="5" t="s">
        <v>5233</v>
      </c>
      <c r="AC1130" s="6" t="s">
        <v>75</v>
      </c>
      <c r="AD1130" s="6">
        <v>9767.0</v>
      </c>
    </row>
    <row r="1131" ht="56.25" customHeight="1">
      <c r="A1131" s="5" t="s">
        <v>5200</v>
      </c>
      <c r="B1131" s="6" t="str">
        <f>IMAGE("https://storage.googleapis.com/acdb/housewares/FtrPaleCaster_Remake_5_0.png")</f>
        <v/>
      </c>
      <c r="C1131" s="5" t="s">
        <v>52</v>
      </c>
      <c r="D1131" s="5" t="s">
        <v>34</v>
      </c>
      <c r="E1131" s="5" t="s">
        <v>34</v>
      </c>
      <c r="F1131" s="5" t="s">
        <v>34</v>
      </c>
      <c r="G1131" s="5" t="s">
        <v>36</v>
      </c>
      <c r="H1131" s="5" t="s">
        <v>36</v>
      </c>
      <c r="I1131" s="5" t="s">
        <v>36</v>
      </c>
      <c r="J1131" s="6" t="s">
        <v>34</v>
      </c>
      <c r="K1131" s="6">
        <v>1000.0</v>
      </c>
      <c r="L1131" s="6">
        <v>250.0</v>
      </c>
      <c r="M1131" s="8" t="s">
        <v>52</v>
      </c>
      <c r="N1131" s="8" t="s">
        <v>54</v>
      </c>
      <c r="O1131" s="6" t="s">
        <v>40</v>
      </c>
      <c r="P1131" s="5" t="s">
        <v>59</v>
      </c>
      <c r="Q1131" s="5" t="s">
        <v>89</v>
      </c>
      <c r="R1131" s="6" t="s">
        <v>42</v>
      </c>
      <c r="S1131" s="5" t="s">
        <v>416</v>
      </c>
      <c r="T1131" s="5" t="s">
        <v>141</v>
      </c>
      <c r="U1131" s="5" t="s">
        <v>44</v>
      </c>
      <c r="V1131" s="5" t="s">
        <v>44</v>
      </c>
      <c r="W1131" s="5" t="s">
        <v>35</v>
      </c>
      <c r="X1131" s="8" t="s">
        <v>432</v>
      </c>
      <c r="Y1131" s="5" t="s">
        <v>46</v>
      </c>
      <c r="Z1131" s="5" t="s">
        <v>47</v>
      </c>
      <c r="AA1131" s="5" t="s">
        <v>64</v>
      </c>
      <c r="AB1131" s="5" t="s">
        <v>5242</v>
      </c>
      <c r="AC1131" s="6" t="s">
        <v>79</v>
      </c>
      <c r="AD1131" s="6">
        <v>9767.0</v>
      </c>
    </row>
    <row r="1132" ht="56.25" customHeight="1">
      <c r="A1132" s="5" t="s">
        <v>5200</v>
      </c>
      <c r="B1132" s="6" t="str">
        <f>IMAGE("https://storage.googleapis.com/acdb/housewares/FtrPaleCaster_Remake_6_0.png")</f>
        <v/>
      </c>
      <c r="C1132" s="5" t="s">
        <v>68</v>
      </c>
      <c r="D1132" s="5" t="s">
        <v>34</v>
      </c>
      <c r="E1132" s="5" t="s">
        <v>34</v>
      </c>
      <c r="F1132" s="5" t="s">
        <v>34</v>
      </c>
      <c r="G1132" s="5" t="s">
        <v>36</v>
      </c>
      <c r="H1132" s="5" t="s">
        <v>36</v>
      </c>
      <c r="I1132" s="5" t="s">
        <v>36</v>
      </c>
      <c r="J1132" s="6" t="s">
        <v>34</v>
      </c>
      <c r="K1132" s="6">
        <v>1000.0</v>
      </c>
      <c r="L1132" s="6">
        <v>250.0</v>
      </c>
      <c r="M1132" s="8" t="s">
        <v>68</v>
      </c>
      <c r="N1132" s="8" t="s">
        <v>54</v>
      </c>
      <c r="O1132" s="6" t="s">
        <v>40</v>
      </c>
      <c r="P1132" s="5" t="s">
        <v>59</v>
      </c>
      <c r="Q1132" s="5" t="s">
        <v>89</v>
      </c>
      <c r="R1132" s="6" t="s">
        <v>42</v>
      </c>
      <c r="S1132" s="5" t="s">
        <v>416</v>
      </c>
      <c r="T1132" s="5" t="s">
        <v>141</v>
      </c>
      <c r="U1132" s="5" t="s">
        <v>44</v>
      </c>
      <c r="V1132" s="5" t="s">
        <v>44</v>
      </c>
      <c r="W1132" s="5" t="s">
        <v>35</v>
      </c>
      <c r="X1132" s="8" t="s">
        <v>432</v>
      </c>
      <c r="Y1132" s="5" t="s">
        <v>46</v>
      </c>
      <c r="Z1132" s="5" t="s">
        <v>47</v>
      </c>
      <c r="AA1132" s="5" t="s">
        <v>64</v>
      </c>
      <c r="AB1132" s="5" t="s">
        <v>5249</v>
      </c>
      <c r="AC1132" s="6" t="s">
        <v>86</v>
      </c>
      <c r="AD1132" s="6">
        <v>9767.0</v>
      </c>
    </row>
    <row r="1133" ht="56.25" customHeight="1">
      <c r="A1133" s="5" t="s">
        <v>5251</v>
      </c>
      <c r="B1133" s="6" t="str">
        <f>IMAGE("https://storage.googleapis.com/acdb/housewares/FtrPaleTinplate.png")</f>
        <v/>
      </c>
      <c r="C1133" s="5" t="s">
        <v>34</v>
      </c>
      <c r="D1133" s="5" t="s">
        <v>34</v>
      </c>
      <c r="E1133" s="5" t="s">
        <v>34</v>
      </c>
      <c r="F1133" s="5" t="s">
        <v>34</v>
      </c>
      <c r="G1133" s="5" t="s">
        <v>36</v>
      </c>
      <c r="H1133" s="5" t="s">
        <v>36</v>
      </c>
      <c r="I1133" s="5" t="s">
        <v>36</v>
      </c>
      <c r="J1133" s="6" t="s">
        <v>34</v>
      </c>
      <c r="K1133" s="6">
        <v>960.0</v>
      </c>
      <c r="L1133" s="6">
        <v>240.0</v>
      </c>
      <c r="M1133" s="5" t="s">
        <v>95</v>
      </c>
      <c r="N1133" s="5" t="s">
        <v>95</v>
      </c>
      <c r="O1133" s="6" t="s">
        <v>40</v>
      </c>
      <c r="P1133" s="5" t="s">
        <v>59</v>
      </c>
      <c r="Q1133" s="5" t="s">
        <v>89</v>
      </c>
      <c r="R1133" s="6" t="s">
        <v>42</v>
      </c>
      <c r="S1133" s="5" t="s">
        <v>416</v>
      </c>
      <c r="T1133" s="5" t="s">
        <v>44</v>
      </c>
      <c r="U1133" s="5" t="s">
        <v>44</v>
      </c>
      <c r="V1133" s="5" t="s">
        <v>44</v>
      </c>
      <c r="W1133" s="5" t="s">
        <v>35</v>
      </c>
      <c r="X1133" s="8" t="s">
        <v>432</v>
      </c>
      <c r="Y1133" s="5" t="s">
        <v>46</v>
      </c>
      <c r="Z1133" s="5" t="s">
        <v>47</v>
      </c>
      <c r="AA1133" s="5" t="s">
        <v>64</v>
      </c>
      <c r="AB1133" s="5" t="s">
        <v>5257</v>
      </c>
      <c r="AC1133" s="6" t="s">
        <v>34</v>
      </c>
      <c r="AD1133" s="6">
        <v>2555.0</v>
      </c>
    </row>
    <row r="1134" ht="56.25" customHeight="1">
      <c r="A1134" s="5" t="s">
        <v>5258</v>
      </c>
      <c r="B1134" s="6" t="str">
        <f>IMAGE("https://storage.googleapis.com/acdb/housewares/FtrPale.png")</f>
        <v/>
      </c>
      <c r="C1134" s="5" t="s">
        <v>34</v>
      </c>
      <c r="D1134" s="5" t="s">
        <v>34</v>
      </c>
      <c r="E1134" s="5" t="s">
        <v>34</v>
      </c>
      <c r="F1134" s="5" t="s">
        <v>34</v>
      </c>
      <c r="G1134" s="5" t="s">
        <v>36</v>
      </c>
      <c r="H1134" s="5" t="s">
        <v>36</v>
      </c>
      <c r="I1134" s="5" t="s">
        <v>36</v>
      </c>
      <c r="J1134" s="6" t="s">
        <v>34</v>
      </c>
      <c r="K1134" s="6">
        <v>1000.0</v>
      </c>
      <c r="L1134" s="6">
        <v>250.0</v>
      </c>
      <c r="M1134" s="5" t="s">
        <v>83</v>
      </c>
      <c r="N1134" s="5" t="s">
        <v>83</v>
      </c>
      <c r="O1134" s="6" t="s">
        <v>40</v>
      </c>
      <c r="P1134" s="5" t="s">
        <v>59</v>
      </c>
      <c r="Q1134" s="5" t="s">
        <v>89</v>
      </c>
      <c r="R1134" s="6" t="s">
        <v>42</v>
      </c>
      <c r="S1134" s="5" t="s">
        <v>416</v>
      </c>
      <c r="T1134" s="5" t="s">
        <v>44</v>
      </c>
      <c r="U1134" s="5" t="s">
        <v>44</v>
      </c>
      <c r="V1134" s="5" t="s">
        <v>44</v>
      </c>
      <c r="W1134" s="5" t="s">
        <v>35</v>
      </c>
      <c r="X1134" s="8" t="s">
        <v>432</v>
      </c>
      <c r="Y1134" s="5" t="s">
        <v>46</v>
      </c>
      <c r="Z1134" s="5" t="s">
        <v>47</v>
      </c>
      <c r="AA1134" s="5" t="s">
        <v>64</v>
      </c>
      <c r="AB1134" s="5" t="s">
        <v>5265</v>
      </c>
      <c r="AC1134" s="6" t="s">
        <v>34</v>
      </c>
      <c r="AD1134" s="6">
        <v>2556.0</v>
      </c>
    </row>
    <row r="1135" ht="56.25" customHeight="1">
      <c r="A1135" s="5" t="s">
        <v>5266</v>
      </c>
      <c r="B1135" s="6" t="str">
        <f>IMAGE("https://storage.googleapis.com/acdb/housewares/FtrParkbenche_Remake_0_0.png")</f>
        <v/>
      </c>
      <c r="C1135" s="5" t="s">
        <v>54</v>
      </c>
      <c r="D1135" s="5" t="s">
        <v>2</v>
      </c>
      <c r="E1135" s="5" t="s">
        <v>34</v>
      </c>
      <c r="F1135" s="5" t="s">
        <v>34</v>
      </c>
      <c r="G1135" s="5" t="s">
        <v>35</v>
      </c>
      <c r="H1135" s="5" t="s">
        <v>35</v>
      </c>
      <c r="I1135" s="5" t="s">
        <v>36</v>
      </c>
      <c r="J1135" s="6">
        <v>6.0</v>
      </c>
      <c r="K1135" s="6" t="s">
        <v>37</v>
      </c>
      <c r="L1135" s="6">
        <v>4440.0</v>
      </c>
      <c r="M1135" s="8" t="s">
        <v>38</v>
      </c>
      <c r="N1135" s="8" t="s">
        <v>54</v>
      </c>
      <c r="O1135" s="6" t="s">
        <v>276</v>
      </c>
      <c r="P1135" s="5" t="s">
        <v>41</v>
      </c>
      <c r="Q1135" s="5"/>
      <c r="R1135" s="6" t="s">
        <v>42</v>
      </c>
      <c r="S1135" s="5" t="s">
        <v>172</v>
      </c>
      <c r="T1135" s="5" t="s">
        <v>44</v>
      </c>
      <c r="U1135" s="5" t="s">
        <v>44</v>
      </c>
      <c r="V1135" s="5" t="s">
        <v>44</v>
      </c>
      <c r="W1135" s="5" t="s">
        <v>35</v>
      </c>
      <c r="X1135" s="8" t="s">
        <v>671</v>
      </c>
      <c r="Y1135" s="5" t="s">
        <v>46</v>
      </c>
      <c r="Z1135" s="5" t="s">
        <v>47</v>
      </c>
      <c r="AA1135" s="5" t="s">
        <v>48</v>
      </c>
      <c r="AB1135" s="5" t="s">
        <v>5272</v>
      </c>
      <c r="AC1135" s="6" t="s">
        <v>50</v>
      </c>
      <c r="AD1135" s="6">
        <v>3509.0</v>
      </c>
    </row>
    <row r="1136" ht="56.25" customHeight="1">
      <c r="A1136" s="5" t="s">
        <v>5266</v>
      </c>
      <c r="B1136" s="6" t="str">
        <f>IMAGE("https://storage.googleapis.com/acdb/housewares/FtrParkbenche_Remake_1_0.png")</f>
        <v/>
      </c>
      <c r="C1136" s="5" t="s">
        <v>96</v>
      </c>
      <c r="D1136" s="5" t="s">
        <v>2</v>
      </c>
      <c r="E1136" s="5" t="s">
        <v>34</v>
      </c>
      <c r="F1136" s="5" t="s">
        <v>34</v>
      </c>
      <c r="G1136" s="5" t="s">
        <v>35</v>
      </c>
      <c r="H1136" s="5" t="s">
        <v>35</v>
      </c>
      <c r="I1136" s="5" t="s">
        <v>36</v>
      </c>
      <c r="J1136" s="6">
        <v>6.0</v>
      </c>
      <c r="K1136" s="6" t="s">
        <v>37</v>
      </c>
      <c r="L1136" s="6">
        <v>4440.0</v>
      </c>
      <c r="M1136" s="8" t="s">
        <v>39</v>
      </c>
      <c r="N1136" s="8" t="s">
        <v>96</v>
      </c>
      <c r="O1136" s="6" t="s">
        <v>276</v>
      </c>
      <c r="P1136" s="5" t="s">
        <v>41</v>
      </c>
      <c r="Q1136" s="5"/>
      <c r="R1136" s="6" t="s">
        <v>42</v>
      </c>
      <c r="S1136" s="5" t="s">
        <v>172</v>
      </c>
      <c r="T1136" s="5" t="s">
        <v>44</v>
      </c>
      <c r="U1136" s="5" t="s">
        <v>44</v>
      </c>
      <c r="V1136" s="5" t="s">
        <v>44</v>
      </c>
      <c r="W1136" s="5" t="s">
        <v>35</v>
      </c>
      <c r="X1136" s="8" t="s">
        <v>671</v>
      </c>
      <c r="Y1136" s="5" t="s">
        <v>46</v>
      </c>
      <c r="Z1136" s="5" t="s">
        <v>47</v>
      </c>
      <c r="AA1136" s="5" t="s">
        <v>48</v>
      </c>
      <c r="AB1136" s="5" t="s">
        <v>5277</v>
      </c>
      <c r="AC1136" s="6" t="s">
        <v>56</v>
      </c>
      <c r="AD1136" s="6">
        <v>3509.0</v>
      </c>
    </row>
    <row r="1137" ht="56.25" customHeight="1">
      <c r="A1137" s="5" t="s">
        <v>5266</v>
      </c>
      <c r="B1137" s="6" t="str">
        <f>IMAGE("https://storage.googleapis.com/acdb/housewares/FtrParkbenche_Remake_2_0.png")</f>
        <v/>
      </c>
      <c r="C1137" s="5" t="s">
        <v>1187</v>
      </c>
      <c r="D1137" s="5" t="s">
        <v>2</v>
      </c>
      <c r="E1137" s="5" t="s">
        <v>34</v>
      </c>
      <c r="F1137" s="5" t="s">
        <v>34</v>
      </c>
      <c r="G1137" s="5" t="s">
        <v>35</v>
      </c>
      <c r="H1137" s="5" t="s">
        <v>35</v>
      </c>
      <c r="I1137" s="5" t="s">
        <v>36</v>
      </c>
      <c r="J1137" s="6">
        <v>6.0</v>
      </c>
      <c r="K1137" s="6" t="s">
        <v>37</v>
      </c>
      <c r="L1137" s="6">
        <v>4440.0</v>
      </c>
      <c r="M1137" s="8" t="s">
        <v>38</v>
      </c>
      <c r="N1137" s="8" t="s">
        <v>54</v>
      </c>
      <c r="O1137" s="6" t="s">
        <v>276</v>
      </c>
      <c r="P1137" s="5" t="s">
        <v>41</v>
      </c>
      <c r="Q1137" s="5"/>
      <c r="R1137" s="6" t="s">
        <v>42</v>
      </c>
      <c r="S1137" s="5" t="s">
        <v>172</v>
      </c>
      <c r="T1137" s="5" t="s">
        <v>44</v>
      </c>
      <c r="U1137" s="5" t="s">
        <v>44</v>
      </c>
      <c r="V1137" s="5" t="s">
        <v>44</v>
      </c>
      <c r="W1137" s="5" t="s">
        <v>35</v>
      </c>
      <c r="X1137" s="8" t="s">
        <v>671</v>
      </c>
      <c r="Y1137" s="5" t="s">
        <v>46</v>
      </c>
      <c r="Z1137" s="5" t="s">
        <v>47</v>
      </c>
      <c r="AA1137" s="5" t="s">
        <v>48</v>
      </c>
      <c r="AB1137" s="5" t="s">
        <v>5279</v>
      </c>
      <c r="AC1137" s="6" t="s">
        <v>67</v>
      </c>
      <c r="AD1137" s="6">
        <v>3509.0</v>
      </c>
    </row>
    <row r="1138" ht="56.25" customHeight="1">
      <c r="A1138" s="5" t="s">
        <v>5266</v>
      </c>
      <c r="B1138" s="6" t="str">
        <f>IMAGE("https://storage.googleapis.com/acdb/housewares/FtrParkbenche_Remake_3_0.png")</f>
        <v/>
      </c>
      <c r="C1138" s="5" t="s">
        <v>52</v>
      </c>
      <c r="D1138" s="5" t="s">
        <v>2</v>
      </c>
      <c r="E1138" s="5" t="s">
        <v>34</v>
      </c>
      <c r="F1138" s="5" t="s">
        <v>34</v>
      </c>
      <c r="G1138" s="5" t="s">
        <v>35</v>
      </c>
      <c r="H1138" s="5" t="s">
        <v>35</v>
      </c>
      <c r="I1138" s="5" t="s">
        <v>36</v>
      </c>
      <c r="J1138" s="6">
        <v>6.0</v>
      </c>
      <c r="K1138" s="6" t="s">
        <v>37</v>
      </c>
      <c r="L1138" s="6">
        <v>4440.0</v>
      </c>
      <c r="M1138" s="8" t="s">
        <v>38</v>
      </c>
      <c r="N1138" s="8" t="s">
        <v>52</v>
      </c>
      <c r="O1138" s="6" t="s">
        <v>276</v>
      </c>
      <c r="P1138" s="5" t="s">
        <v>41</v>
      </c>
      <c r="Q1138" s="5"/>
      <c r="R1138" s="6" t="s">
        <v>42</v>
      </c>
      <c r="S1138" s="5" t="s">
        <v>172</v>
      </c>
      <c r="T1138" s="5" t="s">
        <v>44</v>
      </c>
      <c r="U1138" s="5" t="s">
        <v>44</v>
      </c>
      <c r="V1138" s="5" t="s">
        <v>44</v>
      </c>
      <c r="W1138" s="5" t="s">
        <v>35</v>
      </c>
      <c r="X1138" s="8" t="s">
        <v>671</v>
      </c>
      <c r="Y1138" s="5" t="s">
        <v>46</v>
      </c>
      <c r="Z1138" s="5" t="s">
        <v>47</v>
      </c>
      <c r="AA1138" s="5" t="s">
        <v>48</v>
      </c>
      <c r="AB1138" s="5" t="s">
        <v>5282</v>
      </c>
      <c r="AC1138" s="6" t="s">
        <v>71</v>
      </c>
      <c r="AD1138" s="6">
        <v>3509.0</v>
      </c>
    </row>
    <row r="1139" ht="56.25" customHeight="1">
      <c r="A1139" s="5" t="s">
        <v>5266</v>
      </c>
      <c r="B1139" s="6" t="str">
        <f>IMAGE("https://storage.googleapis.com/acdb/housewares/FtrParkbenche_Remake_4_0.png")</f>
        <v/>
      </c>
      <c r="C1139" s="5" t="s">
        <v>146</v>
      </c>
      <c r="D1139" s="5" t="s">
        <v>2</v>
      </c>
      <c r="E1139" s="5" t="s">
        <v>34</v>
      </c>
      <c r="F1139" s="5" t="s">
        <v>34</v>
      </c>
      <c r="G1139" s="5" t="s">
        <v>35</v>
      </c>
      <c r="H1139" s="5" t="s">
        <v>35</v>
      </c>
      <c r="I1139" s="5" t="s">
        <v>36</v>
      </c>
      <c r="J1139" s="6">
        <v>6.0</v>
      </c>
      <c r="K1139" s="6" t="s">
        <v>37</v>
      </c>
      <c r="L1139" s="6">
        <v>4440.0</v>
      </c>
      <c r="M1139" s="8" t="s">
        <v>39</v>
      </c>
      <c r="N1139" s="8" t="s">
        <v>95</v>
      </c>
      <c r="O1139" s="6" t="s">
        <v>276</v>
      </c>
      <c r="P1139" s="5" t="s">
        <v>41</v>
      </c>
      <c r="Q1139" s="5"/>
      <c r="R1139" s="6" t="s">
        <v>42</v>
      </c>
      <c r="S1139" s="5" t="s">
        <v>172</v>
      </c>
      <c r="T1139" s="5" t="s">
        <v>44</v>
      </c>
      <c r="U1139" s="5" t="s">
        <v>44</v>
      </c>
      <c r="V1139" s="5" t="s">
        <v>44</v>
      </c>
      <c r="W1139" s="5" t="s">
        <v>35</v>
      </c>
      <c r="X1139" s="8" t="s">
        <v>671</v>
      </c>
      <c r="Y1139" s="5" t="s">
        <v>46</v>
      </c>
      <c r="Z1139" s="5" t="s">
        <v>47</v>
      </c>
      <c r="AA1139" s="5" t="s">
        <v>48</v>
      </c>
      <c r="AB1139" s="5" t="s">
        <v>5284</v>
      </c>
      <c r="AC1139" s="6" t="s">
        <v>75</v>
      </c>
      <c r="AD1139" s="6">
        <v>3509.0</v>
      </c>
    </row>
    <row r="1140" ht="56.25" customHeight="1">
      <c r="A1140" s="5" t="s">
        <v>5266</v>
      </c>
      <c r="B1140" s="6" t="str">
        <f>IMAGE("https://storage.googleapis.com/acdb/housewares/FtrParkbenche_Remake_5_0.png")</f>
        <v/>
      </c>
      <c r="C1140" s="5" t="s">
        <v>57</v>
      </c>
      <c r="D1140" s="5" t="s">
        <v>2</v>
      </c>
      <c r="E1140" s="5" t="s">
        <v>34</v>
      </c>
      <c r="F1140" s="5" t="s">
        <v>34</v>
      </c>
      <c r="G1140" s="5" t="s">
        <v>35</v>
      </c>
      <c r="H1140" s="5" t="s">
        <v>35</v>
      </c>
      <c r="I1140" s="5" t="s">
        <v>36</v>
      </c>
      <c r="J1140" s="6">
        <v>6.0</v>
      </c>
      <c r="K1140" s="6" t="s">
        <v>37</v>
      </c>
      <c r="L1140" s="6">
        <v>4440.0</v>
      </c>
      <c r="M1140" s="8" t="s">
        <v>57</v>
      </c>
      <c r="N1140" s="8" t="s">
        <v>57</v>
      </c>
      <c r="O1140" s="6" t="s">
        <v>276</v>
      </c>
      <c r="P1140" s="5" t="s">
        <v>41</v>
      </c>
      <c r="Q1140" s="5"/>
      <c r="R1140" s="6" t="s">
        <v>42</v>
      </c>
      <c r="S1140" s="5" t="s">
        <v>172</v>
      </c>
      <c r="T1140" s="5" t="s">
        <v>44</v>
      </c>
      <c r="U1140" s="5" t="s">
        <v>44</v>
      </c>
      <c r="V1140" s="5" t="s">
        <v>44</v>
      </c>
      <c r="W1140" s="5" t="s">
        <v>35</v>
      </c>
      <c r="X1140" s="8" t="s">
        <v>671</v>
      </c>
      <c r="Y1140" s="5" t="s">
        <v>46</v>
      </c>
      <c r="Z1140" s="5" t="s">
        <v>47</v>
      </c>
      <c r="AA1140" s="5" t="s">
        <v>48</v>
      </c>
      <c r="AB1140" s="5" t="s">
        <v>5287</v>
      </c>
      <c r="AC1140" s="6" t="s">
        <v>79</v>
      </c>
      <c r="AD1140" s="6">
        <v>3509.0</v>
      </c>
    </row>
    <row r="1141" ht="56.25" customHeight="1">
      <c r="A1141" s="5" t="s">
        <v>5288</v>
      </c>
      <c r="B1141" s="6" t="str">
        <f>IMAGE("https://storage.googleapis.com/acdb/housewares/FtrWaterview_Remake_0_0.png")</f>
        <v/>
      </c>
      <c r="C1141" s="5" t="s">
        <v>5291</v>
      </c>
      <c r="D1141" s="5" t="s">
        <v>34</v>
      </c>
      <c r="E1141" s="5" t="s">
        <v>34</v>
      </c>
      <c r="F1141" s="5" t="s">
        <v>34</v>
      </c>
      <c r="G1141" s="5" t="s">
        <v>36</v>
      </c>
      <c r="H1141" s="5" t="s">
        <v>36</v>
      </c>
      <c r="I1141" s="5" t="s">
        <v>36</v>
      </c>
      <c r="J1141" s="6" t="s">
        <v>34</v>
      </c>
      <c r="K1141" s="6">
        <v>1900.0</v>
      </c>
      <c r="L1141" s="6">
        <v>475.0</v>
      </c>
      <c r="M1141" s="8" t="s">
        <v>52</v>
      </c>
      <c r="N1141" s="8" t="s">
        <v>95</v>
      </c>
      <c r="O1141" s="6" t="s">
        <v>40</v>
      </c>
      <c r="P1141" s="5" t="s">
        <v>59</v>
      </c>
      <c r="Q1141" s="5" t="s">
        <v>89</v>
      </c>
      <c r="R1141" s="6" t="s">
        <v>42</v>
      </c>
      <c r="S1141" s="5" t="s">
        <v>172</v>
      </c>
      <c r="T1141" s="5" t="s">
        <v>44</v>
      </c>
      <c r="U1141" s="5" t="s">
        <v>44</v>
      </c>
      <c r="V1141" s="5" t="s">
        <v>44</v>
      </c>
      <c r="W1141" s="5" t="s">
        <v>35</v>
      </c>
      <c r="X1141" s="8" t="s">
        <v>1010</v>
      </c>
      <c r="Y1141" s="5" t="s">
        <v>46</v>
      </c>
      <c r="Z1141" s="5" t="s">
        <v>47</v>
      </c>
      <c r="AA1141" s="5" t="s">
        <v>64</v>
      </c>
      <c r="AB1141" s="5" t="s">
        <v>5296</v>
      </c>
      <c r="AC1141" s="6" t="s">
        <v>50</v>
      </c>
      <c r="AD1141" s="6">
        <v>1631.0</v>
      </c>
    </row>
    <row r="1142" ht="56.25" customHeight="1">
      <c r="A1142" s="5" t="s">
        <v>5288</v>
      </c>
      <c r="B1142" s="6" t="str">
        <f>IMAGE("https://storage.googleapis.com/acdb/housewares/FtrWaterview_Remake_1_0.png")</f>
        <v/>
      </c>
      <c r="C1142" s="5" t="s">
        <v>5298</v>
      </c>
      <c r="D1142" s="5" t="s">
        <v>34</v>
      </c>
      <c r="E1142" s="5" t="s">
        <v>34</v>
      </c>
      <c r="F1142" s="5" t="s">
        <v>34</v>
      </c>
      <c r="G1142" s="5" t="s">
        <v>36</v>
      </c>
      <c r="H1142" s="5" t="s">
        <v>36</v>
      </c>
      <c r="I1142" s="5" t="s">
        <v>36</v>
      </c>
      <c r="J1142" s="6" t="s">
        <v>34</v>
      </c>
      <c r="K1142" s="6">
        <v>1900.0</v>
      </c>
      <c r="L1142" s="6">
        <v>475.0</v>
      </c>
      <c r="M1142" s="8" t="s">
        <v>1175</v>
      </c>
      <c r="N1142" s="8" t="s">
        <v>57</v>
      </c>
      <c r="O1142" s="6" t="s">
        <v>40</v>
      </c>
      <c r="P1142" s="5" t="s">
        <v>59</v>
      </c>
      <c r="Q1142" s="5" t="s">
        <v>89</v>
      </c>
      <c r="R1142" s="6" t="s">
        <v>42</v>
      </c>
      <c r="S1142" s="5" t="s">
        <v>172</v>
      </c>
      <c r="T1142" s="5" t="s">
        <v>44</v>
      </c>
      <c r="U1142" s="5" t="s">
        <v>44</v>
      </c>
      <c r="V1142" s="5" t="s">
        <v>44</v>
      </c>
      <c r="W1142" s="5" t="s">
        <v>35</v>
      </c>
      <c r="X1142" s="8" t="s">
        <v>1010</v>
      </c>
      <c r="Y1142" s="5" t="s">
        <v>46</v>
      </c>
      <c r="Z1142" s="5" t="s">
        <v>47</v>
      </c>
      <c r="AA1142" s="5" t="s">
        <v>64</v>
      </c>
      <c r="AB1142" s="5" t="s">
        <v>5303</v>
      </c>
      <c r="AC1142" s="6" t="s">
        <v>56</v>
      </c>
      <c r="AD1142" s="6">
        <v>1631.0</v>
      </c>
    </row>
    <row r="1143" ht="56.25" customHeight="1">
      <c r="A1143" s="5" t="s">
        <v>5288</v>
      </c>
      <c r="B1143" s="6" t="str">
        <f>IMAGE("https://storage.googleapis.com/acdb/housewares/FtrWaterview_Remake_2_0.png")</f>
        <v/>
      </c>
      <c r="C1143" s="5" t="s">
        <v>836</v>
      </c>
      <c r="D1143" s="5" t="s">
        <v>34</v>
      </c>
      <c r="E1143" s="5" t="s">
        <v>34</v>
      </c>
      <c r="F1143" s="5" t="s">
        <v>34</v>
      </c>
      <c r="G1143" s="5" t="s">
        <v>36</v>
      </c>
      <c r="H1143" s="5" t="s">
        <v>36</v>
      </c>
      <c r="I1143" s="5" t="s">
        <v>36</v>
      </c>
      <c r="J1143" s="6" t="s">
        <v>34</v>
      </c>
      <c r="K1143" s="6">
        <v>1900.0</v>
      </c>
      <c r="L1143" s="6">
        <v>475.0</v>
      </c>
      <c r="M1143" s="8" t="s">
        <v>39</v>
      </c>
      <c r="N1143" s="8" t="s">
        <v>39</v>
      </c>
      <c r="O1143" s="6" t="s">
        <v>40</v>
      </c>
      <c r="P1143" s="5" t="s">
        <v>59</v>
      </c>
      <c r="Q1143" s="5" t="s">
        <v>89</v>
      </c>
      <c r="R1143" s="6" t="s">
        <v>42</v>
      </c>
      <c r="S1143" s="5" t="s">
        <v>172</v>
      </c>
      <c r="T1143" s="5" t="s">
        <v>44</v>
      </c>
      <c r="U1143" s="5" t="s">
        <v>44</v>
      </c>
      <c r="V1143" s="5" t="s">
        <v>44</v>
      </c>
      <c r="W1143" s="5" t="s">
        <v>35</v>
      </c>
      <c r="X1143" s="8" t="s">
        <v>1010</v>
      </c>
      <c r="Y1143" s="5" t="s">
        <v>46</v>
      </c>
      <c r="Z1143" s="5" t="s">
        <v>47</v>
      </c>
      <c r="AA1143" s="5" t="s">
        <v>64</v>
      </c>
      <c r="AB1143" s="5" t="s">
        <v>5308</v>
      </c>
      <c r="AC1143" s="6" t="s">
        <v>67</v>
      </c>
      <c r="AD1143" s="6">
        <v>1631.0</v>
      </c>
    </row>
    <row r="1144" ht="56.25" customHeight="1">
      <c r="A1144" s="5" t="s">
        <v>5288</v>
      </c>
      <c r="B1144" s="6" t="str">
        <f>IMAGE("https://storage.googleapis.com/acdb/housewares/FtrWaterview_Remake_3_0.png")</f>
        <v/>
      </c>
      <c r="C1144" s="5" t="s">
        <v>5310</v>
      </c>
      <c r="D1144" s="5" t="s">
        <v>34</v>
      </c>
      <c r="E1144" s="5" t="s">
        <v>34</v>
      </c>
      <c r="F1144" s="5" t="s">
        <v>34</v>
      </c>
      <c r="G1144" s="5" t="s">
        <v>36</v>
      </c>
      <c r="H1144" s="5" t="s">
        <v>36</v>
      </c>
      <c r="I1144" s="5" t="s">
        <v>36</v>
      </c>
      <c r="J1144" s="6" t="s">
        <v>34</v>
      </c>
      <c r="K1144" s="6">
        <v>1900.0</v>
      </c>
      <c r="L1144" s="6">
        <v>475.0</v>
      </c>
      <c r="M1144" s="8" t="s">
        <v>38</v>
      </c>
      <c r="N1144" s="8" t="s">
        <v>38</v>
      </c>
      <c r="O1144" s="6" t="s">
        <v>40</v>
      </c>
      <c r="P1144" s="5" t="s">
        <v>59</v>
      </c>
      <c r="Q1144" s="5" t="s">
        <v>89</v>
      </c>
      <c r="R1144" s="6" t="s">
        <v>42</v>
      </c>
      <c r="S1144" s="5" t="s">
        <v>172</v>
      </c>
      <c r="T1144" s="5" t="s">
        <v>44</v>
      </c>
      <c r="U1144" s="5" t="s">
        <v>44</v>
      </c>
      <c r="V1144" s="5" t="s">
        <v>44</v>
      </c>
      <c r="W1144" s="5" t="s">
        <v>35</v>
      </c>
      <c r="X1144" s="8" t="s">
        <v>1010</v>
      </c>
      <c r="Y1144" s="5" t="s">
        <v>46</v>
      </c>
      <c r="Z1144" s="5" t="s">
        <v>47</v>
      </c>
      <c r="AA1144" s="5" t="s">
        <v>64</v>
      </c>
      <c r="AB1144" s="5" t="s">
        <v>5315</v>
      </c>
      <c r="AC1144" s="6" t="s">
        <v>71</v>
      </c>
      <c r="AD1144" s="6">
        <v>1631.0</v>
      </c>
    </row>
    <row r="1145" ht="56.25" customHeight="1">
      <c r="A1145" s="5" t="s">
        <v>5288</v>
      </c>
      <c r="B1145" s="6" t="str">
        <f>IMAGE("https://storage.googleapis.com/acdb/housewares/FtrWaterview_Remake_4_0.png")</f>
        <v/>
      </c>
      <c r="C1145" s="5" t="s">
        <v>5317</v>
      </c>
      <c r="D1145" s="5" t="s">
        <v>34</v>
      </c>
      <c r="E1145" s="5" t="s">
        <v>34</v>
      </c>
      <c r="F1145" s="5" t="s">
        <v>34</v>
      </c>
      <c r="G1145" s="5" t="s">
        <v>36</v>
      </c>
      <c r="H1145" s="5" t="s">
        <v>36</v>
      </c>
      <c r="I1145" s="5" t="s">
        <v>36</v>
      </c>
      <c r="J1145" s="6" t="s">
        <v>34</v>
      </c>
      <c r="K1145" s="6">
        <v>1900.0</v>
      </c>
      <c r="L1145" s="6">
        <v>475.0</v>
      </c>
      <c r="M1145" s="8" t="s">
        <v>95</v>
      </c>
      <c r="N1145" s="8" t="s">
        <v>95</v>
      </c>
      <c r="O1145" s="6" t="s">
        <v>40</v>
      </c>
      <c r="P1145" s="5" t="s">
        <v>59</v>
      </c>
      <c r="Q1145" s="5" t="s">
        <v>89</v>
      </c>
      <c r="R1145" s="6" t="s">
        <v>42</v>
      </c>
      <c r="S1145" s="5" t="s">
        <v>172</v>
      </c>
      <c r="T1145" s="5" t="s">
        <v>44</v>
      </c>
      <c r="U1145" s="5" t="s">
        <v>44</v>
      </c>
      <c r="V1145" s="5" t="s">
        <v>44</v>
      </c>
      <c r="W1145" s="5" t="s">
        <v>35</v>
      </c>
      <c r="X1145" s="8" t="s">
        <v>1010</v>
      </c>
      <c r="Y1145" s="5" t="s">
        <v>46</v>
      </c>
      <c r="Z1145" s="5" t="s">
        <v>47</v>
      </c>
      <c r="AA1145" s="5" t="s">
        <v>64</v>
      </c>
      <c r="AB1145" s="5" t="s">
        <v>5321</v>
      </c>
      <c r="AC1145" s="6" t="s">
        <v>75</v>
      </c>
      <c r="AD1145" s="6">
        <v>1631.0</v>
      </c>
    </row>
    <row r="1146" ht="56.25" customHeight="1">
      <c r="A1146" s="5" t="s">
        <v>5322</v>
      </c>
      <c r="B1146" s="6" t="str">
        <f>IMAGE("https://storage.googleapis.com/acdb/housewares/FtrLampGarden_Remake_0_0.png")</f>
        <v/>
      </c>
      <c r="C1146" s="5" t="s">
        <v>54</v>
      </c>
      <c r="D1146" s="5" t="s">
        <v>34</v>
      </c>
      <c r="E1146" s="5" t="s">
        <v>34</v>
      </c>
      <c r="F1146" s="5" t="s">
        <v>34</v>
      </c>
      <c r="G1146" s="5" t="s">
        <v>36</v>
      </c>
      <c r="H1146" s="5" t="s">
        <v>36</v>
      </c>
      <c r="I1146" s="5" t="s">
        <v>36</v>
      </c>
      <c r="J1146" s="6" t="s">
        <v>34</v>
      </c>
      <c r="K1146" s="6">
        <v>1400.0</v>
      </c>
      <c r="L1146" s="6">
        <v>350.0</v>
      </c>
      <c r="M1146" s="8" t="s">
        <v>54</v>
      </c>
      <c r="N1146" s="8" t="s">
        <v>54</v>
      </c>
      <c r="O1146" s="6" t="s">
        <v>40</v>
      </c>
      <c r="P1146" s="5" t="s">
        <v>59</v>
      </c>
      <c r="Q1146" s="5" t="s">
        <v>89</v>
      </c>
      <c r="R1146" s="6" t="s">
        <v>42</v>
      </c>
      <c r="S1146" s="5" t="s">
        <v>172</v>
      </c>
      <c r="T1146" s="5" t="s">
        <v>44</v>
      </c>
      <c r="U1146" s="5" t="s">
        <v>44</v>
      </c>
      <c r="V1146" s="5" t="s">
        <v>44</v>
      </c>
      <c r="W1146" s="5" t="s">
        <v>35</v>
      </c>
      <c r="X1146" s="8" t="s">
        <v>467</v>
      </c>
      <c r="Y1146" s="5" t="s">
        <v>46</v>
      </c>
      <c r="Z1146" s="5" t="s">
        <v>502</v>
      </c>
      <c r="AA1146" s="5" t="s">
        <v>64</v>
      </c>
      <c r="AB1146" s="5" t="s">
        <v>5330</v>
      </c>
      <c r="AC1146" s="6" t="s">
        <v>50</v>
      </c>
      <c r="AD1146" s="6">
        <v>1628.0</v>
      </c>
    </row>
    <row r="1147" ht="56.25" customHeight="1">
      <c r="A1147" s="5" t="s">
        <v>5322</v>
      </c>
      <c r="B1147" s="6" t="str">
        <f>IMAGE("https://storage.googleapis.com/acdb/housewares/FtrLampGarden_Remake_1_0.png")</f>
        <v/>
      </c>
      <c r="C1147" s="5" t="s">
        <v>57</v>
      </c>
      <c r="D1147" s="5" t="s">
        <v>34</v>
      </c>
      <c r="E1147" s="5" t="s">
        <v>34</v>
      </c>
      <c r="F1147" s="5" t="s">
        <v>34</v>
      </c>
      <c r="G1147" s="5" t="s">
        <v>36</v>
      </c>
      <c r="H1147" s="5" t="s">
        <v>36</v>
      </c>
      <c r="I1147" s="5" t="s">
        <v>36</v>
      </c>
      <c r="J1147" s="6" t="s">
        <v>34</v>
      </c>
      <c r="K1147" s="6">
        <v>1400.0</v>
      </c>
      <c r="L1147" s="6">
        <v>350.0</v>
      </c>
      <c r="M1147" s="8" t="s">
        <v>57</v>
      </c>
      <c r="N1147" s="8" t="s">
        <v>57</v>
      </c>
      <c r="O1147" s="6" t="s">
        <v>40</v>
      </c>
      <c r="P1147" s="5" t="s">
        <v>59</v>
      </c>
      <c r="Q1147" s="5" t="s">
        <v>89</v>
      </c>
      <c r="R1147" s="6" t="s">
        <v>42</v>
      </c>
      <c r="S1147" s="5" t="s">
        <v>172</v>
      </c>
      <c r="T1147" s="5" t="s">
        <v>44</v>
      </c>
      <c r="U1147" s="5" t="s">
        <v>44</v>
      </c>
      <c r="V1147" s="5" t="s">
        <v>44</v>
      </c>
      <c r="W1147" s="5" t="s">
        <v>35</v>
      </c>
      <c r="X1147" s="8" t="s">
        <v>467</v>
      </c>
      <c r="Y1147" s="5" t="s">
        <v>46</v>
      </c>
      <c r="Z1147" s="5" t="s">
        <v>502</v>
      </c>
      <c r="AA1147" s="5" t="s">
        <v>64</v>
      </c>
      <c r="AB1147" s="5" t="s">
        <v>5336</v>
      </c>
      <c r="AC1147" s="6" t="s">
        <v>56</v>
      </c>
      <c r="AD1147" s="6">
        <v>1628.0</v>
      </c>
    </row>
    <row r="1148" ht="56.25" customHeight="1">
      <c r="A1148" s="5" t="s">
        <v>5322</v>
      </c>
      <c r="B1148" s="6" t="str">
        <f>IMAGE("https://storage.googleapis.com/acdb/housewares/FtrLampGarden_Remake_2_0.png")</f>
        <v/>
      </c>
      <c r="C1148" s="5" t="s">
        <v>5340</v>
      </c>
      <c r="D1148" s="5" t="s">
        <v>34</v>
      </c>
      <c r="E1148" s="5" t="s">
        <v>34</v>
      </c>
      <c r="F1148" s="5" t="s">
        <v>34</v>
      </c>
      <c r="G1148" s="5" t="s">
        <v>36</v>
      </c>
      <c r="H1148" s="5" t="s">
        <v>36</v>
      </c>
      <c r="I1148" s="5" t="s">
        <v>36</v>
      </c>
      <c r="J1148" s="6" t="s">
        <v>34</v>
      </c>
      <c r="K1148" s="6">
        <v>1400.0</v>
      </c>
      <c r="L1148" s="6">
        <v>350.0</v>
      </c>
      <c r="M1148" s="8" t="s">
        <v>96</v>
      </c>
      <c r="N1148" s="8" t="s">
        <v>96</v>
      </c>
      <c r="O1148" s="6" t="s">
        <v>40</v>
      </c>
      <c r="P1148" s="5" t="s">
        <v>59</v>
      </c>
      <c r="Q1148" s="5" t="s">
        <v>89</v>
      </c>
      <c r="R1148" s="6" t="s">
        <v>42</v>
      </c>
      <c r="S1148" s="5" t="s">
        <v>172</v>
      </c>
      <c r="T1148" s="5" t="s">
        <v>44</v>
      </c>
      <c r="U1148" s="5" t="s">
        <v>44</v>
      </c>
      <c r="V1148" s="5" t="s">
        <v>44</v>
      </c>
      <c r="W1148" s="5" t="s">
        <v>35</v>
      </c>
      <c r="X1148" s="8" t="s">
        <v>467</v>
      </c>
      <c r="Y1148" s="5" t="s">
        <v>46</v>
      </c>
      <c r="Z1148" s="5" t="s">
        <v>502</v>
      </c>
      <c r="AA1148" s="5" t="s">
        <v>64</v>
      </c>
      <c r="AB1148" s="5" t="s">
        <v>5345</v>
      </c>
      <c r="AC1148" s="6" t="s">
        <v>67</v>
      </c>
      <c r="AD1148" s="6">
        <v>1628.0</v>
      </c>
    </row>
    <row r="1149" ht="56.25" customHeight="1">
      <c r="A1149" s="5" t="s">
        <v>5346</v>
      </c>
      <c r="B1149" s="6" t="str">
        <f>IMAGE("https://storage.googleapis.com/acdb/housewares/FtrGardenrock.png")</f>
        <v/>
      </c>
      <c r="C1149" s="5" t="s">
        <v>34</v>
      </c>
      <c r="D1149" s="5" t="s">
        <v>34</v>
      </c>
      <c r="E1149" s="5" t="s">
        <v>34</v>
      </c>
      <c r="F1149" s="5" t="s">
        <v>34</v>
      </c>
      <c r="G1149" s="5" t="s">
        <v>35</v>
      </c>
      <c r="H1149" s="5" t="s">
        <v>36</v>
      </c>
      <c r="I1149" s="5" t="s">
        <v>36</v>
      </c>
      <c r="J1149" s="6" t="s">
        <v>34</v>
      </c>
      <c r="K1149" s="6" t="s">
        <v>37</v>
      </c>
      <c r="L1149" s="6">
        <v>2250.0</v>
      </c>
      <c r="M1149" s="5" t="s">
        <v>95</v>
      </c>
      <c r="N1149" s="5" t="s">
        <v>95</v>
      </c>
      <c r="O1149" s="6" t="s">
        <v>40</v>
      </c>
      <c r="P1149" s="5" t="s">
        <v>41</v>
      </c>
      <c r="Q1149" s="5"/>
      <c r="R1149" s="6" t="s">
        <v>42</v>
      </c>
      <c r="S1149" s="5" t="s">
        <v>172</v>
      </c>
      <c r="T1149" s="5" t="s">
        <v>44</v>
      </c>
      <c r="U1149" s="5" t="s">
        <v>44</v>
      </c>
      <c r="V1149" s="5" t="s">
        <v>44</v>
      </c>
      <c r="W1149" s="5" t="s">
        <v>36</v>
      </c>
      <c r="X1149" s="8" t="s">
        <v>650</v>
      </c>
      <c r="Y1149" s="5" t="s">
        <v>46</v>
      </c>
      <c r="Z1149" s="5" t="s">
        <v>47</v>
      </c>
      <c r="AA1149" s="5" t="s">
        <v>48</v>
      </c>
      <c r="AB1149" s="5" t="s">
        <v>5350</v>
      </c>
      <c r="AC1149" s="6" t="s">
        <v>34</v>
      </c>
      <c r="AD1149" s="6">
        <v>729.0</v>
      </c>
    </row>
    <row r="1150" ht="56.25" customHeight="1">
      <c r="A1150" s="5" t="s">
        <v>5351</v>
      </c>
      <c r="B1150" s="6" t="str">
        <f>IMAGE("https://storage.googleapis.com/acdb/housewares/FtrGardenwagon_Remake_0_0.png")</f>
        <v/>
      </c>
      <c r="C1150" s="5" t="s">
        <v>39</v>
      </c>
      <c r="D1150" s="5" t="s">
        <v>748</v>
      </c>
      <c r="E1150" s="5" t="s">
        <v>34</v>
      </c>
      <c r="F1150" s="5" t="s">
        <v>34</v>
      </c>
      <c r="G1150" s="5" t="s">
        <v>35</v>
      </c>
      <c r="H1150" s="5" t="s">
        <v>35</v>
      </c>
      <c r="I1150" s="5" t="s">
        <v>36</v>
      </c>
      <c r="J1150" s="6">
        <v>5.0</v>
      </c>
      <c r="K1150" s="6" t="s">
        <v>37</v>
      </c>
      <c r="L1150" s="6">
        <v>3180.0</v>
      </c>
      <c r="M1150" s="8" t="s">
        <v>142</v>
      </c>
      <c r="N1150" s="8" t="s">
        <v>58</v>
      </c>
      <c r="O1150" s="6" t="s">
        <v>276</v>
      </c>
      <c r="P1150" s="5" t="s">
        <v>41</v>
      </c>
      <c r="Q1150" s="5"/>
      <c r="R1150" s="6" t="s">
        <v>42</v>
      </c>
      <c r="S1150" s="5" t="s">
        <v>172</v>
      </c>
      <c r="T1150" s="5" t="s">
        <v>61</v>
      </c>
      <c r="U1150" s="5" t="s">
        <v>311</v>
      </c>
      <c r="V1150" s="5" t="s">
        <v>44</v>
      </c>
      <c r="W1150" s="5" t="s">
        <v>36</v>
      </c>
      <c r="X1150" s="8" t="s">
        <v>244</v>
      </c>
      <c r="Y1150" s="5" t="s">
        <v>46</v>
      </c>
      <c r="Z1150" s="5" t="s">
        <v>47</v>
      </c>
      <c r="AA1150" s="5" t="s">
        <v>48</v>
      </c>
      <c r="AB1150" s="5" t="s">
        <v>5354</v>
      </c>
      <c r="AC1150" s="6" t="s">
        <v>50</v>
      </c>
      <c r="AD1150" s="6">
        <v>8419.0</v>
      </c>
    </row>
    <row r="1151" ht="56.25" customHeight="1">
      <c r="A1151" s="5" t="s">
        <v>5351</v>
      </c>
      <c r="B1151" s="6" t="str">
        <f>IMAGE("https://storage.googleapis.com/acdb/housewares/FtrGardenwagon_Remake_1_0.png")</f>
        <v/>
      </c>
      <c r="C1151" s="5" t="s">
        <v>387</v>
      </c>
      <c r="D1151" s="5" t="s">
        <v>748</v>
      </c>
      <c r="E1151" s="5" t="s">
        <v>34</v>
      </c>
      <c r="F1151" s="5" t="s">
        <v>34</v>
      </c>
      <c r="G1151" s="5" t="s">
        <v>35</v>
      </c>
      <c r="H1151" s="5" t="s">
        <v>35</v>
      </c>
      <c r="I1151" s="5" t="s">
        <v>36</v>
      </c>
      <c r="J1151" s="6">
        <v>5.0</v>
      </c>
      <c r="K1151" s="6" t="s">
        <v>37</v>
      </c>
      <c r="L1151" s="6">
        <v>3180.0</v>
      </c>
      <c r="M1151" s="8" t="s">
        <v>39</v>
      </c>
      <c r="N1151" s="8" t="s">
        <v>58</v>
      </c>
      <c r="O1151" s="6" t="s">
        <v>276</v>
      </c>
      <c r="P1151" s="5" t="s">
        <v>41</v>
      </c>
      <c r="Q1151" s="5"/>
      <c r="R1151" s="6" t="s">
        <v>42</v>
      </c>
      <c r="S1151" s="5" t="s">
        <v>172</v>
      </c>
      <c r="T1151" s="5" t="s">
        <v>61</v>
      </c>
      <c r="U1151" s="5" t="s">
        <v>311</v>
      </c>
      <c r="V1151" s="5" t="s">
        <v>44</v>
      </c>
      <c r="W1151" s="5" t="s">
        <v>36</v>
      </c>
      <c r="X1151" s="8" t="s">
        <v>244</v>
      </c>
      <c r="Y1151" s="5" t="s">
        <v>46</v>
      </c>
      <c r="Z1151" s="5" t="s">
        <v>47</v>
      </c>
      <c r="AA1151" s="5" t="s">
        <v>48</v>
      </c>
      <c r="AB1151" s="5" t="s">
        <v>5356</v>
      </c>
      <c r="AC1151" s="6" t="s">
        <v>56</v>
      </c>
      <c r="AD1151" s="6">
        <v>8419.0</v>
      </c>
    </row>
    <row r="1152" ht="56.25" customHeight="1">
      <c r="A1152" s="5" t="s">
        <v>5351</v>
      </c>
      <c r="B1152" s="6" t="str">
        <f>IMAGE("https://storage.googleapis.com/acdb/housewares/FtrGardenwagon_Remake_2_0.png")</f>
        <v/>
      </c>
      <c r="C1152" s="5" t="s">
        <v>96</v>
      </c>
      <c r="D1152" s="5" t="s">
        <v>748</v>
      </c>
      <c r="E1152" s="5" t="s">
        <v>34</v>
      </c>
      <c r="F1152" s="5" t="s">
        <v>34</v>
      </c>
      <c r="G1152" s="5" t="s">
        <v>35</v>
      </c>
      <c r="H1152" s="5" t="s">
        <v>35</v>
      </c>
      <c r="I1152" s="5" t="s">
        <v>36</v>
      </c>
      <c r="J1152" s="6">
        <v>5.0</v>
      </c>
      <c r="K1152" s="6" t="s">
        <v>37</v>
      </c>
      <c r="L1152" s="6">
        <v>3180.0</v>
      </c>
      <c r="M1152" s="8" t="s">
        <v>96</v>
      </c>
      <c r="N1152" s="8" t="s">
        <v>58</v>
      </c>
      <c r="O1152" s="6" t="s">
        <v>276</v>
      </c>
      <c r="P1152" s="5" t="s">
        <v>41</v>
      </c>
      <c r="Q1152" s="5"/>
      <c r="R1152" s="6" t="s">
        <v>42</v>
      </c>
      <c r="S1152" s="5" t="s">
        <v>172</v>
      </c>
      <c r="T1152" s="5" t="s">
        <v>61</v>
      </c>
      <c r="U1152" s="5" t="s">
        <v>311</v>
      </c>
      <c r="V1152" s="5" t="s">
        <v>44</v>
      </c>
      <c r="W1152" s="5" t="s">
        <v>36</v>
      </c>
      <c r="X1152" s="8" t="s">
        <v>244</v>
      </c>
      <c r="Y1152" s="5" t="s">
        <v>46</v>
      </c>
      <c r="Z1152" s="5" t="s">
        <v>47</v>
      </c>
      <c r="AA1152" s="5" t="s">
        <v>48</v>
      </c>
      <c r="AB1152" s="5" t="s">
        <v>5361</v>
      </c>
      <c r="AC1152" s="6" t="s">
        <v>67</v>
      </c>
      <c r="AD1152" s="6">
        <v>8419.0</v>
      </c>
    </row>
    <row r="1153" ht="56.25" customHeight="1">
      <c r="A1153" s="5" t="s">
        <v>5351</v>
      </c>
      <c r="B1153" s="6" t="str">
        <f>IMAGE("https://storage.googleapis.com/acdb/housewares/FtrGardenwagon_Remake_3_0.png")</f>
        <v/>
      </c>
      <c r="C1153" s="5" t="s">
        <v>57</v>
      </c>
      <c r="D1153" s="5" t="s">
        <v>748</v>
      </c>
      <c r="E1153" s="5" t="s">
        <v>34</v>
      </c>
      <c r="F1153" s="5" t="s">
        <v>34</v>
      </c>
      <c r="G1153" s="5" t="s">
        <v>35</v>
      </c>
      <c r="H1153" s="5" t="s">
        <v>35</v>
      </c>
      <c r="I1153" s="5" t="s">
        <v>36</v>
      </c>
      <c r="J1153" s="6">
        <v>5.0</v>
      </c>
      <c r="K1153" s="6" t="s">
        <v>37</v>
      </c>
      <c r="L1153" s="6">
        <v>3180.0</v>
      </c>
      <c r="M1153" s="8" t="s">
        <v>57</v>
      </c>
      <c r="N1153" s="8" t="s">
        <v>58</v>
      </c>
      <c r="O1153" s="6" t="s">
        <v>276</v>
      </c>
      <c r="P1153" s="5" t="s">
        <v>41</v>
      </c>
      <c r="Q1153" s="5"/>
      <c r="R1153" s="6" t="s">
        <v>42</v>
      </c>
      <c r="S1153" s="5" t="s">
        <v>172</v>
      </c>
      <c r="T1153" s="5" t="s">
        <v>61</v>
      </c>
      <c r="U1153" s="5" t="s">
        <v>311</v>
      </c>
      <c r="V1153" s="5" t="s">
        <v>44</v>
      </c>
      <c r="W1153" s="5" t="s">
        <v>36</v>
      </c>
      <c r="X1153" s="8" t="s">
        <v>244</v>
      </c>
      <c r="Y1153" s="5" t="s">
        <v>46</v>
      </c>
      <c r="Z1153" s="5" t="s">
        <v>47</v>
      </c>
      <c r="AA1153" s="5" t="s">
        <v>48</v>
      </c>
      <c r="AB1153" s="5" t="s">
        <v>5366</v>
      </c>
      <c r="AC1153" s="6" t="s">
        <v>71</v>
      </c>
      <c r="AD1153" s="6">
        <v>8419.0</v>
      </c>
    </row>
    <row r="1154" ht="56.25" customHeight="1">
      <c r="A1154" s="5" t="s">
        <v>5367</v>
      </c>
      <c r="B1154" s="6" t="str">
        <f>IMAGE("https://storage.googleapis.com/acdb/housewares/FtrKitchenOven_Remake_0_0.png")</f>
        <v/>
      </c>
      <c r="C1154" s="5" t="s">
        <v>146</v>
      </c>
      <c r="D1154" s="5" t="s">
        <v>34</v>
      </c>
      <c r="E1154" s="5" t="s">
        <v>34</v>
      </c>
      <c r="F1154" s="5" t="s">
        <v>34</v>
      </c>
      <c r="G1154" s="5" t="s">
        <v>36</v>
      </c>
      <c r="H1154" s="5" t="s">
        <v>36</v>
      </c>
      <c r="I1154" s="5" t="s">
        <v>36</v>
      </c>
      <c r="J1154" s="6" t="s">
        <v>34</v>
      </c>
      <c r="K1154" s="6">
        <v>3500.0</v>
      </c>
      <c r="L1154" s="6">
        <v>875.0</v>
      </c>
      <c r="M1154" s="8" t="s">
        <v>95</v>
      </c>
      <c r="N1154" s="8" t="s">
        <v>52</v>
      </c>
      <c r="O1154" s="6" t="s">
        <v>40</v>
      </c>
      <c r="P1154" s="5" t="s">
        <v>59</v>
      </c>
      <c r="Q1154" s="5" t="s">
        <v>89</v>
      </c>
      <c r="R1154" s="6" t="s">
        <v>42</v>
      </c>
      <c r="S1154" s="5" t="s">
        <v>159</v>
      </c>
      <c r="T1154" s="5" t="s">
        <v>62</v>
      </c>
      <c r="U1154" s="5" t="s">
        <v>44</v>
      </c>
      <c r="V1154" s="5" t="s">
        <v>44</v>
      </c>
      <c r="W1154" s="5" t="s">
        <v>35</v>
      </c>
      <c r="X1154" s="8" t="s">
        <v>1244</v>
      </c>
      <c r="Y1154" s="5" t="s">
        <v>46</v>
      </c>
      <c r="Z1154" s="5" t="s">
        <v>47</v>
      </c>
      <c r="AA1154" s="5" t="s">
        <v>64</v>
      </c>
      <c r="AB1154" s="5" t="s">
        <v>5371</v>
      </c>
      <c r="AC1154" s="6" t="s">
        <v>50</v>
      </c>
      <c r="AD1154" s="6">
        <v>3251.0</v>
      </c>
    </row>
    <row r="1155" ht="56.25" customHeight="1">
      <c r="A1155" s="5" t="s">
        <v>5367</v>
      </c>
      <c r="B1155" s="6" t="str">
        <f>IMAGE("https://storage.googleapis.com/acdb/housewares/FtrKitchenOven_Remake_1_0.png")</f>
        <v/>
      </c>
      <c r="C1155" s="5" t="s">
        <v>57</v>
      </c>
      <c r="D1155" s="5" t="s">
        <v>34</v>
      </c>
      <c r="E1155" s="5" t="s">
        <v>34</v>
      </c>
      <c r="F1155" s="5" t="s">
        <v>34</v>
      </c>
      <c r="G1155" s="5" t="s">
        <v>36</v>
      </c>
      <c r="H1155" s="5" t="s">
        <v>36</v>
      </c>
      <c r="I1155" s="5" t="s">
        <v>36</v>
      </c>
      <c r="J1155" s="6" t="s">
        <v>34</v>
      </c>
      <c r="K1155" s="6">
        <v>3500.0</v>
      </c>
      <c r="L1155" s="6">
        <v>875.0</v>
      </c>
      <c r="M1155" s="8" t="s">
        <v>57</v>
      </c>
      <c r="N1155" s="8" t="s">
        <v>38</v>
      </c>
      <c r="O1155" s="6" t="s">
        <v>40</v>
      </c>
      <c r="P1155" s="5" t="s">
        <v>59</v>
      </c>
      <c r="Q1155" s="5" t="s">
        <v>89</v>
      </c>
      <c r="R1155" s="6" t="s">
        <v>42</v>
      </c>
      <c r="S1155" s="5" t="s">
        <v>159</v>
      </c>
      <c r="T1155" s="5" t="s">
        <v>62</v>
      </c>
      <c r="U1155" s="5" t="s">
        <v>44</v>
      </c>
      <c r="V1155" s="5" t="s">
        <v>44</v>
      </c>
      <c r="W1155" s="5" t="s">
        <v>35</v>
      </c>
      <c r="X1155" s="8" t="s">
        <v>1244</v>
      </c>
      <c r="Y1155" s="5" t="s">
        <v>46</v>
      </c>
      <c r="Z1155" s="5" t="s">
        <v>47</v>
      </c>
      <c r="AA1155" s="5" t="s">
        <v>64</v>
      </c>
      <c r="AB1155" s="5" t="s">
        <v>5375</v>
      </c>
      <c r="AC1155" s="6" t="s">
        <v>56</v>
      </c>
      <c r="AD1155" s="6">
        <v>3251.0</v>
      </c>
    </row>
    <row r="1156" ht="56.25" customHeight="1">
      <c r="A1156" s="5" t="s">
        <v>5367</v>
      </c>
      <c r="B1156" s="6" t="str">
        <f>IMAGE("https://storage.googleapis.com/acdb/housewares/FtrKitchenOven_Remake_2_0.png")</f>
        <v/>
      </c>
      <c r="C1156" s="5" t="s">
        <v>52</v>
      </c>
      <c r="D1156" s="5" t="s">
        <v>34</v>
      </c>
      <c r="E1156" s="5" t="s">
        <v>34</v>
      </c>
      <c r="F1156" s="5" t="s">
        <v>34</v>
      </c>
      <c r="G1156" s="5" t="s">
        <v>36</v>
      </c>
      <c r="H1156" s="5" t="s">
        <v>36</v>
      </c>
      <c r="I1156" s="5" t="s">
        <v>36</v>
      </c>
      <c r="J1156" s="6" t="s">
        <v>34</v>
      </c>
      <c r="K1156" s="6">
        <v>3500.0</v>
      </c>
      <c r="L1156" s="6">
        <v>875.0</v>
      </c>
      <c r="M1156" s="8" t="s">
        <v>52</v>
      </c>
      <c r="N1156" s="8" t="s">
        <v>142</v>
      </c>
      <c r="O1156" s="6" t="s">
        <v>40</v>
      </c>
      <c r="P1156" s="5" t="s">
        <v>59</v>
      </c>
      <c r="Q1156" s="5" t="s">
        <v>89</v>
      </c>
      <c r="R1156" s="6" t="s">
        <v>42</v>
      </c>
      <c r="S1156" s="5" t="s">
        <v>159</v>
      </c>
      <c r="T1156" s="5" t="s">
        <v>62</v>
      </c>
      <c r="U1156" s="5" t="s">
        <v>44</v>
      </c>
      <c r="V1156" s="5" t="s">
        <v>44</v>
      </c>
      <c r="W1156" s="5" t="s">
        <v>35</v>
      </c>
      <c r="X1156" s="8" t="s">
        <v>1244</v>
      </c>
      <c r="Y1156" s="5" t="s">
        <v>46</v>
      </c>
      <c r="Z1156" s="5" t="s">
        <v>47</v>
      </c>
      <c r="AA1156" s="5" t="s">
        <v>64</v>
      </c>
      <c r="AB1156" s="5" t="s">
        <v>5380</v>
      </c>
      <c r="AC1156" s="6" t="s">
        <v>67</v>
      </c>
      <c r="AD1156" s="6">
        <v>3251.0</v>
      </c>
    </row>
    <row r="1157" ht="56.25" customHeight="1">
      <c r="A1157" s="5" t="s">
        <v>5367</v>
      </c>
      <c r="B1157" s="6" t="str">
        <f>IMAGE("https://storage.googleapis.com/acdb/housewares/FtrKitchenOven_Remake_3_0.png")</f>
        <v/>
      </c>
      <c r="C1157" s="5" t="s">
        <v>68</v>
      </c>
      <c r="D1157" s="5" t="s">
        <v>34</v>
      </c>
      <c r="E1157" s="5" t="s">
        <v>34</v>
      </c>
      <c r="F1157" s="5" t="s">
        <v>34</v>
      </c>
      <c r="G1157" s="5" t="s">
        <v>36</v>
      </c>
      <c r="H1157" s="5" t="s">
        <v>36</v>
      </c>
      <c r="I1157" s="5" t="s">
        <v>36</v>
      </c>
      <c r="J1157" s="6" t="s">
        <v>34</v>
      </c>
      <c r="K1157" s="6">
        <v>3500.0</v>
      </c>
      <c r="L1157" s="6">
        <v>875.0</v>
      </c>
      <c r="M1157" s="8" t="s">
        <v>68</v>
      </c>
      <c r="N1157" s="8" t="s">
        <v>1175</v>
      </c>
      <c r="O1157" s="6" t="s">
        <v>40</v>
      </c>
      <c r="P1157" s="5" t="s">
        <v>59</v>
      </c>
      <c r="Q1157" s="5" t="s">
        <v>89</v>
      </c>
      <c r="R1157" s="6" t="s">
        <v>42</v>
      </c>
      <c r="S1157" s="5" t="s">
        <v>159</v>
      </c>
      <c r="T1157" s="5" t="s">
        <v>62</v>
      </c>
      <c r="U1157" s="5" t="s">
        <v>44</v>
      </c>
      <c r="V1157" s="5" t="s">
        <v>44</v>
      </c>
      <c r="W1157" s="5" t="s">
        <v>35</v>
      </c>
      <c r="X1157" s="8" t="s">
        <v>1244</v>
      </c>
      <c r="Y1157" s="5" t="s">
        <v>46</v>
      </c>
      <c r="Z1157" s="5" t="s">
        <v>47</v>
      </c>
      <c r="AA1157" s="5" t="s">
        <v>64</v>
      </c>
      <c r="AB1157" s="5" t="s">
        <v>5384</v>
      </c>
      <c r="AC1157" s="6" t="s">
        <v>71</v>
      </c>
      <c r="AD1157" s="6">
        <v>3251.0</v>
      </c>
    </row>
    <row r="1158" ht="56.25" customHeight="1">
      <c r="A1158" s="5" t="s">
        <v>5367</v>
      </c>
      <c r="B1158" s="6" t="str">
        <f>IMAGE("https://storage.googleapis.com/acdb/housewares/FtrKitchenOven_Remake_4_0.png")</f>
        <v/>
      </c>
      <c r="C1158" s="5" t="s">
        <v>54</v>
      </c>
      <c r="D1158" s="5" t="s">
        <v>34</v>
      </c>
      <c r="E1158" s="5" t="s">
        <v>34</v>
      </c>
      <c r="F1158" s="5" t="s">
        <v>34</v>
      </c>
      <c r="G1158" s="5" t="s">
        <v>36</v>
      </c>
      <c r="H1158" s="5" t="s">
        <v>36</v>
      </c>
      <c r="I1158" s="5" t="s">
        <v>36</v>
      </c>
      <c r="J1158" s="6" t="s">
        <v>34</v>
      </c>
      <c r="K1158" s="6">
        <v>3500.0</v>
      </c>
      <c r="L1158" s="6">
        <v>875.0</v>
      </c>
      <c r="M1158" s="8" t="s">
        <v>54</v>
      </c>
      <c r="N1158" s="8" t="s">
        <v>57</v>
      </c>
      <c r="O1158" s="6" t="s">
        <v>40</v>
      </c>
      <c r="P1158" s="5" t="s">
        <v>59</v>
      </c>
      <c r="Q1158" s="5" t="s">
        <v>89</v>
      </c>
      <c r="R1158" s="6" t="s">
        <v>42</v>
      </c>
      <c r="S1158" s="5" t="s">
        <v>159</v>
      </c>
      <c r="T1158" s="5" t="s">
        <v>62</v>
      </c>
      <c r="U1158" s="5" t="s">
        <v>44</v>
      </c>
      <c r="V1158" s="5" t="s">
        <v>44</v>
      </c>
      <c r="W1158" s="5" t="s">
        <v>35</v>
      </c>
      <c r="X1158" s="8" t="s">
        <v>1244</v>
      </c>
      <c r="Y1158" s="5" t="s">
        <v>46</v>
      </c>
      <c r="Z1158" s="5" t="s">
        <v>47</v>
      </c>
      <c r="AA1158" s="5" t="s">
        <v>64</v>
      </c>
      <c r="AB1158" s="5" t="s">
        <v>5388</v>
      </c>
      <c r="AC1158" s="6" t="s">
        <v>75</v>
      </c>
      <c r="AD1158" s="6">
        <v>3251.0</v>
      </c>
    </row>
    <row r="1159" ht="56.25" customHeight="1">
      <c r="A1159" s="5" t="s">
        <v>5389</v>
      </c>
      <c r="B1159" s="6" t="str">
        <f>IMAGE("https://storage.googleapis.com/acdb/housewares/FtrZodiacGemini.png")</f>
        <v/>
      </c>
      <c r="C1159" s="5" t="s">
        <v>34</v>
      </c>
      <c r="D1159" s="5" t="s">
        <v>34</v>
      </c>
      <c r="E1159" s="5" t="s">
        <v>34</v>
      </c>
      <c r="F1159" s="5" t="s">
        <v>34</v>
      </c>
      <c r="G1159" s="5" t="s">
        <v>35</v>
      </c>
      <c r="H1159" s="5" t="s">
        <v>36</v>
      </c>
      <c r="I1159" s="5" t="s">
        <v>36</v>
      </c>
      <c r="J1159" s="6" t="s">
        <v>34</v>
      </c>
      <c r="K1159" s="6" t="s">
        <v>37</v>
      </c>
      <c r="L1159" s="6">
        <v>22200.0</v>
      </c>
      <c r="M1159" s="5" t="s">
        <v>57</v>
      </c>
      <c r="N1159" s="5" t="s">
        <v>114</v>
      </c>
      <c r="O1159" s="6" t="s">
        <v>40</v>
      </c>
      <c r="P1159" s="5" t="s">
        <v>41</v>
      </c>
      <c r="Q1159" s="5"/>
      <c r="R1159" s="6" t="s">
        <v>42</v>
      </c>
      <c r="S1159" s="5" t="s">
        <v>116</v>
      </c>
      <c r="T1159" s="5" t="s">
        <v>44</v>
      </c>
      <c r="U1159" s="5" t="s">
        <v>349</v>
      </c>
      <c r="V1159" s="5" t="s">
        <v>44</v>
      </c>
      <c r="W1159" s="5" t="s">
        <v>35</v>
      </c>
      <c r="X1159" s="8" t="s">
        <v>322</v>
      </c>
      <c r="Y1159" s="5" t="s">
        <v>46</v>
      </c>
      <c r="Z1159" s="5" t="s">
        <v>47</v>
      </c>
      <c r="AA1159" s="5" t="s">
        <v>48</v>
      </c>
      <c r="AB1159" s="5" t="s">
        <v>5394</v>
      </c>
      <c r="AC1159" s="6" t="s">
        <v>34</v>
      </c>
      <c r="AD1159" s="6">
        <v>5960.0</v>
      </c>
    </row>
    <row r="1160" ht="56.25" customHeight="1">
      <c r="A1160" s="5" t="s">
        <v>5395</v>
      </c>
      <c r="B1160" s="6" t="str">
        <f>IMAGE("https://storage.googleapis.com/acdb/housewares/FtrBearXL_Remake_0_0.png")</f>
        <v/>
      </c>
      <c r="C1160" s="5" t="s">
        <v>307</v>
      </c>
      <c r="D1160" s="5" t="s">
        <v>2716</v>
      </c>
      <c r="E1160" s="5" t="s">
        <v>44</v>
      </c>
      <c r="F1160" s="5" t="s">
        <v>5397</v>
      </c>
      <c r="G1160" s="5" t="s">
        <v>35</v>
      </c>
      <c r="H1160" s="5" t="s">
        <v>35</v>
      </c>
      <c r="I1160" s="5" t="s">
        <v>35</v>
      </c>
      <c r="J1160" s="6">
        <v>8.0</v>
      </c>
      <c r="K1160" s="6" t="s">
        <v>37</v>
      </c>
      <c r="L1160" s="6">
        <v>6300.0</v>
      </c>
      <c r="M1160" s="8" t="s">
        <v>114</v>
      </c>
      <c r="N1160" s="8" t="s">
        <v>38</v>
      </c>
      <c r="O1160" s="6" t="s">
        <v>4708</v>
      </c>
      <c r="P1160" s="5" t="s">
        <v>41</v>
      </c>
      <c r="Q1160" s="5"/>
      <c r="R1160" s="6" t="s">
        <v>42</v>
      </c>
      <c r="S1160" s="5" t="s">
        <v>61</v>
      </c>
      <c r="T1160" s="5" t="s">
        <v>99</v>
      </c>
      <c r="U1160" s="5" t="s">
        <v>44</v>
      </c>
      <c r="V1160" s="5" t="s">
        <v>329</v>
      </c>
      <c r="W1160" s="5" t="s">
        <v>36</v>
      </c>
      <c r="X1160" s="8" t="s">
        <v>330</v>
      </c>
      <c r="Y1160" s="5" t="s">
        <v>46</v>
      </c>
      <c r="Z1160" s="5" t="s">
        <v>47</v>
      </c>
      <c r="AA1160" s="5" t="s">
        <v>48</v>
      </c>
      <c r="AB1160" s="5" t="s">
        <v>5400</v>
      </c>
      <c r="AC1160" s="6" t="s">
        <v>50</v>
      </c>
      <c r="AD1160" s="6">
        <v>1504.0</v>
      </c>
    </row>
    <row r="1161" ht="56.25" customHeight="1">
      <c r="A1161" s="5" t="s">
        <v>5395</v>
      </c>
      <c r="B1161" s="6" t="str">
        <f>IMAGE("https://storage.googleapis.com/acdb/housewares/FtrBearXL_Remake_0_1.png")</f>
        <v/>
      </c>
      <c r="C1161" s="5" t="s">
        <v>307</v>
      </c>
      <c r="D1161" s="5" t="s">
        <v>2716</v>
      </c>
      <c r="E1161" s="5" t="s">
        <v>57</v>
      </c>
      <c r="F1161" s="5" t="s">
        <v>5397</v>
      </c>
      <c r="G1161" s="5" t="s">
        <v>35</v>
      </c>
      <c r="H1161" s="5" t="s">
        <v>35</v>
      </c>
      <c r="I1161" s="5" t="s">
        <v>35</v>
      </c>
      <c r="J1161" s="6">
        <v>8.0</v>
      </c>
      <c r="K1161" s="6" t="s">
        <v>37</v>
      </c>
      <c r="L1161" s="6">
        <v>6300.0</v>
      </c>
      <c r="M1161" s="8" t="s">
        <v>114</v>
      </c>
      <c r="N1161" s="8" t="s">
        <v>57</v>
      </c>
      <c r="O1161" s="6" t="s">
        <v>4708</v>
      </c>
      <c r="P1161" s="5" t="s">
        <v>41</v>
      </c>
      <c r="Q1161" s="5"/>
      <c r="R1161" s="6" t="s">
        <v>42</v>
      </c>
      <c r="S1161" s="5" t="s">
        <v>61</v>
      </c>
      <c r="T1161" s="5" t="s">
        <v>99</v>
      </c>
      <c r="U1161" s="5" t="s">
        <v>44</v>
      </c>
      <c r="V1161" s="5" t="s">
        <v>329</v>
      </c>
      <c r="W1161" s="5" t="s">
        <v>36</v>
      </c>
      <c r="X1161" s="8" t="s">
        <v>330</v>
      </c>
      <c r="Y1161" s="5" t="s">
        <v>46</v>
      </c>
      <c r="Z1161" s="5" t="s">
        <v>47</v>
      </c>
      <c r="AA1161" s="5" t="s">
        <v>48</v>
      </c>
      <c r="AB1161" s="5" t="s">
        <v>5405</v>
      </c>
      <c r="AC1161" s="6" t="s">
        <v>217</v>
      </c>
      <c r="AD1161" s="6">
        <v>1504.0</v>
      </c>
    </row>
    <row r="1162" ht="56.25" customHeight="1">
      <c r="A1162" s="5" t="s">
        <v>5395</v>
      </c>
      <c r="B1162" s="6" t="str">
        <f>IMAGE("https://storage.googleapis.com/acdb/housewares/FtrBearXL_Remake_0_2.png")</f>
        <v/>
      </c>
      <c r="C1162" s="5" t="s">
        <v>307</v>
      </c>
      <c r="D1162" s="5" t="s">
        <v>2716</v>
      </c>
      <c r="E1162" s="5" t="s">
        <v>5408</v>
      </c>
      <c r="F1162" s="5" t="s">
        <v>5397</v>
      </c>
      <c r="G1162" s="5" t="s">
        <v>35</v>
      </c>
      <c r="H1162" s="5" t="s">
        <v>35</v>
      </c>
      <c r="I1162" s="5" t="s">
        <v>35</v>
      </c>
      <c r="J1162" s="6">
        <v>8.0</v>
      </c>
      <c r="K1162" s="6" t="s">
        <v>37</v>
      </c>
      <c r="L1162" s="6">
        <v>6300.0</v>
      </c>
      <c r="M1162" s="8" t="s">
        <v>114</v>
      </c>
      <c r="N1162" s="8" t="s">
        <v>68</v>
      </c>
      <c r="O1162" s="6" t="s">
        <v>4708</v>
      </c>
      <c r="P1162" s="5" t="s">
        <v>41</v>
      </c>
      <c r="Q1162" s="5"/>
      <c r="R1162" s="6" t="s">
        <v>42</v>
      </c>
      <c r="S1162" s="5" t="s">
        <v>61</v>
      </c>
      <c r="T1162" s="5" t="s">
        <v>99</v>
      </c>
      <c r="U1162" s="5" t="s">
        <v>44</v>
      </c>
      <c r="V1162" s="5" t="s">
        <v>329</v>
      </c>
      <c r="W1162" s="5" t="s">
        <v>36</v>
      </c>
      <c r="X1162" s="8" t="s">
        <v>330</v>
      </c>
      <c r="Y1162" s="5" t="s">
        <v>46</v>
      </c>
      <c r="Z1162" s="5" t="s">
        <v>47</v>
      </c>
      <c r="AA1162" s="5" t="s">
        <v>48</v>
      </c>
      <c r="AB1162" s="5" t="s">
        <v>5412</v>
      </c>
      <c r="AC1162" s="6" t="s">
        <v>347</v>
      </c>
      <c r="AD1162" s="6">
        <v>1504.0</v>
      </c>
    </row>
    <row r="1163" ht="56.25" customHeight="1">
      <c r="A1163" s="5" t="s">
        <v>5395</v>
      </c>
      <c r="B1163" s="6" t="str">
        <f>IMAGE("https://storage.googleapis.com/acdb/housewares/FtrBearXL_Remake_0_3.png")</f>
        <v/>
      </c>
      <c r="C1163" s="5" t="s">
        <v>307</v>
      </c>
      <c r="D1163" s="5" t="s">
        <v>2716</v>
      </c>
      <c r="E1163" s="5" t="s">
        <v>5414</v>
      </c>
      <c r="F1163" s="5" t="s">
        <v>5397</v>
      </c>
      <c r="G1163" s="5" t="s">
        <v>35</v>
      </c>
      <c r="H1163" s="5" t="s">
        <v>35</v>
      </c>
      <c r="I1163" s="5" t="s">
        <v>35</v>
      </c>
      <c r="J1163" s="6">
        <v>8.0</v>
      </c>
      <c r="K1163" s="6" t="s">
        <v>37</v>
      </c>
      <c r="L1163" s="6">
        <v>6300.0</v>
      </c>
      <c r="M1163" s="8" t="s">
        <v>114</v>
      </c>
      <c r="N1163" s="8" t="s">
        <v>114</v>
      </c>
      <c r="O1163" s="6" t="s">
        <v>4708</v>
      </c>
      <c r="P1163" s="5" t="s">
        <v>41</v>
      </c>
      <c r="Q1163" s="5"/>
      <c r="R1163" s="6" t="s">
        <v>42</v>
      </c>
      <c r="S1163" s="5" t="s">
        <v>61</v>
      </c>
      <c r="T1163" s="5" t="s">
        <v>99</v>
      </c>
      <c r="U1163" s="5" t="s">
        <v>44</v>
      </c>
      <c r="V1163" s="5" t="s">
        <v>329</v>
      </c>
      <c r="W1163" s="5" t="s">
        <v>36</v>
      </c>
      <c r="X1163" s="8" t="s">
        <v>330</v>
      </c>
      <c r="Y1163" s="5" t="s">
        <v>46</v>
      </c>
      <c r="Z1163" s="5" t="s">
        <v>47</v>
      </c>
      <c r="AA1163" s="5" t="s">
        <v>48</v>
      </c>
      <c r="AB1163" s="5" t="s">
        <v>5416</v>
      </c>
      <c r="AC1163" s="6" t="s">
        <v>354</v>
      </c>
      <c r="AD1163" s="6">
        <v>1504.0</v>
      </c>
    </row>
    <row r="1164" ht="56.25" customHeight="1">
      <c r="A1164" s="5" t="s">
        <v>5395</v>
      </c>
      <c r="B1164" s="6" t="str">
        <f>IMAGE("https://storage.googleapis.com/acdb/housewares/FtrBearXL_Remake_1_0.png")</f>
        <v/>
      </c>
      <c r="C1164" s="5" t="s">
        <v>355</v>
      </c>
      <c r="D1164" s="5" t="s">
        <v>2716</v>
      </c>
      <c r="E1164" s="5" t="s">
        <v>44</v>
      </c>
      <c r="F1164" s="5" t="s">
        <v>5397</v>
      </c>
      <c r="G1164" s="5" t="s">
        <v>35</v>
      </c>
      <c r="H1164" s="5" t="s">
        <v>35</v>
      </c>
      <c r="I1164" s="5" t="s">
        <v>35</v>
      </c>
      <c r="J1164" s="6">
        <v>8.0</v>
      </c>
      <c r="K1164" s="6" t="s">
        <v>37</v>
      </c>
      <c r="L1164" s="6">
        <v>6300.0</v>
      </c>
      <c r="M1164" s="8" t="s">
        <v>38</v>
      </c>
      <c r="N1164" s="8" t="s">
        <v>38</v>
      </c>
      <c r="O1164" s="6" t="s">
        <v>4708</v>
      </c>
      <c r="P1164" s="5" t="s">
        <v>41</v>
      </c>
      <c r="Q1164" s="5"/>
      <c r="R1164" s="6" t="s">
        <v>42</v>
      </c>
      <c r="S1164" s="5" t="s">
        <v>61</v>
      </c>
      <c r="T1164" s="5" t="s">
        <v>99</v>
      </c>
      <c r="U1164" s="5" t="s">
        <v>44</v>
      </c>
      <c r="V1164" s="5" t="s">
        <v>329</v>
      </c>
      <c r="W1164" s="5" t="s">
        <v>36</v>
      </c>
      <c r="X1164" s="8" t="s">
        <v>330</v>
      </c>
      <c r="Y1164" s="5" t="s">
        <v>46</v>
      </c>
      <c r="Z1164" s="5" t="s">
        <v>47</v>
      </c>
      <c r="AA1164" s="5" t="s">
        <v>48</v>
      </c>
      <c r="AB1164" s="5" t="s">
        <v>5420</v>
      </c>
      <c r="AC1164" s="6" t="s">
        <v>56</v>
      </c>
      <c r="AD1164" s="6">
        <v>1504.0</v>
      </c>
    </row>
    <row r="1165" ht="56.25" customHeight="1">
      <c r="A1165" s="5" t="s">
        <v>5395</v>
      </c>
      <c r="B1165" s="6" t="str">
        <f>IMAGE("https://storage.googleapis.com/acdb/housewares/FtrBearXL_Remake_1_1.png")</f>
        <v/>
      </c>
      <c r="C1165" s="5" t="s">
        <v>355</v>
      </c>
      <c r="D1165" s="5" t="s">
        <v>2716</v>
      </c>
      <c r="E1165" s="5" t="s">
        <v>57</v>
      </c>
      <c r="F1165" s="5" t="s">
        <v>5397</v>
      </c>
      <c r="G1165" s="5" t="s">
        <v>35</v>
      </c>
      <c r="H1165" s="5" t="s">
        <v>35</v>
      </c>
      <c r="I1165" s="5" t="s">
        <v>35</v>
      </c>
      <c r="J1165" s="6">
        <v>8.0</v>
      </c>
      <c r="K1165" s="6" t="s">
        <v>37</v>
      </c>
      <c r="L1165" s="6">
        <v>6300.0</v>
      </c>
      <c r="M1165" s="8" t="s">
        <v>38</v>
      </c>
      <c r="N1165" s="8" t="s">
        <v>57</v>
      </c>
      <c r="O1165" s="6" t="s">
        <v>4708</v>
      </c>
      <c r="P1165" s="5" t="s">
        <v>41</v>
      </c>
      <c r="Q1165" s="5"/>
      <c r="R1165" s="6" t="s">
        <v>42</v>
      </c>
      <c r="S1165" s="5" t="s">
        <v>61</v>
      </c>
      <c r="T1165" s="5" t="s">
        <v>99</v>
      </c>
      <c r="U1165" s="5" t="s">
        <v>44</v>
      </c>
      <c r="V1165" s="5" t="s">
        <v>329</v>
      </c>
      <c r="W1165" s="5" t="s">
        <v>36</v>
      </c>
      <c r="X1165" s="8" t="s">
        <v>330</v>
      </c>
      <c r="Y1165" s="5" t="s">
        <v>46</v>
      </c>
      <c r="Z1165" s="5" t="s">
        <v>47</v>
      </c>
      <c r="AA1165" s="5" t="s">
        <v>48</v>
      </c>
      <c r="AB1165" s="5" t="s">
        <v>5423</v>
      </c>
      <c r="AC1165" s="6" t="s">
        <v>234</v>
      </c>
      <c r="AD1165" s="6">
        <v>1504.0</v>
      </c>
    </row>
    <row r="1166" ht="56.25" customHeight="1">
      <c r="A1166" s="5" t="s">
        <v>5395</v>
      </c>
      <c r="B1166" s="6" t="str">
        <f>IMAGE("https://storage.googleapis.com/acdb/housewares/FtrBearXL_Remake_1_2.png")</f>
        <v/>
      </c>
      <c r="C1166" s="5" t="s">
        <v>355</v>
      </c>
      <c r="D1166" s="5" t="s">
        <v>2716</v>
      </c>
      <c r="E1166" s="5" t="s">
        <v>5408</v>
      </c>
      <c r="F1166" s="5" t="s">
        <v>5397</v>
      </c>
      <c r="G1166" s="5" t="s">
        <v>35</v>
      </c>
      <c r="H1166" s="5" t="s">
        <v>35</v>
      </c>
      <c r="I1166" s="5" t="s">
        <v>35</v>
      </c>
      <c r="J1166" s="6">
        <v>8.0</v>
      </c>
      <c r="K1166" s="6" t="s">
        <v>37</v>
      </c>
      <c r="L1166" s="6">
        <v>6300.0</v>
      </c>
      <c r="M1166" s="8" t="s">
        <v>38</v>
      </c>
      <c r="N1166" s="8" t="s">
        <v>68</v>
      </c>
      <c r="O1166" s="6" t="s">
        <v>4708</v>
      </c>
      <c r="P1166" s="5" t="s">
        <v>41</v>
      </c>
      <c r="Q1166" s="5"/>
      <c r="R1166" s="6" t="s">
        <v>42</v>
      </c>
      <c r="S1166" s="5" t="s">
        <v>61</v>
      </c>
      <c r="T1166" s="5" t="s">
        <v>99</v>
      </c>
      <c r="U1166" s="5" t="s">
        <v>44</v>
      </c>
      <c r="V1166" s="5" t="s">
        <v>329</v>
      </c>
      <c r="W1166" s="5" t="s">
        <v>36</v>
      </c>
      <c r="X1166" s="8" t="s">
        <v>330</v>
      </c>
      <c r="Y1166" s="5" t="s">
        <v>46</v>
      </c>
      <c r="Z1166" s="5" t="s">
        <v>47</v>
      </c>
      <c r="AA1166" s="5" t="s">
        <v>48</v>
      </c>
      <c r="AB1166" s="5" t="s">
        <v>5428</v>
      </c>
      <c r="AC1166" s="6" t="s">
        <v>370</v>
      </c>
      <c r="AD1166" s="6">
        <v>1504.0</v>
      </c>
    </row>
    <row r="1167" ht="56.25" customHeight="1">
      <c r="A1167" s="5" t="s">
        <v>5395</v>
      </c>
      <c r="B1167" s="6" t="str">
        <f>IMAGE("https://storage.googleapis.com/acdb/housewares/FtrBearXL_Remake_1_3.png")</f>
        <v/>
      </c>
      <c r="C1167" s="5" t="s">
        <v>355</v>
      </c>
      <c r="D1167" s="5" t="s">
        <v>2716</v>
      </c>
      <c r="E1167" s="5" t="s">
        <v>5414</v>
      </c>
      <c r="F1167" s="5" t="s">
        <v>5397</v>
      </c>
      <c r="G1167" s="5" t="s">
        <v>35</v>
      </c>
      <c r="H1167" s="5" t="s">
        <v>35</v>
      </c>
      <c r="I1167" s="5" t="s">
        <v>35</v>
      </c>
      <c r="J1167" s="6">
        <v>8.0</v>
      </c>
      <c r="K1167" s="6" t="s">
        <v>37</v>
      </c>
      <c r="L1167" s="6">
        <v>6300.0</v>
      </c>
      <c r="M1167" s="8" t="s">
        <v>38</v>
      </c>
      <c r="N1167" s="8" t="s">
        <v>114</v>
      </c>
      <c r="O1167" s="6" t="s">
        <v>4708</v>
      </c>
      <c r="P1167" s="5" t="s">
        <v>41</v>
      </c>
      <c r="Q1167" s="5"/>
      <c r="R1167" s="6" t="s">
        <v>42</v>
      </c>
      <c r="S1167" s="5" t="s">
        <v>61</v>
      </c>
      <c r="T1167" s="5" t="s">
        <v>99</v>
      </c>
      <c r="U1167" s="5" t="s">
        <v>44</v>
      </c>
      <c r="V1167" s="5" t="s">
        <v>329</v>
      </c>
      <c r="W1167" s="5" t="s">
        <v>36</v>
      </c>
      <c r="X1167" s="8" t="s">
        <v>330</v>
      </c>
      <c r="Y1167" s="5" t="s">
        <v>46</v>
      </c>
      <c r="Z1167" s="5" t="s">
        <v>47</v>
      </c>
      <c r="AA1167" s="5" t="s">
        <v>48</v>
      </c>
      <c r="AB1167" s="5" t="s">
        <v>5433</v>
      </c>
      <c r="AC1167" s="6" t="s">
        <v>377</v>
      </c>
      <c r="AD1167" s="6">
        <v>1504.0</v>
      </c>
    </row>
    <row r="1168" ht="56.25" customHeight="1">
      <c r="A1168" s="5" t="s">
        <v>5395</v>
      </c>
      <c r="B1168" s="6" t="str">
        <f>IMAGE("https://storage.googleapis.com/acdb/housewares/FtrBearXL_Remake_2_0.png")</f>
        <v/>
      </c>
      <c r="C1168" s="5" t="s">
        <v>379</v>
      </c>
      <c r="D1168" s="5" t="s">
        <v>2716</v>
      </c>
      <c r="E1168" s="5" t="s">
        <v>44</v>
      </c>
      <c r="F1168" s="5" t="s">
        <v>5397</v>
      </c>
      <c r="G1168" s="5" t="s">
        <v>35</v>
      </c>
      <c r="H1168" s="5" t="s">
        <v>35</v>
      </c>
      <c r="I1168" s="5" t="s">
        <v>35</v>
      </c>
      <c r="J1168" s="6">
        <v>8.0</v>
      </c>
      <c r="K1168" s="6" t="s">
        <v>37</v>
      </c>
      <c r="L1168" s="6">
        <v>6300.0</v>
      </c>
      <c r="M1168" s="8" t="s">
        <v>39</v>
      </c>
      <c r="N1168" s="8" t="s">
        <v>39</v>
      </c>
      <c r="O1168" s="6" t="s">
        <v>4708</v>
      </c>
      <c r="P1168" s="5" t="s">
        <v>41</v>
      </c>
      <c r="Q1168" s="5"/>
      <c r="R1168" s="6" t="s">
        <v>42</v>
      </c>
      <c r="S1168" s="5" t="s">
        <v>61</v>
      </c>
      <c r="T1168" s="5" t="s">
        <v>99</v>
      </c>
      <c r="U1168" s="5" t="s">
        <v>44</v>
      </c>
      <c r="V1168" s="5" t="s">
        <v>329</v>
      </c>
      <c r="W1168" s="5" t="s">
        <v>36</v>
      </c>
      <c r="X1168" s="8" t="s">
        <v>330</v>
      </c>
      <c r="Y1168" s="5" t="s">
        <v>46</v>
      </c>
      <c r="Z1168" s="5" t="s">
        <v>47</v>
      </c>
      <c r="AA1168" s="5" t="s">
        <v>48</v>
      </c>
      <c r="AB1168" s="5" t="s">
        <v>5436</v>
      </c>
      <c r="AC1168" s="6" t="s">
        <v>67</v>
      </c>
      <c r="AD1168" s="6">
        <v>1504.0</v>
      </c>
    </row>
    <row r="1169" ht="56.25" customHeight="1">
      <c r="A1169" s="5" t="s">
        <v>5395</v>
      </c>
      <c r="B1169" s="6" t="str">
        <f>IMAGE("https://storage.googleapis.com/acdb/housewares/FtrBearXL_Remake_2_1.png")</f>
        <v/>
      </c>
      <c r="C1169" s="5" t="s">
        <v>379</v>
      </c>
      <c r="D1169" s="5" t="s">
        <v>2716</v>
      </c>
      <c r="E1169" s="5" t="s">
        <v>57</v>
      </c>
      <c r="F1169" s="5" t="s">
        <v>5397</v>
      </c>
      <c r="G1169" s="5" t="s">
        <v>35</v>
      </c>
      <c r="H1169" s="5" t="s">
        <v>35</v>
      </c>
      <c r="I1169" s="5" t="s">
        <v>35</v>
      </c>
      <c r="J1169" s="6">
        <v>8.0</v>
      </c>
      <c r="K1169" s="6" t="s">
        <v>37</v>
      </c>
      <c r="L1169" s="6">
        <v>6300.0</v>
      </c>
      <c r="M1169" s="8" t="s">
        <v>39</v>
      </c>
      <c r="N1169" s="8" t="s">
        <v>57</v>
      </c>
      <c r="O1169" s="6" t="s">
        <v>4708</v>
      </c>
      <c r="P1169" s="5" t="s">
        <v>41</v>
      </c>
      <c r="Q1169" s="5"/>
      <c r="R1169" s="6" t="s">
        <v>42</v>
      </c>
      <c r="S1169" s="5" t="s">
        <v>61</v>
      </c>
      <c r="T1169" s="5" t="s">
        <v>99</v>
      </c>
      <c r="U1169" s="5" t="s">
        <v>44</v>
      </c>
      <c r="V1169" s="5" t="s">
        <v>329</v>
      </c>
      <c r="W1169" s="5" t="s">
        <v>36</v>
      </c>
      <c r="X1169" s="8" t="s">
        <v>330</v>
      </c>
      <c r="Y1169" s="5" t="s">
        <v>46</v>
      </c>
      <c r="Z1169" s="5" t="s">
        <v>47</v>
      </c>
      <c r="AA1169" s="5" t="s">
        <v>48</v>
      </c>
      <c r="AB1169" s="5" t="s">
        <v>5438</v>
      </c>
      <c r="AC1169" s="6" t="s">
        <v>247</v>
      </c>
      <c r="AD1169" s="6">
        <v>1504.0</v>
      </c>
    </row>
    <row r="1170" ht="56.25" customHeight="1">
      <c r="A1170" s="5" t="s">
        <v>5395</v>
      </c>
      <c r="B1170" s="6" t="str">
        <f>IMAGE("https://storage.googleapis.com/acdb/housewares/FtrBearXL_Remake_2_2.png")</f>
        <v/>
      </c>
      <c r="C1170" s="5" t="s">
        <v>379</v>
      </c>
      <c r="D1170" s="5" t="s">
        <v>2716</v>
      </c>
      <c r="E1170" s="5" t="s">
        <v>5408</v>
      </c>
      <c r="F1170" s="5" t="s">
        <v>5397</v>
      </c>
      <c r="G1170" s="5" t="s">
        <v>35</v>
      </c>
      <c r="H1170" s="5" t="s">
        <v>35</v>
      </c>
      <c r="I1170" s="5" t="s">
        <v>35</v>
      </c>
      <c r="J1170" s="6">
        <v>8.0</v>
      </c>
      <c r="K1170" s="6" t="s">
        <v>37</v>
      </c>
      <c r="L1170" s="6">
        <v>6300.0</v>
      </c>
      <c r="M1170" s="8" t="s">
        <v>39</v>
      </c>
      <c r="N1170" s="8" t="s">
        <v>68</v>
      </c>
      <c r="O1170" s="6" t="s">
        <v>4708</v>
      </c>
      <c r="P1170" s="5" t="s">
        <v>41</v>
      </c>
      <c r="Q1170" s="5"/>
      <c r="R1170" s="6" t="s">
        <v>42</v>
      </c>
      <c r="S1170" s="5" t="s">
        <v>61</v>
      </c>
      <c r="T1170" s="5" t="s">
        <v>99</v>
      </c>
      <c r="U1170" s="5" t="s">
        <v>44</v>
      </c>
      <c r="V1170" s="5" t="s">
        <v>329</v>
      </c>
      <c r="W1170" s="5" t="s">
        <v>36</v>
      </c>
      <c r="X1170" s="8" t="s">
        <v>330</v>
      </c>
      <c r="Y1170" s="5" t="s">
        <v>46</v>
      </c>
      <c r="Z1170" s="5" t="s">
        <v>47</v>
      </c>
      <c r="AA1170" s="5" t="s">
        <v>48</v>
      </c>
      <c r="AB1170" s="5" t="s">
        <v>5440</v>
      </c>
      <c r="AC1170" s="6" t="s">
        <v>390</v>
      </c>
      <c r="AD1170" s="6">
        <v>1504.0</v>
      </c>
    </row>
    <row r="1171" ht="56.25" customHeight="1">
      <c r="A1171" s="5" t="s">
        <v>5395</v>
      </c>
      <c r="B1171" s="6" t="str">
        <f>IMAGE("https://storage.googleapis.com/acdb/housewares/FtrBearXL_Remake_2_3.png")</f>
        <v/>
      </c>
      <c r="C1171" s="5" t="s">
        <v>379</v>
      </c>
      <c r="D1171" s="5" t="s">
        <v>2716</v>
      </c>
      <c r="E1171" s="5" t="s">
        <v>5414</v>
      </c>
      <c r="F1171" s="5" t="s">
        <v>5397</v>
      </c>
      <c r="G1171" s="5" t="s">
        <v>35</v>
      </c>
      <c r="H1171" s="5" t="s">
        <v>35</v>
      </c>
      <c r="I1171" s="5" t="s">
        <v>35</v>
      </c>
      <c r="J1171" s="6">
        <v>8.0</v>
      </c>
      <c r="K1171" s="6" t="s">
        <v>37</v>
      </c>
      <c r="L1171" s="6">
        <v>6300.0</v>
      </c>
      <c r="M1171" s="8" t="s">
        <v>39</v>
      </c>
      <c r="N1171" s="8" t="s">
        <v>114</v>
      </c>
      <c r="O1171" s="6" t="s">
        <v>4708</v>
      </c>
      <c r="P1171" s="5" t="s">
        <v>41</v>
      </c>
      <c r="Q1171" s="5"/>
      <c r="R1171" s="6" t="s">
        <v>42</v>
      </c>
      <c r="S1171" s="5" t="s">
        <v>61</v>
      </c>
      <c r="T1171" s="5" t="s">
        <v>99</v>
      </c>
      <c r="U1171" s="5" t="s">
        <v>44</v>
      </c>
      <c r="V1171" s="5" t="s">
        <v>329</v>
      </c>
      <c r="W1171" s="5" t="s">
        <v>36</v>
      </c>
      <c r="X1171" s="8" t="s">
        <v>330</v>
      </c>
      <c r="Y1171" s="5" t="s">
        <v>46</v>
      </c>
      <c r="Z1171" s="5" t="s">
        <v>47</v>
      </c>
      <c r="AA1171" s="5" t="s">
        <v>48</v>
      </c>
      <c r="AB1171" s="5" t="s">
        <v>5444</v>
      </c>
      <c r="AC1171" s="6" t="s">
        <v>396</v>
      </c>
      <c r="AD1171" s="6">
        <v>1504.0</v>
      </c>
    </row>
    <row r="1172" ht="56.25" customHeight="1">
      <c r="A1172" s="5" t="s">
        <v>5395</v>
      </c>
      <c r="B1172" s="6" t="str">
        <f>IMAGE("https://storage.googleapis.com/acdb/housewares/FtrBearXL_Remake_3_0.png")</f>
        <v/>
      </c>
      <c r="C1172" s="5" t="s">
        <v>400</v>
      </c>
      <c r="D1172" s="5" t="s">
        <v>2716</v>
      </c>
      <c r="E1172" s="5" t="s">
        <v>44</v>
      </c>
      <c r="F1172" s="5" t="s">
        <v>5397</v>
      </c>
      <c r="G1172" s="5" t="s">
        <v>35</v>
      </c>
      <c r="H1172" s="5" t="s">
        <v>35</v>
      </c>
      <c r="I1172" s="5" t="s">
        <v>35</v>
      </c>
      <c r="J1172" s="6">
        <v>8.0</v>
      </c>
      <c r="K1172" s="6" t="s">
        <v>37</v>
      </c>
      <c r="L1172" s="6">
        <v>6300.0</v>
      </c>
      <c r="M1172" s="8" t="s">
        <v>114</v>
      </c>
      <c r="N1172" s="8" t="s">
        <v>58</v>
      </c>
      <c r="O1172" s="6" t="s">
        <v>4708</v>
      </c>
      <c r="P1172" s="5" t="s">
        <v>41</v>
      </c>
      <c r="Q1172" s="5"/>
      <c r="R1172" s="6" t="s">
        <v>42</v>
      </c>
      <c r="S1172" s="5" t="s">
        <v>61</v>
      </c>
      <c r="T1172" s="5" t="s">
        <v>99</v>
      </c>
      <c r="U1172" s="5" t="s">
        <v>44</v>
      </c>
      <c r="V1172" s="5" t="s">
        <v>329</v>
      </c>
      <c r="W1172" s="5" t="s">
        <v>36</v>
      </c>
      <c r="X1172" s="8" t="s">
        <v>330</v>
      </c>
      <c r="Y1172" s="5" t="s">
        <v>46</v>
      </c>
      <c r="Z1172" s="5" t="s">
        <v>47</v>
      </c>
      <c r="AA1172" s="5" t="s">
        <v>48</v>
      </c>
      <c r="AB1172" s="5" t="s">
        <v>5447</v>
      </c>
      <c r="AC1172" s="6" t="s">
        <v>71</v>
      </c>
      <c r="AD1172" s="6">
        <v>1504.0</v>
      </c>
    </row>
    <row r="1173" ht="56.25" customHeight="1">
      <c r="A1173" s="5" t="s">
        <v>5395</v>
      </c>
      <c r="B1173" s="6" t="str">
        <f>IMAGE("https://storage.googleapis.com/acdb/housewares/FtrBearXL_Remake_3_1.png")</f>
        <v/>
      </c>
      <c r="C1173" s="5" t="s">
        <v>400</v>
      </c>
      <c r="D1173" s="5" t="s">
        <v>2716</v>
      </c>
      <c r="E1173" s="5" t="s">
        <v>57</v>
      </c>
      <c r="F1173" s="5" t="s">
        <v>5397</v>
      </c>
      <c r="G1173" s="5" t="s">
        <v>35</v>
      </c>
      <c r="H1173" s="5" t="s">
        <v>35</v>
      </c>
      <c r="I1173" s="5" t="s">
        <v>35</v>
      </c>
      <c r="J1173" s="6">
        <v>8.0</v>
      </c>
      <c r="K1173" s="6" t="s">
        <v>37</v>
      </c>
      <c r="L1173" s="6">
        <v>6300.0</v>
      </c>
      <c r="M1173" s="8" t="s">
        <v>114</v>
      </c>
      <c r="N1173" s="8" t="s">
        <v>57</v>
      </c>
      <c r="O1173" s="6" t="s">
        <v>4708</v>
      </c>
      <c r="P1173" s="5" t="s">
        <v>41</v>
      </c>
      <c r="Q1173" s="5"/>
      <c r="R1173" s="6" t="s">
        <v>42</v>
      </c>
      <c r="S1173" s="5" t="s">
        <v>61</v>
      </c>
      <c r="T1173" s="5" t="s">
        <v>99</v>
      </c>
      <c r="U1173" s="5" t="s">
        <v>44</v>
      </c>
      <c r="V1173" s="5" t="s">
        <v>329</v>
      </c>
      <c r="W1173" s="5" t="s">
        <v>36</v>
      </c>
      <c r="X1173" s="8" t="s">
        <v>330</v>
      </c>
      <c r="Y1173" s="5" t="s">
        <v>46</v>
      </c>
      <c r="Z1173" s="5" t="s">
        <v>47</v>
      </c>
      <c r="AA1173" s="5" t="s">
        <v>48</v>
      </c>
      <c r="AB1173" s="5" t="s">
        <v>5450</v>
      </c>
      <c r="AC1173" s="6" t="s">
        <v>257</v>
      </c>
      <c r="AD1173" s="6">
        <v>1504.0</v>
      </c>
    </row>
    <row r="1174" ht="56.25" customHeight="1">
      <c r="A1174" s="5" t="s">
        <v>5395</v>
      </c>
      <c r="B1174" s="6" t="str">
        <f>IMAGE("https://storage.googleapis.com/acdb/housewares/FtrBearXL_Remake_3_2.png")</f>
        <v/>
      </c>
      <c r="C1174" s="5" t="s">
        <v>400</v>
      </c>
      <c r="D1174" s="5" t="s">
        <v>2716</v>
      </c>
      <c r="E1174" s="5" t="s">
        <v>5408</v>
      </c>
      <c r="F1174" s="5" t="s">
        <v>5397</v>
      </c>
      <c r="G1174" s="5" t="s">
        <v>35</v>
      </c>
      <c r="H1174" s="5" t="s">
        <v>35</v>
      </c>
      <c r="I1174" s="5" t="s">
        <v>35</v>
      </c>
      <c r="J1174" s="6">
        <v>8.0</v>
      </c>
      <c r="K1174" s="6" t="s">
        <v>37</v>
      </c>
      <c r="L1174" s="6">
        <v>6300.0</v>
      </c>
      <c r="M1174" s="8" t="s">
        <v>114</v>
      </c>
      <c r="N1174" s="8" t="s">
        <v>68</v>
      </c>
      <c r="O1174" s="6" t="s">
        <v>4708</v>
      </c>
      <c r="P1174" s="5" t="s">
        <v>41</v>
      </c>
      <c r="Q1174" s="5"/>
      <c r="R1174" s="6" t="s">
        <v>42</v>
      </c>
      <c r="S1174" s="5" t="s">
        <v>61</v>
      </c>
      <c r="T1174" s="5" t="s">
        <v>99</v>
      </c>
      <c r="U1174" s="5" t="s">
        <v>44</v>
      </c>
      <c r="V1174" s="5" t="s">
        <v>329</v>
      </c>
      <c r="W1174" s="5" t="s">
        <v>36</v>
      </c>
      <c r="X1174" s="8" t="s">
        <v>330</v>
      </c>
      <c r="Y1174" s="5" t="s">
        <v>46</v>
      </c>
      <c r="Z1174" s="5" t="s">
        <v>47</v>
      </c>
      <c r="AA1174" s="5" t="s">
        <v>48</v>
      </c>
      <c r="AB1174" s="5" t="s">
        <v>5455</v>
      </c>
      <c r="AC1174" s="6" t="s">
        <v>414</v>
      </c>
      <c r="AD1174" s="6">
        <v>1504.0</v>
      </c>
    </row>
    <row r="1175" ht="56.25" customHeight="1">
      <c r="A1175" s="5" t="s">
        <v>5395</v>
      </c>
      <c r="B1175" s="6" t="str">
        <f>IMAGE("https://storage.googleapis.com/acdb/housewares/FtrBearXL_Remake_3_3.png")</f>
        <v/>
      </c>
      <c r="C1175" s="5" t="s">
        <v>400</v>
      </c>
      <c r="D1175" s="5" t="s">
        <v>2716</v>
      </c>
      <c r="E1175" s="5" t="s">
        <v>5414</v>
      </c>
      <c r="F1175" s="5" t="s">
        <v>5397</v>
      </c>
      <c r="G1175" s="5" t="s">
        <v>35</v>
      </c>
      <c r="H1175" s="5" t="s">
        <v>35</v>
      </c>
      <c r="I1175" s="5" t="s">
        <v>35</v>
      </c>
      <c r="J1175" s="6">
        <v>8.0</v>
      </c>
      <c r="K1175" s="6" t="s">
        <v>37</v>
      </c>
      <c r="L1175" s="6">
        <v>6300.0</v>
      </c>
      <c r="M1175" s="8" t="s">
        <v>114</v>
      </c>
      <c r="N1175" s="8" t="s">
        <v>114</v>
      </c>
      <c r="O1175" s="6" t="s">
        <v>4708</v>
      </c>
      <c r="P1175" s="5" t="s">
        <v>41</v>
      </c>
      <c r="Q1175" s="5"/>
      <c r="R1175" s="6" t="s">
        <v>42</v>
      </c>
      <c r="S1175" s="5" t="s">
        <v>61</v>
      </c>
      <c r="T1175" s="5" t="s">
        <v>99</v>
      </c>
      <c r="U1175" s="5" t="s">
        <v>44</v>
      </c>
      <c r="V1175" s="5" t="s">
        <v>329</v>
      </c>
      <c r="W1175" s="5" t="s">
        <v>36</v>
      </c>
      <c r="X1175" s="8" t="s">
        <v>330</v>
      </c>
      <c r="Y1175" s="5" t="s">
        <v>46</v>
      </c>
      <c r="Z1175" s="5" t="s">
        <v>47</v>
      </c>
      <c r="AA1175" s="5" t="s">
        <v>48</v>
      </c>
      <c r="AB1175" s="5" t="s">
        <v>5457</v>
      </c>
      <c r="AC1175" s="6" t="s">
        <v>418</v>
      </c>
      <c r="AD1175" s="6">
        <v>1504.0</v>
      </c>
    </row>
    <row r="1176" ht="56.25" customHeight="1">
      <c r="A1176" s="5" t="s">
        <v>5395</v>
      </c>
      <c r="B1176" s="6" t="str">
        <f>IMAGE("https://storage.googleapis.com/acdb/housewares/FtrBearXL_Remake_4_0.png")</f>
        <v/>
      </c>
      <c r="C1176" s="5" t="s">
        <v>422</v>
      </c>
      <c r="D1176" s="5" t="s">
        <v>2716</v>
      </c>
      <c r="E1176" s="5" t="s">
        <v>44</v>
      </c>
      <c r="F1176" s="5" t="s">
        <v>5397</v>
      </c>
      <c r="G1176" s="5" t="s">
        <v>35</v>
      </c>
      <c r="H1176" s="5" t="s">
        <v>35</v>
      </c>
      <c r="I1176" s="5" t="s">
        <v>35</v>
      </c>
      <c r="J1176" s="6">
        <v>8.0</v>
      </c>
      <c r="K1176" s="6" t="s">
        <v>37</v>
      </c>
      <c r="L1176" s="6">
        <v>6300.0</v>
      </c>
      <c r="M1176" s="8" t="s">
        <v>106</v>
      </c>
      <c r="N1176" s="8" t="s">
        <v>57</v>
      </c>
      <c r="O1176" s="6" t="s">
        <v>4708</v>
      </c>
      <c r="P1176" s="5" t="s">
        <v>41</v>
      </c>
      <c r="Q1176" s="5"/>
      <c r="R1176" s="6" t="s">
        <v>42</v>
      </c>
      <c r="S1176" s="5" t="s">
        <v>61</v>
      </c>
      <c r="T1176" s="5" t="s">
        <v>99</v>
      </c>
      <c r="U1176" s="5" t="s">
        <v>44</v>
      </c>
      <c r="V1176" s="5" t="s">
        <v>329</v>
      </c>
      <c r="W1176" s="5" t="s">
        <v>36</v>
      </c>
      <c r="X1176" s="8" t="s">
        <v>330</v>
      </c>
      <c r="Y1176" s="5" t="s">
        <v>46</v>
      </c>
      <c r="Z1176" s="5" t="s">
        <v>47</v>
      </c>
      <c r="AA1176" s="5" t="s">
        <v>48</v>
      </c>
      <c r="AB1176" s="5" t="s">
        <v>5461</v>
      </c>
      <c r="AC1176" s="6" t="s">
        <v>75</v>
      </c>
      <c r="AD1176" s="6">
        <v>1504.0</v>
      </c>
    </row>
    <row r="1177" ht="56.25" customHeight="1">
      <c r="A1177" s="5" t="s">
        <v>5395</v>
      </c>
      <c r="B1177" s="6" t="str">
        <f>IMAGE("https://storage.googleapis.com/acdb/housewares/FtrBearXL_Remake_4_1.png")</f>
        <v/>
      </c>
      <c r="C1177" s="5" t="s">
        <v>422</v>
      </c>
      <c r="D1177" s="5" t="s">
        <v>2716</v>
      </c>
      <c r="E1177" s="5" t="s">
        <v>57</v>
      </c>
      <c r="F1177" s="5" t="s">
        <v>5397</v>
      </c>
      <c r="G1177" s="5" t="s">
        <v>35</v>
      </c>
      <c r="H1177" s="5" t="s">
        <v>35</v>
      </c>
      <c r="I1177" s="5" t="s">
        <v>35</v>
      </c>
      <c r="J1177" s="6">
        <v>8.0</v>
      </c>
      <c r="K1177" s="6" t="s">
        <v>37</v>
      </c>
      <c r="L1177" s="6">
        <v>6300.0</v>
      </c>
      <c r="M1177" s="8" t="s">
        <v>106</v>
      </c>
      <c r="N1177" s="8" t="s">
        <v>57</v>
      </c>
      <c r="O1177" s="6" t="s">
        <v>4708</v>
      </c>
      <c r="P1177" s="5" t="s">
        <v>41</v>
      </c>
      <c r="Q1177" s="5"/>
      <c r="R1177" s="6" t="s">
        <v>42</v>
      </c>
      <c r="S1177" s="5" t="s">
        <v>61</v>
      </c>
      <c r="T1177" s="5" t="s">
        <v>99</v>
      </c>
      <c r="U1177" s="5" t="s">
        <v>44</v>
      </c>
      <c r="V1177" s="5" t="s">
        <v>329</v>
      </c>
      <c r="W1177" s="5" t="s">
        <v>36</v>
      </c>
      <c r="X1177" s="8" t="s">
        <v>330</v>
      </c>
      <c r="Y1177" s="5" t="s">
        <v>46</v>
      </c>
      <c r="Z1177" s="5" t="s">
        <v>47</v>
      </c>
      <c r="AA1177" s="5" t="s">
        <v>48</v>
      </c>
      <c r="AB1177" s="5" t="s">
        <v>5465</v>
      </c>
      <c r="AC1177" s="6" t="s">
        <v>429</v>
      </c>
      <c r="AD1177" s="6">
        <v>1504.0</v>
      </c>
    </row>
    <row r="1178" ht="56.25" customHeight="1">
      <c r="A1178" s="5" t="s">
        <v>5395</v>
      </c>
      <c r="B1178" s="6" t="str">
        <f>IMAGE("https://storage.googleapis.com/acdb/housewares/FtrBearXL_Remake_4_2.png")</f>
        <v/>
      </c>
      <c r="C1178" s="5" t="s">
        <v>422</v>
      </c>
      <c r="D1178" s="5" t="s">
        <v>2716</v>
      </c>
      <c r="E1178" s="5" t="s">
        <v>5408</v>
      </c>
      <c r="F1178" s="5" t="s">
        <v>5397</v>
      </c>
      <c r="G1178" s="5" t="s">
        <v>35</v>
      </c>
      <c r="H1178" s="5" t="s">
        <v>35</v>
      </c>
      <c r="I1178" s="5" t="s">
        <v>35</v>
      </c>
      <c r="J1178" s="6">
        <v>8.0</v>
      </c>
      <c r="K1178" s="6" t="s">
        <v>37</v>
      </c>
      <c r="L1178" s="6">
        <v>6300.0</v>
      </c>
      <c r="M1178" s="8" t="s">
        <v>106</v>
      </c>
      <c r="N1178" s="8" t="s">
        <v>68</v>
      </c>
      <c r="O1178" s="6" t="s">
        <v>4708</v>
      </c>
      <c r="P1178" s="5" t="s">
        <v>41</v>
      </c>
      <c r="Q1178" s="5"/>
      <c r="R1178" s="6" t="s">
        <v>42</v>
      </c>
      <c r="S1178" s="5" t="s">
        <v>61</v>
      </c>
      <c r="T1178" s="5" t="s">
        <v>99</v>
      </c>
      <c r="U1178" s="5" t="s">
        <v>44</v>
      </c>
      <c r="V1178" s="5" t="s">
        <v>329</v>
      </c>
      <c r="W1178" s="5" t="s">
        <v>36</v>
      </c>
      <c r="X1178" s="8" t="s">
        <v>330</v>
      </c>
      <c r="Y1178" s="5" t="s">
        <v>46</v>
      </c>
      <c r="Z1178" s="5" t="s">
        <v>47</v>
      </c>
      <c r="AA1178" s="5" t="s">
        <v>48</v>
      </c>
      <c r="AB1178" s="5" t="s">
        <v>5467</v>
      </c>
      <c r="AC1178" s="6" t="s">
        <v>434</v>
      </c>
      <c r="AD1178" s="6">
        <v>1504.0</v>
      </c>
    </row>
    <row r="1179" ht="56.25" customHeight="1">
      <c r="A1179" s="5" t="s">
        <v>5395</v>
      </c>
      <c r="B1179" s="6" t="str">
        <f>IMAGE("https://storage.googleapis.com/acdb/housewares/FtrBearXL_Remake_4_3.png")</f>
        <v/>
      </c>
      <c r="C1179" s="5" t="s">
        <v>422</v>
      </c>
      <c r="D1179" s="5" t="s">
        <v>2716</v>
      </c>
      <c r="E1179" s="5" t="s">
        <v>5414</v>
      </c>
      <c r="F1179" s="5" t="s">
        <v>5397</v>
      </c>
      <c r="G1179" s="5" t="s">
        <v>35</v>
      </c>
      <c r="H1179" s="5" t="s">
        <v>35</v>
      </c>
      <c r="I1179" s="5" t="s">
        <v>35</v>
      </c>
      <c r="J1179" s="6">
        <v>8.0</v>
      </c>
      <c r="K1179" s="6" t="s">
        <v>37</v>
      </c>
      <c r="L1179" s="6">
        <v>6300.0</v>
      </c>
      <c r="M1179" s="8" t="s">
        <v>106</v>
      </c>
      <c r="N1179" s="8" t="s">
        <v>114</v>
      </c>
      <c r="O1179" s="6" t="s">
        <v>4708</v>
      </c>
      <c r="P1179" s="5" t="s">
        <v>41</v>
      </c>
      <c r="Q1179" s="5"/>
      <c r="R1179" s="6" t="s">
        <v>42</v>
      </c>
      <c r="S1179" s="5" t="s">
        <v>61</v>
      </c>
      <c r="T1179" s="5" t="s">
        <v>99</v>
      </c>
      <c r="U1179" s="5" t="s">
        <v>44</v>
      </c>
      <c r="V1179" s="5" t="s">
        <v>329</v>
      </c>
      <c r="W1179" s="5" t="s">
        <v>36</v>
      </c>
      <c r="X1179" s="8" t="s">
        <v>330</v>
      </c>
      <c r="Y1179" s="5" t="s">
        <v>46</v>
      </c>
      <c r="Z1179" s="5" t="s">
        <v>47</v>
      </c>
      <c r="AA1179" s="5" t="s">
        <v>48</v>
      </c>
      <c r="AB1179" s="5" t="s">
        <v>5471</v>
      </c>
      <c r="AC1179" s="6" t="s">
        <v>438</v>
      </c>
      <c r="AD1179" s="6">
        <v>1504.0</v>
      </c>
    </row>
    <row r="1180" ht="56.25" customHeight="1">
      <c r="A1180" s="5" t="s">
        <v>5395</v>
      </c>
      <c r="B1180" s="6" t="str">
        <f>IMAGE("https://storage.googleapis.com/acdb/housewares/FtrBearXL_Remake_5_0.png")</f>
        <v/>
      </c>
      <c r="C1180" s="5" t="s">
        <v>439</v>
      </c>
      <c r="D1180" s="5" t="s">
        <v>34</v>
      </c>
      <c r="E1180" s="5" t="s">
        <v>44</v>
      </c>
      <c r="F1180" s="5" t="s">
        <v>5397</v>
      </c>
      <c r="G1180" s="5" t="s">
        <v>35</v>
      </c>
      <c r="H1180" s="5" t="s">
        <v>36</v>
      </c>
      <c r="I1180" s="5" t="s">
        <v>35</v>
      </c>
      <c r="J1180" s="6">
        <v>8.0</v>
      </c>
      <c r="K1180" s="6" t="s">
        <v>37</v>
      </c>
      <c r="L1180" s="6">
        <v>6300.0</v>
      </c>
      <c r="M1180" s="8" t="s">
        <v>106</v>
      </c>
      <c r="N1180" s="8" t="s">
        <v>106</v>
      </c>
      <c r="O1180" s="6" t="s">
        <v>4708</v>
      </c>
      <c r="P1180" s="5" t="s">
        <v>41</v>
      </c>
      <c r="Q1180" s="5"/>
      <c r="R1180" s="6" t="s">
        <v>42</v>
      </c>
      <c r="S1180" s="5" t="s">
        <v>61</v>
      </c>
      <c r="T1180" s="5" t="s">
        <v>99</v>
      </c>
      <c r="U1180" s="5" t="s">
        <v>44</v>
      </c>
      <c r="V1180" s="5" t="s">
        <v>329</v>
      </c>
      <c r="W1180" s="5" t="s">
        <v>36</v>
      </c>
      <c r="X1180" s="8" t="s">
        <v>330</v>
      </c>
      <c r="Y1180" s="5" t="s">
        <v>46</v>
      </c>
      <c r="Z1180" s="5" t="s">
        <v>47</v>
      </c>
      <c r="AA1180" s="5" t="s">
        <v>48</v>
      </c>
      <c r="AB1180" s="5" t="s">
        <v>5476</v>
      </c>
      <c r="AC1180" s="6" t="s">
        <v>79</v>
      </c>
      <c r="AD1180" s="6">
        <v>1504.0</v>
      </c>
    </row>
    <row r="1181" ht="56.25" customHeight="1">
      <c r="A1181" s="5" t="s">
        <v>5395</v>
      </c>
      <c r="B1181" s="6" t="str">
        <f>IMAGE("https://storage.googleapis.com/acdb/housewares/FtrBearXL_Remake_5_1.png")</f>
        <v/>
      </c>
      <c r="C1181" s="5" t="s">
        <v>439</v>
      </c>
      <c r="D1181" s="5" t="s">
        <v>34</v>
      </c>
      <c r="E1181" s="5" t="s">
        <v>57</v>
      </c>
      <c r="F1181" s="5" t="s">
        <v>5397</v>
      </c>
      <c r="G1181" s="5" t="s">
        <v>35</v>
      </c>
      <c r="H1181" s="5" t="s">
        <v>36</v>
      </c>
      <c r="I1181" s="5" t="s">
        <v>35</v>
      </c>
      <c r="J1181" s="6">
        <v>8.0</v>
      </c>
      <c r="K1181" s="6" t="s">
        <v>37</v>
      </c>
      <c r="L1181" s="6">
        <v>6300.0</v>
      </c>
      <c r="M1181" s="8" t="s">
        <v>106</v>
      </c>
      <c r="N1181" s="8" t="s">
        <v>57</v>
      </c>
      <c r="O1181" s="6" t="s">
        <v>4708</v>
      </c>
      <c r="P1181" s="5" t="s">
        <v>41</v>
      </c>
      <c r="Q1181" s="5"/>
      <c r="R1181" s="6" t="s">
        <v>42</v>
      </c>
      <c r="S1181" s="5" t="s">
        <v>61</v>
      </c>
      <c r="T1181" s="5" t="s">
        <v>99</v>
      </c>
      <c r="U1181" s="5" t="s">
        <v>44</v>
      </c>
      <c r="V1181" s="5" t="s">
        <v>329</v>
      </c>
      <c r="W1181" s="5" t="s">
        <v>36</v>
      </c>
      <c r="X1181" s="8" t="s">
        <v>330</v>
      </c>
      <c r="Y1181" s="5" t="s">
        <v>46</v>
      </c>
      <c r="Z1181" s="5" t="s">
        <v>47</v>
      </c>
      <c r="AA1181" s="5" t="s">
        <v>48</v>
      </c>
      <c r="AB1181" s="5" t="s">
        <v>5481</v>
      </c>
      <c r="AC1181" s="6" t="s">
        <v>448</v>
      </c>
      <c r="AD1181" s="6">
        <v>1504.0</v>
      </c>
    </row>
    <row r="1182" ht="56.25" customHeight="1">
      <c r="A1182" s="5" t="s">
        <v>5395</v>
      </c>
      <c r="B1182" s="6" t="str">
        <f>IMAGE("https://storage.googleapis.com/acdb/housewares/FtrBearXL_Remake_5_2.png")</f>
        <v/>
      </c>
      <c r="C1182" s="5" t="s">
        <v>439</v>
      </c>
      <c r="D1182" s="5" t="s">
        <v>34</v>
      </c>
      <c r="E1182" s="5" t="s">
        <v>5408</v>
      </c>
      <c r="F1182" s="5" t="s">
        <v>5397</v>
      </c>
      <c r="G1182" s="5" t="s">
        <v>35</v>
      </c>
      <c r="H1182" s="5" t="s">
        <v>36</v>
      </c>
      <c r="I1182" s="5" t="s">
        <v>35</v>
      </c>
      <c r="J1182" s="6">
        <v>8.0</v>
      </c>
      <c r="K1182" s="6" t="s">
        <v>37</v>
      </c>
      <c r="L1182" s="6">
        <v>6300.0</v>
      </c>
      <c r="M1182" s="8" t="s">
        <v>106</v>
      </c>
      <c r="N1182" s="8" t="s">
        <v>68</v>
      </c>
      <c r="O1182" s="6" t="s">
        <v>4708</v>
      </c>
      <c r="P1182" s="5" t="s">
        <v>41</v>
      </c>
      <c r="Q1182" s="5"/>
      <c r="R1182" s="6" t="s">
        <v>42</v>
      </c>
      <c r="S1182" s="5" t="s">
        <v>61</v>
      </c>
      <c r="T1182" s="5" t="s">
        <v>99</v>
      </c>
      <c r="U1182" s="5" t="s">
        <v>44</v>
      </c>
      <c r="V1182" s="5" t="s">
        <v>329</v>
      </c>
      <c r="W1182" s="5" t="s">
        <v>36</v>
      </c>
      <c r="X1182" s="8" t="s">
        <v>330</v>
      </c>
      <c r="Y1182" s="5" t="s">
        <v>46</v>
      </c>
      <c r="Z1182" s="5" t="s">
        <v>47</v>
      </c>
      <c r="AA1182" s="5" t="s">
        <v>48</v>
      </c>
      <c r="AB1182" s="5" t="s">
        <v>5484</v>
      </c>
      <c r="AC1182" s="6" t="s">
        <v>452</v>
      </c>
      <c r="AD1182" s="6">
        <v>1504.0</v>
      </c>
    </row>
    <row r="1183" ht="56.25" customHeight="1">
      <c r="A1183" s="5" t="s">
        <v>5395</v>
      </c>
      <c r="B1183" s="6" t="str">
        <f>IMAGE("https://storage.googleapis.com/acdb/housewares/FtrBearXL_Remake_5_3.png")</f>
        <v/>
      </c>
      <c r="C1183" s="5" t="s">
        <v>439</v>
      </c>
      <c r="D1183" s="5" t="s">
        <v>34</v>
      </c>
      <c r="E1183" s="5" t="s">
        <v>5414</v>
      </c>
      <c r="F1183" s="5" t="s">
        <v>5397</v>
      </c>
      <c r="G1183" s="5" t="s">
        <v>35</v>
      </c>
      <c r="H1183" s="5" t="s">
        <v>36</v>
      </c>
      <c r="I1183" s="5" t="s">
        <v>35</v>
      </c>
      <c r="J1183" s="6">
        <v>8.0</v>
      </c>
      <c r="K1183" s="6" t="s">
        <v>37</v>
      </c>
      <c r="L1183" s="6">
        <v>6300.0</v>
      </c>
      <c r="M1183" s="8" t="s">
        <v>106</v>
      </c>
      <c r="N1183" s="8" t="s">
        <v>114</v>
      </c>
      <c r="O1183" s="6" t="s">
        <v>4708</v>
      </c>
      <c r="P1183" s="5" t="s">
        <v>41</v>
      </c>
      <c r="Q1183" s="5"/>
      <c r="R1183" s="6" t="s">
        <v>42</v>
      </c>
      <c r="S1183" s="5" t="s">
        <v>61</v>
      </c>
      <c r="T1183" s="5" t="s">
        <v>99</v>
      </c>
      <c r="U1183" s="5" t="s">
        <v>44</v>
      </c>
      <c r="V1183" s="5" t="s">
        <v>329</v>
      </c>
      <c r="W1183" s="5" t="s">
        <v>36</v>
      </c>
      <c r="X1183" s="8" t="s">
        <v>330</v>
      </c>
      <c r="Y1183" s="5" t="s">
        <v>46</v>
      </c>
      <c r="Z1183" s="5" t="s">
        <v>47</v>
      </c>
      <c r="AA1183" s="5" t="s">
        <v>48</v>
      </c>
      <c r="AB1183" s="5" t="s">
        <v>5488</v>
      </c>
      <c r="AC1183" s="6" t="s">
        <v>455</v>
      </c>
      <c r="AD1183" s="6">
        <v>1504.0</v>
      </c>
    </row>
    <row r="1184" ht="56.25" customHeight="1">
      <c r="A1184" s="5" t="s">
        <v>5489</v>
      </c>
      <c r="B1184" s="6" t="str">
        <f>IMAGE("https://storage.googleapis.com/acdb/housewares/FtrGo.png")</f>
        <v/>
      </c>
      <c r="C1184" s="5" t="s">
        <v>34</v>
      </c>
      <c r="D1184" s="5" t="s">
        <v>34</v>
      </c>
      <c r="E1184" s="5" t="s">
        <v>34</v>
      </c>
      <c r="F1184" s="5" t="s">
        <v>34</v>
      </c>
      <c r="G1184" s="5" t="s">
        <v>36</v>
      </c>
      <c r="H1184" s="5" t="s">
        <v>36</v>
      </c>
      <c r="I1184" s="5" t="s">
        <v>36</v>
      </c>
      <c r="J1184" s="6" t="s">
        <v>34</v>
      </c>
      <c r="K1184" s="6">
        <v>1800.0</v>
      </c>
      <c r="L1184" s="6">
        <v>450.0</v>
      </c>
      <c r="M1184" s="5" t="s">
        <v>142</v>
      </c>
      <c r="N1184" s="5" t="s">
        <v>142</v>
      </c>
      <c r="O1184" s="6" t="s">
        <v>40</v>
      </c>
      <c r="P1184" s="5" t="s">
        <v>59</v>
      </c>
      <c r="Q1184" s="5" t="s">
        <v>89</v>
      </c>
      <c r="R1184" s="6" t="s">
        <v>42</v>
      </c>
      <c r="S1184" s="5" t="s">
        <v>266</v>
      </c>
      <c r="T1184" s="5" t="s">
        <v>90</v>
      </c>
      <c r="U1184" s="5" t="s">
        <v>44</v>
      </c>
      <c r="V1184" s="5" t="s">
        <v>44</v>
      </c>
      <c r="W1184" s="5" t="s">
        <v>36</v>
      </c>
      <c r="X1184" s="8" t="s">
        <v>356</v>
      </c>
      <c r="Y1184" s="5" t="s">
        <v>46</v>
      </c>
      <c r="Z1184" s="5" t="s">
        <v>47</v>
      </c>
      <c r="AA1184" s="5" t="s">
        <v>64</v>
      </c>
      <c r="AB1184" s="5" t="s">
        <v>5495</v>
      </c>
      <c r="AC1184" s="6" t="s">
        <v>34</v>
      </c>
      <c r="AD1184" s="6">
        <v>981.0</v>
      </c>
    </row>
    <row r="1185" ht="56.25" customHeight="1">
      <c r="A1185" s="5" t="s">
        <v>5497</v>
      </c>
      <c r="B1185" s="6" t="str">
        <f>IMAGE("https://storage.googleapis.com/acdb/housewares/FtrGoldCoffin.png")</f>
        <v/>
      </c>
      <c r="C1185" s="5" t="s">
        <v>34</v>
      </c>
      <c r="D1185" s="5" t="s">
        <v>34</v>
      </c>
      <c r="E1185" s="5" t="s">
        <v>34</v>
      </c>
      <c r="F1185" s="5" t="s">
        <v>34</v>
      </c>
      <c r="G1185" s="5" t="s">
        <v>35</v>
      </c>
      <c r="H1185" s="5" t="s">
        <v>36</v>
      </c>
      <c r="I1185" s="5" t="s">
        <v>36</v>
      </c>
      <c r="J1185" s="6" t="s">
        <v>34</v>
      </c>
      <c r="K1185" s="6" t="s">
        <v>37</v>
      </c>
      <c r="L1185" s="6">
        <v>80000.0</v>
      </c>
      <c r="M1185" s="5" t="s">
        <v>114</v>
      </c>
      <c r="N1185" s="5" t="s">
        <v>39</v>
      </c>
      <c r="O1185" s="6" t="s">
        <v>276</v>
      </c>
      <c r="P1185" s="5" t="s">
        <v>41</v>
      </c>
      <c r="Q1185" s="5"/>
      <c r="R1185" s="6" t="s">
        <v>42</v>
      </c>
      <c r="S1185" s="5" t="s">
        <v>116</v>
      </c>
      <c r="T1185" s="5" t="s">
        <v>732</v>
      </c>
      <c r="U1185" s="5" t="s">
        <v>1182</v>
      </c>
      <c r="V1185" s="5" t="s">
        <v>44</v>
      </c>
      <c r="W1185" s="5" t="s">
        <v>36</v>
      </c>
      <c r="X1185" s="8" t="s">
        <v>278</v>
      </c>
      <c r="Y1185" s="5" t="s">
        <v>46</v>
      </c>
      <c r="Z1185" s="5" t="s">
        <v>47</v>
      </c>
      <c r="AA1185" s="5" t="s">
        <v>48</v>
      </c>
      <c r="AB1185" s="5" t="s">
        <v>5501</v>
      </c>
      <c r="AC1185" s="6" t="s">
        <v>34</v>
      </c>
      <c r="AD1185" s="6">
        <v>8825.0</v>
      </c>
    </row>
    <row r="1186" ht="56.25" customHeight="1">
      <c r="A1186" s="5" t="s">
        <v>5502</v>
      </c>
      <c r="B1186" s="6" t="str">
        <f>IMAGE("https://storage.googleapis.com/acdb/housewares/FtrGoldbench.png")</f>
        <v/>
      </c>
      <c r="C1186" s="5" t="s">
        <v>34</v>
      </c>
      <c r="D1186" s="5" t="s">
        <v>34</v>
      </c>
      <c r="E1186" s="5" t="s">
        <v>34</v>
      </c>
      <c r="F1186" s="5" t="s">
        <v>34</v>
      </c>
      <c r="G1186" s="5" t="s">
        <v>35</v>
      </c>
      <c r="H1186" s="5" t="s">
        <v>36</v>
      </c>
      <c r="I1186" s="5" t="s">
        <v>36</v>
      </c>
      <c r="J1186" s="6" t="s">
        <v>34</v>
      </c>
      <c r="K1186" s="6" t="s">
        <v>37</v>
      </c>
      <c r="L1186" s="6">
        <v>50000.0</v>
      </c>
      <c r="M1186" s="5" t="s">
        <v>114</v>
      </c>
      <c r="N1186" s="5" t="s">
        <v>114</v>
      </c>
      <c r="O1186" s="6" t="s">
        <v>276</v>
      </c>
      <c r="P1186" s="5" t="s">
        <v>41</v>
      </c>
      <c r="Q1186" s="5"/>
      <c r="R1186" s="6" t="s">
        <v>42</v>
      </c>
      <c r="S1186" s="5" t="s">
        <v>116</v>
      </c>
      <c r="T1186" s="5" t="s">
        <v>44</v>
      </c>
      <c r="U1186" s="5" t="s">
        <v>1182</v>
      </c>
      <c r="V1186" s="5" t="s">
        <v>44</v>
      </c>
      <c r="W1186" s="5" t="s">
        <v>35</v>
      </c>
      <c r="X1186" s="8" t="s">
        <v>671</v>
      </c>
      <c r="Y1186" s="5" t="s">
        <v>46</v>
      </c>
      <c r="Z1186" s="5" t="s">
        <v>47</v>
      </c>
      <c r="AA1186" s="5" t="s">
        <v>48</v>
      </c>
      <c r="AB1186" s="5" t="s">
        <v>5507</v>
      </c>
      <c r="AC1186" s="6" t="s">
        <v>34</v>
      </c>
      <c r="AD1186" s="6">
        <v>3473.0</v>
      </c>
    </row>
    <row r="1187" ht="56.25" customHeight="1">
      <c r="A1187" s="5" t="s">
        <v>5508</v>
      </c>
      <c r="B1187" s="6" t="str">
        <f>IMAGE("https://storage.googleapis.com/acdb/housewares/FtrGoldWC.png")</f>
        <v/>
      </c>
      <c r="C1187" s="5" t="s">
        <v>34</v>
      </c>
      <c r="D1187" s="5" t="s">
        <v>34</v>
      </c>
      <c r="E1187" s="5" t="s">
        <v>34</v>
      </c>
      <c r="F1187" s="5" t="s">
        <v>34</v>
      </c>
      <c r="G1187" s="5" t="s">
        <v>35</v>
      </c>
      <c r="H1187" s="5" t="s">
        <v>36</v>
      </c>
      <c r="I1187" s="5" t="s">
        <v>36</v>
      </c>
      <c r="J1187" s="6" t="s">
        <v>34</v>
      </c>
      <c r="K1187" s="6" t="s">
        <v>37</v>
      </c>
      <c r="L1187" s="6">
        <v>60000.0</v>
      </c>
      <c r="M1187" s="5" t="s">
        <v>114</v>
      </c>
      <c r="N1187" s="5" t="s">
        <v>114</v>
      </c>
      <c r="O1187" s="6" t="s">
        <v>40</v>
      </c>
      <c r="P1187" s="5" t="s">
        <v>41</v>
      </c>
      <c r="Q1187" s="5"/>
      <c r="R1187" s="6" t="s">
        <v>42</v>
      </c>
      <c r="S1187" s="5" t="s">
        <v>288</v>
      </c>
      <c r="T1187" s="5" t="s">
        <v>116</v>
      </c>
      <c r="U1187" s="5" t="s">
        <v>1182</v>
      </c>
      <c r="V1187" s="5" t="s">
        <v>44</v>
      </c>
      <c r="W1187" s="5" t="s">
        <v>35</v>
      </c>
      <c r="X1187" s="8" t="s">
        <v>5512</v>
      </c>
      <c r="Y1187" s="5" t="s">
        <v>46</v>
      </c>
      <c r="Z1187" s="5" t="s">
        <v>47</v>
      </c>
      <c r="AA1187" s="5" t="s">
        <v>48</v>
      </c>
      <c r="AB1187" s="5" t="s">
        <v>5514</v>
      </c>
      <c r="AC1187" s="6" t="s">
        <v>34</v>
      </c>
      <c r="AD1187" s="6">
        <v>3472.0</v>
      </c>
    </row>
    <row r="1188" ht="56.25" customHeight="1">
      <c r="A1188" s="5" t="s">
        <v>5515</v>
      </c>
      <c r="B1188" s="6" t="str">
        <f>IMAGE("https://storage.googleapis.com/acdb/housewares/FtrGolfbag_Remake_0_0.png")</f>
        <v/>
      </c>
      <c r="C1188" s="5" t="s">
        <v>52</v>
      </c>
      <c r="D1188" s="5" t="s">
        <v>34</v>
      </c>
      <c r="E1188" s="5" t="s">
        <v>34</v>
      </c>
      <c r="F1188" s="5" t="s">
        <v>34</v>
      </c>
      <c r="G1188" s="5" t="s">
        <v>36</v>
      </c>
      <c r="H1188" s="5" t="s">
        <v>36</v>
      </c>
      <c r="I1188" s="5" t="s">
        <v>36</v>
      </c>
      <c r="J1188" s="6" t="s">
        <v>34</v>
      </c>
      <c r="K1188" s="6">
        <v>54000.0</v>
      </c>
      <c r="L1188" s="6">
        <v>13500.0</v>
      </c>
      <c r="M1188" s="8" t="s">
        <v>52</v>
      </c>
      <c r="N1188" s="8" t="s">
        <v>52</v>
      </c>
      <c r="O1188" s="6" t="s">
        <v>40</v>
      </c>
      <c r="P1188" s="5" t="s">
        <v>59</v>
      </c>
      <c r="Q1188" s="5" t="s">
        <v>115</v>
      </c>
      <c r="R1188" s="6" t="s">
        <v>42</v>
      </c>
      <c r="S1188" s="5" t="s">
        <v>474</v>
      </c>
      <c r="T1188" s="5" t="s">
        <v>44</v>
      </c>
      <c r="U1188" s="5" t="s">
        <v>44</v>
      </c>
      <c r="V1188" s="5" t="s">
        <v>44</v>
      </c>
      <c r="W1188" s="5" t="s">
        <v>36</v>
      </c>
      <c r="X1188" s="8" t="s">
        <v>475</v>
      </c>
      <c r="Y1188" s="5" t="s">
        <v>46</v>
      </c>
      <c r="Z1188" s="5" t="s">
        <v>47</v>
      </c>
      <c r="AA1188" s="5" t="s">
        <v>64</v>
      </c>
      <c r="AB1188" s="5" t="s">
        <v>5520</v>
      </c>
      <c r="AC1188" s="6" t="s">
        <v>50</v>
      </c>
      <c r="AD1188" s="6">
        <v>1632.0</v>
      </c>
    </row>
    <row r="1189" ht="56.25" customHeight="1">
      <c r="A1189" s="5" t="s">
        <v>5515</v>
      </c>
      <c r="B1189" s="6" t="str">
        <f>IMAGE("https://storage.googleapis.com/acdb/housewares/FtrGolfbag_Remake_1_0.png")</f>
        <v/>
      </c>
      <c r="C1189" s="5" t="s">
        <v>96</v>
      </c>
      <c r="D1189" s="5" t="s">
        <v>34</v>
      </c>
      <c r="E1189" s="5" t="s">
        <v>34</v>
      </c>
      <c r="F1189" s="5" t="s">
        <v>34</v>
      </c>
      <c r="G1189" s="5" t="s">
        <v>36</v>
      </c>
      <c r="H1189" s="5" t="s">
        <v>36</v>
      </c>
      <c r="I1189" s="5" t="s">
        <v>36</v>
      </c>
      <c r="J1189" s="6" t="s">
        <v>34</v>
      </c>
      <c r="K1189" s="6">
        <v>54000.0</v>
      </c>
      <c r="L1189" s="6">
        <v>13500.0</v>
      </c>
      <c r="M1189" s="8" t="s">
        <v>96</v>
      </c>
      <c r="N1189" s="8" t="s">
        <v>96</v>
      </c>
      <c r="O1189" s="6" t="s">
        <v>40</v>
      </c>
      <c r="P1189" s="5" t="s">
        <v>59</v>
      </c>
      <c r="Q1189" s="5" t="s">
        <v>115</v>
      </c>
      <c r="R1189" s="6" t="s">
        <v>42</v>
      </c>
      <c r="S1189" s="5" t="s">
        <v>474</v>
      </c>
      <c r="T1189" s="5" t="s">
        <v>44</v>
      </c>
      <c r="U1189" s="5" t="s">
        <v>44</v>
      </c>
      <c r="V1189" s="5" t="s">
        <v>44</v>
      </c>
      <c r="W1189" s="5" t="s">
        <v>36</v>
      </c>
      <c r="X1189" s="8" t="s">
        <v>475</v>
      </c>
      <c r="Y1189" s="5" t="s">
        <v>46</v>
      </c>
      <c r="Z1189" s="5" t="s">
        <v>47</v>
      </c>
      <c r="AA1189" s="5" t="s">
        <v>64</v>
      </c>
      <c r="AB1189" s="5" t="s">
        <v>5525</v>
      </c>
      <c r="AC1189" s="6" t="s">
        <v>56</v>
      </c>
      <c r="AD1189" s="6">
        <v>1632.0</v>
      </c>
    </row>
    <row r="1190" ht="56.25" customHeight="1">
      <c r="A1190" s="5" t="s">
        <v>5515</v>
      </c>
      <c r="B1190" s="6" t="str">
        <f>IMAGE("https://storage.googleapis.com/acdb/housewares/FtrGolfbag_Remake_2_0.png")</f>
        <v/>
      </c>
      <c r="C1190" s="5" t="s">
        <v>69</v>
      </c>
      <c r="D1190" s="5" t="s">
        <v>34</v>
      </c>
      <c r="E1190" s="5" t="s">
        <v>34</v>
      </c>
      <c r="F1190" s="5" t="s">
        <v>34</v>
      </c>
      <c r="G1190" s="5" t="s">
        <v>36</v>
      </c>
      <c r="H1190" s="5" t="s">
        <v>36</v>
      </c>
      <c r="I1190" s="5" t="s">
        <v>36</v>
      </c>
      <c r="J1190" s="6" t="s">
        <v>34</v>
      </c>
      <c r="K1190" s="6">
        <v>54000.0</v>
      </c>
      <c r="L1190" s="6">
        <v>13500.0</v>
      </c>
      <c r="M1190" s="8" t="s">
        <v>69</v>
      </c>
      <c r="N1190" s="8" t="s">
        <v>69</v>
      </c>
      <c r="O1190" s="6" t="s">
        <v>40</v>
      </c>
      <c r="P1190" s="5" t="s">
        <v>59</v>
      </c>
      <c r="Q1190" s="5" t="s">
        <v>115</v>
      </c>
      <c r="R1190" s="6" t="s">
        <v>42</v>
      </c>
      <c r="S1190" s="5" t="s">
        <v>474</v>
      </c>
      <c r="T1190" s="5" t="s">
        <v>44</v>
      </c>
      <c r="U1190" s="5" t="s">
        <v>44</v>
      </c>
      <c r="V1190" s="5" t="s">
        <v>44</v>
      </c>
      <c r="W1190" s="5" t="s">
        <v>36</v>
      </c>
      <c r="X1190" s="8" t="s">
        <v>475</v>
      </c>
      <c r="Y1190" s="5" t="s">
        <v>46</v>
      </c>
      <c r="Z1190" s="5" t="s">
        <v>47</v>
      </c>
      <c r="AA1190" s="5" t="s">
        <v>64</v>
      </c>
      <c r="AB1190" s="5" t="s">
        <v>5529</v>
      </c>
      <c r="AC1190" s="6" t="s">
        <v>67</v>
      </c>
      <c r="AD1190" s="6">
        <v>1632.0</v>
      </c>
    </row>
    <row r="1191" ht="56.25" customHeight="1">
      <c r="A1191" s="5" t="s">
        <v>5515</v>
      </c>
      <c r="B1191" s="6" t="str">
        <f>IMAGE("https://storage.googleapis.com/acdb/housewares/FtrGolfbag_Remake_3_0.png")</f>
        <v/>
      </c>
      <c r="C1191" s="5" t="s">
        <v>5530</v>
      </c>
      <c r="D1191" s="5" t="s">
        <v>34</v>
      </c>
      <c r="E1191" s="5" t="s">
        <v>34</v>
      </c>
      <c r="F1191" s="5" t="s">
        <v>34</v>
      </c>
      <c r="G1191" s="5" t="s">
        <v>36</v>
      </c>
      <c r="H1191" s="5" t="s">
        <v>36</v>
      </c>
      <c r="I1191" s="5" t="s">
        <v>36</v>
      </c>
      <c r="J1191" s="6" t="s">
        <v>34</v>
      </c>
      <c r="K1191" s="6">
        <v>54000.0</v>
      </c>
      <c r="L1191" s="6">
        <v>13500.0</v>
      </c>
      <c r="M1191" s="8" t="s">
        <v>58</v>
      </c>
      <c r="N1191" s="8" t="s">
        <v>58</v>
      </c>
      <c r="O1191" s="6" t="s">
        <v>40</v>
      </c>
      <c r="P1191" s="5" t="s">
        <v>59</v>
      </c>
      <c r="Q1191" s="5" t="s">
        <v>115</v>
      </c>
      <c r="R1191" s="6" t="s">
        <v>42</v>
      </c>
      <c r="S1191" s="5" t="s">
        <v>474</v>
      </c>
      <c r="T1191" s="5" t="s">
        <v>44</v>
      </c>
      <c r="U1191" s="5" t="s">
        <v>44</v>
      </c>
      <c r="V1191" s="5" t="s">
        <v>44</v>
      </c>
      <c r="W1191" s="5" t="s">
        <v>36</v>
      </c>
      <c r="X1191" s="8" t="s">
        <v>475</v>
      </c>
      <c r="Y1191" s="5" t="s">
        <v>46</v>
      </c>
      <c r="Z1191" s="5" t="s">
        <v>47</v>
      </c>
      <c r="AA1191" s="5" t="s">
        <v>64</v>
      </c>
      <c r="AB1191" s="5" t="s">
        <v>5534</v>
      </c>
      <c r="AC1191" s="6" t="s">
        <v>71</v>
      </c>
      <c r="AD1191" s="6">
        <v>1632.0</v>
      </c>
    </row>
    <row r="1192" ht="56.25" customHeight="1">
      <c r="A1192" s="5" t="s">
        <v>5515</v>
      </c>
      <c r="B1192" s="6" t="str">
        <f>IMAGE("https://storage.googleapis.com/acdb/housewares/FtrGolfbag_Remake_4_0.png")</f>
        <v/>
      </c>
      <c r="C1192" s="5" t="s">
        <v>39</v>
      </c>
      <c r="D1192" s="5" t="s">
        <v>34</v>
      </c>
      <c r="E1192" s="5" t="s">
        <v>34</v>
      </c>
      <c r="F1192" s="5" t="s">
        <v>34</v>
      </c>
      <c r="G1192" s="5" t="s">
        <v>36</v>
      </c>
      <c r="H1192" s="5" t="s">
        <v>36</v>
      </c>
      <c r="I1192" s="5" t="s">
        <v>36</v>
      </c>
      <c r="J1192" s="6" t="s">
        <v>34</v>
      </c>
      <c r="K1192" s="6">
        <v>54000.0</v>
      </c>
      <c r="L1192" s="6">
        <v>13500.0</v>
      </c>
      <c r="M1192" s="8" t="s">
        <v>39</v>
      </c>
      <c r="N1192" s="8" t="s">
        <v>39</v>
      </c>
      <c r="O1192" s="6" t="s">
        <v>40</v>
      </c>
      <c r="P1192" s="5" t="s">
        <v>59</v>
      </c>
      <c r="Q1192" s="5" t="s">
        <v>115</v>
      </c>
      <c r="R1192" s="6" t="s">
        <v>42</v>
      </c>
      <c r="S1192" s="5" t="s">
        <v>474</v>
      </c>
      <c r="T1192" s="5" t="s">
        <v>44</v>
      </c>
      <c r="U1192" s="5" t="s">
        <v>44</v>
      </c>
      <c r="V1192" s="5" t="s">
        <v>44</v>
      </c>
      <c r="W1192" s="5" t="s">
        <v>36</v>
      </c>
      <c r="X1192" s="8" t="s">
        <v>475</v>
      </c>
      <c r="Y1192" s="5" t="s">
        <v>46</v>
      </c>
      <c r="Z1192" s="5" t="s">
        <v>47</v>
      </c>
      <c r="AA1192" s="5" t="s">
        <v>64</v>
      </c>
      <c r="AB1192" s="5" t="s">
        <v>5538</v>
      </c>
      <c r="AC1192" s="6" t="s">
        <v>75</v>
      </c>
      <c r="AD1192" s="6">
        <v>1632.0</v>
      </c>
    </row>
    <row r="1193" ht="56.25" customHeight="1">
      <c r="A1193" s="5" t="s">
        <v>5515</v>
      </c>
      <c r="B1193" s="6" t="str">
        <f>IMAGE("https://storage.googleapis.com/acdb/housewares/FtrGolfbag_Remake_5_0.png")</f>
        <v/>
      </c>
      <c r="C1193" s="5" t="s">
        <v>146</v>
      </c>
      <c r="D1193" s="5" t="s">
        <v>34</v>
      </c>
      <c r="E1193" s="5" t="s">
        <v>34</v>
      </c>
      <c r="F1193" s="5" t="s">
        <v>34</v>
      </c>
      <c r="G1193" s="5" t="s">
        <v>36</v>
      </c>
      <c r="H1193" s="5" t="s">
        <v>36</v>
      </c>
      <c r="I1193" s="5" t="s">
        <v>36</v>
      </c>
      <c r="J1193" s="6" t="s">
        <v>34</v>
      </c>
      <c r="K1193" s="6">
        <v>54000.0</v>
      </c>
      <c r="L1193" s="6">
        <v>13500.0</v>
      </c>
      <c r="M1193" s="8" t="s">
        <v>95</v>
      </c>
      <c r="N1193" s="8" t="s">
        <v>95</v>
      </c>
      <c r="O1193" s="6" t="s">
        <v>40</v>
      </c>
      <c r="P1193" s="5" t="s">
        <v>59</v>
      </c>
      <c r="Q1193" s="5" t="s">
        <v>115</v>
      </c>
      <c r="R1193" s="6" t="s">
        <v>42</v>
      </c>
      <c r="S1193" s="5" t="s">
        <v>474</v>
      </c>
      <c r="T1193" s="5" t="s">
        <v>44</v>
      </c>
      <c r="U1193" s="5" t="s">
        <v>44</v>
      </c>
      <c r="V1193" s="5" t="s">
        <v>44</v>
      </c>
      <c r="W1193" s="5" t="s">
        <v>36</v>
      </c>
      <c r="X1193" s="8" t="s">
        <v>475</v>
      </c>
      <c r="Y1193" s="5" t="s">
        <v>46</v>
      </c>
      <c r="Z1193" s="5" t="s">
        <v>47</v>
      </c>
      <c r="AA1193" s="5" t="s">
        <v>64</v>
      </c>
      <c r="AB1193" s="5" t="s">
        <v>5544</v>
      </c>
      <c r="AC1193" s="6" t="s">
        <v>79</v>
      </c>
      <c r="AD1193" s="6">
        <v>1632.0</v>
      </c>
    </row>
    <row r="1194" ht="56.25" customHeight="1">
      <c r="A1194" s="5" t="s">
        <v>5545</v>
      </c>
      <c r="B1194" s="6" t="str">
        <f>IMAGE("https://storage.googleapis.com/acdb/housewares/FtrTamtam_Remake_0_0.png")</f>
        <v/>
      </c>
      <c r="C1194" s="5" t="s">
        <v>39</v>
      </c>
      <c r="D1194" s="5" t="s">
        <v>1327</v>
      </c>
      <c r="E1194" s="5" t="s">
        <v>34</v>
      </c>
      <c r="F1194" s="5" t="s">
        <v>34</v>
      </c>
      <c r="G1194" s="5" t="s">
        <v>35</v>
      </c>
      <c r="H1194" s="5" t="s">
        <v>35</v>
      </c>
      <c r="I1194" s="5" t="s">
        <v>36</v>
      </c>
      <c r="J1194" s="6">
        <v>7.0</v>
      </c>
      <c r="K1194" s="6" t="s">
        <v>37</v>
      </c>
      <c r="L1194" s="6">
        <v>5100.0</v>
      </c>
      <c r="M1194" s="8" t="s">
        <v>39</v>
      </c>
      <c r="N1194" s="8" t="s">
        <v>114</v>
      </c>
      <c r="O1194" s="6" t="s">
        <v>276</v>
      </c>
      <c r="P1194" s="5" t="s">
        <v>41</v>
      </c>
      <c r="Q1194" s="5"/>
      <c r="R1194" s="6" t="s">
        <v>42</v>
      </c>
      <c r="S1194" s="5" t="s">
        <v>266</v>
      </c>
      <c r="T1194" s="5" t="s">
        <v>44</v>
      </c>
      <c r="U1194" s="5" t="s">
        <v>44</v>
      </c>
      <c r="V1194" s="5" t="s">
        <v>44</v>
      </c>
      <c r="W1194" s="5" t="s">
        <v>35</v>
      </c>
      <c r="X1194" s="8" t="s">
        <v>45</v>
      </c>
      <c r="Y1194" s="5" t="s">
        <v>46</v>
      </c>
      <c r="Z1194" s="5" t="s">
        <v>47</v>
      </c>
      <c r="AA1194" s="5" t="s">
        <v>48</v>
      </c>
      <c r="AB1194" s="5" t="s">
        <v>5549</v>
      </c>
      <c r="AC1194" s="6" t="s">
        <v>50</v>
      </c>
      <c r="AD1194" s="6">
        <v>4075.0</v>
      </c>
    </row>
    <row r="1195" ht="56.25" customHeight="1">
      <c r="A1195" s="5" t="s">
        <v>5545</v>
      </c>
      <c r="B1195" s="6" t="str">
        <f>IMAGE("https://storage.googleapis.com/acdb/housewares/FtrTamtam_Remake_1_0.png")</f>
        <v/>
      </c>
      <c r="C1195" s="5" t="s">
        <v>52</v>
      </c>
      <c r="D1195" s="5" t="s">
        <v>1327</v>
      </c>
      <c r="E1195" s="5" t="s">
        <v>34</v>
      </c>
      <c r="F1195" s="5" t="s">
        <v>34</v>
      </c>
      <c r="G1195" s="5" t="s">
        <v>35</v>
      </c>
      <c r="H1195" s="5" t="s">
        <v>35</v>
      </c>
      <c r="I1195" s="5" t="s">
        <v>36</v>
      </c>
      <c r="J1195" s="6">
        <v>7.0</v>
      </c>
      <c r="K1195" s="6" t="s">
        <v>37</v>
      </c>
      <c r="L1195" s="6">
        <v>5100.0</v>
      </c>
      <c r="M1195" s="8" t="s">
        <v>52</v>
      </c>
      <c r="N1195" s="8" t="s">
        <v>114</v>
      </c>
      <c r="O1195" s="6" t="s">
        <v>276</v>
      </c>
      <c r="P1195" s="5" t="s">
        <v>41</v>
      </c>
      <c r="Q1195" s="5"/>
      <c r="R1195" s="6" t="s">
        <v>42</v>
      </c>
      <c r="S1195" s="5" t="s">
        <v>266</v>
      </c>
      <c r="T1195" s="5" t="s">
        <v>44</v>
      </c>
      <c r="U1195" s="5" t="s">
        <v>44</v>
      </c>
      <c r="V1195" s="5" t="s">
        <v>44</v>
      </c>
      <c r="W1195" s="5" t="s">
        <v>35</v>
      </c>
      <c r="X1195" s="8" t="s">
        <v>45</v>
      </c>
      <c r="Y1195" s="5" t="s">
        <v>46</v>
      </c>
      <c r="Z1195" s="5" t="s">
        <v>47</v>
      </c>
      <c r="AA1195" s="5" t="s">
        <v>48</v>
      </c>
      <c r="AB1195" s="5" t="s">
        <v>5552</v>
      </c>
      <c r="AC1195" s="6" t="s">
        <v>56</v>
      </c>
      <c r="AD1195" s="6">
        <v>4075.0</v>
      </c>
    </row>
    <row r="1196" ht="56.25" customHeight="1">
      <c r="A1196" s="5" t="s">
        <v>5553</v>
      </c>
      <c r="B1196" s="6" t="str">
        <f>IMAGE("https://storage.googleapis.com/acdb/housewares/FtrPianoGrand_Remake_0_0.png")</f>
        <v/>
      </c>
      <c r="C1196" s="5" t="s">
        <v>54</v>
      </c>
      <c r="D1196" s="5" t="s">
        <v>34</v>
      </c>
      <c r="E1196" s="5" t="s">
        <v>34</v>
      </c>
      <c r="F1196" s="5" t="s">
        <v>34</v>
      </c>
      <c r="G1196" s="5" t="s">
        <v>36</v>
      </c>
      <c r="H1196" s="5" t="s">
        <v>36</v>
      </c>
      <c r="I1196" s="5" t="s">
        <v>36</v>
      </c>
      <c r="J1196" s="6" t="s">
        <v>34</v>
      </c>
      <c r="K1196" s="6">
        <v>260000.0</v>
      </c>
      <c r="L1196" s="6">
        <v>65000.0</v>
      </c>
      <c r="M1196" s="8" t="s">
        <v>54</v>
      </c>
      <c r="N1196" s="8" t="s">
        <v>57</v>
      </c>
      <c r="O1196" s="6" t="s">
        <v>214</v>
      </c>
      <c r="P1196" s="5" t="s">
        <v>59</v>
      </c>
      <c r="Q1196" s="5" t="s">
        <v>115</v>
      </c>
      <c r="R1196" s="6" t="s">
        <v>42</v>
      </c>
      <c r="S1196" s="5" t="s">
        <v>43</v>
      </c>
      <c r="T1196" s="5" t="s">
        <v>116</v>
      </c>
      <c r="U1196" s="5" t="s">
        <v>44</v>
      </c>
      <c r="V1196" s="5" t="s">
        <v>44</v>
      </c>
      <c r="W1196" s="5" t="s">
        <v>35</v>
      </c>
      <c r="X1196" s="8" t="s">
        <v>45</v>
      </c>
      <c r="Y1196" s="5" t="s">
        <v>46</v>
      </c>
      <c r="Z1196" s="5" t="s">
        <v>47</v>
      </c>
      <c r="AA1196" s="5" t="s">
        <v>64</v>
      </c>
      <c r="AB1196" s="5" t="s">
        <v>5556</v>
      </c>
      <c r="AC1196" s="6" t="s">
        <v>50</v>
      </c>
      <c r="AD1196" s="6">
        <v>1875.0</v>
      </c>
    </row>
    <row r="1197" ht="56.25" customHeight="1">
      <c r="A1197" s="5" t="s">
        <v>5553</v>
      </c>
      <c r="B1197" s="6" t="str">
        <f>IMAGE("https://storage.googleapis.com/acdb/housewares/FtrPianoGrand_Remake_1_0.png")</f>
        <v/>
      </c>
      <c r="C1197" s="5" t="s">
        <v>57</v>
      </c>
      <c r="D1197" s="5" t="s">
        <v>34</v>
      </c>
      <c r="E1197" s="5" t="s">
        <v>34</v>
      </c>
      <c r="F1197" s="5" t="s">
        <v>34</v>
      </c>
      <c r="G1197" s="5" t="s">
        <v>36</v>
      </c>
      <c r="H1197" s="5" t="s">
        <v>36</v>
      </c>
      <c r="I1197" s="5" t="s">
        <v>36</v>
      </c>
      <c r="J1197" s="6" t="s">
        <v>34</v>
      </c>
      <c r="K1197" s="6">
        <v>260000.0</v>
      </c>
      <c r="L1197" s="6">
        <v>65000.0</v>
      </c>
      <c r="M1197" s="8" t="s">
        <v>57</v>
      </c>
      <c r="N1197" s="8" t="s">
        <v>57</v>
      </c>
      <c r="O1197" s="6" t="s">
        <v>214</v>
      </c>
      <c r="P1197" s="5" t="s">
        <v>59</v>
      </c>
      <c r="Q1197" s="5" t="s">
        <v>115</v>
      </c>
      <c r="R1197" s="6" t="s">
        <v>42</v>
      </c>
      <c r="S1197" s="5" t="s">
        <v>43</v>
      </c>
      <c r="T1197" s="5" t="s">
        <v>116</v>
      </c>
      <c r="U1197" s="5" t="s">
        <v>44</v>
      </c>
      <c r="V1197" s="5" t="s">
        <v>44</v>
      </c>
      <c r="W1197" s="5" t="s">
        <v>35</v>
      </c>
      <c r="X1197" s="8" t="s">
        <v>45</v>
      </c>
      <c r="Y1197" s="5" t="s">
        <v>46</v>
      </c>
      <c r="Z1197" s="5" t="s">
        <v>47</v>
      </c>
      <c r="AA1197" s="5" t="s">
        <v>64</v>
      </c>
      <c r="AB1197" s="5" t="s">
        <v>5560</v>
      </c>
      <c r="AC1197" s="6" t="s">
        <v>56</v>
      </c>
      <c r="AD1197" s="6">
        <v>1875.0</v>
      </c>
    </row>
    <row r="1198" ht="56.25" customHeight="1">
      <c r="A1198" s="5" t="s">
        <v>5553</v>
      </c>
      <c r="B1198" s="6" t="str">
        <f>IMAGE("https://storage.googleapis.com/acdb/housewares/FtrPianoGrand_Remake_2_0.png")</f>
        <v/>
      </c>
      <c r="C1198" s="5" t="s">
        <v>1524</v>
      </c>
      <c r="D1198" s="5" t="s">
        <v>34</v>
      </c>
      <c r="E1198" s="5" t="s">
        <v>34</v>
      </c>
      <c r="F1198" s="5" t="s">
        <v>34</v>
      </c>
      <c r="G1198" s="5" t="s">
        <v>36</v>
      </c>
      <c r="H1198" s="5" t="s">
        <v>36</v>
      </c>
      <c r="I1198" s="5" t="s">
        <v>36</v>
      </c>
      <c r="J1198" s="6" t="s">
        <v>34</v>
      </c>
      <c r="K1198" s="6">
        <v>260000.0</v>
      </c>
      <c r="L1198" s="6">
        <v>65000.0</v>
      </c>
      <c r="M1198" s="8" t="s">
        <v>39</v>
      </c>
      <c r="N1198" s="8" t="s">
        <v>57</v>
      </c>
      <c r="O1198" s="6" t="s">
        <v>214</v>
      </c>
      <c r="P1198" s="5" t="s">
        <v>59</v>
      </c>
      <c r="Q1198" s="5" t="s">
        <v>115</v>
      </c>
      <c r="R1198" s="6" t="s">
        <v>42</v>
      </c>
      <c r="S1198" s="5" t="s">
        <v>43</v>
      </c>
      <c r="T1198" s="5" t="s">
        <v>116</v>
      </c>
      <c r="U1198" s="5" t="s">
        <v>44</v>
      </c>
      <c r="V1198" s="5" t="s">
        <v>44</v>
      </c>
      <c r="W1198" s="5" t="s">
        <v>35</v>
      </c>
      <c r="X1198" s="8" t="s">
        <v>45</v>
      </c>
      <c r="Y1198" s="5" t="s">
        <v>46</v>
      </c>
      <c r="Z1198" s="5" t="s">
        <v>47</v>
      </c>
      <c r="AA1198" s="5" t="s">
        <v>64</v>
      </c>
      <c r="AB1198" s="5" t="s">
        <v>5565</v>
      </c>
      <c r="AC1198" s="6" t="s">
        <v>67</v>
      </c>
      <c r="AD1198" s="6">
        <v>1875.0</v>
      </c>
    </row>
    <row r="1199" ht="56.25" customHeight="1">
      <c r="A1199" s="5" t="s">
        <v>5553</v>
      </c>
      <c r="B1199" s="6" t="str">
        <f>IMAGE("https://storage.googleapis.com/acdb/housewares/FtrPianoGrand_Remake_3_0.png")</f>
        <v/>
      </c>
      <c r="C1199" s="5" t="s">
        <v>51</v>
      </c>
      <c r="D1199" s="5" t="s">
        <v>34</v>
      </c>
      <c r="E1199" s="5" t="s">
        <v>34</v>
      </c>
      <c r="F1199" s="5" t="s">
        <v>34</v>
      </c>
      <c r="G1199" s="5" t="s">
        <v>36</v>
      </c>
      <c r="H1199" s="5" t="s">
        <v>36</v>
      </c>
      <c r="I1199" s="5" t="s">
        <v>36</v>
      </c>
      <c r="J1199" s="6" t="s">
        <v>34</v>
      </c>
      <c r="K1199" s="6">
        <v>260000.0</v>
      </c>
      <c r="L1199" s="6">
        <v>65000.0</v>
      </c>
      <c r="M1199" s="8" t="s">
        <v>142</v>
      </c>
      <c r="N1199" s="8" t="s">
        <v>57</v>
      </c>
      <c r="O1199" s="6" t="s">
        <v>214</v>
      </c>
      <c r="P1199" s="5" t="s">
        <v>59</v>
      </c>
      <c r="Q1199" s="5" t="s">
        <v>115</v>
      </c>
      <c r="R1199" s="6" t="s">
        <v>42</v>
      </c>
      <c r="S1199" s="5" t="s">
        <v>43</v>
      </c>
      <c r="T1199" s="5" t="s">
        <v>116</v>
      </c>
      <c r="U1199" s="5" t="s">
        <v>44</v>
      </c>
      <c r="V1199" s="5" t="s">
        <v>44</v>
      </c>
      <c r="W1199" s="5" t="s">
        <v>35</v>
      </c>
      <c r="X1199" s="8" t="s">
        <v>45</v>
      </c>
      <c r="Y1199" s="5" t="s">
        <v>46</v>
      </c>
      <c r="Z1199" s="5" t="s">
        <v>47</v>
      </c>
      <c r="AA1199" s="5" t="s">
        <v>64</v>
      </c>
      <c r="AB1199" s="5" t="s">
        <v>5569</v>
      </c>
      <c r="AC1199" s="6" t="s">
        <v>71</v>
      </c>
      <c r="AD1199" s="6">
        <v>1875.0</v>
      </c>
    </row>
    <row r="1200" ht="56.25" customHeight="1">
      <c r="A1200" s="5" t="s">
        <v>5570</v>
      </c>
      <c r="B1200" s="6" t="str">
        <f>IMAGE("https://storage.googleapis.com/acdb/housewares/FtrHariboteGrass_Remake_0_0.png")</f>
        <v/>
      </c>
      <c r="C1200" s="5" t="s">
        <v>5574</v>
      </c>
      <c r="D1200" s="5" t="s">
        <v>5575</v>
      </c>
      <c r="E1200" s="5" t="s">
        <v>34</v>
      </c>
      <c r="F1200" s="5" t="s">
        <v>34</v>
      </c>
      <c r="G1200" s="5" t="s">
        <v>35</v>
      </c>
      <c r="H1200" s="5" t="s">
        <v>35</v>
      </c>
      <c r="I1200" s="5" t="s">
        <v>36</v>
      </c>
      <c r="J1200" s="6">
        <v>1.0</v>
      </c>
      <c r="K1200" s="6" t="s">
        <v>37</v>
      </c>
      <c r="L1200" s="6">
        <v>480.0</v>
      </c>
      <c r="M1200" s="8" t="s">
        <v>96</v>
      </c>
      <c r="N1200" s="8" t="s">
        <v>96</v>
      </c>
      <c r="O1200" s="6" t="s">
        <v>775</v>
      </c>
      <c r="P1200" s="5" t="s">
        <v>41</v>
      </c>
      <c r="Q1200" s="5"/>
      <c r="R1200" s="6" t="s">
        <v>42</v>
      </c>
      <c r="S1200" s="5" t="s">
        <v>130</v>
      </c>
      <c r="T1200" s="5" t="s">
        <v>44</v>
      </c>
      <c r="U1200" s="5" t="s">
        <v>44</v>
      </c>
      <c r="V1200" s="5" t="s">
        <v>5576</v>
      </c>
      <c r="W1200" s="5" t="s">
        <v>36</v>
      </c>
      <c r="X1200" s="8" t="s">
        <v>1593</v>
      </c>
      <c r="Y1200" s="5" t="s">
        <v>46</v>
      </c>
      <c r="Z1200" s="5" t="s">
        <v>47</v>
      </c>
      <c r="AA1200" s="5" t="s">
        <v>48</v>
      </c>
      <c r="AB1200" s="5" t="s">
        <v>5580</v>
      </c>
      <c r="AC1200" s="6" t="s">
        <v>50</v>
      </c>
      <c r="AD1200" s="6">
        <v>530.0</v>
      </c>
    </row>
    <row r="1201" ht="56.25" customHeight="1">
      <c r="A1201" s="5" t="s">
        <v>5570</v>
      </c>
      <c r="B1201" s="6" t="str">
        <f>IMAGE("https://storage.googleapis.com/acdb/housewares/FtrHariboteGrass_Remake_1_0.png")</f>
        <v/>
      </c>
      <c r="C1201" s="5" t="s">
        <v>5581</v>
      </c>
      <c r="D1201" s="5" t="s">
        <v>5575</v>
      </c>
      <c r="E1201" s="5" t="s">
        <v>34</v>
      </c>
      <c r="F1201" s="5" t="s">
        <v>34</v>
      </c>
      <c r="G1201" s="5" t="s">
        <v>35</v>
      </c>
      <c r="H1201" s="5" t="s">
        <v>35</v>
      </c>
      <c r="I1201" s="5" t="s">
        <v>36</v>
      </c>
      <c r="J1201" s="6">
        <v>1.0</v>
      </c>
      <c r="K1201" s="6" t="s">
        <v>37</v>
      </c>
      <c r="L1201" s="6">
        <v>480.0</v>
      </c>
      <c r="M1201" s="8" t="s">
        <v>96</v>
      </c>
      <c r="N1201" s="8" t="s">
        <v>96</v>
      </c>
      <c r="O1201" s="6" t="s">
        <v>775</v>
      </c>
      <c r="P1201" s="5" t="s">
        <v>41</v>
      </c>
      <c r="Q1201" s="5"/>
      <c r="R1201" s="6" t="s">
        <v>42</v>
      </c>
      <c r="S1201" s="5" t="s">
        <v>130</v>
      </c>
      <c r="T1201" s="5" t="s">
        <v>44</v>
      </c>
      <c r="U1201" s="5" t="s">
        <v>44</v>
      </c>
      <c r="V1201" s="5" t="s">
        <v>5576</v>
      </c>
      <c r="W1201" s="5" t="s">
        <v>36</v>
      </c>
      <c r="X1201" s="8" t="s">
        <v>1593</v>
      </c>
      <c r="Y1201" s="5" t="s">
        <v>46</v>
      </c>
      <c r="Z1201" s="5" t="s">
        <v>47</v>
      </c>
      <c r="AA1201" s="5" t="s">
        <v>48</v>
      </c>
      <c r="AB1201" s="5" t="s">
        <v>5585</v>
      </c>
      <c r="AC1201" s="6" t="s">
        <v>56</v>
      </c>
      <c r="AD1201" s="6">
        <v>530.0</v>
      </c>
    </row>
    <row r="1202" ht="56.25" customHeight="1">
      <c r="A1202" s="5" t="s">
        <v>5570</v>
      </c>
      <c r="B1202" s="6" t="str">
        <f>IMAGE("https://storage.googleapis.com/acdb/housewares/FtrHariboteGrass_Remake_2_0.png")</f>
        <v/>
      </c>
      <c r="C1202" s="5" t="s">
        <v>5587</v>
      </c>
      <c r="D1202" s="5" t="s">
        <v>5575</v>
      </c>
      <c r="E1202" s="5" t="s">
        <v>34</v>
      </c>
      <c r="F1202" s="5" t="s">
        <v>34</v>
      </c>
      <c r="G1202" s="5" t="s">
        <v>35</v>
      </c>
      <c r="H1202" s="5" t="s">
        <v>35</v>
      </c>
      <c r="I1202" s="5" t="s">
        <v>36</v>
      </c>
      <c r="J1202" s="6">
        <v>1.0</v>
      </c>
      <c r="K1202" s="6" t="s">
        <v>37</v>
      </c>
      <c r="L1202" s="6">
        <v>480.0</v>
      </c>
      <c r="M1202" s="8" t="s">
        <v>38</v>
      </c>
      <c r="N1202" s="8" t="s">
        <v>39</v>
      </c>
      <c r="O1202" s="6" t="s">
        <v>775</v>
      </c>
      <c r="P1202" s="5" t="s">
        <v>41</v>
      </c>
      <c r="Q1202" s="5"/>
      <c r="R1202" s="6" t="s">
        <v>42</v>
      </c>
      <c r="S1202" s="5" t="s">
        <v>130</v>
      </c>
      <c r="T1202" s="5" t="s">
        <v>44</v>
      </c>
      <c r="U1202" s="5" t="s">
        <v>44</v>
      </c>
      <c r="V1202" s="5" t="s">
        <v>5576</v>
      </c>
      <c r="W1202" s="5" t="s">
        <v>36</v>
      </c>
      <c r="X1202" s="8" t="s">
        <v>1593</v>
      </c>
      <c r="Y1202" s="5" t="s">
        <v>46</v>
      </c>
      <c r="Z1202" s="5" t="s">
        <v>47</v>
      </c>
      <c r="AA1202" s="5" t="s">
        <v>48</v>
      </c>
      <c r="AB1202" s="5" t="s">
        <v>5590</v>
      </c>
      <c r="AC1202" s="6" t="s">
        <v>67</v>
      </c>
      <c r="AD1202" s="6">
        <v>530.0</v>
      </c>
    </row>
    <row r="1203" ht="56.25" customHeight="1">
      <c r="A1203" s="5" t="s">
        <v>5570</v>
      </c>
      <c r="B1203" s="6" t="str">
        <f>IMAGE("https://storage.googleapis.com/acdb/housewares/FtrHariboteGrass_Remake_3_0.png")</f>
        <v/>
      </c>
      <c r="C1203" s="5" t="s">
        <v>5592</v>
      </c>
      <c r="D1203" s="5" t="s">
        <v>5575</v>
      </c>
      <c r="E1203" s="5" t="s">
        <v>34</v>
      </c>
      <c r="F1203" s="5" t="s">
        <v>34</v>
      </c>
      <c r="G1203" s="5" t="s">
        <v>35</v>
      </c>
      <c r="H1203" s="5" t="s">
        <v>35</v>
      </c>
      <c r="I1203" s="5" t="s">
        <v>36</v>
      </c>
      <c r="J1203" s="6">
        <v>1.0</v>
      </c>
      <c r="K1203" s="6" t="s">
        <v>37</v>
      </c>
      <c r="L1203" s="6">
        <v>480.0</v>
      </c>
      <c r="M1203" s="8" t="s">
        <v>57</v>
      </c>
      <c r="N1203" s="8" t="s">
        <v>95</v>
      </c>
      <c r="O1203" s="6" t="s">
        <v>775</v>
      </c>
      <c r="P1203" s="5" t="s">
        <v>41</v>
      </c>
      <c r="Q1203" s="5"/>
      <c r="R1203" s="6" t="s">
        <v>42</v>
      </c>
      <c r="S1203" s="5" t="s">
        <v>130</v>
      </c>
      <c r="T1203" s="5" t="s">
        <v>44</v>
      </c>
      <c r="U1203" s="5" t="s">
        <v>44</v>
      </c>
      <c r="V1203" s="5" t="s">
        <v>5576</v>
      </c>
      <c r="W1203" s="5" t="s">
        <v>36</v>
      </c>
      <c r="X1203" s="8" t="s">
        <v>1593</v>
      </c>
      <c r="Y1203" s="5" t="s">
        <v>46</v>
      </c>
      <c r="Z1203" s="5" t="s">
        <v>47</v>
      </c>
      <c r="AA1203" s="5" t="s">
        <v>48</v>
      </c>
      <c r="AB1203" s="5" t="s">
        <v>5594</v>
      </c>
      <c r="AC1203" s="6" t="s">
        <v>71</v>
      </c>
      <c r="AD1203" s="6">
        <v>530.0</v>
      </c>
    </row>
    <row r="1204" ht="56.25" customHeight="1">
      <c r="A1204" s="5" t="s">
        <v>5596</v>
      </c>
      <c r="B1204" s="6" t="str">
        <f>IMAGE("https://storage.googleapis.com/acdb/housewares/FtrFallenleavesGreen.png")</f>
        <v/>
      </c>
      <c r="C1204" s="5" t="s">
        <v>34</v>
      </c>
      <c r="D1204" s="5" t="s">
        <v>34</v>
      </c>
      <c r="E1204" s="5" t="s">
        <v>34</v>
      </c>
      <c r="F1204" s="5" t="s">
        <v>34</v>
      </c>
      <c r="G1204" s="5" t="s">
        <v>35</v>
      </c>
      <c r="H1204" s="5" t="s">
        <v>36</v>
      </c>
      <c r="I1204" s="5" t="s">
        <v>36</v>
      </c>
      <c r="J1204" s="6" t="s">
        <v>34</v>
      </c>
      <c r="K1204" s="6" t="s">
        <v>37</v>
      </c>
      <c r="L1204" s="6">
        <v>600.0</v>
      </c>
      <c r="M1204" s="5" t="s">
        <v>96</v>
      </c>
      <c r="N1204" s="5" t="s">
        <v>96</v>
      </c>
      <c r="O1204" s="6" t="s">
        <v>1243</v>
      </c>
      <c r="P1204" s="5" t="s">
        <v>41</v>
      </c>
      <c r="Q1204" s="5" t="s">
        <v>265</v>
      </c>
      <c r="R1204" s="6" t="s">
        <v>42</v>
      </c>
      <c r="S1204" s="5" t="s">
        <v>172</v>
      </c>
      <c r="T1204" s="5" t="s">
        <v>44</v>
      </c>
      <c r="U1204" s="5" t="s">
        <v>44</v>
      </c>
      <c r="V1204" s="5" t="s">
        <v>44</v>
      </c>
      <c r="W1204" s="5" t="s">
        <v>35</v>
      </c>
      <c r="X1204" s="8" t="s">
        <v>244</v>
      </c>
      <c r="Y1204" s="5" t="s">
        <v>46</v>
      </c>
      <c r="Z1204" s="5" t="s">
        <v>47</v>
      </c>
      <c r="AA1204" s="5" t="s">
        <v>48</v>
      </c>
      <c r="AB1204" s="5" t="s">
        <v>5602</v>
      </c>
      <c r="AC1204" s="6" t="s">
        <v>34</v>
      </c>
      <c r="AD1204" s="6">
        <v>4269.0</v>
      </c>
    </row>
    <row r="1205" ht="56.25" customHeight="1">
      <c r="A1205" s="5" t="s">
        <v>5603</v>
      </c>
      <c r="B1205" s="6" t="str">
        <f>IMAGE("https://storage.googleapis.com/acdb/housewares/FtrHammock_Remake_0_0.png")</f>
        <v/>
      </c>
      <c r="C1205" s="5" t="s">
        <v>39</v>
      </c>
      <c r="D1205" s="5" t="s">
        <v>34</v>
      </c>
      <c r="E1205" s="5" t="s">
        <v>58</v>
      </c>
      <c r="F1205" s="5" t="s">
        <v>2793</v>
      </c>
      <c r="G1205" s="5" t="s">
        <v>36</v>
      </c>
      <c r="H1205" s="5" t="s">
        <v>36</v>
      </c>
      <c r="I1205" s="5" t="s">
        <v>35</v>
      </c>
      <c r="J1205" s="6">
        <v>1.0</v>
      </c>
      <c r="K1205" s="6">
        <v>1300.0</v>
      </c>
      <c r="L1205" s="6">
        <v>325.0</v>
      </c>
      <c r="M1205" s="8" t="s">
        <v>39</v>
      </c>
      <c r="N1205" s="8" t="s">
        <v>58</v>
      </c>
      <c r="O1205" s="6" t="s">
        <v>276</v>
      </c>
      <c r="P1205" s="5" t="s">
        <v>59</v>
      </c>
      <c r="Q1205" s="5" t="s">
        <v>554</v>
      </c>
      <c r="R1205" s="6" t="s">
        <v>42</v>
      </c>
      <c r="S1205" s="5" t="s">
        <v>765</v>
      </c>
      <c r="T1205" s="5" t="s">
        <v>44</v>
      </c>
      <c r="U1205" s="5" t="s">
        <v>44</v>
      </c>
      <c r="V1205" s="5" t="s">
        <v>44</v>
      </c>
      <c r="W1205" s="5" t="s">
        <v>35</v>
      </c>
      <c r="X1205" s="8" t="s">
        <v>218</v>
      </c>
      <c r="Y1205" s="5" t="s">
        <v>46</v>
      </c>
      <c r="Z1205" s="5" t="s">
        <v>47</v>
      </c>
      <c r="AA1205" s="5" t="s">
        <v>64</v>
      </c>
      <c r="AB1205" s="5" t="s">
        <v>5606</v>
      </c>
      <c r="AC1205" s="6" t="s">
        <v>50</v>
      </c>
      <c r="AD1205" s="6">
        <v>1620.0</v>
      </c>
    </row>
    <row r="1206" ht="56.25" customHeight="1">
      <c r="A1206" s="5" t="s">
        <v>5603</v>
      </c>
      <c r="B1206" s="6" t="str">
        <f>IMAGE("https://storage.googleapis.com/acdb/housewares/FtrHammock_Remake_0_1.png")</f>
        <v/>
      </c>
      <c r="C1206" s="5" t="s">
        <v>39</v>
      </c>
      <c r="D1206" s="5" t="s">
        <v>34</v>
      </c>
      <c r="E1206" s="5" t="s">
        <v>1499</v>
      </c>
      <c r="F1206" s="5" t="s">
        <v>2793</v>
      </c>
      <c r="G1206" s="5" t="s">
        <v>36</v>
      </c>
      <c r="H1206" s="5" t="s">
        <v>36</v>
      </c>
      <c r="I1206" s="5" t="s">
        <v>35</v>
      </c>
      <c r="J1206" s="6">
        <v>1.0</v>
      </c>
      <c r="K1206" s="6">
        <v>1300.0</v>
      </c>
      <c r="L1206" s="6">
        <v>325.0</v>
      </c>
      <c r="M1206" s="8" t="s">
        <v>39</v>
      </c>
      <c r="N1206" s="8" t="s">
        <v>96</v>
      </c>
      <c r="O1206" s="6" t="s">
        <v>276</v>
      </c>
      <c r="P1206" s="5" t="s">
        <v>59</v>
      </c>
      <c r="Q1206" s="5" t="s">
        <v>554</v>
      </c>
      <c r="R1206" s="6" t="s">
        <v>42</v>
      </c>
      <c r="S1206" s="5" t="s">
        <v>765</v>
      </c>
      <c r="T1206" s="5" t="s">
        <v>44</v>
      </c>
      <c r="U1206" s="5" t="s">
        <v>44</v>
      </c>
      <c r="V1206" s="5" t="s">
        <v>44</v>
      </c>
      <c r="W1206" s="5" t="s">
        <v>35</v>
      </c>
      <c r="X1206" s="8" t="s">
        <v>218</v>
      </c>
      <c r="Y1206" s="5" t="s">
        <v>46</v>
      </c>
      <c r="Z1206" s="5" t="s">
        <v>47</v>
      </c>
      <c r="AA1206" s="5" t="s">
        <v>64</v>
      </c>
      <c r="AB1206" s="5" t="s">
        <v>5610</v>
      </c>
      <c r="AC1206" s="6" t="s">
        <v>217</v>
      </c>
      <c r="AD1206" s="6">
        <v>1620.0</v>
      </c>
    </row>
    <row r="1207" ht="56.25" customHeight="1">
      <c r="A1207" s="5" t="s">
        <v>5603</v>
      </c>
      <c r="B1207" s="6" t="str">
        <f>IMAGE("https://storage.googleapis.com/acdb/housewares/FtrHammock_Remake_0_2.png")</f>
        <v/>
      </c>
      <c r="C1207" s="5" t="s">
        <v>39</v>
      </c>
      <c r="D1207" s="5" t="s">
        <v>34</v>
      </c>
      <c r="E1207" s="5" t="s">
        <v>5613</v>
      </c>
      <c r="F1207" s="5" t="s">
        <v>2793</v>
      </c>
      <c r="G1207" s="5" t="s">
        <v>36</v>
      </c>
      <c r="H1207" s="5" t="s">
        <v>36</v>
      </c>
      <c r="I1207" s="5" t="s">
        <v>35</v>
      </c>
      <c r="J1207" s="6">
        <v>1.0</v>
      </c>
      <c r="K1207" s="6">
        <v>1300.0</v>
      </c>
      <c r="L1207" s="6">
        <v>325.0</v>
      </c>
      <c r="M1207" s="8" t="s">
        <v>39</v>
      </c>
      <c r="N1207" s="8" t="s">
        <v>1175</v>
      </c>
      <c r="O1207" s="6" t="s">
        <v>276</v>
      </c>
      <c r="P1207" s="5" t="s">
        <v>59</v>
      </c>
      <c r="Q1207" s="5" t="s">
        <v>554</v>
      </c>
      <c r="R1207" s="6" t="s">
        <v>42</v>
      </c>
      <c r="S1207" s="5" t="s">
        <v>765</v>
      </c>
      <c r="T1207" s="5" t="s">
        <v>44</v>
      </c>
      <c r="U1207" s="5" t="s">
        <v>44</v>
      </c>
      <c r="V1207" s="5" t="s">
        <v>44</v>
      </c>
      <c r="W1207" s="5" t="s">
        <v>35</v>
      </c>
      <c r="X1207" s="8" t="s">
        <v>218</v>
      </c>
      <c r="Y1207" s="5" t="s">
        <v>46</v>
      </c>
      <c r="Z1207" s="5" t="s">
        <v>47</v>
      </c>
      <c r="AA1207" s="5" t="s">
        <v>64</v>
      </c>
      <c r="AB1207" s="5" t="s">
        <v>5615</v>
      </c>
      <c r="AC1207" s="6" t="s">
        <v>347</v>
      </c>
      <c r="AD1207" s="6">
        <v>1620.0</v>
      </c>
    </row>
    <row r="1208" ht="56.25" customHeight="1">
      <c r="A1208" s="5" t="s">
        <v>5603</v>
      </c>
      <c r="B1208" s="6" t="str">
        <f>IMAGE("https://storage.googleapis.com/acdb/housewares/FtrHammock_Remake_0_3.png")</f>
        <v/>
      </c>
      <c r="C1208" s="5" t="s">
        <v>39</v>
      </c>
      <c r="D1208" s="5" t="s">
        <v>34</v>
      </c>
      <c r="E1208" s="5" t="s">
        <v>57</v>
      </c>
      <c r="F1208" s="5" t="s">
        <v>2793</v>
      </c>
      <c r="G1208" s="5" t="s">
        <v>36</v>
      </c>
      <c r="H1208" s="5" t="s">
        <v>36</v>
      </c>
      <c r="I1208" s="5" t="s">
        <v>35</v>
      </c>
      <c r="J1208" s="6">
        <v>1.0</v>
      </c>
      <c r="K1208" s="6">
        <v>1300.0</v>
      </c>
      <c r="L1208" s="6">
        <v>325.0</v>
      </c>
      <c r="M1208" s="8" t="s">
        <v>39</v>
      </c>
      <c r="N1208" s="8" t="s">
        <v>57</v>
      </c>
      <c r="O1208" s="6" t="s">
        <v>276</v>
      </c>
      <c r="P1208" s="5" t="s">
        <v>59</v>
      </c>
      <c r="Q1208" s="5" t="s">
        <v>554</v>
      </c>
      <c r="R1208" s="6" t="s">
        <v>42</v>
      </c>
      <c r="S1208" s="5" t="s">
        <v>765</v>
      </c>
      <c r="T1208" s="5" t="s">
        <v>44</v>
      </c>
      <c r="U1208" s="5" t="s">
        <v>44</v>
      </c>
      <c r="V1208" s="5" t="s">
        <v>44</v>
      </c>
      <c r="W1208" s="5" t="s">
        <v>35</v>
      </c>
      <c r="X1208" s="8" t="s">
        <v>218</v>
      </c>
      <c r="Y1208" s="5" t="s">
        <v>46</v>
      </c>
      <c r="Z1208" s="5" t="s">
        <v>47</v>
      </c>
      <c r="AA1208" s="5" t="s">
        <v>64</v>
      </c>
      <c r="AB1208" s="5" t="s">
        <v>5619</v>
      </c>
      <c r="AC1208" s="6" t="s">
        <v>354</v>
      </c>
      <c r="AD1208" s="6">
        <v>1620.0</v>
      </c>
    </row>
    <row r="1209" ht="56.25" customHeight="1">
      <c r="A1209" s="5" t="s">
        <v>5603</v>
      </c>
      <c r="B1209" s="6" t="str">
        <f>IMAGE("https://storage.googleapis.com/acdb/housewares/FtrHammock_Remake_1_0.png")</f>
        <v/>
      </c>
      <c r="C1209" s="5" t="s">
        <v>935</v>
      </c>
      <c r="D1209" s="5" t="s">
        <v>34</v>
      </c>
      <c r="E1209" s="5" t="s">
        <v>58</v>
      </c>
      <c r="F1209" s="5" t="s">
        <v>2793</v>
      </c>
      <c r="G1209" s="5" t="s">
        <v>36</v>
      </c>
      <c r="H1209" s="5" t="s">
        <v>36</v>
      </c>
      <c r="I1209" s="5" t="s">
        <v>35</v>
      </c>
      <c r="J1209" s="6">
        <v>1.0</v>
      </c>
      <c r="K1209" s="6">
        <v>1300.0</v>
      </c>
      <c r="L1209" s="6">
        <v>325.0</v>
      </c>
      <c r="M1209" s="8" t="s">
        <v>38</v>
      </c>
      <c r="N1209" s="8" t="s">
        <v>58</v>
      </c>
      <c r="O1209" s="6" t="s">
        <v>276</v>
      </c>
      <c r="P1209" s="5" t="s">
        <v>59</v>
      </c>
      <c r="Q1209" s="5" t="s">
        <v>554</v>
      </c>
      <c r="R1209" s="6" t="s">
        <v>42</v>
      </c>
      <c r="S1209" s="5" t="s">
        <v>765</v>
      </c>
      <c r="T1209" s="5" t="s">
        <v>44</v>
      </c>
      <c r="U1209" s="5" t="s">
        <v>44</v>
      </c>
      <c r="V1209" s="5" t="s">
        <v>44</v>
      </c>
      <c r="W1209" s="5" t="s">
        <v>35</v>
      </c>
      <c r="X1209" s="8" t="s">
        <v>218</v>
      </c>
      <c r="Y1209" s="5" t="s">
        <v>46</v>
      </c>
      <c r="Z1209" s="5" t="s">
        <v>47</v>
      </c>
      <c r="AA1209" s="5" t="s">
        <v>64</v>
      </c>
      <c r="AB1209" s="5" t="s">
        <v>5625</v>
      </c>
      <c r="AC1209" s="6" t="s">
        <v>56</v>
      </c>
      <c r="AD1209" s="6">
        <v>1620.0</v>
      </c>
    </row>
    <row r="1210" ht="56.25" customHeight="1">
      <c r="A1210" s="5" t="s">
        <v>5603</v>
      </c>
      <c r="B1210" s="6" t="str">
        <f>IMAGE("https://storage.googleapis.com/acdb/housewares/FtrHammock_Remake_1_1.png")</f>
        <v/>
      </c>
      <c r="C1210" s="5" t="s">
        <v>935</v>
      </c>
      <c r="D1210" s="5" t="s">
        <v>34</v>
      </c>
      <c r="E1210" s="5" t="s">
        <v>1499</v>
      </c>
      <c r="F1210" s="5" t="s">
        <v>2793</v>
      </c>
      <c r="G1210" s="5" t="s">
        <v>36</v>
      </c>
      <c r="H1210" s="5" t="s">
        <v>36</v>
      </c>
      <c r="I1210" s="5" t="s">
        <v>35</v>
      </c>
      <c r="J1210" s="6">
        <v>1.0</v>
      </c>
      <c r="K1210" s="6">
        <v>1300.0</v>
      </c>
      <c r="L1210" s="6">
        <v>325.0</v>
      </c>
      <c r="M1210" s="8" t="s">
        <v>38</v>
      </c>
      <c r="N1210" s="8" t="s">
        <v>96</v>
      </c>
      <c r="O1210" s="6" t="s">
        <v>276</v>
      </c>
      <c r="P1210" s="5" t="s">
        <v>59</v>
      </c>
      <c r="Q1210" s="5" t="s">
        <v>554</v>
      </c>
      <c r="R1210" s="6" t="s">
        <v>42</v>
      </c>
      <c r="S1210" s="5" t="s">
        <v>765</v>
      </c>
      <c r="T1210" s="5" t="s">
        <v>44</v>
      </c>
      <c r="U1210" s="5" t="s">
        <v>44</v>
      </c>
      <c r="V1210" s="5" t="s">
        <v>44</v>
      </c>
      <c r="W1210" s="5" t="s">
        <v>35</v>
      </c>
      <c r="X1210" s="8" t="s">
        <v>218</v>
      </c>
      <c r="Y1210" s="5" t="s">
        <v>46</v>
      </c>
      <c r="Z1210" s="5" t="s">
        <v>47</v>
      </c>
      <c r="AA1210" s="5" t="s">
        <v>64</v>
      </c>
      <c r="AB1210" s="5" t="s">
        <v>5628</v>
      </c>
      <c r="AC1210" s="6" t="s">
        <v>234</v>
      </c>
      <c r="AD1210" s="6">
        <v>1620.0</v>
      </c>
    </row>
    <row r="1211" ht="56.25" customHeight="1">
      <c r="A1211" s="5" t="s">
        <v>5603</v>
      </c>
      <c r="B1211" s="6" t="str">
        <f>IMAGE("https://storage.googleapis.com/acdb/housewares/FtrHammock_Remake_1_2.png")</f>
        <v/>
      </c>
      <c r="C1211" s="5" t="s">
        <v>935</v>
      </c>
      <c r="D1211" s="5" t="s">
        <v>34</v>
      </c>
      <c r="E1211" s="5" t="s">
        <v>5613</v>
      </c>
      <c r="F1211" s="5" t="s">
        <v>2793</v>
      </c>
      <c r="G1211" s="5" t="s">
        <v>36</v>
      </c>
      <c r="H1211" s="5" t="s">
        <v>36</v>
      </c>
      <c r="I1211" s="5" t="s">
        <v>35</v>
      </c>
      <c r="J1211" s="6">
        <v>1.0</v>
      </c>
      <c r="K1211" s="6">
        <v>1300.0</v>
      </c>
      <c r="L1211" s="6">
        <v>325.0</v>
      </c>
      <c r="M1211" s="8" t="s">
        <v>38</v>
      </c>
      <c r="N1211" s="8" t="s">
        <v>1175</v>
      </c>
      <c r="O1211" s="6" t="s">
        <v>276</v>
      </c>
      <c r="P1211" s="5" t="s">
        <v>59</v>
      </c>
      <c r="Q1211" s="5" t="s">
        <v>554</v>
      </c>
      <c r="R1211" s="6" t="s">
        <v>42</v>
      </c>
      <c r="S1211" s="5" t="s">
        <v>765</v>
      </c>
      <c r="T1211" s="5" t="s">
        <v>44</v>
      </c>
      <c r="U1211" s="5" t="s">
        <v>44</v>
      </c>
      <c r="V1211" s="5" t="s">
        <v>44</v>
      </c>
      <c r="W1211" s="5" t="s">
        <v>35</v>
      </c>
      <c r="X1211" s="8" t="s">
        <v>218</v>
      </c>
      <c r="Y1211" s="5" t="s">
        <v>46</v>
      </c>
      <c r="Z1211" s="5" t="s">
        <v>47</v>
      </c>
      <c r="AA1211" s="5" t="s">
        <v>64</v>
      </c>
      <c r="AB1211" s="5" t="s">
        <v>5633</v>
      </c>
      <c r="AC1211" s="6" t="s">
        <v>370</v>
      </c>
      <c r="AD1211" s="6">
        <v>1620.0</v>
      </c>
    </row>
    <row r="1212" ht="56.25" customHeight="1">
      <c r="A1212" s="5" t="s">
        <v>5603</v>
      </c>
      <c r="B1212" s="6" t="str">
        <f>IMAGE("https://storage.googleapis.com/acdb/housewares/FtrHammock_Remake_1_3.png")</f>
        <v/>
      </c>
      <c r="C1212" s="5" t="s">
        <v>935</v>
      </c>
      <c r="D1212" s="5" t="s">
        <v>34</v>
      </c>
      <c r="E1212" s="5" t="s">
        <v>57</v>
      </c>
      <c r="F1212" s="5" t="s">
        <v>2793</v>
      </c>
      <c r="G1212" s="5" t="s">
        <v>36</v>
      </c>
      <c r="H1212" s="5" t="s">
        <v>36</v>
      </c>
      <c r="I1212" s="5" t="s">
        <v>35</v>
      </c>
      <c r="J1212" s="6">
        <v>1.0</v>
      </c>
      <c r="K1212" s="6">
        <v>1300.0</v>
      </c>
      <c r="L1212" s="6">
        <v>325.0</v>
      </c>
      <c r="M1212" s="8" t="s">
        <v>38</v>
      </c>
      <c r="N1212" s="8" t="s">
        <v>57</v>
      </c>
      <c r="O1212" s="6" t="s">
        <v>276</v>
      </c>
      <c r="P1212" s="5" t="s">
        <v>59</v>
      </c>
      <c r="Q1212" s="5" t="s">
        <v>554</v>
      </c>
      <c r="R1212" s="6" t="s">
        <v>42</v>
      </c>
      <c r="S1212" s="5" t="s">
        <v>765</v>
      </c>
      <c r="T1212" s="5" t="s">
        <v>44</v>
      </c>
      <c r="U1212" s="5" t="s">
        <v>44</v>
      </c>
      <c r="V1212" s="5" t="s">
        <v>44</v>
      </c>
      <c r="W1212" s="5" t="s">
        <v>35</v>
      </c>
      <c r="X1212" s="8" t="s">
        <v>218</v>
      </c>
      <c r="Y1212" s="5" t="s">
        <v>46</v>
      </c>
      <c r="Z1212" s="5" t="s">
        <v>47</v>
      </c>
      <c r="AA1212" s="5" t="s">
        <v>64</v>
      </c>
      <c r="AB1212" s="5" t="s">
        <v>5637</v>
      </c>
      <c r="AC1212" s="6" t="s">
        <v>377</v>
      </c>
      <c r="AD1212" s="6">
        <v>1620.0</v>
      </c>
    </row>
    <row r="1213" ht="56.25" customHeight="1">
      <c r="A1213" s="5" t="s">
        <v>5603</v>
      </c>
      <c r="B1213" s="6" t="str">
        <f>IMAGE("https://storage.googleapis.com/acdb/housewares/FtrHammock_Remake_2_0.png")</f>
        <v/>
      </c>
      <c r="C1213" s="5" t="s">
        <v>114</v>
      </c>
      <c r="D1213" s="5" t="s">
        <v>34</v>
      </c>
      <c r="E1213" s="5" t="s">
        <v>58</v>
      </c>
      <c r="F1213" s="5" t="s">
        <v>2793</v>
      </c>
      <c r="G1213" s="5" t="s">
        <v>36</v>
      </c>
      <c r="H1213" s="5" t="s">
        <v>36</v>
      </c>
      <c r="I1213" s="5" t="s">
        <v>35</v>
      </c>
      <c r="J1213" s="6">
        <v>1.0</v>
      </c>
      <c r="K1213" s="6">
        <v>1300.0</v>
      </c>
      <c r="L1213" s="6">
        <v>325.0</v>
      </c>
      <c r="M1213" s="8" t="s">
        <v>114</v>
      </c>
      <c r="N1213" s="8" t="s">
        <v>58</v>
      </c>
      <c r="O1213" s="6" t="s">
        <v>276</v>
      </c>
      <c r="P1213" s="5" t="s">
        <v>59</v>
      </c>
      <c r="Q1213" s="5" t="s">
        <v>554</v>
      </c>
      <c r="R1213" s="6" t="s">
        <v>42</v>
      </c>
      <c r="S1213" s="5" t="s">
        <v>765</v>
      </c>
      <c r="T1213" s="5" t="s">
        <v>44</v>
      </c>
      <c r="U1213" s="5" t="s">
        <v>44</v>
      </c>
      <c r="V1213" s="5" t="s">
        <v>44</v>
      </c>
      <c r="W1213" s="5" t="s">
        <v>35</v>
      </c>
      <c r="X1213" s="8" t="s">
        <v>218</v>
      </c>
      <c r="Y1213" s="5" t="s">
        <v>46</v>
      </c>
      <c r="Z1213" s="5" t="s">
        <v>47</v>
      </c>
      <c r="AA1213" s="5" t="s">
        <v>64</v>
      </c>
      <c r="AB1213" s="5" t="s">
        <v>5640</v>
      </c>
      <c r="AC1213" s="6" t="s">
        <v>67</v>
      </c>
      <c r="AD1213" s="6">
        <v>1620.0</v>
      </c>
    </row>
    <row r="1214" ht="56.25" customHeight="1">
      <c r="A1214" s="5" t="s">
        <v>5603</v>
      </c>
      <c r="B1214" s="6" t="str">
        <f>IMAGE("https://storage.googleapis.com/acdb/housewares/FtrHammock_Remake_2_1.png")</f>
        <v/>
      </c>
      <c r="C1214" s="5" t="s">
        <v>114</v>
      </c>
      <c r="D1214" s="5" t="s">
        <v>34</v>
      </c>
      <c r="E1214" s="5" t="s">
        <v>1499</v>
      </c>
      <c r="F1214" s="5" t="s">
        <v>2793</v>
      </c>
      <c r="G1214" s="5" t="s">
        <v>36</v>
      </c>
      <c r="H1214" s="5" t="s">
        <v>36</v>
      </c>
      <c r="I1214" s="5" t="s">
        <v>35</v>
      </c>
      <c r="J1214" s="6">
        <v>1.0</v>
      </c>
      <c r="K1214" s="6">
        <v>1300.0</v>
      </c>
      <c r="L1214" s="6">
        <v>325.0</v>
      </c>
      <c r="M1214" s="8" t="s">
        <v>114</v>
      </c>
      <c r="N1214" s="8" t="s">
        <v>96</v>
      </c>
      <c r="O1214" s="6" t="s">
        <v>276</v>
      </c>
      <c r="P1214" s="5" t="s">
        <v>59</v>
      </c>
      <c r="Q1214" s="5" t="s">
        <v>554</v>
      </c>
      <c r="R1214" s="6" t="s">
        <v>42</v>
      </c>
      <c r="S1214" s="5" t="s">
        <v>765</v>
      </c>
      <c r="T1214" s="5" t="s">
        <v>44</v>
      </c>
      <c r="U1214" s="5" t="s">
        <v>44</v>
      </c>
      <c r="V1214" s="5" t="s">
        <v>44</v>
      </c>
      <c r="W1214" s="5" t="s">
        <v>35</v>
      </c>
      <c r="X1214" s="8" t="s">
        <v>218</v>
      </c>
      <c r="Y1214" s="5" t="s">
        <v>46</v>
      </c>
      <c r="Z1214" s="5" t="s">
        <v>47</v>
      </c>
      <c r="AA1214" s="5" t="s">
        <v>64</v>
      </c>
      <c r="AB1214" s="5" t="s">
        <v>5643</v>
      </c>
      <c r="AC1214" s="6" t="s">
        <v>247</v>
      </c>
      <c r="AD1214" s="6">
        <v>1620.0</v>
      </c>
    </row>
    <row r="1215" ht="56.25" customHeight="1">
      <c r="A1215" s="5" t="s">
        <v>5603</v>
      </c>
      <c r="B1215" s="6" t="str">
        <f>IMAGE("https://storage.googleapis.com/acdb/housewares/FtrHammock_Remake_2_2.png")</f>
        <v/>
      </c>
      <c r="C1215" s="5" t="s">
        <v>114</v>
      </c>
      <c r="D1215" s="5" t="s">
        <v>34</v>
      </c>
      <c r="E1215" s="5" t="s">
        <v>5613</v>
      </c>
      <c r="F1215" s="5" t="s">
        <v>2793</v>
      </c>
      <c r="G1215" s="5" t="s">
        <v>36</v>
      </c>
      <c r="H1215" s="5" t="s">
        <v>36</v>
      </c>
      <c r="I1215" s="5" t="s">
        <v>35</v>
      </c>
      <c r="J1215" s="6">
        <v>1.0</v>
      </c>
      <c r="K1215" s="6">
        <v>1300.0</v>
      </c>
      <c r="L1215" s="6">
        <v>325.0</v>
      </c>
      <c r="M1215" s="8" t="s">
        <v>114</v>
      </c>
      <c r="N1215" s="8" t="s">
        <v>1175</v>
      </c>
      <c r="O1215" s="6" t="s">
        <v>276</v>
      </c>
      <c r="P1215" s="5" t="s">
        <v>59</v>
      </c>
      <c r="Q1215" s="5" t="s">
        <v>554</v>
      </c>
      <c r="R1215" s="6" t="s">
        <v>42</v>
      </c>
      <c r="S1215" s="5" t="s">
        <v>765</v>
      </c>
      <c r="T1215" s="5" t="s">
        <v>44</v>
      </c>
      <c r="U1215" s="5" t="s">
        <v>44</v>
      </c>
      <c r="V1215" s="5" t="s">
        <v>44</v>
      </c>
      <c r="W1215" s="5" t="s">
        <v>35</v>
      </c>
      <c r="X1215" s="8" t="s">
        <v>218</v>
      </c>
      <c r="Y1215" s="5" t="s">
        <v>46</v>
      </c>
      <c r="Z1215" s="5" t="s">
        <v>47</v>
      </c>
      <c r="AA1215" s="5" t="s">
        <v>64</v>
      </c>
      <c r="AB1215" s="5" t="s">
        <v>5646</v>
      </c>
      <c r="AC1215" s="6" t="s">
        <v>390</v>
      </c>
      <c r="AD1215" s="6">
        <v>1620.0</v>
      </c>
    </row>
    <row r="1216" ht="56.25" customHeight="1">
      <c r="A1216" s="5" t="s">
        <v>5603</v>
      </c>
      <c r="B1216" s="6" t="str">
        <f>IMAGE("https://storage.googleapis.com/acdb/housewares/FtrHammock_Remake_2_3.png")</f>
        <v/>
      </c>
      <c r="C1216" s="5" t="s">
        <v>114</v>
      </c>
      <c r="D1216" s="5" t="s">
        <v>34</v>
      </c>
      <c r="E1216" s="5" t="s">
        <v>57</v>
      </c>
      <c r="F1216" s="5" t="s">
        <v>2793</v>
      </c>
      <c r="G1216" s="5" t="s">
        <v>36</v>
      </c>
      <c r="H1216" s="5" t="s">
        <v>36</v>
      </c>
      <c r="I1216" s="5" t="s">
        <v>35</v>
      </c>
      <c r="J1216" s="6">
        <v>1.0</v>
      </c>
      <c r="K1216" s="6">
        <v>1300.0</v>
      </c>
      <c r="L1216" s="6">
        <v>325.0</v>
      </c>
      <c r="M1216" s="8" t="s">
        <v>114</v>
      </c>
      <c r="N1216" s="8" t="s">
        <v>57</v>
      </c>
      <c r="O1216" s="6" t="s">
        <v>276</v>
      </c>
      <c r="P1216" s="5" t="s">
        <v>59</v>
      </c>
      <c r="Q1216" s="5" t="s">
        <v>554</v>
      </c>
      <c r="R1216" s="6" t="s">
        <v>42</v>
      </c>
      <c r="S1216" s="5" t="s">
        <v>765</v>
      </c>
      <c r="T1216" s="5" t="s">
        <v>44</v>
      </c>
      <c r="U1216" s="5" t="s">
        <v>44</v>
      </c>
      <c r="V1216" s="5" t="s">
        <v>44</v>
      </c>
      <c r="W1216" s="5" t="s">
        <v>35</v>
      </c>
      <c r="X1216" s="8" t="s">
        <v>218</v>
      </c>
      <c r="Y1216" s="5" t="s">
        <v>46</v>
      </c>
      <c r="Z1216" s="5" t="s">
        <v>47</v>
      </c>
      <c r="AA1216" s="5" t="s">
        <v>64</v>
      </c>
      <c r="AB1216" s="5" t="s">
        <v>5650</v>
      </c>
      <c r="AC1216" s="6" t="s">
        <v>396</v>
      </c>
      <c r="AD1216" s="6">
        <v>1620.0</v>
      </c>
    </row>
    <row r="1217" ht="56.25" customHeight="1">
      <c r="A1217" s="5" t="s">
        <v>5603</v>
      </c>
      <c r="B1217" s="6" t="str">
        <f>IMAGE("https://storage.googleapis.com/acdb/housewares/FtrHammock_Remake_3_0.png")</f>
        <v/>
      </c>
      <c r="C1217" s="5" t="s">
        <v>68</v>
      </c>
      <c r="D1217" s="5" t="s">
        <v>34</v>
      </c>
      <c r="E1217" s="5" t="s">
        <v>58</v>
      </c>
      <c r="F1217" s="5" t="s">
        <v>2793</v>
      </c>
      <c r="G1217" s="5" t="s">
        <v>36</v>
      </c>
      <c r="H1217" s="5" t="s">
        <v>36</v>
      </c>
      <c r="I1217" s="5" t="s">
        <v>35</v>
      </c>
      <c r="J1217" s="6">
        <v>1.0</v>
      </c>
      <c r="K1217" s="6">
        <v>1300.0</v>
      </c>
      <c r="L1217" s="6">
        <v>325.0</v>
      </c>
      <c r="M1217" s="5" t="s">
        <v>68</v>
      </c>
      <c r="N1217" s="8" t="s">
        <v>58</v>
      </c>
      <c r="O1217" s="6" t="s">
        <v>276</v>
      </c>
      <c r="P1217" s="5" t="s">
        <v>59</v>
      </c>
      <c r="Q1217" s="5" t="s">
        <v>554</v>
      </c>
      <c r="R1217" s="6" t="s">
        <v>42</v>
      </c>
      <c r="S1217" s="5" t="s">
        <v>765</v>
      </c>
      <c r="T1217" s="5" t="s">
        <v>44</v>
      </c>
      <c r="U1217" s="5" t="s">
        <v>44</v>
      </c>
      <c r="V1217" s="5" t="s">
        <v>44</v>
      </c>
      <c r="W1217" s="5" t="s">
        <v>35</v>
      </c>
      <c r="X1217" s="8" t="s">
        <v>218</v>
      </c>
      <c r="Y1217" s="5" t="s">
        <v>46</v>
      </c>
      <c r="Z1217" s="5" t="s">
        <v>47</v>
      </c>
      <c r="AA1217" s="5" t="s">
        <v>64</v>
      </c>
      <c r="AB1217" s="5" t="s">
        <v>5654</v>
      </c>
      <c r="AC1217" s="6" t="s">
        <v>71</v>
      </c>
      <c r="AD1217" s="6">
        <v>1620.0</v>
      </c>
    </row>
    <row r="1218" ht="56.25" customHeight="1">
      <c r="A1218" s="5" t="s">
        <v>5603</v>
      </c>
      <c r="B1218" s="6" t="str">
        <f>IMAGE("https://storage.googleapis.com/acdb/housewares/FtrHammock_Remake_3_1.png")</f>
        <v/>
      </c>
      <c r="C1218" s="5" t="s">
        <v>68</v>
      </c>
      <c r="D1218" s="5" t="s">
        <v>34</v>
      </c>
      <c r="E1218" s="5" t="s">
        <v>1499</v>
      </c>
      <c r="F1218" s="5" t="s">
        <v>2793</v>
      </c>
      <c r="G1218" s="5" t="s">
        <v>36</v>
      </c>
      <c r="H1218" s="5" t="s">
        <v>36</v>
      </c>
      <c r="I1218" s="5" t="s">
        <v>35</v>
      </c>
      <c r="J1218" s="6">
        <v>1.0</v>
      </c>
      <c r="K1218" s="6">
        <v>1300.0</v>
      </c>
      <c r="L1218" s="6">
        <v>325.0</v>
      </c>
      <c r="M1218" s="5" t="s">
        <v>68</v>
      </c>
      <c r="N1218" s="8" t="s">
        <v>96</v>
      </c>
      <c r="O1218" s="6" t="s">
        <v>276</v>
      </c>
      <c r="P1218" s="5" t="s">
        <v>59</v>
      </c>
      <c r="Q1218" s="5" t="s">
        <v>554</v>
      </c>
      <c r="R1218" s="6" t="s">
        <v>42</v>
      </c>
      <c r="S1218" s="5" t="s">
        <v>765</v>
      </c>
      <c r="T1218" s="5" t="s">
        <v>44</v>
      </c>
      <c r="U1218" s="5" t="s">
        <v>44</v>
      </c>
      <c r="V1218" s="5" t="s">
        <v>44</v>
      </c>
      <c r="W1218" s="5" t="s">
        <v>35</v>
      </c>
      <c r="X1218" s="8" t="s">
        <v>218</v>
      </c>
      <c r="Y1218" s="5" t="s">
        <v>46</v>
      </c>
      <c r="Z1218" s="5" t="s">
        <v>47</v>
      </c>
      <c r="AA1218" s="5" t="s">
        <v>64</v>
      </c>
      <c r="AB1218" s="5" t="s">
        <v>5657</v>
      </c>
      <c r="AC1218" s="6" t="s">
        <v>257</v>
      </c>
      <c r="AD1218" s="6">
        <v>1620.0</v>
      </c>
    </row>
    <row r="1219" ht="56.25" customHeight="1">
      <c r="A1219" s="5" t="s">
        <v>5603</v>
      </c>
      <c r="B1219" s="6" t="str">
        <f>IMAGE("https://storage.googleapis.com/acdb/housewares/FtrHammock_Remake_3_2.png")</f>
        <v/>
      </c>
      <c r="C1219" s="5" t="s">
        <v>68</v>
      </c>
      <c r="D1219" s="5" t="s">
        <v>34</v>
      </c>
      <c r="E1219" s="5" t="s">
        <v>5613</v>
      </c>
      <c r="F1219" s="5" t="s">
        <v>2793</v>
      </c>
      <c r="G1219" s="5" t="s">
        <v>36</v>
      </c>
      <c r="H1219" s="5" t="s">
        <v>36</v>
      </c>
      <c r="I1219" s="5" t="s">
        <v>35</v>
      </c>
      <c r="J1219" s="6">
        <v>1.0</v>
      </c>
      <c r="K1219" s="6">
        <v>1300.0</v>
      </c>
      <c r="L1219" s="6">
        <v>325.0</v>
      </c>
      <c r="M1219" s="5" t="s">
        <v>68</v>
      </c>
      <c r="N1219" s="8" t="s">
        <v>1175</v>
      </c>
      <c r="O1219" s="6" t="s">
        <v>276</v>
      </c>
      <c r="P1219" s="5" t="s">
        <v>59</v>
      </c>
      <c r="Q1219" s="5" t="s">
        <v>554</v>
      </c>
      <c r="R1219" s="6" t="s">
        <v>42</v>
      </c>
      <c r="S1219" s="5" t="s">
        <v>765</v>
      </c>
      <c r="T1219" s="5" t="s">
        <v>44</v>
      </c>
      <c r="U1219" s="5" t="s">
        <v>44</v>
      </c>
      <c r="V1219" s="5" t="s">
        <v>44</v>
      </c>
      <c r="W1219" s="5" t="s">
        <v>35</v>
      </c>
      <c r="X1219" s="8" t="s">
        <v>218</v>
      </c>
      <c r="Y1219" s="5" t="s">
        <v>46</v>
      </c>
      <c r="Z1219" s="5" t="s">
        <v>47</v>
      </c>
      <c r="AA1219" s="5" t="s">
        <v>64</v>
      </c>
      <c r="AB1219" s="5" t="s">
        <v>5660</v>
      </c>
      <c r="AC1219" s="6" t="s">
        <v>414</v>
      </c>
      <c r="AD1219" s="6">
        <v>1620.0</v>
      </c>
    </row>
    <row r="1220" ht="56.25" customHeight="1">
      <c r="A1220" s="5" t="s">
        <v>5603</v>
      </c>
      <c r="B1220" s="6" t="str">
        <f>IMAGE("https://storage.googleapis.com/acdb/housewares/FtrHammock_Remake_3_3.png")</f>
        <v/>
      </c>
      <c r="C1220" s="5" t="s">
        <v>68</v>
      </c>
      <c r="D1220" s="5" t="s">
        <v>34</v>
      </c>
      <c r="E1220" s="5" t="s">
        <v>57</v>
      </c>
      <c r="F1220" s="5" t="s">
        <v>2793</v>
      </c>
      <c r="G1220" s="5" t="s">
        <v>36</v>
      </c>
      <c r="H1220" s="5" t="s">
        <v>36</v>
      </c>
      <c r="I1220" s="5" t="s">
        <v>35</v>
      </c>
      <c r="J1220" s="6">
        <v>1.0</v>
      </c>
      <c r="K1220" s="6">
        <v>1300.0</v>
      </c>
      <c r="L1220" s="6">
        <v>325.0</v>
      </c>
      <c r="M1220" s="5" t="s">
        <v>68</v>
      </c>
      <c r="N1220" s="8" t="s">
        <v>57</v>
      </c>
      <c r="O1220" s="6" t="s">
        <v>276</v>
      </c>
      <c r="P1220" s="5" t="s">
        <v>59</v>
      </c>
      <c r="Q1220" s="5" t="s">
        <v>554</v>
      </c>
      <c r="R1220" s="6" t="s">
        <v>42</v>
      </c>
      <c r="S1220" s="5" t="s">
        <v>765</v>
      </c>
      <c r="T1220" s="5" t="s">
        <v>44</v>
      </c>
      <c r="U1220" s="5" t="s">
        <v>44</v>
      </c>
      <c r="V1220" s="5" t="s">
        <v>44</v>
      </c>
      <c r="W1220" s="5" t="s">
        <v>35</v>
      </c>
      <c r="X1220" s="8" t="s">
        <v>218</v>
      </c>
      <c r="Y1220" s="5" t="s">
        <v>46</v>
      </c>
      <c r="Z1220" s="5" t="s">
        <v>47</v>
      </c>
      <c r="AA1220" s="5" t="s">
        <v>64</v>
      </c>
      <c r="AB1220" s="5" t="s">
        <v>5663</v>
      </c>
      <c r="AC1220" s="6" t="s">
        <v>418</v>
      </c>
      <c r="AD1220" s="6">
        <v>1620.0</v>
      </c>
    </row>
    <row r="1221" ht="56.25" customHeight="1">
      <c r="A1221" s="5" t="s">
        <v>5603</v>
      </c>
      <c r="B1221" s="6" t="str">
        <f>IMAGE("https://storage.googleapis.com/acdb/housewares/FtrHammock_Remake_4_0.png")</f>
        <v/>
      </c>
      <c r="C1221" s="5" t="s">
        <v>69</v>
      </c>
      <c r="D1221" s="5" t="s">
        <v>34</v>
      </c>
      <c r="E1221" s="5" t="s">
        <v>58</v>
      </c>
      <c r="F1221" s="5" t="s">
        <v>2793</v>
      </c>
      <c r="G1221" s="5" t="s">
        <v>36</v>
      </c>
      <c r="H1221" s="5" t="s">
        <v>36</v>
      </c>
      <c r="I1221" s="5" t="s">
        <v>35</v>
      </c>
      <c r="J1221" s="6">
        <v>1.0</v>
      </c>
      <c r="K1221" s="6">
        <v>1300.0</v>
      </c>
      <c r="L1221" s="6">
        <v>325.0</v>
      </c>
      <c r="M1221" s="5" t="s">
        <v>69</v>
      </c>
      <c r="N1221" s="8" t="s">
        <v>58</v>
      </c>
      <c r="O1221" s="6" t="s">
        <v>276</v>
      </c>
      <c r="P1221" s="5" t="s">
        <v>59</v>
      </c>
      <c r="Q1221" s="5" t="s">
        <v>554</v>
      </c>
      <c r="R1221" s="6" t="s">
        <v>42</v>
      </c>
      <c r="S1221" s="5" t="s">
        <v>765</v>
      </c>
      <c r="T1221" s="5" t="s">
        <v>44</v>
      </c>
      <c r="U1221" s="5" t="s">
        <v>44</v>
      </c>
      <c r="V1221" s="5" t="s">
        <v>44</v>
      </c>
      <c r="W1221" s="5" t="s">
        <v>35</v>
      </c>
      <c r="X1221" s="8" t="s">
        <v>218</v>
      </c>
      <c r="Y1221" s="5" t="s">
        <v>46</v>
      </c>
      <c r="Z1221" s="5" t="s">
        <v>47</v>
      </c>
      <c r="AA1221" s="5" t="s">
        <v>64</v>
      </c>
      <c r="AB1221" s="5" t="s">
        <v>5666</v>
      </c>
      <c r="AC1221" s="6" t="s">
        <v>75</v>
      </c>
      <c r="AD1221" s="6">
        <v>1620.0</v>
      </c>
    </row>
    <row r="1222" ht="56.25" customHeight="1">
      <c r="A1222" s="5" t="s">
        <v>5603</v>
      </c>
      <c r="B1222" s="6" t="str">
        <f>IMAGE("https://storage.googleapis.com/acdb/housewares/FtrHammock_Remake_4_1.png")</f>
        <v/>
      </c>
      <c r="C1222" s="5" t="s">
        <v>69</v>
      </c>
      <c r="D1222" s="5" t="s">
        <v>34</v>
      </c>
      <c r="E1222" s="5" t="s">
        <v>1499</v>
      </c>
      <c r="F1222" s="5" t="s">
        <v>2793</v>
      </c>
      <c r="G1222" s="5" t="s">
        <v>36</v>
      </c>
      <c r="H1222" s="5" t="s">
        <v>36</v>
      </c>
      <c r="I1222" s="5" t="s">
        <v>35</v>
      </c>
      <c r="J1222" s="6">
        <v>1.0</v>
      </c>
      <c r="K1222" s="6">
        <v>1300.0</v>
      </c>
      <c r="L1222" s="6">
        <v>325.0</v>
      </c>
      <c r="M1222" s="5" t="s">
        <v>69</v>
      </c>
      <c r="N1222" s="8" t="s">
        <v>96</v>
      </c>
      <c r="O1222" s="6" t="s">
        <v>276</v>
      </c>
      <c r="P1222" s="5" t="s">
        <v>59</v>
      </c>
      <c r="Q1222" s="5" t="s">
        <v>554</v>
      </c>
      <c r="R1222" s="6" t="s">
        <v>42</v>
      </c>
      <c r="S1222" s="5" t="s">
        <v>765</v>
      </c>
      <c r="T1222" s="5" t="s">
        <v>44</v>
      </c>
      <c r="U1222" s="5" t="s">
        <v>44</v>
      </c>
      <c r="V1222" s="5" t="s">
        <v>44</v>
      </c>
      <c r="W1222" s="5" t="s">
        <v>35</v>
      </c>
      <c r="X1222" s="8" t="s">
        <v>218</v>
      </c>
      <c r="Y1222" s="5" t="s">
        <v>46</v>
      </c>
      <c r="Z1222" s="5" t="s">
        <v>47</v>
      </c>
      <c r="AA1222" s="5" t="s">
        <v>64</v>
      </c>
      <c r="AB1222" s="5" t="s">
        <v>5667</v>
      </c>
      <c r="AC1222" s="6" t="s">
        <v>429</v>
      </c>
      <c r="AD1222" s="6">
        <v>1620.0</v>
      </c>
    </row>
    <row r="1223" ht="56.25" customHeight="1">
      <c r="A1223" s="5" t="s">
        <v>5603</v>
      </c>
      <c r="B1223" s="6" t="str">
        <f>IMAGE("https://storage.googleapis.com/acdb/housewares/FtrHammock_Remake_4_2.png")</f>
        <v/>
      </c>
      <c r="C1223" s="5" t="s">
        <v>69</v>
      </c>
      <c r="D1223" s="5" t="s">
        <v>34</v>
      </c>
      <c r="E1223" s="5" t="s">
        <v>5613</v>
      </c>
      <c r="F1223" s="5" t="s">
        <v>2793</v>
      </c>
      <c r="G1223" s="5" t="s">
        <v>36</v>
      </c>
      <c r="H1223" s="5" t="s">
        <v>36</v>
      </c>
      <c r="I1223" s="5" t="s">
        <v>35</v>
      </c>
      <c r="J1223" s="6">
        <v>1.0</v>
      </c>
      <c r="K1223" s="6">
        <v>1300.0</v>
      </c>
      <c r="L1223" s="6">
        <v>325.0</v>
      </c>
      <c r="M1223" s="5" t="s">
        <v>69</v>
      </c>
      <c r="N1223" s="8" t="s">
        <v>1175</v>
      </c>
      <c r="O1223" s="6" t="s">
        <v>276</v>
      </c>
      <c r="P1223" s="5" t="s">
        <v>59</v>
      </c>
      <c r="Q1223" s="5" t="s">
        <v>554</v>
      </c>
      <c r="R1223" s="6" t="s">
        <v>42</v>
      </c>
      <c r="S1223" s="5" t="s">
        <v>765</v>
      </c>
      <c r="T1223" s="5" t="s">
        <v>44</v>
      </c>
      <c r="U1223" s="5" t="s">
        <v>44</v>
      </c>
      <c r="V1223" s="5" t="s">
        <v>44</v>
      </c>
      <c r="W1223" s="5" t="s">
        <v>35</v>
      </c>
      <c r="X1223" s="8" t="s">
        <v>218</v>
      </c>
      <c r="Y1223" s="5" t="s">
        <v>46</v>
      </c>
      <c r="Z1223" s="5" t="s">
        <v>47</v>
      </c>
      <c r="AA1223" s="5" t="s">
        <v>64</v>
      </c>
      <c r="AB1223" s="5" t="s">
        <v>5670</v>
      </c>
      <c r="AC1223" s="6" t="s">
        <v>434</v>
      </c>
      <c r="AD1223" s="6">
        <v>1620.0</v>
      </c>
    </row>
    <row r="1224" ht="56.25" customHeight="1">
      <c r="A1224" s="5" t="s">
        <v>5603</v>
      </c>
      <c r="B1224" s="6" t="str">
        <f>IMAGE("https://storage.googleapis.com/acdb/housewares/FtrHammock_Remake_4_3.png")</f>
        <v/>
      </c>
      <c r="C1224" s="5" t="s">
        <v>69</v>
      </c>
      <c r="D1224" s="5" t="s">
        <v>34</v>
      </c>
      <c r="E1224" s="5" t="s">
        <v>57</v>
      </c>
      <c r="F1224" s="5" t="s">
        <v>2793</v>
      </c>
      <c r="G1224" s="5" t="s">
        <v>36</v>
      </c>
      <c r="H1224" s="5" t="s">
        <v>36</v>
      </c>
      <c r="I1224" s="5" t="s">
        <v>35</v>
      </c>
      <c r="J1224" s="6">
        <v>1.0</v>
      </c>
      <c r="K1224" s="6">
        <v>1300.0</v>
      </c>
      <c r="L1224" s="6">
        <v>325.0</v>
      </c>
      <c r="M1224" s="5" t="s">
        <v>69</v>
      </c>
      <c r="N1224" s="8" t="s">
        <v>57</v>
      </c>
      <c r="O1224" s="6" t="s">
        <v>276</v>
      </c>
      <c r="P1224" s="5" t="s">
        <v>59</v>
      </c>
      <c r="Q1224" s="5" t="s">
        <v>554</v>
      </c>
      <c r="R1224" s="6" t="s">
        <v>42</v>
      </c>
      <c r="S1224" s="5" t="s">
        <v>765</v>
      </c>
      <c r="T1224" s="5" t="s">
        <v>44</v>
      </c>
      <c r="U1224" s="5" t="s">
        <v>44</v>
      </c>
      <c r="V1224" s="5" t="s">
        <v>44</v>
      </c>
      <c r="W1224" s="5" t="s">
        <v>35</v>
      </c>
      <c r="X1224" s="8" t="s">
        <v>218</v>
      </c>
      <c r="Y1224" s="5" t="s">
        <v>46</v>
      </c>
      <c r="Z1224" s="5" t="s">
        <v>47</v>
      </c>
      <c r="AA1224" s="5" t="s">
        <v>64</v>
      </c>
      <c r="AB1224" s="5" t="s">
        <v>5673</v>
      </c>
      <c r="AC1224" s="6" t="s">
        <v>438</v>
      </c>
      <c r="AD1224" s="6">
        <v>1620.0</v>
      </c>
    </row>
    <row r="1225" ht="56.25" customHeight="1">
      <c r="A1225" s="5" t="s">
        <v>5603</v>
      </c>
      <c r="B1225" s="6" t="str">
        <f>IMAGE("https://storage.googleapis.com/acdb/housewares/FtrHammock_Remake_5_0.png")</f>
        <v/>
      </c>
      <c r="C1225" s="5" t="s">
        <v>57</v>
      </c>
      <c r="D1225" s="5" t="s">
        <v>34</v>
      </c>
      <c r="E1225" s="5" t="s">
        <v>58</v>
      </c>
      <c r="F1225" s="5" t="s">
        <v>2793</v>
      </c>
      <c r="G1225" s="5" t="s">
        <v>36</v>
      </c>
      <c r="H1225" s="5" t="s">
        <v>36</v>
      </c>
      <c r="I1225" s="5" t="s">
        <v>35</v>
      </c>
      <c r="J1225" s="6">
        <v>1.0</v>
      </c>
      <c r="K1225" s="6">
        <v>1300.0</v>
      </c>
      <c r="L1225" s="6">
        <v>325.0</v>
      </c>
      <c r="M1225" s="5" t="s">
        <v>57</v>
      </c>
      <c r="N1225" s="8" t="s">
        <v>58</v>
      </c>
      <c r="O1225" s="6" t="s">
        <v>276</v>
      </c>
      <c r="P1225" s="5" t="s">
        <v>59</v>
      </c>
      <c r="Q1225" s="5" t="s">
        <v>554</v>
      </c>
      <c r="R1225" s="6" t="s">
        <v>42</v>
      </c>
      <c r="S1225" s="5" t="s">
        <v>765</v>
      </c>
      <c r="T1225" s="5" t="s">
        <v>44</v>
      </c>
      <c r="U1225" s="5" t="s">
        <v>44</v>
      </c>
      <c r="V1225" s="5" t="s">
        <v>44</v>
      </c>
      <c r="W1225" s="5" t="s">
        <v>35</v>
      </c>
      <c r="X1225" s="8" t="s">
        <v>218</v>
      </c>
      <c r="Y1225" s="5" t="s">
        <v>46</v>
      </c>
      <c r="Z1225" s="5" t="s">
        <v>47</v>
      </c>
      <c r="AA1225" s="5" t="s">
        <v>64</v>
      </c>
      <c r="AB1225" s="5" t="s">
        <v>5676</v>
      </c>
      <c r="AC1225" s="6" t="s">
        <v>79</v>
      </c>
      <c r="AD1225" s="6">
        <v>1620.0</v>
      </c>
    </row>
    <row r="1226" ht="56.25" customHeight="1">
      <c r="A1226" s="5" t="s">
        <v>5603</v>
      </c>
      <c r="B1226" s="6" t="str">
        <f>IMAGE("https://storage.googleapis.com/acdb/housewares/FtrHammock_Remake_5_1.png")</f>
        <v/>
      </c>
      <c r="C1226" s="5" t="s">
        <v>57</v>
      </c>
      <c r="D1226" s="5" t="s">
        <v>34</v>
      </c>
      <c r="E1226" s="5" t="s">
        <v>1499</v>
      </c>
      <c r="F1226" s="5" t="s">
        <v>2793</v>
      </c>
      <c r="G1226" s="5" t="s">
        <v>36</v>
      </c>
      <c r="H1226" s="5" t="s">
        <v>36</v>
      </c>
      <c r="I1226" s="5" t="s">
        <v>35</v>
      </c>
      <c r="J1226" s="6">
        <v>1.0</v>
      </c>
      <c r="K1226" s="6">
        <v>1300.0</v>
      </c>
      <c r="L1226" s="6">
        <v>325.0</v>
      </c>
      <c r="M1226" s="5" t="s">
        <v>57</v>
      </c>
      <c r="N1226" s="8" t="s">
        <v>96</v>
      </c>
      <c r="O1226" s="6" t="s">
        <v>276</v>
      </c>
      <c r="P1226" s="5" t="s">
        <v>59</v>
      </c>
      <c r="Q1226" s="5" t="s">
        <v>554</v>
      </c>
      <c r="R1226" s="6" t="s">
        <v>42</v>
      </c>
      <c r="S1226" s="5" t="s">
        <v>765</v>
      </c>
      <c r="T1226" s="5" t="s">
        <v>44</v>
      </c>
      <c r="U1226" s="5" t="s">
        <v>44</v>
      </c>
      <c r="V1226" s="5" t="s">
        <v>44</v>
      </c>
      <c r="W1226" s="5" t="s">
        <v>35</v>
      </c>
      <c r="X1226" s="8" t="s">
        <v>218</v>
      </c>
      <c r="Y1226" s="5" t="s">
        <v>46</v>
      </c>
      <c r="Z1226" s="5" t="s">
        <v>47</v>
      </c>
      <c r="AA1226" s="5" t="s">
        <v>64</v>
      </c>
      <c r="AB1226" s="5" t="s">
        <v>5678</v>
      </c>
      <c r="AC1226" s="6" t="s">
        <v>448</v>
      </c>
      <c r="AD1226" s="6">
        <v>1620.0</v>
      </c>
    </row>
    <row r="1227" ht="56.25" customHeight="1">
      <c r="A1227" s="5" t="s">
        <v>5603</v>
      </c>
      <c r="B1227" s="6" t="str">
        <f>IMAGE("https://storage.googleapis.com/acdb/housewares/FtrHammock_Remake_5_2.png")</f>
        <v/>
      </c>
      <c r="C1227" s="5" t="s">
        <v>57</v>
      </c>
      <c r="D1227" s="5" t="s">
        <v>34</v>
      </c>
      <c r="E1227" s="5" t="s">
        <v>5613</v>
      </c>
      <c r="F1227" s="5" t="s">
        <v>2793</v>
      </c>
      <c r="G1227" s="5" t="s">
        <v>36</v>
      </c>
      <c r="H1227" s="5" t="s">
        <v>36</v>
      </c>
      <c r="I1227" s="5" t="s">
        <v>35</v>
      </c>
      <c r="J1227" s="6">
        <v>1.0</v>
      </c>
      <c r="K1227" s="6">
        <v>1300.0</v>
      </c>
      <c r="L1227" s="6">
        <v>325.0</v>
      </c>
      <c r="M1227" s="5" t="s">
        <v>57</v>
      </c>
      <c r="N1227" s="8" t="s">
        <v>1175</v>
      </c>
      <c r="O1227" s="6" t="s">
        <v>276</v>
      </c>
      <c r="P1227" s="5" t="s">
        <v>59</v>
      </c>
      <c r="Q1227" s="5" t="s">
        <v>554</v>
      </c>
      <c r="R1227" s="6" t="s">
        <v>42</v>
      </c>
      <c r="S1227" s="5" t="s">
        <v>765</v>
      </c>
      <c r="T1227" s="5" t="s">
        <v>44</v>
      </c>
      <c r="U1227" s="5" t="s">
        <v>44</v>
      </c>
      <c r="V1227" s="5" t="s">
        <v>44</v>
      </c>
      <c r="W1227" s="5" t="s">
        <v>35</v>
      </c>
      <c r="X1227" s="8" t="s">
        <v>218</v>
      </c>
      <c r="Y1227" s="5" t="s">
        <v>46</v>
      </c>
      <c r="Z1227" s="5" t="s">
        <v>47</v>
      </c>
      <c r="AA1227" s="5" t="s">
        <v>64</v>
      </c>
      <c r="AB1227" s="5" t="s">
        <v>5681</v>
      </c>
      <c r="AC1227" s="6" t="s">
        <v>452</v>
      </c>
      <c r="AD1227" s="6">
        <v>1620.0</v>
      </c>
    </row>
    <row r="1228" ht="56.25" customHeight="1">
      <c r="A1228" s="5" t="s">
        <v>5603</v>
      </c>
      <c r="B1228" s="6" t="str">
        <f>IMAGE("https://storage.googleapis.com/acdb/housewares/FtrHammock_Remake_5_3.png")</f>
        <v/>
      </c>
      <c r="C1228" s="5" t="s">
        <v>57</v>
      </c>
      <c r="D1228" s="5" t="s">
        <v>34</v>
      </c>
      <c r="E1228" s="5" t="s">
        <v>57</v>
      </c>
      <c r="F1228" s="5" t="s">
        <v>2793</v>
      </c>
      <c r="G1228" s="5" t="s">
        <v>36</v>
      </c>
      <c r="H1228" s="5" t="s">
        <v>36</v>
      </c>
      <c r="I1228" s="5" t="s">
        <v>35</v>
      </c>
      <c r="J1228" s="6">
        <v>1.0</v>
      </c>
      <c r="K1228" s="6">
        <v>1300.0</v>
      </c>
      <c r="L1228" s="6">
        <v>325.0</v>
      </c>
      <c r="M1228" s="5" t="s">
        <v>57</v>
      </c>
      <c r="N1228" s="8" t="s">
        <v>57</v>
      </c>
      <c r="O1228" s="6" t="s">
        <v>276</v>
      </c>
      <c r="P1228" s="5" t="s">
        <v>59</v>
      </c>
      <c r="Q1228" s="5" t="s">
        <v>554</v>
      </c>
      <c r="R1228" s="6" t="s">
        <v>42</v>
      </c>
      <c r="S1228" s="5" t="s">
        <v>765</v>
      </c>
      <c r="T1228" s="5" t="s">
        <v>44</v>
      </c>
      <c r="U1228" s="5" t="s">
        <v>44</v>
      </c>
      <c r="V1228" s="5" t="s">
        <v>44</v>
      </c>
      <c r="W1228" s="5" t="s">
        <v>35</v>
      </c>
      <c r="X1228" s="8" t="s">
        <v>218</v>
      </c>
      <c r="Y1228" s="5" t="s">
        <v>46</v>
      </c>
      <c r="Z1228" s="5" t="s">
        <v>47</v>
      </c>
      <c r="AA1228" s="5" t="s">
        <v>64</v>
      </c>
      <c r="AB1228" s="5" t="s">
        <v>5683</v>
      </c>
      <c r="AC1228" s="6" t="s">
        <v>455</v>
      </c>
      <c r="AD1228" s="6">
        <v>1620.0</v>
      </c>
    </row>
    <row r="1229" ht="56.25" customHeight="1">
      <c r="A1229" s="5" t="s">
        <v>5603</v>
      </c>
      <c r="B1229" s="6" t="str">
        <f>IMAGE("https://storage.googleapis.com/acdb/housewares/FtrHammock_Remake_6_0.png")</f>
        <v/>
      </c>
      <c r="C1229" s="5" t="s">
        <v>54</v>
      </c>
      <c r="D1229" s="5" t="s">
        <v>34</v>
      </c>
      <c r="E1229" s="5" t="s">
        <v>58</v>
      </c>
      <c r="F1229" s="5" t="s">
        <v>2793</v>
      </c>
      <c r="G1229" s="5" t="s">
        <v>36</v>
      </c>
      <c r="H1229" s="5" t="s">
        <v>36</v>
      </c>
      <c r="I1229" s="5" t="s">
        <v>35</v>
      </c>
      <c r="J1229" s="6">
        <v>1.0</v>
      </c>
      <c r="K1229" s="6">
        <v>1300.0</v>
      </c>
      <c r="L1229" s="6">
        <v>325.0</v>
      </c>
      <c r="M1229" s="5" t="s">
        <v>54</v>
      </c>
      <c r="N1229" s="8" t="s">
        <v>58</v>
      </c>
      <c r="O1229" s="6" t="s">
        <v>276</v>
      </c>
      <c r="P1229" s="5" t="s">
        <v>59</v>
      </c>
      <c r="Q1229" s="5" t="s">
        <v>554</v>
      </c>
      <c r="R1229" s="6" t="s">
        <v>42</v>
      </c>
      <c r="S1229" s="5" t="s">
        <v>765</v>
      </c>
      <c r="T1229" s="5" t="s">
        <v>44</v>
      </c>
      <c r="U1229" s="5" t="s">
        <v>44</v>
      </c>
      <c r="V1229" s="5" t="s">
        <v>44</v>
      </c>
      <c r="W1229" s="5" t="s">
        <v>35</v>
      </c>
      <c r="X1229" s="8" t="s">
        <v>218</v>
      </c>
      <c r="Y1229" s="5" t="s">
        <v>46</v>
      </c>
      <c r="Z1229" s="5" t="s">
        <v>47</v>
      </c>
      <c r="AA1229" s="5" t="s">
        <v>64</v>
      </c>
      <c r="AB1229" s="5" t="s">
        <v>5686</v>
      </c>
      <c r="AC1229" s="6" t="s">
        <v>86</v>
      </c>
      <c r="AD1229" s="6">
        <v>1620.0</v>
      </c>
    </row>
    <row r="1230" ht="56.25" customHeight="1">
      <c r="A1230" s="5" t="s">
        <v>5603</v>
      </c>
      <c r="B1230" s="6" t="str">
        <f>IMAGE("https://storage.googleapis.com/acdb/housewares/FtrHammock_Remake_6_1.png")</f>
        <v/>
      </c>
      <c r="C1230" s="5" t="s">
        <v>54</v>
      </c>
      <c r="D1230" s="5" t="s">
        <v>34</v>
      </c>
      <c r="E1230" s="5" t="s">
        <v>1499</v>
      </c>
      <c r="F1230" s="5" t="s">
        <v>2793</v>
      </c>
      <c r="G1230" s="5" t="s">
        <v>36</v>
      </c>
      <c r="H1230" s="5" t="s">
        <v>36</v>
      </c>
      <c r="I1230" s="5" t="s">
        <v>35</v>
      </c>
      <c r="J1230" s="6">
        <v>1.0</v>
      </c>
      <c r="K1230" s="6">
        <v>1300.0</v>
      </c>
      <c r="L1230" s="6">
        <v>325.0</v>
      </c>
      <c r="M1230" s="5" t="s">
        <v>54</v>
      </c>
      <c r="N1230" s="8" t="s">
        <v>96</v>
      </c>
      <c r="O1230" s="6" t="s">
        <v>276</v>
      </c>
      <c r="P1230" s="5" t="s">
        <v>59</v>
      </c>
      <c r="Q1230" s="5" t="s">
        <v>554</v>
      </c>
      <c r="R1230" s="6" t="s">
        <v>42</v>
      </c>
      <c r="S1230" s="5" t="s">
        <v>765</v>
      </c>
      <c r="T1230" s="5" t="s">
        <v>44</v>
      </c>
      <c r="U1230" s="5" t="s">
        <v>44</v>
      </c>
      <c r="V1230" s="5" t="s">
        <v>44</v>
      </c>
      <c r="W1230" s="5" t="s">
        <v>35</v>
      </c>
      <c r="X1230" s="8" t="s">
        <v>218</v>
      </c>
      <c r="Y1230" s="5" t="s">
        <v>46</v>
      </c>
      <c r="Z1230" s="5" t="s">
        <v>47</v>
      </c>
      <c r="AA1230" s="5" t="s">
        <v>64</v>
      </c>
      <c r="AB1230" s="5" t="s">
        <v>5689</v>
      </c>
      <c r="AC1230" s="6" t="s">
        <v>620</v>
      </c>
      <c r="AD1230" s="6">
        <v>1620.0</v>
      </c>
    </row>
    <row r="1231" ht="56.25" customHeight="1">
      <c r="A1231" s="5" t="s">
        <v>5603</v>
      </c>
      <c r="B1231" s="6" t="str">
        <f>IMAGE("https://storage.googleapis.com/acdb/housewares/FtrHammock_Remake_6_2.png")</f>
        <v/>
      </c>
      <c r="C1231" s="5" t="s">
        <v>54</v>
      </c>
      <c r="D1231" s="5" t="s">
        <v>34</v>
      </c>
      <c r="E1231" s="5" t="s">
        <v>5613</v>
      </c>
      <c r="F1231" s="5" t="s">
        <v>2793</v>
      </c>
      <c r="G1231" s="5" t="s">
        <v>36</v>
      </c>
      <c r="H1231" s="5" t="s">
        <v>36</v>
      </c>
      <c r="I1231" s="5" t="s">
        <v>35</v>
      </c>
      <c r="J1231" s="6">
        <v>1.0</v>
      </c>
      <c r="K1231" s="6">
        <v>1300.0</v>
      </c>
      <c r="L1231" s="6">
        <v>325.0</v>
      </c>
      <c r="M1231" s="5" t="s">
        <v>54</v>
      </c>
      <c r="N1231" s="8" t="s">
        <v>1175</v>
      </c>
      <c r="O1231" s="6" t="s">
        <v>276</v>
      </c>
      <c r="P1231" s="5" t="s">
        <v>59</v>
      </c>
      <c r="Q1231" s="5" t="s">
        <v>554</v>
      </c>
      <c r="R1231" s="6" t="s">
        <v>42</v>
      </c>
      <c r="S1231" s="5" t="s">
        <v>765</v>
      </c>
      <c r="T1231" s="5" t="s">
        <v>44</v>
      </c>
      <c r="U1231" s="5" t="s">
        <v>44</v>
      </c>
      <c r="V1231" s="5" t="s">
        <v>44</v>
      </c>
      <c r="W1231" s="5" t="s">
        <v>35</v>
      </c>
      <c r="X1231" s="8" t="s">
        <v>218</v>
      </c>
      <c r="Y1231" s="5" t="s">
        <v>46</v>
      </c>
      <c r="Z1231" s="5" t="s">
        <v>47</v>
      </c>
      <c r="AA1231" s="5" t="s">
        <v>64</v>
      </c>
      <c r="AB1231" s="5" t="s">
        <v>5690</v>
      </c>
      <c r="AC1231" s="6" t="s">
        <v>626</v>
      </c>
      <c r="AD1231" s="6">
        <v>1620.0</v>
      </c>
    </row>
    <row r="1232" ht="56.25" customHeight="1">
      <c r="A1232" s="5" t="s">
        <v>5603</v>
      </c>
      <c r="B1232" s="6" t="str">
        <f>IMAGE("https://storage.googleapis.com/acdb/housewares/FtrHammock_Remake_6_3.png")</f>
        <v/>
      </c>
      <c r="C1232" s="5" t="s">
        <v>54</v>
      </c>
      <c r="D1232" s="5" t="s">
        <v>34</v>
      </c>
      <c r="E1232" s="5" t="s">
        <v>57</v>
      </c>
      <c r="F1232" s="5" t="s">
        <v>2793</v>
      </c>
      <c r="G1232" s="5" t="s">
        <v>36</v>
      </c>
      <c r="H1232" s="5" t="s">
        <v>36</v>
      </c>
      <c r="I1232" s="5" t="s">
        <v>35</v>
      </c>
      <c r="J1232" s="6">
        <v>1.0</v>
      </c>
      <c r="K1232" s="6">
        <v>1300.0</v>
      </c>
      <c r="L1232" s="6">
        <v>325.0</v>
      </c>
      <c r="M1232" s="5" t="s">
        <v>54</v>
      </c>
      <c r="N1232" s="8" t="s">
        <v>57</v>
      </c>
      <c r="O1232" s="6" t="s">
        <v>276</v>
      </c>
      <c r="P1232" s="5" t="s">
        <v>59</v>
      </c>
      <c r="Q1232" s="5" t="s">
        <v>554</v>
      </c>
      <c r="R1232" s="6" t="s">
        <v>42</v>
      </c>
      <c r="S1232" s="5" t="s">
        <v>765</v>
      </c>
      <c r="T1232" s="5" t="s">
        <v>44</v>
      </c>
      <c r="U1232" s="5" t="s">
        <v>44</v>
      </c>
      <c r="V1232" s="5" t="s">
        <v>44</v>
      </c>
      <c r="W1232" s="5" t="s">
        <v>35</v>
      </c>
      <c r="X1232" s="8" t="s">
        <v>218</v>
      </c>
      <c r="Y1232" s="5" t="s">
        <v>46</v>
      </c>
      <c r="Z1232" s="5" t="s">
        <v>47</v>
      </c>
      <c r="AA1232" s="5" t="s">
        <v>64</v>
      </c>
      <c r="AB1232" s="5" t="s">
        <v>5694</v>
      </c>
      <c r="AC1232" s="6" t="s">
        <v>634</v>
      </c>
      <c r="AD1232" s="6">
        <v>1620.0</v>
      </c>
    </row>
    <row r="1233" ht="56.25" customHeight="1">
      <c r="A1233" s="5" t="s">
        <v>5695</v>
      </c>
      <c r="B1233" s="6" t="str">
        <f>IMAGE("https://storage.googleapis.com/acdb/housewares/FtrHandcart_Remake_0_0.png")</f>
        <v/>
      </c>
      <c r="C1233" s="5" t="s">
        <v>96</v>
      </c>
      <c r="D1233" s="5" t="s">
        <v>34</v>
      </c>
      <c r="E1233" s="5" t="s">
        <v>34</v>
      </c>
      <c r="F1233" s="5" t="s">
        <v>34</v>
      </c>
      <c r="G1233" s="5" t="s">
        <v>36</v>
      </c>
      <c r="H1233" s="5" t="s">
        <v>36</v>
      </c>
      <c r="I1233" s="5" t="s">
        <v>36</v>
      </c>
      <c r="J1233" s="6" t="s">
        <v>34</v>
      </c>
      <c r="K1233" s="6">
        <v>1900.0</v>
      </c>
      <c r="L1233" s="6">
        <v>475.0</v>
      </c>
      <c r="M1233" s="8" t="s">
        <v>96</v>
      </c>
      <c r="N1233" s="8" t="s">
        <v>39</v>
      </c>
      <c r="O1233" s="6" t="s">
        <v>40</v>
      </c>
      <c r="P1233" s="5" t="s">
        <v>59</v>
      </c>
      <c r="Q1233" s="5" t="s">
        <v>89</v>
      </c>
      <c r="R1233" s="6" t="s">
        <v>42</v>
      </c>
      <c r="S1233" s="5" t="s">
        <v>172</v>
      </c>
      <c r="T1233" s="5" t="s">
        <v>44</v>
      </c>
      <c r="U1233" s="5" t="s">
        <v>44</v>
      </c>
      <c r="V1233" s="5" t="s">
        <v>44</v>
      </c>
      <c r="W1233" s="5" t="s">
        <v>36</v>
      </c>
      <c r="X1233" s="8" t="s">
        <v>395</v>
      </c>
      <c r="Y1233" s="5" t="s">
        <v>46</v>
      </c>
      <c r="Z1233" s="5" t="s">
        <v>47</v>
      </c>
      <c r="AA1233" s="5" t="s">
        <v>64</v>
      </c>
      <c r="AB1233" s="5" t="s">
        <v>5698</v>
      </c>
      <c r="AC1233" s="6" t="s">
        <v>50</v>
      </c>
      <c r="AD1233" s="6">
        <v>7229.0</v>
      </c>
    </row>
    <row r="1234" ht="56.25" customHeight="1">
      <c r="A1234" s="5" t="s">
        <v>5695</v>
      </c>
      <c r="B1234" s="6" t="str">
        <f>IMAGE("https://storage.googleapis.com/acdb/housewares/FtrHandcart_Remake_1_0.png")</f>
        <v/>
      </c>
      <c r="C1234" s="5" t="s">
        <v>68</v>
      </c>
      <c r="D1234" s="5" t="s">
        <v>34</v>
      </c>
      <c r="E1234" s="5" t="s">
        <v>34</v>
      </c>
      <c r="F1234" s="5" t="s">
        <v>34</v>
      </c>
      <c r="G1234" s="5" t="s">
        <v>36</v>
      </c>
      <c r="H1234" s="5" t="s">
        <v>36</v>
      </c>
      <c r="I1234" s="5" t="s">
        <v>36</v>
      </c>
      <c r="J1234" s="6" t="s">
        <v>34</v>
      </c>
      <c r="K1234" s="6">
        <v>1900.0</v>
      </c>
      <c r="L1234" s="6">
        <v>475.0</v>
      </c>
      <c r="M1234" s="8" t="s">
        <v>68</v>
      </c>
      <c r="N1234" s="5" t="s">
        <v>57</v>
      </c>
      <c r="O1234" s="6" t="s">
        <v>40</v>
      </c>
      <c r="P1234" s="5" t="s">
        <v>59</v>
      </c>
      <c r="Q1234" s="5" t="s">
        <v>89</v>
      </c>
      <c r="R1234" s="6" t="s">
        <v>42</v>
      </c>
      <c r="S1234" s="5" t="s">
        <v>172</v>
      </c>
      <c r="T1234" s="5" t="s">
        <v>44</v>
      </c>
      <c r="U1234" s="5" t="s">
        <v>44</v>
      </c>
      <c r="V1234" s="5" t="s">
        <v>44</v>
      </c>
      <c r="W1234" s="5" t="s">
        <v>36</v>
      </c>
      <c r="X1234" s="8" t="s">
        <v>395</v>
      </c>
      <c r="Y1234" s="5" t="s">
        <v>46</v>
      </c>
      <c r="Z1234" s="5" t="s">
        <v>47</v>
      </c>
      <c r="AA1234" s="5" t="s">
        <v>64</v>
      </c>
      <c r="AB1234" s="5" t="s">
        <v>5701</v>
      </c>
      <c r="AC1234" s="6" t="s">
        <v>56</v>
      </c>
      <c r="AD1234" s="6">
        <v>7229.0</v>
      </c>
    </row>
    <row r="1235" ht="56.25" customHeight="1">
      <c r="A1235" s="5" t="s">
        <v>5695</v>
      </c>
      <c r="B1235" s="6" t="str">
        <f>IMAGE("https://storage.googleapis.com/acdb/housewares/FtrHandcart_Remake_2_0.png")</f>
        <v/>
      </c>
      <c r="C1235" s="5" t="s">
        <v>39</v>
      </c>
      <c r="D1235" s="5" t="s">
        <v>34</v>
      </c>
      <c r="E1235" s="5" t="s">
        <v>34</v>
      </c>
      <c r="F1235" s="5" t="s">
        <v>34</v>
      </c>
      <c r="G1235" s="5" t="s">
        <v>36</v>
      </c>
      <c r="H1235" s="5" t="s">
        <v>36</v>
      </c>
      <c r="I1235" s="5" t="s">
        <v>36</v>
      </c>
      <c r="J1235" s="6" t="s">
        <v>34</v>
      </c>
      <c r="K1235" s="6">
        <v>1900.0</v>
      </c>
      <c r="L1235" s="6">
        <v>475.0</v>
      </c>
      <c r="M1235" s="8" t="s">
        <v>39</v>
      </c>
      <c r="N1235" s="8" t="s">
        <v>38</v>
      </c>
      <c r="O1235" s="6" t="s">
        <v>40</v>
      </c>
      <c r="P1235" s="5" t="s">
        <v>59</v>
      </c>
      <c r="Q1235" s="5" t="s">
        <v>89</v>
      </c>
      <c r="R1235" s="6" t="s">
        <v>42</v>
      </c>
      <c r="S1235" s="5" t="s">
        <v>172</v>
      </c>
      <c r="T1235" s="5" t="s">
        <v>44</v>
      </c>
      <c r="U1235" s="5" t="s">
        <v>44</v>
      </c>
      <c r="V1235" s="5" t="s">
        <v>44</v>
      </c>
      <c r="W1235" s="5" t="s">
        <v>36</v>
      </c>
      <c r="X1235" s="8" t="s">
        <v>395</v>
      </c>
      <c r="Y1235" s="5" t="s">
        <v>46</v>
      </c>
      <c r="Z1235" s="5" t="s">
        <v>47</v>
      </c>
      <c r="AA1235" s="5" t="s">
        <v>64</v>
      </c>
      <c r="AB1235" s="5" t="s">
        <v>5704</v>
      </c>
      <c r="AC1235" s="6" t="s">
        <v>67</v>
      </c>
      <c r="AD1235" s="6">
        <v>7229.0</v>
      </c>
    </row>
    <row r="1236" ht="56.25" customHeight="1">
      <c r="A1236" s="5" t="s">
        <v>5695</v>
      </c>
      <c r="B1236" s="6" t="str">
        <f>IMAGE("https://storage.googleapis.com/acdb/housewares/FtrHandcart_Remake_3_0.png")</f>
        <v/>
      </c>
      <c r="C1236" s="5" t="s">
        <v>114</v>
      </c>
      <c r="D1236" s="5" t="s">
        <v>34</v>
      </c>
      <c r="E1236" s="5" t="s">
        <v>34</v>
      </c>
      <c r="F1236" s="5" t="s">
        <v>34</v>
      </c>
      <c r="G1236" s="5" t="s">
        <v>36</v>
      </c>
      <c r="H1236" s="5" t="s">
        <v>36</v>
      </c>
      <c r="I1236" s="5" t="s">
        <v>36</v>
      </c>
      <c r="J1236" s="6" t="s">
        <v>34</v>
      </c>
      <c r="K1236" s="6">
        <v>1900.0</v>
      </c>
      <c r="L1236" s="6">
        <v>475.0</v>
      </c>
      <c r="M1236" s="8" t="s">
        <v>114</v>
      </c>
      <c r="N1236" s="5" t="s">
        <v>39</v>
      </c>
      <c r="O1236" s="6" t="s">
        <v>40</v>
      </c>
      <c r="P1236" s="5" t="s">
        <v>59</v>
      </c>
      <c r="Q1236" s="5" t="s">
        <v>89</v>
      </c>
      <c r="R1236" s="6" t="s">
        <v>42</v>
      </c>
      <c r="S1236" s="5" t="s">
        <v>172</v>
      </c>
      <c r="T1236" s="5" t="s">
        <v>44</v>
      </c>
      <c r="U1236" s="5" t="s">
        <v>44</v>
      </c>
      <c r="V1236" s="5" t="s">
        <v>44</v>
      </c>
      <c r="W1236" s="5" t="s">
        <v>36</v>
      </c>
      <c r="X1236" s="8" t="s">
        <v>395</v>
      </c>
      <c r="Y1236" s="5" t="s">
        <v>46</v>
      </c>
      <c r="Z1236" s="5" t="s">
        <v>47</v>
      </c>
      <c r="AA1236" s="5" t="s">
        <v>64</v>
      </c>
      <c r="AB1236" s="5" t="s">
        <v>5709</v>
      </c>
      <c r="AC1236" s="6" t="s">
        <v>71</v>
      </c>
      <c r="AD1236" s="6">
        <v>7229.0</v>
      </c>
    </row>
    <row r="1237" ht="56.25" customHeight="1">
      <c r="A1237" s="5" t="s">
        <v>5695</v>
      </c>
      <c r="B1237" s="6" t="str">
        <f>IMAGE("https://storage.googleapis.com/acdb/housewares/FtrHandcart_Remake_4_0.png")</f>
        <v/>
      </c>
      <c r="C1237" s="5" t="s">
        <v>52</v>
      </c>
      <c r="D1237" s="5" t="s">
        <v>34</v>
      </c>
      <c r="E1237" s="5" t="s">
        <v>34</v>
      </c>
      <c r="F1237" s="5" t="s">
        <v>34</v>
      </c>
      <c r="G1237" s="5" t="s">
        <v>36</v>
      </c>
      <c r="H1237" s="5" t="s">
        <v>36</v>
      </c>
      <c r="I1237" s="5" t="s">
        <v>36</v>
      </c>
      <c r="J1237" s="6" t="s">
        <v>34</v>
      </c>
      <c r="K1237" s="6">
        <v>1900.0</v>
      </c>
      <c r="L1237" s="6">
        <v>475.0</v>
      </c>
      <c r="M1237" s="8" t="s">
        <v>52</v>
      </c>
      <c r="N1237" s="8" t="s">
        <v>39</v>
      </c>
      <c r="O1237" s="6" t="s">
        <v>40</v>
      </c>
      <c r="P1237" s="5" t="s">
        <v>59</v>
      </c>
      <c r="Q1237" s="5" t="s">
        <v>89</v>
      </c>
      <c r="R1237" s="6" t="s">
        <v>42</v>
      </c>
      <c r="S1237" s="5" t="s">
        <v>172</v>
      </c>
      <c r="T1237" s="5" t="s">
        <v>44</v>
      </c>
      <c r="U1237" s="5" t="s">
        <v>44</v>
      </c>
      <c r="V1237" s="5" t="s">
        <v>44</v>
      </c>
      <c r="W1237" s="5" t="s">
        <v>36</v>
      </c>
      <c r="X1237" s="8" t="s">
        <v>395</v>
      </c>
      <c r="Y1237" s="5" t="s">
        <v>46</v>
      </c>
      <c r="Z1237" s="5" t="s">
        <v>47</v>
      </c>
      <c r="AA1237" s="5" t="s">
        <v>64</v>
      </c>
      <c r="AB1237" s="5" t="s">
        <v>5714</v>
      </c>
      <c r="AC1237" s="6" t="s">
        <v>75</v>
      </c>
      <c r="AD1237" s="6">
        <v>7229.0</v>
      </c>
    </row>
    <row r="1238" ht="56.25" customHeight="1">
      <c r="A1238" s="5" t="s">
        <v>5695</v>
      </c>
      <c r="B1238" s="6" t="str">
        <f>IMAGE("https://storage.googleapis.com/acdb/housewares/FtrHandcart_Remake_5_0.png")</f>
        <v/>
      </c>
      <c r="C1238" s="5" t="s">
        <v>54</v>
      </c>
      <c r="D1238" s="5" t="s">
        <v>34</v>
      </c>
      <c r="E1238" s="5" t="s">
        <v>34</v>
      </c>
      <c r="F1238" s="5" t="s">
        <v>34</v>
      </c>
      <c r="G1238" s="5" t="s">
        <v>36</v>
      </c>
      <c r="H1238" s="5" t="s">
        <v>36</v>
      </c>
      <c r="I1238" s="5" t="s">
        <v>36</v>
      </c>
      <c r="J1238" s="6" t="s">
        <v>34</v>
      </c>
      <c r="K1238" s="6">
        <v>1900.0</v>
      </c>
      <c r="L1238" s="6">
        <v>475.0</v>
      </c>
      <c r="M1238" s="8" t="s">
        <v>54</v>
      </c>
      <c r="N1238" s="8" t="s">
        <v>39</v>
      </c>
      <c r="O1238" s="6" t="s">
        <v>40</v>
      </c>
      <c r="P1238" s="5" t="s">
        <v>59</v>
      </c>
      <c r="Q1238" s="5" t="s">
        <v>89</v>
      </c>
      <c r="R1238" s="6" t="s">
        <v>42</v>
      </c>
      <c r="S1238" s="5" t="s">
        <v>172</v>
      </c>
      <c r="T1238" s="5" t="s">
        <v>44</v>
      </c>
      <c r="U1238" s="5" t="s">
        <v>44</v>
      </c>
      <c r="V1238" s="5" t="s">
        <v>44</v>
      </c>
      <c r="W1238" s="5" t="s">
        <v>36</v>
      </c>
      <c r="X1238" s="8" t="s">
        <v>395</v>
      </c>
      <c r="Y1238" s="5" t="s">
        <v>46</v>
      </c>
      <c r="Z1238" s="5" t="s">
        <v>47</v>
      </c>
      <c r="AA1238" s="5" t="s">
        <v>64</v>
      </c>
      <c r="AB1238" s="5" t="s">
        <v>5716</v>
      </c>
      <c r="AC1238" s="6" t="s">
        <v>79</v>
      </c>
      <c r="AD1238" s="6">
        <v>7229.0</v>
      </c>
    </row>
    <row r="1239" ht="56.25" customHeight="1">
      <c r="A1239" s="5" t="s">
        <v>5718</v>
      </c>
      <c r="B1239" s="6" t="str">
        <f>IMAGE("https://storage.googleapis.com/acdb/housewares/FtrHarp_Remake_0_0.png")</f>
        <v/>
      </c>
      <c r="C1239" s="5" t="s">
        <v>39</v>
      </c>
      <c r="D1239" s="5" t="s">
        <v>34</v>
      </c>
      <c r="E1239" s="5" t="s">
        <v>34</v>
      </c>
      <c r="F1239" s="5" t="s">
        <v>34</v>
      </c>
      <c r="G1239" s="5" t="s">
        <v>36</v>
      </c>
      <c r="H1239" s="5" t="s">
        <v>36</v>
      </c>
      <c r="I1239" s="5" t="s">
        <v>36</v>
      </c>
      <c r="J1239" s="6" t="s">
        <v>34</v>
      </c>
      <c r="K1239" s="6">
        <v>130000.0</v>
      </c>
      <c r="L1239" s="6">
        <v>32500.0</v>
      </c>
      <c r="M1239" s="8" t="s">
        <v>39</v>
      </c>
      <c r="N1239" s="8" t="s">
        <v>38</v>
      </c>
      <c r="O1239" s="6" t="s">
        <v>40</v>
      </c>
      <c r="P1239" s="5" t="s">
        <v>59</v>
      </c>
      <c r="Q1239" s="5" t="s">
        <v>115</v>
      </c>
      <c r="R1239" s="6" t="s">
        <v>42</v>
      </c>
      <c r="S1239" s="5" t="s">
        <v>43</v>
      </c>
      <c r="T1239" s="5" t="s">
        <v>44</v>
      </c>
      <c r="U1239" s="5" t="s">
        <v>44</v>
      </c>
      <c r="V1239" s="5" t="s">
        <v>44</v>
      </c>
      <c r="W1239" s="5" t="s">
        <v>35</v>
      </c>
      <c r="X1239" s="8" t="s">
        <v>45</v>
      </c>
      <c r="Y1239" s="5" t="s">
        <v>46</v>
      </c>
      <c r="Z1239" s="5" t="s">
        <v>47</v>
      </c>
      <c r="AA1239" s="5" t="s">
        <v>64</v>
      </c>
      <c r="AB1239" s="5" t="s">
        <v>5720</v>
      </c>
      <c r="AC1239" s="6" t="s">
        <v>50</v>
      </c>
      <c r="AD1239" s="6">
        <v>987.0</v>
      </c>
    </row>
    <row r="1240" ht="56.25" customHeight="1">
      <c r="A1240" s="5" t="s">
        <v>5718</v>
      </c>
      <c r="B1240" s="6" t="str">
        <f>IMAGE("https://storage.googleapis.com/acdb/housewares/FtrHarp_Remake_1_0.png")</f>
        <v/>
      </c>
      <c r="C1240" s="5" t="s">
        <v>935</v>
      </c>
      <c r="D1240" s="5" t="s">
        <v>34</v>
      </c>
      <c r="E1240" s="5" t="s">
        <v>34</v>
      </c>
      <c r="F1240" s="5" t="s">
        <v>34</v>
      </c>
      <c r="G1240" s="5" t="s">
        <v>36</v>
      </c>
      <c r="H1240" s="5" t="s">
        <v>36</v>
      </c>
      <c r="I1240" s="5" t="s">
        <v>36</v>
      </c>
      <c r="J1240" s="6" t="s">
        <v>34</v>
      </c>
      <c r="K1240" s="6">
        <v>130000.0</v>
      </c>
      <c r="L1240" s="6">
        <v>32500.0</v>
      </c>
      <c r="M1240" s="8" t="s">
        <v>38</v>
      </c>
      <c r="N1240" s="8" t="s">
        <v>38</v>
      </c>
      <c r="O1240" s="6" t="s">
        <v>40</v>
      </c>
      <c r="P1240" s="5" t="s">
        <v>59</v>
      </c>
      <c r="Q1240" s="5" t="s">
        <v>115</v>
      </c>
      <c r="R1240" s="6" t="s">
        <v>42</v>
      </c>
      <c r="S1240" s="5" t="s">
        <v>43</v>
      </c>
      <c r="T1240" s="5" t="s">
        <v>44</v>
      </c>
      <c r="U1240" s="5" t="s">
        <v>44</v>
      </c>
      <c r="V1240" s="5" t="s">
        <v>44</v>
      </c>
      <c r="W1240" s="5" t="s">
        <v>35</v>
      </c>
      <c r="X1240" s="8" t="s">
        <v>45</v>
      </c>
      <c r="Y1240" s="5" t="s">
        <v>46</v>
      </c>
      <c r="Z1240" s="5" t="s">
        <v>47</v>
      </c>
      <c r="AA1240" s="5" t="s">
        <v>64</v>
      </c>
      <c r="AB1240" s="5" t="s">
        <v>5723</v>
      </c>
      <c r="AC1240" s="6" t="s">
        <v>56</v>
      </c>
      <c r="AD1240" s="6">
        <v>987.0</v>
      </c>
    </row>
    <row r="1241" ht="56.25" customHeight="1">
      <c r="A1241" s="5" t="s">
        <v>5718</v>
      </c>
      <c r="B1241" s="6" t="str">
        <f>IMAGE("https://storage.googleapis.com/acdb/housewares/FtrHarp_Remake_2_0.png")</f>
        <v/>
      </c>
      <c r="C1241" s="5" t="s">
        <v>387</v>
      </c>
      <c r="D1241" s="5" t="s">
        <v>34</v>
      </c>
      <c r="E1241" s="5" t="s">
        <v>34</v>
      </c>
      <c r="F1241" s="5" t="s">
        <v>34</v>
      </c>
      <c r="G1241" s="5" t="s">
        <v>36</v>
      </c>
      <c r="H1241" s="5" t="s">
        <v>36</v>
      </c>
      <c r="I1241" s="5" t="s">
        <v>36</v>
      </c>
      <c r="J1241" s="6" t="s">
        <v>34</v>
      </c>
      <c r="K1241" s="6">
        <v>130000.0</v>
      </c>
      <c r="L1241" s="6">
        <v>32500.0</v>
      </c>
      <c r="M1241" s="8" t="s">
        <v>39</v>
      </c>
      <c r="N1241" s="8" t="s">
        <v>142</v>
      </c>
      <c r="O1241" s="6" t="s">
        <v>40</v>
      </c>
      <c r="P1241" s="5" t="s">
        <v>59</v>
      </c>
      <c r="Q1241" s="5" t="s">
        <v>115</v>
      </c>
      <c r="R1241" s="6" t="s">
        <v>42</v>
      </c>
      <c r="S1241" s="5" t="s">
        <v>43</v>
      </c>
      <c r="T1241" s="5" t="s">
        <v>44</v>
      </c>
      <c r="U1241" s="5" t="s">
        <v>44</v>
      </c>
      <c r="V1241" s="5" t="s">
        <v>44</v>
      </c>
      <c r="W1241" s="5" t="s">
        <v>35</v>
      </c>
      <c r="X1241" s="8" t="s">
        <v>45</v>
      </c>
      <c r="Y1241" s="5" t="s">
        <v>46</v>
      </c>
      <c r="Z1241" s="5" t="s">
        <v>47</v>
      </c>
      <c r="AA1241" s="5" t="s">
        <v>64</v>
      </c>
      <c r="AB1241" s="5" t="s">
        <v>5728</v>
      </c>
      <c r="AC1241" s="6" t="s">
        <v>67</v>
      </c>
      <c r="AD1241" s="6">
        <v>987.0</v>
      </c>
    </row>
    <row r="1242" ht="56.25" customHeight="1">
      <c r="A1242" s="5" t="s">
        <v>5718</v>
      </c>
      <c r="B1242" s="6" t="str">
        <f>IMAGE("https://storage.googleapis.com/acdb/housewares/FtrHarp_Remake_3_0.png")</f>
        <v/>
      </c>
      <c r="C1242" s="5" t="s">
        <v>57</v>
      </c>
      <c r="D1242" s="5" t="s">
        <v>34</v>
      </c>
      <c r="E1242" s="5" t="s">
        <v>34</v>
      </c>
      <c r="F1242" s="5" t="s">
        <v>34</v>
      </c>
      <c r="G1242" s="5" t="s">
        <v>36</v>
      </c>
      <c r="H1242" s="5" t="s">
        <v>36</v>
      </c>
      <c r="I1242" s="5" t="s">
        <v>36</v>
      </c>
      <c r="J1242" s="6" t="s">
        <v>34</v>
      </c>
      <c r="K1242" s="6">
        <v>130000.0</v>
      </c>
      <c r="L1242" s="6">
        <v>32500.0</v>
      </c>
      <c r="M1242" s="8" t="s">
        <v>57</v>
      </c>
      <c r="N1242" s="8" t="s">
        <v>38</v>
      </c>
      <c r="O1242" s="6" t="s">
        <v>40</v>
      </c>
      <c r="P1242" s="5" t="s">
        <v>59</v>
      </c>
      <c r="Q1242" s="5" t="s">
        <v>115</v>
      </c>
      <c r="R1242" s="6" t="s">
        <v>42</v>
      </c>
      <c r="S1242" s="5" t="s">
        <v>43</v>
      </c>
      <c r="T1242" s="5" t="s">
        <v>44</v>
      </c>
      <c r="U1242" s="5" t="s">
        <v>44</v>
      </c>
      <c r="V1242" s="5" t="s">
        <v>44</v>
      </c>
      <c r="W1242" s="5" t="s">
        <v>35</v>
      </c>
      <c r="X1242" s="8" t="s">
        <v>45</v>
      </c>
      <c r="Y1242" s="5" t="s">
        <v>46</v>
      </c>
      <c r="Z1242" s="5" t="s">
        <v>47</v>
      </c>
      <c r="AA1242" s="5" t="s">
        <v>64</v>
      </c>
      <c r="AB1242" s="5" t="s">
        <v>5734</v>
      </c>
      <c r="AC1242" s="6" t="s">
        <v>71</v>
      </c>
      <c r="AD1242" s="6">
        <v>987.0</v>
      </c>
    </row>
    <row r="1243" ht="56.25" customHeight="1">
      <c r="A1243" s="5" t="s">
        <v>5718</v>
      </c>
      <c r="B1243" s="6" t="str">
        <f>IMAGE("https://storage.googleapis.com/acdb/housewares/FtrHarp_Remake_4_0.png")</f>
        <v/>
      </c>
      <c r="C1243" s="5" t="s">
        <v>54</v>
      </c>
      <c r="D1243" s="5" t="s">
        <v>34</v>
      </c>
      <c r="E1243" s="5" t="s">
        <v>34</v>
      </c>
      <c r="F1243" s="5" t="s">
        <v>34</v>
      </c>
      <c r="G1243" s="5" t="s">
        <v>36</v>
      </c>
      <c r="H1243" s="5" t="s">
        <v>36</v>
      </c>
      <c r="I1243" s="5" t="s">
        <v>36</v>
      </c>
      <c r="J1243" s="6" t="s">
        <v>34</v>
      </c>
      <c r="K1243" s="6">
        <v>130000.0</v>
      </c>
      <c r="L1243" s="6">
        <v>32500.0</v>
      </c>
      <c r="M1243" s="8" t="s">
        <v>54</v>
      </c>
      <c r="N1243" s="8" t="s">
        <v>38</v>
      </c>
      <c r="O1243" s="6" t="s">
        <v>40</v>
      </c>
      <c r="P1243" s="5" t="s">
        <v>59</v>
      </c>
      <c r="Q1243" s="5" t="s">
        <v>115</v>
      </c>
      <c r="R1243" s="6" t="s">
        <v>42</v>
      </c>
      <c r="S1243" s="5" t="s">
        <v>43</v>
      </c>
      <c r="T1243" s="5" t="s">
        <v>44</v>
      </c>
      <c r="U1243" s="5" t="s">
        <v>44</v>
      </c>
      <c r="V1243" s="5" t="s">
        <v>44</v>
      </c>
      <c r="W1243" s="5" t="s">
        <v>35</v>
      </c>
      <c r="X1243" s="8" t="s">
        <v>45</v>
      </c>
      <c r="Y1243" s="5" t="s">
        <v>46</v>
      </c>
      <c r="Z1243" s="5" t="s">
        <v>47</v>
      </c>
      <c r="AA1243" s="5" t="s">
        <v>64</v>
      </c>
      <c r="AB1243" s="5" t="s">
        <v>5737</v>
      </c>
      <c r="AC1243" s="6" t="s">
        <v>75</v>
      </c>
      <c r="AD1243" s="6">
        <v>987.0</v>
      </c>
    </row>
    <row r="1244" ht="56.25" customHeight="1">
      <c r="A1244" s="5" t="s">
        <v>5738</v>
      </c>
      <c r="B1244" s="6" t="str">
        <f>IMAGE("https://storage.googleapis.com/acdb/housewares/FtrHaybed_Remake_0_0.png")</f>
        <v/>
      </c>
      <c r="C1244" s="5" t="s">
        <v>39</v>
      </c>
      <c r="D1244" s="5" t="s">
        <v>5740</v>
      </c>
      <c r="E1244" s="5" t="s">
        <v>34</v>
      </c>
      <c r="F1244" s="5" t="s">
        <v>34</v>
      </c>
      <c r="G1244" s="5" t="s">
        <v>35</v>
      </c>
      <c r="H1244" s="5" t="s">
        <v>35</v>
      </c>
      <c r="I1244" s="5" t="s">
        <v>36</v>
      </c>
      <c r="J1244" s="6">
        <v>1.0</v>
      </c>
      <c r="K1244" s="6" t="s">
        <v>37</v>
      </c>
      <c r="L1244" s="6">
        <v>400.0</v>
      </c>
      <c r="M1244" s="8" t="s">
        <v>114</v>
      </c>
      <c r="N1244" s="8" t="s">
        <v>114</v>
      </c>
      <c r="O1244" s="6" t="s">
        <v>276</v>
      </c>
      <c r="P1244" s="5" t="s">
        <v>41</v>
      </c>
      <c r="Q1244" s="5"/>
      <c r="R1244" s="6" t="s">
        <v>42</v>
      </c>
      <c r="S1244" s="5" t="s">
        <v>172</v>
      </c>
      <c r="T1244" s="5" t="s">
        <v>44</v>
      </c>
      <c r="U1244" s="5" t="s">
        <v>44</v>
      </c>
      <c r="V1244" s="5" t="s">
        <v>44</v>
      </c>
      <c r="W1244" s="5" t="s">
        <v>35</v>
      </c>
      <c r="X1244" s="8" t="s">
        <v>218</v>
      </c>
      <c r="Y1244" s="5" t="s">
        <v>46</v>
      </c>
      <c r="Z1244" s="5" t="s">
        <v>47</v>
      </c>
      <c r="AA1244" s="5" t="s">
        <v>48</v>
      </c>
      <c r="AB1244" s="5" t="s">
        <v>5742</v>
      </c>
      <c r="AC1244" s="6" t="s">
        <v>50</v>
      </c>
      <c r="AD1244" s="6">
        <v>3675.0</v>
      </c>
    </row>
    <row r="1245" ht="56.25" customHeight="1">
      <c r="A1245" s="5" t="s">
        <v>5738</v>
      </c>
      <c r="B1245" s="6" t="str">
        <f>IMAGE("https://storage.googleapis.com/acdb/housewares/FtrHaybed_Remake_1_0.png")</f>
        <v/>
      </c>
      <c r="C1245" s="5" t="s">
        <v>5744</v>
      </c>
      <c r="D1245" s="5" t="s">
        <v>5740</v>
      </c>
      <c r="E1245" s="5" t="s">
        <v>34</v>
      </c>
      <c r="F1245" s="5" t="s">
        <v>34</v>
      </c>
      <c r="G1245" s="5" t="s">
        <v>35</v>
      </c>
      <c r="H1245" s="5" t="s">
        <v>35</v>
      </c>
      <c r="I1245" s="5" t="s">
        <v>36</v>
      </c>
      <c r="J1245" s="6">
        <v>1.0</v>
      </c>
      <c r="K1245" s="6" t="s">
        <v>37</v>
      </c>
      <c r="L1245" s="6">
        <v>400.0</v>
      </c>
      <c r="M1245" s="8" t="s">
        <v>57</v>
      </c>
      <c r="N1245" s="8" t="s">
        <v>57</v>
      </c>
      <c r="O1245" s="6" t="s">
        <v>276</v>
      </c>
      <c r="P1245" s="5" t="s">
        <v>41</v>
      </c>
      <c r="Q1245" s="5"/>
      <c r="R1245" s="6" t="s">
        <v>42</v>
      </c>
      <c r="S1245" s="5" t="s">
        <v>172</v>
      </c>
      <c r="T1245" s="5" t="s">
        <v>44</v>
      </c>
      <c r="U1245" s="5" t="s">
        <v>44</v>
      </c>
      <c r="V1245" s="5" t="s">
        <v>44</v>
      </c>
      <c r="W1245" s="5" t="s">
        <v>35</v>
      </c>
      <c r="X1245" s="8" t="s">
        <v>218</v>
      </c>
      <c r="Y1245" s="5" t="s">
        <v>46</v>
      </c>
      <c r="Z1245" s="5" t="s">
        <v>47</v>
      </c>
      <c r="AA1245" s="5" t="s">
        <v>48</v>
      </c>
      <c r="AB1245" s="5" t="s">
        <v>5746</v>
      </c>
      <c r="AC1245" s="6" t="s">
        <v>56</v>
      </c>
      <c r="AD1245" s="6">
        <v>3675.0</v>
      </c>
    </row>
    <row r="1246" ht="56.25" customHeight="1">
      <c r="A1246" s="5" t="s">
        <v>5738</v>
      </c>
      <c r="B1246" s="6" t="str">
        <f>IMAGE("https://storage.googleapis.com/acdb/housewares/FtrHaybed_Remake_2_0.png")</f>
        <v/>
      </c>
      <c r="C1246" s="5" t="s">
        <v>96</v>
      </c>
      <c r="D1246" s="5" t="s">
        <v>5740</v>
      </c>
      <c r="E1246" s="5" t="s">
        <v>34</v>
      </c>
      <c r="F1246" s="5" t="s">
        <v>34</v>
      </c>
      <c r="G1246" s="5" t="s">
        <v>35</v>
      </c>
      <c r="H1246" s="5" t="s">
        <v>35</v>
      </c>
      <c r="I1246" s="5" t="s">
        <v>36</v>
      </c>
      <c r="J1246" s="6">
        <v>1.0</v>
      </c>
      <c r="K1246" s="6" t="s">
        <v>37</v>
      </c>
      <c r="L1246" s="6">
        <v>400.0</v>
      </c>
      <c r="M1246" s="8" t="s">
        <v>96</v>
      </c>
      <c r="N1246" s="8" t="s">
        <v>96</v>
      </c>
      <c r="O1246" s="6" t="s">
        <v>276</v>
      </c>
      <c r="P1246" s="5" t="s">
        <v>41</v>
      </c>
      <c r="Q1246" s="5"/>
      <c r="R1246" s="6" t="s">
        <v>42</v>
      </c>
      <c r="S1246" s="5" t="s">
        <v>172</v>
      </c>
      <c r="T1246" s="5" t="s">
        <v>44</v>
      </c>
      <c r="U1246" s="5" t="s">
        <v>44</v>
      </c>
      <c r="V1246" s="5" t="s">
        <v>44</v>
      </c>
      <c r="W1246" s="5" t="s">
        <v>35</v>
      </c>
      <c r="X1246" s="8" t="s">
        <v>218</v>
      </c>
      <c r="Y1246" s="5" t="s">
        <v>46</v>
      </c>
      <c r="Z1246" s="5" t="s">
        <v>47</v>
      </c>
      <c r="AA1246" s="5" t="s">
        <v>48</v>
      </c>
      <c r="AB1246" s="5" t="s">
        <v>5749</v>
      </c>
      <c r="AC1246" s="6" t="s">
        <v>67</v>
      </c>
      <c r="AD1246" s="6">
        <v>3675.0</v>
      </c>
    </row>
    <row r="1247" ht="56.25" customHeight="1">
      <c r="A1247" s="5" t="s">
        <v>5750</v>
      </c>
      <c r="B1247" s="6" t="str">
        <f>IMAGE("https://storage.googleapis.com/acdb/housewares/FtrIrori.png")</f>
        <v/>
      </c>
      <c r="C1247" s="5" t="s">
        <v>34</v>
      </c>
      <c r="D1247" s="5" t="s">
        <v>34</v>
      </c>
      <c r="E1247" s="5" t="s">
        <v>34</v>
      </c>
      <c r="F1247" s="5" t="s">
        <v>34</v>
      </c>
      <c r="G1247" s="5" t="s">
        <v>35</v>
      </c>
      <c r="H1247" s="5" t="s">
        <v>36</v>
      </c>
      <c r="I1247" s="5" t="s">
        <v>36</v>
      </c>
      <c r="J1247" s="6" t="s">
        <v>34</v>
      </c>
      <c r="K1247" s="6" t="s">
        <v>37</v>
      </c>
      <c r="L1247" s="6">
        <v>5470.0</v>
      </c>
      <c r="M1247" s="5" t="s">
        <v>39</v>
      </c>
      <c r="N1247" s="5" t="s">
        <v>54</v>
      </c>
      <c r="O1247" s="6" t="s">
        <v>214</v>
      </c>
      <c r="P1247" s="5" t="s">
        <v>41</v>
      </c>
      <c r="Q1247" s="5"/>
      <c r="R1247" s="6" t="s">
        <v>42</v>
      </c>
      <c r="S1247" s="5" t="s">
        <v>266</v>
      </c>
      <c r="T1247" s="5" t="s">
        <v>44</v>
      </c>
      <c r="U1247" s="5" t="s">
        <v>44</v>
      </c>
      <c r="V1247" s="5" t="s">
        <v>44</v>
      </c>
      <c r="W1247" s="5" t="s">
        <v>35</v>
      </c>
      <c r="X1247" s="8" t="s">
        <v>650</v>
      </c>
      <c r="Y1247" s="5" t="s">
        <v>46</v>
      </c>
      <c r="Z1247" s="5" t="s">
        <v>47</v>
      </c>
      <c r="AA1247" s="5" t="s">
        <v>48</v>
      </c>
      <c r="AB1247" s="5" t="s">
        <v>5754</v>
      </c>
      <c r="AC1247" s="6" t="s">
        <v>34</v>
      </c>
      <c r="AD1247" s="6">
        <v>722.0</v>
      </c>
    </row>
    <row r="1248" ht="56.25" customHeight="1">
      <c r="A1248" s="5" t="s">
        <v>5755</v>
      </c>
      <c r="B1248" s="6" t="str">
        <f>IMAGE("https://storage.googleapis.com/acdb/housewares/FtrHariboteHedge_Remake_0_0.png")</f>
        <v/>
      </c>
      <c r="C1248" s="5" t="s">
        <v>5574</v>
      </c>
      <c r="D1248" s="5" t="s">
        <v>5575</v>
      </c>
      <c r="E1248" s="5" t="s">
        <v>34</v>
      </c>
      <c r="F1248" s="5" t="s">
        <v>34</v>
      </c>
      <c r="G1248" s="5" t="s">
        <v>35</v>
      </c>
      <c r="H1248" s="5" t="s">
        <v>35</v>
      </c>
      <c r="I1248" s="5" t="s">
        <v>36</v>
      </c>
      <c r="J1248" s="6">
        <v>1.0</v>
      </c>
      <c r="K1248" s="6" t="s">
        <v>37</v>
      </c>
      <c r="L1248" s="6">
        <v>600.0</v>
      </c>
      <c r="M1248" s="8" t="s">
        <v>96</v>
      </c>
      <c r="N1248" s="8" t="s">
        <v>96</v>
      </c>
      <c r="O1248" s="6" t="s">
        <v>775</v>
      </c>
      <c r="P1248" s="5" t="s">
        <v>41</v>
      </c>
      <c r="Q1248" s="5"/>
      <c r="R1248" s="6" t="s">
        <v>42</v>
      </c>
      <c r="S1248" s="5" t="s">
        <v>130</v>
      </c>
      <c r="T1248" s="5" t="s">
        <v>44</v>
      </c>
      <c r="U1248" s="5" t="s">
        <v>44</v>
      </c>
      <c r="V1248" s="5" t="s">
        <v>5576</v>
      </c>
      <c r="W1248" s="5" t="s">
        <v>36</v>
      </c>
      <c r="X1248" s="8" t="s">
        <v>1593</v>
      </c>
      <c r="Y1248" s="5" t="s">
        <v>46</v>
      </c>
      <c r="Z1248" s="5" t="s">
        <v>47</v>
      </c>
      <c r="AA1248" s="5" t="s">
        <v>48</v>
      </c>
      <c r="AB1248" s="5" t="s">
        <v>5760</v>
      </c>
      <c r="AC1248" s="6" t="s">
        <v>50</v>
      </c>
      <c r="AD1248" s="6">
        <v>531.0</v>
      </c>
    </row>
    <row r="1249" ht="56.25" customHeight="1">
      <c r="A1249" s="5" t="s">
        <v>5755</v>
      </c>
      <c r="B1249" s="6" t="str">
        <f>IMAGE("https://storage.googleapis.com/acdb/housewares/FtrHariboteHedge_Remake_1_0.png")</f>
        <v/>
      </c>
      <c r="C1249" s="5" t="s">
        <v>5762</v>
      </c>
      <c r="D1249" s="5" t="s">
        <v>5575</v>
      </c>
      <c r="E1249" s="5" t="s">
        <v>34</v>
      </c>
      <c r="F1249" s="5" t="s">
        <v>34</v>
      </c>
      <c r="G1249" s="5" t="s">
        <v>35</v>
      </c>
      <c r="H1249" s="5" t="s">
        <v>35</v>
      </c>
      <c r="I1249" s="5" t="s">
        <v>36</v>
      </c>
      <c r="J1249" s="6">
        <v>1.0</v>
      </c>
      <c r="K1249" s="6" t="s">
        <v>37</v>
      </c>
      <c r="L1249" s="6">
        <v>600.0</v>
      </c>
      <c r="M1249" s="8" t="s">
        <v>96</v>
      </c>
      <c r="N1249" s="8" t="s">
        <v>69</v>
      </c>
      <c r="O1249" s="6" t="s">
        <v>775</v>
      </c>
      <c r="P1249" s="5" t="s">
        <v>41</v>
      </c>
      <c r="Q1249" s="5"/>
      <c r="R1249" s="6" t="s">
        <v>42</v>
      </c>
      <c r="S1249" s="5" t="s">
        <v>130</v>
      </c>
      <c r="T1249" s="5" t="s">
        <v>44</v>
      </c>
      <c r="U1249" s="5" t="s">
        <v>44</v>
      </c>
      <c r="V1249" s="5" t="s">
        <v>5576</v>
      </c>
      <c r="W1249" s="5" t="s">
        <v>36</v>
      </c>
      <c r="X1249" s="8" t="s">
        <v>1593</v>
      </c>
      <c r="Y1249" s="5" t="s">
        <v>46</v>
      </c>
      <c r="Z1249" s="5" t="s">
        <v>47</v>
      </c>
      <c r="AA1249" s="5" t="s">
        <v>48</v>
      </c>
      <c r="AB1249" s="5" t="s">
        <v>5766</v>
      </c>
      <c r="AC1249" s="6" t="s">
        <v>56</v>
      </c>
      <c r="AD1249" s="6">
        <v>531.0</v>
      </c>
    </row>
    <row r="1250" ht="56.25" customHeight="1">
      <c r="A1250" s="5" t="s">
        <v>5755</v>
      </c>
      <c r="B1250" s="6" t="str">
        <f>IMAGE("https://storage.googleapis.com/acdb/housewares/FtrHariboteHedge_Remake_2_0.png")</f>
        <v/>
      </c>
      <c r="C1250" s="5" t="s">
        <v>5581</v>
      </c>
      <c r="D1250" s="5" t="s">
        <v>5575</v>
      </c>
      <c r="E1250" s="5" t="s">
        <v>34</v>
      </c>
      <c r="F1250" s="5" t="s">
        <v>34</v>
      </c>
      <c r="G1250" s="5" t="s">
        <v>35</v>
      </c>
      <c r="H1250" s="5" t="s">
        <v>35</v>
      </c>
      <c r="I1250" s="5" t="s">
        <v>36</v>
      </c>
      <c r="J1250" s="6">
        <v>1.0</v>
      </c>
      <c r="K1250" s="6" t="s">
        <v>37</v>
      </c>
      <c r="L1250" s="6">
        <v>600.0</v>
      </c>
      <c r="M1250" s="8" t="s">
        <v>96</v>
      </c>
      <c r="N1250" s="8" t="s">
        <v>96</v>
      </c>
      <c r="O1250" s="6" t="s">
        <v>775</v>
      </c>
      <c r="P1250" s="5" t="s">
        <v>41</v>
      </c>
      <c r="Q1250" s="5"/>
      <c r="R1250" s="6" t="s">
        <v>42</v>
      </c>
      <c r="S1250" s="5" t="s">
        <v>130</v>
      </c>
      <c r="T1250" s="5" t="s">
        <v>44</v>
      </c>
      <c r="U1250" s="5" t="s">
        <v>44</v>
      </c>
      <c r="V1250" s="5" t="s">
        <v>5576</v>
      </c>
      <c r="W1250" s="5" t="s">
        <v>36</v>
      </c>
      <c r="X1250" s="8" t="s">
        <v>1593</v>
      </c>
      <c r="Y1250" s="5" t="s">
        <v>46</v>
      </c>
      <c r="Z1250" s="5" t="s">
        <v>47</v>
      </c>
      <c r="AA1250" s="5" t="s">
        <v>48</v>
      </c>
      <c r="AB1250" s="5" t="s">
        <v>5769</v>
      </c>
      <c r="AC1250" s="6" t="s">
        <v>67</v>
      </c>
      <c r="AD1250" s="6">
        <v>531.0</v>
      </c>
    </row>
    <row r="1251" ht="56.25" customHeight="1">
      <c r="A1251" s="5" t="s">
        <v>5755</v>
      </c>
      <c r="B1251" s="6" t="str">
        <f>IMAGE("https://storage.googleapis.com/acdb/housewares/FtrHariboteHedge_Remake_3_0.png")</f>
        <v/>
      </c>
      <c r="C1251" s="5" t="s">
        <v>5771</v>
      </c>
      <c r="D1251" s="5" t="s">
        <v>5575</v>
      </c>
      <c r="E1251" s="5" t="s">
        <v>34</v>
      </c>
      <c r="F1251" s="5" t="s">
        <v>34</v>
      </c>
      <c r="G1251" s="5" t="s">
        <v>35</v>
      </c>
      <c r="H1251" s="5" t="s">
        <v>35</v>
      </c>
      <c r="I1251" s="5" t="s">
        <v>36</v>
      </c>
      <c r="J1251" s="6">
        <v>1.0</v>
      </c>
      <c r="K1251" s="6" t="s">
        <v>37</v>
      </c>
      <c r="L1251" s="6">
        <v>600.0</v>
      </c>
      <c r="M1251" s="8" t="s">
        <v>96</v>
      </c>
      <c r="N1251" s="8" t="s">
        <v>58</v>
      </c>
      <c r="O1251" s="6" t="s">
        <v>775</v>
      </c>
      <c r="P1251" s="5" t="s">
        <v>41</v>
      </c>
      <c r="Q1251" s="5"/>
      <c r="R1251" s="6" t="s">
        <v>42</v>
      </c>
      <c r="S1251" s="5" t="s">
        <v>130</v>
      </c>
      <c r="T1251" s="5" t="s">
        <v>44</v>
      </c>
      <c r="U1251" s="5" t="s">
        <v>44</v>
      </c>
      <c r="V1251" s="5" t="s">
        <v>5576</v>
      </c>
      <c r="W1251" s="5" t="s">
        <v>36</v>
      </c>
      <c r="X1251" s="8" t="s">
        <v>1593</v>
      </c>
      <c r="Y1251" s="5" t="s">
        <v>46</v>
      </c>
      <c r="Z1251" s="5" t="s">
        <v>47</v>
      </c>
      <c r="AA1251" s="5" t="s">
        <v>48</v>
      </c>
      <c r="AB1251" s="5" t="s">
        <v>5775</v>
      </c>
      <c r="AC1251" s="6" t="s">
        <v>71</v>
      </c>
      <c r="AD1251" s="6">
        <v>531.0</v>
      </c>
    </row>
    <row r="1252" ht="56.25" customHeight="1">
      <c r="A1252" s="5" t="s">
        <v>5755</v>
      </c>
      <c r="B1252" s="6" t="str">
        <f>IMAGE("https://storage.googleapis.com/acdb/housewares/FtrHariboteHedge_Remake_4_0.png")</f>
        <v/>
      </c>
      <c r="C1252" s="5" t="s">
        <v>5776</v>
      </c>
      <c r="D1252" s="5" t="s">
        <v>5575</v>
      </c>
      <c r="E1252" s="5" t="s">
        <v>34</v>
      </c>
      <c r="F1252" s="5" t="s">
        <v>34</v>
      </c>
      <c r="G1252" s="5" t="s">
        <v>35</v>
      </c>
      <c r="H1252" s="5" t="s">
        <v>35</v>
      </c>
      <c r="I1252" s="5" t="s">
        <v>36</v>
      </c>
      <c r="J1252" s="6">
        <v>1.0</v>
      </c>
      <c r="K1252" s="6" t="s">
        <v>37</v>
      </c>
      <c r="L1252" s="6">
        <v>600.0</v>
      </c>
      <c r="M1252" s="8" t="s">
        <v>96</v>
      </c>
      <c r="N1252" s="8" t="s">
        <v>52</v>
      </c>
      <c r="O1252" s="6" t="s">
        <v>775</v>
      </c>
      <c r="P1252" s="5" t="s">
        <v>41</v>
      </c>
      <c r="Q1252" s="5"/>
      <c r="R1252" s="6" t="s">
        <v>42</v>
      </c>
      <c r="S1252" s="5" t="s">
        <v>130</v>
      </c>
      <c r="T1252" s="5" t="s">
        <v>44</v>
      </c>
      <c r="U1252" s="5" t="s">
        <v>44</v>
      </c>
      <c r="V1252" s="5" t="s">
        <v>5576</v>
      </c>
      <c r="W1252" s="5" t="s">
        <v>36</v>
      </c>
      <c r="X1252" s="8" t="s">
        <v>1593</v>
      </c>
      <c r="Y1252" s="5" t="s">
        <v>46</v>
      </c>
      <c r="Z1252" s="5" t="s">
        <v>47</v>
      </c>
      <c r="AA1252" s="5" t="s">
        <v>48</v>
      </c>
      <c r="AB1252" s="5" t="s">
        <v>5779</v>
      </c>
      <c r="AC1252" s="6" t="s">
        <v>75</v>
      </c>
      <c r="AD1252" s="6">
        <v>531.0</v>
      </c>
    </row>
    <row r="1253" ht="56.25" customHeight="1">
      <c r="A1253" s="5" t="s">
        <v>5755</v>
      </c>
      <c r="B1253" s="6" t="str">
        <f>IMAGE("https://storage.googleapis.com/acdb/housewares/FtrHariboteHedge_Remake_5_0.png")</f>
        <v/>
      </c>
      <c r="C1253" s="5" t="s">
        <v>5587</v>
      </c>
      <c r="D1253" s="5" t="s">
        <v>5575</v>
      </c>
      <c r="E1253" s="5" t="s">
        <v>34</v>
      </c>
      <c r="F1253" s="5" t="s">
        <v>34</v>
      </c>
      <c r="G1253" s="5" t="s">
        <v>35</v>
      </c>
      <c r="H1253" s="5" t="s">
        <v>35</v>
      </c>
      <c r="I1253" s="5" t="s">
        <v>36</v>
      </c>
      <c r="J1253" s="6">
        <v>1.0</v>
      </c>
      <c r="K1253" s="6" t="s">
        <v>37</v>
      </c>
      <c r="L1253" s="6">
        <v>600.0</v>
      </c>
      <c r="M1253" s="8" t="s">
        <v>142</v>
      </c>
      <c r="N1253" s="8" t="s">
        <v>39</v>
      </c>
      <c r="O1253" s="6" t="s">
        <v>775</v>
      </c>
      <c r="P1253" s="5" t="s">
        <v>41</v>
      </c>
      <c r="Q1253" s="5"/>
      <c r="R1253" s="6" t="s">
        <v>42</v>
      </c>
      <c r="S1253" s="5" t="s">
        <v>130</v>
      </c>
      <c r="T1253" s="5" t="s">
        <v>44</v>
      </c>
      <c r="U1253" s="5" t="s">
        <v>44</v>
      </c>
      <c r="V1253" s="5" t="s">
        <v>5576</v>
      </c>
      <c r="W1253" s="5" t="s">
        <v>36</v>
      </c>
      <c r="X1253" s="8" t="s">
        <v>1593</v>
      </c>
      <c r="Y1253" s="5" t="s">
        <v>46</v>
      </c>
      <c r="Z1253" s="5" t="s">
        <v>47</v>
      </c>
      <c r="AA1253" s="5" t="s">
        <v>48</v>
      </c>
      <c r="AB1253" s="5" t="s">
        <v>5782</v>
      </c>
      <c r="AC1253" s="6" t="s">
        <v>79</v>
      </c>
      <c r="AD1253" s="6">
        <v>531.0</v>
      </c>
    </row>
    <row r="1254" ht="56.25" customHeight="1">
      <c r="A1254" s="5" t="s">
        <v>5755</v>
      </c>
      <c r="B1254" s="6" t="str">
        <f>IMAGE("https://storage.googleapis.com/acdb/housewares/FtrHariboteHedge_Remake_6_0.png")</f>
        <v/>
      </c>
      <c r="C1254" s="5" t="s">
        <v>5592</v>
      </c>
      <c r="D1254" s="5" t="s">
        <v>5575</v>
      </c>
      <c r="E1254" s="5" t="s">
        <v>34</v>
      </c>
      <c r="F1254" s="5" t="s">
        <v>34</v>
      </c>
      <c r="G1254" s="5" t="s">
        <v>35</v>
      </c>
      <c r="H1254" s="5" t="s">
        <v>35</v>
      </c>
      <c r="I1254" s="5" t="s">
        <v>36</v>
      </c>
      <c r="J1254" s="6">
        <v>1.0</v>
      </c>
      <c r="K1254" s="6" t="s">
        <v>37</v>
      </c>
      <c r="L1254" s="6">
        <v>600.0</v>
      </c>
      <c r="M1254" s="8" t="s">
        <v>57</v>
      </c>
      <c r="N1254" s="8" t="s">
        <v>95</v>
      </c>
      <c r="O1254" s="6" t="s">
        <v>775</v>
      </c>
      <c r="P1254" s="5" t="s">
        <v>41</v>
      </c>
      <c r="Q1254" s="5"/>
      <c r="R1254" s="6" t="s">
        <v>42</v>
      </c>
      <c r="S1254" s="5" t="s">
        <v>130</v>
      </c>
      <c r="T1254" s="5" t="s">
        <v>44</v>
      </c>
      <c r="U1254" s="5" t="s">
        <v>44</v>
      </c>
      <c r="V1254" s="5" t="s">
        <v>5576</v>
      </c>
      <c r="W1254" s="5" t="s">
        <v>36</v>
      </c>
      <c r="X1254" s="8" t="s">
        <v>1593</v>
      </c>
      <c r="Y1254" s="5" t="s">
        <v>46</v>
      </c>
      <c r="Z1254" s="5" t="s">
        <v>47</v>
      </c>
      <c r="AA1254" s="5" t="s">
        <v>48</v>
      </c>
      <c r="AB1254" s="5" t="s">
        <v>5785</v>
      </c>
      <c r="AC1254" s="6" t="s">
        <v>86</v>
      </c>
      <c r="AD1254" s="6">
        <v>531.0</v>
      </c>
    </row>
    <row r="1255" ht="56.25" customHeight="1">
      <c r="A1255" s="5" t="s">
        <v>5786</v>
      </c>
      <c r="B1255" s="6" t="str">
        <f>IMAGE("https://storage.googleapis.com/acdb/housewares/FtrComponentHighclass.png")</f>
        <v/>
      </c>
      <c r="C1255" s="5" t="s">
        <v>34</v>
      </c>
      <c r="D1255" s="5" t="s">
        <v>34</v>
      </c>
      <c r="E1255" s="5" t="s">
        <v>34</v>
      </c>
      <c r="F1255" s="5" t="s">
        <v>34</v>
      </c>
      <c r="G1255" s="5" t="s">
        <v>36</v>
      </c>
      <c r="H1255" s="5" t="s">
        <v>36</v>
      </c>
      <c r="I1255" s="5" t="s">
        <v>36</v>
      </c>
      <c r="J1255" s="6" t="s">
        <v>34</v>
      </c>
      <c r="K1255" s="6">
        <v>82000.0</v>
      </c>
      <c r="L1255" s="6">
        <v>20500.0</v>
      </c>
      <c r="M1255" s="5" t="s">
        <v>95</v>
      </c>
      <c r="N1255" s="5" t="s">
        <v>39</v>
      </c>
      <c r="O1255" s="6" t="s">
        <v>276</v>
      </c>
      <c r="P1255" s="5" t="s">
        <v>59</v>
      </c>
      <c r="Q1255" s="5" t="s">
        <v>115</v>
      </c>
      <c r="R1255" s="6" t="s">
        <v>42</v>
      </c>
      <c r="S1255" s="5" t="s">
        <v>90</v>
      </c>
      <c r="T1255" s="5" t="s">
        <v>116</v>
      </c>
      <c r="U1255" s="5" t="s">
        <v>44</v>
      </c>
      <c r="V1255" s="5" t="s">
        <v>44</v>
      </c>
      <c r="W1255" s="5" t="s">
        <v>35</v>
      </c>
      <c r="X1255" s="8" t="s">
        <v>746</v>
      </c>
      <c r="Y1255" s="5" t="s">
        <v>2810</v>
      </c>
      <c r="Z1255" s="5" t="s">
        <v>47</v>
      </c>
      <c r="AA1255" s="5" t="s">
        <v>64</v>
      </c>
      <c r="AB1255" s="5" t="s">
        <v>5791</v>
      </c>
      <c r="AC1255" s="6" t="s">
        <v>34</v>
      </c>
      <c r="AD1255" s="6">
        <v>790.0</v>
      </c>
    </row>
    <row r="1256" ht="56.25" customHeight="1">
      <c r="A1256" s="5" t="s">
        <v>5792</v>
      </c>
      <c r="B1256" s="6" t="str">
        <f>IMAGE("https://storage.googleapis.com/acdb/housewares/FtrComponentPro.png")</f>
        <v/>
      </c>
      <c r="C1256" s="5" t="s">
        <v>34</v>
      </c>
      <c r="D1256" s="5" t="s">
        <v>34</v>
      </c>
      <c r="E1256" s="5" t="s">
        <v>34</v>
      </c>
      <c r="F1256" s="5" t="s">
        <v>34</v>
      </c>
      <c r="G1256" s="5" t="s">
        <v>36</v>
      </c>
      <c r="H1256" s="5" t="s">
        <v>36</v>
      </c>
      <c r="I1256" s="5" t="s">
        <v>36</v>
      </c>
      <c r="J1256" s="6" t="s">
        <v>34</v>
      </c>
      <c r="K1256" s="6">
        <v>10000.0</v>
      </c>
      <c r="L1256" s="6">
        <v>2500.0</v>
      </c>
      <c r="M1256" s="5" t="s">
        <v>54</v>
      </c>
      <c r="N1256" s="5" t="s">
        <v>54</v>
      </c>
      <c r="O1256" s="6" t="s">
        <v>276</v>
      </c>
      <c r="P1256" s="5" t="s">
        <v>59</v>
      </c>
      <c r="Q1256" s="5" t="s">
        <v>89</v>
      </c>
      <c r="R1256" s="6" t="s">
        <v>42</v>
      </c>
      <c r="S1256" s="5" t="s">
        <v>90</v>
      </c>
      <c r="T1256" s="5" t="s">
        <v>44</v>
      </c>
      <c r="U1256" s="5" t="s">
        <v>44</v>
      </c>
      <c r="V1256" s="5" t="s">
        <v>44</v>
      </c>
      <c r="W1256" s="5" t="s">
        <v>35</v>
      </c>
      <c r="X1256" s="8" t="s">
        <v>746</v>
      </c>
      <c r="Y1256" s="5" t="s">
        <v>2810</v>
      </c>
      <c r="Z1256" s="5" t="s">
        <v>47</v>
      </c>
      <c r="AA1256" s="5" t="s">
        <v>64</v>
      </c>
      <c r="AB1256" s="5" t="s">
        <v>5795</v>
      </c>
      <c r="AC1256" s="6" t="s">
        <v>34</v>
      </c>
      <c r="AD1256" s="6">
        <v>793.0</v>
      </c>
    </row>
    <row r="1257" ht="56.25" customHeight="1">
      <c r="A1257" s="5" t="s">
        <v>5796</v>
      </c>
      <c r="B1257" s="6" t="str">
        <f>IMAGE("https://storage.googleapis.com/acdb/housewares/FtrHosereel_Remake_0_0.png")</f>
        <v/>
      </c>
      <c r="C1257" s="5" t="s">
        <v>146</v>
      </c>
      <c r="D1257" s="5" t="s">
        <v>34</v>
      </c>
      <c r="E1257" s="5" t="s">
        <v>34</v>
      </c>
      <c r="F1257" s="5" t="s">
        <v>34</v>
      </c>
      <c r="G1257" s="5" t="s">
        <v>36</v>
      </c>
      <c r="H1257" s="5" t="s">
        <v>36</v>
      </c>
      <c r="I1257" s="5" t="s">
        <v>36</v>
      </c>
      <c r="J1257" s="6" t="s">
        <v>34</v>
      </c>
      <c r="K1257" s="6">
        <v>1400.0</v>
      </c>
      <c r="L1257" s="6">
        <v>350.0</v>
      </c>
      <c r="M1257" s="8" t="s">
        <v>95</v>
      </c>
      <c r="N1257" s="8" t="s">
        <v>1175</v>
      </c>
      <c r="O1257" s="6" t="s">
        <v>40</v>
      </c>
      <c r="P1257" s="5" t="s">
        <v>59</v>
      </c>
      <c r="Q1257" s="5" t="s">
        <v>89</v>
      </c>
      <c r="R1257" s="6" t="s">
        <v>42</v>
      </c>
      <c r="S1257" s="5" t="s">
        <v>172</v>
      </c>
      <c r="T1257" s="5" t="s">
        <v>44</v>
      </c>
      <c r="U1257" s="5" t="s">
        <v>44</v>
      </c>
      <c r="V1257" s="5" t="s">
        <v>44</v>
      </c>
      <c r="W1257" s="5" t="s">
        <v>36</v>
      </c>
      <c r="X1257" s="8" t="s">
        <v>1010</v>
      </c>
      <c r="Y1257" s="5" t="s">
        <v>46</v>
      </c>
      <c r="Z1257" s="5" t="s">
        <v>47</v>
      </c>
      <c r="AA1257" s="5" t="s">
        <v>64</v>
      </c>
      <c r="AB1257" s="5" t="s">
        <v>5798</v>
      </c>
      <c r="AC1257" s="6" t="s">
        <v>50</v>
      </c>
      <c r="AD1257" s="6">
        <v>4113.0</v>
      </c>
    </row>
    <row r="1258" ht="56.25" customHeight="1">
      <c r="A1258" s="5" t="s">
        <v>5796</v>
      </c>
      <c r="B1258" s="6" t="str">
        <f>IMAGE("https://storage.googleapis.com/acdb/housewares/FtrHosereel_Remake_1_0.png")</f>
        <v/>
      </c>
      <c r="C1258" s="5" t="s">
        <v>114</v>
      </c>
      <c r="D1258" s="5" t="s">
        <v>34</v>
      </c>
      <c r="E1258" s="5" t="s">
        <v>34</v>
      </c>
      <c r="F1258" s="5" t="s">
        <v>34</v>
      </c>
      <c r="G1258" s="5" t="s">
        <v>36</v>
      </c>
      <c r="H1258" s="5" t="s">
        <v>36</v>
      </c>
      <c r="I1258" s="5" t="s">
        <v>36</v>
      </c>
      <c r="J1258" s="6" t="s">
        <v>34</v>
      </c>
      <c r="K1258" s="6">
        <v>1400.0</v>
      </c>
      <c r="L1258" s="6">
        <v>350.0</v>
      </c>
      <c r="M1258" s="8" t="s">
        <v>114</v>
      </c>
      <c r="N1258" s="8" t="s">
        <v>96</v>
      </c>
      <c r="O1258" s="6" t="s">
        <v>40</v>
      </c>
      <c r="P1258" s="5" t="s">
        <v>59</v>
      </c>
      <c r="Q1258" s="5" t="s">
        <v>89</v>
      </c>
      <c r="R1258" s="6" t="s">
        <v>42</v>
      </c>
      <c r="S1258" s="5" t="s">
        <v>172</v>
      </c>
      <c r="T1258" s="5" t="s">
        <v>44</v>
      </c>
      <c r="U1258" s="5" t="s">
        <v>44</v>
      </c>
      <c r="V1258" s="5" t="s">
        <v>44</v>
      </c>
      <c r="W1258" s="5" t="s">
        <v>36</v>
      </c>
      <c r="X1258" s="8" t="s">
        <v>1010</v>
      </c>
      <c r="Y1258" s="5" t="s">
        <v>46</v>
      </c>
      <c r="Z1258" s="5" t="s">
        <v>47</v>
      </c>
      <c r="AA1258" s="5" t="s">
        <v>64</v>
      </c>
      <c r="AB1258" s="5" t="s">
        <v>5801</v>
      </c>
      <c r="AC1258" s="6" t="s">
        <v>56</v>
      </c>
      <c r="AD1258" s="6">
        <v>4113.0</v>
      </c>
    </row>
    <row r="1259" ht="56.25" customHeight="1">
      <c r="A1259" s="5" t="s">
        <v>5796</v>
      </c>
      <c r="B1259" s="6" t="str">
        <f>IMAGE("https://storage.googleapis.com/acdb/housewares/FtrHosereel_Remake_2_0.png")</f>
        <v/>
      </c>
      <c r="C1259" s="5" t="s">
        <v>52</v>
      </c>
      <c r="D1259" s="5" t="s">
        <v>34</v>
      </c>
      <c r="E1259" s="5" t="s">
        <v>34</v>
      </c>
      <c r="F1259" s="5" t="s">
        <v>34</v>
      </c>
      <c r="G1259" s="5" t="s">
        <v>36</v>
      </c>
      <c r="H1259" s="5" t="s">
        <v>36</v>
      </c>
      <c r="I1259" s="5" t="s">
        <v>36</v>
      </c>
      <c r="J1259" s="6" t="s">
        <v>34</v>
      </c>
      <c r="K1259" s="6">
        <v>1400.0</v>
      </c>
      <c r="L1259" s="6">
        <v>350.0</v>
      </c>
      <c r="M1259" s="8" t="s">
        <v>52</v>
      </c>
      <c r="N1259" s="8" t="s">
        <v>68</v>
      </c>
      <c r="O1259" s="6" t="s">
        <v>40</v>
      </c>
      <c r="P1259" s="5" t="s">
        <v>59</v>
      </c>
      <c r="Q1259" s="5" t="s">
        <v>89</v>
      </c>
      <c r="R1259" s="6" t="s">
        <v>42</v>
      </c>
      <c r="S1259" s="5" t="s">
        <v>172</v>
      </c>
      <c r="T1259" s="5" t="s">
        <v>44</v>
      </c>
      <c r="U1259" s="5" t="s">
        <v>44</v>
      </c>
      <c r="V1259" s="5" t="s">
        <v>44</v>
      </c>
      <c r="W1259" s="5" t="s">
        <v>36</v>
      </c>
      <c r="X1259" s="8" t="s">
        <v>1010</v>
      </c>
      <c r="Y1259" s="5" t="s">
        <v>46</v>
      </c>
      <c r="Z1259" s="5" t="s">
        <v>47</v>
      </c>
      <c r="AA1259" s="5" t="s">
        <v>64</v>
      </c>
      <c r="AB1259" s="5" t="s">
        <v>5804</v>
      </c>
      <c r="AC1259" s="6" t="s">
        <v>67</v>
      </c>
      <c r="AD1259" s="6">
        <v>4113.0</v>
      </c>
    </row>
    <row r="1260" ht="56.25" customHeight="1">
      <c r="A1260" s="5" t="s">
        <v>5796</v>
      </c>
      <c r="B1260" s="6" t="str">
        <f>IMAGE("https://storage.googleapis.com/acdb/housewares/FtrHosereel_Remake_3_0.png")</f>
        <v/>
      </c>
      <c r="C1260" s="5" t="s">
        <v>96</v>
      </c>
      <c r="D1260" s="5" t="s">
        <v>34</v>
      </c>
      <c r="E1260" s="5" t="s">
        <v>34</v>
      </c>
      <c r="F1260" s="5" t="s">
        <v>34</v>
      </c>
      <c r="G1260" s="5" t="s">
        <v>36</v>
      </c>
      <c r="H1260" s="5" t="s">
        <v>36</v>
      </c>
      <c r="I1260" s="5" t="s">
        <v>36</v>
      </c>
      <c r="J1260" s="6" t="s">
        <v>34</v>
      </c>
      <c r="K1260" s="6">
        <v>1400.0</v>
      </c>
      <c r="L1260" s="6">
        <v>350.0</v>
      </c>
      <c r="M1260" s="8" t="s">
        <v>96</v>
      </c>
      <c r="N1260" s="8" t="s">
        <v>38</v>
      </c>
      <c r="O1260" s="6" t="s">
        <v>40</v>
      </c>
      <c r="P1260" s="5" t="s">
        <v>59</v>
      </c>
      <c r="Q1260" s="5" t="s">
        <v>89</v>
      </c>
      <c r="R1260" s="6" t="s">
        <v>42</v>
      </c>
      <c r="S1260" s="5" t="s">
        <v>172</v>
      </c>
      <c r="T1260" s="5" t="s">
        <v>44</v>
      </c>
      <c r="U1260" s="5" t="s">
        <v>44</v>
      </c>
      <c r="V1260" s="5" t="s">
        <v>44</v>
      </c>
      <c r="W1260" s="5" t="s">
        <v>36</v>
      </c>
      <c r="X1260" s="8" t="s">
        <v>1010</v>
      </c>
      <c r="Y1260" s="5" t="s">
        <v>46</v>
      </c>
      <c r="Z1260" s="5" t="s">
        <v>47</v>
      </c>
      <c r="AA1260" s="5" t="s">
        <v>64</v>
      </c>
      <c r="AB1260" s="5" t="s">
        <v>5807</v>
      </c>
      <c r="AC1260" s="6" t="s">
        <v>71</v>
      </c>
      <c r="AD1260" s="6">
        <v>4113.0</v>
      </c>
    </row>
    <row r="1261" ht="56.25" customHeight="1">
      <c r="A1261" s="5" t="s">
        <v>5796</v>
      </c>
      <c r="B1261" s="6" t="str">
        <f>IMAGE("https://storage.googleapis.com/acdb/housewares/FtrHosereel_Remake_4_0.png")</f>
        <v/>
      </c>
      <c r="C1261" s="5" t="s">
        <v>68</v>
      </c>
      <c r="D1261" s="5" t="s">
        <v>34</v>
      </c>
      <c r="E1261" s="5" t="s">
        <v>34</v>
      </c>
      <c r="F1261" s="5" t="s">
        <v>34</v>
      </c>
      <c r="G1261" s="5" t="s">
        <v>36</v>
      </c>
      <c r="H1261" s="5" t="s">
        <v>36</v>
      </c>
      <c r="I1261" s="5" t="s">
        <v>36</v>
      </c>
      <c r="J1261" s="6" t="s">
        <v>34</v>
      </c>
      <c r="K1261" s="6">
        <v>1400.0</v>
      </c>
      <c r="L1261" s="6">
        <v>350.0</v>
      </c>
      <c r="M1261" s="8" t="s">
        <v>68</v>
      </c>
      <c r="N1261" s="8" t="s">
        <v>1175</v>
      </c>
      <c r="O1261" s="6" t="s">
        <v>40</v>
      </c>
      <c r="P1261" s="5" t="s">
        <v>59</v>
      </c>
      <c r="Q1261" s="5" t="s">
        <v>89</v>
      </c>
      <c r="R1261" s="6" t="s">
        <v>42</v>
      </c>
      <c r="S1261" s="5" t="s">
        <v>172</v>
      </c>
      <c r="T1261" s="5" t="s">
        <v>44</v>
      </c>
      <c r="U1261" s="5" t="s">
        <v>44</v>
      </c>
      <c r="V1261" s="5" t="s">
        <v>44</v>
      </c>
      <c r="W1261" s="5" t="s">
        <v>36</v>
      </c>
      <c r="X1261" s="8" t="s">
        <v>1010</v>
      </c>
      <c r="Y1261" s="5" t="s">
        <v>46</v>
      </c>
      <c r="Z1261" s="5" t="s">
        <v>47</v>
      </c>
      <c r="AA1261" s="5" t="s">
        <v>64</v>
      </c>
      <c r="AB1261" s="5" t="s">
        <v>5810</v>
      </c>
      <c r="AC1261" s="6" t="s">
        <v>75</v>
      </c>
      <c r="AD1261" s="6">
        <v>4113.0</v>
      </c>
    </row>
    <row r="1262" ht="56.25" customHeight="1">
      <c r="A1262" s="5" t="s">
        <v>5796</v>
      </c>
      <c r="B1262" s="6" t="str">
        <f>IMAGE("https://storage.googleapis.com/acdb/housewares/FtrHosereel_Remake_5_0.png")</f>
        <v/>
      </c>
      <c r="C1262" s="5" t="s">
        <v>54</v>
      </c>
      <c r="D1262" s="5" t="s">
        <v>34</v>
      </c>
      <c r="E1262" s="5" t="s">
        <v>34</v>
      </c>
      <c r="F1262" s="5" t="s">
        <v>34</v>
      </c>
      <c r="G1262" s="5" t="s">
        <v>36</v>
      </c>
      <c r="H1262" s="5" t="s">
        <v>36</v>
      </c>
      <c r="I1262" s="5" t="s">
        <v>36</v>
      </c>
      <c r="J1262" s="6" t="s">
        <v>34</v>
      </c>
      <c r="K1262" s="6">
        <v>1400.0</v>
      </c>
      <c r="L1262" s="6">
        <v>350.0</v>
      </c>
      <c r="M1262" s="8" t="s">
        <v>54</v>
      </c>
      <c r="N1262" s="8" t="s">
        <v>95</v>
      </c>
      <c r="O1262" s="6" t="s">
        <v>40</v>
      </c>
      <c r="P1262" s="5" t="s">
        <v>59</v>
      </c>
      <c r="Q1262" s="5" t="s">
        <v>89</v>
      </c>
      <c r="R1262" s="6" t="s">
        <v>42</v>
      </c>
      <c r="S1262" s="5" t="s">
        <v>172</v>
      </c>
      <c r="T1262" s="5" t="s">
        <v>44</v>
      </c>
      <c r="U1262" s="5" t="s">
        <v>44</v>
      </c>
      <c r="V1262" s="5" t="s">
        <v>44</v>
      </c>
      <c r="W1262" s="5" t="s">
        <v>36</v>
      </c>
      <c r="X1262" s="8" t="s">
        <v>1010</v>
      </c>
      <c r="Y1262" s="5" t="s">
        <v>46</v>
      </c>
      <c r="Z1262" s="5" t="s">
        <v>47</v>
      </c>
      <c r="AA1262" s="5" t="s">
        <v>64</v>
      </c>
      <c r="AB1262" s="5" t="s">
        <v>5816</v>
      </c>
      <c r="AC1262" s="6" t="s">
        <v>79</v>
      </c>
      <c r="AD1262" s="6">
        <v>4113.0</v>
      </c>
    </row>
    <row r="1263" ht="56.25" customHeight="1">
      <c r="A1263" s="5" t="s">
        <v>5817</v>
      </c>
      <c r="B1263" s="6" t="str">
        <f>IMAGE("https://storage.googleapis.com/acdb/housewares/FtrIllumiPresent_Remake_0_0.png")</f>
        <v/>
      </c>
      <c r="C1263" s="5" t="s">
        <v>5819</v>
      </c>
      <c r="D1263" s="5" t="s">
        <v>5820</v>
      </c>
      <c r="E1263" s="5" t="s">
        <v>34</v>
      </c>
      <c r="F1263" s="5" t="s">
        <v>34</v>
      </c>
      <c r="G1263" s="5" t="s">
        <v>35</v>
      </c>
      <c r="H1263" s="5" t="s">
        <v>35</v>
      </c>
      <c r="I1263" s="5" t="s">
        <v>36</v>
      </c>
      <c r="J1263" s="6">
        <v>4.0</v>
      </c>
      <c r="K1263" s="6" t="s">
        <v>37</v>
      </c>
      <c r="L1263" s="6">
        <v>2950.0</v>
      </c>
      <c r="M1263" s="8" t="s">
        <v>114</v>
      </c>
      <c r="N1263" s="8" t="s">
        <v>52</v>
      </c>
      <c r="O1263" s="6" t="s">
        <v>40</v>
      </c>
      <c r="P1263" s="5" t="s">
        <v>41</v>
      </c>
      <c r="Q1263" s="5" t="s">
        <v>969</v>
      </c>
      <c r="R1263" s="6" t="s">
        <v>42</v>
      </c>
      <c r="S1263" s="5" t="s">
        <v>465</v>
      </c>
      <c r="T1263" s="5" t="s">
        <v>61</v>
      </c>
      <c r="U1263" s="5" t="s">
        <v>970</v>
      </c>
      <c r="V1263" s="5" t="s">
        <v>44</v>
      </c>
      <c r="W1263" s="5" t="s">
        <v>35</v>
      </c>
      <c r="X1263" s="8" t="s">
        <v>590</v>
      </c>
      <c r="Y1263" s="5" t="s">
        <v>46</v>
      </c>
      <c r="Z1263" s="5" t="s">
        <v>502</v>
      </c>
      <c r="AA1263" s="5" t="s">
        <v>48</v>
      </c>
      <c r="AB1263" s="5" t="s">
        <v>5824</v>
      </c>
      <c r="AC1263" s="6" t="s">
        <v>50</v>
      </c>
      <c r="AD1263" s="6">
        <v>4108.0</v>
      </c>
    </row>
    <row r="1264" ht="56.25" customHeight="1">
      <c r="A1264" s="5" t="s">
        <v>5817</v>
      </c>
      <c r="B1264" s="6" t="str">
        <f>IMAGE("https://storage.googleapis.com/acdb/housewares/FtrIllumiPresent_Remake_1_0.png")</f>
        <v/>
      </c>
      <c r="C1264" s="5" t="s">
        <v>5826</v>
      </c>
      <c r="D1264" s="5" t="s">
        <v>5820</v>
      </c>
      <c r="E1264" s="5" t="s">
        <v>34</v>
      </c>
      <c r="F1264" s="5" t="s">
        <v>34</v>
      </c>
      <c r="G1264" s="5" t="s">
        <v>35</v>
      </c>
      <c r="H1264" s="5" t="s">
        <v>35</v>
      </c>
      <c r="I1264" s="5" t="s">
        <v>36</v>
      </c>
      <c r="J1264" s="6">
        <v>4.0</v>
      </c>
      <c r="K1264" s="6" t="s">
        <v>37</v>
      </c>
      <c r="L1264" s="6">
        <v>2950.0</v>
      </c>
      <c r="M1264" s="8" t="s">
        <v>69</v>
      </c>
      <c r="N1264" s="8" t="s">
        <v>96</v>
      </c>
      <c r="O1264" s="6" t="s">
        <v>40</v>
      </c>
      <c r="P1264" s="5" t="s">
        <v>41</v>
      </c>
      <c r="Q1264" s="5" t="s">
        <v>969</v>
      </c>
      <c r="R1264" s="6" t="s">
        <v>42</v>
      </c>
      <c r="S1264" s="5" t="s">
        <v>465</v>
      </c>
      <c r="T1264" s="5" t="s">
        <v>61</v>
      </c>
      <c r="U1264" s="5" t="s">
        <v>970</v>
      </c>
      <c r="V1264" s="5" t="s">
        <v>44</v>
      </c>
      <c r="W1264" s="5" t="s">
        <v>35</v>
      </c>
      <c r="X1264" s="8" t="s">
        <v>590</v>
      </c>
      <c r="Y1264" s="5" t="s">
        <v>46</v>
      </c>
      <c r="Z1264" s="5" t="s">
        <v>502</v>
      </c>
      <c r="AA1264" s="5" t="s">
        <v>48</v>
      </c>
      <c r="AB1264" s="5" t="s">
        <v>5829</v>
      </c>
      <c r="AC1264" s="6" t="s">
        <v>56</v>
      </c>
      <c r="AD1264" s="6">
        <v>4108.0</v>
      </c>
    </row>
    <row r="1265" ht="56.25" customHeight="1">
      <c r="A1265" s="5" t="s">
        <v>5817</v>
      </c>
      <c r="B1265" s="6" t="str">
        <f>IMAGE("https://storage.googleapis.com/acdb/housewares/FtrIllumiPresent_Remake_2_0.png")</f>
        <v/>
      </c>
      <c r="C1265" s="5" t="s">
        <v>5831</v>
      </c>
      <c r="D1265" s="5" t="s">
        <v>5820</v>
      </c>
      <c r="E1265" s="5" t="s">
        <v>34</v>
      </c>
      <c r="F1265" s="5" t="s">
        <v>34</v>
      </c>
      <c r="G1265" s="5" t="s">
        <v>35</v>
      </c>
      <c r="H1265" s="5" t="s">
        <v>35</v>
      </c>
      <c r="I1265" s="5" t="s">
        <v>36</v>
      </c>
      <c r="J1265" s="6">
        <v>4.0</v>
      </c>
      <c r="K1265" s="6" t="s">
        <v>37</v>
      </c>
      <c r="L1265" s="6">
        <v>2950.0</v>
      </c>
      <c r="M1265" s="8" t="s">
        <v>68</v>
      </c>
      <c r="N1265" s="8" t="s">
        <v>142</v>
      </c>
      <c r="O1265" s="6" t="s">
        <v>40</v>
      </c>
      <c r="P1265" s="5" t="s">
        <v>41</v>
      </c>
      <c r="Q1265" s="5" t="s">
        <v>969</v>
      </c>
      <c r="R1265" s="6" t="s">
        <v>42</v>
      </c>
      <c r="S1265" s="5" t="s">
        <v>465</v>
      </c>
      <c r="T1265" s="5" t="s">
        <v>61</v>
      </c>
      <c r="U1265" s="5" t="s">
        <v>970</v>
      </c>
      <c r="V1265" s="5" t="s">
        <v>44</v>
      </c>
      <c r="W1265" s="5" t="s">
        <v>35</v>
      </c>
      <c r="X1265" s="8" t="s">
        <v>590</v>
      </c>
      <c r="Y1265" s="5" t="s">
        <v>46</v>
      </c>
      <c r="Z1265" s="5" t="s">
        <v>502</v>
      </c>
      <c r="AA1265" s="5" t="s">
        <v>48</v>
      </c>
      <c r="AB1265" s="5" t="s">
        <v>5833</v>
      </c>
      <c r="AC1265" s="6" t="s">
        <v>67</v>
      </c>
      <c r="AD1265" s="6">
        <v>4108.0</v>
      </c>
    </row>
    <row r="1266" ht="56.25" customHeight="1">
      <c r="A1266" s="5" t="s">
        <v>5817</v>
      </c>
      <c r="B1266" s="6" t="str">
        <f>IMAGE("https://storage.googleapis.com/acdb/housewares/FtrIllumiPresent_Remake_3_0.png")</f>
        <v/>
      </c>
      <c r="C1266" s="5" t="s">
        <v>5834</v>
      </c>
      <c r="D1266" s="5" t="s">
        <v>5820</v>
      </c>
      <c r="E1266" s="5" t="s">
        <v>34</v>
      </c>
      <c r="F1266" s="5" t="s">
        <v>34</v>
      </c>
      <c r="G1266" s="5" t="s">
        <v>35</v>
      </c>
      <c r="H1266" s="5" t="s">
        <v>35</v>
      </c>
      <c r="I1266" s="5" t="s">
        <v>36</v>
      </c>
      <c r="J1266" s="6">
        <v>4.0</v>
      </c>
      <c r="K1266" s="6" t="s">
        <v>37</v>
      </c>
      <c r="L1266" s="6">
        <v>2950.0</v>
      </c>
      <c r="M1266" s="8" t="s">
        <v>57</v>
      </c>
      <c r="N1266" s="8" t="s">
        <v>68</v>
      </c>
      <c r="O1266" s="6" t="s">
        <v>40</v>
      </c>
      <c r="P1266" s="5" t="s">
        <v>41</v>
      </c>
      <c r="Q1266" s="5" t="s">
        <v>969</v>
      </c>
      <c r="R1266" s="6" t="s">
        <v>42</v>
      </c>
      <c r="S1266" s="5" t="s">
        <v>465</v>
      </c>
      <c r="T1266" s="5" t="s">
        <v>61</v>
      </c>
      <c r="U1266" s="5" t="s">
        <v>970</v>
      </c>
      <c r="V1266" s="5" t="s">
        <v>44</v>
      </c>
      <c r="W1266" s="5" t="s">
        <v>35</v>
      </c>
      <c r="X1266" s="8" t="s">
        <v>590</v>
      </c>
      <c r="Y1266" s="5" t="s">
        <v>46</v>
      </c>
      <c r="Z1266" s="5" t="s">
        <v>502</v>
      </c>
      <c r="AA1266" s="5" t="s">
        <v>48</v>
      </c>
      <c r="AB1266" s="5" t="s">
        <v>5838</v>
      </c>
      <c r="AC1266" s="6" t="s">
        <v>71</v>
      </c>
      <c r="AD1266" s="6">
        <v>4108.0</v>
      </c>
    </row>
    <row r="1267" ht="56.25" customHeight="1">
      <c r="A1267" s="5" t="s">
        <v>5839</v>
      </c>
      <c r="B1267" s="6" t="str">
        <f>IMAGE("https://storage.googleapis.com/acdb/housewares/FtrIllumiReindeer_Remake_0_0.png")</f>
        <v/>
      </c>
      <c r="C1267" s="5" t="s">
        <v>114</v>
      </c>
      <c r="D1267" s="5" t="s">
        <v>5820</v>
      </c>
      <c r="E1267" s="5" t="s">
        <v>34</v>
      </c>
      <c r="F1267" s="5" t="s">
        <v>34</v>
      </c>
      <c r="G1267" s="5" t="s">
        <v>35</v>
      </c>
      <c r="H1267" s="5" t="s">
        <v>35</v>
      </c>
      <c r="I1267" s="5" t="s">
        <v>36</v>
      </c>
      <c r="J1267" s="6">
        <v>6.0</v>
      </c>
      <c r="K1267" s="6" t="s">
        <v>37</v>
      </c>
      <c r="L1267" s="6">
        <v>4350.0</v>
      </c>
      <c r="M1267" s="8" t="s">
        <v>114</v>
      </c>
      <c r="N1267" s="8" t="s">
        <v>114</v>
      </c>
      <c r="O1267" s="6" t="s">
        <v>276</v>
      </c>
      <c r="P1267" s="5" t="s">
        <v>41</v>
      </c>
      <c r="Q1267" s="5" t="s">
        <v>969</v>
      </c>
      <c r="R1267" s="6" t="s">
        <v>42</v>
      </c>
      <c r="S1267" s="5" t="s">
        <v>465</v>
      </c>
      <c r="T1267" s="5" t="s">
        <v>61</v>
      </c>
      <c r="U1267" s="5" t="s">
        <v>970</v>
      </c>
      <c r="V1267" s="5" t="s">
        <v>44</v>
      </c>
      <c r="W1267" s="5" t="s">
        <v>35</v>
      </c>
      <c r="X1267" s="8" t="s">
        <v>590</v>
      </c>
      <c r="Y1267" s="5" t="s">
        <v>46</v>
      </c>
      <c r="Z1267" s="5" t="s">
        <v>502</v>
      </c>
      <c r="AA1267" s="5" t="s">
        <v>48</v>
      </c>
      <c r="AB1267" s="5" t="s">
        <v>5845</v>
      </c>
      <c r="AC1267" s="6" t="s">
        <v>50</v>
      </c>
      <c r="AD1267" s="6">
        <v>4074.0</v>
      </c>
    </row>
    <row r="1268" ht="56.25" customHeight="1">
      <c r="A1268" s="5" t="s">
        <v>5839</v>
      </c>
      <c r="B1268" s="6" t="str">
        <f>IMAGE("https://storage.googleapis.com/acdb/housewares/FtrIllumiReindeer_Remake_1_0.png")</f>
        <v/>
      </c>
      <c r="C1268" s="5" t="s">
        <v>69</v>
      </c>
      <c r="D1268" s="5" t="s">
        <v>5820</v>
      </c>
      <c r="E1268" s="5" t="s">
        <v>34</v>
      </c>
      <c r="F1268" s="5" t="s">
        <v>34</v>
      </c>
      <c r="G1268" s="5" t="s">
        <v>35</v>
      </c>
      <c r="H1268" s="5" t="s">
        <v>35</v>
      </c>
      <c r="I1268" s="5" t="s">
        <v>36</v>
      </c>
      <c r="J1268" s="6">
        <v>6.0</v>
      </c>
      <c r="K1268" s="6" t="s">
        <v>37</v>
      </c>
      <c r="L1268" s="6">
        <v>4350.0</v>
      </c>
      <c r="M1268" s="8" t="s">
        <v>69</v>
      </c>
      <c r="N1268" s="8" t="s">
        <v>69</v>
      </c>
      <c r="O1268" s="6" t="s">
        <v>276</v>
      </c>
      <c r="P1268" s="5" t="s">
        <v>41</v>
      </c>
      <c r="Q1268" s="5" t="s">
        <v>969</v>
      </c>
      <c r="R1268" s="6" t="s">
        <v>42</v>
      </c>
      <c r="S1268" s="5" t="s">
        <v>465</v>
      </c>
      <c r="T1268" s="5" t="s">
        <v>61</v>
      </c>
      <c r="U1268" s="5" t="s">
        <v>970</v>
      </c>
      <c r="V1268" s="5" t="s">
        <v>44</v>
      </c>
      <c r="W1268" s="5" t="s">
        <v>35</v>
      </c>
      <c r="X1268" s="8" t="s">
        <v>590</v>
      </c>
      <c r="Y1268" s="5" t="s">
        <v>46</v>
      </c>
      <c r="Z1268" s="5" t="s">
        <v>502</v>
      </c>
      <c r="AA1268" s="5" t="s">
        <v>48</v>
      </c>
      <c r="AB1268" s="5" t="s">
        <v>5848</v>
      </c>
      <c r="AC1268" s="6" t="s">
        <v>56</v>
      </c>
      <c r="AD1268" s="6">
        <v>4074.0</v>
      </c>
    </row>
    <row r="1269" ht="56.25" customHeight="1">
      <c r="A1269" s="5" t="s">
        <v>5839</v>
      </c>
      <c r="B1269" s="6" t="str">
        <f>IMAGE("https://storage.googleapis.com/acdb/housewares/FtrIllumiReindeer_Remake_2_0.png")</f>
        <v/>
      </c>
      <c r="C1269" s="5" t="s">
        <v>68</v>
      </c>
      <c r="D1269" s="5" t="s">
        <v>5820</v>
      </c>
      <c r="E1269" s="5" t="s">
        <v>34</v>
      </c>
      <c r="F1269" s="5" t="s">
        <v>34</v>
      </c>
      <c r="G1269" s="5" t="s">
        <v>35</v>
      </c>
      <c r="H1269" s="5" t="s">
        <v>35</v>
      </c>
      <c r="I1269" s="5" t="s">
        <v>36</v>
      </c>
      <c r="J1269" s="6">
        <v>6.0</v>
      </c>
      <c r="K1269" s="6" t="s">
        <v>37</v>
      </c>
      <c r="L1269" s="6">
        <v>4350.0</v>
      </c>
      <c r="M1269" s="8" t="s">
        <v>68</v>
      </c>
      <c r="N1269" s="8" t="s">
        <v>68</v>
      </c>
      <c r="O1269" s="6" t="s">
        <v>276</v>
      </c>
      <c r="P1269" s="5" t="s">
        <v>41</v>
      </c>
      <c r="Q1269" s="5" t="s">
        <v>969</v>
      </c>
      <c r="R1269" s="6" t="s">
        <v>42</v>
      </c>
      <c r="S1269" s="5" t="s">
        <v>465</v>
      </c>
      <c r="T1269" s="5" t="s">
        <v>61</v>
      </c>
      <c r="U1269" s="5" t="s">
        <v>970</v>
      </c>
      <c r="V1269" s="5" t="s">
        <v>44</v>
      </c>
      <c r="W1269" s="5" t="s">
        <v>35</v>
      </c>
      <c r="X1269" s="8" t="s">
        <v>590</v>
      </c>
      <c r="Y1269" s="5" t="s">
        <v>46</v>
      </c>
      <c r="Z1269" s="5" t="s">
        <v>502</v>
      </c>
      <c r="AA1269" s="5" t="s">
        <v>48</v>
      </c>
      <c r="AB1269" s="5" t="s">
        <v>5852</v>
      </c>
      <c r="AC1269" s="6" t="s">
        <v>67</v>
      </c>
      <c r="AD1269" s="6">
        <v>4074.0</v>
      </c>
    </row>
    <row r="1270" ht="56.25" customHeight="1">
      <c r="A1270" s="5" t="s">
        <v>5839</v>
      </c>
      <c r="B1270" s="6" t="str">
        <f>IMAGE("https://storage.googleapis.com/acdb/housewares/FtrIllumiReindeer_Remake_3_0.png")</f>
        <v/>
      </c>
      <c r="C1270" s="5" t="s">
        <v>96</v>
      </c>
      <c r="D1270" s="5" t="s">
        <v>5820</v>
      </c>
      <c r="E1270" s="5" t="s">
        <v>34</v>
      </c>
      <c r="F1270" s="5" t="s">
        <v>34</v>
      </c>
      <c r="G1270" s="5" t="s">
        <v>35</v>
      </c>
      <c r="H1270" s="5" t="s">
        <v>35</v>
      </c>
      <c r="I1270" s="5" t="s">
        <v>36</v>
      </c>
      <c r="J1270" s="6">
        <v>6.0</v>
      </c>
      <c r="K1270" s="6" t="s">
        <v>37</v>
      </c>
      <c r="L1270" s="6">
        <v>4350.0</v>
      </c>
      <c r="M1270" s="8" t="s">
        <v>96</v>
      </c>
      <c r="N1270" s="8" t="s">
        <v>96</v>
      </c>
      <c r="O1270" s="6" t="s">
        <v>276</v>
      </c>
      <c r="P1270" s="5" t="s">
        <v>41</v>
      </c>
      <c r="Q1270" s="5" t="s">
        <v>969</v>
      </c>
      <c r="R1270" s="6" t="s">
        <v>42</v>
      </c>
      <c r="S1270" s="5" t="s">
        <v>465</v>
      </c>
      <c r="T1270" s="5" t="s">
        <v>61</v>
      </c>
      <c r="U1270" s="5" t="s">
        <v>970</v>
      </c>
      <c r="V1270" s="5" t="s">
        <v>44</v>
      </c>
      <c r="W1270" s="5" t="s">
        <v>35</v>
      </c>
      <c r="X1270" s="8" t="s">
        <v>590</v>
      </c>
      <c r="Y1270" s="5" t="s">
        <v>46</v>
      </c>
      <c r="Z1270" s="5" t="s">
        <v>502</v>
      </c>
      <c r="AA1270" s="5" t="s">
        <v>48</v>
      </c>
      <c r="AB1270" s="5" t="s">
        <v>5855</v>
      </c>
      <c r="AC1270" s="6" t="s">
        <v>71</v>
      </c>
      <c r="AD1270" s="6">
        <v>4074.0</v>
      </c>
    </row>
    <row r="1271" ht="56.25" customHeight="1">
      <c r="A1271" s="5" t="s">
        <v>5839</v>
      </c>
      <c r="B1271" s="6" t="str">
        <f>IMAGE("https://storage.googleapis.com/acdb/housewares/FtrIllumiReindeer_Remake_4_0.png")</f>
        <v/>
      </c>
      <c r="C1271" s="5" t="s">
        <v>57</v>
      </c>
      <c r="D1271" s="5" t="s">
        <v>5820</v>
      </c>
      <c r="E1271" s="5" t="s">
        <v>34</v>
      </c>
      <c r="F1271" s="5" t="s">
        <v>34</v>
      </c>
      <c r="G1271" s="5" t="s">
        <v>35</v>
      </c>
      <c r="H1271" s="5" t="s">
        <v>35</v>
      </c>
      <c r="I1271" s="5" t="s">
        <v>36</v>
      </c>
      <c r="J1271" s="6">
        <v>6.0</v>
      </c>
      <c r="K1271" s="6" t="s">
        <v>37</v>
      </c>
      <c r="L1271" s="6">
        <v>4350.0</v>
      </c>
      <c r="M1271" s="8" t="s">
        <v>57</v>
      </c>
      <c r="N1271" s="8" t="s">
        <v>57</v>
      </c>
      <c r="O1271" s="6" t="s">
        <v>276</v>
      </c>
      <c r="P1271" s="5" t="s">
        <v>41</v>
      </c>
      <c r="Q1271" s="5" t="s">
        <v>969</v>
      </c>
      <c r="R1271" s="6" t="s">
        <v>42</v>
      </c>
      <c r="S1271" s="5" t="s">
        <v>465</v>
      </c>
      <c r="T1271" s="5" t="s">
        <v>61</v>
      </c>
      <c r="U1271" s="5" t="s">
        <v>970</v>
      </c>
      <c r="V1271" s="5" t="s">
        <v>44</v>
      </c>
      <c r="W1271" s="5" t="s">
        <v>35</v>
      </c>
      <c r="X1271" s="8" t="s">
        <v>590</v>
      </c>
      <c r="Y1271" s="5" t="s">
        <v>46</v>
      </c>
      <c r="Z1271" s="5" t="s">
        <v>502</v>
      </c>
      <c r="AA1271" s="5" t="s">
        <v>48</v>
      </c>
      <c r="AB1271" s="5" t="s">
        <v>5861</v>
      </c>
      <c r="AC1271" s="6" t="s">
        <v>75</v>
      </c>
      <c r="AD1271" s="6">
        <v>4074.0</v>
      </c>
    </row>
    <row r="1272" ht="56.25" customHeight="1">
      <c r="A1272" s="5" t="s">
        <v>5862</v>
      </c>
      <c r="B1272" s="6" t="str">
        <f>IMAGE("https://storage.googleapis.com/acdb/housewares/FtrIllumiSnow_Remake_0_0.png")</f>
        <v/>
      </c>
      <c r="C1272" s="5" t="s">
        <v>57</v>
      </c>
      <c r="D1272" s="5" t="s">
        <v>5820</v>
      </c>
      <c r="E1272" s="5" t="s">
        <v>34</v>
      </c>
      <c r="F1272" s="5" t="s">
        <v>34</v>
      </c>
      <c r="G1272" s="5" t="s">
        <v>35</v>
      </c>
      <c r="H1272" s="5" t="s">
        <v>35</v>
      </c>
      <c r="I1272" s="5" t="s">
        <v>36</v>
      </c>
      <c r="J1272" s="6">
        <v>5.0</v>
      </c>
      <c r="K1272" s="6" t="s">
        <v>37</v>
      </c>
      <c r="L1272" s="6">
        <v>3150.0</v>
      </c>
      <c r="M1272" s="8" t="s">
        <v>1175</v>
      </c>
      <c r="N1272" s="8" t="s">
        <v>1175</v>
      </c>
      <c r="O1272" s="6" t="s">
        <v>276</v>
      </c>
      <c r="P1272" s="5" t="s">
        <v>41</v>
      </c>
      <c r="Q1272" s="5" t="s">
        <v>969</v>
      </c>
      <c r="R1272" s="6" t="s">
        <v>42</v>
      </c>
      <c r="S1272" s="5" t="s">
        <v>1894</v>
      </c>
      <c r="T1272" s="5" t="s">
        <v>61</v>
      </c>
      <c r="U1272" s="5" t="s">
        <v>970</v>
      </c>
      <c r="V1272" s="5" t="s">
        <v>44</v>
      </c>
      <c r="W1272" s="5" t="s">
        <v>35</v>
      </c>
      <c r="X1272" s="8" t="s">
        <v>590</v>
      </c>
      <c r="Y1272" s="5" t="s">
        <v>46</v>
      </c>
      <c r="Z1272" s="5" t="s">
        <v>502</v>
      </c>
      <c r="AA1272" s="5" t="s">
        <v>48</v>
      </c>
      <c r="AB1272" s="5" t="s">
        <v>5865</v>
      </c>
      <c r="AC1272" s="6" t="s">
        <v>50</v>
      </c>
      <c r="AD1272" s="6">
        <v>4131.0</v>
      </c>
    </row>
    <row r="1273" ht="56.25" customHeight="1">
      <c r="A1273" s="5" t="s">
        <v>5862</v>
      </c>
      <c r="B1273" s="6" t="str">
        <f>IMAGE("https://storage.googleapis.com/acdb/housewares/FtrIllumiSnow_Remake_1_0.png")</f>
        <v/>
      </c>
      <c r="C1273" s="5" t="s">
        <v>69</v>
      </c>
      <c r="D1273" s="5" t="s">
        <v>5820</v>
      </c>
      <c r="E1273" s="5" t="s">
        <v>34</v>
      </c>
      <c r="F1273" s="5" t="s">
        <v>34</v>
      </c>
      <c r="G1273" s="5" t="s">
        <v>35</v>
      </c>
      <c r="H1273" s="5" t="s">
        <v>35</v>
      </c>
      <c r="I1273" s="5" t="s">
        <v>36</v>
      </c>
      <c r="J1273" s="6">
        <v>5.0</v>
      </c>
      <c r="K1273" s="6" t="s">
        <v>37</v>
      </c>
      <c r="L1273" s="6">
        <v>3150.0</v>
      </c>
      <c r="M1273" s="8" t="s">
        <v>69</v>
      </c>
      <c r="N1273" s="8" t="s">
        <v>69</v>
      </c>
      <c r="O1273" s="6" t="s">
        <v>276</v>
      </c>
      <c r="P1273" s="5" t="s">
        <v>41</v>
      </c>
      <c r="Q1273" s="5" t="s">
        <v>969</v>
      </c>
      <c r="R1273" s="6" t="s">
        <v>42</v>
      </c>
      <c r="S1273" s="5" t="s">
        <v>1894</v>
      </c>
      <c r="T1273" s="5" t="s">
        <v>61</v>
      </c>
      <c r="U1273" s="5" t="s">
        <v>970</v>
      </c>
      <c r="V1273" s="5" t="s">
        <v>44</v>
      </c>
      <c r="W1273" s="5" t="s">
        <v>35</v>
      </c>
      <c r="X1273" s="8" t="s">
        <v>590</v>
      </c>
      <c r="Y1273" s="5" t="s">
        <v>46</v>
      </c>
      <c r="Z1273" s="5" t="s">
        <v>502</v>
      </c>
      <c r="AA1273" s="5" t="s">
        <v>48</v>
      </c>
      <c r="AB1273" s="5" t="s">
        <v>5872</v>
      </c>
      <c r="AC1273" s="6" t="s">
        <v>56</v>
      </c>
      <c r="AD1273" s="6">
        <v>4131.0</v>
      </c>
    </row>
    <row r="1274" ht="56.25" customHeight="1">
      <c r="A1274" s="5" t="s">
        <v>5862</v>
      </c>
      <c r="B1274" s="6" t="str">
        <f>IMAGE("https://storage.googleapis.com/acdb/housewares/FtrIllumiSnow_Remake_2_0.png")</f>
        <v/>
      </c>
      <c r="C1274" s="5" t="s">
        <v>114</v>
      </c>
      <c r="D1274" s="5" t="s">
        <v>5820</v>
      </c>
      <c r="E1274" s="5" t="s">
        <v>34</v>
      </c>
      <c r="F1274" s="5" t="s">
        <v>34</v>
      </c>
      <c r="G1274" s="5" t="s">
        <v>35</v>
      </c>
      <c r="H1274" s="5" t="s">
        <v>35</v>
      </c>
      <c r="I1274" s="5" t="s">
        <v>36</v>
      </c>
      <c r="J1274" s="6">
        <v>5.0</v>
      </c>
      <c r="K1274" s="6" t="s">
        <v>37</v>
      </c>
      <c r="L1274" s="6">
        <v>3150.0</v>
      </c>
      <c r="M1274" s="8" t="s">
        <v>114</v>
      </c>
      <c r="N1274" s="8" t="s">
        <v>142</v>
      </c>
      <c r="O1274" s="6" t="s">
        <v>276</v>
      </c>
      <c r="P1274" s="5" t="s">
        <v>41</v>
      </c>
      <c r="Q1274" s="5" t="s">
        <v>969</v>
      </c>
      <c r="R1274" s="6" t="s">
        <v>42</v>
      </c>
      <c r="S1274" s="5" t="s">
        <v>1894</v>
      </c>
      <c r="T1274" s="5" t="s">
        <v>61</v>
      </c>
      <c r="U1274" s="5" t="s">
        <v>970</v>
      </c>
      <c r="V1274" s="5" t="s">
        <v>44</v>
      </c>
      <c r="W1274" s="5" t="s">
        <v>35</v>
      </c>
      <c r="X1274" s="8" t="s">
        <v>590</v>
      </c>
      <c r="Y1274" s="5" t="s">
        <v>46</v>
      </c>
      <c r="Z1274" s="5" t="s">
        <v>502</v>
      </c>
      <c r="AA1274" s="5" t="s">
        <v>48</v>
      </c>
      <c r="AB1274" s="5" t="s">
        <v>5875</v>
      </c>
      <c r="AC1274" s="6" t="s">
        <v>67</v>
      </c>
      <c r="AD1274" s="6">
        <v>4131.0</v>
      </c>
    </row>
    <row r="1275" ht="56.25" customHeight="1">
      <c r="A1275" s="5" t="s">
        <v>5862</v>
      </c>
      <c r="B1275" s="6" t="str">
        <f>IMAGE("https://storage.googleapis.com/acdb/housewares/FtrIllumiSnow_Remake_3_0.png")</f>
        <v/>
      </c>
      <c r="C1275" s="5" t="s">
        <v>5876</v>
      </c>
      <c r="D1275" s="5" t="s">
        <v>5820</v>
      </c>
      <c r="E1275" s="5" t="s">
        <v>34</v>
      </c>
      <c r="F1275" s="5" t="s">
        <v>34</v>
      </c>
      <c r="G1275" s="5" t="s">
        <v>35</v>
      </c>
      <c r="H1275" s="5" t="s">
        <v>35</v>
      </c>
      <c r="I1275" s="5" t="s">
        <v>36</v>
      </c>
      <c r="J1275" s="6">
        <v>5.0</v>
      </c>
      <c r="K1275" s="6" t="s">
        <v>37</v>
      </c>
      <c r="L1275" s="6">
        <v>3150.0</v>
      </c>
      <c r="M1275" s="8" t="s">
        <v>57</v>
      </c>
      <c r="N1275" s="8" t="s">
        <v>57</v>
      </c>
      <c r="O1275" s="6" t="s">
        <v>276</v>
      </c>
      <c r="P1275" s="5" t="s">
        <v>41</v>
      </c>
      <c r="Q1275" s="5" t="s">
        <v>969</v>
      </c>
      <c r="R1275" s="6" t="s">
        <v>42</v>
      </c>
      <c r="S1275" s="5" t="s">
        <v>1894</v>
      </c>
      <c r="T1275" s="5" t="s">
        <v>61</v>
      </c>
      <c r="U1275" s="5" t="s">
        <v>970</v>
      </c>
      <c r="V1275" s="5" t="s">
        <v>44</v>
      </c>
      <c r="W1275" s="5" t="s">
        <v>35</v>
      </c>
      <c r="X1275" s="8" t="s">
        <v>590</v>
      </c>
      <c r="Y1275" s="5" t="s">
        <v>46</v>
      </c>
      <c r="Z1275" s="5" t="s">
        <v>502</v>
      </c>
      <c r="AA1275" s="5" t="s">
        <v>48</v>
      </c>
      <c r="AB1275" s="5" t="s">
        <v>5879</v>
      </c>
      <c r="AC1275" s="6" t="s">
        <v>71</v>
      </c>
      <c r="AD1275" s="6">
        <v>4131.0</v>
      </c>
    </row>
    <row r="1276" ht="56.25" customHeight="1">
      <c r="A1276" s="5" t="s">
        <v>5880</v>
      </c>
      <c r="B1276" s="6" t="str">
        <f>IMAGE("https://storage.googleapis.com/acdb/housewares/FtrIllumiTree_Remake_0_0.png")</f>
        <v/>
      </c>
      <c r="C1276" s="5" t="s">
        <v>58</v>
      </c>
      <c r="D1276" s="5" t="s">
        <v>5820</v>
      </c>
      <c r="E1276" s="5" t="s">
        <v>34</v>
      </c>
      <c r="F1276" s="5" t="s">
        <v>34</v>
      </c>
      <c r="G1276" s="5" t="s">
        <v>35</v>
      </c>
      <c r="H1276" s="5" t="s">
        <v>35</v>
      </c>
      <c r="I1276" s="5" t="s">
        <v>36</v>
      </c>
      <c r="J1276" s="6">
        <v>7.0</v>
      </c>
      <c r="K1276" s="6" t="s">
        <v>37</v>
      </c>
      <c r="L1276" s="6">
        <v>6700.0</v>
      </c>
      <c r="M1276" s="8" t="s">
        <v>96</v>
      </c>
      <c r="N1276" s="8" t="s">
        <v>52</v>
      </c>
      <c r="O1276" s="6" t="s">
        <v>214</v>
      </c>
      <c r="P1276" s="5" t="s">
        <v>41</v>
      </c>
      <c r="Q1276" s="5" t="s">
        <v>969</v>
      </c>
      <c r="R1276" s="6" t="s">
        <v>42</v>
      </c>
      <c r="S1276" s="5" t="s">
        <v>465</v>
      </c>
      <c r="T1276" s="5" t="s">
        <v>61</v>
      </c>
      <c r="U1276" s="5" t="s">
        <v>970</v>
      </c>
      <c r="V1276" s="5" t="s">
        <v>44</v>
      </c>
      <c r="W1276" s="5" t="s">
        <v>35</v>
      </c>
      <c r="X1276" s="8" t="s">
        <v>590</v>
      </c>
      <c r="Y1276" s="5" t="s">
        <v>46</v>
      </c>
      <c r="Z1276" s="5" t="s">
        <v>502</v>
      </c>
      <c r="AA1276" s="5" t="s">
        <v>48</v>
      </c>
      <c r="AB1276" s="5" t="s">
        <v>5884</v>
      </c>
      <c r="AC1276" s="6" t="s">
        <v>50</v>
      </c>
      <c r="AD1276" s="6">
        <v>4066.0</v>
      </c>
    </row>
    <row r="1277" ht="56.25" customHeight="1">
      <c r="A1277" s="5" t="s">
        <v>5880</v>
      </c>
      <c r="B1277" s="6" t="str">
        <f>IMAGE("https://storage.googleapis.com/acdb/housewares/FtrIllumiTree_Remake_1_0.png")</f>
        <v/>
      </c>
      <c r="C1277" s="5" t="s">
        <v>69</v>
      </c>
      <c r="D1277" s="5" t="s">
        <v>5820</v>
      </c>
      <c r="E1277" s="5" t="s">
        <v>34</v>
      </c>
      <c r="F1277" s="5" t="s">
        <v>34</v>
      </c>
      <c r="G1277" s="5" t="s">
        <v>35</v>
      </c>
      <c r="H1277" s="5" t="s">
        <v>35</v>
      </c>
      <c r="I1277" s="5" t="s">
        <v>36</v>
      </c>
      <c r="J1277" s="6">
        <v>7.0</v>
      </c>
      <c r="K1277" s="6" t="s">
        <v>37</v>
      </c>
      <c r="L1277" s="6">
        <v>6700.0</v>
      </c>
      <c r="M1277" s="8" t="s">
        <v>69</v>
      </c>
      <c r="N1277" s="8" t="s">
        <v>69</v>
      </c>
      <c r="O1277" s="6" t="s">
        <v>214</v>
      </c>
      <c r="P1277" s="5" t="s">
        <v>41</v>
      </c>
      <c r="Q1277" s="5" t="s">
        <v>969</v>
      </c>
      <c r="R1277" s="6" t="s">
        <v>42</v>
      </c>
      <c r="S1277" s="5" t="s">
        <v>465</v>
      </c>
      <c r="T1277" s="5" t="s">
        <v>61</v>
      </c>
      <c r="U1277" s="5" t="s">
        <v>970</v>
      </c>
      <c r="V1277" s="5" t="s">
        <v>44</v>
      </c>
      <c r="W1277" s="5" t="s">
        <v>35</v>
      </c>
      <c r="X1277" s="8" t="s">
        <v>590</v>
      </c>
      <c r="Y1277" s="5" t="s">
        <v>46</v>
      </c>
      <c r="Z1277" s="5" t="s">
        <v>502</v>
      </c>
      <c r="AA1277" s="5" t="s">
        <v>48</v>
      </c>
      <c r="AB1277" s="5" t="s">
        <v>5887</v>
      </c>
      <c r="AC1277" s="6" t="s">
        <v>56</v>
      </c>
      <c r="AD1277" s="6">
        <v>4066.0</v>
      </c>
    </row>
    <row r="1278" ht="56.25" customHeight="1">
      <c r="A1278" s="5" t="s">
        <v>5880</v>
      </c>
      <c r="B1278" s="6" t="str">
        <f>IMAGE("https://storage.googleapis.com/acdb/housewares/FtrIllumiTree_Remake_2_0.png")</f>
        <v/>
      </c>
      <c r="C1278" s="5" t="s">
        <v>68</v>
      </c>
      <c r="D1278" s="5" t="s">
        <v>5820</v>
      </c>
      <c r="E1278" s="5" t="s">
        <v>34</v>
      </c>
      <c r="F1278" s="5" t="s">
        <v>34</v>
      </c>
      <c r="G1278" s="5" t="s">
        <v>35</v>
      </c>
      <c r="H1278" s="5" t="s">
        <v>35</v>
      </c>
      <c r="I1278" s="5" t="s">
        <v>36</v>
      </c>
      <c r="J1278" s="6">
        <v>7.0</v>
      </c>
      <c r="K1278" s="6" t="s">
        <v>37</v>
      </c>
      <c r="L1278" s="6">
        <v>6700.0</v>
      </c>
      <c r="M1278" s="8" t="s">
        <v>1175</v>
      </c>
      <c r="N1278" s="8" t="s">
        <v>1175</v>
      </c>
      <c r="O1278" s="6" t="s">
        <v>214</v>
      </c>
      <c r="P1278" s="5" t="s">
        <v>41</v>
      </c>
      <c r="Q1278" s="5" t="s">
        <v>969</v>
      </c>
      <c r="R1278" s="6" t="s">
        <v>42</v>
      </c>
      <c r="S1278" s="5" t="s">
        <v>465</v>
      </c>
      <c r="T1278" s="5" t="s">
        <v>61</v>
      </c>
      <c r="U1278" s="5" t="s">
        <v>970</v>
      </c>
      <c r="V1278" s="5" t="s">
        <v>44</v>
      </c>
      <c r="W1278" s="5" t="s">
        <v>35</v>
      </c>
      <c r="X1278" s="8" t="s">
        <v>590</v>
      </c>
      <c r="Y1278" s="5" t="s">
        <v>46</v>
      </c>
      <c r="Z1278" s="5" t="s">
        <v>502</v>
      </c>
      <c r="AA1278" s="5" t="s">
        <v>48</v>
      </c>
      <c r="AB1278" s="5" t="s">
        <v>5893</v>
      </c>
      <c r="AC1278" s="6" t="s">
        <v>67</v>
      </c>
      <c r="AD1278" s="6">
        <v>4066.0</v>
      </c>
    </row>
    <row r="1279" ht="56.25" customHeight="1">
      <c r="A1279" s="5" t="s">
        <v>5880</v>
      </c>
      <c r="B1279" s="6" t="str">
        <f>IMAGE("https://storage.googleapis.com/acdb/housewares/FtrIllumiTree_Remake_3_0.png")</f>
        <v/>
      </c>
      <c r="C1279" s="5" t="s">
        <v>142</v>
      </c>
      <c r="D1279" s="5" t="s">
        <v>5820</v>
      </c>
      <c r="E1279" s="5" t="s">
        <v>34</v>
      </c>
      <c r="F1279" s="5" t="s">
        <v>34</v>
      </c>
      <c r="G1279" s="5" t="s">
        <v>35</v>
      </c>
      <c r="H1279" s="5" t="s">
        <v>35</v>
      </c>
      <c r="I1279" s="5" t="s">
        <v>36</v>
      </c>
      <c r="J1279" s="6">
        <v>7.0</v>
      </c>
      <c r="K1279" s="6" t="s">
        <v>37</v>
      </c>
      <c r="L1279" s="6">
        <v>6700.0</v>
      </c>
      <c r="M1279" s="8" t="s">
        <v>142</v>
      </c>
      <c r="N1279" s="8" t="s">
        <v>142</v>
      </c>
      <c r="O1279" s="6" t="s">
        <v>214</v>
      </c>
      <c r="P1279" s="5" t="s">
        <v>41</v>
      </c>
      <c r="Q1279" s="5" t="s">
        <v>969</v>
      </c>
      <c r="R1279" s="6" t="s">
        <v>42</v>
      </c>
      <c r="S1279" s="5" t="s">
        <v>465</v>
      </c>
      <c r="T1279" s="5" t="s">
        <v>61</v>
      </c>
      <c r="U1279" s="5" t="s">
        <v>970</v>
      </c>
      <c r="V1279" s="5" t="s">
        <v>44</v>
      </c>
      <c r="W1279" s="5" t="s">
        <v>35</v>
      </c>
      <c r="X1279" s="8" t="s">
        <v>590</v>
      </c>
      <c r="Y1279" s="5" t="s">
        <v>46</v>
      </c>
      <c r="Z1279" s="5" t="s">
        <v>502</v>
      </c>
      <c r="AA1279" s="5" t="s">
        <v>48</v>
      </c>
      <c r="AB1279" s="5" t="s">
        <v>5899</v>
      </c>
      <c r="AC1279" s="6" t="s">
        <v>71</v>
      </c>
      <c r="AD1279" s="6">
        <v>4066.0</v>
      </c>
    </row>
    <row r="1280" ht="56.25" customHeight="1">
      <c r="A1280" s="5" t="s">
        <v>5880</v>
      </c>
      <c r="B1280" s="6" t="str">
        <f>IMAGE("https://storage.googleapis.com/acdb/housewares/FtrIllumiTree_Remake_4_0.png")</f>
        <v/>
      </c>
      <c r="C1280" s="5" t="s">
        <v>57</v>
      </c>
      <c r="D1280" s="5" t="s">
        <v>5820</v>
      </c>
      <c r="E1280" s="5" t="s">
        <v>34</v>
      </c>
      <c r="F1280" s="5" t="s">
        <v>34</v>
      </c>
      <c r="G1280" s="5" t="s">
        <v>35</v>
      </c>
      <c r="H1280" s="5" t="s">
        <v>35</v>
      </c>
      <c r="I1280" s="5" t="s">
        <v>36</v>
      </c>
      <c r="J1280" s="6">
        <v>7.0</v>
      </c>
      <c r="K1280" s="6" t="s">
        <v>37</v>
      </c>
      <c r="L1280" s="6">
        <v>6700.0</v>
      </c>
      <c r="M1280" s="8" t="s">
        <v>57</v>
      </c>
      <c r="N1280" s="8" t="s">
        <v>57</v>
      </c>
      <c r="O1280" s="6" t="s">
        <v>214</v>
      </c>
      <c r="P1280" s="5" t="s">
        <v>41</v>
      </c>
      <c r="Q1280" s="5" t="s">
        <v>969</v>
      </c>
      <c r="R1280" s="6" t="s">
        <v>42</v>
      </c>
      <c r="S1280" s="5" t="s">
        <v>465</v>
      </c>
      <c r="T1280" s="5" t="s">
        <v>61</v>
      </c>
      <c r="U1280" s="5" t="s">
        <v>970</v>
      </c>
      <c r="V1280" s="5" t="s">
        <v>44</v>
      </c>
      <c r="W1280" s="5" t="s">
        <v>35</v>
      </c>
      <c r="X1280" s="8" t="s">
        <v>590</v>
      </c>
      <c r="Y1280" s="5" t="s">
        <v>46</v>
      </c>
      <c r="Z1280" s="5" t="s">
        <v>502</v>
      </c>
      <c r="AA1280" s="5" t="s">
        <v>48</v>
      </c>
      <c r="AB1280" s="5" t="s">
        <v>5903</v>
      </c>
      <c r="AC1280" s="6" t="s">
        <v>75</v>
      </c>
      <c r="AD1280" s="6">
        <v>4066.0</v>
      </c>
    </row>
    <row r="1281" ht="56.25" customHeight="1">
      <c r="A1281" s="5" t="s">
        <v>5880</v>
      </c>
      <c r="B1281" s="6" t="str">
        <f>IMAGE("https://storage.googleapis.com/acdb/housewares/FtrIllumiTree_Remake_5_0.png")</f>
        <v/>
      </c>
      <c r="C1281" s="5" t="s">
        <v>5876</v>
      </c>
      <c r="D1281" s="5" t="s">
        <v>5820</v>
      </c>
      <c r="E1281" s="5" t="s">
        <v>34</v>
      </c>
      <c r="F1281" s="5" t="s">
        <v>34</v>
      </c>
      <c r="G1281" s="5" t="s">
        <v>35</v>
      </c>
      <c r="H1281" s="5" t="s">
        <v>35</v>
      </c>
      <c r="I1281" s="5" t="s">
        <v>36</v>
      </c>
      <c r="J1281" s="6">
        <v>7.0</v>
      </c>
      <c r="K1281" s="6" t="s">
        <v>37</v>
      </c>
      <c r="L1281" s="6">
        <v>6700.0</v>
      </c>
      <c r="M1281" s="8" t="s">
        <v>58</v>
      </c>
      <c r="N1281" s="8" t="s">
        <v>57</v>
      </c>
      <c r="O1281" s="6" t="s">
        <v>214</v>
      </c>
      <c r="P1281" s="5" t="s">
        <v>41</v>
      </c>
      <c r="Q1281" s="5" t="s">
        <v>969</v>
      </c>
      <c r="R1281" s="6" t="s">
        <v>42</v>
      </c>
      <c r="S1281" s="5" t="s">
        <v>465</v>
      </c>
      <c r="T1281" s="5" t="s">
        <v>61</v>
      </c>
      <c r="U1281" s="5" t="s">
        <v>970</v>
      </c>
      <c r="V1281" s="5" t="s">
        <v>44</v>
      </c>
      <c r="W1281" s="5" t="s">
        <v>35</v>
      </c>
      <c r="X1281" s="8" t="s">
        <v>590</v>
      </c>
      <c r="Y1281" s="5" t="s">
        <v>46</v>
      </c>
      <c r="Z1281" s="5" t="s">
        <v>502</v>
      </c>
      <c r="AA1281" s="5" t="s">
        <v>48</v>
      </c>
      <c r="AB1281" s="5" t="s">
        <v>5907</v>
      </c>
      <c r="AC1281" s="6" t="s">
        <v>79</v>
      </c>
      <c r="AD1281" s="6">
        <v>4066.0</v>
      </c>
    </row>
    <row r="1282" ht="56.25" customHeight="1">
      <c r="A1282" s="5" t="s">
        <v>5908</v>
      </c>
      <c r="B1282" s="6" t="str">
        <f>IMAGE("https://storage.googleapis.com/acdb/housewares/FtrOrientalBedW_Remake_0_0.png")</f>
        <v/>
      </c>
      <c r="C1282" s="5" t="s">
        <v>52</v>
      </c>
      <c r="D1282" s="5" t="s">
        <v>34</v>
      </c>
      <c r="E1282" s="5" t="s">
        <v>34</v>
      </c>
      <c r="F1282" s="5" t="s">
        <v>34</v>
      </c>
      <c r="G1282" s="5" t="s">
        <v>36</v>
      </c>
      <c r="H1282" s="5" t="s">
        <v>36</v>
      </c>
      <c r="I1282" s="5" t="s">
        <v>36</v>
      </c>
      <c r="J1282" s="6" t="s">
        <v>34</v>
      </c>
      <c r="K1282" s="6">
        <v>23000.0</v>
      </c>
      <c r="L1282" s="6">
        <v>5750.0</v>
      </c>
      <c r="M1282" s="8" t="s">
        <v>52</v>
      </c>
      <c r="N1282" s="8" t="s">
        <v>52</v>
      </c>
      <c r="O1282" s="6" t="s">
        <v>214</v>
      </c>
      <c r="P1282" s="5" t="s">
        <v>59</v>
      </c>
      <c r="Q1282" s="5" t="s">
        <v>115</v>
      </c>
      <c r="R1282" s="6" t="s">
        <v>42</v>
      </c>
      <c r="S1282" s="5" t="s">
        <v>266</v>
      </c>
      <c r="T1282" s="5" t="s">
        <v>44</v>
      </c>
      <c r="U1282" s="5" t="s">
        <v>1395</v>
      </c>
      <c r="V1282" s="5" t="s">
        <v>44</v>
      </c>
      <c r="W1282" s="5" t="s">
        <v>35</v>
      </c>
      <c r="X1282" s="8" t="s">
        <v>218</v>
      </c>
      <c r="Y1282" s="5" t="s">
        <v>46</v>
      </c>
      <c r="Z1282" s="5" t="s">
        <v>47</v>
      </c>
      <c r="AA1282" s="5" t="s">
        <v>64</v>
      </c>
      <c r="AB1282" s="5" t="s">
        <v>5910</v>
      </c>
      <c r="AC1282" s="6" t="s">
        <v>50</v>
      </c>
      <c r="AD1282" s="6">
        <v>3973.0</v>
      </c>
    </row>
    <row r="1283" ht="56.25" customHeight="1">
      <c r="A1283" s="5" t="s">
        <v>5908</v>
      </c>
      <c r="B1283" s="6" t="str">
        <f>IMAGE("https://storage.googleapis.com/acdb/housewares/FtrOrientalBedW_Remake_1_0.png")</f>
        <v/>
      </c>
      <c r="C1283" s="5" t="s">
        <v>68</v>
      </c>
      <c r="D1283" s="5" t="s">
        <v>34</v>
      </c>
      <c r="E1283" s="5" t="s">
        <v>34</v>
      </c>
      <c r="F1283" s="5" t="s">
        <v>34</v>
      </c>
      <c r="G1283" s="5" t="s">
        <v>36</v>
      </c>
      <c r="H1283" s="5" t="s">
        <v>36</v>
      </c>
      <c r="I1283" s="5" t="s">
        <v>36</v>
      </c>
      <c r="J1283" s="6" t="s">
        <v>34</v>
      </c>
      <c r="K1283" s="6">
        <v>23000.0</v>
      </c>
      <c r="L1283" s="6">
        <v>5750.0</v>
      </c>
      <c r="M1283" s="8" t="s">
        <v>68</v>
      </c>
      <c r="N1283" s="8" t="s">
        <v>68</v>
      </c>
      <c r="O1283" s="6" t="s">
        <v>214</v>
      </c>
      <c r="P1283" s="5" t="s">
        <v>59</v>
      </c>
      <c r="Q1283" s="5" t="s">
        <v>115</v>
      </c>
      <c r="R1283" s="6" t="s">
        <v>42</v>
      </c>
      <c r="S1283" s="5" t="s">
        <v>266</v>
      </c>
      <c r="T1283" s="5" t="s">
        <v>44</v>
      </c>
      <c r="U1283" s="5" t="s">
        <v>1395</v>
      </c>
      <c r="V1283" s="5" t="s">
        <v>44</v>
      </c>
      <c r="W1283" s="5" t="s">
        <v>35</v>
      </c>
      <c r="X1283" s="8" t="s">
        <v>218</v>
      </c>
      <c r="Y1283" s="5" t="s">
        <v>46</v>
      </c>
      <c r="Z1283" s="5" t="s">
        <v>47</v>
      </c>
      <c r="AA1283" s="5" t="s">
        <v>64</v>
      </c>
      <c r="AB1283" s="5" t="s">
        <v>5914</v>
      </c>
      <c r="AC1283" s="6" t="s">
        <v>56</v>
      </c>
      <c r="AD1283" s="6">
        <v>3973.0</v>
      </c>
    </row>
    <row r="1284" ht="56.25" customHeight="1">
      <c r="A1284" s="5" t="s">
        <v>5908</v>
      </c>
      <c r="B1284" s="6" t="str">
        <f>IMAGE("https://storage.googleapis.com/acdb/housewares/FtrOrientalBedW_Remake_2_0.png")</f>
        <v/>
      </c>
      <c r="C1284" s="5" t="s">
        <v>39</v>
      </c>
      <c r="D1284" s="5" t="s">
        <v>34</v>
      </c>
      <c r="E1284" s="5" t="s">
        <v>34</v>
      </c>
      <c r="F1284" s="5" t="s">
        <v>34</v>
      </c>
      <c r="G1284" s="5" t="s">
        <v>36</v>
      </c>
      <c r="H1284" s="5" t="s">
        <v>36</v>
      </c>
      <c r="I1284" s="5" t="s">
        <v>36</v>
      </c>
      <c r="J1284" s="6" t="s">
        <v>34</v>
      </c>
      <c r="K1284" s="6">
        <v>23000.0</v>
      </c>
      <c r="L1284" s="6">
        <v>5750.0</v>
      </c>
      <c r="M1284" s="8" t="s">
        <v>39</v>
      </c>
      <c r="N1284" s="8" t="s">
        <v>114</v>
      </c>
      <c r="O1284" s="6" t="s">
        <v>214</v>
      </c>
      <c r="P1284" s="5" t="s">
        <v>59</v>
      </c>
      <c r="Q1284" s="5" t="s">
        <v>115</v>
      </c>
      <c r="R1284" s="6" t="s">
        <v>42</v>
      </c>
      <c r="S1284" s="5" t="s">
        <v>266</v>
      </c>
      <c r="T1284" s="5" t="s">
        <v>44</v>
      </c>
      <c r="U1284" s="5" t="s">
        <v>1395</v>
      </c>
      <c r="V1284" s="5" t="s">
        <v>44</v>
      </c>
      <c r="W1284" s="5" t="s">
        <v>35</v>
      </c>
      <c r="X1284" s="8" t="s">
        <v>218</v>
      </c>
      <c r="Y1284" s="5" t="s">
        <v>46</v>
      </c>
      <c r="Z1284" s="5" t="s">
        <v>47</v>
      </c>
      <c r="AA1284" s="5" t="s">
        <v>64</v>
      </c>
      <c r="AB1284" s="5" t="s">
        <v>5920</v>
      </c>
      <c r="AC1284" s="6" t="s">
        <v>67</v>
      </c>
      <c r="AD1284" s="6">
        <v>3973.0</v>
      </c>
    </row>
    <row r="1285" ht="56.25" customHeight="1">
      <c r="A1285" s="5" t="s">
        <v>5908</v>
      </c>
      <c r="B1285" s="6" t="str">
        <f>IMAGE("https://storage.googleapis.com/acdb/housewares/FtrOrientalBedW_Remake_3_0.png")</f>
        <v/>
      </c>
      <c r="C1285" s="5" t="s">
        <v>54</v>
      </c>
      <c r="D1285" s="5" t="s">
        <v>34</v>
      </c>
      <c r="E1285" s="5" t="s">
        <v>34</v>
      </c>
      <c r="F1285" s="5" t="s">
        <v>34</v>
      </c>
      <c r="G1285" s="5" t="s">
        <v>36</v>
      </c>
      <c r="H1285" s="5" t="s">
        <v>36</v>
      </c>
      <c r="I1285" s="5" t="s">
        <v>36</v>
      </c>
      <c r="J1285" s="6" t="s">
        <v>34</v>
      </c>
      <c r="K1285" s="6">
        <v>23000.0</v>
      </c>
      <c r="L1285" s="6">
        <v>5750.0</v>
      </c>
      <c r="M1285" s="8" t="s">
        <v>54</v>
      </c>
      <c r="N1285" s="8" t="s">
        <v>54</v>
      </c>
      <c r="O1285" s="6" t="s">
        <v>214</v>
      </c>
      <c r="P1285" s="5" t="s">
        <v>59</v>
      </c>
      <c r="Q1285" s="5" t="s">
        <v>115</v>
      </c>
      <c r="R1285" s="6" t="s">
        <v>42</v>
      </c>
      <c r="S1285" s="5" t="s">
        <v>266</v>
      </c>
      <c r="T1285" s="5" t="s">
        <v>44</v>
      </c>
      <c r="U1285" s="5" t="s">
        <v>1395</v>
      </c>
      <c r="V1285" s="5" t="s">
        <v>44</v>
      </c>
      <c r="W1285" s="5" t="s">
        <v>35</v>
      </c>
      <c r="X1285" s="8" t="s">
        <v>218</v>
      </c>
      <c r="Y1285" s="5" t="s">
        <v>46</v>
      </c>
      <c r="Z1285" s="5" t="s">
        <v>47</v>
      </c>
      <c r="AA1285" s="5" t="s">
        <v>64</v>
      </c>
      <c r="AB1285" s="5" t="s">
        <v>5924</v>
      </c>
      <c r="AC1285" s="6" t="s">
        <v>71</v>
      </c>
      <c r="AD1285" s="6">
        <v>3973.0</v>
      </c>
    </row>
    <row r="1286" ht="56.25" customHeight="1">
      <c r="A1286" s="5" t="s">
        <v>5926</v>
      </c>
      <c r="B1286" s="6" t="str">
        <f>IMAGE("https://storage.googleapis.com/acdb/housewares/FtrOrientalChest_Remake_0_0.png")</f>
        <v/>
      </c>
      <c r="C1286" s="5" t="s">
        <v>52</v>
      </c>
      <c r="D1286" s="5" t="s">
        <v>34</v>
      </c>
      <c r="E1286" s="5" t="s">
        <v>34</v>
      </c>
      <c r="F1286" s="5" t="s">
        <v>34</v>
      </c>
      <c r="G1286" s="5" t="s">
        <v>36</v>
      </c>
      <c r="H1286" s="5" t="s">
        <v>36</v>
      </c>
      <c r="I1286" s="5" t="s">
        <v>36</v>
      </c>
      <c r="J1286" s="6" t="s">
        <v>34</v>
      </c>
      <c r="K1286" s="6">
        <v>9300.0</v>
      </c>
      <c r="L1286" s="6">
        <v>2325.0</v>
      </c>
      <c r="M1286" s="8" t="s">
        <v>52</v>
      </c>
      <c r="N1286" s="8" t="s">
        <v>114</v>
      </c>
      <c r="O1286" s="6" t="s">
        <v>276</v>
      </c>
      <c r="P1286" s="5" t="s">
        <v>59</v>
      </c>
      <c r="Q1286" s="5" t="s">
        <v>122</v>
      </c>
      <c r="R1286" s="6" t="s">
        <v>42</v>
      </c>
      <c r="S1286" s="5" t="s">
        <v>266</v>
      </c>
      <c r="T1286" s="5" t="s">
        <v>44</v>
      </c>
      <c r="U1286" s="5" t="s">
        <v>1395</v>
      </c>
      <c r="V1286" s="5" t="s">
        <v>44</v>
      </c>
      <c r="W1286" s="5" t="s">
        <v>35</v>
      </c>
      <c r="X1286" s="8" t="s">
        <v>322</v>
      </c>
      <c r="Y1286" s="5" t="s">
        <v>46</v>
      </c>
      <c r="Z1286" s="5" t="s">
        <v>47</v>
      </c>
      <c r="AA1286" s="5" t="s">
        <v>64</v>
      </c>
      <c r="AB1286" s="5" t="s">
        <v>5928</v>
      </c>
      <c r="AC1286" s="6" t="s">
        <v>50</v>
      </c>
      <c r="AD1286" s="6">
        <v>3972.0</v>
      </c>
    </row>
    <row r="1287" ht="56.25" customHeight="1">
      <c r="A1287" s="5" t="s">
        <v>5926</v>
      </c>
      <c r="B1287" s="6" t="str">
        <f>IMAGE("https://storage.googleapis.com/acdb/housewares/FtrOrientalChest_Remake_1_0.png")</f>
        <v/>
      </c>
      <c r="C1287" s="5" t="s">
        <v>68</v>
      </c>
      <c r="D1287" s="5" t="s">
        <v>34</v>
      </c>
      <c r="E1287" s="5" t="s">
        <v>34</v>
      </c>
      <c r="F1287" s="5" t="s">
        <v>34</v>
      </c>
      <c r="G1287" s="5" t="s">
        <v>36</v>
      </c>
      <c r="H1287" s="5" t="s">
        <v>36</v>
      </c>
      <c r="I1287" s="5" t="s">
        <v>36</v>
      </c>
      <c r="J1287" s="6" t="s">
        <v>34</v>
      </c>
      <c r="K1287" s="6">
        <v>9300.0</v>
      </c>
      <c r="L1287" s="6">
        <v>2325.0</v>
      </c>
      <c r="M1287" s="8" t="s">
        <v>68</v>
      </c>
      <c r="N1287" s="8" t="s">
        <v>95</v>
      </c>
      <c r="O1287" s="6" t="s">
        <v>276</v>
      </c>
      <c r="P1287" s="5" t="s">
        <v>59</v>
      </c>
      <c r="Q1287" s="5" t="s">
        <v>122</v>
      </c>
      <c r="R1287" s="6" t="s">
        <v>42</v>
      </c>
      <c r="S1287" s="5" t="s">
        <v>266</v>
      </c>
      <c r="T1287" s="5" t="s">
        <v>44</v>
      </c>
      <c r="U1287" s="5" t="s">
        <v>1395</v>
      </c>
      <c r="V1287" s="5" t="s">
        <v>44</v>
      </c>
      <c r="W1287" s="5" t="s">
        <v>35</v>
      </c>
      <c r="X1287" s="8" t="s">
        <v>322</v>
      </c>
      <c r="Y1287" s="5" t="s">
        <v>46</v>
      </c>
      <c r="Z1287" s="5" t="s">
        <v>47</v>
      </c>
      <c r="AA1287" s="5" t="s">
        <v>64</v>
      </c>
      <c r="AB1287" s="5" t="s">
        <v>5932</v>
      </c>
      <c r="AC1287" s="6" t="s">
        <v>56</v>
      </c>
      <c r="AD1287" s="6">
        <v>3972.0</v>
      </c>
    </row>
    <row r="1288" ht="56.25" customHeight="1">
      <c r="A1288" s="5" t="s">
        <v>5926</v>
      </c>
      <c r="B1288" s="6" t="str">
        <f>IMAGE("https://storage.googleapis.com/acdb/housewares/FtrOrientalChest_Remake_2_0.png")</f>
        <v/>
      </c>
      <c r="C1288" s="5" t="s">
        <v>39</v>
      </c>
      <c r="D1288" s="5" t="s">
        <v>34</v>
      </c>
      <c r="E1288" s="5" t="s">
        <v>34</v>
      </c>
      <c r="F1288" s="5" t="s">
        <v>34</v>
      </c>
      <c r="G1288" s="5" t="s">
        <v>36</v>
      </c>
      <c r="H1288" s="5" t="s">
        <v>36</v>
      </c>
      <c r="I1288" s="5" t="s">
        <v>36</v>
      </c>
      <c r="J1288" s="6" t="s">
        <v>34</v>
      </c>
      <c r="K1288" s="6">
        <v>9300.0</v>
      </c>
      <c r="L1288" s="6">
        <v>2325.0</v>
      </c>
      <c r="M1288" s="8" t="s">
        <v>39</v>
      </c>
      <c r="N1288" s="8" t="s">
        <v>114</v>
      </c>
      <c r="O1288" s="6" t="s">
        <v>276</v>
      </c>
      <c r="P1288" s="5" t="s">
        <v>59</v>
      </c>
      <c r="Q1288" s="5" t="s">
        <v>122</v>
      </c>
      <c r="R1288" s="6" t="s">
        <v>42</v>
      </c>
      <c r="S1288" s="5" t="s">
        <v>266</v>
      </c>
      <c r="T1288" s="5" t="s">
        <v>44</v>
      </c>
      <c r="U1288" s="5" t="s">
        <v>1395</v>
      </c>
      <c r="V1288" s="5" t="s">
        <v>44</v>
      </c>
      <c r="W1288" s="5" t="s">
        <v>35</v>
      </c>
      <c r="X1288" s="8" t="s">
        <v>322</v>
      </c>
      <c r="Y1288" s="5" t="s">
        <v>46</v>
      </c>
      <c r="Z1288" s="5" t="s">
        <v>47</v>
      </c>
      <c r="AA1288" s="5" t="s">
        <v>64</v>
      </c>
      <c r="AB1288" s="5" t="s">
        <v>5935</v>
      </c>
      <c r="AC1288" s="6" t="s">
        <v>67</v>
      </c>
      <c r="AD1288" s="6">
        <v>3972.0</v>
      </c>
    </row>
    <row r="1289" ht="56.25" customHeight="1">
      <c r="A1289" s="5" t="s">
        <v>5926</v>
      </c>
      <c r="B1289" s="6" t="str">
        <f>IMAGE("https://storage.googleapis.com/acdb/housewares/FtrOrientalChest_Remake_3_0.png")</f>
        <v/>
      </c>
      <c r="C1289" s="5" t="s">
        <v>54</v>
      </c>
      <c r="D1289" s="5" t="s">
        <v>34</v>
      </c>
      <c r="E1289" s="5" t="s">
        <v>34</v>
      </c>
      <c r="F1289" s="5" t="s">
        <v>34</v>
      </c>
      <c r="G1289" s="5" t="s">
        <v>36</v>
      </c>
      <c r="H1289" s="5" t="s">
        <v>36</v>
      </c>
      <c r="I1289" s="5" t="s">
        <v>36</v>
      </c>
      <c r="J1289" s="6" t="s">
        <v>34</v>
      </c>
      <c r="K1289" s="6">
        <v>9300.0</v>
      </c>
      <c r="L1289" s="6">
        <v>2325.0</v>
      </c>
      <c r="M1289" s="8" t="s">
        <v>54</v>
      </c>
      <c r="N1289" s="8" t="s">
        <v>52</v>
      </c>
      <c r="O1289" s="6" t="s">
        <v>276</v>
      </c>
      <c r="P1289" s="5" t="s">
        <v>59</v>
      </c>
      <c r="Q1289" s="5" t="s">
        <v>122</v>
      </c>
      <c r="R1289" s="6" t="s">
        <v>42</v>
      </c>
      <c r="S1289" s="5" t="s">
        <v>266</v>
      </c>
      <c r="T1289" s="5" t="s">
        <v>44</v>
      </c>
      <c r="U1289" s="5" t="s">
        <v>1395</v>
      </c>
      <c r="V1289" s="5" t="s">
        <v>44</v>
      </c>
      <c r="W1289" s="5" t="s">
        <v>35</v>
      </c>
      <c r="X1289" s="8" t="s">
        <v>322</v>
      </c>
      <c r="Y1289" s="5" t="s">
        <v>46</v>
      </c>
      <c r="Z1289" s="5" t="s">
        <v>47</v>
      </c>
      <c r="AA1289" s="5" t="s">
        <v>64</v>
      </c>
      <c r="AB1289" s="5" t="s">
        <v>5939</v>
      </c>
      <c r="AC1289" s="6" t="s">
        <v>71</v>
      </c>
      <c r="AD1289" s="6">
        <v>3972.0</v>
      </c>
    </row>
    <row r="1290" ht="56.25" customHeight="1">
      <c r="A1290" s="5" t="s">
        <v>5941</v>
      </c>
      <c r="B1290" s="6" t="str">
        <f>IMAGE("https://storage.googleapis.com/acdb/housewares/FtrChineseChair_Remake_0_0.png")</f>
        <v/>
      </c>
      <c r="C1290" s="5" t="s">
        <v>54</v>
      </c>
      <c r="D1290" s="5" t="s">
        <v>34</v>
      </c>
      <c r="E1290" s="5" t="s">
        <v>34</v>
      </c>
      <c r="F1290" s="5" t="s">
        <v>34</v>
      </c>
      <c r="G1290" s="5" t="s">
        <v>36</v>
      </c>
      <c r="H1290" s="5" t="s">
        <v>36</v>
      </c>
      <c r="I1290" s="5" t="s">
        <v>36</v>
      </c>
      <c r="J1290" s="6" t="s">
        <v>34</v>
      </c>
      <c r="K1290" s="6">
        <v>29000.0</v>
      </c>
      <c r="L1290" s="6">
        <v>7250.0</v>
      </c>
      <c r="M1290" s="8" t="s">
        <v>52</v>
      </c>
      <c r="N1290" s="8" t="s">
        <v>54</v>
      </c>
      <c r="O1290" s="6" t="s">
        <v>40</v>
      </c>
      <c r="P1290" s="5" t="s">
        <v>59</v>
      </c>
      <c r="Q1290" s="5" t="s">
        <v>115</v>
      </c>
      <c r="R1290" s="6" t="s">
        <v>42</v>
      </c>
      <c r="S1290" s="5" t="s">
        <v>62</v>
      </c>
      <c r="T1290" s="5" t="s">
        <v>266</v>
      </c>
      <c r="U1290" s="5" t="s">
        <v>44</v>
      </c>
      <c r="V1290" s="5" t="s">
        <v>1423</v>
      </c>
      <c r="W1290" s="5" t="s">
        <v>35</v>
      </c>
      <c r="X1290" s="8" t="s">
        <v>248</v>
      </c>
      <c r="Y1290" s="5" t="s">
        <v>46</v>
      </c>
      <c r="Z1290" s="5" t="s">
        <v>47</v>
      </c>
      <c r="AA1290" s="5" t="s">
        <v>64</v>
      </c>
      <c r="AB1290" s="5" t="s">
        <v>5945</v>
      </c>
      <c r="AC1290" s="6" t="s">
        <v>50</v>
      </c>
      <c r="AD1290" s="6">
        <v>7797.0</v>
      </c>
    </row>
    <row r="1291" ht="56.25" customHeight="1">
      <c r="A1291" s="5" t="s">
        <v>5941</v>
      </c>
      <c r="B1291" s="6" t="str">
        <f>IMAGE("https://storage.googleapis.com/acdb/housewares/FtrChineseChair_Remake_1_0.png")</f>
        <v/>
      </c>
      <c r="C1291" s="5" t="s">
        <v>39</v>
      </c>
      <c r="D1291" s="5" t="s">
        <v>34</v>
      </c>
      <c r="E1291" s="5" t="s">
        <v>34</v>
      </c>
      <c r="F1291" s="5" t="s">
        <v>34</v>
      </c>
      <c r="G1291" s="5" t="s">
        <v>36</v>
      </c>
      <c r="H1291" s="5" t="s">
        <v>36</v>
      </c>
      <c r="I1291" s="5" t="s">
        <v>36</v>
      </c>
      <c r="J1291" s="6" t="s">
        <v>34</v>
      </c>
      <c r="K1291" s="6">
        <v>29000.0</v>
      </c>
      <c r="L1291" s="6">
        <v>7250.0</v>
      </c>
      <c r="M1291" s="8" t="s">
        <v>96</v>
      </c>
      <c r="N1291" s="8" t="s">
        <v>39</v>
      </c>
      <c r="O1291" s="6" t="s">
        <v>40</v>
      </c>
      <c r="P1291" s="5" t="s">
        <v>59</v>
      </c>
      <c r="Q1291" s="5" t="s">
        <v>115</v>
      </c>
      <c r="R1291" s="6" t="s">
        <v>42</v>
      </c>
      <c r="S1291" s="5" t="s">
        <v>62</v>
      </c>
      <c r="T1291" s="5" t="s">
        <v>266</v>
      </c>
      <c r="U1291" s="5" t="s">
        <v>44</v>
      </c>
      <c r="V1291" s="5" t="s">
        <v>1423</v>
      </c>
      <c r="W1291" s="5" t="s">
        <v>35</v>
      </c>
      <c r="X1291" s="8" t="s">
        <v>248</v>
      </c>
      <c r="Y1291" s="5" t="s">
        <v>46</v>
      </c>
      <c r="Z1291" s="5" t="s">
        <v>47</v>
      </c>
      <c r="AA1291" s="5" t="s">
        <v>64</v>
      </c>
      <c r="AB1291" s="5" t="s">
        <v>5949</v>
      </c>
      <c r="AC1291" s="6" t="s">
        <v>56</v>
      </c>
      <c r="AD1291" s="6">
        <v>7797.0</v>
      </c>
    </row>
    <row r="1292" ht="56.25" customHeight="1">
      <c r="A1292" s="5" t="s">
        <v>5951</v>
      </c>
      <c r="B1292" s="6" t="str">
        <f>IMAGE("https://storage.googleapis.com/acdb/housewares/FtrLazysusan_Remake_0_0.png")</f>
        <v/>
      </c>
      <c r="C1292" s="5" t="s">
        <v>52</v>
      </c>
      <c r="D1292" s="5" t="s">
        <v>34</v>
      </c>
      <c r="E1292" s="5" t="s">
        <v>34</v>
      </c>
      <c r="F1292" s="5" t="s">
        <v>34</v>
      </c>
      <c r="G1292" s="5" t="s">
        <v>36</v>
      </c>
      <c r="H1292" s="5" t="s">
        <v>36</v>
      </c>
      <c r="I1292" s="5" t="s">
        <v>36</v>
      </c>
      <c r="J1292" s="6" t="s">
        <v>34</v>
      </c>
      <c r="K1292" s="6">
        <v>73000.0</v>
      </c>
      <c r="L1292" s="6">
        <v>18250.0</v>
      </c>
      <c r="M1292" s="8" t="s">
        <v>52</v>
      </c>
      <c r="N1292" s="8" t="s">
        <v>58</v>
      </c>
      <c r="O1292" s="6" t="s">
        <v>214</v>
      </c>
      <c r="P1292" s="5" t="s">
        <v>59</v>
      </c>
      <c r="Q1292" s="5" t="s">
        <v>115</v>
      </c>
      <c r="R1292" s="6" t="s">
        <v>42</v>
      </c>
      <c r="S1292" s="5" t="s">
        <v>62</v>
      </c>
      <c r="T1292" s="5" t="s">
        <v>266</v>
      </c>
      <c r="U1292" s="5" t="s">
        <v>44</v>
      </c>
      <c r="V1292" s="5" t="s">
        <v>1423</v>
      </c>
      <c r="W1292" s="5" t="s">
        <v>35</v>
      </c>
      <c r="X1292" s="8" t="s">
        <v>278</v>
      </c>
      <c r="Y1292" s="5" t="s">
        <v>46</v>
      </c>
      <c r="Z1292" s="5" t="s">
        <v>47</v>
      </c>
      <c r="AA1292" s="5" t="s">
        <v>64</v>
      </c>
      <c r="AB1292" s="5" t="s">
        <v>5956</v>
      </c>
      <c r="AC1292" s="6" t="s">
        <v>50</v>
      </c>
      <c r="AD1292" s="6">
        <v>7796.0</v>
      </c>
    </row>
    <row r="1293" ht="56.25" customHeight="1">
      <c r="A1293" s="5" t="s">
        <v>5951</v>
      </c>
      <c r="B1293" s="6" t="str">
        <f>IMAGE("https://storage.googleapis.com/acdb/housewares/FtrLazysusan_Remake_1_0.png")</f>
        <v/>
      </c>
      <c r="C1293" s="5" t="s">
        <v>39</v>
      </c>
      <c r="D1293" s="5" t="s">
        <v>34</v>
      </c>
      <c r="E1293" s="5" t="s">
        <v>34</v>
      </c>
      <c r="F1293" s="5" t="s">
        <v>34</v>
      </c>
      <c r="G1293" s="5" t="s">
        <v>36</v>
      </c>
      <c r="H1293" s="5" t="s">
        <v>36</v>
      </c>
      <c r="I1293" s="5" t="s">
        <v>36</v>
      </c>
      <c r="J1293" s="6" t="s">
        <v>34</v>
      </c>
      <c r="K1293" s="6">
        <v>73000.0</v>
      </c>
      <c r="L1293" s="6">
        <v>18250.0</v>
      </c>
      <c r="M1293" s="8" t="s">
        <v>39</v>
      </c>
      <c r="N1293" s="8" t="s">
        <v>58</v>
      </c>
      <c r="O1293" s="6" t="s">
        <v>214</v>
      </c>
      <c r="P1293" s="5" t="s">
        <v>59</v>
      </c>
      <c r="Q1293" s="5" t="s">
        <v>115</v>
      </c>
      <c r="R1293" s="6" t="s">
        <v>42</v>
      </c>
      <c r="S1293" s="5" t="s">
        <v>62</v>
      </c>
      <c r="T1293" s="5" t="s">
        <v>266</v>
      </c>
      <c r="U1293" s="5" t="s">
        <v>44</v>
      </c>
      <c r="V1293" s="5" t="s">
        <v>1423</v>
      </c>
      <c r="W1293" s="5" t="s">
        <v>35</v>
      </c>
      <c r="X1293" s="8" t="s">
        <v>278</v>
      </c>
      <c r="Y1293" s="5" t="s">
        <v>46</v>
      </c>
      <c r="Z1293" s="5" t="s">
        <v>47</v>
      </c>
      <c r="AA1293" s="5" t="s">
        <v>64</v>
      </c>
      <c r="AB1293" s="5" t="s">
        <v>5960</v>
      </c>
      <c r="AC1293" s="6" t="s">
        <v>56</v>
      </c>
      <c r="AD1293" s="6">
        <v>7796.0</v>
      </c>
    </row>
    <row r="1294" ht="56.25" customHeight="1">
      <c r="A1294" s="5" t="s">
        <v>5962</v>
      </c>
      <c r="B1294" s="6" t="str">
        <f>IMAGE("https://storage.googleapis.com/acdb/housewares/FtrOrientalTableM_Remake_0_0.png")</f>
        <v/>
      </c>
      <c r="C1294" s="5" t="s">
        <v>52</v>
      </c>
      <c r="D1294" s="5" t="s">
        <v>34</v>
      </c>
      <c r="E1294" s="5" t="s">
        <v>34</v>
      </c>
      <c r="F1294" s="5" t="s">
        <v>34</v>
      </c>
      <c r="G1294" s="5" t="s">
        <v>36</v>
      </c>
      <c r="H1294" s="5" t="s">
        <v>36</v>
      </c>
      <c r="I1294" s="5" t="s">
        <v>36</v>
      </c>
      <c r="J1294" s="6" t="s">
        <v>34</v>
      </c>
      <c r="K1294" s="6">
        <v>3700.0</v>
      </c>
      <c r="L1294" s="6">
        <v>925.0</v>
      </c>
      <c r="M1294" s="8" t="s">
        <v>52</v>
      </c>
      <c r="N1294" s="8" t="s">
        <v>52</v>
      </c>
      <c r="O1294" s="6" t="s">
        <v>276</v>
      </c>
      <c r="P1294" s="5" t="s">
        <v>59</v>
      </c>
      <c r="Q1294" s="5" t="s">
        <v>122</v>
      </c>
      <c r="R1294" s="6" t="s">
        <v>42</v>
      </c>
      <c r="S1294" s="5" t="s">
        <v>266</v>
      </c>
      <c r="T1294" s="5" t="s">
        <v>44</v>
      </c>
      <c r="U1294" s="5" t="s">
        <v>1395</v>
      </c>
      <c r="V1294" s="5" t="s">
        <v>44</v>
      </c>
      <c r="W1294" s="5" t="s">
        <v>36</v>
      </c>
      <c r="X1294" s="8" t="s">
        <v>278</v>
      </c>
      <c r="Y1294" s="5" t="s">
        <v>46</v>
      </c>
      <c r="Z1294" s="5" t="s">
        <v>47</v>
      </c>
      <c r="AA1294" s="5" t="s">
        <v>64</v>
      </c>
      <c r="AB1294" s="5" t="s">
        <v>5966</v>
      </c>
      <c r="AC1294" s="6" t="s">
        <v>50</v>
      </c>
      <c r="AD1294" s="6">
        <v>3974.0</v>
      </c>
    </row>
    <row r="1295" ht="56.25" customHeight="1">
      <c r="A1295" s="5" t="s">
        <v>5962</v>
      </c>
      <c r="B1295" s="6" t="str">
        <f>IMAGE("https://storage.googleapis.com/acdb/housewares/FtrOrientalTableM_Remake_1_0.png")</f>
        <v/>
      </c>
      <c r="C1295" s="5" t="s">
        <v>68</v>
      </c>
      <c r="D1295" s="5" t="s">
        <v>34</v>
      </c>
      <c r="E1295" s="5" t="s">
        <v>34</v>
      </c>
      <c r="F1295" s="5" t="s">
        <v>34</v>
      </c>
      <c r="G1295" s="5" t="s">
        <v>36</v>
      </c>
      <c r="H1295" s="5" t="s">
        <v>36</v>
      </c>
      <c r="I1295" s="5" t="s">
        <v>36</v>
      </c>
      <c r="J1295" s="6" t="s">
        <v>34</v>
      </c>
      <c r="K1295" s="6">
        <v>3700.0</v>
      </c>
      <c r="L1295" s="6">
        <v>925.0</v>
      </c>
      <c r="M1295" s="8" t="s">
        <v>68</v>
      </c>
      <c r="N1295" s="8" t="s">
        <v>68</v>
      </c>
      <c r="O1295" s="6" t="s">
        <v>276</v>
      </c>
      <c r="P1295" s="5" t="s">
        <v>59</v>
      </c>
      <c r="Q1295" s="5" t="s">
        <v>122</v>
      </c>
      <c r="R1295" s="6" t="s">
        <v>42</v>
      </c>
      <c r="S1295" s="5" t="s">
        <v>266</v>
      </c>
      <c r="T1295" s="5" t="s">
        <v>44</v>
      </c>
      <c r="U1295" s="5" t="s">
        <v>1395</v>
      </c>
      <c r="V1295" s="5" t="s">
        <v>44</v>
      </c>
      <c r="W1295" s="5" t="s">
        <v>36</v>
      </c>
      <c r="X1295" s="8" t="s">
        <v>278</v>
      </c>
      <c r="Y1295" s="5" t="s">
        <v>46</v>
      </c>
      <c r="Z1295" s="5" t="s">
        <v>47</v>
      </c>
      <c r="AA1295" s="5" t="s">
        <v>64</v>
      </c>
      <c r="AB1295" s="5" t="s">
        <v>5971</v>
      </c>
      <c r="AC1295" s="6" t="s">
        <v>56</v>
      </c>
      <c r="AD1295" s="6">
        <v>3974.0</v>
      </c>
    </row>
    <row r="1296" ht="56.25" customHeight="1">
      <c r="A1296" s="5" t="s">
        <v>5962</v>
      </c>
      <c r="B1296" s="6" t="str">
        <f>IMAGE("https://storage.googleapis.com/acdb/housewares/FtrOrientalTableM_Remake_2_0.png")</f>
        <v/>
      </c>
      <c r="C1296" s="5" t="s">
        <v>39</v>
      </c>
      <c r="D1296" s="5" t="s">
        <v>34</v>
      </c>
      <c r="E1296" s="5" t="s">
        <v>34</v>
      </c>
      <c r="F1296" s="5" t="s">
        <v>34</v>
      </c>
      <c r="G1296" s="5" t="s">
        <v>36</v>
      </c>
      <c r="H1296" s="5" t="s">
        <v>36</v>
      </c>
      <c r="I1296" s="5" t="s">
        <v>36</v>
      </c>
      <c r="J1296" s="6" t="s">
        <v>34</v>
      </c>
      <c r="K1296" s="6">
        <v>3700.0</v>
      </c>
      <c r="L1296" s="6">
        <v>925.0</v>
      </c>
      <c r="M1296" s="8" t="s">
        <v>39</v>
      </c>
      <c r="N1296" s="8" t="s">
        <v>39</v>
      </c>
      <c r="O1296" s="6" t="s">
        <v>276</v>
      </c>
      <c r="P1296" s="5" t="s">
        <v>59</v>
      </c>
      <c r="Q1296" s="5" t="s">
        <v>122</v>
      </c>
      <c r="R1296" s="6" t="s">
        <v>42</v>
      </c>
      <c r="S1296" s="5" t="s">
        <v>266</v>
      </c>
      <c r="T1296" s="5" t="s">
        <v>44</v>
      </c>
      <c r="U1296" s="5" t="s">
        <v>1395</v>
      </c>
      <c r="V1296" s="5" t="s">
        <v>44</v>
      </c>
      <c r="W1296" s="5" t="s">
        <v>36</v>
      </c>
      <c r="X1296" s="8" t="s">
        <v>278</v>
      </c>
      <c r="Y1296" s="5" t="s">
        <v>46</v>
      </c>
      <c r="Z1296" s="5" t="s">
        <v>47</v>
      </c>
      <c r="AA1296" s="5" t="s">
        <v>64</v>
      </c>
      <c r="AB1296" s="5" t="s">
        <v>5976</v>
      </c>
      <c r="AC1296" s="6" t="s">
        <v>67</v>
      </c>
      <c r="AD1296" s="6">
        <v>3974.0</v>
      </c>
    </row>
    <row r="1297" ht="56.25" customHeight="1">
      <c r="A1297" s="5" t="s">
        <v>5962</v>
      </c>
      <c r="B1297" s="6" t="str">
        <f>IMAGE("https://storage.googleapis.com/acdb/housewares/FtrOrientalTableM_Remake_3_0.png")</f>
        <v/>
      </c>
      <c r="C1297" s="5" t="s">
        <v>54</v>
      </c>
      <c r="D1297" s="5" t="s">
        <v>34</v>
      </c>
      <c r="E1297" s="5" t="s">
        <v>34</v>
      </c>
      <c r="F1297" s="5" t="s">
        <v>34</v>
      </c>
      <c r="G1297" s="5" t="s">
        <v>36</v>
      </c>
      <c r="H1297" s="5" t="s">
        <v>36</v>
      </c>
      <c r="I1297" s="5" t="s">
        <v>36</v>
      </c>
      <c r="J1297" s="6" t="s">
        <v>34</v>
      </c>
      <c r="K1297" s="6">
        <v>3700.0</v>
      </c>
      <c r="L1297" s="6">
        <v>925.0</v>
      </c>
      <c r="M1297" s="8" t="s">
        <v>54</v>
      </c>
      <c r="N1297" s="8" t="s">
        <v>54</v>
      </c>
      <c r="O1297" s="6" t="s">
        <v>276</v>
      </c>
      <c r="P1297" s="5" t="s">
        <v>59</v>
      </c>
      <c r="Q1297" s="5" t="s">
        <v>122</v>
      </c>
      <c r="R1297" s="6" t="s">
        <v>42</v>
      </c>
      <c r="S1297" s="5" t="s">
        <v>266</v>
      </c>
      <c r="T1297" s="5" t="s">
        <v>44</v>
      </c>
      <c r="U1297" s="5" t="s">
        <v>1395</v>
      </c>
      <c r="V1297" s="5" t="s">
        <v>44</v>
      </c>
      <c r="W1297" s="5" t="s">
        <v>36</v>
      </c>
      <c r="X1297" s="8" t="s">
        <v>278</v>
      </c>
      <c r="Y1297" s="5" t="s">
        <v>46</v>
      </c>
      <c r="Z1297" s="5" t="s">
        <v>47</v>
      </c>
      <c r="AA1297" s="5" t="s">
        <v>64</v>
      </c>
      <c r="AB1297" s="5" t="s">
        <v>5981</v>
      </c>
      <c r="AC1297" s="6" t="s">
        <v>71</v>
      </c>
      <c r="AD1297" s="6">
        <v>3974.0</v>
      </c>
    </row>
    <row r="1298" ht="56.25" customHeight="1">
      <c r="A1298" s="5" t="s">
        <v>5984</v>
      </c>
      <c r="B1298" s="6" t="str">
        <f>IMAGE("https://storage.googleapis.com/acdb/housewares/FtrOrientalScreen_Remake_0_0.png")</f>
        <v/>
      </c>
      <c r="C1298" s="5" t="s">
        <v>52</v>
      </c>
      <c r="D1298" s="5" t="s">
        <v>34</v>
      </c>
      <c r="E1298" s="5" t="s">
        <v>34</v>
      </c>
      <c r="F1298" s="5" t="s">
        <v>34</v>
      </c>
      <c r="G1298" s="5" t="s">
        <v>36</v>
      </c>
      <c r="H1298" s="5" t="s">
        <v>36</v>
      </c>
      <c r="I1298" s="5" t="s">
        <v>36</v>
      </c>
      <c r="J1298" s="6" t="s">
        <v>34</v>
      </c>
      <c r="K1298" s="6">
        <v>5000.0</v>
      </c>
      <c r="L1298" s="6">
        <v>1250.0</v>
      </c>
      <c r="M1298" s="8" t="s">
        <v>52</v>
      </c>
      <c r="N1298" s="8" t="s">
        <v>52</v>
      </c>
      <c r="O1298" s="6" t="s">
        <v>276</v>
      </c>
      <c r="P1298" s="5" t="s">
        <v>59</v>
      </c>
      <c r="Q1298" s="5" t="s">
        <v>122</v>
      </c>
      <c r="R1298" s="6" t="s">
        <v>42</v>
      </c>
      <c r="S1298" s="5" t="s">
        <v>266</v>
      </c>
      <c r="T1298" s="5" t="s">
        <v>44</v>
      </c>
      <c r="U1298" s="5" t="s">
        <v>1395</v>
      </c>
      <c r="V1298" s="5" t="s">
        <v>44</v>
      </c>
      <c r="W1298" s="5" t="s">
        <v>36</v>
      </c>
      <c r="X1298" s="8" t="s">
        <v>715</v>
      </c>
      <c r="Y1298" s="5" t="s">
        <v>46</v>
      </c>
      <c r="Z1298" s="5" t="s">
        <v>47</v>
      </c>
      <c r="AA1298" s="5" t="s">
        <v>64</v>
      </c>
      <c r="AB1298" s="5" t="s">
        <v>5988</v>
      </c>
      <c r="AC1298" s="6" t="s">
        <v>50</v>
      </c>
      <c r="AD1298" s="6">
        <v>3971.0</v>
      </c>
    </row>
    <row r="1299" ht="56.25" customHeight="1">
      <c r="A1299" s="5" t="s">
        <v>5984</v>
      </c>
      <c r="B1299" s="6" t="str">
        <f>IMAGE("https://storage.googleapis.com/acdb/housewares/FtrOrientalScreen_Remake_1_0.png")</f>
        <v/>
      </c>
      <c r="C1299" s="5" t="s">
        <v>68</v>
      </c>
      <c r="D1299" s="5" t="s">
        <v>34</v>
      </c>
      <c r="E1299" s="5" t="s">
        <v>34</v>
      </c>
      <c r="F1299" s="5" t="s">
        <v>34</v>
      </c>
      <c r="G1299" s="5" t="s">
        <v>36</v>
      </c>
      <c r="H1299" s="5" t="s">
        <v>36</v>
      </c>
      <c r="I1299" s="5" t="s">
        <v>36</v>
      </c>
      <c r="J1299" s="6" t="s">
        <v>34</v>
      </c>
      <c r="K1299" s="6">
        <v>5000.0</v>
      </c>
      <c r="L1299" s="6">
        <v>1250.0</v>
      </c>
      <c r="M1299" s="8" t="s">
        <v>68</v>
      </c>
      <c r="N1299" s="8" t="s">
        <v>68</v>
      </c>
      <c r="O1299" s="6" t="s">
        <v>276</v>
      </c>
      <c r="P1299" s="5" t="s">
        <v>59</v>
      </c>
      <c r="Q1299" s="5" t="s">
        <v>122</v>
      </c>
      <c r="R1299" s="6" t="s">
        <v>42</v>
      </c>
      <c r="S1299" s="5" t="s">
        <v>266</v>
      </c>
      <c r="T1299" s="5" t="s">
        <v>44</v>
      </c>
      <c r="U1299" s="5" t="s">
        <v>1395</v>
      </c>
      <c r="V1299" s="5" t="s">
        <v>44</v>
      </c>
      <c r="W1299" s="5" t="s">
        <v>36</v>
      </c>
      <c r="X1299" s="8" t="s">
        <v>715</v>
      </c>
      <c r="Y1299" s="5" t="s">
        <v>46</v>
      </c>
      <c r="Z1299" s="5" t="s">
        <v>47</v>
      </c>
      <c r="AA1299" s="5" t="s">
        <v>64</v>
      </c>
      <c r="AB1299" s="5" t="s">
        <v>5992</v>
      </c>
      <c r="AC1299" s="6" t="s">
        <v>56</v>
      </c>
      <c r="AD1299" s="6">
        <v>3971.0</v>
      </c>
    </row>
    <row r="1300" ht="56.25" customHeight="1">
      <c r="A1300" s="5" t="s">
        <v>5984</v>
      </c>
      <c r="B1300" s="6" t="str">
        <f>IMAGE("https://storage.googleapis.com/acdb/housewares/FtrOrientalScreen_Remake_2_0.png")</f>
        <v/>
      </c>
      <c r="C1300" s="5" t="s">
        <v>39</v>
      </c>
      <c r="D1300" s="5" t="s">
        <v>34</v>
      </c>
      <c r="E1300" s="5" t="s">
        <v>34</v>
      </c>
      <c r="F1300" s="5" t="s">
        <v>34</v>
      </c>
      <c r="G1300" s="5" t="s">
        <v>36</v>
      </c>
      <c r="H1300" s="5" t="s">
        <v>36</v>
      </c>
      <c r="I1300" s="5" t="s">
        <v>36</v>
      </c>
      <c r="J1300" s="6" t="s">
        <v>34</v>
      </c>
      <c r="K1300" s="6">
        <v>5000.0</v>
      </c>
      <c r="L1300" s="6">
        <v>1250.0</v>
      </c>
      <c r="M1300" s="8" t="s">
        <v>39</v>
      </c>
      <c r="N1300" s="8" t="s">
        <v>39</v>
      </c>
      <c r="O1300" s="6" t="s">
        <v>276</v>
      </c>
      <c r="P1300" s="5" t="s">
        <v>59</v>
      </c>
      <c r="Q1300" s="5" t="s">
        <v>122</v>
      </c>
      <c r="R1300" s="6" t="s">
        <v>42</v>
      </c>
      <c r="S1300" s="5" t="s">
        <v>266</v>
      </c>
      <c r="T1300" s="5" t="s">
        <v>44</v>
      </c>
      <c r="U1300" s="5" t="s">
        <v>1395</v>
      </c>
      <c r="V1300" s="5" t="s">
        <v>44</v>
      </c>
      <c r="W1300" s="5" t="s">
        <v>36</v>
      </c>
      <c r="X1300" s="8" t="s">
        <v>715</v>
      </c>
      <c r="Y1300" s="5" t="s">
        <v>46</v>
      </c>
      <c r="Z1300" s="5" t="s">
        <v>47</v>
      </c>
      <c r="AA1300" s="5" t="s">
        <v>64</v>
      </c>
      <c r="AB1300" s="5" t="s">
        <v>5997</v>
      </c>
      <c r="AC1300" s="6" t="s">
        <v>67</v>
      </c>
      <c r="AD1300" s="6">
        <v>3971.0</v>
      </c>
    </row>
    <row r="1301" ht="56.25" customHeight="1">
      <c r="A1301" s="5" t="s">
        <v>5984</v>
      </c>
      <c r="B1301" s="6" t="str">
        <f>IMAGE("https://storage.googleapis.com/acdb/housewares/FtrOrientalScreen_Remake_3_0.png")</f>
        <v/>
      </c>
      <c r="C1301" s="5" t="s">
        <v>54</v>
      </c>
      <c r="D1301" s="5" t="s">
        <v>34</v>
      </c>
      <c r="E1301" s="5" t="s">
        <v>34</v>
      </c>
      <c r="F1301" s="5" t="s">
        <v>34</v>
      </c>
      <c r="G1301" s="5" t="s">
        <v>36</v>
      </c>
      <c r="H1301" s="5" t="s">
        <v>36</v>
      </c>
      <c r="I1301" s="5" t="s">
        <v>36</v>
      </c>
      <c r="J1301" s="6" t="s">
        <v>34</v>
      </c>
      <c r="K1301" s="6">
        <v>5000.0</v>
      </c>
      <c r="L1301" s="6">
        <v>1250.0</v>
      </c>
      <c r="M1301" s="8" t="s">
        <v>54</v>
      </c>
      <c r="N1301" s="8" t="s">
        <v>54</v>
      </c>
      <c r="O1301" s="6" t="s">
        <v>276</v>
      </c>
      <c r="P1301" s="5" t="s">
        <v>59</v>
      </c>
      <c r="Q1301" s="5" t="s">
        <v>122</v>
      </c>
      <c r="R1301" s="6" t="s">
        <v>42</v>
      </c>
      <c r="S1301" s="5" t="s">
        <v>266</v>
      </c>
      <c r="T1301" s="5" t="s">
        <v>44</v>
      </c>
      <c r="U1301" s="5" t="s">
        <v>1395</v>
      </c>
      <c r="V1301" s="5" t="s">
        <v>44</v>
      </c>
      <c r="W1301" s="5" t="s">
        <v>36</v>
      </c>
      <c r="X1301" s="8" t="s">
        <v>715</v>
      </c>
      <c r="Y1301" s="5" t="s">
        <v>46</v>
      </c>
      <c r="Z1301" s="5" t="s">
        <v>47</v>
      </c>
      <c r="AA1301" s="5" t="s">
        <v>64</v>
      </c>
      <c r="AB1301" s="5" t="s">
        <v>6002</v>
      </c>
      <c r="AC1301" s="6" t="s">
        <v>71</v>
      </c>
      <c r="AD1301" s="6">
        <v>3971.0</v>
      </c>
    </row>
    <row r="1302" ht="56.25" customHeight="1">
      <c r="A1302" s="5" t="s">
        <v>6003</v>
      </c>
      <c r="B1302" s="6" t="str">
        <f>IMAGE("https://storage.googleapis.com/acdb/housewares/FtrAirsofa_Remake_0_0.png")</f>
        <v/>
      </c>
      <c r="C1302" s="5" t="s">
        <v>68</v>
      </c>
      <c r="D1302" s="5" t="s">
        <v>34</v>
      </c>
      <c r="E1302" s="5" t="s">
        <v>34</v>
      </c>
      <c r="F1302" s="5" t="s">
        <v>34</v>
      </c>
      <c r="G1302" s="5" t="s">
        <v>36</v>
      </c>
      <c r="H1302" s="5" t="s">
        <v>36</v>
      </c>
      <c r="I1302" s="5" t="s">
        <v>36</v>
      </c>
      <c r="J1302" s="6" t="s">
        <v>34</v>
      </c>
      <c r="K1302" s="6">
        <v>1100.0</v>
      </c>
      <c r="L1302" s="6">
        <v>275.0</v>
      </c>
      <c r="M1302" s="8" t="s">
        <v>1175</v>
      </c>
      <c r="N1302" s="8" t="s">
        <v>1175</v>
      </c>
      <c r="O1302" s="6" t="s">
        <v>276</v>
      </c>
      <c r="P1302" s="5" t="s">
        <v>59</v>
      </c>
      <c r="Q1302" s="5" t="s">
        <v>554</v>
      </c>
      <c r="R1302" s="6" t="s">
        <v>42</v>
      </c>
      <c r="S1302" s="5" t="s">
        <v>765</v>
      </c>
      <c r="T1302" s="5" t="s">
        <v>44</v>
      </c>
      <c r="U1302" s="5" t="s">
        <v>44</v>
      </c>
      <c r="V1302" s="5" t="s">
        <v>44</v>
      </c>
      <c r="W1302" s="5" t="s">
        <v>35</v>
      </c>
      <c r="X1302" s="8" t="s">
        <v>218</v>
      </c>
      <c r="Y1302" s="5" t="s">
        <v>46</v>
      </c>
      <c r="Z1302" s="5" t="s">
        <v>47</v>
      </c>
      <c r="AA1302" s="5" t="s">
        <v>64</v>
      </c>
      <c r="AB1302" s="5" t="s">
        <v>6009</v>
      </c>
      <c r="AC1302" s="6" t="s">
        <v>50</v>
      </c>
      <c r="AD1302" s="6">
        <v>3962.0</v>
      </c>
    </row>
    <row r="1303" ht="56.25" customHeight="1">
      <c r="A1303" s="5" t="s">
        <v>6003</v>
      </c>
      <c r="B1303" s="6" t="str">
        <f>IMAGE("https://storage.googleapis.com/acdb/housewares/FtrAirsofa_Remake_1_0.png")</f>
        <v/>
      </c>
      <c r="C1303" s="5" t="s">
        <v>96</v>
      </c>
      <c r="D1303" s="5" t="s">
        <v>34</v>
      </c>
      <c r="E1303" s="5" t="s">
        <v>34</v>
      </c>
      <c r="F1303" s="5" t="s">
        <v>34</v>
      </c>
      <c r="G1303" s="5" t="s">
        <v>36</v>
      </c>
      <c r="H1303" s="5" t="s">
        <v>36</v>
      </c>
      <c r="I1303" s="5" t="s">
        <v>36</v>
      </c>
      <c r="J1303" s="6" t="s">
        <v>34</v>
      </c>
      <c r="K1303" s="6">
        <v>1100.0</v>
      </c>
      <c r="L1303" s="6">
        <v>275.0</v>
      </c>
      <c r="M1303" s="8" t="s">
        <v>96</v>
      </c>
      <c r="N1303" s="8" t="s">
        <v>96</v>
      </c>
      <c r="O1303" s="6" t="s">
        <v>276</v>
      </c>
      <c r="P1303" s="5" t="s">
        <v>59</v>
      </c>
      <c r="Q1303" s="5" t="s">
        <v>554</v>
      </c>
      <c r="R1303" s="6" t="s">
        <v>42</v>
      </c>
      <c r="S1303" s="5" t="s">
        <v>765</v>
      </c>
      <c r="T1303" s="5" t="s">
        <v>44</v>
      </c>
      <c r="U1303" s="5" t="s">
        <v>44</v>
      </c>
      <c r="V1303" s="5" t="s">
        <v>44</v>
      </c>
      <c r="W1303" s="5" t="s">
        <v>35</v>
      </c>
      <c r="X1303" s="8" t="s">
        <v>218</v>
      </c>
      <c r="Y1303" s="5" t="s">
        <v>46</v>
      </c>
      <c r="Z1303" s="5" t="s">
        <v>47</v>
      </c>
      <c r="AA1303" s="5" t="s">
        <v>64</v>
      </c>
      <c r="AB1303" s="5" t="s">
        <v>6015</v>
      </c>
      <c r="AC1303" s="6" t="s">
        <v>56</v>
      </c>
      <c r="AD1303" s="6">
        <v>3962.0</v>
      </c>
    </row>
    <row r="1304" ht="56.25" customHeight="1">
      <c r="A1304" s="5" t="s">
        <v>6003</v>
      </c>
      <c r="B1304" s="6" t="str">
        <f>IMAGE("https://storage.googleapis.com/acdb/housewares/FtrAirsofa_Remake_2_0.png")</f>
        <v/>
      </c>
      <c r="C1304" s="5" t="s">
        <v>106</v>
      </c>
      <c r="D1304" s="5" t="s">
        <v>34</v>
      </c>
      <c r="E1304" s="5" t="s">
        <v>34</v>
      </c>
      <c r="F1304" s="5" t="s">
        <v>34</v>
      </c>
      <c r="G1304" s="5" t="s">
        <v>36</v>
      </c>
      <c r="H1304" s="5" t="s">
        <v>36</v>
      </c>
      <c r="I1304" s="5" t="s">
        <v>36</v>
      </c>
      <c r="J1304" s="6" t="s">
        <v>34</v>
      </c>
      <c r="K1304" s="6">
        <v>1100.0</v>
      </c>
      <c r="L1304" s="6">
        <v>275.0</v>
      </c>
      <c r="M1304" s="8" t="s">
        <v>106</v>
      </c>
      <c r="N1304" s="8" t="s">
        <v>106</v>
      </c>
      <c r="O1304" s="6" t="s">
        <v>276</v>
      </c>
      <c r="P1304" s="5" t="s">
        <v>59</v>
      </c>
      <c r="Q1304" s="5" t="s">
        <v>554</v>
      </c>
      <c r="R1304" s="6" t="s">
        <v>42</v>
      </c>
      <c r="S1304" s="5" t="s">
        <v>765</v>
      </c>
      <c r="T1304" s="5" t="s">
        <v>44</v>
      </c>
      <c r="U1304" s="5" t="s">
        <v>44</v>
      </c>
      <c r="V1304" s="5" t="s">
        <v>44</v>
      </c>
      <c r="W1304" s="5" t="s">
        <v>35</v>
      </c>
      <c r="X1304" s="8" t="s">
        <v>218</v>
      </c>
      <c r="Y1304" s="5" t="s">
        <v>46</v>
      </c>
      <c r="Z1304" s="5" t="s">
        <v>47</v>
      </c>
      <c r="AA1304" s="5" t="s">
        <v>64</v>
      </c>
      <c r="AB1304" s="5" t="s">
        <v>6020</v>
      </c>
      <c r="AC1304" s="6" t="s">
        <v>67</v>
      </c>
      <c r="AD1304" s="6">
        <v>3962.0</v>
      </c>
    </row>
    <row r="1305" ht="56.25" customHeight="1">
      <c r="A1305" s="5" t="s">
        <v>6003</v>
      </c>
      <c r="B1305" s="6" t="str">
        <f>IMAGE("https://storage.googleapis.com/acdb/housewares/FtrAirsofa_Remake_3_0.png")</f>
        <v/>
      </c>
      <c r="C1305" s="5" t="s">
        <v>69</v>
      </c>
      <c r="D1305" s="5" t="s">
        <v>34</v>
      </c>
      <c r="E1305" s="5" t="s">
        <v>34</v>
      </c>
      <c r="F1305" s="5" t="s">
        <v>34</v>
      </c>
      <c r="G1305" s="5" t="s">
        <v>36</v>
      </c>
      <c r="H1305" s="5" t="s">
        <v>36</v>
      </c>
      <c r="I1305" s="5" t="s">
        <v>36</v>
      </c>
      <c r="J1305" s="6" t="s">
        <v>34</v>
      </c>
      <c r="K1305" s="6">
        <v>1100.0</v>
      </c>
      <c r="L1305" s="6">
        <v>275.0</v>
      </c>
      <c r="M1305" s="8" t="s">
        <v>69</v>
      </c>
      <c r="N1305" s="8" t="s">
        <v>69</v>
      </c>
      <c r="O1305" s="6" t="s">
        <v>276</v>
      </c>
      <c r="P1305" s="5" t="s">
        <v>59</v>
      </c>
      <c r="Q1305" s="5" t="s">
        <v>554</v>
      </c>
      <c r="R1305" s="6" t="s">
        <v>42</v>
      </c>
      <c r="S1305" s="5" t="s">
        <v>765</v>
      </c>
      <c r="T1305" s="5" t="s">
        <v>44</v>
      </c>
      <c r="U1305" s="5" t="s">
        <v>44</v>
      </c>
      <c r="V1305" s="5" t="s">
        <v>44</v>
      </c>
      <c r="W1305" s="5" t="s">
        <v>35</v>
      </c>
      <c r="X1305" s="8" t="s">
        <v>218</v>
      </c>
      <c r="Y1305" s="5" t="s">
        <v>46</v>
      </c>
      <c r="Z1305" s="5" t="s">
        <v>47</v>
      </c>
      <c r="AA1305" s="5" t="s">
        <v>64</v>
      </c>
      <c r="AB1305" s="5" t="s">
        <v>6026</v>
      </c>
      <c r="AC1305" s="6" t="s">
        <v>71</v>
      </c>
      <c r="AD1305" s="6">
        <v>3962.0</v>
      </c>
    </row>
    <row r="1306" ht="56.25" customHeight="1">
      <c r="A1306" s="5" t="s">
        <v>6003</v>
      </c>
      <c r="B1306" s="6" t="str">
        <f>IMAGE("https://storage.googleapis.com/acdb/housewares/FtrAirsofa_Remake_4_0.png")</f>
        <v/>
      </c>
      <c r="C1306" s="5" t="s">
        <v>1458</v>
      </c>
      <c r="D1306" s="5" t="s">
        <v>34</v>
      </c>
      <c r="E1306" s="5" t="s">
        <v>34</v>
      </c>
      <c r="F1306" s="5" t="s">
        <v>34</v>
      </c>
      <c r="G1306" s="5" t="s">
        <v>36</v>
      </c>
      <c r="H1306" s="5" t="s">
        <v>36</v>
      </c>
      <c r="I1306" s="5" t="s">
        <v>36</v>
      </c>
      <c r="J1306" s="6" t="s">
        <v>34</v>
      </c>
      <c r="K1306" s="6">
        <v>1100.0</v>
      </c>
      <c r="L1306" s="6">
        <v>275.0</v>
      </c>
      <c r="M1306" s="8" t="s">
        <v>114</v>
      </c>
      <c r="N1306" s="8" t="s">
        <v>114</v>
      </c>
      <c r="O1306" s="6" t="s">
        <v>276</v>
      </c>
      <c r="P1306" s="5" t="s">
        <v>59</v>
      </c>
      <c r="Q1306" s="5" t="s">
        <v>554</v>
      </c>
      <c r="R1306" s="6" t="s">
        <v>42</v>
      </c>
      <c r="S1306" s="5" t="s">
        <v>765</v>
      </c>
      <c r="T1306" s="5" t="s">
        <v>44</v>
      </c>
      <c r="U1306" s="5" t="s">
        <v>44</v>
      </c>
      <c r="V1306" s="5" t="s">
        <v>44</v>
      </c>
      <c r="W1306" s="5" t="s">
        <v>35</v>
      </c>
      <c r="X1306" s="8" t="s">
        <v>218</v>
      </c>
      <c r="Y1306" s="5" t="s">
        <v>46</v>
      </c>
      <c r="Z1306" s="5" t="s">
        <v>47</v>
      </c>
      <c r="AA1306" s="5" t="s">
        <v>64</v>
      </c>
      <c r="AB1306" s="5" t="s">
        <v>6031</v>
      </c>
      <c r="AC1306" s="6" t="s">
        <v>75</v>
      </c>
      <c r="AD1306" s="6">
        <v>3962.0</v>
      </c>
    </row>
    <row r="1307" ht="56.25" customHeight="1">
      <c r="A1307" s="5" t="s">
        <v>6003</v>
      </c>
      <c r="B1307" s="6" t="str">
        <f>IMAGE("https://storage.googleapis.com/acdb/housewares/FtrAirsofa_Remake_5_0.png")</f>
        <v/>
      </c>
      <c r="C1307" s="5" t="s">
        <v>1044</v>
      </c>
      <c r="D1307" s="5" t="s">
        <v>34</v>
      </c>
      <c r="E1307" s="5" t="s">
        <v>34</v>
      </c>
      <c r="F1307" s="5" t="s">
        <v>34</v>
      </c>
      <c r="G1307" s="5" t="s">
        <v>36</v>
      </c>
      <c r="H1307" s="5" t="s">
        <v>36</v>
      </c>
      <c r="I1307" s="5" t="s">
        <v>36</v>
      </c>
      <c r="J1307" s="6" t="s">
        <v>34</v>
      </c>
      <c r="K1307" s="6">
        <v>1100.0</v>
      </c>
      <c r="L1307" s="6">
        <v>275.0</v>
      </c>
      <c r="M1307" s="8" t="s">
        <v>58</v>
      </c>
      <c r="N1307" s="8" t="s">
        <v>57</v>
      </c>
      <c r="O1307" s="6" t="s">
        <v>276</v>
      </c>
      <c r="P1307" s="5" t="s">
        <v>59</v>
      </c>
      <c r="Q1307" s="5" t="s">
        <v>554</v>
      </c>
      <c r="R1307" s="6" t="s">
        <v>42</v>
      </c>
      <c r="S1307" s="5" t="s">
        <v>765</v>
      </c>
      <c r="T1307" s="5" t="s">
        <v>44</v>
      </c>
      <c r="U1307" s="5" t="s">
        <v>44</v>
      </c>
      <c r="V1307" s="5" t="s">
        <v>44</v>
      </c>
      <c r="W1307" s="5" t="s">
        <v>35</v>
      </c>
      <c r="X1307" s="8" t="s">
        <v>218</v>
      </c>
      <c r="Y1307" s="5" t="s">
        <v>46</v>
      </c>
      <c r="Z1307" s="5" t="s">
        <v>47</v>
      </c>
      <c r="AA1307" s="5" t="s">
        <v>64</v>
      </c>
      <c r="AB1307" s="5" t="s">
        <v>6038</v>
      </c>
      <c r="AC1307" s="6" t="s">
        <v>79</v>
      </c>
      <c r="AD1307" s="6">
        <v>3962.0</v>
      </c>
    </row>
    <row r="1308" ht="56.25" customHeight="1">
      <c r="A1308" s="5" t="s">
        <v>6003</v>
      </c>
      <c r="B1308" s="6" t="str">
        <f>IMAGE("https://storage.googleapis.com/acdb/housewares/FtrAirsofa_Remake_6_0.png")</f>
        <v/>
      </c>
      <c r="C1308" s="5" t="s">
        <v>5876</v>
      </c>
      <c r="D1308" s="5" t="s">
        <v>34</v>
      </c>
      <c r="E1308" s="5" t="s">
        <v>34</v>
      </c>
      <c r="F1308" s="5" t="s">
        <v>34</v>
      </c>
      <c r="G1308" s="5" t="s">
        <v>36</v>
      </c>
      <c r="H1308" s="5" t="s">
        <v>36</v>
      </c>
      <c r="I1308" s="5" t="s">
        <v>36</v>
      </c>
      <c r="J1308" s="6" t="s">
        <v>34</v>
      </c>
      <c r="K1308" s="6">
        <v>1100.0</v>
      </c>
      <c r="L1308" s="6">
        <v>275.0</v>
      </c>
      <c r="M1308" s="8" t="s">
        <v>58</v>
      </c>
      <c r="N1308" s="8" t="s">
        <v>58</v>
      </c>
      <c r="O1308" s="6" t="s">
        <v>276</v>
      </c>
      <c r="P1308" s="5" t="s">
        <v>59</v>
      </c>
      <c r="Q1308" s="5" t="s">
        <v>554</v>
      </c>
      <c r="R1308" s="6" t="s">
        <v>42</v>
      </c>
      <c r="S1308" s="5" t="s">
        <v>765</v>
      </c>
      <c r="T1308" s="5" t="s">
        <v>44</v>
      </c>
      <c r="U1308" s="5" t="s">
        <v>44</v>
      </c>
      <c r="V1308" s="5" t="s">
        <v>44</v>
      </c>
      <c r="W1308" s="5" t="s">
        <v>35</v>
      </c>
      <c r="X1308" s="8" t="s">
        <v>218</v>
      </c>
      <c r="Y1308" s="5" t="s">
        <v>46</v>
      </c>
      <c r="Z1308" s="5" t="s">
        <v>47</v>
      </c>
      <c r="AA1308" s="5" t="s">
        <v>64</v>
      </c>
      <c r="AB1308" s="5" t="s">
        <v>6042</v>
      </c>
      <c r="AC1308" s="6" t="s">
        <v>86</v>
      </c>
      <c r="AD1308" s="6">
        <v>3962.0</v>
      </c>
    </row>
    <row r="1309" ht="56.25" customHeight="1">
      <c r="A1309" s="5" t="s">
        <v>6003</v>
      </c>
      <c r="B1309" s="6" t="str">
        <f>IMAGE("https://storage.googleapis.com/acdb/housewares/FtrAirsofa_Remake_7_0.png")</f>
        <v/>
      </c>
      <c r="C1309" s="5" t="s">
        <v>1499</v>
      </c>
      <c r="D1309" s="5" t="s">
        <v>34</v>
      </c>
      <c r="E1309" s="5" t="s">
        <v>34</v>
      </c>
      <c r="F1309" s="5" t="s">
        <v>34</v>
      </c>
      <c r="G1309" s="5" t="s">
        <v>36</v>
      </c>
      <c r="H1309" s="5" t="s">
        <v>36</v>
      </c>
      <c r="I1309" s="5" t="s">
        <v>36</v>
      </c>
      <c r="J1309" s="6" t="s">
        <v>34</v>
      </c>
      <c r="K1309" s="6">
        <v>1100.0</v>
      </c>
      <c r="L1309" s="6">
        <v>275.0</v>
      </c>
      <c r="M1309" s="8" t="s">
        <v>38</v>
      </c>
      <c r="N1309" s="8" t="s">
        <v>96</v>
      </c>
      <c r="O1309" s="6" t="s">
        <v>276</v>
      </c>
      <c r="P1309" s="5" t="s">
        <v>59</v>
      </c>
      <c r="Q1309" s="5" t="s">
        <v>554</v>
      </c>
      <c r="R1309" s="6" t="s">
        <v>42</v>
      </c>
      <c r="S1309" s="5" t="s">
        <v>765</v>
      </c>
      <c r="T1309" s="5" t="s">
        <v>44</v>
      </c>
      <c r="U1309" s="5" t="s">
        <v>44</v>
      </c>
      <c r="V1309" s="5" t="s">
        <v>44</v>
      </c>
      <c r="W1309" s="5" t="s">
        <v>35</v>
      </c>
      <c r="X1309" s="8" t="s">
        <v>218</v>
      </c>
      <c r="Y1309" s="5" t="s">
        <v>46</v>
      </c>
      <c r="Z1309" s="5" t="s">
        <v>47</v>
      </c>
      <c r="AA1309" s="5" t="s">
        <v>64</v>
      </c>
      <c r="AB1309" s="5" t="s">
        <v>6048</v>
      </c>
      <c r="AC1309" s="6" t="s">
        <v>208</v>
      </c>
      <c r="AD1309" s="6">
        <v>3962.0</v>
      </c>
    </row>
    <row r="1310" ht="56.25" customHeight="1">
      <c r="A1310" s="5" t="s">
        <v>6049</v>
      </c>
      <c r="B1310" s="6" t="str">
        <f>IMAGE("https://storage.googleapis.com/acdb/housewares/FtrIronClosetLR_Remake_0_0.png")</f>
        <v/>
      </c>
      <c r="C1310" s="5" t="s">
        <v>54</v>
      </c>
      <c r="D1310" s="5" t="s">
        <v>1008</v>
      </c>
      <c r="E1310" s="5" t="s">
        <v>34</v>
      </c>
      <c r="F1310" s="5" t="s">
        <v>34</v>
      </c>
      <c r="G1310" s="5" t="s">
        <v>35</v>
      </c>
      <c r="H1310" s="5" t="s">
        <v>35</v>
      </c>
      <c r="I1310" s="5" t="s">
        <v>36</v>
      </c>
      <c r="J1310" s="6">
        <v>7.0</v>
      </c>
      <c r="K1310" s="6" t="s">
        <v>37</v>
      </c>
      <c r="L1310" s="6">
        <v>9000.0</v>
      </c>
      <c r="M1310" s="8" t="s">
        <v>54</v>
      </c>
      <c r="N1310" s="8" t="s">
        <v>54</v>
      </c>
      <c r="O1310" s="6" t="s">
        <v>40</v>
      </c>
      <c r="P1310" s="5" t="s">
        <v>41</v>
      </c>
      <c r="Q1310" s="5"/>
      <c r="R1310" s="6" t="s">
        <v>42</v>
      </c>
      <c r="S1310" s="5" t="s">
        <v>90</v>
      </c>
      <c r="T1310" s="5" t="s">
        <v>44</v>
      </c>
      <c r="U1310" s="5" t="s">
        <v>1448</v>
      </c>
      <c r="V1310" s="5" t="s">
        <v>44</v>
      </c>
      <c r="W1310" s="5" t="s">
        <v>35</v>
      </c>
      <c r="X1310" s="8" t="s">
        <v>322</v>
      </c>
      <c r="Y1310" s="5" t="s">
        <v>46</v>
      </c>
      <c r="Z1310" s="5" t="s">
        <v>47</v>
      </c>
      <c r="AA1310" s="5" t="s">
        <v>48</v>
      </c>
      <c r="AB1310" s="5" t="s">
        <v>6052</v>
      </c>
      <c r="AC1310" s="6" t="s">
        <v>50</v>
      </c>
      <c r="AD1310" s="6">
        <v>9642.0</v>
      </c>
    </row>
    <row r="1311" ht="56.25" customHeight="1">
      <c r="A1311" s="5" t="s">
        <v>6049</v>
      </c>
      <c r="B1311" s="6" t="str">
        <f>IMAGE("https://storage.googleapis.com/acdb/housewares/FtrIronClosetLR_Remake_1_0.png")</f>
        <v/>
      </c>
      <c r="C1311" s="5" t="s">
        <v>57</v>
      </c>
      <c r="D1311" s="5" t="s">
        <v>1008</v>
      </c>
      <c r="E1311" s="5" t="s">
        <v>34</v>
      </c>
      <c r="F1311" s="5" t="s">
        <v>34</v>
      </c>
      <c r="G1311" s="5" t="s">
        <v>35</v>
      </c>
      <c r="H1311" s="5" t="s">
        <v>35</v>
      </c>
      <c r="I1311" s="5" t="s">
        <v>36</v>
      </c>
      <c r="J1311" s="6">
        <v>7.0</v>
      </c>
      <c r="K1311" s="6" t="s">
        <v>37</v>
      </c>
      <c r="L1311" s="6">
        <v>9000.0</v>
      </c>
      <c r="M1311" s="8" t="s">
        <v>57</v>
      </c>
      <c r="N1311" s="8" t="s">
        <v>57</v>
      </c>
      <c r="O1311" s="6" t="s">
        <v>40</v>
      </c>
      <c r="P1311" s="5" t="s">
        <v>41</v>
      </c>
      <c r="Q1311" s="5"/>
      <c r="R1311" s="6" t="s">
        <v>42</v>
      </c>
      <c r="S1311" s="5" t="s">
        <v>90</v>
      </c>
      <c r="T1311" s="5" t="s">
        <v>44</v>
      </c>
      <c r="U1311" s="5" t="s">
        <v>1448</v>
      </c>
      <c r="V1311" s="5" t="s">
        <v>44</v>
      </c>
      <c r="W1311" s="5" t="s">
        <v>35</v>
      </c>
      <c r="X1311" s="8" t="s">
        <v>322</v>
      </c>
      <c r="Y1311" s="5" t="s">
        <v>46</v>
      </c>
      <c r="Z1311" s="5" t="s">
        <v>47</v>
      </c>
      <c r="AA1311" s="5" t="s">
        <v>48</v>
      </c>
      <c r="AB1311" s="5" t="s">
        <v>6055</v>
      </c>
      <c r="AC1311" s="6" t="s">
        <v>56</v>
      </c>
      <c r="AD1311" s="6">
        <v>9642.0</v>
      </c>
    </row>
    <row r="1312" ht="56.25" customHeight="1">
      <c r="A1312" s="5" t="s">
        <v>6056</v>
      </c>
      <c r="B1312" s="6" t="str">
        <f>IMAGE("https://storage.googleapis.com/acdb/housewares/FtrIronframe_Remake_0_0.png")</f>
        <v/>
      </c>
      <c r="C1312" s="5" t="s">
        <v>52</v>
      </c>
      <c r="D1312" s="5" t="s">
        <v>6058</v>
      </c>
      <c r="E1312" s="5" t="s">
        <v>34</v>
      </c>
      <c r="F1312" s="5" t="s">
        <v>34</v>
      </c>
      <c r="G1312" s="5" t="s">
        <v>35</v>
      </c>
      <c r="H1312" s="5" t="s">
        <v>35</v>
      </c>
      <c r="I1312" s="5" t="s">
        <v>36</v>
      </c>
      <c r="J1312" s="6">
        <v>7.0</v>
      </c>
      <c r="K1312" s="6" t="s">
        <v>37</v>
      </c>
      <c r="L1312" s="6">
        <v>15000.0</v>
      </c>
      <c r="M1312" s="8" t="s">
        <v>52</v>
      </c>
      <c r="N1312" s="8" t="s">
        <v>54</v>
      </c>
      <c r="O1312" s="6" t="s">
        <v>276</v>
      </c>
      <c r="P1312" s="5" t="s">
        <v>41</v>
      </c>
      <c r="Q1312" s="5"/>
      <c r="R1312" s="6" t="s">
        <v>42</v>
      </c>
      <c r="S1312" s="5" t="s">
        <v>416</v>
      </c>
      <c r="T1312" s="5" t="s">
        <v>44</v>
      </c>
      <c r="U1312" s="5" t="s">
        <v>44</v>
      </c>
      <c r="V1312" s="5" t="s">
        <v>44</v>
      </c>
      <c r="W1312" s="5" t="s">
        <v>36</v>
      </c>
      <c r="X1312" s="8" t="s">
        <v>173</v>
      </c>
      <c r="Y1312" s="5" t="s">
        <v>46</v>
      </c>
      <c r="Z1312" s="5" t="s">
        <v>47</v>
      </c>
      <c r="AA1312" s="5" t="s">
        <v>48</v>
      </c>
      <c r="AB1312" s="5" t="s">
        <v>6061</v>
      </c>
      <c r="AC1312" s="6" t="s">
        <v>50</v>
      </c>
      <c r="AD1312" s="6">
        <v>2553.0</v>
      </c>
    </row>
    <row r="1313" ht="56.25" customHeight="1">
      <c r="A1313" s="5" t="s">
        <v>6056</v>
      </c>
      <c r="B1313" s="6" t="str">
        <f>IMAGE("https://storage.googleapis.com/acdb/housewares/FtrIronframe_Remake_1_0.png")</f>
        <v/>
      </c>
      <c r="C1313" s="5" t="s">
        <v>95</v>
      </c>
      <c r="D1313" s="5" t="s">
        <v>6058</v>
      </c>
      <c r="E1313" s="5" t="s">
        <v>34</v>
      </c>
      <c r="F1313" s="5" t="s">
        <v>34</v>
      </c>
      <c r="G1313" s="5" t="s">
        <v>35</v>
      </c>
      <c r="H1313" s="5" t="s">
        <v>35</v>
      </c>
      <c r="I1313" s="5" t="s">
        <v>36</v>
      </c>
      <c r="J1313" s="6">
        <v>7.0</v>
      </c>
      <c r="K1313" s="6" t="s">
        <v>37</v>
      </c>
      <c r="L1313" s="6">
        <v>15000.0</v>
      </c>
      <c r="M1313" s="8" t="s">
        <v>95</v>
      </c>
      <c r="N1313" s="8" t="s">
        <v>95</v>
      </c>
      <c r="O1313" s="6" t="s">
        <v>276</v>
      </c>
      <c r="P1313" s="5" t="s">
        <v>41</v>
      </c>
      <c r="Q1313" s="5"/>
      <c r="R1313" s="6" t="s">
        <v>42</v>
      </c>
      <c r="S1313" s="5" t="s">
        <v>416</v>
      </c>
      <c r="T1313" s="5" t="s">
        <v>44</v>
      </c>
      <c r="U1313" s="5" t="s">
        <v>44</v>
      </c>
      <c r="V1313" s="5" t="s">
        <v>44</v>
      </c>
      <c r="W1313" s="5" t="s">
        <v>36</v>
      </c>
      <c r="X1313" s="8" t="s">
        <v>173</v>
      </c>
      <c r="Y1313" s="5" t="s">
        <v>46</v>
      </c>
      <c r="Z1313" s="5" t="s">
        <v>47</v>
      </c>
      <c r="AA1313" s="5" t="s">
        <v>48</v>
      </c>
      <c r="AB1313" s="5" t="s">
        <v>6064</v>
      </c>
      <c r="AC1313" s="6" t="s">
        <v>56</v>
      </c>
      <c r="AD1313" s="6">
        <v>2553.0</v>
      </c>
    </row>
    <row r="1314" ht="56.25" customHeight="1">
      <c r="A1314" s="5" t="s">
        <v>6056</v>
      </c>
      <c r="B1314" s="6" t="str">
        <f>IMAGE("https://storage.googleapis.com/acdb/housewares/FtrIronframe_Remake_2_0.png")</f>
        <v/>
      </c>
      <c r="C1314" s="5" t="s">
        <v>54</v>
      </c>
      <c r="D1314" s="5" t="s">
        <v>6058</v>
      </c>
      <c r="E1314" s="5" t="s">
        <v>34</v>
      </c>
      <c r="F1314" s="5" t="s">
        <v>34</v>
      </c>
      <c r="G1314" s="5" t="s">
        <v>35</v>
      </c>
      <c r="H1314" s="5" t="s">
        <v>35</v>
      </c>
      <c r="I1314" s="5" t="s">
        <v>36</v>
      </c>
      <c r="J1314" s="6">
        <v>7.0</v>
      </c>
      <c r="K1314" s="6" t="s">
        <v>37</v>
      </c>
      <c r="L1314" s="6">
        <v>15000.0</v>
      </c>
      <c r="M1314" s="8" t="s">
        <v>54</v>
      </c>
      <c r="N1314" s="8" t="s">
        <v>95</v>
      </c>
      <c r="O1314" s="6" t="s">
        <v>276</v>
      </c>
      <c r="P1314" s="5" t="s">
        <v>41</v>
      </c>
      <c r="Q1314" s="5"/>
      <c r="R1314" s="6" t="s">
        <v>42</v>
      </c>
      <c r="S1314" s="5" t="s">
        <v>416</v>
      </c>
      <c r="T1314" s="5" t="s">
        <v>44</v>
      </c>
      <c r="U1314" s="5" t="s">
        <v>44</v>
      </c>
      <c r="V1314" s="5" t="s">
        <v>44</v>
      </c>
      <c r="W1314" s="5" t="s">
        <v>36</v>
      </c>
      <c r="X1314" s="8" t="s">
        <v>173</v>
      </c>
      <c r="Y1314" s="5" t="s">
        <v>46</v>
      </c>
      <c r="Z1314" s="5" t="s">
        <v>47</v>
      </c>
      <c r="AA1314" s="5" t="s">
        <v>48</v>
      </c>
      <c r="AB1314" s="5" t="s">
        <v>6067</v>
      </c>
      <c r="AC1314" s="6" t="s">
        <v>67</v>
      </c>
      <c r="AD1314" s="6">
        <v>2553.0</v>
      </c>
    </row>
    <row r="1315" ht="56.25" customHeight="1">
      <c r="A1315" s="5" t="s">
        <v>6068</v>
      </c>
      <c r="B1315" s="6" t="str">
        <f>IMAGE("https://storage.googleapis.com/acdb/housewares/FtrIrongardenBench_Remake_0_0.png")</f>
        <v/>
      </c>
      <c r="C1315" s="5" t="s">
        <v>96</v>
      </c>
      <c r="D1315" s="5" t="s">
        <v>1008</v>
      </c>
      <c r="E1315" s="5" t="s">
        <v>34</v>
      </c>
      <c r="F1315" s="5" t="s">
        <v>34</v>
      </c>
      <c r="G1315" s="5" t="s">
        <v>35</v>
      </c>
      <c r="H1315" s="5" t="s">
        <v>35</v>
      </c>
      <c r="I1315" s="5" t="s">
        <v>36</v>
      </c>
      <c r="J1315" s="6">
        <v>7.0</v>
      </c>
      <c r="K1315" s="6" t="s">
        <v>37</v>
      </c>
      <c r="L1315" s="6">
        <v>6000.0</v>
      </c>
      <c r="M1315" s="8" t="s">
        <v>96</v>
      </c>
      <c r="N1315" s="8" t="s">
        <v>96</v>
      </c>
      <c r="O1315" s="6" t="s">
        <v>276</v>
      </c>
      <c r="P1315" s="5" t="s">
        <v>41</v>
      </c>
      <c r="Q1315" s="5"/>
      <c r="R1315" s="6" t="s">
        <v>42</v>
      </c>
      <c r="S1315" s="5" t="s">
        <v>172</v>
      </c>
      <c r="T1315" s="5" t="s">
        <v>44</v>
      </c>
      <c r="U1315" s="5" t="s">
        <v>1448</v>
      </c>
      <c r="V1315" s="5" t="s">
        <v>44</v>
      </c>
      <c r="W1315" s="5" t="s">
        <v>35</v>
      </c>
      <c r="X1315" s="8" t="s">
        <v>671</v>
      </c>
      <c r="Y1315" s="5" t="s">
        <v>46</v>
      </c>
      <c r="Z1315" s="5" t="s">
        <v>47</v>
      </c>
      <c r="AA1315" s="5" t="s">
        <v>48</v>
      </c>
      <c r="AB1315" s="5" t="s">
        <v>6072</v>
      </c>
      <c r="AC1315" s="6" t="s">
        <v>50</v>
      </c>
      <c r="AD1315" s="6">
        <v>1625.0</v>
      </c>
    </row>
    <row r="1316" ht="56.25" customHeight="1">
      <c r="A1316" s="5" t="s">
        <v>6068</v>
      </c>
      <c r="B1316" s="6" t="str">
        <f>IMAGE("https://storage.googleapis.com/acdb/housewares/FtrIrongardenBench_Remake_1_0.png")</f>
        <v/>
      </c>
      <c r="C1316" s="5" t="s">
        <v>68</v>
      </c>
      <c r="D1316" s="5" t="s">
        <v>1008</v>
      </c>
      <c r="E1316" s="5" t="s">
        <v>34</v>
      </c>
      <c r="F1316" s="5" t="s">
        <v>34</v>
      </c>
      <c r="G1316" s="5" t="s">
        <v>35</v>
      </c>
      <c r="H1316" s="5" t="s">
        <v>35</v>
      </c>
      <c r="I1316" s="5" t="s">
        <v>36</v>
      </c>
      <c r="J1316" s="6">
        <v>7.0</v>
      </c>
      <c r="K1316" s="6" t="s">
        <v>37</v>
      </c>
      <c r="L1316" s="6">
        <v>6000.0</v>
      </c>
      <c r="M1316" s="8" t="s">
        <v>68</v>
      </c>
      <c r="N1316" s="8" t="s">
        <v>68</v>
      </c>
      <c r="O1316" s="6" t="s">
        <v>276</v>
      </c>
      <c r="P1316" s="5" t="s">
        <v>41</v>
      </c>
      <c r="Q1316" s="5"/>
      <c r="R1316" s="6" t="s">
        <v>42</v>
      </c>
      <c r="S1316" s="5" t="s">
        <v>172</v>
      </c>
      <c r="T1316" s="5" t="s">
        <v>44</v>
      </c>
      <c r="U1316" s="5" t="s">
        <v>1448</v>
      </c>
      <c r="V1316" s="5" t="s">
        <v>44</v>
      </c>
      <c r="W1316" s="5" t="s">
        <v>35</v>
      </c>
      <c r="X1316" s="8" t="s">
        <v>671</v>
      </c>
      <c r="Y1316" s="5" t="s">
        <v>46</v>
      </c>
      <c r="Z1316" s="5" t="s">
        <v>47</v>
      </c>
      <c r="AA1316" s="5" t="s">
        <v>48</v>
      </c>
      <c r="AB1316" s="5" t="s">
        <v>6078</v>
      </c>
      <c r="AC1316" s="6" t="s">
        <v>56</v>
      </c>
      <c r="AD1316" s="6">
        <v>1625.0</v>
      </c>
    </row>
    <row r="1317" ht="56.25" customHeight="1">
      <c r="A1317" s="5" t="s">
        <v>6068</v>
      </c>
      <c r="B1317" s="6" t="str">
        <f>IMAGE("https://storage.googleapis.com/acdb/housewares/FtrIrongardenBench_Remake_2_0.png")</f>
        <v/>
      </c>
      <c r="C1317" s="5" t="s">
        <v>39</v>
      </c>
      <c r="D1317" s="5" t="s">
        <v>1008</v>
      </c>
      <c r="E1317" s="5" t="s">
        <v>34</v>
      </c>
      <c r="F1317" s="5" t="s">
        <v>34</v>
      </c>
      <c r="G1317" s="5" t="s">
        <v>35</v>
      </c>
      <c r="H1317" s="5" t="s">
        <v>35</v>
      </c>
      <c r="I1317" s="5" t="s">
        <v>36</v>
      </c>
      <c r="J1317" s="6">
        <v>7.0</v>
      </c>
      <c r="K1317" s="6" t="s">
        <v>37</v>
      </c>
      <c r="L1317" s="6">
        <v>6000.0</v>
      </c>
      <c r="M1317" s="8" t="s">
        <v>39</v>
      </c>
      <c r="N1317" s="8" t="s">
        <v>39</v>
      </c>
      <c r="O1317" s="6" t="s">
        <v>276</v>
      </c>
      <c r="P1317" s="5" t="s">
        <v>41</v>
      </c>
      <c r="Q1317" s="5"/>
      <c r="R1317" s="6" t="s">
        <v>42</v>
      </c>
      <c r="S1317" s="5" t="s">
        <v>172</v>
      </c>
      <c r="T1317" s="5" t="s">
        <v>44</v>
      </c>
      <c r="U1317" s="5" t="s">
        <v>1448</v>
      </c>
      <c r="V1317" s="5" t="s">
        <v>44</v>
      </c>
      <c r="W1317" s="5" t="s">
        <v>35</v>
      </c>
      <c r="X1317" s="8" t="s">
        <v>671</v>
      </c>
      <c r="Y1317" s="5" t="s">
        <v>46</v>
      </c>
      <c r="Z1317" s="5" t="s">
        <v>47</v>
      </c>
      <c r="AA1317" s="5" t="s">
        <v>48</v>
      </c>
      <c r="AB1317" s="5" t="s">
        <v>6081</v>
      </c>
      <c r="AC1317" s="6" t="s">
        <v>67</v>
      </c>
      <c r="AD1317" s="6">
        <v>1625.0</v>
      </c>
    </row>
    <row r="1318" ht="56.25" customHeight="1">
      <c r="A1318" s="5" t="s">
        <v>6068</v>
      </c>
      <c r="B1318" s="6" t="str">
        <f>IMAGE("https://storage.googleapis.com/acdb/housewares/FtrIrongardenBench_Remake_3_0.png")</f>
        <v/>
      </c>
      <c r="C1318" s="5" t="s">
        <v>54</v>
      </c>
      <c r="D1318" s="5" t="s">
        <v>1008</v>
      </c>
      <c r="E1318" s="5" t="s">
        <v>34</v>
      </c>
      <c r="F1318" s="5" t="s">
        <v>34</v>
      </c>
      <c r="G1318" s="5" t="s">
        <v>35</v>
      </c>
      <c r="H1318" s="5" t="s">
        <v>35</v>
      </c>
      <c r="I1318" s="5" t="s">
        <v>36</v>
      </c>
      <c r="J1318" s="6">
        <v>7.0</v>
      </c>
      <c r="K1318" s="6" t="s">
        <v>37</v>
      </c>
      <c r="L1318" s="6">
        <v>6000.0</v>
      </c>
      <c r="M1318" s="8" t="s">
        <v>54</v>
      </c>
      <c r="N1318" s="8" t="s">
        <v>54</v>
      </c>
      <c r="O1318" s="6" t="s">
        <v>276</v>
      </c>
      <c r="P1318" s="5" t="s">
        <v>41</v>
      </c>
      <c r="Q1318" s="5"/>
      <c r="R1318" s="6" t="s">
        <v>42</v>
      </c>
      <c r="S1318" s="5" t="s">
        <v>172</v>
      </c>
      <c r="T1318" s="5" t="s">
        <v>44</v>
      </c>
      <c r="U1318" s="5" t="s">
        <v>1448</v>
      </c>
      <c r="V1318" s="5" t="s">
        <v>44</v>
      </c>
      <c r="W1318" s="5" t="s">
        <v>35</v>
      </c>
      <c r="X1318" s="8" t="s">
        <v>671</v>
      </c>
      <c r="Y1318" s="5" t="s">
        <v>46</v>
      </c>
      <c r="Z1318" s="5" t="s">
        <v>47</v>
      </c>
      <c r="AA1318" s="5" t="s">
        <v>48</v>
      </c>
      <c r="AB1318" s="5" t="s">
        <v>6084</v>
      </c>
      <c r="AC1318" s="6" t="s">
        <v>71</v>
      </c>
      <c r="AD1318" s="6">
        <v>1625.0</v>
      </c>
    </row>
    <row r="1319" ht="56.25" customHeight="1">
      <c r="A1319" s="5" t="s">
        <v>6068</v>
      </c>
      <c r="B1319" s="6" t="str">
        <f>IMAGE("https://storage.googleapis.com/acdb/housewares/FtrIrongardenBench_Remake_4_0.png")</f>
        <v/>
      </c>
      <c r="C1319" s="5" t="s">
        <v>57</v>
      </c>
      <c r="D1319" s="5" t="s">
        <v>1008</v>
      </c>
      <c r="E1319" s="5" t="s">
        <v>34</v>
      </c>
      <c r="F1319" s="5" t="s">
        <v>34</v>
      </c>
      <c r="G1319" s="5" t="s">
        <v>35</v>
      </c>
      <c r="H1319" s="5" t="s">
        <v>35</v>
      </c>
      <c r="I1319" s="5" t="s">
        <v>36</v>
      </c>
      <c r="J1319" s="6">
        <v>7.0</v>
      </c>
      <c r="K1319" s="6" t="s">
        <v>37</v>
      </c>
      <c r="L1319" s="6">
        <v>6000.0</v>
      </c>
      <c r="M1319" s="8" t="s">
        <v>57</v>
      </c>
      <c r="N1319" s="8" t="s">
        <v>57</v>
      </c>
      <c r="O1319" s="6" t="s">
        <v>276</v>
      </c>
      <c r="P1319" s="5" t="s">
        <v>41</v>
      </c>
      <c r="Q1319" s="5"/>
      <c r="R1319" s="6" t="s">
        <v>42</v>
      </c>
      <c r="S1319" s="5" t="s">
        <v>172</v>
      </c>
      <c r="T1319" s="5" t="s">
        <v>44</v>
      </c>
      <c r="U1319" s="5" t="s">
        <v>1448</v>
      </c>
      <c r="V1319" s="5" t="s">
        <v>44</v>
      </c>
      <c r="W1319" s="5" t="s">
        <v>35</v>
      </c>
      <c r="X1319" s="8" t="s">
        <v>671</v>
      </c>
      <c r="Y1319" s="5" t="s">
        <v>46</v>
      </c>
      <c r="Z1319" s="5" t="s">
        <v>47</v>
      </c>
      <c r="AA1319" s="5" t="s">
        <v>48</v>
      </c>
      <c r="AB1319" s="5" t="s">
        <v>6089</v>
      </c>
      <c r="AC1319" s="6" t="s">
        <v>75</v>
      </c>
      <c r="AD1319" s="6">
        <v>1625.0</v>
      </c>
    </row>
    <row r="1320" ht="56.25" customHeight="1">
      <c r="A1320" s="5" t="s">
        <v>6090</v>
      </c>
      <c r="B1320" s="6" t="str">
        <f>IMAGE("https://storage.googleapis.com/acdb/housewares/FtrIrongardenChair_Remake_0_0.png")</f>
        <v/>
      </c>
      <c r="C1320" s="5" t="s">
        <v>96</v>
      </c>
      <c r="D1320" s="5" t="s">
        <v>1008</v>
      </c>
      <c r="E1320" s="5" t="s">
        <v>34</v>
      </c>
      <c r="F1320" s="5" t="s">
        <v>34</v>
      </c>
      <c r="G1320" s="5" t="s">
        <v>35</v>
      </c>
      <c r="H1320" s="5" t="s">
        <v>35</v>
      </c>
      <c r="I1320" s="5" t="s">
        <v>36</v>
      </c>
      <c r="J1320" s="6">
        <v>3.0</v>
      </c>
      <c r="K1320" s="6" t="s">
        <v>37</v>
      </c>
      <c r="L1320" s="6">
        <v>2250.0</v>
      </c>
      <c r="M1320" s="8" t="s">
        <v>96</v>
      </c>
      <c r="N1320" s="8" t="s">
        <v>96</v>
      </c>
      <c r="O1320" s="6" t="s">
        <v>40</v>
      </c>
      <c r="P1320" s="5" t="s">
        <v>41</v>
      </c>
      <c r="Q1320" s="5"/>
      <c r="R1320" s="6" t="s">
        <v>42</v>
      </c>
      <c r="S1320" s="5" t="s">
        <v>172</v>
      </c>
      <c r="T1320" s="5" t="s">
        <v>44</v>
      </c>
      <c r="U1320" s="5" t="s">
        <v>1448</v>
      </c>
      <c r="V1320" s="5" t="s">
        <v>44</v>
      </c>
      <c r="W1320" s="5" t="s">
        <v>35</v>
      </c>
      <c r="X1320" s="8" t="s">
        <v>248</v>
      </c>
      <c r="Y1320" s="5" t="s">
        <v>46</v>
      </c>
      <c r="Z1320" s="5" t="s">
        <v>47</v>
      </c>
      <c r="AA1320" s="5" t="s">
        <v>48</v>
      </c>
      <c r="AB1320" s="5" t="s">
        <v>6094</v>
      </c>
      <c r="AC1320" s="6" t="s">
        <v>50</v>
      </c>
      <c r="AD1320" s="6">
        <v>1626.0</v>
      </c>
    </row>
    <row r="1321" ht="56.25" customHeight="1">
      <c r="A1321" s="5" t="s">
        <v>6090</v>
      </c>
      <c r="B1321" s="6" t="str">
        <f>IMAGE("https://storage.googleapis.com/acdb/housewares/FtrIrongardenChair_Remake_1_0.png")</f>
        <v/>
      </c>
      <c r="C1321" s="5" t="s">
        <v>68</v>
      </c>
      <c r="D1321" s="5" t="s">
        <v>1008</v>
      </c>
      <c r="E1321" s="5" t="s">
        <v>34</v>
      </c>
      <c r="F1321" s="5" t="s">
        <v>34</v>
      </c>
      <c r="G1321" s="5" t="s">
        <v>35</v>
      </c>
      <c r="H1321" s="5" t="s">
        <v>35</v>
      </c>
      <c r="I1321" s="5" t="s">
        <v>36</v>
      </c>
      <c r="J1321" s="6">
        <v>3.0</v>
      </c>
      <c r="K1321" s="6" t="s">
        <v>37</v>
      </c>
      <c r="L1321" s="6">
        <v>2250.0</v>
      </c>
      <c r="M1321" s="8" t="s">
        <v>68</v>
      </c>
      <c r="N1321" s="8" t="s">
        <v>68</v>
      </c>
      <c r="O1321" s="6" t="s">
        <v>40</v>
      </c>
      <c r="P1321" s="5" t="s">
        <v>41</v>
      </c>
      <c r="Q1321" s="5"/>
      <c r="R1321" s="6" t="s">
        <v>42</v>
      </c>
      <c r="S1321" s="5" t="s">
        <v>172</v>
      </c>
      <c r="T1321" s="5" t="s">
        <v>44</v>
      </c>
      <c r="U1321" s="5" t="s">
        <v>1448</v>
      </c>
      <c r="V1321" s="5" t="s">
        <v>44</v>
      </c>
      <c r="W1321" s="5" t="s">
        <v>35</v>
      </c>
      <c r="X1321" s="8" t="s">
        <v>248</v>
      </c>
      <c r="Y1321" s="5" t="s">
        <v>46</v>
      </c>
      <c r="Z1321" s="5" t="s">
        <v>47</v>
      </c>
      <c r="AA1321" s="5" t="s">
        <v>48</v>
      </c>
      <c r="AB1321" s="5" t="s">
        <v>6099</v>
      </c>
      <c r="AC1321" s="6" t="s">
        <v>56</v>
      </c>
      <c r="AD1321" s="6">
        <v>1626.0</v>
      </c>
    </row>
    <row r="1322" ht="56.25" customHeight="1">
      <c r="A1322" s="5" t="s">
        <v>6090</v>
      </c>
      <c r="B1322" s="6" t="str">
        <f>IMAGE("https://storage.googleapis.com/acdb/housewares/FtrIrongardenChair_Remake_2_0.png")</f>
        <v/>
      </c>
      <c r="C1322" s="5" t="s">
        <v>39</v>
      </c>
      <c r="D1322" s="5" t="s">
        <v>1008</v>
      </c>
      <c r="E1322" s="5" t="s">
        <v>34</v>
      </c>
      <c r="F1322" s="5" t="s">
        <v>34</v>
      </c>
      <c r="G1322" s="5" t="s">
        <v>35</v>
      </c>
      <c r="H1322" s="5" t="s">
        <v>35</v>
      </c>
      <c r="I1322" s="5" t="s">
        <v>36</v>
      </c>
      <c r="J1322" s="6">
        <v>3.0</v>
      </c>
      <c r="K1322" s="6" t="s">
        <v>37</v>
      </c>
      <c r="L1322" s="6">
        <v>2250.0</v>
      </c>
      <c r="M1322" s="8" t="s">
        <v>39</v>
      </c>
      <c r="N1322" s="8" t="s">
        <v>39</v>
      </c>
      <c r="O1322" s="6" t="s">
        <v>40</v>
      </c>
      <c r="P1322" s="5" t="s">
        <v>41</v>
      </c>
      <c r="Q1322" s="5"/>
      <c r="R1322" s="6" t="s">
        <v>42</v>
      </c>
      <c r="S1322" s="5" t="s">
        <v>172</v>
      </c>
      <c r="T1322" s="5" t="s">
        <v>44</v>
      </c>
      <c r="U1322" s="5" t="s">
        <v>1448</v>
      </c>
      <c r="V1322" s="5" t="s">
        <v>44</v>
      </c>
      <c r="W1322" s="5" t="s">
        <v>35</v>
      </c>
      <c r="X1322" s="8" t="s">
        <v>248</v>
      </c>
      <c r="Y1322" s="5" t="s">
        <v>46</v>
      </c>
      <c r="Z1322" s="5" t="s">
        <v>47</v>
      </c>
      <c r="AA1322" s="5" t="s">
        <v>48</v>
      </c>
      <c r="AB1322" s="5" t="s">
        <v>6103</v>
      </c>
      <c r="AC1322" s="6" t="s">
        <v>67</v>
      </c>
      <c r="AD1322" s="6">
        <v>1626.0</v>
      </c>
    </row>
    <row r="1323" ht="56.25" customHeight="1">
      <c r="A1323" s="5" t="s">
        <v>6090</v>
      </c>
      <c r="B1323" s="6" t="str">
        <f>IMAGE("https://storage.googleapis.com/acdb/housewares/FtrIrongardenChair_Remake_3_0.png")</f>
        <v/>
      </c>
      <c r="C1323" s="5" t="s">
        <v>54</v>
      </c>
      <c r="D1323" s="5" t="s">
        <v>1008</v>
      </c>
      <c r="E1323" s="5" t="s">
        <v>34</v>
      </c>
      <c r="F1323" s="5" t="s">
        <v>34</v>
      </c>
      <c r="G1323" s="5" t="s">
        <v>35</v>
      </c>
      <c r="H1323" s="5" t="s">
        <v>35</v>
      </c>
      <c r="I1323" s="5" t="s">
        <v>36</v>
      </c>
      <c r="J1323" s="6">
        <v>3.0</v>
      </c>
      <c r="K1323" s="6" t="s">
        <v>37</v>
      </c>
      <c r="L1323" s="6">
        <v>2250.0</v>
      </c>
      <c r="M1323" s="8" t="s">
        <v>54</v>
      </c>
      <c r="N1323" s="8" t="s">
        <v>54</v>
      </c>
      <c r="O1323" s="6" t="s">
        <v>40</v>
      </c>
      <c r="P1323" s="5" t="s">
        <v>41</v>
      </c>
      <c r="Q1323" s="5"/>
      <c r="R1323" s="6" t="s">
        <v>42</v>
      </c>
      <c r="S1323" s="5" t="s">
        <v>172</v>
      </c>
      <c r="T1323" s="5" t="s">
        <v>44</v>
      </c>
      <c r="U1323" s="5" t="s">
        <v>1448</v>
      </c>
      <c r="V1323" s="5" t="s">
        <v>44</v>
      </c>
      <c r="W1323" s="5" t="s">
        <v>35</v>
      </c>
      <c r="X1323" s="8" t="s">
        <v>248</v>
      </c>
      <c r="Y1323" s="5" t="s">
        <v>46</v>
      </c>
      <c r="Z1323" s="5" t="s">
        <v>47</v>
      </c>
      <c r="AA1323" s="5" t="s">
        <v>48</v>
      </c>
      <c r="AB1323" s="5" t="s">
        <v>6106</v>
      </c>
      <c r="AC1323" s="6" t="s">
        <v>71</v>
      </c>
      <c r="AD1323" s="6">
        <v>1626.0</v>
      </c>
    </row>
    <row r="1324" ht="56.25" customHeight="1">
      <c r="A1324" s="5" t="s">
        <v>6090</v>
      </c>
      <c r="B1324" s="6" t="str">
        <f>IMAGE("https://storage.googleapis.com/acdb/housewares/FtrIrongardenChair_Remake_4_0.png")</f>
        <v/>
      </c>
      <c r="C1324" s="5" t="s">
        <v>57</v>
      </c>
      <c r="D1324" s="5" t="s">
        <v>1008</v>
      </c>
      <c r="E1324" s="5" t="s">
        <v>34</v>
      </c>
      <c r="F1324" s="5" t="s">
        <v>34</v>
      </c>
      <c r="G1324" s="5" t="s">
        <v>35</v>
      </c>
      <c r="H1324" s="5" t="s">
        <v>35</v>
      </c>
      <c r="I1324" s="5" t="s">
        <v>36</v>
      </c>
      <c r="J1324" s="6">
        <v>3.0</v>
      </c>
      <c r="K1324" s="6" t="s">
        <v>37</v>
      </c>
      <c r="L1324" s="6">
        <v>2250.0</v>
      </c>
      <c r="M1324" s="8" t="s">
        <v>57</v>
      </c>
      <c r="N1324" s="8" t="s">
        <v>57</v>
      </c>
      <c r="O1324" s="6" t="s">
        <v>40</v>
      </c>
      <c r="P1324" s="5" t="s">
        <v>41</v>
      </c>
      <c r="Q1324" s="5"/>
      <c r="R1324" s="6" t="s">
        <v>42</v>
      </c>
      <c r="S1324" s="5" t="s">
        <v>172</v>
      </c>
      <c r="T1324" s="5" t="s">
        <v>44</v>
      </c>
      <c r="U1324" s="5" t="s">
        <v>1448</v>
      </c>
      <c r="V1324" s="5" t="s">
        <v>44</v>
      </c>
      <c r="W1324" s="5" t="s">
        <v>35</v>
      </c>
      <c r="X1324" s="8" t="s">
        <v>248</v>
      </c>
      <c r="Y1324" s="5" t="s">
        <v>46</v>
      </c>
      <c r="Z1324" s="5" t="s">
        <v>47</v>
      </c>
      <c r="AA1324" s="5" t="s">
        <v>48</v>
      </c>
      <c r="AB1324" s="5" t="s">
        <v>6111</v>
      </c>
      <c r="AC1324" s="6" t="s">
        <v>75</v>
      </c>
      <c r="AD1324" s="6">
        <v>1626.0</v>
      </c>
    </row>
    <row r="1325" ht="56.25" customHeight="1">
      <c r="A1325" s="5" t="s">
        <v>6112</v>
      </c>
      <c r="B1325" s="6" t="str">
        <f>IMAGE("https://storage.googleapis.com/acdb/housewares/FtrIrongardenTable_Remake_0_0.png")</f>
        <v/>
      </c>
      <c r="C1325" s="5" t="s">
        <v>96</v>
      </c>
      <c r="D1325" s="5" t="s">
        <v>1008</v>
      </c>
      <c r="E1325" s="5" t="s">
        <v>34</v>
      </c>
      <c r="F1325" s="5" t="s">
        <v>34</v>
      </c>
      <c r="G1325" s="5" t="s">
        <v>35</v>
      </c>
      <c r="H1325" s="5" t="s">
        <v>35</v>
      </c>
      <c r="I1325" s="5" t="s">
        <v>36</v>
      </c>
      <c r="J1325" s="6">
        <v>5.0</v>
      </c>
      <c r="K1325" s="6" t="s">
        <v>37</v>
      </c>
      <c r="L1325" s="6">
        <v>3750.0</v>
      </c>
      <c r="M1325" s="8" t="s">
        <v>96</v>
      </c>
      <c r="N1325" s="8" t="s">
        <v>96</v>
      </c>
      <c r="O1325" s="6" t="s">
        <v>40</v>
      </c>
      <c r="P1325" s="5" t="s">
        <v>41</v>
      </c>
      <c r="Q1325" s="5"/>
      <c r="R1325" s="6" t="s">
        <v>42</v>
      </c>
      <c r="S1325" s="5" t="s">
        <v>172</v>
      </c>
      <c r="T1325" s="5" t="s">
        <v>44</v>
      </c>
      <c r="U1325" s="5" t="s">
        <v>1448</v>
      </c>
      <c r="V1325" s="5" t="s">
        <v>44</v>
      </c>
      <c r="W1325" s="5" t="s">
        <v>36</v>
      </c>
      <c r="X1325" s="8" t="s">
        <v>278</v>
      </c>
      <c r="Y1325" s="5" t="s">
        <v>46</v>
      </c>
      <c r="Z1325" s="5" t="s">
        <v>47</v>
      </c>
      <c r="AA1325" s="5" t="s">
        <v>48</v>
      </c>
      <c r="AB1325" s="5" t="s">
        <v>6116</v>
      </c>
      <c r="AC1325" s="6" t="s">
        <v>50</v>
      </c>
      <c r="AD1325" s="6">
        <v>1627.0</v>
      </c>
    </row>
    <row r="1326" ht="56.25" customHeight="1">
      <c r="A1326" s="5" t="s">
        <v>6112</v>
      </c>
      <c r="B1326" s="6" t="str">
        <f>IMAGE("https://storage.googleapis.com/acdb/housewares/FtrIrongardenTable_Remake_1_0.png")</f>
        <v/>
      </c>
      <c r="C1326" s="5" t="s">
        <v>68</v>
      </c>
      <c r="D1326" s="5" t="s">
        <v>1008</v>
      </c>
      <c r="E1326" s="5" t="s">
        <v>34</v>
      </c>
      <c r="F1326" s="5" t="s">
        <v>34</v>
      </c>
      <c r="G1326" s="5" t="s">
        <v>35</v>
      </c>
      <c r="H1326" s="5" t="s">
        <v>35</v>
      </c>
      <c r="I1326" s="5" t="s">
        <v>36</v>
      </c>
      <c r="J1326" s="6">
        <v>5.0</v>
      </c>
      <c r="K1326" s="6" t="s">
        <v>37</v>
      </c>
      <c r="L1326" s="6">
        <v>3750.0</v>
      </c>
      <c r="M1326" s="8" t="s">
        <v>68</v>
      </c>
      <c r="N1326" s="8" t="s">
        <v>68</v>
      </c>
      <c r="O1326" s="6" t="s">
        <v>40</v>
      </c>
      <c r="P1326" s="5" t="s">
        <v>41</v>
      </c>
      <c r="Q1326" s="5"/>
      <c r="R1326" s="6" t="s">
        <v>42</v>
      </c>
      <c r="S1326" s="5" t="s">
        <v>172</v>
      </c>
      <c r="T1326" s="5" t="s">
        <v>44</v>
      </c>
      <c r="U1326" s="5" t="s">
        <v>1448</v>
      </c>
      <c r="V1326" s="5" t="s">
        <v>44</v>
      </c>
      <c r="W1326" s="5" t="s">
        <v>36</v>
      </c>
      <c r="X1326" s="8" t="s">
        <v>278</v>
      </c>
      <c r="Y1326" s="5" t="s">
        <v>46</v>
      </c>
      <c r="Z1326" s="5" t="s">
        <v>47</v>
      </c>
      <c r="AA1326" s="5" t="s">
        <v>48</v>
      </c>
      <c r="AB1326" s="5" t="s">
        <v>6119</v>
      </c>
      <c r="AC1326" s="6" t="s">
        <v>56</v>
      </c>
      <c r="AD1326" s="6">
        <v>1627.0</v>
      </c>
    </row>
    <row r="1327" ht="56.25" customHeight="1">
      <c r="A1327" s="5" t="s">
        <v>6112</v>
      </c>
      <c r="B1327" s="6" t="str">
        <f>IMAGE("https://storage.googleapis.com/acdb/housewares/FtrIrongardenTable_Remake_2_0.png")</f>
        <v/>
      </c>
      <c r="C1327" s="5" t="s">
        <v>39</v>
      </c>
      <c r="D1327" s="5" t="s">
        <v>1008</v>
      </c>
      <c r="E1327" s="5" t="s">
        <v>34</v>
      </c>
      <c r="F1327" s="5" t="s">
        <v>34</v>
      </c>
      <c r="G1327" s="5" t="s">
        <v>35</v>
      </c>
      <c r="H1327" s="5" t="s">
        <v>35</v>
      </c>
      <c r="I1327" s="5" t="s">
        <v>36</v>
      </c>
      <c r="J1327" s="6">
        <v>5.0</v>
      </c>
      <c r="K1327" s="6" t="s">
        <v>37</v>
      </c>
      <c r="L1327" s="6">
        <v>3750.0</v>
      </c>
      <c r="M1327" s="8" t="s">
        <v>39</v>
      </c>
      <c r="N1327" s="8" t="s">
        <v>39</v>
      </c>
      <c r="O1327" s="6" t="s">
        <v>40</v>
      </c>
      <c r="P1327" s="5" t="s">
        <v>41</v>
      </c>
      <c r="Q1327" s="5"/>
      <c r="R1327" s="6" t="s">
        <v>42</v>
      </c>
      <c r="S1327" s="5" t="s">
        <v>172</v>
      </c>
      <c r="T1327" s="5" t="s">
        <v>44</v>
      </c>
      <c r="U1327" s="5" t="s">
        <v>1448</v>
      </c>
      <c r="V1327" s="5" t="s">
        <v>44</v>
      </c>
      <c r="W1327" s="5" t="s">
        <v>36</v>
      </c>
      <c r="X1327" s="8" t="s">
        <v>278</v>
      </c>
      <c r="Y1327" s="5" t="s">
        <v>46</v>
      </c>
      <c r="Z1327" s="5" t="s">
        <v>47</v>
      </c>
      <c r="AA1327" s="5" t="s">
        <v>48</v>
      </c>
      <c r="AB1327" s="5" t="s">
        <v>6124</v>
      </c>
      <c r="AC1327" s="6" t="s">
        <v>67</v>
      </c>
      <c r="AD1327" s="6">
        <v>1627.0</v>
      </c>
    </row>
    <row r="1328" ht="56.25" customHeight="1">
      <c r="A1328" s="5" t="s">
        <v>6112</v>
      </c>
      <c r="B1328" s="6" t="str">
        <f>IMAGE("https://storage.googleapis.com/acdb/housewares/FtrIrongardenTable_Remake_3_0.png")</f>
        <v/>
      </c>
      <c r="C1328" s="5" t="s">
        <v>54</v>
      </c>
      <c r="D1328" s="5" t="s">
        <v>1008</v>
      </c>
      <c r="E1328" s="5" t="s">
        <v>34</v>
      </c>
      <c r="F1328" s="5" t="s">
        <v>34</v>
      </c>
      <c r="G1328" s="5" t="s">
        <v>35</v>
      </c>
      <c r="H1328" s="5" t="s">
        <v>35</v>
      </c>
      <c r="I1328" s="5" t="s">
        <v>36</v>
      </c>
      <c r="J1328" s="6">
        <v>5.0</v>
      </c>
      <c r="K1328" s="6" t="s">
        <v>37</v>
      </c>
      <c r="L1328" s="6">
        <v>3750.0</v>
      </c>
      <c r="M1328" s="8" t="s">
        <v>54</v>
      </c>
      <c r="N1328" s="8" t="s">
        <v>54</v>
      </c>
      <c r="O1328" s="6" t="s">
        <v>40</v>
      </c>
      <c r="P1328" s="5" t="s">
        <v>41</v>
      </c>
      <c r="Q1328" s="5"/>
      <c r="R1328" s="6" t="s">
        <v>42</v>
      </c>
      <c r="S1328" s="5" t="s">
        <v>172</v>
      </c>
      <c r="T1328" s="5" t="s">
        <v>44</v>
      </c>
      <c r="U1328" s="5" t="s">
        <v>1448</v>
      </c>
      <c r="V1328" s="5" t="s">
        <v>44</v>
      </c>
      <c r="W1328" s="5" t="s">
        <v>36</v>
      </c>
      <c r="X1328" s="8" t="s">
        <v>278</v>
      </c>
      <c r="Y1328" s="5" t="s">
        <v>46</v>
      </c>
      <c r="Z1328" s="5" t="s">
        <v>47</v>
      </c>
      <c r="AA1328" s="5" t="s">
        <v>48</v>
      </c>
      <c r="AB1328" s="5" t="s">
        <v>6131</v>
      </c>
      <c r="AC1328" s="6" t="s">
        <v>71</v>
      </c>
      <c r="AD1328" s="6">
        <v>1627.0</v>
      </c>
    </row>
    <row r="1329" ht="56.25" customHeight="1">
      <c r="A1329" s="5" t="s">
        <v>6112</v>
      </c>
      <c r="B1329" s="6" t="str">
        <f>IMAGE("https://storage.googleapis.com/acdb/housewares/FtrIrongardenTable_Remake_4_0.png")</f>
        <v/>
      </c>
      <c r="C1329" s="5" t="s">
        <v>57</v>
      </c>
      <c r="D1329" s="5" t="s">
        <v>1008</v>
      </c>
      <c r="E1329" s="5" t="s">
        <v>34</v>
      </c>
      <c r="F1329" s="5" t="s">
        <v>34</v>
      </c>
      <c r="G1329" s="5" t="s">
        <v>35</v>
      </c>
      <c r="H1329" s="5" t="s">
        <v>35</v>
      </c>
      <c r="I1329" s="5" t="s">
        <v>36</v>
      </c>
      <c r="J1329" s="6">
        <v>5.0</v>
      </c>
      <c r="K1329" s="6" t="s">
        <v>37</v>
      </c>
      <c r="L1329" s="6">
        <v>3750.0</v>
      </c>
      <c r="M1329" s="8" t="s">
        <v>57</v>
      </c>
      <c r="N1329" s="8" t="s">
        <v>57</v>
      </c>
      <c r="O1329" s="6" t="s">
        <v>40</v>
      </c>
      <c r="P1329" s="5" t="s">
        <v>41</v>
      </c>
      <c r="Q1329" s="5"/>
      <c r="R1329" s="6" t="s">
        <v>42</v>
      </c>
      <c r="S1329" s="5" t="s">
        <v>172</v>
      </c>
      <c r="T1329" s="5" t="s">
        <v>44</v>
      </c>
      <c r="U1329" s="5" t="s">
        <v>1448</v>
      </c>
      <c r="V1329" s="5" t="s">
        <v>44</v>
      </c>
      <c r="W1329" s="5" t="s">
        <v>36</v>
      </c>
      <c r="X1329" s="8" t="s">
        <v>278</v>
      </c>
      <c r="Y1329" s="5" t="s">
        <v>46</v>
      </c>
      <c r="Z1329" s="5" t="s">
        <v>47</v>
      </c>
      <c r="AA1329" s="5" t="s">
        <v>48</v>
      </c>
      <c r="AB1329" s="5" t="s">
        <v>6135</v>
      </c>
      <c r="AC1329" s="6" t="s">
        <v>75</v>
      </c>
      <c r="AD1329" s="6">
        <v>1627.0</v>
      </c>
    </row>
    <row r="1330" ht="56.25" customHeight="1">
      <c r="A1330" s="5" t="s">
        <v>6138</v>
      </c>
      <c r="B1330" s="6" t="str">
        <f>IMAGE("https://storage.googleapis.com/acdb/housewares/FtrIronHanger_Remake_0_0.png")</f>
        <v/>
      </c>
      <c r="C1330" s="5" t="s">
        <v>54</v>
      </c>
      <c r="D1330" s="5" t="s">
        <v>1008</v>
      </c>
      <c r="E1330" s="5" t="s">
        <v>6139</v>
      </c>
      <c r="F1330" s="5" t="s">
        <v>6140</v>
      </c>
      <c r="G1330" s="5" t="s">
        <v>35</v>
      </c>
      <c r="H1330" s="5" t="s">
        <v>35</v>
      </c>
      <c r="I1330" s="5" t="s">
        <v>35</v>
      </c>
      <c r="J1330" s="6">
        <v>4.0</v>
      </c>
      <c r="K1330" s="6" t="s">
        <v>37</v>
      </c>
      <c r="L1330" s="6">
        <v>2250.0</v>
      </c>
      <c r="M1330" s="8" t="s">
        <v>54</v>
      </c>
      <c r="N1330" s="8" t="s">
        <v>68</v>
      </c>
      <c r="O1330" s="6" t="s">
        <v>40</v>
      </c>
      <c r="P1330" s="5" t="s">
        <v>41</v>
      </c>
      <c r="Q1330" s="5"/>
      <c r="R1330" s="6" t="s">
        <v>42</v>
      </c>
      <c r="S1330" s="5" t="s">
        <v>90</v>
      </c>
      <c r="T1330" s="5" t="s">
        <v>44</v>
      </c>
      <c r="U1330" s="5" t="s">
        <v>1448</v>
      </c>
      <c r="V1330" s="5" t="s">
        <v>44</v>
      </c>
      <c r="W1330" s="5" t="s">
        <v>36</v>
      </c>
      <c r="X1330" s="8" t="s">
        <v>322</v>
      </c>
      <c r="Y1330" s="5" t="s">
        <v>46</v>
      </c>
      <c r="Z1330" s="5" t="s">
        <v>47</v>
      </c>
      <c r="AA1330" s="5" t="s">
        <v>48</v>
      </c>
      <c r="AB1330" s="5" t="s">
        <v>6145</v>
      </c>
      <c r="AC1330" s="6" t="s">
        <v>50</v>
      </c>
      <c r="AD1330" s="6">
        <v>3561.0</v>
      </c>
    </row>
    <row r="1331" ht="56.25" customHeight="1">
      <c r="A1331" s="5" t="s">
        <v>6138</v>
      </c>
      <c r="B1331" s="6" t="str">
        <f>IMAGE("https://storage.googleapis.com/acdb/housewares/FtrIronHanger_Remake_0_1.png")</f>
        <v/>
      </c>
      <c r="C1331" s="5" t="s">
        <v>54</v>
      </c>
      <c r="D1331" s="5" t="s">
        <v>1008</v>
      </c>
      <c r="E1331" s="5" t="s">
        <v>6147</v>
      </c>
      <c r="F1331" s="5" t="s">
        <v>6140</v>
      </c>
      <c r="G1331" s="5" t="s">
        <v>35</v>
      </c>
      <c r="H1331" s="5" t="s">
        <v>35</v>
      </c>
      <c r="I1331" s="5" t="s">
        <v>35</v>
      </c>
      <c r="J1331" s="6">
        <v>4.0</v>
      </c>
      <c r="K1331" s="6" t="s">
        <v>37</v>
      </c>
      <c r="L1331" s="6">
        <v>2250.0</v>
      </c>
      <c r="M1331" s="8" t="s">
        <v>54</v>
      </c>
      <c r="N1331" s="8" t="s">
        <v>69</v>
      </c>
      <c r="O1331" s="6" t="s">
        <v>40</v>
      </c>
      <c r="P1331" s="5" t="s">
        <v>41</v>
      </c>
      <c r="Q1331" s="5"/>
      <c r="R1331" s="6" t="s">
        <v>42</v>
      </c>
      <c r="S1331" s="5" t="s">
        <v>90</v>
      </c>
      <c r="T1331" s="5" t="s">
        <v>44</v>
      </c>
      <c r="U1331" s="5" t="s">
        <v>1448</v>
      </c>
      <c r="V1331" s="5" t="s">
        <v>44</v>
      </c>
      <c r="W1331" s="5" t="s">
        <v>36</v>
      </c>
      <c r="X1331" s="8" t="s">
        <v>322</v>
      </c>
      <c r="Y1331" s="5" t="s">
        <v>46</v>
      </c>
      <c r="Z1331" s="5" t="s">
        <v>47</v>
      </c>
      <c r="AA1331" s="5" t="s">
        <v>48</v>
      </c>
      <c r="AB1331" s="5" t="s">
        <v>6151</v>
      </c>
      <c r="AC1331" s="6" t="s">
        <v>217</v>
      </c>
      <c r="AD1331" s="6">
        <v>3561.0</v>
      </c>
    </row>
    <row r="1332" ht="56.25" customHeight="1">
      <c r="A1332" s="5" t="s">
        <v>6138</v>
      </c>
      <c r="B1332" s="6" t="str">
        <f>IMAGE("https://storage.googleapis.com/acdb/housewares/FtrIronHanger_Remake_1_0.png")</f>
        <v/>
      </c>
      <c r="C1332" s="5" t="s">
        <v>57</v>
      </c>
      <c r="D1332" s="5" t="s">
        <v>1008</v>
      </c>
      <c r="E1332" s="5" t="s">
        <v>6139</v>
      </c>
      <c r="F1332" s="5" t="s">
        <v>6140</v>
      </c>
      <c r="G1332" s="5" t="s">
        <v>35</v>
      </c>
      <c r="H1332" s="5" t="s">
        <v>35</v>
      </c>
      <c r="I1332" s="5" t="s">
        <v>35</v>
      </c>
      <c r="J1332" s="6">
        <v>4.0</v>
      </c>
      <c r="K1332" s="6" t="s">
        <v>37</v>
      </c>
      <c r="L1332" s="6">
        <v>2250.0</v>
      </c>
      <c r="M1332" s="8" t="s">
        <v>57</v>
      </c>
      <c r="N1332" s="8" t="s">
        <v>68</v>
      </c>
      <c r="O1332" s="6" t="s">
        <v>40</v>
      </c>
      <c r="P1332" s="5" t="s">
        <v>41</v>
      </c>
      <c r="Q1332" s="5"/>
      <c r="R1332" s="6" t="s">
        <v>42</v>
      </c>
      <c r="S1332" s="5" t="s">
        <v>90</v>
      </c>
      <c r="T1332" s="5" t="s">
        <v>44</v>
      </c>
      <c r="U1332" s="5" t="s">
        <v>1448</v>
      </c>
      <c r="V1332" s="5" t="s">
        <v>44</v>
      </c>
      <c r="W1332" s="5" t="s">
        <v>36</v>
      </c>
      <c r="X1332" s="8" t="s">
        <v>322</v>
      </c>
      <c r="Y1332" s="5" t="s">
        <v>46</v>
      </c>
      <c r="Z1332" s="5" t="s">
        <v>47</v>
      </c>
      <c r="AA1332" s="5" t="s">
        <v>48</v>
      </c>
      <c r="AB1332" s="5" t="s">
        <v>6156</v>
      </c>
      <c r="AC1332" s="6" t="s">
        <v>56</v>
      </c>
      <c r="AD1332" s="6">
        <v>3561.0</v>
      </c>
    </row>
    <row r="1333" ht="56.25" customHeight="1">
      <c r="A1333" s="5" t="s">
        <v>6138</v>
      </c>
      <c r="B1333" s="6" t="str">
        <f>IMAGE("https://storage.googleapis.com/acdb/housewares/FtrIronHanger_Remake_1_1.png")</f>
        <v/>
      </c>
      <c r="C1333" s="5" t="s">
        <v>57</v>
      </c>
      <c r="D1333" s="5" t="s">
        <v>34</v>
      </c>
      <c r="E1333" s="5" t="s">
        <v>6147</v>
      </c>
      <c r="F1333" s="5" t="s">
        <v>6140</v>
      </c>
      <c r="G1333" s="5" t="s">
        <v>35</v>
      </c>
      <c r="H1333" s="5" t="s">
        <v>36</v>
      </c>
      <c r="I1333" s="5" t="s">
        <v>35</v>
      </c>
      <c r="J1333" s="6">
        <v>4.0</v>
      </c>
      <c r="K1333" s="6" t="s">
        <v>37</v>
      </c>
      <c r="L1333" s="6">
        <v>2250.0</v>
      </c>
      <c r="M1333" s="8" t="s">
        <v>57</v>
      </c>
      <c r="N1333" s="8" t="s">
        <v>69</v>
      </c>
      <c r="O1333" s="6" t="s">
        <v>40</v>
      </c>
      <c r="P1333" s="5" t="s">
        <v>41</v>
      </c>
      <c r="Q1333" s="5"/>
      <c r="R1333" s="6" t="s">
        <v>42</v>
      </c>
      <c r="S1333" s="5" t="s">
        <v>90</v>
      </c>
      <c r="T1333" s="5" t="s">
        <v>44</v>
      </c>
      <c r="U1333" s="5" t="s">
        <v>1448</v>
      </c>
      <c r="V1333" s="5" t="s">
        <v>44</v>
      </c>
      <c r="W1333" s="5" t="s">
        <v>36</v>
      </c>
      <c r="X1333" s="8" t="s">
        <v>322</v>
      </c>
      <c r="Y1333" s="5" t="s">
        <v>46</v>
      </c>
      <c r="Z1333" s="5" t="s">
        <v>47</v>
      </c>
      <c r="AA1333" s="5" t="s">
        <v>48</v>
      </c>
      <c r="AB1333" s="5" t="s">
        <v>6160</v>
      </c>
      <c r="AC1333" s="6" t="s">
        <v>234</v>
      </c>
      <c r="AD1333" s="6">
        <v>3561.0</v>
      </c>
    </row>
    <row r="1334" ht="56.25" customHeight="1">
      <c r="A1334" s="5" t="s">
        <v>6161</v>
      </c>
      <c r="B1334" s="6" t="str">
        <f>IMAGE("https://storage.googleapis.com/acdb/housewares/FtrIronShelf_Remake_0_0.png")</f>
        <v/>
      </c>
      <c r="C1334" s="5" t="s">
        <v>54</v>
      </c>
      <c r="D1334" s="5" t="s">
        <v>1008</v>
      </c>
      <c r="E1334" s="5" t="s">
        <v>34</v>
      </c>
      <c r="F1334" s="5" t="s">
        <v>34</v>
      </c>
      <c r="G1334" s="5" t="s">
        <v>35</v>
      </c>
      <c r="H1334" s="5" t="s">
        <v>35</v>
      </c>
      <c r="I1334" s="5" t="s">
        <v>36</v>
      </c>
      <c r="J1334" s="6">
        <v>7.0</v>
      </c>
      <c r="K1334" s="6" t="s">
        <v>37</v>
      </c>
      <c r="L1334" s="6">
        <v>10500.0</v>
      </c>
      <c r="M1334" s="8" t="s">
        <v>54</v>
      </c>
      <c r="N1334" s="8" t="s">
        <v>95</v>
      </c>
      <c r="O1334" s="6" t="s">
        <v>276</v>
      </c>
      <c r="P1334" s="5" t="s">
        <v>41</v>
      </c>
      <c r="Q1334" s="5"/>
      <c r="R1334" s="6" t="s">
        <v>42</v>
      </c>
      <c r="S1334" s="5" t="s">
        <v>90</v>
      </c>
      <c r="T1334" s="5" t="s">
        <v>44</v>
      </c>
      <c r="U1334" s="5" t="s">
        <v>1448</v>
      </c>
      <c r="V1334" s="5" t="s">
        <v>44</v>
      </c>
      <c r="W1334" s="5" t="s">
        <v>36</v>
      </c>
      <c r="X1334" s="8" t="s">
        <v>730</v>
      </c>
      <c r="Y1334" s="5" t="s">
        <v>46</v>
      </c>
      <c r="Z1334" s="5" t="s">
        <v>47</v>
      </c>
      <c r="AA1334" s="5" t="s">
        <v>48</v>
      </c>
      <c r="AB1334" s="5" t="s">
        <v>6166</v>
      </c>
      <c r="AC1334" s="6" t="s">
        <v>50</v>
      </c>
      <c r="AD1334" s="6">
        <v>3563.0</v>
      </c>
    </row>
    <row r="1335" ht="56.25" customHeight="1">
      <c r="A1335" s="5" t="s">
        <v>6161</v>
      </c>
      <c r="B1335" s="6" t="str">
        <f>IMAGE("https://storage.googleapis.com/acdb/housewares/FtrIronShelf_Remake_1_0.png")</f>
        <v/>
      </c>
      <c r="C1335" s="5" t="s">
        <v>57</v>
      </c>
      <c r="D1335" s="5" t="s">
        <v>1008</v>
      </c>
      <c r="E1335" s="5" t="s">
        <v>34</v>
      </c>
      <c r="F1335" s="5" t="s">
        <v>34</v>
      </c>
      <c r="G1335" s="5" t="s">
        <v>35</v>
      </c>
      <c r="H1335" s="5" t="s">
        <v>35</v>
      </c>
      <c r="I1335" s="5" t="s">
        <v>36</v>
      </c>
      <c r="J1335" s="6">
        <v>7.0</v>
      </c>
      <c r="K1335" s="6" t="s">
        <v>37</v>
      </c>
      <c r="L1335" s="6">
        <v>10500.0</v>
      </c>
      <c r="M1335" s="8" t="s">
        <v>57</v>
      </c>
      <c r="N1335" s="8" t="s">
        <v>39</v>
      </c>
      <c r="O1335" s="6" t="s">
        <v>276</v>
      </c>
      <c r="P1335" s="5" t="s">
        <v>41</v>
      </c>
      <c r="Q1335" s="5"/>
      <c r="R1335" s="6" t="s">
        <v>42</v>
      </c>
      <c r="S1335" s="5" t="s">
        <v>90</v>
      </c>
      <c r="T1335" s="5" t="s">
        <v>44</v>
      </c>
      <c r="U1335" s="5" t="s">
        <v>1448</v>
      </c>
      <c r="V1335" s="5" t="s">
        <v>44</v>
      </c>
      <c r="W1335" s="5" t="s">
        <v>36</v>
      </c>
      <c r="X1335" s="8" t="s">
        <v>730</v>
      </c>
      <c r="Y1335" s="5" t="s">
        <v>46</v>
      </c>
      <c r="Z1335" s="5" t="s">
        <v>47</v>
      </c>
      <c r="AA1335" s="5" t="s">
        <v>48</v>
      </c>
      <c r="AB1335" s="5" t="s">
        <v>6170</v>
      </c>
      <c r="AC1335" s="6" t="s">
        <v>56</v>
      </c>
      <c r="AD1335" s="6">
        <v>3563.0</v>
      </c>
    </row>
    <row r="1336" ht="56.25" customHeight="1">
      <c r="A1336" s="5" t="s">
        <v>6172</v>
      </c>
      <c r="B1336" s="6" t="str">
        <f>IMAGE("https://storage.googleapis.com/acdb/housewares/FtrIronTableM_Remake_0_0.png")</f>
        <v/>
      </c>
      <c r="C1336" s="5" t="s">
        <v>54</v>
      </c>
      <c r="D1336" s="5" t="s">
        <v>1008</v>
      </c>
      <c r="E1336" s="5" t="s">
        <v>34</v>
      </c>
      <c r="F1336" s="5" t="s">
        <v>34</v>
      </c>
      <c r="G1336" s="5" t="s">
        <v>35</v>
      </c>
      <c r="H1336" s="5" t="s">
        <v>35</v>
      </c>
      <c r="I1336" s="5" t="s">
        <v>36</v>
      </c>
      <c r="J1336" s="6">
        <v>7.0</v>
      </c>
      <c r="K1336" s="6" t="s">
        <v>37</v>
      </c>
      <c r="L1336" s="6">
        <v>7500.0</v>
      </c>
      <c r="M1336" s="8" t="s">
        <v>54</v>
      </c>
      <c r="N1336" s="8" t="s">
        <v>54</v>
      </c>
      <c r="O1336" s="6" t="s">
        <v>276</v>
      </c>
      <c r="P1336" s="5" t="s">
        <v>41</v>
      </c>
      <c r="Q1336" s="5"/>
      <c r="R1336" s="6" t="s">
        <v>42</v>
      </c>
      <c r="S1336" s="5" t="s">
        <v>416</v>
      </c>
      <c r="T1336" s="5" t="s">
        <v>44</v>
      </c>
      <c r="U1336" s="5" t="s">
        <v>1448</v>
      </c>
      <c r="V1336" s="5" t="s">
        <v>44</v>
      </c>
      <c r="W1336" s="5" t="s">
        <v>36</v>
      </c>
      <c r="X1336" s="8" t="s">
        <v>278</v>
      </c>
      <c r="Y1336" s="5" t="s">
        <v>46</v>
      </c>
      <c r="Z1336" s="5" t="s">
        <v>47</v>
      </c>
      <c r="AA1336" s="5" t="s">
        <v>48</v>
      </c>
      <c r="AB1336" s="5" t="s">
        <v>6176</v>
      </c>
      <c r="AC1336" s="6" t="s">
        <v>50</v>
      </c>
      <c r="AD1336" s="6">
        <v>3560.0</v>
      </c>
    </row>
    <row r="1337" ht="56.25" customHeight="1">
      <c r="A1337" s="5" t="s">
        <v>6172</v>
      </c>
      <c r="B1337" s="6" t="str">
        <f>IMAGE("https://storage.googleapis.com/acdb/housewares/FtrIronTableM_Remake_1_0.png")</f>
        <v/>
      </c>
      <c r="C1337" s="5" t="s">
        <v>57</v>
      </c>
      <c r="D1337" s="5" t="s">
        <v>1008</v>
      </c>
      <c r="E1337" s="5" t="s">
        <v>34</v>
      </c>
      <c r="F1337" s="5" t="s">
        <v>34</v>
      </c>
      <c r="G1337" s="5" t="s">
        <v>35</v>
      </c>
      <c r="H1337" s="5" t="s">
        <v>35</v>
      </c>
      <c r="I1337" s="5" t="s">
        <v>36</v>
      </c>
      <c r="J1337" s="6">
        <v>7.0</v>
      </c>
      <c r="K1337" s="6" t="s">
        <v>37</v>
      </c>
      <c r="L1337" s="6">
        <v>7500.0</v>
      </c>
      <c r="M1337" s="8" t="s">
        <v>57</v>
      </c>
      <c r="N1337" s="8" t="s">
        <v>57</v>
      </c>
      <c r="O1337" s="6" t="s">
        <v>276</v>
      </c>
      <c r="P1337" s="5" t="s">
        <v>41</v>
      </c>
      <c r="Q1337" s="5"/>
      <c r="R1337" s="6" t="s">
        <v>42</v>
      </c>
      <c r="S1337" s="5" t="s">
        <v>416</v>
      </c>
      <c r="T1337" s="5" t="s">
        <v>44</v>
      </c>
      <c r="U1337" s="5" t="s">
        <v>1448</v>
      </c>
      <c r="V1337" s="5" t="s">
        <v>44</v>
      </c>
      <c r="W1337" s="5" t="s">
        <v>36</v>
      </c>
      <c r="X1337" s="8" t="s">
        <v>278</v>
      </c>
      <c r="Y1337" s="5" t="s">
        <v>46</v>
      </c>
      <c r="Z1337" s="5" t="s">
        <v>47</v>
      </c>
      <c r="AA1337" s="5" t="s">
        <v>48</v>
      </c>
      <c r="AB1337" s="5" t="s">
        <v>6181</v>
      </c>
      <c r="AC1337" s="6" t="s">
        <v>56</v>
      </c>
      <c r="AD1337" s="6">
        <v>3560.0</v>
      </c>
    </row>
    <row r="1338" ht="56.25" customHeight="1">
      <c r="A1338" s="5" t="s">
        <v>6183</v>
      </c>
      <c r="B1338" s="6" t="str">
        <f>image("https://storage.googleapis.com/acdb/housewares/FtrIronstand_Remake_0_0.png")</f>
        <v/>
      </c>
      <c r="C1338" s="5" t="s">
        <v>34</v>
      </c>
      <c r="D1338" s="5" t="s">
        <v>34</v>
      </c>
      <c r="E1338" s="5" t="s">
        <v>6184</v>
      </c>
      <c r="F1338" s="5" t="s">
        <v>6185</v>
      </c>
      <c r="G1338" s="5" t="s">
        <v>36</v>
      </c>
      <c r="H1338" s="5" t="s">
        <v>36</v>
      </c>
      <c r="I1338" s="5" t="s">
        <v>35</v>
      </c>
      <c r="J1338" s="6">
        <v>1.0</v>
      </c>
      <c r="K1338" s="6">
        <v>2300.0</v>
      </c>
      <c r="L1338" s="6">
        <v>575.0</v>
      </c>
      <c r="M1338" s="5" t="s">
        <v>54</v>
      </c>
      <c r="N1338" s="8" t="s">
        <v>1175</v>
      </c>
      <c r="O1338" s="6" t="s">
        <v>40</v>
      </c>
      <c r="P1338" s="5" t="s">
        <v>59</v>
      </c>
      <c r="Q1338" s="5" t="s">
        <v>89</v>
      </c>
      <c r="R1338" s="6" t="s">
        <v>42</v>
      </c>
      <c r="S1338" s="5" t="s">
        <v>90</v>
      </c>
      <c r="T1338" s="5" t="s">
        <v>44</v>
      </c>
      <c r="U1338" s="5" t="s">
        <v>44</v>
      </c>
      <c r="V1338" s="5" t="s">
        <v>44</v>
      </c>
      <c r="W1338" s="5" t="s">
        <v>36</v>
      </c>
      <c r="X1338" s="8" t="s">
        <v>182</v>
      </c>
      <c r="Y1338" s="5" t="s">
        <v>46</v>
      </c>
      <c r="Z1338" s="5" t="s">
        <v>47</v>
      </c>
      <c r="AA1338" s="5" t="s">
        <v>64</v>
      </c>
      <c r="AB1338" s="5" t="s">
        <v>6189</v>
      </c>
      <c r="AC1338" s="6" t="s">
        <v>50</v>
      </c>
      <c r="AD1338" s="6">
        <v>7531.0</v>
      </c>
    </row>
    <row r="1339" ht="56.25" customHeight="1">
      <c r="A1339" s="5" t="s">
        <v>6183</v>
      </c>
      <c r="B1339" s="6" t="str">
        <f>image("https://storage.googleapis.com/acdb/housewares/FtrIronstand_Remake_0_1.png")</f>
        <v/>
      </c>
      <c r="C1339" s="5" t="s">
        <v>34</v>
      </c>
      <c r="D1339" s="5" t="s">
        <v>34</v>
      </c>
      <c r="E1339" s="5" t="s">
        <v>422</v>
      </c>
      <c r="F1339" s="5" t="s">
        <v>6185</v>
      </c>
      <c r="G1339" s="5" t="s">
        <v>36</v>
      </c>
      <c r="H1339" s="5" t="s">
        <v>36</v>
      </c>
      <c r="I1339" s="5" t="s">
        <v>35</v>
      </c>
      <c r="J1339" s="6">
        <v>1.0</v>
      </c>
      <c r="K1339" s="6">
        <v>2300.0</v>
      </c>
      <c r="L1339" s="6">
        <v>575.0</v>
      </c>
      <c r="M1339" s="5" t="s">
        <v>54</v>
      </c>
      <c r="N1339" s="8" t="s">
        <v>69</v>
      </c>
      <c r="O1339" s="6" t="s">
        <v>40</v>
      </c>
      <c r="P1339" s="5" t="s">
        <v>59</v>
      </c>
      <c r="Q1339" s="5" t="s">
        <v>89</v>
      </c>
      <c r="R1339" s="6" t="s">
        <v>42</v>
      </c>
      <c r="S1339" s="5" t="s">
        <v>90</v>
      </c>
      <c r="T1339" s="5" t="s">
        <v>44</v>
      </c>
      <c r="U1339" s="5" t="s">
        <v>44</v>
      </c>
      <c r="V1339" s="5" t="s">
        <v>44</v>
      </c>
      <c r="W1339" s="5" t="s">
        <v>36</v>
      </c>
      <c r="X1339" s="8" t="s">
        <v>182</v>
      </c>
      <c r="Y1339" s="5" t="s">
        <v>46</v>
      </c>
      <c r="Z1339" s="5" t="s">
        <v>47</v>
      </c>
      <c r="AA1339" s="5" t="s">
        <v>64</v>
      </c>
      <c r="AB1339" s="5" t="s">
        <v>6191</v>
      </c>
      <c r="AC1339" s="6" t="s">
        <v>217</v>
      </c>
      <c r="AD1339" s="6">
        <v>7531.0</v>
      </c>
    </row>
    <row r="1340" ht="56.25" customHeight="1">
      <c r="A1340" s="5" t="s">
        <v>6183</v>
      </c>
      <c r="B1340" s="6" t="str">
        <f>image("https://storage.googleapis.com/acdb/housewares/FtrIronstand_Remake_0_2.png")</f>
        <v/>
      </c>
      <c r="C1340" s="5" t="s">
        <v>34</v>
      </c>
      <c r="D1340" s="5" t="s">
        <v>34</v>
      </c>
      <c r="E1340" s="5" t="s">
        <v>6194</v>
      </c>
      <c r="F1340" s="5" t="s">
        <v>6185</v>
      </c>
      <c r="G1340" s="5" t="s">
        <v>36</v>
      </c>
      <c r="H1340" s="5" t="s">
        <v>36</v>
      </c>
      <c r="I1340" s="5" t="s">
        <v>35</v>
      </c>
      <c r="J1340" s="6">
        <v>1.0</v>
      </c>
      <c r="K1340" s="6">
        <v>2300.0</v>
      </c>
      <c r="L1340" s="6">
        <v>575.0</v>
      </c>
      <c r="M1340" s="5" t="s">
        <v>54</v>
      </c>
      <c r="N1340" s="8" t="s">
        <v>114</v>
      </c>
      <c r="O1340" s="6" t="s">
        <v>40</v>
      </c>
      <c r="P1340" s="5" t="s">
        <v>59</v>
      </c>
      <c r="Q1340" s="5" t="s">
        <v>89</v>
      </c>
      <c r="R1340" s="6" t="s">
        <v>42</v>
      </c>
      <c r="S1340" s="5" t="s">
        <v>90</v>
      </c>
      <c r="T1340" s="5" t="s">
        <v>44</v>
      </c>
      <c r="U1340" s="5" t="s">
        <v>44</v>
      </c>
      <c r="V1340" s="5" t="s">
        <v>44</v>
      </c>
      <c r="W1340" s="5" t="s">
        <v>36</v>
      </c>
      <c r="X1340" s="8" t="s">
        <v>182</v>
      </c>
      <c r="Y1340" s="5" t="s">
        <v>46</v>
      </c>
      <c r="Z1340" s="5" t="s">
        <v>47</v>
      </c>
      <c r="AA1340" s="5" t="s">
        <v>64</v>
      </c>
      <c r="AB1340" s="5" t="s">
        <v>6196</v>
      </c>
      <c r="AC1340" s="6" t="s">
        <v>347</v>
      </c>
      <c r="AD1340" s="6">
        <v>7531.0</v>
      </c>
    </row>
    <row r="1341" ht="56.25" customHeight="1">
      <c r="A1341" s="5" t="s">
        <v>6183</v>
      </c>
      <c r="B1341" s="6" t="str">
        <f>image("https://storage.googleapis.com/acdb/housewares/FtrIronstand_Remake_0_3.png")</f>
        <v/>
      </c>
      <c r="C1341" s="5" t="s">
        <v>34</v>
      </c>
      <c r="D1341" s="5" t="s">
        <v>34</v>
      </c>
      <c r="E1341" s="5" t="s">
        <v>6197</v>
      </c>
      <c r="F1341" s="5" t="s">
        <v>6185</v>
      </c>
      <c r="G1341" s="5" t="s">
        <v>36</v>
      </c>
      <c r="H1341" s="5" t="s">
        <v>36</v>
      </c>
      <c r="I1341" s="5" t="s">
        <v>35</v>
      </c>
      <c r="J1341" s="6">
        <v>1.0</v>
      </c>
      <c r="K1341" s="6">
        <v>2300.0</v>
      </c>
      <c r="L1341" s="6">
        <v>575.0</v>
      </c>
      <c r="M1341" s="5" t="s">
        <v>54</v>
      </c>
      <c r="N1341" s="8" t="s">
        <v>96</v>
      </c>
      <c r="O1341" s="6" t="s">
        <v>40</v>
      </c>
      <c r="P1341" s="5" t="s">
        <v>59</v>
      </c>
      <c r="Q1341" s="5" t="s">
        <v>89</v>
      </c>
      <c r="R1341" s="6" t="s">
        <v>42</v>
      </c>
      <c r="S1341" s="5" t="s">
        <v>90</v>
      </c>
      <c r="T1341" s="5" t="s">
        <v>44</v>
      </c>
      <c r="U1341" s="5" t="s">
        <v>44</v>
      </c>
      <c r="V1341" s="5" t="s">
        <v>44</v>
      </c>
      <c r="W1341" s="5" t="s">
        <v>36</v>
      </c>
      <c r="X1341" s="8" t="s">
        <v>182</v>
      </c>
      <c r="Y1341" s="5" t="s">
        <v>46</v>
      </c>
      <c r="Z1341" s="5" t="s">
        <v>47</v>
      </c>
      <c r="AA1341" s="5" t="s">
        <v>64</v>
      </c>
      <c r="AB1341" s="5" t="s">
        <v>6199</v>
      </c>
      <c r="AC1341" s="6" t="s">
        <v>354</v>
      </c>
      <c r="AD1341" s="6">
        <v>7531.0</v>
      </c>
    </row>
    <row r="1342" ht="56.25" customHeight="1">
      <c r="A1342" s="5" t="s">
        <v>6183</v>
      </c>
      <c r="B1342" s="6" t="str">
        <f>image("https://storage.googleapis.com/acdb/housewares/FtrIronstand_Remake_0_4.png")</f>
        <v/>
      </c>
      <c r="C1342" s="5" t="s">
        <v>34</v>
      </c>
      <c r="D1342" s="5" t="s">
        <v>34</v>
      </c>
      <c r="E1342" s="5" t="s">
        <v>6201</v>
      </c>
      <c r="F1342" s="5" t="s">
        <v>6185</v>
      </c>
      <c r="G1342" s="5" t="s">
        <v>36</v>
      </c>
      <c r="H1342" s="5" t="s">
        <v>36</v>
      </c>
      <c r="I1342" s="5" t="s">
        <v>35</v>
      </c>
      <c r="J1342" s="6">
        <v>1.0</v>
      </c>
      <c r="K1342" s="6">
        <v>2300.0</v>
      </c>
      <c r="L1342" s="6">
        <v>575.0</v>
      </c>
      <c r="M1342" s="5" t="s">
        <v>54</v>
      </c>
      <c r="N1342" s="8" t="s">
        <v>95</v>
      </c>
      <c r="O1342" s="6" t="s">
        <v>40</v>
      </c>
      <c r="P1342" s="5" t="s">
        <v>59</v>
      </c>
      <c r="Q1342" s="5" t="s">
        <v>89</v>
      </c>
      <c r="R1342" s="6" t="s">
        <v>42</v>
      </c>
      <c r="S1342" s="5" t="s">
        <v>90</v>
      </c>
      <c r="T1342" s="5" t="s">
        <v>44</v>
      </c>
      <c r="U1342" s="5" t="s">
        <v>44</v>
      </c>
      <c r="V1342" s="5" t="s">
        <v>44</v>
      </c>
      <c r="W1342" s="5" t="s">
        <v>36</v>
      </c>
      <c r="X1342" s="8" t="s">
        <v>182</v>
      </c>
      <c r="Y1342" s="5" t="s">
        <v>46</v>
      </c>
      <c r="Z1342" s="5" t="s">
        <v>47</v>
      </c>
      <c r="AA1342" s="5" t="s">
        <v>64</v>
      </c>
      <c r="AB1342" s="5" t="s">
        <v>6203</v>
      </c>
      <c r="AC1342" s="6" t="s">
        <v>486</v>
      </c>
      <c r="AD1342" s="6">
        <v>7531.0</v>
      </c>
    </row>
    <row r="1343" ht="56.25" customHeight="1">
      <c r="A1343" s="5" t="s">
        <v>6204</v>
      </c>
      <c r="B1343" s="6" t="str">
        <f>IMAGE("https://storage.googleapis.com/acdb/housewares/FtrIronwoodBedS_Remake_0_0.png")</f>
        <v/>
      </c>
      <c r="C1343" s="5" t="s">
        <v>1509</v>
      </c>
      <c r="D1343" s="5" t="s">
        <v>1455</v>
      </c>
      <c r="E1343" s="5" t="s">
        <v>6139</v>
      </c>
      <c r="F1343" s="5" t="s">
        <v>1271</v>
      </c>
      <c r="G1343" s="5" t="s">
        <v>35</v>
      </c>
      <c r="H1343" s="5" t="s">
        <v>35</v>
      </c>
      <c r="I1343" s="5" t="s">
        <v>35</v>
      </c>
      <c r="J1343" s="6">
        <v>8.0</v>
      </c>
      <c r="K1343" s="6" t="s">
        <v>37</v>
      </c>
      <c r="L1343" s="6">
        <v>9900.0</v>
      </c>
      <c r="M1343" s="8" t="s">
        <v>38</v>
      </c>
      <c r="N1343" s="8" t="s">
        <v>54</v>
      </c>
      <c r="O1343" s="6" t="s">
        <v>276</v>
      </c>
      <c r="P1343" s="5" t="s">
        <v>41</v>
      </c>
      <c r="Q1343" s="5"/>
      <c r="R1343" s="6" t="s">
        <v>42</v>
      </c>
      <c r="S1343" s="5" t="s">
        <v>90</v>
      </c>
      <c r="T1343" s="5" t="s">
        <v>44</v>
      </c>
      <c r="U1343" s="5" t="s">
        <v>1512</v>
      </c>
      <c r="V1343" s="5" t="s">
        <v>44</v>
      </c>
      <c r="W1343" s="5" t="s">
        <v>35</v>
      </c>
      <c r="X1343" s="8" t="s">
        <v>218</v>
      </c>
      <c r="Y1343" s="5" t="s">
        <v>46</v>
      </c>
      <c r="Z1343" s="5" t="s">
        <v>47</v>
      </c>
      <c r="AA1343" s="5" t="s">
        <v>48</v>
      </c>
      <c r="AB1343" s="5" t="s">
        <v>6206</v>
      </c>
      <c r="AC1343" s="6" t="s">
        <v>50</v>
      </c>
      <c r="AD1343" s="6">
        <v>3200.0</v>
      </c>
    </row>
    <row r="1344" ht="56.25" customHeight="1">
      <c r="A1344" s="5" t="s">
        <v>6204</v>
      </c>
      <c r="B1344" s="6" t="str">
        <f>IMAGE("https://storage.googleapis.com/acdb/housewares/FtrIronwoodBedS_Remake_0_1.png")</f>
        <v/>
      </c>
      <c r="C1344" s="5" t="s">
        <v>1509</v>
      </c>
      <c r="D1344" s="5" t="s">
        <v>1455</v>
      </c>
      <c r="E1344" s="5" t="s">
        <v>6208</v>
      </c>
      <c r="F1344" s="5" t="s">
        <v>1271</v>
      </c>
      <c r="G1344" s="5" t="s">
        <v>35</v>
      </c>
      <c r="H1344" s="5" t="s">
        <v>35</v>
      </c>
      <c r="I1344" s="5" t="s">
        <v>35</v>
      </c>
      <c r="J1344" s="6">
        <v>8.0</v>
      </c>
      <c r="K1344" s="6" t="s">
        <v>37</v>
      </c>
      <c r="L1344" s="6">
        <v>9900.0</v>
      </c>
      <c r="M1344" s="8" t="s">
        <v>38</v>
      </c>
      <c r="N1344" s="8" t="s">
        <v>1175</v>
      </c>
      <c r="O1344" s="6" t="s">
        <v>276</v>
      </c>
      <c r="P1344" s="5" t="s">
        <v>41</v>
      </c>
      <c r="Q1344" s="5"/>
      <c r="R1344" s="6" t="s">
        <v>42</v>
      </c>
      <c r="S1344" s="5" t="s">
        <v>90</v>
      </c>
      <c r="T1344" s="5" t="s">
        <v>44</v>
      </c>
      <c r="U1344" s="5" t="s">
        <v>1512</v>
      </c>
      <c r="V1344" s="5" t="s">
        <v>44</v>
      </c>
      <c r="W1344" s="5" t="s">
        <v>35</v>
      </c>
      <c r="X1344" s="8" t="s">
        <v>218</v>
      </c>
      <c r="Y1344" s="5" t="s">
        <v>46</v>
      </c>
      <c r="Z1344" s="5" t="s">
        <v>47</v>
      </c>
      <c r="AA1344" s="5" t="s">
        <v>48</v>
      </c>
      <c r="AB1344" s="5" t="s">
        <v>6209</v>
      </c>
      <c r="AC1344" s="6" t="s">
        <v>217</v>
      </c>
      <c r="AD1344" s="6">
        <v>3200.0</v>
      </c>
    </row>
    <row r="1345" ht="56.25" customHeight="1">
      <c r="A1345" s="5" t="s">
        <v>6204</v>
      </c>
      <c r="B1345" s="6" t="str">
        <f>IMAGE("https://storage.googleapis.com/acdb/housewares/FtrIronwoodBedS_Remake_0_2.png")</f>
        <v/>
      </c>
      <c r="C1345" s="5" t="s">
        <v>1509</v>
      </c>
      <c r="D1345" s="5" t="s">
        <v>1455</v>
      </c>
      <c r="E1345" s="5" t="s">
        <v>39</v>
      </c>
      <c r="F1345" s="5" t="s">
        <v>1271</v>
      </c>
      <c r="G1345" s="5" t="s">
        <v>35</v>
      </c>
      <c r="H1345" s="5" t="s">
        <v>35</v>
      </c>
      <c r="I1345" s="5" t="s">
        <v>35</v>
      </c>
      <c r="J1345" s="6">
        <v>8.0</v>
      </c>
      <c r="K1345" s="6" t="s">
        <v>37</v>
      </c>
      <c r="L1345" s="6">
        <v>9900.0</v>
      </c>
      <c r="M1345" s="8" t="s">
        <v>38</v>
      </c>
      <c r="N1345" s="8" t="s">
        <v>39</v>
      </c>
      <c r="O1345" s="6" t="s">
        <v>276</v>
      </c>
      <c r="P1345" s="5" t="s">
        <v>41</v>
      </c>
      <c r="Q1345" s="5"/>
      <c r="R1345" s="6" t="s">
        <v>42</v>
      </c>
      <c r="S1345" s="5" t="s">
        <v>90</v>
      </c>
      <c r="T1345" s="5" t="s">
        <v>44</v>
      </c>
      <c r="U1345" s="5" t="s">
        <v>1512</v>
      </c>
      <c r="V1345" s="5" t="s">
        <v>44</v>
      </c>
      <c r="W1345" s="5" t="s">
        <v>35</v>
      </c>
      <c r="X1345" s="8" t="s">
        <v>218</v>
      </c>
      <c r="Y1345" s="5" t="s">
        <v>46</v>
      </c>
      <c r="Z1345" s="5" t="s">
        <v>47</v>
      </c>
      <c r="AA1345" s="5" t="s">
        <v>48</v>
      </c>
      <c r="AB1345" s="5" t="s">
        <v>6212</v>
      </c>
      <c r="AC1345" s="6" t="s">
        <v>347</v>
      </c>
      <c r="AD1345" s="6">
        <v>3200.0</v>
      </c>
    </row>
    <row r="1346" ht="56.25" customHeight="1">
      <c r="A1346" s="5" t="s">
        <v>6204</v>
      </c>
      <c r="B1346" s="6" t="str">
        <f>IMAGE("https://storage.googleapis.com/acdb/housewares/FtrIronwoodBedS_Remake_1_0.png")</f>
        <v/>
      </c>
      <c r="C1346" s="5" t="s">
        <v>1518</v>
      </c>
      <c r="D1346" s="5" t="s">
        <v>1455</v>
      </c>
      <c r="E1346" s="5" t="s">
        <v>6139</v>
      </c>
      <c r="F1346" s="5" t="s">
        <v>1271</v>
      </c>
      <c r="G1346" s="5" t="s">
        <v>35</v>
      </c>
      <c r="H1346" s="5" t="s">
        <v>35</v>
      </c>
      <c r="I1346" s="5" t="s">
        <v>35</v>
      </c>
      <c r="J1346" s="6">
        <v>8.0</v>
      </c>
      <c r="K1346" s="6" t="s">
        <v>37</v>
      </c>
      <c r="L1346" s="6">
        <v>9900.0</v>
      </c>
      <c r="M1346" s="8" t="s">
        <v>142</v>
      </c>
      <c r="N1346" s="8" t="s">
        <v>54</v>
      </c>
      <c r="O1346" s="6" t="s">
        <v>276</v>
      </c>
      <c r="P1346" s="5" t="s">
        <v>41</v>
      </c>
      <c r="Q1346" s="5"/>
      <c r="R1346" s="6" t="s">
        <v>42</v>
      </c>
      <c r="S1346" s="5" t="s">
        <v>90</v>
      </c>
      <c r="T1346" s="5" t="s">
        <v>44</v>
      </c>
      <c r="U1346" s="5" t="s">
        <v>1512</v>
      </c>
      <c r="V1346" s="5" t="s">
        <v>44</v>
      </c>
      <c r="W1346" s="5" t="s">
        <v>35</v>
      </c>
      <c r="X1346" s="8" t="s">
        <v>218</v>
      </c>
      <c r="Y1346" s="5" t="s">
        <v>46</v>
      </c>
      <c r="Z1346" s="5" t="s">
        <v>47</v>
      </c>
      <c r="AA1346" s="5" t="s">
        <v>48</v>
      </c>
      <c r="AB1346" s="5" t="s">
        <v>6216</v>
      </c>
      <c r="AC1346" s="6" t="s">
        <v>56</v>
      </c>
      <c r="AD1346" s="6">
        <v>3200.0</v>
      </c>
    </row>
    <row r="1347" ht="56.25" customHeight="1">
      <c r="A1347" s="5" t="s">
        <v>6204</v>
      </c>
      <c r="B1347" s="6" t="str">
        <f>IMAGE("https://storage.googleapis.com/acdb/housewares/FtrIronwoodBedS_Remake_1_1.png")</f>
        <v/>
      </c>
      <c r="C1347" s="5" t="s">
        <v>1518</v>
      </c>
      <c r="D1347" s="5" t="s">
        <v>1455</v>
      </c>
      <c r="E1347" s="5" t="s">
        <v>6208</v>
      </c>
      <c r="F1347" s="5" t="s">
        <v>1271</v>
      </c>
      <c r="G1347" s="5" t="s">
        <v>35</v>
      </c>
      <c r="H1347" s="5" t="s">
        <v>35</v>
      </c>
      <c r="I1347" s="5" t="s">
        <v>35</v>
      </c>
      <c r="J1347" s="6">
        <v>8.0</v>
      </c>
      <c r="K1347" s="6" t="s">
        <v>37</v>
      </c>
      <c r="L1347" s="6">
        <v>9900.0</v>
      </c>
      <c r="M1347" s="8" t="s">
        <v>142</v>
      </c>
      <c r="N1347" s="8" t="s">
        <v>1175</v>
      </c>
      <c r="O1347" s="6" t="s">
        <v>276</v>
      </c>
      <c r="P1347" s="5" t="s">
        <v>41</v>
      </c>
      <c r="Q1347" s="5"/>
      <c r="R1347" s="6" t="s">
        <v>42</v>
      </c>
      <c r="S1347" s="5" t="s">
        <v>90</v>
      </c>
      <c r="T1347" s="5" t="s">
        <v>44</v>
      </c>
      <c r="U1347" s="5" t="s">
        <v>1512</v>
      </c>
      <c r="V1347" s="5" t="s">
        <v>44</v>
      </c>
      <c r="W1347" s="5" t="s">
        <v>35</v>
      </c>
      <c r="X1347" s="8" t="s">
        <v>218</v>
      </c>
      <c r="Y1347" s="5" t="s">
        <v>46</v>
      </c>
      <c r="Z1347" s="5" t="s">
        <v>47</v>
      </c>
      <c r="AA1347" s="5" t="s">
        <v>48</v>
      </c>
      <c r="AB1347" s="5" t="s">
        <v>6219</v>
      </c>
      <c r="AC1347" s="6" t="s">
        <v>234</v>
      </c>
      <c r="AD1347" s="6">
        <v>3200.0</v>
      </c>
    </row>
    <row r="1348" ht="56.25" customHeight="1">
      <c r="A1348" s="5" t="s">
        <v>6204</v>
      </c>
      <c r="B1348" s="6" t="str">
        <f>IMAGE("https://storage.googleapis.com/acdb/housewares/FtrIronwoodBedS_Remake_1_2.png")</f>
        <v/>
      </c>
      <c r="C1348" s="5" t="s">
        <v>1518</v>
      </c>
      <c r="D1348" s="5" t="s">
        <v>1455</v>
      </c>
      <c r="E1348" s="5" t="s">
        <v>39</v>
      </c>
      <c r="F1348" s="5" t="s">
        <v>1271</v>
      </c>
      <c r="G1348" s="5" t="s">
        <v>35</v>
      </c>
      <c r="H1348" s="5" t="s">
        <v>35</v>
      </c>
      <c r="I1348" s="5" t="s">
        <v>35</v>
      </c>
      <c r="J1348" s="6">
        <v>8.0</v>
      </c>
      <c r="K1348" s="6" t="s">
        <v>37</v>
      </c>
      <c r="L1348" s="6">
        <v>9900.0</v>
      </c>
      <c r="M1348" s="8" t="s">
        <v>142</v>
      </c>
      <c r="N1348" s="8" t="s">
        <v>39</v>
      </c>
      <c r="O1348" s="6" t="s">
        <v>276</v>
      </c>
      <c r="P1348" s="5" t="s">
        <v>41</v>
      </c>
      <c r="Q1348" s="5"/>
      <c r="R1348" s="6" t="s">
        <v>42</v>
      </c>
      <c r="S1348" s="5" t="s">
        <v>90</v>
      </c>
      <c r="T1348" s="5" t="s">
        <v>44</v>
      </c>
      <c r="U1348" s="5" t="s">
        <v>1512</v>
      </c>
      <c r="V1348" s="5" t="s">
        <v>44</v>
      </c>
      <c r="W1348" s="5" t="s">
        <v>35</v>
      </c>
      <c r="X1348" s="8" t="s">
        <v>218</v>
      </c>
      <c r="Y1348" s="5" t="s">
        <v>46</v>
      </c>
      <c r="Z1348" s="5" t="s">
        <v>47</v>
      </c>
      <c r="AA1348" s="5" t="s">
        <v>48</v>
      </c>
      <c r="AB1348" s="5" t="s">
        <v>6223</v>
      </c>
      <c r="AC1348" s="6" t="s">
        <v>370</v>
      </c>
      <c r="AD1348" s="6">
        <v>3200.0</v>
      </c>
    </row>
    <row r="1349" ht="56.25" customHeight="1">
      <c r="A1349" s="5" t="s">
        <v>6204</v>
      </c>
      <c r="B1349" s="6" t="str">
        <f>IMAGE("https://storage.googleapis.com/acdb/housewares/FtrIronwoodBedS_Remake_2_0.png")</f>
        <v/>
      </c>
      <c r="C1349" s="5" t="s">
        <v>1524</v>
      </c>
      <c r="D1349" s="5" t="s">
        <v>1455</v>
      </c>
      <c r="E1349" s="5" t="s">
        <v>6139</v>
      </c>
      <c r="F1349" s="5" t="s">
        <v>1271</v>
      </c>
      <c r="G1349" s="5" t="s">
        <v>35</v>
      </c>
      <c r="H1349" s="5" t="s">
        <v>35</v>
      </c>
      <c r="I1349" s="5" t="s">
        <v>35</v>
      </c>
      <c r="J1349" s="6">
        <v>8.0</v>
      </c>
      <c r="K1349" s="6" t="s">
        <v>37</v>
      </c>
      <c r="L1349" s="6">
        <v>9900.0</v>
      </c>
      <c r="M1349" s="8" t="s">
        <v>39</v>
      </c>
      <c r="N1349" s="8" t="s">
        <v>54</v>
      </c>
      <c r="O1349" s="6" t="s">
        <v>276</v>
      </c>
      <c r="P1349" s="5" t="s">
        <v>41</v>
      </c>
      <c r="Q1349" s="5"/>
      <c r="R1349" s="6" t="s">
        <v>42</v>
      </c>
      <c r="S1349" s="5" t="s">
        <v>90</v>
      </c>
      <c r="T1349" s="5" t="s">
        <v>44</v>
      </c>
      <c r="U1349" s="5" t="s">
        <v>1512</v>
      </c>
      <c r="V1349" s="5" t="s">
        <v>44</v>
      </c>
      <c r="W1349" s="5" t="s">
        <v>35</v>
      </c>
      <c r="X1349" s="8" t="s">
        <v>218</v>
      </c>
      <c r="Y1349" s="5" t="s">
        <v>46</v>
      </c>
      <c r="Z1349" s="5" t="s">
        <v>47</v>
      </c>
      <c r="AA1349" s="5" t="s">
        <v>48</v>
      </c>
      <c r="AB1349" s="5" t="s">
        <v>6227</v>
      </c>
      <c r="AC1349" s="6" t="s">
        <v>67</v>
      </c>
      <c r="AD1349" s="6">
        <v>3200.0</v>
      </c>
    </row>
    <row r="1350" ht="56.25" customHeight="1">
      <c r="A1350" s="5" t="s">
        <v>6204</v>
      </c>
      <c r="B1350" s="6" t="str">
        <f>IMAGE("https://storage.googleapis.com/acdb/housewares/FtrIronwoodBedS_Remake_2_1.png")</f>
        <v/>
      </c>
      <c r="C1350" s="5" t="s">
        <v>1524</v>
      </c>
      <c r="D1350" s="5" t="s">
        <v>1455</v>
      </c>
      <c r="E1350" s="5" t="s">
        <v>6208</v>
      </c>
      <c r="F1350" s="5" t="s">
        <v>1271</v>
      </c>
      <c r="G1350" s="5" t="s">
        <v>35</v>
      </c>
      <c r="H1350" s="5" t="s">
        <v>35</v>
      </c>
      <c r="I1350" s="5" t="s">
        <v>35</v>
      </c>
      <c r="J1350" s="6">
        <v>8.0</v>
      </c>
      <c r="K1350" s="6" t="s">
        <v>37</v>
      </c>
      <c r="L1350" s="6">
        <v>9900.0</v>
      </c>
      <c r="M1350" s="8" t="s">
        <v>39</v>
      </c>
      <c r="N1350" s="8" t="s">
        <v>1175</v>
      </c>
      <c r="O1350" s="6" t="s">
        <v>276</v>
      </c>
      <c r="P1350" s="5" t="s">
        <v>41</v>
      </c>
      <c r="Q1350" s="5"/>
      <c r="R1350" s="6" t="s">
        <v>42</v>
      </c>
      <c r="S1350" s="5" t="s">
        <v>90</v>
      </c>
      <c r="T1350" s="5" t="s">
        <v>44</v>
      </c>
      <c r="U1350" s="5" t="s">
        <v>1512</v>
      </c>
      <c r="V1350" s="5" t="s">
        <v>44</v>
      </c>
      <c r="W1350" s="5" t="s">
        <v>35</v>
      </c>
      <c r="X1350" s="8" t="s">
        <v>218</v>
      </c>
      <c r="Y1350" s="5" t="s">
        <v>46</v>
      </c>
      <c r="Z1350" s="5" t="s">
        <v>47</v>
      </c>
      <c r="AA1350" s="5" t="s">
        <v>48</v>
      </c>
      <c r="AB1350" s="5" t="s">
        <v>6230</v>
      </c>
      <c r="AC1350" s="6" t="s">
        <v>247</v>
      </c>
      <c r="AD1350" s="6">
        <v>3200.0</v>
      </c>
    </row>
    <row r="1351" ht="56.25" customHeight="1">
      <c r="A1351" s="5" t="s">
        <v>6204</v>
      </c>
      <c r="B1351" s="6" t="str">
        <f>IMAGE("https://storage.googleapis.com/acdb/housewares/FtrIronwoodBedS_Remake_2_2.png")</f>
        <v/>
      </c>
      <c r="C1351" s="5" t="s">
        <v>1524</v>
      </c>
      <c r="D1351" s="5" t="s">
        <v>1455</v>
      </c>
      <c r="E1351" s="5" t="s">
        <v>39</v>
      </c>
      <c r="F1351" s="5" t="s">
        <v>1271</v>
      </c>
      <c r="G1351" s="5" t="s">
        <v>35</v>
      </c>
      <c r="H1351" s="5" t="s">
        <v>35</v>
      </c>
      <c r="I1351" s="5" t="s">
        <v>35</v>
      </c>
      <c r="J1351" s="6">
        <v>8.0</v>
      </c>
      <c r="K1351" s="6" t="s">
        <v>37</v>
      </c>
      <c r="L1351" s="6">
        <v>9900.0</v>
      </c>
      <c r="M1351" s="8" t="s">
        <v>39</v>
      </c>
      <c r="N1351" s="8" t="s">
        <v>39</v>
      </c>
      <c r="O1351" s="6" t="s">
        <v>276</v>
      </c>
      <c r="P1351" s="5" t="s">
        <v>41</v>
      </c>
      <c r="Q1351" s="5"/>
      <c r="R1351" s="6" t="s">
        <v>42</v>
      </c>
      <c r="S1351" s="5" t="s">
        <v>90</v>
      </c>
      <c r="T1351" s="5" t="s">
        <v>44</v>
      </c>
      <c r="U1351" s="5" t="s">
        <v>1512</v>
      </c>
      <c r="V1351" s="5" t="s">
        <v>44</v>
      </c>
      <c r="W1351" s="5" t="s">
        <v>35</v>
      </c>
      <c r="X1351" s="8" t="s">
        <v>218</v>
      </c>
      <c r="Y1351" s="5" t="s">
        <v>46</v>
      </c>
      <c r="Z1351" s="5" t="s">
        <v>47</v>
      </c>
      <c r="AA1351" s="5" t="s">
        <v>48</v>
      </c>
      <c r="AB1351" s="5" t="s">
        <v>6234</v>
      </c>
      <c r="AC1351" s="6" t="s">
        <v>390</v>
      </c>
      <c r="AD1351" s="6">
        <v>3200.0</v>
      </c>
    </row>
    <row r="1352" ht="56.25" customHeight="1">
      <c r="A1352" s="5" t="s">
        <v>6204</v>
      </c>
      <c r="B1352" s="6" t="str">
        <f>IMAGE("https://storage.googleapis.com/acdb/housewares/FtrIronwoodBedS_Remake_3_0.png")</f>
        <v/>
      </c>
      <c r="C1352" s="5" t="s">
        <v>1531</v>
      </c>
      <c r="D1352" s="5" t="s">
        <v>1455</v>
      </c>
      <c r="E1352" s="5" t="s">
        <v>6139</v>
      </c>
      <c r="F1352" s="5" t="s">
        <v>1271</v>
      </c>
      <c r="G1352" s="5" t="s">
        <v>35</v>
      </c>
      <c r="H1352" s="5" t="s">
        <v>35</v>
      </c>
      <c r="I1352" s="5" t="s">
        <v>35</v>
      </c>
      <c r="J1352" s="6">
        <v>8.0</v>
      </c>
      <c r="K1352" s="6" t="s">
        <v>37</v>
      </c>
      <c r="L1352" s="6">
        <v>9900.0</v>
      </c>
      <c r="M1352" s="8" t="s">
        <v>39</v>
      </c>
      <c r="N1352" s="8" t="s">
        <v>54</v>
      </c>
      <c r="O1352" s="6" t="s">
        <v>276</v>
      </c>
      <c r="P1352" s="5" t="s">
        <v>41</v>
      </c>
      <c r="Q1352" s="5"/>
      <c r="R1352" s="6" t="s">
        <v>42</v>
      </c>
      <c r="S1352" s="5" t="s">
        <v>90</v>
      </c>
      <c r="T1352" s="5" t="s">
        <v>44</v>
      </c>
      <c r="U1352" s="5" t="s">
        <v>1512</v>
      </c>
      <c r="V1352" s="5" t="s">
        <v>44</v>
      </c>
      <c r="W1352" s="5" t="s">
        <v>35</v>
      </c>
      <c r="X1352" s="8" t="s">
        <v>218</v>
      </c>
      <c r="Y1352" s="5" t="s">
        <v>46</v>
      </c>
      <c r="Z1352" s="5" t="s">
        <v>47</v>
      </c>
      <c r="AA1352" s="5" t="s">
        <v>48</v>
      </c>
      <c r="AB1352" s="5" t="s">
        <v>6238</v>
      </c>
      <c r="AC1352" s="6" t="s">
        <v>71</v>
      </c>
      <c r="AD1352" s="6">
        <v>3200.0</v>
      </c>
    </row>
    <row r="1353" ht="56.25" customHeight="1">
      <c r="A1353" s="5" t="s">
        <v>6204</v>
      </c>
      <c r="B1353" s="6" t="str">
        <f>IMAGE("https://storage.googleapis.com/acdb/housewares/FtrIronwoodBedS_Remake_3_1.png")</f>
        <v/>
      </c>
      <c r="C1353" s="5" t="s">
        <v>1531</v>
      </c>
      <c r="D1353" s="5" t="s">
        <v>1455</v>
      </c>
      <c r="E1353" s="5" t="s">
        <v>6208</v>
      </c>
      <c r="F1353" s="5" t="s">
        <v>1271</v>
      </c>
      <c r="G1353" s="5" t="s">
        <v>35</v>
      </c>
      <c r="H1353" s="5" t="s">
        <v>35</v>
      </c>
      <c r="I1353" s="5" t="s">
        <v>35</v>
      </c>
      <c r="J1353" s="6">
        <v>8.0</v>
      </c>
      <c r="K1353" s="6" t="s">
        <v>37</v>
      </c>
      <c r="L1353" s="6">
        <v>9900.0</v>
      </c>
      <c r="M1353" s="8" t="s">
        <v>39</v>
      </c>
      <c r="N1353" s="8" t="s">
        <v>1175</v>
      </c>
      <c r="O1353" s="6" t="s">
        <v>276</v>
      </c>
      <c r="P1353" s="5" t="s">
        <v>41</v>
      </c>
      <c r="Q1353" s="5"/>
      <c r="R1353" s="6" t="s">
        <v>42</v>
      </c>
      <c r="S1353" s="5" t="s">
        <v>90</v>
      </c>
      <c r="T1353" s="5" t="s">
        <v>44</v>
      </c>
      <c r="U1353" s="5" t="s">
        <v>1512</v>
      </c>
      <c r="V1353" s="5" t="s">
        <v>44</v>
      </c>
      <c r="W1353" s="5" t="s">
        <v>35</v>
      </c>
      <c r="X1353" s="8" t="s">
        <v>218</v>
      </c>
      <c r="Y1353" s="5" t="s">
        <v>46</v>
      </c>
      <c r="Z1353" s="5" t="s">
        <v>47</v>
      </c>
      <c r="AA1353" s="5" t="s">
        <v>48</v>
      </c>
      <c r="AB1353" s="5" t="s">
        <v>6241</v>
      </c>
      <c r="AC1353" s="6" t="s">
        <v>257</v>
      </c>
      <c r="AD1353" s="6">
        <v>3200.0</v>
      </c>
    </row>
    <row r="1354" ht="56.25" customHeight="1">
      <c r="A1354" s="5" t="s">
        <v>6204</v>
      </c>
      <c r="B1354" s="6" t="str">
        <f>IMAGE("https://storage.googleapis.com/acdb/housewares/FtrIronwoodBedS_Remake_3_2.png")</f>
        <v/>
      </c>
      <c r="C1354" s="5" t="s">
        <v>1531</v>
      </c>
      <c r="D1354" s="5" t="s">
        <v>1455</v>
      </c>
      <c r="E1354" s="5" t="s">
        <v>39</v>
      </c>
      <c r="F1354" s="5" t="s">
        <v>1271</v>
      </c>
      <c r="G1354" s="5" t="s">
        <v>35</v>
      </c>
      <c r="H1354" s="5" t="s">
        <v>35</v>
      </c>
      <c r="I1354" s="5" t="s">
        <v>35</v>
      </c>
      <c r="J1354" s="6">
        <v>8.0</v>
      </c>
      <c r="K1354" s="6" t="s">
        <v>37</v>
      </c>
      <c r="L1354" s="6">
        <v>9900.0</v>
      </c>
      <c r="M1354" s="8" t="s">
        <v>39</v>
      </c>
      <c r="N1354" s="8" t="s">
        <v>39</v>
      </c>
      <c r="O1354" s="6" t="s">
        <v>276</v>
      </c>
      <c r="P1354" s="5" t="s">
        <v>41</v>
      </c>
      <c r="Q1354" s="5"/>
      <c r="R1354" s="6" t="s">
        <v>42</v>
      </c>
      <c r="S1354" s="5" t="s">
        <v>90</v>
      </c>
      <c r="T1354" s="5" t="s">
        <v>44</v>
      </c>
      <c r="U1354" s="5" t="s">
        <v>1512</v>
      </c>
      <c r="V1354" s="5" t="s">
        <v>44</v>
      </c>
      <c r="W1354" s="5" t="s">
        <v>35</v>
      </c>
      <c r="X1354" s="8" t="s">
        <v>218</v>
      </c>
      <c r="Y1354" s="5" t="s">
        <v>46</v>
      </c>
      <c r="Z1354" s="5" t="s">
        <v>47</v>
      </c>
      <c r="AA1354" s="5" t="s">
        <v>48</v>
      </c>
      <c r="AB1354" s="5" t="s">
        <v>6245</v>
      </c>
      <c r="AC1354" s="6" t="s">
        <v>414</v>
      </c>
      <c r="AD1354" s="6">
        <v>3200.0</v>
      </c>
    </row>
    <row r="1355" ht="56.25" customHeight="1">
      <c r="A1355" s="5" t="s">
        <v>6204</v>
      </c>
      <c r="B1355" s="6" t="str">
        <f>IMAGE("https://storage.googleapis.com/acdb/housewares/FtrIronwoodBedS_Remake_4_0.png")</f>
        <v/>
      </c>
      <c r="C1355" s="5" t="s">
        <v>1536</v>
      </c>
      <c r="D1355" s="5" t="s">
        <v>34</v>
      </c>
      <c r="E1355" s="5" t="s">
        <v>6139</v>
      </c>
      <c r="F1355" s="5" t="s">
        <v>1271</v>
      </c>
      <c r="G1355" s="5" t="s">
        <v>35</v>
      </c>
      <c r="H1355" s="5" t="s">
        <v>36</v>
      </c>
      <c r="I1355" s="5" t="s">
        <v>35</v>
      </c>
      <c r="J1355" s="6">
        <v>8.0</v>
      </c>
      <c r="K1355" s="6" t="s">
        <v>37</v>
      </c>
      <c r="L1355" s="6">
        <v>9900.0</v>
      </c>
      <c r="M1355" s="8" t="s">
        <v>39</v>
      </c>
      <c r="N1355" s="8" t="s">
        <v>54</v>
      </c>
      <c r="O1355" s="6" t="s">
        <v>276</v>
      </c>
      <c r="P1355" s="5" t="s">
        <v>41</v>
      </c>
      <c r="Q1355" s="5"/>
      <c r="R1355" s="6" t="s">
        <v>42</v>
      </c>
      <c r="S1355" s="5" t="s">
        <v>90</v>
      </c>
      <c r="T1355" s="5" t="s">
        <v>44</v>
      </c>
      <c r="U1355" s="5" t="s">
        <v>1512</v>
      </c>
      <c r="V1355" s="5" t="s">
        <v>44</v>
      </c>
      <c r="W1355" s="5" t="s">
        <v>35</v>
      </c>
      <c r="X1355" s="8" t="s">
        <v>218</v>
      </c>
      <c r="Y1355" s="5" t="s">
        <v>46</v>
      </c>
      <c r="Z1355" s="5" t="s">
        <v>47</v>
      </c>
      <c r="AA1355" s="5" t="s">
        <v>48</v>
      </c>
      <c r="AB1355" s="5" t="s">
        <v>6248</v>
      </c>
      <c r="AC1355" s="6" t="s">
        <v>75</v>
      </c>
      <c r="AD1355" s="6">
        <v>3200.0</v>
      </c>
    </row>
    <row r="1356" ht="56.25" customHeight="1">
      <c r="A1356" s="5" t="s">
        <v>6204</v>
      </c>
      <c r="B1356" s="6" t="str">
        <f>IMAGE("https://storage.googleapis.com/acdb/housewares/FtrIronwoodBedS_Remake_4_1.png")</f>
        <v/>
      </c>
      <c r="C1356" s="5" t="s">
        <v>1536</v>
      </c>
      <c r="D1356" s="5" t="s">
        <v>34</v>
      </c>
      <c r="E1356" s="5" t="s">
        <v>6208</v>
      </c>
      <c r="F1356" s="5" t="s">
        <v>1271</v>
      </c>
      <c r="G1356" s="5" t="s">
        <v>35</v>
      </c>
      <c r="H1356" s="5" t="s">
        <v>36</v>
      </c>
      <c r="I1356" s="5" t="s">
        <v>35</v>
      </c>
      <c r="J1356" s="6">
        <v>8.0</v>
      </c>
      <c r="K1356" s="6" t="s">
        <v>37</v>
      </c>
      <c r="L1356" s="6">
        <v>9900.0</v>
      </c>
      <c r="M1356" s="8" t="s">
        <v>39</v>
      </c>
      <c r="N1356" s="8" t="s">
        <v>1175</v>
      </c>
      <c r="O1356" s="6" t="s">
        <v>276</v>
      </c>
      <c r="P1356" s="5" t="s">
        <v>41</v>
      </c>
      <c r="Q1356" s="5"/>
      <c r="R1356" s="6" t="s">
        <v>42</v>
      </c>
      <c r="S1356" s="5" t="s">
        <v>90</v>
      </c>
      <c r="T1356" s="5" t="s">
        <v>44</v>
      </c>
      <c r="U1356" s="5" t="s">
        <v>1512</v>
      </c>
      <c r="V1356" s="5" t="s">
        <v>44</v>
      </c>
      <c r="W1356" s="5" t="s">
        <v>35</v>
      </c>
      <c r="X1356" s="8" t="s">
        <v>218</v>
      </c>
      <c r="Y1356" s="5" t="s">
        <v>46</v>
      </c>
      <c r="Z1356" s="5" t="s">
        <v>47</v>
      </c>
      <c r="AA1356" s="5" t="s">
        <v>48</v>
      </c>
      <c r="AB1356" s="5" t="s">
        <v>6250</v>
      </c>
      <c r="AC1356" s="6" t="s">
        <v>429</v>
      </c>
      <c r="AD1356" s="6">
        <v>3200.0</v>
      </c>
    </row>
    <row r="1357" ht="56.25" customHeight="1">
      <c r="A1357" s="5" t="s">
        <v>6204</v>
      </c>
      <c r="B1357" s="6" t="str">
        <f>IMAGE("https://storage.googleapis.com/acdb/housewares/FtrIronwoodBedS_Remake_4_2.png")</f>
        <v/>
      </c>
      <c r="C1357" s="5" t="s">
        <v>1536</v>
      </c>
      <c r="D1357" s="5" t="s">
        <v>34</v>
      </c>
      <c r="E1357" s="5" t="s">
        <v>39</v>
      </c>
      <c r="F1357" s="5" t="s">
        <v>1271</v>
      </c>
      <c r="G1357" s="5" t="s">
        <v>35</v>
      </c>
      <c r="H1357" s="5" t="s">
        <v>36</v>
      </c>
      <c r="I1357" s="5" t="s">
        <v>35</v>
      </c>
      <c r="J1357" s="6">
        <v>8.0</v>
      </c>
      <c r="K1357" s="6" t="s">
        <v>37</v>
      </c>
      <c r="L1357" s="6">
        <v>9900.0</v>
      </c>
      <c r="M1357" s="8" t="s">
        <v>39</v>
      </c>
      <c r="N1357" s="8" t="s">
        <v>39</v>
      </c>
      <c r="O1357" s="6" t="s">
        <v>276</v>
      </c>
      <c r="P1357" s="5" t="s">
        <v>41</v>
      </c>
      <c r="Q1357" s="5"/>
      <c r="R1357" s="6" t="s">
        <v>42</v>
      </c>
      <c r="S1357" s="5" t="s">
        <v>90</v>
      </c>
      <c r="T1357" s="5" t="s">
        <v>44</v>
      </c>
      <c r="U1357" s="5" t="s">
        <v>1512</v>
      </c>
      <c r="V1357" s="5" t="s">
        <v>44</v>
      </c>
      <c r="W1357" s="5" t="s">
        <v>35</v>
      </c>
      <c r="X1357" s="8" t="s">
        <v>218</v>
      </c>
      <c r="Y1357" s="5" t="s">
        <v>46</v>
      </c>
      <c r="Z1357" s="5" t="s">
        <v>47</v>
      </c>
      <c r="AA1357" s="5" t="s">
        <v>48</v>
      </c>
      <c r="AB1357" s="5" t="s">
        <v>6255</v>
      </c>
      <c r="AC1357" s="6" t="s">
        <v>434</v>
      </c>
      <c r="AD1357" s="6">
        <v>3200.0</v>
      </c>
    </row>
    <row r="1358" ht="56.25" customHeight="1">
      <c r="A1358" s="5" t="s">
        <v>6258</v>
      </c>
      <c r="B1358" s="6" t="str">
        <f>IMAGE("https://storage.googleapis.com/acdb/housewares/FtrIronwoodServingcart_Remake_0_0.png")</f>
        <v/>
      </c>
      <c r="C1358" s="5" t="s">
        <v>1509</v>
      </c>
      <c r="D1358" s="5" t="s">
        <v>1455</v>
      </c>
      <c r="E1358" s="5" t="s">
        <v>34</v>
      </c>
      <c r="F1358" s="5" t="s">
        <v>34</v>
      </c>
      <c r="G1358" s="5" t="s">
        <v>35</v>
      </c>
      <c r="H1358" s="5" t="s">
        <v>35</v>
      </c>
      <c r="I1358" s="5" t="s">
        <v>36</v>
      </c>
      <c r="J1358" s="6">
        <v>5.0</v>
      </c>
      <c r="K1358" s="6" t="s">
        <v>37</v>
      </c>
      <c r="L1358" s="6">
        <v>3720.0</v>
      </c>
      <c r="M1358" s="8" t="s">
        <v>38</v>
      </c>
      <c r="N1358" s="8" t="s">
        <v>54</v>
      </c>
      <c r="O1358" s="6" t="s">
        <v>40</v>
      </c>
      <c r="P1358" s="5" t="s">
        <v>41</v>
      </c>
      <c r="Q1358" s="5"/>
      <c r="R1358" s="6" t="s">
        <v>42</v>
      </c>
      <c r="S1358" s="5" t="s">
        <v>90</v>
      </c>
      <c r="T1358" s="5" t="s">
        <v>44</v>
      </c>
      <c r="U1358" s="5" t="s">
        <v>1512</v>
      </c>
      <c r="V1358" s="5" t="s">
        <v>44</v>
      </c>
      <c r="W1358" s="5" t="s">
        <v>36</v>
      </c>
      <c r="X1358" s="8" t="s">
        <v>230</v>
      </c>
      <c r="Y1358" s="5" t="s">
        <v>46</v>
      </c>
      <c r="Z1358" s="5" t="s">
        <v>47</v>
      </c>
      <c r="AA1358" s="5" t="s">
        <v>48</v>
      </c>
      <c r="AB1358" s="5" t="s">
        <v>6261</v>
      </c>
      <c r="AC1358" s="6" t="s">
        <v>50</v>
      </c>
      <c r="AD1358" s="6">
        <v>3195.0</v>
      </c>
    </row>
    <row r="1359" ht="56.25" customHeight="1">
      <c r="A1359" s="5" t="s">
        <v>6258</v>
      </c>
      <c r="B1359" s="6" t="str">
        <f>IMAGE("https://storage.googleapis.com/acdb/housewares/FtrIronwoodServingcart_Remake_1_0.png")</f>
        <v/>
      </c>
      <c r="C1359" s="5" t="s">
        <v>1518</v>
      </c>
      <c r="D1359" s="5" t="s">
        <v>1455</v>
      </c>
      <c r="E1359" s="5" t="s">
        <v>34</v>
      </c>
      <c r="F1359" s="5" t="s">
        <v>34</v>
      </c>
      <c r="G1359" s="5" t="s">
        <v>35</v>
      </c>
      <c r="H1359" s="5" t="s">
        <v>35</v>
      </c>
      <c r="I1359" s="5" t="s">
        <v>36</v>
      </c>
      <c r="J1359" s="6">
        <v>5.0</v>
      </c>
      <c r="K1359" s="6" t="s">
        <v>37</v>
      </c>
      <c r="L1359" s="6">
        <v>3720.0</v>
      </c>
      <c r="M1359" s="8" t="s">
        <v>142</v>
      </c>
      <c r="N1359" s="8" t="s">
        <v>54</v>
      </c>
      <c r="O1359" s="6" t="s">
        <v>40</v>
      </c>
      <c r="P1359" s="5" t="s">
        <v>41</v>
      </c>
      <c r="Q1359" s="5"/>
      <c r="R1359" s="6" t="s">
        <v>42</v>
      </c>
      <c r="S1359" s="5" t="s">
        <v>90</v>
      </c>
      <c r="T1359" s="5" t="s">
        <v>44</v>
      </c>
      <c r="U1359" s="5" t="s">
        <v>1512</v>
      </c>
      <c r="V1359" s="5" t="s">
        <v>44</v>
      </c>
      <c r="W1359" s="5" t="s">
        <v>36</v>
      </c>
      <c r="X1359" s="8" t="s">
        <v>230</v>
      </c>
      <c r="Y1359" s="5" t="s">
        <v>46</v>
      </c>
      <c r="Z1359" s="5" t="s">
        <v>47</v>
      </c>
      <c r="AA1359" s="5" t="s">
        <v>48</v>
      </c>
      <c r="AB1359" s="5" t="s">
        <v>6265</v>
      </c>
      <c r="AC1359" s="6" t="s">
        <v>56</v>
      </c>
      <c r="AD1359" s="6">
        <v>3195.0</v>
      </c>
    </row>
    <row r="1360" ht="56.25" customHeight="1">
      <c r="A1360" s="5" t="s">
        <v>6258</v>
      </c>
      <c r="B1360" s="6" t="str">
        <f>IMAGE("https://storage.googleapis.com/acdb/housewares/FtrIronwoodServingcart_Remake_2_0.png")</f>
        <v/>
      </c>
      <c r="C1360" s="5" t="s">
        <v>1524</v>
      </c>
      <c r="D1360" s="5" t="s">
        <v>1455</v>
      </c>
      <c r="E1360" s="5" t="s">
        <v>34</v>
      </c>
      <c r="F1360" s="5" t="s">
        <v>34</v>
      </c>
      <c r="G1360" s="5" t="s">
        <v>35</v>
      </c>
      <c r="H1360" s="5" t="s">
        <v>35</v>
      </c>
      <c r="I1360" s="5" t="s">
        <v>36</v>
      </c>
      <c r="J1360" s="6">
        <v>5.0</v>
      </c>
      <c r="K1360" s="6" t="s">
        <v>37</v>
      </c>
      <c r="L1360" s="6">
        <v>3720.0</v>
      </c>
      <c r="M1360" s="8" t="s">
        <v>39</v>
      </c>
      <c r="N1360" s="8" t="s">
        <v>54</v>
      </c>
      <c r="O1360" s="6" t="s">
        <v>40</v>
      </c>
      <c r="P1360" s="5" t="s">
        <v>41</v>
      </c>
      <c r="Q1360" s="5"/>
      <c r="R1360" s="6" t="s">
        <v>42</v>
      </c>
      <c r="S1360" s="5" t="s">
        <v>90</v>
      </c>
      <c r="T1360" s="5" t="s">
        <v>44</v>
      </c>
      <c r="U1360" s="5" t="s">
        <v>1512</v>
      </c>
      <c r="V1360" s="5" t="s">
        <v>44</v>
      </c>
      <c r="W1360" s="5" t="s">
        <v>36</v>
      </c>
      <c r="X1360" s="8" t="s">
        <v>230</v>
      </c>
      <c r="Y1360" s="5" t="s">
        <v>46</v>
      </c>
      <c r="Z1360" s="5" t="s">
        <v>47</v>
      </c>
      <c r="AA1360" s="5" t="s">
        <v>48</v>
      </c>
      <c r="AB1360" s="5" t="s">
        <v>6267</v>
      </c>
      <c r="AC1360" s="6" t="s">
        <v>67</v>
      </c>
      <c r="AD1360" s="6">
        <v>3195.0</v>
      </c>
    </row>
    <row r="1361" ht="56.25" customHeight="1">
      <c r="A1361" s="5" t="s">
        <v>6258</v>
      </c>
      <c r="B1361" s="6" t="str">
        <f>IMAGE("https://storage.googleapis.com/acdb/housewares/FtrIronwoodServingcart_Remake_3_0.png")</f>
        <v/>
      </c>
      <c r="C1361" s="5" t="s">
        <v>1531</v>
      </c>
      <c r="D1361" s="5" t="s">
        <v>1455</v>
      </c>
      <c r="E1361" s="5" t="s">
        <v>34</v>
      </c>
      <c r="F1361" s="5" t="s">
        <v>34</v>
      </c>
      <c r="G1361" s="5" t="s">
        <v>35</v>
      </c>
      <c r="H1361" s="5" t="s">
        <v>35</v>
      </c>
      <c r="I1361" s="5" t="s">
        <v>36</v>
      </c>
      <c r="J1361" s="6">
        <v>5.0</v>
      </c>
      <c r="K1361" s="6" t="s">
        <v>37</v>
      </c>
      <c r="L1361" s="6">
        <v>3720.0</v>
      </c>
      <c r="M1361" s="8" t="s">
        <v>39</v>
      </c>
      <c r="N1361" s="8" t="s">
        <v>54</v>
      </c>
      <c r="O1361" s="6" t="s">
        <v>40</v>
      </c>
      <c r="P1361" s="5" t="s">
        <v>41</v>
      </c>
      <c r="Q1361" s="5"/>
      <c r="R1361" s="6" t="s">
        <v>42</v>
      </c>
      <c r="S1361" s="5" t="s">
        <v>90</v>
      </c>
      <c r="T1361" s="5" t="s">
        <v>44</v>
      </c>
      <c r="U1361" s="5" t="s">
        <v>1512</v>
      </c>
      <c r="V1361" s="5" t="s">
        <v>44</v>
      </c>
      <c r="W1361" s="5" t="s">
        <v>36</v>
      </c>
      <c r="X1361" s="8" t="s">
        <v>230</v>
      </c>
      <c r="Y1361" s="5" t="s">
        <v>46</v>
      </c>
      <c r="Z1361" s="5" t="s">
        <v>47</v>
      </c>
      <c r="AA1361" s="5" t="s">
        <v>48</v>
      </c>
      <c r="AB1361" s="5" t="s">
        <v>6270</v>
      </c>
      <c r="AC1361" s="6" t="s">
        <v>71</v>
      </c>
      <c r="AD1361" s="6">
        <v>3195.0</v>
      </c>
    </row>
    <row r="1362" ht="56.25" customHeight="1">
      <c r="A1362" s="5" t="s">
        <v>6258</v>
      </c>
      <c r="B1362" s="6" t="str">
        <f>IMAGE("https://storage.googleapis.com/acdb/housewares/FtrIronwoodServingcart_Remake_4_0.png")</f>
        <v/>
      </c>
      <c r="C1362" s="5" t="s">
        <v>1536</v>
      </c>
      <c r="D1362" s="5" t="s">
        <v>1455</v>
      </c>
      <c r="E1362" s="5" t="s">
        <v>34</v>
      </c>
      <c r="F1362" s="5" t="s">
        <v>34</v>
      </c>
      <c r="G1362" s="5" t="s">
        <v>35</v>
      </c>
      <c r="H1362" s="5" t="s">
        <v>35</v>
      </c>
      <c r="I1362" s="5" t="s">
        <v>36</v>
      </c>
      <c r="J1362" s="6">
        <v>5.0</v>
      </c>
      <c r="K1362" s="6" t="s">
        <v>37</v>
      </c>
      <c r="L1362" s="6">
        <v>3720.0</v>
      </c>
      <c r="M1362" s="8" t="s">
        <v>142</v>
      </c>
      <c r="N1362" s="8" t="s">
        <v>57</v>
      </c>
      <c r="O1362" s="6" t="s">
        <v>40</v>
      </c>
      <c r="P1362" s="5" t="s">
        <v>41</v>
      </c>
      <c r="Q1362" s="5"/>
      <c r="R1362" s="6" t="s">
        <v>42</v>
      </c>
      <c r="S1362" s="5" t="s">
        <v>90</v>
      </c>
      <c r="T1362" s="5" t="s">
        <v>44</v>
      </c>
      <c r="U1362" s="5" t="s">
        <v>1512</v>
      </c>
      <c r="V1362" s="5" t="s">
        <v>44</v>
      </c>
      <c r="W1362" s="5" t="s">
        <v>36</v>
      </c>
      <c r="X1362" s="8" t="s">
        <v>230</v>
      </c>
      <c r="Y1362" s="5" t="s">
        <v>46</v>
      </c>
      <c r="Z1362" s="5" t="s">
        <v>47</v>
      </c>
      <c r="AA1362" s="5" t="s">
        <v>48</v>
      </c>
      <c r="AB1362" s="5" t="s">
        <v>6273</v>
      </c>
      <c r="AC1362" s="6" t="s">
        <v>75</v>
      </c>
      <c r="AD1362" s="6">
        <v>3195.0</v>
      </c>
    </row>
    <row r="1363" ht="56.25" customHeight="1">
      <c r="A1363" s="5" t="s">
        <v>6274</v>
      </c>
      <c r="B1363" s="6" t="str">
        <f>IMAGE("https://storage.googleapis.com/acdb/housewares/FtrIronwoodChairS_Remake_0_0.png")</f>
        <v/>
      </c>
      <c r="C1363" s="5" t="s">
        <v>1509</v>
      </c>
      <c r="D1363" s="5" t="s">
        <v>1455</v>
      </c>
      <c r="E1363" s="5" t="s">
        <v>34</v>
      </c>
      <c r="F1363" s="5" t="s">
        <v>34</v>
      </c>
      <c r="G1363" s="5" t="s">
        <v>35</v>
      </c>
      <c r="H1363" s="5" t="s">
        <v>35</v>
      </c>
      <c r="I1363" s="5" t="s">
        <v>36</v>
      </c>
      <c r="J1363" s="6">
        <v>3.0</v>
      </c>
      <c r="K1363" s="6" t="s">
        <v>37</v>
      </c>
      <c r="L1363" s="6">
        <v>1860.0</v>
      </c>
      <c r="M1363" s="8" t="s">
        <v>38</v>
      </c>
      <c r="N1363" s="8" t="s">
        <v>54</v>
      </c>
      <c r="O1363" s="6" t="s">
        <v>40</v>
      </c>
      <c r="P1363" s="5" t="s">
        <v>41</v>
      </c>
      <c r="Q1363" s="5"/>
      <c r="R1363" s="6" t="s">
        <v>42</v>
      </c>
      <c r="S1363" s="5" t="s">
        <v>90</v>
      </c>
      <c r="T1363" s="5" t="s">
        <v>44</v>
      </c>
      <c r="U1363" s="5" t="s">
        <v>1512</v>
      </c>
      <c r="V1363" s="5" t="s">
        <v>44</v>
      </c>
      <c r="W1363" s="5" t="s">
        <v>35</v>
      </c>
      <c r="X1363" s="8" t="s">
        <v>248</v>
      </c>
      <c r="Y1363" s="5" t="s">
        <v>46</v>
      </c>
      <c r="Z1363" s="5" t="s">
        <v>47</v>
      </c>
      <c r="AA1363" s="5" t="s">
        <v>48</v>
      </c>
      <c r="AB1363" s="5" t="s">
        <v>6277</v>
      </c>
      <c r="AC1363" s="6" t="s">
        <v>50</v>
      </c>
      <c r="AD1363" s="6">
        <v>3193.0</v>
      </c>
    </row>
    <row r="1364" ht="56.25" customHeight="1">
      <c r="A1364" s="5" t="s">
        <v>6274</v>
      </c>
      <c r="B1364" s="6" t="str">
        <f>IMAGE("https://storage.googleapis.com/acdb/housewares/FtrIronwoodChairS_Remake_1_0.png")</f>
        <v/>
      </c>
      <c r="C1364" s="5" t="s">
        <v>1518</v>
      </c>
      <c r="D1364" s="5" t="s">
        <v>1455</v>
      </c>
      <c r="E1364" s="5" t="s">
        <v>34</v>
      </c>
      <c r="F1364" s="5" t="s">
        <v>34</v>
      </c>
      <c r="G1364" s="5" t="s">
        <v>35</v>
      </c>
      <c r="H1364" s="5" t="s">
        <v>35</v>
      </c>
      <c r="I1364" s="5" t="s">
        <v>36</v>
      </c>
      <c r="J1364" s="6">
        <v>3.0</v>
      </c>
      <c r="K1364" s="6" t="s">
        <v>37</v>
      </c>
      <c r="L1364" s="6">
        <v>1860.0</v>
      </c>
      <c r="M1364" s="8" t="s">
        <v>142</v>
      </c>
      <c r="N1364" s="8" t="s">
        <v>54</v>
      </c>
      <c r="O1364" s="6" t="s">
        <v>40</v>
      </c>
      <c r="P1364" s="5" t="s">
        <v>41</v>
      </c>
      <c r="Q1364" s="5"/>
      <c r="R1364" s="6" t="s">
        <v>42</v>
      </c>
      <c r="S1364" s="5" t="s">
        <v>90</v>
      </c>
      <c r="T1364" s="5" t="s">
        <v>44</v>
      </c>
      <c r="U1364" s="5" t="s">
        <v>1512</v>
      </c>
      <c r="V1364" s="5" t="s">
        <v>44</v>
      </c>
      <c r="W1364" s="5" t="s">
        <v>35</v>
      </c>
      <c r="X1364" s="8" t="s">
        <v>248</v>
      </c>
      <c r="Y1364" s="5" t="s">
        <v>46</v>
      </c>
      <c r="Z1364" s="5" t="s">
        <v>47</v>
      </c>
      <c r="AA1364" s="5" t="s">
        <v>48</v>
      </c>
      <c r="AB1364" s="5" t="s">
        <v>6281</v>
      </c>
      <c r="AC1364" s="6" t="s">
        <v>56</v>
      </c>
      <c r="AD1364" s="6">
        <v>3193.0</v>
      </c>
    </row>
    <row r="1365" ht="56.25" customHeight="1">
      <c r="A1365" s="5" t="s">
        <v>6274</v>
      </c>
      <c r="B1365" s="6" t="str">
        <f>IMAGE("https://storage.googleapis.com/acdb/housewares/FtrIronwoodChairS_Remake_2_0.png")</f>
        <v/>
      </c>
      <c r="C1365" s="5" t="s">
        <v>1524</v>
      </c>
      <c r="D1365" s="5" t="s">
        <v>1455</v>
      </c>
      <c r="E1365" s="5" t="s">
        <v>34</v>
      </c>
      <c r="F1365" s="5" t="s">
        <v>34</v>
      </c>
      <c r="G1365" s="5" t="s">
        <v>35</v>
      </c>
      <c r="H1365" s="5" t="s">
        <v>35</v>
      </c>
      <c r="I1365" s="5" t="s">
        <v>36</v>
      </c>
      <c r="J1365" s="6">
        <v>3.0</v>
      </c>
      <c r="K1365" s="6" t="s">
        <v>37</v>
      </c>
      <c r="L1365" s="6">
        <v>1860.0</v>
      </c>
      <c r="M1365" s="8" t="s">
        <v>39</v>
      </c>
      <c r="N1365" s="8" t="s">
        <v>54</v>
      </c>
      <c r="O1365" s="6" t="s">
        <v>40</v>
      </c>
      <c r="P1365" s="5" t="s">
        <v>41</v>
      </c>
      <c r="Q1365" s="5"/>
      <c r="R1365" s="6" t="s">
        <v>42</v>
      </c>
      <c r="S1365" s="5" t="s">
        <v>90</v>
      </c>
      <c r="T1365" s="5" t="s">
        <v>44</v>
      </c>
      <c r="U1365" s="5" t="s">
        <v>1512</v>
      </c>
      <c r="V1365" s="5" t="s">
        <v>44</v>
      </c>
      <c r="W1365" s="5" t="s">
        <v>35</v>
      </c>
      <c r="X1365" s="8" t="s">
        <v>248</v>
      </c>
      <c r="Y1365" s="5" t="s">
        <v>46</v>
      </c>
      <c r="Z1365" s="5" t="s">
        <v>47</v>
      </c>
      <c r="AA1365" s="5" t="s">
        <v>48</v>
      </c>
      <c r="AB1365" s="5" t="s">
        <v>6289</v>
      </c>
      <c r="AC1365" s="6" t="s">
        <v>67</v>
      </c>
      <c r="AD1365" s="6">
        <v>3193.0</v>
      </c>
    </row>
    <row r="1366" ht="56.25" customHeight="1">
      <c r="A1366" s="5" t="s">
        <v>6274</v>
      </c>
      <c r="B1366" s="6" t="str">
        <f>IMAGE("https://storage.googleapis.com/acdb/housewares/FtrIronwoodChairS_Remake_3_0.png")</f>
        <v/>
      </c>
      <c r="C1366" s="5" t="s">
        <v>1531</v>
      </c>
      <c r="D1366" s="5" t="s">
        <v>1455</v>
      </c>
      <c r="E1366" s="5" t="s">
        <v>34</v>
      </c>
      <c r="F1366" s="5" t="s">
        <v>34</v>
      </c>
      <c r="G1366" s="5" t="s">
        <v>35</v>
      </c>
      <c r="H1366" s="5" t="s">
        <v>35</v>
      </c>
      <c r="I1366" s="5" t="s">
        <v>36</v>
      </c>
      <c r="J1366" s="6">
        <v>3.0</v>
      </c>
      <c r="K1366" s="6" t="s">
        <v>37</v>
      </c>
      <c r="L1366" s="6">
        <v>1860.0</v>
      </c>
      <c r="M1366" s="8" t="s">
        <v>39</v>
      </c>
      <c r="N1366" s="8" t="s">
        <v>54</v>
      </c>
      <c r="O1366" s="6" t="s">
        <v>40</v>
      </c>
      <c r="P1366" s="5" t="s">
        <v>41</v>
      </c>
      <c r="Q1366" s="5"/>
      <c r="R1366" s="6" t="s">
        <v>42</v>
      </c>
      <c r="S1366" s="5" t="s">
        <v>90</v>
      </c>
      <c r="T1366" s="5" t="s">
        <v>44</v>
      </c>
      <c r="U1366" s="5" t="s">
        <v>1512</v>
      </c>
      <c r="V1366" s="5" t="s">
        <v>44</v>
      </c>
      <c r="W1366" s="5" t="s">
        <v>35</v>
      </c>
      <c r="X1366" s="8" t="s">
        <v>248</v>
      </c>
      <c r="Y1366" s="5" t="s">
        <v>46</v>
      </c>
      <c r="Z1366" s="5" t="s">
        <v>47</v>
      </c>
      <c r="AA1366" s="5" t="s">
        <v>48</v>
      </c>
      <c r="AB1366" s="5" t="s">
        <v>6297</v>
      </c>
      <c r="AC1366" s="6" t="s">
        <v>71</v>
      </c>
      <c r="AD1366" s="6">
        <v>3193.0</v>
      </c>
    </row>
    <row r="1367" ht="56.25" customHeight="1">
      <c r="A1367" s="5" t="s">
        <v>6274</v>
      </c>
      <c r="B1367" s="6" t="str">
        <f>IMAGE("https://storage.googleapis.com/acdb/housewares/FtrIronwoodChairS_Remake_4_0.png")</f>
        <v/>
      </c>
      <c r="C1367" s="5" t="s">
        <v>1536</v>
      </c>
      <c r="D1367" s="5" t="s">
        <v>1455</v>
      </c>
      <c r="E1367" s="5" t="s">
        <v>34</v>
      </c>
      <c r="F1367" s="5" t="s">
        <v>34</v>
      </c>
      <c r="G1367" s="5" t="s">
        <v>35</v>
      </c>
      <c r="H1367" s="5" t="s">
        <v>35</v>
      </c>
      <c r="I1367" s="5" t="s">
        <v>36</v>
      </c>
      <c r="J1367" s="6">
        <v>3.0</v>
      </c>
      <c r="K1367" s="6" t="s">
        <v>37</v>
      </c>
      <c r="L1367" s="6">
        <v>1860.0</v>
      </c>
      <c r="M1367" s="8" t="s">
        <v>142</v>
      </c>
      <c r="N1367" s="8" t="s">
        <v>57</v>
      </c>
      <c r="O1367" s="6" t="s">
        <v>40</v>
      </c>
      <c r="P1367" s="5" t="s">
        <v>41</v>
      </c>
      <c r="Q1367" s="5"/>
      <c r="R1367" s="6" t="s">
        <v>42</v>
      </c>
      <c r="S1367" s="5" t="s">
        <v>90</v>
      </c>
      <c r="T1367" s="5" t="s">
        <v>44</v>
      </c>
      <c r="U1367" s="5" t="s">
        <v>1512</v>
      </c>
      <c r="V1367" s="5" t="s">
        <v>44</v>
      </c>
      <c r="W1367" s="5" t="s">
        <v>35</v>
      </c>
      <c r="X1367" s="8" t="s">
        <v>248</v>
      </c>
      <c r="Y1367" s="5" t="s">
        <v>46</v>
      </c>
      <c r="Z1367" s="5" t="s">
        <v>47</v>
      </c>
      <c r="AA1367" s="5" t="s">
        <v>48</v>
      </c>
      <c r="AB1367" s="5" t="s">
        <v>6303</v>
      </c>
      <c r="AC1367" s="6" t="s">
        <v>75</v>
      </c>
      <c r="AD1367" s="6">
        <v>3193.0</v>
      </c>
    </row>
    <row r="1368" ht="56.25" customHeight="1">
      <c r="A1368" s="5" t="s">
        <v>6304</v>
      </c>
      <c r="B1368" s="6" t="str">
        <f>IMAGE("https://storage.googleapis.com/acdb/housewares/FtrIronwoodCupboard_Remake_0_0.png")</f>
        <v/>
      </c>
      <c r="C1368" s="5" t="s">
        <v>1509</v>
      </c>
      <c r="D1368" s="5" t="s">
        <v>1455</v>
      </c>
      <c r="E1368" s="5" t="s">
        <v>34</v>
      </c>
      <c r="F1368" s="5" t="s">
        <v>34</v>
      </c>
      <c r="G1368" s="5" t="s">
        <v>35</v>
      </c>
      <c r="H1368" s="5" t="s">
        <v>35</v>
      </c>
      <c r="I1368" s="5" t="s">
        <v>36</v>
      </c>
      <c r="J1368" s="6">
        <v>7.0</v>
      </c>
      <c r="K1368" s="6" t="s">
        <v>37</v>
      </c>
      <c r="L1368" s="6">
        <v>9780.0</v>
      </c>
      <c r="M1368" s="8" t="s">
        <v>38</v>
      </c>
      <c r="N1368" s="8" t="s">
        <v>54</v>
      </c>
      <c r="O1368" s="6" t="s">
        <v>276</v>
      </c>
      <c r="P1368" s="5" t="s">
        <v>41</v>
      </c>
      <c r="Q1368" s="5"/>
      <c r="R1368" s="6" t="s">
        <v>42</v>
      </c>
      <c r="S1368" s="5" t="s">
        <v>159</v>
      </c>
      <c r="T1368" s="5" t="s">
        <v>44</v>
      </c>
      <c r="U1368" s="5" t="s">
        <v>1512</v>
      </c>
      <c r="V1368" s="5" t="s">
        <v>44</v>
      </c>
      <c r="W1368" s="5" t="s">
        <v>36</v>
      </c>
      <c r="X1368" s="8" t="s">
        <v>730</v>
      </c>
      <c r="Y1368" s="5" t="s">
        <v>46</v>
      </c>
      <c r="Z1368" s="5" t="s">
        <v>47</v>
      </c>
      <c r="AA1368" s="5" t="s">
        <v>48</v>
      </c>
      <c r="AB1368" s="5" t="s">
        <v>6311</v>
      </c>
      <c r="AC1368" s="6" t="s">
        <v>50</v>
      </c>
      <c r="AD1368" s="6">
        <v>3271.0</v>
      </c>
    </row>
    <row r="1369" ht="56.25" customHeight="1">
      <c r="A1369" s="5" t="s">
        <v>6304</v>
      </c>
      <c r="B1369" s="6" t="str">
        <f>IMAGE("https://storage.googleapis.com/acdb/housewares/FtrIronwoodCupboard_Remake_1_0.png")</f>
        <v/>
      </c>
      <c r="C1369" s="5" t="s">
        <v>1518</v>
      </c>
      <c r="D1369" s="5" t="s">
        <v>1455</v>
      </c>
      <c r="E1369" s="5" t="s">
        <v>34</v>
      </c>
      <c r="F1369" s="5" t="s">
        <v>34</v>
      </c>
      <c r="G1369" s="5" t="s">
        <v>35</v>
      </c>
      <c r="H1369" s="5" t="s">
        <v>35</v>
      </c>
      <c r="I1369" s="5" t="s">
        <v>36</v>
      </c>
      <c r="J1369" s="6">
        <v>7.0</v>
      </c>
      <c r="K1369" s="6" t="s">
        <v>37</v>
      </c>
      <c r="L1369" s="6">
        <v>9780.0</v>
      </c>
      <c r="M1369" s="8" t="s">
        <v>142</v>
      </c>
      <c r="N1369" s="8" t="s">
        <v>54</v>
      </c>
      <c r="O1369" s="6" t="s">
        <v>276</v>
      </c>
      <c r="P1369" s="5" t="s">
        <v>41</v>
      </c>
      <c r="Q1369" s="5"/>
      <c r="R1369" s="6" t="s">
        <v>42</v>
      </c>
      <c r="S1369" s="5" t="s">
        <v>159</v>
      </c>
      <c r="T1369" s="5" t="s">
        <v>44</v>
      </c>
      <c r="U1369" s="5" t="s">
        <v>1512</v>
      </c>
      <c r="V1369" s="5" t="s">
        <v>44</v>
      </c>
      <c r="W1369" s="5" t="s">
        <v>36</v>
      </c>
      <c r="X1369" s="8" t="s">
        <v>730</v>
      </c>
      <c r="Y1369" s="5" t="s">
        <v>46</v>
      </c>
      <c r="Z1369" s="5" t="s">
        <v>47</v>
      </c>
      <c r="AA1369" s="5" t="s">
        <v>48</v>
      </c>
      <c r="AB1369" s="5" t="s">
        <v>6317</v>
      </c>
      <c r="AC1369" s="6" t="s">
        <v>56</v>
      </c>
      <c r="AD1369" s="6">
        <v>3271.0</v>
      </c>
    </row>
    <row r="1370" ht="56.25" customHeight="1">
      <c r="A1370" s="5" t="s">
        <v>6304</v>
      </c>
      <c r="B1370" s="6" t="str">
        <f>IMAGE("https://storage.googleapis.com/acdb/housewares/FtrIronwoodCupboard_Remake_2_0.png")</f>
        <v/>
      </c>
      <c r="C1370" s="5" t="s">
        <v>1524</v>
      </c>
      <c r="D1370" s="5" t="s">
        <v>1455</v>
      </c>
      <c r="E1370" s="5" t="s">
        <v>34</v>
      </c>
      <c r="F1370" s="5" t="s">
        <v>34</v>
      </c>
      <c r="G1370" s="5" t="s">
        <v>35</v>
      </c>
      <c r="H1370" s="5" t="s">
        <v>35</v>
      </c>
      <c r="I1370" s="5" t="s">
        <v>36</v>
      </c>
      <c r="J1370" s="6">
        <v>7.0</v>
      </c>
      <c r="K1370" s="6" t="s">
        <v>37</v>
      </c>
      <c r="L1370" s="6">
        <v>9780.0</v>
      </c>
      <c r="M1370" s="8" t="s">
        <v>39</v>
      </c>
      <c r="N1370" s="8" t="s">
        <v>54</v>
      </c>
      <c r="O1370" s="6" t="s">
        <v>276</v>
      </c>
      <c r="P1370" s="5" t="s">
        <v>41</v>
      </c>
      <c r="Q1370" s="5"/>
      <c r="R1370" s="6" t="s">
        <v>42</v>
      </c>
      <c r="S1370" s="5" t="s">
        <v>159</v>
      </c>
      <c r="T1370" s="5" t="s">
        <v>44</v>
      </c>
      <c r="U1370" s="5" t="s">
        <v>1512</v>
      </c>
      <c r="V1370" s="5" t="s">
        <v>44</v>
      </c>
      <c r="W1370" s="5" t="s">
        <v>36</v>
      </c>
      <c r="X1370" s="8" t="s">
        <v>730</v>
      </c>
      <c r="Y1370" s="5" t="s">
        <v>46</v>
      </c>
      <c r="Z1370" s="5" t="s">
        <v>47</v>
      </c>
      <c r="AA1370" s="5" t="s">
        <v>48</v>
      </c>
      <c r="AB1370" s="5" t="s">
        <v>6324</v>
      </c>
      <c r="AC1370" s="6" t="s">
        <v>67</v>
      </c>
      <c r="AD1370" s="6">
        <v>3271.0</v>
      </c>
    </row>
    <row r="1371" ht="56.25" customHeight="1">
      <c r="A1371" s="5" t="s">
        <v>6304</v>
      </c>
      <c r="B1371" s="6" t="str">
        <f>IMAGE("https://storage.googleapis.com/acdb/housewares/FtrIronwoodCupboard_Remake_3_0.png")</f>
        <v/>
      </c>
      <c r="C1371" s="5" t="s">
        <v>1531</v>
      </c>
      <c r="D1371" s="5" t="s">
        <v>1455</v>
      </c>
      <c r="E1371" s="5" t="s">
        <v>34</v>
      </c>
      <c r="F1371" s="5" t="s">
        <v>34</v>
      </c>
      <c r="G1371" s="5" t="s">
        <v>35</v>
      </c>
      <c r="H1371" s="5" t="s">
        <v>35</v>
      </c>
      <c r="I1371" s="5" t="s">
        <v>36</v>
      </c>
      <c r="J1371" s="6">
        <v>7.0</v>
      </c>
      <c r="K1371" s="6" t="s">
        <v>37</v>
      </c>
      <c r="L1371" s="6">
        <v>9780.0</v>
      </c>
      <c r="M1371" s="8" t="s">
        <v>39</v>
      </c>
      <c r="N1371" s="8" t="s">
        <v>54</v>
      </c>
      <c r="O1371" s="6" t="s">
        <v>276</v>
      </c>
      <c r="P1371" s="5" t="s">
        <v>41</v>
      </c>
      <c r="Q1371" s="5"/>
      <c r="R1371" s="6" t="s">
        <v>42</v>
      </c>
      <c r="S1371" s="5" t="s">
        <v>159</v>
      </c>
      <c r="T1371" s="5" t="s">
        <v>44</v>
      </c>
      <c r="U1371" s="5" t="s">
        <v>1512</v>
      </c>
      <c r="V1371" s="5" t="s">
        <v>44</v>
      </c>
      <c r="W1371" s="5" t="s">
        <v>36</v>
      </c>
      <c r="X1371" s="8" t="s">
        <v>730</v>
      </c>
      <c r="Y1371" s="5" t="s">
        <v>46</v>
      </c>
      <c r="Z1371" s="5" t="s">
        <v>47</v>
      </c>
      <c r="AA1371" s="5" t="s">
        <v>48</v>
      </c>
      <c r="AB1371" s="5" t="s">
        <v>6332</v>
      </c>
      <c r="AC1371" s="6" t="s">
        <v>71</v>
      </c>
      <c r="AD1371" s="6">
        <v>3271.0</v>
      </c>
    </row>
    <row r="1372" ht="56.25" customHeight="1">
      <c r="A1372" s="5" t="s">
        <v>6304</v>
      </c>
      <c r="B1372" s="6" t="str">
        <f>IMAGE("https://storage.googleapis.com/acdb/housewares/FtrIronwoodCupboard_Remake_4_0.png")</f>
        <v/>
      </c>
      <c r="C1372" s="5" t="s">
        <v>1536</v>
      </c>
      <c r="D1372" s="5" t="s">
        <v>1455</v>
      </c>
      <c r="E1372" s="5" t="s">
        <v>34</v>
      </c>
      <c r="F1372" s="5" t="s">
        <v>34</v>
      </c>
      <c r="G1372" s="5" t="s">
        <v>35</v>
      </c>
      <c r="H1372" s="5" t="s">
        <v>35</v>
      </c>
      <c r="I1372" s="5" t="s">
        <v>36</v>
      </c>
      <c r="J1372" s="6">
        <v>7.0</v>
      </c>
      <c r="K1372" s="6" t="s">
        <v>37</v>
      </c>
      <c r="L1372" s="6">
        <v>9780.0</v>
      </c>
      <c r="M1372" s="8" t="s">
        <v>142</v>
      </c>
      <c r="N1372" s="8" t="s">
        <v>57</v>
      </c>
      <c r="O1372" s="6" t="s">
        <v>276</v>
      </c>
      <c r="P1372" s="5" t="s">
        <v>41</v>
      </c>
      <c r="Q1372" s="5"/>
      <c r="R1372" s="6" t="s">
        <v>42</v>
      </c>
      <c r="S1372" s="5" t="s">
        <v>159</v>
      </c>
      <c r="T1372" s="5" t="s">
        <v>44</v>
      </c>
      <c r="U1372" s="5" t="s">
        <v>1512</v>
      </c>
      <c r="V1372" s="5" t="s">
        <v>44</v>
      </c>
      <c r="W1372" s="5" t="s">
        <v>36</v>
      </c>
      <c r="X1372" s="8" t="s">
        <v>730</v>
      </c>
      <c r="Y1372" s="5" t="s">
        <v>46</v>
      </c>
      <c r="Z1372" s="5" t="s">
        <v>47</v>
      </c>
      <c r="AA1372" s="5" t="s">
        <v>48</v>
      </c>
      <c r="AB1372" s="5" t="s">
        <v>6339</v>
      </c>
      <c r="AC1372" s="6" t="s">
        <v>75</v>
      </c>
      <c r="AD1372" s="6">
        <v>3271.0</v>
      </c>
    </row>
    <row r="1373" ht="56.25" customHeight="1">
      <c r="A1373" s="5" t="s">
        <v>6340</v>
      </c>
      <c r="B1373" s="6" t="str">
        <f>IMAGE("https://storage.googleapis.com/acdb/housewares/FtrWorkbenchIronwood_Remake_0_0.png")</f>
        <v/>
      </c>
      <c r="C1373" s="5" t="s">
        <v>1509</v>
      </c>
      <c r="D1373" s="5" t="s">
        <v>1455</v>
      </c>
      <c r="E1373" s="5" t="s">
        <v>34</v>
      </c>
      <c r="F1373" s="5" t="s">
        <v>34</v>
      </c>
      <c r="G1373" s="5" t="s">
        <v>35</v>
      </c>
      <c r="H1373" s="5" t="s">
        <v>35</v>
      </c>
      <c r="I1373" s="5" t="s">
        <v>36</v>
      </c>
      <c r="J1373" s="6">
        <v>7.0</v>
      </c>
      <c r="K1373" s="6" t="s">
        <v>37</v>
      </c>
      <c r="L1373" s="6">
        <v>8520.0</v>
      </c>
      <c r="M1373" s="8" t="s">
        <v>38</v>
      </c>
      <c r="N1373" s="8" t="s">
        <v>54</v>
      </c>
      <c r="O1373" s="6" t="s">
        <v>276</v>
      </c>
      <c r="P1373" s="5" t="s">
        <v>41</v>
      </c>
      <c r="Q1373" s="5"/>
      <c r="R1373" s="6" t="s">
        <v>42</v>
      </c>
      <c r="S1373" s="5" t="s">
        <v>416</v>
      </c>
      <c r="T1373" s="5" t="s">
        <v>44</v>
      </c>
      <c r="U1373" s="5" t="s">
        <v>1512</v>
      </c>
      <c r="V1373" s="5" t="s">
        <v>44</v>
      </c>
      <c r="W1373" s="5" t="s">
        <v>35</v>
      </c>
      <c r="X1373" s="8" t="s">
        <v>2261</v>
      </c>
      <c r="Y1373" s="5" t="s">
        <v>46</v>
      </c>
      <c r="Z1373" s="5" t="s">
        <v>47</v>
      </c>
      <c r="AA1373" s="5" t="s">
        <v>48</v>
      </c>
      <c r="AB1373" s="5" t="s">
        <v>6344</v>
      </c>
      <c r="AC1373" s="6" t="s">
        <v>50</v>
      </c>
      <c r="AD1373" s="6">
        <v>3943.0</v>
      </c>
    </row>
    <row r="1374" ht="56.25" customHeight="1">
      <c r="A1374" s="5" t="s">
        <v>6340</v>
      </c>
      <c r="B1374" s="6" t="str">
        <f>IMAGE("https://storage.googleapis.com/acdb/housewares/FtrWorkbenchIronwood_Remake_1_0.png")</f>
        <v/>
      </c>
      <c r="C1374" s="5" t="s">
        <v>1518</v>
      </c>
      <c r="D1374" s="5" t="s">
        <v>1455</v>
      </c>
      <c r="E1374" s="5" t="s">
        <v>34</v>
      </c>
      <c r="F1374" s="5" t="s">
        <v>34</v>
      </c>
      <c r="G1374" s="5" t="s">
        <v>35</v>
      </c>
      <c r="H1374" s="5" t="s">
        <v>35</v>
      </c>
      <c r="I1374" s="5" t="s">
        <v>36</v>
      </c>
      <c r="J1374" s="6">
        <v>7.0</v>
      </c>
      <c r="K1374" s="6" t="s">
        <v>37</v>
      </c>
      <c r="L1374" s="6">
        <v>8520.0</v>
      </c>
      <c r="M1374" s="8" t="s">
        <v>142</v>
      </c>
      <c r="N1374" s="8" t="s">
        <v>54</v>
      </c>
      <c r="O1374" s="6" t="s">
        <v>276</v>
      </c>
      <c r="P1374" s="5" t="s">
        <v>41</v>
      </c>
      <c r="Q1374" s="5"/>
      <c r="R1374" s="6" t="s">
        <v>42</v>
      </c>
      <c r="S1374" s="5" t="s">
        <v>416</v>
      </c>
      <c r="T1374" s="5" t="s">
        <v>44</v>
      </c>
      <c r="U1374" s="5" t="s">
        <v>1512</v>
      </c>
      <c r="V1374" s="5" t="s">
        <v>44</v>
      </c>
      <c r="W1374" s="5" t="s">
        <v>35</v>
      </c>
      <c r="X1374" s="8" t="s">
        <v>2261</v>
      </c>
      <c r="Y1374" s="5" t="s">
        <v>46</v>
      </c>
      <c r="Z1374" s="5" t="s">
        <v>47</v>
      </c>
      <c r="AA1374" s="5" t="s">
        <v>48</v>
      </c>
      <c r="AB1374" s="5" t="s">
        <v>6351</v>
      </c>
      <c r="AC1374" s="6" t="s">
        <v>56</v>
      </c>
      <c r="AD1374" s="6">
        <v>3943.0</v>
      </c>
    </row>
    <row r="1375" ht="56.25" customHeight="1">
      <c r="A1375" s="5" t="s">
        <v>6340</v>
      </c>
      <c r="B1375" s="6" t="str">
        <f>IMAGE("https://storage.googleapis.com/acdb/housewares/FtrWorkbenchIronwood_Remake_2_0.png")</f>
        <v/>
      </c>
      <c r="C1375" s="5" t="s">
        <v>1524</v>
      </c>
      <c r="D1375" s="5" t="s">
        <v>1455</v>
      </c>
      <c r="E1375" s="5" t="s">
        <v>34</v>
      </c>
      <c r="F1375" s="5" t="s">
        <v>34</v>
      </c>
      <c r="G1375" s="5" t="s">
        <v>35</v>
      </c>
      <c r="H1375" s="5" t="s">
        <v>35</v>
      </c>
      <c r="I1375" s="5" t="s">
        <v>36</v>
      </c>
      <c r="J1375" s="6">
        <v>7.0</v>
      </c>
      <c r="K1375" s="6" t="s">
        <v>37</v>
      </c>
      <c r="L1375" s="6">
        <v>8520.0</v>
      </c>
      <c r="M1375" s="8" t="s">
        <v>39</v>
      </c>
      <c r="N1375" s="8" t="s">
        <v>54</v>
      </c>
      <c r="O1375" s="6" t="s">
        <v>276</v>
      </c>
      <c r="P1375" s="5" t="s">
        <v>41</v>
      </c>
      <c r="Q1375" s="5"/>
      <c r="R1375" s="6" t="s">
        <v>42</v>
      </c>
      <c r="S1375" s="5" t="s">
        <v>416</v>
      </c>
      <c r="T1375" s="5" t="s">
        <v>44</v>
      </c>
      <c r="U1375" s="5" t="s">
        <v>1512</v>
      </c>
      <c r="V1375" s="5" t="s">
        <v>44</v>
      </c>
      <c r="W1375" s="5" t="s">
        <v>35</v>
      </c>
      <c r="X1375" s="8" t="s">
        <v>2261</v>
      </c>
      <c r="Y1375" s="5" t="s">
        <v>46</v>
      </c>
      <c r="Z1375" s="5" t="s">
        <v>47</v>
      </c>
      <c r="AA1375" s="5" t="s">
        <v>48</v>
      </c>
      <c r="AB1375" s="5" t="s">
        <v>6357</v>
      </c>
      <c r="AC1375" s="6" t="s">
        <v>67</v>
      </c>
      <c r="AD1375" s="6">
        <v>3943.0</v>
      </c>
    </row>
    <row r="1376" ht="56.25" customHeight="1">
      <c r="A1376" s="5" t="s">
        <v>6340</v>
      </c>
      <c r="B1376" s="6" t="str">
        <f>IMAGE("https://storage.googleapis.com/acdb/housewares/FtrWorkbenchIronwood_Remake_3_0.png")</f>
        <v/>
      </c>
      <c r="C1376" s="5" t="s">
        <v>1531</v>
      </c>
      <c r="D1376" s="5" t="s">
        <v>1455</v>
      </c>
      <c r="E1376" s="5" t="s">
        <v>34</v>
      </c>
      <c r="F1376" s="5" t="s">
        <v>34</v>
      </c>
      <c r="G1376" s="5" t="s">
        <v>35</v>
      </c>
      <c r="H1376" s="5" t="s">
        <v>35</v>
      </c>
      <c r="I1376" s="5" t="s">
        <v>36</v>
      </c>
      <c r="J1376" s="6">
        <v>7.0</v>
      </c>
      <c r="K1376" s="6" t="s">
        <v>37</v>
      </c>
      <c r="L1376" s="6">
        <v>8520.0</v>
      </c>
      <c r="M1376" s="8" t="s">
        <v>39</v>
      </c>
      <c r="N1376" s="8" t="s">
        <v>54</v>
      </c>
      <c r="O1376" s="6" t="s">
        <v>276</v>
      </c>
      <c r="P1376" s="5" t="s">
        <v>41</v>
      </c>
      <c r="Q1376" s="5"/>
      <c r="R1376" s="6" t="s">
        <v>42</v>
      </c>
      <c r="S1376" s="5" t="s">
        <v>416</v>
      </c>
      <c r="T1376" s="5" t="s">
        <v>44</v>
      </c>
      <c r="U1376" s="5" t="s">
        <v>1512</v>
      </c>
      <c r="V1376" s="5" t="s">
        <v>44</v>
      </c>
      <c r="W1376" s="5" t="s">
        <v>35</v>
      </c>
      <c r="X1376" s="8" t="s">
        <v>2261</v>
      </c>
      <c r="Y1376" s="5" t="s">
        <v>46</v>
      </c>
      <c r="Z1376" s="5" t="s">
        <v>47</v>
      </c>
      <c r="AA1376" s="5" t="s">
        <v>48</v>
      </c>
      <c r="AB1376" s="5" t="s">
        <v>6362</v>
      </c>
      <c r="AC1376" s="6" t="s">
        <v>71</v>
      </c>
      <c r="AD1376" s="6">
        <v>3943.0</v>
      </c>
    </row>
    <row r="1377" ht="56.25" customHeight="1">
      <c r="A1377" s="5" t="s">
        <v>6340</v>
      </c>
      <c r="B1377" s="6" t="str">
        <f>IMAGE("https://storage.googleapis.com/acdb/housewares/FtrWorkbenchIronwood_Remake_4_0.png")</f>
        <v/>
      </c>
      <c r="C1377" s="5" t="s">
        <v>1536</v>
      </c>
      <c r="D1377" s="5" t="s">
        <v>1455</v>
      </c>
      <c r="E1377" s="5" t="s">
        <v>34</v>
      </c>
      <c r="F1377" s="5" t="s">
        <v>34</v>
      </c>
      <c r="G1377" s="5" t="s">
        <v>35</v>
      </c>
      <c r="H1377" s="5" t="s">
        <v>35</v>
      </c>
      <c r="I1377" s="5" t="s">
        <v>36</v>
      </c>
      <c r="J1377" s="6">
        <v>7.0</v>
      </c>
      <c r="K1377" s="6" t="s">
        <v>37</v>
      </c>
      <c r="L1377" s="6">
        <v>8520.0</v>
      </c>
      <c r="M1377" s="8" t="s">
        <v>142</v>
      </c>
      <c r="N1377" s="8" t="s">
        <v>57</v>
      </c>
      <c r="O1377" s="6" t="s">
        <v>276</v>
      </c>
      <c r="P1377" s="5" t="s">
        <v>41</v>
      </c>
      <c r="Q1377" s="5"/>
      <c r="R1377" s="6" t="s">
        <v>42</v>
      </c>
      <c r="S1377" s="5" t="s">
        <v>416</v>
      </c>
      <c r="T1377" s="5" t="s">
        <v>44</v>
      </c>
      <c r="U1377" s="5" t="s">
        <v>1512</v>
      </c>
      <c r="V1377" s="5" t="s">
        <v>44</v>
      </c>
      <c r="W1377" s="5" t="s">
        <v>35</v>
      </c>
      <c r="X1377" s="8" t="s">
        <v>2261</v>
      </c>
      <c r="Y1377" s="5" t="s">
        <v>46</v>
      </c>
      <c r="Z1377" s="5" t="s">
        <v>47</v>
      </c>
      <c r="AA1377" s="5" t="s">
        <v>48</v>
      </c>
      <c r="AB1377" s="5" t="s">
        <v>6368</v>
      </c>
      <c r="AC1377" s="6" t="s">
        <v>75</v>
      </c>
      <c r="AD1377" s="6">
        <v>3943.0</v>
      </c>
    </row>
    <row r="1378" ht="56.25" customHeight="1">
      <c r="A1378" s="5" t="s">
        <v>6369</v>
      </c>
      <c r="B1378" s="6" t="str">
        <f>IMAGE("https://storage.googleapis.com/acdb/housewares/FtrIronwoodChest_Remake_0_0.png")</f>
        <v/>
      </c>
      <c r="C1378" s="5" t="s">
        <v>1509</v>
      </c>
      <c r="D1378" s="5" t="s">
        <v>1455</v>
      </c>
      <c r="E1378" s="5" t="s">
        <v>34</v>
      </c>
      <c r="F1378" s="5" t="s">
        <v>34</v>
      </c>
      <c r="G1378" s="5" t="s">
        <v>35</v>
      </c>
      <c r="H1378" s="5" t="s">
        <v>35</v>
      </c>
      <c r="I1378" s="5" t="s">
        <v>36</v>
      </c>
      <c r="J1378" s="6">
        <v>6.0</v>
      </c>
      <c r="K1378" s="6" t="s">
        <v>37</v>
      </c>
      <c r="L1378" s="6">
        <v>3840.0</v>
      </c>
      <c r="M1378" s="8" t="s">
        <v>38</v>
      </c>
      <c r="N1378" s="8" t="s">
        <v>54</v>
      </c>
      <c r="O1378" s="6" t="s">
        <v>40</v>
      </c>
      <c r="P1378" s="5" t="s">
        <v>41</v>
      </c>
      <c r="Q1378" s="5"/>
      <c r="R1378" s="6" t="s">
        <v>42</v>
      </c>
      <c r="S1378" s="5" t="s">
        <v>90</v>
      </c>
      <c r="T1378" s="5" t="s">
        <v>44</v>
      </c>
      <c r="U1378" s="5" t="s">
        <v>1512</v>
      </c>
      <c r="V1378" s="5" t="s">
        <v>44</v>
      </c>
      <c r="W1378" s="5" t="s">
        <v>35</v>
      </c>
      <c r="X1378" s="8" t="s">
        <v>322</v>
      </c>
      <c r="Y1378" s="5" t="s">
        <v>46</v>
      </c>
      <c r="Z1378" s="5" t="s">
        <v>47</v>
      </c>
      <c r="AA1378" s="5" t="s">
        <v>48</v>
      </c>
      <c r="AB1378" s="5" t="s">
        <v>6378</v>
      </c>
      <c r="AC1378" s="6" t="s">
        <v>50</v>
      </c>
      <c r="AD1378" s="6">
        <v>3196.0</v>
      </c>
    </row>
    <row r="1379" ht="56.25" customHeight="1">
      <c r="A1379" s="5" t="s">
        <v>6369</v>
      </c>
      <c r="B1379" s="6" t="str">
        <f>IMAGE("https://storage.googleapis.com/acdb/housewares/FtrIronwoodChest_Remake_1_0.png")</f>
        <v/>
      </c>
      <c r="C1379" s="5" t="s">
        <v>1518</v>
      </c>
      <c r="D1379" s="5" t="s">
        <v>1455</v>
      </c>
      <c r="E1379" s="5" t="s">
        <v>34</v>
      </c>
      <c r="F1379" s="5" t="s">
        <v>34</v>
      </c>
      <c r="G1379" s="5" t="s">
        <v>35</v>
      </c>
      <c r="H1379" s="5" t="s">
        <v>35</v>
      </c>
      <c r="I1379" s="5" t="s">
        <v>36</v>
      </c>
      <c r="J1379" s="6">
        <v>6.0</v>
      </c>
      <c r="K1379" s="6" t="s">
        <v>37</v>
      </c>
      <c r="L1379" s="6">
        <v>3840.0</v>
      </c>
      <c r="M1379" s="8" t="s">
        <v>142</v>
      </c>
      <c r="N1379" s="8" t="s">
        <v>54</v>
      </c>
      <c r="O1379" s="6" t="s">
        <v>40</v>
      </c>
      <c r="P1379" s="5" t="s">
        <v>41</v>
      </c>
      <c r="Q1379" s="5"/>
      <c r="R1379" s="6" t="s">
        <v>42</v>
      </c>
      <c r="S1379" s="5" t="s">
        <v>90</v>
      </c>
      <c r="T1379" s="5" t="s">
        <v>44</v>
      </c>
      <c r="U1379" s="5" t="s">
        <v>1512</v>
      </c>
      <c r="V1379" s="5" t="s">
        <v>44</v>
      </c>
      <c r="W1379" s="5" t="s">
        <v>35</v>
      </c>
      <c r="X1379" s="8" t="s">
        <v>322</v>
      </c>
      <c r="Y1379" s="5" t="s">
        <v>46</v>
      </c>
      <c r="Z1379" s="5" t="s">
        <v>47</v>
      </c>
      <c r="AA1379" s="5" t="s">
        <v>48</v>
      </c>
      <c r="AB1379" s="5" t="s">
        <v>6384</v>
      </c>
      <c r="AC1379" s="6" t="s">
        <v>56</v>
      </c>
      <c r="AD1379" s="6">
        <v>3196.0</v>
      </c>
    </row>
    <row r="1380" ht="56.25" customHeight="1">
      <c r="A1380" s="5" t="s">
        <v>6369</v>
      </c>
      <c r="B1380" s="6" t="str">
        <f>IMAGE("https://storage.googleapis.com/acdb/housewares/FtrIronwoodChest_Remake_2_0.png")</f>
        <v/>
      </c>
      <c r="C1380" s="5" t="s">
        <v>1524</v>
      </c>
      <c r="D1380" s="5" t="s">
        <v>1455</v>
      </c>
      <c r="E1380" s="5" t="s">
        <v>34</v>
      </c>
      <c r="F1380" s="5" t="s">
        <v>34</v>
      </c>
      <c r="G1380" s="5" t="s">
        <v>35</v>
      </c>
      <c r="H1380" s="5" t="s">
        <v>35</v>
      </c>
      <c r="I1380" s="5" t="s">
        <v>36</v>
      </c>
      <c r="J1380" s="6">
        <v>6.0</v>
      </c>
      <c r="K1380" s="6" t="s">
        <v>37</v>
      </c>
      <c r="L1380" s="6">
        <v>3840.0</v>
      </c>
      <c r="M1380" s="8" t="s">
        <v>39</v>
      </c>
      <c r="N1380" s="8" t="s">
        <v>54</v>
      </c>
      <c r="O1380" s="6" t="s">
        <v>40</v>
      </c>
      <c r="P1380" s="5" t="s">
        <v>41</v>
      </c>
      <c r="Q1380" s="5"/>
      <c r="R1380" s="6" t="s">
        <v>42</v>
      </c>
      <c r="S1380" s="5" t="s">
        <v>90</v>
      </c>
      <c r="T1380" s="5" t="s">
        <v>44</v>
      </c>
      <c r="U1380" s="5" t="s">
        <v>1512</v>
      </c>
      <c r="V1380" s="5" t="s">
        <v>44</v>
      </c>
      <c r="W1380" s="5" t="s">
        <v>35</v>
      </c>
      <c r="X1380" s="8" t="s">
        <v>322</v>
      </c>
      <c r="Y1380" s="5" t="s">
        <v>46</v>
      </c>
      <c r="Z1380" s="5" t="s">
        <v>47</v>
      </c>
      <c r="AA1380" s="5" t="s">
        <v>48</v>
      </c>
      <c r="AB1380" s="5" t="s">
        <v>6389</v>
      </c>
      <c r="AC1380" s="6" t="s">
        <v>67</v>
      </c>
      <c r="AD1380" s="6">
        <v>3196.0</v>
      </c>
    </row>
    <row r="1381" ht="56.25" customHeight="1">
      <c r="A1381" s="5" t="s">
        <v>6369</v>
      </c>
      <c r="B1381" s="6" t="str">
        <f>IMAGE("https://storage.googleapis.com/acdb/housewares/FtrIronwoodChest_Remake_3_0.png")</f>
        <v/>
      </c>
      <c r="C1381" s="5" t="s">
        <v>1531</v>
      </c>
      <c r="D1381" s="5" t="s">
        <v>1455</v>
      </c>
      <c r="E1381" s="5" t="s">
        <v>34</v>
      </c>
      <c r="F1381" s="5" t="s">
        <v>34</v>
      </c>
      <c r="G1381" s="5" t="s">
        <v>35</v>
      </c>
      <c r="H1381" s="5" t="s">
        <v>35</v>
      </c>
      <c r="I1381" s="5" t="s">
        <v>36</v>
      </c>
      <c r="J1381" s="6">
        <v>6.0</v>
      </c>
      <c r="K1381" s="6" t="s">
        <v>37</v>
      </c>
      <c r="L1381" s="6">
        <v>3840.0</v>
      </c>
      <c r="M1381" s="8" t="s">
        <v>39</v>
      </c>
      <c r="N1381" s="8" t="s">
        <v>54</v>
      </c>
      <c r="O1381" s="6" t="s">
        <v>40</v>
      </c>
      <c r="P1381" s="5" t="s">
        <v>41</v>
      </c>
      <c r="Q1381" s="5"/>
      <c r="R1381" s="6" t="s">
        <v>42</v>
      </c>
      <c r="S1381" s="5" t="s">
        <v>90</v>
      </c>
      <c r="T1381" s="5" t="s">
        <v>44</v>
      </c>
      <c r="U1381" s="5" t="s">
        <v>1512</v>
      </c>
      <c r="V1381" s="5" t="s">
        <v>44</v>
      </c>
      <c r="W1381" s="5" t="s">
        <v>35</v>
      </c>
      <c r="X1381" s="8" t="s">
        <v>322</v>
      </c>
      <c r="Y1381" s="5" t="s">
        <v>46</v>
      </c>
      <c r="Z1381" s="5" t="s">
        <v>47</v>
      </c>
      <c r="AA1381" s="5" t="s">
        <v>48</v>
      </c>
      <c r="AB1381" s="5" t="s">
        <v>6395</v>
      </c>
      <c r="AC1381" s="6" t="s">
        <v>71</v>
      </c>
      <c r="AD1381" s="6">
        <v>3196.0</v>
      </c>
    </row>
    <row r="1382" ht="56.25" customHeight="1">
      <c r="A1382" s="5" t="s">
        <v>6369</v>
      </c>
      <c r="B1382" s="6" t="str">
        <f>IMAGE("https://storage.googleapis.com/acdb/housewares/FtrIronwoodChest_Remake_4_0.png")</f>
        <v/>
      </c>
      <c r="C1382" s="5" t="s">
        <v>1536</v>
      </c>
      <c r="D1382" s="5" t="s">
        <v>1455</v>
      </c>
      <c r="E1382" s="5" t="s">
        <v>34</v>
      </c>
      <c r="F1382" s="5" t="s">
        <v>34</v>
      </c>
      <c r="G1382" s="5" t="s">
        <v>35</v>
      </c>
      <c r="H1382" s="5" t="s">
        <v>35</v>
      </c>
      <c r="I1382" s="5" t="s">
        <v>36</v>
      </c>
      <c r="J1382" s="6">
        <v>6.0</v>
      </c>
      <c r="K1382" s="6" t="s">
        <v>37</v>
      </c>
      <c r="L1382" s="6">
        <v>3840.0</v>
      </c>
      <c r="M1382" s="8" t="s">
        <v>142</v>
      </c>
      <c r="N1382" s="8" t="s">
        <v>57</v>
      </c>
      <c r="O1382" s="6" t="s">
        <v>40</v>
      </c>
      <c r="P1382" s="5" t="s">
        <v>41</v>
      </c>
      <c r="Q1382" s="5"/>
      <c r="R1382" s="6" t="s">
        <v>42</v>
      </c>
      <c r="S1382" s="5" t="s">
        <v>90</v>
      </c>
      <c r="T1382" s="5" t="s">
        <v>44</v>
      </c>
      <c r="U1382" s="5" t="s">
        <v>1512</v>
      </c>
      <c r="V1382" s="5" t="s">
        <v>44</v>
      </c>
      <c r="W1382" s="5" t="s">
        <v>35</v>
      </c>
      <c r="X1382" s="8" t="s">
        <v>322</v>
      </c>
      <c r="Y1382" s="5" t="s">
        <v>46</v>
      </c>
      <c r="Z1382" s="5" t="s">
        <v>47</v>
      </c>
      <c r="AA1382" s="5" t="s">
        <v>48</v>
      </c>
      <c r="AB1382" s="5" t="s">
        <v>6400</v>
      </c>
      <c r="AC1382" s="6" t="s">
        <v>75</v>
      </c>
      <c r="AD1382" s="6">
        <v>3196.0</v>
      </c>
    </row>
    <row r="1383" ht="56.25" customHeight="1">
      <c r="A1383" s="5" t="s">
        <v>6401</v>
      </c>
      <c r="B1383" s="6" t="str">
        <f>IMAGE("https://storage.googleapis.com/acdb/housewares/FtrIronwoodKitchen_Remake_0_0.png")</f>
        <v/>
      </c>
      <c r="C1383" s="5" t="s">
        <v>1509</v>
      </c>
      <c r="D1383" s="5" t="s">
        <v>1455</v>
      </c>
      <c r="E1383" s="5" t="s">
        <v>34</v>
      </c>
      <c r="F1383" s="5" t="s">
        <v>34</v>
      </c>
      <c r="G1383" s="5" t="s">
        <v>35</v>
      </c>
      <c r="H1383" s="5" t="s">
        <v>35</v>
      </c>
      <c r="I1383" s="5" t="s">
        <v>36</v>
      </c>
      <c r="J1383" s="6">
        <v>7.0</v>
      </c>
      <c r="K1383" s="6" t="s">
        <v>37</v>
      </c>
      <c r="L1383" s="6">
        <v>7560.0</v>
      </c>
      <c r="M1383" s="8" t="s">
        <v>38</v>
      </c>
      <c r="N1383" s="8" t="s">
        <v>95</v>
      </c>
      <c r="O1383" s="6" t="s">
        <v>276</v>
      </c>
      <c r="P1383" s="5" t="s">
        <v>41</v>
      </c>
      <c r="Q1383" s="5"/>
      <c r="R1383" s="6" t="s">
        <v>42</v>
      </c>
      <c r="S1383" s="5" t="s">
        <v>159</v>
      </c>
      <c r="T1383" s="5" t="s">
        <v>44</v>
      </c>
      <c r="U1383" s="5" t="s">
        <v>1512</v>
      </c>
      <c r="V1383" s="5" t="s">
        <v>44</v>
      </c>
      <c r="W1383" s="5" t="s">
        <v>36</v>
      </c>
      <c r="X1383" s="8" t="s">
        <v>1244</v>
      </c>
      <c r="Y1383" s="5" t="s">
        <v>46</v>
      </c>
      <c r="Z1383" s="5" t="s">
        <v>47</v>
      </c>
      <c r="AA1383" s="5" t="s">
        <v>48</v>
      </c>
      <c r="AB1383" s="5" t="s">
        <v>6405</v>
      </c>
      <c r="AC1383" s="6" t="s">
        <v>50</v>
      </c>
      <c r="AD1383" s="6">
        <v>3270.0</v>
      </c>
    </row>
    <row r="1384" ht="56.25" customHeight="1">
      <c r="A1384" s="5" t="s">
        <v>6401</v>
      </c>
      <c r="B1384" s="6" t="str">
        <f>IMAGE("https://storage.googleapis.com/acdb/housewares/FtrIronwoodKitchen_Remake_1_0.png")</f>
        <v/>
      </c>
      <c r="C1384" s="5" t="s">
        <v>1518</v>
      </c>
      <c r="D1384" s="5" t="s">
        <v>1455</v>
      </c>
      <c r="E1384" s="5" t="s">
        <v>34</v>
      </c>
      <c r="F1384" s="5" t="s">
        <v>34</v>
      </c>
      <c r="G1384" s="5" t="s">
        <v>35</v>
      </c>
      <c r="H1384" s="5" t="s">
        <v>35</v>
      </c>
      <c r="I1384" s="5" t="s">
        <v>36</v>
      </c>
      <c r="J1384" s="6">
        <v>7.0</v>
      </c>
      <c r="K1384" s="6" t="s">
        <v>37</v>
      </c>
      <c r="L1384" s="6">
        <v>7560.0</v>
      </c>
      <c r="M1384" s="8" t="s">
        <v>142</v>
      </c>
      <c r="N1384" s="8" t="s">
        <v>95</v>
      </c>
      <c r="O1384" s="6" t="s">
        <v>276</v>
      </c>
      <c r="P1384" s="5" t="s">
        <v>41</v>
      </c>
      <c r="Q1384" s="5"/>
      <c r="R1384" s="6" t="s">
        <v>42</v>
      </c>
      <c r="S1384" s="5" t="s">
        <v>159</v>
      </c>
      <c r="T1384" s="5" t="s">
        <v>44</v>
      </c>
      <c r="U1384" s="5" t="s">
        <v>1512</v>
      </c>
      <c r="V1384" s="5" t="s">
        <v>44</v>
      </c>
      <c r="W1384" s="5" t="s">
        <v>36</v>
      </c>
      <c r="X1384" s="8" t="s">
        <v>1244</v>
      </c>
      <c r="Y1384" s="5" t="s">
        <v>46</v>
      </c>
      <c r="Z1384" s="5" t="s">
        <v>47</v>
      </c>
      <c r="AA1384" s="5" t="s">
        <v>48</v>
      </c>
      <c r="AB1384" s="5" t="s">
        <v>6408</v>
      </c>
      <c r="AC1384" s="6" t="s">
        <v>56</v>
      </c>
      <c r="AD1384" s="6">
        <v>3270.0</v>
      </c>
    </row>
    <row r="1385" ht="56.25" customHeight="1">
      <c r="A1385" s="5" t="s">
        <v>6401</v>
      </c>
      <c r="B1385" s="6" t="str">
        <f>IMAGE("https://storage.googleapis.com/acdb/housewares/FtrIronwoodKitchen_Remake_2_0.png")</f>
        <v/>
      </c>
      <c r="C1385" s="5" t="s">
        <v>1524</v>
      </c>
      <c r="D1385" s="5" t="s">
        <v>1455</v>
      </c>
      <c r="E1385" s="5" t="s">
        <v>34</v>
      </c>
      <c r="F1385" s="5" t="s">
        <v>34</v>
      </c>
      <c r="G1385" s="5" t="s">
        <v>35</v>
      </c>
      <c r="H1385" s="5" t="s">
        <v>35</v>
      </c>
      <c r="I1385" s="5" t="s">
        <v>36</v>
      </c>
      <c r="J1385" s="6">
        <v>7.0</v>
      </c>
      <c r="K1385" s="6" t="s">
        <v>37</v>
      </c>
      <c r="L1385" s="6">
        <v>7560.0</v>
      </c>
      <c r="M1385" s="8" t="s">
        <v>39</v>
      </c>
      <c r="N1385" s="8" t="s">
        <v>95</v>
      </c>
      <c r="O1385" s="6" t="s">
        <v>276</v>
      </c>
      <c r="P1385" s="5" t="s">
        <v>41</v>
      </c>
      <c r="Q1385" s="5"/>
      <c r="R1385" s="6" t="s">
        <v>42</v>
      </c>
      <c r="S1385" s="5" t="s">
        <v>159</v>
      </c>
      <c r="T1385" s="5" t="s">
        <v>44</v>
      </c>
      <c r="U1385" s="5" t="s">
        <v>1512</v>
      </c>
      <c r="V1385" s="5" t="s">
        <v>44</v>
      </c>
      <c r="W1385" s="5" t="s">
        <v>36</v>
      </c>
      <c r="X1385" s="8" t="s">
        <v>1244</v>
      </c>
      <c r="Y1385" s="5" t="s">
        <v>46</v>
      </c>
      <c r="Z1385" s="5" t="s">
        <v>47</v>
      </c>
      <c r="AA1385" s="5" t="s">
        <v>48</v>
      </c>
      <c r="AB1385" s="5" t="s">
        <v>6412</v>
      </c>
      <c r="AC1385" s="6" t="s">
        <v>67</v>
      </c>
      <c r="AD1385" s="6">
        <v>3270.0</v>
      </c>
    </row>
    <row r="1386" ht="56.25" customHeight="1">
      <c r="A1386" s="5" t="s">
        <v>6401</v>
      </c>
      <c r="B1386" s="6" t="str">
        <f>IMAGE("https://storage.googleapis.com/acdb/housewares/FtrIronwoodKitchen_Remake_3_0.png")</f>
        <v/>
      </c>
      <c r="C1386" s="5" t="s">
        <v>1531</v>
      </c>
      <c r="D1386" s="5" t="s">
        <v>1455</v>
      </c>
      <c r="E1386" s="5" t="s">
        <v>34</v>
      </c>
      <c r="F1386" s="5" t="s">
        <v>34</v>
      </c>
      <c r="G1386" s="5" t="s">
        <v>35</v>
      </c>
      <c r="H1386" s="5" t="s">
        <v>35</v>
      </c>
      <c r="I1386" s="5" t="s">
        <v>36</v>
      </c>
      <c r="J1386" s="6">
        <v>7.0</v>
      </c>
      <c r="K1386" s="6" t="s">
        <v>37</v>
      </c>
      <c r="L1386" s="6">
        <v>7560.0</v>
      </c>
      <c r="M1386" s="8" t="s">
        <v>39</v>
      </c>
      <c r="N1386" s="8" t="s">
        <v>95</v>
      </c>
      <c r="O1386" s="6" t="s">
        <v>276</v>
      </c>
      <c r="P1386" s="5" t="s">
        <v>41</v>
      </c>
      <c r="Q1386" s="5"/>
      <c r="R1386" s="6" t="s">
        <v>42</v>
      </c>
      <c r="S1386" s="5" t="s">
        <v>159</v>
      </c>
      <c r="T1386" s="5" t="s">
        <v>44</v>
      </c>
      <c r="U1386" s="5" t="s">
        <v>1512</v>
      </c>
      <c r="V1386" s="5" t="s">
        <v>44</v>
      </c>
      <c r="W1386" s="5" t="s">
        <v>36</v>
      </c>
      <c r="X1386" s="8" t="s">
        <v>1244</v>
      </c>
      <c r="Y1386" s="5" t="s">
        <v>46</v>
      </c>
      <c r="Z1386" s="5" t="s">
        <v>47</v>
      </c>
      <c r="AA1386" s="5" t="s">
        <v>48</v>
      </c>
      <c r="AB1386" s="5" t="s">
        <v>6419</v>
      </c>
      <c r="AC1386" s="6" t="s">
        <v>71</v>
      </c>
      <c r="AD1386" s="6">
        <v>3270.0</v>
      </c>
    </row>
    <row r="1387" ht="56.25" customHeight="1">
      <c r="A1387" s="5" t="s">
        <v>6401</v>
      </c>
      <c r="B1387" s="6" t="str">
        <f>IMAGE("https://storage.googleapis.com/acdb/housewares/FtrIronwoodKitchen_Remake_4_0.png")</f>
        <v/>
      </c>
      <c r="C1387" s="5" t="s">
        <v>1536</v>
      </c>
      <c r="D1387" s="5" t="s">
        <v>1455</v>
      </c>
      <c r="E1387" s="5" t="s">
        <v>34</v>
      </c>
      <c r="F1387" s="5" t="s">
        <v>34</v>
      </c>
      <c r="G1387" s="5" t="s">
        <v>35</v>
      </c>
      <c r="H1387" s="5" t="s">
        <v>35</v>
      </c>
      <c r="I1387" s="5" t="s">
        <v>36</v>
      </c>
      <c r="J1387" s="6">
        <v>7.0</v>
      </c>
      <c r="K1387" s="6" t="s">
        <v>37</v>
      </c>
      <c r="L1387" s="6">
        <v>7560.0</v>
      </c>
      <c r="M1387" s="8" t="s">
        <v>142</v>
      </c>
      <c r="N1387" s="8" t="s">
        <v>95</v>
      </c>
      <c r="O1387" s="6" t="s">
        <v>276</v>
      </c>
      <c r="P1387" s="5" t="s">
        <v>41</v>
      </c>
      <c r="Q1387" s="5"/>
      <c r="R1387" s="6" t="s">
        <v>42</v>
      </c>
      <c r="S1387" s="5" t="s">
        <v>159</v>
      </c>
      <c r="T1387" s="5" t="s">
        <v>44</v>
      </c>
      <c r="U1387" s="5" t="s">
        <v>1512</v>
      </c>
      <c r="V1387" s="5" t="s">
        <v>44</v>
      </c>
      <c r="W1387" s="5" t="s">
        <v>36</v>
      </c>
      <c r="X1387" s="8" t="s">
        <v>1244</v>
      </c>
      <c r="Y1387" s="5" t="s">
        <v>46</v>
      </c>
      <c r="Z1387" s="5" t="s">
        <v>47</v>
      </c>
      <c r="AA1387" s="5" t="s">
        <v>48</v>
      </c>
      <c r="AB1387" s="5" t="s">
        <v>6423</v>
      </c>
      <c r="AC1387" s="6" t="s">
        <v>75</v>
      </c>
      <c r="AD1387" s="6">
        <v>3270.0</v>
      </c>
    </row>
    <row r="1388" ht="56.25" customHeight="1">
      <c r="A1388" s="5" t="s">
        <v>6425</v>
      </c>
      <c r="B1388" s="6" t="str">
        <f>IMAGE("https://storage.googleapis.com/acdb/housewares/FtrIronwoodTableM_Remake_0_0.png")</f>
        <v/>
      </c>
      <c r="C1388" s="5" t="s">
        <v>1509</v>
      </c>
      <c r="D1388" s="5" t="s">
        <v>1455</v>
      </c>
      <c r="E1388" s="5" t="s">
        <v>34</v>
      </c>
      <c r="F1388" s="5" t="s">
        <v>34</v>
      </c>
      <c r="G1388" s="5" t="s">
        <v>35</v>
      </c>
      <c r="H1388" s="5" t="s">
        <v>35</v>
      </c>
      <c r="I1388" s="5" t="s">
        <v>36</v>
      </c>
      <c r="J1388" s="6">
        <v>5.0</v>
      </c>
      <c r="K1388" s="6" t="s">
        <v>37</v>
      </c>
      <c r="L1388" s="6">
        <v>3720.0</v>
      </c>
      <c r="M1388" s="8" t="s">
        <v>38</v>
      </c>
      <c r="N1388" s="8" t="s">
        <v>54</v>
      </c>
      <c r="O1388" s="6" t="s">
        <v>276</v>
      </c>
      <c r="P1388" s="5" t="s">
        <v>41</v>
      </c>
      <c r="Q1388" s="5"/>
      <c r="R1388" s="6" t="s">
        <v>42</v>
      </c>
      <c r="S1388" s="5" t="s">
        <v>90</v>
      </c>
      <c r="T1388" s="5" t="s">
        <v>44</v>
      </c>
      <c r="U1388" s="5" t="s">
        <v>1512</v>
      </c>
      <c r="V1388" s="5" t="s">
        <v>44</v>
      </c>
      <c r="W1388" s="5" t="s">
        <v>36</v>
      </c>
      <c r="X1388" s="8" t="s">
        <v>278</v>
      </c>
      <c r="Y1388" s="5" t="s">
        <v>46</v>
      </c>
      <c r="Z1388" s="5" t="s">
        <v>47</v>
      </c>
      <c r="AA1388" s="5" t="s">
        <v>48</v>
      </c>
      <c r="AB1388" s="5" t="s">
        <v>6429</v>
      </c>
      <c r="AC1388" s="6" t="s">
        <v>50</v>
      </c>
      <c r="AD1388" s="6">
        <v>3194.0</v>
      </c>
    </row>
    <row r="1389" ht="56.25" customHeight="1">
      <c r="A1389" s="5" t="s">
        <v>6425</v>
      </c>
      <c r="B1389" s="6" t="str">
        <f>IMAGE("https://storage.googleapis.com/acdb/housewares/FtrIronwoodTableM_Remake_1_0.png")</f>
        <v/>
      </c>
      <c r="C1389" s="5" t="s">
        <v>1518</v>
      </c>
      <c r="D1389" s="5" t="s">
        <v>1455</v>
      </c>
      <c r="E1389" s="5" t="s">
        <v>34</v>
      </c>
      <c r="F1389" s="5" t="s">
        <v>34</v>
      </c>
      <c r="G1389" s="5" t="s">
        <v>35</v>
      </c>
      <c r="H1389" s="5" t="s">
        <v>35</v>
      </c>
      <c r="I1389" s="5" t="s">
        <v>36</v>
      </c>
      <c r="J1389" s="6">
        <v>5.0</v>
      </c>
      <c r="K1389" s="6" t="s">
        <v>37</v>
      </c>
      <c r="L1389" s="6">
        <v>3720.0</v>
      </c>
      <c r="M1389" s="8" t="s">
        <v>142</v>
      </c>
      <c r="N1389" s="8" t="s">
        <v>54</v>
      </c>
      <c r="O1389" s="6" t="s">
        <v>276</v>
      </c>
      <c r="P1389" s="5" t="s">
        <v>41</v>
      </c>
      <c r="Q1389" s="5"/>
      <c r="R1389" s="6" t="s">
        <v>42</v>
      </c>
      <c r="S1389" s="5" t="s">
        <v>90</v>
      </c>
      <c r="T1389" s="5" t="s">
        <v>44</v>
      </c>
      <c r="U1389" s="5" t="s">
        <v>1512</v>
      </c>
      <c r="V1389" s="5" t="s">
        <v>44</v>
      </c>
      <c r="W1389" s="5" t="s">
        <v>36</v>
      </c>
      <c r="X1389" s="8" t="s">
        <v>278</v>
      </c>
      <c r="Y1389" s="5" t="s">
        <v>46</v>
      </c>
      <c r="Z1389" s="5" t="s">
        <v>47</v>
      </c>
      <c r="AA1389" s="5" t="s">
        <v>48</v>
      </c>
      <c r="AB1389" s="5" t="s">
        <v>6432</v>
      </c>
      <c r="AC1389" s="6" t="s">
        <v>56</v>
      </c>
      <c r="AD1389" s="6">
        <v>3194.0</v>
      </c>
    </row>
    <row r="1390" ht="56.25" customHeight="1">
      <c r="A1390" s="5" t="s">
        <v>6425</v>
      </c>
      <c r="B1390" s="6" t="str">
        <f>IMAGE("https://storage.googleapis.com/acdb/housewares/FtrIronwoodTableM_Remake_2_0.png")</f>
        <v/>
      </c>
      <c r="C1390" s="5" t="s">
        <v>1524</v>
      </c>
      <c r="D1390" s="5" t="s">
        <v>1455</v>
      </c>
      <c r="E1390" s="5" t="s">
        <v>34</v>
      </c>
      <c r="F1390" s="5" t="s">
        <v>34</v>
      </c>
      <c r="G1390" s="5" t="s">
        <v>35</v>
      </c>
      <c r="H1390" s="5" t="s">
        <v>35</v>
      </c>
      <c r="I1390" s="5" t="s">
        <v>36</v>
      </c>
      <c r="J1390" s="6">
        <v>5.0</v>
      </c>
      <c r="K1390" s="6" t="s">
        <v>37</v>
      </c>
      <c r="L1390" s="6">
        <v>3720.0</v>
      </c>
      <c r="M1390" s="8" t="s">
        <v>39</v>
      </c>
      <c r="N1390" s="8" t="s">
        <v>54</v>
      </c>
      <c r="O1390" s="6" t="s">
        <v>276</v>
      </c>
      <c r="P1390" s="5" t="s">
        <v>41</v>
      </c>
      <c r="Q1390" s="5"/>
      <c r="R1390" s="6" t="s">
        <v>42</v>
      </c>
      <c r="S1390" s="5" t="s">
        <v>90</v>
      </c>
      <c r="T1390" s="5" t="s">
        <v>44</v>
      </c>
      <c r="U1390" s="5" t="s">
        <v>1512</v>
      </c>
      <c r="V1390" s="5" t="s">
        <v>44</v>
      </c>
      <c r="W1390" s="5" t="s">
        <v>36</v>
      </c>
      <c r="X1390" s="8" t="s">
        <v>278</v>
      </c>
      <c r="Y1390" s="5" t="s">
        <v>46</v>
      </c>
      <c r="Z1390" s="5" t="s">
        <v>47</v>
      </c>
      <c r="AA1390" s="5" t="s">
        <v>48</v>
      </c>
      <c r="AB1390" s="5" t="s">
        <v>6437</v>
      </c>
      <c r="AC1390" s="6" t="s">
        <v>67</v>
      </c>
      <c r="AD1390" s="6">
        <v>3194.0</v>
      </c>
    </row>
    <row r="1391" ht="56.25" customHeight="1">
      <c r="A1391" s="5" t="s">
        <v>6425</v>
      </c>
      <c r="B1391" s="6" t="str">
        <f>IMAGE("https://storage.googleapis.com/acdb/housewares/FtrIronwoodTableM_Remake_3_0.png")</f>
        <v/>
      </c>
      <c r="C1391" s="5" t="s">
        <v>1531</v>
      </c>
      <c r="D1391" s="5" t="s">
        <v>1455</v>
      </c>
      <c r="E1391" s="5" t="s">
        <v>34</v>
      </c>
      <c r="F1391" s="5" t="s">
        <v>34</v>
      </c>
      <c r="G1391" s="5" t="s">
        <v>35</v>
      </c>
      <c r="H1391" s="5" t="s">
        <v>35</v>
      </c>
      <c r="I1391" s="5" t="s">
        <v>36</v>
      </c>
      <c r="J1391" s="6">
        <v>5.0</v>
      </c>
      <c r="K1391" s="6" t="s">
        <v>37</v>
      </c>
      <c r="L1391" s="6">
        <v>3720.0</v>
      </c>
      <c r="M1391" s="8" t="s">
        <v>39</v>
      </c>
      <c r="N1391" s="8" t="s">
        <v>54</v>
      </c>
      <c r="O1391" s="6" t="s">
        <v>276</v>
      </c>
      <c r="P1391" s="5" t="s">
        <v>41</v>
      </c>
      <c r="Q1391" s="5"/>
      <c r="R1391" s="6" t="s">
        <v>42</v>
      </c>
      <c r="S1391" s="5" t="s">
        <v>90</v>
      </c>
      <c r="T1391" s="5" t="s">
        <v>44</v>
      </c>
      <c r="U1391" s="5" t="s">
        <v>1512</v>
      </c>
      <c r="V1391" s="5" t="s">
        <v>44</v>
      </c>
      <c r="W1391" s="5" t="s">
        <v>36</v>
      </c>
      <c r="X1391" s="8" t="s">
        <v>278</v>
      </c>
      <c r="Y1391" s="5" t="s">
        <v>46</v>
      </c>
      <c r="Z1391" s="5" t="s">
        <v>47</v>
      </c>
      <c r="AA1391" s="5" t="s">
        <v>48</v>
      </c>
      <c r="AB1391" s="5" t="s">
        <v>6441</v>
      </c>
      <c r="AC1391" s="6" t="s">
        <v>71</v>
      </c>
      <c r="AD1391" s="6">
        <v>3194.0</v>
      </c>
    </row>
    <row r="1392" ht="56.25" customHeight="1">
      <c r="A1392" s="5" t="s">
        <v>6425</v>
      </c>
      <c r="B1392" s="6" t="str">
        <f>IMAGE("https://storage.googleapis.com/acdb/housewares/FtrIronwoodTableM_Remake_4_0.png")</f>
        <v/>
      </c>
      <c r="C1392" s="5" t="s">
        <v>1536</v>
      </c>
      <c r="D1392" s="5" t="s">
        <v>1455</v>
      </c>
      <c r="E1392" s="5" t="s">
        <v>34</v>
      </c>
      <c r="F1392" s="5" t="s">
        <v>34</v>
      </c>
      <c r="G1392" s="5" t="s">
        <v>35</v>
      </c>
      <c r="H1392" s="5" t="s">
        <v>35</v>
      </c>
      <c r="I1392" s="5" t="s">
        <v>36</v>
      </c>
      <c r="J1392" s="6">
        <v>5.0</v>
      </c>
      <c r="K1392" s="6" t="s">
        <v>37</v>
      </c>
      <c r="L1392" s="6">
        <v>3720.0</v>
      </c>
      <c r="M1392" s="8" t="s">
        <v>142</v>
      </c>
      <c r="N1392" s="8" t="s">
        <v>57</v>
      </c>
      <c r="O1392" s="6" t="s">
        <v>276</v>
      </c>
      <c r="P1392" s="5" t="s">
        <v>41</v>
      </c>
      <c r="Q1392" s="5"/>
      <c r="R1392" s="6" t="s">
        <v>42</v>
      </c>
      <c r="S1392" s="5" t="s">
        <v>90</v>
      </c>
      <c r="T1392" s="5" t="s">
        <v>44</v>
      </c>
      <c r="U1392" s="5" t="s">
        <v>1512</v>
      </c>
      <c r="V1392" s="5" t="s">
        <v>44</v>
      </c>
      <c r="W1392" s="5" t="s">
        <v>36</v>
      </c>
      <c r="X1392" s="8" t="s">
        <v>278</v>
      </c>
      <c r="Y1392" s="5" t="s">
        <v>46</v>
      </c>
      <c r="Z1392" s="5" t="s">
        <v>47</v>
      </c>
      <c r="AA1392" s="5" t="s">
        <v>48</v>
      </c>
      <c r="AB1392" s="5" t="s">
        <v>6445</v>
      </c>
      <c r="AC1392" s="6" t="s">
        <v>75</v>
      </c>
      <c r="AD1392" s="6">
        <v>3194.0</v>
      </c>
    </row>
    <row r="1393" ht="56.25" customHeight="1">
      <c r="A1393" s="5" t="s">
        <v>6447</v>
      </c>
      <c r="B1393" s="6" t="str">
        <f>IMAGE("https://storage.googleapis.com/acdb/housewares/FtrIronwoodTableL_Remake_0_0.png")</f>
        <v/>
      </c>
      <c r="C1393" s="5" t="s">
        <v>1509</v>
      </c>
      <c r="D1393" s="5" t="s">
        <v>1455</v>
      </c>
      <c r="E1393" s="5" t="s">
        <v>34</v>
      </c>
      <c r="F1393" s="5" t="s">
        <v>34</v>
      </c>
      <c r="G1393" s="5" t="s">
        <v>35</v>
      </c>
      <c r="H1393" s="5" t="s">
        <v>35</v>
      </c>
      <c r="I1393" s="5" t="s">
        <v>36</v>
      </c>
      <c r="J1393" s="6">
        <v>7.0</v>
      </c>
      <c r="K1393" s="6" t="s">
        <v>37</v>
      </c>
      <c r="L1393" s="6">
        <v>5940.0</v>
      </c>
      <c r="M1393" s="8" t="s">
        <v>38</v>
      </c>
      <c r="N1393" s="8" t="s">
        <v>54</v>
      </c>
      <c r="O1393" s="6" t="s">
        <v>214</v>
      </c>
      <c r="P1393" s="5" t="s">
        <v>41</v>
      </c>
      <c r="Q1393" s="5"/>
      <c r="R1393" s="6" t="s">
        <v>42</v>
      </c>
      <c r="S1393" s="5" t="s">
        <v>90</v>
      </c>
      <c r="T1393" s="5" t="s">
        <v>44</v>
      </c>
      <c r="U1393" s="5" t="s">
        <v>1512</v>
      </c>
      <c r="V1393" s="5" t="s">
        <v>44</v>
      </c>
      <c r="W1393" s="5" t="s">
        <v>36</v>
      </c>
      <c r="X1393" s="8" t="s">
        <v>278</v>
      </c>
      <c r="Y1393" s="5" t="s">
        <v>46</v>
      </c>
      <c r="Z1393" s="5" t="s">
        <v>47</v>
      </c>
      <c r="AA1393" s="5" t="s">
        <v>48</v>
      </c>
      <c r="AB1393" s="5" t="s">
        <v>6452</v>
      </c>
      <c r="AC1393" s="6" t="s">
        <v>50</v>
      </c>
      <c r="AD1393" s="6">
        <v>3191.0</v>
      </c>
    </row>
    <row r="1394" ht="56.25" customHeight="1">
      <c r="A1394" s="5" t="s">
        <v>6447</v>
      </c>
      <c r="B1394" s="6" t="str">
        <f>IMAGE("https://storage.googleapis.com/acdb/housewares/FtrIronwoodTableL_Remake_1_0.png")</f>
        <v/>
      </c>
      <c r="C1394" s="5" t="s">
        <v>1518</v>
      </c>
      <c r="D1394" s="5" t="s">
        <v>1455</v>
      </c>
      <c r="E1394" s="5" t="s">
        <v>34</v>
      </c>
      <c r="F1394" s="5" t="s">
        <v>34</v>
      </c>
      <c r="G1394" s="5" t="s">
        <v>35</v>
      </c>
      <c r="H1394" s="5" t="s">
        <v>35</v>
      </c>
      <c r="I1394" s="5" t="s">
        <v>36</v>
      </c>
      <c r="J1394" s="6">
        <v>7.0</v>
      </c>
      <c r="K1394" s="6" t="s">
        <v>37</v>
      </c>
      <c r="L1394" s="6">
        <v>5940.0</v>
      </c>
      <c r="M1394" s="8" t="s">
        <v>142</v>
      </c>
      <c r="N1394" s="8" t="s">
        <v>54</v>
      </c>
      <c r="O1394" s="6" t="s">
        <v>214</v>
      </c>
      <c r="P1394" s="5" t="s">
        <v>41</v>
      </c>
      <c r="Q1394" s="5"/>
      <c r="R1394" s="6" t="s">
        <v>42</v>
      </c>
      <c r="S1394" s="5" t="s">
        <v>90</v>
      </c>
      <c r="T1394" s="5" t="s">
        <v>44</v>
      </c>
      <c r="U1394" s="5" t="s">
        <v>1512</v>
      </c>
      <c r="V1394" s="5" t="s">
        <v>44</v>
      </c>
      <c r="W1394" s="5" t="s">
        <v>36</v>
      </c>
      <c r="X1394" s="8" t="s">
        <v>278</v>
      </c>
      <c r="Y1394" s="5" t="s">
        <v>46</v>
      </c>
      <c r="Z1394" s="5" t="s">
        <v>47</v>
      </c>
      <c r="AA1394" s="5" t="s">
        <v>48</v>
      </c>
      <c r="AB1394" s="5" t="s">
        <v>6456</v>
      </c>
      <c r="AC1394" s="6" t="s">
        <v>56</v>
      </c>
      <c r="AD1394" s="6">
        <v>3191.0</v>
      </c>
    </row>
    <row r="1395" ht="56.25" customHeight="1">
      <c r="A1395" s="5" t="s">
        <v>6447</v>
      </c>
      <c r="B1395" s="6" t="str">
        <f>IMAGE("https://storage.googleapis.com/acdb/housewares/FtrIronwoodTableL_Remake_2_0.png")</f>
        <v/>
      </c>
      <c r="C1395" s="5" t="s">
        <v>1524</v>
      </c>
      <c r="D1395" s="5" t="s">
        <v>1455</v>
      </c>
      <c r="E1395" s="5" t="s">
        <v>34</v>
      </c>
      <c r="F1395" s="5" t="s">
        <v>34</v>
      </c>
      <c r="G1395" s="5" t="s">
        <v>35</v>
      </c>
      <c r="H1395" s="5" t="s">
        <v>35</v>
      </c>
      <c r="I1395" s="5" t="s">
        <v>36</v>
      </c>
      <c r="J1395" s="6">
        <v>7.0</v>
      </c>
      <c r="K1395" s="6" t="s">
        <v>37</v>
      </c>
      <c r="L1395" s="6">
        <v>5940.0</v>
      </c>
      <c r="M1395" s="8" t="s">
        <v>39</v>
      </c>
      <c r="N1395" s="8" t="s">
        <v>54</v>
      </c>
      <c r="O1395" s="6" t="s">
        <v>214</v>
      </c>
      <c r="P1395" s="5" t="s">
        <v>41</v>
      </c>
      <c r="Q1395" s="5"/>
      <c r="R1395" s="6" t="s">
        <v>42</v>
      </c>
      <c r="S1395" s="5" t="s">
        <v>90</v>
      </c>
      <c r="T1395" s="5" t="s">
        <v>44</v>
      </c>
      <c r="U1395" s="5" t="s">
        <v>1512</v>
      </c>
      <c r="V1395" s="5" t="s">
        <v>44</v>
      </c>
      <c r="W1395" s="5" t="s">
        <v>36</v>
      </c>
      <c r="X1395" s="8" t="s">
        <v>278</v>
      </c>
      <c r="Y1395" s="5" t="s">
        <v>46</v>
      </c>
      <c r="Z1395" s="5" t="s">
        <v>47</v>
      </c>
      <c r="AA1395" s="5" t="s">
        <v>48</v>
      </c>
      <c r="AB1395" s="5" t="s">
        <v>6460</v>
      </c>
      <c r="AC1395" s="6" t="s">
        <v>67</v>
      </c>
      <c r="AD1395" s="6">
        <v>3191.0</v>
      </c>
    </row>
    <row r="1396" ht="56.25" customHeight="1">
      <c r="A1396" s="5" t="s">
        <v>6447</v>
      </c>
      <c r="B1396" s="6" t="str">
        <f>IMAGE("https://storage.googleapis.com/acdb/housewares/FtrIronwoodTableL_Remake_3_0.png")</f>
        <v/>
      </c>
      <c r="C1396" s="5" t="s">
        <v>1531</v>
      </c>
      <c r="D1396" s="5" t="s">
        <v>1455</v>
      </c>
      <c r="E1396" s="5" t="s">
        <v>34</v>
      </c>
      <c r="F1396" s="5" t="s">
        <v>34</v>
      </c>
      <c r="G1396" s="5" t="s">
        <v>35</v>
      </c>
      <c r="H1396" s="5" t="s">
        <v>35</v>
      </c>
      <c r="I1396" s="5" t="s">
        <v>36</v>
      </c>
      <c r="J1396" s="6">
        <v>7.0</v>
      </c>
      <c r="K1396" s="6" t="s">
        <v>37</v>
      </c>
      <c r="L1396" s="6">
        <v>5940.0</v>
      </c>
      <c r="M1396" s="8" t="s">
        <v>39</v>
      </c>
      <c r="N1396" s="8" t="s">
        <v>54</v>
      </c>
      <c r="O1396" s="6" t="s">
        <v>214</v>
      </c>
      <c r="P1396" s="5" t="s">
        <v>41</v>
      </c>
      <c r="Q1396" s="5"/>
      <c r="R1396" s="6" t="s">
        <v>42</v>
      </c>
      <c r="S1396" s="5" t="s">
        <v>90</v>
      </c>
      <c r="T1396" s="5" t="s">
        <v>44</v>
      </c>
      <c r="U1396" s="5" t="s">
        <v>1512</v>
      </c>
      <c r="V1396" s="5" t="s">
        <v>44</v>
      </c>
      <c r="W1396" s="5" t="s">
        <v>36</v>
      </c>
      <c r="X1396" s="8" t="s">
        <v>278</v>
      </c>
      <c r="Y1396" s="5" t="s">
        <v>46</v>
      </c>
      <c r="Z1396" s="5" t="s">
        <v>47</v>
      </c>
      <c r="AA1396" s="5" t="s">
        <v>48</v>
      </c>
      <c r="AB1396" s="5" t="s">
        <v>6464</v>
      </c>
      <c r="AC1396" s="6" t="s">
        <v>71</v>
      </c>
      <c r="AD1396" s="6">
        <v>3191.0</v>
      </c>
    </row>
    <row r="1397" ht="56.25" customHeight="1">
      <c r="A1397" s="5" t="s">
        <v>6447</v>
      </c>
      <c r="B1397" s="6" t="str">
        <f>IMAGE("https://storage.googleapis.com/acdb/housewares/FtrIronwoodTableL_Remake_4_0.png")</f>
        <v/>
      </c>
      <c r="C1397" s="5" t="s">
        <v>1536</v>
      </c>
      <c r="D1397" s="5" t="s">
        <v>1455</v>
      </c>
      <c r="E1397" s="5" t="s">
        <v>34</v>
      </c>
      <c r="F1397" s="5" t="s">
        <v>34</v>
      </c>
      <c r="G1397" s="5" t="s">
        <v>35</v>
      </c>
      <c r="H1397" s="5" t="s">
        <v>35</v>
      </c>
      <c r="I1397" s="5" t="s">
        <v>36</v>
      </c>
      <c r="J1397" s="6">
        <v>7.0</v>
      </c>
      <c r="K1397" s="6" t="s">
        <v>37</v>
      </c>
      <c r="L1397" s="6">
        <v>5940.0</v>
      </c>
      <c r="M1397" s="8" t="s">
        <v>142</v>
      </c>
      <c r="N1397" s="8" t="s">
        <v>57</v>
      </c>
      <c r="O1397" s="6" t="s">
        <v>214</v>
      </c>
      <c r="P1397" s="5" t="s">
        <v>41</v>
      </c>
      <c r="Q1397" s="5"/>
      <c r="R1397" s="6" t="s">
        <v>42</v>
      </c>
      <c r="S1397" s="5" t="s">
        <v>90</v>
      </c>
      <c r="T1397" s="5" t="s">
        <v>44</v>
      </c>
      <c r="U1397" s="5" t="s">
        <v>1512</v>
      </c>
      <c r="V1397" s="5" t="s">
        <v>44</v>
      </c>
      <c r="W1397" s="5" t="s">
        <v>36</v>
      </c>
      <c r="X1397" s="8" t="s">
        <v>278</v>
      </c>
      <c r="Y1397" s="5" t="s">
        <v>46</v>
      </c>
      <c r="Z1397" s="5" t="s">
        <v>47</v>
      </c>
      <c r="AA1397" s="5" t="s">
        <v>48</v>
      </c>
      <c r="AB1397" s="5" t="s">
        <v>6468</v>
      </c>
      <c r="AC1397" s="6" t="s">
        <v>75</v>
      </c>
      <c r="AD1397" s="6">
        <v>3191.0</v>
      </c>
    </row>
    <row r="1398" ht="56.25" customHeight="1">
      <c r="A1398" s="5" t="s">
        <v>6469</v>
      </c>
      <c r="B1398" s="6" t="str">
        <f>IMAGE("https://storage.googleapis.com/acdb/housewares/FtrScreenCage_Remake_0_0.png")</f>
        <v/>
      </c>
      <c r="C1398" s="5" t="s">
        <v>146</v>
      </c>
      <c r="D1398" s="5" t="s">
        <v>1008</v>
      </c>
      <c r="E1398" s="5" t="s">
        <v>34</v>
      </c>
      <c r="F1398" s="5" t="s">
        <v>34</v>
      </c>
      <c r="G1398" s="5" t="s">
        <v>35</v>
      </c>
      <c r="H1398" s="5" t="s">
        <v>35</v>
      </c>
      <c r="I1398" s="5" t="s">
        <v>36</v>
      </c>
      <c r="J1398" s="6">
        <v>5.0</v>
      </c>
      <c r="K1398" s="6" t="s">
        <v>37</v>
      </c>
      <c r="L1398" s="6">
        <v>3750.0</v>
      </c>
      <c r="M1398" s="8" t="s">
        <v>95</v>
      </c>
      <c r="N1398" s="8" t="s">
        <v>95</v>
      </c>
      <c r="O1398" s="6" t="s">
        <v>714</v>
      </c>
      <c r="P1398" s="5" t="s">
        <v>41</v>
      </c>
      <c r="Q1398" s="5"/>
      <c r="R1398" s="6" t="s">
        <v>42</v>
      </c>
      <c r="S1398" s="5" t="s">
        <v>141</v>
      </c>
      <c r="T1398" s="5" t="s">
        <v>732</v>
      </c>
      <c r="U1398" s="5" t="s">
        <v>44</v>
      </c>
      <c r="V1398" s="5" t="s">
        <v>44</v>
      </c>
      <c r="W1398" s="5" t="s">
        <v>36</v>
      </c>
      <c r="X1398" s="8" t="s">
        <v>395</v>
      </c>
      <c r="Y1398" s="5" t="s">
        <v>46</v>
      </c>
      <c r="Z1398" s="5" t="s">
        <v>47</v>
      </c>
      <c r="AA1398" s="5" t="s">
        <v>48</v>
      </c>
      <c r="AB1398" s="5" t="s">
        <v>6472</v>
      </c>
      <c r="AC1398" s="6" t="s">
        <v>50</v>
      </c>
      <c r="AD1398" s="6">
        <v>5931.0</v>
      </c>
    </row>
    <row r="1399" ht="56.25" customHeight="1">
      <c r="A1399" s="5" t="s">
        <v>6469</v>
      </c>
      <c r="B1399" s="6" t="str">
        <f>IMAGE("https://storage.googleapis.com/acdb/housewares/FtrScreenCage_Remake_1_0.png")</f>
        <v/>
      </c>
      <c r="C1399" s="5" t="s">
        <v>54</v>
      </c>
      <c r="D1399" s="5" t="s">
        <v>1008</v>
      </c>
      <c r="E1399" s="5" t="s">
        <v>34</v>
      </c>
      <c r="F1399" s="5" t="s">
        <v>34</v>
      </c>
      <c r="G1399" s="5" t="s">
        <v>35</v>
      </c>
      <c r="H1399" s="5" t="s">
        <v>35</v>
      </c>
      <c r="I1399" s="5" t="s">
        <v>36</v>
      </c>
      <c r="J1399" s="6">
        <v>5.0</v>
      </c>
      <c r="K1399" s="6" t="s">
        <v>37</v>
      </c>
      <c r="L1399" s="6">
        <v>3750.0</v>
      </c>
      <c r="M1399" s="8" t="s">
        <v>54</v>
      </c>
      <c r="N1399" s="8" t="s">
        <v>54</v>
      </c>
      <c r="O1399" s="6" t="s">
        <v>714</v>
      </c>
      <c r="P1399" s="5" t="s">
        <v>41</v>
      </c>
      <c r="Q1399" s="5"/>
      <c r="R1399" s="6" t="s">
        <v>42</v>
      </c>
      <c r="S1399" s="5" t="s">
        <v>141</v>
      </c>
      <c r="T1399" s="5" t="s">
        <v>732</v>
      </c>
      <c r="U1399" s="5" t="s">
        <v>44</v>
      </c>
      <c r="V1399" s="5" t="s">
        <v>44</v>
      </c>
      <c r="W1399" s="5" t="s">
        <v>36</v>
      </c>
      <c r="X1399" s="8" t="s">
        <v>395</v>
      </c>
      <c r="Y1399" s="5" t="s">
        <v>46</v>
      </c>
      <c r="Z1399" s="5" t="s">
        <v>47</v>
      </c>
      <c r="AA1399" s="5" t="s">
        <v>48</v>
      </c>
      <c r="AB1399" s="5" t="s">
        <v>6480</v>
      </c>
      <c r="AC1399" s="6" t="s">
        <v>56</v>
      </c>
      <c r="AD1399" s="6">
        <v>5931.0</v>
      </c>
    </row>
    <row r="1400" ht="56.25" customHeight="1">
      <c r="A1400" s="5" t="s">
        <v>6469</v>
      </c>
      <c r="B1400" s="6" t="str">
        <f>IMAGE("https://storage.googleapis.com/acdb/housewares/FtrScreenCage_Remake_2_0.png")</f>
        <v/>
      </c>
      <c r="C1400" s="5" t="s">
        <v>6482</v>
      </c>
      <c r="D1400" s="5" t="s">
        <v>1008</v>
      </c>
      <c r="E1400" s="5" t="s">
        <v>34</v>
      </c>
      <c r="F1400" s="5" t="s">
        <v>34</v>
      </c>
      <c r="G1400" s="5" t="s">
        <v>35</v>
      </c>
      <c r="H1400" s="5" t="s">
        <v>35</v>
      </c>
      <c r="I1400" s="5" t="s">
        <v>36</v>
      </c>
      <c r="J1400" s="6">
        <v>5.0</v>
      </c>
      <c r="K1400" s="6" t="s">
        <v>37</v>
      </c>
      <c r="L1400" s="6">
        <v>3750.0</v>
      </c>
      <c r="M1400" s="8" t="s">
        <v>39</v>
      </c>
      <c r="N1400" s="8" t="s">
        <v>39</v>
      </c>
      <c r="O1400" s="6" t="s">
        <v>714</v>
      </c>
      <c r="P1400" s="5" t="s">
        <v>41</v>
      </c>
      <c r="Q1400" s="5"/>
      <c r="R1400" s="6" t="s">
        <v>42</v>
      </c>
      <c r="S1400" s="5" t="s">
        <v>141</v>
      </c>
      <c r="T1400" s="5" t="s">
        <v>732</v>
      </c>
      <c r="U1400" s="5" t="s">
        <v>44</v>
      </c>
      <c r="V1400" s="5" t="s">
        <v>44</v>
      </c>
      <c r="W1400" s="5" t="s">
        <v>36</v>
      </c>
      <c r="X1400" s="8" t="s">
        <v>395</v>
      </c>
      <c r="Y1400" s="5" t="s">
        <v>46</v>
      </c>
      <c r="Z1400" s="5" t="s">
        <v>47</v>
      </c>
      <c r="AA1400" s="5" t="s">
        <v>48</v>
      </c>
      <c r="AB1400" s="5" t="s">
        <v>6485</v>
      </c>
      <c r="AC1400" s="6" t="s">
        <v>67</v>
      </c>
      <c r="AD1400" s="6">
        <v>5931.0</v>
      </c>
    </row>
    <row r="1401" ht="56.25" customHeight="1">
      <c r="A1401" s="5" t="s">
        <v>6486</v>
      </c>
      <c r="B1401" s="6" t="str">
        <f>IMAGE("https://storage.googleapis.com/acdb/housewares/FtrFruitsTV_Remake_0_0.png")</f>
        <v/>
      </c>
      <c r="C1401" s="5" t="s">
        <v>336</v>
      </c>
      <c r="D1401" s="5" t="s">
        <v>337</v>
      </c>
      <c r="E1401" s="5" t="s">
        <v>34</v>
      </c>
      <c r="F1401" s="5" t="s">
        <v>34</v>
      </c>
      <c r="G1401" s="5" t="s">
        <v>35</v>
      </c>
      <c r="H1401" s="5" t="s">
        <v>35</v>
      </c>
      <c r="I1401" s="5" t="s">
        <v>36</v>
      </c>
      <c r="J1401" s="6">
        <v>5.0</v>
      </c>
      <c r="K1401" s="6" t="s">
        <v>37</v>
      </c>
      <c r="L1401" s="6">
        <v>3500.0</v>
      </c>
      <c r="M1401" s="8" t="s">
        <v>52</v>
      </c>
      <c r="N1401" s="8" t="s">
        <v>114</v>
      </c>
      <c r="O1401" s="6" t="s">
        <v>40</v>
      </c>
      <c r="P1401" s="5" t="s">
        <v>41</v>
      </c>
      <c r="Q1401" s="5"/>
      <c r="R1401" s="6" t="s">
        <v>42</v>
      </c>
      <c r="S1401" s="5" t="s">
        <v>61</v>
      </c>
      <c r="T1401" s="5" t="s">
        <v>44</v>
      </c>
      <c r="U1401" s="5" t="s">
        <v>338</v>
      </c>
      <c r="V1401" s="5" t="s">
        <v>339</v>
      </c>
      <c r="W1401" s="5" t="s">
        <v>35</v>
      </c>
      <c r="X1401" s="8" t="s">
        <v>2619</v>
      </c>
      <c r="Y1401" s="5" t="s">
        <v>46</v>
      </c>
      <c r="Z1401" s="5" t="s">
        <v>357</v>
      </c>
      <c r="AA1401" s="5" t="s">
        <v>48</v>
      </c>
      <c r="AB1401" s="5" t="s">
        <v>6492</v>
      </c>
      <c r="AC1401" s="6" t="s">
        <v>50</v>
      </c>
      <c r="AD1401" s="6">
        <v>2596.0</v>
      </c>
    </row>
    <row r="1402" ht="56.25" customHeight="1">
      <c r="A1402" s="5" t="s">
        <v>6486</v>
      </c>
      <c r="B1402" s="6" t="str">
        <f>IMAGE("https://storage.googleapis.com/acdb/housewares/FtrFruitsTV_Remake_1_0.png")</f>
        <v/>
      </c>
      <c r="C1402" s="5" t="s">
        <v>342</v>
      </c>
      <c r="D1402" s="5" t="s">
        <v>337</v>
      </c>
      <c r="E1402" s="5" t="s">
        <v>34</v>
      </c>
      <c r="F1402" s="5" t="s">
        <v>34</v>
      </c>
      <c r="G1402" s="5" t="s">
        <v>35</v>
      </c>
      <c r="H1402" s="5" t="s">
        <v>35</v>
      </c>
      <c r="I1402" s="5" t="s">
        <v>36</v>
      </c>
      <c r="J1402" s="6">
        <v>5.0</v>
      </c>
      <c r="K1402" s="6" t="s">
        <v>37</v>
      </c>
      <c r="L1402" s="6">
        <v>3500.0</v>
      </c>
      <c r="M1402" s="5" t="s">
        <v>96</v>
      </c>
      <c r="N1402" s="8" t="s">
        <v>114</v>
      </c>
      <c r="O1402" s="6" t="s">
        <v>40</v>
      </c>
      <c r="P1402" s="5" t="s">
        <v>41</v>
      </c>
      <c r="Q1402" s="5"/>
      <c r="R1402" s="6" t="s">
        <v>42</v>
      </c>
      <c r="S1402" s="5" t="s">
        <v>61</v>
      </c>
      <c r="T1402" s="5" t="s">
        <v>44</v>
      </c>
      <c r="U1402" s="5" t="s">
        <v>338</v>
      </c>
      <c r="V1402" s="5" t="s">
        <v>339</v>
      </c>
      <c r="W1402" s="5" t="s">
        <v>35</v>
      </c>
      <c r="X1402" s="8" t="s">
        <v>2619</v>
      </c>
      <c r="Y1402" s="5" t="s">
        <v>46</v>
      </c>
      <c r="Z1402" s="5" t="s">
        <v>357</v>
      </c>
      <c r="AA1402" s="5" t="s">
        <v>48</v>
      </c>
      <c r="AB1402" s="5" t="s">
        <v>6497</v>
      </c>
      <c r="AC1402" s="6" t="s">
        <v>56</v>
      </c>
      <c r="AD1402" s="6">
        <v>2596.0</v>
      </c>
    </row>
    <row r="1403" ht="56.25" customHeight="1">
      <c r="A1403" s="5" t="s">
        <v>6498</v>
      </c>
      <c r="B1403" s="6" t="str">
        <f>IMAGE("https://storage.googleapis.com/acdb/housewares/FtrJukebox.png")</f>
        <v/>
      </c>
      <c r="C1403" s="5" t="s">
        <v>34</v>
      </c>
      <c r="D1403" s="5" t="s">
        <v>34</v>
      </c>
      <c r="E1403" s="5" t="s">
        <v>34</v>
      </c>
      <c r="F1403" s="5" t="s">
        <v>34</v>
      </c>
      <c r="G1403" s="5" t="s">
        <v>36</v>
      </c>
      <c r="H1403" s="5" t="s">
        <v>36</v>
      </c>
      <c r="I1403" s="5" t="s">
        <v>36</v>
      </c>
      <c r="J1403" s="6" t="s">
        <v>34</v>
      </c>
      <c r="K1403" s="6">
        <v>5600.0</v>
      </c>
      <c r="L1403" s="6">
        <v>1400.0</v>
      </c>
      <c r="M1403" s="5" t="s">
        <v>52</v>
      </c>
      <c r="N1403" s="5" t="s">
        <v>95</v>
      </c>
      <c r="O1403" s="6" t="s">
        <v>40</v>
      </c>
      <c r="P1403" s="5" t="s">
        <v>59</v>
      </c>
      <c r="Q1403" s="5" t="s">
        <v>122</v>
      </c>
      <c r="R1403" s="6" t="s">
        <v>42</v>
      </c>
      <c r="S1403" s="5" t="s">
        <v>62</v>
      </c>
      <c r="T1403" s="5" t="s">
        <v>141</v>
      </c>
      <c r="U1403" s="5" t="s">
        <v>780</v>
      </c>
      <c r="V1403" s="5" t="s">
        <v>44</v>
      </c>
      <c r="W1403" s="5" t="s">
        <v>35</v>
      </c>
      <c r="X1403" s="8" t="s">
        <v>746</v>
      </c>
      <c r="Y1403" s="5" t="s">
        <v>164</v>
      </c>
      <c r="Z1403" s="5" t="s">
        <v>47</v>
      </c>
      <c r="AA1403" s="5" t="s">
        <v>64</v>
      </c>
      <c r="AB1403" s="5" t="s">
        <v>6503</v>
      </c>
      <c r="AC1403" s="6" t="s">
        <v>34</v>
      </c>
      <c r="AD1403" s="6">
        <v>791.0</v>
      </c>
    </row>
    <row r="1404" ht="56.25" customHeight="1">
      <c r="A1404" s="5" t="s">
        <v>6504</v>
      </c>
      <c r="B1404" s="6" t="str">
        <f>IMAGE("https://storage.googleapis.com/acdb/housewares/FtrGoemonburo.png")</f>
        <v/>
      </c>
      <c r="C1404" s="5" t="s">
        <v>34</v>
      </c>
      <c r="D1404" s="5" t="s">
        <v>34</v>
      </c>
      <c r="E1404" s="5" t="s">
        <v>34</v>
      </c>
      <c r="F1404" s="5" t="s">
        <v>34</v>
      </c>
      <c r="G1404" s="5" t="s">
        <v>35</v>
      </c>
      <c r="H1404" s="5" t="s">
        <v>36</v>
      </c>
      <c r="I1404" s="5" t="s">
        <v>36</v>
      </c>
      <c r="J1404" s="6" t="s">
        <v>34</v>
      </c>
      <c r="K1404" s="6" t="s">
        <v>37</v>
      </c>
      <c r="L1404" s="6">
        <v>6270.0</v>
      </c>
      <c r="M1404" s="5" t="s">
        <v>54</v>
      </c>
      <c r="N1404" s="5" t="s">
        <v>95</v>
      </c>
      <c r="O1404" s="6" t="s">
        <v>1243</v>
      </c>
      <c r="P1404" s="5" t="s">
        <v>41</v>
      </c>
      <c r="Q1404" s="5"/>
      <c r="R1404" s="6" t="s">
        <v>42</v>
      </c>
      <c r="S1404" s="5" t="s">
        <v>266</v>
      </c>
      <c r="T1404" s="5" t="s">
        <v>288</v>
      </c>
      <c r="U1404" s="5" t="s">
        <v>44</v>
      </c>
      <c r="V1404" s="5" t="s">
        <v>44</v>
      </c>
      <c r="W1404" s="5" t="s">
        <v>35</v>
      </c>
      <c r="X1404" s="8" t="s">
        <v>1968</v>
      </c>
      <c r="Y1404" s="5" t="s">
        <v>46</v>
      </c>
      <c r="Z1404" s="5" t="s">
        <v>47</v>
      </c>
      <c r="AA1404" s="5" t="s">
        <v>48</v>
      </c>
      <c r="AB1404" s="5" t="s">
        <v>6509</v>
      </c>
      <c r="AC1404" s="6" t="s">
        <v>34</v>
      </c>
      <c r="AD1404" s="6">
        <v>4008.0</v>
      </c>
    </row>
    <row r="1405" ht="56.25" customHeight="1">
      <c r="A1405" s="5" t="s">
        <v>6510</v>
      </c>
      <c r="B1405" s="6" t="str">
        <f>IMAGE("https://storage.googleapis.com/acdb/housewares/FtrKimonostand_Remake_0_0.png")</f>
        <v/>
      </c>
      <c r="C1405" s="5" t="s">
        <v>34</v>
      </c>
      <c r="D1405" s="5" t="s">
        <v>34</v>
      </c>
      <c r="E1405" s="5" t="s">
        <v>422</v>
      </c>
      <c r="F1405" s="5" t="s">
        <v>6513</v>
      </c>
      <c r="G1405" s="5" t="s">
        <v>36</v>
      </c>
      <c r="H1405" s="5" t="s">
        <v>36</v>
      </c>
      <c r="I1405" s="5" t="s">
        <v>35</v>
      </c>
      <c r="J1405" s="6">
        <v>2.0</v>
      </c>
      <c r="K1405" s="6">
        <v>3200.0</v>
      </c>
      <c r="L1405" s="6">
        <v>800.0</v>
      </c>
      <c r="M1405" s="5" t="s">
        <v>38</v>
      </c>
      <c r="N1405" s="8" t="s">
        <v>52</v>
      </c>
      <c r="O1405" s="6" t="s">
        <v>276</v>
      </c>
      <c r="P1405" s="5" t="s">
        <v>59</v>
      </c>
      <c r="Q1405" s="5" t="s">
        <v>122</v>
      </c>
      <c r="R1405" s="6" t="s">
        <v>42</v>
      </c>
      <c r="S1405" s="5" t="s">
        <v>266</v>
      </c>
      <c r="T1405" s="5" t="s">
        <v>44</v>
      </c>
      <c r="U1405" s="5" t="s">
        <v>44</v>
      </c>
      <c r="V1405" s="5" t="s">
        <v>44</v>
      </c>
      <c r="W1405" s="5" t="s">
        <v>36</v>
      </c>
      <c r="X1405" s="8" t="s">
        <v>650</v>
      </c>
      <c r="Y1405" s="5" t="s">
        <v>46</v>
      </c>
      <c r="Z1405" s="5" t="s">
        <v>47</v>
      </c>
      <c r="AA1405" s="5" t="s">
        <v>64</v>
      </c>
      <c r="AB1405" s="5" t="s">
        <v>6518</v>
      </c>
      <c r="AC1405" s="6" t="s">
        <v>50</v>
      </c>
      <c r="AD1405" s="6">
        <v>7682.0</v>
      </c>
    </row>
    <row r="1406" ht="56.25" customHeight="1">
      <c r="A1406" s="5" t="s">
        <v>6510</v>
      </c>
      <c r="B1406" s="6" t="str">
        <f>image("https://storage.googleapis.com/acdb/housewares/FtrKimonostand_Remake_0_1.png")</f>
        <v/>
      </c>
      <c r="C1406" s="5" t="s">
        <v>34</v>
      </c>
      <c r="D1406" s="5" t="s">
        <v>34</v>
      </c>
      <c r="E1406" s="5" t="s">
        <v>5996</v>
      </c>
      <c r="F1406" s="5" t="s">
        <v>6513</v>
      </c>
      <c r="G1406" s="5" t="s">
        <v>36</v>
      </c>
      <c r="H1406" s="5" t="s">
        <v>36</v>
      </c>
      <c r="I1406" s="5" t="s">
        <v>35</v>
      </c>
      <c r="J1406" s="6">
        <v>2.0</v>
      </c>
      <c r="K1406" s="6">
        <v>3200.0</v>
      </c>
      <c r="L1406" s="6">
        <v>800.0</v>
      </c>
      <c r="M1406" s="5" t="s">
        <v>38</v>
      </c>
      <c r="N1406" s="8" t="s">
        <v>1175</v>
      </c>
      <c r="O1406" s="6" t="s">
        <v>276</v>
      </c>
      <c r="P1406" s="5" t="s">
        <v>59</v>
      </c>
      <c r="Q1406" s="5" t="s">
        <v>122</v>
      </c>
      <c r="R1406" s="6" t="s">
        <v>42</v>
      </c>
      <c r="S1406" s="5" t="s">
        <v>266</v>
      </c>
      <c r="T1406" s="5" t="s">
        <v>44</v>
      </c>
      <c r="U1406" s="5" t="s">
        <v>44</v>
      </c>
      <c r="V1406" s="5" t="s">
        <v>44</v>
      </c>
      <c r="W1406" s="5" t="s">
        <v>36</v>
      </c>
      <c r="X1406" s="8" t="s">
        <v>650</v>
      </c>
      <c r="Y1406" s="5" t="s">
        <v>46</v>
      </c>
      <c r="Z1406" s="5" t="s">
        <v>47</v>
      </c>
      <c r="AA1406" s="5" t="s">
        <v>64</v>
      </c>
      <c r="AB1406" s="5" t="s">
        <v>6522</v>
      </c>
      <c r="AC1406" s="6" t="s">
        <v>217</v>
      </c>
      <c r="AD1406" s="6">
        <v>7682.0</v>
      </c>
    </row>
    <row r="1407" ht="56.25" customHeight="1">
      <c r="A1407" s="5" t="s">
        <v>6510</v>
      </c>
      <c r="B1407" s="6" t="str">
        <f>image("https://storage.googleapis.com/acdb/housewares/FtrKimonostand_Remake_0_2.png")</f>
        <v/>
      </c>
      <c r="C1407" s="5" t="s">
        <v>34</v>
      </c>
      <c r="D1407" s="5" t="s">
        <v>34</v>
      </c>
      <c r="E1407" s="5" t="s">
        <v>6525</v>
      </c>
      <c r="F1407" s="5" t="s">
        <v>6513</v>
      </c>
      <c r="G1407" s="5" t="s">
        <v>36</v>
      </c>
      <c r="H1407" s="5" t="s">
        <v>36</v>
      </c>
      <c r="I1407" s="5" t="s">
        <v>35</v>
      </c>
      <c r="J1407" s="6">
        <v>2.0</v>
      </c>
      <c r="K1407" s="6">
        <v>3200.0</v>
      </c>
      <c r="L1407" s="6">
        <v>800.0</v>
      </c>
      <c r="M1407" s="5" t="s">
        <v>38</v>
      </c>
      <c r="N1407" s="8" t="s">
        <v>58</v>
      </c>
      <c r="O1407" s="6" t="s">
        <v>276</v>
      </c>
      <c r="P1407" s="5" t="s">
        <v>59</v>
      </c>
      <c r="Q1407" s="5" t="s">
        <v>122</v>
      </c>
      <c r="R1407" s="6" t="s">
        <v>42</v>
      </c>
      <c r="S1407" s="5" t="s">
        <v>266</v>
      </c>
      <c r="T1407" s="5" t="s">
        <v>44</v>
      </c>
      <c r="U1407" s="5" t="s">
        <v>44</v>
      </c>
      <c r="V1407" s="5" t="s">
        <v>44</v>
      </c>
      <c r="W1407" s="5" t="s">
        <v>36</v>
      </c>
      <c r="X1407" s="8" t="s">
        <v>650</v>
      </c>
      <c r="Y1407" s="5" t="s">
        <v>46</v>
      </c>
      <c r="Z1407" s="5" t="s">
        <v>47</v>
      </c>
      <c r="AA1407" s="5" t="s">
        <v>64</v>
      </c>
      <c r="AB1407" s="5" t="s">
        <v>6529</v>
      </c>
      <c r="AC1407" s="6" t="s">
        <v>347</v>
      </c>
      <c r="AD1407" s="6">
        <v>7682.0</v>
      </c>
    </row>
    <row r="1408" ht="56.25" customHeight="1">
      <c r="A1408" s="5" t="s">
        <v>6510</v>
      </c>
      <c r="B1408" s="6" t="str">
        <f>image("https://storage.googleapis.com/acdb/housewares/FtrKimonostand_Remake_0_3.png")</f>
        <v/>
      </c>
      <c r="C1408" s="5" t="s">
        <v>34</v>
      </c>
      <c r="D1408" s="5" t="s">
        <v>34</v>
      </c>
      <c r="E1408" s="5" t="s">
        <v>6532</v>
      </c>
      <c r="F1408" s="5" t="s">
        <v>6513</v>
      </c>
      <c r="G1408" s="5" t="s">
        <v>36</v>
      </c>
      <c r="H1408" s="5" t="s">
        <v>36</v>
      </c>
      <c r="I1408" s="5" t="s">
        <v>35</v>
      </c>
      <c r="J1408" s="6">
        <v>2.0</v>
      </c>
      <c r="K1408" s="6">
        <v>3200.0</v>
      </c>
      <c r="L1408" s="6">
        <v>800.0</v>
      </c>
      <c r="M1408" s="5" t="s">
        <v>38</v>
      </c>
      <c r="N1408" s="8" t="s">
        <v>68</v>
      </c>
      <c r="O1408" s="6" t="s">
        <v>276</v>
      </c>
      <c r="P1408" s="5" t="s">
        <v>59</v>
      </c>
      <c r="Q1408" s="5" t="s">
        <v>122</v>
      </c>
      <c r="R1408" s="6" t="s">
        <v>42</v>
      </c>
      <c r="S1408" s="5" t="s">
        <v>266</v>
      </c>
      <c r="T1408" s="5" t="s">
        <v>44</v>
      </c>
      <c r="U1408" s="5" t="s">
        <v>44</v>
      </c>
      <c r="V1408" s="5" t="s">
        <v>44</v>
      </c>
      <c r="W1408" s="5" t="s">
        <v>36</v>
      </c>
      <c r="X1408" s="8" t="s">
        <v>650</v>
      </c>
      <c r="Y1408" s="5" t="s">
        <v>46</v>
      </c>
      <c r="Z1408" s="5" t="s">
        <v>47</v>
      </c>
      <c r="AA1408" s="5" t="s">
        <v>64</v>
      </c>
      <c r="AB1408" s="5" t="s">
        <v>6536</v>
      </c>
      <c r="AC1408" s="6" t="s">
        <v>354</v>
      </c>
      <c r="AD1408" s="6">
        <v>7682.0</v>
      </c>
    </row>
    <row r="1409" ht="56.25" customHeight="1">
      <c r="A1409" s="5" t="s">
        <v>6537</v>
      </c>
      <c r="B1409" s="6" t="str">
        <f>IMAGE("https://storage.googleapis.com/acdb/housewares/FtrKitchenIsland_Remake_0_0.png")</f>
        <v/>
      </c>
      <c r="C1409" s="5" t="s">
        <v>57</v>
      </c>
      <c r="D1409" s="5" t="s">
        <v>34</v>
      </c>
      <c r="E1409" s="5" t="s">
        <v>34</v>
      </c>
      <c r="F1409" s="5" t="s">
        <v>34</v>
      </c>
      <c r="G1409" s="5" t="s">
        <v>36</v>
      </c>
      <c r="H1409" s="5" t="s">
        <v>36</v>
      </c>
      <c r="I1409" s="5" t="s">
        <v>36</v>
      </c>
      <c r="J1409" s="6" t="s">
        <v>34</v>
      </c>
      <c r="K1409" s="6">
        <v>170000.0</v>
      </c>
      <c r="L1409" s="6">
        <v>42500.0</v>
      </c>
      <c r="M1409" s="8" t="s">
        <v>57</v>
      </c>
      <c r="N1409" s="8" t="s">
        <v>57</v>
      </c>
      <c r="O1409" s="6" t="s">
        <v>214</v>
      </c>
      <c r="P1409" s="5" t="s">
        <v>59</v>
      </c>
      <c r="Q1409" s="5" t="s">
        <v>115</v>
      </c>
      <c r="R1409" s="6" t="s">
        <v>42</v>
      </c>
      <c r="S1409" s="5" t="s">
        <v>159</v>
      </c>
      <c r="T1409" s="5" t="s">
        <v>116</v>
      </c>
      <c r="U1409" s="5" t="s">
        <v>44</v>
      </c>
      <c r="V1409" s="5" t="s">
        <v>44</v>
      </c>
      <c r="W1409" s="5" t="s">
        <v>36</v>
      </c>
      <c r="X1409" s="8" t="s">
        <v>1244</v>
      </c>
      <c r="Y1409" s="5" t="s">
        <v>46</v>
      </c>
      <c r="Z1409" s="5" t="s">
        <v>47</v>
      </c>
      <c r="AA1409" s="5" t="s">
        <v>64</v>
      </c>
      <c r="AB1409" s="5" t="s">
        <v>6543</v>
      </c>
      <c r="AC1409" s="6" t="s">
        <v>50</v>
      </c>
      <c r="AD1409" s="6">
        <v>998.0</v>
      </c>
    </row>
    <row r="1410" ht="56.25" customHeight="1">
      <c r="A1410" s="5" t="s">
        <v>6537</v>
      </c>
      <c r="B1410" s="6" t="str">
        <f>IMAGE("https://storage.googleapis.com/acdb/housewares/FtrKitchenIsland_Remake_1_0.png")</f>
        <v/>
      </c>
      <c r="C1410" s="5" t="s">
        <v>68</v>
      </c>
      <c r="D1410" s="5" t="s">
        <v>34</v>
      </c>
      <c r="E1410" s="5" t="s">
        <v>34</v>
      </c>
      <c r="F1410" s="5" t="s">
        <v>34</v>
      </c>
      <c r="G1410" s="5" t="s">
        <v>36</v>
      </c>
      <c r="H1410" s="5" t="s">
        <v>36</v>
      </c>
      <c r="I1410" s="5" t="s">
        <v>36</v>
      </c>
      <c r="J1410" s="6" t="s">
        <v>34</v>
      </c>
      <c r="K1410" s="6">
        <v>170000.0</v>
      </c>
      <c r="L1410" s="6">
        <v>42500.0</v>
      </c>
      <c r="M1410" s="5" t="s">
        <v>68</v>
      </c>
      <c r="N1410" s="8" t="s">
        <v>57</v>
      </c>
      <c r="O1410" s="6" t="s">
        <v>214</v>
      </c>
      <c r="P1410" s="5" t="s">
        <v>59</v>
      </c>
      <c r="Q1410" s="5" t="s">
        <v>115</v>
      </c>
      <c r="R1410" s="6" t="s">
        <v>42</v>
      </c>
      <c r="S1410" s="5" t="s">
        <v>159</v>
      </c>
      <c r="T1410" s="5" t="s">
        <v>116</v>
      </c>
      <c r="U1410" s="5" t="s">
        <v>44</v>
      </c>
      <c r="V1410" s="5" t="s">
        <v>44</v>
      </c>
      <c r="W1410" s="5" t="s">
        <v>36</v>
      </c>
      <c r="X1410" s="8" t="s">
        <v>1244</v>
      </c>
      <c r="Y1410" s="5" t="s">
        <v>46</v>
      </c>
      <c r="Z1410" s="5" t="s">
        <v>47</v>
      </c>
      <c r="AA1410" s="5" t="s">
        <v>64</v>
      </c>
      <c r="AB1410" s="5" t="s">
        <v>6548</v>
      </c>
      <c r="AC1410" s="6" t="s">
        <v>56</v>
      </c>
      <c r="AD1410" s="6">
        <v>998.0</v>
      </c>
    </row>
    <row r="1411" ht="56.25" customHeight="1">
      <c r="A1411" s="5" t="s">
        <v>6537</v>
      </c>
      <c r="B1411" s="6" t="str">
        <f>IMAGE("https://storage.googleapis.com/acdb/housewares/FtrKitchenIsland_Remake_2_0.png")</f>
        <v/>
      </c>
      <c r="C1411" s="5" t="s">
        <v>52</v>
      </c>
      <c r="D1411" s="5" t="s">
        <v>34</v>
      </c>
      <c r="E1411" s="5" t="s">
        <v>34</v>
      </c>
      <c r="F1411" s="5" t="s">
        <v>34</v>
      </c>
      <c r="G1411" s="5" t="s">
        <v>36</v>
      </c>
      <c r="H1411" s="5" t="s">
        <v>36</v>
      </c>
      <c r="I1411" s="5" t="s">
        <v>36</v>
      </c>
      <c r="J1411" s="6" t="s">
        <v>34</v>
      </c>
      <c r="K1411" s="6">
        <v>170000.0</v>
      </c>
      <c r="L1411" s="6">
        <v>42500.0</v>
      </c>
      <c r="M1411" s="8" t="s">
        <v>52</v>
      </c>
      <c r="N1411" s="8" t="s">
        <v>54</v>
      </c>
      <c r="O1411" s="6" t="s">
        <v>214</v>
      </c>
      <c r="P1411" s="5" t="s">
        <v>59</v>
      </c>
      <c r="Q1411" s="5" t="s">
        <v>115</v>
      </c>
      <c r="R1411" s="6" t="s">
        <v>42</v>
      </c>
      <c r="S1411" s="5" t="s">
        <v>159</v>
      </c>
      <c r="T1411" s="5" t="s">
        <v>116</v>
      </c>
      <c r="U1411" s="5" t="s">
        <v>44</v>
      </c>
      <c r="V1411" s="5" t="s">
        <v>44</v>
      </c>
      <c r="W1411" s="5" t="s">
        <v>36</v>
      </c>
      <c r="X1411" s="8" t="s">
        <v>1244</v>
      </c>
      <c r="Y1411" s="5" t="s">
        <v>46</v>
      </c>
      <c r="Z1411" s="5" t="s">
        <v>47</v>
      </c>
      <c r="AA1411" s="5" t="s">
        <v>64</v>
      </c>
      <c r="AB1411" s="5" t="s">
        <v>6555</v>
      </c>
      <c r="AC1411" s="6" t="s">
        <v>67</v>
      </c>
      <c r="AD1411" s="6">
        <v>998.0</v>
      </c>
    </row>
    <row r="1412" ht="56.25" customHeight="1">
      <c r="A1412" s="5" t="s">
        <v>6537</v>
      </c>
      <c r="B1412" s="6" t="str">
        <f>IMAGE("https://storage.googleapis.com/acdb/housewares/FtrKitchenIsland_Remake_3_0.png")</f>
        <v/>
      </c>
      <c r="C1412" s="5" t="s">
        <v>935</v>
      </c>
      <c r="D1412" s="5" t="s">
        <v>34</v>
      </c>
      <c r="E1412" s="5" t="s">
        <v>34</v>
      </c>
      <c r="F1412" s="5" t="s">
        <v>34</v>
      </c>
      <c r="G1412" s="5" t="s">
        <v>36</v>
      </c>
      <c r="H1412" s="5" t="s">
        <v>36</v>
      </c>
      <c r="I1412" s="5" t="s">
        <v>36</v>
      </c>
      <c r="J1412" s="6" t="s">
        <v>34</v>
      </c>
      <c r="K1412" s="6">
        <v>170000.0</v>
      </c>
      <c r="L1412" s="6">
        <v>42500.0</v>
      </c>
      <c r="M1412" s="8" t="s">
        <v>38</v>
      </c>
      <c r="N1412" s="8" t="s">
        <v>57</v>
      </c>
      <c r="O1412" s="6" t="s">
        <v>214</v>
      </c>
      <c r="P1412" s="5" t="s">
        <v>59</v>
      </c>
      <c r="Q1412" s="5" t="s">
        <v>115</v>
      </c>
      <c r="R1412" s="6" t="s">
        <v>42</v>
      </c>
      <c r="S1412" s="5" t="s">
        <v>159</v>
      </c>
      <c r="T1412" s="5" t="s">
        <v>116</v>
      </c>
      <c r="U1412" s="5" t="s">
        <v>44</v>
      </c>
      <c r="V1412" s="5" t="s">
        <v>44</v>
      </c>
      <c r="W1412" s="5" t="s">
        <v>36</v>
      </c>
      <c r="X1412" s="8" t="s">
        <v>1244</v>
      </c>
      <c r="Y1412" s="5" t="s">
        <v>46</v>
      </c>
      <c r="Z1412" s="5" t="s">
        <v>47</v>
      </c>
      <c r="AA1412" s="5" t="s">
        <v>64</v>
      </c>
      <c r="AB1412" s="5" t="s">
        <v>6560</v>
      </c>
      <c r="AC1412" s="6" t="s">
        <v>71</v>
      </c>
      <c r="AD1412" s="6">
        <v>998.0</v>
      </c>
    </row>
    <row r="1413" ht="56.25" customHeight="1">
      <c r="A1413" s="5" t="s">
        <v>6537</v>
      </c>
      <c r="B1413" s="6" t="str">
        <f>IMAGE("https://storage.googleapis.com/acdb/housewares/FtrKitchenIsland_Remake_4_0.png")</f>
        <v/>
      </c>
      <c r="C1413" s="5" t="s">
        <v>387</v>
      </c>
      <c r="D1413" s="5" t="s">
        <v>34</v>
      </c>
      <c r="E1413" s="5" t="s">
        <v>34</v>
      </c>
      <c r="F1413" s="5" t="s">
        <v>34</v>
      </c>
      <c r="G1413" s="5" t="s">
        <v>36</v>
      </c>
      <c r="H1413" s="5" t="s">
        <v>36</v>
      </c>
      <c r="I1413" s="5" t="s">
        <v>36</v>
      </c>
      <c r="J1413" s="6" t="s">
        <v>34</v>
      </c>
      <c r="K1413" s="6">
        <v>170000.0</v>
      </c>
      <c r="L1413" s="6">
        <v>42500.0</v>
      </c>
      <c r="M1413" s="8" t="s">
        <v>39</v>
      </c>
      <c r="N1413" s="8" t="s">
        <v>57</v>
      </c>
      <c r="O1413" s="6" t="s">
        <v>214</v>
      </c>
      <c r="P1413" s="5" t="s">
        <v>59</v>
      </c>
      <c r="Q1413" s="5" t="s">
        <v>115</v>
      </c>
      <c r="R1413" s="6" t="s">
        <v>42</v>
      </c>
      <c r="S1413" s="5" t="s">
        <v>159</v>
      </c>
      <c r="T1413" s="5" t="s">
        <v>116</v>
      </c>
      <c r="U1413" s="5" t="s">
        <v>44</v>
      </c>
      <c r="V1413" s="5" t="s">
        <v>44</v>
      </c>
      <c r="W1413" s="5" t="s">
        <v>36</v>
      </c>
      <c r="X1413" s="8" t="s">
        <v>1244</v>
      </c>
      <c r="Y1413" s="5" t="s">
        <v>46</v>
      </c>
      <c r="Z1413" s="5" t="s">
        <v>47</v>
      </c>
      <c r="AA1413" s="5" t="s">
        <v>64</v>
      </c>
      <c r="AB1413" s="5" t="s">
        <v>6563</v>
      </c>
      <c r="AC1413" s="6" t="s">
        <v>75</v>
      </c>
      <c r="AD1413" s="6">
        <v>998.0</v>
      </c>
    </row>
    <row r="1414" ht="56.25" customHeight="1">
      <c r="A1414" s="5" t="s">
        <v>6537</v>
      </c>
      <c r="B1414" s="6" t="str">
        <f>IMAGE("https://storage.googleapis.com/acdb/housewares/FtrKitchenIsland_Remake_5_0.png")</f>
        <v/>
      </c>
      <c r="C1414" s="5" t="s">
        <v>54</v>
      </c>
      <c r="D1414" s="5" t="s">
        <v>34</v>
      </c>
      <c r="E1414" s="5" t="s">
        <v>34</v>
      </c>
      <c r="F1414" s="5" t="s">
        <v>34</v>
      </c>
      <c r="G1414" s="5" t="s">
        <v>36</v>
      </c>
      <c r="H1414" s="5" t="s">
        <v>36</v>
      </c>
      <c r="I1414" s="5" t="s">
        <v>36</v>
      </c>
      <c r="J1414" s="6" t="s">
        <v>34</v>
      </c>
      <c r="K1414" s="6">
        <v>170000.0</v>
      </c>
      <c r="L1414" s="6">
        <v>42500.0</v>
      </c>
      <c r="M1414" s="8" t="s">
        <v>54</v>
      </c>
      <c r="N1414" s="8" t="s">
        <v>54</v>
      </c>
      <c r="O1414" s="6" t="s">
        <v>214</v>
      </c>
      <c r="P1414" s="5" t="s">
        <v>59</v>
      </c>
      <c r="Q1414" s="5" t="s">
        <v>115</v>
      </c>
      <c r="R1414" s="6" t="s">
        <v>42</v>
      </c>
      <c r="S1414" s="5" t="s">
        <v>159</v>
      </c>
      <c r="T1414" s="5" t="s">
        <v>116</v>
      </c>
      <c r="U1414" s="5" t="s">
        <v>44</v>
      </c>
      <c r="V1414" s="5" t="s">
        <v>44</v>
      </c>
      <c r="W1414" s="5" t="s">
        <v>36</v>
      </c>
      <c r="X1414" s="8" t="s">
        <v>1244</v>
      </c>
      <c r="Y1414" s="5" t="s">
        <v>46</v>
      </c>
      <c r="Z1414" s="5" t="s">
        <v>47</v>
      </c>
      <c r="AA1414" s="5" t="s">
        <v>64</v>
      </c>
      <c r="AB1414" s="5" t="s">
        <v>6569</v>
      </c>
      <c r="AC1414" s="6" t="s">
        <v>79</v>
      </c>
      <c r="AD1414" s="6">
        <v>998.0</v>
      </c>
    </row>
    <row r="1415" ht="56.25" customHeight="1">
      <c r="A1415" s="5" t="s">
        <v>6537</v>
      </c>
      <c r="B1415" s="6" t="str">
        <f>IMAGE("https://storage.googleapis.com/acdb/housewares/FtrKitchenIsland_Remake_6_0.png")</f>
        <v/>
      </c>
      <c r="C1415" s="5" t="s">
        <v>146</v>
      </c>
      <c r="D1415" s="5" t="s">
        <v>34</v>
      </c>
      <c r="E1415" s="5" t="s">
        <v>34</v>
      </c>
      <c r="F1415" s="5" t="s">
        <v>34</v>
      </c>
      <c r="G1415" s="5" t="s">
        <v>36</v>
      </c>
      <c r="H1415" s="5" t="s">
        <v>36</v>
      </c>
      <c r="I1415" s="5" t="s">
        <v>36</v>
      </c>
      <c r="J1415" s="6" t="s">
        <v>34</v>
      </c>
      <c r="K1415" s="6">
        <v>170000.0</v>
      </c>
      <c r="L1415" s="6">
        <v>42500.0</v>
      </c>
      <c r="M1415" s="8" t="s">
        <v>95</v>
      </c>
      <c r="N1415" s="8" t="s">
        <v>95</v>
      </c>
      <c r="O1415" s="6" t="s">
        <v>214</v>
      </c>
      <c r="P1415" s="5" t="s">
        <v>59</v>
      </c>
      <c r="Q1415" s="5" t="s">
        <v>115</v>
      </c>
      <c r="R1415" s="6" t="s">
        <v>42</v>
      </c>
      <c r="S1415" s="5" t="s">
        <v>159</v>
      </c>
      <c r="T1415" s="5" t="s">
        <v>116</v>
      </c>
      <c r="U1415" s="5" t="s">
        <v>44</v>
      </c>
      <c r="V1415" s="5" t="s">
        <v>44</v>
      </c>
      <c r="W1415" s="5" t="s">
        <v>36</v>
      </c>
      <c r="X1415" s="8" t="s">
        <v>1244</v>
      </c>
      <c r="Y1415" s="5" t="s">
        <v>46</v>
      </c>
      <c r="Z1415" s="5" t="s">
        <v>47</v>
      </c>
      <c r="AA1415" s="5" t="s">
        <v>64</v>
      </c>
      <c r="AB1415" s="5" t="s">
        <v>6573</v>
      </c>
      <c r="AC1415" s="6" t="s">
        <v>86</v>
      </c>
      <c r="AD1415" s="6">
        <v>998.0</v>
      </c>
    </row>
    <row r="1416" ht="56.25" customHeight="1">
      <c r="A1416" s="5" t="s">
        <v>6574</v>
      </c>
      <c r="B1416" s="6" t="str">
        <f>IMAGE("https://storage.googleapis.com/acdb/housewares/FtrPetWC_Remake_0_0.png")</f>
        <v/>
      </c>
      <c r="C1416" s="5" t="s">
        <v>57</v>
      </c>
      <c r="D1416" s="5" t="s">
        <v>34</v>
      </c>
      <c r="E1416" s="5" t="s">
        <v>34</v>
      </c>
      <c r="F1416" s="5" t="s">
        <v>34</v>
      </c>
      <c r="G1416" s="5" t="s">
        <v>36</v>
      </c>
      <c r="H1416" s="5" t="s">
        <v>36</v>
      </c>
      <c r="I1416" s="5" t="s">
        <v>36</v>
      </c>
      <c r="J1416" s="6" t="s">
        <v>34</v>
      </c>
      <c r="K1416" s="6">
        <v>1100.0</v>
      </c>
      <c r="L1416" s="6">
        <v>275.0</v>
      </c>
      <c r="M1416" s="8" t="s">
        <v>57</v>
      </c>
      <c r="N1416" s="8" t="s">
        <v>142</v>
      </c>
      <c r="O1416" s="6" t="s">
        <v>40</v>
      </c>
      <c r="P1416" s="5" t="s">
        <v>59</v>
      </c>
      <c r="Q1416" s="5" t="s">
        <v>89</v>
      </c>
      <c r="R1416" s="6" t="s">
        <v>42</v>
      </c>
      <c r="S1416" s="5" t="s">
        <v>90</v>
      </c>
      <c r="T1416" s="5" t="s">
        <v>44</v>
      </c>
      <c r="U1416" s="5" t="s">
        <v>44</v>
      </c>
      <c r="V1416" s="5" t="s">
        <v>4107</v>
      </c>
      <c r="W1416" s="5" t="s">
        <v>36</v>
      </c>
      <c r="X1416" s="8" t="s">
        <v>289</v>
      </c>
      <c r="Y1416" s="5" t="s">
        <v>46</v>
      </c>
      <c r="Z1416" s="5" t="s">
        <v>47</v>
      </c>
      <c r="AA1416" s="5" t="s">
        <v>64</v>
      </c>
      <c r="AB1416" s="5" t="s">
        <v>6578</v>
      </c>
      <c r="AC1416" s="6" t="s">
        <v>50</v>
      </c>
      <c r="AD1416" s="6">
        <v>7803.0</v>
      </c>
    </row>
    <row r="1417" ht="56.25" customHeight="1">
      <c r="A1417" s="5" t="s">
        <v>6574</v>
      </c>
      <c r="B1417" s="6" t="str">
        <f>IMAGE("https://storage.googleapis.com/acdb/housewares/FtrPetWC_Remake_1_0.png")</f>
        <v/>
      </c>
      <c r="C1417" s="5" t="s">
        <v>142</v>
      </c>
      <c r="D1417" s="5" t="s">
        <v>34</v>
      </c>
      <c r="E1417" s="5" t="s">
        <v>34</v>
      </c>
      <c r="F1417" s="5" t="s">
        <v>34</v>
      </c>
      <c r="G1417" s="5" t="s">
        <v>36</v>
      </c>
      <c r="H1417" s="5" t="s">
        <v>36</v>
      </c>
      <c r="I1417" s="5" t="s">
        <v>36</v>
      </c>
      <c r="J1417" s="6" t="s">
        <v>34</v>
      </c>
      <c r="K1417" s="6">
        <v>1100.0</v>
      </c>
      <c r="L1417" s="6">
        <v>275.0</v>
      </c>
      <c r="M1417" s="8" t="s">
        <v>114</v>
      </c>
      <c r="N1417" s="8" t="s">
        <v>39</v>
      </c>
      <c r="O1417" s="6" t="s">
        <v>40</v>
      </c>
      <c r="P1417" s="5" t="s">
        <v>59</v>
      </c>
      <c r="Q1417" s="5" t="s">
        <v>89</v>
      </c>
      <c r="R1417" s="6" t="s">
        <v>42</v>
      </c>
      <c r="S1417" s="5" t="s">
        <v>90</v>
      </c>
      <c r="T1417" s="5" t="s">
        <v>44</v>
      </c>
      <c r="U1417" s="5" t="s">
        <v>44</v>
      </c>
      <c r="V1417" s="5" t="s">
        <v>4107</v>
      </c>
      <c r="W1417" s="5" t="s">
        <v>36</v>
      </c>
      <c r="X1417" s="8" t="s">
        <v>289</v>
      </c>
      <c r="Y1417" s="5" t="s">
        <v>46</v>
      </c>
      <c r="Z1417" s="5" t="s">
        <v>47</v>
      </c>
      <c r="AA1417" s="5" t="s">
        <v>64</v>
      </c>
      <c r="AB1417" s="5" t="s">
        <v>6582</v>
      </c>
      <c r="AC1417" s="6" t="s">
        <v>56</v>
      </c>
      <c r="AD1417" s="6">
        <v>7803.0</v>
      </c>
    </row>
    <row r="1418" ht="56.25" customHeight="1">
      <c r="A1418" s="5" t="s">
        <v>6574</v>
      </c>
      <c r="B1418" s="6" t="str">
        <f>IMAGE("https://storage.googleapis.com/acdb/housewares/FtrPetWC_Remake_2_0.png")</f>
        <v/>
      </c>
      <c r="C1418" s="5" t="s">
        <v>96</v>
      </c>
      <c r="D1418" s="5" t="s">
        <v>34</v>
      </c>
      <c r="E1418" s="5" t="s">
        <v>34</v>
      </c>
      <c r="F1418" s="5" t="s">
        <v>34</v>
      </c>
      <c r="G1418" s="5" t="s">
        <v>36</v>
      </c>
      <c r="H1418" s="5" t="s">
        <v>36</v>
      </c>
      <c r="I1418" s="5" t="s">
        <v>36</v>
      </c>
      <c r="J1418" s="6" t="s">
        <v>34</v>
      </c>
      <c r="K1418" s="6">
        <v>1100.0</v>
      </c>
      <c r="L1418" s="6">
        <v>275.0</v>
      </c>
      <c r="M1418" s="8" t="s">
        <v>96</v>
      </c>
      <c r="N1418" s="8" t="s">
        <v>52</v>
      </c>
      <c r="O1418" s="6" t="s">
        <v>40</v>
      </c>
      <c r="P1418" s="5" t="s">
        <v>59</v>
      </c>
      <c r="Q1418" s="5" t="s">
        <v>89</v>
      </c>
      <c r="R1418" s="6" t="s">
        <v>42</v>
      </c>
      <c r="S1418" s="5" t="s">
        <v>90</v>
      </c>
      <c r="T1418" s="5" t="s">
        <v>44</v>
      </c>
      <c r="U1418" s="5" t="s">
        <v>44</v>
      </c>
      <c r="V1418" s="5" t="s">
        <v>4107</v>
      </c>
      <c r="W1418" s="5" t="s">
        <v>36</v>
      </c>
      <c r="X1418" s="8" t="s">
        <v>289</v>
      </c>
      <c r="Y1418" s="5" t="s">
        <v>46</v>
      </c>
      <c r="Z1418" s="5" t="s">
        <v>47</v>
      </c>
      <c r="AA1418" s="5" t="s">
        <v>64</v>
      </c>
      <c r="AB1418" s="5" t="s">
        <v>6587</v>
      </c>
      <c r="AC1418" s="6" t="s">
        <v>67</v>
      </c>
      <c r="AD1418" s="6">
        <v>7803.0</v>
      </c>
    </row>
    <row r="1419" ht="56.25" customHeight="1">
      <c r="A1419" s="5" t="s">
        <v>6574</v>
      </c>
      <c r="B1419" s="6" t="str">
        <f>IMAGE("https://storage.googleapis.com/acdb/housewares/FtrPetWC_Remake_3_0.png")</f>
        <v/>
      </c>
      <c r="C1419" s="5" t="s">
        <v>83</v>
      </c>
      <c r="D1419" s="5" t="s">
        <v>34</v>
      </c>
      <c r="E1419" s="5" t="s">
        <v>34</v>
      </c>
      <c r="F1419" s="5" t="s">
        <v>34</v>
      </c>
      <c r="G1419" s="5" t="s">
        <v>36</v>
      </c>
      <c r="H1419" s="5" t="s">
        <v>36</v>
      </c>
      <c r="I1419" s="5" t="s">
        <v>36</v>
      </c>
      <c r="J1419" s="6" t="s">
        <v>34</v>
      </c>
      <c r="K1419" s="6">
        <v>1100.0</v>
      </c>
      <c r="L1419" s="6">
        <v>275.0</v>
      </c>
      <c r="M1419" s="8" t="s">
        <v>1175</v>
      </c>
      <c r="N1419" s="8" t="s">
        <v>54</v>
      </c>
      <c r="O1419" s="6" t="s">
        <v>40</v>
      </c>
      <c r="P1419" s="5" t="s">
        <v>59</v>
      </c>
      <c r="Q1419" s="5" t="s">
        <v>89</v>
      </c>
      <c r="R1419" s="6" t="s">
        <v>42</v>
      </c>
      <c r="S1419" s="5" t="s">
        <v>90</v>
      </c>
      <c r="T1419" s="5" t="s">
        <v>44</v>
      </c>
      <c r="U1419" s="5" t="s">
        <v>44</v>
      </c>
      <c r="V1419" s="5" t="s">
        <v>4107</v>
      </c>
      <c r="W1419" s="5" t="s">
        <v>36</v>
      </c>
      <c r="X1419" s="8" t="s">
        <v>289</v>
      </c>
      <c r="Y1419" s="5" t="s">
        <v>46</v>
      </c>
      <c r="Z1419" s="5" t="s">
        <v>47</v>
      </c>
      <c r="AA1419" s="5" t="s">
        <v>64</v>
      </c>
      <c r="AB1419" s="5" t="s">
        <v>6591</v>
      </c>
      <c r="AC1419" s="6" t="s">
        <v>71</v>
      </c>
      <c r="AD1419" s="6">
        <v>7803.0</v>
      </c>
    </row>
    <row r="1420" ht="56.25" customHeight="1">
      <c r="A1420" s="5" t="s">
        <v>6574</v>
      </c>
      <c r="B1420" s="6" t="str">
        <f>IMAGE("https://storage.googleapis.com/acdb/housewares/FtrPetWC_Remake_4_0.png")</f>
        <v/>
      </c>
      <c r="C1420" s="5" t="s">
        <v>69</v>
      </c>
      <c r="D1420" s="5" t="s">
        <v>34</v>
      </c>
      <c r="E1420" s="5" t="s">
        <v>34</v>
      </c>
      <c r="F1420" s="5" t="s">
        <v>34</v>
      </c>
      <c r="G1420" s="5" t="s">
        <v>36</v>
      </c>
      <c r="H1420" s="5" t="s">
        <v>36</v>
      </c>
      <c r="I1420" s="5" t="s">
        <v>36</v>
      </c>
      <c r="J1420" s="6" t="s">
        <v>34</v>
      </c>
      <c r="K1420" s="6">
        <v>1100.0</v>
      </c>
      <c r="L1420" s="6">
        <v>275.0</v>
      </c>
      <c r="M1420" s="8" t="s">
        <v>69</v>
      </c>
      <c r="N1420" s="8" t="s">
        <v>114</v>
      </c>
      <c r="O1420" s="6" t="s">
        <v>40</v>
      </c>
      <c r="P1420" s="5" t="s">
        <v>59</v>
      </c>
      <c r="Q1420" s="5" t="s">
        <v>89</v>
      </c>
      <c r="R1420" s="6" t="s">
        <v>42</v>
      </c>
      <c r="S1420" s="5" t="s">
        <v>90</v>
      </c>
      <c r="T1420" s="5" t="s">
        <v>44</v>
      </c>
      <c r="U1420" s="5" t="s">
        <v>44</v>
      </c>
      <c r="V1420" s="5" t="s">
        <v>4107</v>
      </c>
      <c r="W1420" s="5" t="s">
        <v>36</v>
      </c>
      <c r="X1420" s="8" t="s">
        <v>289</v>
      </c>
      <c r="Y1420" s="5" t="s">
        <v>46</v>
      </c>
      <c r="Z1420" s="5" t="s">
        <v>47</v>
      </c>
      <c r="AA1420" s="5" t="s">
        <v>64</v>
      </c>
      <c r="AB1420" s="5" t="s">
        <v>6595</v>
      </c>
      <c r="AC1420" s="6" t="s">
        <v>75</v>
      </c>
      <c r="AD1420" s="6">
        <v>7803.0</v>
      </c>
    </row>
    <row r="1421" ht="56.25" customHeight="1">
      <c r="A1421" s="5" t="s">
        <v>6574</v>
      </c>
      <c r="B1421" s="6" t="str">
        <f>IMAGE("https://storage.googleapis.com/acdb/housewares/FtrPetWC_Remake_5_0.png")</f>
        <v/>
      </c>
      <c r="C1421" s="5" t="s">
        <v>39</v>
      </c>
      <c r="D1421" s="5" t="s">
        <v>34</v>
      </c>
      <c r="E1421" s="5" t="s">
        <v>34</v>
      </c>
      <c r="F1421" s="5" t="s">
        <v>34</v>
      </c>
      <c r="G1421" s="5" t="s">
        <v>36</v>
      </c>
      <c r="H1421" s="5" t="s">
        <v>36</v>
      </c>
      <c r="I1421" s="5" t="s">
        <v>36</v>
      </c>
      <c r="J1421" s="6" t="s">
        <v>34</v>
      </c>
      <c r="K1421" s="6">
        <v>1100.0</v>
      </c>
      <c r="L1421" s="6">
        <v>275.0</v>
      </c>
      <c r="M1421" s="8" t="s">
        <v>39</v>
      </c>
      <c r="N1421" s="8" t="s">
        <v>95</v>
      </c>
      <c r="O1421" s="6" t="s">
        <v>40</v>
      </c>
      <c r="P1421" s="5" t="s">
        <v>59</v>
      </c>
      <c r="Q1421" s="5" t="s">
        <v>89</v>
      </c>
      <c r="R1421" s="6" t="s">
        <v>42</v>
      </c>
      <c r="S1421" s="5" t="s">
        <v>90</v>
      </c>
      <c r="T1421" s="5" t="s">
        <v>44</v>
      </c>
      <c r="U1421" s="5" t="s">
        <v>44</v>
      </c>
      <c r="V1421" s="5" t="s">
        <v>4107</v>
      </c>
      <c r="W1421" s="5" t="s">
        <v>36</v>
      </c>
      <c r="X1421" s="8" t="s">
        <v>289</v>
      </c>
      <c r="Y1421" s="5" t="s">
        <v>46</v>
      </c>
      <c r="Z1421" s="5" t="s">
        <v>47</v>
      </c>
      <c r="AA1421" s="5" t="s">
        <v>64</v>
      </c>
      <c r="AB1421" s="5" t="s">
        <v>6598</v>
      </c>
      <c r="AC1421" s="6" t="s">
        <v>79</v>
      </c>
      <c r="AD1421" s="6">
        <v>7803.0</v>
      </c>
    </row>
    <row r="1422" ht="56.25" customHeight="1">
      <c r="A1422" s="5" t="s">
        <v>6574</v>
      </c>
      <c r="B1422" s="6" t="str">
        <f>IMAGE("https://storage.googleapis.com/acdb/housewares/FtrPetWC_Remake_6_0.png")</f>
        <v/>
      </c>
      <c r="C1422" s="5" t="s">
        <v>54</v>
      </c>
      <c r="D1422" s="5" t="s">
        <v>34</v>
      </c>
      <c r="E1422" s="5" t="s">
        <v>34</v>
      </c>
      <c r="F1422" s="5" t="s">
        <v>34</v>
      </c>
      <c r="G1422" s="5" t="s">
        <v>36</v>
      </c>
      <c r="H1422" s="5" t="s">
        <v>36</v>
      </c>
      <c r="I1422" s="5" t="s">
        <v>36</v>
      </c>
      <c r="J1422" s="6" t="s">
        <v>34</v>
      </c>
      <c r="K1422" s="6">
        <v>1100.0</v>
      </c>
      <c r="L1422" s="6">
        <v>275.0</v>
      </c>
      <c r="M1422" s="8" t="s">
        <v>54</v>
      </c>
      <c r="N1422" s="8" t="s">
        <v>1175</v>
      </c>
      <c r="O1422" s="6" t="s">
        <v>40</v>
      </c>
      <c r="P1422" s="5" t="s">
        <v>59</v>
      </c>
      <c r="Q1422" s="5" t="s">
        <v>89</v>
      </c>
      <c r="R1422" s="6" t="s">
        <v>42</v>
      </c>
      <c r="S1422" s="5" t="s">
        <v>90</v>
      </c>
      <c r="T1422" s="5" t="s">
        <v>44</v>
      </c>
      <c r="U1422" s="5" t="s">
        <v>44</v>
      </c>
      <c r="V1422" s="5" t="s">
        <v>4107</v>
      </c>
      <c r="W1422" s="5" t="s">
        <v>36</v>
      </c>
      <c r="X1422" s="8" t="s">
        <v>289</v>
      </c>
      <c r="Y1422" s="5" t="s">
        <v>46</v>
      </c>
      <c r="Z1422" s="5" t="s">
        <v>47</v>
      </c>
      <c r="AA1422" s="5" t="s">
        <v>64</v>
      </c>
      <c r="AB1422" s="5" t="s">
        <v>6604</v>
      </c>
      <c r="AC1422" s="6" t="s">
        <v>86</v>
      </c>
      <c r="AD1422" s="6">
        <v>7803.0</v>
      </c>
    </row>
    <row r="1423" ht="56.25" customHeight="1">
      <c r="A1423" s="5" t="s">
        <v>6606</v>
      </c>
      <c r="B1423" s="6" t="str">
        <f>IMAGE("https://storage.googleapis.com/acdb/housewares/FtrKotatsu_Remake_0_0.png")</f>
        <v/>
      </c>
      <c r="C1423" s="5" t="s">
        <v>34</v>
      </c>
      <c r="D1423" s="5" t="s">
        <v>34</v>
      </c>
      <c r="E1423" s="5" t="s">
        <v>6607</v>
      </c>
      <c r="F1423" s="5" t="s">
        <v>6608</v>
      </c>
      <c r="G1423" s="5" t="s">
        <v>36</v>
      </c>
      <c r="H1423" s="5" t="s">
        <v>36</v>
      </c>
      <c r="I1423" s="5" t="s">
        <v>35</v>
      </c>
      <c r="J1423" s="6">
        <v>2.0</v>
      </c>
      <c r="K1423" s="6">
        <v>3700.0</v>
      </c>
      <c r="L1423" s="6">
        <v>925.0</v>
      </c>
      <c r="M1423" s="8" t="s">
        <v>39</v>
      </c>
      <c r="N1423" s="8" t="s">
        <v>68</v>
      </c>
      <c r="O1423" s="6" t="s">
        <v>214</v>
      </c>
      <c r="P1423" s="5" t="s">
        <v>59</v>
      </c>
      <c r="Q1423" s="5" t="s">
        <v>115</v>
      </c>
      <c r="R1423" s="6" t="s">
        <v>42</v>
      </c>
      <c r="S1423" s="5" t="s">
        <v>266</v>
      </c>
      <c r="T1423" s="5" t="s">
        <v>44</v>
      </c>
      <c r="U1423" s="5" t="s">
        <v>44</v>
      </c>
      <c r="V1423" s="5" t="s">
        <v>44</v>
      </c>
      <c r="W1423" s="5" t="s">
        <v>36</v>
      </c>
      <c r="X1423" s="8" t="s">
        <v>278</v>
      </c>
      <c r="Y1423" s="5" t="s">
        <v>46</v>
      </c>
      <c r="Z1423" s="5" t="s">
        <v>47</v>
      </c>
      <c r="AA1423" s="5" t="s">
        <v>64</v>
      </c>
      <c r="AB1423" s="5" t="s">
        <v>6612</v>
      </c>
      <c r="AC1423" s="6" t="s">
        <v>50</v>
      </c>
      <c r="AD1423" s="6">
        <v>1849.0</v>
      </c>
    </row>
    <row r="1424" ht="56.25" customHeight="1">
      <c r="A1424" s="5" t="s">
        <v>6606</v>
      </c>
      <c r="B1424" s="6" t="str">
        <f>image("https://storage.googleapis.com/acdb/housewares/FtrKotatsu_Remake_0_1.png")</f>
        <v/>
      </c>
      <c r="C1424" s="5" t="s">
        <v>34</v>
      </c>
      <c r="D1424" s="5" t="s">
        <v>34</v>
      </c>
      <c r="E1424" s="5" t="s">
        <v>1726</v>
      </c>
      <c r="F1424" s="5" t="s">
        <v>6608</v>
      </c>
      <c r="G1424" s="5" t="s">
        <v>36</v>
      </c>
      <c r="H1424" s="5" t="s">
        <v>36</v>
      </c>
      <c r="I1424" s="5" t="s">
        <v>35</v>
      </c>
      <c r="J1424" s="6">
        <v>2.0</v>
      </c>
      <c r="K1424" s="6">
        <v>3700.0</v>
      </c>
      <c r="L1424" s="6">
        <v>925.0</v>
      </c>
      <c r="M1424" s="8" t="s">
        <v>39</v>
      </c>
      <c r="N1424" s="8" t="s">
        <v>69</v>
      </c>
      <c r="O1424" s="6" t="s">
        <v>214</v>
      </c>
      <c r="P1424" s="5" t="s">
        <v>59</v>
      </c>
      <c r="Q1424" s="5" t="s">
        <v>115</v>
      </c>
      <c r="R1424" s="6" t="s">
        <v>42</v>
      </c>
      <c r="S1424" s="5" t="s">
        <v>266</v>
      </c>
      <c r="T1424" s="5" t="s">
        <v>44</v>
      </c>
      <c r="U1424" s="5" t="s">
        <v>44</v>
      </c>
      <c r="V1424" s="5" t="s">
        <v>44</v>
      </c>
      <c r="W1424" s="5" t="s">
        <v>36</v>
      </c>
      <c r="X1424" s="8" t="s">
        <v>278</v>
      </c>
      <c r="Y1424" s="5" t="s">
        <v>46</v>
      </c>
      <c r="Z1424" s="5" t="s">
        <v>47</v>
      </c>
      <c r="AA1424" s="5" t="s">
        <v>64</v>
      </c>
      <c r="AB1424" s="5" t="s">
        <v>6616</v>
      </c>
      <c r="AC1424" s="6" t="s">
        <v>217</v>
      </c>
      <c r="AD1424" s="6">
        <v>1849.0</v>
      </c>
    </row>
    <row r="1425" ht="56.25" customHeight="1">
      <c r="A1425" s="5" t="s">
        <v>6606</v>
      </c>
      <c r="B1425" s="6" t="str">
        <f>image("https://storage.googleapis.com/acdb/housewares/FtrKotatsu_Remake_0_2.png")</f>
        <v/>
      </c>
      <c r="C1425" s="5" t="s">
        <v>34</v>
      </c>
      <c r="D1425" s="5" t="s">
        <v>34</v>
      </c>
      <c r="E1425" s="5" t="s">
        <v>422</v>
      </c>
      <c r="F1425" s="5" t="s">
        <v>6608</v>
      </c>
      <c r="G1425" s="5" t="s">
        <v>36</v>
      </c>
      <c r="H1425" s="5" t="s">
        <v>36</v>
      </c>
      <c r="I1425" s="5" t="s">
        <v>35</v>
      </c>
      <c r="J1425" s="6">
        <v>2.0</v>
      </c>
      <c r="K1425" s="6">
        <v>3700.0</v>
      </c>
      <c r="L1425" s="6">
        <v>925.0</v>
      </c>
      <c r="M1425" s="8" t="s">
        <v>39</v>
      </c>
      <c r="N1425" s="8" t="s">
        <v>114</v>
      </c>
      <c r="O1425" s="6" t="s">
        <v>214</v>
      </c>
      <c r="P1425" s="5" t="s">
        <v>59</v>
      </c>
      <c r="Q1425" s="5" t="s">
        <v>115</v>
      </c>
      <c r="R1425" s="6" t="s">
        <v>42</v>
      </c>
      <c r="S1425" s="5" t="s">
        <v>266</v>
      </c>
      <c r="T1425" s="5" t="s">
        <v>44</v>
      </c>
      <c r="U1425" s="5" t="s">
        <v>44</v>
      </c>
      <c r="V1425" s="5" t="s">
        <v>44</v>
      </c>
      <c r="W1425" s="5" t="s">
        <v>36</v>
      </c>
      <c r="X1425" s="8" t="s">
        <v>278</v>
      </c>
      <c r="Y1425" s="5" t="s">
        <v>46</v>
      </c>
      <c r="Z1425" s="5" t="s">
        <v>47</v>
      </c>
      <c r="AA1425" s="5" t="s">
        <v>64</v>
      </c>
      <c r="AB1425" s="5" t="s">
        <v>6618</v>
      </c>
      <c r="AC1425" s="6" t="s">
        <v>347</v>
      </c>
      <c r="AD1425" s="6">
        <v>1849.0</v>
      </c>
    </row>
    <row r="1426" ht="56.25" customHeight="1">
      <c r="A1426" s="5" t="s">
        <v>6606</v>
      </c>
      <c r="B1426" s="6" t="str">
        <f>image("https://storage.googleapis.com/acdb/housewares/FtrKotatsu_Remake_0_3.png")</f>
        <v/>
      </c>
      <c r="C1426" s="5" t="s">
        <v>34</v>
      </c>
      <c r="D1426" s="5" t="s">
        <v>34</v>
      </c>
      <c r="E1426" s="5" t="s">
        <v>6184</v>
      </c>
      <c r="F1426" s="5" t="s">
        <v>6608</v>
      </c>
      <c r="G1426" s="5" t="s">
        <v>36</v>
      </c>
      <c r="H1426" s="5" t="s">
        <v>36</v>
      </c>
      <c r="I1426" s="5" t="s">
        <v>35</v>
      </c>
      <c r="J1426" s="6">
        <v>2.0</v>
      </c>
      <c r="K1426" s="6">
        <v>3700.0</v>
      </c>
      <c r="L1426" s="6">
        <v>925.0</v>
      </c>
      <c r="M1426" s="8" t="s">
        <v>39</v>
      </c>
      <c r="N1426" s="8" t="s">
        <v>58</v>
      </c>
      <c r="O1426" s="6" t="s">
        <v>214</v>
      </c>
      <c r="P1426" s="5" t="s">
        <v>59</v>
      </c>
      <c r="Q1426" s="5" t="s">
        <v>115</v>
      </c>
      <c r="R1426" s="6" t="s">
        <v>42</v>
      </c>
      <c r="S1426" s="5" t="s">
        <v>266</v>
      </c>
      <c r="T1426" s="5" t="s">
        <v>44</v>
      </c>
      <c r="U1426" s="5" t="s">
        <v>44</v>
      </c>
      <c r="V1426" s="5" t="s">
        <v>44</v>
      </c>
      <c r="W1426" s="5" t="s">
        <v>36</v>
      </c>
      <c r="X1426" s="8" t="s">
        <v>278</v>
      </c>
      <c r="Y1426" s="5" t="s">
        <v>46</v>
      </c>
      <c r="Z1426" s="5" t="s">
        <v>47</v>
      </c>
      <c r="AA1426" s="5" t="s">
        <v>64</v>
      </c>
      <c r="AB1426" s="5" t="s">
        <v>6623</v>
      </c>
      <c r="AC1426" s="6" t="s">
        <v>354</v>
      </c>
      <c r="AD1426" s="6">
        <v>1849.0</v>
      </c>
    </row>
    <row r="1427" ht="56.25" customHeight="1">
      <c r="A1427" s="5" t="s">
        <v>6624</v>
      </c>
      <c r="B1427" s="6" t="str">
        <f>IMAGE("https://storage.googleapis.com/acdb/housewares/FtrMovingboxL.png")</f>
        <v/>
      </c>
      <c r="C1427" s="5" t="s">
        <v>34</v>
      </c>
      <c r="D1427" s="5" t="s">
        <v>34</v>
      </c>
      <c r="E1427" s="5" t="s">
        <v>34</v>
      </c>
      <c r="F1427" s="5" t="s">
        <v>34</v>
      </c>
      <c r="G1427" s="5" t="s">
        <v>35</v>
      </c>
      <c r="H1427" s="5" t="s">
        <v>36</v>
      </c>
      <c r="I1427" s="5" t="s">
        <v>36</v>
      </c>
      <c r="J1427" s="6" t="s">
        <v>34</v>
      </c>
      <c r="K1427" s="6" t="s">
        <v>37</v>
      </c>
      <c r="L1427" s="6">
        <v>300.0</v>
      </c>
      <c r="M1427" s="5" t="s">
        <v>44</v>
      </c>
      <c r="N1427" s="5" t="s">
        <v>44</v>
      </c>
      <c r="O1427" s="6" t="s">
        <v>214</v>
      </c>
      <c r="P1427" s="5" t="s">
        <v>41</v>
      </c>
      <c r="Q1427" s="5"/>
      <c r="R1427" s="6" t="s">
        <v>42</v>
      </c>
      <c r="S1427" s="5" t="s">
        <v>416</v>
      </c>
      <c r="T1427" s="5" t="s">
        <v>44</v>
      </c>
      <c r="U1427" s="5" t="s">
        <v>814</v>
      </c>
      <c r="V1427" s="5" t="s">
        <v>44</v>
      </c>
      <c r="W1427" s="5" t="s">
        <v>36</v>
      </c>
      <c r="X1427" s="8" t="s">
        <v>432</v>
      </c>
      <c r="Y1427" s="5" t="s">
        <v>46</v>
      </c>
      <c r="Z1427" s="5" t="s">
        <v>47</v>
      </c>
      <c r="AA1427" s="5" t="s">
        <v>48</v>
      </c>
      <c r="AB1427" s="5" t="s">
        <v>6625</v>
      </c>
      <c r="AC1427" s="6" t="s">
        <v>34</v>
      </c>
      <c r="AD1427" s="6">
        <v>3412.0</v>
      </c>
    </row>
    <row r="1428" ht="56.25" customHeight="1">
      <c r="A1428" s="5" t="s">
        <v>6627</v>
      </c>
      <c r="B1428" s="6" t="str">
        <f>IMAGE("https://storage.googleapis.com/acdb/housewares/FtrVinylchair_Remake_0_0.png")</f>
        <v/>
      </c>
      <c r="C1428" s="5" t="s">
        <v>68</v>
      </c>
      <c r="D1428" s="5" t="s">
        <v>34</v>
      </c>
      <c r="E1428" s="5" t="s">
        <v>34</v>
      </c>
      <c r="F1428" s="5" t="s">
        <v>34</v>
      </c>
      <c r="G1428" s="5" t="s">
        <v>36</v>
      </c>
      <c r="H1428" s="5" t="s">
        <v>36</v>
      </c>
      <c r="I1428" s="5" t="s">
        <v>36</v>
      </c>
      <c r="J1428" s="6" t="s">
        <v>34</v>
      </c>
      <c r="K1428" s="6">
        <v>760.0</v>
      </c>
      <c r="L1428" s="6">
        <v>190.0</v>
      </c>
      <c r="M1428" s="8" t="s">
        <v>1175</v>
      </c>
      <c r="N1428" s="8" t="s">
        <v>57</v>
      </c>
      <c r="O1428" s="6" t="s">
        <v>40</v>
      </c>
      <c r="P1428" s="5" t="s">
        <v>59</v>
      </c>
      <c r="Q1428" s="5" t="s">
        <v>554</v>
      </c>
      <c r="R1428" s="6" t="s">
        <v>42</v>
      </c>
      <c r="S1428" s="5" t="s">
        <v>138</v>
      </c>
      <c r="T1428" s="5" t="s">
        <v>44</v>
      </c>
      <c r="U1428" s="5" t="s">
        <v>44</v>
      </c>
      <c r="V1428" s="5" t="s">
        <v>44</v>
      </c>
      <c r="W1428" s="5" t="s">
        <v>35</v>
      </c>
      <c r="X1428" s="8" t="s">
        <v>248</v>
      </c>
      <c r="Y1428" s="5" t="s">
        <v>46</v>
      </c>
      <c r="Z1428" s="5" t="s">
        <v>47</v>
      </c>
      <c r="AA1428" s="5" t="s">
        <v>64</v>
      </c>
      <c r="AB1428" s="5" t="s">
        <v>6631</v>
      </c>
      <c r="AC1428" s="6" t="s">
        <v>50</v>
      </c>
      <c r="AD1428" s="6">
        <v>1621.0</v>
      </c>
    </row>
    <row r="1429" ht="56.25" customHeight="1">
      <c r="A1429" s="5" t="s">
        <v>6627</v>
      </c>
      <c r="B1429" s="6" t="str">
        <f>IMAGE("https://storage.googleapis.com/acdb/housewares/FtrVinylchair_Remake_1_0.png")</f>
        <v/>
      </c>
      <c r="C1429" s="5" t="s">
        <v>6634</v>
      </c>
      <c r="D1429" s="5" t="s">
        <v>34</v>
      </c>
      <c r="E1429" s="5" t="s">
        <v>34</v>
      </c>
      <c r="F1429" s="5" t="s">
        <v>34</v>
      </c>
      <c r="G1429" s="5" t="s">
        <v>36</v>
      </c>
      <c r="H1429" s="5" t="s">
        <v>36</v>
      </c>
      <c r="I1429" s="5" t="s">
        <v>36</v>
      </c>
      <c r="J1429" s="6" t="s">
        <v>34</v>
      </c>
      <c r="K1429" s="6">
        <v>760.0</v>
      </c>
      <c r="L1429" s="6">
        <v>190.0</v>
      </c>
      <c r="M1429" s="8" t="s">
        <v>58</v>
      </c>
      <c r="N1429" s="8" t="s">
        <v>57</v>
      </c>
      <c r="O1429" s="6" t="s">
        <v>40</v>
      </c>
      <c r="P1429" s="5" t="s">
        <v>59</v>
      </c>
      <c r="Q1429" s="5" t="s">
        <v>554</v>
      </c>
      <c r="R1429" s="6" t="s">
        <v>42</v>
      </c>
      <c r="S1429" s="5" t="s">
        <v>138</v>
      </c>
      <c r="T1429" s="5" t="s">
        <v>44</v>
      </c>
      <c r="U1429" s="5" t="s">
        <v>44</v>
      </c>
      <c r="V1429" s="5" t="s">
        <v>44</v>
      </c>
      <c r="W1429" s="5" t="s">
        <v>35</v>
      </c>
      <c r="X1429" s="8" t="s">
        <v>248</v>
      </c>
      <c r="Y1429" s="5" t="s">
        <v>46</v>
      </c>
      <c r="Z1429" s="5" t="s">
        <v>47</v>
      </c>
      <c r="AA1429" s="5" t="s">
        <v>64</v>
      </c>
      <c r="AB1429" s="5" t="s">
        <v>6636</v>
      </c>
      <c r="AC1429" s="6" t="s">
        <v>56</v>
      </c>
      <c r="AD1429" s="6">
        <v>1621.0</v>
      </c>
    </row>
    <row r="1430" ht="56.25" customHeight="1">
      <c r="A1430" s="5" t="s">
        <v>6627</v>
      </c>
      <c r="B1430" s="6" t="str">
        <f>IMAGE("https://storage.googleapis.com/acdb/housewares/FtrVinylchair_Remake_2_0.png")</f>
        <v/>
      </c>
      <c r="C1430" s="5" t="s">
        <v>69</v>
      </c>
      <c r="D1430" s="5" t="s">
        <v>34</v>
      </c>
      <c r="E1430" s="5" t="s">
        <v>34</v>
      </c>
      <c r="F1430" s="5" t="s">
        <v>34</v>
      </c>
      <c r="G1430" s="5" t="s">
        <v>36</v>
      </c>
      <c r="H1430" s="5" t="s">
        <v>36</v>
      </c>
      <c r="I1430" s="5" t="s">
        <v>36</v>
      </c>
      <c r="J1430" s="6" t="s">
        <v>34</v>
      </c>
      <c r="K1430" s="6">
        <v>760.0</v>
      </c>
      <c r="L1430" s="6">
        <v>190.0</v>
      </c>
      <c r="M1430" s="8" t="s">
        <v>69</v>
      </c>
      <c r="N1430" s="8" t="s">
        <v>57</v>
      </c>
      <c r="O1430" s="6" t="s">
        <v>40</v>
      </c>
      <c r="P1430" s="5" t="s">
        <v>59</v>
      </c>
      <c r="Q1430" s="5" t="s">
        <v>554</v>
      </c>
      <c r="R1430" s="6" t="s">
        <v>42</v>
      </c>
      <c r="S1430" s="5" t="s">
        <v>138</v>
      </c>
      <c r="T1430" s="5" t="s">
        <v>44</v>
      </c>
      <c r="U1430" s="5" t="s">
        <v>44</v>
      </c>
      <c r="V1430" s="5" t="s">
        <v>44</v>
      </c>
      <c r="W1430" s="5" t="s">
        <v>35</v>
      </c>
      <c r="X1430" s="8" t="s">
        <v>248</v>
      </c>
      <c r="Y1430" s="5" t="s">
        <v>46</v>
      </c>
      <c r="Z1430" s="5" t="s">
        <v>47</v>
      </c>
      <c r="AA1430" s="5" t="s">
        <v>64</v>
      </c>
      <c r="AB1430" s="5" t="s">
        <v>6639</v>
      </c>
      <c r="AC1430" s="6" t="s">
        <v>67</v>
      </c>
      <c r="AD1430" s="6">
        <v>1621.0</v>
      </c>
    </row>
    <row r="1431" ht="56.25" customHeight="1">
      <c r="A1431" s="5" t="s">
        <v>6627</v>
      </c>
      <c r="B1431" s="6" t="str">
        <f>IMAGE("https://storage.googleapis.com/acdb/housewares/FtrVinylchair_Remake_3_0.png")</f>
        <v/>
      </c>
      <c r="C1431" s="5" t="s">
        <v>114</v>
      </c>
      <c r="D1431" s="5" t="s">
        <v>34</v>
      </c>
      <c r="E1431" s="5" t="s">
        <v>34</v>
      </c>
      <c r="F1431" s="5" t="s">
        <v>34</v>
      </c>
      <c r="G1431" s="5" t="s">
        <v>36</v>
      </c>
      <c r="H1431" s="5" t="s">
        <v>36</v>
      </c>
      <c r="I1431" s="5" t="s">
        <v>36</v>
      </c>
      <c r="J1431" s="6" t="s">
        <v>34</v>
      </c>
      <c r="K1431" s="6">
        <v>760.0</v>
      </c>
      <c r="L1431" s="6">
        <v>190.0</v>
      </c>
      <c r="M1431" s="8" t="s">
        <v>58</v>
      </c>
      <c r="N1431" s="8" t="s">
        <v>57</v>
      </c>
      <c r="O1431" s="6" t="s">
        <v>40</v>
      </c>
      <c r="P1431" s="5" t="s">
        <v>59</v>
      </c>
      <c r="Q1431" s="5" t="s">
        <v>554</v>
      </c>
      <c r="R1431" s="6" t="s">
        <v>42</v>
      </c>
      <c r="S1431" s="5" t="s">
        <v>138</v>
      </c>
      <c r="T1431" s="5" t="s">
        <v>44</v>
      </c>
      <c r="U1431" s="5" t="s">
        <v>44</v>
      </c>
      <c r="V1431" s="5" t="s">
        <v>44</v>
      </c>
      <c r="W1431" s="5" t="s">
        <v>35</v>
      </c>
      <c r="X1431" s="8" t="s">
        <v>248</v>
      </c>
      <c r="Y1431" s="5" t="s">
        <v>46</v>
      </c>
      <c r="Z1431" s="5" t="s">
        <v>47</v>
      </c>
      <c r="AA1431" s="5" t="s">
        <v>64</v>
      </c>
      <c r="AB1431" s="5" t="s">
        <v>6643</v>
      </c>
      <c r="AC1431" s="6" t="s">
        <v>71</v>
      </c>
      <c r="AD1431" s="6">
        <v>1621.0</v>
      </c>
    </row>
    <row r="1432" ht="56.25" customHeight="1">
      <c r="A1432" s="5" t="s">
        <v>6627</v>
      </c>
      <c r="B1432" s="6" t="str">
        <f>IMAGE("https://storage.googleapis.com/acdb/housewares/FtrVinylchair_Remake_4_0.png")</f>
        <v/>
      </c>
      <c r="C1432" s="5" t="s">
        <v>96</v>
      </c>
      <c r="D1432" s="5" t="s">
        <v>34</v>
      </c>
      <c r="E1432" s="5" t="s">
        <v>34</v>
      </c>
      <c r="F1432" s="5" t="s">
        <v>34</v>
      </c>
      <c r="G1432" s="5" t="s">
        <v>36</v>
      </c>
      <c r="H1432" s="5" t="s">
        <v>36</v>
      </c>
      <c r="I1432" s="5" t="s">
        <v>36</v>
      </c>
      <c r="J1432" s="6" t="s">
        <v>34</v>
      </c>
      <c r="K1432" s="6">
        <v>760.0</v>
      </c>
      <c r="L1432" s="6">
        <v>190.0</v>
      </c>
      <c r="M1432" s="8" t="s">
        <v>96</v>
      </c>
      <c r="N1432" s="8" t="s">
        <v>96</v>
      </c>
      <c r="O1432" s="6" t="s">
        <v>40</v>
      </c>
      <c r="P1432" s="5" t="s">
        <v>59</v>
      </c>
      <c r="Q1432" s="5" t="s">
        <v>554</v>
      </c>
      <c r="R1432" s="6" t="s">
        <v>42</v>
      </c>
      <c r="S1432" s="5" t="s">
        <v>138</v>
      </c>
      <c r="T1432" s="5" t="s">
        <v>44</v>
      </c>
      <c r="U1432" s="5" t="s">
        <v>44</v>
      </c>
      <c r="V1432" s="5" t="s">
        <v>44</v>
      </c>
      <c r="W1432" s="5" t="s">
        <v>35</v>
      </c>
      <c r="X1432" s="8" t="s">
        <v>248</v>
      </c>
      <c r="Y1432" s="5" t="s">
        <v>46</v>
      </c>
      <c r="Z1432" s="5" t="s">
        <v>47</v>
      </c>
      <c r="AA1432" s="5" t="s">
        <v>64</v>
      </c>
      <c r="AB1432" s="5" t="s">
        <v>6647</v>
      </c>
      <c r="AC1432" s="6" t="s">
        <v>75</v>
      </c>
      <c r="AD1432" s="6">
        <v>1621.0</v>
      </c>
    </row>
    <row r="1433" ht="56.25" customHeight="1">
      <c r="A1433" s="5" t="s">
        <v>6627</v>
      </c>
      <c r="B1433" s="6" t="str">
        <f>IMAGE("https://storage.googleapis.com/acdb/housewares/FtrVinylchair_Remake_5_0.png")</f>
        <v/>
      </c>
      <c r="C1433" s="5" t="s">
        <v>54</v>
      </c>
      <c r="D1433" s="5" t="s">
        <v>34</v>
      </c>
      <c r="E1433" s="5" t="s">
        <v>34</v>
      </c>
      <c r="F1433" s="5" t="s">
        <v>34</v>
      </c>
      <c r="G1433" s="5" t="s">
        <v>36</v>
      </c>
      <c r="H1433" s="5" t="s">
        <v>36</v>
      </c>
      <c r="I1433" s="5" t="s">
        <v>36</v>
      </c>
      <c r="J1433" s="6" t="s">
        <v>34</v>
      </c>
      <c r="K1433" s="6">
        <v>760.0</v>
      </c>
      <c r="L1433" s="6">
        <v>190.0</v>
      </c>
      <c r="M1433" s="8" t="s">
        <v>54</v>
      </c>
      <c r="N1433" s="8" t="s">
        <v>142</v>
      </c>
      <c r="O1433" s="6" t="s">
        <v>40</v>
      </c>
      <c r="P1433" s="5" t="s">
        <v>59</v>
      </c>
      <c r="Q1433" s="5" t="s">
        <v>554</v>
      </c>
      <c r="R1433" s="6" t="s">
        <v>42</v>
      </c>
      <c r="S1433" s="5" t="s">
        <v>138</v>
      </c>
      <c r="T1433" s="5" t="s">
        <v>44</v>
      </c>
      <c r="U1433" s="5" t="s">
        <v>44</v>
      </c>
      <c r="V1433" s="5" t="s">
        <v>44</v>
      </c>
      <c r="W1433" s="5" t="s">
        <v>35</v>
      </c>
      <c r="X1433" s="8" t="s">
        <v>248</v>
      </c>
      <c r="Y1433" s="5" t="s">
        <v>46</v>
      </c>
      <c r="Z1433" s="5" t="s">
        <v>47</v>
      </c>
      <c r="AA1433" s="5" t="s">
        <v>64</v>
      </c>
      <c r="AB1433" s="5" t="s">
        <v>6651</v>
      </c>
      <c r="AC1433" s="6" t="s">
        <v>79</v>
      </c>
      <c r="AD1433" s="6">
        <v>1621.0</v>
      </c>
    </row>
    <row r="1434" ht="56.25" customHeight="1">
      <c r="A1434" s="5" t="s">
        <v>6652</v>
      </c>
      <c r="B1434" s="6" t="str">
        <f>IMAGE("https://storage.googleapis.com/acdb/housewares/FtrLawnmower_Remake_0_0.png")</f>
        <v/>
      </c>
      <c r="C1434" s="5" t="s">
        <v>52</v>
      </c>
      <c r="D1434" s="5" t="s">
        <v>34</v>
      </c>
      <c r="E1434" s="5" t="s">
        <v>34</v>
      </c>
      <c r="F1434" s="5" t="s">
        <v>34</v>
      </c>
      <c r="G1434" s="5" t="s">
        <v>36</v>
      </c>
      <c r="H1434" s="5" t="s">
        <v>36</v>
      </c>
      <c r="I1434" s="5" t="s">
        <v>36</v>
      </c>
      <c r="J1434" s="6" t="s">
        <v>34</v>
      </c>
      <c r="K1434" s="6">
        <v>2900.0</v>
      </c>
      <c r="L1434" s="6">
        <v>725.0</v>
      </c>
      <c r="M1434" s="8" t="s">
        <v>52</v>
      </c>
      <c r="N1434" s="8" t="s">
        <v>57</v>
      </c>
      <c r="O1434" s="6" t="s">
        <v>40</v>
      </c>
      <c r="P1434" s="5" t="s">
        <v>59</v>
      </c>
      <c r="Q1434" s="5" t="s">
        <v>89</v>
      </c>
      <c r="R1434" s="6" t="s">
        <v>42</v>
      </c>
      <c r="S1434" s="5" t="s">
        <v>172</v>
      </c>
      <c r="T1434" s="5" t="s">
        <v>44</v>
      </c>
      <c r="U1434" s="5" t="s">
        <v>44</v>
      </c>
      <c r="V1434" s="5" t="s">
        <v>44</v>
      </c>
      <c r="W1434" s="5" t="s">
        <v>36</v>
      </c>
      <c r="X1434" s="8" t="s">
        <v>1010</v>
      </c>
      <c r="Y1434" s="5" t="s">
        <v>46</v>
      </c>
      <c r="Z1434" s="5" t="s">
        <v>47</v>
      </c>
      <c r="AA1434" s="5" t="s">
        <v>64</v>
      </c>
      <c r="AB1434" s="5" t="s">
        <v>6655</v>
      </c>
      <c r="AC1434" s="6" t="s">
        <v>50</v>
      </c>
      <c r="AD1434" s="6">
        <v>338.0</v>
      </c>
    </row>
    <row r="1435" ht="56.25" customHeight="1">
      <c r="A1435" s="5" t="s">
        <v>6652</v>
      </c>
      <c r="B1435" s="6" t="str">
        <f>IMAGE("https://storage.googleapis.com/acdb/housewares/FtrLawnmower_Remake_1_0.png")</f>
        <v/>
      </c>
      <c r="C1435" s="5" t="s">
        <v>142</v>
      </c>
      <c r="D1435" s="5" t="s">
        <v>34</v>
      </c>
      <c r="E1435" s="5" t="s">
        <v>34</v>
      </c>
      <c r="F1435" s="5" t="s">
        <v>34</v>
      </c>
      <c r="G1435" s="5" t="s">
        <v>36</v>
      </c>
      <c r="H1435" s="5" t="s">
        <v>36</v>
      </c>
      <c r="I1435" s="5" t="s">
        <v>36</v>
      </c>
      <c r="J1435" s="6" t="s">
        <v>34</v>
      </c>
      <c r="K1435" s="6">
        <v>2900.0</v>
      </c>
      <c r="L1435" s="6">
        <v>725.0</v>
      </c>
      <c r="M1435" s="8" t="s">
        <v>142</v>
      </c>
      <c r="N1435" s="8" t="s">
        <v>54</v>
      </c>
      <c r="O1435" s="6" t="s">
        <v>40</v>
      </c>
      <c r="P1435" s="5" t="s">
        <v>59</v>
      </c>
      <c r="Q1435" s="5" t="s">
        <v>89</v>
      </c>
      <c r="R1435" s="6" t="s">
        <v>42</v>
      </c>
      <c r="S1435" s="5" t="s">
        <v>172</v>
      </c>
      <c r="T1435" s="5" t="s">
        <v>44</v>
      </c>
      <c r="U1435" s="5" t="s">
        <v>44</v>
      </c>
      <c r="V1435" s="5" t="s">
        <v>44</v>
      </c>
      <c r="W1435" s="5" t="s">
        <v>36</v>
      </c>
      <c r="X1435" s="8" t="s">
        <v>1010</v>
      </c>
      <c r="Y1435" s="5" t="s">
        <v>46</v>
      </c>
      <c r="Z1435" s="5" t="s">
        <v>47</v>
      </c>
      <c r="AA1435" s="5" t="s">
        <v>64</v>
      </c>
      <c r="AB1435" s="5" t="s">
        <v>6659</v>
      </c>
      <c r="AC1435" s="6" t="s">
        <v>56</v>
      </c>
      <c r="AD1435" s="6">
        <v>338.0</v>
      </c>
    </row>
    <row r="1436" ht="56.25" customHeight="1">
      <c r="A1436" s="5" t="s">
        <v>6652</v>
      </c>
      <c r="B1436" s="6" t="str">
        <f>IMAGE("https://storage.googleapis.com/acdb/housewares/FtrLawnmower_Remake_2_0.png")</f>
        <v/>
      </c>
      <c r="C1436" s="5" t="s">
        <v>68</v>
      </c>
      <c r="D1436" s="5" t="s">
        <v>34</v>
      </c>
      <c r="E1436" s="5" t="s">
        <v>34</v>
      </c>
      <c r="F1436" s="5" t="s">
        <v>34</v>
      </c>
      <c r="G1436" s="5" t="s">
        <v>36</v>
      </c>
      <c r="H1436" s="5" t="s">
        <v>36</v>
      </c>
      <c r="I1436" s="5" t="s">
        <v>36</v>
      </c>
      <c r="J1436" s="6" t="s">
        <v>34</v>
      </c>
      <c r="K1436" s="6">
        <v>2900.0</v>
      </c>
      <c r="L1436" s="6">
        <v>725.0</v>
      </c>
      <c r="M1436" s="8" t="s">
        <v>68</v>
      </c>
      <c r="N1436" s="8" t="s">
        <v>57</v>
      </c>
      <c r="O1436" s="6" t="s">
        <v>40</v>
      </c>
      <c r="P1436" s="5" t="s">
        <v>59</v>
      </c>
      <c r="Q1436" s="5" t="s">
        <v>89</v>
      </c>
      <c r="R1436" s="6" t="s">
        <v>42</v>
      </c>
      <c r="S1436" s="5" t="s">
        <v>172</v>
      </c>
      <c r="T1436" s="5" t="s">
        <v>44</v>
      </c>
      <c r="U1436" s="5" t="s">
        <v>44</v>
      </c>
      <c r="V1436" s="5" t="s">
        <v>44</v>
      </c>
      <c r="W1436" s="5" t="s">
        <v>36</v>
      </c>
      <c r="X1436" s="8" t="s">
        <v>1010</v>
      </c>
      <c r="Y1436" s="5" t="s">
        <v>46</v>
      </c>
      <c r="Z1436" s="5" t="s">
        <v>47</v>
      </c>
      <c r="AA1436" s="5" t="s">
        <v>64</v>
      </c>
      <c r="AB1436" s="5" t="s">
        <v>6663</v>
      </c>
      <c r="AC1436" s="6" t="s">
        <v>67</v>
      </c>
      <c r="AD1436" s="6">
        <v>338.0</v>
      </c>
    </row>
    <row r="1437" ht="56.25" customHeight="1">
      <c r="A1437" s="5" t="s">
        <v>6652</v>
      </c>
      <c r="B1437" s="6" t="str">
        <f>IMAGE("https://storage.googleapis.com/acdb/housewares/FtrLawnmower_Remake_3_0.png")</f>
        <v/>
      </c>
      <c r="C1437" s="5" t="s">
        <v>114</v>
      </c>
      <c r="D1437" s="5" t="s">
        <v>34</v>
      </c>
      <c r="E1437" s="5" t="s">
        <v>34</v>
      </c>
      <c r="F1437" s="5" t="s">
        <v>34</v>
      </c>
      <c r="G1437" s="5" t="s">
        <v>36</v>
      </c>
      <c r="H1437" s="5" t="s">
        <v>36</v>
      </c>
      <c r="I1437" s="5" t="s">
        <v>36</v>
      </c>
      <c r="J1437" s="6" t="s">
        <v>34</v>
      </c>
      <c r="K1437" s="6">
        <v>2900.0</v>
      </c>
      <c r="L1437" s="6">
        <v>725.0</v>
      </c>
      <c r="M1437" s="8" t="s">
        <v>114</v>
      </c>
      <c r="N1437" s="8" t="s">
        <v>95</v>
      </c>
      <c r="O1437" s="6" t="s">
        <v>40</v>
      </c>
      <c r="P1437" s="5" t="s">
        <v>59</v>
      </c>
      <c r="Q1437" s="5" t="s">
        <v>89</v>
      </c>
      <c r="R1437" s="6" t="s">
        <v>42</v>
      </c>
      <c r="S1437" s="5" t="s">
        <v>172</v>
      </c>
      <c r="T1437" s="5" t="s">
        <v>44</v>
      </c>
      <c r="U1437" s="5" t="s">
        <v>44</v>
      </c>
      <c r="V1437" s="5" t="s">
        <v>44</v>
      </c>
      <c r="W1437" s="5" t="s">
        <v>36</v>
      </c>
      <c r="X1437" s="8" t="s">
        <v>1010</v>
      </c>
      <c r="Y1437" s="5" t="s">
        <v>46</v>
      </c>
      <c r="Z1437" s="5" t="s">
        <v>47</v>
      </c>
      <c r="AA1437" s="5" t="s">
        <v>64</v>
      </c>
      <c r="AB1437" s="5" t="s">
        <v>6667</v>
      </c>
      <c r="AC1437" s="6" t="s">
        <v>71</v>
      </c>
      <c r="AD1437" s="6">
        <v>338.0</v>
      </c>
    </row>
    <row r="1438" ht="56.25" customHeight="1">
      <c r="A1438" s="5" t="s">
        <v>6652</v>
      </c>
      <c r="B1438" s="6" t="str">
        <f>IMAGE("https://storage.googleapis.com/acdb/housewares/FtrLawnmower_Remake_4_0.png")</f>
        <v/>
      </c>
      <c r="C1438" s="5" t="s">
        <v>96</v>
      </c>
      <c r="D1438" s="5" t="s">
        <v>34</v>
      </c>
      <c r="E1438" s="5" t="s">
        <v>34</v>
      </c>
      <c r="F1438" s="5" t="s">
        <v>34</v>
      </c>
      <c r="G1438" s="5" t="s">
        <v>36</v>
      </c>
      <c r="H1438" s="5" t="s">
        <v>36</v>
      </c>
      <c r="I1438" s="5" t="s">
        <v>36</v>
      </c>
      <c r="J1438" s="6" t="s">
        <v>34</v>
      </c>
      <c r="K1438" s="6">
        <v>2900.0</v>
      </c>
      <c r="L1438" s="6">
        <v>725.0</v>
      </c>
      <c r="M1438" s="8" t="s">
        <v>96</v>
      </c>
      <c r="N1438" s="8" t="s">
        <v>95</v>
      </c>
      <c r="O1438" s="6" t="s">
        <v>40</v>
      </c>
      <c r="P1438" s="5" t="s">
        <v>59</v>
      </c>
      <c r="Q1438" s="5" t="s">
        <v>89</v>
      </c>
      <c r="R1438" s="6" t="s">
        <v>42</v>
      </c>
      <c r="S1438" s="5" t="s">
        <v>172</v>
      </c>
      <c r="T1438" s="5" t="s">
        <v>44</v>
      </c>
      <c r="U1438" s="5" t="s">
        <v>44</v>
      </c>
      <c r="V1438" s="5" t="s">
        <v>44</v>
      </c>
      <c r="W1438" s="5" t="s">
        <v>36</v>
      </c>
      <c r="X1438" s="8" t="s">
        <v>1010</v>
      </c>
      <c r="Y1438" s="5" t="s">
        <v>46</v>
      </c>
      <c r="Z1438" s="5" t="s">
        <v>47</v>
      </c>
      <c r="AA1438" s="5" t="s">
        <v>64</v>
      </c>
      <c r="AB1438" s="5" t="s">
        <v>6675</v>
      </c>
      <c r="AC1438" s="6" t="s">
        <v>75</v>
      </c>
      <c r="AD1438" s="6">
        <v>338.0</v>
      </c>
    </row>
    <row r="1439" ht="56.25" customHeight="1">
      <c r="A1439" s="5" t="s">
        <v>6676</v>
      </c>
      <c r="B1439" s="6" t="str">
        <f>IMAGE("https://storage.googleapis.com/acdb/housewares/FtrFallenleavesfire_Remake_0_0.png")</f>
        <v/>
      </c>
      <c r="C1439" s="5" t="s">
        <v>44</v>
      </c>
      <c r="D1439" s="5" t="s">
        <v>2765</v>
      </c>
      <c r="E1439" s="5" t="s">
        <v>34</v>
      </c>
      <c r="F1439" s="5" t="s">
        <v>34</v>
      </c>
      <c r="G1439" s="5" t="s">
        <v>35</v>
      </c>
      <c r="H1439" s="5" t="s">
        <v>35</v>
      </c>
      <c r="I1439" s="5" t="s">
        <v>36</v>
      </c>
      <c r="J1439" s="6">
        <v>2.0</v>
      </c>
      <c r="K1439" s="6" t="s">
        <v>37</v>
      </c>
      <c r="L1439" s="6">
        <v>1330.0</v>
      </c>
      <c r="M1439" s="8" t="s">
        <v>39</v>
      </c>
      <c r="N1439" s="8" t="s">
        <v>142</v>
      </c>
      <c r="O1439" s="6" t="s">
        <v>40</v>
      </c>
      <c r="P1439" s="5" t="s">
        <v>41</v>
      </c>
      <c r="Q1439" s="5" t="s">
        <v>2446</v>
      </c>
      <c r="R1439" s="6" t="s">
        <v>42</v>
      </c>
      <c r="S1439" s="5" t="s">
        <v>172</v>
      </c>
      <c r="T1439" s="5" t="s">
        <v>44</v>
      </c>
      <c r="U1439" s="5" t="s">
        <v>2448</v>
      </c>
      <c r="V1439" s="5" t="s">
        <v>44</v>
      </c>
      <c r="W1439" s="5" t="s">
        <v>35</v>
      </c>
      <c r="X1439" s="8" t="s">
        <v>244</v>
      </c>
      <c r="Y1439" s="5" t="s">
        <v>46</v>
      </c>
      <c r="Z1439" s="5" t="s">
        <v>47</v>
      </c>
      <c r="AA1439" s="5" t="s">
        <v>48</v>
      </c>
      <c r="AB1439" s="5" t="s">
        <v>6680</v>
      </c>
      <c r="AC1439" s="6" t="s">
        <v>50</v>
      </c>
      <c r="AD1439" s="6">
        <v>7788.0</v>
      </c>
    </row>
    <row r="1440" ht="56.25" customHeight="1">
      <c r="A1440" s="5" t="s">
        <v>6676</v>
      </c>
      <c r="B1440" s="6" t="str">
        <f>IMAGE("https://storage.googleapis.com/acdb/housewares/FtrFallenleavesfire_Remake_1_0.png")</f>
        <v/>
      </c>
      <c r="C1440" s="5" t="s">
        <v>6684</v>
      </c>
      <c r="D1440" s="5" t="s">
        <v>2765</v>
      </c>
      <c r="E1440" s="5" t="s">
        <v>34</v>
      </c>
      <c r="F1440" s="5" t="s">
        <v>34</v>
      </c>
      <c r="G1440" s="5" t="s">
        <v>35</v>
      </c>
      <c r="H1440" s="5" t="s">
        <v>35</v>
      </c>
      <c r="I1440" s="5" t="s">
        <v>36</v>
      </c>
      <c r="J1440" s="6">
        <v>2.0</v>
      </c>
      <c r="K1440" s="6" t="s">
        <v>37</v>
      </c>
      <c r="L1440" s="6">
        <v>1330.0</v>
      </c>
      <c r="M1440" s="8" t="s">
        <v>39</v>
      </c>
      <c r="N1440" s="8" t="s">
        <v>142</v>
      </c>
      <c r="O1440" s="6" t="s">
        <v>40</v>
      </c>
      <c r="P1440" s="5" t="s">
        <v>41</v>
      </c>
      <c r="Q1440" s="5" t="s">
        <v>2446</v>
      </c>
      <c r="R1440" s="6" t="s">
        <v>42</v>
      </c>
      <c r="S1440" s="5" t="s">
        <v>172</v>
      </c>
      <c r="T1440" s="5" t="s">
        <v>44</v>
      </c>
      <c r="U1440" s="5" t="s">
        <v>2448</v>
      </c>
      <c r="V1440" s="5" t="s">
        <v>44</v>
      </c>
      <c r="W1440" s="5" t="s">
        <v>35</v>
      </c>
      <c r="X1440" s="8" t="s">
        <v>244</v>
      </c>
      <c r="Y1440" s="5" t="s">
        <v>46</v>
      </c>
      <c r="Z1440" s="5" t="s">
        <v>47</v>
      </c>
      <c r="AA1440" s="5" t="s">
        <v>48</v>
      </c>
      <c r="AB1440" s="5" t="s">
        <v>6685</v>
      </c>
      <c r="AC1440" s="6" t="s">
        <v>56</v>
      </c>
      <c r="AD1440" s="6">
        <v>7788.0</v>
      </c>
    </row>
    <row r="1441" ht="56.25" customHeight="1">
      <c r="A1441" s="5" t="s">
        <v>6686</v>
      </c>
      <c r="B1441" s="6" t="str">
        <f>IMAGE("https://storage.googleapis.com/acdb/housewares/FtrFallenleavesChairS_Remake_0_0.png")</f>
        <v/>
      </c>
      <c r="C1441" s="5" t="s">
        <v>39</v>
      </c>
      <c r="D1441" s="5" t="s">
        <v>135</v>
      </c>
      <c r="E1441" s="5" t="s">
        <v>34</v>
      </c>
      <c r="F1441" s="5" t="s">
        <v>34</v>
      </c>
      <c r="G1441" s="5" t="s">
        <v>35</v>
      </c>
      <c r="H1441" s="5" t="s">
        <v>35</v>
      </c>
      <c r="I1441" s="5" t="s">
        <v>36</v>
      </c>
      <c r="J1441" s="6">
        <v>3.0</v>
      </c>
      <c r="K1441" s="6" t="s">
        <v>37</v>
      </c>
      <c r="L1441" s="6">
        <v>1560.0</v>
      </c>
      <c r="M1441" s="8" t="s">
        <v>39</v>
      </c>
      <c r="N1441" s="8" t="s">
        <v>38</v>
      </c>
      <c r="O1441" s="6" t="s">
        <v>40</v>
      </c>
      <c r="P1441" s="5" t="s">
        <v>41</v>
      </c>
      <c r="Q1441" s="5" t="s">
        <v>2840</v>
      </c>
      <c r="R1441" s="6" t="s">
        <v>42</v>
      </c>
      <c r="S1441" s="5" t="s">
        <v>99</v>
      </c>
      <c r="T1441" s="5" t="s">
        <v>61</v>
      </c>
      <c r="U1441" s="5" t="s">
        <v>2448</v>
      </c>
      <c r="V1441" s="5" t="s">
        <v>44</v>
      </c>
      <c r="W1441" s="5" t="s">
        <v>35</v>
      </c>
      <c r="X1441" s="8" t="s">
        <v>248</v>
      </c>
      <c r="Y1441" s="5" t="s">
        <v>46</v>
      </c>
      <c r="Z1441" s="5" t="s">
        <v>47</v>
      </c>
      <c r="AA1441" s="5" t="s">
        <v>48</v>
      </c>
      <c r="AB1441" s="5" t="s">
        <v>6690</v>
      </c>
      <c r="AC1441" s="6" t="s">
        <v>50</v>
      </c>
      <c r="AD1441" s="6">
        <v>7390.0</v>
      </c>
    </row>
    <row r="1442" ht="56.25" customHeight="1">
      <c r="A1442" s="5" t="s">
        <v>6686</v>
      </c>
      <c r="B1442" s="6" t="str">
        <f>IMAGE("https://storage.googleapis.com/acdb/housewares/FtrFallenleavesChairS_Remake_1_0.png")</f>
        <v/>
      </c>
      <c r="C1442" s="5" t="s">
        <v>52</v>
      </c>
      <c r="D1442" s="5" t="s">
        <v>135</v>
      </c>
      <c r="E1442" s="5" t="s">
        <v>34</v>
      </c>
      <c r="F1442" s="5" t="s">
        <v>34</v>
      </c>
      <c r="G1442" s="5" t="s">
        <v>35</v>
      </c>
      <c r="H1442" s="5" t="s">
        <v>35</v>
      </c>
      <c r="I1442" s="5" t="s">
        <v>36</v>
      </c>
      <c r="J1442" s="6">
        <v>3.0</v>
      </c>
      <c r="K1442" s="6" t="s">
        <v>37</v>
      </c>
      <c r="L1442" s="6">
        <v>1560.0</v>
      </c>
      <c r="M1442" s="8" t="s">
        <v>52</v>
      </c>
      <c r="N1442" s="8" t="s">
        <v>38</v>
      </c>
      <c r="O1442" s="6" t="s">
        <v>40</v>
      </c>
      <c r="P1442" s="5" t="s">
        <v>41</v>
      </c>
      <c r="Q1442" s="5" t="s">
        <v>2840</v>
      </c>
      <c r="R1442" s="6" t="s">
        <v>42</v>
      </c>
      <c r="S1442" s="5" t="s">
        <v>99</v>
      </c>
      <c r="T1442" s="5" t="s">
        <v>61</v>
      </c>
      <c r="U1442" s="5" t="s">
        <v>2448</v>
      </c>
      <c r="V1442" s="5" t="s">
        <v>44</v>
      </c>
      <c r="W1442" s="5" t="s">
        <v>35</v>
      </c>
      <c r="X1442" s="8" t="s">
        <v>248</v>
      </c>
      <c r="Y1442" s="5" t="s">
        <v>46</v>
      </c>
      <c r="Z1442" s="5" t="s">
        <v>47</v>
      </c>
      <c r="AA1442" s="5" t="s">
        <v>48</v>
      </c>
      <c r="AB1442" s="5" t="s">
        <v>6695</v>
      </c>
      <c r="AC1442" s="6" t="s">
        <v>56</v>
      </c>
      <c r="AD1442" s="6">
        <v>7390.0</v>
      </c>
    </row>
    <row r="1443" ht="56.25" customHeight="1">
      <c r="A1443" s="5" t="s">
        <v>6686</v>
      </c>
      <c r="B1443" s="6" t="str">
        <f>IMAGE("https://storage.googleapis.com/acdb/housewares/FtrFallenleavesChairS_Remake_2_0.png")</f>
        <v/>
      </c>
      <c r="C1443" s="5" t="s">
        <v>114</v>
      </c>
      <c r="D1443" s="5" t="s">
        <v>135</v>
      </c>
      <c r="E1443" s="5" t="s">
        <v>34</v>
      </c>
      <c r="F1443" s="5" t="s">
        <v>34</v>
      </c>
      <c r="G1443" s="5" t="s">
        <v>35</v>
      </c>
      <c r="H1443" s="5" t="s">
        <v>35</v>
      </c>
      <c r="I1443" s="5" t="s">
        <v>36</v>
      </c>
      <c r="J1443" s="6">
        <v>3.0</v>
      </c>
      <c r="K1443" s="6" t="s">
        <v>37</v>
      </c>
      <c r="L1443" s="6">
        <v>1560.0</v>
      </c>
      <c r="M1443" s="8" t="s">
        <v>114</v>
      </c>
      <c r="N1443" s="8" t="s">
        <v>39</v>
      </c>
      <c r="O1443" s="6" t="s">
        <v>40</v>
      </c>
      <c r="P1443" s="5" t="s">
        <v>41</v>
      </c>
      <c r="Q1443" s="5" t="s">
        <v>2840</v>
      </c>
      <c r="R1443" s="6" t="s">
        <v>42</v>
      </c>
      <c r="S1443" s="5" t="s">
        <v>99</v>
      </c>
      <c r="T1443" s="5" t="s">
        <v>61</v>
      </c>
      <c r="U1443" s="5" t="s">
        <v>2448</v>
      </c>
      <c r="V1443" s="5" t="s">
        <v>44</v>
      </c>
      <c r="W1443" s="5" t="s">
        <v>35</v>
      </c>
      <c r="X1443" s="8" t="s">
        <v>248</v>
      </c>
      <c r="Y1443" s="5" t="s">
        <v>46</v>
      </c>
      <c r="Z1443" s="5" t="s">
        <v>47</v>
      </c>
      <c r="AA1443" s="5" t="s">
        <v>48</v>
      </c>
      <c r="AB1443" s="5" t="s">
        <v>6699</v>
      </c>
      <c r="AC1443" s="6" t="s">
        <v>67</v>
      </c>
      <c r="AD1443" s="6">
        <v>7390.0</v>
      </c>
    </row>
    <row r="1444" ht="56.25" customHeight="1">
      <c r="A1444" s="5" t="s">
        <v>6686</v>
      </c>
      <c r="B1444" s="6" t="str">
        <f>IMAGE("https://storage.googleapis.com/acdb/housewares/FtrFallenleavesChairS_Remake_3_0.png")</f>
        <v/>
      </c>
      <c r="C1444" s="5" t="s">
        <v>96</v>
      </c>
      <c r="D1444" s="5" t="s">
        <v>135</v>
      </c>
      <c r="E1444" s="5" t="s">
        <v>34</v>
      </c>
      <c r="F1444" s="5" t="s">
        <v>34</v>
      </c>
      <c r="G1444" s="5" t="s">
        <v>35</v>
      </c>
      <c r="H1444" s="5" t="s">
        <v>35</v>
      </c>
      <c r="I1444" s="5" t="s">
        <v>36</v>
      </c>
      <c r="J1444" s="6">
        <v>3.0</v>
      </c>
      <c r="K1444" s="6" t="s">
        <v>37</v>
      </c>
      <c r="L1444" s="6">
        <v>1560.0</v>
      </c>
      <c r="M1444" s="8" t="s">
        <v>96</v>
      </c>
      <c r="N1444" s="8" t="s">
        <v>38</v>
      </c>
      <c r="O1444" s="6" t="s">
        <v>40</v>
      </c>
      <c r="P1444" s="5" t="s">
        <v>41</v>
      </c>
      <c r="Q1444" s="5" t="s">
        <v>2840</v>
      </c>
      <c r="R1444" s="6" t="s">
        <v>42</v>
      </c>
      <c r="S1444" s="5" t="s">
        <v>99</v>
      </c>
      <c r="T1444" s="5" t="s">
        <v>61</v>
      </c>
      <c r="U1444" s="5" t="s">
        <v>2448</v>
      </c>
      <c r="V1444" s="5" t="s">
        <v>44</v>
      </c>
      <c r="W1444" s="5" t="s">
        <v>35</v>
      </c>
      <c r="X1444" s="8" t="s">
        <v>248</v>
      </c>
      <c r="Y1444" s="5" t="s">
        <v>46</v>
      </c>
      <c r="Z1444" s="5" t="s">
        <v>47</v>
      </c>
      <c r="AA1444" s="5" t="s">
        <v>48</v>
      </c>
      <c r="AB1444" s="5" t="s">
        <v>6705</v>
      </c>
      <c r="AC1444" s="6" t="s">
        <v>71</v>
      </c>
      <c r="AD1444" s="6">
        <v>7390.0</v>
      </c>
    </row>
    <row r="1445" ht="56.25" customHeight="1">
      <c r="A1445" s="5" t="s">
        <v>6708</v>
      </c>
      <c r="B1445" s="6" t="str">
        <f>IMAGE("https://storage.googleapis.com/acdb/housewares/FtrChairCollage_Remake_0_0.png")</f>
        <v/>
      </c>
      <c r="C1445" s="5" t="s">
        <v>935</v>
      </c>
      <c r="D1445" s="5" t="s">
        <v>34</v>
      </c>
      <c r="E1445" s="5" t="s">
        <v>34</v>
      </c>
      <c r="F1445" s="5" t="s">
        <v>34</v>
      </c>
      <c r="G1445" s="5" t="s">
        <v>36</v>
      </c>
      <c r="H1445" s="5" t="s">
        <v>36</v>
      </c>
      <c r="I1445" s="5" t="s">
        <v>36</v>
      </c>
      <c r="J1445" s="6" t="s">
        <v>34</v>
      </c>
      <c r="K1445" s="6">
        <v>3300.0</v>
      </c>
      <c r="L1445" s="6">
        <v>825.0</v>
      </c>
      <c r="M1445" s="8" t="s">
        <v>142</v>
      </c>
      <c r="N1445" s="8" t="s">
        <v>38</v>
      </c>
      <c r="O1445" s="6" t="s">
        <v>276</v>
      </c>
      <c r="P1445" s="5" t="s">
        <v>59</v>
      </c>
      <c r="Q1445" s="5" t="s">
        <v>122</v>
      </c>
      <c r="R1445" s="6" t="s">
        <v>42</v>
      </c>
      <c r="S1445" s="5" t="s">
        <v>130</v>
      </c>
      <c r="T1445" s="5" t="s">
        <v>44</v>
      </c>
      <c r="U1445" s="5" t="s">
        <v>44</v>
      </c>
      <c r="V1445" s="5" t="s">
        <v>6712</v>
      </c>
      <c r="W1445" s="5" t="s">
        <v>35</v>
      </c>
      <c r="X1445" s="8" t="s">
        <v>671</v>
      </c>
      <c r="Y1445" s="5" t="s">
        <v>46</v>
      </c>
      <c r="Z1445" s="5" t="s">
        <v>47</v>
      </c>
      <c r="AA1445" s="5" t="s">
        <v>64</v>
      </c>
      <c r="AB1445" s="5" t="s">
        <v>6713</v>
      </c>
      <c r="AC1445" s="6" t="s">
        <v>50</v>
      </c>
      <c r="AD1445" s="6">
        <v>2013.0</v>
      </c>
    </row>
    <row r="1446" ht="56.25" customHeight="1">
      <c r="A1446" s="5" t="s">
        <v>6708</v>
      </c>
      <c r="B1446" s="6" t="str">
        <f>IMAGE("https://storage.googleapis.com/acdb/housewares/FtrChairCollage_Remake_1_0.png")</f>
        <v/>
      </c>
      <c r="C1446" s="5" t="s">
        <v>387</v>
      </c>
      <c r="D1446" s="5" t="s">
        <v>34</v>
      </c>
      <c r="E1446" s="5" t="s">
        <v>34</v>
      </c>
      <c r="F1446" s="5" t="s">
        <v>34</v>
      </c>
      <c r="G1446" s="5" t="s">
        <v>36</v>
      </c>
      <c r="H1446" s="5" t="s">
        <v>36</v>
      </c>
      <c r="I1446" s="5" t="s">
        <v>36</v>
      </c>
      <c r="J1446" s="6" t="s">
        <v>34</v>
      </c>
      <c r="K1446" s="6">
        <v>3300.0</v>
      </c>
      <c r="L1446" s="6">
        <v>825.0</v>
      </c>
      <c r="M1446" s="8" t="s">
        <v>39</v>
      </c>
      <c r="N1446" s="8" t="s">
        <v>95</v>
      </c>
      <c r="O1446" s="6" t="s">
        <v>276</v>
      </c>
      <c r="P1446" s="5" t="s">
        <v>59</v>
      </c>
      <c r="Q1446" s="5" t="s">
        <v>122</v>
      </c>
      <c r="R1446" s="6" t="s">
        <v>42</v>
      </c>
      <c r="S1446" s="5" t="s">
        <v>130</v>
      </c>
      <c r="T1446" s="5" t="s">
        <v>44</v>
      </c>
      <c r="U1446" s="5" t="s">
        <v>44</v>
      </c>
      <c r="V1446" s="5" t="s">
        <v>6712</v>
      </c>
      <c r="W1446" s="5" t="s">
        <v>35</v>
      </c>
      <c r="X1446" s="8" t="s">
        <v>671</v>
      </c>
      <c r="Y1446" s="5" t="s">
        <v>46</v>
      </c>
      <c r="Z1446" s="5" t="s">
        <v>47</v>
      </c>
      <c r="AA1446" s="5" t="s">
        <v>64</v>
      </c>
      <c r="AB1446" s="5" t="s">
        <v>6718</v>
      </c>
      <c r="AC1446" s="6" t="s">
        <v>56</v>
      </c>
      <c r="AD1446" s="6">
        <v>2013.0</v>
      </c>
    </row>
    <row r="1447" ht="56.25" customHeight="1">
      <c r="A1447" s="5" t="s">
        <v>6721</v>
      </c>
      <c r="B1447" s="6" t="str">
        <f>IMAGE("https://storage.googleapis.com/acdb/housewares/FtrTableCollage_Remake_0_0.png")</f>
        <v/>
      </c>
      <c r="C1447" s="5" t="s">
        <v>935</v>
      </c>
      <c r="D1447" s="5" t="s">
        <v>34</v>
      </c>
      <c r="E1447" s="5" t="s">
        <v>34</v>
      </c>
      <c r="F1447" s="5" t="s">
        <v>34</v>
      </c>
      <c r="G1447" s="5" t="s">
        <v>36</v>
      </c>
      <c r="H1447" s="5" t="s">
        <v>36</v>
      </c>
      <c r="I1447" s="5" t="s">
        <v>36</v>
      </c>
      <c r="J1447" s="6" t="s">
        <v>34</v>
      </c>
      <c r="K1447" s="6">
        <v>2500.0</v>
      </c>
      <c r="L1447" s="6">
        <v>625.0</v>
      </c>
      <c r="M1447" s="8" t="s">
        <v>142</v>
      </c>
      <c r="N1447" s="8" t="s">
        <v>38</v>
      </c>
      <c r="O1447" s="6" t="s">
        <v>276</v>
      </c>
      <c r="P1447" s="5" t="s">
        <v>59</v>
      </c>
      <c r="Q1447" s="5" t="s">
        <v>122</v>
      </c>
      <c r="R1447" s="6" t="s">
        <v>42</v>
      </c>
      <c r="S1447" s="5" t="s">
        <v>130</v>
      </c>
      <c r="T1447" s="5" t="s">
        <v>44</v>
      </c>
      <c r="U1447" s="5" t="s">
        <v>44</v>
      </c>
      <c r="V1447" s="5" t="s">
        <v>6712</v>
      </c>
      <c r="W1447" s="5" t="s">
        <v>36</v>
      </c>
      <c r="X1447" s="8" t="s">
        <v>230</v>
      </c>
      <c r="Y1447" s="5" t="s">
        <v>46</v>
      </c>
      <c r="Z1447" s="5" t="s">
        <v>47</v>
      </c>
      <c r="AA1447" s="5" t="s">
        <v>64</v>
      </c>
      <c r="AB1447" s="5" t="s">
        <v>6725</v>
      </c>
      <c r="AC1447" s="6" t="s">
        <v>50</v>
      </c>
      <c r="AD1447" s="6">
        <v>2014.0</v>
      </c>
    </row>
    <row r="1448" ht="56.25" customHeight="1">
      <c r="A1448" s="5" t="s">
        <v>6721</v>
      </c>
      <c r="B1448" s="6" t="str">
        <f>IMAGE("https://storage.googleapis.com/acdb/housewares/FtrTableCollage_Remake_1_0.png")</f>
        <v/>
      </c>
      <c r="C1448" s="5" t="s">
        <v>387</v>
      </c>
      <c r="D1448" s="5" t="s">
        <v>34</v>
      </c>
      <c r="E1448" s="5" t="s">
        <v>34</v>
      </c>
      <c r="F1448" s="5" t="s">
        <v>34</v>
      </c>
      <c r="G1448" s="5" t="s">
        <v>36</v>
      </c>
      <c r="H1448" s="5" t="s">
        <v>36</v>
      </c>
      <c r="I1448" s="5" t="s">
        <v>36</v>
      </c>
      <c r="J1448" s="6" t="s">
        <v>34</v>
      </c>
      <c r="K1448" s="6">
        <v>2500.0</v>
      </c>
      <c r="L1448" s="6">
        <v>625.0</v>
      </c>
      <c r="M1448" s="8" t="s">
        <v>39</v>
      </c>
      <c r="N1448" s="8" t="s">
        <v>95</v>
      </c>
      <c r="O1448" s="6" t="s">
        <v>276</v>
      </c>
      <c r="P1448" s="5" t="s">
        <v>59</v>
      </c>
      <c r="Q1448" s="5" t="s">
        <v>122</v>
      </c>
      <c r="R1448" s="6" t="s">
        <v>42</v>
      </c>
      <c r="S1448" s="5" t="s">
        <v>130</v>
      </c>
      <c r="T1448" s="5" t="s">
        <v>44</v>
      </c>
      <c r="U1448" s="5" t="s">
        <v>44</v>
      </c>
      <c r="V1448" s="5" t="s">
        <v>6712</v>
      </c>
      <c r="W1448" s="5" t="s">
        <v>36</v>
      </c>
      <c r="X1448" s="8" t="s">
        <v>230</v>
      </c>
      <c r="Y1448" s="5" t="s">
        <v>46</v>
      </c>
      <c r="Z1448" s="5" t="s">
        <v>47</v>
      </c>
      <c r="AA1448" s="5" t="s">
        <v>64</v>
      </c>
      <c r="AB1448" s="5" t="s">
        <v>6732</v>
      </c>
      <c r="AC1448" s="6" t="s">
        <v>56</v>
      </c>
      <c r="AD1448" s="6">
        <v>2014.0</v>
      </c>
    </row>
    <row r="1449" ht="56.25" customHeight="1">
      <c r="A1449" s="5" t="s">
        <v>6721</v>
      </c>
      <c r="B1449" s="6" t="str">
        <f>IMAGE("https://storage.googleapis.com/acdb/housewares/FtrTableCollage_Remake_2_0.png")</f>
        <v/>
      </c>
      <c r="C1449" s="5" t="s">
        <v>57</v>
      </c>
      <c r="D1449" s="5" t="s">
        <v>34</v>
      </c>
      <c r="E1449" s="5" t="s">
        <v>34</v>
      </c>
      <c r="F1449" s="5" t="s">
        <v>34</v>
      </c>
      <c r="G1449" s="5" t="s">
        <v>36</v>
      </c>
      <c r="H1449" s="5" t="s">
        <v>36</v>
      </c>
      <c r="I1449" s="5" t="s">
        <v>36</v>
      </c>
      <c r="J1449" s="6" t="s">
        <v>34</v>
      </c>
      <c r="K1449" s="6">
        <v>2500.0</v>
      </c>
      <c r="L1449" s="6">
        <v>625.0</v>
      </c>
      <c r="M1449" s="8" t="s">
        <v>57</v>
      </c>
      <c r="N1449" s="8" t="s">
        <v>54</v>
      </c>
      <c r="O1449" s="6" t="s">
        <v>276</v>
      </c>
      <c r="P1449" s="5" t="s">
        <v>59</v>
      </c>
      <c r="Q1449" s="5" t="s">
        <v>122</v>
      </c>
      <c r="R1449" s="6" t="s">
        <v>42</v>
      </c>
      <c r="S1449" s="5" t="s">
        <v>130</v>
      </c>
      <c r="T1449" s="5" t="s">
        <v>44</v>
      </c>
      <c r="U1449" s="5" t="s">
        <v>44</v>
      </c>
      <c r="V1449" s="5" t="s">
        <v>6712</v>
      </c>
      <c r="W1449" s="5" t="s">
        <v>36</v>
      </c>
      <c r="X1449" s="8" t="s">
        <v>230</v>
      </c>
      <c r="Y1449" s="5" t="s">
        <v>46</v>
      </c>
      <c r="Z1449" s="5" t="s">
        <v>47</v>
      </c>
      <c r="AA1449" s="5" t="s">
        <v>64</v>
      </c>
      <c r="AB1449" s="5" t="s">
        <v>6740</v>
      </c>
      <c r="AC1449" s="6" t="s">
        <v>67</v>
      </c>
      <c r="AD1449" s="6">
        <v>2014.0</v>
      </c>
    </row>
    <row r="1450" ht="56.25" customHeight="1">
      <c r="A1450" s="5" t="s">
        <v>6742</v>
      </c>
      <c r="B1450" s="6" t="str">
        <f>IMAGE("https://storage.googleapis.com/acdb/housewares/FtrMonitoringchair_Remake_0_0.png")</f>
        <v/>
      </c>
      <c r="C1450" s="5" t="s">
        <v>68</v>
      </c>
      <c r="D1450" s="5" t="s">
        <v>34</v>
      </c>
      <c r="E1450" s="5" t="s">
        <v>34</v>
      </c>
      <c r="F1450" s="5" t="s">
        <v>34</v>
      </c>
      <c r="G1450" s="5" t="s">
        <v>36</v>
      </c>
      <c r="H1450" s="5" t="s">
        <v>36</v>
      </c>
      <c r="I1450" s="5" t="s">
        <v>36</v>
      </c>
      <c r="J1450" s="6" t="s">
        <v>34</v>
      </c>
      <c r="K1450" s="6" t="s">
        <v>37</v>
      </c>
      <c r="L1450" s="6">
        <v>5000.0</v>
      </c>
      <c r="M1450" s="8" t="s">
        <v>68</v>
      </c>
      <c r="N1450" s="8" t="s">
        <v>57</v>
      </c>
      <c r="O1450" s="6" t="s">
        <v>40</v>
      </c>
      <c r="P1450" s="5" t="s">
        <v>2140</v>
      </c>
      <c r="Q1450" s="5"/>
      <c r="R1450" s="6" t="s">
        <v>42</v>
      </c>
      <c r="S1450" s="5" t="s">
        <v>138</v>
      </c>
      <c r="T1450" s="5" t="s">
        <v>44</v>
      </c>
      <c r="U1450" s="5" t="s">
        <v>44</v>
      </c>
      <c r="V1450" s="5" t="s">
        <v>44</v>
      </c>
      <c r="W1450" s="5" t="s">
        <v>36</v>
      </c>
      <c r="X1450" s="8" t="s">
        <v>140</v>
      </c>
      <c r="Y1450" s="5" t="s">
        <v>46</v>
      </c>
      <c r="Z1450" s="5" t="s">
        <v>47</v>
      </c>
      <c r="AA1450" s="5" t="s">
        <v>48</v>
      </c>
      <c r="AB1450" s="5" t="s">
        <v>6747</v>
      </c>
      <c r="AC1450" s="6" t="s">
        <v>50</v>
      </c>
      <c r="AD1450" s="6">
        <v>3345.0</v>
      </c>
    </row>
    <row r="1451" ht="56.25" customHeight="1">
      <c r="A1451" s="5" t="s">
        <v>6742</v>
      </c>
      <c r="B1451" s="6" t="str">
        <f>IMAGE("https://storage.googleapis.com/acdb/housewares/FtrMonitoringchair_Remake_1_0.png")</f>
        <v/>
      </c>
      <c r="C1451" s="5" t="s">
        <v>57</v>
      </c>
      <c r="D1451" s="5" t="s">
        <v>34</v>
      </c>
      <c r="E1451" s="5" t="s">
        <v>34</v>
      </c>
      <c r="F1451" s="5" t="s">
        <v>34</v>
      </c>
      <c r="G1451" s="5" t="s">
        <v>36</v>
      </c>
      <c r="H1451" s="5" t="s">
        <v>36</v>
      </c>
      <c r="I1451" s="5" t="s">
        <v>36</v>
      </c>
      <c r="J1451" s="6" t="s">
        <v>34</v>
      </c>
      <c r="K1451" s="6" t="s">
        <v>37</v>
      </c>
      <c r="L1451" s="6">
        <v>5000.0</v>
      </c>
      <c r="M1451" s="8" t="s">
        <v>57</v>
      </c>
      <c r="N1451" s="8" t="s">
        <v>57</v>
      </c>
      <c r="O1451" s="6" t="s">
        <v>40</v>
      </c>
      <c r="P1451" s="5" t="s">
        <v>2140</v>
      </c>
      <c r="Q1451" s="5"/>
      <c r="R1451" s="6" t="s">
        <v>42</v>
      </c>
      <c r="S1451" s="5" t="s">
        <v>138</v>
      </c>
      <c r="T1451" s="5" t="s">
        <v>44</v>
      </c>
      <c r="U1451" s="5" t="s">
        <v>44</v>
      </c>
      <c r="V1451" s="5" t="s">
        <v>44</v>
      </c>
      <c r="W1451" s="5" t="s">
        <v>36</v>
      </c>
      <c r="X1451" s="8" t="s">
        <v>140</v>
      </c>
      <c r="Y1451" s="5" t="s">
        <v>46</v>
      </c>
      <c r="Z1451" s="5" t="s">
        <v>47</v>
      </c>
      <c r="AA1451" s="5" t="s">
        <v>48</v>
      </c>
      <c r="AB1451" s="5" t="s">
        <v>6756</v>
      </c>
      <c r="AC1451" s="6" t="s">
        <v>56</v>
      </c>
      <c r="AD1451" s="6">
        <v>3345.0</v>
      </c>
    </row>
    <row r="1452" ht="56.25" customHeight="1">
      <c r="A1452" s="5" t="s">
        <v>6742</v>
      </c>
      <c r="B1452" s="6" t="str">
        <f>IMAGE("https://storage.googleapis.com/acdb/housewares/FtrMonitoringchair_Remake_2_0.png")</f>
        <v/>
      </c>
      <c r="C1452" s="5" t="s">
        <v>114</v>
      </c>
      <c r="D1452" s="5" t="s">
        <v>34</v>
      </c>
      <c r="E1452" s="5" t="s">
        <v>34</v>
      </c>
      <c r="F1452" s="5" t="s">
        <v>34</v>
      </c>
      <c r="G1452" s="5" t="s">
        <v>36</v>
      </c>
      <c r="H1452" s="5" t="s">
        <v>36</v>
      </c>
      <c r="I1452" s="5" t="s">
        <v>36</v>
      </c>
      <c r="J1452" s="6" t="s">
        <v>34</v>
      </c>
      <c r="K1452" s="6" t="s">
        <v>37</v>
      </c>
      <c r="L1452" s="6">
        <v>5000.0</v>
      </c>
      <c r="M1452" s="8" t="s">
        <v>114</v>
      </c>
      <c r="N1452" s="8" t="s">
        <v>57</v>
      </c>
      <c r="O1452" s="6" t="s">
        <v>40</v>
      </c>
      <c r="P1452" s="5" t="s">
        <v>2140</v>
      </c>
      <c r="Q1452" s="5"/>
      <c r="R1452" s="6" t="s">
        <v>42</v>
      </c>
      <c r="S1452" s="5" t="s">
        <v>138</v>
      </c>
      <c r="T1452" s="5" t="s">
        <v>44</v>
      </c>
      <c r="U1452" s="5" t="s">
        <v>44</v>
      </c>
      <c r="V1452" s="5" t="s">
        <v>44</v>
      </c>
      <c r="W1452" s="5" t="s">
        <v>36</v>
      </c>
      <c r="X1452" s="8" t="s">
        <v>140</v>
      </c>
      <c r="Y1452" s="5" t="s">
        <v>46</v>
      </c>
      <c r="Z1452" s="5" t="s">
        <v>47</v>
      </c>
      <c r="AA1452" s="5" t="s">
        <v>48</v>
      </c>
      <c r="AB1452" s="5" t="s">
        <v>6763</v>
      </c>
      <c r="AC1452" s="6" t="s">
        <v>67</v>
      </c>
      <c r="AD1452" s="6">
        <v>3345.0</v>
      </c>
    </row>
    <row r="1453" ht="56.25" customHeight="1">
      <c r="A1453" s="5" t="s">
        <v>6742</v>
      </c>
      <c r="B1453" s="6" t="str">
        <f>IMAGE("https://storage.googleapis.com/acdb/housewares/FtrMonitoringchair_Remake_3_0.png")</f>
        <v/>
      </c>
      <c r="C1453" s="5" t="s">
        <v>96</v>
      </c>
      <c r="D1453" s="5" t="s">
        <v>34</v>
      </c>
      <c r="E1453" s="5" t="s">
        <v>34</v>
      </c>
      <c r="F1453" s="5" t="s">
        <v>34</v>
      </c>
      <c r="G1453" s="5" t="s">
        <v>36</v>
      </c>
      <c r="H1453" s="5" t="s">
        <v>36</v>
      </c>
      <c r="I1453" s="5" t="s">
        <v>36</v>
      </c>
      <c r="J1453" s="6" t="s">
        <v>34</v>
      </c>
      <c r="K1453" s="6" t="s">
        <v>37</v>
      </c>
      <c r="L1453" s="6">
        <v>5000.0</v>
      </c>
      <c r="M1453" s="8" t="s">
        <v>96</v>
      </c>
      <c r="N1453" s="8" t="s">
        <v>95</v>
      </c>
      <c r="O1453" s="6" t="s">
        <v>40</v>
      </c>
      <c r="P1453" s="5" t="s">
        <v>2140</v>
      </c>
      <c r="Q1453" s="5"/>
      <c r="R1453" s="6" t="s">
        <v>42</v>
      </c>
      <c r="S1453" s="5" t="s">
        <v>138</v>
      </c>
      <c r="T1453" s="5" t="s">
        <v>44</v>
      </c>
      <c r="U1453" s="5" t="s">
        <v>44</v>
      </c>
      <c r="V1453" s="5" t="s">
        <v>44</v>
      </c>
      <c r="W1453" s="5" t="s">
        <v>36</v>
      </c>
      <c r="X1453" s="8" t="s">
        <v>140</v>
      </c>
      <c r="Y1453" s="5" t="s">
        <v>46</v>
      </c>
      <c r="Z1453" s="5" t="s">
        <v>47</v>
      </c>
      <c r="AA1453" s="5" t="s">
        <v>48</v>
      </c>
      <c r="AB1453" s="5" t="s">
        <v>6769</v>
      </c>
      <c r="AC1453" s="6" t="s">
        <v>71</v>
      </c>
      <c r="AD1453" s="6">
        <v>3345.0</v>
      </c>
    </row>
    <row r="1454" ht="56.25" customHeight="1">
      <c r="A1454" s="5" t="s">
        <v>6742</v>
      </c>
      <c r="B1454" s="6" t="str">
        <f>IMAGE("https://storage.googleapis.com/acdb/housewares/FtrMonitoringchair_Remake_4_0.png")</f>
        <v/>
      </c>
      <c r="C1454" s="5" t="s">
        <v>52</v>
      </c>
      <c r="D1454" s="5" t="s">
        <v>34</v>
      </c>
      <c r="E1454" s="5" t="s">
        <v>34</v>
      </c>
      <c r="F1454" s="5" t="s">
        <v>34</v>
      </c>
      <c r="G1454" s="5" t="s">
        <v>36</v>
      </c>
      <c r="H1454" s="5" t="s">
        <v>36</v>
      </c>
      <c r="I1454" s="5" t="s">
        <v>36</v>
      </c>
      <c r="J1454" s="6" t="s">
        <v>34</v>
      </c>
      <c r="K1454" s="6" t="s">
        <v>37</v>
      </c>
      <c r="L1454" s="6">
        <v>5000.0</v>
      </c>
      <c r="M1454" s="8" t="s">
        <v>52</v>
      </c>
      <c r="N1454" s="8" t="s">
        <v>52</v>
      </c>
      <c r="O1454" s="6" t="s">
        <v>40</v>
      </c>
      <c r="P1454" s="5" t="s">
        <v>2140</v>
      </c>
      <c r="Q1454" s="5"/>
      <c r="R1454" s="6" t="s">
        <v>42</v>
      </c>
      <c r="S1454" s="5" t="s">
        <v>138</v>
      </c>
      <c r="T1454" s="5" t="s">
        <v>44</v>
      </c>
      <c r="U1454" s="5" t="s">
        <v>44</v>
      </c>
      <c r="V1454" s="5" t="s">
        <v>44</v>
      </c>
      <c r="W1454" s="5" t="s">
        <v>36</v>
      </c>
      <c r="X1454" s="8" t="s">
        <v>140</v>
      </c>
      <c r="Y1454" s="5" t="s">
        <v>46</v>
      </c>
      <c r="Z1454" s="5" t="s">
        <v>47</v>
      </c>
      <c r="AA1454" s="5" t="s">
        <v>48</v>
      </c>
      <c r="AB1454" s="5" t="s">
        <v>6776</v>
      </c>
      <c r="AC1454" s="6" t="s">
        <v>75</v>
      </c>
      <c r="AD1454" s="6">
        <v>3345.0</v>
      </c>
    </row>
    <row r="1455" ht="56.25" customHeight="1">
      <c r="A1455" s="5" t="s">
        <v>6777</v>
      </c>
      <c r="B1455" s="6" t="str">
        <f>IMAGE("https://storage.googleapis.com/acdb/housewares/FtrLighthouse_Remake_0_0.png")</f>
        <v/>
      </c>
      <c r="C1455" s="5" t="s">
        <v>52</v>
      </c>
      <c r="D1455" s="5" t="s">
        <v>34</v>
      </c>
      <c r="E1455" s="5" t="s">
        <v>34</v>
      </c>
      <c r="F1455" s="5" t="s">
        <v>34</v>
      </c>
      <c r="G1455" s="5" t="s">
        <v>36</v>
      </c>
      <c r="H1455" s="5" t="s">
        <v>36</v>
      </c>
      <c r="I1455" s="5" t="s">
        <v>36</v>
      </c>
      <c r="J1455" s="6" t="s">
        <v>34</v>
      </c>
      <c r="K1455" s="6" t="s">
        <v>37</v>
      </c>
      <c r="L1455" s="6">
        <v>25000.0</v>
      </c>
      <c r="M1455" s="8" t="s">
        <v>52</v>
      </c>
      <c r="N1455" s="8" t="s">
        <v>57</v>
      </c>
      <c r="O1455" s="6" t="s">
        <v>214</v>
      </c>
      <c r="P1455" s="5" t="s">
        <v>2140</v>
      </c>
      <c r="Q1455" s="5"/>
      <c r="R1455" s="6" t="s">
        <v>42</v>
      </c>
      <c r="S1455" s="5" t="s">
        <v>138</v>
      </c>
      <c r="T1455" s="5" t="s">
        <v>172</v>
      </c>
      <c r="U1455" s="5" t="s">
        <v>44</v>
      </c>
      <c r="V1455" s="5" t="s">
        <v>44</v>
      </c>
      <c r="W1455" s="5" t="s">
        <v>35</v>
      </c>
      <c r="X1455" s="8" t="s">
        <v>140</v>
      </c>
      <c r="Y1455" s="5" t="s">
        <v>46</v>
      </c>
      <c r="Z1455" s="5" t="s">
        <v>47</v>
      </c>
      <c r="AA1455" s="5" t="s">
        <v>48</v>
      </c>
      <c r="AB1455" s="5" t="s">
        <v>6783</v>
      </c>
      <c r="AC1455" s="6" t="s">
        <v>50</v>
      </c>
      <c r="AD1455" s="6">
        <v>2335.0</v>
      </c>
    </row>
    <row r="1456" ht="56.25" customHeight="1">
      <c r="A1456" s="5" t="s">
        <v>6777</v>
      </c>
      <c r="B1456" s="6" t="str">
        <f>IMAGE("https://storage.googleapis.com/acdb/housewares/FtrLighthouse_Remake_1_0.png")</f>
        <v/>
      </c>
      <c r="C1456" s="5" t="s">
        <v>54</v>
      </c>
      <c r="D1456" s="5" t="s">
        <v>34</v>
      </c>
      <c r="E1456" s="5" t="s">
        <v>34</v>
      </c>
      <c r="F1456" s="5" t="s">
        <v>34</v>
      </c>
      <c r="G1456" s="5" t="s">
        <v>36</v>
      </c>
      <c r="H1456" s="5" t="s">
        <v>36</v>
      </c>
      <c r="I1456" s="5" t="s">
        <v>36</v>
      </c>
      <c r="J1456" s="6" t="s">
        <v>34</v>
      </c>
      <c r="K1456" s="6" t="s">
        <v>37</v>
      </c>
      <c r="L1456" s="6">
        <v>25000.0</v>
      </c>
      <c r="M1456" s="8" t="s">
        <v>57</v>
      </c>
      <c r="N1456" s="8" t="s">
        <v>54</v>
      </c>
      <c r="O1456" s="6" t="s">
        <v>214</v>
      </c>
      <c r="P1456" s="5" t="s">
        <v>2140</v>
      </c>
      <c r="Q1456" s="5"/>
      <c r="R1456" s="6" t="s">
        <v>42</v>
      </c>
      <c r="S1456" s="5" t="s">
        <v>138</v>
      </c>
      <c r="T1456" s="5" t="s">
        <v>172</v>
      </c>
      <c r="U1456" s="5" t="s">
        <v>44</v>
      </c>
      <c r="V1456" s="5" t="s">
        <v>44</v>
      </c>
      <c r="W1456" s="5" t="s">
        <v>35</v>
      </c>
      <c r="X1456" s="8" t="s">
        <v>140</v>
      </c>
      <c r="Y1456" s="5" t="s">
        <v>46</v>
      </c>
      <c r="Z1456" s="5" t="s">
        <v>47</v>
      </c>
      <c r="AA1456" s="5" t="s">
        <v>48</v>
      </c>
      <c r="AB1456" s="5" t="s">
        <v>6790</v>
      </c>
      <c r="AC1456" s="6" t="s">
        <v>56</v>
      </c>
      <c r="AD1456" s="6">
        <v>2335.0</v>
      </c>
    </row>
    <row r="1457" ht="56.25" customHeight="1">
      <c r="A1457" s="5" t="s">
        <v>6777</v>
      </c>
      <c r="B1457" s="6" t="str">
        <f>IMAGE("https://storage.googleapis.com/acdb/housewares/FtrLighthouse_Remake_2_0.png")</f>
        <v/>
      </c>
      <c r="C1457" s="5" t="s">
        <v>68</v>
      </c>
      <c r="D1457" s="5" t="s">
        <v>34</v>
      </c>
      <c r="E1457" s="5" t="s">
        <v>34</v>
      </c>
      <c r="F1457" s="5" t="s">
        <v>34</v>
      </c>
      <c r="G1457" s="5" t="s">
        <v>36</v>
      </c>
      <c r="H1457" s="5" t="s">
        <v>36</v>
      </c>
      <c r="I1457" s="5" t="s">
        <v>36</v>
      </c>
      <c r="J1457" s="6" t="s">
        <v>34</v>
      </c>
      <c r="K1457" s="6" t="s">
        <v>37</v>
      </c>
      <c r="L1457" s="6">
        <v>25000.0</v>
      </c>
      <c r="M1457" s="8" t="s">
        <v>57</v>
      </c>
      <c r="N1457" s="8" t="s">
        <v>1175</v>
      </c>
      <c r="O1457" s="6" t="s">
        <v>214</v>
      </c>
      <c r="P1457" s="5" t="s">
        <v>2140</v>
      </c>
      <c r="Q1457" s="5"/>
      <c r="R1457" s="6" t="s">
        <v>42</v>
      </c>
      <c r="S1457" s="5" t="s">
        <v>138</v>
      </c>
      <c r="T1457" s="5" t="s">
        <v>172</v>
      </c>
      <c r="U1457" s="5" t="s">
        <v>44</v>
      </c>
      <c r="V1457" s="5" t="s">
        <v>44</v>
      </c>
      <c r="W1457" s="5" t="s">
        <v>35</v>
      </c>
      <c r="X1457" s="8" t="s">
        <v>140</v>
      </c>
      <c r="Y1457" s="5" t="s">
        <v>46</v>
      </c>
      <c r="Z1457" s="5" t="s">
        <v>47</v>
      </c>
      <c r="AA1457" s="5" t="s">
        <v>48</v>
      </c>
      <c r="AB1457" s="5" t="s">
        <v>6796</v>
      </c>
      <c r="AC1457" s="6" t="s">
        <v>67</v>
      </c>
      <c r="AD1457" s="6">
        <v>2335.0</v>
      </c>
    </row>
    <row r="1458" ht="56.25" customHeight="1">
      <c r="A1458" s="5" t="s">
        <v>6777</v>
      </c>
      <c r="B1458" s="6" t="str">
        <f>IMAGE("https://storage.googleapis.com/acdb/housewares/FtrLighthouse_Remake_3_0.png")</f>
        <v/>
      </c>
      <c r="C1458" s="5" t="s">
        <v>57</v>
      </c>
      <c r="D1458" s="5" t="s">
        <v>34</v>
      </c>
      <c r="E1458" s="5" t="s">
        <v>34</v>
      </c>
      <c r="F1458" s="5" t="s">
        <v>34</v>
      </c>
      <c r="G1458" s="5" t="s">
        <v>36</v>
      </c>
      <c r="H1458" s="5" t="s">
        <v>36</v>
      </c>
      <c r="I1458" s="5" t="s">
        <v>36</v>
      </c>
      <c r="J1458" s="6" t="s">
        <v>34</v>
      </c>
      <c r="K1458" s="6" t="s">
        <v>37</v>
      </c>
      <c r="L1458" s="6">
        <v>25000.0</v>
      </c>
      <c r="M1458" s="8" t="s">
        <v>57</v>
      </c>
      <c r="N1458" s="8" t="s">
        <v>57</v>
      </c>
      <c r="O1458" s="6" t="s">
        <v>214</v>
      </c>
      <c r="P1458" s="5" t="s">
        <v>2140</v>
      </c>
      <c r="Q1458" s="5"/>
      <c r="R1458" s="6" t="s">
        <v>42</v>
      </c>
      <c r="S1458" s="5" t="s">
        <v>138</v>
      </c>
      <c r="T1458" s="5" t="s">
        <v>172</v>
      </c>
      <c r="U1458" s="5" t="s">
        <v>44</v>
      </c>
      <c r="V1458" s="5" t="s">
        <v>44</v>
      </c>
      <c r="W1458" s="5" t="s">
        <v>35</v>
      </c>
      <c r="X1458" s="8" t="s">
        <v>140</v>
      </c>
      <c r="Y1458" s="5" t="s">
        <v>46</v>
      </c>
      <c r="Z1458" s="5" t="s">
        <v>47</v>
      </c>
      <c r="AA1458" s="5" t="s">
        <v>48</v>
      </c>
      <c r="AB1458" s="5" t="s">
        <v>6803</v>
      </c>
      <c r="AC1458" s="6" t="s">
        <v>71</v>
      </c>
      <c r="AD1458" s="6">
        <v>2335.0</v>
      </c>
    </row>
    <row r="1459" ht="56.25" customHeight="1">
      <c r="A1459" s="5" t="s">
        <v>6777</v>
      </c>
      <c r="B1459" s="6" t="str">
        <f>IMAGE("https://storage.googleapis.com/acdb/housewares/FtrLighthouse_Remake_4_0.png")</f>
        <v/>
      </c>
      <c r="C1459" s="5" t="s">
        <v>114</v>
      </c>
      <c r="D1459" s="5" t="s">
        <v>34</v>
      </c>
      <c r="E1459" s="5" t="s">
        <v>34</v>
      </c>
      <c r="F1459" s="5" t="s">
        <v>34</v>
      </c>
      <c r="G1459" s="5" t="s">
        <v>36</v>
      </c>
      <c r="H1459" s="5" t="s">
        <v>36</v>
      </c>
      <c r="I1459" s="5" t="s">
        <v>36</v>
      </c>
      <c r="J1459" s="6" t="s">
        <v>34</v>
      </c>
      <c r="K1459" s="6" t="s">
        <v>37</v>
      </c>
      <c r="L1459" s="6">
        <v>25000.0</v>
      </c>
      <c r="M1459" s="8" t="s">
        <v>114</v>
      </c>
      <c r="N1459" s="8" t="s">
        <v>114</v>
      </c>
      <c r="O1459" s="6" t="s">
        <v>214</v>
      </c>
      <c r="P1459" s="5" t="s">
        <v>2140</v>
      </c>
      <c r="Q1459" s="5"/>
      <c r="R1459" s="6" t="s">
        <v>42</v>
      </c>
      <c r="S1459" s="5" t="s">
        <v>138</v>
      </c>
      <c r="T1459" s="5" t="s">
        <v>172</v>
      </c>
      <c r="U1459" s="5" t="s">
        <v>44</v>
      </c>
      <c r="V1459" s="5" t="s">
        <v>44</v>
      </c>
      <c r="W1459" s="5" t="s">
        <v>35</v>
      </c>
      <c r="X1459" s="8" t="s">
        <v>140</v>
      </c>
      <c r="Y1459" s="5" t="s">
        <v>46</v>
      </c>
      <c r="Z1459" s="5" t="s">
        <v>47</v>
      </c>
      <c r="AA1459" s="5" t="s">
        <v>48</v>
      </c>
      <c r="AB1459" s="5" t="s">
        <v>6809</v>
      </c>
      <c r="AC1459" s="6" t="s">
        <v>75</v>
      </c>
      <c r="AD1459" s="6">
        <v>2335.0</v>
      </c>
    </row>
    <row r="1460" ht="56.25" customHeight="1">
      <c r="A1460" s="5" t="s">
        <v>6777</v>
      </c>
      <c r="B1460" s="6" t="str">
        <f>IMAGE("https://storage.googleapis.com/acdb/housewares/FtrLighthouse_Remake_5_0.png")</f>
        <v/>
      </c>
      <c r="C1460" s="5" t="s">
        <v>95</v>
      </c>
      <c r="D1460" s="5" t="s">
        <v>34</v>
      </c>
      <c r="E1460" s="5" t="s">
        <v>34</v>
      </c>
      <c r="F1460" s="5" t="s">
        <v>34</v>
      </c>
      <c r="G1460" s="5" t="s">
        <v>36</v>
      </c>
      <c r="H1460" s="5" t="s">
        <v>36</v>
      </c>
      <c r="I1460" s="5" t="s">
        <v>36</v>
      </c>
      <c r="J1460" s="6" t="s">
        <v>34</v>
      </c>
      <c r="K1460" s="6" t="s">
        <v>37</v>
      </c>
      <c r="L1460" s="6">
        <v>25000.0</v>
      </c>
      <c r="M1460" s="8" t="s">
        <v>39</v>
      </c>
      <c r="N1460" s="8" t="s">
        <v>39</v>
      </c>
      <c r="O1460" s="6" t="s">
        <v>214</v>
      </c>
      <c r="P1460" s="5" t="s">
        <v>2140</v>
      </c>
      <c r="Q1460" s="5"/>
      <c r="R1460" s="6" t="s">
        <v>42</v>
      </c>
      <c r="S1460" s="5" t="s">
        <v>138</v>
      </c>
      <c r="T1460" s="5" t="s">
        <v>172</v>
      </c>
      <c r="U1460" s="5" t="s">
        <v>44</v>
      </c>
      <c r="V1460" s="5" t="s">
        <v>44</v>
      </c>
      <c r="W1460" s="5" t="s">
        <v>35</v>
      </c>
      <c r="X1460" s="8" t="s">
        <v>140</v>
      </c>
      <c r="Y1460" s="5" t="s">
        <v>46</v>
      </c>
      <c r="Z1460" s="5" t="s">
        <v>47</v>
      </c>
      <c r="AA1460" s="5" t="s">
        <v>48</v>
      </c>
      <c r="AB1460" s="5" t="s">
        <v>6816</v>
      </c>
      <c r="AC1460" s="6" t="s">
        <v>79</v>
      </c>
      <c r="AD1460" s="6">
        <v>2335.0</v>
      </c>
    </row>
    <row r="1461" ht="56.25" customHeight="1">
      <c r="A1461" s="5" t="s">
        <v>6818</v>
      </c>
      <c r="B1461" s="6" t="str">
        <f>IMAGE("https://storage.googleapis.com/acdb/housewares/FtrFlowerRecordplayer_Remake_0_0.png")</f>
        <v/>
      </c>
      <c r="C1461" s="5" t="s">
        <v>57</v>
      </c>
      <c r="D1461" s="5" t="s">
        <v>2163</v>
      </c>
      <c r="E1461" s="5" t="s">
        <v>34</v>
      </c>
      <c r="F1461" s="5" t="s">
        <v>34</v>
      </c>
      <c r="G1461" s="5" t="s">
        <v>35</v>
      </c>
      <c r="H1461" s="5" t="s">
        <v>35</v>
      </c>
      <c r="I1461" s="5" t="s">
        <v>36</v>
      </c>
      <c r="J1461" s="6">
        <v>5.0</v>
      </c>
      <c r="K1461" s="6" t="s">
        <v>37</v>
      </c>
      <c r="L1461" s="6">
        <v>3010.0</v>
      </c>
      <c r="M1461" s="8" t="s">
        <v>57</v>
      </c>
      <c r="N1461" s="8" t="s">
        <v>96</v>
      </c>
      <c r="O1461" s="6" t="s">
        <v>40</v>
      </c>
      <c r="P1461" s="5" t="s">
        <v>41</v>
      </c>
      <c r="Q1461" s="5"/>
      <c r="R1461" s="6" t="s">
        <v>42</v>
      </c>
      <c r="S1461" s="5" t="s">
        <v>61</v>
      </c>
      <c r="T1461" s="5" t="s">
        <v>44</v>
      </c>
      <c r="U1461" s="5" t="s">
        <v>311</v>
      </c>
      <c r="V1461" s="5" t="s">
        <v>44</v>
      </c>
      <c r="W1461" s="5" t="s">
        <v>35</v>
      </c>
      <c r="X1461" s="8" t="s">
        <v>746</v>
      </c>
      <c r="Y1461" s="5" t="s">
        <v>4138</v>
      </c>
      <c r="Z1461" s="5" t="s">
        <v>47</v>
      </c>
      <c r="AA1461" s="5" t="s">
        <v>48</v>
      </c>
      <c r="AB1461" s="5" t="s">
        <v>6826</v>
      </c>
      <c r="AC1461" s="6" t="s">
        <v>50</v>
      </c>
      <c r="AD1461" s="6">
        <v>7236.0</v>
      </c>
    </row>
    <row r="1462" ht="56.25" customHeight="1">
      <c r="A1462" s="5" t="s">
        <v>6818</v>
      </c>
      <c r="B1462" s="6" t="str">
        <f>IMAGE("https://storage.googleapis.com/acdb/housewares/FtrFlowerRecordplayer_Remake_1_0.png")</f>
        <v/>
      </c>
      <c r="C1462" s="5" t="s">
        <v>69</v>
      </c>
      <c r="D1462" s="5" t="s">
        <v>2163</v>
      </c>
      <c r="E1462" s="5" t="s">
        <v>34</v>
      </c>
      <c r="F1462" s="5" t="s">
        <v>34</v>
      </c>
      <c r="G1462" s="5" t="s">
        <v>35</v>
      </c>
      <c r="H1462" s="5" t="s">
        <v>35</v>
      </c>
      <c r="I1462" s="5" t="s">
        <v>36</v>
      </c>
      <c r="J1462" s="6">
        <v>5.0</v>
      </c>
      <c r="K1462" s="6" t="s">
        <v>37</v>
      </c>
      <c r="L1462" s="6">
        <v>3010.0</v>
      </c>
      <c r="M1462" s="8" t="s">
        <v>69</v>
      </c>
      <c r="N1462" s="8" t="s">
        <v>57</v>
      </c>
      <c r="O1462" s="6" t="s">
        <v>40</v>
      </c>
      <c r="P1462" s="5" t="s">
        <v>41</v>
      </c>
      <c r="Q1462" s="5"/>
      <c r="R1462" s="6" t="s">
        <v>42</v>
      </c>
      <c r="S1462" s="5" t="s">
        <v>61</v>
      </c>
      <c r="T1462" s="5" t="s">
        <v>44</v>
      </c>
      <c r="U1462" s="5" t="s">
        <v>311</v>
      </c>
      <c r="V1462" s="5" t="s">
        <v>44</v>
      </c>
      <c r="W1462" s="5" t="s">
        <v>35</v>
      </c>
      <c r="X1462" s="8" t="s">
        <v>746</v>
      </c>
      <c r="Y1462" s="5" t="s">
        <v>4138</v>
      </c>
      <c r="Z1462" s="5" t="s">
        <v>47</v>
      </c>
      <c r="AA1462" s="5" t="s">
        <v>48</v>
      </c>
      <c r="AB1462" s="5" t="s">
        <v>6832</v>
      </c>
      <c r="AC1462" s="6" t="s">
        <v>56</v>
      </c>
      <c r="AD1462" s="6">
        <v>7236.0</v>
      </c>
    </row>
    <row r="1463" ht="56.25" customHeight="1">
      <c r="A1463" s="5" t="s">
        <v>6818</v>
      </c>
      <c r="B1463" s="6" t="str">
        <f>IMAGE("https://storage.googleapis.com/acdb/housewares/FtrFlowerRecordplayer_Remake_2_0.png")</f>
        <v/>
      </c>
      <c r="C1463" s="5" t="s">
        <v>114</v>
      </c>
      <c r="D1463" s="5" t="s">
        <v>2163</v>
      </c>
      <c r="E1463" s="5" t="s">
        <v>34</v>
      </c>
      <c r="F1463" s="5" t="s">
        <v>34</v>
      </c>
      <c r="G1463" s="5" t="s">
        <v>35</v>
      </c>
      <c r="H1463" s="5" t="s">
        <v>35</v>
      </c>
      <c r="I1463" s="5" t="s">
        <v>36</v>
      </c>
      <c r="J1463" s="6">
        <v>5.0</v>
      </c>
      <c r="K1463" s="6" t="s">
        <v>37</v>
      </c>
      <c r="L1463" s="6">
        <v>3010.0</v>
      </c>
      <c r="M1463" s="8" t="s">
        <v>114</v>
      </c>
      <c r="N1463" s="8" t="s">
        <v>39</v>
      </c>
      <c r="O1463" s="6" t="s">
        <v>40</v>
      </c>
      <c r="P1463" s="5" t="s">
        <v>41</v>
      </c>
      <c r="Q1463" s="5"/>
      <c r="R1463" s="6" t="s">
        <v>42</v>
      </c>
      <c r="S1463" s="5" t="s">
        <v>61</v>
      </c>
      <c r="T1463" s="5" t="s">
        <v>44</v>
      </c>
      <c r="U1463" s="5" t="s">
        <v>311</v>
      </c>
      <c r="V1463" s="5" t="s">
        <v>44</v>
      </c>
      <c r="W1463" s="5" t="s">
        <v>35</v>
      </c>
      <c r="X1463" s="8" t="s">
        <v>746</v>
      </c>
      <c r="Y1463" s="5" t="s">
        <v>4138</v>
      </c>
      <c r="Z1463" s="5" t="s">
        <v>47</v>
      </c>
      <c r="AA1463" s="5" t="s">
        <v>48</v>
      </c>
      <c r="AB1463" s="5" t="s">
        <v>6839</v>
      </c>
      <c r="AC1463" s="6" t="s">
        <v>67</v>
      </c>
      <c r="AD1463" s="6">
        <v>7236.0</v>
      </c>
    </row>
    <row r="1464" ht="56.25" customHeight="1">
      <c r="A1464" s="5" t="s">
        <v>6840</v>
      </c>
      <c r="B1464" s="6" t="str">
        <f>IMAGE("https://storage.googleapis.com/acdb/housewares/FtrBeddesk_Remake_0_0.png")</f>
        <v/>
      </c>
      <c r="C1464" s="5" t="s">
        <v>32</v>
      </c>
      <c r="D1464" s="5" t="s">
        <v>34</v>
      </c>
      <c r="E1464" s="5" t="s">
        <v>57</v>
      </c>
      <c r="F1464" s="5" t="s">
        <v>1271</v>
      </c>
      <c r="G1464" s="5" t="s">
        <v>36</v>
      </c>
      <c r="H1464" s="5" t="s">
        <v>36</v>
      </c>
      <c r="I1464" s="5" t="s">
        <v>35</v>
      </c>
      <c r="J1464" s="6">
        <v>3.0</v>
      </c>
      <c r="K1464" s="6">
        <v>7700.0</v>
      </c>
      <c r="L1464" s="6">
        <v>1925.0</v>
      </c>
      <c r="M1464" s="8" t="s">
        <v>38</v>
      </c>
      <c r="N1464" s="8" t="s">
        <v>57</v>
      </c>
      <c r="O1464" s="6" t="s">
        <v>276</v>
      </c>
      <c r="P1464" s="5" t="s">
        <v>59</v>
      </c>
      <c r="Q1464" s="5" t="s">
        <v>122</v>
      </c>
      <c r="R1464" s="6" t="s">
        <v>42</v>
      </c>
      <c r="S1464" s="5" t="s">
        <v>99</v>
      </c>
      <c r="T1464" s="5" t="s">
        <v>44</v>
      </c>
      <c r="U1464" s="5" t="s">
        <v>44</v>
      </c>
      <c r="V1464" s="5" t="s">
        <v>44</v>
      </c>
      <c r="W1464" s="5" t="s">
        <v>35</v>
      </c>
      <c r="X1464" s="8" t="s">
        <v>230</v>
      </c>
      <c r="Y1464" s="5" t="s">
        <v>46</v>
      </c>
      <c r="Z1464" s="5" t="s">
        <v>47</v>
      </c>
      <c r="AA1464" s="5" t="s">
        <v>64</v>
      </c>
      <c r="AB1464" s="5" t="s">
        <v>6846</v>
      </c>
      <c r="AC1464" s="6" t="s">
        <v>50</v>
      </c>
      <c r="AD1464" s="6">
        <v>3621.0</v>
      </c>
    </row>
    <row r="1465" ht="56.25" customHeight="1">
      <c r="A1465" s="5" t="s">
        <v>6840</v>
      </c>
      <c r="B1465" s="6" t="str">
        <f>IMAGE("https://storage.googleapis.com/acdb/housewares/FtrBeddesk_Remake_0_1.png")</f>
        <v/>
      </c>
      <c r="C1465" s="5" t="s">
        <v>32</v>
      </c>
      <c r="D1465" s="5" t="s">
        <v>34</v>
      </c>
      <c r="E1465" s="5" t="s">
        <v>54</v>
      </c>
      <c r="F1465" s="5" t="s">
        <v>1271</v>
      </c>
      <c r="G1465" s="5" t="s">
        <v>36</v>
      </c>
      <c r="H1465" s="5" t="s">
        <v>36</v>
      </c>
      <c r="I1465" s="5" t="s">
        <v>35</v>
      </c>
      <c r="J1465" s="6">
        <v>3.0</v>
      </c>
      <c r="K1465" s="6">
        <v>7700.0</v>
      </c>
      <c r="L1465" s="6">
        <v>1925.0</v>
      </c>
      <c r="M1465" s="8" t="s">
        <v>38</v>
      </c>
      <c r="N1465" s="8" t="s">
        <v>54</v>
      </c>
      <c r="O1465" s="6" t="s">
        <v>276</v>
      </c>
      <c r="P1465" s="5" t="s">
        <v>59</v>
      </c>
      <c r="Q1465" s="5" t="s">
        <v>122</v>
      </c>
      <c r="R1465" s="6" t="s">
        <v>42</v>
      </c>
      <c r="S1465" s="5" t="s">
        <v>99</v>
      </c>
      <c r="T1465" s="5" t="s">
        <v>44</v>
      </c>
      <c r="U1465" s="5" t="s">
        <v>44</v>
      </c>
      <c r="V1465" s="5" t="s">
        <v>44</v>
      </c>
      <c r="W1465" s="5" t="s">
        <v>35</v>
      </c>
      <c r="X1465" s="8" t="s">
        <v>230</v>
      </c>
      <c r="Y1465" s="5" t="s">
        <v>46</v>
      </c>
      <c r="Z1465" s="5" t="s">
        <v>47</v>
      </c>
      <c r="AA1465" s="5" t="s">
        <v>64</v>
      </c>
      <c r="AB1465" s="5" t="s">
        <v>6852</v>
      </c>
      <c r="AC1465" s="6" t="s">
        <v>217</v>
      </c>
      <c r="AD1465" s="6">
        <v>3621.0</v>
      </c>
    </row>
    <row r="1466" ht="56.25" customHeight="1">
      <c r="A1466" s="5" t="s">
        <v>6840</v>
      </c>
      <c r="B1466" s="6" t="str">
        <f>IMAGE("https://storage.googleapis.com/acdb/housewares/FtrBeddesk_Remake_0_2.png")</f>
        <v/>
      </c>
      <c r="C1466" s="5" t="s">
        <v>32</v>
      </c>
      <c r="D1466" s="5" t="s">
        <v>34</v>
      </c>
      <c r="E1466" s="5" t="s">
        <v>83</v>
      </c>
      <c r="F1466" s="5" t="s">
        <v>1271</v>
      </c>
      <c r="G1466" s="5" t="s">
        <v>36</v>
      </c>
      <c r="H1466" s="5" t="s">
        <v>36</v>
      </c>
      <c r="I1466" s="5" t="s">
        <v>35</v>
      </c>
      <c r="J1466" s="6">
        <v>3.0</v>
      </c>
      <c r="K1466" s="6">
        <v>7700.0</v>
      </c>
      <c r="L1466" s="6">
        <v>1925.0</v>
      </c>
      <c r="M1466" s="8" t="s">
        <v>38</v>
      </c>
      <c r="N1466" s="8" t="s">
        <v>1175</v>
      </c>
      <c r="O1466" s="6" t="s">
        <v>276</v>
      </c>
      <c r="P1466" s="5" t="s">
        <v>59</v>
      </c>
      <c r="Q1466" s="5" t="s">
        <v>122</v>
      </c>
      <c r="R1466" s="6" t="s">
        <v>42</v>
      </c>
      <c r="S1466" s="5" t="s">
        <v>99</v>
      </c>
      <c r="T1466" s="5" t="s">
        <v>44</v>
      </c>
      <c r="U1466" s="5" t="s">
        <v>44</v>
      </c>
      <c r="V1466" s="5" t="s">
        <v>44</v>
      </c>
      <c r="W1466" s="5" t="s">
        <v>35</v>
      </c>
      <c r="X1466" s="8" t="s">
        <v>230</v>
      </c>
      <c r="Y1466" s="5" t="s">
        <v>46</v>
      </c>
      <c r="Z1466" s="5" t="s">
        <v>47</v>
      </c>
      <c r="AA1466" s="5" t="s">
        <v>64</v>
      </c>
      <c r="AB1466" s="5" t="s">
        <v>6857</v>
      </c>
      <c r="AC1466" s="6" t="s">
        <v>347</v>
      </c>
      <c r="AD1466" s="6">
        <v>3621.0</v>
      </c>
    </row>
    <row r="1467" ht="56.25" customHeight="1">
      <c r="A1467" s="5" t="s">
        <v>6840</v>
      </c>
      <c r="B1467" s="6" t="str">
        <f>IMAGE("https://storage.googleapis.com/acdb/housewares/FtrBeddesk_Remake_0_3.png")</f>
        <v/>
      </c>
      <c r="C1467" s="5" t="s">
        <v>32</v>
      </c>
      <c r="D1467" s="5" t="s">
        <v>34</v>
      </c>
      <c r="E1467" s="5" t="s">
        <v>142</v>
      </c>
      <c r="F1467" s="5" t="s">
        <v>1271</v>
      </c>
      <c r="G1467" s="5" t="s">
        <v>36</v>
      </c>
      <c r="H1467" s="5" t="s">
        <v>36</v>
      </c>
      <c r="I1467" s="5" t="s">
        <v>35</v>
      </c>
      <c r="J1467" s="6">
        <v>3.0</v>
      </c>
      <c r="K1467" s="6">
        <v>7700.0</v>
      </c>
      <c r="L1467" s="6">
        <v>1925.0</v>
      </c>
      <c r="M1467" s="8" t="s">
        <v>38</v>
      </c>
      <c r="N1467" s="8" t="s">
        <v>142</v>
      </c>
      <c r="O1467" s="6" t="s">
        <v>276</v>
      </c>
      <c r="P1467" s="5" t="s">
        <v>59</v>
      </c>
      <c r="Q1467" s="5" t="s">
        <v>122</v>
      </c>
      <c r="R1467" s="6" t="s">
        <v>42</v>
      </c>
      <c r="S1467" s="5" t="s">
        <v>99</v>
      </c>
      <c r="T1467" s="5" t="s">
        <v>44</v>
      </c>
      <c r="U1467" s="5" t="s">
        <v>44</v>
      </c>
      <c r="V1467" s="5" t="s">
        <v>44</v>
      </c>
      <c r="W1467" s="5" t="s">
        <v>35</v>
      </c>
      <c r="X1467" s="8" t="s">
        <v>230</v>
      </c>
      <c r="Y1467" s="5" t="s">
        <v>46</v>
      </c>
      <c r="Z1467" s="5" t="s">
        <v>47</v>
      </c>
      <c r="AA1467" s="5" t="s">
        <v>64</v>
      </c>
      <c r="AB1467" s="5" t="s">
        <v>6864</v>
      </c>
      <c r="AC1467" s="6" t="s">
        <v>354</v>
      </c>
      <c r="AD1467" s="6">
        <v>3621.0</v>
      </c>
    </row>
    <row r="1468" ht="56.25" customHeight="1">
      <c r="A1468" s="5" t="s">
        <v>6840</v>
      </c>
      <c r="B1468" s="6" t="str">
        <f>IMAGE("https://storage.googleapis.com/acdb/housewares/FtrBeddesk_Remake_0_4.png")</f>
        <v/>
      </c>
      <c r="C1468" s="5" t="s">
        <v>32</v>
      </c>
      <c r="D1468" s="5" t="s">
        <v>34</v>
      </c>
      <c r="E1468" s="5" t="s">
        <v>114</v>
      </c>
      <c r="F1468" s="5" t="s">
        <v>1271</v>
      </c>
      <c r="G1468" s="5" t="s">
        <v>36</v>
      </c>
      <c r="H1468" s="5" t="s">
        <v>36</v>
      </c>
      <c r="I1468" s="5" t="s">
        <v>35</v>
      </c>
      <c r="J1468" s="6">
        <v>3.0</v>
      </c>
      <c r="K1468" s="6">
        <v>7700.0</v>
      </c>
      <c r="L1468" s="6">
        <v>1925.0</v>
      </c>
      <c r="M1468" s="8" t="s">
        <v>38</v>
      </c>
      <c r="N1468" s="8" t="s">
        <v>114</v>
      </c>
      <c r="O1468" s="6" t="s">
        <v>276</v>
      </c>
      <c r="P1468" s="5" t="s">
        <v>59</v>
      </c>
      <c r="Q1468" s="5" t="s">
        <v>122</v>
      </c>
      <c r="R1468" s="6" t="s">
        <v>42</v>
      </c>
      <c r="S1468" s="5" t="s">
        <v>99</v>
      </c>
      <c r="T1468" s="5" t="s">
        <v>44</v>
      </c>
      <c r="U1468" s="5" t="s">
        <v>44</v>
      </c>
      <c r="V1468" s="5" t="s">
        <v>44</v>
      </c>
      <c r="W1468" s="5" t="s">
        <v>35</v>
      </c>
      <c r="X1468" s="8" t="s">
        <v>230</v>
      </c>
      <c r="Y1468" s="5" t="s">
        <v>46</v>
      </c>
      <c r="Z1468" s="5" t="s">
        <v>47</v>
      </c>
      <c r="AA1468" s="5" t="s">
        <v>64</v>
      </c>
      <c r="AB1468" s="5" t="s">
        <v>6868</v>
      </c>
      <c r="AC1468" s="6" t="s">
        <v>486</v>
      </c>
      <c r="AD1468" s="6">
        <v>3621.0</v>
      </c>
    </row>
    <row r="1469" ht="56.25" customHeight="1">
      <c r="A1469" s="5" t="s">
        <v>6840</v>
      </c>
      <c r="B1469" s="6" t="str">
        <f>IMAGE("https://storage.googleapis.com/acdb/housewares/FtrBeddesk_Remake_0_5.png")</f>
        <v/>
      </c>
      <c r="C1469" s="5" t="s">
        <v>32</v>
      </c>
      <c r="D1469" s="5" t="s">
        <v>34</v>
      </c>
      <c r="E1469" s="5" t="s">
        <v>69</v>
      </c>
      <c r="F1469" s="5" t="s">
        <v>1271</v>
      </c>
      <c r="G1469" s="5" t="s">
        <v>36</v>
      </c>
      <c r="H1469" s="5" t="s">
        <v>36</v>
      </c>
      <c r="I1469" s="5" t="s">
        <v>35</v>
      </c>
      <c r="J1469" s="6">
        <v>3.0</v>
      </c>
      <c r="K1469" s="6">
        <v>7700.0</v>
      </c>
      <c r="L1469" s="6">
        <v>1925.0</v>
      </c>
      <c r="M1469" s="8" t="s">
        <v>38</v>
      </c>
      <c r="N1469" s="8" t="s">
        <v>69</v>
      </c>
      <c r="O1469" s="6" t="s">
        <v>276</v>
      </c>
      <c r="P1469" s="5" t="s">
        <v>59</v>
      </c>
      <c r="Q1469" s="5" t="s">
        <v>122</v>
      </c>
      <c r="R1469" s="6" t="s">
        <v>42</v>
      </c>
      <c r="S1469" s="5" t="s">
        <v>99</v>
      </c>
      <c r="T1469" s="5" t="s">
        <v>44</v>
      </c>
      <c r="U1469" s="5" t="s">
        <v>44</v>
      </c>
      <c r="V1469" s="5" t="s">
        <v>44</v>
      </c>
      <c r="W1469" s="5" t="s">
        <v>35</v>
      </c>
      <c r="X1469" s="8" t="s">
        <v>230</v>
      </c>
      <c r="Y1469" s="5" t="s">
        <v>46</v>
      </c>
      <c r="Z1469" s="5" t="s">
        <v>47</v>
      </c>
      <c r="AA1469" s="5" t="s">
        <v>64</v>
      </c>
      <c r="AB1469" s="5" t="s">
        <v>6874</v>
      </c>
      <c r="AC1469" s="6" t="s">
        <v>934</v>
      </c>
      <c r="AD1469" s="6">
        <v>3621.0</v>
      </c>
    </row>
    <row r="1470" ht="56.25" customHeight="1">
      <c r="A1470" s="5" t="s">
        <v>6840</v>
      </c>
      <c r="B1470" s="6" t="str">
        <f>IMAGE("https://storage.googleapis.com/acdb/housewares/FtrBeddesk_Remake_0_6.png")</f>
        <v/>
      </c>
      <c r="C1470" s="5" t="s">
        <v>32</v>
      </c>
      <c r="D1470" s="5" t="s">
        <v>34</v>
      </c>
      <c r="E1470" s="5" t="s">
        <v>2123</v>
      </c>
      <c r="F1470" s="5" t="s">
        <v>1271</v>
      </c>
      <c r="G1470" s="5" t="s">
        <v>36</v>
      </c>
      <c r="H1470" s="5" t="s">
        <v>36</v>
      </c>
      <c r="I1470" s="5" t="s">
        <v>35</v>
      </c>
      <c r="J1470" s="6">
        <v>3.0</v>
      </c>
      <c r="K1470" s="6">
        <v>7700.0</v>
      </c>
      <c r="L1470" s="6">
        <v>1925.0</v>
      </c>
      <c r="M1470" s="8" t="s">
        <v>38</v>
      </c>
      <c r="N1470" s="8" t="s">
        <v>58</v>
      </c>
      <c r="O1470" s="6" t="s">
        <v>276</v>
      </c>
      <c r="P1470" s="5" t="s">
        <v>59</v>
      </c>
      <c r="Q1470" s="5" t="s">
        <v>122</v>
      </c>
      <c r="R1470" s="6" t="s">
        <v>42</v>
      </c>
      <c r="S1470" s="5" t="s">
        <v>99</v>
      </c>
      <c r="T1470" s="5" t="s">
        <v>44</v>
      </c>
      <c r="U1470" s="5" t="s">
        <v>44</v>
      </c>
      <c r="V1470" s="5" t="s">
        <v>44</v>
      </c>
      <c r="W1470" s="5" t="s">
        <v>35</v>
      </c>
      <c r="X1470" s="8" t="s">
        <v>230</v>
      </c>
      <c r="Y1470" s="5" t="s">
        <v>46</v>
      </c>
      <c r="Z1470" s="5" t="s">
        <v>47</v>
      </c>
      <c r="AA1470" s="5" t="s">
        <v>64</v>
      </c>
      <c r="AB1470" s="5" t="s">
        <v>6881</v>
      </c>
      <c r="AC1470" s="6" t="s">
        <v>938</v>
      </c>
      <c r="AD1470" s="6">
        <v>3621.0</v>
      </c>
    </row>
    <row r="1471" ht="56.25" customHeight="1">
      <c r="A1471" s="5" t="s">
        <v>6840</v>
      </c>
      <c r="B1471" s="6" t="str">
        <f>IMAGE("https://storage.googleapis.com/acdb/housewares/FtrBeddesk_Remake_0_7.png")</f>
        <v/>
      </c>
      <c r="C1471" s="5" t="s">
        <v>32</v>
      </c>
      <c r="D1471" s="5" t="s">
        <v>34</v>
      </c>
      <c r="E1471" s="5" t="s">
        <v>906</v>
      </c>
      <c r="F1471" s="5" t="s">
        <v>1271</v>
      </c>
      <c r="G1471" s="5" t="s">
        <v>36</v>
      </c>
      <c r="H1471" s="5" t="s">
        <v>36</v>
      </c>
      <c r="I1471" s="5" t="s">
        <v>35</v>
      </c>
      <c r="J1471" s="6">
        <v>3.0</v>
      </c>
      <c r="K1471" s="6">
        <v>7700.0</v>
      </c>
      <c r="L1471" s="6">
        <v>1925.0</v>
      </c>
      <c r="M1471" s="8" t="s">
        <v>38</v>
      </c>
      <c r="N1471" s="8" t="s">
        <v>58</v>
      </c>
      <c r="O1471" s="6" t="s">
        <v>276</v>
      </c>
      <c r="P1471" s="5" t="s">
        <v>59</v>
      </c>
      <c r="Q1471" s="5" t="s">
        <v>122</v>
      </c>
      <c r="R1471" s="6" t="s">
        <v>42</v>
      </c>
      <c r="S1471" s="5" t="s">
        <v>99</v>
      </c>
      <c r="T1471" s="5" t="s">
        <v>44</v>
      </c>
      <c r="U1471" s="5" t="s">
        <v>44</v>
      </c>
      <c r="V1471" s="5" t="s">
        <v>44</v>
      </c>
      <c r="W1471" s="5" t="s">
        <v>35</v>
      </c>
      <c r="X1471" s="8" t="s">
        <v>230</v>
      </c>
      <c r="Y1471" s="5" t="s">
        <v>46</v>
      </c>
      <c r="Z1471" s="5" t="s">
        <v>47</v>
      </c>
      <c r="AA1471" s="5" t="s">
        <v>64</v>
      </c>
      <c r="AB1471" s="5" t="s">
        <v>6891</v>
      </c>
      <c r="AC1471" s="6" t="s">
        <v>1700</v>
      </c>
      <c r="AD1471" s="6">
        <v>3621.0</v>
      </c>
    </row>
    <row r="1472" ht="56.25" customHeight="1">
      <c r="A1472" s="5" t="s">
        <v>6840</v>
      </c>
      <c r="B1472" s="6" t="str">
        <f>IMAGE("https://storage.googleapis.com/acdb/housewares/FtrBeddesk_Remake_1_0.png")</f>
        <v/>
      </c>
      <c r="C1472" s="5" t="s">
        <v>39</v>
      </c>
      <c r="D1472" s="5" t="s">
        <v>34</v>
      </c>
      <c r="E1472" s="5" t="s">
        <v>57</v>
      </c>
      <c r="F1472" s="5" t="s">
        <v>1271</v>
      </c>
      <c r="G1472" s="5" t="s">
        <v>36</v>
      </c>
      <c r="H1472" s="5" t="s">
        <v>36</v>
      </c>
      <c r="I1472" s="5" t="s">
        <v>35</v>
      </c>
      <c r="J1472" s="6">
        <v>3.0</v>
      </c>
      <c r="K1472" s="6">
        <v>7700.0</v>
      </c>
      <c r="L1472" s="6">
        <v>1925.0</v>
      </c>
      <c r="M1472" s="8" t="s">
        <v>52</v>
      </c>
      <c r="N1472" s="8" t="s">
        <v>57</v>
      </c>
      <c r="O1472" s="6" t="s">
        <v>276</v>
      </c>
      <c r="P1472" s="5" t="s">
        <v>59</v>
      </c>
      <c r="Q1472" s="5" t="s">
        <v>122</v>
      </c>
      <c r="R1472" s="6" t="s">
        <v>42</v>
      </c>
      <c r="S1472" s="5" t="s">
        <v>99</v>
      </c>
      <c r="T1472" s="5" t="s">
        <v>44</v>
      </c>
      <c r="U1472" s="5" t="s">
        <v>44</v>
      </c>
      <c r="V1472" s="5" t="s">
        <v>44</v>
      </c>
      <c r="W1472" s="5" t="s">
        <v>35</v>
      </c>
      <c r="X1472" s="8" t="s">
        <v>230</v>
      </c>
      <c r="Y1472" s="5" t="s">
        <v>46</v>
      </c>
      <c r="Z1472" s="5" t="s">
        <v>47</v>
      </c>
      <c r="AA1472" s="5" t="s">
        <v>64</v>
      </c>
      <c r="AB1472" s="5" t="s">
        <v>6900</v>
      </c>
      <c r="AC1472" s="6" t="s">
        <v>56</v>
      </c>
      <c r="AD1472" s="6">
        <v>3621.0</v>
      </c>
    </row>
    <row r="1473" ht="56.25" customHeight="1">
      <c r="A1473" s="5" t="s">
        <v>6840</v>
      </c>
      <c r="B1473" s="6" t="str">
        <f>IMAGE("https://storage.googleapis.com/acdb/housewares/FtrBeddesk_Remake_1_1.png")</f>
        <v/>
      </c>
      <c r="C1473" s="5" t="s">
        <v>39</v>
      </c>
      <c r="D1473" s="5" t="s">
        <v>34</v>
      </c>
      <c r="E1473" s="5" t="s">
        <v>54</v>
      </c>
      <c r="F1473" s="5" t="s">
        <v>1271</v>
      </c>
      <c r="G1473" s="5" t="s">
        <v>36</v>
      </c>
      <c r="H1473" s="5" t="s">
        <v>36</v>
      </c>
      <c r="I1473" s="5" t="s">
        <v>35</v>
      </c>
      <c r="J1473" s="6">
        <v>3.0</v>
      </c>
      <c r="K1473" s="6">
        <v>7700.0</v>
      </c>
      <c r="L1473" s="6">
        <v>1925.0</v>
      </c>
      <c r="M1473" s="8" t="s">
        <v>52</v>
      </c>
      <c r="N1473" s="8" t="s">
        <v>54</v>
      </c>
      <c r="O1473" s="6" t="s">
        <v>276</v>
      </c>
      <c r="P1473" s="5" t="s">
        <v>59</v>
      </c>
      <c r="Q1473" s="5" t="s">
        <v>122</v>
      </c>
      <c r="R1473" s="6" t="s">
        <v>42</v>
      </c>
      <c r="S1473" s="5" t="s">
        <v>99</v>
      </c>
      <c r="T1473" s="5" t="s">
        <v>44</v>
      </c>
      <c r="U1473" s="5" t="s">
        <v>44</v>
      </c>
      <c r="V1473" s="5" t="s">
        <v>44</v>
      </c>
      <c r="W1473" s="5" t="s">
        <v>35</v>
      </c>
      <c r="X1473" s="8" t="s">
        <v>230</v>
      </c>
      <c r="Y1473" s="5" t="s">
        <v>46</v>
      </c>
      <c r="Z1473" s="5" t="s">
        <v>47</v>
      </c>
      <c r="AA1473" s="5" t="s">
        <v>64</v>
      </c>
      <c r="AB1473" s="5" t="s">
        <v>6906</v>
      </c>
      <c r="AC1473" s="6" t="s">
        <v>234</v>
      </c>
      <c r="AD1473" s="6">
        <v>3621.0</v>
      </c>
    </row>
    <row r="1474" ht="56.25" customHeight="1">
      <c r="A1474" s="5" t="s">
        <v>6840</v>
      </c>
      <c r="B1474" s="6" t="str">
        <f>IMAGE("https://storage.googleapis.com/acdb/housewares/FtrBeddesk_Remake_1_2.png")</f>
        <v/>
      </c>
      <c r="C1474" s="5" t="s">
        <v>39</v>
      </c>
      <c r="D1474" s="5" t="s">
        <v>34</v>
      </c>
      <c r="E1474" s="5" t="s">
        <v>83</v>
      </c>
      <c r="F1474" s="5" t="s">
        <v>1271</v>
      </c>
      <c r="G1474" s="5" t="s">
        <v>36</v>
      </c>
      <c r="H1474" s="5" t="s">
        <v>36</v>
      </c>
      <c r="I1474" s="5" t="s">
        <v>35</v>
      </c>
      <c r="J1474" s="6">
        <v>3.0</v>
      </c>
      <c r="K1474" s="6">
        <v>7700.0</v>
      </c>
      <c r="L1474" s="6">
        <v>1925.0</v>
      </c>
      <c r="M1474" s="8" t="s">
        <v>52</v>
      </c>
      <c r="N1474" s="8" t="s">
        <v>1175</v>
      </c>
      <c r="O1474" s="6" t="s">
        <v>276</v>
      </c>
      <c r="P1474" s="5" t="s">
        <v>59</v>
      </c>
      <c r="Q1474" s="5" t="s">
        <v>122</v>
      </c>
      <c r="R1474" s="6" t="s">
        <v>42</v>
      </c>
      <c r="S1474" s="5" t="s">
        <v>99</v>
      </c>
      <c r="T1474" s="5" t="s">
        <v>44</v>
      </c>
      <c r="U1474" s="5" t="s">
        <v>44</v>
      </c>
      <c r="V1474" s="5" t="s">
        <v>44</v>
      </c>
      <c r="W1474" s="5" t="s">
        <v>35</v>
      </c>
      <c r="X1474" s="8" t="s">
        <v>230</v>
      </c>
      <c r="Y1474" s="5" t="s">
        <v>46</v>
      </c>
      <c r="Z1474" s="5" t="s">
        <v>47</v>
      </c>
      <c r="AA1474" s="5" t="s">
        <v>64</v>
      </c>
      <c r="AB1474" s="5" t="s">
        <v>6912</v>
      </c>
      <c r="AC1474" s="6" t="s">
        <v>370</v>
      </c>
      <c r="AD1474" s="6">
        <v>3621.0</v>
      </c>
    </row>
    <row r="1475" ht="56.25" customHeight="1">
      <c r="A1475" s="5" t="s">
        <v>6840</v>
      </c>
      <c r="B1475" s="6" t="str">
        <f>IMAGE("https://storage.googleapis.com/acdb/housewares/FtrBeddesk_Remake_1_3.png")</f>
        <v/>
      </c>
      <c r="C1475" s="5" t="s">
        <v>39</v>
      </c>
      <c r="D1475" s="5" t="s">
        <v>34</v>
      </c>
      <c r="E1475" s="5" t="s">
        <v>142</v>
      </c>
      <c r="F1475" s="5" t="s">
        <v>1271</v>
      </c>
      <c r="G1475" s="5" t="s">
        <v>36</v>
      </c>
      <c r="H1475" s="5" t="s">
        <v>36</v>
      </c>
      <c r="I1475" s="5" t="s">
        <v>35</v>
      </c>
      <c r="J1475" s="6">
        <v>3.0</v>
      </c>
      <c r="K1475" s="6">
        <v>7700.0</v>
      </c>
      <c r="L1475" s="6">
        <v>1925.0</v>
      </c>
      <c r="M1475" s="8" t="s">
        <v>52</v>
      </c>
      <c r="N1475" s="8" t="s">
        <v>142</v>
      </c>
      <c r="O1475" s="6" t="s">
        <v>276</v>
      </c>
      <c r="P1475" s="5" t="s">
        <v>59</v>
      </c>
      <c r="Q1475" s="5" t="s">
        <v>122</v>
      </c>
      <c r="R1475" s="6" t="s">
        <v>42</v>
      </c>
      <c r="S1475" s="5" t="s">
        <v>99</v>
      </c>
      <c r="T1475" s="5" t="s">
        <v>44</v>
      </c>
      <c r="U1475" s="5" t="s">
        <v>44</v>
      </c>
      <c r="V1475" s="5" t="s">
        <v>44</v>
      </c>
      <c r="W1475" s="5" t="s">
        <v>35</v>
      </c>
      <c r="X1475" s="8" t="s">
        <v>230</v>
      </c>
      <c r="Y1475" s="5" t="s">
        <v>46</v>
      </c>
      <c r="Z1475" s="5" t="s">
        <v>47</v>
      </c>
      <c r="AA1475" s="5" t="s">
        <v>64</v>
      </c>
      <c r="AB1475" s="5" t="s">
        <v>6919</v>
      </c>
      <c r="AC1475" s="6" t="s">
        <v>377</v>
      </c>
      <c r="AD1475" s="6">
        <v>3621.0</v>
      </c>
    </row>
    <row r="1476" ht="56.25" customHeight="1">
      <c r="A1476" s="5" t="s">
        <v>6840</v>
      </c>
      <c r="B1476" s="6" t="str">
        <f>IMAGE("https://storage.googleapis.com/acdb/housewares/FtrBeddesk_Remake_1_4.png")</f>
        <v/>
      </c>
      <c r="C1476" s="5" t="s">
        <v>39</v>
      </c>
      <c r="D1476" s="5" t="s">
        <v>34</v>
      </c>
      <c r="E1476" s="5" t="s">
        <v>114</v>
      </c>
      <c r="F1476" s="5" t="s">
        <v>1271</v>
      </c>
      <c r="G1476" s="5" t="s">
        <v>36</v>
      </c>
      <c r="H1476" s="5" t="s">
        <v>36</v>
      </c>
      <c r="I1476" s="5" t="s">
        <v>35</v>
      </c>
      <c r="J1476" s="6">
        <v>3.0</v>
      </c>
      <c r="K1476" s="6">
        <v>7700.0</v>
      </c>
      <c r="L1476" s="6">
        <v>1925.0</v>
      </c>
      <c r="M1476" s="8" t="s">
        <v>52</v>
      </c>
      <c r="N1476" s="8" t="s">
        <v>114</v>
      </c>
      <c r="O1476" s="6" t="s">
        <v>276</v>
      </c>
      <c r="P1476" s="5" t="s">
        <v>59</v>
      </c>
      <c r="Q1476" s="5" t="s">
        <v>122</v>
      </c>
      <c r="R1476" s="6" t="s">
        <v>42</v>
      </c>
      <c r="S1476" s="5" t="s">
        <v>99</v>
      </c>
      <c r="T1476" s="5" t="s">
        <v>44</v>
      </c>
      <c r="U1476" s="5" t="s">
        <v>44</v>
      </c>
      <c r="V1476" s="5" t="s">
        <v>44</v>
      </c>
      <c r="W1476" s="5" t="s">
        <v>35</v>
      </c>
      <c r="X1476" s="8" t="s">
        <v>230</v>
      </c>
      <c r="Y1476" s="5" t="s">
        <v>46</v>
      </c>
      <c r="Z1476" s="5" t="s">
        <v>47</v>
      </c>
      <c r="AA1476" s="5" t="s">
        <v>64</v>
      </c>
      <c r="AB1476" s="5" t="s">
        <v>6925</v>
      </c>
      <c r="AC1476" s="6" t="s">
        <v>520</v>
      </c>
      <c r="AD1476" s="6">
        <v>3621.0</v>
      </c>
    </row>
    <row r="1477" ht="56.25" customHeight="1">
      <c r="A1477" s="5" t="s">
        <v>6840</v>
      </c>
      <c r="B1477" s="6" t="str">
        <f>IMAGE("https://storage.googleapis.com/acdb/housewares/FtrBeddesk_Remake_1_5.png")</f>
        <v/>
      </c>
      <c r="C1477" s="5" t="s">
        <v>39</v>
      </c>
      <c r="D1477" s="5" t="s">
        <v>34</v>
      </c>
      <c r="E1477" s="5" t="s">
        <v>69</v>
      </c>
      <c r="F1477" s="5" t="s">
        <v>1271</v>
      </c>
      <c r="G1477" s="5" t="s">
        <v>36</v>
      </c>
      <c r="H1477" s="5" t="s">
        <v>36</v>
      </c>
      <c r="I1477" s="5" t="s">
        <v>35</v>
      </c>
      <c r="J1477" s="6">
        <v>3.0</v>
      </c>
      <c r="K1477" s="6">
        <v>7700.0</v>
      </c>
      <c r="L1477" s="6">
        <v>1925.0</v>
      </c>
      <c r="M1477" s="8" t="s">
        <v>52</v>
      </c>
      <c r="N1477" s="8" t="s">
        <v>69</v>
      </c>
      <c r="O1477" s="6" t="s">
        <v>276</v>
      </c>
      <c r="P1477" s="5" t="s">
        <v>59</v>
      </c>
      <c r="Q1477" s="5" t="s">
        <v>122</v>
      </c>
      <c r="R1477" s="6" t="s">
        <v>42</v>
      </c>
      <c r="S1477" s="5" t="s">
        <v>99</v>
      </c>
      <c r="T1477" s="5" t="s">
        <v>44</v>
      </c>
      <c r="U1477" s="5" t="s">
        <v>44</v>
      </c>
      <c r="V1477" s="5" t="s">
        <v>44</v>
      </c>
      <c r="W1477" s="5" t="s">
        <v>35</v>
      </c>
      <c r="X1477" s="8" t="s">
        <v>230</v>
      </c>
      <c r="Y1477" s="5" t="s">
        <v>46</v>
      </c>
      <c r="Z1477" s="5" t="s">
        <v>47</v>
      </c>
      <c r="AA1477" s="5" t="s">
        <v>64</v>
      </c>
      <c r="AB1477" s="5" t="s">
        <v>6932</v>
      </c>
      <c r="AC1477" s="6" t="s">
        <v>1389</v>
      </c>
      <c r="AD1477" s="6">
        <v>3621.0</v>
      </c>
    </row>
    <row r="1478" ht="56.25" customHeight="1">
      <c r="A1478" s="5" t="s">
        <v>6840</v>
      </c>
      <c r="B1478" s="6" t="str">
        <f>IMAGE("https://storage.googleapis.com/acdb/housewares/FtrBeddesk_Remake_1_6.png")</f>
        <v/>
      </c>
      <c r="C1478" s="5" t="s">
        <v>39</v>
      </c>
      <c r="D1478" s="5" t="s">
        <v>34</v>
      </c>
      <c r="E1478" s="5" t="s">
        <v>2123</v>
      </c>
      <c r="F1478" s="5" t="s">
        <v>1271</v>
      </c>
      <c r="G1478" s="5" t="s">
        <v>36</v>
      </c>
      <c r="H1478" s="5" t="s">
        <v>36</v>
      </c>
      <c r="I1478" s="5" t="s">
        <v>35</v>
      </c>
      <c r="J1478" s="6">
        <v>3.0</v>
      </c>
      <c r="K1478" s="6">
        <v>7700.0</v>
      </c>
      <c r="L1478" s="6">
        <v>1925.0</v>
      </c>
      <c r="M1478" s="8" t="s">
        <v>52</v>
      </c>
      <c r="N1478" s="8" t="s">
        <v>58</v>
      </c>
      <c r="O1478" s="6" t="s">
        <v>276</v>
      </c>
      <c r="P1478" s="5" t="s">
        <v>59</v>
      </c>
      <c r="Q1478" s="5" t="s">
        <v>122</v>
      </c>
      <c r="R1478" s="6" t="s">
        <v>42</v>
      </c>
      <c r="S1478" s="5" t="s">
        <v>99</v>
      </c>
      <c r="T1478" s="5" t="s">
        <v>44</v>
      </c>
      <c r="U1478" s="5" t="s">
        <v>44</v>
      </c>
      <c r="V1478" s="5" t="s">
        <v>44</v>
      </c>
      <c r="W1478" s="5" t="s">
        <v>35</v>
      </c>
      <c r="X1478" s="8" t="s">
        <v>230</v>
      </c>
      <c r="Y1478" s="5" t="s">
        <v>46</v>
      </c>
      <c r="Z1478" s="5" t="s">
        <v>47</v>
      </c>
      <c r="AA1478" s="5" t="s">
        <v>64</v>
      </c>
      <c r="AB1478" s="5" t="s">
        <v>6936</v>
      </c>
      <c r="AC1478" s="6" t="s">
        <v>1394</v>
      </c>
      <c r="AD1478" s="6">
        <v>3621.0</v>
      </c>
    </row>
    <row r="1479" ht="56.25" customHeight="1">
      <c r="A1479" s="5" t="s">
        <v>6840</v>
      </c>
      <c r="B1479" s="6" t="str">
        <f>IMAGE("https://storage.googleapis.com/acdb/housewares/FtrBeddesk_Remake_1_7.png")</f>
        <v/>
      </c>
      <c r="C1479" s="5" t="s">
        <v>39</v>
      </c>
      <c r="D1479" s="5" t="s">
        <v>34</v>
      </c>
      <c r="E1479" s="5" t="s">
        <v>906</v>
      </c>
      <c r="F1479" s="5" t="s">
        <v>1271</v>
      </c>
      <c r="G1479" s="5" t="s">
        <v>36</v>
      </c>
      <c r="H1479" s="5" t="s">
        <v>36</v>
      </c>
      <c r="I1479" s="5" t="s">
        <v>35</v>
      </c>
      <c r="J1479" s="6">
        <v>3.0</v>
      </c>
      <c r="K1479" s="6">
        <v>7700.0</v>
      </c>
      <c r="L1479" s="6">
        <v>1925.0</v>
      </c>
      <c r="M1479" s="8" t="s">
        <v>52</v>
      </c>
      <c r="N1479" s="8" t="s">
        <v>58</v>
      </c>
      <c r="O1479" s="6" t="s">
        <v>276</v>
      </c>
      <c r="P1479" s="5" t="s">
        <v>59</v>
      </c>
      <c r="Q1479" s="5" t="s">
        <v>122</v>
      </c>
      <c r="R1479" s="6" t="s">
        <v>42</v>
      </c>
      <c r="S1479" s="5" t="s">
        <v>99</v>
      </c>
      <c r="T1479" s="5" t="s">
        <v>44</v>
      </c>
      <c r="U1479" s="5" t="s">
        <v>44</v>
      </c>
      <c r="V1479" s="5" t="s">
        <v>44</v>
      </c>
      <c r="W1479" s="5" t="s">
        <v>35</v>
      </c>
      <c r="X1479" s="8" t="s">
        <v>230</v>
      </c>
      <c r="Y1479" s="5" t="s">
        <v>46</v>
      </c>
      <c r="Z1479" s="5" t="s">
        <v>47</v>
      </c>
      <c r="AA1479" s="5" t="s">
        <v>64</v>
      </c>
      <c r="AB1479" s="5" t="s">
        <v>6943</v>
      </c>
      <c r="AC1479" s="6" t="s">
        <v>1729</v>
      </c>
      <c r="AD1479" s="6">
        <v>3621.0</v>
      </c>
    </row>
    <row r="1480" ht="56.25" customHeight="1">
      <c r="A1480" s="5" t="s">
        <v>6840</v>
      </c>
      <c r="B1480" s="6" t="str">
        <f>IMAGE("https://storage.googleapis.com/acdb/housewares/FtrBeddesk_Remake_2_0.png")</f>
        <v/>
      </c>
      <c r="C1480" s="5" t="s">
        <v>57</v>
      </c>
      <c r="D1480" s="5" t="s">
        <v>34</v>
      </c>
      <c r="E1480" s="5" t="s">
        <v>57</v>
      </c>
      <c r="F1480" s="5" t="s">
        <v>1271</v>
      </c>
      <c r="G1480" s="5" t="s">
        <v>36</v>
      </c>
      <c r="H1480" s="5" t="s">
        <v>36</v>
      </c>
      <c r="I1480" s="5" t="s">
        <v>35</v>
      </c>
      <c r="J1480" s="6">
        <v>3.0</v>
      </c>
      <c r="K1480" s="6">
        <v>7700.0</v>
      </c>
      <c r="L1480" s="6">
        <v>1925.0</v>
      </c>
      <c r="M1480" s="8" t="s">
        <v>57</v>
      </c>
      <c r="N1480" s="8" t="s">
        <v>57</v>
      </c>
      <c r="O1480" s="6" t="s">
        <v>276</v>
      </c>
      <c r="P1480" s="5" t="s">
        <v>59</v>
      </c>
      <c r="Q1480" s="5" t="s">
        <v>122</v>
      </c>
      <c r="R1480" s="6" t="s">
        <v>42</v>
      </c>
      <c r="S1480" s="5" t="s">
        <v>99</v>
      </c>
      <c r="T1480" s="5" t="s">
        <v>44</v>
      </c>
      <c r="U1480" s="5" t="s">
        <v>44</v>
      </c>
      <c r="V1480" s="5" t="s">
        <v>44</v>
      </c>
      <c r="W1480" s="5" t="s">
        <v>35</v>
      </c>
      <c r="X1480" s="8" t="s">
        <v>230</v>
      </c>
      <c r="Y1480" s="5" t="s">
        <v>46</v>
      </c>
      <c r="Z1480" s="5" t="s">
        <v>47</v>
      </c>
      <c r="AA1480" s="5" t="s">
        <v>64</v>
      </c>
      <c r="AB1480" s="5" t="s">
        <v>6950</v>
      </c>
      <c r="AC1480" s="6" t="s">
        <v>67</v>
      </c>
      <c r="AD1480" s="6">
        <v>3621.0</v>
      </c>
    </row>
    <row r="1481" ht="56.25" customHeight="1">
      <c r="A1481" s="5" t="s">
        <v>6840</v>
      </c>
      <c r="B1481" s="6" t="str">
        <f>IMAGE("https://storage.googleapis.com/acdb/housewares/FtrBeddesk_Remake_2_1.png")</f>
        <v/>
      </c>
      <c r="C1481" s="5" t="s">
        <v>57</v>
      </c>
      <c r="D1481" s="5" t="s">
        <v>34</v>
      </c>
      <c r="E1481" s="5" t="s">
        <v>54</v>
      </c>
      <c r="F1481" s="5" t="s">
        <v>1271</v>
      </c>
      <c r="G1481" s="5" t="s">
        <v>36</v>
      </c>
      <c r="H1481" s="5" t="s">
        <v>36</v>
      </c>
      <c r="I1481" s="5" t="s">
        <v>35</v>
      </c>
      <c r="J1481" s="6">
        <v>3.0</v>
      </c>
      <c r="K1481" s="6">
        <v>7700.0</v>
      </c>
      <c r="L1481" s="6">
        <v>1925.0</v>
      </c>
      <c r="M1481" s="8" t="s">
        <v>57</v>
      </c>
      <c r="N1481" s="8" t="s">
        <v>54</v>
      </c>
      <c r="O1481" s="6" t="s">
        <v>276</v>
      </c>
      <c r="P1481" s="5" t="s">
        <v>59</v>
      </c>
      <c r="Q1481" s="5" t="s">
        <v>122</v>
      </c>
      <c r="R1481" s="6" t="s">
        <v>42</v>
      </c>
      <c r="S1481" s="5" t="s">
        <v>99</v>
      </c>
      <c r="T1481" s="5" t="s">
        <v>44</v>
      </c>
      <c r="U1481" s="5" t="s">
        <v>44</v>
      </c>
      <c r="V1481" s="5" t="s">
        <v>44</v>
      </c>
      <c r="W1481" s="5" t="s">
        <v>35</v>
      </c>
      <c r="X1481" s="8" t="s">
        <v>230</v>
      </c>
      <c r="Y1481" s="5" t="s">
        <v>46</v>
      </c>
      <c r="Z1481" s="5" t="s">
        <v>47</v>
      </c>
      <c r="AA1481" s="5" t="s">
        <v>64</v>
      </c>
      <c r="AB1481" s="5" t="s">
        <v>6955</v>
      </c>
      <c r="AC1481" s="6" t="s">
        <v>247</v>
      </c>
      <c r="AD1481" s="6">
        <v>3621.0</v>
      </c>
    </row>
    <row r="1482" ht="56.25" customHeight="1">
      <c r="A1482" s="5" t="s">
        <v>6840</v>
      </c>
      <c r="B1482" s="6" t="str">
        <f>IMAGE("https://storage.googleapis.com/acdb/housewares/FtrBeddesk_Remake_2_2.png")</f>
        <v/>
      </c>
      <c r="C1482" s="5" t="s">
        <v>57</v>
      </c>
      <c r="D1482" s="5" t="s">
        <v>34</v>
      </c>
      <c r="E1482" s="5" t="s">
        <v>83</v>
      </c>
      <c r="F1482" s="5" t="s">
        <v>1271</v>
      </c>
      <c r="G1482" s="5" t="s">
        <v>36</v>
      </c>
      <c r="H1482" s="5" t="s">
        <v>36</v>
      </c>
      <c r="I1482" s="5" t="s">
        <v>35</v>
      </c>
      <c r="J1482" s="6">
        <v>3.0</v>
      </c>
      <c r="K1482" s="6">
        <v>7700.0</v>
      </c>
      <c r="L1482" s="6">
        <v>1925.0</v>
      </c>
      <c r="M1482" s="8" t="s">
        <v>57</v>
      </c>
      <c r="N1482" s="8" t="s">
        <v>1175</v>
      </c>
      <c r="O1482" s="6" t="s">
        <v>276</v>
      </c>
      <c r="P1482" s="5" t="s">
        <v>59</v>
      </c>
      <c r="Q1482" s="5" t="s">
        <v>122</v>
      </c>
      <c r="R1482" s="6" t="s">
        <v>42</v>
      </c>
      <c r="S1482" s="5" t="s">
        <v>99</v>
      </c>
      <c r="T1482" s="5" t="s">
        <v>44</v>
      </c>
      <c r="U1482" s="5" t="s">
        <v>44</v>
      </c>
      <c r="V1482" s="5" t="s">
        <v>44</v>
      </c>
      <c r="W1482" s="5" t="s">
        <v>35</v>
      </c>
      <c r="X1482" s="8" t="s">
        <v>230</v>
      </c>
      <c r="Y1482" s="5" t="s">
        <v>46</v>
      </c>
      <c r="Z1482" s="5" t="s">
        <v>47</v>
      </c>
      <c r="AA1482" s="5" t="s">
        <v>64</v>
      </c>
      <c r="AB1482" s="5" t="s">
        <v>6960</v>
      </c>
      <c r="AC1482" s="6" t="s">
        <v>390</v>
      </c>
      <c r="AD1482" s="6">
        <v>3621.0</v>
      </c>
    </row>
    <row r="1483" ht="56.25" customHeight="1">
      <c r="A1483" s="5" t="s">
        <v>6840</v>
      </c>
      <c r="B1483" s="6" t="str">
        <f>IMAGE("https://storage.googleapis.com/acdb/housewares/FtrBeddesk_Remake_2_3.png")</f>
        <v/>
      </c>
      <c r="C1483" s="5" t="s">
        <v>57</v>
      </c>
      <c r="D1483" s="5" t="s">
        <v>34</v>
      </c>
      <c r="E1483" s="5" t="s">
        <v>142</v>
      </c>
      <c r="F1483" s="5" t="s">
        <v>1271</v>
      </c>
      <c r="G1483" s="5" t="s">
        <v>36</v>
      </c>
      <c r="H1483" s="5" t="s">
        <v>36</v>
      </c>
      <c r="I1483" s="5" t="s">
        <v>35</v>
      </c>
      <c r="J1483" s="6">
        <v>3.0</v>
      </c>
      <c r="K1483" s="6">
        <v>7700.0</v>
      </c>
      <c r="L1483" s="6">
        <v>1925.0</v>
      </c>
      <c r="M1483" s="8" t="s">
        <v>57</v>
      </c>
      <c r="N1483" s="8" t="s">
        <v>142</v>
      </c>
      <c r="O1483" s="6" t="s">
        <v>276</v>
      </c>
      <c r="P1483" s="5" t="s">
        <v>59</v>
      </c>
      <c r="Q1483" s="5" t="s">
        <v>122</v>
      </c>
      <c r="R1483" s="6" t="s">
        <v>42</v>
      </c>
      <c r="S1483" s="5" t="s">
        <v>99</v>
      </c>
      <c r="T1483" s="5" t="s">
        <v>44</v>
      </c>
      <c r="U1483" s="5" t="s">
        <v>44</v>
      </c>
      <c r="V1483" s="5" t="s">
        <v>44</v>
      </c>
      <c r="W1483" s="5" t="s">
        <v>35</v>
      </c>
      <c r="X1483" s="8" t="s">
        <v>230</v>
      </c>
      <c r="Y1483" s="5" t="s">
        <v>46</v>
      </c>
      <c r="Z1483" s="5" t="s">
        <v>47</v>
      </c>
      <c r="AA1483" s="5" t="s">
        <v>64</v>
      </c>
      <c r="AB1483" s="5" t="s">
        <v>6965</v>
      </c>
      <c r="AC1483" s="6" t="s">
        <v>396</v>
      </c>
      <c r="AD1483" s="6">
        <v>3621.0</v>
      </c>
    </row>
    <row r="1484" ht="56.25" customHeight="1">
      <c r="A1484" s="5" t="s">
        <v>6840</v>
      </c>
      <c r="B1484" s="6" t="str">
        <f>IMAGE("https://storage.googleapis.com/acdb/housewares/FtrBeddesk_Remake_2_4.png")</f>
        <v/>
      </c>
      <c r="C1484" s="5" t="s">
        <v>57</v>
      </c>
      <c r="D1484" s="5" t="s">
        <v>34</v>
      </c>
      <c r="E1484" s="5" t="s">
        <v>114</v>
      </c>
      <c r="F1484" s="5" t="s">
        <v>1271</v>
      </c>
      <c r="G1484" s="5" t="s">
        <v>36</v>
      </c>
      <c r="H1484" s="5" t="s">
        <v>36</v>
      </c>
      <c r="I1484" s="5" t="s">
        <v>35</v>
      </c>
      <c r="J1484" s="6">
        <v>3.0</v>
      </c>
      <c r="K1484" s="6">
        <v>7700.0</v>
      </c>
      <c r="L1484" s="6">
        <v>1925.0</v>
      </c>
      <c r="M1484" s="8" t="s">
        <v>57</v>
      </c>
      <c r="N1484" s="8" t="s">
        <v>114</v>
      </c>
      <c r="O1484" s="6" t="s">
        <v>276</v>
      </c>
      <c r="P1484" s="5" t="s">
        <v>59</v>
      </c>
      <c r="Q1484" s="5" t="s">
        <v>122</v>
      </c>
      <c r="R1484" s="6" t="s">
        <v>42</v>
      </c>
      <c r="S1484" s="5" t="s">
        <v>99</v>
      </c>
      <c r="T1484" s="5" t="s">
        <v>44</v>
      </c>
      <c r="U1484" s="5" t="s">
        <v>44</v>
      </c>
      <c r="V1484" s="5" t="s">
        <v>44</v>
      </c>
      <c r="W1484" s="5" t="s">
        <v>35</v>
      </c>
      <c r="X1484" s="8" t="s">
        <v>230</v>
      </c>
      <c r="Y1484" s="5" t="s">
        <v>46</v>
      </c>
      <c r="Z1484" s="5" t="s">
        <v>47</v>
      </c>
      <c r="AA1484" s="5" t="s">
        <v>64</v>
      </c>
      <c r="AB1484" s="5" t="s">
        <v>6972</v>
      </c>
      <c r="AC1484" s="6" t="s">
        <v>541</v>
      </c>
      <c r="AD1484" s="6">
        <v>3621.0</v>
      </c>
    </row>
    <row r="1485" ht="56.25" customHeight="1">
      <c r="A1485" s="5" t="s">
        <v>6840</v>
      </c>
      <c r="B1485" s="6" t="str">
        <f>IMAGE("https://storage.googleapis.com/acdb/housewares/FtrBeddesk_Remake_2_5.png")</f>
        <v/>
      </c>
      <c r="C1485" s="5" t="s">
        <v>57</v>
      </c>
      <c r="D1485" s="5" t="s">
        <v>34</v>
      </c>
      <c r="E1485" s="5" t="s">
        <v>69</v>
      </c>
      <c r="F1485" s="5" t="s">
        <v>1271</v>
      </c>
      <c r="G1485" s="5" t="s">
        <v>36</v>
      </c>
      <c r="H1485" s="5" t="s">
        <v>36</v>
      </c>
      <c r="I1485" s="5" t="s">
        <v>35</v>
      </c>
      <c r="J1485" s="6">
        <v>3.0</v>
      </c>
      <c r="K1485" s="6">
        <v>7700.0</v>
      </c>
      <c r="L1485" s="6">
        <v>1925.0</v>
      </c>
      <c r="M1485" s="8" t="s">
        <v>57</v>
      </c>
      <c r="N1485" s="8" t="s">
        <v>69</v>
      </c>
      <c r="O1485" s="6" t="s">
        <v>276</v>
      </c>
      <c r="P1485" s="5" t="s">
        <v>59</v>
      </c>
      <c r="Q1485" s="5" t="s">
        <v>122</v>
      </c>
      <c r="R1485" s="6" t="s">
        <v>42</v>
      </c>
      <c r="S1485" s="5" t="s">
        <v>99</v>
      </c>
      <c r="T1485" s="5" t="s">
        <v>44</v>
      </c>
      <c r="U1485" s="5" t="s">
        <v>44</v>
      </c>
      <c r="V1485" s="5" t="s">
        <v>44</v>
      </c>
      <c r="W1485" s="5" t="s">
        <v>35</v>
      </c>
      <c r="X1485" s="8" t="s">
        <v>230</v>
      </c>
      <c r="Y1485" s="5" t="s">
        <v>46</v>
      </c>
      <c r="Z1485" s="5" t="s">
        <v>47</v>
      </c>
      <c r="AA1485" s="5" t="s">
        <v>64</v>
      </c>
      <c r="AB1485" s="5" t="s">
        <v>6979</v>
      </c>
      <c r="AC1485" s="6" t="s">
        <v>1415</v>
      </c>
      <c r="AD1485" s="6">
        <v>3621.0</v>
      </c>
    </row>
    <row r="1486" ht="56.25" customHeight="1">
      <c r="A1486" s="5" t="s">
        <v>6840</v>
      </c>
      <c r="B1486" s="6" t="str">
        <f>IMAGE("https://storage.googleapis.com/acdb/housewares/FtrBeddesk_Remake_2_6.png")</f>
        <v/>
      </c>
      <c r="C1486" s="5" t="s">
        <v>57</v>
      </c>
      <c r="D1486" s="5" t="s">
        <v>34</v>
      </c>
      <c r="E1486" s="5" t="s">
        <v>2123</v>
      </c>
      <c r="F1486" s="5" t="s">
        <v>1271</v>
      </c>
      <c r="G1486" s="5" t="s">
        <v>36</v>
      </c>
      <c r="H1486" s="5" t="s">
        <v>36</v>
      </c>
      <c r="I1486" s="5" t="s">
        <v>35</v>
      </c>
      <c r="J1486" s="6">
        <v>3.0</v>
      </c>
      <c r="K1486" s="6">
        <v>7700.0</v>
      </c>
      <c r="L1486" s="6">
        <v>1925.0</v>
      </c>
      <c r="M1486" s="8" t="s">
        <v>57</v>
      </c>
      <c r="N1486" s="8" t="s">
        <v>58</v>
      </c>
      <c r="O1486" s="6" t="s">
        <v>276</v>
      </c>
      <c r="P1486" s="5" t="s">
        <v>59</v>
      </c>
      <c r="Q1486" s="5" t="s">
        <v>122</v>
      </c>
      <c r="R1486" s="6" t="s">
        <v>42</v>
      </c>
      <c r="S1486" s="5" t="s">
        <v>99</v>
      </c>
      <c r="T1486" s="5" t="s">
        <v>44</v>
      </c>
      <c r="U1486" s="5" t="s">
        <v>44</v>
      </c>
      <c r="V1486" s="5" t="s">
        <v>44</v>
      </c>
      <c r="W1486" s="5" t="s">
        <v>35</v>
      </c>
      <c r="X1486" s="8" t="s">
        <v>230</v>
      </c>
      <c r="Y1486" s="5" t="s">
        <v>46</v>
      </c>
      <c r="Z1486" s="5" t="s">
        <v>47</v>
      </c>
      <c r="AA1486" s="5" t="s">
        <v>64</v>
      </c>
      <c r="AB1486" s="5" t="s">
        <v>6985</v>
      </c>
      <c r="AC1486" s="6" t="s">
        <v>1421</v>
      </c>
      <c r="AD1486" s="6">
        <v>3621.0</v>
      </c>
    </row>
    <row r="1487" ht="56.25" customHeight="1">
      <c r="A1487" s="5" t="s">
        <v>6840</v>
      </c>
      <c r="B1487" s="6" t="str">
        <f>IMAGE("https://storage.googleapis.com/acdb/housewares/FtrBeddesk_Remake_2_7.png")</f>
        <v/>
      </c>
      <c r="C1487" s="5" t="s">
        <v>57</v>
      </c>
      <c r="D1487" s="5" t="s">
        <v>34</v>
      </c>
      <c r="E1487" s="5" t="s">
        <v>906</v>
      </c>
      <c r="F1487" s="5" t="s">
        <v>1271</v>
      </c>
      <c r="G1487" s="5" t="s">
        <v>36</v>
      </c>
      <c r="H1487" s="5" t="s">
        <v>36</v>
      </c>
      <c r="I1487" s="5" t="s">
        <v>35</v>
      </c>
      <c r="J1487" s="6">
        <v>3.0</v>
      </c>
      <c r="K1487" s="6">
        <v>7700.0</v>
      </c>
      <c r="L1487" s="6">
        <v>1925.0</v>
      </c>
      <c r="M1487" s="8" t="s">
        <v>57</v>
      </c>
      <c r="N1487" s="8" t="s">
        <v>58</v>
      </c>
      <c r="O1487" s="6" t="s">
        <v>276</v>
      </c>
      <c r="P1487" s="5" t="s">
        <v>59</v>
      </c>
      <c r="Q1487" s="5" t="s">
        <v>122</v>
      </c>
      <c r="R1487" s="6" t="s">
        <v>42</v>
      </c>
      <c r="S1487" s="5" t="s">
        <v>99</v>
      </c>
      <c r="T1487" s="5" t="s">
        <v>44</v>
      </c>
      <c r="U1487" s="5" t="s">
        <v>44</v>
      </c>
      <c r="V1487" s="5" t="s">
        <v>44</v>
      </c>
      <c r="W1487" s="5" t="s">
        <v>35</v>
      </c>
      <c r="X1487" s="8" t="s">
        <v>230</v>
      </c>
      <c r="Y1487" s="5" t="s">
        <v>46</v>
      </c>
      <c r="Z1487" s="5" t="s">
        <v>47</v>
      </c>
      <c r="AA1487" s="5" t="s">
        <v>64</v>
      </c>
      <c r="AB1487" s="5" t="s">
        <v>6990</v>
      </c>
      <c r="AC1487" s="6" t="s">
        <v>1759</v>
      </c>
      <c r="AD1487" s="6">
        <v>3621.0</v>
      </c>
    </row>
    <row r="1488" ht="56.25" customHeight="1">
      <c r="A1488" s="5" t="s">
        <v>6840</v>
      </c>
      <c r="B1488" s="6" t="str">
        <f>IMAGE("https://storage.googleapis.com/acdb/housewares/FtrBeddesk_Remake_3_0.png")</f>
        <v/>
      </c>
      <c r="C1488" s="5" t="s">
        <v>54</v>
      </c>
      <c r="D1488" s="5" t="s">
        <v>34</v>
      </c>
      <c r="E1488" s="5" t="s">
        <v>57</v>
      </c>
      <c r="F1488" s="5" t="s">
        <v>1271</v>
      </c>
      <c r="G1488" s="5" t="s">
        <v>36</v>
      </c>
      <c r="H1488" s="5" t="s">
        <v>36</v>
      </c>
      <c r="I1488" s="5" t="s">
        <v>35</v>
      </c>
      <c r="J1488" s="6">
        <v>3.0</v>
      </c>
      <c r="K1488" s="6">
        <v>7700.0</v>
      </c>
      <c r="L1488" s="6">
        <v>1925.0</v>
      </c>
      <c r="M1488" s="8" t="s">
        <v>54</v>
      </c>
      <c r="N1488" s="8" t="s">
        <v>57</v>
      </c>
      <c r="O1488" s="6" t="s">
        <v>276</v>
      </c>
      <c r="P1488" s="5" t="s">
        <v>59</v>
      </c>
      <c r="Q1488" s="5" t="s">
        <v>122</v>
      </c>
      <c r="R1488" s="6" t="s">
        <v>42</v>
      </c>
      <c r="S1488" s="5" t="s">
        <v>99</v>
      </c>
      <c r="T1488" s="5" t="s">
        <v>44</v>
      </c>
      <c r="U1488" s="5" t="s">
        <v>44</v>
      </c>
      <c r="V1488" s="5" t="s">
        <v>44</v>
      </c>
      <c r="W1488" s="5" t="s">
        <v>35</v>
      </c>
      <c r="X1488" s="8" t="s">
        <v>230</v>
      </c>
      <c r="Y1488" s="5" t="s">
        <v>46</v>
      </c>
      <c r="Z1488" s="5" t="s">
        <v>47</v>
      </c>
      <c r="AA1488" s="5" t="s">
        <v>64</v>
      </c>
      <c r="AB1488" s="5" t="s">
        <v>6995</v>
      </c>
      <c r="AC1488" s="6" t="s">
        <v>71</v>
      </c>
      <c r="AD1488" s="6">
        <v>3621.0</v>
      </c>
    </row>
    <row r="1489" ht="56.25" customHeight="1">
      <c r="A1489" s="5" t="s">
        <v>6840</v>
      </c>
      <c r="B1489" s="6" t="str">
        <f>IMAGE("https://storage.googleapis.com/acdb/housewares/FtrBeddesk_Remake_3_1.png")</f>
        <v/>
      </c>
      <c r="C1489" s="5" t="s">
        <v>54</v>
      </c>
      <c r="D1489" s="5" t="s">
        <v>34</v>
      </c>
      <c r="E1489" s="5" t="s">
        <v>54</v>
      </c>
      <c r="F1489" s="5" t="s">
        <v>1271</v>
      </c>
      <c r="G1489" s="5" t="s">
        <v>36</v>
      </c>
      <c r="H1489" s="5" t="s">
        <v>36</v>
      </c>
      <c r="I1489" s="5" t="s">
        <v>35</v>
      </c>
      <c r="J1489" s="6">
        <v>3.0</v>
      </c>
      <c r="K1489" s="6">
        <v>7700.0</v>
      </c>
      <c r="L1489" s="6">
        <v>1925.0</v>
      </c>
      <c r="M1489" s="8" t="s">
        <v>54</v>
      </c>
      <c r="N1489" s="8" t="s">
        <v>54</v>
      </c>
      <c r="O1489" s="6" t="s">
        <v>276</v>
      </c>
      <c r="P1489" s="5" t="s">
        <v>59</v>
      </c>
      <c r="Q1489" s="5" t="s">
        <v>122</v>
      </c>
      <c r="R1489" s="6" t="s">
        <v>42</v>
      </c>
      <c r="S1489" s="5" t="s">
        <v>99</v>
      </c>
      <c r="T1489" s="5" t="s">
        <v>44</v>
      </c>
      <c r="U1489" s="5" t="s">
        <v>44</v>
      </c>
      <c r="V1489" s="5" t="s">
        <v>44</v>
      </c>
      <c r="W1489" s="5" t="s">
        <v>35</v>
      </c>
      <c r="X1489" s="8" t="s">
        <v>230</v>
      </c>
      <c r="Y1489" s="5" t="s">
        <v>46</v>
      </c>
      <c r="Z1489" s="5" t="s">
        <v>47</v>
      </c>
      <c r="AA1489" s="5" t="s">
        <v>64</v>
      </c>
      <c r="AB1489" s="5" t="s">
        <v>7002</v>
      </c>
      <c r="AC1489" s="6" t="s">
        <v>257</v>
      </c>
      <c r="AD1489" s="6">
        <v>3621.0</v>
      </c>
    </row>
    <row r="1490" ht="56.25" customHeight="1">
      <c r="A1490" s="5" t="s">
        <v>6840</v>
      </c>
      <c r="B1490" s="6" t="str">
        <f>IMAGE("https://storage.googleapis.com/acdb/housewares/FtrBeddesk_Remake_3_2.png")</f>
        <v/>
      </c>
      <c r="C1490" s="5" t="s">
        <v>54</v>
      </c>
      <c r="D1490" s="5" t="s">
        <v>34</v>
      </c>
      <c r="E1490" s="5" t="s">
        <v>83</v>
      </c>
      <c r="F1490" s="5" t="s">
        <v>1271</v>
      </c>
      <c r="G1490" s="5" t="s">
        <v>36</v>
      </c>
      <c r="H1490" s="5" t="s">
        <v>36</v>
      </c>
      <c r="I1490" s="5" t="s">
        <v>35</v>
      </c>
      <c r="J1490" s="6">
        <v>3.0</v>
      </c>
      <c r="K1490" s="6">
        <v>7700.0</v>
      </c>
      <c r="L1490" s="6">
        <v>1925.0</v>
      </c>
      <c r="M1490" s="8" t="s">
        <v>54</v>
      </c>
      <c r="N1490" s="8" t="s">
        <v>1175</v>
      </c>
      <c r="O1490" s="6" t="s">
        <v>276</v>
      </c>
      <c r="P1490" s="5" t="s">
        <v>59</v>
      </c>
      <c r="Q1490" s="5" t="s">
        <v>122</v>
      </c>
      <c r="R1490" s="6" t="s">
        <v>42</v>
      </c>
      <c r="S1490" s="5" t="s">
        <v>99</v>
      </c>
      <c r="T1490" s="5" t="s">
        <v>44</v>
      </c>
      <c r="U1490" s="5" t="s">
        <v>44</v>
      </c>
      <c r="V1490" s="5" t="s">
        <v>44</v>
      </c>
      <c r="W1490" s="5" t="s">
        <v>35</v>
      </c>
      <c r="X1490" s="8" t="s">
        <v>230</v>
      </c>
      <c r="Y1490" s="5" t="s">
        <v>46</v>
      </c>
      <c r="Z1490" s="5" t="s">
        <v>47</v>
      </c>
      <c r="AA1490" s="5" t="s">
        <v>64</v>
      </c>
      <c r="AB1490" s="5" t="s">
        <v>7008</v>
      </c>
      <c r="AC1490" s="6" t="s">
        <v>414</v>
      </c>
      <c r="AD1490" s="6">
        <v>3621.0</v>
      </c>
    </row>
    <row r="1491" ht="56.25" customHeight="1">
      <c r="A1491" s="5" t="s">
        <v>6840</v>
      </c>
      <c r="B1491" s="6" t="str">
        <f>IMAGE("https://storage.googleapis.com/acdb/housewares/FtrBeddesk_Remake_3_3.png")</f>
        <v/>
      </c>
      <c r="C1491" s="5" t="s">
        <v>54</v>
      </c>
      <c r="D1491" s="5" t="s">
        <v>34</v>
      </c>
      <c r="E1491" s="5" t="s">
        <v>142</v>
      </c>
      <c r="F1491" s="5" t="s">
        <v>1271</v>
      </c>
      <c r="G1491" s="5" t="s">
        <v>36</v>
      </c>
      <c r="H1491" s="5" t="s">
        <v>36</v>
      </c>
      <c r="I1491" s="5" t="s">
        <v>35</v>
      </c>
      <c r="J1491" s="6">
        <v>3.0</v>
      </c>
      <c r="K1491" s="6">
        <v>7700.0</v>
      </c>
      <c r="L1491" s="6">
        <v>1925.0</v>
      </c>
      <c r="M1491" s="8" t="s">
        <v>54</v>
      </c>
      <c r="N1491" s="8" t="s">
        <v>142</v>
      </c>
      <c r="O1491" s="6" t="s">
        <v>276</v>
      </c>
      <c r="P1491" s="5" t="s">
        <v>59</v>
      </c>
      <c r="Q1491" s="5" t="s">
        <v>122</v>
      </c>
      <c r="R1491" s="6" t="s">
        <v>42</v>
      </c>
      <c r="S1491" s="5" t="s">
        <v>99</v>
      </c>
      <c r="T1491" s="5" t="s">
        <v>44</v>
      </c>
      <c r="U1491" s="5" t="s">
        <v>44</v>
      </c>
      <c r="V1491" s="5" t="s">
        <v>44</v>
      </c>
      <c r="W1491" s="5" t="s">
        <v>35</v>
      </c>
      <c r="X1491" s="8" t="s">
        <v>230</v>
      </c>
      <c r="Y1491" s="5" t="s">
        <v>46</v>
      </c>
      <c r="Z1491" s="5" t="s">
        <v>47</v>
      </c>
      <c r="AA1491" s="5" t="s">
        <v>64</v>
      </c>
      <c r="AB1491" s="5" t="s">
        <v>7012</v>
      </c>
      <c r="AC1491" s="6" t="s">
        <v>418</v>
      </c>
      <c r="AD1491" s="6">
        <v>3621.0</v>
      </c>
    </row>
    <row r="1492" ht="56.25" customHeight="1">
      <c r="A1492" s="5" t="s">
        <v>6840</v>
      </c>
      <c r="B1492" s="6" t="str">
        <f>IMAGE("https://storage.googleapis.com/acdb/housewares/FtrBeddesk_Remake_3_4.png")</f>
        <v/>
      </c>
      <c r="C1492" s="5" t="s">
        <v>54</v>
      </c>
      <c r="D1492" s="5" t="s">
        <v>34</v>
      </c>
      <c r="E1492" s="5" t="s">
        <v>114</v>
      </c>
      <c r="F1492" s="5" t="s">
        <v>1271</v>
      </c>
      <c r="G1492" s="5" t="s">
        <v>36</v>
      </c>
      <c r="H1492" s="5" t="s">
        <v>36</v>
      </c>
      <c r="I1492" s="5" t="s">
        <v>35</v>
      </c>
      <c r="J1492" s="6">
        <v>3.0</v>
      </c>
      <c r="K1492" s="6">
        <v>7700.0</v>
      </c>
      <c r="L1492" s="6">
        <v>1925.0</v>
      </c>
      <c r="M1492" s="8" t="s">
        <v>54</v>
      </c>
      <c r="N1492" s="8" t="s">
        <v>114</v>
      </c>
      <c r="O1492" s="6" t="s">
        <v>276</v>
      </c>
      <c r="P1492" s="5" t="s">
        <v>59</v>
      </c>
      <c r="Q1492" s="5" t="s">
        <v>122</v>
      </c>
      <c r="R1492" s="6" t="s">
        <v>42</v>
      </c>
      <c r="S1492" s="5" t="s">
        <v>99</v>
      </c>
      <c r="T1492" s="5" t="s">
        <v>44</v>
      </c>
      <c r="U1492" s="5" t="s">
        <v>44</v>
      </c>
      <c r="V1492" s="5" t="s">
        <v>44</v>
      </c>
      <c r="W1492" s="5" t="s">
        <v>35</v>
      </c>
      <c r="X1492" s="8" t="s">
        <v>230</v>
      </c>
      <c r="Y1492" s="5" t="s">
        <v>46</v>
      </c>
      <c r="Z1492" s="5" t="s">
        <v>47</v>
      </c>
      <c r="AA1492" s="5" t="s">
        <v>64</v>
      </c>
      <c r="AB1492" s="5" t="s">
        <v>7017</v>
      </c>
      <c r="AC1492" s="6" t="s">
        <v>563</v>
      </c>
      <c r="AD1492" s="6">
        <v>3621.0</v>
      </c>
    </row>
    <row r="1493" ht="56.25" customHeight="1">
      <c r="A1493" s="5" t="s">
        <v>6840</v>
      </c>
      <c r="B1493" s="6" t="str">
        <f>IMAGE("https://storage.googleapis.com/acdb/housewares/FtrBeddesk_Remake_3_5.png")</f>
        <v/>
      </c>
      <c r="C1493" s="5" t="s">
        <v>54</v>
      </c>
      <c r="D1493" s="5" t="s">
        <v>34</v>
      </c>
      <c r="E1493" s="5" t="s">
        <v>69</v>
      </c>
      <c r="F1493" s="5" t="s">
        <v>1271</v>
      </c>
      <c r="G1493" s="5" t="s">
        <v>36</v>
      </c>
      <c r="H1493" s="5" t="s">
        <v>36</v>
      </c>
      <c r="I1493" s="5" t="s">
        <v>35</v>
      </c>
      <c r="J1493" s="6">
        <v>3.0</v>
      </c>
      <c r="K1493" s="6">
        <v>7700.0</v>
      </c>
      <c r="L1493" s="6">
        <v>1925.0</v>
      </c>
      <c r="M1493" s="8" t="s">
        <v>54</v>
      </c>
      <c r="N1493" s="8" t="s">
        <v>69</v>
      </c>
      <c r="O1493" s="6" t="s">
        <v>276</v>
      </c>
      <c r="P1493" s="5" t="s">
        <v>59</v>
      </c>
      <c r="Q1493" s="5" t="s">
        <v>122</v>
      </c>
      <c r="R1493" s="6" t="s">
        <v>42</v>
      </c>
      <c r="S1493" s="5" t="s">
        <v>99</v>
      </c>
      <c r="T1493" s="5" t="s">
        <v>44</v>
      </c>
      <c r="U1493" s="5" t="s">
        <v>44</v>
      </c>
      <c r="V1493" s="5" t="s">
        <v>44</v>
      </c>
      <c r="W1493" s="5" t="s">
        <v>35</v>
      </c>
      <c r="X1493" s="8" t="s">
        <v>230</v>
      </c>
      <c r="Y1493" s="5" t="s">
        <v>46</v>
      </c>
      <c r="Z1493" s="5" t="s">
        <v>47</v>
      </c>
      <c r="AA1493" s="5" t="s">
        <v>64</v>
      </c>
      <c r="AB1493" s="5" t="s">
        <v>7026</v>
      </c>
      <c r="AC1493" s="6" t="s">
        <v>1443</v>
      </c>
      <c r="AD1493" s="6">
        <v>3621.0</v>
      </c>
    </row>
    <row r="1494" ht="56.25" customHeight="1">
      <c r="A1494" s="5" t="s">
        <v>6840</v>
      </c>
      <c r="B1494" s="6" t="str">
        <f>IMAGE("https://storage.googleapis.com/acdb/housewares/FtrBeddesk_Remake_3_6.png")</f>
        <v/>
      </c>
      <c r="C1494" s="5" t="s">
        <v>54</v>
      </c>
      <c r="D1494" s="5" t="s">
        <v>34</v>
      </c>
      <c r="E1494" s="5" t="s">
        <v>2123</v>
      </c>
      <c r="F1494" s="5" t="s">
        <v>1271</v>
      </c>
      <c r="G1494" s="5" t="s">
        <v>36</v>
      </c>
      <c r="H1494" s="5" t="s">
        <v>36</v>
      </c>
      <c r="I1494" s="5" t="s">
        <v>35</v>
      </c>
      <c r="J1494" s="6">
        <v>3.0</v>
      </c>
      <c r="K1494" s="6">
        <v>7700.0</v>
      </c>
      <c r="L1494" s="6">
        <v>1925.0</v>
      </c>
      <c r="M1494" s="8" t="s">
        <v>54</v>
      </c>
      <c r="N1494" s="8" t="s">
        <v>58</v>
      </c>
      <c r="O1494" s="6" t="s">
        <v>276</v>
      </c>
      <c r="P1494" s="5" t="s">
        <v>59</v>
      </c>
      <c r="Q1494" s="5" t="s">
        <v>122</v>
      </c>
      <c r="R1494" s="6" t="s">
        <v>42</v>
      </c>
      <c r="S1494" s="5" t="s">
        <v>99</v>
      </c>
      <c r="T1494" s="5" t="s">
        <v>44</v>
      </c>
      <c r="U1494" s="5" t="s">
        <v>44</v>
      </c>
      <c r="V1494" s="5" t="s">
        <v>44</v>
      </c>
      <c r="W1494" s="5" t="s">
        <v>35</v>
      </c>
      <c r="X1494" s="8" t="s">
        <v>230</v>
      </c>
      <c r="Y1494" s="5" t="s">
        <v>46</v>
      </c>
      <c r="Z1494" s="5" t="s">
        <v>47</v>
      </c>
      <c r="AA1494" s="5" t="s">
        <v>64</v>
      </c>
      <c r="AB1494" s="5" t="s">
        <v>7033</v>
      </c>
      <c r="AC1494" s="6" t="s">
        <v>1450</v>
      </c>
      <c r="AD1494" s="6">
        <v>3621.0</v>
      </c>
    </row>
    <row r="1495" ht="56.25" customHeight="1">
      <c r="A1495" s="5" t="s">
        <v>6840</v>
      </c>
      <c r="B1495" s="6" t="str">
        <f>IMAGE("https://storage.googleapis.com/acdb/housewares/FtrBeddesk_Remake_3_7.png")</f>
        <v/>
      </c>
      <c r="C1495" s="5" t="s">
        <v>54</v>
      </c>
      <c r="D1495" s="5" t="s">
        <v>34</v>
      </c>
      <c r="E1495" s="5" t="s">
        <v>906</v>
      </c>
      <c r="F1495" s="5" t="s">
        <v>1271</v>
      </c>
      <c r="G1495" s="5" t="s">
        <v>36</v>
      </c>
      <c r="H1495" s="5" t="s">
        <v>36</v>
      </c>
      <c r="I1495" s="5" t="s">
        <v>35</v>
      </c>
      <c r="J1495" s="6">
        <v>3.0</v>
      </c>
      <c r="K1495" s="6">
        <v>7700.0</v>
      </c>
      <c r="L1495" s="6">
        <v>1925.0</v>
      </c>
      <c r="M1495" s="8" t="s">
        <v>54</v>
      </c>
      <c r="N1495" s="8" t="s">
        <v>58</v>
      </c>
      <c r="O1495" s="6" t="s">
        <v>276</v>
      </c>
      <c r="P1495" s="5" t="s">
        <v>59</v>
      </c>
      <c r="Q1495" s="5" t="s">
        <v>122</v>
      </c>
      <c r="R1495" s="6" t="s">
        <v>42</v>
      </c>
      <c r="S1495" s="5" t="s">
        <v>99</v>
      </c>
      <c r="T1495" s="5" t="s">
        <v>44</v>
      </c>
      <c r="U1495" s="5" t="s">
        <v>44</v>
      </c>
      <c r="V1495" s="5" t="s">
        <v>44</v>
      </c>
      <c r="W1495" s="5" t="s">
        <v>35</v>
      </c>
      <c r="X1495" s="8" t="s">
        <v>230</v>
      </c>
      <c r="Y1495" s="5" t="s">
        <v>46</v>
      </c>
      <c r="Z1495" s="5" t="s">
        <v>47</v>
      </c>
      <c r="AA1495" s="5" t="s">
        <v>64</v>
      </c>
      <c r="AB1495" s="5" t="s">
        <v>7038</v>
      </c>
      <c r="AC1495" s="6" t="s">
        <v>1792</v>
      </c>
      <c r="AD1495" s="6">
        <v>3621.0</v>
      </c>
    </row>
    <row r="1496" ht="56.25" customHeight="1">
      <c r="A1496" s="5" t="s">
        <v>6840</v>
      </c>
      <c r="B1496" s="6" t="str">
        <f>IMAGE("https://storage.googleapis.com/acdb/housewares/FtrBeddesk_Remake_4_0.png")</f>
        <v/>
      </c>
      <c r="C1496" s="5" t="s">
        <v>68</v>
      </c>
      <c r="D1496" s="5" t="s">
        <v>34</v>
      </c>
      <c r="E1496" s="5" t="s">
        <v>57</v>
      </c>
      <c r="F1496" s="5" t="s">
        <v>1271</v>
      </c>
      <c r="G1496" s="5" t="s">
        <v>36</v>
      </c>
      <c r="H1496" s="5" t="s">
        <v>36</v>
      </c>
      <c r="I1496" s="5" t="s">
        <v>35</v>
      </c>
      <c r="J1496" s="6">
        <v>3.0</v>
      </c>
      <c r="K1496" s="6">
        <v>7700.0</v>
      </c>
      <c r="L1496" s="6">
        <v>1925.0</v>
      </c>
      <c r="M1496" s="8" t="s">
        <v>68</v>
      </c>
      <c r="N1496" s="8" t="s">
        <v>57</v>
      </c>
      <c r="O1496" s="6" t="s">
        <v>276</v>
      </c>
      <c r="P1496" s="5" t="s">
        <v>59</v>
      </c>
      <c r="Q1496" s="5" t="s">
        <v>122</v>
      </c>
      <c r="R1496" s="6" t="s">
        <v>42</v>
      </c>
      <c r="S1496" s="5" t="s">
        <v>99</v>
      </c>
      <c r="T1496" s="5" t="s">
        <v>44</v>
      </c>
      <c r="U1496" s="5" t="s">
        <v>44</v>
      </c>
      <c r="V1496" s="5" t="s">
        <v>44</v>
      </c>
      <c r="W1496" s="5" t="s">
        <v>35</v>
      </c>
      <c r="X1496" s="8" t="s">
        <v>230</v>
      </c>
      <c r="Y1496" s="5" t="s">
        <v>46</v>
      </c>
      <c r="Z1496" s="5" t="s">
        <v>47</v>
      </c>
      <c r="AA1496" s="5" t="s">
        <v>64</v>
      </c>
      <c r="AB1496" s="5" t="s">
        <v>7043</v>
      </c>
      <c r="AC1496" s="6" t="s">
        <v>75</v>
      </c>
      <c r="AD1496" s="6">
        <v>3621.0</v>
      </c>
    </row>
    <row r="1497" ht="56.25" customHeight="1">
      <c r="A1497" s="5" t="s">
        <v>6840</v>
      </c>
      <c r="B1497" s="6" t="str">
        <f>IMAGE("https://storage.googleapis.com/acdb/housewares/FtrBeddesk_Remake_4_1.png")</f>
        <v/>
      </c>
      <c r="C1497" s="5" t="s">
        <v>68</v>
      </c>
      <c r="D1497" s="5" t="s">
        <v>34</v>
      </c>
      <c r="E1497" s="5" t="s">
        <v>54</v>
      </c>
      <c r="F1497" s="5" t="s">
        <v>1271</v>
      </c>
      <c r="G1497" s="5" t="s">
        <v>36</v>
      </c>
      <c r="H1497" s="5" t="s">
        <v>36</v>
      </c>
      <c r="I1497" s="5" t="s">
        <v>35</v>
      </c>
      <c r="J1497" s="6">
        <v>3.0</v>
      </c>
      <c r="K1497" s="6">
        <v>7700.0</v>
      </c>
      <c r="L1497" s="6">
        <v>1925.0</v>
      </c>
      <c r="M1497" s="8" t="s">
        <v>68</v>
      </c>
      <c r="N1497" s="8" t="s">
        <v>54</v>
      </c>
      <c r="O1497" s="6" t="s">
        <v>276</v>
      </c>
      <c r="P1497" s="5" t="s">
        <v>59</v>
      </c>
      <c r="Q1497" s="5" t="s">
        <v>122</v>
      </c>
      <c r="R1497" s="6" t="s">
        <v>42</v>
      </c>
      <c r="S1497" s="5" t="s">
        <v>99</v>
      </c>
      <c r="T1497" s="5" t="s">
        <v>44</v>
      </c>
      <c r="U1497" s="5" t="s">
        <v>44</v>
      </c>
      <c r="V1497" s="5" t="s">
        <v>44</v>
      </c>
      <c r="W1497" s="5" t="s">
        <v>35</v>
      </c>
      <c r="X1497" s="8" t="s">
        <v>230</v>
      </c>
      <c r="Y1497" s="5" t="s">
        <v>46</v>
      </c>
      <c r="Z1497" s="5" t="s">
        <v>47</v>
      </c>
      <c r="AA1497" s="5" t="s">
        <v>64</v>
      </c>
      <c r="AB1497" s="5" t="s">
        <v>7047</v>
      </c>
      <c r="AC1497" s="6" t="s">
        <v>429</v>
      </c>
      <c r="AD1497" s="6">
        <v>3621.0</v>
      </c>
    </row>
    <row r="1498" ht="56.25" customHeight="1">
      <c r="A1498" s="5" t="s">
        <v>6840</v>
      </c>
      <c r="B1498" s="6" t="str">
        <f>IMAGE("https://storage.googleapis.com/acdb/housewares/FtrBeddesk_Remake_4_2.png")</f>
        <v/>
      </c>
      <c r="C1498" s="5" t="s">
        <v>68</v>
      </c>
      <c r="D1498" s="5" t="s">
        <v>34</v>
      </c>
      <c r="E1498" s="5" t="s">
        <v>83</v>
      </c>
      <c r="F1498" s="5" t="s">
        <v>1271</v>
      </c>
      <c r="G1498" s="5" t="s">
        <v>36</v>
      </c>
      <c r="H1498" s="5" t="s">
        <v>36</v>
      </c>
      <c r="I1498" s="5" t="s">
        <v>35</v>
      </c>
      <c r="J1498" s="6">
        <v>3.0</v>
      </c>
      <c r="K1498" s="6">
        <v>7700.0</v>
      </c>
      <c r="L1498" s="6">
        <v>1925.0</v>
      </c>
      <c r="M1498" s="8" t="s">
        <v>68</v>
      </c>
      <c r="N1498" s="8" t="s">
        <v>1175</v>
      </c>
      <c r="O1498" s="6" t="s">
        <v>276</v>
      </c>
      <c r="P1498" s="5" t="s">
        <v>59</v>
      </c>
      <c r="Q1498" s="5" t="s">
        <v>122</v>
      </c>
      <c r="R1498" s="6" t="s">
        <v>42</v>
      </c>
      <c r="S1498" s="5" t="s">
        <v>99</v>
      </c>
      <c r="T1498" s="5" t="s">
        <v>44</v>
      </c>
      <c r="U1498" s="5" t="s">
        <v>44</v>
      </c>
      <c r="V1498" s="5" t="s">
        <v>44</v>
      </c>
      <c r="W1498" s="5" t="s">
        <v>35</v>
      </c>
      <c r="X1498" s="8" t="s">
        <v>230</v>
      </c>
      <c r="Y1498" s="5" t="s">
        <v>46</v>
      </c>
      <c r="Z1498" s="5" t="s">
        <v>47</v>
      </c>
      <c r="AA1498" s="5" t="s">
        <v>64</v>
      </c>
      <c r="AB1498" s="5" t="s">
        <v>7053</v>
      </c>
      <c r="AC1498" s="6" t="s">
        <v>434</v>
      </c>
      <c r="AD1498" s="6">
        <v>3621.0</v>
      </c>
    </row>
    <row r="1499" ht="56.25" customHeight="1">
      <c r="A1499" s="5" t="s">
        <v>6840</v>
      </c>
      <c r="B1499" s="6" t="str">
        <f>IMAGE("https://storage.googleapis.com/acdb/housewares/FtrBeddesk_Remake_4_3.png")</f>
        <v/>
      </c>
      <c r="C1499" s="5" t="s">
        <v>68</v>
      </c>
      <c r="D1499" s="5" t="s">
        <v>34</v>
      </c>
      <c r="E1499" s="5" t="s">
        <v>142</v>
      </c>
      <c r="F1499" s="5" t="s">
        <v>1271</v>
      </c>
      <c r="G1499" s="5" t="s">
        <v>36</v>
      </c>
      <c r="H1499" s="5" t="s">
        <v>36</v>
      </c>
      <c r="I1499" s="5" t="s">
        <v>35</v>
      </c>
      <c r="J1499" s="6">
        <v>3.0</v>
      </c>
      <c r="K1499" s="6">
        <v>7700.0</v>
      </c>
      <c r="L1499" s="6">
        <v>1925.0</v>
      </c>
      <c r="M1499" s="8" t="s">
        <v>68</v>
      </c>
      <c r="N1499" s="8" t="s">
        <v>142</v>
      </c>
      <c r="O1499" s="6" t="s">
        <v>276</v>
      </c>
      <c r="P1499" s="5" t="s">
        <v>59</v>
      </c>
      <c r="Q1499" s="5" t="s">
        <v>122</v>
      </c>
      <c r="R1499" s="6" t="s">
        <v>42</v>
      </c>
      <c r="S1499" s="5" t="s">
        <v>99</v>
      </c>
      <c r="T1499" s="5" t="s">
        <v>44</v>
      </c>
      <c r="U1499" s="5" t="s">
        <v>44</v>
      </c>
      <c r="V1499" s="5" t="s">
        <v>44</v>
      </c>
      <c r="W1499" s="5" t="s">
        <v>35</v>
      </c>
      <c r="X1499" s="8" t="s">
        <v>230</v>
      </c>
      <c r="Y1499" s="5" t="s">
        <v>46</v>
      </c>
      <c r="Z1499" s="5" t="s">
        <v>47</v>
      </c>
      <c r="AA1499" s="5" t="s">
        <v>64</v>
      </c>
      <c r="AB1499" s="5" t="s">
        <v>7058</v>
      </c>
      <c r="AC1499" s="6" t="s">
        <v>438</v>
      </c>
      <c r="AD1499" s="6">
        <v>3621.0</v>
      </c>
    </row>
    <row r="1500" ht="56.25" customHeight="1">
      <c r="A1500" s="5" t="s">
        <v>6840</v>
      </c>
      <c r="B1500" s="6" t="str">
        <f>IMAGE("https://storage.googleapis.com/acdb/housewares/FtrBeddesk_Remake_4_4.png")</f>
        <v/>
      </c>
      <c r="C1500" s="5" t="s">
        <v>68</v>
      </c>
      <c r="D1500" s="5" t="s">
        <v>34</v>
      </c>
      <c r="E1500" s="5" t="s">
        <v>114</v>
      </c>
      <c r="F1500" s="5" t="s">
        <v>1271</v>
      </c>
      <c r="G1500" s="5" t="s">
        <v>36</v>
      </c>
      <c r="H1500" s="5" t="s">
        <v>36</v>
      </c>
      <c r="I1500" s="5" t="s">
        <v>35</v>
      </c>
      <c r="J1500" s="6">
        <v>3.0</v>
      </c>
      <c r="K1500" s="6">
        <v>7700.0</v>
      </c>
      <c r="L1500" s="6">
        <v>1925.0</v>
      </c>
      <c r="M1500" s="8" t="s">
        <v>68</v>
      </c>
      <c r="N1500" s="8" t="s">
        <v>114</v>
      </c>
      <c r="O1500" s="6" t="s">
        <v>276</v>
      </c>
      <c r="P1500" s="5" t="s">
        <v>59</v>
      </c>
      <c r="Q1500" s="5" t="s">
        <v>122</v>
      </c>
      <c r="R1500" s="6" t="s">
        <v>42</v>
      </c>
      <c r="S1500" s="5" t="s">
        <v>99</v>
      </c>
      <c r="T1500" s="5" t="s">
        <v>44</v>
      </c>
      <c r="U1500" s="5" t="s">
        <v>44</v>
      </c>
      <c r="V1500" s="5" t="s">
        <v>44</v>
      </c>
      <c r="W1500" s="5" t="s">
        <v>35</v>
      </c>
      <c r="X1500" s="8" t="s">
        <v>230</v>
      </c>
      <c r="Y1500" s="5" t="s">
        <v>46</v>
      </c>
      <c r="Z1500" s="5" t="s">
        <v>47</v>
      </c>
      <c r="AA1500" s="5" t="s">
        <v>64</v>
      </c>
      <c r="AB1500" s="5" t="s">
        <v>7063</v>
      </c>
      <c r="AC1500" s="6" t="s">
        <v>585</v>
      </c>
      <c r="AD1500" s="6">
        <v>3621.0</v>
      </c>
    </row>
    <row r="1501" ht="56.25" customHeight="1">
      <c r="A1501" s="5" t="s">
        <v>6840</v>
      </c>
      <c r="B1501" s="6" t="str">
        <f>IMAGE("https://storage.googleapis.com/acdb/housewares/FtrBeddesk_Remake_4_5.png")</f>
        <v/>
      </c>
      <c r="C1501" s="5" t="s">
        <v>68</v>
      </c>
      <c r="D1501" s="5" t="s">
        <v>34</v>
      </c>
      <c r="E1501" s="5" t="s">
        <v>69</v>
      </c>
      <c r="F1501" s="5" t="s">
        <v>1271</v>
      </c>
      <c r="G1501" s="5" t="s">
        <v>36</v>
      </c>
      <c r="H1501" s="5" t="s">
        <v>36</v>
      </c>
      <c r="I1501" s="5" t="s">
        <v>35</v>
      </c>
      <c r="J1501" s="6">
        <v>3.0</v>
      </c>
      <c r="K1501" s="6">
        <v>7700.0</v>
      </c>
      <c r="L1501" s="6">
        <v>1925.0</v>
      </c>
      <c r="M1501" s="8" t="s">
        <v>68</v>
      </c>
      <c r="N1501" s="8" t="s">
        <v>69</v>
      </c>
      <c r="O1501" s="6" t="s">
        <v>276</v>
      </c>
      <c r="P1501" s="5" t="s">
        <v>59</v>
      </c>
      <c r="Q1501" s="5" t="s">
        <v>122</v>
      </c>
      <c r="R1501" s="6" t="s">
        <v>42</v>
      </c>
      <c r="S1501" s="5" t="s">
        <v>99</v>
      </c>
      <c r="T1501" s="5" t="s">
        <v>44</v>
      </c>
      <c r="U1501" s="5" t="s">
        <v>44</v>
      </c>
      <c r="V1501" s="5" t="s">
        <v>44</v>
      </c>
      <c r="W1501" s="5" t="s">
        <v>35</v>
      </c>
      <c r="X1501" s="8" t="s">
        <v>230</v>
      </c>
      <c r="Y1501" s="5" t="s">
        <v>46</v>
      </c>
      <c r="Z1501" s="5" t="s">
        <v>47</v>
      </c>
      <c r="AA1501" s="5" t="s">
        <v>64</v>
      </c>
      <c r="AB1501" s="5" t="s">
        <v>7069</v>
      </c>
      <c r="AC1501" s="6" t="s">
        <v>1816</v>
      </c>
      <c r="AD1501" s="6">
        <v>3621.0</v>
      </c>
    </row>
    <row r="1502" ht="56.25" customHeight="1">
      <c r="A1502" s="5" t="s">
        <v>6840</v>
      </c>
      <c r="B1502" s="6" t="str">
        <f>IMAGE("https://storage.googleapis.com/acdb/housewares/FtrBeddesk_Remake_4_6.png")</f>
        <v/>
      </c>
      <c r="C1502" s="5" t="s">
        <v>68</v>
      </c>
      <c r="D1502" s="5" t="s">
        <v>34</v>
      </c>
      <c r="E1502" s="5" t="s">
        <v>2123</v>
      </c>
      <c r="F1502" s="5" t="s">
        <v>1271</v>
      </c>
      <c r="G1502" s="5" t="s">
        <v>36</v>
      </c>
      <c r="H1502" s="5" t="s">
        <v>36</v>
      </c>
      <c r="I1502" s="5" t="s">
        <v>35</v>
      </c>
      <c r="J1502" s="6">
        <v>3.0</v>
      </c>
      <c r="K1502" s="6">
        <v>7700.0</v>
      </c>
      <c r="L1502" s="6">
        <v>1925.0</v>
      </c>
      <c r="M1502" s="8" t="s">
        <v>68</v>
      </c>
      <c r="N1502" s="8" t="s">
        <v>58</v>
      </c>
      <c r="O1502" s="6" t="s">
        <v>276</v>
      </c>
      <c r="P1502" s="5" t="s">
        <v>59</v>
      </c>
      <c r="Q1502" s="5" t="s">
        <v>122</v>
      </c>
      <c r="R1502" s="6" t="s">
        <v>42</v>
      </c>
      <c r="S1502" s="5" t="s">
        <v>99</v>
      </c>
      <c r="T1502" s="5" t="s">
        <v>44</v>
      </c>
      <c r="U1502" s="5" t="s">
        <v>44</v>
      </c>
      <c r="V1502" s="5" t="s">
        <v>44</v>
      </c>
      <c r="W1502" s="5" t="s">
        <v>35</v>
      </c>
      <c r="X1502" s="8" t="s">
        <v>230</v>
      </c>
      <c r="Y1502" s="5" t="s">
        <v>46</v>
      </c>
      <c r="Z1502" s="5" t="s">
        <v>47</v>
      </c>
      <c r="AA1502" s="5" t="s">
        <v>64</v>
      </c>
      <c r="AB1502" s="5" t="s">
        <v>7073</v>
      </c>
      <c r="AC1502" s="6" t="s">
        <v>1820</v>
      </c>
      <c r="AD1502" s="6">
        <v>3621.0</v>
      </c>
    </row>
    <row r="1503" ht="56.25" customHeight="1">
      <c r="A1503" s="5" t="s">
        <v>6840</v>
      </c>
      <c r="B1503" s="6" t="str">
        <f>IMAGE("https://storage.googleapis.com/acdb/housewares/FtrBeddesk_Remake_4_7.png")</f>
        <v/>
      </c>
      <c r="C1503" s="5" t="s">
        <v>68</v>
      </c>
      <c r="D1503" s="5" t="s">
        <v>34</v>
      </c>
      <c r="E1503" s="5" t="s">
        <v>906</v>
      </c>
      <c r="F1503" s="5" t="s">
        <v>1271</v>
      </c>
      <c r="G1503" s="5" t="s">
        <v>36</v>
      </c>
      <c r="H1503" s="5" t="s">
        <v>36</v>
      </c>
      <c r="I1503" s="5" t="s">
        <v>35</v>
      </c>
      <c r="J1503" s="6">
        <v>3.0</v>
      </c>
      <c r="K1503" s="6">
        <v>7700.0</v>
      </c>
      <c r="L1503" s="6">
        <v>1925.0</v>
      </c>
      <c r="M1503" s="8" t="s">
        <v>68</v>
      </c>
      <c r="N1503" s="8" t="s">
        <v>58</v>
      </c>
      <c r="O1503" s="6" t="s">
        <v>276</v>
      </c>
      <c r="P1503" s="5" t="s">
        <v>59</v>
      </c>
      <c r="Q1503" s="5" t="s">
        <v>122</v>
      </c>
      <c r="R1503" s="6" t="s">
        <v>42</v>
      </c>
      <c r="S1503" s="5" t="s">
        <v>99</v>
      </c>
      <c r="T1503" s="5" t="s">
        <v>44</v>
      </c>
      <c r="U1503" s="5" t="s">
        <v>44</v>
      </c>
      <c r="V1503" s="5" t="s">
        <v>44</v>
      </c>
      <c r="W1503" s="5" t="s">
        <v>35</v>
      </c>
      <c r="X1503" s="8" t="s">
        <v>230</v>
      </c>
      <c r="Y1503" s="5" t="s">
        <v>46</v>
      </c>
      <c r="Z1503" s="5" t="s">
        <v>47</v>
      </c>
      <c r="AA1503" s="5" t="s">
        <v>64</v>
      </c>
      <c r="AB1503" s="5" t="s">
        <v>7078</v>
      </c>
      <c r="AC1503" s="6" t="s">
        <v>1825</v>
      </c>
      <c r="AD1503" s="6">
        <v>3621.0</v>
      </c>
    </row>
    <row r="1504" ht="56.25" customHeight="1">
      <c r="A1504" s="5" t="s">
        <v>6840</v>
      </c>
      <c r="B1504" s="6" t="str">
        <f>IMAGE("https://storage.googleapis.com/acdb/housewares/FtrBeddesk_Remake_5_0.png")</f>
        <v/>
      </c>
      <c r="C1504" s="5" t="s">
        <v>142</v>
      </c>
      <c r="D1504" s="5" t="s">
        <v>34</v>
      </c>
      <c r="E1504" s="5" t="s">
        <v>57</v>
      </c>
      <c r="F1504" s="5" t="s">
        <v>1271</v>
      </c>
      <c r="G1504" s="5" t="s">
        <v>36</v>
      </c>
      <c r="H1504" s="5" t="s">
        <v>36</v>
      </c>
      <c r="I1504" s="5" t="s">
        <v>35</v>
      </c>
      <c r="J1504" s="6">
        <v>3.0</v>
      </c>
      <c r="K1504" s="6">
        <v>7700.0</v>
      </c>
      <c r="L1504" s="6">
        <v>1925.0</v>
      </c>
      <c r="M1504" s="8" t="s">
        <v>142</v>
      </c>
      <c r="N1504" s="8" t="s">
        <v>57</v>
      </c>
      <c r="O1504" s="6" t="s">
        <v>276</v>
      </c>
      <c r="P1504" s="5" t="s">
        <v>59</v>
      </c>
      <c r="Q1504" s="5" t="s">
        <v>122</v>
      </c>
      <c r="R1504" s="6" t="s">
        <v>42</v>
      </c>
      <c r="S1504" s="5" t="s">
        <v>99</v>
      </c>
      <c r="T1504" s="5" t="s">
        <v>44</v>
      </c>
      <c r="U1504" s="5" t="s">
        <v>44</v>
      </c>
      <c r="V1504" s="5" t="s">
        <v>44</v>
      </c>
      <c r="W1504" s="5" t="s">
        <v>35</v>
      </c>
      <c r="X1504" s="8" t="s">
        <v>230</v>
      </c>
      <c r="Y1504" s="5" t="s">
        <v>46</v>
      </c>
      <c r="Z1504" s="5" t="s">
        <v>47</v>
      </c>
      <c r="AA1504" s="5" t="s">
        <v>64</v>
      </c>
      <c r="AB1504" s="5" t="s">
        <v>7084</v>
      </c>
      <c r="AC1504" s="6" t="s">
        <v>79</v>
      </c>
      <c r="AD1504" s="6">
        <v>3621.0</v>
      </c>
    </row>
    <row r="1505" ht="56.25" customHeight="1">
      <c r="A1505" s="5" t="s">
        <v>6840</v>
      </c>
      <c r="B1505" s="6" t="str">
        <f>IMAGE("https://storage.googleapis.com/acdb/housewares/FtrBeddesk_Remake_5_1.png")</f>
        <v/>
      </c>
      <c r="C1505" s="5" t="s">
        <v>142</v>
      </c>
      <c r="D1505" s="5" t="s">
        <v>34</v>
      </c>
      <c r="E1505" s="5" t="s">
        <v>54</v>
      </c>
      <c r="F1505" s="5" t="s">
        <v>1271</v>
      </c>
      <c r="G1505" s="5" t="s">
        <v>36</v>
      </c>
      <c r="H1505" s="5" t="s">
        <v>36</v>
      </c>
      <c r="I1505" s="5" t="s">
        <v>35</v>
      </c>
      <c r="J1505" s="6">
        <v>3.0</v>
      </c>
      <c r="K1505" s="6">
        <v>7700.0</v>
      </c>
      <c r="L1505" s="6">
        <v>1925.0</v>
      </c>
      <c r="M1505" s="8" t="s">
        <v>142</v>
      </c>
      <c r="N1505" s="8" t="s">
        <v>54</v>
      </c>
      <c r="O1505" s="6" t="s">
        <v>276</v>
      </c>
      <c r="P1505" s="5" t="s">
        <v>59</v>
      </c>
      <c r="Q1505" s="5" t="s">
        <v>122</v>
      </c>
      <c r="R1505" s="6" t="s">
        <v>42</v>
      </c>
      <c r="S1505" s="5" t="s">
        <v>99</v>
      </c>
      <c r="T1505" s="5" t="s">
        <v>44</v>
      </c>
      <c r="U1505" s="5" t="s">
        <v>44</v>
      </c>
      <c r="V1505" s="5" t="s">
        <v>44</v>
      </c>
      <c r="W1505" s="5" t="s">
        <v>35</v>
      </c>
      <c r="X1505" s="8" t="s">
        <v>230</v>
      </c>
      <c r="Y1505" s="5" t="s">
        <v>46</v>
      </c>
      <c r="Z1505" s="5" t="s">
        <v>47</v>
      </c>
      <c r="AA1505" s="5" t="s">
        <v>64</v>
      </c>
      <c r="AB1505" s="5" t="s">
        <v>7089</v>
      </c>
      <c r="AC1505" s="6" t="s">
        <v>448</v>
      </c>
      <c r="AD1505" s="6">
        <v>3621.0</v>
      </c>
    </row>
    <row r="1506" ht="56.25" customHeight="1">
      <c r="A1506" s="5" t="s">
        <v>6840</v>
      </c>
      <c r="B1506" s="6" t="str">
        <f>IMAGE("https://storage.googleapis.com/acdb/housewares/FtrBeddesk_Remake_5_2.png")</f>
        <v/>
      </c>
      <c r="C1506" s="5" t="s">
        <v>142</v>
      </c>
      <c r="D1506" s="5" t="s">
        <v>34</v>
      </c>
      <c r="E1506" s="5" t="s">
        <v>83</v>
      </c>
      <c r="F1506" s="5" t="s">
        <v>1271</v>
      </c>
      <c r="G1506" s="5" t="s">
        <v>36</v>
      </c>
      <c r="H1506" s="5" t="s">
        <v>36</v>
      </c>
      <c r="I1506" s="5" t="s">
        <v>35</v>
      </c>
      <c r="J1506" s="6">
        <v>3.0</v>
      </c>
      <c r="K1506" s="6">
        <v>7700.0</v>
      </c>
      <c r="L1506" s="6">
        <v>1925.0</v>
      </c>
      <c r="M1506" s="8" t="s">
        <v>142</v>
      </c>
      <c r="N1506" s="8" t="s">
        <v>1175</v>
      </c>
      <c r="O1506" s="6" t="s">
        <v>276</v>
      </c>
      <c r="P1506" s="5" t="s">
        <v>59</v>
      </c>
      <c r="Q1506" s="5" t="s">
        <v>122</v>
      </c>
      <c r="R1506" s="6" t="s">
        <v>42</v>
      </c>
      <c r="S1506" s="5" t="s">
        <v>99</v>
      </c>
      <c r="T1506" s="5" t="s">
        <v>44</v>
      </c>
      <c r="U1506" s="5" t="s">
        <v>44</v>
      </c>
      <c r="V1506" s="5" t="s">
        <v>44</v>
      </c>
      <c r="W1506" s="5" t="s">
        <v>35</v>
      </c>
      <c r="X1506" s="8" t="s">
        <v>230</v>
      </c>
      <c r="Y1506" s="5" t="s">
        <v>46</v>
      </c>
      <c r="Z1506" s="5" t="s">
        <v>47</v>
      </c>
      <c r="AA1506" s="5" t="s">
        <v>64</v>
      </c>
      <c r="AB1506" s="5" t="s">
        <v>7096</v>
      </c>
      <c r="AC1506" s="6" t="s">
        <v>452</v>
      </c>
      <c r="AD1506" s="6">
        <v>3621.0</v>
      </c>
    </row>
    <row r="1507" ht="56.25" customHeight="1">
      <c r="A1507" s="5" t="s">
        <v>6840</v>
      </c>
      <c r="B1507" s="6" t="str">
        <f>IMAGE("https://storage.googleapis.com/acdb/housewares/FtrBeddesk_Remake_5_3.png")</f>
        <v/>
      </c>
      <c r="C1507" s="5" t="s">
        <v>142</v>
      </c>
      <c r="D1507" s="5" t="s">
        <v>34</v>
      </c>
      <c r="E1507" s="5" t="s">
        <v>142</v>
      </c>
      <c r="F1507" s="5" t="s">
        <v>1271</v>
      </c>
      <c r="G1507" s="5" t="s">
        <v>36</v>
      </c>
      <c r="H1507" s="5" t="s">
        <v>36</v>
      </c>
      <c r="I1507" s="5" t="s">
        <v>35</v>
      </c>
      <c r="J1507" s="6">
        <v>3.0</v>
      </c>
      <c r="K1507" s="6">
        <v>7700.0</v>
      </c>
      <c r="L1507" s="6">
        <v>1925.0</v>
      </c>
      <c r="M1507" s="8" t="s">
        <v>142</v>
      </c>
      <c r="N1507" s="8" t="s">
        <v>142</v>
      </c>
      <c r="O1507" s="6" t="s">
        <v>276</v>
      </c>
      <c r="P1507" s="5" t="s">
        <v>59</v>
      </c>
      <c r="Q1507" s="5" t="s">
        <v>122</v>
      </c>
      <c r="R1507" s="6" t="s">
        <v>42</v>
      </c>
      <c r="S1507" s="5" t="s">
        <v>99</v>
      </c>
      <c r="T1507" s="5" t="s">
        <v>44</v>
      </c>
      <c r="U1507" s="5" t="s">
        <v>44</v>
      </c>
      <c r="V1507" s="5" t="s">
        <v>44</v>
      </c>
      <c r="W1507" s="5" t="s">
        <v>35</v>
      </c>
      <c r="X1507" s="8" t="s">
        <v>230</v>
      </c>
      <c r="Y1507" s="5" t="s">
        <v>46</v>
      </c>
      <c r="Z1507" s="5" t="s">
        <v>47</v>
      </c>
      <c r="AA1507" s="5" t="s">
        <v>64</v>
      </c>
      <c r="AB1507" s="5" t="s">
        <v>7105</v>
      </c>
      <c r="AC1507" s="6" t="s">
        <v>455</v>
      </c>
      <c r="AD1507" s="6">
        <v>3621.0</v>
      </c>
    </row>
    <row r="1508" ht="56.25" customHeight="1">
      <c r="A1508" s="5" t="s">
        <v>6840</v>
      </c>
      <c r="B1508" s="6" t="str">
        <f>IMAGE("https://storage.googleapis.com/acdb/housewares/FtrBeddesk_Remake_5_4.png")</f>
        <v/>
      </c>
      <c r="C1508" s="5" t="s">
        <v>142</v>
      </c>
      <c r="D1508" s="5" t="s">
        <v>34</v>
      </c>
      <c r="E1508" s="5" t="s">
        <v>114</v>
      </c>
      <c r="F1508" s="5" t="s">
        <v>1271</v>
      </c>
      <c r="G1508" s="5" t="s">
        <v>36</v>
      </c>
      <c r="H1508" s="5" t="s">
        <v>36</v>
      </c>
      <c r="I1508" s="5" t="s">
        <v>35</v>
      </c>
      <c r="J1508" s="6">
        <v>3.0</v>
      </c>
      <c r="K1508" s="6">
        <v>7700.0</v>
      </c>
      <c r="L1508" s="6">
        <v>1925.0</v>
      </c>
      <c r="M1508" s="8" t="s">
        <v>142</v>
      </c>
      <c r="N1508" s="8" t="s">
        <v>114</v>
      </c>
      <c r="O1508" s="6" t="s">
        <v>276</v>
      </c>
      <c r="P1508" s="5" t="s">
        <v>59</v>
      </c>
      <c r="Q1508" s="5" t="s">
        <v>122</v>
      </c>
      <c r="R1508" s="6" t="s">
        <v>42</v>
      </c>
      <c r="S1508" s="5" t="s">
        <v>99</v>
      </c>
      <c r="T1508" s="5" t="s">
        <v>44</v>
      </c>
      <c r="U1508" s="5" t="s">
        <v>44</v>
      </c>
      <c r="V1508" s="5" t="s">
        <v>44</v>
      </c>
      <c r="W1508" s="5" t="s">
        <v>35</v>
      </c>
      <c r="X1508" s="8" t="s">
        <v>230</v>
      </c>
      <c r="Y1508" s="5" t="s">
        <v>46</v>
      </c>
      <c r="Z1508" s="5" t="s">
        <v>47</v>
      </c>
      <c r="AA1508" s="5" t="s">
        <v>64</v>
      </c>
      <c r="AB1508" s="5" t="s">
        <v>7112</v>
      </c>
      <c r="AC1508" s="6" t="s">
        <v>609</v>
      </c>
      <c r="AD1508" s="6">
        <v>3621.0</v>
      </c>
    </row>
    <row r="1509" ht="56.25" customHeight="1">
      <c r="A1509" s="5" t="s">
        <v>6840</v>
      </c>
      <c r="B1509" s="6" t="str">
        <f>IMAGE("https://storage.googleapis.com/acdb/housewares/FtrBeddesk_Remake_5_5.png")</f>
        <v/>
      </c>
      <c r="C1509" s="5" t="s">
        <v>142</v>
      </c>
      <c r="D1509" s="5" t="s">
        <v>34</v>
      </c>
      <c r="E1509" s="5" t="s">
        <v>69</v>
      </c>
      <c r="F1509" s="5" t="s">
        <v>1271</v>
      </c>
      <c r="G1509" s="5" t="s">
        <v>36</v>
      </c>
      <c r="H1509" s="5" t="s">
        <v>36</v>
      </c>
      <c r="I1509" s="5" t="s">
        <v>35</v>
      </c>
      <c r="J1509" s="6">
        <v>3.0</v>
      </c>
      <c r="K1509" s="6">
        <v>7700.0</v>
      </c>
      <c r="L1509" s="6">
        <v>1925.0</v>
      </c>
      <c r="M1509" s="8" t="s">
        <v>142</v>
      </c>
      <c r="N1509" s="8" t="s">
        <v>69</v>
      </c>
      <c r="O1509" s="6" t="s">
        <v>276</v>
      </c>
      <c r="P1509" s="5" t="s">
        <v>59</v>
      </c>
      <c r="Q1509" s="5" t="s">
        <v>122</v>
      </c>
      <c r="R1509" s="6" t="s">
        <v>42</v>
      </c>
      <c r="S1509" s="5" t="s">
        <v>99</v>
      </c>
      <c r="T1509" s="5" t="s">
        <v>44</v>
      </c>
      <c r="U1509" s="5" t="s">
        <v>44</v>
      </c>
      <c r="V1509" s="5" t="s">
        <v>44</v>
      </c>
      <c r="W1509" s="5" t="s">
        <v>35</v>
      </c>
      <c r="X1509" s="8" t="s">
        <v>230</v>
      </c>
      <c r="Y1509" s="5" t="s">
        <v>46</v>
      </c>
      <c r="Z1509" s="5" t="s">
        <v>47</v>
      </c>
      <c r="AA1509" s="5" t="s">
        <v>64</v>
      </c>
      <c r="AB1509" s="5" t="s">
        <v>7125</v>
      </c>
      <c r="AC1509" s="6" t="s">
        <v>1843</v>
      </c>
      <c r="AD1509" s="6">
        <v>3621.0</v>
      </c>
    </row>
    <row r="1510" ht="56.25" customHeight="1">
      <c r="A1510" s="5" t="s">
        <v>6840</v>
      </c>
      <c r="B1510" s="6" t="str">
        <f>IMAGE("https://storage.googleapis.com/acdb/housewares/FtrBeddesk_Remake_5_6.png")</f>
        <v/>
      </c>
      <c r="C1510" s="5" t="s">
        <v>142</v>
      </c>
      <c r="D1510" s="5" t="s">
        <v>34</v>
      </c>
      <c r="E1510" s="5" t="s">
        <v>2123</v>
      </c>
      <c r="F1510" s="5" t="s">
        <v>1271</v>
      </c>
      <c r="G1510" s="5" t="s">
        <v>36</v>
      </c>
      <c r="H1510" s="5" t="s">
        <v>36</v>
      </c>
      <c r="I1510" s="5" t="s">
        <v>35</v>
      </c>
      <c r="J1510" s="6">
        <v>3.0</v>
      </c>
      <c r="K1510" s="6">
        <v>7700.0</v>
      </c>
      <c r="L1510" s="6">
        <v>1925.0</v>
      </c>
      <c r="M1510" s="8" t="s">
        <v>142</v>
      </c>
      <c r="N1510" s="8" t="s">
        <v>58</v>
      </c>
      <c r="O1510" s="6" t="s">
        <v>276</v>
      </c>
      <c r="P1510" s="5" t="s">
        <v>59</v>
      </c>
      <c r="Q1510" s="5" t="s">
        <v>122</v>
      </c>
      <c r="R1510" s="6" t="s">
        <v>42</v>
      </c>
      <c r="S1510" s="5" t="s">
        <v>99</v>
      </c>
      <c r="T1510" s="5" t="s">
        <v>44</v>
      </c>
      <c r="U1510" s="5" t="s">
        <v>44</v>
      </c>
      <c r="V1510" s="5" t="s">
        <v>44</v>
      </c>
      <c r="W1510" s="5" t="s">
        <v>35</v>
      </c>
      <c r="X1510" s="8" t="s">
        <v>230</v>
      </c>
      <c r="Y1510" s="5" t="s">
        <v>46</v>
      </c>
      <c r="Z1510" s="5" t="s">
        <v>47</v>
      </c>
      <c r="AA1510" s="5" t="s">
        <v>64</v>
      </c>
      <c r="AB1510" s="5" t="s">
        <v>7133</v>
      </c>
      <c r="AC1510" s="6" t="s">
        <v>1847</v>
      </c>
      <c r="AD1510" s="6">
        <v>3621.0</v>
      </c>
    </row>
    <row r="1511" ht="56.25" customHeight="1">
      <c r="A1511" s="5" t="s">
        <v>6840</v>
      </c>
      <c r="B1511" s="6" t="str">
        <f>IMAGE("https://storage.googleapis.com/acdb/housewares/FtrBeddesk_Remake_5_7.png")</f>
        <v/>
      </c>
      <c r="C1511" s="5" t="s">
        <v>142</v>
      </c>
      <c r="D1511" s="5" t="s">
        <v>34</v>
      </c>
      <c r="E1511" s="5" t="s">
        <v>906</v>
      </c>
      <c r="F1511" s="5" t="s">
        <v>1271</v>
      </c>
      <c r="G1511" s="5" t="s">
        <v>36</v>
      </c>
      <c r="H1511" s="5" t="s">
        <v>36</v>
      </c>
      <c r="I1511" s="5" t="s">
        <v>35</v>
      </c>
      <c r="J1511" s="6">
        <v>3.0</v>
      </c>
      <c r="K1511" s="6">
        <v>7700.0</v>
      </c>
      <c r="L1511" s="6">
        <v>1925.0</v>
      </c>
      <c r="M1511" s="8" t="s">
        <v>142</v>
      </c>
      <c r="N1511" s="8" t="s">
        <v>58</v>
      </c>
      <c r="O1511" s="6" t="s">
        <v>276</v>
      </c>
      <c r="P1511" s="5" t="s">
        <v>59</v>
      </c>
      <c r="Q1511" s="5" t="s">
        <v>122</v>
      </c>
      <c r="R1511" s="6" t="s">
        <v>42</v>
      </c>
      <c r="S1511" s="5" t="s">
        <v>99</v>
      </c>
      <c r="T1511" s="5" t="s">
        <v>44</v>
      </c>
      <c r="U1511" s="5" t="s">
        <v>44</v>
      </c>
      <c r="V1511" s="5" t="s">
        <v>44</v>
      </c>
      <c r="W1511" s="5" t="s">
        <v>35</v>
      </c>
      <c r="X1511" s="8" t="s">
        <v>230</v>
      </c>
      <c r="Y1511" s="5" t="s">
        <v>46</v>
      </c>
      <c r="Z1511" s="5" t="s">
        <v>47</v>
      </c>
      <c r="AA1511" s="5" t="s">
        <v>64</v>
      </c>
      <c r="AB1511" s="5" t="s">
        <v>7137</v>
      </c>
      <c r="AC1511" s="6" t="s">
        <v>1850</v>
      </c>
      <c r="AD1511" s="6">
        <v>3621.0</v>
      </c>
    </row>
    <row r="1512" ht="56.25" customHeight="1">
      <c r="A1512" s="5" t="s">
        <v>6840</v>
      </c>
      <c r="B1512" s="6" t="str">
        <f>IMAGE("https://storage.googleapis.com/acdb/housewares/FtrBeddesk_Remake_6_0.png")</f>
        <v/>
      </c>
      <c r="C1512" s="5" t="s">
        <v>83</v>
      </c>
      <c r="D1512" s="5" t="s">
        <v>34</v>
      </c>
      <c r="E1512" s="5" t="s">
        <v>57</v>
      </c>
      <c r="F1512" s="5" t="s">
        <v>1271</v>
      </c>
      <c r="G1512" s="5" t="s">
        <v>36</v>
      </c>
      <c r="H1512" s="5" t="s">
        <v>36</v>
      </c>
      <c r="I1512" s="5" t="s">
        <v>35</v>
      </c>
      <c r="J1512" s="6">
        <v>3.0</v>
      </c>
      <c r="K1512" s="6">
        <v>7700.0</v>
      </c>
      <c r="L1512" s="6">
        <v>1925.0</v>
      </c>
      <c r="M1512" s="8" t="s">
        <v>1175</v>
      </c>
      <c r="N1512" s="8" t="s">
        <v>57</v>
      </c>
      <c r="O1512" s="6" t="s">
        <v>276</v>
      </c>
      <c r="P1512" s="5" t="s">
        <v>59</v>
      </c>
      <c r="Q1512" s="5" t="s">
        <v>122</v>
      </c>
      <c r="R1512" s="6" t="s">
        <v>42</v>
      </c>
      <c r="S1512" s="5" t="s">
        <v>99</v>
      </c>
      <c r="T1512" s="5" t="s">
        <v>44</v>
      </c>
      <c r="U1512" s="5" t="s">
        <v>44</v>
      </c>
      <c r="V1512" s="5" t="s">
        <v>44</v>
      </c>
      <c r="W1512" s="5" t="s">
        <v>35</v>
      </c>
      <c r="X1512" s="8" t="s">
        <v>230</v>
      </c>
      <c r="Y1512" s="5" t="s">
        <v>46</v>
      </c>
      <c r="Z1512" s="5" t="s">
        <v>47</v>
      </c>
      <c r="AA1512" s="5" t="s">
        <v>64</v>
      </c>
      <c r="AB1512" s="5" t="s">
        <v>7141</v>
      </c>
      <c r="AC1512" s="6" t="s">
        <v>86</v>
      </c>
      <c r="AD1512" s="6">
        <v>3621.0</v>
      </c>
    </row>
    <row r="1513" ht="56.25" customHeight="1">
      <c r="A1513" s="5" t="s">
        <v>6840</v>
      </c>
      <c r="B1513" s="6" t="str">
        <f>IMAGE("https://storage.googleapis.com/acdb/housewares/FtrBeddesk_Remake_6_1.png")</f>
        <v/>
      </c>
      <c r="C1513" s="5" t="s">
        <v>83</v>
      </c>
      <c r="D1513" s="5" t="s">
        <v>34</v>
      </c>
      <c r="E1513" s="5" t="s">
        <v>54</v>
      </c>
      <c r="F1513" s="5" t="s">
        <v>1271</v>
      </c>
      <c r="G1513" s="5" t="s">
        <v>36</v>
      </c>
      <c r="H1513" s="5" t="s">
        <v>36</v>
      </c>
      <c r="I1513" s="5" t="s">
        <v>35</v>
      </c>
      <c r="J1513" s="6">
        <v>3.0</v>
      </c>
      <c r="K1513" s="6">
        <v>7700.0</v>
      </c>
      <c r="L1513" s="6">
        <v>1925.0</v>
      </c>
      <c r="M1513" s="8" t="s">
        <v>1175</v>
      </c>
      <c r="N1513" s="8" t="s">
        <v>54</v>
      </c>
      <c r="O1513" s="6" t="s">
        <v>276</v>
      </c>
      <c r="P1513" s="5" t="s">
        <v>59</v>
      </c>
      <c r="Q1513" s="5" t="s">
        <v>122</v>
      </c>
      <c r="R1513" s="6" t="s">
        <v>42</v>
      </c>
      <c r="S1513" s="5" t="s">
        <v>99</v>
      </c>
      <c r="T1513" s="5" t="s">
        <v>44</v>
      </c>
      <c r="U1513" s="5" t="s">
        <v>44</v>
      </c>
      <c r="V1513" s="5" t="s">
        <v>44</v>
      </c>
      <c r="W1513" s="5" t="s">
        <v>35</v>
      </c>
      <c r="X1513" s="8" t="s">
        <v>230</v>
      </c>
      <c r="Y1513" s="5" t="s">
        <v>46</v>
      </c>
      <c r="Z1513" s="5" t="s">
        <v>47</v>
      </c>
      <c r="AA1513" s="5" t="s">
        <v>64</v>
      </c>
      <c r="AB1513" s="5" t="s">
        <v>7150</v>
      </c>
      <c r="AC1513" s="6" t="s">
        <v>620</v>
      </c>
      <c r="AD1513" s="6">
        <v>3621.0</v>
      </c>
    </row>
    <row r="1514" ht="56.25" customHeight="1">
      <c r="A1514" s="5" t="s">
        <v>6840</v>
      </c>
      <c r="B1514" s="6" t="str">
        <f>IMAGE("https://storage.googleapis.com/acdb/housewares/FtrBeddesk_Remake_6_2.png")</f>
        <v/>
      </c>
      <c r="C1514" s="5" t="s">
        <v>83</v>
      </c>
      <c r="D1514" s="5" t="s">
        <v>34</v>
      </c>
      <c r="E1514" s="5" t="s">
        <v>83</v>
      </c>
      <c r="F1514" s="5" t="s">
        <v>1271</v>
      </c>
      <c r="G1514" s="5" t="s">
        <v>36</v>
      </c>
      <c r="H1514" s="5" t="s">
        <v>36</v>
      </c>
      <c r="I1514" s="5" t="s">
        <v>35</v>
      </c>
      <c r="J1514" s="6">
        <v>3.0</v>
      </c>
      <c r="K1514" s="6">
        <v>7700.0</v>
      </c>
      <c r="L1514" s="6">
        <v>1925.0</v>
      </c>
      <c r="M1514" s="8" t="s">
        <v>1175</v>
      </c>
      <c r="N1514" s="8" t="s">
        <v>1175</v>
      </c>
      <c r="O1514" s="6" t="s">
        <v>276</v>
      </c>
      <c r="P1514" s="5" t="s">
        <v>59</v>
      </c>
      <c r="Q1514" s="5" t="s">
        <v>122</v>
      </c>
      <c r="R1514" s="6" t="s">
        <v>42</v>
      </c>
      <c r="S1514" s="5" t="s">
        <v>99</v>
      </c>
      <c r="T1514" s="5" t="s">
        <v>44</v>
      </c>
      <c r="U1514" s="5" t="s">
        <v>44</v>
      </c>
      <c r="V1514" s="5" t="s">
        <v>44</v>
      </c>
      <c r="W1514" s="5" t="s">
        <v>35</v>
      </c>
      <c r="X1514" s="8" t="s">
        <v>230</v>
      </c>
      <c r="Y1514" s="5" t="s">
        <v>46</v>
      </c>
      <c r="Z1514" s="5" t="s">
        <v>47</v>
      </c>
      <c r="AA1514" s="5" t="s">
        <v>64</v>
      </c>
      <c r="AB1514" s="5" t="s">
        <v>7160</v>
      </c>
      <c r="AC1514" s="6" t="s">
        <v>626</v>
      </c>
      <c r="AD1514" s="6">
        <v>3621.0</v>
      </c>
    </row>
    <row r="1515" ht="56.25" customHeight="1">
      <c r="A1515" s="5" t="s">
        <v>6840</v>
      </c>
      <c r="B1515" s="6" t="str">
        <f>IMAGE("https://storage.googleapis.com/acdb/housewares/FtrBeddesk_Remake_6_3.png")</f>
        <v/>
      </c>
      <c r="C1515" s="5" t="s">
        <v>83</v>
      </c>
      <c r="D1515" s="5" t="s">
        <v>34</v>
      </c>
      <c r="E1515" s="5" t="s">
        <v>142</v>
      </c>
      <c r="F1515" s="5" t="s">
        <v>1271</v>
      </c>
      <c r="G1515" s="5" t="s">
        <v>36</v>
      </c>
      <c r="H1515" s="5" t="s">
        <v>36</v>
      </c>
      <c r="I1515" s="5" t="s">
        <v>35</v>
      </c>
      <c r="J1515" s="6">
        <v>3.0</v>
      </c>
      <c r="K1515" s="6">
        <v>7700.0</v>
      </c>
      <c r="L1515" s="6">
        <v>1925.0</v>
      </c>
      <c r="M1515" s="8" t="s">
        <v>1175</v>
      </c>
      <c r="N1515" s="8" t="s">
        <v>142</v>
      </c>
      <c r="O1515" s="6" t="s">
        <v>276</v>
      </c>
      <c r="P1515" s="5" t="s">
        <v>59</v>
      </c>
      <c r="Q1515" s="5" t="s">
        <v>122</v>
      </c>
      <c r="R1515" s="6" t="s">
        <v>42</v>
      </c>
      <c r="S1515" s="5" t="s">
        <v>99</v>
      </c>
      <c r="T1515" s="5" t="s">
        <v>44</v>
      </c>
      <c r="U1515" s="5" t="s">
        <v>44</v>
      </c>
      <c r="V1515" s="5" t="s">
        <v>44</v>
      </c>
      <c r="W1515" s="5" t="s">
        <v>35</v>
      </c>
      <c r="X1515" s="8" t="s">
        <v>230</v>
      </c>
      <c r="Y1515" s="5" t="s">
        <v>46</v>
      </c>
      <c r="Z1515" s="5" t="s">
        <v>47</v>
      </c>
      <c r="AA1515" s="5" t="s">
        <v>64</v>
      </c>
      <c r="AB1515" s="5" t="s">
        <v>7168</v>
      </c>
      <c r="AC1515" s="6" t="s">
        <v>634</v>
      </c>
      <c r="AD1515" s="6">
        <v>3621.0</v>
      </c>
    </row>
    <row r="1516" ht="56.25" customHeight="1">
      <c r="A1516" s="5" t="s">
        <v>6840</v>
      </c>
      <c r="B1516" s="6" t="str">
        <f>IMAGE("https://storage.googleapis.com/acdb/housewares/FtrBeddesk_Remake_6_4.png")</f>
        <v/>
      </c>
      <c r="C1516" s="5" t="s">
        <v>83</v>
      </c>
      <c r="D1516" s="5" t="s">
        <v>34</v>
      </c>
      <c r="E1516" s="5" t="s">
        <v>114</v>
      </c>
      <c r="F1516" s="5" t="s">
        <v>1271</v>
      </c>
      <c r="G1516" s="5" t="s">
        <v>36</v>
      </c>
      <c r="H1516" s="5" t="s">
        <v>36</v>
      </c>
      <c r="I1516" s="5" t="s">
        <v>35</v>
      </c>
      <c r="J1516" s="6">
        <v>3.0</v>
      </c>
      <c r="K1516" s="6">
        <v>7700.0</v>
      </c>
      <c r="L1516" s="6">
        <v>1925.0</v>
      </c>
      <c r="M1516" s="8" t="s">
        <v>1175</v>
      </c>
      <c r="N1516" s="8" t="s">
        <v>114</v>
      </c>
      <c r="O1516" s="6" t="s">
        <v>276</v>
      </c>
      <c r="P1516" s="5" t="s">
        <v>59</v>
      </c>
      <c r="Q1516" s="5" t="s">
        <v>122</v>
      </c>
      <c r="R1516" s="6" t="s">
        <v>42</v>
      </c>
      <c r="S1516" s="5" t="s">
        <v>99</v>
      </c>
      <c r="T1516" s="5" t="s">
        <v>44</v>
      </c>
      <c r="U1516" s="5" t="s">
        <v>44</v>
      </c>
      <c r="V1516" s="5" t="s">
        <v>44</v>
      </c>
      <c r="W1516" s="5" t="s">
        <v>35</v>
      </c>
      <c r="X1516" s="8" t="s">
        <v>230</v>
      </c>
      <c r="Y1516" s="5" t="s">
        <v>46</v>
      </c>
      <c r="Z1516" s="5" t="s">
        <v>47</v>
      </c>
      <c r="AA1516" s="5" t="s">
        <v>64</v>
      </c>
      <c r="AB1516" s="5" t="s">
        <v>7174</v>
      </c>
      <c r="AC1516" s="6" t="s">
        <v>641</v>
      </c>
      <c r="AD1516" s="6">
        <v>3621.0</v>
      </c>
    </row>
    <row r="1517" ht="56.25" customHeight="1">
      <c r="A1517" s="5" t="s">
        <v>6840</v>
      </c>
      <c r="B1517" s="6" t="str">
        <f>IMAGE("https://storage.googleapis.com/acdb/housewares/FtrBeddesk_Remake_6_5.png")</f>
        <v/>
      </c>
      <c r="C1517" s="5" t="s">
        <v>83</v>
      </c>
      <c r="D1517" s="5" t="s">
        <v>34</v>
      </c>
      <c r="E1517" s="5" t="s">
        <v>69</v>
      </c>
      <c r="F1517" s="5" t="s">
        <v>1271</v>
      </c>
      <c r="G1517" s="5" t="s">
        <v>36</v>
      </c>
      <c r="H1517" s="5" t="s">
        <v>36</v>
      </c>
      <c r="I1517" s="5" t="s">
        <v>35</v>
      </c>
      <c r="J1517" s="6">
        <v>3.0</v>
      </c>
      <c r="K1517" s="6">
        <v>7700.0</v>
      </c>
      <c r="L1517" s="6">
        <v>1925.0</v>
      </c>
      <c r="M1517" s="8" t="s">
        <v>1175</v>
      </c>
      <c r="N1517" s="8" t="s">
        <v>69</v>
      </c>
      <c r="O1517" s="6" t="s">
        <v>276</v>
      </c>
      <c r="P1517" s="5" t="s">
        <v>59</v>
      </c>
      <c r="Q1517" s="5" t="s">
        <v>122</v>
      </c>
      <c r="R1517" s="6" t="s">
        <v>42</v>
      </c>
      <c r="S1517" s="5" t="s">
        <v>99</v>
      </c>
      <c r="T1517" s="5" t="s">
        <v>44</v>
      </c>
      <c r="U1517" s="5" t="s">
        <v>44</v>
      </c>
      <c r="V1517" s="5" t="s">
        <v>44</v>
      </c>
      <c r="W1517" s="5" t="s">
        <v>35</v>
      </c>
      <c r="X1517" s="8" t="s">
        <v>230</v>
      </c>
      <c r="Y1517" s="5" t="s">
        <v>46</v>
      </c>
      <c r="Z1517" s="5" t="s">
        <v>47</v>
      </c>
      <c r="AA1517" s="5" t="s">
        <v>64</v>
      </c>
      <c r="AB1517" s="5" t="s">
        <v>7180</v>
      </c>
      <c r="AC1517" s="6" t="s">
        <v>1870</v>
      </c>
      <c r="AD1517" s="6">
        <v>3621.0</v>
      </c>
    </row>
    <row r="1518" ht="56.25" customHeight="1">
      <c r="A1518" s="5" t="s">
        <v>6840</v>
      </c>
      <c r="B1518" s="6" t="str">
        <f>IMAGE("https://storage.googleapis.com/acdb/housewares/FtrBeddesk_Remake_6_6.png")</f>
        <v/>
      </c>
      <c r="C1518" s="5" t="s">
        <v>83</v>
      </c>
      <c r="D1518" s="5" t="s">
        <v>34</v>
      </c>
      <c r="E1518" s="5" t="s">
        <v>2123</v>
      </c>
      <c r="F1518" s="5" t="s">
        <v>1271</v>
      </c>
      <c r="G1518" s="5" t="s">
        <v>36</v>
      </c>
      <c r="H1518" s="5" t="s">
        <v>36</v>
      </c>
      <c r="I1518" s="5" t="s">
        <v>35</v>
      </c>
      <c r="J1518" s="6">
        <v>3.0</v>
      </c>
      <c r="K1518" s="6">
        <v>7700.0</v>
      </c>
      <c r="L1518" s="6">
        <v>1925.0</v>
      </c>
      <c r="M1518" s="8" t="s">
        <v>1175</v>
      </c>
      <c r="N1518" s="8" t="s">
        <v>58</v>
      </c>
      <c r="O1518" s="6" t="s">
        <v>276</v>
      </c>
      <c r="P1518" s="5" t="s">
        <v>59</v>
      </c>
      <c r="Q1518" s="5" t="s">
        <v>122</v>
      </c>
      <c r="R1518" s="6" t="s">
        <v>42</v>
      </c>
      <c r="S1518" s="5" t="s">
        <v>99</v>
      </c>
      <c r="T1518" s="5" t="s">
        <v>44</v>
      </c>
      <c r="U1518" s="5" t="s">
        <v>44</v>
      </c>
      <c r="V1518" s="5" t="s">
        <v>44</v>
      </c>
      <c r="W1518" s="5" t="s">
        <v>35</v>
      </c>
      <c r="X1518" s="8" t="s">
        <v>230</v>
      </c>
      <c r="Y1518" s="5" t="s">
        <v>46</v>
      </c>
      <c r="Z1518" s="5" t="s">
        <v>47</v>
      </c>
      <c r="AA1518" s="5" t="s">
        <v>64</v>
      </c>
      <c r="AB1518" s="5" t="s">
        <v>7184</v>
      </c>
      <c r="AC1518" s="6" t="s">
        <v>1873</v>
      </c>
      <c r="AD1518" s="6">
        <v>3621.0</v>
      </c>
    </row>
    <row r="1519" ht="56.25" customHeight="1">
      <c r="A1519" s="5" t="s">
        <v>6840</v>
      </c>
      <c r="B1519" s="6" t="str">
        <f>IMAGE("https://storage.googleapis.com/acdb/housewares/FtrBeddesk_Remake_6_7.png")</f>
        <v/>
      </c>
      <c r="C1519" s="5" t="s">
        <v>83</v>
      </c>
      <c r="D1519" s="5" t="s">
        <v>34</v>
      </c>
      <c r="E1519" s="5" t="s">
        <v>906</v>
      </c>
      <c r="F1519" s="5" t="s">
        <v>1271</v>
      </c>
      <c r="G1519" s="5" t="s">
        <v>36</v>
      </c>
      <c r="H1519" s="5" t="s">
        <v>36</v>
      </c>
      <c r="I1519" s="5" t="s">
        <v>35</v>
      </c>
      <c r="J1519" s="6">
        <v>3.0</v>
      </c>
      <c r="K1519" s="6">
        <v>7700.0</v>
      </c>
      <c r="L1519" s="6">
        <v>1925.0</v>
      </c>
      <c r="M1519" s="8" t="s">
        <v>1175</v>
      </c>
      <c r="N1519" s="8" t="s">
        <v>58</v>
      </c>
      <c r="O1519" s="6" t="s">
        <v>276</v>
      </c>
      <c r="P1519" s="5" t="s">
        <v>59</v>
      </c>
      <c r="Q1519" s="5" t="s">
        <v>122</v>
      </c>
      <c r="R1519" s="6" t="s">
        <v>42</v>
      </c>
      <c r="S1519" s="5" t="s">
        <v>99</v>
      </c>
      <c r="T1519" s="5" t="s">
        <v>44</v>
      </c>
      <c r="U1519" s="5" t="s">
        <v>44</v>
      </c>
      <c r="V1519" s="5" t="s">
        <v>44</v>
      </c>
      <c r="W1519" s="5" t="s">
        <v>35</v>
      </c>
      <c r="X1519" s="8" t="s">
        <v>230</v>
      </c>
      <c r="Y1519" s="5" t="s">
        <v>46</v>
      </c>
      <c r="Z1519" s="5" t="s">
        <v>47</v>
      </c>
      <c r="AA1519" s="5" t="s">
        <v>64</v>
      </c>
      <c r="AB1519" s="5" t="s">
        <v>7190</v>
      </c>
      <c r="AC1519" s="6" t="s">
        <v>1879</v>
      </c>
      <c r="AD1519" s="6">
        <v>3621.0</v>
      </c>
    </row>
    <row r="1520" ht="56.25" customHeight="1">
      <c r="A1520" s="5" t="s">
        <v>6840</v>
      </c>
      <c r="B1520" s="6" t="str">
        <f>IMAGE("https://storage.googleapis.com/acdb/housewares/FtrBeddesk_Remake_7_0.png")</f>
        <v/>
      </c>
      <c r="C1520" s="5" t="s">
        <v>69</v>
      </c>
      <c r="D1520" s="5" t="s">
        <v>34</v>
      </c>
      <c r="E1520" s="5" t="s">
        <v>57</v>
      </c>
      <c r="F1520" s="5" t="s">
        <v>1271</v>
      </c>
      <c r="G1520" s="5" t="s">
        <v>36</v>
      </c>
      <c r="H1520" s="5" t="s">
        <v>36</v>
      </c>
      <c r="I1520" s="5" t="s">
        <v>35</v>
      </c>
      <c r="J1520" s="6">
        <v>3.0</v>
      </c>
      <c r="K1520" s="6">
        <v>7700.0</v>
      </c>
      <c r="L1520" s="6">
        <v>1925.0</v>
      </c>
      <c r="M1520" s="8" t="s">
        <v>69</v>
      </c>
      <c r="N1520" s="8" t="s">
        <v>57</v>
      </c>
      <c r="O1520" s="6" t="s">
        <v>276</v>
      </c>
      <c r="P1520" s="5" t="s">
        <v>59</v>
      </c>
      <c r="Q1520" s="5" t="s">
        <v>122</v>
      </c>
      <c r="R1520" s="6" t="s">
        <v>42</v>
      </c>
      <c r="S1520" s="5" t="s">
        <v>99</v>
      </c>
      <c r="T1520" s="5" t="s">
        <v>44</v>
      </c>
      <c r="U1520" s="5" t="s">
        <v>44</v>
      </c>
      <c r="V1520" s="5" t="s">
        <v>44</v>
      </c>
      <c r="W1520" s="5" t="s">
        <v>35</v>
      </c>
      <c r="X1520" s="8" t="s">
        <v>230</v>
      </c>
      <c r="Y1520" s="5" t="s">
        <v>46</v>
      </c>
      <c r="Z1520" s="5" t="s">
        <v>47</v>
      </c>
      <c r="AA1520" s="5" t="s">
        <v>64</v>
      </c>
      <c r="AB1520" s="5" t="s">
        <v>7198</v>
      </c>
      <c r="AC1520" s="6" t="s">
        <v>208</v>
      </c>
      <c r="AD1520" s="6">
        <v>3621.0</v>
      </c>
    </row>
    <row r="1521" ht="56.25" customHeight="1">
      <c r="A1521" s="5" t="s">
        <v>6840</v>
      </c>
      <c r="B1521" s="6" t="str">
        <f>IMAGE("https://storage.googleapis.com/acdb/housewares/FtrBeddesk_Remake_7_1.png")</f>
        <v/>
      </c>
      <c r="C1521" s="5" t="s">
        <v>69</v>
      </c>
      <c r="D1521" s="5" t="s">
        <v>34</v>
      </c>
      <c r="E1521" s="5" t="s">
        <v>54</v>
      </c>
      <c r="F1521" s="5" t="s">
        <v>1271</v>
      </c>
      <c r="G1521" s="5" t="s">
        <v>36</v>
      </c>
      <c r="H1521" s="5" t="s">
        <v>36</v>
      </c>
      <c r="I1521" s="5" t="s">
        <v>35</v>
      </c>
      <c r="J1521" s="6">
        <v>3.0</v>
      </c>
      <c r="K1521" s="6">
        <v>7700.0</v>
      </c>
      <c r="L1521" s="6">
        <v>1925.0</v>
      </c>
      <c r="M1521" s="8" t="s">
        <v>69</v>
      </c>
      <c r="N1521" s="8" t="s">
        <v>54</v>
      </c>
      <c r="O1521" s="6" t="s">
        <v>276</v>
      </c>
      <c r="P1521" s="5" t="s">
        <v>59</v>
      </c>
      <c r="Q1521" s="5" t="s">
        <v>122</v>
      </c>
      <c r="R1521" s="6" t="s">
        <v>42</v>
      </c>
      <c r="S1521" s="5" t="s">
        <v>99</v>
      </c>
      <c r="T1521" s="5" t="s">
        <v>44</v>
      </c>
      <c r="U1521" s="5" t="s">
        <v>44</v>
      </c>
      <c r="V1521" s="5" t="s">
        <v>44</v>
      </c>
      <c r="W1521" s="5" t="s">
        <v>35</v>
      </c>
      <c r="X1521" s="8" t="s">
        <v>230</v>
      </c>
      <c r="Y1521" s="5" t="s">
        <v>46</v>
      </c>
      <c r="Z1521" s="5" t="s">
        <v>47</v>
      </c>
      <c r="AA1521" s="5" t="s">
        <v>64</v>
      </c>
      <c r="AB1521" s="5" t="s">
        <v>7203</v>
      </c>
      <c r="AC1521" s="6" t="s">
        <v>1892</v>
      </c>
      <c r="AD1521" s="6">
        <v>3621.0</v>
      </c>
    </row>
    <row r="1522" ht="56.25" customHeight="1">
      <c r="A1522" s="5" t="s">
        <v>6840</v>
      </c>
      <c r="B1522" s="6" t="str">
        <f>IMAGE("https://storage.googleapis.com/acdb/housewares/FtrBeddesk_Remake_7_2.png")</f>
        <v/>
      </c>
      <c r="C1522" s="5" t="s">
        <v>69</v>
      </c>
      <c r="D1522" s="5" t="s">
        <v>34</v>
      </c>
      <c r="E1522" s="5" t="s">
        <v>83</v>
      </c>
      <c r="F1522" s="5" t="s">
        <v>1271</v>
      </c>
      <c r="G1522" s="5" t="s">
        <v>36</v>
      </c>
      <c r="H1522" s="5" t="s">
        <v>36</v>
      </c>
      <c r="I1522" s="5" t="s">
        <v>35</v>
      </c>
      <c r="J1522" s="6">
        <v>3.0</v>
      </c>
      <c r="K1522" s="6">
        <v>7700.0</v>
      </c>
      <c r="L1522" s="6">
        <v>1925.0</v>
      </c>
      <c r="M1522" s="8" t="s">
        <v>69</v>
      </c>
      <c r="N1522" s="8" t="s">
        <v>1175</v>
      </c>
      <c r="O1522" s="6" t="s">
        <v>276</v>
      </c>
      <c r="P1522" s="5" t="s">
        <v>59</v>
      </c>
      <c r="Q1522" s="5" t="s">
        <v>122</v>
      </c>
      <c r="R1522" s="6" t="s">
        <v>42</v>
      </c>
      <c r="S1522" s="5" t="s">
        <v>99</v>
      </c>
      <c r="T1522" s="5" t="s">
        <v>44</v>
      </c>
      <c r="U1522" s="5" t="s">
        <v>44</v>
      </c>
      <c r="V1522" s="5" t="s">
        <v>44</v>
      </c>
      <c r="W1522" s="5" t="s">
        <v>35</v>
      </c>
      <c r="X1522" s="8" t="s">
        <v>230</v>
      </c>
      <c r="Y1522" s="5" t="s">
        <v>46</v>
      </c>
      <c r="Z1522" s="5" t="s">
        <v>47</v>
      </c>
      <c r="AA1522" s="5" t="s">
        <v>64</v>
      </c>
      <c r="AB1522" s="5" t="s">
        <v>7209</v>
      </c>
      <c r="AC1522" s="6" t="s">
        <v>1901</v>
      </c>
      <c r="AD1522" s="6">
        <v>3621.0</v>
      </c>
    </row>
    <row r="1523" ht="56.25" customHeight="1">
      <c r="A1523" s="5" t="s">
        <v>6840</v>
      </c>
      <c r="B1523" s="6" t="str">
        <f>IMAGE("https://storage.googleapis.com/acdb/housewares/FtrBeddesk_Remake_7_3.png")</f>
        <v/>
      </c>
      <c r="C1523" s="5" t="s">
        <v>69</v>
      </c>
      <c r="D1523" s="5" t="s">
        <v>34</v>
      </c>
      <c r="E1523" s="5" t="s">
        <v>142</v>
      </c>
      <c r="F1523" s="5" t="s">
        <v>1271</v>
      </c>
      <c r="G1523" s="5" t="s">
        <v>36</v>
      </c>
      <c r="H1523" s="5" t="s">
        <v>36</v>
      </c>
      <c r="I1523" s="5" t="s">
        <v>35</v>
      </c>
      <c r="J1523" s="6">
        <v>3.0</v>
      </c>
      <c r="K1523" s="6">
        <v>7700.0</v>
      </c>
      <c r="L1523" s="6">
        <v>1925.0</v>
      </c>
      <c r="M1523" s="8" t="s">
        <v>69</v>
      </c>
      <c r="N1523" s="8" t="s">
        <v>142</v>
      </c>
      <c r="O1523" s="6" t="s">
        <v>276</v>
      </c>
      <c r="P1523" s="5" t="s">
        <v>59</v>
      </c>
      <c r="Q1523" s="5" t="s">
        <v>122</v>
      </c>
      <c r="R1523" s="6" t="s">
        <v>42</v>
      </c>
      <c r="S1523" s="5" t="s">
        <v>99</v>
      </c>
      <c r="T1523" s="5" t="s">
        <v>44</v>
      </c>
      <c r="U1523" s="5" t="s">
        <v>44</v>
      </c>
      <c r="V1523" s="5" t="s">
        <v>44</v>
      </c>
      <c r="W1523" s="5" t="s">
        <v>35</v>
      </c>
      <c r="X1523" s="8" t="s">
        <v>230</v>
      </c>
      <c r="Y1523" s="5" t="s">
        <v>46</v>
      </c>
      <c r="Z1523" s="5" t="s">
        <v>47</v>
      </c>
      <c r="AA1523" s="5" t="s">
        <v>64</v>
      </c>
      <c r="AB1523" s="5" t="s">
        <v>7213</v>
      </c>
      <c r="AC1523" s="6" t="s">
        <v>1906</v>
      </c>
      <c r="AD1523" s="6">
        <v>3621.0</v>
      </c>
    </row>
    <row r="1524" ht="56.25" customHeight="1">
      <c r="A1524" s="5" t="s">
        <v>6840</v>
      </c>
      <c r="B1524" s="6" t="str">
        <f>IMAGE("https://storage.googleapis.com/acdb/housewares/FtrBeddesk_Remake_7_4.png")</f>
        <v/>
      </c>
      <c r="C1524" s="5" t="s">
        <v>69</v>
      </c>
      <c r="D1524" s="5" t="s">
        <v>34</v>
      </c>
      <c r="E1524" s="5" t="s">
        <v>114</v>
      </c>
      <c r="F1524" s="5" t="s">
        <v>1271</v>
      </c>
      <c r="G1524" s="5" t="s">
        <v>36</v>
      </c>
      <c r="H1524" s="5" t="s">
        <v>36</v>
      </c>
      <c r="I1524" s="5" t="s">
        <v>35</v>
      </c>
      <c r="J1524" s="6">
        <v>3.0</v>
      </c>
      <c r="K1524" s="6">
        <v>7700.0</v>
      </c>
      <c r="L1524" s="6">
        <v>1925.0</v>
      </c>
      <c r="M1524" s="8" t="s">
        <v>69</v>
      </c>
      <c r="N1524" s="8" t="s">
        <v>114</v>
      </c>
      <c r="O1524" s="6" t="s">
        <v>276</v>
      </c>
      <c r="P1524" s="5" t="s">
        <v>59</v>
      </c>
      <c r="Q1524" s="5" t="s">
        <v>122</v>
      </c>
      <c r="R1524" s="6" t="s">
        <v>42</v>
      </c>
      <c r="S1524" s="5" t="s">
        <v>99</v>
      </c>
      <c r="T1524" s="5" t="s">
        <v>44</v>
      </c>
      <c r="U1524" s="5" t="s">
        <v>44</v>
      </c>
      <c r="V1524" s="5" t="s">
        <v>44</v>
      </c>
      <c r="W1524" s="5" t="s">
        <v>35</v>
      </c>
      <c r="X1524" s="8" t="s">
        <v>230</v>
      </c>
      <c r="Y1524" s="5" t="s">
        <v>46</v>
      </c>
      <c r="Z1524" s="5" t="s">
        <v>47</v>
      </c>
      <c r="AA1524" s="5" t="s">
        <v>64</v>
      </c>
      <c r="AB1524" s="5" t="s">
        <v>7217</v>
      </c>
      <c r="AC1524" s="6" t="s">
        <v>1910</v>
      </c>
      <c r="AD1524" s="6">
        <v>3621.0</v>
      </c>
    </row>
    <row r="1525" ht="56.25" customHeight="1">
      <c r="A1525" s="5" t="s">
        <v>6840</v>
      </c>
      <c r="B1525" s="6" t="str">
        <f>IMAGE("https://storage.googleapis.com/acdb/housewares/FtrBeddesk_Remake_7_5.png")</f>
        <v/>
      </c>
      <c r="C1525" s="5" t="s">
        <v>69</v>
      </c>
      <c r="D1525" s="5" t="s">
        <v>34</v>
      </c>
      <c r="E1525" s="5" t="s">
        <v>69</v>
      </c>
      <c r="F1525" s="5" t="s">
        <v>1271</v>
      </c>
      <c r="G1525" s="5" t="s">
        <v>36</v>
      </c>
      <c r="H1525" s="5" t="s">
        <v>36</v>
      </c>
      <c r="I1525" s="5" t="s">
        <v>35</v>
      </c>
      <c r="J1525" s="6">
        <v>3.0</v>
      </c>
      <c r="K1525" s="6">
        <v>7700.0</v>
      </c>
      <c r="L1525" s="6">
        <v>1925.0</v>
      </c>
      <c r="M1525" s="8" t="s">
        <v>69</v>
      </c>
      <c r="N1525" s="8" t="s">
        <v>69</v>
      </c>
      <c r="O1525" s="6" t="s">
        <v>276</v>
      </c>
      <c r="P1525" s="5" t="s">
        <v>59</v>
      </c>
      <c r="Q1525" s="5" t="s">
        <v>122</v>
      </c>
      <c r="R1525" s="6" t="s">
        <v>42</v>
      </c>
      <c r="S1525" s="5" t="s">
        <v>99</v>
      </c>
      <c r="T1525" s="5" t="s">
        <v>44</v>
      </c>
      <c r="U1525" s="5" t="s">
        <v>44</v>
      </c>
      <c r="V1525" s="5" t="s">
        <v>44</v>
      </c>
      <c r="W1525" s="5" t="s">
        <v>35</v>
      </c>
      <c r="X1525" s="8" t="s">
        <v>230</v>
      </c>
      <c r="Y1525" s="5" t="s">
        <v>46</v>
      </c>
      <c r="Z1525" s="5" t="s">
        <v>47</v>
      </c>
      <c r="AA1525" s="5" t="s">
        <v>64</v>
      </c>
      <c r="AB1525" s="5" t="s">
        <v>7221</v>
      </c>
      <c r="AC1525" s="6" t="s">
        <v>1915</v>
      </c>
      <c r="AD1525" s="6">
        <v>3621.0</v>
      </c>
    </row>
    <row r="1526" ht="56.25" customHeight="1">
      <c r="A1526" s="5" t="s">
        <v>6840</v>
      </c>
      <c r="B1526" s="6" t="str">
        <f>IMAGE("https://storage.googleapis.com/acdb/housewares/FtrBeddesk_Remake_7_6.png")</f>
        <v/>
      </c>
      <c r="C1526" s="5" t="s">
        <v>69</v>
      </c>
      <c r="D1526" s="5" t="s">
        <v>34</v>
      </c>
      <c r="E1526" s="5" t="s">
        <v>2123</v>
      </c>
      <c r="F1526" s="5" t="s">
        <v>1271</v>
      </c>
      <c r="G1526" s="5" t="s">
        <v>36</v>
      </c>
      <c r="H1526" s="5" t="s">
        <v>36</v>
      </c>
      <c r="I1526" s="5" t="s">
        <v>35</v>
      </c>
      <c r="J1526" s="6">
        <v>3.0</v>
      </c>
      <c r="K1526" s="6">
        <v>7700.0</v>
      </c>
      <c r="L1526" s="6">
        <v>1925.0</v>
      </c>
      <c r="M1526" s="8" t="s">
        <v>69</v>
      </c>
      <c r="N1526" s="8" t="s">
        <v>58</v>
      </c>
      <c r="O1526" s="6" t="s">
        <v>276</v>
      </c>
      <c r="P1526" s="5" t="s">
        <v>59</v>
      </c>
      <c r="Q1526" s="5" t="s">
        <v>122</v>
      </c>
      <c r="R1526" s="6" t="s">
        <v>42</v>
      </c>
      <c r="S1526" s="5" t="s">
        <v>99</v>
      </c>
      <c r="T1526" s="5" t="s">
        <v>44</v>
      </c>
      <c r="U1526" s="5" t="s">
        <v>44</v>
      </c>
      <c r="V1526" s="5" t="s">
        <v>44</v>
      </c>
      <c r="W1526" s="5" t="s">
        <v>35</v>
      </c>
      <c r="X1526" s="8" t="s">
        <v>230</v>
      </c>
      <c r="Y1526" s="5" t="s">
        <v>46</v>
      </c>
      <c r="Z1526" s="5" t="s">
        <v>47</v>
      </c>
      <c r="AA1526" s="5" t="s">
        <v>64</v>
      </c>
      <c r="AB1526" s="5" t="s">
        <v>7228</v>
      </c>
      <c r="AC1526" s="6" t="s">
        <v>1919</v>
      </c>
      <c r="AD1526" s="6">
        <v>3621.0</v>
      </c>
    </row>
    <row r="1527" ht="56.25" customHeight="1">
      <c r="A1527" s="5" t="s">
        <v>6840</v>
      </c>
      <c r="B1527" s="6" t="str">
        <f>IMAGE("https://storage.googleapis.com/acdb/housewares/FtrBeddesk_Remake_7_7.png")</f>
        <v/>
      </c>
      <c r="C1527" s="5" t="s">
        <v>69</v>
      </c>
      <c r="D1527" s="5" t="s">
        <v>34</v>
      </c>
      <c r="E1527" s="5" t="s">
        <v>906</v>
      </c>
      <c r="F1527" s="5" t="s">
        <v>1271</v>
      </c>
      <c r="G1527" s="5" t="s">
        <v>36</v>
      </c>
      <c r="H1527" s="5" t="s">
        <v>36</v>
      </c>
      <c r="I1527" s="5" t="s">
        <v>35</v>
      </c>
      <c r="J1527" s="6">
        <v>3.0</v>
      </c>
      <c r="K1527" s="6">
        <v>7700.0</v>
      </c>
      <c r="L1527" s="6">
        <v>1925.0</v>
      </c>
      <c r="M1527" s="8" t="s">
        <v>69</v>
      </c>
      <c r="N1527" s="8" t="s">
        <v>58</v>
      </c>
      <c r="O1527" s="6" t="s">
        <v>276</v>
      </c>
      <c r="P1527" s="5" t="s">
        <v>59</v>
      </c>
      <c r="Q1527" s="5" t="s">
        <v>122</v>
      </c>
      <c r="R1527" s="6" t="s">
        <v>42</v>
      </c>
      <c r="S1527" s="5" t="s">
        <v>99</v>
      </c>
      <c r="T1527" s="5" t="s">
        <v>44</v>
      </c>
      <c r="U1527" s="5" t="s">
        <v>44</v>
      </c>
      <c r="V1527" s="5" t="s">
        <v>44</v>
      </c>
      <c r="W1527" s="5" t="s">
        <v>35</v>
      </c>
      <c r="X1527" s="8" t="s">
        <v>230</v>
      </c>
      <c r="Y1527" s="5" t="s">
        <v>46</v>
      </c>
      <c r="Z1527" s="5" t="s">
        <v>47</v>
      </c>
      <c r="AA1527" s="5" t="s">
        <v>64</v>
      </c>
      <c r="AB1527" s="5" t="s">
        <v>7233</v>
      </c>
      <c r="AC1527" s="6" t="s">
        <v>1925</v>
      </c>
      <c r="AD1527" s="6">
        <v>3621.0</v>
      </c>
    </row>
    <row r="1528" ht="56.25" customHeight="1">
      <c r="A1528" s="5" t="s">
        <v>7234</v>
      </c>
      <c r="B1528" s="6" t="str">
        <f>IMAGE("https://storage.googleapis.com/acdb/housewares/FtrLogBedW_Remake_0_0.png")</f>
        <v/>
      </c>
      <c r="C1528" s="5" t="s">
        <v>1132</v>
      </c>
      <c r="D1528" s="5" t="s">
        <v>1455</v>
      </c>
      <c r="E1528" s="5" t="s">
        <v>4331</v>
      </c>
      <c r="F1528" s="5" t="s">
        <v>1271</v>
      </c>
      <c r="G1528" s="5" t="s">
        <v>35</v>
      </c>
      <c r="H1528" s="5" t="s">
        <v>35</v>
      </c>
      <c r="I1528" s="5" t="s">
        <v>35</v>
      </c>
      <c r="J1528" s="6">
        <v>6.0</v>
      </c>
      <c r="K1528" s="6" t="s">
        <v>37</v>
      </c>
      <c r="L1528" s="6">
        <v>3600.0</v>
      </c>
      <c r="M1528" s="8" t="s">
        <v>39</v>
      </c>
      <c r="N1528" s="8" t="s">
        <v>58</v>
      </c>
      <c r="O1528" s="6" t="s">
        <v>214</v>
      </c>
      <c r="P1528" s="5" t="s">
        <v>41</v>
      </c>
      <c r="Q1528" s="5"/>
      <c r="R1528" s="6" t="s">
        <v>42</v>
      </c>
      <c r="S1528" s="5" t="s">
        <v>172</v>
      </c>
      <c r="T1528" s="5" t="s">
        <v>90</v>
      </c>
      <c r="U1528" s="5" t="s">
        <v>1583</v>
      </c>
      <c r="V1528" s="5" t="s">
        <v>44</v>
      </c>
      <c r="W1528" s="5" t="s">
        <v>35</v>
      </c>
      <c r="X1528" s="8" t="s">
        <v>218</v>
      </c>
      <c r="Y1528" s="5" t="s">
        <v>46</v>
      </c>
      <c r="Z1528" s="5" t="s">
        <v>47</v>
      </c>
      <c r="AA1528" s="5" t="s">
        <v>48</v>
      </c>
      <c r="AB1528" s="5" t="s">
        <v>7238</v>
      </c>
      <c r="AC1528" s="6" t="s">
        <v>50</v>
      </c>
      <c r="AD1528" s="6">
        <v>4041.0</v>
      </c>
    </row>
    <row r="1529" ht="56.25" customHeight="1">
      <c r="A1529" s="5" t="s">
        <v>7234</v>
      </c>
      <c r="B1529" s="6" t="str">
        <f>IMAGE("https://storage.googleapis.com/acdb/housewares/FtrLogBedW_Remake_0_1.png")</f>
        <v/>
      </c>
      <c r="C1529" s="5" t="s">
        <v>1132</v>
      </c>
      <c r="D1529" s="5" t="s">
        <v>1455</v>
      </c>
      <c r="E1529" s="5" t="s">
        <v>7241</v>
      </c>
      <c r="F1529" s="5" t="s">
        <v>1271</v>
      </c>
      <c r="G1529" s="5" t="s">
        <v>35</v>
      </c>
      <c r="H1529" s="5" t="s">
        <v>35</v>
      </c>
      <c r="I1529" s="5" t="s">
        <v>35</v>
      </c>
      <c r="J1529" s="6">
        <v>6.0</v>
      </c>
      <c r="K1529" s="6" t="s">
        <v>37</v>
      </c>
      <c r="L1529" s="6">
        <v>3600.0</v>
      </c>
      <c r="M1529" s="8" t="s">
        <v>39</v>
      </c>
      <c r="N1529" s="8" t="s">
        <v>58</v>
      </c>
      <c r="O1529" s="6" t="s">
        <v>214</v>
      </c>
      <c r="P1529" s="5" t="s">
        <v>41</v>
      </c>
      <c r="Q1529" s="5"/>
      <c r="R1529" s="6" t="s">
        <v>42</v>
      </c>
      <c r="S1529" s="5" t="s">
        <v>172</v>
      </c>
      <c r="T1529" s="5" t="s">
        <v>90</v>
      </c>
      <c r="U1529" s="5" t="s">
        <v>1583</v>
      </c>
      <c r="V1529" s="5" t="s">
        <v>44</v>
      </c>
      <c r="W1529" s="5" t="s">
        <v>35</v>
      </c>
      <c r="X1529" s="8" t="s">
        <v>218</v>
      </c>
      <c r="Y1529" s="5" t="s">
        <v>46</v>
      </c>
      <c r="Z1529" s="5" t="s">
        <v>47</v>
      </c>
      <c r="AA1529" s="5" t="s">
        <v>48</v>
      </c>
      <c r="AB1529" s="5" t="s">
        <v>7243</v>
      </c>
      <c r="AC1529" s="6" t="s">
        <v>217</v>
      </c>
      <c r="AD1529" s="6">
        <v>4041.0</v>
      </c>
    </row>
    <row r="1530" ht="56.25" customHeight="1">
      <c r="A1530" s="5" t="s">
        <v>7234</v>
      </c>
      <c r="B1530" s="6" t="str">
        <f>IMAGE("https://storage.googleapis.com/acdb/housewares/FtrLogBedW_Remake_0_2.png")</f>
        <v/>
      </c>
      <c r="C1530" s="5" t="s">
        <v>1132</v>
      </c>
      <c r="D1530" s="5" t="s">
        <v>1455</v>
      </c>
      <c r="E1530" s="5" t="s">
        <v>7247</v>
      </c>
      <c r="F1530" s="5" t="s">
        <v>1271</v>
      </c>
      <c r="G1530" s="5" t="s">
        <v>35</v>
      </c>
      <c r="H1530" s="5" t="s">
        <v>35</v>
      </c>
      <c r="I1530" s="5" t="s">
        <v>35</v>
      </c>
      <c r="J1530" s="6">
        <v>6.0</v>
      </c>
      <c r="K1530" s="6" t="s">
        <v>37</v>
      </c>
      <c r="L1530" s="6">
        <v>3600.0</v>
      </c>
      <c r="M1530" s="8" t="s">
        <v>39</v>
      </c>
      <c r="N1530" s="8" t="s">
        <v>39</v>
      </c>
      <c r="O1530" s="6" t="s">
        <v>214</v>
      </c>
      <c r="P1530" s="5" t="s">
        <v>41</v>
      </c>
      <c r="Q1530" s="5"/>
      <c r="R1530" s="6" t="s">
        <v>42</v>
      </c>
      <c r="S1530" s="5" t="s">
        <v>172</v>
      </c>
      <c r="T1530" s="5" t="s">
        <v>90</v>
      </c>
      <c r="U1530" s="5" t="s">
        <v>1583</v>
      </c>
      <c r="V1530" s="5" t="s">
        <v>44</v>
      </c>
      <c r="W1530" s="5" t="s">
        <v>35</v>
      </c>
      <c r="X1530" s="8" t="s">
        <v>218</v>
      </c>
      <c r="Y1530" s="5" t="s">
        <v>46</v>
      </c>
      <c r="Z1530" s="5" t="s">
        <v>47</v>
      </c>
      <c r="AA1530" s="5" t="s">
        <v>48</v>
      </c>
      <c r="AB1530" s="5" t="s">
        <v>7249</v>
      </c>
      <c r="AC1530" s="6" t="s">
        <v>347</v>
      </c>
      <c r="AD1530" s="6">
        <v>4041.0</v>
      </c>
    </row>
    <row r="1531" ht="56.25" customHeight="1">
      <c r="A1531" s="5" t="s">
        <v>7234</v>
      </c>
      <c r="B1531" s="6" t="str">
        <f>IMAGE("https://storage.googleapis.com/acdb/housewares/FtrLogBedW_Remake_0_3.png")</f>
        <v/>
      </c>
      <c r="C1531" s="5" t="s">
        <v>1132</v>
      </c>
      <c r="D1531" s="5" t="s">
        <v>1455</v>
      </c>
      <c r="E1531" s="5" t="s">
        <v>7252</v>
      </c>
      <c r="F1531" s="5" t="s">
        <v>1271</v>
      </c>
      <c r="G1531" s="5" t="s">
        <v>35</v>
      </c>
      <c r="H1531" s="5" t="s">
        <v>35</v>
      </c>
      <c r="I1531" s="5" t="s">
        <v>35</v>
      </c>
      <c r="J1531" s="6">
        <v>6.0</v>
      </c>
      <c r="K1531" s="6" t="s">
        <v>37</v>
      </c>
      <c r="L1531" s="6">
        <v>3600.0</v>
      </c>
      <c r="M1531" s="8" t="s">
        <v>39</v>
      </c>
      <c r="N1531" s="8" t="s">
        <v>1175</v>
      </c>
      <c r="O1531" s="6" t="s">
        <v>214</v>
      </c>
      <c r="P1531" s="5" t="s">
        <v>41</v>
      </c>
      <c r="Q1531" s="5"/>
      <c r="R1531" s="6" t="s">
        <v>42</v>
      </c>
      <c r="S1531" s="5" t="s">
        <v>172</v>
      </c>
      <c r="T1531" s="5" t="s">
        <v>90</v>
      </c>
      <c r="U1531" s="5" t="s">
        <v>1583</v>
      </c>
      <c r="V1531" s="5" t="s">
        <v>44</v>
      </c>
      <c r="W1531" s="5" t="s">
        <v>35</v>
      </c>
      <c r="X1531" s="8" t="s">
        <v>218</v>
      </c>
      <c r="Y1531" s="5" t="s">
        <v>46</v>
      </c>
      <c r="Z1531" s="5" t="s">
        <v>47</v>
      </c>
      <c r="AA1531" s="5" t="s">
        <v>48</v>
      </c>
      <c r="AB1531" s="5" t="s">
        <v>7254</v>
      </c>
      <c r="AC1531" s="6" t="s">
        <v>354</v>
      </c>
      <c r="AD1531" s="6">
        <v>4041.0</v>
      </c>
    </row>
    <row r="1532" ht="56.25" customHeight="1">
      <c r="A1532" s="5" t="s">
        <v>7234</v>
      </c>
      <c r="B1532" s="6" t="str">
        <f>IMAGE("https://storage.googleapis.com/acdb/housewares/FtrLogBedW_Remake_1_0.png")</f>
        <v/>
      </c>
      <c r="C1532" s="5" t="s">
        <v>1588</v>
      </c>
      <c r="D1532" s="5" t="s">
        <v>1455</v>
      </c>
      <c r="E1532" s="5" t="s">
        <v>4331</v>
      </c>
      <c r="F1532" s="5" t="s">
        <v>1271</v>
      </c>
      <c r="G1532" s="5" t="s">
        <v>35</v>
      </c>
      <c r="H1532" s="5" t="s">
        <v>35</v>
      </c>
      <c r="I1532" s="5" t="s">
        <v>35</v>
      </c>
      <c r="J1532" s="6">
        <v>6.0</v>
      </c>
      <c r="K1532" s="6" t="s">
        <v>37</v>
      </c>
      <c r="L1532" s="6">
        <v>3600.0</v>
      </c>
      <c r="M1532" s="8" t="s">
        <v>142</v>
      </c>
      <c r="N1532" s="8" t="s">
        <v>58</v>
      </c>
      <c r="O1532" s="6" t="s">
        <v>214</v>
      </c>
      <c r="P1532" s="5" t="s">
        <v>41</v>
      </c>
      <c r="Q1532" s="5"/>
      <c r="R1532" s="6" t="s">
        <v>42</v>
      </c>
      <c r="S1532" s="5" t="s">
        <v>172</v>
      </c>
      <c r="T1532" s="5" t="s">
        <v>90</v>
      </c>
      <c r="U1532" s="5" t="s">
        <v>1583</v>
      </c>
      <c r="V1532" s="5" t="s">
        <v>44</v>
      </c>
      <c r="W1532" s="5" t="s">
        <v>35</v>
      </c>
      <c r="X1532" s="8" t="s">
        <v>218</v>
      </c>
      <c r="Y1532" s="5" t="s">
        <v>46</v>
      </c>
      <c r="Z1532" s="5" t="s">
        <v>47</v>
      </c>
      <c r="AA1532" s="5" t="s">
        <v>48</v>
      </c>
      <c r="AB1532" s="5" t="s">
        <v>7258</v>
      </c>
      <c r="AC1532" s="6" t="s">
        <v>56</v>
      </c>
      <c r="AD1532" s="6">
        <v>4041.0</v>
      </c>
    </row>
    <row r="1533" ht="56.25" customHeight="1">
      <c r="A1533" s="5" t="s">
        <v>7234</v>
      </c>
      <c r="B1533" s="6" t="str">
        <f>IMAGE("https://storage.googleapis.com/acdb/housewares/FtrLogBedW_Remake_1_1.png")</f>
        <v/>
      </c>
      <c r="C1533" s="5" t="s">
        <v>1588</v>
      </c>
      <c r="D1533" s="5" t="s">
        <v>1455</v>
      </c>
      <c r="E1533" s="5" t="s">
        <v>7241</v>
      </c>
      <c r="F1533" s="5" t="s">
        <v>1271</v>
      </c>
      <c r="G1533" s="5" t="s">
        <v>35</v>
      </c>
      <c r="H1533" s="5" t="s">
        <v>35</v>
      </c>
      <c r="I1533" s="5" t="s">
        <v>35</v>
      </c>
      <c r="J1533" s="6">
        <v>6.0</v>
      </c>
      <c r="K1533" s="6" t="s">
        <v>37</v>
      </c>
      <c r="L1533" s="6">
        <v>3600.0</v>
      </c>
      <c r="M1533" s="8" t="s">
        <v>142</v>
      </c>
      <c r="N1533" s="8" t="s">
        <v>58</v>
      </c>
      <c r="O1533" s="6" t="s">
        <v>214</v>
      </c>
      <c r="P1533" s="5" t="s">
        <v>41</v>
      </c>
      <c r="Q1533" s="5"/>
      <c r="R1533" s="6" t="s">
        <v>42</v>
      </c>
      <c r="S1533" s="5" t="s">
        <v>172</v>
      </c>
      <c r="T1533" s="5" t="s">
        <v>90</v>
      </c>
      <c r="U1533" s="5" t="s">
        <v>1583</v>
      </c>
      <c r="V1533" s="5" t="s">
        <v>44</v>
      </c>
      <c r="W1533" s="5" t="s">
        <v>35</v>
      </c>
      <c r="X1533" s="8" t="s">
        <v>218</v>
      </c>
      <c r="Y1533" s="5" t="s">
        <v>46</v>
      </c>
      <c r="Z1533" s="5" t="s">
        <v>47</v>
      </c>
      <c r="AA1533" s="5" t="s">
        <v>48</v>
      </c>
      <c r="AB1533" s="5" t="s">
        <v>7263</v>
      </c>
      <c r="AC1533" s="6" t="s">
        <v>234</v>
      </c>
      <c r="AD1533" s="6">
        <v>4041.0</v>
      </c>
    </row>
    <row r="1534" ht="56.25" customHeight="1">
      <c r="A1534" s="5" t="s">
        <v>7234</v>
      </c>
      <c r="B1534" s="6" t="str">
        <f>IMAGE("https://storage.googleapis.com/acdb/housewares/FtrLogBedW_Remake_1_2.png")</f>
        <v/>
      </c>
      <c r="C1534" s="5" t="s">
        <v>1588</v>
      </c>
      <c r="D1534" s="5" t="s">
        <v>1455</v>
      </c>
      <c r="E1534" s="5" t="s">
        <v>7247</v>
      </c>
      <c r="F1534" s="5" t="s">
        <v>1271</v>
      </c>
      <c r="G1534" s="5" t="s">
        <v>35</v>
      </c>
      <c r="H1534" s="5" t="s">
        <v>35</v>
      </c>
      <c r="I1534" s="5" t="s">
        <v>35</v>
      </c>
      <c r="J1534" s="6">
        <v>6.0</v>
      </c>
      <c r="K1534" s="6" t="s">
        <v>37</v>
      </c>
      <c r="L1534" s="6">
        <v>3600.0</v>
      </c>
      <c r="M1534" s="8" t="s">
        <v>142</v>
      </c>
      <c r="N1534" s="8" t="s">
        <v>39</v>
      </c>
      <c r="O1534" s="6" t="s">
        <v>214</v>
      </c>
      <c r="P1534" s="5" t="s">
        <v>41</v>
      </c>
      <c r="Q1534" s="5"/>
      <c r="R1534" s="6" t="s">
        <v>42</v>
      </c>
      <c r="S1534" s="5" t="s">
        <v>172</v>
      </c>
      <c r="T1534" s="5" t="s">
        <v>90</v>
      </c>
      <c r="U1534" s="5" t="s">
        <v>1583</v>
      </c>
      <c r="V1534" s="5" t="s">
        <v>44</v>
      </c>
      <c r="W1534" s="5" t="s">
        <v>35</v>
      </c>
      <c r="X1534" s="8" t="s">
        <v>218</v>
      </c>
      <c r="Y1534" s="5" t="s">
        <v>46</v>
      </c>
      <c r="Z1534" s="5" t="s">
        <v>47</v>
      </c>
      <c r="AA1534" s="5" t="s">
        <v>48</v>
      </c>
      <c r="AB1534" s="5" t="s">
        <v>7267</v>
      </c>
      <c r="AC1534" s="6" t="s">
        <v>370</v>
      </c>
      <c r="AD1534" s="6">
        <v>4041.0</v>
      </c>
    </row>
    <row r="1535" ht="56.25" customHeight="1">
      <c r="A1535" s="5" t="s">
        <v>7234</v>
      </c>
      <c r="B1535" s="6" t="str">
        <f>IMAGE("https://storage.googleapis.com/acdb/housewares/FtrLogBedW_Remake_1_3.png")</f>
        <v/>
      </c>
      <c r="C1535" s="5" t="s">
        <v>1588</v>
      </c>
      <c r="D1535" s="5" t="s">
        <v>1455</v>
      </c>
      <c r="E1535" s="5" t="s">
        <v>7252</v>
      </c>
      <c r="F1535" s="5" t="s">
        <v>1271</v>
      </c>
      <c r="G1535" s="5" t="s">
        <v>35</v>
      </c>
      <c r="H1535" s="5" t="s">
        <v>35</v>
      </c>
      <c r="I1535" s="5" t="s">
        <v>35</v>
      </c>
      <c r="J1535" s="6">
        <v>6.0</v>
      </c>
      <c r="K1535" s="6" t="s">
        <v>37</v>
      </c>
      <c r="L1535" s="6">
        <v>3600.0</v>
      </c>
      <c r="M1535" s="8" t="s">
        <v>142</v>
      </c>
      <c r="N1535" s="8" t="s">
        <v>1175</v>
      </c>
      <c r="O1535" s="6" t="s">
        <v>214</v>
      </c>
      <c r="P1535" s="5" t="s">
        <v>41</v>
      </c>
      <c r="Q1535" s="5"/>
      <c r="R1535" s="6" t="s">
        <v>42</v>
      </c>
      <c r="S1535" s="5" t="s">
        <v>172</v>
      </c>
      <c r="T1535" s="5" t="s">
        <v>90</v>
      </c>
      <c r="U1535" s="5" t="s">
        <v>1583</v>
      </c>
      <c r="V1535" s="5" t="s">
        <v>44</v>
      </c>
      <c r="W1535" s="5" t="s">
        <v>35</v>
      </c>
      <c r="X1535" s="8" t="s">
        <v>218</v>
      </c>
      <c r="Y1535" s="5" t="s">
        <v>46</v>
      </c>
      <c r="Z1535" s="5" t="s">
        <v>47</v>
      </c>
      <c r="AA1535" s="5" t="s">
        <v>48</v>
      </c>
      <c r="AB1535" s="5" t="s">
        <v>7271</v>
      </c>
      <c r="AC1535" s="6" t="s">
        <v>377</v>
      </c>
      <c r="AD1535" s="6">
        <v>4041.0</v>
      </c>
    </row>
    <row r="1536" ht="56.25" customHeight="1">
      <c r="A1536" s="5" t="s">
        <v>7234</v>
      </c>
      <c r="B1536" s="6" t="str">
        <f>IMAGE("https://storage.googleapis.com/acdb/housewares/FtrLogBedW_Remake_2_0.png")</f>
        <v/>
      </c>
      <c r="C1536" s="5" t="s">
        <v>1595</v>
      </c>
      <c r="D1536" s="5" t="s">
        <v>1455</v>
      </c>
      <c r="E1536" s="5" t="s">
        <v>4331</v>
      </c>
      <c r="F1536" s="5" t="s">
        <v>1271</v>
      </c>
      <c r="G1536" s="5" t="s">
        <v>35</v>
      </c>
      <c r="H1536" s="5" t="s">
        <v>35</v>
      </c>
      <c r="I1536" s="5" t="s">
        <v>35</v>
      </c>
      <c r="J1536" s="6">
        <v>6.0</v>
      </c>
      <c r="K1536" s="6" t="s">
        <v>37</v>
      </c>
      <c r="L1536" s="6">
        <v>3600.0</v>
      </c>
      <c r="M1536" s="8" t="s">
        <v>38</v>
      </c>
      <c r="N1536" s="8" t="s">
        <v>58</v>
      </c>
      <c r="O1536" s="6" t="s">
        <v>214</v>
      </c>
      <c r="P1536" s="5" t="s">
        <v>41</v>
      </c>
      <c r="Q1536" s="5"/>
      <c r="R1536" s="6" t="s">
        <v>42</v>
      </c>
      <c r="S1536" s="5" t="s">
        <v>172</v>
      </c>
      <c r="T1536" s="5" t="s">
        <v>90</v>
      </c>
      <c r="U1536" s="5" t="s">
        <v>1583</v>
      </c>
      <c r="V1536" s="5" t="s">
        <v>44</v>
      </c>
      <c r="W1536" s="5" t="s">
        <v>35</v>
      </c>
      <c r="X1536" s="8" t="s">
        <v>218</v>
      </c>
      <c r="Y1536" s="5" t="s">
        <v>46</v>
      </c>
      <c r="Z1536" s="5" t="s">
        <v>47</v>
      </c>
      <c r="AA1536" s="5" t="s">
        <v>48</v>
      </c>
      <c r="AB1536" s="5" t="s">
        <v>7275</v>
      </c>
      <c r="AC1536" s="6" t="s">
        <v>67</v>
      </c>
      <c r="AD1536" s="6">
        <v>4041.0</v>
      </c>
    </row>
    <row r="1537" ht="56.25" customHeight="1">
      <c r="A1537" s="5" t="s">
        <v>7234</v>
      </c>
      <c r="B1537" s="6" t="str">
        <f>IMAGE("https://storage.googleapis.com/acdb/housewares/FtrLogBedW_Remake_2_1.png")</f>
        <v/>
      </c>
      <c r="C1537" s="5" t="s">
        <v>1595</v>
      </c>
      <c r="D1537" s="5" t="s">
        <v>1455</v>
      </c>
      <c r="E1537" s="5" t="s">
        <v>7241</v>
      </c>
      <c r="F1537" s="5" t="s">
        <v>1271</v>
      </c>
      <c r="G1537" s="5" t="s">
        <v>35</v>
      </c>
      <c r="H1537" s="5" t="s">
        <v>35</v>
      </c>
      <c r="I1537" s="5" t="s">
        <v>35</v>
      </c>
      <c r="J1537" s="6">
        <v>6.0</v>
      </c>
      <c r="K1537" s="6" t="s">
        <v>37</v>
      </c>
      <c r="L1537" s="6">
        <v>3600.0</v>
      </c>
      <c r="M1537" s="8" t="s">
        <v>38</v>
      </c>
      <c r="N1537" s="8" t="s">
        <v>58</v>
      </c>
      <c r="O1537" s="6" t="s">
        <v>214</v>
      </c>
      <c r="P1537" s="5" t="s">
        <v>41</v>
      </c>
      <c r="Q1537" s="5"/>
      <c r="R1537" s="6" t="s">
        <v>42</v>
      </c>
      <c r="S1537" s="5" t="s">
        <v>172</v>
      </c>
      <c r="T1537" s="5" t="s">
        <v>90</v>
      </c>
      <c r="U1537" s="5" t="s">
        <v>1583</v>
      </c>
      <c r="V1537" s="5" t="s">
        <v>44</v>
      </c>
      <c r="W1537" s="5" t="s">
        <v>35</v>
      </c>
      <c r="X1537" s="8" t="s">
        <v>218</v>
      </c>
      <c r="Y1537" s="5" t="s">
        <v>46</v>
      </c>
      <c r="Z1537" s="5" t="s">
        <v>47</v>
      </c>
      <c r="AA1537" s="5" t="s">
        <v>48</v>
      </c>
      <c r="AB1537" s="5" t="s">
        <v>7279</v>
      </c>
      <c r="AC1537" s="6" t="s">
        <v>247</v>
      </c>
      <c r="AD1537" s="6">
        <v>4041.0</v>
      </c>
    </row>
    <row r="1538" ht="56.25" customHeight="1">
      <c r="A1538" s="5" t="s">
        <v>7234</v>
      </c>
      <c r="B1538" s="6" t="str">
        <f>IMAGE("https://storage.googleapis.com/acdb/housewares/FtrLogBedW_Remake_2_2.png")</f>
        <v/>
      </c>
      <c r="C1538" s="5" t="s">
        <v>1595</v>
      </c>
      <c r="D1538" s="5" t="s">
        <v>1455</v>
      </c>
      <c r="E1538" s="5" t="s">
        <v>7247</v>
      </c>
      <c r="F1538" s="5" t="s">
        <v>1271</v>
      </c>
      <c r="G1538" s="5" t="s">
        <v>35</v>
      </c>
      <c r="H1538" s="5" t="s">
        <v>35</v>
      </c>
      <c r="I1538" s="5" t="s">
        <v>35</v>
      </c>
      <c r="J1538" s="6">
        <v>6.0</v>
      </c>
      <c r="K1538" s="6" t="s">
        <v>37</v>
      </c>
      <c r="L1538" s="6">
        <v>3600.0</v>
      </c>
      <c r="M1538" s="8" t="s">
        <v>38</v>
      </c>
      <c r="N1538" s="8" t="s">
        <v>39</v>
      </c>
      <c r="O1538" s="6" t="s">
        <v>214</v>
      </c>
      <c r="P1538" s="5" t="s">
        <v>41</v>
      </c>
      <c r="Q1538" s="5"/>
      <c r="R1538" s="6" t="s">
        <v>42</v>
      </c>
      <c r="S1538" s="5" t="s">
        <v>172</v>
      </c>
      <c r="T1538" s="5" t="s">
        <v>90</v>
      </c>
      <c r="U1538" s="5" t="s">
        <v>1583</v>
      </c>
      <c r="V1538" s="5" t="s">
        <v>44</v>
      </c>
      <c r="W1538" s="5" t="s">
        <v>35</v>
      </c>
      <c r="X1538" s="8" t="s">
        <v>218</v>
      </c>
      <c r="Y1538" s="5" t="s">
        <v>46</v>
      </c>
      <c r="Z1538" s="5" t="s">
        <v>47</v>
      </c>
      <c r="AA1538" s="5" t="s">
        <v>48</v>
      </c>
      <c r="AB1538" s="5" t="s">
        <v>7285</v>
      </c>
      <c r="AC1538" s="6" t="s">
        <v>390</v>
      </c>
      <c r="AD1538" s="6">
        <v>4041.0</v>
      </c>
    </row>
    <row r="1539" ht="56.25" customHeight="1">
      <c r="A1539" s="5" t="s">
        <v>7234</v>
      </c>
      <c r="B1539" s="6" t="str">
        <f>IMAGE("https://storage.googleapis.com/acdb/housewares/FtrLogBedW_Remake_2_3.png")</f>
        <v/>
      </c>
      <c r="C1539" s="5" t="s">
        <v>1595</v>
      </c>
      <c r="D1539" s="5" t="s">
        <v>1455</v>
      </c>
      <c r="E1539" s="5" t="s">
        <v>7252</v>
      </c>
      <c r="F1539" s="5" t="s">
        <v>1271</v>
      </c>
      <c r="G1539" s="5" t="s">
        <v>35</v>
      </c>
      <c r="H1539" s="5" t="s">
        <v>35</v>
      </c>
      <c r="I1539" s="5" t="s">
        <v>35</v>
      </c>
      <c r="J1539" s="6">
        <v>6.0</v>
      </c>
      <c r="K1539" s="6" t="s">
        <v>37</v>
      </c>
      <c r="L1539" s="6">
        <v>3600.0</v>
      </c>
      <c r="M1539" s="8" t="s">
        <v>38</v>
      </c>
      <c r="N1539" s="8" t="s">
        <v>1175</v>
      </c>
      <c r="O1539" s="6" t="s">
        <v>214</v>
      </c>
      <c r="P1539" s="5" t="s">
        <v>41</v>
      </c>
      <c r="Q1539" s="5"/>
      <c r="R1539" s="6" t="s">
        <v>42</v>
      </c>
      <c r="S1539" s="5" t="s">
        <v>172</v>
      </c>
      <c r="T1539" s="5" t="s">
        <v>90</v>
      </c>
      <c r="U1539" s="5" t="s">
        <v>1583</v>
      </c>
      <c r="V1539" s="5" t="s">
        <v>44</v>
      </c>
      <c r="W1539" s="5" t="s">
        <v>35</v>
      </c>
      <c r="X1539" s="8" t="s">
        <v>218</v>
      </c>
      <c r="Y1539" s="5" t="s">
        <v>46</v>
      </c>
      <c r="Z1539" s="5" t="s">
        <v>47</v>
      </c>
      <c r="AA1539" s="5" t="s">
        <v>48</v>
      </c>
      <c r="AB1539" s="5" t="s">
        <v>7289</v>
      </c>
      <c r="AC1539" s="6" t="s">
        <v>396</v>
      </c>
      <c r="AD1539" s="6">
        <v>4041.0</v>
      </c>
    </row>
    <row r="1540" ht="56.25" customHeight="1">
      <c r="A1540" s="5" t="s">
        <v>7234</v>
      </c>
      <c r="B1540" s="6" t="str">
        <f>IMAGE("https://storage.googleapis.com/acdb/housewares/FtrLogBedW_Remake_3_0.png")</f>
        <v/>
      </c>
      <c r="C1540" s="5" t="s">
        <v>1600</v>
      </c>
      <c r="D1540" s="5" t="s">
        <v>1455</v>
      </c>
      <c r="E1540" s="5" t="s">
        <v>4331</v>
      </c>
      <c r="F1540" s="5" t="s">
        <v>1271</v>
      </c>
      <c r="G1540" s="5" t="s">
        <v>35</v>
      </c>
      <c r="H1540" s="5" t="s">
        <v>35</v>
      </c>
      <c r="I1540" s="5" t="s">
        <v>35</v>
      </c>
      <c r="J1540" s="6">
        <v>6.0</v>
      </c>
      <c r="K1540" s="6" t="s">
        <v>37</v>
      </c>
      <c r="L1540" s="6">
        <v>3600.0</v>
      </c>
      <c r="M1540" s="8" t="s">
        <v>57</v>
      </c>
      <c r="N1540" s="8" t="s">
        <v>58</v>
      </c>
      <c r="O1540" s="6" t="s">
        <v>214</v>
      </c>
      <c r="P1540" s="5" t="s">
        <v>41</v>
      </c>
      <c r="Q1540" s="5"/>
      <c r="R1540" s="6" t="s">
        <v>42</v>
      </c>
      <c r="S1540" s="5" t="s">
        <v>172</v>
      </c>
      <c r="T1540" s="5" t="s">
        <v>90</v>
      </c>
      <c r="U1540" s="5" t="s">
        <v>1583</v>
      </c>
      <c r="V1540" s="5" t="s">
        <v>44</v>
      </c>
      <c r="W1540" s="5" t="s">
        <v>35</v>
      </c>
      <c r="X1540" s="8" t="s">
        <v>218</v>
      </c>
      <c r="Y1540" s="5" t="s">
        <v>46</v>
      </c>
      <c r="Z1540" s="5" t="s">
        <v>47</v>
      </c>
      <c r="AA1540" s="5" t="s">
        <v>48</v>
      </c>
      <c r="AB1540" s="5" t="s">
        <v>7295</v>
      </c>
      <c r="AC1540" s="6" t="s">
        <v>71</v>
      </c>
      <c r="AD1540" s="6">
        <v>4041.0</v>
      </c>
    </row>
    <row r="1541" ht="56.25" customHeight="1">
      <c r="A1541" s="5" t="s">
        <v>7234</v>
      </c>
      <c r="B1541" s="6" t="str">
        <f>IMAGE("https://storage.googleapis.com/acdb/housewares/FtrLogBedW_Remake_3_1.png")</f>
        <v/>
      </c>
      <c r="C1541" s="5" t="s">
        <v>1600</v>
      </c>
      <c r="D1541" s="5" t="s">
        <v>34</v>
      </c>
      <c r="E1541" s="5" t="s">
        <v>7241</v>
      </c>
      <c r="F1541" s="5" t="s">
        <v>1271</v>
      </c>
      <c r="G1541" s="5" t="s">
        <v>35</v>
      </c>
      <c r="H1541" s="5" t="s">
        <v>36</v>
      </c>
      <c r="I1541" s="5" t="s">
        <v>35</v>
      </c>
      <c r="J1541" s="6">
        <v>6.0</v>
      </c>
      <c r="K1541" s="6" t="s">
        <v>37</v>
      </c>
      <c r="L1541" s="6">
        <v>3600.0</v>
      </c>
      <c r="M1541" s="8" t="s">
        <v>57</v>
      </c>
      <c r="N1541" s="8" t="s">
        <v>58</v>
      </c>
      <c r="O1541" s="6" t="s">
        <v>214</v>
      </c>
      <c r="P1541" s="5" t="s">
        <v>41</v>
      </c>
      <c r="Q1541" s="5"/>
      <c r="R1541" s="6" t="s">
        <v>42</v>
      </c>
      <c r="S1541" s="5" t="s">
        <v>172</v>
      </c>
      <c r="T1541" s="5" t="s">
        <v>90</v>
      </c>
      <c r="U1541" s="5" t="s">
        <v>1583</v>
      </c>
      <c r="V1541" s="5" t="s">
        <v>44</v>
      </c>
      <c r="W1541" s="5" t="s">
        <v>35</v>
      </c>
      <c r="X1541" s="8" t="s">
        <v>218</v>
      </c>
      <c r="Y1541" s="5" t="s">
        <v>46</v>
      </c>
      <c r="Z1541" s="5" t="s">
        <v>47</v>
      </c>
      <c r="AA1541" s="5" t="s">
        <v>48</v>
      </c>
      <c r="AB1541" s="5" t="s">
        <v>7299</v>
      </c>
      <c r="AC1541" s="6" t="s">
        <v>257</v>
      </c>
      <c r="AD1541" s="6">
        <v>4041.0</v>
      </c>
    </row>
    <row r="1542" ht="56.25" customHeight="1">
      <c r="A1542" s="5" t="s">
        <v>7234</v>
      </c>
      <c r="B1542" s="6" t="str">
        <f>IMAGE("https://storage.googleapis.com/acdb/housewares/FtrLogBedW_Remake_3_2.png")</f>
        <v/>
      </c>
      <c r="C1542" s="5" t="s">
        <v>1600</v>
      </c>
      <c r="D1542" s="5" t="s">
        <v>34</v>
      </c>
      <c r="E1542" s="5" t="s">
        <v>7247</v>
      </c>
      <c r="F1542" s="5" t="s">
        <v>1271</v>
      </c>
      <c r="G1542" s="5" t="s">
        <v>35</v>
      </c>
      <c r="H1542" s="5" t="s">
        <v>36</v>
      </c>
      <c r="I1542" s="5" t="s">
        <v>35</v>
      </c>
      <c r="J1542" s="6">
        <v>6.0</v>
      </c>
      <c r="K1542" s="6" t="s">
        <v>37</v>
      </c>
      <c r="L1542" s="6">
        <v>3600.0</v>
      </c>
      <c r="M1542" s="8" t="s">
        <v>57</v>
      </c>
      <c r="N1542" s="8" t="s">
        <v>39</v>
      </c>
      <c r="O1542" s="6" t="s">
        <v>214</v>
      </c>
      <c r="P1542" s="5" t="s">
        <v>41</v>
      </c>
      <c r="Q1542" s="5"/>
      <c r="R1542" s="6" t="s">
        <v>42</v>
      </c>
      <c r="S1542" s="5" t="s">
        <v>172</v>
      </c>
      <c r="T1542" s="5" t="s">
        <v>90</v>
      </c>
      <c r="U1542" s="5" t="s">
        <v>1583</v>
      </c>
      <c r="V1542" s="5" t="s">
        <v>44</v>
      </c>
      <c r="W1542" s="5" t="s">
        <v>35</v>
      </c>
      <c r="X1542" s="8" t="s">
        <v>218</v>
      </c>
      <c r="Y1542" s="5" t="s">
        <v>46</v>
      </c>
      <c r="Z1542" s="5" t="s">
        <v>47</v>
      </c>
      <c r="AA1542" s="5" t="s">
        <v>48</v>
      </c>
      <c r="AB1542" s="5" t="s">
        <v>7303</v>
      </c>
      <c r="AC1542" s="6" t="s">
        <v>414</v>
      </c>
      <c r="AD1542" s="6">
        <v>4041.0</v>
      </c>
    </row>
    <row r="1543" ht="56.25" customHeight="1">
      <c r="A1543" s="5" t="s">
        <v>7234</v>
      </c>
      <c r="B1543" s="6" t="str">
        <f>IMAGE("https://storage.googleapis.com/acdb/housewares/FtrLogBedW_Remake_3_3.png")</f>
        <v/>
      </c>
      <c r="C1543" s="5" t="s">
        <v>1600</v>
      </c>
      <c r="D1543" s="5" t="s">
        <v>34</v>
      </c>
      <c r="E1543" s="5" t="s">
        <v>7252</v>
      </c>
      <c r="F1543" s="5" t="s">
        <v>1271</v>
      </c>
      <c r="G1543" s="5" t="s">
        <v>35</v>
      </c>
      <c r="H1543" s="5" t="s">
        <v>36</v>
      </c>
      <c r="I1543" s="5" t="s">
        <v>35</v>
      </c>
      <c r="J1543" s="6">
        <v>6.0</v>
      </c>
      <c r="K1543" s="6" t="s">
        <v>37</v>
      </c>
      <c r="L1543" s="6">
        <v>3600.0</v>
      </c>
      <c r="M1543" s="8" t="s">
        <v>57</v>
      </c>
      <c r="N1543" s="8" t="s">
        <v>1175</v>
      </c>
      <c r="O1543" s="6" t="s">
        <v>214</v>
      </c>
      <c r="P1543" s="5" t="s">
        <v>41</v>
      </c>
      <c r="Q1543" s="5"/>
      <c r="R1543" s="6" t="s">
        <v>42</v>
      </c>
      <c r="S1543" s="5" t="s">
        <v>172</v>
      </c>
      <c r="T1543" s="5" t="s">
        <v>90</v>
      </c>
      <c r="U1543" s="5" t="s">
        <v>1583</v>
      </c>
      <c r="V1543" s="5" t="s">
        <v>44</v>
      </c>
      <c r="W1543" s="5" t="s">
        <v>35</v>
      </c>
      <c r="X1543" s="8" t="s">
        <v>218</v>
      </c>
      <c r="Y1543" s="5" t="s">
        <v>46</v>
      </c>
      <c r="Z1543" s="5" t="s">
        <v>47</v>
      </c>
      <c r="AA1543" s="5" t="s">
        <v>48</v>
      </c>
      <c r="AB1543" s="5" t="s">
        <v>7307</v>
      </c>
      <c r="AC1543" s="6" t="s">
        <v>418</v>
      </c>
      <c r="AD1543" s="6">
        <v>4041.0</v>
      </c>
    </row>
    <row r="1544" ht="56.25" customHeight="1">
      <c r="A1544" s="5" t="s">
        <v>7309</v>
      </c>
      <c r="B1544" s="6" t="str">
        <f>IMAGE("https://storage.googleapis.com/acdb/housewares/FtrLogStoolL_Remake_0_0.png")</f>
        <v/>
      </c>
      <c r="C1544" s="5" t="s">
        <v>1132</v>
      </c>
      <c r="D1544" s="5" t="s">
        <v>1455</v>
      </c>
      <c r="E1544" s="5" t="s">
        <v>34</v>
      </c>
      <c r="F1544" s="5" t="s">
        <v>34</v>
      </c>
      <c r="G1544" s="5" t="s">
        <v>35</v>
      </c>
      <c r="H1544" s="5" t="s">
        <v>35</v>
      </c>
      <c r="I1544" s="5" t="s">
        <v>36</v>
      </c>
      <c r="J1544" s="6">
        <v>1.0</v>
      </c>
      <c r="K1544" s="6" t="s">
        <v>37</v>
      </c>
      <c r="L1544" s="6">
        <v>600.0</v>
      </c>
      <c r="M1544" s="8" t="s">
        <v>39</v>
      </c>
      <c r="N1544" s="8" t="s">
        <v>38</v>
      </c>
      <c r="O1544" s="6" t="s">
        <v>276</v>
      </c>
      <c r="P1544" s="5" t="s">
        <v>41</v>
      </c>
      <c r="Q1544" s="5"/>
      <c r="R1544" s="6" t="s">
        <v>42</v>
      </c>
      <c r="S1544" s="5" t="s">
        <v>172</v>
      </c>
      <c r="T1544" s="5" t="s">
        <v>44</v>
      </c>
      <c r="U1544" s="5" t="s">
        <v>1583</v>
      </c>
      <c r="V1544" s="5" t="s">
        <v>44</v>
      </c>
      <c r="W1544" s="5" t="s">
        <v>35</v>
      </c>
      <c r="X1544" s="8" t="s">
        <v>671</v>
      </c>
      <c r="Y1544" s="5" t="s">
        <v>46</v>
      </c>
      <c r="Z1544" s="5" t="s">
        <v>47</v>
      </c>
      <c r="AA1544" s="5" t="s">
        <v>48</v>
      </c>
      <c r="AB1544" s="5" t="s">
        <v>7313</v>
      </c>
      <c r="AC1544" s="6" t="s">
        <v>50</v>
      </c>
      <c r="AD1544" s="6">
        <v>4042.0</v>
      </c>
    </row>
    <row r="1545" ht="56.25" customHeight="1">
      <c r="A1545" s="5" t="s">
        <v>7309</v>
      </c>
      <c r="B1545" s="6" t="str">
        <f>IMAGE("https://storage.googleapis.com/acdb/housewares/FtrLogStoolL_Remake_1_0.png")</f>
        <v/>
      </c>
      <c r="C1545" s="5" t="s">
        <v>1588</v>
      </c>
      <c r="D1545" s="5" t="s">
        <v>1455</v>
      </c>
      <c r="E1545" s="5" t="s">
        <v>34</v>
      </c>
      <c r="F1545" s="5" t="s">
        <v>34</v>
      </c>
      <c r="G1545" s="5" t="s">
        <v>35</v>
      </c>
      <c r="H1545" s="5" t="s">
        <v>35</v>
      </c>
      <c r="I1545" s="5" t="s">
        <v>36</v>
      </c>
      <c r="J1545" s="6">
        <v>1.0</v>
      </c>
      <c r="K1545" s="6" t="s">
        <v>37</v>
      </c>
      <c r="L1545" s="6">
        <v>600.0</v>
      </c>
      <c r="M1545" s="8" t="s">
        <v>142</v>
      </c>
      <c r="N1545" s="8" t="s">
        <v>38</v>
      </c>
      <c r="O1545" s="6" t="s">
        <v>276</v>
      </c>
      <c r="P1545" s="5" t="s">
        <v>41</v>
      </c>
      <c r="Q1545" s="5"/>
      <c r="R1545" s="6" t="s">
        <v>42</v>
      </c>
      <c r="S1545" s="5" t="s">
        <v>172</v>
      </c>
      <c r="T1545" s="5" t="s">
        <v>44</v>
      </c>
      <c r="U1545" s="5" t="s">
        <v>1583</v>
      </c>
      <c r="V1545" s="5" t="s">
        <v>44</v>
      </c>
      <c r="W1545" s="5" t="s">
        <v>35</v>
      </c>
      <c r="X1545" s="8" t="s">
        <v>671</v>
      </c>
      <c r="Y1545" s="5" t="s">
        <v>46</v>
      </c>
      <c r="Z1545" s="5" t="s">
        <v>47</v>
      </c>
      <c r="AA1545" s="5" t="s">
        <v>48</v>
      </c>
      <c r="AB1545" s="5" t="s">
        <v>7317</v>
      </c>
      <c r="AC1545" s="6" t="s">
        <v>56</v>
      </c>
      <c r="AD1545" s="6">
        <v>4042.0</v>
      </c>
    </row>
    <row r="1546" ht="56.25" customHeight="1">
      <c r="A1546" s="5" t="s">
        <v>7309</v>
      </c>
      <c r="B1546" s="6" t="str">
        <f>IMAGE("https://storage.googleapis.com/acdb/housewares/FtrLogStoolL_Remake_2_0.png")</f>
        <v/>
      </c>
      <c r="C1546" s="5" t="s">
        <v>1595</v>
      </c>
      <c r="D1546" s="5" t="s">
        <v>1455</v>
      </c>
      <c r="E1546" s="5" t="s">
        <v>34</v>
      </c>
      <c r="F1546" s="5" t="s">
        <v>34</v>
      </c>
      <c r="G1546" s="5" t="s">
        <v>35</v>
      </c>
      <c r="H1546" s="5" t="s">
        <v>35</v>
      </c>
      <c r="I1546" s="5" t="s">
        <v>36</v>
      </c>
      <c r="J1546" s="6">
        <v>1.0</v>
      </c>
      <c r="K1546" s="6" t="s">
        <v>37</v>
      </c>
      <c r="L1546" s="6">
        <v>600.0</v>
      </c>
      <c r="M1546" s="8" t="s">
        <v>38</v>
      </c>
      <c r="N1546" s="8" t="s">
        <v>38</v>
      </c>
      <c r="O1546" s="6" t="s">
        <v>276</v>
      </c>
      <c r="P1546" s="5" t="s">
        <v>41</v>
      </c>
      <c r="Q1546" s="5"/>
      <c r="R1546" s="6" t="s">
        <v>42</v>
      </c>
      <c r="S1546" s="5" t="s">
        <v>172</v>
      </c>
      <c r="T1546" s="5" t="s">
        <v>44</v>
      </c>
      <c r="U1546" s="5" t="s">
        <v>1583</v>
      </c>
      <c r="V1546" s="5" t="s">
        <v>44</v>
      </c>
      <c r="W1546" s="5" t="s">
        <v>35</v>
      </c>
      <c r="X1546" s="8" t="s">
        <v>671</v>
      </c>
      <c r="Y1546" s="5" t="s">
        <v>46</v>
      </c>
      <c r="Z1546" s="5" t="s">
        <v>47</v>
      </c>
      <c r="AA1546" s="5" t="s">
        <v>48</v>
      </c>
      <c r="AB1546" s="5" t="s">
        <v>7323</v>
      </c>
      <c r="AC1546" s="6" t="s">
        <v>67</v>
      </c>
      <c r="AD1546" s="6">
        <v>4042.0</v>
      </c>
    </row>
    <row r="1547" ht="56.25" customHeight="1">
      <c r="A1547" s="5" t="s">
        <v>7309</v>
      </c>
      <c r="B1547" s="6" t="str">
        <f>IMAGE("https://storage.googleapis.com/acdb/housewares/FtrLogStoolL_Remake_3_0.png")</f>
        <v/>
      </c>
      <c r="C1547" s="5" t="s">
        <v>1600</v>
      </c>
      <c r="D1547" s="5" t="s">
        <v>1455</v>
      </c>
      <c r="E1547" s="5" t="s">
        <v>34</v>
      </c>
      <c r="F1547" s="5" t="s">
        <v>34</v>
      </c>
      <c r="G1547" s="5" t="s">
        <v>35</v>
      </c>
      <c r="H1547" s="5" t="s">
        <v>35</v>
      </c>
      <c r="I1547" s="5" t="s">
        <v>36</v>
      </c>
      <c r="J1547" s="6">
        <v>1.0</v>
      </c>
      <c r="K1547" s="6" t="s">
        <v>37</v>
      </c>
      <c r="L1547" s="6">
        <v>600.0</v>
      </c>
      <c r="M1547" s="8" t="s">
        <v>57</v>
      </c>
      <c r="N1547" s="8" t="s">
        <v>38</v>
      </c>
      <c r="O1547" s="6" t="s">
        <v>276</v>
      </c>
      <c r="P1547" s="5" t="s">
        <v>41</v>
      </c>
      <c r="Q1547" s="5"/>
      <c r="R1547" s="6" t="s">
        <v>42</v>
      </c>
      <c r="S1547" s="5" t="s">
        <v>172</v>
      </c>
      <c r="T1547" s="5" t="s">
        <v>44</v>
      </c>
      <c r="U1547" s="5" t="s">
        <v>1583</v>
      </c>
      <c r="V1547" s="5" t="s">
        <v>44</v>
      </c>
      <c r="W1547" s="5" t="s">
        <v>35</v>
      </c>
      <c r="X1547" s="8" t="s">
        <v>671</v>
      </c>
      <c r="Y1547" s="5" t="s">
        <v>46</v>
      </c>
      <c r="Z1547" s="5" t="s">
        <v>47</v>
      </c>
      <c r="AA1547" s="5" t="s">
        <v>48</v>
      </c>
      <c r="AB1547" s="5" t="s">
        <v>7329</v>
      </c>
      <c r="AC1547" s="6" t="s">
        <v>71</v>
      </c>
      <c r="AD1547" s="6">
        <v>4042.0</v>
      </c>
    </row>
    <row r="1548" ht="56.25" customHeight="1">
      <c r="A1548" s="5" t="s">
        <v>7331</v>
      </c>
      <c r="B1548" s="6" t="str">
        <f>IMAGE("https://storage.googleapis.com/acdb/housewares/FtrLogShelf_Remake_0_0.png")</f>
        <v/>
      </c>
      <c r="C1548" s="5" t="s">
        <v>1132</v>
      </c>
      <c r="D1548" s="5" t="s">
        <v>1455</v>
      </c>
      <c r="E1548" s="5" t="s">
        <v>44</v>
      </c>
      <c r="F1548" s="5" t="s">
        <v>5759</v>
      </c>
      <c r="G1548" s="5" t="s">
        <v>35</v>
      </c>
      <c r="H1548" s="5" t="s">
        <v>35</v>
      </c>
      <c r="I1548" s="5" t="s">
        <v>35</v>
      </c>
      <c r="J1548" s="6">
        <v>4.0</v>
      </c>
      <c r="K1548" s="6" t="s">
        <v>37</v>
      </c>
      <c r="L1548" s="6">
        <v>1560.0</v>
      </c>
      <c r="M1548" s="8" t="s">
        <v>39</v>
      </c>
      <c r="N1548" s="8" t="s">
        <v>39</v>
      </c>
      <c r="O1548" s="6" t="s">
        <v>276</v>
      </c>
      <c r="P1548" s="5" t="s">
        <v>41</v>
      </c>
      <c r="Q1548" s="5"/>
      <c r="R1548" s="6" t="s">
        <v>42</v>
      </c>
      <c r="S1548" s="5" t="s">
        <v>172</v>
      </c>
      <c r="T1548" s="5" t="s">
        <v>90</v>
      </c>
      <c r="U1548" s="5" t="s">
        <v>1583</v>
      </c>
      <c r="V1548" s="5" t="s">
        <v>44</v>
      </c>
      <c r="W1548" s="5" t="s">
        <v>36</v>
      </c>
      <c r="X1548" s="8" t="s">
        <v>730</v>
      </c>
      <c r="Y1548" s="5" t="s">
        <v>46</v>
      </c>
      <c r="Z1548" s="5" t="s">
        <v>47</v>
      </c>
      <c r="AA1548" s="5" t="s">
        <v>48</v>
      </c>
      <c r="AB1548" s="5" t="s">
        <v>7333</v>
      </c>
      <c r="AC1548" s="6" t="s">
        <v>50</v>
      </c>
      <c r="AD1548" s="6">
        <v>4036.0</v>
      </c>
    </row>
    <row r="1549" ht="56.25" customHeight="1">
      <c r="A1549" s="5" t="s">
        <v>7331</v>
      </c>
      <c r="B1549" s="6" t="str">
        <f>IMAGE("https://storage.googleapis.com/acdb/housewares/FtrLogShelf_Remake_0_1.png")</f>
        <v/>
      </c>
      <c r="C1549" s="5" t="s">
        <v>1132</v>
      </c>
      <c r="D1549" s="5" t="s">
        <v>1455</v>
      </c>
      <c r="E1549" s="5" t="s">
        <v>4331</v>
      </c>
      <c r="F1549" s="5" t="s">
        <v>5759</v>
      </c>
      <c r="G1549" s="5" t="s">
        <v>35</v>
      </c>
      <c r="H1549" s="5" t="s">
        <v>35</v>
      </c>
      <c r="I1549" s="5" t="s">
        <v>35</v>
      </c>
      <c r="J1549" s="6">
        <v>4.0</v>
      </c>
      <c r="K1549" s="6" t="s">
        <v>37</v>
      </c>
      <c r="L1549" s="6">
        <v>1560.0</v>
      </c>
      <c r="M1549" s="8" t="s">
        <v>39</v>
      </c>
      <c r="N1549" s="8" t="s">
        <v>58</v>
      </c>
      <c r="O1549" s="6" t="s">
        <v>276</v>
      </c>
      <c r="P1549" s="5" t="s">
        <v>41</v>
      </c>
      <c r="Q1549" s="5"/>
      <c r="R1549" s="6" t="s">
        <v>42</v>
      </c>
      <c r="S1549" s="5" t="s">
        <v>172</v>
      </c>
      <c r="T1549" s="5" t="s">
        <v>90</v>
      </c>
      <c r="U1549" s="5" t="s">
        <v>1583</v>
      </c>
      <c r="V1549" s="5" t="s">
        <v>44</v>
      </c>
      <c r="W1549" s="5" t="s">
        <v>36</v>
      </c>
      <c r="X1549" s="8" t="s">
        <v>730</v>
      </c>
      <c r="Y1549" s="5" t="s">
        <v>46</v>
      </c>
      <c r="Z1549" s="5" t="s">
        <v>47</v>
      </c>
      <c r="AA1549" s="5" t="s">
        <v>48</v>
      </c>
      <c r="AB1549" s="5" t="s">
        <v>7339</v>
      </c>
      <c r="AC1549" s="6" t="s">
        <v>217</v>
      </c>
      <c r="AD1549" s="6">
        <v>4036.0</v>
      </c>
    </row>
    <row r="1550" ht="56.25" customHeight="1">
      <c r="A1550" s="5" t="s">
        <v>7331</v>
      </c>
      <c r="B1550" s="6" t="str">
        <f>IMAGE("https://storage.googleapis.com/acdb/housewares/FtrLogShelf_Remake_0_2.png")</f>
        <v/>
      </c>
      <c r="C1550" s="5" t="s">
        <v>1132</v>
      </c>
      <c r="D1550" s="5" t="s">
        <v>1455</v>
      </c>
      <c r="E1550" s="5" t="s">
        <v>7241</v>
      </c>
      <c r="F1550" s="5" t="s">
        <v>5759</v>
      </c>
      <c r="G1550" s="5" t="s">
        <v>35</v>
      </c>
      <c r="H1550" s="5" t="s">
        <v>35</v>
      </c>
      <c r="I1550" s="5" t="s">
        <v>35</v>
      </c>
      <c r="J1550" s="6">
        <v>4.0</v>
      </c>
      <c r="K1550" s="6" t="s">
        <v>37</v>
      </c>
      <c r="L1550" s="6">
        <v>1560.0</v>
      </c>
      <c r="M1550" s="8" t="s">
        <v>39</v>
      </c>
      <c r="N1550" s="8" t="s">
        <v>58</v>
      </c>
      <c r="O1550" s="6" t="s">
        <v>276</v>
      </c>
      <c r="P1550" s="5" t="s">
        <v>41</v>
      </c>
      <c r="Q1550" s="5"/>
      <c r="R1550" s="6" t="s">
        <v>42</v>
      </c>
      <c r="S1550" s="5" t="s">
        <v>172</v>
      </c>
      <c r="T1550" s="5" t="s">
        <v>90</v>
      </c>
      <c r="U1550" s="5" t="s">
        <v>1583</v>
      </c>
      <c r="V1550" s="5" t="s">
        <v>44</v>
      </c>
      <c r="W1550" s="5" t="s">
        <v>36</v>
      </c>
      <c r="X1550" s="8" t="s">
        <v>730</v>
      </c>
      <c r="Y1550" s="5" t="s">
        <v>46</v>
      </c>
      <c r="Z1550" s="5" t="s">
        <v>47</v>
      </c>
      <c r="AA1550" s="5" t="s">
        <v>48</v>
      </c>
      <c r="AB1550" s="5" t="s">
        <v>7347</v>
      </c>
      <c r="AC1550" s="6" t="s">
        <v>347</v>
      </c>
      <c r="AD1550" s="6">
        <v>4036.0</v>
      </c>
    </row>
    <row r="1551" ht="56.25" customHeight="1">
      <c r="A1551" s="5" t="s">
        <v>7331</v>
      </c>
      <c r="B1551" s="6" t="str">
        <f>IMAGE("https://storage.googleapis.com/acdb/housewares/FtrLogShelf_Remake_0_3.png")</f>
        <v/>
      </c>
      <c r="C1551" s="5" t="s">
        <v>1132</v>
      </c>
      <c r="D1551" s="5" t="s">
        <v>1455</v>
      </c>
      <c r="E1551" s="5" t="s">
        <v>7247</v>
      </c>
      <c r="F1551" s="5" t="s">
        <v>5759</v>
      </c>
      <c r="G1551" s="5" t="s">
        <v>35</v>
      </c>
      <c r="H1551" s="5" t="s">
        <v>35</v>
      </c>
      <c r="I1551" s="5" t="s">
        <v>35</v>
      </c>
      <c r="J1551" s="6">
        <v>4.0</v>
      </c>
      <c r="K1551" s="6" t="s">
        <v>37</v>
      </c>
      <c r="L1551" s="6">
        <v>1560.0</v>
      </c>
      <c r="M1551" s="8" t="s">
        <v>39</v>
      </c>
      <c r="N1551" s="8" t="s">
        <v>39</v>
      </c>
      <c r="O1551" s="6" t="s">
        <v>276</v>
      </c>
      <c r="P1551" s="5" t="s">
        <v>41</v>
      </c>
      <c r="Q1551" s="5"/>
      <c r="R1551" s="6" t="s">
        <v>42</v>
      </c>
      <c r="S1551" s="5" t="s">
        <v>172</v>
      </c>
      <c r="T1551" s="5" t="s">
        <v>90</v>
      </c>
      <c r="U1551" s="5" t="s">
        <v>1583</v>
      </c>
      <c r="V1551" s="5" t="s">
        <v>44</v>
      </c>
      <c r="W1551" s="5" t="s">
        <v>36</v>
      </c>
      <c r="X1551" s="8" t="s">
        <v>730</v>
      </c>
      <c r="Y1551" s="5" t="s">
        <v>46</v>
      </c>
      <c r="Z1551" s="5" t="s">
        <v>47</v>
      </c>
      <c r="AA1551" s="5" t="s">
        <v>48</v>
      </c>
      <c r="AB1551" s="5" t="s">
        <v>7356</v>
      </c>
      <c r="AC1551" s="6" t="s">
        <v>354</v>
      </c>
      <c r="AD1551" s="6">
        <v>4036.0</v>
      </c>
    </row>
    <row r="1552" ht="56.25" customHeight="1">
      <c r="A1552" s="5" t="s">
        <v>7331</v>
      </c>
      <c r="B1552" s="6" t="str">
        <f>IMAGE("https://storage.googleapis.com/acdb/housewares/FtrLogShelf_Remake_0_4.png")</f>
        <v/>
      </c>
      <c r="C1552" s="5" t="s">
        <v>1132</v>
      </c>
      <c r="D1552" s="5" t="s">
        <v>1455</v>
      </c>
      <c r="E1552" s="5" t="s">
        <v>7252</v>
      </c>
      <c r="F1552" s="5" t="s">
        <v>5759</v>
      </c>
      <c r="G1552" s="5" t="s">
        <v>35</v>
      </c>
      <c r="H1552" s="5" t="s">
        <v>35</v>
      </c>
      <c r="I1552" s="5" t="s">
        <v>35</v>
      </c>
      <c r="J1552" s="6">
        <v>4.0</v>
      </c>
      <c r="K1552" s="6" t="s">
        <v>37</v>
      </c>
      <c r="L1552" s="6">
        <v>1560.0</v>
      </c>
      <c r="M1552" s="8" t="s">
        <v>39</v>
      </c>
      <c r="N1552" s="8" t="s">
        <v>1175</v>
      </c>
      <c r="O1552" s="6" t="s">
        <v>276</v>
      </c>
      <c r="P1552" s="5" t="s">
        <v>41</v>
      </c>
      <c r="Q1552" s="5"/>
      <c r="R1552" s="6" t="s">
        <v>42</v>
      </c>
      <c r="S1552" s="5" t="s">
        <v>172</v>
      </c>
      <c r="T1552" s="5" t="s">
        <v>90</v>
      </c>
      <c r="U1552" s="5" t="s">
        <v>1583</v>
      </c>
      <c r="V1552" s="5" t="s">
        <v>44</v>
      </c>
      <c r="W1552" s="5" t="s">
        <v>36</v>
      </c>
      <c r="X1552" s="8" t="s">
        <v>730</v>
      </c>
      <c r="Y1552" s="5" t="s">
        <v>46</v>
      </c>
      <c r="Z1552" s="5" t="s">
        <v>47</v>
      </c>
      <c r="AA1552" s="5" t="s">
        <v>48</v>
      </c>
      <c r="AB1552" s="5" t="s">
        <v>7363</v>
      </c>
      <c r="AC1552" s="6" t="s">
        <v>486</v>
      </c>
      <c r="AD1552" s="6">
        <v>4036.0</v>
      </c>
    </row>
    <row r="1553" ht="56.25" customHeight="1">
      <c r="A1553" s="5" t="s">
        <v>7331</v>
      </c>
      <c r="B1553" s="6" t="str">
        <f>IMAGE("https://storage.googleapis.com/acdb/housewares/FtrLogShelf_Remake_1_0.png")</f>
        <v/>
      </c>
      <c r="C1553" s="5" t="s">
        <v>1588</v>
      </c>
      <c r="D1553" s="5" t="s">
        <v>1455</v>
      </c>
      <c r="E1553" s="5" t="s">
        <v>44</v>
      </c>
      <c r="F1553" s="5" t="s">
        <v>5759</v>
      </c>
      <c r="G1553" s="5" t="s">
        <v>35</v>
      </c>
      <c r="H1553" s="5" t="s">
        <v>35</v>
      </c>
      <c r="I1553" s="5" t="s">
        <v>35</v>
      </c>
      <c r="J1553" s="6">
        <v>4.0</v>
      </c>
      <c r="K1553" s="6" t="s">
        <v>37</v>
      </c>
      <c r="L1553" s="6">
        <v>1560.0</v>
      </c>
      <c r="M1553" s="8" t="s">
        <v>142</v>
      </c>
      <c r="N1553" s="8" t="s">
        <v>142</v>
      </c>
      <c r="O1553" s="6" t="s">
        <v>276</v>
      </c>
      <c r="P1553" s="5" t="s">
        <v>41</v>
      </c>
      <c r="Q1553" s="5"/>
      <c r="R1553" s="6" t="s">
        <v>42</v>
      </c>
      <c r="S1553" s="5" t="s">
        <v>172</v>
      </c>
      <c r="T1553" s="5" t="s">
        <v>90</v>
      </c>
      <c r="U1553" s="5" t="s">
        <v>1583</v>
      </c>
      <c r="V1553" s="5" t="s">
        <v>44</v>
      </c>
      <c r="W1553" s="5" t="s">
        <v>36</v>
      </c>
      <c r="X1553" s="8" t="s">
        <v>730</v>
      </c>
      <c r="Y1553" s="5" t="s">
        <v>46</v>
      </c>
      <c r="Z1553" s="5" t="s">
        <v>47</v>
      </c>
      <c r="AA1553" s="5" t="s">
        <v>48</v>
      </c>
      <c r="AB1553" s="5" t="s">
        <v>7370</v>
      </c>
      <c r="AC1553" s="6" t="s">
        <v>56</v>
      </c>
      <c r="AD1553" s="6">
        <v>4036.0</v>
      </c>
    </row>
    <row r="1554" ht="56.25" customHeight="1">
      <c r="A1554" s="5" t="s">
        <v>7331</v>
      </c>
      <c r="B1554" s="6" t="str">
        <f>IMAGE("https://storage.googleapis.com/acdb/housewares/FtrLogShelf_Remake_1_1.png")</f>
        <v/>
      </c>
      <c r="C1554" s="5" t="s">
        <v>1588</v>
      </c>
      <c r="D1554" s="5" t="s">
        <v>1455</v>
      </c>
      <c r="E1554" s="5" t="s">
        <v>4331</v>
      </c>
      <c r="F1554" s="5" t="s">
        <v>5759</v>
      </c>
      <c r="G1554" s="5" t="s">
        <v>35</v>
      </c>
      <c r="H1554" s="5" t="s">
        <v>35</v>
      </c>
      <c r="I1554" s="5" t="s">
        <v>35</v>
      </c>
      <c r="J1554" s="6">
        <v>4.0</v>
      </c>
      <c r="K1554" s="6" t="s">
        <v>37</v>
      </c>
      <c r="L1554" s="6">
        <v>1560.0</v>
      </c>
      <c r="M1554" s="8" t="s">
        <v>142</v>
      </c>
      <c r="N1554" s="8" t="s">
        <v>58</v>
      </c>
      <c r="O1554" s="6" t="s">
        <v>276</v>
      </c>
      <c r="P1554" s="5" t="s">
        <v>41</v>
      </c>
      <c r="Q1554" s="5"/>
      <c r="R1554" s="6" t="s">
        <v>42</v>
      </c>
      <c r="S1554" s="5" t="s">
        <v>172</v>
      </c>
      <c r="T1554" s="5" t="s">
        <v>90</v>
      </c>
      <c r="U1554" s="5" t="s">
        <v>1583</v>
      </c>
      <c r="V1554" s="5" t="s">
        <v>44</v>
      </c>
      <c r="W1554" s="5" t="s">
        <v>36</v>
      </c>
      <c r="X1554" s="8" t="s">
        <v>730</v>
      </c>
      <c r="Y1554" s="5" t="s">
        <v>46</v>
      </c>
      <c r="Z1554" s="5" t="s">
        <v>47</v>
      </c>
      <c r="AA1554" s="5" t="s">
        <v>48</v>
      </c>
      <c r="AB1554" s="5" t="s">
        <v>7375</v>
      </c>
      <c r="AC1554" s="6" t="s">
        <v>234</v>
      </c>
      <c r="AD1554" s="6">
        <v>4036.0</v>
      </c>
    </row>
    <row r="1555" ht="56.25" customHeight="1">
      <c r="A1555" s="5" t="s">
        <v>7331</v>
      </c>
      <c r="B1555" s="6" t="str">
        <f>IMAGE("https://storage.googleapis.com/acdb/housewares/FtrLogShelf_Remake_1_2.png")</f>
        <v/>
      </c>
      <c r="C1555" s="5" t="s">
        <v>1588</v>
      </c>
      <c r="D1555" s="5" t="s">
        <v>1455</v>
      </c>
      <c r="E1555" s="5" t="s">
        <v>7241</v>
      </c>
      <c r="F1555" s="5" t="s">
        <v>5759</v>
      </c>
      <c r="G1555" s="5" t="s">
        <v>35</v>
      </c>
      <c r="H1555" s="5" t="s">
        <v>35</v>
      </c>
      <c r="I1555" s="5" t="s">
        <v>35</v>
      </c>
      <c r="J1555" s="6">
        <v>4.0</v>
      </c>
      <c r="K1555" s="6" t="s">
        <v>37</v>
      </c>
      <c r="L1555" s="6">
        <v>1560.0</v>
      </c>
      <c r="M1555" s="8" t="s">
        <v>142</v>
      </c>
      <c r="N1555" s="8" t="s">
        <v>58</v>
      </c>
      <c r="O1555" s="6" t="s">
        <v>276</v>
      </c>
      <c r="P1555" s="5" t="s">
        <v>41</v>
      </c>
      <c r="Q1555" s="5"/>
      <c r="R1555" s="6" t="s">
        <v>42</v>
      </c>
      <c r="S1555" s="5" t="s">
        <v>172</v>
      </c>
      <c r="T1555" s="5" t="s">
        <v>90</v>
      </c>
      <c r="U1555" s="5" t="s">
        <v>1583</v>
      </c>
      <c r="V1555" s="5" t="s">
        <v>44</v>
      </c>
      <c r="W1555" s="5" t="s">
        <v>36</v>
      </c>
      <c r="X1555" s="8" t="s">
        <v>730</v>
      </c>
      <c r="Y1555" s="5" t="s">
        <v>46</v>
      </c>
      <c r="Z1555" s="5" t="s">
        <v>47</v>
      </c>
      <c r="AA1555" s="5" t="s">
        <v>48</v>
      </c>
      <c r="AB1555" s="5" t="s">
        <v>7381</v>
      </c>
      <c r="AC1555" s="6" t="s">
        <v>370</v>
      </c>
      <c r="AD1555" s="6">
        <v>4036.0</v>
      </c>
    </row>
    <row r="1556" ht="56.25" customHeight="1">
      <c r="A1556" s="5" t="s">
        <v>7331</v>
      </c>
      <c r="B1556" s="6" t="str">
        <f>IMAGE("https://storage.googleapis.com/acdb/housewares/FtrLogShelf_Remake_1_3.png")</f>
        <v/>
      </c>
      <c r="C1556" s="5" t="s">
        <v>1588</v>
      </c>
      <c r="D1556" s="5" t="s">
        <v>1455</v>
      </c>
      <c r="E1556" s="5" t="s">
        <v>7247</v>
      </c>
      <c r="F1556" s="5" t="s">
        <v>5759</v>
      </c>
      <c r="G1556" s="5" t="s">
        <v>35</v>
      </c>
      <c r="H1556" s="5" t="s">
        <v>35</v>
      </c>
      <c r="I1556" s="5" t="s">
        <v>35</v>
      </c>
      <c r="J1556" s="6">
        <v>4.0</v>
      </c>
      <c r="K1556" s="6" t="s">
        <v>37</v>
      </c>
      <c r="L1556" s="6">
        <v>1560.0</v>
      </c>
      <c r="M1556" s="8" t="s">
        <v>142</v>
      </c>
      <c r="N1556" s="8" t="s">
        <v>39</v>
      </c>
      <c r="O1556" s="6" t="s">
        <v>276</v>
      </c>
      <c r="P1556" s="5" t="s">
        <v>41</v>
      </c>
      <c r="Q1556" s="5"/>
      <c r="R1556" s="6" t="s">
        <v>42</v>
      </c>
      <c r="S1556" s="5" t="s">
        <v>172</v>
      </c>
      <c r="T1556" s="5" t="s">
        <v>90</v>
      </c>
      <c r="U1556" s="5" t="s">
        <v>1583</v>
      </c>
      <c r="V1556" s="5" t="s">
        <v>44</v>
      </c>
      <c r="W1556" s="5" t="s">
        <v>36</v>
      </c>
      <c r="X1556" s="8" t="s">
        <v>730</v>
      </c>
      <c r="Y1556" s="5" t="s">
        <v>46</v>
      </c>
      <c r="Z1556" s="5" t="s">
        <v>47</v>
      </c>
      <c r="AA1556" s="5" t="s">
        <v>48</v>
      </c>
      <c r="AB1556" s="5" t="s">
        <v>7388</v>
      </c>
      <c r="AC1556" s="6" t="s">
        <v>377</v>
      </c>
      <c r="AD1556" s="6">
        <v>4036.0</v>
      </c>
    </row>
    <row r="1557" ht="56.25" customHeight="1">
      <c r="A1557" s="5" t="s">
        <v>7331</v>
      </c>
      <c r="B1557" s="6" t="str">
        <f>IMAGE("https://storage.googleapis.com/acdb/housewares/FtrLogShelf_Remake_1_4.png")</f>
        <v/>
      </c>
      <c r="C1557" s="5" t="s">
        <v>1588</v>
      </c>
      <c r="D1557" s="5" t="s">
        <v>1455</v>
      </c>
      <c r="E1557" s="5" t="s">
        <v>7252</v>
      </c>
      <c r="F1557" s="5" t="s">
        <v>5759</v>
      </c>
      <c r="G1557" s="5" t="s">
        <v>35</v>
      </c>
      <c r="H1557" s="5" t="s">
        <v>35</v>
      </c>
      <c r="I1557" s="5" t="s">
        <v>35</v>
      </c>
      <c r="J1557" s="6">
        <v>4.0</v>
      </c>
      <c r="K1557" s="6" t="s">
        <v>37</v>
      </c>
      <c r="L1557" s="6">
        <v>1560.0</v>
      </c>
      <c r="M1557" s="8" t="s">
        <v>142</v>
      </c>
      <c r="N1557" s="8" t="s">
        <v>1175</v>
      </c>
      <c r="O1557" s="6" t="s">
        <v>276</v>
      </c>
      <c r="P1557" s="5" t="s">
        <v>41</v>
      </c>
      <c r="Q1557" s="5"/>
      <c r="R1557" s="6" t="s">
        <v>42</v>
      </c>
      <c r="S1557" s="5" t="s">
        <v>172</v>
      </c>
      <c r="T1557" s="5" t="s">
        <v>90</v>
      </c>
      <c r="U1557" s="5" t="s">
        <v>1583</v>
      </c>
      <c r="V1557" s="5" t="s">
        <v>44</v>
      </c>
      <c r="W1557" s="5" t="s">
        <v>36</v>
      </c>
      <c r="X1557" s="8" t="s">
        <v>730</v>
      </c>
      <c r="Y1557" s="5" t="s">
        <v>46</v>
      </c>
      <c r="Z1557" s="5" t="s">
        <v>47</v>
      </c>
      <c r="AA1557" s="5" t="s">
        <v>48</v>
      </c>
      <c r="AB1557" s="5" t="s">
        <v>7395</v>
      </c>
      <c r="AC1557" s="6" t="s">
        <v>520</v>
      </c>
      <c r="AD1557" s="6">
        <v>4036.0</v>
      </c>
    </row>
    <row r="1558" ht="56.25" customHeight="1">
      <c r="A1558" s="5" t="s">
        <v>7331</v>
      </c>
      <c r="B1558" s="6" t="str">
        <f>IMAGE("https://storage.googleapis.com/acdb/housewares/FtrLogShelf_Remake_2_0.png")</f>
        <v/>
      </c>
      <c r="C1558" s="5" t="s">
        <v>1595</v>
      </c>
      <c r="D1558" s="5" t="s">
        <v>1455</v>
      </c>
      <c r="E1558" s="5" t="s">
        <v>44</v>
      </c>
      <c r="F1558" s="5" t="s">
        <v>5759</v>
      </c>
      <c r="G1558" s="5" t="s">
        <v>35</v>
      </c>
      <c r="H1558" s="5" t="s">
        <v>35</v>
      </c>
      <c r="I1558" s="5" t="s">
        <v>35</v>
      </c>
      <c r="J1558" s="6">
        <v>4.0</v>
      </c>
      <c r="K1558" s="6" t="s">
        <v>37</v>
      </c>
      <c r="L1558" s="6">
        <v>1560.0</v>
      </c>
      <c r="M1558" s="8" t="s">
        <v>38</v>
      </c>
      <c r="N1558" s="8" t="s">
        <v>38</v>
      </c>
      <c r="O1558" s="6" t="s">
        <v>276</v>
      </c>
      <c r="P1558" s="5" t="s">
        <v>41</v>
      </c>
      <c r="Q1558" s="5"/>
      <c r="R1558" s="6" t="s">
        <v>42</v>
      </c>
      <c r="S1558" s="5" t="s">
        <v>172</v>
      </c>
      <c r="T1558" s="5" t="s">
        <v>90</v>
      </c>
      <c r="U1558" s="5" t="s">
        <v>1583</v>
      </c>
      <c r="V1558" s="5" t="s">
        <v>44</v>
      </c>
      <c r="W1558" s="5" t="s">
        <v>36</v>
      </c>
      <c r="X1558" s="8" t="s">
        <v>730</v>
      </c>
      <c r="Y1558" s="5" t="s">
        <v>46</v>
      </c>
      <c r="Z1558" s="5" t="s">
        <v>47</v>
      </c>
      <c r="AA1558" s="5" t="s">
        <v>48</v>
      </c>
      <c r="AB1558" s="5" t="s">
        <v>7402</v>
      </c>
      <c r="AC1558" s="6" t="s">
        <v>67</v>
      </c>
      <c r="AD1558" s="6">
        <v>4036.0</v>
      </c>
    </row>
    <row r="1559" ht="56.25" customHeight="1">
      <c r="A1559" s="5" t="s">
        <v>7331</v>
      </c>
      <c r="B1559" s="6" t="str">
        <f>IMAGE("https://storage.googleapis.com/acdb/housewares/FtrLogShelf_Remake_2_1.png")</f>
        <v/>
      </c>
      <c r="C1559" s="5" t="s">
        <v>1595</v>
      </c>
      <c r="D1559" s="5" t="s">
        <v>1455</v>
      </c>
      <c r="E1559" s="5" t="s">
        <v>4331</v>
      </c>
      <c r="F1559" s="5" t="s">
        <v>5759</v>
      </c>
      <c r="G1559" s="5" t="s">
        <v>35</v>
      </c>
      <c r="H1559" s="5" t="s">
        <v>35</v>
      </c>
      <c r="I1559" s="5" t="s">
        <v>35</v>
      </c>
      <c r="J1559" s="6">
        <v>4.0</v>
      </c>
      <c r="K1559" s="6" t="s">
        <v>37</v>
      </c>
      <c r="L1559" s="6">
        <v>1560.0</v>
      </c>
      <c r="M1559" s="8" t="s">
        <v>38</v>
      </c>
      <c r="N1559" s="8" t="s">
        <v>58</v>
      </c>
      <c r="O1559" s="6" t="s">
        <v>276</v>
      </c>
      <c r="P1559" s="5" t="s">
        <v>41</v>
      </c>
      <c r="Q1559" s="5"/>
      <c r="R1559" s="6" t="s">
        <v>42</v>
      </c>
      <c r="S1559" s="5" t="s">
        <v>172</v>
      </c>
      <c r="T1559" s="5" t="s">
        <v>90</v>
      </c>
      <c r="U1559" s="5" t="s">
        <v>1583</v>
      </c>
      <c r="V1559" s="5" t="s">
        <v>44</v>
      </c>
      <c r="W1559" s="5" t="s">
        <v>36</v>
      </c>
      <c r="X1559" s="8" t="s">
        <v>730</v>
      </c>
      <c r="Y1559" s="5" t="s">
        <v>46</v>
      </c>
      <c r="Z1559" s="5" t="s">
        <v>47</v>
      </c>
      <c r="AA1559" s="5" t="s">
        <v>48</v>
      </c>
      <c r="AB1559" s="5" t="s">
        <v>7406</v>
      </c>
      <c r="AC1559" s="6" t="s">
        <v>247</v>
      </c>
      <c r="AD1559" s="6">
        <v>4036.0</v>
      </c>
    </row>
    <row r="1560" ht="56.25" customHeight="1">
      <c r="A1560" s="5" t="s">
        <v>7331</v>
      </c>
      <c r="B1560" s="6" t="str">
        <f>IMAGE("https://storage.googleapis.com/acdb/housewares/FtrLogShelf_Remake_2_2.png")</f>
        <v/>
      </c>
      <c r="C1560" s="5" t="s">
        <v>1595</v>
      </c>
      <c r="D1560" s="5" t="s">
        <v>1455</v>
      </c>
      <c r="E1560" s="5" t="s">
        <v>7241</v>
      </c>
      <c r="F1560" s="5" t="s">
        <v>5759</v>
      </c>
      <c r="G1560" s="5" t="s">
        <v>35</v>
      </c>
      <c r="H1560" s="5" t="s">
        <v>35</v>
      </c>
      <c r="I1560" s="5" t="s">
        <v>35</v>
      </c>
      <c r="J1560" s="6">
        <v>4.0</v>
      </c>
      <c r="K1560" s="6" t="s">
        <v>37</v>
      </c>
      <c r="L1560" s="6">
        <v>1560.0</v>
      </c>
      <c r="M1560" s="8" t="s">
        <v>38</v>
      </c>
      <c r="N1560" s="8" t="s">
        <v>58</v>
      </c>
      <c r="O1560" s="6" t="s">
        <v>276</v>
      </c>
      <c r="P1560" s="5" t="s">
        <v>41</v>
      </c>
      <c r="Q1560" s="5"/>
      <c r="R1560" s="6" t="s">
        <v>42</v>
      </c>
      <c r="S1560" s="5" t="s">
        <v>172</v>
      </c>
      <c r="T1560" s="5" t="s">
        <v>90</v>
      </c>
      <c r="U1560" s="5" t="s">
        <v>1583</v>
      </c>
      <c r="V1560" s="5" t="s">
        <v>44</v>
      </c>
      <c r="W1560" s="5" t="s">
        <v>36</v>
      </c>
      <c r="X1560" s="8" t="s">
        <v>730</v>
      </c>
      <c r="Y1560" s="5" t="s">
        <v>46</v>
      </c>
      <c r="Z1560" s="5" t="s">
        <v>47</v>
      </c>
      <c r="AA1560" s="5" t="s">
        <v>48</v>
      </c>
      <c r="AB1560" s="5" t="s">
        <v>7412</v>
      </c>
      <c r="AC1560" s="6" t="s">
        <v>390</v>
      </c>
      <c r="AD1560" s="6">
        <v>4036.0</v>
      </c>
    </row>
    <row r="1561" ht="56.25" customHeight="1">
      <c r="A1561" s="5" t="s">
        <v>7331</v>
      </c>
      <c r="B1561" s="6" t="str">
        <f>IMAGE("https://storage.googleapis.com/acdb/housewares/FtrLogShelf_Remake_2_3.png")</f>
        <v/>
      </c>
      <c r="C1561" s="5" t="s">
        <v>1595</v>
      </c>
      <c r="D1561" s="5" t="s">
        <v>1455</v>
      </c>
      <c r="E1561" s="5" t="s">
        <v>7247</v>
      </c>
      <c r="F1561" s="5" t="s">
        <v>5759</v>
      </c>
      <c r="G1561" s="5" t="s">
        <v>35</v>
      </c>
      <c r="H1561" s="5" t="s">
        <v>35</v>
      </c>
      <c r="I1561" s="5" t="s">
        <v>35</v>
      </c>
      <c r="J1561" s="6">
        <v>4.0</v>
      </c>
      <c r="K1561" s="6" t="s">
        <v>37</v>
      </c>
      <c r="L1561" s="6">
        <v>1560.0</v>
      </c>
      <c r="M1561" s="8" t="s">
        <v>38</v>
      </c>
      <c r="N1561" s="8" t="s">
        <v>39</v>
      </c>
      <c r="O1561" s="6" t="s">
        <v>276</v>
      </c>
      <c r="P1561" s="5" t="s">
        <v>41</v>
      </c>
      <c r="Q1561" s="5"/>
      <c r="R1561" s="6" t="s">
        <v>42</v>
      </c>
      <c r="S1561" s="5" t="s">
        <v>172</v>
      </c>
      <c r="T1561" s="5" t="s">
        <v>90</v>
      </c>
      <c r="U1561" s="5" t="s">
        <v>1583</v>
      </c>
      <c r="V1561" s="5" t="s">
        <v>44</v>
      </c>
      <c r="W1561" s="5" t="s">
        <v>36</v>
      </c>
      <c r="X1561" s="8" t="s">
        <v>730</v>
      </c>
      <c r="Y1561" s="5" t="s">
        <v>46</v>
      </c>
      <c r="Z1561" s="5" t="s">
        <v>47</v>
      </c>
      <c r="AA1561" s="5" t="s">
        <v>48</v>
      </c>
      <c r="AB1561" s="5" t="s">
        <v>7422</v>
      </c>
      <c r="AC1561" s="6" t="s">
        <v>396</v>
      </c>
      <c r="AD1561" s="6">
        <v>4036.0</v>
      </c>
    </row>
    <row r="1562" ht="56.25" customHeight="1">
      <c r="A1562" s="5" t="s">
        <v>7331</v>
      </c>
      <c r="B1562" s="6" t="str">
        <f>IMAGE("https://storage.googleapis.com/acdb/housewares/FtrLogShelf_Remake_2_4.png")</f>
        <v/>
      </c>
      <c r="C1562" s="5" t="s">
        <v>1595</v>
      </c>
      <c r="D1562" s="5" t="s">
        <v>1455</v>
      </c>
      <c r="E1562" s="5" t="s">
        <v>7252</v>
      </c>
      <c r="F1562" s="5" t="s">
        <v>5759</v>
      </c>
      <c r="G1562" s="5" t="s">
        <v>35</v>
      </c>
      <c r="H1562" s="5" t="s">
        <v>35</v>
      </c>
      <c r="I1562" s="5" t="s">
        <v>35</v>
      </c>
      <c r="J1562" s="6">
        <v>4.0</v>
      </c>
      <c r="K1562" s="6" t="s">
        <v>37</v>
      </c>
      <c r="L1562" s="6">
        <v>1560.0</v>
      </c>
      <c r="M1562" s="8" t="s">
        <v>38</v>
      </c>
      <c r="N1562" s="8" t="s">
        <v>1175</v>
      </c>
      <c r="O1562" s="6" t="s">
        <v>276</v>
      </c>
      <c r="P1562" s="5" t="s">
        <v>41</v>
      </c>
      <c r="Q1562" s="5"/>
      <c r="R1562" s="6" t="s">
        <v>42</v>
      </c>
      <c r="S1562" s="5" t="s">
        <v>172</v>
      </c>
      <c r="T1562" s="5" t="s">
        <v>90</v>
      </c>
      <c r="U1562" s="5" t="s">
        <v>1583</v>
      </c>
      <c r="V1562" s="5" t="s">
        <v>44</v>
      </c>
      <c r="W1562" s="5" t="s">
        <v>36</v>
      </c>
      <c r="X1562" s="8" t="s">
        <v>730</v>
      </c>
      <c r="Y1562" s="5" t="s">
        <v>46</v>
      </c>
      <c r="Z1562" s="5" t="s">
        <v>47</v>
      </c>
      <c r="AA1562" s="5" t="s">
        <v>48</v>
      </c>
      <c r="AB1562" s="5" t="s">
        <v>7429</v>
      </c>
      <c r="AC1562" s="6" t="s">
        <v>541</v>
      </c>
      <c r="AD1562" s="6">
        <v>4036.0</v>
      </c>
    </row>
    <row r="1563" ht="56.25" customHeight="1">
      <c r="A1563" s="5" t="s">
        <v>7331</v>
      </c>
      <c r="B1563" s="6" t="str">
        <f>IMAGE("https://storage.googleapis.com/acdb/housewares/FtrLogShelf_Remake_3_0.png")</f>
        <v/>
      </c>
      <c r="C1563" s="5" t="s">
        <v>1600</v>
      </c>
      <c r="D1563" s="5" t="s">
        <v>1455</v>
      </c>
      <c r="E1563" s="5" t="s">
        <v>44</v>
      </c>
      <c r="F1563" s="5" t="s">
        <v>5759</v>
      </c>
      <c r="G1563" s="5" t="s">
        <v>35</v>
      </c>
      <c r="H1563" s="5" t="s">
        <v>35</v>
      </c>
      <c r="I1563" s="5" t="s">
        <v>35</v>
      </c>
      <c r="J1563" s="6">
        <v>4.0</v>
      </c>
      <c r="K1563" s="6" t="s">
        <v>37</v>
      </c>
      <c r="L1563" s="6">
        <v>1560.0</v>
      </c>
      <c r="M1563" s="8" t="s">
        <v>57</v>
      </c>
      <c r="N1563" s="8" t="s">
        <v>57</v>
      </c>
      <c r="O1563" s="6" t="s">
        <v>276</v>
      </c>
      <c r="P1563" s="5" t="s">
        <v>41</v>
      </c>
      <c r="Q1563" s="5"/>
      <c r="R1563" s="6" t="s">
        <v>42</v>
      </c>
      <c r="S1563" s="5" t="s">
        <v>172</v>
      </c>
      <c r="T1563" s="5" t="s">
        <v>90</v>
      </c>
      <c r="U1563" s="5" t="s">
        <v>1583</v>
      </c>
      <c r="V1563" s="5" t="s">
        <v>44</v>
      </c>
      <c r="W1563" s="5" t="s">
        <v>36</v>
      </c>
      <c r="X1563" s="8" t="s">
        <v>730</v>
      </c>
      <c r="Y1563" s="5" t="s">
        <v>46</v>
      </c>
      <c r="Z1563" s="5" t="s">
        <v>47</v>
      </c>
      <c r="AA1563" s="5" t="s">
        <v>48</v>
      </c>
      <c r="AB1563" s="5" t="s">
        <v>7437</v>
      </c>
      <c r="AC1563" s="6" t="s">
        <v>71</v>
      </c>
      <c r="AD1563" s="6">
        <v>4036.0</v>
      </c>
    </row>
    <row r="1564" ht="56.25" customHeight="1">
      <c r="A1564" s="5" t="s">
        <v>7331</v>
      </c>
      <c r="B1564" s="6" t="str">
        <f>IMAGE("https://storage.googleapis.com/acdb/housewares/FtrLogShelf_Remake_3_1.png")</f>
        <v/>
      </c>
      <c r="C1564" s="5" t="s">
        <v>1600</v>
      </c>
      <c r="D1564" s="5" t="s">
        <v>34</v>
      </c>
      <c r="E1564" s="5" t="s">
        <v>4331</v>
      </c>
      <c r="F1564" s="5" t="s">
        <v>5759</v>
      </c>
      <c r="G1564" s="5" t="s">
        <v>35</v>
      </c>
      <c r="H1564" s="5" t="s">
        <v>36</v>
      </c>
      <c r="I1564" s="5" t="s">
        <v>35</v>
      </c>
      <c r="J1564" s="6">
        <v>4.0</v>
      </c>
      <c r="K1564" s="6" t="s">
        <v>37</v>
      </c>
      <c r="L1564" s="6">
        <v>1560.0</v>
      </c>
      <c r="M1564" s="8" t="s">
        <v>57</v>
      </c>
      <c r="N1564" s="8" t="s">
        <v>58</v>
      </c>
      <c r="O1564" s="6" t="s">
        <v>276</v>
      </c>
      <c r="P1564" s="5" t="s">
        <v>41</v>
      </c>
      <c r="Q1564" s="5"/>
      <c r="R1564" s="6" t="s">
        <v>42</v>
      </c>
      <c r="S1564" s="5" t="s">
        <v>172</v>
      </c>
      <c r="T1564" s="5" t="s">
        <v>90</v>
      </c>
      <c r="U1564" s="5" t="s">
        <v>1583</v>
      </c>
      <c r="V1564" s="5" t="s">
        <v>44</v>
      </c>
      <c r="W1564" s="5" t="s">
        <v>36</v>
      </c>
      <c r="X1564" s="8" t="s">
        <v>730</v>
      </c>
      <c r="Y1564" s="5" t="s">
        <v>46</v>
      </c>
      <c r="Z1564" s="5" t="s">
        <v>47</v>
      </c>
      <c r="AA1564" s="5" t="s">
        <v>48</v>
      </c>
      <c r="AB1564" s="5" t="s">
        <v>7445</v>
      </c>
      <c r="AC1564" s="6" t="s">
        <v>257</v>
      </c>
      <c r="AD1564" s="6">
        <v>4036.0</v>
      </c>
    </row>
    <row r="1565" ht="56.25" customHeight="1">
      <c r="A1565" s="5" t="s">
        <v>7331</v>
      </c>
      <c r="B1565" s="6" t="str">
        <f>IMAGE("https://storage.googleapis.com/acdb/housewares/FtrLogShelf_Remake_3_2.png")</f>
        <v/>
      </c>
      <c r="C1565" s="5" t="s">
        <v>1600</v>
      </c>
      <c r="D1565" s="5" t="s">
        <v>34</v>
      </c>
      <c r="E1565" s="5" t="s">
        <v>7241</v>
      </c>
      <c r="F1565" s="5" t="s">
        <v>5759</v>
      </c>
      <c r="G1565" s="5" t="s">
        <v>35</v>
      </c>
      <c r="H1565" s="5" t="s">
        <v>36</v>
      </c>
      <c r="I1565" s="5" t="s">
        <v>35</v>
      </c>
      <c r="J1565" s="6">
        <v>4.0</v>
      </c>
      <c r="K1565" s="6" t="s">
        <v>37</v>
      </c>
      <c r="L1565" s="6">
        <v>1560.0</v>
      </c>
      <c r="M1565" s="8" t="s">
        <v>57</v>
      </c>
      <c r="N1565" s="8" t="s">
        <v>58</v>
      </c>
      <c r="O1565" s="6" t="s">
        <v>276</v>
      </c>
      <c r="P1565" s="5" t="s">
        <v>41</v>
      </c>
      <c r="Q1565" s="5"/>
      <c r="R1565" s="6" t="s">
        <v>42</v>
      </c>
      <c r="S1565" s="5" t="s">
        <v>172</v>
      </c>
      <c r="T1565" s="5" t="s">
        <v>90</v>
      </c>
      <c r="U1565" s="5" t="s">
        <v>1583</v>
      </c>
      <c r="V1565" s="5" t="s">
        <v>44</v>
      </c>
      <c r="W1565" s="5" t="s">
        <v>36</v>
      </c>
      <c r="X1565" s="8" t="s">
        <v>730</v>
      </c>
      <c r="Y1565" s="5" t="s">
        <v>46</v>
      </c>
      <c r="Z1565" s="5" t="s">
        <v>47</v>
      </c>
      <c r="AA1565" s="5" t="s">
        <v>48</v>
      </c>
      <c r="AB1565" s="5" t="s">
        <v>7453</v>
      </c>
      <c r="AC1565" s="6" t="s">
        <v>414</v>
      </c>
      <c r="AD1565" s="6">
        <v>4036.0</v>
      </c>
    </row>
    <row r="1566" ht="56.25" customHeight="1">
      <c r="A1566" s="5" t="s">
        <v>7331</v>
      </c>
      <c r="B1566" s="6" t="str">
        <f>IMAGE("https://storage.googleapis.com/acdb/housewares/FtrLogShelf_Remake_3_3.png")</f>
        <v/>
      </c>
      <c r="C1566" s="5" t="s">
        <v>1600</v>
      </c>
      <c r="D1566" s="5" t="s">
        <v>34</v>
      </c>
      <c r="E1566" s="5" t="s">
        <v>7247</v>
      </c>
      <c r="F1566" s="5" t="s">
        <v>5759</v>
      </c>
      <c r="G1566" s="5" t="s">
        <v>35</v>
      </c>
      <c r="H1566" s="5" t="s">
        <v>36</v>
      </c>
      <c r="I1566" s="5" t="s">
        <v>35</v>
      </c>
      <c r="J1566" s="6">
        <v>4.0</v>
      </c>
      <c r="K1566" s="6" t="s">
        <v>37</v>
      </c>
      <c r="L1566" s="6">
        <v>1560.0</v>
      </c>
      <c r="M1566" s="8" t="s">
        <v>57</v>
      </c>
      <c r="N1566" s="8" t="s">
        <v>39</v>
      </c>
      <c r="O1566" s="6" t="s">
        <v>276</v>
      </c>
      <c r="P1566" s="5" t="s">
        <v>41</v>
      </c>
      <c r="Q1566" s="5"/>
      <c r="R1566" s="6" t="s">
        <v>42</v>
      </c>
      <c r="S1566" s="5" t="s">
        <v>172</v>
      </c>
      <c r="T1566" s="5" t="s">
        <v>90</v>
      </c>
      <c r="U1566" s="5" t="s">
        <v>1583</v>
      </c>
      <c r="V1566" s="5" t="s">
        <v>44</v>
      </c>
      <c r="W1566" s="5" t="s">
        <v>36</v>
      </c>
      <c r="X1566" s="8" t="s">
        <v>730</v>
      </c>
      <c r="Y1566" s="5" t="s">
        <v>46</v>
      </c>
      <c r="Z1566" s="5" t="s">
        <v>47</v>
      </c>
      <c r="AA1566" s="5" t="s">
        <v>48</v>
      </c>
      <c r="AB1566" s="5" t="s">
        <v>7463</v>
      </c>
      <c r="AC1566" s="6" t="s">
        <v>418</v>
      </c>
      <c r="AD1566" s="6">
        <v>4036.0</v>
      </c>
    </row>
    <row r="1567" ht="56.25" customHeight="1">
      <c r="A1567" s="5" t="s">
        <v>7331</v>
      </c>
      <c r="B1567" s="6" t="str">
        <f>IMAGE("https://storage.googleapis.com/acdb/housewares/FtrLogShelf_Remake_3_4.png")</f>
        <v/>
      </c>
      <c r="C1567" s="5" t="s">
        <v>1600</v>
      </c>
      <c r="D1567" s="5" t="s">
        <v>34</v>
      </c>
      <c r="E1567" s="5" t="s">
        <v>7252</v>
      </c>
      <c r="F1567" s="5" t="s">
        <v>5759</v>
      </c>
      <c r="G1567" s="5" t="s">
        <v>35</v>
      </c>
      <c r="H1567" s="5" t="s">
        <v>36</v>
      </c>
      <c r="I1567" s="5" t="s">
        <v>35</v>
      </c>
      <c r="J1567" s="6">
        <v>4.0</v>
      </c>
      <c r="K1567" s="6" t="s">
        <v>37</v>
      </c>
      <c r="L1567" s="6">
        <v>1560.0</v>
      </c>
      <c r="M1567" s="8" t="s">
        <v>57</v>
      </c>
      <c r="N1567" s="8" t="s">
        <v>1175</v>
      </c>
      <c r="O1567" s="6" t="s">
        <v>276</v>
      </c>
      <c r="P1567" s="5" t="s">
        <v>41</v>
      </c>
      <c r="Q1567" s="5"/>
      <c r="R1567" s="6" t="s">
        <v>42</v>
      </c>
      <c r="S1567" s="5" t="s">
        <v>172</v>
      </c>
      <c r="T1567" s="5" t="s">
        <v>90</v>
      </c>
      <c r="U1567" s="5" t="s">
        <v>1583</v>
      </c>
      <c r="V1567" s="5" t="s">
        <v>44</v>
      </c>
      <c r="W1567" s="5" t="s">
        <v>36</v>
      </c>
      <c r="X1567" s="8" t="s">
        <v>730</v>
      </c>
      <c r="Y1567" s="5" t="s">
        <v>46</v>
      </c>
      <c r="Z1567" s="5" t="s">
        <v>47</v>
      </c>
      <c r="AA1567" s="5" t="s">
        <v>48</v>
      </c>
      <c r="AB1567" s="5" t="s">
        <v>7472</v>
      </c>
      <c r="AC1567" s="6" t="s">
        <v>563</v>
      </c>
      <c r="AD1567" s="6">
        <v>4036.0</v>
      </c>
    </row>
    <row r="1568" ht="56.25" customHeight="1">
      <c r="A1568" s="5" t="s">
        <v>7473</v>
      </c>
      <c r="B1568" s="6" t="str">
        <f>IMAGE("https://storage.googleapis.com/acdb/housewares/FtrLogTableL_Remake_0_0.png")</f>
        <v/>
      </c>
      <c r="C1568" s="5" t="s">
        <v>1132</v>
      </c>
      <c r="D1568" s="5" t="s">
        <v>1455</v>
      </c>
      <c r="E1568" s="5" t="s">
        <v>44</v>
      </c>
      <c r="F1568" s="5" t="s">
        <v>7477</v>
      </c>
      <c r="G1568" s="5" t="s">
        <v>35</v>
      </c>
      <c r="H1568" s="5" t="s">
        <v>35</v>
      </c>
      <c r="I1568" s="5" t="s">
        <v>35</v>
      </c>
      <c r="J1568" s="6">
        <v>4.0</v>
      </c>
      <c r="K1568" s="6" t="s">
        <v>37</v>
      </c>
      <c r="L1568" s="6">
        <v>1800.0</v>
      </c>
      <c r="M1568" s="8" t="s">
        <v>39</v>
      </c>
      <c r="N1568" s="8" t="s">
        <v>39</v>
      </c>
      <c r="O1568" s="6" t="s">
        <v>214</v>
      </c>
      <c r="P1568" s="5" t="s">
        <v>41</v>
      </c>
      <c r="Q1568" s="5"/>
      <c r="R1568" s="6" t="s">
        <v>42</v>
      </c>
      <c r="S1568" s="5" t="s">
        <v>172</v>
      </c>
      <c r="T1568" s="5" t="s">
        <v>90</v>
      </c>
      <c r="U1568" s="5" t="s">
        <v>1583</v>
      </c>
      <c r="V1568" s="5" t="s">
        <v>44</v>
      </c>
      <c r="W1568" s="5" t="s">
        <v>36</v>
      </c>
      <c r="X1568" s="8" t="s">
        <v>278</v>
      </c>
      <c r="Y1568" s="5" t="s">
        <v>46</v>
      </c>
      <c r="Z1568" s="5" t="s">
        <v>47</v>
      </c>
      <c r="AA1568" s="5" t="s">
        <v>48</v>
      </c>
      <c r="AB1568" s="5" t="s">
        <v>7480</v>
      </c>
      <c r="AC1568" s="6" t="s">
        <v>50</v>
      </c>
      <c r="AD1568" s="6">
        <v>4040.0</v>
      </c>
    </row>
    <row r="1569" ht="56.25" customHeight="1">
      <c r="A1569" s="5" t="s">
        <v>7473</v>
      </c>
      <c r="B1569" s="6" t="str">
        <f>IMAGE("https://storage.googleapis.com/acdb/housewares/FtrLogTableL_Remake_0_1.png")</f>
        <v/>
      </c>
      <c r="C1569" s="5" t="s">
        <v>1132</v>
      </c>
      <c r="D1569" s="5" t="s">
        <v>1455</v>
      </c>
      <c r="E1569" s="5" t="s">
        <v>4331</v>
      </c>
      <c r="F1569" s="5" t="s">
        <v>7477</v>
      </c>
      <c r="G1569" s="5" t="s">
        <v>35</v>
      </c>
      <c r="H1569" s="5" t="s">
        <v>35</v>
      </c>
      <c r="I1569" s="5" t="s">
        <v>35</v>
      </c>
      <c r="J1569" s="6">
        <v>4.0</v>
      </c>
      <c r="K1569" s="6" t="s">
        <v>37</v>
      </c>
      <c r="L1569" s="6">
        <v>1800.0</v>
      </c>
      <c r="M1569" s="8" t="s">
        <v>39</v>
      </c>
      <c r="N1569" s="8" t="s">
        <v>58</v>
      </c>
      <c r="O1569" s="6" t="s">
        <v>214</v>
      </c>
      <c r="P1569" s="5" t="s">
        <v>41</v>
      </c>
      <c r="Q1569" s="5"/>
      <c r="R1569" s="6" t="s">
        <v>42</v>
      </c>
      <c r="S1569" s="5" t="s">
        <v>172</v>
      </c>
      <c r="T1569" s="5" t="s">
        <v>90</v>
      </c>
      <c r="U1569" s="5" t="s">
        <v>1583</v>
      </c>
      <c r="V1569" s="5" t="s">
        <v>44</v>
      </c>
      <c r="W1569" s="5" t="s">
        <v>36</v>
      </c>
      <c r="X1569" s="8" t="s">
        <v>278</v>
      </c>
      <c r="Y1569" s="5" t="s">
        <v>46</v>
      </c>
      <c r="Z1569" s="5" t="s">
        <v>47</v>
      </c>
      <c r="AA1569" s="5" t="s">
        <v>48</v>
      </c>
      <c r="AB1569" s="5" t="s">
        <v>7486</v>
      </c>
      <c r="AC1569" s="6" t="s">
        <v>217</v>
      </c>
      <c r="AD1569" s="6">
        <v>4040.0</v>
      </c>
    </row>
    <row r="1570" ht="56.25" customHeight="1">
      <c r="A1570" s="5" t="s">
        <v>7473</v>
      </c>
      <c r="B1570" s="6" t="str">
        <f>IMAGE("https://storage.googleapis.com/acdb/housewares/FtrLogTableL_Remake_0_2.png")</f>
        <v/>
      </c>
      <c r="C1570" s="5" t="s">
        <v>1132</v>
      </c>
      <c r="D1570" s="5" t="s">
        <v>1455</v>
      </c>
      <c r="E1570" s="5" t="s">
        <v>7241</v>
      </c>
      <c r="F1570" s="5" t="s">
        <v>7477</v>
      </c>
      <c r="G1570" s="5" t="s">
        <v>35</v>
      </c>
      <c r="H1570" s="5" t="s">
        <v>35</v>
      </c>
      <c r="I1570" s="5" t="s">
        <v>35</v>
      </c>
      <c r="J1570" s="6">
        <v>4.0</v>
      </c>
      <c r="K1570" s="6" t="s">
        <v>37</v>
      </c>
      <c r="L1570" s="6">
        <v>1800.0</v>
      </c>
      <c r="M1570" s="8" t="s">
        <v>39</v>
      </c>
      <c r="N1570" s="8" t="s">
        <v>58</v>
      </c>
      <c r="O1570" s="6" t="s">
        <v>214</v>
      </c>
      <c r="P1570" s="5" t="s">
        <v>41</v>
      </c>
      <c r="Q1570" s="5"/>
      <c r="R1570" s="6" t="s">
        <v>42</v>
      </c>
      <c r="S1570" s="5" t="s">
        <v>172</v>
      </c>
      <c r="T1570" s="5" t="s">
        <v>90</v>
      </c>
      <c r="U1570" s="5" t="s">
        <v>1583</v>
      </c>
      <c r="V1570" s="5" t="s">
        <v>44</v>
      </c>
      <c r="W1570" s="5" t="s">
        <v>36</v>
      </c>
      <c r="X1570" s="8" t="s">
        <v>278</v>
      </c>
      <c r="Y1570" s="5" t="s">
        <v>46</v>
      </c>
      <c r="Z1570" s="5" t="s">
        <v>47</v>
      </c>
      <c r="AA1570" s="5" t="s">
        <v>48</v>
      </c>
      <c r="AB1570" s="5" t="s">
        <v>7490</v>
      </c>
      <c r="AC1570" s="6" t="s">
        <v>347</v>
      </c>
      <c r="AD1570" s="6">
        <v>4040.0</v>
      </c>
    </row>
    <row r="1571" ht="56.25" customHeight="1">
      <c r="A1571" s="5" t="s">
        <v>7473</v>
      </c>
      <c r="B1571" s="6" t="str">
        <f>IMAGE("https://storage.googleapis.com/acdb/housewares/FtrLogTableL_Remake_0_3.png")</f>
        <v/>
      </c>
      <c r="C1571" s="5" t="s">
        <v>1132</v>
      </c>
      <c r="D1571" s="5" t="s">
        <v>1455</v>
      </c>
      <c r="E1571" s="5" t="s">
        <v>7247</v>
      </c>
      <c r="F1571" s="5" t="s">
        <v>7477</v>
      </c>
      <c r="G1571" s="5" t="s">
        <v>35</v>
      </c>
      <c r="H1571" s="5" t="s">
        <v>35</v>
      </c>
      <c r="I1571" s="5" t="s">
        <v>35</v>
      </c>
      <c r="J1571" s="6">
        <v>4.0</v>
      </c>
      <c r="K1571" s="6" t="s">
        <v>37</v>
      </c>
      <c r="L1571" s="6">
        <v>1800.0</v>
      </c>
      <c r="M1571" s="8" t="s">
        <v>39</v>
      </c>
      <c r="N1571" s="8" t="s">
        <v>39</v>
      </c>
      <c r="O1571" s="6" t="s">
        <v>214</v>
      </c>
      <c r="P1571" s="5" t="s">
        <v>41</v>
      </c>
      <c r="Q1571" s="5"/>
      <c r="R1571" s="6" t="s">
        <v>42</v>
      </c>
      <c r="S1571" s="5" t="s">
        <v>172</v>
      </c>
      <c r="T1571" s="5" t="s">
        <v>90</v>
      </c>
      <c r="U1571" s="5" t="s">
        <v>1583</v>
      </c>
      <c r="V1571" s="5" t="s">
        <v>44</v>
      </c>
      <c r="W1571" s="5" t="s">
        <v>36</v>
      </c>
      <c r="X1571" s="8" t="s">
        <v>278</v>
      </c>
      <c r="Y1571" s="5" t="s">
        <v>46</v>
      </c>
      <c r="Z1571" s="5" t="s">
        <v>47</v>
      </c>
      <c r="AA1571" s="5" t="s">
        <v>48</v>
      </c>
      <c r="AB1571" s="5" t="s">
        <v>7496</v>
      </c>
      <c r="AC1571" s="6" t="s">
        <v>354</v>
      </c>
      <c r="AD1571" s="6">
        <v>4040.0</v>
      </c>
    </row>
    <row r="1572" ht="56.25" customHeight="1">
      <c r="A1572" s="5" t="s">
        <v>7473</v>
      </c>
      <c r="B1572" s="6" t="str">
        <f>IMAGE("https://storage.googleapis.com/acdb/housewares/FtrLogTableL_Remake_0_4.png")</f>
        <v/>
      </c>
      <c r="C1572" s="5" t="s">
        <v>1132</v>
      </c>
      <c r="D1572" s="5" t="s">
        <v>1455</v>
      </c>
      <c r="E1572" s="5" t="s">
        <v>7252</v>
      </c>
      <c r="F1572" s="5" t="s">
        <v>7477</v>
      </c>
      <c r="G1572" s="5" t="s">
        <v>35</v>
      </c>
      <c r="H1572" s="5" t="s">
        <v>35</v>
      </c>
      <c r="I1572" s="5" t="s">
        <v>35</v>
      </c>
      <c r="J1572" s="6">
        <v>4.0</v>
      </c>
      <c r="K1572" s="6" t="s">
        <v>37</v>
      </c>
      <c r="L1572" s="6">
        <v>1800.0</v>
      </c>
      <c r="M1572" s="8" t="s">
        <v>39</v>
      </c>
      <c r="N1572" s="8" t="s">
        <v>1175</v>
      </c>
      <c r="O1572" s="6" t="s">
        <v>214</v>
      </c>
      <c r="P1572" s="5" t="s">
        <v>41</v>
      </c>
      <c r="Q1572" s="5"/>
      <c r="R1572" s="6" t="s">
        <v>42</v>
      </c>
      <c r="S1572" s="5" t="s">
        <v>172</v>
      </c>
      <c r="T1572" s="5" t="s">
        <v>90</v>
      </c>
      <c r="U1572" s="5" t="s">
        <v>1583</v>
      </c>
      <c r="V1572" s="5" t="s">
        <v>44</v>
      </c>
      <c r="W1572" s="5" t="s">
        <v>36</v>
      </c>
      <c r="X1572" s="8" t="s">
        <v>278</v>
      </c>
      <c r="Y1572" s="5" t="s">
        <v>46</v>
      </c>
      <c r="Z1572" s="5" t="s">
        <v>47</v>
      </c>
      <c r="AA1572" s="5" t="s">
        <v>48</v>
      </c>
      <c r="AB1572" s="5" t="s">
        <v>7501</v>
      </c>
      <c r="AC1572" s="6" t="s">
        <v>486</v>
      </c>
      <c r="AD1572" s="6">
        <v>4040.0</v>
      </c>
    </row>
    <row r="1573" ht="56.25" customHeight="1">
      <c r="A1573" s="5" t="s">
        <v>7473</v>
      </c>
      <c r="B1573" s="6" t="str">
        <f>IMAGE("https://storage.googleapis.com/acdb/housewares/FtrLogTableL_Remake_1_0.png")</f>
        <v/>
      </c>
      <c r="C1573" s="5" t="s">
        <v>1588</v>
      </c>
      <c r="D1573" s="5" t="s">
        <v>1455</v>
      </c>
      <c r="E1573" s="5" t="s">
        <v>44</v>
      </c>
      <c r="F1573" s="5" t="s">
        <v>7477</v>
      </c>
      <c r="G1573" s="5" t="s">
        <v>35</v>
      </c>
      <c r="H1573" s="5" t="s">
        <v>35</v>
      </c>
      <c r="I1573" s="5" t="s">
        <v>35</v>
      </c>
      <c r="J1573" s="6">
        <v>4.0</v>
      </c>
      <c r="K1573" s="6" t="s">
        <v>37</v>
      </c>
      <c r="L1573" s="6">
        <v>1800.0</v>
      </c>
      <c r="M1573" s="8" t="s">
        <v>142</v>
      </c>
      <c r="N1573" s="8" t="s">
        <v>142</v>
      </c>
      <c r="O1573" s="6" t="s">
        <v>214</v>
      </c>
      <c r="P1573" s="5" t="s">
        <v>41</v>
      </c>
      <c r="Q1573" s="5"/>
      <c r="R1573" s="6" t="s">
        <v>42</v>
      </c>
      <c r="S1573" s="5" t="s">
        <v>172</v>
      </c>
      <c r="T1573" s="5" t="s">
        <v>90</v>
      </c>
      <c r="U1573" s="5" t="s">
        <v>1583</v>
      </c>
      <c r="V1573" s="5" t="s">
        <v>44</v>
      </c>
      <c r="W1573" s="5" t="s">
        <v>36</v>
      </c>
      <c r="X1573" s="8" t="s">
        <v>278</v>
      </c>
      <c r="Y1573" s="5" t="s">
        <v>46</v>
      </c>
      <c r="Z1573" s="5" t="s">
        <v>47</v>
      </c>
      <c r="AA1573" s="5" t="s">
        <v>48</v>
      </c>
      <c r="AB1573" s="5" t="s">
        <v>7507</v>
      </c>
      <c r="AC1573" s="6" t="s">
        <v>56</v>
      </c>
      <c r="AD1573" s="6">
        <v>4040.0</v>
      </c>
    </row>
    <row r="1574" ht="56.25" customHeight="1">
      <c r="A1574" s="5" t="s">
        <v>7473</v>
      </c>
      <c r="B1574" s="6" t="str">
        <f>IMAGE("https://storage.googleapis.com/acdb/housewares/FtrLogTableL_Remake_1_1.png")</f>
        <v/>
      </c>
      <c r="C1574" s="5" t="s">
        <v>1588</v>
      </c>
      <c r="D1574" s="5" t="s">
        <v>1455</v>
      </c>
      <c r="E1574" s="5" t="s">
        <v>4331</v>
      </c>
      <c r="F1574" s="5" t="s">
        <v>7477</v>
      </c>
      <c r="G1574" s="5" t="s">
        <v>35</v>
      </c>
      <c r="H1574" s="5" t="s">
        <v>35</v>
      </c>
      <c r="I1574" s="5" t="s">
        <v>35</v>
      </c>
      <c r="J1574" s="6">
        <v>4.0</v>
      </c>
      <c r="K1574" s="6" t="s">
        <v>37</v>
      </c>
      <c r="L1574" s="6">
        <v>1800.0</v>
      </c>
      <c r="M1574" s="8" t="s">
        <v>142</v>
      </c>
      <c r="N1574" s="8" t="s">
        <v>58</v>
      </c>
      <c r="O1574" s="6" t="s">
        <v>214</v>
      </c>
      <c r="P1574" s="5" t="s">
        <v>41</v>
      </c>
      <c r="Q1574" s="5"/>
      <c r="R1574" s="6" t="s">
        <v>42</v>
      </c>
      <c r="S1574" s="5" t="s">
        <v>172</v>
      </c>
      <c r="T1574" s="5" t="s">
        <v>90</v>
      </c>
      <c r="U1574" s="5" t="s">
        <v>1583</v>
      </c>
      <c r="V1574" s="5" t="s">
        <v>44</v>
      </c>
      <c r="W1574" s="5" t="s">
        <v>36</v>
      </c>
      <c r="X1574" s="8" t="s">
        <v>278</v>
      </c>
      <c r="Y1574" s="5" t="s">
        <v>46</v>
      </c>
      <c r="Z1574" s="5" t="s">
        <v>47</v>
      </c>
      <c r="AA1574" s="5" t="s">
        <v>48</v>
      </c>
      <c r="AB1574" s="5" t="s">
        <v>7516</v>
      </c>
      <c r="AC1574" s="6" t="s">
        <v>234</v>
      </c>
      <c r="AD1574" s="6">
        <v>4040.0</v>
      </c>
    </row>
    <row r="1575" ht="56.25" customHeight="1">
      <c r="A1575" s="5" t="s">
        <v>7473</v>
      </c>
      <c r="B1575" s="6" t="str">
        <f>IMAGE("https://storage.googleapis.com/acdb/housewares/FtrLogTableL_Remake_1_2.png")</f>
        <v/>
      </c>
      <c r="C1575" s="5" t="s">
        <v>1588</v>
      </c>
      <c r="D1575" s="5" t="s">
        <v>1455</v>
      </c>
      <c r="E1575" s="5" t="s">
        <v>7241</v>
      </c>
      <c r="F1575" s="5" t="s">
        <v>7477</v>
      </c>
      <c r="G1575" s="5" t="s">
        <v>35</v>
      </c>
      <c r="H1575" s="5" t="s">
        <v>35</v>
      </c>
      <c r="I1575" s="5" t="s">
        <v>35</v>
      </c>
      <c r="J1575" s="6">
        <v>4.0</v>
      </c>
      <c r="K1575" s="6" t="s">
        <v>37</v>
      </c>
      <c r="L1575" s="6">
        <v>1800.0</v>
      </c>
      <c r="M1575" s="8" t="s">
        <v>142</v>
      </c>
      <c r="N1575" s="8" t="s">
        <v>58</v>
      </c>
      <c r="O1575" s="6" t="s">
        <v>214</v>
      </c>
      <c r="P1575" s="5" t="s">
        <v>41</v>
      </c>
      <c r="Q1575" s="5"/>
      <c r="R1575" s="6" t="s">
        <v>42</v>
      </c>
      <c r="S1575" s="5" t="s">
        <v>172</v>
      </c>
      <c r="T1575" s="5" t="s">
        <v>90</v>
      </c>
      <c r="U1575" s="5" t="s">
        <v>1583</v>
      </c>
      <c r="V1575" s="5" t="s">
        <v>44</v>
      </c>
      <c r="W1575" s="5" t="s">
        <v>36</v>
      </c>
      <c r="X1575" s="8" t="s">
        <v>278</v>
      </c>
      <c r="Y1575" s="5" t="s">
        <v>46</v>
      </c>
      <c r="Z1575" s="5" t="s">
        <v>47</v>
      </c>
      <c r="AA1575" s="5" t="s">
        <v>48</v>
      </c>
      <c r="AB1575" s="5" t="s">
        <v>7523</v>
      </c>
      <c r="AC1575" s="6" t="s">
        <v>370</v>
      </c>
      <c r="AD1575" s="6">
        <v>4040.0</v>
      </c>
    </row>
    <row r="1576" ht="56.25" customHeight="1">
      <c r="A1576" s="5" t="s">
        <v>7473</v>
      </c>
      <c r="B1576" s="6" t="str">
        <f>IMAGE("https://storage.googleapis.com/acdb/housewares/FtrLogTableL_Remake_1_3.png")</f>
        <v/>
      </c>
      <c r="C1576" s="5" t="s">
        <v>1588</v>
      </c>
      <c r="D1576" s="5" t="s">
        <v>1455</v>
      </c>
      <c r="E1576" s="5" t="s">
        <v>7247</v>
      </c>
      <c r="F1576" s="5" t="s">
        <v>7477</v>
      </c>
      <c r="G1576" s="5" t="s">
        <v>35</v>
      </c>
      <c r="H1576" s="5" t="s">
        <v>35</v>
      </c>
      <c r="I1576" s="5" t="s">
        <v>35</v>
      </c>
      <c r="J1576" s="6">
        <v>4.0</v>
      </c>
      <c r="K1576" s="6" t="s">
        <v>37</v>
      </c>
      <c r="L1576" s="6">
        <v>1800.0</v>
      </c>
      <c r="M1576" s="8" t="s">
        <v>142</v>
      </c>
      <c r="N1576" s="8" t="s">
        <v>39</v>
      </c>
      <c r="O1576" s="6" t="s">
        <v>214</v>
      </c>
      <c r="P1576" s="5" t="s">
        <v>41</v>
      </c>
      <c r="Q1576" s="5"/>
      <c r="R1576" s="6" t="s">
        <v>42</v>
      </c>
      <c r="S1576" s="5" t="s">
        <v>172</v>
      </c>
      <c r="T1576" s="5" t="s">
        <v>90</v>
      </c>
      <c r="U1576" s="5" t="s">
        <v>1583</v>
      </c>
      <c r="V1576" s="5" t="s">
        <v>44</v>
      </c>
      <c r="W1576" s="5" t="s">
        <v>36</v>
      </c>
      <c r="X1576" s="8" t="s">
        <v>278</v>
      </c>
      <c r="Y1576" s="5" t="s">
        <v>46</v>
      </c>
      <c r="Z1576" s="5" t="s">
        <v>47</v>
      </c>
      <c r="AA1576" s="5" t="s">
        <v>48</v>
      </c>
      <c r="AB1576" s="5" t="s">
        <v>7530</v>
      </c>
      <c r="AC1576" s="6" t="s">
        <v>377</v>
      </c>
      <c r="AD1576" s="6">
        <v>4040.0</v>
      </c>
    </row>
    <row r="1577" ht="56.25" customHeight="1">
      <c r="A1577" s="5" t="s">
        <v>7473</v>
      </c>
      <c r="B1577" s="6" t="str">
        <f>IMAGE("https://storage.googleapis.com/acdb/housewares/FtrLogTableL_Remake_1_4.png")</f>
        <v/>
      </c>
      <c r="C1577" s="5" t="s">
        <v>1588</v>
      </c>
      <c r="D1577" s="5" t="s">
        <v>1455</v>
      </c>
      <c r="E1577" s="5" t="s">
        <v>7252</v>
      </c>
      <c r="F1577" s="5" t="s">
        <v>7477</v>
      </c>
      <c r="G1577" s="5" t="s">
        <v>35</v>
      </c>
      <c r="H1577" s="5" t="s">
        <v>35</v>
      </c>
      <c r="I1577" s="5" t="s">
        <v>35</v>
      </c>
      <c r="J1577" s="6">
        <v>4.0</v>
      </c>
      <c r="K1577" s="6" t="s">
        <v>37</v>
      </c>
      <c r="L1577" s="6">
        <v>1800.0</v>
      </c>
      <c r="M1577" s="8" t="s">
        <v>142</v>
      </c>
      <c r="N1577" s="8" t="s">
        <v>1175</v>
      </c>
      <c r="O1577" s="6" t="s">
        <v>214</v>
      </c>
      <c r="P1577" s="5" t="s">
        <v>41</v>
      </c>
      <c r="Q1577" s="5"/>
      <c r="R1577" s="6" t="s">
        <v>42</v>
      </c>
      <c r="S1577" s="5" t="s">
        <v>172</v>
      </c>
      <c r="T1577" s="5" t="s">
        <v>90</v>
      </c>
      <c r="U1577" s="5" t="s">
        <v>1583</v>
      </c>
      <c r="V1577" s="5" t="s">
        <v>44</v>
      </c>
      <c r="W1577" s="5" t="s">
        <v>36</v>
      </c>
      <c r="X1577" s="8" t="s">
        <v>278</v>
      </c>
      <c r="Y1577" s="5" t="s">
        <v>46</v>
      </c>
      <c r="Z1577" s="5" t="s">
        <v>47</v>
      </c>
      <c r="AA1577" s="5" t="s">
        <v>48</v>
      </c>
      <c r="AB1577" s="5" t="s">
        <v>7534</v>
      </c>
      <c r="AC1577" s="6" t="s">
        <v>520</v>
      </c>
      <c r="AD1577" s="6">
        <v>4040.0</v>
      </c>
    </row>
    <row r="1578" ht="56.25" customHeight="1">
      <c r="A1578" s="5" t="s">
        <v>7473</v>
      </c>
      <c r="B1578" s="6" t="str">
        <f>IMAGE("https://storage.googleapis.com/acdb/housewares/FtrLogTableL_Remake_2_0.png")</f>
        <v/>
      </c>
      <c r="C1578" s="5" t="s">
        <v>1595</v>
      </c>
      <c r="D1578" s="5" t="s">
        <v>1455</v>
      </c>
      <c r="E1578" s="5" t="s">
        <v>44</v>
      </c>
      <c r="F1578" s="5" t="s">
        <v>7477</v>
      </c>
      <c r="G1578" s="5" t="s">
        <v>35</v>
      </c>
      <c r="H1578" s="5" t="s">
        <v>35</v>
      </c>
      <c r="I1578" s="5" t="s">
        <v>35</v>
      </c>
      <c r="J1578" s="6">
        <v>4.0</v>
      </c>
      <c r="K1578" s="6" t="s">
        <v>37</v>
      </c>
      <c r="L1578" s="6">
        <v>1800.0</v>
      </c>
      <c r="M1578" s="8" t="s">
        <v>38</v>
      </c>
      <c r="N1578" s="8" t="s">
        <v>38</v>
      </c>
      <c r="O1578" s="6" t="s">
        <v>214</v>
      </c>
      <c r="P1578" s="5" t="s">
        <v>41</v>
      </c>
      <c r="Q1578" s="5"/>
      <c r="R1578" s="6" t="s">
        <v>42</v>
      </c>
      <c r="S1578" s="5" t="s">
        <v>172</v>
      </c>
      <c r="T1578" s="5" t="s">
        <v>90</v>
      </c>
      <c r="U1578" s="5" t="s">
        <v>1583</v>
      </c>
      <c r="V1578" s="5" t="s">
        <v>44</v>
      </c>
      <c r="W1578" s="5" t="s">
        <v>36</v>
      </c>
      <c r="X1578" s="8" t="s">
        <v>278</v>
      </c>
      <c r="Y1578" s="5" t="s">
        <v>46</v>
      </c>
      <c r="Z1578" s="5" t="s">
        <v>47</v>
      </c>
      <c r="AA1578" s="5" t="s">
        <v>48</v>
      </c>
      <c r="AB1578" s="5" t="s">
        <v>7540</v>
      </c>
      <c r="AC1578" s="6" t="s">
        <v>67</v>
      </c>
      <c r="AD1578" s="6">
        <v>4040.0</v>
      </c>
    </row>
    <row r="1579" ht="56.25" customHeight="1">
      <c r="A1579" s="5" t="s">
        <v>7473</v>
      </c>
      <c r="B1579" s="6" t="str">
        <f>IMAGE("https://storage.googleapis.com/acdb/housewares/FtrLogTableL_Remake_2_1.png")</f>
        <v/>
      </c>
      <c r="C1579" s="5" t="s">
        <v>1595</v>
      </c>
      <c r="D1579" s="5" t="s">
        <v>1455</v>
      </c>
      <c r="E1579" s="5" t="s">
        <v>4331</v>
      </c>
      <c r="F1579" s="5" t="s">
        <v>7477</v>
      </c>
      <c r="G1579" s="5" t="s">
        <v>35</v>
      </c>
      <c r="H1579" s="5" t="s">
        <v>35</v>
      </c>
      <c r="I1579" s="5" t="s">
        <v>35</v>
      </c>
      <c r="J1579" s="6">
        <v>4.0</v>
      </c>
      <c r="K1579" s="6" t="s">
        <v>37</v>
      </c>
      <c r="L1579" s="6">
        <v>1800.0</v>
      </c>
      <c r="M1579" s="8" t="s">
        <v>38</v>
      </c>
      <c r="N1579" s="8" t="s">
        <v>58</v>
      </c>
      <c r="O1579" s="6" t="s">
        <v>214</v>
      </c>
      <c r="P1579" s="5" t="s">
        <v>41</v>
      </c>
      <c r="Q1579" s="5"/>
      <c r="R1579" s="6" t="s">
        <v>42</v>
      </c>
      <c r="S1579" s="5" t="s">
        <v>172</v>
      </c>
      <c r="T1579" s="5" t="s">
        <v>90</v>
      </c>
      <c r="U1579" s="5" t="s">
        <v>1583</v>
      </c>
      <c r="V1579" s="5" t="s">
        <v>44</v>
      </c>
      <c r="W1579" s="5" t="s">
        <v>36</v>
      </c>
      <c r="X1579" s="8" t="s">
        <v>278</v>
      </c>
      <c r="Y1579" s="5" t="s">
        <v>46</v>
      </c>
      <c r="Z1579" s="5" t="s">
        <v>47</v>
      </c>
      <c r="AA1579" s="5" t="s">
        <v>48</v>
      </c>
      <c r="AB1579" s="5" t="s">
        <v>7546</v>
      </c>
      <c r="AC1579" s="6" t="s">
        <v>247</v>
      </c>
      <c r="AD1579" s="6">
        <v>4040.0</v>
      </c>
    </row>
    <row r="1580" ht="56.25" customHeight="1">
      <c r="A1580" s="5" t="s">
        <v>7473</v>
      </c>
      <c r="B1580" s="6" t="str">
        <f>IMAGE("https://storage.googleapis.com/acdb/housewares/FtrLogTableL_Remake_2_2.png")</f>
        <v/>
      </c>
      <c r="C1580" s="5" t="s">
        <v>1595</v>
      </c>
      <c r="D1580" s="5" t="s">
        <v>1455</v>
      </c>
      <c r="E1580" s="5" t="s">
        <v>7241</v>
      </c>
      <c r="F1580" s="5" t="s">
        <v>7477</v>
      </c>
      <c r="G1580" s="5" t="s">
        <v>35</v>
      </c>
      <c r="H1580" s="5" t="s">
        <v>35</v>
      </c>
      <c r="I1580" s="5" t="s">
        <v>35</v>
      </c>
      <c r="J1580" s="6">
        <v>4.0</v>
      </c>
      <c r="K1580" s="6" t="s">
        <v>37</v>
      </c>
      <c r="L1580" s="6">
        <v>1800.0</v>
      </c>
      <c r="M1580" s="8" t="s">
        <v>38</v>
      </c>
      <c r="N1580" s="8" t="s">
        <v>58</v>
      </c>
      <c r="O1580" s="6" t="s">
        <v>214</v>
      </c>
      <c r="P1580" s="5" t="s">
        <v>41</v>
      </c>
      <c r="Q1580" s="5"/>
      <c r="R1580" s="6" t="s">
        <v>42</v>
      </c>
      <c r="S1580" s="5" t="s">
        <v>172</v>
      </c>
      <c r="T1580" s="5" t="s">
        <v>90</v>
      </c>
      <c r="U1580" s="5" t="s">
        <v>1583</v>
      </c>
      <c r="V1580" s="5" t="s">
        <v>44</v>
      </c>
      <c r="W1580" s="5" t="s">
        <v>36</v>
      </c>
      <c r="X1580" s="8" t="s">
        <v>278</v>
      </c>
      <c r="Y1580" s="5" t="s">
        <v>46</v>
      </c>
      <c r="Z1580" s="5" t="s">
        <v>47</v>
      </c>
      <c r="AA1580" s="5" t="s">
        <v>48</v>
      </c>
      <c r="AB1580" s="5" t="s">
        <v>7552</v>
      </c>
      <c r="AC1580" s="6" t="s">
        <v>390</v>
      </c>
      <c r="AD1580" s="6">
        <v>4040.0</v>
      </c>
    </row>
    <row r="1581" ht="56.25" customHeight="1">
      <c r="A1581" s="5" t="s">
        <v>7473</v>
      </c>
      <c r="B1581" s="6" t="str">
        <f>IMAGE("https://storage.googleapis.com/acdb/housewares/FtrLogTableL_Remake_2_3.png")</f>
        <v/>
      </c>
      <c r="C1581" s="5" t="s">
        <v>1595</v>
      </c>
      <c r="D1581" s="5" t="s">
        <v>1455</v>
      </c>
      <c r="E1581" s="5" t="s">
        <v>7247</v>
      </c>
      <c r="F1581" s="5" t="s">
        <v>7477</v>
      </c>
      <c r="G1581" s="5" t="s">
        <v>35</v>
      </c>
      <c r="H1581" s="5" t="s">
        <v>35</v>
      </c>
      <c r="I1581" s="5" t="s">
        <v>35</v>
      </c>
      <c r="J1581" s="6">
        <v>4.0</v>
      </c>
      <c r="K1581" s="6" t="s">
        <v>37</v>
      </c>
      <c r="L1581" s="6">
        <v>1800.0</v>
      </c>
      <c r="M1581" s="8" t="s">
        <v>38</v>
      </c>
      <c r="N1581" s="8" t="s">
        <v>39</v>
      </c>
      <c r="O1581" s="6" t="s">
        <v>214</v>
      </c>
      <c r="P1581" s="5" t="s">
        <v>41</v>
      </c>
      <c r="Q1581" s="5"/>
      <c r="R1581" s="6" t="s">
        <v>42</v>
      </c>
      <c r="S1581" s="5" t="s">
        <v>172</v>
      </c>
      <c r="T1581" s="5" t="s">
        <v>90</v>
      </c>
      <c r="U1581" s="5" t="s">
        <v>1583</v>
      </c>
      <c r="V1581" s="5" t="s">
        <v>44</v>
      </c>
      <c r="W1581" s="5" t="s">
        <v>36</v>
      </c>
      <c r="X1581" s="8" t="s">
        <v>278</v>
      </c>
      <c r="Y1581" s="5" t="s">
        <v>46</v>
      </c>
      <c r="Z1581" s="5" t="s">
        <v>47</v>
      </c>
      <c r="AA1581" s="5" t="s">
        <v>48</v>
      </c>
      <c r="AB1581" s="5" t="s">
        <v>7556</v>
      </c>
      <c r="AC1581" s="6" t="s">
        <v>396</v>
      </c>
      <c r="AD1581" s="6">
        <v>4040.0</v>
      </c>
    </row>
    <row r="1582" ht="56.25" customHeight="1">
      <c r="A1582" s="5" t="s">
        <v>7473</v>
      </c>
      <c r="B1582" s="6" t="str">
        <f>IMAGE("https://storage.googleapis.com/acdb/housewares/FtrLogTableL_Remake_2_4.png")</f>
        <v/>
      </c>
      <c r="C1582" s="5" t="s">
        <v>1595</v>
      </c>
      <c r="D1582" s="5" t="s">
        <v>1455</v>
      </c>
      <c r="E1582" s="5" t="s">
        <v>7252</v>
      </c>
      <c r="F1582" s="5" t="s">
        <v>7477</v>
      </c>
      <c r="G1582" s="5" t="s">
        <v>35</v>
      </c>
      <c r="H1582" s="5" t="s">
        <v>35</v>
      </c>
      <c r="I1582" s="5" t="s">
        <v>35</v>
      </c>
      <c r="J1582" s="6">
        <v>4.0</v>
      </c>
      <c r="K1582" s="6" t="s">
        <v>37</v>
      </c>
      <c r="L1582" s="6">
        <v>1800.0</v>
      </c>
      <c r="M1582" s="8" t="s">
        <v>38</v>
      </c>
      <c r="N1582" s="8" t="s">
        <v>1175</v>
      </c>
      <c r="O1582" s="6" t="s">
        <v>214</v>
      </c>
      <c r="P1582" s="5" t="s">
        <v>41</v>
      </c>
      <c r="Q1582" s="5"/>
      <c r="R1582" s="6" t="s">
        <v>42</v>
      </c>
      <c r="S1582" s="5" t="s">
        <v>172</v>
      </c>
      <c r="T1582" s="5" t="s">
        <v>90</v>
      </c>
      <c r="U1582" s="5" t="s">
        <v>1583</v>
      </c>
      <c r="V1582" s="5" t="s">
        <v>44</v>
      </c>
      <c r="W1582" s="5" t="s">
        <v>36</v>
      </c>
      <c r="X1582" s="8" t="s">
        <v>278</v>
      </c>
      <c r="Y1582" s="5" t="s">
        <v>46</v>
      </c>
      <c r="Z1582" s="5" t="s">
        <v>47</v>
      </c>
      <c r="AA1582" s="5" t="s">
        <v>48</v>
      </c>
      <c r="AB1582" s="5" t="s">
        <v>7562</v>
      </c>
      <c r="AC1582" s="6" t="s">
        <v>541</v>
      </c>
      <c r="AD1582" s="6">
        <v>4040.0</v>
      </c>
    </row>
    <row r="1583" ht="56.25" customHeight="1">
      <c r="A1583" s="5" t="s">
        <v>7473</v>
      </c>
      <c r="B1583" s="6" t="str">
        <f>IMAGE("https://storage.googleapis.com/acdb/housewares/FtrLogTableL_Remake_3_0.png")</f>
        <v/>
      </c>
      <c r="C1583" s="5" t="s">
        <v>1600</v>
      </c>
      <c r="D1583" s="5" t="s">
        <v>1455</v>
      </c>
      <c r="E1583" s="5" t="s">
        <v>44</v>
      </c>
      <c r="F1583" s="5" t="s">
        <v>7477</v>
      </c>
      <c r="G1583" s="5" t="s">
        <v>35</v>
      </c>
      <c r="H1583" s="5" t="s">
        <v>35</v>
      </c>
      <c r="I1583" s="5" t="s">
        <v>35</v>
      </c>
      <c r="J1583" s="6">
        <v>4.0</v>
      </c>
      <c r="K1583" s="6" t="s">
        <v>37</v>
      </c>
      <c r="L1583" s="6">
        <v>1800.0</v>
      </c>
      <c r="M1583" s="8" t="s">
        <v>57</v>
      </c>
      <c r="N1583" s="8" t="s">
        <v>57</v>
      </c>
      <c r="O1583" s="6" t="s">
        <v>214</v>
      </c>
      <c r="P1583" s="5" t="s">
        <v>41</v>
      </c>
      <c r="Q1583" s="5"/>
      <c r="R1583" s="6" t="s">
        <v>42</v>
      </c>
      <c r="S1583" s="5" t="s">
        <v>172</v>
      </c>
      <c r="T1583" s="5" t="s">
        <v>90</v>
      </c>
      <c r="U1583" s="5" t="s">
        <v>1583</v>
      </c>
      <c r="V1583" s="5" t="s">
        <v>44</v>
      </c>
      <c r="W1583" s="5" t="s">
        <v>36</v>
      </c>
      <c r="X1583" s="8" t="s">
        <v>278</v>
      </c>
      <c r="Y1583" s="5" t="s">
        <v>46</v>
      </c>
      <c r="Z1583" s="5" t="s">
        <v>47</v>
      </c>
      <c r="AA1583" s="5" t="s">
        <v>48</v>
      </c>
      <c r="AB1583" s="5" t="s">
        <v>7570</v>
      </c>
      <c r="AC1583" s="6" t="s">
        <v>71</v>
      </c>
      <c r="AD1583" s="6">
        <v>4040.0</v>
      </c>
    </row>
    <row r="1584" ht="56.25" customHeight="1">
      <c r="A1584" s="5" t="s">
        <v>7473</v>
      </c>
      <c r="B1584" s="6" t="str">
        <f>IMAGE("https://storage.googleapis.com/acdb/housewares/FtrLogTableL_Remake_3_1.png")</f>
        <v/>
      </c>
      <c r="C1584" s="5" t="s">
        <v>1600</v>
      </c>
      <c r="D1584" s="5" t="s">
        <v>34</v>
      </c>
      <c r="E1584" s="5" t="s">
        <v>4331</v>
      </c>
      <c r="F1584" s="5" t="s">
        <v>7477</v>
      </c>
      <c r="G1584" s="5" t="s">
        <v>35</v>
      </c>
      <c r="H1584" s="5" t="s">
        <v>36</v>
      </c>
      <c r="I1584" s="5" t="s">
        <v>35</v>
      </c>
      <c r="J1584" s="6">
        <v>4.0</v>
      </c>
      <c r="K1584" s="6" t="s">
        <v>37</v>
      </c>
      <c r="L1584" s="6">
        <v>1800.0</v>
      </c>
      <c r="M1584" s="8" t="s">
        <v>57</v>
      </c>
      <c r="N1584" s="8" t="s">
        <v>58</v>
      </c>
      <c r="O1584" s="6" t="s">
        <v>214</v>
      </c>
      <c r="P1584" s="5" t="s">
        <v>41</v>
      </c>
      <c r="Q1584" s="5"/>
      <c r="R1584" s="6" t="s">
        <v>42</v>
      </c>
      <c r="S1584" s="5" t="s">
        <v>172</v>
      </c>
      <c r="T1584" s="5" t="s">
        <v>90</v>
      </c>
      <c r="U1584" s="5" t="s">
        <v>1583</v>
      </c>
      <c r="V1584" s="5" t="s">
        <v>44</v>
      </c>
      <c r="W1584" s="5" t="s">
        <v>36</v>
      </c>
      <c r="X1584" s="8" t="s">
        <v>278</v>
      </c>
      <c r="Y1584" s="5" t="s">
        <v>46</v>
      </c>
      <c r="Z1584" s="5" t="s">
        <v>47</v>
      </c>
      <c r="AA1584" s="5" t="s">
        <v>48</v>
      </c>
      <c r="AB1584" s="5" t="s">
        <v>7574</v>
      </c>
      <c r="AC1584" s="6" t="s">
        <v>257</v>
      </c>
      <c r="AD1584" s="6">
        <v>4040.0</v>
      </c>
    </row>
    <row r="1585" ht="56.25" customHeight="1">
      <c r="A1585" s="5" t="s">
        <v>7473</v>
      </c>
      <c r="B1585" s="6" t="str">
        <f>IMAGE("https://storage.googleapis.com/acdb/housewares/FtrLogTableL_Remake_3_2.png")</f>
        <v/>
      </c>
      <c r="C1585" s="5" t="s">
        <v>1600</v>
      </c>
      <c r="D1585" s="5" t="s">
        <v>34</v>
      </c>
      <c r="E1585" s="5" t="s">
        <v>7241</v>
      </c>
      <c r="F1585" s="5" t="s">
        <v>7477</v>
      </c>
      <c r="G1585" s="5" t="s">
        <v>35</v>
      </c>
      <c r="H1585" s="5" t="s">
        <v>36</v>
      </c>
      <c r="I1585" s="5" t="s">
        <v>35</v>
      </c>
      <c r="J1585" s="6">
        <v>4.0</v>
      </c>
      <c r="K1585" s="6" t="s">
        <v>37</v>
      </c>
      <c r="L1585" s="6">
        <v>1800.0</v>
      </c>
      <c r="M1585" s="8" t="s">
        <v>57</v>
      </c>
      <c r="N1585" s="8" t="s">
        <v>58</v>
      </c>
      <c r="O1585" s="6" t="s">
        <v>214</v>
      </c>
      <c r="P1585" s="5" t="s">
        <v>41</v>
      </c>
      <c r="Q1585" s="5"/>
      <c r="R1585" s="6" t="s">
        <v>42</v>
      </c>
      <c r="S1585" s="5" t="s">
        <v>172</v>
      </c>
      <c r="T1585" s="5" t="s">
        <v>90</v>
      </c>
      <c r="U1585" s="5" t="s">
        <v>1583</v>
      </c>
      <c r="V1585" s="5" t="s">
        <v>44</v>
      </c>
      <c r="W1585" s="5" t="s">
        <v>36</v>
      </c>
      <c r="X1585" s="8" t="s">
        <v>278</v>
      </c>
      <c r="Y1585" s="5" t="s">
        <v>46</v>
      </c>
      <c r="Z1585" s="5" t="s">
        <v>47</v>
      </c>
      <c r="AA1585" s="5" t="s">
        <v>48</v>
      </c>
      <c r="AB1585" s="5" t="s">
        <v>7580</v>
      </c>
      <c r="AC1585" s="6" t="s">
        <v>414</v>
      </c>
      <c r="AD1585" s="6">
        <v>4040.0</v>
      </c>
    </row>
    <row r="1586" ht="56.25" customHeight="1">
      <c r="A1586" s="5" t="s">
        <v>7473</v>
      </c>
      <c r="B1586" s="6" t="str">
        <f>IMAGE("https://storage.googleapis.com/acdb/housewares/FtrLogTableL_Remake_3_3.png")</f>
        <v/>
      </c>
      <c r="C1586" s="5" t="s">
        <v>1600</v>
      </c>
      <c r="D1586" s="5" t="s">
        <v>34</v>
      </c>
      <c r="E1586" s="5" t="s">
        <v>7247</v>
      </c>
      <c r="F1586" s="5" t="s">
        <v>7477</v>
      </c>
      <c r="G1586" s="5" t="s">
        <v>35</v>
      </c>
      <c r="H1586" s="5" t="s">
        <v>36</v>
      </c>
      <c r="I1586" s="5" t="s">
        <v>35</v>
      </c>
      <c r="J1586" s="6">
        <v>4.0</v>
      </c>
      <c r="K1586" s="6" t="s">
        <v>37</v>
      </c>
      <c r="L1586" s="6">
        <v>1800.0</v>
      </c>
      <c r="M1586" s="8" t="s">
        <v>57</v>
      </c>
      <c r="N1586" s="8" t="s">
        <v>39</v>
      </c>
      <c r="O1586" s="6" t="s">
        <v>214</v>
      </c>
      <c r="P1586" s="5" t="s">
        <v>41</v>
      </c>
      <c r="Q1586" s="5"/>
      <c r="R1586" s="6" t="s">
        <v>42</v>
      </c>
      <c r="S1586" s="5" t="s">
        <v>172</v>
      </c>
      <c r="T1586" s="5" t="s">
        <v>90</v>
      </c>
      <c r="U1586" s="5" t="s">
        <v>1583</v>
      </c>
      <c r="V1586" s="5" t="s">
        <v>44</v>
      </c>
      <c r="W1586" s="5" t="s">
        <v>36</v>
      </c>
      <c r="X1586" s="8" t="s">
        <v>278</v>
      </c>
      <c r="Y1586" s="5" t="s">
        <v>46</v>
      </c>
      <c r="Z1586" s="5" t="s">
        <v>47</v>
      </c>
      <c r="AA1586" s="5" t="s">
        <v>48</v>
      </c>
      <c r="AB1586" s="5" t="s">
        <v>7588</v>
      </c>
      <c r="AC1586" s="6" t="s">
        <v>418</v>
      </c>
      <c r="AD1586" s="6">
        <v>4040.0</v>
      </c>
    </row>
    <row r="1587" ht="56.25" customHeight="1">
      <c r="A1587" s="5" t="s">
        <v>7473</v>
      </c>
      <c r="B1587" s="6" t="str">
        <f>IMAGE("https://storage.googleapis.com/acdb/housewares/FtrLogTableL_Remake_3_4.png")</f>
        <v/>
      </c>
      <c r="C1587" s="5" t="s">
        <v>1600</v>
      </c>
      <c r="D1587" s="5" t="s">
        <v>34</v>
      </c>
      <c r="E1587" s="5" t="s">
        <v>7252</v>
      </c>
      <c r="F1587" s="5" t="s">
        <v>7477</v>
      </c>
      <c r="G1587" s="5" t="s">
        <v>35</v>
      </c>
      <c r="H1587" s="5" t="s">
        <v>36</v>
      </c>
      <c r="I1587" s="5" t="s">
        <v>35</v>
      </c>
      <c r="J1587" s="6">
        <v>4.0</v>
      </c>
      <c r="K1587" s="6" t="s">
        <v>37</v>
      </c>
      <c r="L1587" s="6">
        <v>1800.0</v>
      </c>
      <c r="M1587" s="8" t="s">
        <v>57</v>
      </c>
      <c r="N1587" s="8" t="s">
        <v>1175</v>
      </c>
      <c r="O1587" s="6" t="s">
        <v>214</v>
      </c>
      <c r="P1587" s="5" t="s">
        <v>41</v>
      </c>
      <c r="Q1587" s="5"/>
      <c r="R1587" s="6" t="s">
        <v>42</v>
      </c>
      <c r="S1587" s="5" t="s">
        <v>172</v>
      </c>
      <c r="T1587" s="5" t="s">
        <v>90</v>
      </c>
      <c r="U1587" s="5" t="s">
        <v>1583</v>
      </c>
      <c r="V1587" s="5" t="s">
        <v>44</v>
      </c>
      <c r="W1587" s="5" t="s">
        <v>36</v>
      </c>
      <c r="X1587" s="8" t="s">
        <v>278</v>
      </c>
      <c r="Y1587" s="5" t="s">
        <v>46</v>
      </c>
      <c r="Z1587" s="5" t="s">
        <v>47</v>
      </c>
      <c r="AA1587" s="5" t="s">
        <v>48</v>
      </c>
      <c r="AB1587" s="5" t="s">
        <v>7593</v>
      </c>
      <c r="AC1587" s="6" t="s">
        <v>563</v>
      </c>
      <c r="AD1587" s="6">
        <v>4040.0</v>
      </c>
    </row>
    <row r="1588" ht="56.25" customHeight="1">
      <c r="A1588" s="5" t="s">
        <v>7597</v>
      </c>
      <c r="B1588" s="6" t="str">
        <f>IMAGE("https://storage.googleapis.com/acdb/housewares/FtrLogSofaL_Remake_0_0.png")</f>
        <v/>
      </c>
      <c r="C1588" s="5" t="s">
        <v>1132</v>
      </c>
      <c r="D1588" s="5" t="s">
        <v>1455</v>
      </c>
      <c r="E1588" s="5" t="s">
        <v>44</v>
      </c>
      <c r="F1588" s="5" t="s">
        <v>7599</v>
      </c>
      <c r="G1588" s="5" t="s">
        <v>35</v>
      </c>
      <c r="H1588" s="5" t="s">
        <v>35</v>
      </c>
      <c r="I1588" s="5" t="s">
        <v>35</v>
      </c>
      <c r="J1588" s="6">
        <v>4.0</v>
      </c>
      <c r="K1588" s="6" t="s">
        <v>37</v>
      </c>
      <c r="L1588" s="6">
        <v>1920.0</v>
      </c>
      <c r="M1588" s="8" t="s">
        <v>39</v>
      </c>
      <c r="N1588" s="8" t="s">
        <v>39</v>
      </c>
      <c r="O1588" s="6" t="s">
        <v>276</v>
      </c>
      <c r="P1588" s="5" t="s">
        <v>41</v>
      </c>
      <c r="Q1588" s="5"/>
      <c r="R1588" s="6" t="s">
        <v>42</v>
      </c>
      <c r="S1588" s="5" t="s">
        <v>172</v>
      </c>
      <c r="T1588" s="5" t="s">
        <v>90</v>
      </c>
      <c r="U1588" s="5" t="s">
        <v>1583</v>
      </c>
      <c r="V1588" s="5" t="s">
        <v>44</v>
      </c>
      <c r="W1588" s="5" t="s">
        <v>35</v>
      </c>
      <c r="X1588" s="8" t="s">
        <v>671</v>
      </c>
      <c r="Y1588" s="5" t="s">
        <v>46</v>
      </c>
      <c r="Z1588" s="5" t="s">
        <v>47</v>
      </c>
      <c r="AA1588" s="5" t="s">
        <v>48</v>
      </c>
      <c r="AB1588" s="5" t="s">
        <v>7604</v>
      </c>
      <c r="AC1588" s="6" t="s">
        <v>50</v>
      </c>
      <c r="AD1588" s="6">
        <v>4044.0</v>
      </c>
    </row>
    <row r="1589" ht="56.25" customHeight="1">
      <c r="A1589" s="5" t="s">
        <v>7597</v>
      </c>
      <c r="B1589" s="6" t="str">
        <f>IMAGE("https://storage.googleapis.com/acdb/housewares/FtrLogSofaL_Remake_0_1.png")</f>
        <v/>
      </c>
      <c r="C1589" s="5" t="s">
        <v>1132</v>
      </c>
      <c r="D1589" s="5" t="s">
        <v>1455</v>
      </c>
      <c r="E1589" s="5" t="s">
        <v>4331</v>
      </c>
      <c r="F1589" s="5" t="s">
        <v>7599</v>
      </c>
      <c r="G1589" s="5" t="s">
        <v>35</v>
      </c>
      <c r="H1589" s="5" t="s">
        <v>35</v>
      </c>
      <c r="I1589" s="5" t="s">
        <v>35</v>
      </c>
      <c r="J1589" s="6">
        <v>4.0</v>
      </c>
      <c r="K1589" s="6" t="s">
        <v>37</v>
      </c>
      <c r="L1589" s="6">
        <v>1920.0</v>
      </c>
      <c r="M1589" s="8" t="s">
        <v>39</v>
      </c>
      <c r="N1589" s="8" t="s">
        <v>58</v>
      </c>
      <c r="O1589" s="6" t="s">
        <v>276</v>
      </c>
      <c r="P1589" s="5" t="s">
        <v>41</v>
      </c>
      <c r="Q1589" s="5"/>
      <c r="R1589" s="6" t="s">
        <v>42</v>
      </c>
      <c r="S1589" s="5" t="s">
        <v>172</v>
      </c>
      <c r="T1589" s="5" t="s">
        <v>90</v>
      </c>
      <c r="U1589" s="5" t="s">
        <v>1583</v>
      </c>
      <c r="V1589" s="5" t="s">
        <v>44</v>
      </c>
      <c r="W1589" s="5" t="s">
        <v>35</v>
      </c>
      <c r="X1589" s="8" t="s">
        <v>671</v>
      </c>
      <c r="Y1589" s="5" t="s">
        <v>46</v>
      </c>
      <c r="Z1589" s="5" t="s">
        <v>47</v>
      </c>
      <c r="AA1589" s="5" t="s">
        <v>48</v>
      </c>
      <c r="AB1589" s="5" t="s">
        <v>7612</v>
      </c>
      <c r="AC1589" s="6" t="s">
        <v>217</v>
      </c>
      <c r="AD1589" s="6">
        <v>4044.0</v>
      </c>
    </row>
    <row r="1590" ht="56.25" customHeight="1">
      <c r="A1590" s="5" t="s">
        <v>7597</v>
      </c>
      <c r="B1590" s="6" t="str">
        <f>IMAGE("https://storage.googleapis.com/acdb/housewares/FtrLogSofaL_Remake_0_2.png")</f>
        <v/>
      </c>
      <c r="C1590" s="5" t="s">
        <v>1132</v>
      </c>
      <c r="D1590" s="5" t="s">
        <v>1455</v>
      </c>
      <c r="E1590" s="5" t="s">
        <v>7241</v>
      </c>
      <c r="F1590" s="5" t="s">
        <v>7599</v>
      </c>
      <c r="G1590" s="5" t="s">
        <v>35</v>
      </c>
      <c r="H1590" s="5" t="s">
        <v>35</v>
      </c>
      <c r="I1590" s="5" t="s">
        <v>35</v>
      </c>
      <c r="J1590" s="6">
        <v>4.0</v>
      </c>
      <c r="K1590" s="6" t="s">
        <v>37</v>
      </c>
      <c r="L1590" s="6">
        <v>1920.0</v>
      </c>
      <c r="M1590" s="8" t="s">
        <v>39</v>
      </c>
      <c r="N1590" s="8" t="s">
        <v>58</v>
      </c>
      <c r="O1590" s="6" t="s">
        <v>276</v>
      </c>
      <c r="P1590" s="5" t="s">
        <v>41</v>
      </c>
      <c r="Q1590" s="5"/>
      <c r="R1590" s="6" t="s">
        <v>42</v>
      </c>
      <c r="S1590" s="5" t="s">
        <v>172</v>
      </c>
      <c r="T1590" s="5" t="s">
        <v>90</v>
      </c>
      <c r="U1590" s="5" t="s">
        <v>1583</v>
      </c>
      <c r="V1590" s="5" t="s">
        <v>44</v>
      </c>
      <c r="W1590" s="5" t="s">
        <v>35</v>
      </c>
      <c r="X1590" s="8" t="s">
        <v>671</v>
      </c>
      <c r="Y1590" s="5" t="s">
        <v>46</v>
      </c>
      <c r="Z1590" s="5" t="s">
        <v>47</v>
      </c>
      <c r="AA1590" s="5" t="s">
        <v>48</v>
      </c>
      <c r="AB1590" s="5" t="s">
        <v>7618</v>
      </c>
      <c r="AC1590" s="6" t="s">
        <v>347</v>
      </c>
      <c r="AD1590" s="6">
        <v>4044.0</v>
      </c>
    </row>
    <row r="1591" ht="56.25" customHeight="1">
      <c r="A1591" s="5" t="s">
        <v>7597</v>
      </c>
      <c r="B1591" s="6" t="str">
        <f>IMAGE("https://storage.googleapis.com/acdb/housewares/FtrLogSofaL_Remake_0_3.png")</f>
        <v/>
      </c>
      <c r="C1591" s="5" t="s">
        <v>1132</v>
      </c>
      <c r="D1591" s="5" t="s">
        <v>1455</v>
      </c>
      <c r="E1591" s="5" t="s">
        <v>7247</v>
      </c>
      <c r="F1591" s="5" t="s">
        <v>7599</v>
      </c>
      <c r="G1591" s="5" t="s">
        <v>35</v>
      </c>
      <c r="H1591" s="5" t="s">
        <v>35</v>
      </c>
      <c r="I1591" s="5" t="s">
        <v>35</v>
      </c>
      <c r="J1591" s="6">
        <v>4.0</v>
      </c>
      <c r="K1591" s="6" t="s">
        <v>37</v>
      </c>
      <c r="L1591" s="6">
        <v>1920.0</v>
      </c>
      <c r="M1591" s="8" t="s">
        <v>39</v>
      </c>
      <c r="N1591" s="8" t="s">
        <v>39</v>
      </c>
      <c r="O1591" s="6" t="s">
        <v>276</v>
      </c>
      <c r="P1591" s="5" t="s">
        <v>41</v>
      </c>
      <c r="Q1591" s="5"/>
      <c r="R1591" s="6" t="s">
        <v>42</v>
      </c>
      <c r="S1591" s="5" t="s">
        <v>172</v>
      </c>
      <c r="T1591" s="5" t="s">
        <v>90</v>
      </c>
      <c r="U1591" s="5" t="s">
        <v>1583</v>
      </c>
      <c r="V1591" s="5" t="s">
        <v>44</v>
      </c>
      <c r="W1591" s="5" t="s">
        <v>35</v>
      </c>
      <c r="X1591" s="8" t="s">
        <v>671</v>
      </c>
      <c r="Y1591" s="5" t="s">
        <v>46</v>
      </c>
      <c r="Z1591" s="5" t="s">
        <v>47</v>
      </c>
      <c r="AA1591" s="5" t="s">
        <v>48</v>
      </c>
      <c r="AB1591" s="5" t="s">
        <v>7626</v>
      </c>
      <c r="AC1591" s="6" t="s">
        <v>354</v>
      </c>
      <c r="AD1591" s="6">
        <v>4044.0</v>
      </c>
    </row>
    <row r="1592" ht="56.25" customHeight="1">
      <c r="A1592" s="5" t="s">
        <v>7597</v>
      </c>
      <c r="B1592" s="6" t="str">
        <f>IMAGE("https://storage.googleapis.com/acdb/housewares/FtrLogSofaL_Remake_0_4.png")</f>
        <v/>
      </c>
      <c r="C1592" s="5" t="s">
        <v>1132</v>
      </c>
      <c r="D1592" s="5" t="s">
        <v>1455</v>
      </c>
      <c r="E1592" s="5" t="s">
        <v>7252</v>
      </c>
      <c r="F1592" s="5" t="s">
        <v>7599</v>
      </c>
      <c r="G1592" s="5" t="s">
        <v>35</v>
      </c>
      <c r="H1592" s="5" t="s">
        <v>35</v>
      </c>
      <c r="I1592" s="5" t="s">
        <v>35</v>
      </c>
      <c r="J1592" s="6">
        <v>4.0</v>
      </c>
      <c r="K1592" s="6" t="s">
        <v>37</v>
      </c>
      <c r="L1592" s="6">
        <v>1920.0</v>
      </c>
      <c r="M1592" s="8" t="s">
        <v>39</v>
      </c>
      <c r="N1592" s="8" t="s">
        <v>1175</v>
      </c>
      <c r="O1592" s="6" t="s">
        <v>276</v>
      </c>
      <c r="P1592" s="5" t="s">
        <v>41</v>
      </c>
      <c r="Q1592" s="5"/>
      <c r="R1592" s="6" t="s">
        <v>42</v>
      </c>
      <c r="S1592" s="5" t="s">
        <v>172</v>
      </c>
      <c r="T1592" s="5" t="s">
        <v>90</v>
      </c>
      <c r="U1592" s="5" t="s">
        <v>1583</v>
      </c>
      <c r="V1592" s="5" t="s">
        <v>44</v>
      </c>
      <c r="W1592" s="5" t="s">
        <v>35</v>
      </c>
      <c r="X1592" s="8" t="s">
        <v>671</v>
      </c>
      <c r="Y1592" s="5" t="s">
        <v>46</v>
      </c>
      <c r="Z1592" s="5" t="s">
        <v>47</v>
      </c>
      <c r="AA1592" s="5" t="s">
        <v>48</v>
      </c>
      <c r="AB1592" s="5" t="s">
        <v>7633</v>
      </c>
      <c r="AC1592" s="6" t="s">
        <v>486</v>
      </c>
      <c r="AD1592" s="6">
        <v>4044.0</v>
      </c>
    </row>
    <row r="1593" ht="56.25" customHeight="1">
      <c r="A1593" s="5" t="s">
        <v>7597</v>
      </c>
      <c r="B1593" s="6" t="str">
        <f>IMAGE("https://storage.googleapis.com/acdb/housewares/FtrLogSofaL_Remake_1_0.png")</f>
        <v/>
      </c>
      <c r="C1593" s="5" t="s">
        <v>1588</v>
      </c>
      <c r="D1593" s="5" t="s">
        <v>1455</v>
      </c>
      <c r="E1593" s="5" t="s">
        <v>44</v>
      </c>
      <c r="F1593" s="5" t="s">
        <v>7599</v>
      </c>
      <c r="G1593" s="5" t="s">
        <v>35</v>
      </c>
      <c r="H1593" s="5" t="s">
        <v>35</v>
      </c>
      <c r="I1593" s="5" t="s">
        <v>35</v>
      </c>
      <c r="J1593" s="6">
        <v>4.0</v>
      </c>
      <c r="K1593" s="6" t="s">
        <v>37</v>
      </c>
      <c r="L1593" s="6">
        <v>1920.0</v>
      </c>
      <c r="M1593" s="8" t="s">
        <v>142</v>
      </c>
      <c r="N1593" s="8" t="s">
        <v>142</v>
      </c>
      <c r="O1593" s="6" t="s">
        <v>276</v>
      </c>
      <c r="P1593" s="5" t="s">
        <v>41</v>
      </c>
      <c r="Q1593" s="5"/>
      <c r="R1593" s="6" t="s">
        <v>42</v>
      </c>
      <c r="S1593" s="5" t="s">
        <v>172</v>
      </c>
      <c r="T1593" s="5" t="s">
        <v>90</v>
      </c>
      <c r="U1593" s="5" t="s">
        <v>1583</v>
      </c>
      <c r="V1593" s="5" t="s">
        <v>44</v>
      </c>
      <c r="W1593" s="5" t="s">
        <v>35</v>
      </c>
      <c r="X1593" s="8" t="s">
        <v>671</v>
      </c>
      <c r="Y1593" s="5" t="s">
        <v>46</v>
      </c>
      <c r="Z1593" s="5" t="s">
        <v>47</v>
      </c>
      <c r="AA1593" s="5" t="s">
        <v>48</v>
      </c>
      <c r="AB1593" s="5" t="s">
        <v>7636</v>
      </c>
      <c r="AC1593" s="6" t="s">
        <v>56</v>
      </c>
      <c r="AD1593" s="6">
        <v>4044.0</v>
      </c>
    </row>
    <row r="1594" ht="56.25" customHeight="1">
      <c r="A1594" s="5" t="s">
        <v>7597</v>
      </c>
      <c r="B1594" s="6" t="str">
        <f>IMAGE("https://storage.googleapis.com/acdb/housewares/FtrLogSofaL_Remake_1_1.png")</f>
        <v/>
      </c>
      <c r="C1594" s="5" t="s">
        <v>1588</v>
      </c>
      <c r="D1594" s="5" t="s">
        <v>1455</v>
      </c>
      <c r="E1594" s="5" t="s">
        <v>4331</v>
      </c>
      <c r="F1594" s="5" t="s">
        <v>7599</v>
      </c>
      <c r="G1594" s="5" t="s">
        <v>35</v>
      </c>
      <c r="H1594" s="5" t="s">
        <v>35</v>
      </c>
      <c r="I1594" s="5" t="s">
        <v>35</v>
      </c>
      <c r="J1594" s="6">
        <v>4.0</v>
      </c>
      <c r="K1594" s="6" t="s">
        <v>37</v>
      </c>
      <c r="L1594" s="6">
        <v>1920.0</v>
      </c>
      <c r="M1594" s="8" t="s">
        <v>142</v>
      </c>
      <c r="N1594" s="8" t="s">
        <v>58</v>
      </c>
      <c r="O1594" s="6" t="s">
        <v>276</v>
      </c>
      <c r="P1594" s="5" t="s">
        <v>41</v>
      </c>
      <c r="Q1594" s="5"/>
      <c r="R1594" s="6" t="s">
        <v>42</v>
      </c>
      <c r="S1594" s="5" t="s">
        <v>172</v>
      </c>
      <c r="T1594" s="5" t="s">
        <v>90</v>
      </c>
      <c r="U1594" s="5" t="s">
        <v>1583</v>
      </c>
      <c r="V1594" s="5" t="s">
        <v>44</v>
      </c>
      <c r="W1594" s="5" t="s">
        <v>35</v>
      </c>
      <c r="X1594" s="8" t="s">
        <v>671</v>
      </c>
      <c r="Y1594" s="5" t="s">
        <v>46</v>
      </c>
      <c r="Z1594" s="5" t="s">
        <v>47</v>
      </c>
      <c r="AA1594" s="5" t="s">
        <v>48</v>
      </c>
      <c r="AB1594" s="5" t="s">
        <v>7642</v>
      </c>
      <c r="AC1594" s="6" t="s">
        <v>234</v>
      </c>
      <c r="AD1594" s="6">
        <v>4044.0</v>
      </c>
    </row>
    <row r="1595" ht="56.25" customHeight="1">
      <c r="A1595" s="5" t="s">
        <v>7597</v>
      </c>
      <c r="B1595" s="6" t="str">
        <f>IMAGE("https://storage.googleapis.com/acdb/housewares/FtrLogSofaL_Remake_1_2.png")</f>
        <v/>
      </c>
      <c r="C1595" s="5" t="s">
        <v>1588</v>
      </c>
      <c r="D1595" s="5" t="s">
        <v>1455</v>
      </c>
      <c r="E1595" s="5" t="s">
        <v>7241</v>
      </c>
      <c r="F1595" s="5" t="s">
        <v>7599</v>
      </c>
      <c r="G1595" s="5" t="s">
        <v>35</v>
      </c>
      <c r="H1595" s="5" t="s">
        <v>35</v>
      </c>
      <c r="I1595" s="5" t="s">
        <v>35</v>
      </c>
      <c r="J1595" s="6">
        <v>4.0</v>
      </c>
      <c r="K1595" s="6" t="s">
        <v>37</v>
      </c>
      <c r="L1595" s="6">
        <v>1920.0</v>
      </c>
      <c r="M1595" s="8" t="s">
        <v>142</v>
      </c>
      <c r="N1595" s="8" t="s">
        <v>58</v>
      </c>
      <c r="O1595" s="6" t="s">
        <v>276</v>
      </c>
      <c r="P1595" s="5" t="s">
        <v>41</v>
      </c>
      <c r="Q1595" s="5"/>
      <c r="R1595" s="6" t="s">
        <v>42</v>
      </c>
      <c r="S1595" s="5" t="s">
        <v>172</v>
      </c>
      <c r="T1595" s="5" t="s">
        <v>90</v>
      </c>
      <c r="U1595" s="5" t="s">
        <v>1583</v>
      </c>
      <c r="V1595" s="5" t="s">
        <v>44</v>
      </c>
      <c r="W1595" s="5" t="s">
        <v>35</v>
      </c>
      <c r="X1595" s="8" t="s">
        <v>671</v>
      </c>
      <c r="Y1595" s="5" t="s">
        <v>46</v>
      </c>
      <c r="Z1595" s="5" t="s">
        <v>47</v>
      </c>
      <c r="AA1595" s="5" t="s">
        <v>48</v>
      </c>
      <c r="AB1595" s="5" t="s">
        <v>7648</v>
      </c>
      <c r="AC1595" s="6" t="s">
        <v>370</v>
      </c>
      <c r="AD1595" s="6">
        <v>4044.0</v>
      </c>
    </row>
    <row r="1596" ht="56.25" customHeight="1">
      <c r="A1596" s="5" t="s">
        <v>7597</v>
      </c>
      <c r="B1596" s="6" t="str">
        <f>IMAGE("https://storage.googleapis.com/acdb/housewares/FtrLogSofaL_Remake_1_3.png")</f>
        <v/>
      </c>
      <c r="C1596" s="5" t="s">
        <v>1588</v>
      </c>
      <c r="D1596" s="5" t="s">
        <v>1455</v>
      </c>
      <c r="E1596" s="5" t="s">
        <v>7247</v>
      </c>
      <c r="F1596" s="5" t="s">
        <v>7599</v>
      </c>
      <c r="G1596" s="5" t="s">
        <v>35</v>
      </c>
      <c r="H1596" s="5" t="s">
        <v>35</v>
      </c>
      <c r="I1596" s="5" t="s">
        <v>35</v>
      </c>
      <c r="J1596" s="6">
        <v>4.0</v>
      </c>
      <c r="K1596" s="6" t="s">
        <v>37</v>
      </c>
      <c r="L1596" s="6">
        <v>1920.0</v>
      </c>
      <c r="M1596" s="8" t="s">
        <v>142</v>
      </c>
      <c r="N1596" s="8" t="s">
        <v>39</v>
      </c>
      <c r="O1596" s="6" t="s">
        <v>276</v>
      </c>
      <c r="P1596" s="5" t="s">
        <v>41</v>
      </c>
      <c r="Q1596" s="5"/>
      <c r="R1596" s="6" t="s">
        <v>42</v>
      </c>
      <c r="S1596" s="5" t="s">
        <v>172</v>
      </c>
      <c r="T1596" s="5" t="s">
        <v>90</v>
      </c>
      <c r="U1596" s="5" t="s">
        <v>1583</v>
      </c>
      <c r="V1596" s="5" t="s">
        <v>44</v>
      </c>
      <c r="W1596" s="5" t="s">
        <v>35</v>
      </c>
      <c r="X1596" s="8" t="s">
        <v>671</v>
      </c>
      <c r="Y1596" s="5" t="s">
        <v>46</v>
      </c>
      <c r="Z1596" s="5" t="s">
        <v>47</v>
      </c>
      <c r="AA1596" s="5" t="s">
        <v>48</v>
      </c>
      <c r="AB1596" s="5" t="s">
        <v>7655</v>
      </c>
      <c r="AC1596" s="6" t="s">
        <v>377</v>
      </c>
      <c r="AD1596" s="6">
        <v>4044.0</v>
      </c>
    </row>
    <row r="1597" ht="56.25" customHeight="1">
      <c r="A1597" s="5" t="s">
        <v>7597</v>
      </c>
      <c r="B1597" s="6" t="str">
        <f>IMAGE("https://storage.googleapis.com/acdb/housewares/FtrLogSofaL_Remake_1_4.png")</f>
        <v/>
      </c>
      <c r="C1597" s="5" t="s">
        <v>1588</v>
      </c>
      <c r="D1597" s="5" t="s">
        <v>1455</v>
      </c>
      <c r="E1597" s="5" t="s">
        <v>7252</v>
      </c>
      <c r="F1597" s="5" t="s">
        <v>7599</v>
      </c>
      <c r="G1597" s="5" t="s">
        <v>35</v>
      </c>
      <c r="H1597" s="5" t="s">
        <v>35</v>
      </c>
      <c r="I1597" s="5" t="s">
        <v>35</v>
      </c>
      <c r="J1597" s="6">
        <v>4.0</v>
      </c>
      <c r="K1597" s="6" t="s">
        <v>37</v>
      </c>
      <c r="L1597" s="6">
        <v>1920.0</v>
      </c>
      <c r="M1597" s="8" t="s">
        <v>142</v>
      </c>
      <c r="N1597" s="8" t="s">
        <v>1175</v>
      </c>
      <c r="O1597" s="6" t="s">
        <v>276</v>
      </c>
      <c r="P1597" s="5" t="s">
        <v>41</v>
      </c>
      <c r="Q1597" s="5"/>
      <c r="R1597" s="6" t="s">
        <v>42</v>
      </c>
      <c r="S1597" s="5" t="s">
        <v>172</v>
      </c>
      <c r="T1597" s="5" t="s">
        <v>90</v>
      </c>
      <c r="U1597" s="5" t="s">
        <v>1583</v>
      </c>
      <c r="V1597" s="5" t="s">
        <v>44</v>
      </c>
      <c r="W1597" s="5" t="s">
        <v>35</v>
      </c>
      <c r="X1597" s="8" t="s">
        <v>671</v>
      </c>
      <c r="Y1597" s="5" t="s">
        <v>46</v>
      </c>
      <c r="Z1597" s="5" t="s">
        <v>47</v>
      </c>
      <c r="AA1597" s="5" t="s">
        <v>48</v>
      </c>
      <c r="AB1597" s="5" t="s">
        <v>7661</v>
      </c>
      <c r="AC1597" s="6" t="s">
        <v>520</v>
      </c>
      <c r="AD1597" s="6">
        <v>4044.0</v>
      </c>
    </row>
    <row r="1598" ht="56.25" customHeight="1">
      <c r="A1598" s="5" t="s">
        <v>7597</v>
      </c>
      <c r="B1598" s="6" t="str">
        <f>IMAGE("https://storage.googleapis.com/acdb/housewares/FtrLogSofaL_Remake_2_0.png")</f>
        <v/>
      </c>
      <c r="C1598" s="5" t="s">
        <v>1595</v>
      </c>
      <c r="D1598" s="5" t="s">
        <v>1455</v>
      </c>
      <c r="E1598" s="5" t="s">
        <v>44</v>
      </c>
      <c r="F1598" s="5" t="s">
        <v>7599</v>
      </c>
      <c r="G1598" s="5" t="s">
        <v>35</v>
      </c>
      <c r="H1598" s="5" t="s">
        <v>35</v>
      </c>
      <c r="I1598" s="5" t="s">
        <v>35</v>
      </c>
      <c r="J1598" s="6">
        <v>4.0</v>
      </c>
      <c r="K1598" s="6" t="s">
        <v>37</v>
      </c>
      <c r="L1598" s="6">
        <v>1920.0</v>
      </c>
      <c r="M1598" s="8" t="s">
        <v>38</v>
      </c>
      <c r="N1598" s="8" t="s">
        <v>38</v>
      </c>
      <c r="O1598" s="6" t="s">
        <v>276</v>
      </c>
      <c r="P1598" s="5" t="s">
        <v>41</v>
      </c>
      <c r="Q1598" s="5"/>
      <c r="R1598" s="6" t="s">
        <v>42</v>
      </c>
      <c r="S1598" s="5" t="s">
        <v>172</v>
      </c>
      <c r="T1598" s="5" t="s">
        <v>90</v>
      </c>
      <c r="U1598" s="5" t="s">
        <v>1583</v>
      </c>
      <c r="V1598" s="5" t="s">
        <v>44</v>
      </c>
      <c r="W1598" s="5" t="s">
        <v>35</v>
      </c>
      <c r="X1598" s="8" t="s">
        <v>671</v>
      </c>
      <c r="Y1598" s="5" t="s">
        <v>46</v>
      </c>
      <c r="Z1598" s="5" t="s">
        <v>47</v>
      </c>
      <c r="AA1598" s="5" t="s">
        <v>48</v>
      </c>
      <c r="AB1598" s="5" t="s">
        <v>7666</v>
      </c>
      <c r="AC1598" s="6" t="s">
        <v>67</v>
      </c>
      <c r="AD1598" s="6">
        <v>4044.0</v>
      </c>
    </row>
    <row r="1599" ht="56.25" customHeight="1">
      <c r="A1599" s="5" t="s">
        <v>7597</v>
      </c>
      <c r="B1599" s="6" t="str">
        <f>IMAGE("https://storage.googleapis.com/acdb/housewares/FtrLogSofaL_Remake_2_1.png")</f>
        <v/>
      </c>
      <c r="C1599" s="5" t="s">
        <v>1595</v>
      </c>
      <c r="D1599" s="5" t="s">
        <v>1455</v>
      </c>
      <c r="E1599" s="5" t="s">
        <v>4331</v>
      </c>
      <c r="F1599" s="5" t="s">
        <v>7599</v>
      </c>
      <c r="G1599" s="5" t="s">
        <v>35</v>
      </c>
      <c r="H1599" s="5" t="s">
        <v>35</v>
      </c>
      <c r="I1599" s="5" t="s">
        <v>35</v>
      </c>
      <c r="J1599" s="6">
        <v>4.0</v>
      </c>
      <c r="K1599" s="6" t="s">
        <v>37</v>
      </c>
      <c r="L1599" s="6">
        <v>1920.0</v>
      </c>
      <c r="M1599" s="8" t="s">
        <v>38</v>
      </c>
      <c r="N1599" s="8" t="s">
        <v>58</v>
      </c>
      <c r="O1599" s="6" t="s">
        <v>276</v>
      </c>
      <c r="P1599" s="5" t="s">
        <v>41</v>
      </c>
      <c r="Q1599" s="5"/>
      <c r="R1599" s="6" t="s">
        <v>42</v>
      </c>
      <c r="S1599" s="5" t="s">
        <v>172</v>
      </c>
      <c r="T1599" s="5" t="s">
        <v>90</v>
      </c>
      <c r="U1599" s="5" t="s">
        <v>1583</v>
      </c>
      <c r="V1599" s="5" t="s">
        <v>44</v>
      </c>
      <c r="W1599" s="5" t="s">
        <v>35</v>
      </c>
      <c r="X1599" s="8" t="s">
        <v>671</v>
      </c>
      <c r="Y1599" s="5" t="s">
        <v>46</v>
      </c>
      <c r="Z1599" s="5" t="s">
        <v>47</v>
      </c>
      <c r="AA1599" s="5" t="s">
        <v>48</v>
      </c>
      <c r="AB1599" s="5" t="s">
        <v>7671</v>
      </c>
      <c r="AC1599" s="6" t="s">
        <v>247</v>
      </c>
      <c r="AD1599" s="6">
        <v>4044.0</v>
      </c>
    </row>
    <row r="1600" ht="56.25" customHeight="1">
      <c r="A1600" s="5" t="s">
        <v>7597</v>
      </c>
      <c r="B1600" s="6" t="str">
        <f>IMAGE("https://storage.googleapis.com/acdb/housewares/FtrLogSofaL_Remake_2_2.png")</f>
        <v/>
      </c>
      <c r="C1600" s="5" t="s">
        <v>1595</v>
      </c>
      <c r="D1600" s="5" t="s">
        <v>1455</v>
      </c>
      <c r="E1600" s="5" t="s">
        <v>7241</v>
      </c>
      <c r="F1600" s="5" t="s">
        <v>7599</v>
      </c>
      <c r="G1600" s="5" t="s">
        <v>35</v>
      </c>
      <c r="H1600" s="5" t="s">
        <v>35</v>
      </c>
      <c r="I1600" s="5" t="s">
        <v>35</v>
      </c>
      <c r="J1600" s="6">
        <v>4.0</v>
      </c>
      <c r="K1600" s="6" t="s">
        <v>37</v>
      </c>
      <c r="L1600" s="6">
        <v>1920.0</v>
      </c>
      <c r="M1600" s="8" t="s">
        <v>38</v>
      </c>
      <c r="N1600" s="8" t="s">
        <v>58</v>
      </c>
      <c r="O1600" s="6" t="s">
        <v>276</v>
      </c>
      <c r="P1600" s="5" t="s">
        <v>41</v>
      </c>
      <c r="Q1600" s="5"/>
      <c r="R1600" s="6" t="s">
        <v>42</v>
      </c>
      <c r="S1600" s="5" t="s">
        <v>172</v>
      </c>
      <c r="T1600" s="5" t="s">
        <v>90</v>
      </c>
      <c r="U1600" s="5" t="s">
        <v>1583</v>
      </c>
      <c r="V1600" s="5" t="s">
        <v>44</v>
      </c>
      <c r="W1600" s="5" t="s">
        <v>35</v>
      </c>
      <c r="X1600" s="8" t="s">
        <v>671</v>
      </c>
      <c r="Y1600" s="5" t="s">
        <v>46</v>
      </c>
      <c r="Z1600" s="5" t="s">
        <v>47</v>
      </c>
      <c r="AA1600" s="5" t="s">
        <v>48</v>
      </c>
      <c r="AB1600" s="5" t="s">
        <v>7676</v>
      </c>
      <c r="AC1600" s="6" t="s">
        <v>390</v>
      </c>
      <c r="AD1600" s="6">
        <v>4044.0</v>
      </c>
    </row>
    <row r="1601" ht="56.25" customHeight="1">
      <c r="A1601" s="5" t="s">
        <v>7597</v>
      </c>
      <c r="B1601" s="6" t="str">
        <f>IMAGE("https://storage.googleapis.com/acdb/housewares/FtrLogSofaL_Remake_2_3.png")</f>
        <v/>
      </c>
      <c r="C1601" s="5" t="s">
        <v>1595</v>
      </c>
      <c r="D1601" s="5" t="s">
        <v>1455</v>
      </c>
      <c r="E1601" s="5" t="s">
        <v>7247</v>
      </c>
      <c r="F1601" s="5" t="s">
        <v>7599</v>
      </c>
      <c r="G1601" s="5" t="s">
        <v>35</v>
      </c>
      <c r="H1601" s="5" t="s">
        <v>35</v>
      </c>
      <c r="I1601" s="5" t="s">
        <v>35</v>
      </c>
      <c r="J1601" s="6">
        <v>4.0</v>
      </c>
      <c r="K1601" s="6" t="s">
        <v>37</v>
      </c>
      <c r="L1601" s="6">
        <v>1920.0</v>
      </c>
      <c r="M1601" s="8" t="s">
        <v>38</v>
      </c>
      <c r="N1601" s="8" t="s">
        <v>39</v>
      </c>
      <c r="O1601" s="6" t="s">
        <v>276</v>
      </c>
      <c r="P1601" s="5" t="s">
        <v>41</v>
      </c>
      <c r="Q1601" s="5"/>
      <c r="R1601" s="6" t="s">
        <v>42</v>
      </c>
      <c r="S1601" s="5" t="s">
        <v>172</v>
      </c>
      <c r="T1601" s="5" t="s">
        <v>90</v>
      </c>
      <c r="U1601" s="5" t="s">
        <v>1583</v>
      </c>
      <c r="V1601" s="5" t="s">
        <v>44</v>
      </c>
      <c r="W1601" s="5" t="s">
        <v>35</v>
      </c>
      <c r="X1601" s="8" t="s">
        <v>671</v>
      </c>
      <c r="Y1601" s="5" t="s">
        <v>46</v>
      </c>
      <c r="Z1601" s="5" t="s">
        <v>47</v>
      </c>
      <c r="AA1601" s="5" t="s">
        <v>48</v>
      </c>
      <c r="AB1601" s="5" t="s">
        <v>7681</v>
      </c>
      <c r="AC1601" s="6" t="s">
        <v>396</v>
      </c>
      <c r="AD1601" s="6">
        <v>4044.0</v>
      </c>
    </row>
    <row r="1602" ht="56.25" customHeight="1">
      <c r="A1602" s="5" t="s">
        <v>7597</v>
      </c>
      <c r="B1602" s="6" t="str">
        <f>IMAGE("https://storage.googleapis.com/acdb/housewares/FtrLogSofaL_Remake_2_4.png")</f>
        <v/>
      </c>
      <c r="C1602" s="5" t="s">
        <v>1595</v>
      </c>
      <c r="D1602" s="5" t="s">
        <v>1455</v>
      </c>
      <c r="E1602" s="5" t="s">
        <v>7252</v>
      </c>
      <c r="F1602" s="5" t="s">
        <v>7599</v>
      </c>
      <c r="G1602" s="5" t="s">
        <v>35</v>
      </c>
      <c r="H1602" s="5" t="s">
        <v>35</v>
      </c>
      <c r="I1602" s="5" t="s">
        <v>35</v>
      </c>
      <c r="J1602" s="6">
        <v>4.0</v>
      </c>
      <c r="K1602" s="6" t="s">
        <v>37</v>
      </c>
      <c r="L1602" s="6">
        <v>1920.0</v>
      </c>
      <c r="M1602" s="8" t="s">
        <v>38</v>
      </c>
      <c r="N1602" s="8" t="s">
        <v>1175</v>
      </c>
      <c r="O1602" s="6" t="s">
        <v>276</v>
      </c>
      <c r="P1602" s="5" t="s">
        <v>41</v>
      </c>
      <c r="Q1602" s="5"/>
      <c r="R1602" s="6" t="s">
        <v>42</v>
      </c>
      <c r="S1602" s="5" t="s">
        <v>172</v>
      </c>
      <c r="T1602" s="5" t="s">
        <v>90</v>
      </c>
      <c r="U1602" s="5" t="s">
        <v>1583</v>
      </c>
      <c r="V1602" s="5" t="s">
        <v>44</v>
      </c>
      <c r="W1602" s="5" t="s">
        <v>35</v>
      </c>
      <c r="X1602" s="8" t="s">
        <v>671</v>
      </c>
      <c r="Y1602" s="5" t="s">
        <v>46</v>
      </c>
      <c r="Z1602" s="5" t="s">
        <v>47</v>
      </c>
      <c r="AA1602" s="5" t="s">
        <v>48</v>
      </c>
      <c r="AB1602" s="5" t="s">
        <v>7686</v>
      </c>
      <c r="AC1602" s="6" t="s">
        <v>541</v>
      </c>
      <c r="AD1602" s="6">
        <v>4044.0</v>
      </c>
    </row>
    <row r="1603" ht="56.25" customHeight="1">
      <c r="A1603" s="5" t="s">
        <v>7597</v>
      </c>
      <c r="B1603" s="6" t="str">
        <f>IMAGE("https://storage.googleapis.com/acdb/housewares/FtrLogSofaL_Remake_3_0.png")</f>
        <v/>
      </c>
      <c r="C1603" s="5" t="s">
        <v>1600</v>
      </c>
      <c r="D1603" s="5" t="s">
        <v>1455</v>
      </c>
      <c r="E1603" s="5" t="s">
        <v>44</v>
      </c>
      <c r="F1603" s="5" t="s">
        <v>7599</v>
      </c>
      <c r="G1603" s="5" t="s">
        <v>35</v>
      </c>
      <c r="H1603" s="5" t="s">
        <v>35</v>
      </c>
      <c r="I1603" s="5" t="s">
        <v>35</v>
      </c>
      <c r="J1603" s="6">
        <v>4.0</v>
      </c>
      <c r="K1603" s="6" t="s">
        <v>37</v>
      </c>
      <c r="L1603" s="6">
        <v>1920.0</v>
      </c>
      <c r="M1603" s="8" t="s">
        <v>57</v>
      </c>
      <c r="N1603" s="8" t="s">
        <v>57</v>
      </c>
      <c r="O1603" s="6" t="s">
        <v>276</v>
      </c>
      <c r="P1603" s="5" t="s">
        <v>41</v>
      </c>
      <c r="Q1603" s="5"/>
      <c r="R1603" s="6" t="s">
        <v>42</v>
      </c>
      <c r="S1603" s="5" t="s">
        <v>172</v>
      </c>
      <c r="T1603" s="5" t="s">
        <v>90</v>
      </c>
      <c r="U1603" s="5" t="s">
        <v>1583</v>
      </c>
      <c r="V1603" s="5" t="s">
        <v>44</v>
      </c>
      <c r="W1603" s="5" t="s">
        <v>35</v>
      </c>
      <c r="X1603" s="8" t="s">
        <v>671</v>
      </c>
      <c r="Y1603" s="5" t="s">
        <v>46</v>
      </c>
      <c r="Z1603" s="5" t="s">
        <v>47</v>
      </c>
      <c r="AA1603" s="5" t="s">
        <v>48</v>
      </c>
      <c r="AB1603" s="5" t="s">
        <v>7690</v>
      </c>
      <c r="AC1603" s="6" t="s">
        <v>71</v>
      </c>
      <c r="AD1603" s="6">
        <v>4044.0</v>
      </c>
    </row>
    <row r="1604" ht="56.25" customHeight="1">
      <c r="A1604" s="5" t="s">
        <v>7597</v>
      </c>
      <c r="B1604" s="6" t="str">
        <f>IMAGE("https://storage.googleapis.com/acdb/housewares/FtrLogSofaL_Remake_3_1.png")</f>
        <v/>
      </c>
      <c r="C1604" s="5" t="s">
        <v>1600</v>
      </c>
      <c r="D1604" s="5" t="s">
        <v>34</v>
      </c>
      <c r="E1604" s="5" t="s">
        <v>4331</v>
      </c>
      <c r="F1604" s="5" t="s">
        <v>7599</v>
      </c>
      <c r="G1604" s="5" t="s">
        <v>35</v>
      </c>
      <c r="H1604" s="5" t="s">
        <v>36</v>
      </c>
      <c r="I1604" s="5" t="s">
        <v>35</v>
      </c>
      <c r="J1604" s="6">
        <v>4.0</v>
      </c>
      <c r="K1604" s="6" t="s">
        <v>37</v>
      </c>
      <c r="L1604" s="6">
        <v>1920.0</v>
      </c>
      <c r="M1604" s="8" t="s">
        <v>57</v>
      </c>
      <c r="N1604" s="8" t="s">
        <v>58</v>
      </c>
      <c r="O1604" s="6" t="s">
        <v>276</v>
      </c>
      <c r="P1604" s="5" t="s">
        <v>41</v>
      </c>
      <c r="Q1604" s="5"/>
      <c r="R1604" s="6" t="s">
        <v>42</v>
      </c>
      <c r="S1604" s="5" t="s">
        <v>172</v>
      </c>
      <c r="T1604" s="5" t="s">
        <v>90</v>
      </c>
      <c r="U1604" s="5" t="s">
        <v>1583</v>
      </c>
      <c r="V1604" s="5" t="s">
        <v>44</v>
      </c>
      <c r="W1604" s="5" t="s">
        <v>35</v>
      </c>
      <c r="X1604" s="8" t="s">
        <v>671</v>
      </c>
      <c r="Y1604" s="5" t="s">
        <v>46</v>
      </c>
      <c r="Z1604" s="5" t="s">
        <v>47</v>
      </c>
      <c r="AA1604" s="5" t="s">
        <v>48</v>
      </c>
      <c r="AB1604" s="5" t="s">
        <v>7696</v>
      </c>
      <c r="AC1604" s="6" t="s">
        <v>257</v>
      </c>
      <c r="AD1604" s="6">
        <v>4044.0</v>
      </c>
    </row>
    <row r="1605" ht="56.25" customHeight="1">
      <c r="A1605" s="5" t="s">
        <v>7597</v>
      </c>
      <c r="B1605" s="6" t="str">
        <f>IMAGE("https://storage.googleapis.com/acdb/housewares/FtrLogSofaL_Remake_3_2.png")</f>
        <v/>
      </c>
      <c r="C1605" s="5" t="s">
        <v>1600</v>
      </c>
      <c r="D1605" s="5" t="s">
        <v>34</v>
      </c>
      <c r="E1605" s="5" t="s">
        <v>7241</v>
      </c>
      <c r="F1605" s="5" t="s">
        <v>7599</v>
      </c>
      <c r="G1605" s="5" t="s">
        <v>35</v>
      </c>
      <c r="H1605" s="5" t="s">
        <v>36</v>
      </c>
      <c r="I1605" s="5" t="s">
        <v>35</v>
      </c>
      <c r="J1605" s="6">
        <v>4.0</v>
      </c>
      <c r="K1605" s="6" t="s">
        <v>37</v>
      </c>
      <c r="L1605" s="6">
        <v>1920.0</v>
      </c>
      <c r="M1605" s="8" t="s">
        <v>57</v>
      </c>
      <c r="N1605" s="8" t="s">
        <v>58</v>
      </c>
      <c r="O1605" s="6" t="s">
        <v>276</v>
      </c>
      <c r="P1605" s="5" t="s">
        <v>41</v>
      </c>
      <c r="Q1605" s="5"/>
      <c r="R1605" s="6" t="s">
        <v>42</v>
      </c>
      <c r="S1605" s="5" t="s">
        <v>172</v>
      </c>
      <c r="T1605" s="5" t="s">
        <v>90</v>
      </c>
      <c r="U1605" s="5" t="s">
        <v>1583</v>
      </c>
      <c r="V1605" s="5" t="s">
        <v>44</v>
      </c>
      <c r="W1605" s="5" t="s">
        <v>35</v>
      </c>
      <c r="X1605" s="8" t="s">
        <v>671</v>
      </c>
      <c r="Y1605" s="5" t="s">
        <v>46</v>
      </c>
      <c r="Z1605" s="5" t="s">
        <v>47</v>
      </c>
      <c r="AA1605" s="5" t="s">
        <v>48</v>
      </c>
      <c r="AB1605" s="5" t="s">
        <v>7705</v>
      </c>
      <c r="AC1605" s="6" t="s">
        <v>414</v>
      </c>
      <c r="AD1605" s="6">
        <v>4044.0</v>
      </c>
    </row>
    <row r="1606" ht="56.25" customHeight="1">
      <c r="A1606" s="5" t="s">
        <v>7597</v>
      </c>
      <c r="B1606" s="6" t="str">
        <f>IMAGE("https://storage.googleapis.com/acdb/housewares/FtrLogSofaL_Remake_3_3.png")</f>
        <v/>
      </c>
      <c r="C1606" s="5" t="s">
        <v>1600</v>
      </c>
      <c r="D1606" s="5" t="s">
        <v>34</v>
      </c>
      <c r="E1606" s="5" t="s">
        <v>7247</v>
      </c>
      <c r="F1606" s="5" t="s">
        <v>7599</v>
      </c>
      <c r="G1606" s="5" t="s">
        <v>35</v>
      </c>
      <c r="H1606" s="5" t="s">
        <v>36</v>
      </c>
      <c r="I1606" s="5" t="s">
        <v>35</v>
      </c>
      <c r="J1606" s="6">
        <v>4.0</v>
      </c>
      <c r="K1606" s="6" t="s">
        <v>37</v>
      </c>
      <c r="L1606" s="6">
        <v>1920.0</v>
      </c>
      <c r="M1606" s="8" t="s">
        <v>57</v>
      </c>
      <c r="N1606" s="8" t="s">
        <v>39</v>
      </c>
      <c r="O1606" s="6" t="s">
        <v>276</v>
      </c>
      <c r="P1606" s="5" t="s">
        <v>41</v>
      </c>
      <c r="Q1606" s="5"/>
      <c r="R1606" s="6" t="s">
        <v>42</v>
      </c>
      <c r="S1606" s="5" t="s">
        <v>172</v>
      </c>
      <c r="T1606" s="5" t="s">
        <v>90</v>
      </c>
      <c r="U1606" s="5" t="s">
        <v>1583</v>
      </c>
      <c r="V1606" s="5" t="s">
        <v>44</v>
      </c>
      <c r="W1606" s="5" t="s">
        <v>35</v>
      </c>
      <c r="X1606" s="8" t="s">
        <v>671</v>
      </c>
      <c r="Y1606" s="5" t="s">
        <v>46</v>
      </c>
      <c r="Z1606" s="5" t="s">
        <v>47</v>
      </c>
      <c r="AA1606" s="5" t="s">
        <v>48</v>
      </c>
      <c r="AB1606" s="5" t="s">
        <v>7709</v>
      </c>
      <c r="AC1606" s="6" t="s">
        <v>418</v>
      </c>
      <c r="AD1606" s="6">
        <v>4044.0</v>
      </c>
    </row>
    <row r="1607" ht="56.25" customHeight="1">
      <c r="A1607" s="5" t="s">
        <v>7597</v>
      </c>
      <c r="B1607" s="6" t="str">
        <f>IMAGE("https://storage.googleapis.com/acdb/housewares/FtrLogSofaL_Remake_3_4.png")</f>
        <v/>
      </c>
      <c r="C1607" s="5" t="s">
        <v>1600</v>
      </c>
      <c r="D1607" s="5" t="s">
        <v>34</v>
      </c>
      <c r="E1607" s="5" t="s">
        <v>7252</v>
      </c>
      <c r="F1607" s="5" t="s">
        <v>7599</v>
      </c>
      <c r="G1607" s="5" t="s">
        <v>35</v>
      </c>
      <c r="H1607" s="5" t="s">
        <v>36</v>
      </c>
      <c r="I1607" s="5" t="s">
        <v>35</v>
      </c>
      <c r="J1607" s="6">
        <v>4.0</v>
      </c>
      <c r="K1607" s="6" t="s">
        <v>37</v>
      </c>
      <c r="L1607" s="6">
        <v>1920.0</v>
      </c>
      <c r="M1607" s="8" t="s">
        <v>57</v>
      </c>
      <c r="N1607" s="8" t="s">
        <v>1175</v>
      </c>
      <c r="O1607" s="6" t="s">
        <v>276</v>
      </c>
      <c r="P1607" s="5" t="s">
        <v>41</v>
      </c>
      <c r="Q1607" s="5"/>
      <c r="R1607" s="6" t="s">
        <v>42</v>
      </c>
      <c r="S1607" s="5" t="s">
        <v>172</v>
      </c>
      <c r="T1607" s="5" t="s">
        <v>90</v>
      </c>
      <c r="U1607" s="5" t="s">
        <v>1583</v>
      </c>
      <c r="V1607" s="5" t="s">
        <v>44</v>
      </c>
      <c r="W1607" s="5" t="s">
        <v>35</v>
      </c>
      <c r="X1607" s="8" t="s">
        <v>671</v>
      </c>
      <c r="Y1607" s="5" t="s">
        <v>46</v>
      </c>
      <c r="Z1607" s="5" t="s">
        <v>47</v>
      </c>
      <c r="AA1607" s="5" t="s">
        <v>48</v>
      </c>
      <c r="AB1607" s="5" t="s">
        <v>7715</v>
      </c>
      <c r="AC1607" s="6" t="s">
        <v>563</v>
      </c>
      <c r="AD1607" s="6">
        <v>4044.0</v>
      </c>
    </row>
    <row r="1608" ht="56.25" customHeight="1">
      <c r="A1608" s="5" t="s">
        <v>7716</v>
      </c>
      <c r="B1608" s="6" t="str">
        <f>IMAGE("https://storage.googleapis.com/acdb/housewares/FtrLogBedS_Remake_0_0.png")</f>
        <v/>
      </c>
      <c r="C1608" s="5" t="s">
        <v>1132</v>
      </c>
      <c r="D1608" s="5" t="s">
        <v>1455</v>
      </c>
      <c r="E1608" s="5" t="s">
        <v>44</v>
      </c>
      <c r="F1608" s="5" t="s">
        <v>7718</v>
      </c>
      <c r="G1608" s="5" t="s">
        <v>35</v>
      </c>
      <c r="H1608" s="5" t="s">
        <v>35</v>
      </c>
      <c r="I1608" s="5" t="s">
        <v>35</v>
      </c>
      <c r="J1608" s="6">
        <v>3.0</v>
      </c>
      <c r="K1608" s="6" t="s">
        <v>37</v>
      </c>
      <c r="L1608" s="6">
        <v>1440.0</v>
      </c>
      <c r="M1608" s="8" t="s">
        <v>39</v>
      </c>
      <c r="N1608" s="8" t="s">
        <v>39</v>
      </c>
      <c r="O1608" s="6" t="s">
        <v>276</v>
      </c>
      <c r="P1608" s="5" t="s">
        <v>41</v>
      </c>
      <c r="Q1608" s="5"/>
      <c r="R1608" s="6" t="s">
        <v>42</v>
      </c>
      <c r="S1608" s="5" t="s">
        <v>172</v>
      </c>
      <c r="T1608" s="5" t="s">
        <v>44</v>
      </c>
      <c r="U1608" s="5" t="s">
        <v>1583</v>
      </c>
      <c r="V1608" s="5" t="s">
        <v>44</v>
      </c>
      <c r="W1608" s="5" t="s">
        <v>35</v>
      </c>
      <c r="X1608" s="8" t="s">
        <v>218</v>
      </c>
      <c r="Y1608" s="5" t="s">
        <v>46</v>
      </c>
      <c r="Z1608" s="5" t="s">
        <v>47</v>
      </c>
      <c r="AA1608" s="5" t="s">
        <v>48</v>
      </c>
      <c r="AB1608" s="5" t="s">
        <v>7721</v>
      </c>
      <c r="AC1608" s="6" t="s">
        <v>50</v>
      </c>
      <c r="AD1608" s="6">
        <v>4035.0</v>
      </c>
    </row>
    <row r="1609" ht="56.25" customHeight="1">
      <c r="A1609" s="5" t="s">
        <v>7716</v>
      </c>
      <c r="B1609" s="6" t="str">
        <f>IMAGE("https://storage.googleapis.com/acdb/housewares/FtrLogBedS_Remake_0_1.png")</f>
        <v/>
      </c>
      <c r="C1609" s="5" t="s">
        <v>1132</v>
      </c>
      <c r="D1609" s="5" t="s">
        <v>1455</v>
      </c>
      <c r="E1609" s="5" t="s">
        <v>4331</v>
      </c>
      <c r="F1609" s="5" t="s">
        <v>7718</v>
      </c>
      <c r="G1609" s="5" t="s">
        <v>35</v>
      </c>
      <c r="H1609" s="5" t="s">
        <v>35</v>
      </c>
      <c r="I1609" s="5" t="s">
        <v>35</v>
      </c>
      <c r="J1609" s="6">
        <v>3.0</v>
      </c>
      <c r="K1609" s="6" t="s">
        <v>37</v>
      </c>
      <c r="L1609" s="6">
        <v>1440.0</v>
      </c>
      <c r="M1609" s="8" t="s">
        <v>39</v>
      </c>
      <c r="N1609" s="8" t="s">
        <v>58</v>
      </c>
      <c r="O1609" s="6" t="s">
        <v>276</v>
      </c>
      <c r="P1609" s="5" t="s">
        <v>41</v>
      </c>
      <c r="Q1609" s="5"/>
      <c r="R1609" s="6" t="s">
        <v>42</v>
      </c>
      <c r="S1609" s="5" t="s">
        <v>172</v>
      </c>
      <c r="T1609" s="5" t="s">
        <v>44</v>
      </c>
      <c r="U1609" s="5" t="s">
        <v>1583</v>
      </c>
      <c r="V1609" s="5" t="s">
        <v>44</v>
      </c>
      <c r="W1609" s="5" t="s">
        <v>35</v>
      </c>
      <c r="X1609" s="8" t="s">
        <v>218</v>
      </c>
      <c r="Y1609" s="5" t="s">
        <v>46</v>
      </c>
      <c r="Z1609" s="5" t="s">
        <v>47</v>
      </c>
      <c r="AA1609" s="5" t="s">
        <v>48</v>
      </c>
      <c r="AB1609" s="5" t="s">
        <v>7729</v>
      </c>
      <c r="AC1609" s="6" t="s">
        <v>217</v>
      </c>
      <c r="AD1609" s="6">
        <v>4035.0</v>
      </c>
    </row>
    <row r="1610" ht="56.25" customHeight="1">
      <c r="A1610" s="5" t="s">
        <v>7716</v>
      </c>
      <c r="B1610" s="6" t="str">
        <f>IMAGE("https://storage.googleapis.com/acdb/housewares/FtrLogBedS_Remake_0_2.png")</f>
        <v/>
      </c>
      <c r="C1610" s="5" t="s">
        <v>1132</v>
      </c>
      <c r="D1610" s="5" t="s">
        <v>1455</v>
      </c>
      <c r="E1610" s="5" t="s">
        <v>7241</v>
      </c>
      <c r="F1610" s="5" t="s">
        <v>7718</v>
      </c>
      <c r="G1610" s="5" t="s">
        <v>35</v>
      </c>
      <c r="H1610" s="5" t="s">
        <v>35</v>
      </c>
      <c r="I1610" s="5" t="s">
        <v>35</v>
      </c>
      <c r="J1610" s="6">
        <v>3.0</v>
      </c>
      <c r="K1610" s="6" t="s">
        <v>37</v>
      </c>
      <c r="L1610" s="6">
        <v>1440.0</v>
      </c>
      <c r="M1610" s="8" t="s">
        <v>39</v>
      </c>
      <c r="N1610" s="8" t="s">
        <v>58</v>
      </c>
      <c r="O1610" s="6" t="s">
        <v>276</v>
      </c>
      <c r="P1610" s="5" t="s">
        <v>41</v>
      </c>
      <c r="Q1610" s="5"/>
      <c r="R1610" s="6" t="s">
        <v>42</v>
      </c>
      <c r="S1610" s="5" t="s">
        <v>172</v>
      </c>
      <c r="T1610" s="5" t="s">
        <v>44</v>
      </c>
      <c r="U1610" s="5" t="s">
        <v>1583</v>
      </c>
      <c r="V1610" s="5" t="s">
        <v>44</v>
      </c>
      <c r="W1610" s="5" t="s">
        <v>35</v>
      </c>
      <c r="X1610" s="8" t="s">
        <v>218</v>
      </c>
      <c r="Y1610" s="5" t="s">
        <v>46</v>
      </c>
      <c r="Z1610" s="5" t="s">
        <v>47</v>
      </c>
      <c r="AA1610" s="5" t="s">
        <v>48</v>
      </c>
      <c r="AB1610" s="5" t="s">
        <v>7738</v>
      </c>
      <c r="AC1610" s="6" t="s">
        <v>347</v>
      </c>
      <c r="AD1610" s="6">
        <v>4035.0</v>
      </c>
    </row>
    <row r="1611" ht="56.25" customHeight="1">
      <c r="A1611" s="5" t="s">
        <v>7716</v>
      </c>
      <c r="B1611" s="6" t="str">
        <f>IMAGE("https://storage.googleapis.com/acdb/housewares/FtrLogBedS_Remake_0_3.png")</f>
        <v/>
      </c>
      <c r="C1611" s="5" t="s">
        <v>1132</v>
      </c>
      <c r="D1611" s="5" t="s">
        <v>1455</v>
      </c>
      <c r="E1611" s="5" t="s">
        <v>7247</v>
      </c>
      <c r="F1611" s="5" t="s">
        <v>7718</v>
      </c>
      <c r="G1611" s="5" t="s">
        <v>35</v>
      </c>
      <c r="H1611" s="5" t="s">
        <v>35</v>
      </c>
      <c r="I1611" s="5" t="s">
        <v>35</v>
      </c>
      <c r="J1611" s="6">
        <v>3.0</v>
      </c>
      <c r="K1611" s="6" t="s">
        <v>37</v>
      </c>
      <c r="L1611" s="6">
        <v>1440.0</v>
      </c>
      <c r="M1611" s="8" t="s">
        <v>39</v>
      </c>
      <c r="N1611" s="8" t="s">
        <v>39</v>
      </c>
      <c r="O1611" s="6" t="s">
        <v>276</v>
      </c>
      <c r="P1611" s="5" t="s">
        <v>41</v>
      </c>
      <c r="Q1611" s="5"/>
      <c r="R1611" s="6" t="s">
        <v>42</v>
      </c>
      <c r="S1611" s="5" t="s">
        <v>172</v>
      </c>
      <c r="T1611" s="5" t="s">
        <v>44</v>
      </c>
      <c r="U1611" s="5" t="s">
        <v>1583</v>
      </c>
      <c r="V1611" s="5" t="s">
        <v>44</v>
      </c>
      <c r="W1611" s="5" t="s">
        <v>35</v>
      </c>
      <c r="X1611" s="8" t="s">
        <v>218</v>
      </c>
      <c r="Y1611" s="5" t="s">
        <v>46</v>
      </c>
      <c r="Z1611" s="5" t="s">
        <v>47</v>
      </c>
      <c r="AA1611" s="5" t="s">
        <v>48</v>
      </c>
      <c r="AB1611" s="5" t="s">
        <v>7748</v>
      </c>
      <c r="AC1611" s="6" t="s">
        <v>354</v>
      </c>
      <c r="AD1611" s="6">
        <v>4035.0</v>
      </c>
    </row>
    <row r="1612" ht="56.25" customHeight="1">
      <c r="A1612" s="5" t="s">
        <v>7716</v>
      </c>
      <c r="B1612" s="6" t="str">
        <f>IMAGE("https://storage.googleapis.com/acdb/housewares/FtrLogBedS_Remake_0_4.png")</f>
        <v/>
      </c>
      <c r="C1612" s="5" t="s">
        <v>1132</v>
      </c>
      <c r="D1612" s="5" t="s">
        <v>1455</v>
      </c>
      <c r="E1612" s="5" t="s">
        <v>7252</v>
      </c>
      <c r="F1612" s="5" t="s">
        <v>7718</v>
      </c>
      <c r="G1612" s="5" t="s">
        <v>35</v>
      </c>
      <c r="H1612" s="5" t="s">
        <v>35</v>
      </c>
      <c r="I1612" s="5" t="s">
        <v>35</v>
      </c>
      <c r="J1612" s="6">
        <v>3.0</v>
      </c>
      <c r="K1612" s="6" t="s">
        <v>37</v>
      </c>
      <c r="L1612" s="6">
        <v>1440.0</v>
      </c>
      <c r="M1612" s="8" t="s">
        <v>39</v>
      </c>
      <c r="N1612" s="8" t="s">
        <v>1175</v>
      </c>
      <c r="O1612" s="6" t="s">
        <v>276</v>
      </c>
      <c r="P1612" s="5" t="s">
        <v>41</v>
      </c>
      <c r="Q1612" s="5"/>
      <c r="R1612" s="6" t="s">
        <v>42</v>
      </c>
      <c r="S1612" s="5" t="s">
        <v>172</v>
      </c>
      <c r="T1612" s="5" t="s">
        <v>44</v>
      </c>
      <c r="U1612" s="5" t="s">
        <v>1583</v>
      </c>
      <c r="V1612" s="5" t="s">
        <v>44</v>
      </c>
      <c r="W1612" s="5" t="s">
        <v>35</v>
      </c>
      <c r="X1612" s="8" t="s">
        <v>218</v>
      </c>
      <c r="Y1612" s="5" t="s">
        <v>46</v>
      </c>
      <c r="Z1612" s="5" t="s">
        <v>47</v>
      </c>
      <c r="AA1612" s="5" t="s">
        <v>48</v>
      </c>
      <c r="AB1612" s="5" t="s">
        <v>7754</v>
      </c>
      <c r="AC1612" s="6" t="s">
        <v>486</v>
      </c>
      <c r="AD1612" s="6">
        <v>4035.0</v>
      </c>
    </row>
    <row r="1613" ht="56.25" customHeight="1">
      <c r="A1613" s="5" t="s">
        <v>7716</v>
      </c>
      <c r="B1613" s="6" t="str">
        <f>IMAGE("https://storage.googleapis.com/acdb/housewares/FtrLogBedS_Remake_1_0.png")</f>
        <v/>
      </c>
      <c r="C1613" s="5" t="s">
        <v>1588</v>
      </c>
      <c r="D1613" s="5" t="s">
        <v>1455</v>
      </c>
      <c r="E1613" s="5" t="s">
        <v>44</v>
      </c>
      <c r="F1613" s="5" t="s">
        <v>7718</v>
      </c>
      <c r="G1613" s="5" t="s">
        <v>35</v>
      </c>
      <c r="H1613" s="5" t="s">
        <v>35</v>
      </c>
      <c r="I1613" s="5" t="s">
        <v>35</v>
      </c>
      <c r="J1613" s="6">
        <v>3.0</v>
      </c>
      <c r="K1613" s="6" t="s">
        <v>37</v>
      </c>
      <c r="L1613" s="6">
        <v>1440.0</v>
      </c>
      <c r="M1613" s="8" t="s">
        <v>142</v>
      </c>
      <c r="N1613" s="8" t="s">
        <v>142</v>
      </c>
      <c r="O1613" s="6" t="s">
        <v>276</v>
      </c>
      <c r="P1613" s="5" t="s">
        <v>41</v>
      </c>
      <c r="Q1613" s="5"/>
      <c r="R1613" s="6" t="s">
        <v>42</v>
      </c>
      <c r="S1613" s="5" t="s">
        <v>172</v>
      </c>
      <c r="T1613" s="5" t="s">
        <v>44</v>
      </c>
      <c r="U1613" s="5" t="s">
        <v>1583</v>
      </c>
      <c r="V1613" s="5" t="s">
        <v>44</v>
      </c>
      <c r="W1613" s="5" t="s">
        <v>35</v>
      </c>
      <c r="X1613" s="8" t="s">
        <v>218</v>
      </c>
      <c r="Y1613" s="5" t="s">
        <v>46</v>
      </c>
      <c r="Z1613" s="5" t="s">
        <v>47</v>
      </c>
      <c r="AA1613" s="5" t="s">
        <v>48</v>
      </c>
      <c r="AB1613" s="5" t="s">
        <v>7762</v>
      </c>
      <c r="AC1613" s="6" t="s">
        <v>56</v>
      </c>
      <c r="AD1613" s="6">
        <v>4035.0</v>
      </c>
    </row>
    <row r="1614" ht="56.25" customHeight="1">
      <c r="A1614" s="5" t="s">
        <v>7716</v>
      </c>
      <c r="B1614" s="6" t="str">
        <f>IMAGE("https://storage.googleapis.com/acdb/housewares/FtrLogBedS_Remake_1_1.png")</f>
        <v/>
      </c>
      <c r="C1614" s="5" t="s">
        <v>1588</v>
      </c>
      <c r="D1614" s="5" t="s">
        <v>1455</v>
      </c>
      <c r="E1614" s="5" t="s">
        <v>4331</v>
      </c>
      <c r="F1614" s="5" t="s">
        <v>7718</v>
      </c>
      <c r="G1614" s="5" t="s">
        <v>35</v>
      </c>
      <c r="H1614" s="5" t="s">
        <v>35</v>
      </c>
      <c r="I1614" s="5" t="s">
        <v>35</v>
      </c>
      <c r="J1614" s="6">
        <v>3.0</v>
      </c>
      <c r="K1614" s="6" t="s">
        <v>37</v>
      </c>
      <c r="L1614" s="6">
        <v>1440.0</v>
      </c>
      <c r="M1614" s="8" t="s">
        <v>142</v>
      </c>
      <c r="N1614" s="8" t="s">
        <v>58</v>
      </c>
      <c r="O1614" s="6" t="s">
        <v>276</v>
      </c>
      <c r="P1614" s="5" t="s">
        <v>41</v>
      </c>
      <c r="Q1614" s="5"/>
      <c r="R1614" s="6" t="s">
        <v>42</v>
      </c>
      <c r="S1614" s="5" t="s">
        <v>172</v>
      </c>
      <c r="T1614" s="5" t="s">
        <v>44</v>
      </c>
      <c r="U1614" s="5" t="s">
        <v>1583</v>
      </c>
      <c r="V1614" s="5" t="s">
        <v>44</v>
      </c>
      <c r="W1614" s="5" t="s">
        <v>35</v>
      </c>
      <c r="X1614" s="8" t="s">
        <v>218</v>
      </c>
      <c r="Y1614" s="5" t="s">
        <v>46</v>
      </c>
      <c r="Z1614" s="5" t="s">
        <v>47</v>
      </c>
      <c r="AA1614" s="5" t="s">
        <v>48</v>
      </c>
      <c r="AB1614" s="5" t="s">
        <v>7770</v>
      </c>
      <c r="AC1614" s="6" t="s">
        <v>234</v>
      </c>
      <c r="AD1614" s="6">
        <v>4035.0</v>
      </c>
    </row>
    <row r="1615" ht="56.25" customHeight="1">
      <c r="A1615" s="5" t="s">
        <v>7716</v>
      </c>
      <c r="B1615" s="6" t="str">
        <f>IMAGE("https://storage.googleapis.com/acdb/housewares/FtrLogBedS_Remake_1_2.png")</f>
        <v/>
      </c>
      <c r="C1615" s="5" t="s">
        <v>1588</v>
      </c>
      <c r="D1615" s="5" t="s">
        <v>1455</v>
      </c>
      <c r="E1615" s="5" t="s">
        <v>7241</v>
      </c>
      <c r="F1615" s="5" t="s">
        <v>7718</v>
      </c>
      <c r="G1615" s="5" t="s">
        <v>35</v>
      </c>
      <c r="H1615" s="5" t="s">
        <v>35</v>
      </c>
      <c r="I1615" s="5" t="s">
        <v>35</v>
      </c>
      <c r="J1615" s="6">
        <v>3.0</v>
      </c>
      <c r="K1615" s="6" t="s">
        <v>37</v>
      </c>
      <c r="L1615" s="6">
        <v>1440.0</v>
      </c>
      <c r="M1615" s="8" t="s">
        <v>142</v>
      </c>
      <c r="N1615" s="8" t="s">
        <v>58</v>
      </c>
      <c r="O1615" s="6" t="s">
        <v>276</v>
      </c>
      <c r="P1615" s="5" t="s">
        <v>41</v>
      </c>
      <c r="Q1615" s="5"/>
      <c r="R1615" s="6" t="s">
        <v>42</v>
      </c>
      <c r="S1615" s="5" t="s">
        <v>172</v>
      </c>
      <c r="T1615" s="5" t="s">
        <v>44</v>
      </c>
      <c r="U1615" s="5" t="s">
        <v>1583</v>
      </c>
      <c r="V1615" s="5" t="s">
        <v>44</v>
      </c>
      <c r="W1615" s="5" t="s">
        <v>35</v>
      </c>
      <c r="X1615" s="8" t="s">
        <v>218</v>
      </c>
      <c r="Y1615" s="5" t="s">
        <v>46</v>
      </c>
      <c r="Z1615" s="5" t="s">
        <v>47</v>
      </c>
      <c r="AA1615" s="5" t="s">
        <v>48</v>
      </c>
      <c r="AB1615" s="5" t="s">
        <v>7776</v>
      </c>
      <c r="AC1615" s="6" t="s">
        <v>370</v>
      </c>
      <c r="AD1615" s="6">
        <v>4035.0</v>
      </c>
    </row>
    <row r="1616" ht="56.25" customHeight="1">
      <c r="A1616" s="5" t="s">
        <v>7716</v>
      </c>
      <c r="B1616" s="6" t="str">
        <f>IMAGE("https://storage.googleapis.com/acdb/housewares/FtrLogBedS_Remake_1_3.png")</f>
        <v/>
      </c>
      <c r="C1616" s="5" t="s">
        <v>1588</v>
      </c>
      <c r="D1616" s="5" t="s">
        <v>1455</v>
      </c>
      <c r="E1616" s="5" t="s">
        <v>7247</v>
      </c>
      <c r="F1616" s="5" t="s">
        <v>7718</v>
      </c>
      <c r="G1616" s="5" t="s">
        <v>35</v>
      </c>
      <c r="H1616" s="5" t="s">
        <v>35</v>
      </c>
      <c r="I1616" s="5" t="s">
        <v>35</v>
      </c>
      <c r="J1616" s="6">
        <v>3.0</v>
      </c>
      <c r="K1616" s="6" t="s">
        <v>37</v>
      </c>
      <c r="L1616" s="6">
        <v>1440.0</v>
      </c>
      <c r="M1616" s="8" t="s">
        <v>142</v>
      </c>
      <c r="N1616" s="8" t="s">
        <v>39</v>
      </c>
      <c r="O1616" s="6" t="s">
        <v>276</v>
      </c>
      <c r="P1616" s="5" t="s">
        <v>41</v>
      </c>
      <c r="Q1616" s="5"/>
      <c r="R1616" s="6" t="s">
        <v>42</v>
      </c>
      <c r="S1616" s="5" t="s">
        <v>172</v>
      </c>
      <c r="T1616" s="5" t="s">
        <v>44</v>
      </c>
      <c r="U1616" s="5" t="s">
        <v>1583</v>
      </c>
      <c r="V1616" s="5" t="s">
        <v>44</v>
      </c>
      <c r="W1616" s="5" t="s">
        <v>35</v>
      </c>
      <c r="X1616" s="8" t="s">
        <v>218</v>
      </c>
      <c r="Y1616" s="5" t="s">
        <v>46</v>
      </c>
      <c r="Z1616" s="5" t="s">
        <v>47</v>
      </c>
      <c r="AA1616" s="5" t="s">
        <v>48</v>
      </c>
      <c r="AB1616" s="5" t="s">
        <v>7782</v>
      </c>
      <c r="AC1616" s="6" t="s">
        <v>377</v>
      </c>
      <c r="AD1616" s="6">
        <v>4035.0</v>
      </c>
    </row>
    <row r="1617" ht="56.25" customHeight="1">
      <c r="A1617" s="5" t="s">
        <v>7716</v>
      </c>
      <c r="B1617" s="6" t="str">
        <f>IMAGE("https://storage.googleapis.com/acdb/housewares/FtrLogBedS_Remake_1_4.png")</f>
        <v/>
      </c>
      <c r="C1617" s="5" t="s">
        <v>1588</v>
      </c>
      <c r="D1617" s="5" t="s">
        <v>1455</v>
      </c>
      <c r="E1617" s="5" t="s">
        <v>7252</v>
      </c>
      <c r="F1617" s="5" t="s">
        <v>7718</v>
      </c>
      <c r="G1617" s="5" t="s">
        <v>35</v>
      </c>
      <c r="H1617" s="5" t="s">
        <v>35</v>
      </c>
      <c r="I1617" s="5" t="s">
        <v>35</v>
      </c>
      <c r="J1617" s="6">
        <v>3.0</v>
      </c>
      <c r="K1617" s="6" t="s">
        <v>37</v>
      </c>
      <c r="L1617" s="6">
        <v>1440.0</v>
      </c>
      <c r="M1617" s="8" t="s">
        <v>142</v>
      </c>
      <c r="N1617" s="8" t="s">
        <v>1175</v>
      </c>
      <c r="O1617" s="6" t="s">
        <v>276</v>
      </c>
      <c r="P1617" s="5" t="s">
        <v>41</v>
      </c>
      <c r="Q1617" s="5"/>
      <c r="R1617" s="6" t="s">
        <v>42</v>
      </c>
      <c r="S1617" s="5" t="s">
        <v>172</v>
      </c>
      <c r="T1617" s="5" t="s">
        <v>44</v>
      </c>
      <c r="U1617" s="5" t="s">
        <v>1583</v>
      </c>
      <c r="V1617" s="5" t="s">
        <v>44</v>
      </c>
      <c r="W1617" s="5" t="s">
        <v>35</v>
      </c>
      <c r="X1617" s="8" t="s">
        <v>218</v>
      </c>
      <c r="Y1617" s="5" t="s">
        <v>46</v>
      </c>
      <c r="Z1617" s="5" t="s">
        <v>47</v>
      </c>
      <c r="AA1617" s="5" t="s">
        <v>48</v>
      </c>
      <c r="AB1617" s="5" t="s">
        <v>7789</v>
      </c>
      <c r="AC1617" s="6" t="s">
        <v>520</v>
      </c>
      <c r="AD1617" s="6">
        <v>4035.0</v>
      </c>
    </row>
    <row r="1618" ht="56.25" customHeight="1">
      <c r="A1618" s="5" t="s">
        <v>7716</v>
      </c>
      <c r="B1618" s="6" t="str">
        <f>IMAGE("https://storage.googleapis.com/acdb/housewares/FtrLogBedS_Remake_2_0.png")</f>
        <v/>
      </c>
      <c r="C1618" s="5" t="s">
        <v>1595</v>
      </c>
      <c r="D1618" s="5" t="s">
        <v>1455</v>
      </c>
      <c r="E1618" s="5" t="s">
        <v>44</v>
      </c>
      <c r="F1618" s="5" t="s">
        <v>7718</v>
      </c>
      <c r="G1618" s="5" t="s">
        <v>35</v>
      </c>
      <c r="H1618" s="5" t="s">
        <v>35</v>
      </c>
      <c r="I1618" s="5" t="s">
        <v>35</v>
      </c>
      <c r="J1618" s="6">
        <v>3.0</v>
      </c>
      <c r="K1618" s="6" t="s">
        <v>37</v>
      </c>
      <c r="L1618" s="6">
        <v>1440.0</v>
      </c>
      <c r="M1618" s="8" t="s">
        <v>38</v>
      </c>
      <c r="N1618" s="8" t="s">
        <v>38</v>
      </c>
      <c r="O1618" s="6" t="s">
        <v>276</v>
      </c>
      <c r="P1618" s="5" t="s">
        <v>41</v>
      </c>
      <c r="Q1618" s="5"/>
      <c r="R1618" s="6" t="s">
        <v>42</v>
      </c>
      <c r="S1618" s="5" t="s">
        <v>172</v>
      </c>
      <c r="T1618" s="5" t="s">
        <v>44</v>
      </c>
      <c r="U1618" s="5" t="s">
        <v>1583</v>
      </c>
      <c r="V1618" s="5" t="s">
        <v>44</v>
      </c>
      <c r="W1618" s="5" t="s">
        <v>35</v>
      </c>
      <c r="X1618" s="8" t="s">
        <v>218</v>
      </c>
      <c r="Y1618" s="5" t="s">
        <v>46</v>
      </c>
      <c r="Z1618" s="5" t="s">
        <v>47</v>
      </c>
      <c r="AA1618" s="5" t="s">
        <v>48</v>
      </c>
      <c r="AB1618" s="5" t="s">
        <v>7796</v>
      </c>
      <c r="AC1618" s="6" t="s">
        <v>67</v>
      </c>
      <c r="AD1618" s="6">
        <v>4035.0</v>
      </c>
    </row>
    <row r="1619" ht="56.25" customHeight="1">
      <c r="A1619" s="5" t="s">
        <v>7716</v>
      </c>
      <c r="B1619" s="6" t="str">
        <f>IMAGE("https://storage.googleapis.com/acdb/housewares/FtrLogBedS_Remake_2_1.png")</f>
        <v/>
      </c>
      <c r="C1619" s="5" t="s">
        <v>1595</v>
      </c>
      <c r="D1619" s="5" t="s">
        <v>1455</v>
      </c>
      <c r="E1619" s="5" t="s">
        <v>4331</v>
      </c>
      <c r="F1619" s="5" t="s">
        <v>7718</v>
      </c>
      <c r="G1619" s="5" t="s">
        <v>35</v>
      </c>
      <c r="H1619" s="5" t="s">
        <v>35</v>
      </c>
      <c r="I1619" s="5" t="s">
        <v>35</v>
      </c>
      <c r="J1619" s="6">
        <v>3.0</v>
      </c>
      <c r="K1619" s="6" t="s">
        <v>37</v>
      </c>
      <c r="L1619" s="6">
        <v>1440.0</v>
      </c>
      <c r="M1619" s="8" t="s">
        <v>38</v>
      </c>
      <c r="N1619" s="8" t="s">
        <v>58</v>
      </c>
      <c r="O1619" s="6" t="s">
        <v>276</v>
      </c>
      <c r="P1619" s="5" t="s">
        <v>41</v>
      </c>
      <c r="Q1619" s="5"/>
      <c r="R1619" s="6" t="s">
        <v>42</v>
      </c>
      <c r="S1619" s="5" t="s">
        <v>172</v>
      </c>
      <c r="T1619" s="5" t="s">
        <v>44</v>
      </c>
      <c r="U1619" s="5" t="s">
        <v>1583</v>
      </c>
      <c r="V1619" s="5" t="s">
        <v>44</v>
      </c>
      <c r="W1619" s="5" t="s">
        <v>35</v>
      </c>
      <c r="X1619" s="8" t="s">
        <v>218</v>
      </c>
      <c r="Y1619" s="5" t="s">
        <v>46</v>
      </c>
      <c r="Z1619" s="5" t="s">
        <v>47</v>
      </c>
      <c r="AA1619" s="5" t="s">
        <v>48</v>
      </c>
      <c r="AB1619" s="5" t="s">
        <v>7802</v>
      </c>
      <c r="AC1619" s="6" t="s">
        <v>247</v>
      </c>
      <c r="AD1619" s="6">
        <v>4035.0</v>
      </c>
    </row>
    <row r="1620" ht="56.25" customHeight="1">
      <c r="A1620" s="5" t="s">
        <v>7716</v>
      </c>
      <c r="B1620" s="6" t="str">
        <f>IMAGE("https://storage.googleapis.com/acdb/housewares/FtrLogBedS_Remake_2_2.png")</f>
        <v/>
      </c>
      <c r="C1620" s="5" t="s">
        <v>1595</v>
      </c>
      <c r="D1620" s="5" t="s">
        <v>1455</v>
      </c>
      <c r="E1620" s="5" t="s">
        <v>7241</v>
      </c>
      <c r="F1620" s="5" t="s">
        <v>7718</v>
      </c>
      <c r="G1620" s="5" t="s">
        <v>35</v>
      </c>
      <c r="H1620" s="5" t="s">
        <v>35</v>
      </c>
      <c r="I1620" s="5" t="s">
        <v>35</v>
      </c>
      <c r="J1620" s="6">
        <v>3.0</v>
      </c>
      <c r="K1620" s="6" t="s">
        <v>37</v>
      </c>
      <c r="L1620" s="6">
        <v>1440.0</v>
      </c>
      <c r="M1620" s="8" t="s">
        <v>38</v>
      </c>
      <c r="N1620" s="8" t="s">
        <v>58</v>
      </c>
      <c r="O1620" s="6" t="s">
        <v>276</v>
      </c>
      <c r="P1620" s="5" t="s">
        <v>41</v>
      </c>
      <c r="Q1620" s="5"/>
      <c r="R1620" s="6" t="s">
        <v>42</v>
      </c>
      <c r="S1620" s="5" t="s">
        <v>172</v>
      </c>
      <c r="T1620" s="5" t="s">
        <v>44</v>
      </c>
      <c r="U1620" s="5" t="s">
        <v>1583</v>
      </c>
      <c r="V1620" s="5" t="s">
        <v>44</v>
      </c>
      <c r="W1620" s="5" t="s">
        <v>35</v>
      </c>
      <c r="X1620" s="8" t="s">
        <v>218</v>
      </c>
      <c r="Y1620" s="5" t="s">
        <v>46</v>
      </c>
      <c r="Z1620" s="5" t="s">
        <v>47</v>
      </c>
      <c r="AA1620" s="5" t="s">
        <v>48</v>
      </c>
      <c r="AB1620" s="5" t="s">
        <v>7810</v>
      </c>
      <c r="AC1620" s="6" t="s">
        <v>390</v>
      </c>
      <c r="AD1620" s="6">
        <v>4035.0</v>
      </c>
    </row>
    <row r="1621" ht="56.25" customHeight="1">
      <c r="A1621" s="5" t="s">
        <v>7716</v>
      </c>
      <c r="B1621" s="6" t="str">
        <f>IMAGE("https://storage.googleapis.com/acdb/housewares/FtrLogBedS_Remake_2_3.png")</f>
        <v/>
      </c>
      <c r="C1621" s="5" t="s">
        <v>1595</v>
      </c>
      <c r="D1621" s="5" t="s">
        <v>1455</v>
      </c>
      <c r="E1621" s="5" t="s">
        <v>7247</v>
      </c>
      <c r="F1621" s="5" t="s">
        <v>7718</v>
      </c>
      <c r="G1621" s="5" t="s">
        <v>35</v>
      </c>
      <c r="H1621" s="5" t="s">
        <v>35</v>
      </c>
      <c r="I1621" s="5" t="s">
        <v>35</v>
      </c>
      <c r="J1621" s="6">
        <v>3.0</v>
      </c>
      <c r="K1621" s="6" t="s">
        <v>37</v>
      </c>
      <c r="L1621" s="6">
        <v>1440.0</v>
      </c>
      <c r="M1621" s="8" t="s">
        <v>38</v>
      </c>
      <c r="N1621" s="8" t="s">
        <v>39</v>
      </c>
      <c r="O1621" s="6" t="s">
        <v>276</v>
      </c>
      <c r="P1621" s="5" t="s">
        <v>41</v>
      </c>
      <c r="Q1621" s="5"/>
      <c r="R1621" s="6" t="s">
        <v>42</v>
      </c>
      <c r="S1621" s="5" t="s">
        <v>172</v>
      </c>
      <c r="T1621" s="5" t="s">
        <v>44</v>
      </c>
      <c r="U1621" s="5" t="s">
        <v>1583</v>
      </c>
      <c r="V1621" s="5" t="s">
        <v>44</v>
      </c>
      <c r="W1621" s="5" t="s">
        <v>35</v>
      </c>
      <c r="X1621" s="8" t="s">
        <v>218</v>
      </c>
      <c r="Y1621" s="5" t="s">
        <v>46</v>
      </c>
      <c r="Z1621" s="5" t="s">
        <v>47</v>
      </c>
      <c r="AA1621" s="5" t="s">
        <v>48</v>
      </c>
      <c r="AB1621" s="5" t="s">
        <v>7819</v>
      </c>
      <c r="AC1621" s="6" t="s">
        <v>396</v>
      </c>
      <c r="AD1621" s="6">
        <v>4035.0</v>
      </c>
    </row>
    <row r="1622" ht="56.25" customHeight="1">
      <c r="A1622" s="5" t="s">
        <v>7716</v>
      </c>
      <c r="B1622" s="6" t="str">
        <f>IMAGE("https://storage.googleapis.com/acdb/housewares/FtrLogBedS_Remake_2_4.png")</f>
        <v/>
      </c>
      <c r="C1622" s="5" t="s">
        <v>1595</v>
      </c>
      <c r="D1622" s="5" t="s">
        <v>1455</v>
      </c>
      <c r="E1622" s="5" t="s">
        <v>7252</v>
      </c>
      <c r="F1622" s="5" t="s">
        <v>7718</v>
      </c>
      <c r="G1622" s="5" t="s">
        <v>35</v>
      </c>
      <c r="H1622" s="5" t="s">
        <v>35</v>
      </c>
      <c r="I1622" s="5" t="s">
        <v>35</v>
      </c>
      <c r="J1622" s="6">
        <v>3.0</v>
      </c>
      <c r="K1622" s="6" t="s">
        <v>37</v>
      </c>
      <c r="L1622" s="6">
        <v>1440.0</v>
      </c>
      <c r="M1622" s="8" t="s">
        <v>38</v>
      </c>
      <c r="N1622" s="8" t="s">
        <v>1175</v>
      </c>
      <c r="O1622" s="6" t="s">
        <v>276</v>
      </c>
      <c r="P1622" s="5" t="s">
        <v>41</v>
      </c>
      <c r="Q1622" s="5"/>
      <c r="R1622" s="6" t="s">
        <v>42</v>
      </c>
      <c r="S1622" s="5" t="s">
        <v>172</v>
      </c>
      <c r="T1622" s="5" t="s">
        <v>44</v>
      </c>
      <c r="U1622" s="5" t="s">
        <v>1583</v>
      </c>
      <c r="V1622" s="5" t="s">
        <v>44</v>
      </c>
      <c r="W1622" s="5" t="s">
        <v>35</v>
      </c>
      <c r="X1622" s="8" t="s">
        <v>218</v>
      </c>
      <c r="Y1622" s="5" t="s">
        <v>46</v>
      </c>
      <c r="Z1622" s="5" t="s">
        <v>47</v>
      </c>
      <c r="AA1622" s="5" t="s">
        <v>48</v>
      </c>
      <c r="AB1622" s="5" t="s">
        <v>7823</v>
      </c>
      <c r="AC1622" s="6" t="s">
        <v>541</v>
      </c>
      <c r="AD1622" s="6">
        <v>4035.0</v>
      </c>
    </row>
    <row r="1623" ht="56.25" customHeight="1">
      <c r="A1623" s="5" t="s">
        <v>7716</v>
      </c>
      <c r="B1623" s="6" t="str">
        <f>IMAGE("https://storage.googleapis.com/acdb/housewares/FtrLogBedS_Remake_3_0.png")</f>
        <v/>
      </c>
      <c r="C1623" s="5" t="s">
        <v>1600</v>
      </c>
      <c r="D1623" s="5" t="s">
        <v>1455</v>
      </c>
      <c r="E1623" s="5" t="s">
        <v>44</v>
      </c>
      <c r="F1623" s="5" t="s">
        <v>7718</v>
      </c>
      <c r="G1623" s="5" t="s">
        <v>35</v>
      </c>
      <c r="H1623" s="5" t="s">
        <v>35</v>
      </c>
      <c r="I1623" s="5" t="s">
        <v>35</v>
      </c>
      <c r="J1623" s="6">
        <v>3.0</v>
      </c>
      <c r="K1623" s="6" t="s">
        <v>37</v>
      </c>
      <c r="L1623" s="6">
        <v>1440.0</v>
      </c>
      <c r="M1623" s="8" t="s">
        <v>57</v>
      </c>
      <c r="N1623" s="8" t="s">
        <v>57</v>
      </c>
      <c r="O1623" s="6" t="s">
        <v>276</v>
      </c>
      <c r="P1623" s="5" t="s">
        <v>41</v>
      </c>
      <c r="Q1623" s="5"/>
      <c r="R1623" s="6" t="s">
        <v>42</v>
      </c>
      <c r="S1623" s="5" t="s">
        <v>172</v>
      </c>
      <c r="T1623" s="5" t="s">
        <v>44</v>
      </c>
      <c r="U1623" s="5" t="s">
        <v>1583</v>
      </c>
      <c r="V1623" s="5" t="s">
        <v>44</v>
      </c>
      <c r="W1623" s="5" t="s">
        <v>35</v>
      </c>
      <c r="X1623" s="8" t="s">
        <v>218</v>
      </c>
      <c r="Y1623" s="5" t="s">
        <v>46</v>
      </c>
      <c r="Z1623" s="5" t="s">
        <v>47</v>
      </c>
      <c r="AA1623" s="5" t="s">
        <v>48</v>
      </c>
      <c r="AB1623" s="5" t="s">
        <v>7828</v>
      </c>
      <c r="AC1623" s="6" t="s">
        <v>71</v>
      </c>
      <c r="AD1623" s="6">
        <v>4035.0</v>
      </c>
    </row>
    <row r="1624" ht="56.25" customHeight="1">
      <c r="A1624" s="5" t="s">
        <v>7716</v>
      </c>
      <c r="B1624" s="6" t="str">
        <f>IMAGE("https://storage.googleapis.com/acdb/housewares/FtrLogBedS_Remake_3_1.png")</f>
        <v/>
      </c>
      <c r="C1624" s="5" t="s">
        <v>1600</v>
      </c>
      <c r="D1624" s="5" t="s">
        <v>34</v>
      </c>
      <c r="E1624" s="5" t="s">
        <v>4331</v>
      </c>
      <c r="F1624" s="5" t="s">
        <v>7718</v>
      </c>
      <c r="G1624" s="5" t="s">
        <v>35</v>
      </c>
      <c r="H1624" s="5" t="s">
        <v>36</v>
      </c>
      <c r="I1624" s="5" t="s">
        <v>35</v>
      </c>
      <c r="J1624" s="6">
        <v>3.0</v>
      </c>
      <c r="K1624" s="6" t="s">
        <v>37</v>
      </c>
      <c r="L1624" s="6">
        <v>1440.0</v>
      </c>
      <c r="M1624" s="8" t="s">
        <v>57</v>
      </c>
      <c r="N1624" s="8" t="s">
        <v>58</v>
      </c>
      <c r="O1624" s="6" t="s">
        <v>276</v>
      </c>
      <c r="P1624" s="5" t="s">
        <v>41</v>
      </c>
      <c r="Q1624" s="5"/>
      <c r="R1624" s="6" t="s">
        <v>42</v>
      </c>
      <c r="S1624" s="5" t="s">
        <v>172</v>
      </c>
      <c r="T1624" s="5" t="s">
        <v>44</v>
      </c>
      <c r="U1624" s="5" t="s">
        <v>1583</v>
      </c>
      <c r="V1624" s="5" t="s">
        <v>44</v>
      </c>
      <c r="W1624" s="5" t="s">
        <v>35</v>
      </c>
      <c r="X1624" s="8" t="s">
        <v>218</v>
      </c>
      <c r="Y1624" s="5" t="s">
        <v>46</v>
      </c>
      <c r="Z1624" s="5" t="s">
        <v>47</v>
      </c>
      <c r="AA1624" s="5" t="s">
        <v>48</v>
      </c>
      <c r="AB1624" s="5" t="s">
        <v>7833</v>
      </c>
      <c r="AC1624" s="6" t="s">
        <v>257</v>
      </c>
      <c r="AD1624" s="6">
        <v>4035.0</v>
      </c>
    </row>
    <row r="1625" ht="56.25" customHeight="1">
      <c r="A1625" s="5" t="s">
        <v>7716</v>
      </c>
      <c r="B1625" s="6" t="str">
        <f>IMAGE("https://storage.googleapis.com/acdb/housewares/FtrLogBedS_Remake_3_2.png")</f>
        <v/>
      </c>
      <c r="C1625" s="5" t="s">
        <v>1600</v>
      </c>
      <c r="D1625" s="5" t="s">
        <v>34</v>
      </c>
      <c r="E1625" s="5" t="s">
        <v>7241</v>
      </c>
      <c r="F1625" s="5" t="s">
        <v>7718</v>
      </c>
      <c r="G1625" s="5" t="s">
        <v>35</v>
      </c>
      <c r="H1625" s="5" t="s">
        <v>36</v>
      </c>
      <c r="I1625" s="5" t="s">
        <v>35</v>
      </c>
      <c r="J1625" s="6">
        <v>3.0</v>
      </c>
      <c r="K1625" s="6" t="s">
        <v>37</v>
      </c>
      <c r="L1625" s="6">
        <v>1440.0</v>
      </c>
      <c r="M1625" s="8" t="s">
        <v>57</v>
      </c>
      <c r="N1625" s="8" t="s">
        <v>58</v>
      </c>
      <c r="O1625" s="6" t="s">
        <v>276</v>
      </c>
      <c r="P1625" s="5" t="s">
        <v>41</v>
      </c>
      <c r="Q1625" s="5"/>
      <c r="R1625" s="6" t="s">
        <v>42</v>
      </c>
      <c r="S1625" s="5" t="s">
        <v>172</v>
      </c>
      <c r="T1625" s="5" t="s">
        <v>44</v>
      </c>
      <c r="U1625" s="5" t="s">
        <v>1583</v>
      </c>
      <c r="V1625" s="5" t="s">
        <v>44</v>
      </c>
      <c r="W1625" s="5" t="s">
        <v>35</v>
      </c>
      <c r="X1625" s="8" t="s">
        <v>218</v>
      </c>
      <c r="Y1625" s="5" t="s">
        <v>46</v>
      </c>
      <c r="Z1625" s="5" t="s">
        <v>47</v>
      </c>
      <c r="AA1625" s="5" t="s">
        <v>48</v>
      </c>
      <c r="AB1625" s="5" t="s">
        <v>7838</v>
      </c>
      <c r="AC1625" s="6" t="s">
        <v>414</v>
      </c>
      <c r="AD1625" s="6">
        <v>4035.0</v>
      </c>
    </row>
    <row r="1626" ht="56.25" customHeight="1">
      <c r="A1626" s="5" t="s">
        <v>7716</v>
      </c>
      <c r="B1626" s="6" t="str">
        <f>IMAGE("https://storage.googleapis.com/acdb/housewares/FtrLogBedS_Remake_3_3.png")</f>
        <v/>
      </c>
      <c r="C1626" s="5" t="s">
        <v>1600</v>
      </c>
      <c r="D1626" s="5" t="s">
        <v>34</v>
      </c>
      <c r="E1626" s="5" t="s">
        <v>7247</v>
      </c>
      <c r="F1626" s="5" t="s">
        <v>7718</v>
      </c>
      <c r="G1626" s="5" t="s">
        <v>35</v>
      </c>
      <c r="H1626" s="5" t="s">
        <v>36</v>
      </c>
      <c r="I1626" s="5" t="s">
        <v>35</v>
      </c>
      <c r="J1626" s="6">
        <v>3.0</v>
      </c>
      <c r="K1626" s="6" t="s">
        <v>37</v>
      </c>
      <c r="L1626" s="6">
        <v>1440.0</v>
      </c>
      <c r="M1626" s="8" t="s">
        <v>57</v>
      </c>
      <c r="N1626" s="8" t="s">
        <v>39</v>
      </c>
      <c r="O1626" s="6" t="s">
        <v>276</v>
      </c>
      <c r="P1626" s="5" t="s">
        <v>41</v>
      </c>
      <c r="Q1626" s="5"/>
      <c r="R1626" s="6" t="s">
        <v>42</v>
      </c>
      <c r="S1626" s="5" t="s">
        <v>172</v>
      </c>
      <c r="T1626" s="5" t="s">
        <v>44</v>
      </c>
      <c r="U1626" s="5" t="s">
        <v>1583</v>
      </c>
      <c r="V1626" s="5" t="s">
        <v>44</v>
      </c>
      <c r="W1626" s="5" t="s">
        <v>35</v>
      </c>
      <c r="X1626" s="8" t="s">
        <v>218</v>
      </c>
      <c r="Y1626" s="5" t="s">
        <v>46</v>
      </c>
      <c r="Z1626" s="5" t="s">
        <v>47</v>
      </c>
      <c r="AA1626" s="5" t="s">
        <v>48</v>
      </c>
      <c r="AB1626" s="5" t="s">
        <v>7843</v>
      </c>
      <c r="AC1626" s="6" t="s">
        <v>418</v>
      </c>
      <c r="AD1626" s="6">
        <v>4035.0</v>
      </c>
    </row>
    <row r="1627" ht="56.25" customHeight="1">
      <c r="A1627" s="5" t="s">
        <v>7716</v>
      </c>
      <c r="B1627" s="6" t="str">
        <f>IMAGE("https://storage.googleapis.com/acdb/housewares/FtrLogBedS_Remake_3_4.png")</f>
        <v/>
      </c>
      <c r="C1627" s="5" t="s">
        <v>1600</v>
      </c>
      <c r="D1627" s="5" t="s">
        <v>34</v>
      </c>
      <c r="E1627" s="5" t="s">
        <v>7252</v>
      </c>
      <c r="F1627" s="5" t="s">
        <v>7718</v>
      </c>
      <c r="G1627" s="5" t="s">
        <v>35</v>
      </c>
      <c r="H1627" s="5" t="s">
        <v>36</v>
      </c>
      <c r="I1627" s="5" t="s">
        <v>35</v>
      </c>
      <c r="J1627" s="6">
        <v>3.0</v>
      </c>
      <c r="K1627" s="6" t="s">
        <v>37</v>
      </c>
      <c r="L1627" s="6">
        <v>1440.0</v>
      </c>
      <c r="M1627" s="8" t="s">
        <v>57</v>
      </c>
      <c r="N1627" s="8" t="s">
        <v>1175</v>
      </c>
      <c r="O1627" s="6" t="s">
        <v>276</v>
      </c>
      <c r="P1627" s="5" t="s">
        <v>41</v>
      </c>
      <c r="Q1627" s="5"/>
      <c r="R1627" s="6" t="s">
        <v>42</v>
      </c>
      <c r="S1627" s="5" t="s">
        <v>172</v>
      </c>
      <c r="T1627" s="5" t="s">
        <v>44</v>
      </c>
      <c r="U1627" s="5" t="s">
        <v>1583</v>
      </c>
      <c r="V1627" s="5" t="s">
        <v>44</v>
      </c>
      <c r="W1627" s="5" t="s">
        <v>35</v>
      </c>
      <c r="X1627" s="8" t="s">
        <v>218</v>
      </c>
      <c r="Y1627" s="5" t="s">
        <v>46</v>
      </c>
      <c r="Z1627" s="5" t="s">
        <v>47</v>
      </c>
      <c r="AA1627" s="5" t="s">
        <v>48</v>
      </c>
      <c r="AB1627" s="5" t="s">
        <v>7849</v>
      </c>
      <c r="AC1627" s="6" t="s">
        <v>563</v>
      </c>
      <c r="AD1627" s="6">
        <v>4035.0</v>
      </c>
    </row>
    <row r="1628" ht="56.25" customHeight="1">
      <c r="A1628" s="5" t="s">
        <v>7851</v>
      </c>
      <c r="B1628" s="6" t="str">
        <f>IMAGE("https://storage.googleapis.com/acdb/housewares/FtrLogTableLRound_Remake_0_0.png")</f>
        <v/>
      </c>
      <c r="C1628" s="5" t="s">
        <v>1132</v>
      </c>
      <c r="D1628" s="5" t="s">
        <v>1455</v>
      </c>
      <c r="E1628" s="5" t="s">
        <v>44</v>
      </c>
      <c r="F1628" s="5" t="s">
        <v>7853</v>
      </c>
      <c r="G1628" s="5" t="s">
        <v>35</v>
      </c>
      <c r="H1628" s="5" t="s">
        <v>35</v>
      </c>
      <c r="I1628" s="5" t="s">
        <v>35</v>
      </c>
      <c r="J1628" s="6">
        <v>4.0</v>
      </c>
      <c r="K1628" s="6" t="s">
        <v>37</v>
      </c>
      <c r="L1628" s="6">
        <v>1800.0</v>
      </c>
      <c r="M1628" s="8" t="s">
        <v>39</v>
      </c>
      <c r="N1628" s="8" t="s">
        <v>39</v>
      </c>
      <c r="O1628" s="6" t="s">
        <v>214</v>
      </c>
      <c r="P1628" s="5" t="s">
        <v>41</v>
      </c>
      <c r="Q1628" s="5"/>
      <c r="R1628" s="6" t="s">
        <v>42</v>
      </c>
      <c r="S1628" s="5" t="s">
        <v>172</v>
      </c>
      <c r="T1628" s="5" t="s">
        <v>90</v>
      </c>
      <c r="U1628" s="5" t="s">
        <v>1583</v>
      </c>
      <c r="V1628" s="5" t="s">
        <v>44</v>
      </c>
      <c r="W1628" s="5" t="s">
        <v>36</v>
      </c>
      <c r="X1628" s="8" t="s">
        <v>278</v>
      </c>
      <c r="Y1628" s="5" t="s">
        <v>46</v>
      </c>
      <c r="Z1628" s="5" t="s">
        <v>47</v>
      </c>
      <c r="AA1628" s="5" t="s">
        <v>48</v>
      </c>
      <c r="AB1628" s="5" t="s">
        <v>7856</v>
      </c>
      <c r="AC1628" s="6" t="s">
        <v>50</v>
      </c>
      <c r="AD1628" s="6">
        <v>4043.0</v>
      </c>
    </row>
    <row r="1629" ht="56.25" customHeight="1">
      <c r="A1629" s="5" t="s">
        <v>7851</v>
      </c>
      <c r="B1629" s="6" t="str">
        <f>IMAGE("https://storage.googleapis.com/acdb/housewares/FtrLogTableLRound_Remake_0_1.png")</f>
        <v/>
      </c>
      <c r="C1629" s="5" t="s">
        <v>1132</v>
      </c>
      <c r="D1629" s="5" t="s">
        <v>1455</v>
      </c>
      <c r="E1629" s="5" t="s">
        <v>4331</v>
      </c>
      <c r="F1629" s="5" t="s">
        <v>7853</v>
      </c>
      <c r="G1629" s="5" t="s">
        <v>35</v>
      </c>
      <c r="H1629" s="5" t="s">
        <v>35</v>
      </c>
      <c r="I1629" s="5" t="s">
        <v>35</v>
      </c>
      <c r="J1629" s="6">
        <v>4.0</v>
      </c>
      <c r="K1629" s="6" t="s">
        <v>37</v>
      </c>
      <c r="L1629" s="6">
        <v>1800.0</v>
      </c>
      <c r="M1629" s="8" t="s">
        <v>39</v>
      </c>
      <c r="N1629" s="8" t="s">
        <v>58</v>
      </c>
      <c r="O1629" s="6" t="s">
        <v>214</v>
      </c>
      <c r="P1629" s="5" t="s">
        <v>41</v>
      </c>
      <c r="Q1629" s="5"/>
      <c r="R1629" s="6" t="s">
        <v>42</v>
      </c>
      <c r="S1629" s="5" t="s">
        <v>172</v>
      </c>
      <c r="T1629" s="5" t="s">
        <v>90</v>
      </c>
      <c r="U1629" s="5" t="s">
        <v>1583</v>
      </c>
      <c r="V1629" s="5" t="s">
        <v>44</v>
      </c>
      <c r="W1629" s="5" t="s">
        <v>36</v>
      </c>
      <c r="X1629" s="8" t="s">
        <v>278</v>
      </c>
      <c r="Y1629" s="5" t="s">
        <v>46</v>
      </c>
      <c r="Z1629" s="5" t="s">
        <v>47</v>
      </c>
      <c r="AA1629" s="5" t="s">
        <v>48</v>
      </c>
      <c r="AB1629" s="5" t="s">
        <v>7862</v>
      </c>
      <c r="AC1629" s="6" t="s">
        <v>217</v>
      </c>
      <c r="AD1629" s="6">
        <v>4043.0</v>
      </c>
    </row>
    <row r="1630" ht="56.25" customHeight="1">
      <c r="A1630" s="5" t="s">
        <v>7851</v>
      </c>
      <c r="B1630" s="6" t="str">
        <f>IMAGE("https://storage.googleapis.com/acdb/housewares/FtrLogTableLRound_Remake_0_2.png")</f>
        <v/>
      </c>
      <c r="C1630" s="5" t="s">
        <v>1132</v>
      </c>
      <c r="D1630" s="5" t="s">
        <v>1455</v>
      </c>
      <c r="E1630" s="5" t="s">
        <v>7241</v>
      </c>
      <c r="F1630" s="5" t="s">
        <v>7853</v>
      </c>
      <c r="G1630" s="5" t="s">
        <v>35</v>
      </c>
      <c r="H1630" s="5" t="s">
        <v>35</v>
      </c>
      <c r="I1630" s="5" t="s">
        <v>35</v>
      </c>
      <c r="J1630" s="6">
        <v>4.0</v>
      </c>
      <c r="K1630" s="6" t="s">
        <v>37</v>
      </c>
      <c r="L1630" s="6">
        <v>1800.0</v>
      </c>
      <c r="M1630" s="8" t="s">
        <v>39</v>
      </c>
      <c r="N1630" s="8" t="s">
        <v>58</v>
      </c>
      <c r="O1630" s="6" t="s">
        <v>214</v>
      </c>
      <c r="P1630" s="5" t="s">
        <v>41</v>
      </c>
      <c r="Q1630" s="5"/>
      <c r="R1630" s="6" t="s">
        <v>42</v>
      </c>
      <c r="S1630" s="5" t="s">
        <v>172</v>
      </c>
      <c r="T1630" s="5" t="s">
        <v>90</v>
      </c>
      <c r="U1630" s="5" t="s">
        <v>1583</v>
      </c>
      <c r="V1630" s="5" t="s">
        <v>44</v>
      </c>
      <c r="W1630" s="5" t="s">
        <v>36</v>
      </c>
      <c r="X1630" s="8" t="s">
        <v>278</v>
      </c>
      <c r="Y1630" s="5" t="s">
        <v>46</v>
      </c>
      <c r="Z1630" s="5" t="s">
        <v>47</v>
      </c>
      <c r="AA1630" s="5" t="s">
        <v>48</v>
      </c>
      <c r="AB1630" s="5" t="s">
        <v>7868</v>
      </c>
      <c r="AC1630" s="6" t="s">
        <v>347</v>
      </c>
      <c r="AD1630" s="6">
        <v>4043.0</v>
      </c>
    </row>
    <row r="1631" ht="56.25" customHeight="1">
      <c r="A1631" s="5" t="s">
        <v>7851</v>
      </c>
      <c r="B1631" s="6" t="str">
        <f>IMAGE("https://storage.googleapis.com/acdb/housewares/FtrLogTableLRound_Remake_0_3.png")</f>
        <v/>
      </c>
      <c r="C1631" s="5" t="s">
        <v>1132</v>
      </c>
      <c r="D1631" s="5" t="s">
        <v>1455</v>
      </c>
      <c r="E1631" s="5" t="s">
        <v>7247</v>
      </c>
      <c r="F1631" s="5" t="s">
        <v>7853</v>
      </c>
      <c r="G1631" s="5" t="s">
        <v>35</v>
      </c>
      <c r="H1631" s="5" t="s">
        <v>35</v>
      </c>
      <c r="I1631" s="5" t="s">
        <v>35</v>
      </c>
      <c r="J1631" s="6">
        <v>4.0</v>
      </c>
      <c r="K1631" s="6" t="s">
        <v>37</v>
      </c>
      <c r="L1631" s="6">
        <v>1800.0</v>
      </c>
      <c r="M1631" s="8" t="s">
        <v>39</v>
      </c>
      <c r="N1631" s="8" t="s">
        <v>39</v>
      </c>
      <c r="O1631" s="6" t="s">
        <v>214</v>
      </c>
      <c r="P1631" s="5" t="s">
        <v>41</v>
      </c>
      <c r="Q1631" s="5"/>
      <c r="R1631" s="6" t="s">
        <v>42</v>
      </c>
      <c r="S1631" s="5" t="s">
        <v>172</v>
      </c>
      <c r="T1631" s="5" t="s">
        <v>90</v>
      </c>
      <c r="U1631" s="5" t="s">
        <v>1583</v>
      </c>
      <c r="V1631" s="5" t="s">
        <v>44</v>
      </c>
      <c r="W1631" s="5" t="s">
        <v>36</v>
      </c>
      <c r="X1631" s="8" t="s">
        <v>278</v>
      </c>
      <c r="Y1631" s="5" t="s">
        <v>46</v>
      </c>
      <c r="Z1631" s="5" t="s">
        <v>47</v>
      </c>
      <c r="AA1631" s="5" t="s">
        <v>48</v>
      </c>
      <c r="AB1631" s="5" t="s">
        <v>7873</v>
      </c>
      <c r="AC1631" s="6" t="s">
        <v>354</v>
      </c>
      <c r="AD1631" s="6">
        <v>4043.0</v>
      </c>
    </row>
    <row r="1632" ht="56.25" customHeight="1">
      <c r="A1632" s="5" t="s">
        <v>7851</v>
      </c>
      <c r="B1632" s="6" t="str">
        <f>IMAGE("https://storage.googleapis.com/acdb/housewares/FtrLogTableLRound_Remake_0_4.png")</f>
        <v/>
      </c>
      <c r="C1632" s="5" t="s">
        <v>1132</v>
      </c>
      <c r="D1632" s="5" t="s">
        <v>1455</v>
      </c>
      <c r="E1632" s="5" t="s">
        <v>7252</v>
      </c>
      <c r="F1632" s="5" t="s">
        <v>7853</v>
      </c>
      <c r="G1632" s="5" t="s">
        <v>35</v>
      </c>
      <c r="H1632" s="5" t="s">
        <v>35</v>
      </c>
      <c r="I1632" s="5" t="s">
        <v>35</v>
      </c>
      <c r="J1632" s="6">
        <v>4.0</v>
      </c>
      <c r="K1632" s="6" t="s">
        <v>37</v>
      </c>
      <c r="L1632" s="6">
        <v>1800.0</v>
      </c>
      <c r="M1632" s="8" t="s">
        <v>39</v>
      </c>
      <c r="N1632" s="8" t="s">
        <v>1175</v>
      </c>
      <c r="O1632" s="6" t="s">
        <v>214</v>
      </c>
      <c r="P1632" s="5" t="s">
        <v>41</v>
      </c>
      <c r="Q1632" s="5"/>
      <c r="R1632" s="6" t="s">
        <v>42</v>
      </c>
      <c r="S1632" s="5" t="s">
        <v>172</v>
      </c>
      <c r="T1632" s="5" t="s">
        <v>90</v>
      </c>
      <c r="U1632" s="5" t="s">
        <v>1583</v>
      </c>
      <c r="V1632" s="5" t="s">
        <v>44</v>
      </c>
      <c r="W1632" s="5" t="s">
        <v>36</v>
      </c>
      <c r="X1632" s="8" t="s">
        <v>278</v>
      </c>
      <c r="Y1632" s="5" t="s">
        <v>46</v>
      </c>
      <c r="Z1632" s="5" t="s">
        <v>47</v>
      </c>
      <c r="AA1632" s="5" t="s">
        <v>48</v>
      </c>
      <c r="AB1632" s="5" t="s">
        <v>7877</v>
      </c>
      <c r="AC1632" s="6" t="s">
        <v>486</v>
      </c>
      <c r="AD1632" s="6">
        <v>4043.0</v>
      </c>
    </row>
    <row r="1633" ht="56.25" customHeight="1">
      <c r="A1633" s="5" t="s">
        <v>7851</v>
      </c>
      <c r="B1633" s="6" t="str">
        <f>IMAGE("https://storage.googleapis.com/acdb/housewares/FtrLogTableLRound_Remake_1_0.png")</f>
        <v/>
      </c>
      <c r="C1633" s="5" t="s">
        <v>1588</v>
      </c>
      <c r="D1633" s="5" t="s">
        <v>1455</v>
      </c>
      <c r="E1633" s="5" t="s">
        <v>44</v>
      </c>
      <c r="F1633" s="5" t="s">
        <v>7853</v>
      </c>
      <c r="G1633" s="5" t="s">
        <v>35</v>
      </c>
      <c r="H1633" s="5" t="s">
        <v>35</v>
      </c>
      <c r="I1633" s="5" t="s">
        <v>35</v>
      </c>
      <c r="J1633" s="6">
        <v>4.0</v>
      </c>
      <c r="K1633" s="6" t="s">
        <v>37</v>
      </c>
      <c r="L1633" s="6">
        <v>1800.0</v>
      </c>
      <c r="M1633" s="8" t="s">
        <v>142</v>
      </c>
      <c r="N1633" s="8" t="s">
        <v>142</v>
      </c>
      <c r="O1633" s="6" t="s">
        <v>214</v>
      </c>
      <c r="P1633" s="5" t="s">
        <v>41</v>
      </c>
      <c r="Q1633" s="5"/>
      <c r="R1633" s="6" t="s">
        <v>42</v>
      </c>
      <c r="S1633" s="5" t="s">
        <v>172</v>
      </c>
      <c r="T1633" s="5" t="s">
        <v>90</v>
      </c>
      <c r="U1633" s="5" t="s">
        <v>1583</v>
      </c>
      <c r="V1633" s="5" t="s">
        <v>44</v>
      </c>
      <c r="W1633" s="5" t="s">
        <v>36</v>
      </c>
      <c r="X1633" s="8" t="s">
        <v>278</v>
      </c>
      <c r="Y1633" s="5" t="s">
        <v>46</v>
      </c>
      <c r="Z1633" s="5" t="s">
        <v>47</v>
      </c>
      <c r="AA1633" s="5" t="s">
        <v>48</v>
      </c>
      <c r="AB1633" s="5" t="s">
        <v>7882</v>
      </c>
      <c r="AC1633" s="6" t="s">
        <v>56</v>
      </c>
      <c r="AD1633" s="6">
        <v>4043.0</v>
      </c>
    </row>
    <row r="1634" ht="56.25" customHeight="1">
      <c r="A1634" s="5" t="s">
        <v>7851</v>
      </c>
      <c r="B1634" s="6" t="str">
        <f>IMAGE("https://storage.googleapis.com/acdb/housewares/FtrLogTableLRound_Remake_1_1.png")</f>
        <v/>
      </c>
      <c r="C1634" s="5" t="s">
        <v>1588</v>
      </c>
      <c r="D1634" s="5" t="s">
        <v>1455</v>
      </c>
      <c r="E1634" s="5" t="s">
        <v>4331</v>
      </c>
      <c r="F1634" s="5" t="s">
        <v>7853</v>
      </c>
      <c r="G1634" s="5" t="s">
        <v>35</v>
      </c>
      <c r="H1634" s="5" t="s">
        <v>35</v>
      </c>
      <c r="I1634" s="5" t="s">
        <v>35</v>
      </c>
      <c r="J1634" s="6">
        <v>4.0</v>
      </c>
      <c r="K1634" s="6" t="s">
        <v>37</v>
      </c>
      <c r="L1634" s="6">
        <v>1800.0</v>
      </c>
      <c r="M1634" s="8" t="s">
        <v>142</v>
      </c>
      <c r="N1634" s="8" t="s">
        <v>58</v>
      </c>
      <c r="O1634" s="6" t="s">
        <v>214</v>
      </c>
      <c r="P1634" s="5" t="s">
        <v>41</v>
      </c>
      <c r="Q1634" s="5"/>
      <c r="R1634" s="6" t="s">
        <v>42</v>
      </c>
      <c r="S1634" s="5" t="s">
        <v>172</v>
      </c>
      <c r="T1634" s="5" t="s">
        <v>90</v>
      </c>
      <c r="U1634" s="5" t="s">
        <v>1583</v>
      </c>
      <c r="V1634" s="5" t="s">
        <v>44</v>
      </c>
      <c r="W1634" s="5" t="s">
        <v>36</v>
      </c>
      <c r="X1634" s="8" t="s">
        <v>278</v>
      </c>
      <c r="Y1634" s="5" t="s">
        <v>46</v>
      </c>
      <c r="Z1634" s="5" t="s">
        <v>47</v>
      </c>
      <c r="AA1634" s="5" t="s">
        <v>48</v>
      </c>
      <c r="AB1634" s="5" t="s">
        <v>7885</v>
      </c>
      <c r="AC1634" s="6" t="s">
        <v>234</v>
      </c>
      <c r="AD1634" s="6">
        <v>4043.0</v>
      </c>
    </row>
    <row r="1635" ht="56.25" customHeight="1">
      <c r="A1635" s="5" t="s">
        <v>7851</v>
      </c>
      <c r="B1635" s="6" t="str">
        <f>IMAGE("https://storage.googleapis.com/acdb/housewares/FtrLogTableLRound_Remake_1_2.png")</f>
        <v/>
      </c>
      <c r="C1635" s="5" t="s">
        <v>1588</v>
      </c>
      <c r="D1635" s="5" t="s">
        <v>1455</v>
      </c>
      <c r="E1635" s="5" t="s">
        <v>7241</v>
      </c>
      <c r="F1635" s="5" t="s">
        <v>7853</v>
      </c>
      <c r="G1635" s="5" t="s">
        <v>35</v>
      </c>
      <c r="H1635" s="5" t="s">
        <v>35</v>
      </c>
      <c r="I1635" s="5" t="s">
        <v>35</v>
      </c>
      <c r="J1635" s="6">
        <v>4.0</v>
      </c>
      <c r="K1635" s="6" t="s">
        <v>37</v>
      </c>
      <c r="L1635" s="6">
        <v>1800.0</v>
      </c>
      <c r="M1635" s="8" t="s">
        <v>142</v>
      </c>
      <c r="N1635" s="8" t="s">
        <v>58</v>
      </c>
      <c r="O1635" s="6" t="s">
        <v>214</v>
      </c>
      <c r="P1635" s="5" t="s">
        <v>41</v>
      </c>
      <c r="Q1635" s="5"/>
      <c r="R1635" s="6" t="s">
        <v>42</v>
      </c>
      <c r="S1635" s="5" t="s">
        <v>172</v>
      </c>
      <c r="T1635" s="5" t="s">
        <v>90</v>
      </c>
      <c r="U1635" s="5" t="s">
        <v>1583</v>
      </c>
      <c r="V1635" s="5" t="s">
        <v>44</v>
      </c>
      <c r="W1635" s="5" t="s">
        <v>36</v>
      </c>
      <c r="X1635" s="8" t="s">
        <v>278</v>
      </c>
      <c r="Y1635" s="5" t="s">
        <v>46</v>
      </c>
      <c r="Z1635" s="5" t="s">
        <v>47</v>
      </c>
      <c r="AA1635" s="5" t="s">
        <v>48</v>
      </c>
      <c r="AB1635" s="5" t="s">
        <v>7887</v>
      </c>
      <c r="AC1635" s="6" t="s">
        <v>370</v>
      </c>
      <c r="AD1635" s="6">
        <v>4043.0</v>
      </c>
    </row>
    <row r="1636" ht="56.25" customHeight="1">
      <c r="A1636" s="5" t="s">
        <v>7851</v>
      </c>
      <c r="B1636" s="6" t="str">
        <f>IMAGE("https://storage.googleapis.com/acdb/housewares/FtrLogTableLRound_Remake_1_3.png")</f>
        <v/>
      </c>
      <c r="C1636" s="5" t="s">
        <v>1588</v>
      </c>
      <c r="D1636" s="5" t="s">
        <v>1455</v>
      </c>
      <c r="E1636" s="5" t="s">
        <v>7247</v>
      </c>
      <c r="F1636" s="5" t="s">
        <v>7853</v>
      </c>
      <c r="G1636" s="5" t="s">
        <v>35</v>
      </c>
      <c r="H1636" s="5" t="s">
        <v>35</v>
      </c>
      <c r="I1636" s="5" t="s">
        <v>35</v>
      </c>
      <c r="J1636" s="6">
        <v>4.0</v>
      </c>
      <c r="K1636" s="6" t="s">
        <v>37</v>
      </c>
      <c r="L1636" s="6">
        <v>1800.0</v>
      </c>
      <c r="M1636" s="8" t="s">
        <v>142</v>
      </c>
      <c r="N1636" s="8" t="s">
        <v>39</v>
      </c>
      <c r="O1636" s="6" t="s">
        <v>214</v>
      </c>
      <c r="P1636" s="5" t="s">
        <v>41</v>
      </c>
      <c r="Q1636" s="5"/>
      <c r="R1636" s="6" t="s">
        <v>42</v>
      </c>
      <c r="S1636" s="5" t="s">
        <v>172</v>
      </c>
      <c r="T1636" s="5" t="s">
        <v>90</v>
      </c>
      <c r="U1636" s="5" t="s">
        <v>1583</v>
      </c>
      <c r="V1636" s="5" t="s">
        <v>44</v>
      </c>
      <c r="W1636" s="5" t="s">
        <v>36</v>
      </c>
      <c r="X1636" s="8" t="s">
        <v>278</v>
      </c>
      <c r="Y1636" s="5" t="s">
        <v>46</v>
      </c>
      <c r="Z1636" s="5" t="s">
        <v>47</v>
      </c>
      <c r="AA1636" s="5" t="s">
        <v>48</v>
      </c>
      <c r="AB1636" s="5" t="s">
        <v>7888</v>
      </c>
      <c r="AC1636" s="6" t="s">
        <v>377</v>
      </c>
      <c r="AD1636" s="6">
        <v>4043.0</v>
      </c>
    </row>
    <row r="1637" ht="56.25" customHeight="1">
      <c r="A1637" s="5" t="s">
        <v>7851</v>
      </c>
      <c r="B1637" s="6" t="str">
        <f>IMAGE("https://storage.googleapis.com/acdb/housewares/FtrLogTableLRound_Remake_1_4.png")</f>
        <v/>
      </c>
      <c r="C1637" s="5" t="s">
        <v>1588</v>
      </c>
      <c r="D1637" s="5" t="s">
        <v>1455</v>
      </c>
      <c r="E1637" s="5" t="s">
        <v>7252</v>
      </c>
      <c r="F1637" s="5" t="s">
        <v>7853</v>
      </c>
      <c r="G1637" s="5" t="s">
        <v>35</v>
      </c>
      <c r="H1637" s="5" t="s">
        <v>35</v>
      </c>
      <c r="I1637" s="5" t="s">
        <v>35</v>
      </c>
      <c r="J1637" s="6">
        <v>4.0</v>
      </c>
      <c r="K1637" s="6" t="s">
        <v>37</v>
      </c>
      <c r="L1637" s="6">
        <v>1800.0</v>
      </c>
      <c r="M1637" s="8" t="s">
        <v>142</v>
      </c>
      <c r="N1637" s="8" t="s">
        <v>1175</v>
      </c>
      <c r="O1637" s="6" t="s">
        <v>214</v>
      </c>
      <c r="P1637" s="5" t="s">
        <v>41</v>
      </c>
      <c r="Q1637" s="5"/>
      <c r="R1637" s="6" t="s">
        <v>42</v>
      </c>
      <c r="S1637" s="5" t="s">
        <v>172</v>
      </c>
      <c r="T1637" s="5" t="s">
        <v>90</v>
      </c>
      <c r="U1637" s="5" t="s">
        <v>1583</v>
      </c>
      <c r="V1637" s="5" t="s">
        <v>44</v>
      </c>
      <c r="W1637" s="5" t="s">
        <v>36</v>
      </c>
      <c r="X1637" s="8" t="s">
        <v>278</v>
      </c>
      <c r="Y1637" s="5" t="s">
        <v>46</v>
      </c>
      <c r="Z1637" s="5" t="s">
        <v>47</v>
      </c>
      <c r="AA1637" s="5" t="s">
        <v>48</v>
      </c>
      <c r="AB1637" s="5" t="s">
        <v>7890</v>
      </c>
      <c r="AC1637" s="6" t="s">
        <v>520</v>
      </c>
      <c r="AD1637" s="6">
        <v>4043.0</v>
      </c>
    </row>
    <row r="1638" ht="56.25" customHeight="1">
      <c r="A1638" s="5" t="s">
        <v>7851</v>
      </c>
      <c r="B1638" s="6" t="str">
        <f>IMAGE("https://storage.googleapis.com/acdb/housewares/FtrLogTableLRound_Remake_2_0.png")</f>
        <v/>
      </c>
      <c r="C1638" s="5" t="s">
        <v>1595</v>
      </c>
      <c r="D1638" s="5" t="s">
        <v>1455</v>
      </c>
      <c r="E1638" s="5" t="s">
        <v>44</v>
      </c>
      <c r="F1638" s="5" t="s">
        <v>7853</v>
      </c>
      <c r="G1638" s="5" t="s">
        <v>35</v>
      </c>
      <c r="H1638" s="5" t="s">
        <v>35</v>
      </c>
      <c r="I1638" s="5" t="s">
        <v>35</v>
      </c>
      <c r="J1638" s="6">
        <v>4.0</v>
      </c>
      <c r="K1638" s="6" t="s">
        <v>37</v>
      </c>
      <c r="L1638" s="6">
        <v>1800.0</v>
      </c>
      <c r="M1638" s="8" t="s">
        <v>38</v>
      </c>
      <c r="N1638" s="8" t="s">
        <v>38</v>
      </c>
      <c r="O1638" s="6" t="s">
        <v>214</v>
      </c>
      <c r="P1638" s="5" t="s">
        <v>41</v>
      </c>
      <c r="Q1638" s="5"/>
      <c r="R1638" s="6" t="s">
        <v>42</v>
      </c>
      <c r="S1638" s="5" t="s">
        <v>172</v>
      </c>
      <c r="T1638" s="5" t="s">
        <v>90</v>
      </c>
      <c r="U1638" s="5" t="s">
        <v>1583</v>
      </c>
      <c r="V1638" s="5" t="s">
        <v>44</v>
      </c>
      <c r="W1638" s="5" t="s">
        <v>36</v>
      </c>
      <c r="X1638" s="8" t="s">
        <v>278</v>
      </c>
      <c r="Y1638" s="5" t="s">
        <v>46</v>
      </c>
      <c r="Z1638" s="5" t="s">
        <v>47</v>
      </c>
      <c r="AA1638" s="5" t="s">
        <v>48</v>
      </c>
      <c r="AB1638" s="5" t="s">
        <v>7894</v>
      </c>
      <c r="AC1638" s="6" t="s">
        <v>67</v>
      </c>
      <c r="AD1638" s="6">
        <v>4043.0</v>
      </c>
    </row>
    <row r="1639" ht="56.25" customHeight="1">
      <c r="A1639" s="5" t="s">
        <v>7851</v>
      </c>
      <c r="B1639" s="6" t="str">
        <f>IMAGE("https://storage.googleapis.com/acdb/housewares/FtrLogTableLRound_Remake_2_1.png")</f>
        <v/>
      </c>
      <c r="C1639" s="5" t="s">
        <v>1595</v>
      </c>
      <c r="D1639" s="5" t="s">
        <v>1455</v>
      </c>
      <c r="E1639" s="5" t="s">
        <v>4331</v>
      </c>
      <c r="F1639" s="5" t="s">
        <v>7853</v>
      </c>
      <c r="G1639" s="5" t="s">
        <v>35</v>
      </c>
      <c r="H1639" s="5" t="s">
        <v>35</v>
      </c>
      <c r="I1639" s="5" t="s">
        <v>35</v>
      </c>
      <c r="J1639" s="6">
        <v>4.0</v>
      </c>
      <c r="K1639" s="6" t="s">
        <v>37</v>
      </c>
      <c r="L1639" s="6">
        <v>1800.0</v>
      </c>
      <c r="M1639" s="8" t="s">
        <v>38</v>
      </c>
      <c r="N1639" s="8" t="s">
        <v>58</v>
      </c>
      <c r="O1639" s="6" t="s">
        <v>214</v>
      </c>
      <c r="P1639" s="5" t="s">
        <v>41</v>
      </c>
      <c r="Q1639" s="5"/>
      <c r="R1639" s="6" t="s">
        <v>42</v>
      </c>
      <c r="S1639" s="5" t="s">
        <v>172</v>
      </c>
      <c r="T1639" s="5" t="s">
        <v>90</v>
      </c>
      <c r="U1639" s="5" t="s">
        <v>1583</v>
      </c>
      <c r="V1639" s="5" t="s">
        <v>44</v>
      </c>
      <c r="W1639" s="5" t="s">
        <v>36</v>
      </c>
      <c r="X1639" s="8" t="s">
        <v>278</v>
      </c>
      <c r="Y1639" s="5" t="s">
        <v>46</v>
      </c>
      <c r="Z1639" s="5" t="s">
        <v>47</v>
      </c>
      <c r="AA1639" s="5" t="s">
        <v>48</v>
      </c>
      <c r="AB1639" s="5" t="s">
        <v>7898</v>
      </c>
      <c r="AC1639" s="6" t="s">
        <v>247</v>
      </c>
      <c r="AD1639" s="6">
        <v>4043.0</v>
      </c>
    </row>
    <row r="1640" ht="56.25" customHeight="1">
      <c r="A1640" s="5" t="s">
        <v>7851</v>
      </c>
      <c r="B1640" s="6" t="str">
        <f>IMAGE("https://storage.googleapis.com/acdb/housewares/FtrLogTableLRound_Remake_2_2.png")</f>
        <v/>
      </c>
      <c r="C1640" s="5" t="s">
        <v>1595</v>
      </c>
      <c r="D1640" s="5" t="s">
        <v>1455</v>
      </c>
      <c r="E1640" s="5" t="s">
        <v>7241</v>
      </c>
      <c r="F1640" s="5" t="s">
        <v>7853</v>
      </c>
      <c r="G1640" s="5" t="s">
        <v>35</v>
      </c>
      <c r="H1640" s="5" t="s">
        <v>35</v>
      </c>
      <c r="I1640" s="5" t="s">
        <v>35</v>
      </c>
      <c r="J1640" s="6">
        <v>4.0</v>
      </c>
      <c r="K1640" s="6" t="s">
        <v>37</v>
      </c>
      <c r="L1640" s="6">
        <v>1800.0</v>
      </c>
      <c r="M1640" s="8" t="s">
        <v>38</v>
      </c>
      <c r="N1640" s="8" t="s">
        <v>58</v>
      </c>
      <c r="O1640" s="6" t="s">
        <v>214</v>
      </c>
      <c r="P1640" s="5" t="s">
        <v>41</v>
      </c>
      <c r="Q1640" s="5"/>
      <c r="R1640" s="6" t="s">
        <v>42</v>
      </c>
      <c r="S1640" s="5" t="s">
        <v>172</v>
      </c>
      <c r="T1640" s="5" t="s">
        <v>90</v>
      </c>
      <c r="U1640" s="5" t="s">
        <v>1583</v>
      </c>
      <c r="V1640" s="5" t="s">
        <v>44</v>
      </c>
      <c r="W1640" s="5" t="s">
        <v>36</v>
      </c>
      <c r="X1640" s="8" t="s">
        <v>278</v>
      </c>
      <c r="Y1640" s="5" t="s">
        <v>46</v>
      </c>
      <c r="Z1640" s="5" t="s">
        <v>47</v>
      </c>
      <c r="AA1640" s="5" t="s">
        <v>48</v>
      </c>
      <c r="AB1640" s="5" t="s">
        <v>7909</v>
      </c>
      <c r="AC1640" s="6" t="s">
        <v>390</v>
      </c>
      <c r="AD1640" s="6">
        <v>4043.0</v>
      </c>
    </row>
    <row r="1641" ht="56.25" customHeight="1">
      <c r="A1641" s="5" t="s">
        <v>7851</v>
      </c>
      <c r="B1641" s="6" t="str">
        <f>IMAGE("https://storage.googleapis.com/acdb/housewares/FtrLogTableLRound_Remake_2_3.png")</f>
        <v/>
      </c>
      <c r="C1641" s="5" t="s">
        <v>1595</v>
      </c>
      <c r="D1641" s="5" t="s">
        <v>1455</v>
      </c>
      <c r="E1641" s="5" t="s">
        <v>7247</v>
      </c>
      <c r="F1641" s="5" t="s">
        <v>7853</v>
      </c>
      <c r="G1641" s="5" t="s">
        <v>35</v>
      </c>
      <c r="H1641" s="5" t="s">
        <v>35</v>
      </c>
      <c r="I1641" s="5" t="s">
        <v>35</v>
      </c>
      <c r="J1641" s="6">
        <v>4.0</v>
      </c>
      <c r="K1641" s="6" t="s">
        <v>37</v>
      </c>
      <c r="L1641" s="6">
        <v>1800.0</v>
      </c>
      <c r="M1641" s="8" t="s">
        <v>38</v>
      </c>
      <c r="N1641" s="8" t="s">
        <v>39</v>
      </c>
      <c r="O1641" s="6" t="s">
        <v>214</v>
      </c>
      <c r="P1641" s="5" t="s">
        <v>41</v>
      </c>
      <c r="Q1641" s="5"/>
      <c r="R1641" s="6" t="s">
        <v>42</v>
      </c>
      <c r="S1641" s="5" t="s">
        <v>172</v>
      </c>
      <c r="T1641" s="5" t="s">
        <v>90</v>
      </c>
      <c r="U1641" s="5" t="s">
        <v>1583</v>
      </c>
      <c r="V1641" s="5" t="s">
        <v>44</v>
      </c>
      <c r="W1641" s="5" t="s">
        <v>36</v>
      </c>
      <c r="X1641" s="8" t="s">
        <v>278</v>
      </c>
      <c r="Y1641" s="5" t="s">
        <v>46</v>
      </c>
      <c r="Z1641" s="5" t="s">
        <v>47</v>
      </c>
      <c r="AA1641" s="5" t="s">
        <v>48</v>
      </c>
      <c r="AB1641" s="5" t="s">
        <v>7917</v>
      </c>
      <c r="AC1641" s="6" t="s">
        <v>396</v>
      </c>
      <c r="AD1641" s="6">
        <v>4043.0</v>
      </c>
    </row>
    <row r="1642" ht="56.25" customHeight="1">
      <c r="A1642" s="5" t="s">
        <v>7851</v>
      </c>
      <c r="B1642" s="6" t="str">
        <f>IMAGE("https://storage.googleapis.com/acdb/housewares/FtrLogTableLRound_Remake_2_4.png")</f>
        <v/>
      </c>
      <c r="C1642" s="5" t="s">
        <v>1595</v>
      </c>
      <c r="D1642" s="5" t="s">
        <v>1455</v>
      </c>
      <c r="E1642" s="5" t="s">
        <v>7252</v>
      </c>
      <c r="F1642" s="5" t="s">
        <v>7853</v>
      </c>
      <c r="G1642" s="5" t="s">
        <v>35</v>
      </c>
      <c r="H1642" s="5" t="s">
        <v>35</v>
      </c>
      <c r="I1642" s="5" t="s">
        <v>35</v>
      </c>
      <c r="J1642" s="6">
        <v>4.0</v>
      </c>
      <c r="K1642" s="6" t="s">
        <v>37</v>
      </c>
      <c r="L1642" s="6">
        <v>1800.0</v>
      </c>
      <c r="M1642" s="8" t="s">
        <v>38</v>
      </c>
      <c r="N1642" s="8" t="s">
        <v>1175</v>
      </c>
      <c r="O1642" s="6" t="s">
        <v>214</v>
      </c>
      <c r="P1642" s="5" t="s">
        <v>41</v>
      </c>
      <c r="Q1642" s="5"/>
      <c r="R1642" s="6" t="s">
        <v>42</v>
      </c>
      <c r="S1642" s="5" t="s">
        <v>172</v>
      </c>
      <c r="T1642" s="5" t="s">
        <v>90</v>
      </c>
      <c r="U1642" s="5" t="s">
        <v>1583</v>
      </c>
      <c r="V1642" s="5" t="s">
        <v>44</v>
      </c>
      <c r="W1642" s="5" t="s">
        <v>36</v>
      </c>
      <c r="X1642" s="8" t="s">
        <v>278</v>
      </c>
      <c r="Y1642" s="5" t="s">
        <v>46</v>
      </c>
      <c r="Z1642" s="5" t="s">
        <v>47</v>
      </c>
      <c r="AA1642" s="5" t="s">
        <v>48</v>
      </c>
      <c r="AB1642" s="5" t="s">
        <v>7925</v>
      </c>
      <c r="AC1642" s="6" t="s">
        <v>541</v>
      </c>
      <c r="AD1642" s="6">
        <v>4043.0</v>
      </c>
    </row>
    <row r="1643" ht="56.25" customHeight="1">
      <c r="A1643" s="5" t="s">
        <v>7851</v>
      </c>
      <c r="B1643" s="6" t="str">
        <f>IMAGE("https://storage.googleapis.com/acdb/housewares/FtrLogTableLRound_Remake_3_0.png")</f>
        <v/>
      </c>
      <c r="C1643" s="5" t="s">
        <v>1600</v>
      </c>
      <c r="D1643" s="5" t="s">
        <v>1455</v>
      </c>
      <c r="E1643" s="5" t="s">
        <v>44</v>
      </c>
      <c r="F1643" s="5" t="s">
        <v>7853</v>
      </c>
      <c r="G1643" s="5" t="s">
        <v>35</v>
      </c>
      <c r="H1643" s="5" t="s">
        <v>35</v>
      </c>
      <c r="I1643" s="5" t="s">
        <v>35</v>
      </c>
      <c r="J1643" s="6">
        <v>4.0</v>
      </c>
      <c r="K1643" s="6" t="s">
        <v>37</v>
      </c>
      <c r="L1643" s="6">
        <v>1800.0</v>
      </c>
      <c r="M1643" s="8" t="s">
        <v>57</v>
      </c>
      <c r="N1643" s="8" t="s">
        <v>57</v>
      </c>
      <c r="O1643" s="6" t="s">
        <v>214</v>
      </c>
      <c r="P1643" s="5" t="s">
        <v>41</v>
      </c>
      <c r="Q1643" s="5"/>
      <c r="R1643" s="6" t="s">
        <v>42</v>
      </c>
      <c r="S1643" s="5" t="s">
        <v>172</v>
      </c>
      <c r="T1643" s="5" t="s">
        <v>90</v>
      </c>
      <c r="U1643" s="5" t="s">
        <v>1583</v>
      </c>
      <c r="V1643" s="5" t="s">
        <v>44</v>
      </c>
      <c r="W1643" s="5" t="s">
        <v>36</v>
      </c>
      <c r="X1643" s="8" t="s">
        <v>278</v>
      </c>
      <c r="Y1643" s="5" t="s">
        <v>46</v>
      </c>
      <c r="Z1643" s="5" t="s">
        <v>47</v>
      </c>
      <c r="AA1643" s="5" t="s">
        <v>48</v>
      </c>
      <c r="AB1643" s="5" t="s">
        <v>7931</v>
      </c>
      <c r="AC1643" s="6" t="s">
        <v>71</v>
      </c>
      <c r="AD1643" s="6">
        <v>4043.0</v>
      </c>
    </row>
    <row r="1644" ht="56.25" customHeight="1">
      <c r="A1644" s="5" t="s">
        <v>7851</v>
      </c>
      <c r="B1644" s="6" t="str">
        <f>IMAGE("https://storage.googleapis.com/acdb/housewares/FtrLogTableLRound_Remake_3_1.png")</f>
        <v/>
      </c>
      <c r="C1644" s="5" t="s">
        <v>1600</v>
      </c>
      <c r="D1644" s="5" t="s">
        <v>34</v>
      </c>
      <c r="E1644" s="5" t="s">
        <v>4331</v>
      </c>
      <c r="F1644" s="5" t="s">
        <v>7853</v>
      </c>
      <c r="G1644" s="5" t="s">
        <v>35</v>
      </c>
      <c r="H1644" s="5" t="s">
        <v>36</v>
      </c>
      <c r="I1644" s="5" t="s">
        <v>35</v>
      </c>
      <c r="J1644" s="6">
        <v>4.0</v>
      </c>
      <c r="K1644" s="6" t="s">
        <v>37</v>
      </c>
      <c r="L1644" s="6">
        <v>1800.0</v>
      </c>
      <c r="M1644" s="8" t="s">
        <v>57</v>
      </c>
      <c r="N1644" s="8" t="s">
        <v>58</v>
      </c>
      <c r="O1644" s="6" t="s">
        <v>214</v>
      </c>
      <c r="P1644" s="5" t="s">
        <v>41</v>
      </c>
      <c r="Q1644" s="5"/>
      <c r="R1644" s="6" t="s">
        <v>42</v>
      </c>
      <c r="S1644" s="5" t="s">
        <v>172</v>
      </c>
      <c r="T1644" s="5" t="s">
        <v>90</v>
      </c>
      <c r="U1644" s="5" t="s">
        <v>1583</v>
      </c>
      <c r="V1644" s="5" t="s">
        <v>44</v>
      </c>
      <c r="W1644" s="5" t="s">
        <v>36</v>
      </c>
      <c r="X1644" s="8" t="s">
        <v>278</v>
      </c>
      <c r="Y1644" s="5" t="s">
        <v>46</v>
      </c>
      <c r="Z1644" s="5" t="s">
        <v>47</v>
      </c>
      <c r="AA1644" s="5" t="s">
        <v>48</v>
      </c>
      <c r="AB1644" s="5" t="s">
        <v>7936</v>
      </c>
      <c r="AC1644" s="6" t="s">
        <v>257</v>
      </c>
      <c r="AD1644" s="6">
        <v>4043.0</v>
      </c>
    </row>
    <row r="1645" ht="56.25" customHeight="1">
      <c r="A1645" s="5" t="s">
        <v>7851</v>
      </c>
      <c r="B1645" s="6" t="str">
        <f>IMAGE("https://storage.googleapis.com/acdb/housewares/FtrLogTableLRound_Remake_3_2.png")</f>
        <v/>
      </c>
      <c r="C1645" s="5" t="s">
        <v>1600</v>
      </c>
      <c r="D1645" s="5" t="s">
        <v>34</v>
      </c>
      <c r="E1645" s="5" t="s">
        <v>7241</v>
      </c>
      <c r="F1645" s="5" t="s">
        <v>7853</v>
      </c>
      <c r="G1645" s="5" t="s">
        <v>35</v>
      </c>
      <c r="H1645" s="5" t="s">
        <v>36</v>
      </c>
      <c r="I1645" s="5" t="s">
        <v>35</v>
      </c>
      <c r="J1645" s="6">
        <v>4.0</v>
      </c>
      <c r="K1645" s="6" t="s">
        <v>37</v>
      </c>
      <c r="L1645" s="6">
        <v>1800.0</v>
      </c>
      <c r="M1645" s="8" t="s">
        <v>57</v>
      </c>
      <c r="N1645" s="8" t="s">
        <v>58</v>
      </c>
      <c r="O1645" s="6" t="s">
        <v>214</v>
      </c>
      <c r="P1645" s="5" t="s">
        <v>41</v>
      </c>
      <c r="Q1645" s="5"/>
      <c r="R1645" s="6" t="s">
        <v>42</v>
      </c>
      <c r="S1645" s="5" t="s">
        <v>172</v>
      </c>
      <c r="T1645" s="5" t="s">
        <v>90</v>
      </c>
      <c r="U1645" s="5" t="s">
        <v>1583</v>
      </c>
      <c r="V1645" s="5" t="s">
        <v>44</v>
      </c>
      <c r="W1645" s="5" t="s">
        <v>36</v>
      </c>
      <c r="X1645" s="8" t="s">
        <v>278</v>
      </c>
      <c r="Y1645" s="5" t="s">
        <v>46</v>
      </c>
      <c r="Z1645" s="5" t="s">
        <v>47</v>
      </c>
      <c r="AA1645" s="5" t="s">
        <v>48</v>
      </c>
      <c r="AB1645" s="5" t="s">
        <v>7939</v>
      </c>
      <c r="AC1645" s="6" t="s">
        <v>414</v>
      </c>
      <c r="AD1645" s="6">
        <v>4043.0</v>
      </c>
    </row>
    <row r="1646" ht="56.25" customHeight="1">
      <c r="A1646" s="5" t="s">
        <v>7851</v>
      </c>
      <c r="B1646" s="6" t="str">
        <f>IMAGE("https://storage.googleapis.com/acdb/housewares/FtrLogTableLRound_Remake_3_3.png")</f>
        <v/>
      </c>
      <c r="C1646" s="5" t="s">
        <v>1600</v>
      </c>
      <c r="D1646" s="5" t="s">
        <v>34</v>
      </c>
      <c r="E1646" s="5" t="s">
        <v>7247</v>
      </c>
      <c r="F1646" s="5" t="s">
        <v>7853</v>
      </c>
      <c r="G1646" s="5" t="s">
        <v>35</v>
      </c>
      <c r="H1646" s="5" t="s">
        <v>36</v>
      </c>
      <c r="I1646" s="5" t="s">
        <v>35</v>
      </c>
      <c r="J1646" s="6">
        <v>4.0</v>
      </c>
      <c r="K1646" s="6" t="s">
        <v>37</v>
      </c>
      <c r="L1646" s="6">
        <v>1800.0</v>
      </c>
      <c r="M1646" s="8" t="s">
        <v>57</v>
      </c>
      <c r="N1646" s="8" t="s">
        <v>39</v>
      </c>
      <c r="O1646" s="6" t="s">
        <v>214</v>
      </c>
      <c r="P1646" s="5" t="s">
        <v>41</v>
      </c>
      <c r="Q1646" s="5"/>
      <c r="R1646" s="6" t="s">
        <v>42</v>
      </c>
      <c r="S1646" s="5" t="s">
        <v>172</v>
      </c>
      <c r="T1646" s="5" t="s">
        <v>90</v>
      </c>
      <c r="U1646" s="5" t="s">
        <v>1583</v>
      </c>
      <c r="V1646" s="5" t="s">
        <v>44</v>
      </c>
      <c r="W1646" s="5" t="s">
        <v>36</v>
      </c>
      <c r="X1646" s="8" t="s">
        <v>278</v>
      </c>
      <c r="Y1646" s="5" t="s">
        <v>46</v>
      </c>
      <c r="Z1646" s="5" t="s">
        <v>47</v>
      </c>
      <c r="AA1646" s="5" t="s">
        <v>48</v>
      </c>
      <c r="AB1646" s="5" t="s">
        <v>7945</v>
      </c>
      <c r="AC1646" s="6" t="s">
        <v>418</v>
      </c>
      <c r="AD1646" s="6">
        <v>4043.0</v>
      </c>
    </row>
    <row r="1647" ht="56.25" customHeight="1">
      <c r="A1647" s="5" t="s">
        <v>7851</v>
      </c>
      <c r="B1647" s="6" t="str">
        <f>IMAGE("https://storage.googleapis.com/acdb/housewares/FtrLogTableLRound_Remake_3_4.png")</f>
        <v/>
      </c>
      <c r="C1647" s="5" t="s">
        <v>1600</v>
      </c>
      <c r="D1647" s="5" t="s">
        <v>34</v>
      </c>
      <c r="E1647" s="5" t="s">
        <v>7252</v>
      </c>
      <c r="F1647" s="5" t="s">
        <v>7853</v>
      </c>
      <c r="G1647" s="5" t="s">
        <v>35</v>
      </c>
      <c r="H1647" s="5" t="s">
        <v>36</v>
      </c>
      <c r="I1647" s="5" t="s">
        <v>35</v>
      </c>
      <c r="J1647" s="6">
        <v>4.0</v>
      </c>
      <c r="K1647" s="6" t="s">
        <v>37</v>
      </c>
      <c r="L1647" s="6">
        <v>1800.0</v>
      </c>
      <c r="M1647" s="8" t="s">
        <v>57</v>
      </c>
      <c r="N1647" s="8" t="s">
        <v>1175</v>
      </c>
      <c r="O1647" s="6" t="s">
        <v>214</v>
      </c>
      <c r="P1647" s="5" t="s">
        <v>41</v>
      </c>
      <c r="Q1647" s="5"/>
      <c r="R1647" s="6" t="s">
        <v>42</v>
      </c>
      <c r="S1647" s="5" t="s">
        <v>172</v>
      </c>
      <c r="T1647" s="5" t="s">
        <v>90</v>
      </c>
      <c r="U1647" s="5" t="s">
        <v>1583</v>
      </c>
      <c r="V1647" s="5" t="s">
        <v>44</v>
      </c>
      <c r="W1647" s="5" t="s">
        <v>36</v>
      </c>
      <c r="X1647" s="8" t="s">
        <v>278</v>
      </c>
      <c r="Y1647" s="5" t="s">
        <v>46</v>
      </c>
      <c r="Z1647" s="5" t="s">
        <v>47</v>
      </c>
      <c r="AA1647" s="5" t="s">
        <v>48</v>
      </c>
      <c r="AB1647" s="5" t="s">
        <v>7951</v>
      </c>
      <c r="AC1647" s="6" t="s">
        <v>563</v>
      </c>
      <c r="AD1647" s="6">
        <v>4043.0</v>
      </c>
    </row>
    <row r="1648" ht="56.25" customHeight="1">
      <c r="A1648" s="5" t="s">
        <v>7952</v>
      </c>
      <c r="B1648" s="6" t="str">
        <f>IMAGE("https://storage.googleapis.com/acdb/housewares/FtrLogSofaS_Remake_0_0.png")</f>
        <v/>
      </c>
      <c r="C1648" s="5" t="s">
        <v>1132</v>
      </c>
      <c r="D1648" s="5" t="s">
        <v>1455</v>
      </c>
      <c r="E1648" s="5" t="s">
        <v>44</v>
      </c>
      <c r="F1648" s="5" t="s">
        <v>443</v>
      </c>
      <c r="G1648" s="5" t="s">
        <v>35</v>
      </c>
      <c r="H1648" s="5" t="s">
        <v>35</v>
      </c>
      <c r="I1648" s="5" t="s">
        <v>35</v>
      </c>
      <c r="J1648" s="6">
        <v>3.0</v>
      </c>
      <c r="K1648" s="6" t="s">
        <v>37</v>
      </c>
      <c r="L1648" s="6">
        <v>960.0</v>
      </c>
      <c r="M1648" s="8" t="s">
        <v>39</v>
      </c>
      <c r="N1648" s="8" t="s">
        <v>39</v>
      </c>
      <c r="O1648" s="6" t="s">
        <v>40</v>
      </c>
      <c r="P1648" s="5" t="s">
        <v>41</v>
      </c>
      <c r="Q1648" s="5"/>
      <c r="R1648" s="6" t="s">
        <v>42</v>
      </c>
      <c r="S1648" s="5" t="s">
        <v>172</v>
      </c>
      <c r="T1648" s="5" t="s">
        <v>90</v>
      </c>
      <c r="U1648" s="5" t="s">
        <v>1583</v>
      </c>
      <c r="V1648" s="5" t="s">
        <v>44</v>
      </c>
      <c r="W1648" s="5" t="s">
        <v>35</v>
      </c>
      <c r="X1648" s="8" t="s">
        <v>671</v>
      </c>
      <c r="Y1648" s="5" t="s">
        <v>46</v>
      </c>
      <c r="Z1648" s="5" t="s">
        <v>47</v>
      </c>
      <c r="AA1648" s="5" t="s">
        <v>48</v>
      </c>
      <c r="AB1648" s="5" t="s">
        <v>7956</v>
      </c>
      <c r="AC1648" s="6" t="s">
        <v>50</v>
      </c>
      <c r="AD1648" s="6">
        <v>4039.0</v>
      </c>
    </row>
    <row r="1649" ht="56.25" customHeight="1">
      <c r="A1649" s="5" t="s">
        <v>7952</v>
      </c>
      <c r="B1649" s="6" t="str">
        <f>IMAGE("https://storage.googleapis.com/acdb/housewares/FtrLogSofaS_Remake_0_1.png")</f>
        <v/>
      </c>
      <c r="C1649" s="5" t="s">
        <v>1132</v>
      </c>
      <c r="D1649" s="5" t="s">
        <v>1455</v>
      </c>
      <c r="E1649" s="5" t="s">
        <v>4331</v>
      </c>
      <c r="F1649" s="5" t="s">
        <v>443</v>
      </c>
      <c r="G1649" s="5" t="s">
        <v>35</v>
      </c>
      <c r="H1649" s="5" t="s">
        <v>35</v>
      </c>
      <c r="I1649" s="5" t="s">
        <v>35</v>
      </c>
      <c r="J1649" s="6">
        <v>3.0</v>
      </c>
      <c r="K1649" s="6" t="s">
        <v>37</v>
      </c>
      <c r="L1649" s="6">
        <v>960.0</v>
      </c>
      <c r="M1649" s="8" t="s">
        <v>39</v>
      </c>
      <c r="N1649" s="8" t="s">
        <v>58</v>
      </c>
      <c r="O1649" s="6" t="s">
        <v>40</v>
      </c>
      <c r="P1649" s="5" t="s">
        <v>41</v>
      </c>
      <c r="Q1649" s="5"/>
      <c r="R1649" s="6" t="s">
        <v>42</v>
      </c>
      <c r="S1649" s="5" t="s">
        <v>172</v>
      </c>
      <c r="T1649" s="5" t="s">
        <v>90</v>
      </c>
      <c r="U1649" s="5" t="s">
        <v>1583</v>
      </c>
      <c r="V1649" s="5" t="s">
        <v>44</v>
      </c>
      <c r="W1649" s="5" t="s">
        <v>35</v>
      </c>
      <c r="X1649" s="8" t="s">
        <v>671</v>
      </c>
      <c r="Y1649" s="5" t="s">
        <v>46</v>
      </c>
      <c r="Z1649" s="5" t="s">
        <v>47</v>
      </c>
      <c r="AA1649" s="5" t="s">
        <v>48</v>
      </c>
      <c r="AB1649" s="5" t="s">
        <v>7959</v>
      </c>
      <c r="AC1649" s="6" t="s">
        <v>217</v>
      </c>
      <c r="AD1649" s="6">
        <v>4039.0</v>
      </c>
    </row>
    <row r="1650" ht="56.25" customHeight="1">
      <c r="A1650" s="5" t="s">
        <v>7952</v>
      </c>
      <c r="B1650" s="6" t="str">
        <f>IMAGE("https://storage.googleapis.com/acdb/housewares/FtrLogSofaS_Remake_0_2.png")</f>
        <v/>
      </c>
      <c r="C1650" s="5" t="s">
        <v>1132</v>
      </c>
      <c r="D1650" s="5" t="s">
        <v>1455</v>
      </c>
      <c r="E1650" s="5" t="s">
        <v>7241</v>
      </c>
      <c r="F1650" s="5" t="s">
        <v>443</v>
      </c>
      <c r="G1650" s="5" t="s">
        <v>35</v>
      </c>
      <c r="H1650" s="5" t="s">
        <v>35</v>
      </c>
      <c r="I1650" s="5" t="s">
        <v>35</v>
      </c>
      <c r="J1650" s="6">
        <v>3.0</v>
      </c>
      <c r="K1650" s="6" t="s">
        <v>37</v>
      </c>
      <c r="L1650" s="6">
        <v>960.0</v>
      </c>
      <c r="M1650" s="8" t="s">
        <v>39</v>
      </c>
      <c r="N1650" s="8" t="s">
        <v>58</v>
      </c>
      <c r="O1650" s="6" t="s">
        <v>40</v>
      </c>
      <c r="P1650" s="5" t="s">
        <v>41</v>
      </c>
      <c r="Q1650" s="5"/>
      <c r="R1650" s="6" t="s">
        <v>42</v>
      </c>
      <c r="S1650" s="5" t="s">
        <v>172</v>
      </c>
      <c r="T1650" s="5" t="s">
        <v>90</v>
      </c>
      <c r="U1650" s="5" t="s">
        <v>1583</v>
      </c>
      <c r="V1650" s="5" t="s">
        <v>44</v>
      </c>
      <c r="W1650" s="5" t="s">
        <v>35</v>
      </c>
      <c r="X1650" s="8" t="s">
        <v>671</v>
      </c>
      <c r="Y1650" s="5" t="s">
        <v>46</v>
      </c>
      <c r="Z1650" s="5" t="s">
        <v>47</v>
      </c>
      <c r="AA1650" s="5" t="s">
        <v>48</v>
      </c>
      <c r="AB1650" s="5" t="s">
        <v>7962</v>
      </c>
      <c r="AC1650" s="6" t="s">
        <v>347</v>
      </c>
      <c r="AD1650" s="6">
        <v>4039.0</v>
      </c>
    </row>
    <row r="1651" ht="56.25" customHeight="1">
      <c r="A1651" s="5" t="s">
        <v>7952</v>
      </c>
      <c r="B1651" s="6" t="str">
        <f>IMAGE("https://storage.googleapis.com/acdb/housewares/FtrLogSofaS_Remake_0_3.png")</f>
        <v/>
      </c>
      <c r="C1651" s="5" t="s">
        <v>1132</v>
      </c>
      <c r="D1651" s="5" t="s">
        <v>1455</v>
      </c>
      <c r="E1651" s="5" t="s">
        <v>7247</v>
      </c>
      <c r="F1651" s="5" t="s">
        <v>443</v>
      </c>
      <c r="G1651" s="5" t="s">
        <v>35</v>
      </c>
      <c r="H1651" s="5" t="s">
        <v>35</v>
      </c>
      <c r="I1651" s="5" t="s">
        <v>35</v>
      </c>
      <c r="J1651" s="6">
        <v>3.0</v>
      </c>
      <c r="K1651" s="6" t="s">
        <v>37</v>
      </c>
      <c r="L1651" s="6">
        <v>960.0</v>
      </c>
      <c r="M1651" s="8" t="s">
        <v>39</v>
      </c>
      <c r="N1651" s="8" t="s">
        <v>39</v>
      </c>
      <c r="O1651" s="6" t="s">
        <v>40</v>
      </c>
      <c r="P1651" s="5" t="s">
        <v>41</v>
      </c>
      <c r="Q1651" s="5"/>
      <c r="R1651" s="6" t="s">
        <v>42</v>
      </c>
      <c r="S1651" s="5" t="s">
        <v>172</v>
      </c>
      <c r="T1651" s="5" t="s">
        <v>90</v>
      </c>
      <c r="U1651" s="5" t="s">
        <v>1583</v>
      </c>
      <c r="V1651" s="5" t="s">
        <v>44</v>
      </c>
      <c r="W1651" s="5" t="s">
        <v>35</v>
      </c>
      <c r="X1651" s="8" t="s">
        <v>671</v>
      </c>
      <c r="Y1651" s="5" t="s">
        <v>46</v>
      </c>
      <c r="Z1651" s="5" t="s">
        <v>47</v>
      </c>
      <c r="AA1651" s="5" t="s">
        <v>48</v>
      </c>
      <c r="AB1651" s="5" t="s">
        <v>7966</v>
      </c>
      <c r="AC1651" s="6" t="s">
        <v>354</v>
      </c>
      <c r="AD1651" s="6">
        <v>4039.0</v>
      </c>
    </row>
    <row r="1652" ht="56.25" customHeight="1">
      <c r="A1652" s="5" t="s">
        <v>7952</v>
      </c>
      <c r="B1652" s="6" t="str">
        <f>IMAGE("https://storage.googleapis.com/acdb/housewares/FtrLogSofaS_Remake_0_4.png")</f>
        <v/>
      </c>
      <c r="C1652" s="5" t="s">
        <v>1132</v>
      </c>
      <c r="D1652" s="5" t="s">
        <v>1455</v>
      </c>
      <c r="E1652" s="5" t="s">
        <v>7252</v>
      </c>
      <c r="F1652" s="5" t="s">
        <v>443</v>
      </c>
      <c r="G1652" s="5" t="s">
        <v>35</v>
      </c>
      <c r="H1652" s="5" t="s">
        <v>35</v>
      </c>
      <c r="I1652" s="5" t="s">
        <v>35</v>
      </c>
      <c r="J1652" s="6">
        <v>3.0</v>
      </c>
      <c r="K1652" s="6" t="s">
        <v>37</v>
      </c>
      <c r="L1652" s="6">
        <v>960.0</v>
      </c>
      <c r="M1652" s="8" t="s">
        <v>39</v>
      </c>
      <c r="N1652" s="8" t="s">
        <v>1175</v>
      </c>
      <c r="O1652" s="6" t="s">
        <v>40</v>
      </c>
      <c r="P1652" s="5" t="s">
        <v>41</v>
      </c>
      <c r="Q1652" s="5"/>
      <c r="R1652" s="6" t="s">
        <v>42</v>
      </c>
      <c r="S1652" s="5" t="s">
        <v>172</v>
      </c>
      <c r="T1652" s="5" t="s">
        <v>90</v>
      </c>
      <c r="U1652" s="5" t="s">
        <v>1583</v>
      </c>
      <c r="V1652" s="5" t="s">
        <v>44</v>
      </c>
      <c r="W1652" s="5" t="s">
        <v>35</v>
      </c>
      <c r="X1652" s="8" t="s">
        <v>671</v>
      </c>
      <c r="Y1652" s="5" t="s">
        <v>46</v>
      </c>
      <c r="Z1652" s="5" t="s">
        <v>47</v>
      </c>
      <c r="AA1652" s="5" t="s">
        <v>48</v>
      </c>
      <c r="AB1652" s="5" t="s">
        <v>7969</v>
      </c>
      <c r="AC1652" s="6" t="s">
        <v>486</v>
      </c>
      <c r="AD1652" s="6">
        <v>4039.0</v>
      </c>
    </row>
    <row r="1653" ht="56.25" customHeight="1">
      <c r="A1653" s="5" t="s">
        <v>7952</v>
      </c>
      <c r="B1653" s="6" t="str">
        <f>IMAGE("https://storage.googleapis.com/acdb/housewares/FtrLogSofaS_Remake_1_0.png")</f>
        <v/>
      </c>
      <c r="C1653" s="5" t="s">
        <v>1588</v>
      </c>
      <c r="D1653" s="5" t="s">
        <v>1455</v>
      </c>
      <c r="E1653" s="5" t="s">
        <v>44</v>
      </c>
      <c r="F1653" s="5" t="s">
        <v>443</v>
      </c>
      <c r="G1653" s="5" t="s">
        <v>35</v>
      </c>
      <c r="H1653" s="5" t="s">
        <v>35</v>
      </c>
      <c r="I1653" s="5" t="s">
        <v>35</v>
      </c>
      <c r="J1653" s="6">
        <v>3.0</v>
      </c>
      <c r="K1653" s="6" t="s">
        <v>37</v>
      </c>
      <c r="L1653" s="6">
        <v>960.0</v>
      </c>
      <c r="M1653" s="8" t="s">
        <v>142</v>
      </c>
      <c r="N1653" s="8" t="s">
        <v>142</v>
      </c>
      <c r="O1653" s="6" t="s">
        <v>40</v>
      </c>
      <c r="P1653" s="5" t="s">
        <v>41</v>
      </c>
      <c r="Q1653" s="5"/>
      <c r="R1653" s="6" t="s">
        <v>42</v>
      </c>
      <c r="S1653" s="5" t="s">
        <v>172</v>
      </c>
      <c r="T1653" s="5" t="s">
        <v>90</v>
      </c>
      <c r="U1653" s="5" t="s">
        <v>1583</v>
      </c>
      <c r="V1653" s="5" t="s">
        <v>44</v>
      </c>
      <c r="W1653" s="5" t="s">
        <v>35</v>
      </c>
      <c r="X1653" s="8" t="s">
        <v>671</v>
      </c>
      <c r="Y1653" s="5" t="s">
        <v>46</v>
      </c>
      <c r="Z1653" s="5" t="s">
        <v>47</v>
      </c>
      <c r="AA1653" s="5" t="s">
        <v>48</v>
      </c>
      <c r="AB1653" s="5" t="s">
        <v>7976</v>
      </c>
      <c r="AC1653" s="6" t="s">
        <v>56</v>
      </c>
      <c r="AD1653" s="6">
        <v>4039.0</v>
      </c>
    </row>
    <row r="1654" ht="56.25" customHeight="1">
      <c r="A1654" s="5" t="s">
        <v>7952</v>
      </c>
      <c r="B1654" s="6" t="str">
        <f>IMAGE("https://storage.googleapis.com/acdb/housewares/FtrLogSofaS_Remake_1_1.png")</f>
        <v/>
      </c>
      <c r="C1654" s="5" t="s">
        <v>1588</v>
      </c>
      <c r="D1654" s="5" t="s">
        <v>1455</v>
      </c>
      <c r="E1654" s="5" t="s">
        <v>4331</v>
      </c>
      <c r="F1654" s="5" t="s">
        <v>443</v>
      </c>
      <c r="G1654" s="5" t="s">
        <v>35</v>
      </c>
      <c r="H1654" s="5" t="s">
        <v>35</v>
      </c>
      <c r="I1654" s="5" t="s">
        <v>35</v>
      </c>
      <c r="J1654" s="6">
        <v>3.0</v>
      </c>
      <c r="K1654" s="6" t="s">
        <v>37</v>
      </c>
      <c r="L1654" s="6">
        <v>960.0</v>
      </c>
      <c r="M1654" s="8" t="s">
        <v>142</v>
      </c>
      <c r="N1654" s="8" t="s">
        <v>58</v>
      </c>
      <c r="O1654" s="6" t="s">
        <v>40</v>
      </c>
      <c r="P1654" s="5" t="s">
        <v>41</v>
      </c>
      <c r="Q1654" s="5"/>
      <c r="R1654" s="6" t="s">
        <v>42</v>
      </c>
      <c r="S1654" s="5" t="s">
        <v>172</v>
      </c>
      <c r="T1654" s="5" t="s">
        <v>90</v>
      </c>
      <c r="U1654" s="5" t="s">
        <v>1583</v>
      </c>
      <c r="V1654" s="5" t="s">
        <v>44</v>
      </c>
      <c r="W1654" s="5" t="s">
        <v>35</v>
      </c>
      <c r="X1654" s="8" t="s">
        <v>671</v>
      </c>
      <c r="Y1654" s="5" t="s">
        <v>46</v>
      </c>
      <c r="Z1654" s="5" t="s">
        <v>47</v>
      </c>
      <c r="AA1654" s="5" t="s">
        <v>48</v>
      </c>
      <c r="AB1654" s="5" t="s">
        <v>7978</v>
      </c>
      <c r="AC1654" s="6" t="s">
        <v>234</v>
      </c>
      <c r="AD1654" s="6">
        <v>4039.0</v>
      </c>
    </row>
    <row r="1655" ht="56.25" customHeight="1">
      <c r="A1655" s="5" t="s">
        <v>7952</v>
      </c>
      <c r="B1655" s="6" t="str">
        <f>IMAGE("https://storage.googleapis.com/acdb/housewares/FtrLogSofaS_Remake_1_2.png")</f>
        <v/>
      </c>
      <c r="C1655" s="5" t="s">
        <v>1588</v>
      </c>
      <c r="D1655" s="5" t="s">
        <v>1455</v>
      </c>
      <c r="E1655" s="5" t="s">
        <v>7241</v>
      </c>
      <c r="F1655" s="5" t="s">
        <v>443</v>
      </c>
      <c r="G1655" s="5" t="s">
        <v>35</v>
      </c>
      <c r="H1655" s="5" t="s">
        <v>35</v>
      </c>
      <c r="I1655" s="5" t="s">
        <v>35</v>
      </c>
      <c r="J1655" s="6">
        <v>3.0</v>
      </c>
      <c r="K1655" s="6" t="s">
        <v>37</v>
      </c>
      <c r="L1655" s="6">
        <v>960.0</v>
      </c>
      <c r="M1655" s="8" t="s">
        <v>142</v>
      </c>
      <c r="N1655" s="8" t="s">
        <v>58</v>
      </c>
      <c r="O1655" s="6" t="s">
        <v>40</v>
      </c>
      <c r="P1655" s="5" t="s">
        <v>41</v>
      </c>
      <c r="Q1655" s="5"/>
      <c r="R1655" s="6" t="s">
        <v>42</v>
      </c>
      <c r="S1655" s="5" t="s">
        <v>172</v>
      </c>
      <c r="T1655" s="5" t="s">
        <v>90</v>
      </c>
      <c r="U1655" s="5" t="s">
        <v>1583</v>
      </c>
      <c r="V1655" s="5" t="s">
        <v>44</v>
      </c>
      <c r="W1655" s="5" t="s">
        <v>35</v>
      </c>
      <c r="X1655" s="8" t="s">
        <v>671</v>
      </c>
      <c r="Y1655" s="5" t="s">
        <v>46</v>
      </c>
      <c r="Z1655" s="5" t="s">
        <v>47</v>
      </c>
      <c r="AA1655" s="5" t="s">
        <v>48</v>
      </c>
      <c r="AB1655" s="5" t="s">
        <v>7982</v>
      </c>
      <c r="AC1655" s="6" t="s">
        <v>370</v>
      </c>
      <c r="AD1655" s="6">
        <v>4039.0</v>
      </c>
    </row>
    <row r="1656" ht="56.25" customHeight="1">
      <c r="A1656" s="5" t="s">
        <v>7952</v>
      </c>
      <c r="B1656" s="6" t="str">
        <f>IMAGE("https://storage.googleapis.com/acdb/housewares/FtrLogSofaS_Remake_1_3.png")</f>
        <v/>
      </c>
      <c r="C1656" s="5" t="s">
        <v>1588</v>
      </c>
      <c r="D1656" s="5" t="s">
        <v>1455</v>
      </c>
      <c r="E1656" s="5" t="s">
        <v>7247</v>
      </c>
      <c r="F1656" s="5" t="s">
        <v>443</v>
      </c>
      <c r="G1656" s="5" t="s">
        <v>35</v>
      </c>
      <c r="H1656" s="5" t="s">
        <v>35</v>
      </c>
      <c r="I1656" s="5" t="s">
        <v>35</v>
      </c>
      <c r="J1656" s="6">
        <v>3.0</v>
      </c>
      <c r="K1656" s="6" t="s">
        <v>37</v>
      </c>
      <c r="L1656" s="6">
        <v>960.0</v>
      </c>
      <c r="M1656" s="8" t="s">
        <v>142</v>
      </c>
      <c r="N1656" s="8" t="s">
        <v>39</v>
      </c>
      <c r="O1656" s="6" t="s">
        <v>40</v>
      </c>
      <c r="P1656" s="5" t="s">
        <v>41</v>
      </c>
      <c r="Q1656" s="5"/>
      <c r="R1656" s="6" t="s">
        <v>42</v>
      </c>
      <c r="S1656" s="5" t="s">
        <v>172</v>
      </c>
      <c r="T1656" s="5" t="s">
        <v>90</v>
      </c>
      <c r="U1656" s="5" t="s">
        <v>1583</v>
      </c>
      <c r="V1656" s="5" t="s">
        <v>44</v>
      </c>
      <c r="W1656" s="5" t="s">
        <v>35</v>
      </c>
      <c r="X1656" s="8" t="s">
        <v>671</v>
      </c>
      <c r="Y1656" s="5" t="s">
        <v>46</v>
      </c>
      <c r="Z1656" s="5" t="s">
        <v>47</v>
      </c>
      <c r="AA1656" s="5" t="s">
        <v>48</v>
      </c>
      <c r="AB1656" s="5" t="s">
        <v>7985</v>
      </c>
      <c r="AC1656" s="6" t="s">
        <v>377</v>
      </c>
      <c r="AD1656" s="6">
        <v>4039.0</v>
      </c>
    </row>
    <row r="1657" ht="56.25" customHeight="1">
      <c r="A1657" s="5" t="s">
        <v>7952</v>
      </c>
      <c r="B1657" s="6" t="str">
        <f>IMAGE("https://storage.googleapis.com/acdb/housewares/FtrLogSofaS_Remake_1_4.png")</f>
        <v/>
      </c>
      <c r="C1657" s="5" t="s">
        <v>1588</v>
      </c>
      <c r="D1657" s="5" t="s">
        <v>1455</v>
      </c>
      <c r="E1657" s="5" t="s">
        <v>7252</v>
      </c>
      <c r="F1657" s="5" t="s">
        <v>443</v>
      </c>
      <c r="G1657" s="5" t="s">
        <v>35</v>
      </c>
      <c r="H1657" s="5" t="s">
        <v>35</v>
      </c>
      <c r="I1657" s="5" t="s">
        <v>35</v>
      </c>
      <c r="J1657" s="6">
        <v>3.0</v>
      </c>
      <c r="K1657" s="6" t="s">
        <v>37</v>
      </c>
      <c r="L1657" s="6">
        <v>960.0</v>
      </c>
      <c r="M1657" s="8" t="s">
        <v>142</v>
      </c>
      <c r="N1657" s="8" t="s">
        <v>1175</v>
      </c>
      <c r="O1657" s="6" t="s">
        <v>40</v>
      </c>
      <c r="P1657" s="5" t="s">
        <v>41</v>
      </c>
      <c r="Q1657" s="5"/>
      <c r="R1657" s="6" t="s">
        <v>42</v>
      </c>
      <c r="S1657" s="5" t="s">
        <v>172</v>
      </c>
      <c r="T1657" s="5" t="s">
        <v>90</v>
      </c>
      <c r="U1657" s="5" t="s">
        <v>1583</v>
      </c>
      <c r="V1657" s="5" t="s">
        <v>44</v>
      </c>
      <c r="W1657" s="5" t="s">
        <v>35</v>
      </c>
      <c r="X1657" s="8" t="s">
        <v>671</v>
      </c>
      <c r="Y1657" s="5" t="s">
        <v>46</v>
      </c>
      <c r="Z1657" s="5" t="s">
        <v>47</v>
      </c>
      <c r="AA1657" s="5" t="s">
        <v>48</v>
      </c>
      <c r="AB1657" s="5" t="s">
        <v>7990</v>
      </c>
      <c r="AC1657" s="6" t="s">
        <v>520</v>
      </c>
      <c r="AD1657" s="6">
        <v>4039.0</v>
      </c>
    </row>
    <row r="1658" ht="56.25" customHeight="1">
      <c r="A1658" s="5" t="s">
        <v>7952</v>
      </c>
      <c r="B1658" s="6" t="str">
        <f>IMAGE("https://storage.googleapis.com/acdb/housewares/FtrLogSofaS_Remake_2_0.png")</f>
        <v/>
      </c>
      <c r="C1658" s="5" t="s">
        <v>1595</v>
      </c>
      <c r="D1658" s="5" t="s">
        <v>1455</v>
      </c>
      <c r="E1658" s="5" t="s">
        <v>44</v>
      </c>
      <c r="F1658" s="5" t="s">
        <v>443</v>
      </c>
      <c r="G1658" s="5" t="s">
        <v>35</v>
      </c>
      <c r="H1658" s="5" t="s">
        <v>35</v>
      </c>
      <c r="I1658" s="5" t="s">
        <v>35</v>
      </c>
      <c r="J1658" s="6">
        <v>3.0</v>
      </c>
      <c r="K1658" s="6" t="s">
        <v>37</v>
      </c>
      <c r="L1658" s="6">
        <v>960.0</v>
      </c>
      <c r="M1658" s="8" t="s">
        <v>38</v>
      </c>
      <c r="N1658" s="8" t="s">
        <v>38</v>
      </c>
      <c r="O1658" s="6" t="s">
        <v>40</v>
      </c>
      <c r="P1658" s="5" t="s">
        <v>41</v>
      </c>
      <c r="Q1658" s="5"/>
      <c r="R1658" s="6" t="s">
        <v>42</v>
      </c>
      <c r="S1658" s="5" t="s">
        <v>172</v>
      </c>
      <c r="T1658" s="5" t="s">
        <v>90</v>
      </c>
      <c r="U1658" s="5" t="s">
        <v>1583</v>
      </c>
      <c r="V1658" s="5" t="s">
        <v>44</v>
      </c>
      <c r="W1658" s="5" t="s">
        <v>35</v>
      </c>
      <c r="X1658" s="8" t="s">
        <v>671</v>
      </c>
      <c r="Y1658" s="5" t="s">
        <v>46</v>
      </c>
      <c r="Z1658" s="5" t="s">
        <v>47</v>
      </c>
      <c r="AA1658" s="5" t="s">
        <v>48</v>
      </c>
      <c r="AB1658" s="5" t="s">
        <v>7996</v>
      </c>
      <c r="AC1658" s="6" t="s">
        <v>67</v>
      </c>
      <c r="AD1658" s="6">
        <v>4039.0</v>
      </c>
    </row>
    <row r="1659" ht="56.25" customHeight="1">
      <c r="A1659" s="5" t="s">
        <v>7952</v>
      </c>
      <c r="B1659" s="6" t="str">
        <f>IMAGE("https://storage.googleapis.com/acdb/housewares/FtrLogSofaS_Remake_2_1.png")</f>
        <v/>
      </c>
      <c r="C1659" s="5" t="s">
        <v>1595</v>
      </c>
      <c r="D1659" s="5" t="s">
        <v>1455</v>
      </c>
      <c r="E1659" s="5" t="s">
        <v>4331</v>
      </c>
      <c r="F1659" s="5" t="s">
        <v>443</v>
      </c>
      <c r="G1659" s="5" t="s">
        <v>35</v>
      </c>
      <c r="H1659" s="5" t="s">
        <v>35</v>
      </c>
      <c r="I1659" s="5" t="s">
        <v>35</v>
      </c>
      <c r="J1659" s="6">
        <v>3.0</v>
      </c>
      <c r="K1659" s="6" t="s">
        <v>37</v>
      </c>
      <c r="L1659" s="6">
        <v>960.0</v>
      </c>
      <c r="M1659" s="8" t="s">
        <v>38</v>
      </c>
      <c r="N1659" s="8" t="s">
        <v>58</v>
      </c>
      <c r="O1659" s="6" t="s">
        <v>40</v>
      </c>
      <c r="P1659" s="5" t="s">
        <v>41</v>
      </c>
      <c r="Q1659" s="5"/>
      <c r="R1659" s="6" t="s">
        <v>42</v>
      </c>
      <c r="S1659" s="5" t="s">
        <v>172</v>
      </c>
      <c r="T1659" s="5" t="s">
        <v>90</v>
      </c>
      <c r="U1659" s="5" t="s">
        <v>1583</v>
      </c>
      <c r="V1659" s="5" t="s">
        <v>44</v>
      </c>
      <c r="W1659" s="5" t="s">
        <v>35</v>
      </c>
      <c r="X1659" s="8" t="s">
        <v>671</v>
      </c>
      <c r="Y1659" s="5" t="s">
        <v>46</v>
      </c>
      <c r="Z1659" s="5" t="s">
        <v>47</v>
      </c>
      <c r="AA1659" s="5" t="s">
        <v>48</v>
      </c>
      <c r="AB1659" s="5" t="s">
        <v>8000</v>
      </c>
      <c r="AC1659" s="6" t="s">
        <v>247</v>
      </c>
      <c r="AD1659" s="6">
        <v>4039.0</v>
      </c>
    </row>
    <row r="1660" ht="56.25" customHeight="1">
      <c r="A1660" s="5" t="s">
        <v>7952</v>
      </c>
      <c r="B1660" s="6" t="str">
        <f>IMAGE("https://storage.googleapis.com/acdb/housewares/FtrLogSofaS_Remake_2_2.png")</f>
        <v/>
      </c>
      <c r="C1660" s="5" t="s">
        <v>1595</v>
      </c>
      <c r="D1660" s="5" t="s">
        <v>1455</v>
      </c>
      <c r="E1660" s="5" t="s">
        <v>7241</v>
      </c>
      <c r="F1660" s="5" t="s">
        <v>443</v>
      </c>
      <c r="G1660" s="5" t="s">
        <v>35</v>
      </c>
      <c r="H1660" s="5" t="s">
        <v>35</v>
      </c>
      <c r="I1660" s="5" t="s">
        <v>35</v>
      </c>
      <c r="J1660" s="6">
        <v>3.0</v>
      </c>
      <c r="K1660" s="6" t="s">
        <v>37</v>
      </c>
      <c r="L1660" s="6">
        <v>960.0</v>
      </c>
      <c r="M1660" s="8" t="s">
        <v>38</v>
      </c>
      <c r="N1660" s="8" t="s">
        <v>58</v>
      </c>
      <c r="O1660" s="6" t="s">
        <v>40</v>
      </c>
      <c r="P1660" s="5" t="s">
        <v>41</v>
      </c>
      <c r="Q1660" s="5"/>
      <c r="R1660" s="6" t="s">
        <v>42</v>
      </c>
      <c r="S1660" s="5" t="s">
        <v>172</v>
      </c>
      <c r="T1660" s="5" t="s">
        <v>90</v>
      </c>
      <c r="U1660" s="5" t="s">
        <v>1583</v>
      </c>
      <c r="V1660" s="5" t="s">
        <v>44</v>
      </c>
      <c r="W1660" s="5" t="s">
        <v>35</v>
      </c>
      <c r="X1660" s="8" t="s">
        <v>671</v>
      </c>
      <c r="Y1660" s="5" t="s">
        <v>46</v>
      </c>
      <c r="Z1660" s="5" t="s">
        <v>47</v>
      </c>
      <c r="AA1660" s="5" t="s">
        <v>48</v>
      </c>
      <c r="AB1660" s="5" t="s">
        <v>8003</v>
      </c>
      <c r="AC1660" s="6" t="s">
        <v>390</v>
      </c>
      <c r="AD1660" s="6">
        <v>4039.0</v>
      </c>
    </row>
    <row r="1661" ht="56.25" customHeight="1">
      <c r="A1661" s="5" t="s">
        <v>7952</v>
      </c>
      <c r="B1661" s="6" t="str">
        <f>IMAGE("https://storage.googleapis.com/acdb/housewares/FtrLogSofaS_Remake_2_3.png")</f>
        <v/>
      </c>
      <c r="C1661" s="5" t="s">
        <v>1595</v>
      </c>
      <c r="D1661" s="5" t="s">
        <v>1455</v>
      </c>
      <c r="E1661" s="5" t="s">
        <v>7247</v>
      </c>
      <c r="F1661" s="5" t="s">
        <v>443</v>
      </c>
      <c r="G1661" s="5" t="s">
        <v>35</v>
      </c>
      <c r="H1661" s="5" t="s">
        <v>35</v>
      </c>
      <c r="I1661" s="5" t="s">
        <v>35</v>
      </c>
      <c r="J1661" s="6">
        <v>3.0</v>
      </c>
      <c r="K1661" s="6" t="s">
        <v>37</v>
      </c>
      <c r="L1661" s="6">
        <v>960.0</v>
      </c>
      <c r="M1661" s="8" t="s">
        <v>38</v>
      </c>
      <c r="N1661" s="8" t="s">
        <v>39</v>
      </c>
      <c r="O1661" s="6" t="s">
        <v>40</v>
      </c>
      <c r="P1661" s="5" t="s">
        <v>41</v>
      </c>
      <c r="Q1661" s="5"/>
      <c r="R1661" s="6" t="s">
        <v>42</v>
      </c>
      <c r="S1661" s="5" t="s">
        <v>172</v>
      </c>
      <c r="T1661" s="5" t="s">
        <v>90</v>
      </c>
      <c r="U1661" s="5" t="s">
        <v>1583</v>
      </c>
      <c r="V1661" s="5" t="s">
        <v>44</v>
      </c>
      <c r="W1661" s="5" t="s">
        <v>35</v>
      </c>
      <c r="X1661" s="8" t="s">
        <v>671</v>
      </c>
      <c r="Y1661" s="5" t="s">
        <v>46</v>
      </c>
      <c r="Z1661" s="5" t="s">
        <v>47</v>
      </c>
      <c r="AA1661" s="5" t="s">
        <v>48</v>
      </c>
      <c r="AB1661" s="5" t="s">
        <v>8006</v>
      </c>
      <c r="AC1661" s="6" t="s">
        <v>396</v>
      </c>
      <c r="AD1661" s="6">
        <v>4039.0</v>
      </c>
    </row>
    <row r="1662" ht="56.25" customHeight="1">
      <c r="A1662" s="5" t="s">
        <v>7952</v>
      </c>
      <c r="B1662" s="6" t="str">
        <f>IMAGE("https://storage.googleapis.com/acdb/housewares/FtrLogSofaS_Remake_2_4.png")</f>
        <v/>
      </c>
      <c r="C1662" s="5" t="s">
        <v>1595</v>
      </c>
      <c r="D1662" s="5" t="s">
        <v>1455</v>
      </c>
      <c r="E1662" s="5" t="s">
        <v>7252</v>
      </c>
      <c r="F1662" s="5" t="s">
        <v>443</v>
      </c>
      <c r="G1662" s="5" t="s">
        <v>35</v>
      </c>
      <c r="H1662" s="5" t="s">
        <v>35</v>
      </c>
      <c r="I1662" s="5" t="s">
        <v>35</v>
      </c>
      <c r="J1662" s="6">
        <v>3.0</v>
      </c>
      <c r="K1662" s="6" t="s">
        <v>37</v>
      </c>
      <c r="L1662" s="6">
        <v>960.0</v>
      </c>
      <c r="M1662" s="8" t="s">
        <v>38</v>
      </c>
      <c r="N1662" s="8" t="s">
        <v>1175</v>
      </c>
      <c r="O1662" s="6" t="s">
        <v>40</v>
      </c>
      <c r="P1662" s="5" t="s">
        <v>41</v>
      </c>
      <c r="Q1662" s="5"/>
      <c r="R1662" s="6" t="s">
        <v>42</v>
      </c>
      <c r="S1662" s="5" t="s">
        <v>172</v>
      </c>
      <c r="T1662" s="5" t="s">
        <v>90</v>
      </c>
      <c r="U1662" s="5" t="s">
        <v>1583</v>
      </c>
      <c r="V1662" s="5" t="s">
        <v>44</v>
      </c>
      <c r="W1662" s="5" t="s">
        <v>35</v>
      </c>
      <c r="X1662" s="8" t="s">
        <v>671</v>
      </c>
      <c r="Y1662" s="5" t="s">
        <v>46</v>
      </c>
      <c r="Z1662" s="5" t="s">
        <v>47</v>
      </c>
      <c r="AA1662" s="5" t="s">
        <v>48</v>
      </c>
      <c r="AB1662" s="5" t="s">
        <v>8010</v>
      </c>
      <c r="AC1662" s="6" t="s">
        <v>541</v>
      </c>
      <c r="AD1662" s="6">
        <v>4039.0</v>
      </c>
    </row>
    <row r="1663" ht="56.25" customHeight="1">
      <c r="A1663" s="5" t="s">
        <v>7952</v>
      </c>
      <c r="B1663" s="6" t="str">
        <f>IMAGE("https://storage.googleapis.com/acdb/housewares/FtrLogSofaS_Remake_3_0.png")</f>
        <v/>
      </c>
      <c r="C1663" s="5" t="s">
        <v>1600</v>
      </c>
      <c r="D1663" s="5" t="s">
        <v>1455</v>
      </c>
      <c r="E1663" s="5" t="s">
        <v>44</v>
      </c>
      <c r="F1663" s="5" t="s">
        <v>443</v>
      </c>
      <c r="G1663" s="5" t="s">
        <v>35</v>
      </c>
      <c r="H1663" s="5" t="s">
        <v>35</v>
      </c>
      <c r="I1663" s="5" t="s">
        <v>35</v>
      </c>
      <c r="J1663" s="6">
        <v>3.0</v>
      </c>
      <c r="K1663" s="6" t="s">
        <v>37</v>
      </c>
      <c r="L1663" s="6">
        <v>960.0</v>
      </c>
      <c r="M1663" s="8" t="s">
        <v>57</v>
      </c>
      <c r="N1663" s="8" t="s">
        <v>57</v>
      </c>
      <c r="O1663" s="6" t="s">
        <v>40</v>
      </c>
      <c r="P1663" s="5" t="s">
        <v>41</v>
      </c>
      <c r="Q1663" s="5"/>
      <c r="R1663" s="6" t="s">
        <v>42</v>
      </c>
      <c r="S1663" s="5" t="s">
        <v>172</v>
      </c>
      <c r="T1663" s="5" t="s">
        <v>90</v>
      </c>
      <c r="U1663" s="5" t="s">
        <v>1583</v>
      </c>
      <c r="V1663" s="5" t="s">
        <v>44</v>
      </c>
      <c r="W1663" s="5" t="s">
        <v>35</v>
      </c>
      <c r="X1663" s="8" t="s">
        <v>671</v>
      </c>
      <c r="Y1663" s="5" t="s">
        <v>46</v>
      </c>
      <c r="Z1663" s="5" t="s">
        <v>47</v>
      </c>
      <c r="AA1663" s="5" t="s">
        <v>48</v>
      </c>
      <c r="AB1663" s="5" t="s">
        <v>8014</v>
      </c>
      <c r="AC1663" s="6" t="s">
        <v>71</v>
      </c>
      <c r="AD1663" s="6">
        <v>4039.0</v>
      </c>
    </row>
    <row r="1664" ht="56.25" customHeight="1">
      <c r="A1664" s="5" t="s">
        <v>7952</v>
      </c>
      <c r="B1664" s="6" t="str">
        <f>IMAGE("https://storage.googleapis.com/acdb/housewares/FtrLogSofaS_Remake_3_1.png")</f>
        <v/>
      </c>
      <c r="C1664" s="5" t="s">
        <v>1600</v>
      </c>
      <c r="D1664" s="5" t="s">
        <v>34</v>
      </c>
      <c r="E1664" s="5" t="s">
        <v>4331</v>
      </c>
      <c r="F1664" s="5" t="s">
        <v>443</v>
      </c>
      <c r="G1664" s="5" t="s">
        <v>35</v>
      </c>
      <c r="H1664" s="5" t="s">
        <v>36</v>
      </c>
      <c r="I1664" s="5" t="s">
        <v>35</v>
      </c>
      <c r="J1664" s="6">
        <v>3.0</v>
      </c>
      <c r="K1664" s="6" t="s">
        <v>37</v>
      </c>
      <c r="L1664" s="6">
        <v>960.0</v>
      </c>
      <c r="M1664" s="8" t="s">
        <v>57</v>
      </c>
      <c r="N1664" s="8" t="s">
        <v>58</v>
      </c>
      <c r="O1664" s="6" t="s">
        <v>40</v>
      </c>
      <c r="P1664" s="5" t="s">
        <v>41</v>
      </c>
      <c r="Q1664" s="5"/>
      <c r="R1664" s="6" t="s">
        <v>42</v>
      </c>
      <c r="S1664" s="5" t="s">
        <v>172</v>
      </c>
      <c r="T1664" s="5" t="s">
        <v>90</v>
      </c>
      <c r="U1664" s="5" t="s">
        <v>1583</v>
      </c>
      <c r="V1664" s="5" t="s">
        <v>44</v>
      </c>
      <c r="W1664" s="5" t="s">
        <v>35</v>
      </c>
      <c r="X1664" s="8" t="s">
        <v>671</v>
      </c>
      <c r="Y1664" s="5" t="s">
        <v>46</v>
      </c>
      <c r="Z1664" s="5" t="s">
        <v>47</v>
      </c>
      <c r="AA1664" s="5" t="s">
        <v>48</v>
      </c>
      <c r="AB1664" s="5" t="s">
        <v>8018</v>
      </c>
      <c r="AC1664" s="6" t="s">
        <v>257</v>
      </c>
      <c r="AD1664" s="6">
        <v>4039.0</v>
      </c>
    </row>
    <row r="1665" ht="56.25" customHeight="1">
      <c r="A1665" s="5" t="s">
        <v>7952</v>
      </c>
      <c r="B1665" s="6" t="str">
        <f>IMAGE("https://storage.googleapis.com/acdb/housewares/FtrLogSofaS_Remake_3_2.png")</f>
        <v/>
      </c>
      <c r="C1665" s="5" t="s">
        <v>1600</v>
      </c>
      <c r="D1665" s="5" t="s">
        <v>34</v>
      </c>
      <c r="E1665" s="5" t="s">
        <v>7241</v>
      </c>
      <c r="F1665" s="5" t="s">
        <v>443</v>
      </c>
      <c r="G1665" s="5" t="s">
        <v>35</v>
      </c>
      <c r="H1665" s="5" t="s">
        <v>36</v>
      </c>
      <c r="I1665" s="5" t="s">
        <v>35</v>
      </c>
      <c r="J1665" s="6">
        <v>3.0</v>
      </c>
      <c r="K1665" s="6" t="s">
        <v>37</v>
      </c>
      <c r="L1665" s="6">
        <v>960.0</v>
      </c>
      <c r="M1665" s="8" t="s">
        <v>57</v>
      </c>
      <c r="N1665" s="8" t="s">
        <v>58</v>
      </c>
      <c r="O1665" s="6" t="s">
        <v>40</v>
      </c>
      <c r="P1665" s="5" t="s">
        <v>41</v>
      </c>
      <c r="Q1665" s="5"/>
      <c r="R1665" s="6" t="s">
        <v>42</v>
      </c>
      <c r="S1665" s="5" t="s">
        <v>172</v>
      </c>
      <c r="T1665" s="5" t="s">
        <v>90</v>
      </c>
      <c r="U1665" s="5" t="s">
        <v>1583</v>
      </c>
      <c r="V1665" s="5" t="s">
        <v>44</v>
      </c>
      <c r="W1665" s="5" t="s">
        <v>35</v>
      </c>
      <c r="X1665" s="8" t="s">
        <v>671</v>
      </c>
      <c r="Y1665" s="5" t="s">
        <v>46</v>
      </c>
      <c r="Z1665" s="5" t="s">
        <v>47</v>
      </c>
      <c r="AA1665" s="5" t="s">
        <v>48</v>
      </c>
      <c r="AB1665" s="5" t="s">
        <v>8023</v>
      </c>
      <c r="AC1665" s="6" t="s">
        <v>414</v>
      </c>
      <c r="AD1665" s="6">
        <v>4039.0</v>
      </c>
    </row>
    <row r="1666" ht="56.25" customHeight="1">
      <c r="A1666" s="5" t="s">
        <v>7952</v>
      </c>
      <c r="B1666" s="6" t="str">
        <f>IMAGE("https://storage.googleapis.com/acdb/housewares/FtrLogSofaS_Remake_3_3.png")</f>
        <v/>
      </c>
      <c r="C1666" s="5" t="s">
        <v>1600</v>
      </c>
      <c r="D1666" s="5" t="s">
        <v>34</v>
      </c>
      <c r="E1666" s="5" t="s">
        <v>7247</v>
      </c>
      <c r="F1666" s="5" t="s">
        <v>443</v>
      </c>
      <c r="G1666" s="5" t="s">
        <v>35</v>
      </c>
      <c r="H1666" s="5" t="s">
        <v>36</v>
      </c>
      <c r="I1666" s="5" t="s">
        <v>35</v>
      </c>
      <c r="J1666" s="6">
        <v>3.0</v>
      </c>
      <c r="K1666" s="6" t="s">
        <v>37</v>
      </c>
      <c r="L1666" s="6">
        <v>960.0</v>
      </c>
      <c r="M1666" s="8" t="s">
        <v>57</v>
      </c>
      <c r="N1666" s="8" t="s">
        <v>39</v>
      </c>
      <c r="O1666" s="6" t="s">
        <v>40</v>
      </c>
      <c r="P1666" s="5" t="s">
        <v>41</v>
      </c>
      <c r="Q1666" s="5"/>
      <c r="R1666" s="6" t="s">
        <v>42</v>
      </c>
      <c r="S1666" s="5" t="s">
        <v>172</v>
      </c>
      <c r="T1666" s="5" t="s">
        <v>90</v>
      </c>
      <c r="U1666" s="5" t="s">
        <v>1583</v>
      </c>
      <c r="V1666" s="5" t="s">
        <v>44</v>
      </c>
      <c r="W1666" s="5" t="s">
        <v>35</v>
      </c>
      <c r="X1666" s="8" t="s">
        <v>671</v>
      </c>
      <c r="Y1666" s="5" t="s">
        <v>46</v>
      </c>
      <c r="Z1666" s="5" t="s">
        <v>47</v>
      </c>
      <c r="AA1666" s="5" t="s">
        <v>48</v>
      </c>
      <c r="AB1666" s="5" t="s">
        <v>8027</v>
      </c>
      <c r="AC1666" s="6" t="s">
        <v>418</v>
      </c>
      <c r="AD1666" s="6">
        <v>4039.0</v>
      </c>
    </row>
    <row r="1667" ht="56.25" customHeight="1">
      <c r="A1667" s="5" t="s">
        <v>7952</v>
      </c>
      <c r="B1667" s="6" t="str">
        <f>IMAGE("https://storage.googleapis.com/acdb/housewares/FtrLogSofaS_Remake_3_4.png")</f>
        <v/>
      </c>
      <c r="C1667" s="5" t="s">
        <v>1600</v>
      </c>
      <c r="D1667" s="5" t="s">
        <v>34</v>
      </c>
      <c r="E1667" s="5" t="s">
        <v>7252</v>
      </c>
      <c r="F1667" s="5" t="s">
        <v>443</v>
      </c>
      <c r="G1667" s="5" t="s">
        <v>35</v>
      </c>
      <c r="H1667" s="5" t="s">
        <v>36</v>
      </c>
      <c r="I1667" s="5" t="s">
        <v>35</v>
      </c>
      <c r="J1667" s="6">
        <v>3.0</v>
      </c>
      <c r="K1667" s="6" t="s">
        <v>37</v>
      </c>
      <c r="L1667" s="6">
        <v>960.0</v>
      </c>
      <c r="M1667" s="8" t="s">
        <v>57</v>
      </c>
      <c r="N1667" s="8" t="s">
        <v>1175</v>
      </c>
      <c r="O1667" s="6" t="s">
        <v>40</v>
      </c>
      <c r="P1667" s="5" t="s">
        <v>41</v>
      </c>
      <c r="Q1667" s="5"/>
      <c r="R1667" s="6" t="s">
        <v>42</v>
      </c>
      <c r="S1667" s="5" t="s">
        <v>172</v>
      </c>
      <c r="T1667" s="5" t="s">
        <v>90</v>
      </c>
      <c r="U1667" s="5" t="s">
        <v>1583</v>
      </c>
      <c r="V1667" s="5" t="s">
        <v>44</v>
      </c>
      <c r="W1667" s="5" t="s">
        <v>35</v>
      </c>
      <c r="X1667" s="8" t="s">
        <v>671</v>
      </c>
      <c r="Y1667" s="5" t="s">
        <v>46</v>
      </c>
      <c r="Z1667" s="5" t="s">
        <v>47</v>
      </c>
      <c r="AA1667" s="5" t="s">
        <v>48</v>
      </c>
      <c r="AB1667" s="5" t="s">
        <v>8031</v>
      </c>
      <c r="AC1667" s="6" t="s">
        <v>563</v>
      </c>
      <c r="AD1667" s="6">
        <v>4039.0</v>
      </c>
    </row>
    <row r="1668" ht="56.25" customHeight="1">
      <c r="A1668" s="5" t="s">
        <v>8032</v>
      </c>
      <c r="B1668" s="6" t="str">
        <f>IMAGE("https://storage.googleapis.com/acdb/housewares/FtrWoodPile_Remake_0_0.png")</f>
        <v/>
      </c>
      <c r="C1668" s="5" t="s">
        <v>1132</v>
      </c>
      <c r="D1668" s="5" t="s">
        <v>1455</v>
      </c>
      <c r="E1668" s="5" t="s">
        <v>34</v>
      </c>
      <c r="F1668" s="5" t="s">
        <v>34</v>
      </c>
      <c r="G1668" s="5" t="s">
        <v>35</v>
      </c>
      <c r="H1668" s="5" t="s">
        <v>35</v>
      </c>
      <c r="I1668" s="5" t="s">
        <v>36</v>
      </c>
      <c r="J1668" s="6">
        <v>1.0</v>
      </c>
      <c r="K1668" s="6" t="s">
        <v>37</v>
      </c>
      <c r="L1668" s="6">
        <v>360.0</v>
      </c>
      <c r="M1668" s="8" t="s">
        <v>39</v>
      </c>
      <c r="N1668" s="8" t="s">
        <v>38</v>
      </c>
      <c r="O1668" s="6" t="s">
        <v>40</v>
      </c>
      <c r="P1668" s="5" t="s">
        <v>41</v>
      </c>
      <c r="Q1668" s="5"/>
      <c r="R1668" s="6" t="s">
        <v>42</v>
      </c>
      <c r="S1668" s="5" t="s">
        <v>172</v>
      </c>
      <c r="T1668" s="5" t="s">
        <v>44</v>
      </c>
      <c r="U1668" s="5" t="s">
        <v>1583</v>
      </c>
      <c r="V1668" s="5" t="s">
        <v>44</v>
      </c>
      <c r="W1668" s="5" t="s">
        <v>36</v>
      </c>
      <c r="X1668" s="8" t="s">
        <v>395</v>
      </c>
      <c r="Y1668" s="5" t="s">
        <v>46</v>
      </c>
      <c r="Z1668" s="5" t="s">
        <v>47</v>
      </c>
      <c r="AA1668" s="5" t="s">
        <v>48</v>
      </c>
      <c r="AB1668" s="5" t="s">
        <v>8035</v>
      </c>
      <c r="AC1668" s="6" t="s">
        <v>50</v>
      </c>
      <c r="AD1668" s="6">
        <v>5973.0</v>
      </c>
    </row>
    <row r="1669" ht="56.25" customHeight="1">
      <c r="A1669" s="5" t="s">
        <v>8032</v>
      </c>
      <c r="B1669" s="6" t="str">
        <f>IMAGE("https://storage.googleapis.com/acdb/housewares/FtrWoodPile_Remake_1_0.png")</f>
        <v/>
      </c>
      <c r="C1669" s="5" t="s">
        <v>1588</v>
      </c>
      <c r="D1669" s="5" t="s">
        <v>1455</v>
      </c>
      <c r="E1669" s="5" t="s">
        <v>34</v>
      </c>
      <c r="F1669" s="5" t="s">
        <v>34</v>
      </c>
      <c r="G1669" s="5" t="s">
        <v>35</v>
      </c>
      <c r="H1669" s="5" t="s">
        <v>35</v>
      </c>
      <c r="I1669" s="5" t="s">
        <v>36</v>
      </c>
      <c r="J1669" s="6">
        <v>1.0</v>
      </c>
      <c r="K1669" s="6" t="s">
        <v>37</v>
      </c>
      <c r="L1669" s="6">
        <v>360.0</v>
      </c>
      <c r="M1669" s="8" t="s">
        <v>142</v>
      </c>
      <c r="N1669" s="8" t="s">
        <v>38</v>
      </c>
      <c r="O1669" s="6" t="s">
        <v>40</v>
      </c>
      <c r="P1669" s="5" t="s">
        <v>41</v>
      </c>
      <c r="Q1669" s="5"/>
      <c r="R1669" s="6" t="s">
        <v>42</v>
      </c>
      <c r="S1669" s="5" t="s">
        <v>172</v>
      </c>
      <c r="T1669" s="5" t="s">
        <v>44</v>
      </c>
      <c r="U1669" s="5" t="s">
        <v>1583</v>
      </c>
      <c r="V1669" s="5" t="s">
        <v>44</v>
      </c>
      <c r="W1669" s="5" t="s">
        <v>36</v>
      </c>
      <c r="X1669" s="8" t="s">
        <v>395</v>
      </c>
      <c r="Y1669" s="5" t="s">
        <v>46</v>
      </c>
      <c r="Z1669" s="5" t="s">
        <v>47</v>
      </c>
      <c r="AA1669" s="5" t="s">
        <v>48</v>
      </c>
      <c r="AB1669" s="5" t="s">
        <v>8038</v>
      </c>
      <c r="AC1669" s="6" t="s">
        <v>56</v>
      </c>
      <c r="AD1669" s="6">
        <v>5973.0</v>
      </c>
    </row>
    <row r="1670" ht="56.25" customHeight="1">
      <c r="A1670" s="5" t="s">
        <v>8032</v>
      </c>
      <c r="B1670" s="6" t="str">
        <f>IMAGE("https://storage.googleapis.com/acdb/housewares/FtrWoodPile_Remake_2_0.png")</f>
        <v/>
      </c>
      <c r="C1670" s="5" t="s">
        <v>1595</v>
      </c>
      <c r="D1670" s="5" t="s">
        <v>1455</v>
      </c>
      <c r="E1670" s="5" t="s">
        <v>34</v>
      </c>
      <c r="F1670" s="5" t="s">
        <v>34</v>
      </c>
      <c r="G1670" s="5" t="s">
        <v>35</v>
      </c>
      <c r="H1670" s="5" t="s">
        <v>35</v>
      </c>
      <c r="I1670" s="5" t="s">
        <v>36</v>
      </c>
      <c r="J1670" s="6">
        <v>1.0</v>
      </c>
      <c r="K1670" s="6" t="s">
        <v>37</v>
      </c>
      <c r="L1670" s="6">
        <v>360.0</v>
      </c>
      <c r="M1670" s="8" t="s">
        <v>38</v>
      </c>
      <c r="N1670" s="8" t="s">
        <v>38</v>
      </c>
      <c r="O1670" s="6" t="s">
        <v>40</v>
      </c>
      <c r="P1670" s="5" t="s">
        <v>41</v>
      </c>
      <c r="Q1670" s="5"/>
      <c r="R1670" s="6" t="s">
        <v>42</v>
      </c>
      <c r="S1670" s="5" t="s">
        <v>172</v>
      </c>
      <c r="T1670" s="5" t="s">
        <v>44</v>
      </c>
      <c r="U1670" s="5" t="s">
        <v>1583</v>
      </c>
      <c r="V1670" s="5" t="s">
        <v>44</v>
      </c>
      <c r="W1670" s="5" t="s">
        <v>36</v>
      </c>
      <c r="X1670" s="8" t="s">
        <v>395</v>
      </c>
      <c r="Y1670" s="5" t="s">
        <v>46</v>
      </c>
      <c r="Z1670" s="5" t="s">
        <v>47</v>
      </c>
      <c r="AA1670" s="5" t="s">
        <v>48</v>
      </c>
      <c r="AB1670" s="5" t="s">
        <v>8041</v>
      </c>
      <c r="AC1670" s="6" t="s">
        <v>67</v>
      </c>
      <c r="AD1670" s="6">
        <v>5973.0</v>
      </c>
    </row>
    <row r="1671" ht="56.25" customHeight="1">
      <c r="A1671" s="5" t="s">
        <v>8032</v>
      </c>
      <c r="B1671" s="6" t="str">
        <f>IMAGE("https://storage.googleapis.com/acdb/housewares/FtrWoodPile_Remake_3_0.png")</f>
        <v/>
      </c>
      <c r="C1671" s="5" t="s">
        <v>1600</v>
      </c>
      <c r="D1671" s="5" t="s">
        <v>1455</v>
      </c>
      <c r="E1671" s="5" t="s">
        <v>34</v>
      </c>
      <c r="F1671" s="5" t="s">
        <v>34</v>
      </c>
      <c r="G1671" s="5" t="s">
        <v>35</v>
      </c>
      <c r="H1671" s="5" t="s">
        <v>35</v>
      </c>
      <c r="I1671" s="5" t="s">
        <v>36</v>
      </c>
      <c r="J1671" s="6">
        <v>1.0</v>
      </c>
      <c r="K1671" s="6" t="s">
        <v>37</v>
      </c>
      <c r="L1671" s="6">
        <v>360.0</v>
      </c>
      <c r="M1671" s="8" t="s">
        <v>57</v>
      </c>
      <c r="N1671" s="8" t="s">
        <v>38</v>
      </c>
      <c r="O1671" s="6" t="s">
        <v>40</v>
      </c>
      <c r="P1671" s="5" t="s">
        <v>41</v>
      </c>
      <c r="Q1671" s="5"/>
      <c r="R1671" s="6" t="s">
        <v>42</v>
      </c>
      <c r="S1671" s="5" t="s">
        <v>172</v>
      </c>
      <c r="T1671" s="5" t="s">
        <v>44</v>
      </c>
      <c r="U1671" s="5" t="s">
        <v>1583</v>
      </c>
      <c r="V1671" s="5" t="s">
        <v>44</v>
      </c>
      <c r="W1671" s="5" t="s">
        <v>36</v>
      </c>
      <c r="X1671" s="8" t="s">
        <v>395</v>
      </c>
      <c r="Y1671" s="5" t="s">
        <v>46</v>
      </c>
      <c r="Z1671" s="5" t="s">
        <v>47</v>
      </c>
      <c r="AA1671" s="5" t="s">
        <v>48</v>
      </c>
      <c r="AB1671" s="5" t="s">
        <v>8045</v>
      </c>
      <c r="AC1671" s="6" t="s">
        <v>71</v>
      </c>
      <c r="AD1671" s="6">
        <v>5973.0</v>
      </c>
    </row>
    <row r="1672" ht="56.25" customHeight="1">
      <c r="A1672" s="5" t="s">
        <v>8047</v>
      </c>
      <c r="B1672" s="6" t="str">
        <f>IMAGE("https://storage.googleapis.com/acdb/housewares/FtrLogStoolS_Remake_0_0.png")</f>
        <v/>
      </c>
      <c r="C1672" s="5" t="s">
        <v>1132</v>
      </c>
      <c r="D1672" s="5" t="s">
        <v>1455</v>
      </c>
      <c r="E1672" s="5" t="s">
        <v>34</v>
      </c>
      <c r="F1672" s="5" t="s">
        <v>34</v>
      </c>
      <c r="G1672" s="5" t="s">
        <v>35</v>
      </c>
      <c r="H1672" s="5" t="s">
        <v>35</v>
      </c>
      <c r="I1672" s="5" t="s">
        <v>36</v>
      </c>
      <c r="J1672" s="6">
        <v>1.0</v>
      </c>
      <c r="K1672" s="6" t="s">
        <v>37</v>
      </c>
      <c r="L1672" s="6">
        <v>480.0</v>
      </c>
      <c r="M1672" s="8" t="s">
        <v>39</v>
      </c>
      <c r="N1672" s="8" t="s">
        <v>38</v>
      </c>
      <c r="O1672" s="6" t="s">
        <v>40</v>
      </c>
      <c r="P1672" s="5" t="s">
        <v>41</v>
      </c>
      <c r="Q1672" s="5"/>
      <c r="R1672" s="6" t="s">
        <v>42</v>
      </c>
      <c r="S1672" s="5" t="s">
        <v>172</v>
      </c>
      <c r="T1672" s="5" t="s">
        <v>44</v>
      </c>
      <c r="U1672" s="5" t="s">
        <v>1583</v>
      </c>
      <c r="V1672" s="5" t="s">
        <v>44</v>
      </c>
      <c r="W1672" s="5" t="s">
        <v>35</v>
      </c>
      <c r="X1672" s="8" t="s">
        <v>248</v>
      </c>
      <c r="Y1672" s="5" t="s">
        <v>46</v>
      </c>
      <c r="Z1672" s="5" t="s">
        <v>47</v>
      </c>
      <c r="AA1672" s="5" t="s">
        <v>48</v>
      </c>
      <c r="AB1672" s="5" t="s">
        <v>8053</v>
      </c>
      <c r="AC1672" s="6" t="s">
        <v>50</v>
      </c>
      <c r="AD1672" s="6">
        <v>4038.0</v>
      </c>
    </row>
    <row r="1673" ht="56.25" customHeight="1">
      <c r="A1673" s="5" t="s">
        <v>8047</v>
      </c>
      <c r="B1673" s="6" t="str">
        <f>IMAGE("https://storage.googleapis.com/acdb/housewares/FtrLogStoolS_Remake_1_0.png")</f>
        <v/>
      </c>
      <c r="C1673" s="5" t="s">
        <v>1588</v>
      </c>
      <c r="D1673" s="5" t="s">
        <v>1455</v>
      </c>
      <c r="E1673" s="5" t="s">
        <v>34</v>
      </c>
      <c r="F1673" s="5" t="s">
        <v>34</v>
      </c>
      <c r="G1673" s="5" t="s">
        <v>35</v>
      </c>
      <c r="H1673" s="5" t="s">
        <v>35</v>
      </c>
      <c r="I1673" s="5" t="s">
        <v>36</v>
      </c>
      <c r="J1673" s="6">
        <v>1.0</v>
      </c>
      <c r="K1673" s="6" t="s">
        <v>37</v>
      </c>
      <c r="L1673" s="6">
        <v>480.0</v>
      </c>
      <c r="M1673" s="8" t="s">
        <v>142</v>
      </c>
      <c r="N1673" s="8" t="s">
        <v>38</v>
      </c>
      <c r="O1673" s="6" t="s">
        <v>40</v>
      </c>
      <c r="P1673" s="5" t="s">
        <v>41</v>
      </c>
      <c r="Q1673" s="5"/>
      <c r="R1673" s="6" t="s">
        <v>42</v>
      </c>
      <c r="S1673" s="5" t="s">
        <v>172</v>
      </c>
      <c r="T1673" s="5" t="s">
        <v>44</v>
      </c>
      <c r="U1673" s="5" t="s">
        <v>1583</v>
      </c>
      <c r="V1673" s="5" t="s">
        <v>44</v>
      </c>
      <c r="W1673" s="5" t="s">
        <v>35</v>
      </c>
      <c r="X1673" s="8" t="s">
        <v>248</v>
      </c>
      <c r="Y1673" s="5" t="s">
        <v>46</v>
      </c>
      <c r="Z1673" s="5" t="s">
        <v>47</v>
      </c>
      <c r="AA1673" s="5" t="s">
        <v>48</v>
      </c>
      <c r="AB1673" s="5" t="s">
        <v>8056</v>
      </c>
      <c r="AC1673" s="6" t="s">
        <v>56</v>
      </c>
      <c r="AD1673" s="6">
        <v>4038.0</v>
      </c>
    </row>
    <row r="1674" ht="56.25" customHeight="1">
      <c r="A1674" s="5" t="s">
        <v>8047</v>
      </c>
      <c r="B1674" s="6" t="str">
        <f>IMAGE("https://storage.googleapis.com/acdb/housewares/FtrLogStoolS_Remake_2_0.png")</f>
        <v/>
      </c>
      <c r="C1674" s="5" t="s">
        <v>1595</v>
      </c>
      <c r="D1674" s="5" t="s">
        <v>1455</v>
      </c>
      <c r="E1674" s="5" t="s">
        <v>34</v>
      </c>
      <c r="F1674" s="5" t="s">
        <v>34</v>
      </c>
      <c r="G1674" s="5" t="s">
        <v>35</v>
      </c>
      <c r="H1674" s="5" t="s">
        <v>35</v>
      </c>
      <c r="I1674" s="5" t="s">
        <v>36</v>
      </c>
      <c r="J1674" s="6">
        <v>1.0</v>
      </c>
      <c r="K1674" s="6" t="s">
        <v>37</v>
      </c>
      <c r="L1674" s="6">
        <v>480.0</v>
      </c>
      <c r="M1674" s="8" t="s">
        <v>38</v>
      </c>
      <c r="N1674" s="8" t="s">
        <v>38</v>
      </c>
      <c r="O1674" s="6" t="s">
        <v>40</v>
      </c>
      <c r="P1674" s="5" t="s">
        <v>41</v>
      </c>
      <c r="Q1674" s="5"/>
      <c r="R1674" s="6" t="s">
        <v>42</v>
      </c>
      <c r="S1674" s="5" t="s">
        <v>172</v>
      </c>
      <c r="T1674" s="5" t="s">
        <v>44</v>
      </c>
      <c r="U1674" s="5" t="s">
        <v>1583</v>
      </c>
      <c r="V1674" s="5" t="s">
        <v>44</v>
      </c>
      <c r="W1674" s="5" t="s">
        <v>35</v>
      </c>
      <c r="X1674" s="8" t="s">
        <v>248</v>
      </c>
      <c r="Y1674" s="5" t="s">
        <v>46</v>
      </c>
      <c r="Z1674" s="5" t="s">
        <v>47</v>
      </c>
      <c r="AA1674" s="5" t="s">
        <v>48</v>
      </c>
      <c r="AB1674" s="5" t="s">
        <v>8060</v>
      </c>
      <c r="AC1674" s="6" t="s">
        <v>67</v>
      </c>
      <c r="AD1674" s="6">
        <v>4038.0</v>
      </c>
    </row>
    <row r="1675" ht="56.25" customHeight="1">
      <c r="A1675" s="5" t="s">
        <v>8047</v>
      </c>
      <c r="B1675" s="6" t="str">
        <f>IMAGE("https://storage.googleapis.com/acdb/housewares/FtrLogStoolS_Remake_3_0.png")</f>
        <v/>
      </c>
      <c r="C1675" s="5" t="s">
        <v>1600</v>
      </c>
      <c r="D1675" s="5" t="s">
        <v>1455</v>
      </c>
      <c r="E1675" s="5" t="s">
        <v>34</v>
      </c>
      <c r="F1675" s="5" t="s">
        <v>34</v>
      </c>
      <c r="G1675" s="5" t="s">
        <v>35</v>
      </c>
      <c r="H1675" s="5" t="s">
        <v>35</v>
      </c>
      <c r="I1675" s="5" t="s">
        <v>36</v>
      </c>
      <c r="J1675" s="6">
        <v>1.0</v>
      </c>
      <c r="K1675" s="6" t="s">
        <v>37</v>
      </c>
      <c r="L1675" s="6">
        <v>480.0</v>
      </c>
      <c r="M1675" s="8" t="s">
        <v>57</v>
      </c>
      <c r="N1675" s="8" t="s">
        <v>38</v>
      </c>
      <c r="O1675" s="6" t="s">
        <v>40</v>
      </c>
      <c r="P1675" s="5" t="s">
        <v>41</v>
      </c>
      <c r="Q1675" s="5"/>
      <c r="R1675" s="6" t="s">
        <v>42</v>
      </c>
      <c r="S1675" s="5" t="s">
        <v>172</v>
      </c>
      <c r="T1675" s="5" t="s">
        <v>44</v>
      </c>
      <c r="U1675" s="5" t="s">
        <v>1583</v>
      </c>
      <c r="V1675" s="5" t="s">
        <v>44</v>
      </c>
      <c r="W1675" s="5" t="s">
        <v>35</v>
      </c>
      <c r="X1675" s="8" t="s">
        <v>248</v>
      </c>
      <c r="Y1675" s="5" t="s">
        <v>46</v>
      </c>
      <c r="Z1675" s="5" t="s">
        <v>47</v>
      </c>
      <c r="AA1675" s="5" t="s">
        <v>48</v>
      </c>
      <c r="AB1675" s="5" t="s">
        <v>8063</v>
      </c>
      <c r="AC1675" s="6" t="s">
        <v>71</v>
      </c>
      <c r="AD1675" s="6">
        <v>4038.0</v>
      </c>
    </row>
    <row r="1676" ht="56.25" customHeight="1">
      <c r="A1676" s="5" t="s">
        <v>8064</v>
      </c>
      <c r="B1676" s="6" t="str">
        <f>IMAGE("https://storage.googleapis.com/acdb/housewares/FtrBathtub_Remake_0_0.png")</f>
        <v/>
      </c>
      <c r="C1676" s="5" t="s">
        <v>57</v>
      </c>
      <c r="D1676" s="5" t="s">
        <v>34</v>
      </c>
      <c r="E1676" s="5" t="s">
        <v>34</v>
      </c>
      <c r="F1676" s="5" t="s">
        <v>34</v>
      </c>
      <c r="G1676" s="5" t="s">
        <v>36</v>
      </c>
      <c r="H1676" s="5" t="s">
        <v>36</v>
      </c>
      <c r="I1676" s="5" t="s">
        <v>36</v>
      </c>
      <c r="J1676" s="6" t="s">
        <v>34</v>
      </c>
      <c r="K1676" s="6">
        <v>7800.0</v>
      </c>
      <c r="L1676" s="6">
        <v>1950.0</v>
      </c>
      <c r="M1676" s="8" t="s">
        <v>57</v>
      </c>
      <c r="N1676" s="8" t="s">
        <v>57</v>
      </c>
      <c r="O1676" s="6" t="s">
        <v>276</v>
      </c>
      <c r="P1676" s="5" t="s">
        <v>59</v>
      </c>
      <c r="Q1676" s="5" t="s">
        <v>122</v>
      </c>
      <c r="R1676" s="6" t="s">
        <v>42</v>
      </c>
      <c r="S1676" s="5" t="s">
        <v>288</v>
      </c>
      <c r="T1676" s="5" t="s">
        <v>44</v>
      </c>
      <c r="U1676" s="5" t="s">
        <v>44</v>
      </c>
      <c r="V1676" s="5" t="s">
        <v>44</v>
      </c>
      <c r="W1676" s="5" t="s">
        <v>35</v>
      </c>
      <c r="X1676" s="8" t="s">
        <v>1968</v>
      </c>
      <c r="Y1676" s="5" t="s">
        <v>46</v>
      </c>
      <c r="Z1676" s="5" t="s">
        <v>47</v>
      </c>
      <c r="AA1676" s="5" t="s">
        <v>64</v>
      </c>
      <c r="AB1676" s="5" t="s">
        <v>8068</v>
      </c>
      <c r="AC1676" s="6" t="s">
        <v>50</v>
      </c>
      <c r="AD1676" s="6">
        <v>4080.0</v>
      </c>
    </row>
    <row r="1677" ht="56.25" customHeight="1">
      <c r="A1677" s="5" t="s">
        <v>8064</v>
      </c>
      <c r="B1677" s="6" t="str">
        <f>IMAGE("https://storage.googleapis.com/acdb/housewares/FtrBathtub_Remake_1_0.png")</f>
        <v/>
      </c>
      <c r="C1677" s="5" t="s">
        <v>8069</v>
      </c>
      <c r="D1677" s="5" t="s">
        <v>34</v>
      </c>
      <c r="E1677" s="5" t="s">
        <v>34</v>
      </c>
      <c r="F1677" s="5" t="s">
        <v>34</v>
      </c>
      <c r="G1677" s="5" t="s">
        <v>36</v>
      </c>
      <c r="H1677" s="5" t="s">
        <v>36</v>
      </c>
      <c r="I1677" s="5" t="s">
        <v>36</v>
      </c>
      <c r="J1677" s="6" t="s">
        <v>34</v>
      </c>
      <c r="K1677" s="6">
        <v>7800.0</v>
      </c>
      <c r="L1677" s="6">
        <v>1950.0</v>
      </c>
      <c r="M1677" s="8" t="s">
        <v>54</v>
      </c>
      <c r="N1677" s="8" t="s">
        <v>54</v>
      </c>
      <c r="O1677" s="6" t="s">
        <v>276</v>
      </c>
      <c r="P1677" s="5" t="s">
        <v>59</v>
      </c>
      <c r="Q1677" s="5" t="s">
        <v>122</v>
      </c>
      <c r="R1677" s="6" t="s">
        <v>42</v>
      </c>
      <c r="S1677" s="5" t="s">
        <v>288</v>
      </c>
      <c r="T1677" s="5" t="s">
        <v>44</v>
      </c>
      <c r="U1677" s="5" t="s">
        <v>44</v>
      </c>
      <c r="V1677" s="5" t="s">
        <v>44</v>
      </c>
      <c r="W1677" s="5" t="s">
        <v>35</v>
      </c>
      <c r="X1677" s="8" t="s">
        <v>1968</v>
      </c>
      <c r="Y1677" s="5" t="s">
        <v>46</v>
      </c>
      <c r="Z1677" s="5" t="s">
        <v>47</v>
      </c>
      <c r="AA1677" s="5" t="s">
        <v>64</v>
      </c>
      <c r="AB1677" s="5" t="s">
        <v>8072</v>
      </c>
      <c r="AC1677" s="6" t="s">
        <v>56</v>
      </c>
      <c r="AD1677" s="6">
        <v>4080.0</v>
      </c>
    </row>
    <row r="1678" ht="56.25" customHeight="1">
      <c r="A1678" s="5" t="s">
        <v>8064</v>
      </c>
      <c r="B1678" s="6" t="str">
        <f>IMAGE("https://storage.googleapis.com/acdb/housewares/FtrBathtub_Remake_2_0.png")</f>
        <v/>
      </c>
      <c r="C1678" s="5" t="s">
        <v>8073</v>
      </c>
      <c r="D1678" s="5" t="s">
        <v>34</v>
      </c>
      <c r="E1678" s="5" t="s">
        <v>34</v>
      </c>
      <c r="F1678" s="5" t="s">
        <v>34</v>
      </c>
      <c r="G1678" s="5" t="s">
        <v>36</v>
      </c>
      <c r="H1678" s="5" t="s">
        <v>36</v>
      </c>
      <c r="I1678" s="5" t="s">
        <v>36</v>
      </c>
      <c r="J1678" s="6" t="s">
        <v>34</v>
      </c>
      <c r="K1678" s="6">
        <v>7800.0</v>
      </c>
      <c r="L1678" s="6">
        <v>1950.0</v>
      </c>
      <c r="M1678" s="8" t="s">
        <v>38</v>
      </c>
      <c r="N1678" s="8" t="s">
        <v>57</v>
      </c>
      <c r="O1678" s="6" t="s">
        <v>276</v>
      </c>
      <c r="P1678" s="5" t="s">
        <v>59</v>
      </c>
      <c r="Q1678" s="5" t="s">
        <v>122</v>
      </c>
      <c r="R1678" s="6" t="s">
        <v>42</v>
      </c>
      <c r="S1678" s="5" t="s">
        <v>288</v>
      </c>
      <c r="T1678" s="5" t="s">
        <v>44</v>
      </c>
      <c r="U1678" s="5" t="s">
        <v>44</v>
      </c>
      <c r="V1678" s="5" t="s">
        <v>44</v>
      </c>
      <c r="W1678" s="5" t="s">
        <v>35</v>
      </c>
      <c r="X1678" s="8" t="s">
        <v>1968</v>
      </c>
      <c r="Y1678" s="5" t="s">
        <v>46</v>
      </c>
      <c r="Z1678" s="5" t="s">
        <v>47</v>
      </c>
      <c r="AA1678" s="5" t="s">
        <v>64</v>
      </c>
      <c r="AB1678" s="5" t="s">
        <v>8077</v>
      </c>
      <c r="AC1678" s="6" t="s">
        <v>67</v>
      </c>
      <c r="AD1678" s="6">
        <v>4080.0</v>
      </c>
    </row>
    <row r="1679" ht="56.25" customHeight="1">
      <c r="A1679" s="5" t="s">
        <v>8064</v>
      </c>
      <c r="B1679" s="6" t="str">
        <f>IMAGE("https://storage.googleapis.com/acdb/housewares/FtrBathtub_Remake_3_0.png")</f>
        <v/>
      </c>
      <c r="C1679" s="5" t="s">
        <v>69</v>
      </c>
      <c r="D1679" s="5" t="s">
        <v>34</v>
      </c>
      <c r="E1679" s="5" t="s">
        <v>34</v>
      </c>
      <c r="F1679" s="5" t="s">
        <v>34</v>
      </c>
      <c r="G1679" s="5" t="s">
        <v>36</v>
      </c>
      <c r="H1679" s="5" t="s">
        <v>36</v>
      </c>
      <c r="I1679" s="5" t="s">
        <v>36</v>
      </c>
      <c r="J1679" s="6" t="s">
        <v>34</v>
      </c>
      <c r="K1679" s="6">
        <v>7800.0</v>
      </c>
      <c r="L1679" s="6">
        <v>1950.0</v>
      </c>
      <c r="M1679" s="8" t="s">
        <v>69</v>
      </c>
      <c r="N1679" s="8" t="s">
        <v>57</v>
      </c>
      <c r="O1679" s="6" t="s">
        <v>276</v>
      </c>
      <c r="P1679" s="5" t="s">
        <v>59</v>
      </c>
      <c r="Q1679" s="5" t="s">
        <v>122</v>
      </c>
      <c r="R1679" s="6" t="s">
        <v>42</v>
      </c>
      <c r="S1679" s="5" t="s">
        <v>288</v>
      </c>
      <c r="T1679" s="5" t="s">
        <v>44</v>
      </c>
      <c r="U1679" s="5" t="s">
        <v>44</v>
      </c>
      <c r="V1679" s="5" t="s">
        <v>44</v>
      </c>
      <c r="W1679" s="5" t="s">
        <v>35</v>
      </c>
      <c r="X1679" s="8" t="s">
        <v>1968</v>
      </c>
      <c r="Y1679" s="5" t="s">
        <v>46</v>
      </c>
      <c r="Z1679" s="5" t="s">
        <v>47</v>
      </c>
      <c r="AA1679" s="5" t="s">
        <v>64</v>
      </c>
      <c r="AB1679" s="5" t="s">
        <v>8081</v>
      </c>
      <c r="AC1679" s="6" t="s">
        <v>71</v>
      </c>
      <c r="AD1679" s="6">
        <v>4080.0</v>
      </c>
    </row>
    <row r="1680" ht="56.25" customHeight="1">
      <c r="A1680" s="5" t="s">
        <v>8064</v>
      </c>
      <c r="B1680" s="6" t="str">
        <f>IMAGE("https://storage.googleapis.com/acdb/housewares/FtrBathtub_Remake_4_0.png")</f>
        <v/>
      </c>
      <c r="C1680" s="5" t="s">
        <v>83</v>
      </c>
      <c r="D1680" s="5" t="s">
        <v>34</v>
      </c>
      <c r="E1680" s="5" t="s">
        <v>34</v>
      </c>
      <c r="F1680" s="5" t="s">
        <v>34</v>
      </c>
      <c r="G1680" s="5" t="s">
        <v>36</v>
      </c>
      <c r="H1680" s="5" t="s">
        <v>36</v>
      </c>
      <c r="I1680" s="5" t="s">
        <v>36</v>
      </c>
      <c r="J1680" s="6" t="s">
        <v>34</v>
      </c>
      <c r="K1680" s="6">
        <v>7800.0</v>
      </c>
      <c r="L1680" s="6">
        <v>1950.0</v>
      </c>
      <c r="M1680" s="8" t="s">
        <v>1175</v>
      </c>
      <c r="N1680" s="8" t="s">
        <v>57</v>
      </c>
      <c r="O1680" s="6" t="s">
        <v>276</v>
      </c>
      <c r="P1680" s="5" t="s">
        <v>59</v>
      </c>
      <c r="Q1680" s="5" t="s">
        <v>122</v>
      </c>
      <c r="R1680" s="6" t="s">
        <v>42</v>
      </c>
      <c r="S1680" s="5" t="s">
        <v>288</v>
      </c>
      <c r="T1680" s="5" t="s">
        <v>44</v>
      </c>
      <c r="U1680" s="5" t="s">
        <v>44</v>
      </c>
      <c r="V1680" s="5" t="s">
        <v>44</v>
      </c>
      <c r="W1680" s="5" t="s">
        <v>35</v>
      </c>
      <c r="X1680" s="8" t="s">
        <v>1968</v>
      </c>
      <c r="Y1680" s="5" t="s">
        <v>46</v>
      </c>
      <c r="Z1680" s="5" t="s">
        <v>47</v>
      </c>
      <c r="AA1680" s="5" t="s">
        <v>64</v>
      </c>
      <c r="AB1680" s="5" t="s">
        <v>8083</v>
      </c>
      <c r="AC1680" s="6" t="s">
        <v>75</v>
      </c>
      <c r="AD1680" s="6">
        <v>4080.0</v>
      </c>
    </row>
    <row r="1681" ht="56.25" customHeight="1">
      <c r="A1681" s="5" t="s">
        <v>8064</v>
      </c>
      <c r="B1681" s="6" t="str">
        <f>IMAGE("https://storage.googleapis.com/acdb/housewares/FtrBathtub_Remake_5_0.png")</f>
        <v/>
      </c>
      <c r="C1681" s="5" t="s">
        <v>96</v>
      </c>
      <c r="D1681" s="5" t="s">
        <v>34</v>
      </c>
      <c r="E1681" s="5" t="s">
        <v>34</v>
      </c>
      <c r="F1681" s="5" t="s">
        <v>34</v>
      </c>
      <c r="G1681" s="5" t="s">
        <v>36</v>
      </c>
      <c r="H1681" s="5" t="s">
        <v>36</v>
      </c>
      <c r="I1681" s="5" t="s">
        <v>36</v>
      </c>
      <c r="J1681" s="6" t="s">
        <v>34</v>
      </c>
      <c r="K1681" s="6">
        <v>7800.0</v>
      </c>
      <c r="L1681" s="6">
        <v>1950.0</v>
      </c>
      <c r="M1681" s="8" t="s">
        <v>96</v>
      </c>
      <c r="N1681" s="8" t="s">
        <v>57</v>
      </c>
      <c r="O1681" s="6" t="s">
        <v>276</v>
      </c>
      <c r="P1681" s="5" t="s">
        <v>59</v>
      </c>
      <c r="Q1681" s="5" t="s">
        <v>122</v>
      </c>
      <c r="R1681" s="6" t="s">
        <v>42</v>
      </c>
      <c r="S1681" s="5" t="s">
        <v>288</v>
      </c>
      <c r="T1681" s="5" t="s">
        <v>44</v>
      </c>
      <c r="U1681" s="5" t="s">
        <v>44</v>
      </c>
      <c r="V1681" s="5" t="s">
        <v>44</v>
      </c>
      <c r="W1681" s="5" t="s">
        <v>35</v>
      </c>
      <c r="X1681" s="8" t="s">
        <v>1968</v>
      </c>
      <c r="Y1681" s="5" t="s">
        <v>46</v>
      </c>
      <c r="Z1681" s="5" t="s">
        <v>47</v>
      </c>
      <c r="AA1681" s="5" t="s">
        <v>64</v>
      </c>
      <c r="AB1681" s="5" t="s">
        <v>8088</v>
      </c>
      <c r="AC1681" s="6" t="s">
        <v>79</v>
      </c>
      <c r="AD1681" s="6">
        <v>4080.0</v>
      </c>
    </row>
    <row r="1682" ht="56.25" customHeight="1">
      <c r="A1682" s="5" t="s">
        <v>8064</v>
      </c>
      <c r="B1682" s="6" t="str">
        <f>IMAGE("https://storage.googleapis.com/acdb/housewares/FtrBathtub_Remake_6_0.png")</f>
        <v/>
      </c>
      <c r="C1682" s="5" t="s">
        <v>8089</v>
      </c>
      <c r="D1682" s="5" t="s">
        <v>34</v>
      </c>
      <c r="E1682" s="5" t="s">
        <v>34</v>
      </c>
      <c r="F1682" s="5" t="s">
        <v>34</v>
      </c>
      <c r="G1682" s="5" t="s">
        <v>36</v>
      </c>
      <c r="H1682" s="5" t="s">
        <v>36</v>
      </c>
      <c r="I1682" s="5" t="s">
        <v>36</v>
      </c>
      <c r="J1682" s="6" t="s">
        <v>34</v>
      </c>
      <c r="K1682" s="6">
        <v>7800.0</v>
      </c>
      <c r="L1682" s="6">
        <v>1950.0</v>
      </c>
      <c r="M1682" s="8" t="s">
        <v>1175</v>
      </c>
      <c r="N1682" s="8" t="s">
        <v>57</v>
      </c>
      <c r="O1682" s="6" t="s">
        <v>276</v>
      </c>
      <c r="P1682" s="5" t="s">
        <v>59</v>
      </c>
      <c r="Q1682" s="5" t="s">
        <v>122</v>
      </c>
      <c r="R1682" s="6" t="s">
        <v>42</v>
      </c>
      <c r="S1682" s="5" t="s">
        <v>288</v>
      </c>
      <c r="T1682" s="5" t="s">
        <v>44</v>
      </c>
      <c r="U1682" s="5" t="s">
        <v>44</v>
      </c>
      <c r="V1682" s="5" t="s">
        <v>44</v>
      </c>
      <c r="W1682" s="5" t="s">
        <v>35</v>
      </c>
      <c r="X1682" s="8" t="s">
        <v>1968</v>
      </c>
      <c r="Y1682" s="5" t="s">
        <v>46</v>
      </c>
      <c r="Z1682" s="5" t="s">
        <v>47</v>
      </c>
      <c r="AA1682" s="5" t="s">
        <v>64</v>
      </c>
      <c r="AB1682" s="5" t="s">
        <v>8092</v>
      </c>
      <c r="AC1682" s="6" t="s">
        <v>86</v>
      </c>
      <c r="AD1682" s="6">
        <v>4080.0</v>
      </c>
    </row>
    <row r="1683" ht="56.25" customHeight="1">
      <c r="A1683" s="5" t="s">
        <v>8093</v>
      </c>
      <c r="B1683" s="6" t="str">
        <f>IMAGE("https://storage.googleapis.com/acdb/housewares/FtrLoom_Remake_0_0.png")</f>
        <v/>
      </c>
      <c r="C1683" s="5" t="s">
        <v>34</v>
      </c>
      <c r="D1683" s="5" t="s">
        <v>34</v>
      </c>
      <c r="E1683" s="5" t="s">
        <v>422</v>
      </c>
      <c r="F1683" s="5" t="s">
        <v>8096</v>
      </c>
      <c r="G1683" s="5" t="s">
        <v>36</v>
      </c>
      <c r="H1683" s="5" t="s">
        <v>36</v>
      </c>
      <c r="I1683" s="5" t="s">
        <v>35</v>
      </c>
      <c r="J1683" s="6">
        <v>5.0</v>
      </c>
      <c r="K1683" s="6">
        <v>13000.0</v>
      </c>
      <c r="L1683" s="6">
        <v>3250.0</v>
      </c>
      <c r="M1683" s="8" t="s">
        <v>39</v>
      </c>
      <c r="N1683" s="8" t="s">
        <v>52</v>
      </c>
      <c r="O1683" s="6" t="s">
        <v>214</v>
      </c>
      <c r="P1683" s="5" t="s">
        <v>59</v>
      </c>
      <c r="Q1683" s="5" t="s">
        <v>115</v>
      </c>
      <c r="R1683" s="6" t="s">
        <v>42</v>
      </c>
      <c r="S1683" s="5" t="s">
        <v>266</v>
      </c>
      <c r="T1683" s="5" t="s">
        <v>44</v>
      </c>
      <c r="U1683" s="5" t="s">
        <v>44</v>
      </c>
      <c r="V1683" s="5" t="s">
        <v>44</v>
      </c>
      <c r="W1683" s="5" t="s">
        <v>35</v>
      </c>
      <c r="X1683" s="8" t="s">
        <v>650</v>
      </c>
      <c r="Y1683" s="5" t="s">
        <v>46</v>
      </c>
      <c r="Z1683" s="5" t="s">
        <v>47</v>
      </c>
      <c r="AA1683" s="5" t="s">
        <v>64</v>
      </c>
      <c r="AB1683" s="5" t="s">
        <v>8098</v>
      </c>
      <c r="AC1683" s="6" t="s">
        <v>50</v>
      </c>
      <c r="AD1683" s="6">
        <v>7681.0</v>
      </c>
    </row>
    <row r="1684" ht="56.25" customHeight="1">
      <c r="A1684" s="5" t="s">
        <v>8093</v>
      </c>
      <c r="B1684" s="6" t="str">
        <f>image("https://storage.googleapis.com/acdb/housewares/FtrLoom_Remake_0_1.png")</f>
        <v/>
      </c>
      <c r="C1684" s="5" t="s">
        <v>34</v>
      </c>
      <c r="D1684" s="5" t="s">
        <v>34</v>
      </c>
      <c r="E1684" s="5" t="s">
        <v>5996</v>
      </c>
      <c r="F1684" s="5" t="s">
        <v>8096</v>
      </c>
      <c r="G1684" s="5" t="s">
        <v>36</v>
      </c>
      <c r="H1684" s="5" t="s">
        <v>36</v>
      </c>
      <c r="I1684" s="5" t="s">
        <v>35</v>
      </c>
      <c r="J1684" s="6">
        <v>5.0</v>
      </c>
      <c r="K1684" s="6">
        <v>13000.0</v>
      </c>
      <c r="L1684" s="6">
        <v>3250.0</v>
      </c>
      <c r="M1684" s="8" t="s">
        <v>39</v>
      </c>
      <c r="N1684" s="8" t="s">
        <v>1175</v>
      </c>
      <c r="O1684" s="6" t="s">
        <v>214</v>
      </c>
      <c r="P1684" s="5" t="s">
        <v>59</v>
      </c>
      <c r="Q1684" s="5" t="s">
        <v>115</v>
      </c>
      <c r="R1684" s="6" t="s">
        <v>42</v>
      </c>
      <c r="S1684" s="5" t="s">
        <v>266</v>
      </c>
      <c r="T1684" s="5" t="s">
        <v>44</v>
      </c>
      <c r="U1684" s="5" t="s">
        <v>44</v>
      </c>
      <c r="V1684" s="5" t="s">
        <v>44</v>
      </c>
      <c r="W1684" s="5" t="s">
        <v>35</v>
      </c>
      <c r="X1684" s="8" t="s">
        <v>650</v>
      </c>
      <c r="Y1684" s="5" t="s">
        <v>46</v>
      </c>
      <c r="Z1684" s="5" t="s">
        <v>47</v>
      </c>
      <c r="AA1684" s="5" t="s">
        <v>64</v>
      </c>
      <c r="AB1684" s="5" t="s">
        <v>8101</v>
      </c>
      <c r="AC1684" s="6" t="s">
        <v>217</v>
      </c>
      <c r="AD1684" s="6">
        <v>7681.0</v>
      </c>
    </row>
    <row r="1685" ht="56.25" customHeight="1">
      <c r="A1685" s="5" t="s">
        <v>8093</v>
      </c>
      <c r="B1685" s="6" t="str">
        <f>image("https://storage.googleapis.com/acdb/housewares/FtrLoom_Remake_0_2.png")</f>
        <v/>
      </c>
      <c r="C1685" s="5" t="s">
        <v>34</v>
      </c>
      <c r="D1685" s="5" t="s">
        <v>34</v>
      </c>
      <c r="E1685" s="5" t="s">
        <v>6525</v>
      </c>
      <c r="F1685" s="5" t="s">
        <v>8096</v>
      </c>
      <c r="G1685" s="5" t="s">
        <v>36</v>
      </c>
      <c r="H1685" s="5" t="s">
        <v>36</v>
      </c>
      <c r="I1685" s="5" t="s">
        <v>35</v>
      </c>
      <c r="J1685" s="6">
        <v>5.0</v>
      </c>
      <c r="K1685" s="6">
        <v>13000.0</v>
      </c>
      <c r="L1685" s="6">
        <v>3250.0</v>
      </c>
      <c r="M1685" s="8" t="s">
        <v>39</v>
      </c>
      <c r="N1685" s="8" t="s">
        <v>52</v>
      </c>
      <c r="O1685" s="6" t="s">
        <v>214</v>
      </c>
      <c r="P1685" s="5" t="s">
        <v>59</v>
      </c>
      <c r="Q1685" s="5" t="s">
        <v>115</v>
      </c>
      <c r="R1685" s="6" t="s">
        <v>42</v>
      </c>
      <c r="S1685" s="5" t="s">
        <v>266</v>
      </c>
      <c r="T1685" s="5" t="s">
        <v>44</v>
      </c>
      <c r="U1685" s="5" t="s">
        <v>44</v>
      </c>
      <c r="V1685" s="5" t="s">
        <v>44</v>
      </c>
      <c r="W1685" s="5" t="s">
        <v>35</v>
      </c>
      <c r="X1685" s="8" t="s">
        <v>650</v>
      </c>
      <c r="Y1685" s="5" t="s">
        <v>46</v>
      </c>
      <c r="Z1685" s="5" t="s">
        <v>47</v>
      </c>
      <c r="AA1685" s="5" t="s">
        <v>64</v>
      </c>
      <c r="AB1685" s="5" t="s">
        <v>8105</v>
      </c>
      <c r="AC1685" s="6" t="s">
        <v>347</v>
      </c>
      <c r="AD1685" s="6">
        <v>7681.0</v>
      </c>
    </row>
    <row r="1686" ht="56.25" customHeight="1">
      <c r="A1686" s="5" t="s">
        <v>8093</v>
      </c>
      <c r="B1686" s="6" t="str">
        <f>image("https://storage.googleapis.com/acdb/housewares/FtrLoom_Remake_0_3.png")</f>
        <v/>
      </c>
      <c r="C1686" s="5" t="s">
        <v>34</v>
      </c>
      <c r="D1686" s="5" t="s">
        <v>34</v>
      </c>
      <c r="E1686" s="5" t="s">
        <v>6532</v>
      </c>
      <c r="F1686" s="5" t="s">
        <v>8096</v>
      </c>
      <c r="G1686" s="5" t="s">
        <v>36</v>
      </c>
      <c r="H1686" s="5" t="s">
        <v>36</v>
      </c>
      <c r="I1686" s="5" t="s">
        <v>35</v>
      </c>
      <c r="J1686" s="6">
        <v>5.0</v>
      </c>
      <c r="K1686" s="6">
        <v>13000.0</v>
      </c>
      <c r="L1686" s="6">
        <v>3250.0</v>
      </c>
      <c r="M1686" s="8" t="s">
        <v>39</v>
      </c>
      <c r="N1686" s="8" t="s">
        <v>68</v>
      </c>
      <c r="O1686" s="6" t="s">
        <v>214</v>
      </c>
      <c r="P1686" s="5" t="s">
        <v>59</v>
      </c>
      <c r="Q1686" s="5" t="s">
        <v>115</v>
      </c>
      <c r="R1686" s="6" t="s">
        <v>42</v>
      </c>
      <c r="S1686" s="5" t="s">
        <v>266</v>
      </c>
      <c r="T1686" s="5" t="s">
        <v>44</v>
      </c>
      <c r="U1686" s="5" t="s">
        <v>44</v>
      </c>
      <c r="V1686" s="5" t="s">
        <v>44</v>
      </c>
      <c r="W1686" s="5" t="s">
        <v>35</v>
      </c>
      <c r="X1686" s="8" t="s">
        <v>650</v>
      </c>
      <c r="Y1686" s="5" t="s">
        <v>46</v>
      </c>
      <c r="Z1686" s="5" t="s">
        <v>47</v>
      </c>
      <c r="AA1686" s="5" t="s">
        <v>64</v>
      </c>
      <c r="AB1686" s="5" t="s">
        <v>8110</v>
      </c>
      <c r="AC1686" s="6" t="s">
        <v>354</v>
      </c>
      <c r="AD1686" s="6">
        <v>7681.0</v>
      </c>
    </row>
    <row r="1687" ht="56.25" customHeight="1">
      <c r="A1687" s="5" t="s">
        <v>8112</v>
      </c>
      <c r="B1687" s="6" t="str">
        <f>IMAGE("https://storage.googleapis.com/acdb/housewares/FtrScreenJapanLow_Remake_0_0.png")</f>
        <v/>
      </c>
      <c r="C1687" s="5" t="s">
        <v>935</v>
      </c>
      <c r="D1687" s="5" t="s">
        <v>34</v>
      </c>
      <c r="E1687" s="5" t="s">
        <v>811</v>
      </c>
      <c r="F1687" s="5" t="s">
        <v>715</v>
      </c>
      <c r="G1687" s="5" t="s">
        <v>36</v>
      </c>
      <c r="H1687" s="5" t="s">
        <v>36</v>
      </c>
      <c r="I1687" s="5" t="s">
        <v>35</v>
      </c>
      <c r="J1687" s="6">
        <v>1.0</v>
      </c>
      <c r="K1687" s="6">
        <v>870.0</v>
      </c>
      <c r="L1687" s="6">
        <v>217.0</v>
      </c>
      <c r="M1687" s="26" t="s">
        <v>38</v>
      </c>
      <c r="N1687" s="26" t="s">
        <v>57</v>
      </c>
      <c r="O1687" s="6" t="s">
        <v>775</v>
      </c>
      <c r="P1687" s="5" t="s">
        <v>59</v>
      </c>
      <c r="Q1687" s="5" t="s">
        <v>89</v>
      </c>
      <c r="R1687" s="6" t="s">
        <v>42</v>
      </c>
      <c r="S1687" s="5" t="s">
        <v>266</v>
      </c>
      <c r="T1687" s="5" t="s">
        <v>44</v>
      </c>
      <c r="U1687" s="5" t="s">
        <v>44</v>
      </c>
      <c r="V1687" s="5" t="s">
        <v>44</v>
      </c>
      <c r="W1687" s="5" t="s">
        <v>36</v>
      </c>
      <c r="X1687" s="8" t="s">
        <v>650</v>
      </c>
      <c r="Y1687" s="5" t="s">
        <v>46</v>
      </c>
      <c r="Z1687" s="5" t="s">
        <v>47</v>
      </c>
      <c r="AA1687" s="5" t="s">
        <v>64</v>
      </c>
      <c r="AB1687" s="5" t="s">
        <v>8117</v>
      </c>
      <c r="AC1687" s="6" t="s">
        <v>50</v>
      </c>
      <c r="AD1687" s="6">
        <v>1029.0</v>
      </c>
    </row>
    <row r="1688" ht="56.25" customHeight="1">
      <c r="A1688" s="5" t="s">
        <v>8112</v>
      </c>
      <c r="B1688" s="6" t="str">
        <f>IMAGE("https://storage.googleapis.com/acdb/housewares/FtrScreenJapanLow_Remake_0_1.png")</f>
        <v/>
      </c>
      <c r="C1688" s="5" t="s">
        <v>935</v>
      </c>
      <c r="D1688" s="5" t="s">
        <v>34</v>
      </c>
      <c r="E1688" s="5" t="s">
        <v>5574</v>
      </c>
      <c r="F1688" s="5" t="s">
        <v>715</v>
      </c>
      <c r="G1688" s="5" t="s">
        <v>36</v>
      </c>
      <c r="H1688" s="5" t="s">
        <v>36</v>
      </c>
      <c r="I1688" s="5" t="s">
        <v>35</v>
      </c>
      <c r="J1688" s="6">
        <v>1.0</v>
      </c>
      <c r="K1688" s="6">
        <v>870.0</v>
      </c>
      <c r="L1688" s="6">
        <v>217.0</v>
      </c>
      <c r="M1688" s="26" t="s">
        <v>38</v>
      </c>
      <c r="N1688" s="26" t="s">
        <v>52</v>
      </c>
      <c r="O1688" s="6" t="s">
        <v>775</v>
      </c>
      <c r="P1688" s="5" t="s">
        <v>59</v>
      </c>
      <c r="Q1688" s="5" t="s">
        <v>89</v>
      </c>
      <c r="R1688" s="6" t="s">
        <v>42</v>
      </c>
      <c r="S1688" s="5" t="s">
        <v>266</v>
      </c>
      <c r="T1688" s="5" t="s">
        <v>44</v>
      </c>
      <c r="U1688" s="5" t="s">
        <v>44</v>
      </c>
      <c r="V1688" s="5" t="s">
        <v>44</v>
      </c>
      <c r="W1688" s="5" t="s">
        <v>36</v>
      </c>
      <c r="X1688" s="8" t="s">
        <v>650</v>
      </c>
      <c r="Y1688" s="5" t="s">
        <v>46</v>
      </c>
      <c r="Z1688" s="5" t="s">
        <v>47</v>
      </c>
      <c r="AA1688" s="5" t="s">
        <v>64</v>
      </c>
      <c r="AB1688" s="5" t="s">
        <v>8122</v>
      </c>
      <c r="AC1688" s="6" t="s">
        <v>217</v>
      </c>
      <c r="AD1688" s="6">
        <v>1029.0</v>
      </c>
    </row>
    <row r="1689" ht="56.25" customHeight="1">
      <c r="A1689" s="5" t="s">
        <v>8112</v>
      </c>
      <c r="B1689" s="6" t="str">
        <f>IMAGE("https://storage.googleapis.com/acdb/housewares/FtrScreenJapanLow_Remake_0_2.png")</f>
        <v/>
      </c>
      <c r="C1689" s="5" t="s">
        <v>935</v>
      </c>
      <c r="D1689" s="5" t="s">
        <v>34</v>
      </c>
      <c r="E1689" s="5" t="s">
        <v>5581</v>
      </c>
      <c r="F1689" s="5" t="s">
        <v>715</v>
      </c>
      <c r="G1689" s="5" t="s">
        <v>36</v>
      </c>
      <c r="H1689" s="5" t="s">
        <v>36</v>
      </c>
      <c r="I1689" s="5" t="s">
        <v>35</v>
      </c>
      <c r="J1689" s="6">
        <v>1.0</v>
      </c>
      <c r="K1689" s="6">
        <v>870.0</v>
      </c>
      <c r="L1689" s="6">
        <v>217.0</v>
      </c>
      <c r="M1689" s="26" t="s">
        <v>38</v>
      </c>
      <c r="N1689" s="26" t="s">
        <v>68</v>
      </c>
      <c r="O1689" s="6" t="s">
        <v>775</v>
      </c>
      <c r="P1689" s="5" t="s">
        <v>59</v>
      </c>
      <c r="Q1689" s="5" t="s">
        <v>89</v>
      </c>
      <c r="R1689" s="6" t="s">
        <v>42</v>
      </c>
      <c r="S1689" s="5" t="s">
        <v>266</v>
      </c>
      <c r="T1689" s="5" t="s">
        <v>44</v>
      </c>
      <c r="U1689" s="5" t="s">
        <v>44</v>
      </c>
      <c r="V1689" s="5" t="s">
        <v>44</v>
      </c>
      <c r="W1689" s="5" t="s">
        <v>36</v>
      </c>
      <c r="X1689" s="8" t="s">
        <v>650</v>
      </c>
      <c r="Y1689" s="5" t="s">
        <v>46</v>
      </c>
      <c r="Z1689" s="5" t="s">
        <v>47</v>
      </c>
      <c r="AA1689" s="5" t="s">
        <v>64</v>
      </c>
      <c r="AB1689" s="5" t="s">
        <v>8125</v>
      </c>
      <c r="AC1689" s="6" t="s">
        <v>347</v>
      </c>
      <c r="AD1689" s="6">
        <v>1029.0</v>
      </c>
    </row>
    <row r="1690" ht="56.25" customHeight="1">
      <c r="A1690" s="5" t="s">
        <v>8112</v>
      </c>
      <c r="B1690" s="6" t="str">
        <f>IMAGE("https://storage.googleapis.com/acdb/housewares/FtrScreenJapanLow_Remake_0_3.png")</f>
        <v/>
      </c>
      <c r="C1690" s="5" t="s">
        <v>935</v>
      </c>
      <c r="D1690" s="5" t="s">
        <v>34</v>
      </c>
      <c r="E1690" s="5" t="s">
        <v>5587</v>
      </c>
      <c r="F1690" s="5" t="s">
        <v>715</v>
      </c>
      <c r="G1690" s="5" t="s">
        <v>36</v>
      </c>
      <c r="H1690" s="5" t="s">
        <v>36</v>
      </c>
      <c r="I1690" s="5" t="s">
        <v>35</v>
      </c>
      <c r="J1690" s="6">
        <v>1.0</v>
      </c>
      <c r="K1690" s="6">
        <v>870.0</v>
      </c>
      <c r="L1690" s="6">
        <v>217.0</v>
      </c>
      <c r="M1690" s="26" t="s">
        <v>38</v>
      </c>
      <c r="N1690" s="26" t="s">
        <v>142</v>
      </c>
      <c r="O1690" s="6" t="s">
        <v>775</v>
      </c>
      <c r="P1690" s="5" t="s">
        <v>59</v>
      </c>
      <c r="Q1690" s="5" t="s">
        <v>89</v>
      </c>
      <c r="R1690" s="6" t="s">
        <v>42</v>
      </c>
      <c r="S1690" s="5" t="s">
        <v>266</v>
      </c>
      <c r="T1690" s="5" t="s">
        <v>44</v>
      </c>
      <c r="U1690" s="5" t="s">
        <v>44</v>
      </c>
      <c r="V1690" s="5" t="s">
        <v>44</v>
      </c>
      <c r="W1690" s="5" t="s">
        <v>36</v>
      </c>
      <c r="X1690" s="8" t="s">
        <v>650</v>
      </c>
      <c r="Y1690" s="5" t="s">
        <v>46</v>
      </c>
      <c r="Z1690" s="5" t="s">
        <v>47</v>
      </c>
      <c r="AA1690" s="5" t="s">
        <v>64</v>
      </c>
      <c r="AB1690" s="5" t="s">
        <v>8128</v>
      </c>
      <c r="AC1690" s="6" t="s">
        <v>354</v>
      </c>
      <c r="AD1690" s="6">
        <v>1029.0</v>
      </c>
    </row>
    <row r="1691" ht="56.25" customHeight="1">
      <c r="A1691" s="5" t="s">
        <v>8112</v>
      </c>
      <c r="B1691" s="6" t="str">
        <f>IMAGE("https://storage.googleapis.com/acdb/housewares/FtrScreenJapanLow_Remake_0_4.png")</f>
        <v/>
      </c>
      <c r="C1691" s="5" t="s">
        <v>935</v>
      </c>
      <c r="D1691" s="5" t="s">
        <v>34</v>
      </c>
      <c r="E1691" s="5" t="s">
        <v>5592</v>
      </c>
      <c r="F1691" s="5" t="s">
        <v>715</v>
      </c>
      <c r="G1691" s="5" t="s">
        <v>36</v>
      </c>
      <c r="H1691" s="5" t="s">
        <v>36</v>
      </c>
      <c r="I1691" s="5" t="s">
        <v>35</v>
      </c>
      <c r="J1691" s="6">
        <v>1.0</v>
      </c>
      <c r="K1691" s="6">
        <v>870.0</v>
      </c>
      <c r="L1691" s="6">
        <v>217.0</v>
      </c>
      <c r="M1691" s="26" t="s">
        <v>38</v>
      </c>
      <c r="N1691" s="26" t="s">
        <v>95</v>
      </c>
      <c r="O1691" s="6" t="s">
        <v>775</v>
      </c>
      <c r="P1691" s="5" t="s">
        <v>59</v>
      </c>
      <c r="Q1691" s="5" t="s">
        <v>89</v>
      </c>
      <c r="R1691" s="6" t="s">
        <v>42</v>
      </c>
      <c r="S1691" s="5" t="s">
        <v>266</v>
      </c>
      <c r="T1691" s="5" t="s">
        <v>44</v>
      </c>
      <c r="U1691" s="5" t="s">
        <v>44</v>
      </c>
      <c r="V1691" s="5" t="s">
        <v>44</v>
      </c>
      <c r="W1691" s="5" t="s">
        <v>36</v>
      </c>
      <c r="X1691" s="8" t="s">
        <v>650</v>
      </c>
      <c r="Y1691" s="5" t="s">
        <v>46</v>
      </c>
      <c r="Z1691" s="5" t="s">
        <v>47</v>
      </c>
      <c r="AA1691" s="5" t="s">
        <v>64</v>
      </c>
      <c r="AB1691" s="5" t="s">
        <v>8132</v>
      </c>
      <c r="AC1691" s="6" t="s">
        <v>486</v>
      </c>
      <c r="AD1691" s="6">
        <v>1029.0</v>
      </c>
    </row>
    <row r="1692" ht="56.25" customHeight="1">
      <c r="A1692" s="5" t="s">
        <v>8112</v>
      </c>
      <c r="B1692" s="6" t="str">
        <f>IMAGE("https://storage.googleapis.com/acdb/housewares/FtrScreenJapanLow_Remake_1_0.png")</f>
        <v/>
      </c>
      <c r="C1692" s="5" t="s">
        <v>387</v>
      </c>
      <c r="D1692" s="5" t="s">
        <v>34</v>
      </c>
      <c r="E1692" s="5" t="s">
        <v>811</v>
      </c>
      <c r="F1692" s="5" t="s">
        <v>715</v>
      </c>
      <c r="G1692" s="5" t="s">
        <v>36</v>
      </c>
      <c r="H1692" s="5" t="s">
        <v>36</v>
      </c>
      <c r="I1692" s="5" t="s">
        <v>35</v>
      </c>
      <c r="J1692" s="6">
        <v>1.0</v>
      </c>
      <c r="K1692" s="6">
        <v>870.0</v>
      </c>
      <c r="L1692" s="6">
        <v>217.0</v>
      </c>
      <c r="M1692" s="26" t="s">
        <v>39</v>
      </c>
      <c r="N1692" s="26" t="s">
        <v>57</v>
      </c>
      <c r="O1692" s="6" t="s">
        <v>775</v>
      </c>
      <c r="P1692" s="5" t="s">
        <v>59</v>
      </c>
      <c r="Q1692" s="5" t="s">
        <v>89</v>
      </c>
      <c r="R1692" s="6" t="s">
        <v>42</v>
      </c>
      <c r="S1692" s="5" t="s">
        <v>266</v>
      </c>
      <c r="T1692" s="5" t="s">
        <v>44</v>
      </c>
      <c r="U1692" s="5" t="s">
        <v>44</v>
      </c>
      <c r="V1692" s="5" t="s">
        <v>44</v>
      </c>
      <c r="W1692" s="5" t="s">
        <v>36</v>
      </c>
      <c r="X1692" s="8" t="s">
        <v>650</v>
      </c>
      <c r="Y1692" s="5" t="s">
        <v>46</v>
      </c>
      <c r="Z1692" s="5" t="s">
        <v>47</v>
      </c>
      <c r="AA1692" s="5" t="s">
        <v>64</v>
      </c>
      <c r="AB1692" s="5" t="s">
        <v>8140</v>
      </c>
      <c r="AC1692" s="6" t="s">
        <v>56</v>
      </c>
      <c r="AD1692" s="6">
        <v>1029.0</v>
      </c>
    </row>
    <row r="1693" ht="56.25" customHeight="1">
      <c r="A1693" s="5" t="s">
        <v>8112</v>
      </c>
      <c r="B1693" s="6" t="str">
        <f>IMAGE("https://storage.googleapis.com/acdb/housewares/FtrScreenJapanLow_Remake_1_1.png")</f>
        <v/>
      </c>
      <c r="C1693" s="5" t="s">
        <v>387</v>
      </c>
      <c r="D1693" s="5" t="s">
        <v>34</v>
      </c>
      <c r="E1693" s="5" t="s">
        <v>5574</v>
      </c>
      <c r="F1693" s="5" t="s">
        <v>715</v>
      </c>
      <c r="G1693" s="5" t="s">
        <v>36</v>
      </c>
      <c r="H1693" s="5" t="s">
        <v>36</v>
      </c>
      <c r="I1693" s="5" t="s">
        <v>35</v>
      </c>
      <c r="J1693" s="6">
        <v>1.0</v>
      </c>
      <c r="K1693" s="6">
        <v>870.0</v>
      </c>
      <c r="L1693" s="6">
        <v>217.0</v>
      </c>
      <c r="M1693" s="26" t="s">
        <v>39</v>
      </c>
      <c r="N1693" s="26" t="s">
        <v>52</v>
      </c>
      <c r="O1693" s="6" t="s">
        <v>775</v>
      </c>
      <c r="P1693" s="5" t="s">
        <v>59</v>
      </c>
      <c r="Q1693" s="5" t="s">
        <v>89</v>
      </c>
      <c r="R1693" s="6" t="s">
        <v>42</v>
      </c>
      <c r="S1693" s="5" t="s">
        <v>266</v>
      </c>
      <c r="T1693" s="5" t="s">
        <v>44</v>
      </c>
      <c r="U1693" s="5" t="s">
        <v>44</v>
      </c>
      <c r="V1693" s="5" t="s">
        <v>44</v>
      </c>
      <c r="W1693" s="5" t="s">
        <v>36</v>
      </c>
      <c r="X1693" s="8" t="s">
        <v>650</v>
      </c>
      <c r="Y1693" s="5" t="s">
        <v>46</v>
      </c>
      <c r="Z1693" s="5" t="s">
        <v>47</v>
      </c>
      <c r="AA1693" s="5" t="s">
        <v>64</v>
      </c>
      <c r="AB1693" s="5" t="s">
        <v>8146</v>
      </c>
      <c r="AC1693" s="6" t="s">
        <v>234</v>
      </c>
      <c r="AD1693" s="6">
        <v>1029.0</v>
      </c>
    </row>
    <row r="1694" ht="56.25" customHeight="1">
      <c r="A1694" s="5" t="s">
        <v>8112</v>
      </c>
      <c r="B1694" s="6" t="str">
        <f>IMAGE("https://storage.googleapis.com/acdb/housewares/FtrScreenJapanLow_Remake_1_2.png")</f>
        <v/>
      </c>
      <c r="C1694" s="5" t="s">
        <v>387</v>
      </c>
      <c r="D1694" s="5" t="s">
        <v>34</v>
      </c>
      <c r="E1694" s="5" t="s">
        <v>5581</v>
      </c>
      <c r="F1694" s="5" t="s">
        <v>715</v>
      </c>
      <c r="G1694" s="5" t="s">
        <v>36</v>
      </c>
      <c r="H1694" s="5" t="s">
        <v>36</v>
      </c>
      <c r="I1694" s="5" t="s">
        <v>35</v>
      </c>
      <c r="J1694" s="6">
        <v>1.0</v>
      </c>
      <c r="K1694" s="6">
        <v>870.0</v>
      </c>
      <c r="L1694" s="6">
        <v>217.0</v>
      </c>
      <c r="M1694" s="26" t="s">
        <v>39</v>
      </c>
      <c r="N1694" s="26" t="s">
        <v>68</v>
      </c>
      <c r="O1694" s="6" t="s">
        <v>775</v>
      </c>
      <c r="P1694" s="5" t="s">
        <v>59</v>
      </c>
      <c r="Q1694" s="5" t="s">
        <v>89</v>
      </c>
      <c r="R1694" s="6" t="s">
        <v>42</v>
      </c>
      <c r="S1694" s="5" t="s">
        <v>266</v>
      </c>
      <c r="T1694" s="5" t="s">
        <v>44</v>
      </c>
      <c r="U1694" s="5" t="s">
        <v>44</v>
      </c>
      <c r="V1694" s="5" t="s">
        <v>44</v>
      </c>
      <c r="W1694" s="5" t="s">
        <v>36</v>
      </c>
      <c r="X1694" s="8" t="s">
        <v>650</v>
      </c>
      <c r="Y1694" s="5" t="s">
        <v>46</v>
      </c>
      <c r="Z1694" s="5" t="s">
        <v>47</v>
      </c>
      <c r="AA1694" s="5" t="s">
        <v>64</v>
      </c>
      <c r="AB1694" s="5" t="s">
        <v>8151</v>
      </c>
      <c r="AC1694" s="6" t="s">
        <v>370</v>
      </c>
      <c r="AD1694" s="6">
        <v>1029.0</v>
      </c>
    </row>
    <row r="1695" ht="56.25" customHeight="1">
      <c r="A1695" s="5" t="s">
        <v>8112</v>
      </c>
      <c r="B1695" s="6" t="str">
        <f>IMAGE("https://storage.googleapis.com/acdb/housewares/FtrScreenJapanLow_Remake_1_3.png")</f>
        <v/>
      </c>
      <c r="C1695" s="5" t="s">
        <v>387</v>
      </c>
      <c r="D1695" s="5" t="s">
        <v>34</v>
      </c>
      <c r="E1695" s="5" t="s">
        <v>5587</v>
      </c>
      <c r="F1695" s="5" t="s">
        <v>715</v>
      </c>
      <c r="G1695" s="5" t="s">
        <v>36</v>
      </c>
      <c r="H1695" s="5" t="s">
        <v>36</v>
      </c>
      <c r="I1695" s="5" t="s">
        <v>35</v>
      </c>
      <c r="J1695" s="6">
        <v>1.0</v>
      </c>
      <c r="K1695" s="6">
        <v>870.0</v>
      </c>
      <c r="L1695" s="6">
        <v>217.0</v>
      </c>
      <c r="M1695" s="26" t="s">
        <v>39</v>
      </c>
      <c r="N1695" s="26" t="s">
        <v>142</v>
      </c>
      <c r="O1695" s="6" t="s">
        <v>775</v>
      </c>
      <c r="P1695" s="5" t="s">
        <v>59</v>
      </c>
      <c r="Q1695" s="5" t="s">
        <v>89</v>
      </c>
      <c r="R1695" s="6" t="s">
        <v>42</v>
      </c>
      <c r="S1695" s="5" t="s">
        <v>266</v>
      </c>
      <c r="T1695" s="5" t="s">
        <v>44</v>
      </c>
      <c r="U1695" s="5" t="s">
        <v>44</v>
      </c>
      <c r="V1695" s="5" t="s">
        <v>44</v>
      </c>
      <c r="W1695" s="5" t="s">
        <v>36</v>
      </c>
      <c r="X1695" s="8" t="s">
        <v>650</v>
      </c>
      <c r="Y1695" s="5" t="s">
        <v>46</v>
      </c>
      <c r="Z1695" s="5" t="s">
        <v>47</v>
      </c>
      <c r="AA1695" s="5" t="s">
        <v>64</v>
      </c>
      <c r="AB1695" s="5" t="s">
        <v>8158</v>
      </c>
      <c r="AC1695" s="6" t="s">
        <v>377</v>
      </c>
      <c r="AD1695" s="6">
        <v>1029.0</v>
      </c>
    </row>
    <row r="1696" ht="56.25" customHeight="1">
      <c r="A1696" s="5" t="s">
        <v>8112</v>
      </c>
      <c r="B1696" s="6" t="str">
        <f>IMAGE("https://storage.googleapis.com/acdb/housewares/FtrScreenJapanLow_Remake_1_4.png")</f>
        <v/>
      </c>
      <c r="C1696" s="5" t="s">
        <v>387</v>
      </c>
      <c r="D1696" s="5" t="s">
        <v>34</v>
      </c>
      <c r="E1696" s="5" t="s">
        <v>5592</v>
      </c>
      <c r="F1696" s="5" t="s">
        <v>715</v>
      </c>
      <c r="G1696" s="5" t="s">
        <v>36</v>
      </c>
      <c r="H1696" s="5" t="s">
        <v>36</v>
      </c>
      <c r="I1696" s="5" t="s">
        <v>35</v>
      </c>
      <c r="J1696" s="6">
        <v>1.0</v>
      </c>
      <c r="K1696" s="6">
        <v>870.0</v>
      </c>
      <c r="L1696" s="6">
        <v>217.0</v>
      </c>
      <c r="M1696" s="26" t="s">
        <v>39</v>
      </c>
      <c r="N1696" s="26" t="s">
        <v>95</v>
      </c>
      <c r="O1696" s="6" t="s">
        <v>775</v>
      </c>
      <c r="P1696" s="5" t="s">
        <v>59</v>
      </c>
      <c r="Q1696" s="5" t="s">
        <v>89</v>
      </c>
      <c r="R1696" s="6" t="s">
        <v>42</v>
      </c>
      <c r="S1696" s="5" t="s">
        <v>266</v>
      </c>
      <c r="T1696" s="5" t="s">
        <v>44</v>
      </c>
      <c r="U1696" s="5" t="s">
        <v>44</v>
      </c>
      <c r="V1696" s="5" t="s">
        <v>44</v>
      </c>
      <c r="W1696" s="5" t="s">
        <v>36</v>
      </c>
      <c r="X1696" s="8" t="s">
        <v>650</v>
      </c>
      <c r="Y1696" s="5" t="s">
        <v>46</v>
      </c>
      <c r="Z1696" s="5" t="s">
        <v>47</v>
      </c>
      <c r="AA1696" s="5" t="s">
        <v>64</v>
      </c>
      <c r="AB1696" s="5" t="s">
        <v>8163</v>
      </c>
      <c r="AC1696" s="6" t="s">
        <v>520</v>
      </c>
      <c r="AD1696" s="6">
        <v>1029.0</v>
      </c>
    </row>
    <row r="1697" ht="56.25" customHeight="1">
      <c r="A1697" s="5" t="s">
        <v>8112</v>
      </c>
      <c r="B1697" s="6" t="str">
        <f>IMAGE("https://storage.googleapis.com/acdb/housewares/FtrScreenJapanLow_Remake_2_0.png")</f>
        <v/>
      </c>
      <c r="C1697" s="5" t="s">
        <v>39</v>
      </c>
      <c r="D1697" s="5" t="s">
        <v>34</v>
      </c>
      <c r="E1697" s="5" t="s">
        <v>811</v>
      </c>
      <c r="F1697" s="5" t="s">
        <v>715</v>
      </c>
      <c r="G1697" s="5" t="s">
        <v>36</v>
      </c>
      <c r="H1697" s="5" t="s">
        <v>36</v>
      </c>
      <c r="I1697" s="5" t="s">
        <v>35</v>
      </c>
      <c r="J1697" s="6">
        <v>1.0</v>
      </c>
      <c r="K1697" s="6">
        <v>870.0</v>
      </c>
      <c r="L1697" s="6">
        <v>217.0</v>
      </c>
      <c r="M1697" s="26" t="s">
        <v>142</v>
      </c>
      <c r="N1697" s="26" t="s">
        <v>57</v>
      </c>
      <c r="O1697" s="6" t="s">
        <v>775</v>
      </c>
      <c r="P1697" s="5" t="s">
        <v>59</v>
      </c>
      <c r="Q1697" s="5" t="s">
        <v>89</v>
      </c>
      <c r="R1697" s="6" t="s">
        <v>42</v>
      </c>
      <c r="S1697" s="5" t="s">
        <v>266</v>
      </c>
      <c r="T1697" s="5" t="s">
        <v>44</v>
      </c>
      <c r="U1697" s="5" t="s">
        <v>44</v>
      </c>
      <c r="V1697" s="5" t="s">
        <v>44</v>
      </c>
      <c r="W1697" s="5" t="s">
        <v>36</v>
      </c>
      <c r="X1697" s="8" t="s">
        <v>650</v>
      </c>
      <c r="Y1697" s="5" t="s">
        <v>46</v>
      </c>
      <c r="Z1697" s="5" t="s">
        <v>47</v>
      </c>
      <c r="AA1697" s="5" t="s">
        <v>64</v>
      </c>
      <c r="AB1697" s="5" t="s">
        <v>8165</v>
      </c>
      <c r="AC1697" s="6" t="s">
        <v>67</v>
      </c>
      <c r="AD1697" s="6">
        <v>1029.0</v>
      </c>
    </row>
    <row r="1698" ht="56.25" customHeight="1">
      <c r="A1698" s="5" t="s">
        <v>8112</v>
      </c>
      <c r="B1698" s="6" t="str">
        <f>IMAGE("https://storage.googleapis.com/acdb/housewares/FtrScreenJapanLow_Remake_2_1.png")</f>
        <v/>
      </c>
      <c r="C1698" s="5" t="s">
        <v>39</v>
      </c>
      <c r="D1698" s="5" t="s">
        <v>34</v>
      </c>
      <c r="E1698" s="5" t="s">
        <v>5574</v>
      </c>
      <c r="F1698" s="5" t="s">
        <v>715</v>
      </c>
      <c r="G1698" s="5" t="s">
        <v>36</v>
      </c>
      <c r="H1698" s="5" t="s">
        <v>36</v>
      </c>
      <c r="I1698" s="5" t="s">
        <v>35</v>
      </c>
      <c r="J1698" s="6">
        <v>1.0</v>
      </c>
      <c r="K1698" s="6">
        <v>870.0</v>
      </c>
      <c r="L1698" s="6">
        <v>217.0</v>
      </c>
      <c r="M1698" s="26" t="s">
        <v>142</v>
      </c>
      <c r="N1698" s="26" t="s">
        <v>52</v>
      </c>
      <c r="O1698" s="6" t="s">
        <v>775</v>
      </c>
      <c r="P1698" s="5" t="s">
        <v>59</v>
      </c>
      <c r="Q1698" s="5" t="s">
        <v>89</v>
      </c>
      <c r="R1698" s="6" t="s">
        <v>42</v>
      </c>
      <c r="S1698" s="5" t="s">
        <v>266</v>
      </c>
      <c r="T1698" s="5" t="s">
        <v>44</v>
      </c>
      <c r="U1698" s="5" t="s">
        <v>44</v>
      </c>
      <c r="V1698" s="5" t="s">
        <v>44</v>
      </c>
      <c r="W1698" s="5" t="s">
        <v>36</v>
      </c>
      <c r="X1698" s="8" t="s">
        <v>650</v>
      </c>
      <c r="Y1698" s="5" t="s">
        <v>46</v>
      </c>
      <c r="Z1698" s="5" t="s">
        <v>47</v>
      </c>
      <c r="AA1698" s="5" t="s">
        <v>64</v>
      </c>
      <c r="AB1698" s="5" t="s">
        <v>8170</v>
      </c>
      <c r="AC1698" s="6" t="s">
        <v>247</v>
      </c>
      <c r="AD1698" s="6">
        <v>1029.0</v>
      </c>
    </row>
    <row r="1699" ht="56.25" customHeight="1">
      <c r="A1699" s="5" t="s">
        <v>8112</v>
      </c>
      <c r="B1699" s="6" t="str">
        <f>IMAGE("https://storage.googleapis.com/acdb/housewares/FtrScreenJapanLow_Remake_2_2.png")</f>
        <v/>
      </c>
      <c r="C1699" s="5" t="s">
        <v>39</v>
      </c>
      <c r="D1699" s="5" t="s">
        <v>34</v>
      </c>
      <c r="E1699" s="5" t="s">
        <v>5581</v>
      </c>
      <c r="F1699" s="5" t="s">
        <v>715</v>
      </c>
      <c r="G1699" s="5" t="s">
        <v>36</v>
      </c>
      <c r="H1699" s="5" t="s">
        <v>36</v>
      </c>
      <c r="I1699" s="5" t="s">
        <v>35</v>
      </c>
      <c r="J1699" s="6">
        <v>1.0</v>
      </c>
      <c r="K1699" s="6">
        <v>870.0</v>
      </c>
      <c r="L1699" s="6">
        <v>217.0</v>
      </c>
      <c r="M1699" s="26" t="s">
        <v>142</v>
      </c>
      <c r="N1699" s="26" t="s">
        <v>68</v>
      </c>
      <c r="O1699" s="6" t="s">
        <v>775</v>
      </c>
      <c r="P1699" s="5" t="s">
        <v>59</v>
      </c>
      <c r="Q1699" s="5" t="s">
        <v>89</v>
      </c>
      <c r="R1699" s="6" t="s">
        <v>42</v>
      </c>
      <c r="S1699" s="5" t="s">
        <v>266</v>
      </c>
      <c r="T1699" s="5" t="s">
        <v>44</v>
      </c>
      <c r="U1699" s="5" t="s">
        <v>44</v>
      </c>
      <c r="V1699" s="5" t="s">
        <v>44</v>
      </c>
      <c r="W1699" s="5" t="s">
        <v>36</v>
      </c>
      <c r="X1699" s="8" t="s">
        <v>650</v>
      </c>
      <c r="Y1699" s="5" t="s">
        <v>46</v>
      </c>
      <c r="Z1699" s="5" t="s">
        <v>47</v>
      </c>
      <c r="AA1699" s="5" t="s">
        <v>64</v>
      </c>
      <c r="AB1699" s="5" t="s">
        <v>8174</v>
      </c>
      <c r="AC1699" s="6" t="s">
        <v>390</v>
      </c>
      <c r="AD1699" s="6">
        <v>1029.0</v>
      </c>
    </row>
    <row r="1700" ht="56.25" customHeight="1">
      <c r="A1700" s="5" t="s">
        <v>8112</v>
      </c>
      <c r="B1700" s="6" t="str">
        <f>IMAGE("https://storage.googleapis.com/acdb/housewares/FtrScreenJapanLow_Remake_2_3.png")</f>
        <v/>
      </c>
      <c r="C1700" s="5" t="s">
        <v>39</v>
      </c>
      <c r="D1700" s="5" t="s">
        <v>34</v>
      </c>
      <c r="E1700" s="5" t="s">
        <v>5587</v>
      </c>
      <c r="F1700" s="5" t="s">
        <v>715</v>
      </c>
      <c r="G1700" s="5" t="s">
        <v>36</v>
      </c>
      <c r="H1700" s="5" t="s">
        <v>36</v>
      </c>
      <c r="I1700" s="5" t="s">
        <v>35</v>
      </c>
      <c r="J1700" s="6">
        <v>1.0</v>
      </c>
      <c r="K1700" s="6">
        <v>870.0</v>
      </c>
      <c r="L1700" s="6">
        <v>217.0</v>
      </c>
      <c r="M1700" s="26" t="s">
        <v>142</v>
      </c>
      <c r="N1700" s="26" t="s">
        <v>142</v>
      </c>
      <c r="O1700" s="6" t="s">
        <v>775</v>
      </c>
      <c r="P1700" s="5" t="s">
        <v>59</v>
      </c>
      <c r="Q1700" s="5" t="s">
        <v>89</v>
      </c>
      <c r="R1700" s="6" t="s">
        <v>42</v>
      </c>
      <c r="S1700" s="5" t="s">
        <v>266</v>
      </c>
      <c r="T1700" s="5" t="s">
        <v>44</v>
      </c>
      <c r="U1700" s="5" t="s">
        <v>44</v>
      </c>
      <c r="V1700" s="5" t="s">
        <v>44</v>
      </c>
      <c r="W1700" s="5" t="s">
        <v>36</v>
      </c>
      <c r="X1700" s="8" t="s">
        <v>650</v>
      </c>
      <c r="Y1700" s="5" t="s">
        <v>46</v>
      </c>
      <c r="Z1700" s="5" t="s">
        <v>47</v>
      </c>
      <c r="AA1700" s="5" t="s">
        <v>64</v>
      </c>
      <c r="AB1700" s="5" t="s">
        <v>8181</v>
      </c>
      <c r="AC1700" s="6" t="s">
        <v>396</v>
      </c>
      <c r="AD1700" s="6">
        <v>1029.0</v>
      </c>
    </row>
    <row r="1701" ht="56.25" customHeight="1">
      <c r="A1701" s="5" t="s">
        <v>8112</v>
      </c>
      <c r="B1701" s="6" t="str">
        <f>IMAGE("https://storage.googleapis.com/acdb/housewares/FtrScreenJapanLow_Remake_2_4.png")</f>
        <v/>
      </c>
      <c r="C1701" s="5" t="s">
        <v>39</v>
      </c>
      <c r="D1701" s="5" t="s">
        <v>34</v>
      </c>
      <c r="E1701" s="5" t="s">
        <v>5592</v>
      </c>
      <c r="F1701" s="5" t="s">
        <v>715</v>
      </c>
      <c r="G1701" s="5" t="s">
        <v>36</v>
      </c>
      <c r="H1701" s="5" t="s">
        <v>36</v>
      </c>
      <c r="I1701" s="5" t="s">
        <v>35</v>
      </c>
      <c r="J1701" s="6">
        <v>1.0</v>
      </c>
      <c r="K1701" s="6">
        <v>870.0</v>
      </c>
      <c r="L1701" s="6">
        <v>217.0</v>
      </c>
      <c r="M1701" s="26" t="s">
        <v>142</v>
      </c>
      <c r="N1701" s="26" t="s">
        <v>95</v>
      </c>
      <c r="O1701" s="6" t="s">
        <v>775</v>
      </c>
      <c r="P1701" s="5" t="s">
        <v>59</v>
      </c>
      <c r="Q1701" s="5" t="s">
        <v>89</v>
      </c>
      <c r="R1701" s="6" t="s">
        <v>42</v>
      </c>
      <c r="S1701" s="5" t="s">
        <v>266</v>
      </c>
      <c r="T1701" s="5" t="s">
        <v>44</v>
      </c>
      <c r="U1701" s="5" t="s">
        <v>44</v>
      </c>
      <c r="V1701" s="5" t="s">
        <v>44</v>
      </c>
      <c r="W1701" s="5" t="s">
        <v>36</v>
      </c>
      <c r="X1701" s="8" t="s">
        <v>650</v>
      </c>
      <c r="Y1701" s="5" t="s">
        <v>46</v>
      </c>
      <c r="Z1701" s="5" t="s">
        <v>47</v>
      </c>
      <c r="AA1701" s="5" t="s">
        <v>64</v>
      </c>
      <c r="AB1701" s="5" t="s">
        <v>8189</v>
      </c>
      <c r="AC1701" s="6" t="s">
        <v>541</v>
      </c>
      <c r="AD1701" s="6">
        <v>1029.0</v>
      </c>
    </row>
    <row r="1702" ht="56.25" customHeight="1">
      <c r="A1702" s="5" t="s">
        <v>8190</v>
      </c>
      <c r="B1702" s="6" t="str">
        <f>IMAGE("https://storage.googleapis.com/acdb/housewares/FtrModule.png")</f>
        <v/>
      </c>
      <c r="C1702" s="5" t="s">
        <v>34</v>
      </c>
      <c r="D1702" s="5" t="s">
        <v>34</v>
      </c>
      <c r="E1702" s="5" t="s">
        <v>34</v>
      </c>
      <c r="F1702" s="5" t="s">
        <v>34</v>
      </c>
      <c r="G1702" s="5" t="s">
        <v>35</v>
      </c>
      <c r="H1702" s="5" t="s">
        <v>36</v>
      </c>
      <c r="I1702" s="5" t="s">
        <v>36</v>
      </c>
      <c r="J1702" s="6" t="s">
        <v>34</v>
      </c>
      <c r="K1702" s="6" t="s">
        <v>37</v>
      </c>
      <c r="L1702" s="6">
        <v>16250.0</v>
      </c>
      <c r="M1702" s="5" t="s">
        <v>95</v>
      </c>
      <c r="N1702" s="5" t="s">
        <v>114</v>
      </c>
      <c r="O1702" s="6" t="s">
        <v>214</v>
      </c>
      <c r="P1702" s="5" t="s">
        <v>41</v>
      </c>
      <c r="Q1702" s="5"/>
      <c r="R1702" s="6" t="s">
        <v>42</v>
      </c>
      <c r="S1702" s="5" t="s">
        <v>401</v>
      </c>
      <c r="T1702" s="5" t="s">
        <v>44</v>
      </c>
      <c r="U1702" s="5" t="s">
        <v>44</v>
      </c>
      <c r="V1702" s="5" t="s">
        <v>44</v>
      </c>
      <c r="W1702" s="5" t="s">
        <v>36</v>
      </c>
      <c r="X1702" s="8" t="s">
        <v>403</v>
      </c>
      <c r="Y1702" s="5" t="s">
        <v>46</v>
      </c>
      <c r="Z1702" s="5" t="s">
        <v>47</v>
      </c>
      <c r="AA1702" s="5" t="s">
        <v>48</v>
      </c>
      <c r="AB1702" s="5" t="s">
        <v>8196</v>
      </c>
      <c r="AC1702" s="6" t="s">
        <v>34</v>
      </c>
      <c r="AD1702" s="6">
        <v>1440.0</v>
      </c>
    </row>
    <row r="1703" ht="56.25" customHeight="1">
      <c r="A1703" s="5" t="s">
        <v>8197</v>
      </c>
      <c r="B1703" s="6" t="str">
        <f>IMAGE("https://storage.googleapis.com/acdb/housewares/FtrMoonrover.png")</f>
        <v/>
      </c>
      <c r="C1703" s="5" t="s">
        <v>34</v>
      </c>
      <c r="D1703" s="5" t="s">
        <v>34</v>
      </c>
      <c r="E1703" s="5" t="s">
        <v>34</v>
      </c>
      <c r="F1703" s="5" t="s">
        <v>34</v>
      </c>
      <c r="G1703" s="5" t="s">
        <v>35</v>
      </c>
      <c r="H1703" s="5" t="s">
        <v>36</v>
      </c>
      <c r="I1703" s="5" t="s">
        <v>36</v>
      </c>
      <c r="J1703" s="6" t="s">
        <v>34</v>
      </c>
      <c r="K1703" s="6" t="s">
        <v>37</v>
      </c>
      <c r="L1703" s="6">
        <v>12580.0</v>
      </c>
      <c r="M1703" s="5" t="s">
        <v>95</v>
      </c>
      <c r="N1703" s="5" t="s">
        <v>142</v>
      </c>
      <c r="O1703" s="6" t="s">
        <v>214</v>
      </c>
      <c r="P1703" s="5" t="s">
        <v>41</v>
      </c>
      <c r="Q1703" s="5"/>
      <c r="R1703" s="6" t="s">
        <v>42</v>
      </c>
      <c r="S1703" s="5" t="s">
        <v>401</v>
      </c>
      <c r="T1703" s="5" t="s">
        <v>44</v>
      </c>
      <c r="U1703" s="5" t="s">
        <v>44</v>
      </c>
      <c r="V1703" s="5" t="s">
        <v>44</v>
      </c>
      <c r="W1703" s="5" t="s">
        <v>36</v>
      </c>
      <c r="X1703" s="8" t="s">
        <v>403</v>
      </c>
      <c r="Y1703" s="5" t="s">
        <v>46</v>
      </c>
      <c r="Z1703" s="5" t="s">
        <v>47</v>
      </c>
      <c r="AA1703" s="5" t="s">
        <v>48</v>
      </c>
      <c r="AB1703" s="5" t="s">
        <v>8201</v>
      </c>
      <c r="AC1703" s="6" t="s">
        <v>34</v>
      </c>
      <c r="AD1703" s="6">
        <v>1442.0</v>
      </c>
    </row>
    <row r="1704" ht="56.25" customHeight="1">
      <c r="A1704" s="5" t="s">
        <v>8202</v>
      </c>
      <c r="B1704" s="6" t="str">
        <f>IMAGE("https://storage.googleapis.com/acdb/housewares/FtrBearM_Remake_0_0.png")</f>
        <v/>
      </c>
      <c r="C1704" s="5" t="s">
        <v>307</v>
      </c>
      <c r="D1704" s="5" t="s">
        <v>34</v>
      </c>
      <c r="E1704" s="5" t="s">
        <v>44</v>
      </c>
      <c r="F1704" s="5" t="s">
        <v>327</v>
      </c>
      <c r="G1704" s="5" t="s">
        <v>36</v>
      </c>
      <c r="H1704" s="5" t="s">
        <v>36</v>
      </c>
      <c r="I1704" s="5" t="s">
        <v>35</v>
      </c>
      <c r="J1704" s="6">
        <v>1.0</v>
      </c>
      <c r="K1704" s="6">
        <v>2300.0</v>
      </c>
      <c r="L1704" s="6">
        <v>575.0</v>
      </c>
      <c r="M1704" s="26" t="s">
        <v>69</v>
      </c>
      <c r="N1704" s="26" t="s">
        <v>38</v>
      </c>
      <c r="O1704" s="6" t="s">
        <v>40</v>
      </c>
      <c r="P1704" s="5" t="s">
        <v>59</v>
      </c>
      <c r="Q1704" s="5" t="s">
        <v>89</v>
      </c>
      <c r="R1704" s="6" t="s">
        <v>42</v>
      </c>
      <c r="S1704" s="5" t="s">
        <v>61</v>
      </c>
      <c r="T1704" s="5" t="s">
        <v>99</v>
      </c>
      <c r="U1704" s="5" t="s">
        <v>44</v>
      </c>
      <c r="V1704" s="5" t="s">
        <v>329</v>
      </c>
      <c r="W1704" s="5" t="s">
        <v>36</v>
      </c>
      <c r="X1704" s="8" t="s">
        <v>330</v>
      </c>
      <c r="Y1704" s="5" t="s">
        <v>46</v>
      </c>
      <c r="Z1704" s="5" t="s">
        <v>47</v>
      </c>
      <c r="AA1704" s="5" t="s">
        <v>64</v>
      </c>
      <c r="AB1704" s="5" t="s">
        <v>8207</v>
      </c>
      <c r="AC1704" s="6" t="s">
        <v>50</v>
      </c>
      <c r="AD1704" s="6">
        <v>1500.0</v>
      </c>
    </row>
    <row r="1705" ht="56.25" customHeight="1">
      <c r="A1705" s="5" t="s">
        <v>8202</v>
      </c>
      <c r="B1705" s="6" t="str">
        <f>IMAGE("https://storage.googleapis.com/acdb/housewares/FtrBearM_Remake_0_1.png")</f>
        <v/>
      </c>
      <c r="C1705" s="5" t="s">
        <v>307</v>
      </c>
      <c r="D1705" s="5" t="s">
        <v>34</v>
      </c>
      <c r="E1705" s="5" t="s">
        <v>906</v>
      </c>
      <c r="F1705" s="5" t="s">
        <v>327</v>
      </c>
      <c r="G1705" s="5" t="s">
        <v>36</v>
      </c>
      <c r="H1705" s="5" t="s">
        <v>36</v>
      </c>
      <c r="I1705" s="5" t="s">
        <v>35</v>
      </c>
      <c r="J1705" s="6">
        <v>1.0</v>
      </c>
      <c r="K1705" s="6">
        <v>2300.0</v>
      </c>
      <c r="L1705" s="6">
        <v>575.0</v>
      </c>
      <c r="M1705" s="26" t="s">
        <v>69</v>
      </c>
      <c r="N1705" s="26" t="s">
        <v>52</v>
      </c>
      <c r="O1705" s="6" t="s">
        <v>40</v>
      </c>
      <c r="P1705" s="5" t="s">
        <v>59</v>
      </c>
      <c r="Q1705" s="5" t="s">
        <v>89</v>
      </c>
      <c r="R1705" s="6" t="s">
        <v>42</v>
      </c>
      <c r="S1705" s="5" t="s">
        <v>61</v>
      </c>
      <c r="T1705" s="5" t="s">
        <v>99</v>
      </c>
      <c r="U1705" s="5" t="s">
        <v>44</v>
      </c>
      <c r="V1705" s="5" t="s">
        <v>329</v>
      </c>
      <c r="W1705" s="5" t="s">
        <v>36</v>
      </c>
      <c r="X1705" s="8" t="s">
        <v>330</v>
      </c>
      <c r="Y1705" s="5" t="s">
        <v>46</v>
      </c>
      <c r="Z1705" s="5" t="s">
        <v>47</v>
      </c>
      <c r="AA1705" s="5" t="s">
        <v>64</v>
      </c>
      <c r="AB1705" s="5" t="s">
        <v>8212</v>
      </c>
      <c r="AC1705" s="6" t="s">
        <v>217</v>
      </c>
      <c r="AD1705" s="6">
        <v>1500.0</v>
      </c>
    </row>
    <row r="1706" ht="56.25" customHeight="1">
      <c r="A1706" s="5" t="s">
        <v>8202</v>
      </c>
      <c r="B1706" s="6" t="str">
        <f>IMAGE("https://storage.googleapis.com/acdb/housewares/FtrBearM_Remake_0_2.png")</f>
        <v/>
      </c>
      <c r="C1706" s="5" t="s">
        <v>307</v>
      </c>
      <c r="D1706" s="5" t="s">
        <v>34</v>
      </c>
      <c r="E1706" s="5" t="s">
        <v>2033</v>
      </c>
      <c r="F1706" s="5" t="s">
        <v>327</v>
      </c>
      <c r="G1706" s="5" t="s">
        <v>36</v>
      </c>
      <c r="H1706" s="5" t="s">
        <v>36</v>
      </c>
      <c r="I1706" s="5" t="s">
        <v>35</v>
      </c>
      <c r="J1706" s="6">
        <v>1.0</v>
      </c>
      <c r="K1706" s="6">
        <v>2300.0</v>
      </c>
      <c r="L1706" s="6">
        <v>575.0</v>
      </c>
      <c r="M1706" s="26" t="s">
        <v>69</v>
      </c>
      <c r="N1706" s="26" t="s">
        <v>68</v>
      </c>
      <c r="O1706" s="6" t="s">
        <v>40</v>
      </c>
      <c r="P1706" s="5" t="s">
        <v>59</v>
      </c>
      <c r="Q1706" s="5" t="s">
        <v>89</v>
      </c>
      <c r="R1706" s="6" t="s">
        <v>42</v>
      </c>
      <c r="S1706" s="5" t="s">
        <v>61</v>
      </c>
      <c r="T1706" s="5" t="s">
        <v>99</v>
      </c>
      <c r="U1706" s="5" t="s">
        <v>44</v>
      </c>
      <c r="V1706" s="5" t="s">
        <v>329</v>
      </c>
      <c r="W1706" s="5" t="s">
        <v>36</v>
      </c>
      <c r="X1706" s="8" t="s">
        <v>330</v>
      </c>
      <c r="Y1706" s="5" t="s">
        <v>46</v>
      </c>
      <c r="Z1706" s="5" t="s">
        <v>47</v>
      </c>
      <c r="AA1706" s="5" t="s">
        <v>64</v>
      </c>
      <c r="AB1706" s="5" t="s">
        <v>8217</v>
      </c>
      <c r="AC1706" s="6" t="s">
        <v>347</v>
      </c>
      <c r="AD1706" s="6">
        <v>1500.0</v>
      </c>
    </row>
    <row r="1707" ht="56.25" customHeight="1">
      <c r="A1707" s="5" t="s">
        <v>8202</v>
      </c>
      <c r="B1707" s="6" t="str">
        <f>IMAGE("https://storage.googleapis.com/acdb/housewares/FtrBearM_Remake_0_3.png")</f>
        <v/>
      </c>
      <c r="C1707" s="5" t="s">
        <v>307</v>
      </c>
      <c r="D1707" s="5" t="s">
        <v>34</v>
      </c>
      <c r="E1707" s="5" t="s">
        <v>8220</v>
      </c>
      <c r="F1707" s="5" t="s">
        <v>327</v>
      </c>
      <c r="G1707" s="5" t="s">
        <v>36</v>
      </c>
      <c r="H1707" s="5" t="s">
        <v>36</v>
      </c>
      <c r="I1707" s="5" t="s">
        <v>35</v>
      </c>
      <c r="J1707" s="6">
        <v>1.0</v>
      </c>
      <c r="K1707" s="6">
        <v>2300.0</v>
      </c>
      <c r="L1707" s="6">
        <v>575.0</v>
      </c>
      <c r="M1707" s="26" t="s">
        <v>69</v>
      </c>
      <c r="N1707" s="26" t="s">
        <v>114</v>
      </c>
      <c r="O1707" s="6" t="s">
        <v>40</v>
      </c>
      <c r="P1707" s="5" t="s">
        <v>59</v>
      </c>
      <c r="Q1707" s="5" t="s">
        <v>89</v>
      </c>
      <c r="R1707" s="6" t="s">
        <v>42</v>
      </c>
      <c r="S1707" s="5" t="s">
        <v>61</v>
      </c>
      <c r="T1707" s="5" t="s">
        <v>99</v>
      </c>
      <c r="U1707" s="5" t="s">
        <v>44</v>
      </c>
      <c r="V1707" s="5" t="s">
        <v>329</v>
      </c>
      <c r="W1707" s="5" t="s">
        <v>36</v>
      </c>
      <c r="X1707" s="8" t="s">
        <v>330</v>
      </c>
      <c r="Y1707" s="5" t="s">
        <v>46</v>
      </c>
      <c r="Z1707" s="5" t="s">
        <v>47</v>
      </c>
      <c r="AA1707" s="5" t="s">
        <v>64</v>
      </c>
      <c r="AB1707" s="5" t="s">
        <v>8224</v>
      </c>
      <c r="AC1707" s="6" t="s">
        <v>354</v>
      </c>
      <c r="AD1707" s="6">
        <v>1500.0</v>
      </c>
    </row>
    <row r="1708" ht="56.25" customHeight="1">
      <c r="A1708" s="5" t="s">
        <v>8202</v>
      </c>
      <c r="B1708" s="6" t="str">
        <f>IMAGE("https://storage.googleapis.com/acdb/housewares/FtrBearM_Remake_1_0.png")</f>
        <v/>
      </c>
      <c r="C1708" s="5" t="s">
        <v>355</v>
      </c>
      <c r="D1708" s="5" t="s">
        <v>34</v>
      </c>
      <c r="E1708" s="5" t="s">
        <v>44</v>
      </c>
      <c r="F1708" s="5" t="s">
        <v>327</v>
      </c>
      <c r="G1708" s="5" t="s">
        <v>36</v>
      </c>
      <c r="H1708" s="5" t="s">
        <v>36</v>
      </c>
      <c r="I1708" s="5" t="s">
        <v>35</v>
      </c>
      <c r="J1708" s="6">
        <v>1.0</v>
      </c>
      <c r="K1708" s="6">
        <v>2300.0</v>
      </c>
      <c r="L1708" s="6">
        <v>575.0</v>
      </c>
      <c r="M1708" s="26" t="s">
        <v>38</v>
      </c>
      <c r="N1708" s="26" t="s">
        <v>38</v>
      </c>
      <c r="O1708" s="6" t="s">
        <v>40</v>
      </c>
      <c r="P1708" s="5" t="s">
        <v>59</v>
      </c>
      <c r="Q1708" s="5" t="s">
        <v>89</v>
      </c>
      <c r="R1708" s="6" t="s">
        <v>42</v>
      </c>
      <c r="S1708" s="5" t="s">
        <v>61</v>
      </c>
      <c r="T1708" s="5" t="s">
        <v>99</v>
      </c>
      <c r="U1708" s="5" t="s">
        <v>44</v>
      </c>
      <c r="V1708" s="5" t="s">
        <v>329</v>
      </c>
      <c r="W1708" s="5" t="s">
        <v>36</v>
      </c>
      <c r="X1708" s="8" t="s">
        <v>330</v>
      </c>
      <c r="Y1708" s="5" t="s">
        <v>46</v>
      </c>
      <c r="Z1708" s="5" t="s">
        <v>47</v>
      </c>
      <c r="AA1708" s="5" t="s">
        <v>64</v>
      </c>
      <c r="AB1708" s="5" t="s">
        <v>8233</v>
      </c>
      <c r="AC1708" s="6" t="s">
        <v>56</v>
      </c>
      <c r="AD1708" s="6">
        <v>1500.0</v>
      </c>
    </row>
    <row r="1709" ht="56.25" customHeight="1">
      <c r="A1709" s="5" t="s">
        <v>8202</v>
      </c>
      <c r="B1709" s="6" t="str">
        <f>IMAGE("https://storage.googleapis.com/acdb/housewares/FtrBearM_Remake_1_1.png")</f>
        <v/>
      </c>
      <c r="C1709" s="5" t="s">
        <v>355</v>
      </c>
      <c r="D1709" s="5" t="s">
        <v>34</v>
      </c>
      <c r="E1709" s="5" t="s">
        <v>906</v>
      </c>
      <c r="F1709" s="5" t="s">
        <v>327</v>
      </c>
      <c r="G1709" s="5" t="s">
        <v>36</v>
      </c>
      <c r="H1709" s="5" t="s">
        <v>36</v>
      </c>
      <c r="I1709" s="5" t="s">
        <v>35</v>
      </c>
      <c r="J1709" s="6">
        <v>1.0</v>
      </c>
      <c r="K1709" s="6">
        <v>2300.0</v>
      </c>
      <c r="L1709" s="6">
        <v>575.0</v>
      </c>
      <c r="M1709" s="26" t="s">
        <v>38</v>
      </c>
      <c r="N1709" s="26" t="s">
        <v>52</v>
      </c>
      <c r="O1709" s="6" t="s">
        <v>40</v>
      </c>
      <c r="P1709" s="5" t="s">
        <v>59</v>
      </c>
      <c r="Q1709" s="5" t="s">
        <v>89</v>
      </c>
      <c r="R1709" s="6" t="s">
        <v>42</v>
      </c>
      <c r="S1709" s="5" t="s">
        <v>61</v>
      </c>
      <c r="T1709" s="5" t="s">
        <v>99</v>
      </c>
      <c r="U1709" s="5" t="s">
        <v>44</v>
      </c>
      <c r="V1709" s="5" t="s">
        <v>329</v>
      </c>
      <c r="W1709" s="5" t="s">
        <v>36</v>
      </c>
      <c r="X1709" s="8" t="s">
        <v>330</v>
      </c>
      <c r="Y1709" s="5" t="s">
        <v>46</v>
      </c>
      <c r="Z1709" s="5" t="s">
        <v>47</v>
      </c>
      <c r="AA1709" s="5" t="s">
        <v>64</v>
      </c>
      <c r="AB1709" s="5" t="s">
        <v>8238</v>
      </c>
      <c r="AC1709" s="6" t="s">
        <v>234</v>
      </c>
      <c r="AD1709" s="6">
        <v>1500.0</v>
      </c>
    </row>
    <row r="1710" ht="56.25" customHeight="1">
      <c r="A1710" s="5" t="s">
        <v>8202</v>
      </c>
      <c r="B1710" s="6" t="str">
        <f>IMAGE("https://storage.googleapis.com/acdb/housewares/FtrBearM_Remake_1_2.png")</f>
        <v/>
      </c>
      <c r="C1710" s="5" t="s">
        <v>355</v>
      </c>
      <c r="D1710" s="5" t="s">
        <v>34</v>
      </c>
      <c r="E1710" s="5" t="s">
        <v>2033</v>
      </c>
      <c r="F1710" s="5" t="s">
        <v>327</v>
      </c>
      <c r="G1710" s="5" t="s">
        <v>36</v>
      </c>
      <c r="H1710" s="5" t="s">
        <v>36</v>
      </c>
      <c r="I1710" s="5" t="s">
        <v>35</v>
      </c>
      <c r="J1710" s="6">
        <v>1.0</v>
      </c>
      <c r="K1710" s="6">
        <v>2300.0</v>
      </c>
      <c r="L1710" s="6">
        <v>575.0</v>
      </c>
      <c r="M1710" s="26" t="s">
        <v>38</v>
      </c>
      <c r="N1710" s="26" t="s">
        <v>68</v>
      </c>
      <c r="O1710" s="6" t="s">
        <v>40</v>
      </c>
      <c r="P1710" s="5" t="s">
        <v>59</v>
      </c>
      <c r="Q1710" s="5" t="s">
        <v>89</v>
      </c>
      <c r="R1710" s="6" t="s">
        <v>42</v>
      </c>
      <c r="S1710" s="5" t="s">
        <v>61</v>
      </c>
      <c r="T1710" s="5" t="s">
        <v>99</v>
      </c>
      <c r="U1710" s="5" t="s">
        <v>44</v>
      </c>
      <c r="V1710" s="5" t="s">
        <v>329</v>
      </c>
      <c r="W1710" s="5" t="s">
        <v>36</v>
      </c>
      <c r="X1710" s="8" t="s">
        <v>330</v>
      </c>
      <c r="Y1710" s="5" t="s">
        <v>46</v>
      </c>
      <c r="Z1710" s="5" t="s">
        <v>47</v>
      </c>
      <c r="AA1710" s="5" t="s">
        <v>64</v>
      </c>
      <c r="AB1710" s="5" t="s">
        <v>8241</v>
      </c>
      <c r="AC1710" s="6" t="s">
        <v>370</v>
      </c>
      <c r="AD1710" s="6">
        <v>1500.0</v>
      </c>
    </row>
    <row r="1711" ht="56.25" customHeight="1">
      <c r="A1711" s="5" t="s">
        <v>8202</v>
      </c>
      <c r="B1711" s="6" t="str">
        <f>IMAGE("https://storage.googleapis.com/acdb/housewares/FtrBearM_Remake_1_3.png")</f>
        <v/>
      </c>
      <c r="C1711" s="5" t="s">
        <v>355</v>
      </c>
      <c r="D1711" s="5" t="s">
        <v>34</v>
      </c>
      <c r="E1711" s="5" t="s">
        <v>8220</v>
      </c>
      <c r="F1711" s="5" t="s">
        <v>327</v>
      </c>
      <c r="G1711" s="5" t="s">
        <v>36</v>
      </c>
      <c r="H1711" s="5" t="s">
        <v>36</v>
      </c>
      <c r="I1711" s="5" t="s">
        <v>35</v>
      </c>
      <c r="J1711" s="6">
        <v>1.0</v>
      </c>
      <c r="K1711" s="6">
        <v>2300.0</v>
      </c>
      <c r="L1711" s="6">
        <v>575.0</v>
      </c>
      <c r="M1711" s="26" t="s">
        <v>38</v>
      </c>
      <c r="N1711" s="26" t="s">
        <v>114</v>
      </c>
      <c r="O1711" s="6" t="s">
        <v>40</v>
      </c>
      <c r="P1711" s="5" t="s">
        <v>59</v>
      </c>
      <c r="Q1711" s="5" t="s">
        <v>89</v>
      </c>
      <c r="R1711" s="6" t="s">
        <v>42</v>
      </c>
      <c r="S1711" s="5" t="s">
        <v>61</v>
      </c>
      <c r="T1711" s="5" t="s">
        <v>99</v>
      </c>
      <c r="U1711" s="5" t="s">
        <v>44</v>
      </c>
      <c r="V1711" s="5" t="s">
        <v>329</v>
      </c>
      <c r="W1711" s="5" t="s">
        <v>36</v>
      </c>
      <c r="X1711" s="8" t="s">
        <v>330</v>
      </c>
      <c r="Y1711" s="5" t="s">
        <v>46</v>
      </c>
      <c r="Z1711" s="5" t="s">
        <v>47</v>
      </c>
      <c r="AA1711" s="5" t="s">
        <v>64</v>
      </c>
      <c r="AB1711" s="5" t="s">
        <v>8246</v>
      </c>
      <c r="AC1711" s="6" t="s">
        <v>377</v>
      </c>
      <c r="AD1711" s="6">
        <v>1500.0</v>
      </c>
    </row>
    <row r="1712" ht="56.25" customHeight="1">
      <c r="A1712" s="5" t="s">
        <v>8202</v>
      </c>
      <c r="B1712" s="6" t="str">
        <f>IMAGE("https://storage.googleapis.com/acdb/housewares/FtrBearM_Remake_2_0.png")</f>
        <v/>
      </c>
      <c r="C1712" s="5" t="s">
        <v>379</v>
      </c>
      <c r="D1712" s="5" t="s">
        <v>34</v>
      </c>
      <c r="E1712" s="5" t="s">
        <v>44</v>
      </c>
      <c r="F1712" s="5" t="s">
        <v>327</v>
      </c>
      <c r="G1712" s="5" t="s">
        <v>36</v>
      </c>
      <c r="H1712" s="5" t="s">
        <v>36</v>
      </c>
      <c r="I1712" s="5" t="s">
        <v>35</v>
      </c>
      <c r="J1712" s="6">
        <v>1.0</v>
      </c>
      <c r="K1712" s="6">
        <v>2300.0</v>
      </c>
      <c r="L1712" s="6">
        <v>575.0</v>
      </c>
      <c r="M1712" s="26" t="s">
        <v>39</v>
      </c>
      <c r="N1712" s="26" t="s">
        <v>39</v>
      </c>
      <c r="O1712" s="6" t="s">
        <v>40</v>
      </c>
      <c r="P1712" s="5" t="s">
        <v>59</v>
      </c>
      <c r="Q1712" s="5" t="s">
        <v>89</v>
      </c>
      <c r="R1712" s="6" t="s">
        <v>42</v>
      </c>
      <c r="S1712" s="5" t="s">
        <v>61</v>
      </c>
      <c r="T1712" s="5" t="s">
        <v>99</v>
      </c>
      <c r="U1712" s="5" t="s">
        <v>44</v>
      </c>
      <c r="V1712" s="5" t="s">
        <v>329</v>
      </c>
      <c r="W1712" s="5" t="s">
        <v>36</v>
      </c>
      <c r="X1712" s="8" t="s">
        <v>330</v>
      </c>
      <c r="Y1712" s="5" t="s">
        <v>46</v>
      </c>
      <c r="Z1712" s="5" t="s">
        <v>47</v>
      </c>
      <c r="AA1712" s="5" t="s">
        <v>64</v>
      </c>
      <c r="AB1712" s="5" t="s">
        <v>8251</v>
      </c>
      <c r="AC1712" s="6" t="s">
        <v>67</v>
      </c>
      <c r="AD1712" s="6">
        <v>1500.0</v>
      </c>
    </row>
    <row r="1713" ht="56.25" customHeight="1">
      <c r="A1713" s="5" t="s">
        <v>8202</v>
      </c>
      <c r="B1713" s="6" t="str">
        <f>IMAGE("https://storage.googleapis.com/acdb/housewares/FtrBearM_Remake_2_1.png")</f>
        <v/>
      </c>
      <c r="C1713" s="5" t="s">
        <v>379</v>
      </c>
      <c r="D1713" s="5" t="s">
        <v>34</v>
      </c>
      <c r="E1713" s="5" t="s">
        <v>906</v>
      </c>
      <c r="F1713" s="5" t="s">
        <v>327</v>
      </c>
      <c r="G1713" s="5" t="s">
        <v>36</v>
      </c>
      <c r="H1713" s="5" t="s">
        <v>36</v>
      </c>
      <c r="I1713" s="5" t="s">
        <v>35</v>
      </c>
      <c r="J1713" s="6">
        <v>1.0</v>
      </c>
      <c r="K1713" s="6">
        <v>2300.0</v>
      </c>
      <c r="L1713" s="6">
        <v>575.0</v>
      </c>
      <c r="M1713" s="26" t="s">
        <v>39</v>
      </c>
      <c r="N1713" s="26" t="s">
        <v>52</v>
      </c>
      <c r="O1713" s="6" t="s">
        <v>40</v>
      </c>
      <c r="P1713" s="5" t="s">
        <v>59</v>
      </c>
      <c r="Q1713" s="5" t="s">
        <v>89</v>
      </c>
      <c r="R1713" s="6" t="s">
        <v>42</v>
      </c>
      <c r="S1713" s="5" t="s">
        <v>61</v>
      </c>
      <c r="T1713" s="5" t="s">
        <v>99</v>
      </c>
      <c r="U1713" s="5" t="s">
        <v>44</v>
      </c>
      <c r="V1713" s="5" t="s">
        <v>329</v>
      </c>
      <c r="W1713" s="5" t="s">
        <v>36</v>
      </c>
      <c r="X1713" s="8" t="s">
        <v>330</v>
      </c>
      <c r="Y1713" s="5" t="s">
        <v>46</v>
      </c>
      <c r="Z1713" s="5" t="s">
        <v>47</v>
      </c>
      <c r="AA1713" s="5" t="s">
        <v>64</v>
      </c>
      <c r="AB1713" s="5" t="s">
        <v>8255</v>
      </c>
      <c r="AC1713" s="6" t="s">
        <v>247</v>
      </c>
      <c r="AD1713" s="6">
        <v>1500.0</v>
      </c>
    </row>
    <row r="1714" ht="56.25" customHeight="1">
      <c r="A1714" s="5" t="s">
        <v>8202</v>
      </c>
      <c r="B1714" s="6" t="str">
        <f>IMAGE("https://storage.googleapis.com/acdb/housewares/FtrBearM_Remake_2_2.png")</f>
        <v/>
      </c>
      <c r="C1714" s="5" t="s">
        <v>379</v>
      </c>
      <c r="D1714" s="5" t="s">
        <v>34</v>
      </c>
      <c r="E1714" s="5" t="s">
        <v>2033</v>
      </c>
      <c r="F1714" s="5" t="s">
        <v>327</v>
      </c>
      <c r="G1714" s="5" t="s">
        <v>36</v>
      </c>
      <c r="H1714" s="5" t="s">
        <v>36</v>
      </c>
      <c r="I1714" s="5" t="s">
        <v>35</v>
      </c>
      <c r="J1714" s="6">
        <v>1.0</v>
      </c>
      <c r="K1714" s="6">
        <v>2300.0</v>
      </c>
      <c r="L1714" s="6">
        <v>575.0</v>
      </c>
      <c r="M1714" s="26" t="s">
        <v>39</v>
      </c>
      <c r="N1714" s="26" t="s">
        <v>68</v>
      </c>
      <c r="O1714" s="6" t="s">
        <v>40</v>
      </c>
      <c r="P1714" s="5" t="s">
        <v>59</v>
      </c>
      <c r="Q1714" s="5" t="s">
        <v>89</v>
      </c>
      <c r="R1714" s="6" t="s">
        <v>42</v>
      </c>
      <c r="S1714" s="5" t="s">
        <v>61</v>
      </c>
      <c r="T1714" s="5" t="s">
        <v>99</v>
      </c>
      <c r="U1714" s="5" t="s">
        <v>44</v>
      </c>
      <c r="V1714" s="5" t="s">
        <v>329</v>
      </c>
      <c r="W1714" s="5" t="s">
        <v>36</v>
      </c>
      <c r="X1714" s="8" t="s">
        <v>330</v>
      </c>
      <c r="Y1714" s="5" t="s">
        <v>46</v>
      </c>
      <c r="Z1714" s="5" t="s">
        <v>47</v>
      </c>
      <c r="AA1714" s="5" t="s">
        <v>64</v>
      </c>
      <c r="AB1714" s="5" t="s">
        <v>8260</v>
      </c>
      <c r="AC1714" s="6" t="s">
        <v>390</v>
      </c>
      <c r="AD1714" s="6">
        <v>1500.0</v>
      </c>
    </row>
    <row r="1715" ht="56.25" customHeight="1">
      <c r="A1715" s="5" t="s">
        <v>8202</v>
      </c>
      <c r="B1715" s="6" t="str">
        <f>IMAGE("https://storage.googleapis.com/acdb/housewares/FtrBearM_Remake_2_3.png")</f>
        <v/>
      </c>
      <c r="C1715" s="5" t="s">
        <v>379</v>
      </c>
      <c r="D1715" s="5" t="s">
        <v>34</v>
      </c>
      <c r="E1715" s="5" t="s">
        <v>8220</v>
      </c>
      <c r="F1715" s="5" t="s">
        <v>327</v>
      </c>
      <c r="G1715" s="5" t="s">
        <v>36</v>
      </c>
      <c r="H1715" s="5" t="s">
        <v>36</v>
      </c>
      <c r="I1715" s="5" t="s">
        <v>35</v>
      </c>
      <c r="J1715" s="6">
        <v>1.0</v>
      </c>
      <c r="K1715" s="6">
        <v>2300.0</v>
      </c>
      <c r="L1715" s="6">
        <v>575.0</v>
      </c>
      <c r="M1715" s="26" t="s">
        <v>39</v>
      </c>
      <c r="N1715" s="26" t="s">
        <v>114</v>
      </c>
      <c r="O1715" s="6" t="s">
        <v>40</v>
      </c>
      <c r="P1715" s="5" t="s">
        <v>59</v>
      </c>
      <c r="Q1715" s="5" t="s">
        <v>89</v>
      </c>
      <c r="R1715" s="6" t="s">
        <v>42</v>
      </c>
      <c r="S1715" s="5" t="s">
        <v>61</v>
      </c>
      <c r="T1715" s="5" t="s">
        <v>99</v>
      </c>
      <c r="U1715" s="5" t="s">
        <v>44</v>
      </c>
      <c r="V1715" s="5" t="s">
        <v>329</v>
      </c>
      <c r="W1715" s="5" t="s">
        <v>36</v>
      </c>
      <c r="X1715" s="8" t="s">
        <v>330</v>
      </c>
      <c r="Y1715" s="5" t="s">
        <v>46</v>
      </c>
      <c r="Z1715" s="5" t="s">
        <v>47</v>
      </c>
      <c r="AA1715" s="5" t="s">
        <v>64</v>
      </c>
      <c r="AB1715" s="5" t="s">
        <v>8264</v>
      </c>
      <c r="AC1715" s="6" t="s">
        <v>396</v>
      </c>
      <c r="AD1715" s="6">
        <v>1500.0</v>
      </c>
    </row>
    <row r="1716" ht="56.25" customHeight="1">
      <c r="A1716" s="5" t="s">
        <v>8202</v>
      </c>
      <c r="B1716" s="6" t="str">
        <f>IMAGE("https://storage.googleapis.com/acdb/housewares/FtrBearM_Remake_3_0.png")</f>
        <v/>
      </c>
      <c r="C1716" s="5" t="s">
        <v>400</v>
      </c>
      <c r="D1716" s="5" t="s">
        <v>34</v>
      </c>
      <c r="E1716" s="5" t="s">
        <v>44</v>
      </c>
      <c r="F1716" s="5" t="s">
        <v>327</v>
      </c>
      <c r="G1716" s="5" t="s">
        <v>36</v>
      </c>
      <c r="H1716" s="5" t="s">
        <v>36</v>
      </c>
      <c r="I1716" s="5" t="s">
        <v>35</v>
      </c>
      <c r="J1716" s="6">
        <v>1.0</v>
      </c>
      <c r="K1716" s="6">
        <v>2300.0</v>
      </c>
      <c r="L1716" s="6">
        <v>575.0</v>
      </c>
      <c r="M1716" s="26" t="s">
        <v>57</v>
      </c>
      <c r="N1716" s="26" t="s">
        <v>69</v>
      </c>
      <c r="O1716" s="6" t="s">
        <v>40</v>
      </c>
      <c r="P1716" s="5" t="s">
        <v>59</v>
      </c>
      <c r="Q1716" s="5" t="s">
        <v>89</v>
      </c>
      <c r="R1716" s="6" t="s">
        <v>42</v>
      </c>
      <c r="S1716" s="5" t="s">
        <v>61</v>
      </c>
      <c r="T1716" s="5" t="s">
        <v>99</v>
      </c>
      <c r="U1716" s="5" t="s">
        <v>44</v>
      </c>
      <c r="V1716" s="5" t="s">
        <v>329</v>
      </c>
      <c r="W1716" s="5" t="s">
        <v>36</v>
      </c>
      <c r="X1716" s="8" t="s">
        <v>330</v>
      </c>
      <c r="Y1716" s="5" t="s">
        <v>46</v>
      </c>
      <c r="Z1716" s="5" t="s">
        <v>47</v>
      </c>
      <c r="AA1716" s="5" t="s">
        <v>64</v>
      </c>
      <c r="AB1716" s="5" t="s">
        <v>8270</v>
      </c>
      <c r="AC1716" s="6" t="s">
        <v>71</v>
      </c>
      <c r="AD1716" s="6">
        <v>1500.0</v>
      </c>
    </row>
    <row r="1717" ht="56.25" customHeight="1">
      <c r="A1717" s="5" t="s">
        <v>8202</v>
      </c>
      <c r="B1717" s="6" t="str">
        <f>IMAGE("https://storage.googleapis.com/acdb/housewares/FtrBearM_Remake_3_1.png")</f>
        <v/>
      </c>
      <c r="C1717" s="5" t="s">
        <v>400</v>
      </c>
      <c r="D1717" s="5" t="s">
        <v>34</v>
      </c>
      <c r="E1717" s="5" t="s">
        <v>906</v>
      </c>
      <c r="F1717" s="5" t="s">
        <v>327</v>
      </c>
      <c r="G1717" s="5" t="s">
        <v>36</v>
      </c>
      <c r="H1717" s="5" t="s">
        <v>36</v>
      </c>
      <c r="I1717" s="5" t="s">
        <v>35</v>
      </c>
      <c r="J1717" s="6">
        <v>1.0</v>
      </c>
      <c r="K1717" s="6">
        <v>2300.0</v>
      </c>
      <c r="L1717" s="6">
        <v>575.0</v>
      </c>
      <c r="M1717" s="26" t="s">
        <v>57</v>
      </c>
      <c r="N1717" s="26" t="s">
        <v>52</v>
      </c>
      <c r="O1717" s="6" t="s">
        <v>40</v>
      </c>
      <c r="P1717" s="5" t="s">
        <v>59</v>
      </c>
      <c r="Q1717" s="5" t="s">
        <v>89</v>
      </c>
      <c r="R1717" s="6" t="s">
        <v>42</v>
      </c>
      <c r="S1717" s="5" t="s">
        <v>61</v>
      </c>
      <c r="T1717" s="5" t="s">
        <v>99</v>
      </c>
      <c r="U1717" s="5" t="s">
        <v>44</v>
      </c>
      <c r="V1717" s="5" t="s">
        <v>329</v>
      </c>
      <c r="W1717" s="5" t="s">
        <v>36</v>
      </c>
      <c r="X1717" s="8" t="s">
        <v>330</v>
      </c>
      <c r="Y1717" s="5" t="s">
        <v>46</v>
      </c>
      <c r="Z1717" s="5" t="s">
        <v>47</v>
      </c>
      <c r="AA1717" s="5" t="s">
        <v>64</v>
      </c>
      <c r="AB1717" s="5" t="s">
        <v>8275</v>
      </c>
      <c r="AC1717" s="6" t="s">
        <v>257</v>
      </c>
      <c r="AD1717" s="6">
        <v>1500.0</v>
      </c>
    </row>
    <row r="1718" ht="56.25" customHeight="1">
      <c r="A1718" s="5" t="s">
        <v>8202</v>
      </c>
      <c r="B1718" s="6" t="str">
        <f>IMAGE("https://storage.googleapis.com/acdb/housewares/FtrBearM_Remake_3_2.png")</f>
        <v/>
      </c>
      <c r="C1718" s="5" t="s">
        <v>400</v>
      </c>
      <c r="D1718" s="5" t="s">
        <v>34</v>
      </c>
      <c r="E1718" s="5" t="s">
        <v>2033</v>
      </c>
      <c r="F1718" s="5" t="s">
        <v>327</v>
      </c>
      <c r="G1718" s="5" t="s">
        <v>36</v>
      </c>
      <c r="H1718" s="5" t="s">
        <v>36</v>
      </c>
      <c r="I1718" s="5" t="s">
        <v>35</v>
      </c>
      <c r="J1718" s="6">
        <v>1.0</v>
      </c>
      <c r="K1718" s="6">
        <v>2300.0</v>
      </c>
      <c r="L1718" s="6">
        <v>575.0</v>
      </c>
      <c r="M1718" s="26" t="s">
        <v>57</v>
      </c>
      <c r="N1718" s="26" t="s">
        <v>68</v>
      </c>
      <c r="O1718" s="6" t="s">
        <v>40</v>
      </c>
      <c r="P1718" s="5" t="s">
        <v>59</v>
      </c>
      <c r="Q1718" s="5" t="s">
        <v>89</v>
      </c>
      <c r="R1718" s="6" t="s">
        <v>42</v>
      </c>
      <c r="S1718" s="5" t="s">
        <v>61</v>
      </c>
      <c r="T1718" s="5" t="s">
        <v>99</v>
      </c>
      <c r="U1718" s="5" t="s">
        <v>44</v>
      </c>
      <c r="V1718" s="5" t="s">
        <v>329</v>
      </c>
      <c r="W1718" s="5" t="s">
        <v>36</v>
      </c>
      <c r="X1718" s="8" t="s">
        <v>330</v>
      </c>
      <c r="Y1718" s="5" t="s">
        <v>46</v>
      </c>
      <c r="Z1718" s="5" t="s">
        <v>47</v>
      </c>
      <c r="AA1718" s="5" t="s">
        <v>64</v>
      </c>
      <c r="AB1718" s="5" t="s">
        <v>8279</v>
      </c>
      <c r="AC1718" s="6" t="s">
        <v>414</v>
      </c>
      <c r="AD1718" s="6">
        <v>1500.0</v>
      </c>
    </row>
    <row r="1719" ht="56.25" customHeight="1">
      <c r="A1719" s="5" t="s">
        <v>8202</v>
      </c>
      <c r="B1719" s="6" t="str">
        <f>IMAGE("https://storage.googleapis.com/acdb/housewares/FtrBearM_Remake_3_3.png")</f>
        <v/>
      </c>
      <c r="C1719" s="5" t="s">
        <v>400</v>
      </c>
      <c r="D1719" s="5" t="s">
        <v>34</v>
      </c>
      <c r="E1719" s="5" t="s">
        <v>8220</v>
      </c>
      <c r="F1719" s="5" t="s">
        <v>327</v>
      </c>
      <c r="G1719" s="5" t="s">
        <v>36</v>
      </c>
      <c r="H1719" s="5" t="s">
        <v>36</v>
      </c>
      <c r="I1719" s="5" t="s">
        <v>35</v>
      </c>
      <c r="J1719" s="6">
        <v>1.0</v>
      </c>
      <c r="K1719" s="6">
        <v>2300.0</v>
      </c>
      <c r="L1719" s="6">
        <v>575.0</v>
      </c>
      <c r="M1719" s="26" t="s">
        <v>57</v>
      </c>
      <c r="N1719" s="26" t="s">
        <v>114</v>
      </c>
      <c r="O1719" s="6" t="s">
        <v>40</v>
      </c>
      <c r="P1719" s="5" t="s">
        <v>59</v>
      </c>
      <c r="Q1719" s="5" t="s">
        <v>89</v>
      </c>
      <c r="R1719" s="6" t="s">
        <v>42</v>
      </c>
      <c r="S1719" s="5" t="s">
        <v>61</v>
      </c>
      <c r="T1719" s="5" t="s">
        <v>99</v>
      </c>
      <c r="U1719" s="5" t="s">
        <v>44</v>
      </c>
      <c r="V1719" s="5" t="s">
        <v>329</v>
      </c>
      <c r="W1719" s="5" t="s">
        <v>36</v>
      </c>
      <c r="X1719" s="8" t="s">
        <v>330</v>
      </c>
      <c r="Y1719" s="5" t="s">
        <v>46</v>
      </c>
      <c r="Z1719" s="5" t="s">
        <v>47</v>
      </c>
      <c r="AA1719" s="5" t="s">
        <v>64</v>
      </c>
      <c r="AB1719" s="5" t="s">
        <v>8285</v>
      </c>
      <c r="AC1719" s="6" t="s">
        <v>418</v>
      </c>
      <c r="AD1719" s="6">
        <v>1500.0</v>
      </c>
    </row>
    <row r="1720" ht="56.25" customHeight="1">
      <c r="A1720" s="5" t="s">
        <v>8202</v>
      </c>
      <c r="B1720" s="6" t="str">
        <f>IMAGE("https://storage.googleapis.com/acdb/housewares/FtrBearM_Remake_4_0.png")</f>
        <v/>
      </c>
      <c r="C1720" s="5" t="s">
        <v>422</v>
      </c>
      <c r="D1720" s="5" t="s">
        <v>34</v>
      </c>
      <c r="E1720" s="5" t="s">
        <v>44</v>
      </c>
      <c r="F1720" s="5" t="s">
        <v>327</v>
      </c>
      <c r="G1720" s="5" t="s">
        <v>36</v>
      </c>
      <c r="H1720" s="5" t="s">
        <v>36</v>
      </c>
      <c r="I1720" s="5" t="s">
        <v>35</v>
      </c>
      <c r="J1720" s="6">
        <v>1.0</v>
      </c>
      <c r="K1720" s="6">
        <v>2300.0</v>
      </c>
      <c r="L1720" s="6">
        <v>575.0</v>
      </c>
      <c r="M1720" s="26" t="s">
        <v>95</v>
      </c>
      <c r="N1720" s="26" t="s">
        <v>57</v>
      </c>
      <c r="O1720" s="6" t="s">
        <v>40</v>
      </c>
      <c r="P1720" s="5" t="s">
        <v>59</v>
      </c>
      <c r="Q1720" s="5" t="s">
        <v>89</v>
      </c>
      <c r="R1720" s="6" t="s">
        <v>42</v>
      </c>
      <c r="S1720" s="5" t="s">
        <v>61</v>
      </c>
      <c r="T1720" s="5" t="s">
        <v>99</v>
      </c>
      <c r="U1720" s="5" t="s">
        <v>44</v>
      </c>
      <c r="V1720" s="5" t="s">
        <v>329</v>
      </c>
      <c r="W1720" s="5" t="s">
        <v>36</v>
      </c>
      <c r="X1720" s="8" t="s">
        <v>330</v>
      </c>
      <c r="Y1720" s="5" t="s">
        <v>46</v>
      </c>
      <c r="Z1720" s="5" t="s">
        <v>47</v>
      </c>
      <c r="AA1720" s="5" t="s">
        <v>64</v>
      </c>
      <c r="AB1720" s="5" t="s">
        <v>8288</v>
      </c>
      <c r="AC1720" s="6" t="s">
        <v>75</v>
      </c>
      <c r="AD1720" s="6">
        <v>1500.0</v>
      </c>
    </row>
    <row r="1721" ht="56.25" customHeight="1">
      <c r="A1721" s="5" t="s">
        <v>8202</v>
      </c>
      <c r="B1721" s="6" t="str">
        <f>IMAGE("https://storage.googleapis.com/acdb/housewares/FtrBearM_Remake_4_1.png")</f>
        <v/>
      </c>
      <c r="C1721" s="5" t="s">
        <v>422</v>
      </c>
      <c r="D1721" s="5" t="s">
        <v>34</v>
      </c>
      <c r="E1721" s="5" t="s">
        <v>906</v>
      </c>
      <c r="F1721" s="5" t="s">
        <v>327</v>
      </c>
      <c r="G1721" s="5" t="s">
        <v>36</v>
      </c>
      <c r="H1721" s="5" t="s">
        <v>36</v>
      </c>
      <c r="I1721" s="5" t="s">
        <v>35</v>
      </c>
      <c r="J1721" s="6">
        <v>1.0</v>
      </c>
      <c r="K1721" s="6">
        <v>2300.0</v>
      </c>
      <c r="L1721" s="6">
        <v>575.0</v>
      </c>
      <c r="M1721" s="26" t="s">
        <v>95</v>
      </c>
      <c r="N1721" s="26" t="s">
        <v>52</v>
      </c>
      <c r="O1721" s="6" t="s">
        <v>40</v>
      </c>
      <c r="P1721" s="5" t="s">
        <v>59</v>
      </c>
      <c r="Q1721" s="5" t="s">
        <v>89</v>
      </c>
      <c r="R1721" s="6" t="s">
        <v>42</v>
      </c>
      <c r="S1721" s="5" t="s">
        <v>61</v>
      </c>
      <c r="T1721" s="5" t="s">
        <v>99</v>
      </c>
      <c r="U1721" s="5" t="s">
        <v>44</v>
      </c>
      <c r="V1721" s="5" t="s">
        <v>329</v>
      </c>
      <c r="W1721" s="5" t="s">
        <v>36</v>
      </c>
      <c r="X1721" s="8" t="s">
        <v>330</v>
      </c>
      <c r="Y1721" s="5" t="s">
        <v>46</v>
      </c>
      <c r="Z1721" s="5" t="s">
        <v>47</v>
      </c>
      <c r="AA1721" s="5" t="s">
        <v>64</v>
      </c>
      <c r="AB1721" s="5" t="s">
        <v>8292</v>
      </c>
      <c r="AC1721" s="6" t="s">
        <v>429</v>
      </c>
      <c r="AD1721" s="6">
        <v>1500.0</v>
      </c>
    </row>
    <row r="1722" ht="56.25" customHeight="1">
      <c r="A1722" s="5" t="s">
        <v>8202</v>
      </c>
      <c r="B1722" s="6" t="str">
        <f>IMAGE("https://storage.googleapis.com/acdb/housewares/FtrBearM_Remake_4_2.png")</f>
        <v/>
      </c>
      <c r="C1722" s="5" t="s">
        <v>422</v>
      </c>
      <c r="D1722" s="5" t="s">
        <v>34</v>
      </c>
      <c r="E1722" s="5" t="s">
        <v>2033</v>
      </c>
      <c r="F1722" s="5" t="s">
        <v>327</v>
      </c>
      <c r="G1722" s="5" t="s">
        <v>36</v>
      </c>
      <c r="H1722" s="5" t="s">
        <v>36</v>
      </c>
      <c r="I1722" s="5" t="s">
        <v>35</v>
      </c>
      <c r="J1722" s="6">
        <v>1.0</v>
      </c>
      <c r="K1722" s="6">
        <v>2300.0</v>
      </c>
      <c r="L1722" s="6">
        <v>575.0</v>
      </c>
      <c r="M1722" s="26" t="s">
        <v>95</v>
      </c>
      <c r="N1722" s="26" t="s">
        <v>68</v>
      </c>
      <c r="O1722" s="6" t="s">
        <v>40</v>
      </c>
      <c r="P1722" s="5" t="s">
        <v>59</v>
      </c>
      <c r="Q1722" s="5" t="s">
        <v>89</v>
      </c>
      <c r="R1722" s="6" t="s">
        <v>42</v>
      </c>
      <c r="S1722" s="5" t="s">
        <v>61</v>
      </c>
      <c r="T1722" s="5" t="s">
        <v>99</v>
      </c>
      <c r="U1722" s="5" t="s">
        <v>44</v>
      </c>
      <c r="V1722" s="5" t="s">
        <v>329</v>
      </c>
      <c r="W1722" s="5" t="s">
        <v>36</v>
      </c>
      <c r="X1722" s="8" t="s">
        <v>330</v>
      </c>
      <c r="Y1722" s="5" t="s">
        <v>46</v>
      </c>
      <c r="Z1722" s="5" t="s">
        <v>47</v>
      </c>
      <c r="AA1722" s="5" t="s">
        <v>64</v>
      </c>
      <c r="AB1722" s="5" t="s">
        <v>8294</v>
      </c>
      <c r="AC1722" s="6" t="s">
        <v>434</v>
      </c>
      <c r="AD1722" s="6">
        <v>1500.0</v>
      </c>
    </row>
    <row r="1723" ht="56.25" customHeight="1">
      <c r="A1723" s="5" t="s">
        <v>8202</v>
      </c>
      <c r="B1723" s="6" t="str">
        <f>IMAGE("https://storage.googleapis.com/acdb/housewares/FtrBearM_Remake_4_3.png")</f>
        <v/>
      </c>
      <c r="C1723" s="5" t="s">
        <v>422</v>
      </c>
      <c r="D1723" s="5" t="s">
        <v>34</v>
      </c>
      <c r="E1723" s="5" t="s">
        <v>8220</v>
      </c>
      <c r="F1723" s="5" t="s">
        <v>327</v>
      </c>
      <c r="G1723" s="5" t="s">
        <v>36</v>
      </c>
      <c r="H1723" s="5" t="s">
        <v>36</v>
      </c>
      <c r="I1723" s="5" t="s">
        <v>35</v>
      </c>
      <c r="J1723" s="6">
        <v>1.0</v>
      </c>
      <c r="K1723" s="6">
        <v>2300.0</v>
      </c>
      <c r="L1723" s="6">
        <v>575.0</v>
      </c>
      <c r="M1723" s="26" t="s">
        <v>95</v>
      </c>
      <c r="N1723" s="26" t="s">
        <v>114</v>
      </c>
      <c r="O1723" s="6" t="s">
        <v>40</v>
      </c>
      <c r="P1723" s="5" t="s">
        <v>59</v>
      </c>
      <c r="Q1723" s="5" t="s">
        <v>89</v>
      </c>
      <c r="R1723" s="6" t="s">
        <v>42</v>
      </c>
      <c r="S1723" s="5" t="s">
        <v>61</v>
      </c>
      <c r="T1723" s="5" t="s">
        <v>99</v>
      </c>
      <c r="U1723" s="5" t="s">
        <v>44</v>
      </c>
      <c r="V1723" s="5" t="s">
        <v>329</v>
      </c>
      <c r="W1723" s="5" t="s">
        <v>36</v>
      </c>
      <c r="X1723" s="8" t="s">
        <v>330</v>
      </c>
      <c r="Y1723" s="5" t="s">
        <v>46</v>
      </c>
      <c r="Z1723" s="5" t="s">
        <v>47</v>
      </c>
      <c r="AA1723" s="5" t="s">
        <v>64</v>
      </c>
      <c r="AB1723" s="5" t="s">
        <v>8297</v>
      </c>
      <c r="AC1723" s="6" t="s">
        <v>438</v>
      </c>
      <c r="AD1723" s="6">
        <v>1500.0</v>
      </c>
    </row>
    <row r="1724" ht="56.25" customHeight="1">
      <c r="A1724" s="5" t="s">
        <v>8202</v>
      </c>
      <c r="B1724" s="6" t="str">
        <f>IMAGE("https://storage.googleapis.com/acdb/housewares/FtrBearM_Remake_5_0.png")</f>
        <v/>
      </c>
      <c r="C1724" s="5" t="s">
        <v>439</v>
      </c>
      <c r="D1724" s="5" t="s">
        <v>34</v>
      </c>
      <c r="E1724" s="5" t="s">
        <v>44</v>
      </c>
      <c r="F1724" s="5" t="s">
        <v>327</v>
      </c>
      <c r="G1724" s="5" t="s">
        <v>36</v>
      </c>
      <c r="H1724" s="5" t="s">
        <v>36</v>
      </c>
      <c r="I1724" s="5" t="s">
        <v>35</v>
      </c>
      <c r="J1724" s="6">
        <v>1.0</v>
      </c>
      <c r="K1724" s="6">
        <v>2300.0</v>
      </c>
      <c r="L1724" s="6">
        <v>575.0</v>
      </c>
      <c r="M1724" s="26" t="s">
        <v>95</v>
      </c>
      <c r="N1724" s="26" t="s">
        <v>95</v>
      </c>
      <c r="O1724" s="6" t="s">
        <v>40</v>
      </c>
      <c r="P1724" s="5" t="s">
        <v>59</v>
      </c>
      <c r="Q1724" s="5" t="s">
        <v>89</v>
      </c>
      <c r="R1724" s="6" t="s">
        <v>42</v>
      </c>
      <c r="S1724" s="5" t="s">
        <v>61</v>
      </c>
      <c r="T1724" s="5" t="s">
        <v>99</v>
      </c>
      <c r="U1724" s="5" t="s">
        <v>44</v>
      </c>
      <c r="V1724" s="5" t="s">
        <v>329</v>
      </c>
      <c r="W1724" s="5" t="s">
        <v>36</v>
      </c>
      <c r="X1724" s="8" t="s">
        <v>330</v>
      </c>
      <c r="Y1724" s="5" t="s">
        <v>46</v>
      </c>
      <c r="Z1724" s="5" t="s">
        <v>47</v>
      </c>
      <c r="AA1724" s="5" t="s">
        <v>64</v>
      </c>
      <c r="AB1724" s="5" t="s">
        <v>8302</v>
      </c>
      <c r="AC1724" s="6" t="s">
        <v>79</v>
      </c>
      <c r="AD1724" s="6">
        <v>1500.0</v>
      </c>
    </row>
    <row r="1725" ht="56.25" customHeight="1">
      <c r="A1725" s="5" t="s">
        <v>8202</v>
      </c>
      <c r="B1725" s="6" t="str">
        <f>IMAGE("https://storage.googleapis.com/acdb/housewares/FtrBearM_Remake_5_1.png")</f>
        <v/>
      </c>
      <c r="C1725" s="5" t="s">
        <v>439</v>
      </c>
      <c r="D1725" s="5" t="s">
        <v>34</v>
      </c>
      <c r="E1725" s="5" t="s">
        <v>906</v>
      </c>
      <c r="F1725" s="5" t="s">
        <v>327</v>
      </c>
      <c r="G1725" s="5" t="s">
        <v>36</v>
      </c>
      <c r="H1725" s="5" t="s">
        <v>36</v>
      </c>
      <c r="I1725" s="5" t="s">
        <v>35</v>
      </c>
      <c r="J1725" s="6">
        <v>1.0</v>
      </c>
      <c r="K1725" s="6">
        <v>2300.0</v>
      </c>
      <c r="L1725" s="6">
        <v>575.0</v>
      </c>
      <c r="M1725" s="26" t="s">
        <v>95</v>
      </c>
      <c r="N1725" s="26" t="s">
        <v>52</v>
      </c>
      <c r="O1725" s="6" t="s">
        <v>40</v>
      </c>
      <c r="P1725" s="5" t="s">
        <v>59</v>
      </c>
      <c r="Q1725" s="5" t="s">
        <v>89</v>
      </c>
      <c r="R1725" s="6" t="s">
        <v>42</v>
      </c>
      <c r="S1725" s="5" t="s">
        <v>61</v>
      </c>
      <c r="T1725" s="5" t="s">
        <v>99</v>
      </c>
      <c r="U1725" s="5" t="s">
        <v>44</v>
      </c>
      <c r="V1725" s="5" t="s">
        <v>329</v>
      </c>
      <c r="W1725" s="5" t="s">
        <v>36</v>
      </c>
      <c r="X1725" s="8" t="s">
        <v>330</v>
      </c>
      <c r="Y1725" s="5" t="s">
        <v>46</v>
      </c>
      <c r="Z1725" s="5" t="s">
        <v>47</v>
      </c>
      <c r="AA1725" s="5" t="s">
        <v>64</v>
      </c>
      <c r="AB1725" s="5" t="s">
        <v>8307</v>
      </c>
      <c r="AC1725" s="6" t="s">
        <v>448</v>
      </c>
      <c r="AD1725" s="6">
        <v>1500.0</v>
      </c>
    </row>
    <row r="1726" ht="56.25" customHeight="1">
      <c r="A1726" s="5" t="s">
        <v>8202</v>
      </c>
      <c r="B1726" s="6" t="str">
        <f>IMAGE("https://storage.googleapis.com/acdb/housewares/FtrBearM_Remake_5_2.png")</f>
        <v/>
      </c>
      <c r="C1726" s="5" t="s">
        <v>439</v>
      </c>
      <c r="D1726" s="5" t="s">
        <v>34</v>
      </c>
      <c r="E1726" s="5" t="s">
        <v>2033</v>
      </c>
      <c r="F1726" s="5" t="s">
        <v>327</v>
      </c>
      <c r="G1726" s="5" t="s">
        <v>36</v>
      </c>
      <c r="H1726" s="5" t="s">
        <v>36</v>
      </c>
      <c r="I1726" s="5" t="s">
        <v>35</v>
      </c>
      <c r="J1726" s="6">
        <v>1.0</v>
      </c>
      <c r="K1726" s="6">
        <v>2300.0</v>
      </c>
      <c r="L1726" s="6">
        <v>575.0</v>
      </c>
      <c r="M1726" s="26" t="s">
        <v>95</v>
      </c>
      <c r="N1726" s="26" t="s">
        <v>68</v>
      </c>
      <c r="O1726" s="6" t="s">
        <v>40</v>
      </c>
      <c r="P1726" s="5" t="s">
        <v>59</v>
      </c>
      <c r="Q1726" s="5" t="s">
        <v>89</v>
      </c>
      <c r="R1726" s="6" t="s">
        <v>42</v>
      </c>
      <c r="S1726" s="5" t="s">
        <v>61</v>
      </c>
      <c r="T1726" s="5" t="s">
        <v>99</v>
      </c>
      <c r="U1726" s="5" t="s">
        <v>44</v>
      </c>
      <c r="V1726" s="5" t="s">
        <v>329</v>
      </c>
      <c r="W1726" s="5" t="s">
        <v>36</v>
      </c>
      <c r="X1726" s="8" t="s">
        <v>330</v>
      </c>
      <c r="Y1726" s="5" t="s">
        <v>46</v>
      </c>
      <c r="Z1726" s="5" t="s">
        <v>47</v>
      </c>
      <c r="AA1726" s="5" t="s">
        <v>64</v>
      </c>
      <c r="AB1726" s="5" t="s">
        <v>8313</v>
      </c>
      <c r="AC1726" s="6" t="s">
        <v>452</v>
      </c>
      <c r="AD1726" s="6">
        <v>1500.0</v>
      </c>
    </row>
    <row r="1727" ht="56.25" customHeight="1">
      <c r="A1727" s="5" t="s">
        <v>8202</v>
      </c>
      <c r="B1727" s="6" t="str">
        <f>IMAGE("https://storage.googleapis.com/acdb/housewares/FtrBearM_Remake_5_3.png")</f>
        <v/>
      </c>
      <c r="C1727" s="5" t="s">
        <v>439</v>
      </c>
      <c r="D1727" s="5" t="s">
        <v>34</v>
      </c>
      <c r="E1727" s="5" t="s">
        <v>8220</v>
      </c>
      <c r="F1727" s="5" t="s">
        <v>327</v>
      </c>
      <c r="G1727" s="5" t="s">
        <v>36</v>
      </c>
      <c r="H1727" s="5" t="s">
        <v>36</v>
      </c>
      <c r="I1727" s="5" t="s">
        <v>35</v>
      </c>
      <c r="J1727" s="6">
        <v>1.0</v>
      </c>
      <c r="K1727" s="6">
        <v>2300.0</v>
      </c>
      <c r="L1727" s="6">
        <v>575.0</v>
      </c>
      <c r="M1727" s="26" t="s">
        <v>95</v>
      </c>
      <c r="N1727" s="26" t="s">
        <v>114</v>
      </c>
      <c r="O1727" s="6" t="s">
        <v>40</v>
      </c>
      <c r="P1727" s="5" t="s">
        <v>59</v>
      </c>
      <c r="Q1727" s="5" t="s">
        <v>89</v>
      </c>
      <c r="R1727" s="6" t="s">
        <v>42</v>
      </c>
      <c r="S1727" s="5" t="s">
        <v>61</v>
      </c>
      <c r="T1727" s="5" t="s">
        <v>99</v>
      </c>
      <c r="U1727" s="5" t="s">
        <v>44</v>
      </c>
      <c r="V1727" s="5" t="s">
        <v>329</v>
      </c>
      <c r="W1727" s="5" t="s">
        <v>36</v>
      </c>
      <c r="X1727" s="8" t="s">
        <v>330</v>
      </c>
      <c r="Y1727" s="5" t="s">
        <v>46</v>
      </c>
      <c r="Z1727" s="5" t="s">
        <v>47</v>
      </c>
      <c r="AA1727" s="5" t="s">
        <v>64</v>
      </c>
      <c r="AB1727" s="5" t="s">
        <v>8316</v>
      </c>
      <c r="AC1727" s="6" t="s">
        <v>455</v>
      </c>
      <c r="AD1727" s="6">
        <v>1500.0</v>
      </c>
    </row>
    <row r="1728" ht="56.25" customHeight="1">
      <c r="A1728" s="5" t="s">
        <v>8317</v>
      </c>
      <c r="B1728" s="6" t="str">
        <f>IMAGE("https://storage.googleapis.com/acdb/housewares/FtrPandaM.png")</f>
        <v/>
      </c>
      <c r="C1728" s="5" t="s">
        <v>34</v>
      </c>
      <c r="D1728" s="5" t="s">
        <v>34</v>
      </c>
      <c r="E1728" s="5" t="s">
        <v>34</v>
      </c>
      <c r="F1728" s="5" t="s">
        <v>34</v>
      </c>
      <c r="G1728" s="5" t="s">
        <v>36</v>
      </c>
      <c r="H1728" s="5" t="s">
        <v>36</v>
      </c>
      <c r="I1728" s="5" t="s">
        <v>36</v>
      </c>
      <c r="J1728" s="6" t="s">
        <v>34</v>
      </c>
      <c r="K1728" s="6">
        <v>3500.0</v>
      </c>
      <c r="L1728" s="6">
        <v>875.0</v>
      </c>
      <c r="M1728" s="5" t="s">
        <v>54</v>
      </c>
      <c r="N1728" s="5" t="s">
        <v>57</v>
      </c>
      <c r="O1728" s="6" t="s">
        <v>40</v>
      </c>
      <c r="P1728" s="5" t="s">
        <v>59</v>
      </c>
      <c r="Q1728" s="5" t="s">
        <v>89</v>
      </c>
      <c r="R1728" s="6" t="s">
        <v>42</v>
      </c>
      <c r="S1728" s="5" t="s">
        <v>61</v>
      </c>
      <c r="T1728" s="5" t="s">
        <v>99</v>
      </c>
      <c r="U1728" s="5" t="s">
        <v>44</v>
      </c>
      <c r="V1728" s="5" t="s">
        <v>460</v>
      </c>
      <c r="W1728" s="5" t="s">
        <v>36</v>
      </c>
      <c r="X1728" s="8" t="s">
        <v>330</v>
      </c>
      <c r="Y1728" s="5" t="s">
        <v>46</v>
      </c>
      <c r="Z1728" s="5" t="s">
        <v>47</v>
      </c>
      <c r="AA1728" s="5" t="s">
        <v>64</v>
      </c>
      <c r="AB1728" s="5" t="s">
        <v>8321</v>
      </c>
      <c r="AC1728" s="6" t="s">
        <v>34</v>
      </c>
      <c r="AD1728" s="6">
        <v>9699.0</v>
      </c>
    </row>
    <row r="1729" ht="56.25" customHeight="1">
      <c r="A1729" s="5" t="s">
        <v>8322</v>
      </c>
      <c r="B1729" s="6" t="str">
        <f>IMAGE("https://storage.googleapis.com/acdb/housewares/FtrManhole_Remake_0_0.png")</f>
        <v/>
      </c>
      <c r="C1729" s="5" t="s">
        <v>146</v>
      </c>
      <c r="D1729" s="5" t="s">
        <v>8323</v>
      </c>
      <c r="E1729" s="5" t="s">
        <v>34</v>
      </c>
      <c r="F1729" s="5" t="s">
        <v>34</v>
      </c>
      <c r="G1729" s="5" t="s">
        <v>35</v>
      </c>
      <c r="H1729" s="5" t="s">
        <v>35</v>
      </c>
      <c r="I1729" s="5" t="s">
        <v>36</v>
      </c>
      <c r="J1729" s="6">
        <v>3.0</v>
      </c>
      <c r="K1729" s="6" t="s">
        <v>37</v>
      </c>
      <c r="L1729" s="6">
        <v>2250.0</v>
      </c>
      <c r="M1729" s="26" t="s">
        <v>54</v>
      </c>
      <c r="N1729" s="26" t="s">
        <v>54</v>
      </c>
      <c r="O1729" s="6" t="s">
        <v>40</v>
      </c>
      <c r="P1729" s="5" t="s">
        <v>41</v>
      </c>
      <c r="Q1729" s="5"/>
      <c r="R1729" s="6" t="s">
        <v>42</v>
      </c>
      <c r="S1729" s="5" t="s">
        <v>172</v>
      </c>
      <c r="T1729" s="5" t="s">
        <v>44</v>
      </c>
      <c r="U1729" s="5" t="s">
        <v>44</v>
      </c>
      <c r="V1729" s="5" t="s">
        <v>44</v>
      </c>
      <c r="W1729" s="5" t="s">
        <v>35</v>
      </c>
      <c r="X1729" s="8" t="s">
        <v>173</v>
      </c>
      <c r="Y1729" s="5" t="s">
        <v>46</v>
      </c>
      <c r="Z1729" s="5" t="s">
        <v>47</v>
      </c>
      <c r="AA1729" s="5" t="s">
        <v>48</v>
      </c>
      <c r="AB1729" s="5" t="s">
        <v>8326</v>
      </c>
      <c r="AC1729" s="6" t="s">
        <v>50</v>
      </c>
      <c r="AD1729" s="6">
        <v>144.0</v>
      </c>
    </row>
    <row r="1730" ht="56.25" customHeight="1">
      <c r="A1730" s="5" t="s">
        <v>8322</v>
      </c>
      <c r="B1730" s="6" t="str">
        <f>IMAGE("https://storage.googleapis.com/acdb/housewares/FtrManhole_Remake_1_0.png")</f>
        <v/>
      </c>
      <c r="C1730" s="5" t="s">
        <v>5340</v>
      </c>
      <c r="D1730" s="5" t="s">
        <v>8323</v>
      </c>
      <c r="E1730" s="5" t="s">
        <v>34</v>
      </c>
      <c r="F1730" s="5" t="s">
        <v>34</v>
      </c>
      <c r="G1730" s="5" t="s">
        <v>35</v>
      </c>
      <c r="H1730" s="5" t="s">
        <v>35</v>
      </c>
      <c r="I1730" s="5" t="s">
        <v>36</v>
      </c>
      <c r="J1730" s="6">
        <v>3.0</v>
      </c>
      <c r="K1730" s="6" t="s">
        <v>37</v>
      </c>
      <c r="L1730" s="6">
        <v>2250.0</v>
      </c>
      <c r="M1730" s="26" t="s">
        <v>39</v>
      </c>
      <c r="N1730" s="26" t="s">
        <v>39</v>
      </c>
      <c r="O1730" s="6" t="s">
        <v>40</v>
      </c>
      <c r="P1730" s="5" t="s">
        <v>41</v>
      </c>
      <c r="Q1730" s="5"/>
      <c r="R1730" s="6" t="s">
        <v>42</v>
      </c>
      <c r="S1730" s="5" t="s">
        <v>172</v>
      </c>
      <c r="T1730" s="5" t="s">
        <v>44</v>
      </c>
      <c r="U1730" s="5" t="s">
        <v>44</v>
      </c>
      <c r="V1730" s="5" t="s">
        <v>44</v>
      </c>
      <c r="W1730" s="5" t="s">
        <v>35</v>
      </c>
      <c r="X1730" s="8" t="s">
        <v>173</v>
      </c>
      <c r="Y1730" s="5" t="s">
        <v>46</v>
      </c>
      <c r="Z1730" s="5" t="s">
        <v>47</v>
      </c>
      <c r="AA1730" s="5" t="s">
        <v>48</v>
      </c>
      <c r="AB1730" s="5" t="s">
        <v>8331</v>
      </c>
      <c r="AC1730" s="6" t="s">
        <v>56</v>
      </c>
      <c r="AD1730" s="6">
        <v>144.0</v>
      </c>
    </row>
    <row r="1731" ht="56.25" customHeight="1">
      <c r="A1731" s="5" t="s">
        <v>8322</v>
      </c>
      <c r="B1731" s="6" t="str">
        <f>IMAGE("https://storage.googleapis.com/acdb/housewares/FtrManhole_Remake_2_0.png")</f>
        <v/>
      </c>
      <c r="C1731" s="5" t="s">
        <v>8333</v>
      </c>
      <c r="D1731" s="5" t="s">
        <v>8323</v>
      </c>
      <c r="E1731" s="5" t="s">
        <v>34</v>
      </c>
      <c r="F1731" s="5" t="s">
        <v>34</v>
      </c>
      <c r="G1731" s="5" t="s">
        <v>35</v>
      </c>
      <c r="H1731" s="5" t="s">
        <v>35</v>
      </c>
      <c r="I1731" s="5" t="s">
        <v>36</v>
      </c>
      <c r="J1731" s="6">
        <v>3.0</v>
      </c>
      <c r="K1731" s="6" t="s">
        <v>37</v>
      </c>
      <c r="L1731" s="6">
        <v>2250.0</v>
      </c>
      <c r="M1731" s="26" t="s">
        <v>96</v>
      </c>
      <c r="N1731" s="26" t="s">
        <v>142</v>
      </c>
      <c r="O1731" s="6" t="s">
        <v>40</v>
      </c>
      <c r="P1731" s="5" t="s">
        <v>41</v>
      </c>
      <c r="Q1731" s="5"/>
      <c r="R1731" s="6" t="s">
        <v>42</v>
      </c>
      <c r="S1731" s="5" t="s">
        <v>172</v>
      </c>
      <c r="T1731" s="5" t="s">
        <v>44</v>
      </c>
      <c r="U1731" s="5" t="s">
        <v>44</v>
      </c>
      <c r="V1731" s="5" t="s">
        <v>44</v>
      </c>
      <c r="W1731" s="5" t="s">
        <v>35</v>
      </c>
      <c r="X1731" s="8" t="s">
        <v>173</v>
      </c>
      <c r="Y1731" s="5" t="s">
        <v>46</v>
      </c>
      <c r="Z1731" s="5" t="s">
        <v>47</v>
      </c>
      <c r="AA1731" s="5" t="s">
        <v>48</v>
      </c>
      <c r="AB1731" s="5" t="s">
        <v>8337</v>
      </c>
      <c r="AC1731" s="6" t="s">
        <v>67</v>
      </c>
      <c r="AD1731" s="6">
        <v>144.0</v>
      </c>
    </row>
    <row r="1732" ht="56.25" customHeight="1">
      <c r="A1732" s="5" t="s">
        <v>8322</v>
      </c>
      <c r="B1732" s="6" t="str">
        <f>IMAGE("https://storage.googleapis.com/acdb/housewares/FtrManhole_Remake_3_0.png")</f>
        <v/>
      </c>
      <c r="C1732" s="5" t="s">
        <v>8341</v>
      </c>
      <c r="D1732" s="5" t="s">
        <v>8323</v>
      </c>
      <c r="E1732" s="5" t="s">
        <v>34</v>
      </c>
      <c r="F1732" s="5" t="s">
        <v>34</v>
      </c>
      <c r="G1732" s="5" t="s">
        <v>35</v>
      </c>
      <c r="H1732" s="5" t="s">
        <v>35</v>
      </c>
      <c r="I1732" s="5" t="s">
        <v>36</v>
      </c>
      <c r="J1732" s="6">
        <v>3.0</v>
      </c>
      <c r="K1732" s="6" t="s">
        <v>37</v>
      </c>
      <c r="L1732" s="6">
        <v>2250.0</v>
      </c>
      <c r="M1732" s="26" t="s">
        <v>114</v>
      </c>
      <c r="N1732" s="26" t="s">
        <v>1175</v>
      </c>
      <c r="O1732" s="6" t="s">
        <v>40</v>
      </c>
      <c r="P1732" s="5" t="s">
        <v>41</v>
      </c>
      <c r="Q1732" s="5"/>
      <c r="R1732" s="6" t="s">
        <v>42</v>
      </c>
      <c r="S1732" s="5" t="s">
        <v>172</v>
      </c>
      <c r="T1732" s="5" t="s">
        <v>44</v>
      </c>
      <c r="U1732" s="5" t="s">
        <v>44</v>
      </c>
      <c r="V1732" s="5" t="s">
        <v>44</v>
      </c>
      <c r="W1732" s="5" t="s">
        <v>35</v>
      </c>
      <c r="X1732" s="8" t="s">
        <v>173</v>
      </c>
      <c r="Y1732" s="5" t="s">
        <v>46</v>
      </c>
      <c r="Z1732" s="5" t="s">
        <v>47</v>
      </c>
      <c r="AA1732" s="5" t="s">
        <v>48</v>
      </c>
      <c r="AB1732" s="5" t="s">
        <v>8344</v>
      </c>
      <c r="AC1732" s="6" t="s">
        <v>71</v>
      </c>
      <c r="AD1732" s="6">
        <v>144.0</v>
      </c>
    </row>
    <row r="1733" ht="56.25" customHeight="1">
      <c r="A1733" s="5" t="s">
        <v>8322</v>
      </c>
      <c r="B1733" s="6" t="str">
        <f>IMAGE("https://storage.googleapis.com/acdb/housewares/FtrManhole_Remake_4_0.png")</f>
        <v/>
      </c>
      <c r="C1733" s="5" t="s">
        <v>6092</v>
      </c>
      <c r="D1733" s="5" t="s">
        <v>8323</v>
      </c>
      <c r="E1733" s="5" t="s">
        <v>34</v>
      </c>
      <c r="F1733" s="5" t="s">
        <v>34</v>
      </c>
      <c r="G1733" s="5" t="s">
        <v>35</v>
      </c>
      <c r="H1733" s="5" t="s">
        <v>35</v>
      </c>
      <c r="I1733" s="5" t="s">
        <v>36</v>
      </c>
      <c r="J1733" s="6">
        <v>3.0</v>
      </c>
      <c r="K1733" s="6" t="s">
        <v>37</v>
      </c>
      <c r="L1733" s="6">
        <v>2250.0</v>
      </c>
      <c r="M1733" s="26" t="s">
        <v>57</v>
      </c>
      <c r="N1733" s="26" t="s">
        <v>69</v>
      </c>
      <c r="O1733" s="6" t="s">
        <v>40</v>
      </c>
      <c r="P1733" s="5" t="s">
        <v>41</v>
      </c>
      <c r="Q1733" s="5"/>
      <c r="R1733" s="6" t="s">
        <v>42</v>
      </c>
      <c r="S1733" s="5" t="s">
        <v>172</v>
      </c>
      <c r="T1733" s="5" t="s">
        <v>44</v>
      </c>
      <c r="U1733" s="5" t="s">
        <v>44</v>
      </c>
      <c r="V1733" s="5" t="s">
        <v>44</v>
      </c>
      <c r="W1733" s="5" t="s">
        <v>35</v>
      </c>
      <c r="X1733" s="8" t="s">
        <v>173</v>
      </c>
      <c r="Y1733" s="5" t="s">
        <v>46</v>
      </c>
      <c r="Z1733" s="5" t="s">
        <v>47</v>
      </c>
      <c r="AA1733" s="5" t="s">
        <v>48</v>
      </c>
      <c r="AB1733" s="5" t="s">
        <v>8347</v>
      </c>
      <c r="AC1733" s="6" t="s">
        <v>75</v>
      </c>
      <c r="AD1733" s="6">
        <v>144.0</v>
      </c>
    </row>
    <row r="1734" ht="56.25" customHeight="1">
      <c r="A1734" s="5" t="s">
        <v>8349</v>
      </c>
      <c r="B1734" s="6" t="str">
        <f>IMAGE("https://storage.googleapis.com/acdb/housewares/FtrStonewaterbowlAutumun.png")</f>
        <v/>
      </c>
      <c r="C1734" s="5" t="s">
        <v>34</v>
      </c>
      <c r="D1734" s="5" t="s">
        <v>34</v>
      </c>
      <c r="E1734" s="5" t="s">
        <v>34</v>
      </c>
      <c r="F1734" s="5" t="s">
        <v>34</v>
      </c>
      <c r="G1734" s="5" t="s">
        <v>35</v>
      </c>
      <c r="H1734" s="5" t="s">
        <v>36</v>
      </c>
      <c r="I1734" s="5" t="s">
        <v>36</v>
      </c>
      <c r="J1734" s="6" t="s">
        <v>34</v>
      </c>
      <c r="K1734" s="6" t="s">
        <v>37</v>
      </c>
      <c r="L1734" s="6">
        <v>2700.0</v>
      </c>
      <c r="M1734" s="5" t="s">
        <v>39</v>
      </c>
      <c r="N1734" s="5" t="s">
        <v>142</v>
      </c>
      <c r="O1734" s="6" t="s">
        <v>276</v>
      </c>
      <c r="P1734" s="5" t="s">
        <v>41</v>
      </c>
      <c r="Q1734" s="5" t="s">
        <v>2840</v>
      </c>
      <c r="R1734" s="6" t="s">
        <v>42</v>
      </c>
      <c r="S1734" s="5" t="s">
        <v>266</v>
      </c>
      <c r="T1734" s="5" t="s">
        <v>172</v>
      </c>
      <c r="U1734" s="5" t="s">
        <v>2448</v>
      </c>
      <c r="V1734" s="5" t="s">
        <v>44</v>
      </c>
      <c r="W1734" s="5" t="s">
        <v>36</v>
      </c>
      <c r="X1734" s="8" t="s">
        <v>650</v>
      </c>
      <c r="Y1734" s="5" t="s">
        <v>46</v>
      </c>
      <c r="Z1734" s="5" t="s">
        <v>47</v>
      </c>
      <c r="AA1734" s="5" t="s">
        <v>48</v>
      </c>
      <c r="AB1734" s="5" t="s">
        <v>8352</v>
      </c>
      <c r="AC1734" s="6" t="s">
        <v>34</v>
      </c>
      <c r="AD1734" s="6">
        <v>7408.0</v>
      </c>
    </row>
    <row r="1735" ht="56.25" customHeight="1">
      <c r="A1735" s="5" t="s">
        <v>8353</v>
      </c>
      <c r="B1735" s="6" t="str">
        <f>IMAGE("https://storage.googleapis.com/acdb/housewares/FtrMarimba.png")</f>
        <v/>
      </c>
      <c r="C1735" s="5" t="s">
        <v>34</v>
      </c>
      <c r="D1735" s="5" t="s">
        <v>34</v>
      </c>
      <c r="E1735" s="5" t="s">
        <v>34</v>
      </c>
      <c r="F1735" s="5" t="s">
        <v>34</v>
      </c>
      <c r="G1735" s="5" t="s">
        <v>36</v>
      </c>
      <c r="H1735" s="5" t="s">
        <v>36</v>
      </c>
      <c r="I1735" s="5" t="s">
        <v>36</v>
      </c>
      <c r="J1735" s="6" t="s">
        <v>34</v>
      </c>
      <c r="K1735" s="6">
        <v>4300.0</v>
      </c>
      <c r="L1735" s="6">
        <v>1075.0</v>
      </c>
      <c r="M1735" s="5" t="s">
        <v>39</v>
      </c>
      <c r="N1735" s="5" t="s">
        <v>54</v>
      </c>
      <c r="O1735" s="6" t="s">
        <v>276</v>
      </c>
      <c r="P1735" s="5" t="s">
        <v>59</v>
      </c>
      <c r="Q1735" s="5" t="s">
        <v>122</v>
      </c>
      <c r="R1735" s="6" t="s">
        <v>42</v>
      </c>
      <c r="S1735" s="5" t="s">
        <v>43</v>
      </c>
      <c r="T1735" s="5" t="s">
        <v>130</v>
      </c>
      <c r="U1735" s="5" t="s">
        <v>44</v>
      </c>
      <c r="V1735" s="5" t="s">
        <v>44</v>
      </c>
      <c r="W1735" s="5" t="s">
        <v>35</v>
      </c>
      <c r="X1735" s="8" t="s">
        <v>45</v>
      </c>
      <c r="Y1735" s="5" t="s">
        <v>46</v>
      </c>
      <c r="Z1735" s="5" t="s">
        <v>47</v>
      </c>
      <c r="AA1735" s="5" t="s">
        <v>64</v>
      </c>
      <c r="AB1735" s="5" t="s">
        <v>8356</v>
      </c>
      <c r="AC1735" s="6" t="s">
        <v>34</v>
      </c>
      <c r="AD1735" s="6">
        <v>4121.0</v>
      </c>
    </row>
    <row r="1736" ht="56.25" customHeight="1">
      <c r="A1736" s="5" t="s">
        <v>8357</v>
      </c>
      <c r="B1736" s="6" t="str">
        <f>image("https://storage.googleapis.com/acdb/housewares/FtrCompassPole.png")</f>
        <v/>
      </c>
      <c r="C1736" s="5" t="s">
        <v>34</v>
      </c>
      <c r="D1736" s="5" t="s">
        <v>34</v>
      </c>
      <c r="E1736" s="5" t="s">
        <v>34</v>
      </c>
      <c r="F1736" s="5" t="s">
        <v>34</v>
      </c>
      <c r="G1736" s="5" t="s">
        <v>36</v>
      </c>
      <c r="H1736" s="5" t="s">
        <v>36</v>
      </c>
      <c r="I1736" s="5" t="s">
        <v>36</v>
      </c>
      <c r="J1736" s="6" t="s">
        <v>34</v>
      </c>
      <c r="K1736" s="6">
        <v>3200.0</v>
      </c>
      <c r="L1736" s="6">
        <v>800.0</v>
      </c>
      <c r="M1736" s="5" t="s">
        <v>96</v>
      </c>
      <c r="N1736" s="5" t="s">
        <v>114</v>
      </c>
      <c r="O1736" s="6" t="s">
        <v>276</v>
      </c>
      <c r="P1736" s="5" t="s">
        <v>1234</v>
      </c>
      <c r="Q1736" s="5" t="s">
        <v>1235</v>
      </c>
      <c r="R1736" s="6" t="s">
        <v>98</v>
      </c>
      <c r="S1736" s="5" t="s">
        <v>141</v>
      </c>
      <c r="T1736" s="5" t="s">
        <v>172</v>
      </c>
      <c r="U1736" s="5" t="s">
        <v>44</v>
      </c>
      <c r="V1736" s="5" t="s">
        <v>44</v>
      </c>
      <c r="W1736" s="5" t="s">
        <v>36</v>
      </c>
      <c r="X1736" s="8" t="s">
        <v>1236</v>
      </c>
      <c r="Y1736" s="5" t="s">
        <v>46</v>
      </c>
      <c r="Z1736" s="5" t="s">
        <v>47</v>
      </c>
      <c r="AA1736" s="5" t="s">
        <v>1237</v>
      </c>
      <c r="AB1736" s="5" t="s">
        <v>8360</v>
      </c>
      <c r="AC1736" s="6" t="s">
        <v>34</v>
      </c>
      <c r="AD1736" s="6">
        <v>12368.0</v>
      </c>
    </row>
    <row r="1737" ht="56.25" customHeight="1">
      <c r="A1737" s="5" t="s">
        <v>8361</v>
      </c>
      <c r="B1737" s="6" t="str">
        <f>IMAGE("https://storage.googleapis.com/acdb/housewares/FtrMovingboxM.png")</f>
        <v/>
      </c>
      <c r="C1737" s="5" t="s">
        <v>34</v>
      </c>
      <c r="D1737" s="5" t="s">
        <v>34</v>
      </c>
      <c r="E1737" s="5" t="s">
        <v>34</v>
      </c>
      <c r="F1737" s="5" t="s">
        <v>34</v>
      </c>
      <c r="G1737" s="5" t="s">
        <v>35</v>
      </c>
      <c r="H1737" s="5" t="s">
        <v>36</v>
      </c>
      <c r="I1737" s="5" t="s">
        <v>36</v>
      </c>
      <c r="J1737" s="6" t="s">
        <v>34</v>
      </c>
      <c r="K1737" s="6" t="s">
        <v>37</v>
      </c>
      <c r="L1737" s="6">
        <v>240.0</v>
      </c>
      <c r="M1737" s="5" t="s">
        <v>44</v>
      </c>
      <c r="N1737" s="5" t="s">
        <v>44</v>
      </c>
      <c r="O1737" s="6" t="s">
        <v>276</v>
      </c>
      <c r="P1737" s="5" t="s">
        <v>41</v>
      </c>
      <c r="Q1737" s="5"/>
      <c r="R1737" s="6" t="s">
        <v>42</v>
      </c>
      <c r="S1737" s="5" t="s">
        <v>416</v>
      </c>
      <c r="T1737" s="5" t="s">
        <v>44</v>
      </c>
      <c r="U1737" s="5" t="s">
        <v>814</v>
      </c>
      <c r="V1737" s="5" t="s">
        <v>44</v>
      </c>
      <c r="W1737" s="5" t="s">
        <v>36</v>
      </c>
      <c r="X1737" s="8" t="s">
        <v>432</v>
      </c>
      <c r="Y1737" s="5" t="s">
        <v>46</v>
      </c>
      <c r="Z1737" s="5" t="s">
        <v>47</v>
      </c>
      <c r="AA1737" s="5" t="s">
        <v>48</v>
      </c>
      <c r="AB1737" s="5" t="s">
        <v>8367</v>
      </c>
      <c r="AC1737" s="6" t="s">
        <v>34</v>
      </c>
      <c r="AD1737" s="6">
        <v>3411.0</v>
      </c>
    </row>
    <row r="1738" ht="56.25" customHeight="1">
      <c r="A1738" s="5" t="s">
        <v>8368</v>
      </c>
      <c r="B1738" s="6" t="str">
        <f>IMAGE("https://storage.googleapis.com/acdb/housewares/FtrMenuboard_Remake_0_0.png")</f>
        <v/>
      </c>
      <c r="C1738" s="5" t="s">
        <v>32</v>
      </c>
      <c r="D1738" s="5" t="s">
        <v>34</v>
      </c>
      <c r="E1738" s="5" t="s">
        <v>34</v>
      </c>
      <c r="F1738" s="5" t="s">
        <v>34</v>
      </c>
      <c r="G1738" s="5" t="s">
        <v>36</v>
      </c>
      <c r="H1738" s="5" t="s">
        <v>36</v>
      </c>
      <c r="I1738" s="5" t="s">
        <v>36</v>
      </c>
      <c r="J1738" s="6" t="s">
        <v>34</v>
      </c>
      <c r="K1738" s="6">
        <v>1800.0</v>
      </c>
      <c r="L1738" s="6">
        <v>450.0</v>
      </c>
      <c r="M1738" s="26" t="s">
        <v>142</v>
      </c>
      <c r="N1738" s="26" t="s">
        <v>96</v>
      </c>
      <c r="O1738" s="6" t="s">
        <v>40</v>
      </c>
      <c r="P1738" s="5" t="s">
        <v>59</v>
      </c>
      <c r="Q1738" s="5" t="s">
        <v>89</v>
      </c>
      <c r="R1738" s="6" t="s">
        <v>42</v>
      </c>
      <c r="S1738" s="5" t="s">
        <v>62</v>
      </c>
      <c r="T1738" s="5" t="s">
        <v>44</v>
      </c>
      <c r="U1738" s="5" t="s">
        <v>44</v>
      </c>
      <c r="V1738" s="5" t="s">
        <v>44</v>
      </c>
      <c r="W1738" s="5" t="s">
        <v>36</v>
      </c>
      <c r="X1738" s="8" t="s">
        <v>194</v>
      </c>
      <c r="Y1738" s="5" t="s">
        <v>46</v>
      </c>
      <c r="Z1738" s="5" t="s">
        <v>47</v>
      </c>
      <c r="AA1738" s="5" t="s">
        <v>64</v>
      </c>
      <c r="AB1738" s="5" t="s">
        <v>8373</v>
      </c>
      <c r="AC1738" s="6" t="s">
        <v>50</v>
      </c>
      <c r="AD1738" s="6">
        <v>1866.0</v>
      </c>
    </row>
    <row r="1739" ht="56.25" customHeight="1">
      <c r="A1739" s="5" t="s">
        <v>8368</v>
      </c>
      <c r="B1739" s="6" t="str">
        <f>IMAGE("https://storage.googleapis.com/acdb/housewares/FtrMenuboard_Remake_1_0.png")</f>
        <v/>
      </c>
      <c r="C1739" s="5" t="s">
        <v>387</v>
      </c>
      <c r="D1739" s="5" t="s">
        <v>34</v>
      </c>
      <c r="E1739" s="5" t="s">
        <v>34</v>
      </c>
      <c r="F1739" s="5" t="s">
        <v>34</v>
      </c>
      <c r="G1739" s="5" t="s">
        <v>36</v>
      </c>
      <c r="H1739" s="5" t="s">
        <v>36</v>
      </c>
      <c r="I1739" s="5" t="s">
        <v>36</v>
      </c>
      <c r="J1739" s="6" t="s">
        <v>34</v>
      </c>
      <c r="K1739" s="6">
        <v>1800.0</v>
      </c>
      <c r="L1739" s="6">
        <v>450.0</v>
      </c>
      <c r="M1739" s="26" t="s">
        <v>39</v>
      </c>
      <c r="N1739" s="26" t="s">
        <v>96</v>
      </c>
      <c r="O1739" s="6" t="s">
        <v>40</v>
      </c>
      <c r="P1739" s="5" t="s">
        <v>59</v>
      </c>
      <c r="Q1739" s="5" t="s">
        <v>89</v>
      </c>
      <c r="R1739" s="6" t="s">
        <v>42</v>
      </c>
      <c r="S1739" s="5" t="s">
        <v>62</v>
      </c>
      <c r="T1739" s="5" t="s">
        <v>44</v>
      </c>
      <c r="U1739" s="5" t="s">
        <v>44</v>
      </c>
      <c r="V1739" s="5" t="s">
        <v>44</v>
      </c>
      <c r="W1739" s="5" t="s">
        <v>36</v>
      </c>
      <c r="X1739" s="8" t="s">
        <v>194</v>
      </c>
      <c r="Y1739" s="5" t="s">
        <v>46</v>
      </c>
      <c r="Z1739" s="5" t="s">
        <v>47</v>
      </c>
      <c r="AA1739" s="5" t="s">
        <v>64</v>
      </c>
      <c r="AB1739" s="5" t="s">
        <v>8376</v>
      </c>
      <c r="AC1739" s="6" t="s">
        <v>56</v>
      </c>
      <c r="AD1739" s="6">
        <v>1866.0</v>
      </c>
    </row>
    <row r="1740" ht="56.25" customHeight="1">
      <c r="A1740" s="5" t="s">
        <v>8368</v>
      </c>
      <c r="B1740" s="6" t="str">
        <f>IMAGE("https://storage.googleapis.com/acdb/housewares/FtrMenuboard_Remake_2_0.png")</f>
        <v/>
      </c>
      <c r="C1740" s="5" t="s">
        <v>57</v>
      </c>
      <c r="D1740" s="5" t="s">
        <v>34</v>
      </c>
      <c r="E1740" s="5" t="s">
        <v>34</v>
      </c>
      <c r="F1740" s="5" t="s">
        <v>34</v>
      </c>
      <c r="G1740" s="5" t="s">
        <v>36</v>
      </c>
      <c r="H1740" s="5" t="s">
        <v>36</v>
      </c>
      <c r="I1740" s="5" t="s">
        <v>36</v>
      </c>
      <c r="J1740" s="6" t="s">
        <v>34</v>
      </c>
      <c r="K1740" s="6">
        <v>1800.0</v>
      </c>
      <c r="L1740" s="6">
        <v>450.0</v>
      </c>
      <c r="M1740" s="26" t="s">
        <v>57</v>
      </c>
      <c r="N1740" s="26" t="s">
        <v>96</v>
      </c>
      <c r="O1740" s="6" t="s">
        <v>40</v>
      </c>
      <c r="P1740" s="5" t="s">
        <v>59</v>
      </c>
      <c r="Q1740" s="5" t="s">
        <v>89</v>
      </c>
      <c r="R1740" s="6" t="s">
        <v>42</v>
      </c>
      <c r="S1740" s="5" t="s">
        <v>62</v>
      </c>
      <c r="T1740" s="5" t="s">
        <v>44</v>
      </c>
      <c r="U1740" s="5" t="s">
        <v>44</v>
      </c>
      <c r="V1740" s="5" t="s">
        <v>44</v>
      </c>
      <c r="W1740" s="5" t="s">
        <v>36</v>
      </c>
      <c r="X1740" s="8" t="s">
        <v>194</v>
      </c>
      <c r="Y1740" s="5" t="s">
        <v>46</v>
      </c>
      <c r="Z1740" s="5" t="s">
        <v>47</v>
      </c>
      <c r="AA1740" s="5" t="s">
        <v>64</v>
      </c>
      <c r="AB1740" s="5" t="s">
        <v>8381</v>
      </c>
      <c r="AC1740" s="6" t="s">
        <v>67</v>
      </c>
      <c r="AD1740" s="6">
        <v>1866.0</v>
      </c>
    </row>
    <row r="1741" ht="56.25" customHeight="1">
      <c r="A1741" s="5" t="s">
        <v>8368</v>
      </c>
      <c r="B1741" s="6" t="str">
        <f>IMAGE("https://storage.googleapis.com/acdb/housewares/FtrMenuboard_Remake_3_0.png")</f>
        <v/>
      </c>
      <c r="C1741" s="5" t="s">
        <v>68</v>
      </c>
      <c r="D1741" s="5" t="s">
        <v>34</v>
      </c>
      <c r="E1741" s="5" t="s">
        <v>34</v>
      </c>
      <c r="F1741" s="5" t="s">
        <v>34</v>
      </c>
      <c r="G1741" s="5" t="s">
        <v>36</v>
      </c>
      <c r="H1741" s="5" t="s">
        <v>36</v>
      </c>
      <c r="I1741" s="5" t="s">
        <v>36</v>
      </c>
      <c r="J1741" s="6" t="s">
        <v>34</v>
      </c>
      <c r="K1741" s="6">
        <v>1800.0</v>
      </c>
      <c r="L1741" s="6">
        <v>450.0</v>
      </c>
      <c r="M1741" s="26" t="s">
        <v>1175</v>
      </c>
      <c r="N1741" s="26" t="s">
        <v>96</v>
      </c>
      <c r="O1741" s="6" t="s">
        <v>40</v>
      </c>
      <c r="P1741" s="5" t="s">
        <v>59</v>
      </c>
      <c r="Q1741" s="5" t="s">
        <v>89</v>
      </c>
      <c r="R1741" s="6" t="s">
        <v>42</v>
      </c>
      <c r="S1741" s="5" t="s">
        <v>62</v>
      </c>
      <c r="T1741" s="5" t="s">
        <v>44</v>
      </c>
      <c r="U1741" s="5" t="s">
        <v>44</v>
      </c>
      <c r="V1741" s="5" t="s">
        <v>44</v>
      </c>
      <c r="W1741" s="5" t="s">
        <v>36</v>
      </c>
      <c r="X1741" s="8" t="s">
        <v>194</v>
      </c>
      <c r="Y1741" s="5" t="s">
        <v>46</v>
      </c>
      <c r="Z1741" s="5" t="s">
        <v>47</v>
      </c>
      <c r="AA1741" s="5" t="s">
        <v>64</v>
      </c>
      <c r="AB1741" s="5" t="s">
        <v>8386</v>
      </c>
      <c r="AC1741" s="6" t="s">
        <v>71</v>
      </c>
      <c r="AD1741" s="6">
        <v>1866.0</v>
      </c>
    </row>
    <row r="1742" ht="56.25" customHeight="1">
      <c r="A1742" s="5" t="s">
        <v>8368</v>
      </c>
      <c r="B1742" s="6" t="str">
        <f>IMAGE("https://storage.googleapis.com/acdb/housewares/FtrMenuboard_Remake_4_0.png")</f>
        <v/>
      </c>
      <c r="C1742" s="5" t="s">
        <v>52</v>
      </c>
      <c r="D1742" s="5" t="s">
        <v>34</v>
      </c>
      <c r="E1742" s="5" t="s">
        <v>34</v>
      </c>
      <c r="F1742" s="5" t="s">
        <v>34</v>
      </c>
      <c r="G1742" s="5" t="s">
        <v>36</v>
      </c>
      <c r="H1742" s="5" t="s">
        <v>36</v>
      </c>
      <c r="I1742" s="5" t="s">
        <v>36</v>
      </c>
      <c r="J1742" s="6" t="s">
        <v>34</v>
      </c>
      <c r="K1742" s="6">
        <v>1800.0</v>
      </c>
      <c r="L1742" s="6">
        <v>450.0</v>
      </c>
      <c r="M1742" s="26" t="s">
        <v>52</v>
      </c>
      <c r="N1742" s="26" t="s">
        <v>96</v>
      </c>
      <c r="O1742" s="6" t="s">
        <v>40</v>
      </c>
      <c r="P1742" s="5" t="s">
        <v>59</v>
      </c>
      <c r="Q1742" s="5" t="s">
        <v>89</v>
      </c>
      <c r="R1742" s="6" t="s">
        <v>42</v>
      </c>
      <c r="S1742" s="5" t="s">
        <v>62</v>
      </c>
      <c r="T1742" s="5" t="s">
        <v>44</v>
      </c>
      <c r="U1742" s="5" t="s">
        <v>44</v>
      </c>
      <c r="V1742" s="5" t="s">
        <v>44</v>
      </c>
      <c r="W1742" s="5" t="s">
        <v>36</v>
      </c>
      <c r="X1742" s="8" t="s">
        <v>194</v>
      </c>
      <c r="Y1742" s="5" t="s">
        <v>46</v>
      </c>
      <c r="Z1742" s="5" t="s">
        <v>47</v>
      </c>
      <c r="AA1742" s="5" t="s">
        <v>64</v>
      </c>
      <c r="AB1742" s="5" t="s">
        <v>8390</v>
      </c>
      <c r="AC1742" s="6" t="s">
        <v>75</v>
      </c>
      <c r="AD1742" s="6">
        <v>1866.0</v>
      </c>
    </row>
    <row r="1743" ht="56.25" customHeight="1">
      <c r="A1743" s="5" t="s">
        <v>8391</v>
      </c>
      <c r="B1743" s="6" t="str">
        <f>IMAGE("https://storage.googleapis.com/acdb/housewares/FtrMikeStand.png")</f>
        <v/>
      </c>
      <c r="C1743" s="5" t="s">
        <v>34</v>
      </c>
      <c r="D1743" s="5" t="s">
        <v>34</v>
      </c>
      <c r="E1743" s="5" t="s">
        <v>34</v>
      </c>
      <c r="F1743" s="5" t="s">
        <v>34</v>
      </c>
      <c r="G1743" s="5" t="s">
        <v>36</v>
      </c>
      <c r="H1743" s="5" t="s">
        <v>36</v>
      </c>
      <c r="I1743" s="5" t="s">
        <v>36</v>
      </c>
      <c r="J1743" s="6" t="s">
        <v>34</v>
      </c>
      <c r="K1743" s="6">
        <v>1000.0</v>
      </c>
      <c r="L1743" s="6">
        <v>250.0</v>
      </c>
      <c r="M1743" s="5" t="s">
        <v>95</v>
      </c>
      <c r="N1743" s="5" t="s">
        <v>54</v>
      </c>
      <c r="O1743" s="6" t="s">
        <v>40</v>
      </c>
      <c r="P1743" s="5" t="s">
        <v>59</v>
      </c>
      <c r="Q1743" s="5" t="s">
        <v>122</v>
      </c>
      <c r="R1743" s="6" t="s">
        <v>42</v>
      </c>
      <c r="S1743" s="5" t="s">
        <v>43</v>
      </c>
      <c r="T1743" s="5" t="s">
        <v>465</v>
      </c>
      <c r="U1743" s="5" t="s">
        <v>44</v>
      </c>
      <c r="V1743" s="5" t="s">
        <v>44</v>
      </c>
      <c r="W1743" s="5" t="s">
        <v>36</v>
      </c>
      <c r="X1743" s="8" t="s">
        <v>45</v>
      </c>
      <c r="Y1743" s="5" t="s">
        <v>46</v>
      </c>
      <c r="Z1743" s="5" t="s">
        <v>47</v>
      </c>
      <c r="AA1743" s="5" t="s">
        <v>64</v>
      </c>
      <c r="AB1743" s="5" t="s">
        <v>8398</v>
      </c>
      <c r="AC1743" s="6" t="s">
        <v>34</v>
      </c>
      <c r="AD1743" s="6">
        <v>9503.0</v>
      </c>
    </row>
    <row r="1744" ht="56.25" customHeight="1">
      <c r="A1744" s="5" t="s">
        <v>8399</v>
      </c>
      <c r="B1744" s="6" t="str">
        <f>IMAGE("https://storage.googleapis.com/acdb/housewares/FtrWorkbenchS_Remake_0_0.png")</f>
        <v/>
      </c>
      <c r="C1744" s="5" t="s">
        <v>32</v>
      </c>
      <c r="D1744" s="5" t="s">
        <v>748</v>
      </c>
      <c r="E1744" s="5" t="s">
        <v>34</v>
      </c>
      <c r="F1744" s="5" t="s">
        <v>34</v>
      </c>
      <c r="G1744" s="5" t="s">
        <v>35</v>
      </c>
      <c r="H1744" s="5" t="s">
        <v>35</v>
      </c>
      <c r="I1744" s="5" t="s">
        <v>36</v>
      </c>
      <c r="J1744" s="6">
        <v>4.0</v>
      </c>
      <c r="K1744" s="6" t="s">
        <v>37</v>
      </c>
      <c r="L1744" s="6">
        <v>2580.0</v>
      </c>
      <c r="M1744" s="26" t="s">
        <v>38</v>
      </c>
      <c r="N1744" s="26" t="s">
        <v>57</v>
      </c>
      <c r="O1744" s="6" t="s">
        <v>40</v>
      </c>
      <c r="P1744" s="5" t="s">
        <v>41</v>
      </c>
      <c r="Q1744" s="5"/>
      <c r="R1744" s="6" t="s">
        <v>42</v>
      </c>
      <c r="S1744" s="5" t="s">
        <v>416</v>
      </c>
      <c r="T1744" s="5" t="s">
        <v>44</v>
      </c>
      <c r="U1744" s="5" t="s">
        <v>44</v>
      </c>
      <c r="V1744" s="5" t="s">
        <v>44</v>
      </c>
      <c r="W1744" s="5" t="s">
        <v>35</v>
      </c>
      <c r="X1744" s="8" t="s">
        <v>2261</v>
      </c>
      <c r="Y1744" s="5" t="s">
        <v>46</v>
      </c>
      <c r="Z1744" s="5" t="s">
        <v>47</v>
      </c>
      <c r="AA1744" s="5" t="s">
        <v>48</v>
      </c>
      <c r="AB1744" s="5" t="s">
        <v>8406</v>
      </c>
      <c r="AC1744" s="6" t="s">
        <v>50</v>
      </c>
      <c r="AD1744" s="6">
        <v>3122.0</v>
      </c>
    </row>
    <row r="1745" ht="56.25" customHeight="1">
      <c r="A1745" s="5" t="s">
        <v>8399</v>
      </c>
      <c r="B1745" s="6" t="str">
        <f>IMAGE("https://storage.googleapis.com/acdb/housewares/FtrWorkbenchS_Remake_1_0.png")</f>
        <v/>
      </c>
      <c r="C1745" s="5" t="s">
        <v>39</v>
      </c>
      <c r="D1745" s="5" t="s">
        <v>748</v>
      </c>
      <c r="E1745" s="5" t="s">
        <v>34</v>
      </c>
      <c r="F1745" s="5" t="s">
        <v>34</v>
      </c>
      <c r="G1745" s="5" t="s">
        <v>35</v>
      </c>
      <c r="H1745" s="5" t="s">
        <v>35</v>
      </c>
      <c r="I1745" s="5" t="s">
        <v>36</v>
      </c>
      <c r="J1745" s="6">
        <v>4.0</v>
      </c>
      <c r="K1745" s="6" t="s">
        <v>37</v>
      </c>
      <c r="L1745" s="6">
        <v>2580.0</v>
      </c>
      <c r="M1745" s="26" t="s">
        <v>142</v>
      </c>
      <c r="N1745" s="26" t="s">
        <v>57</v>
      </c>
      <c r="O1745" s="6" t="s">
        <v>40</v>
      </c>
      <c r="P1745" s="5" t="s">
        <v>41</v>
      </c>
      <c r="Q1745" s="5"/>
      <c r="R1745" s="6" t="s">
        <v>42</v>
      </c>
      <c r="S1745" s="5" t="s">
        <v>416</v>
      </c>
      <c r="T1745" s="5" t="s">
        <v>44</v>
      </c>
      <c r="U1745" s="5" t="s">
        <v>44</v>
      </c>
      <c r="V1745" s="5" t="s">
        <v>44</v>
      </c>
      <c r="W1745" s="5" t="s">
        <v>35</v>
      </c>
      <c r="X1745" s="8" t="s">
        <v>2261</v>
      </c>
      <c r="Y1745" s="5" t="s">
        <v>46</v>
      </c>
      <c r="Z1745" s="5" t="s">
        <v>47</v>
      </c>
      <c r="AA1745" s="5" t="s">
        <v>48</v>
      </c>
      <c r="AB1745" s="5" t="s">
        <v>8411</v>
      </c>
      <c r="AC1745" s="6" t="s">
        <v>56</v>
      </c>
      <c r="AD1745" s="6">
        <v>3122.0</v>
      </c>
    </row>
    <row r="1746" ht="56.25" customHeight="1">
      <c r="A1746" s="5" t="s">
        <v>8399</v>
      </c>
      <c r="B1746" s="6" t="str">
        <f>IMAGE("https://storage.googleapis.com/acdb/housewares/FtrWorkbenchS_Remake_2_0.png")</f>
        <v/>
      </c>
      <c r="C1746" s="5" t="s">
        <v>1470</v>
      </c>
      <c r="D1746" s="5" t="s">
        <v>748</v>
      </c>
      <c r="E1746" s="5" t="s">
        <v>34</v>
      </c>
      <c r="F1746" s="5" t="s">
        <v>34</v>
      </c>
      <c r="G1746" s="5" t="s">
        <v>35</v>
      </c>
      <c r="H1746" s="5" t="s">
        <v>35</v>
      </c>
      <c r="I1746" s="5" t="s">
        <v>36</v>
      </c>
      <c r="J1746" s="6">
        <v>4.0</v>
      </c>
      <c r="K1746" s="6" t="s">
        <v>37</v>
      </c>
      <c r="L1746" s="6">
        <v>2580.0</v>
      </c>
      <c r="M1746" s="26" t="s">
        <v>39</v>
      </c>
      <c r="N1746" s="26" t="s">
        <v>57</v>
      </c>
      <c r="O1746" s="6" t="s">
        <v>40</v>
      </c>
      <c r="P1746" s="5" t="s">
        <v>41</v>
      </c>
      <c r="Q1746" s="5"/>
      <c r="R1746" s="6" t="s">
        <v>42</v>
      </c>
      <c r="S1746" s="5" t="s">
        <v>416</v>
      </c>
      <c r="T1746" s="5" t="s">
        <v>44</v>
      </c>
      <c r="U1746" s="5" t="s">
        <v>44</v>
      </c>
      <c r="V1746" s="5" t="s">
        <v>44</v>
      </c>
      <c r="W1746" s="5" t="s">
        <v>35</v>
      </c>
      <c r="X1746" s="8" t="s">
        <v>2261</v>
      </c>
      <c r="Y1746" s="5" t="s">
        <v>46</v>
      </c>
      <c r="Z1746" s="5" t="s">
        <v>47</v>
      </c>
      <c r="AA1746" s="5" t="s">
        <v>48</v>
      </c>
      <c r="AB1746" s="5" t="s">
        <v>8415</v>
      </c>
      <c r="AC1746" s="6" t="s">
        <v>67</v>
      </c>
      <c r="AD1746" s="6">
        <v>3122.0</v>
      </c>
    </row>
    <row r="1747" ht="56.25" customHeight="1">
      <c r="A1747" s="5" t="s">
        <v>8399</v>
      </c>
      <c r="B1747" s="6" t="str">
        <f>IMAGE("https://storage.googleapis.com/acdb/housewares/FtrWorkbenchS_Remake_3_0.png")</f>
        <v/>
      </c>
      <c r="C1747" s="5" t="s">
        <v>95</v>
      </c>
      <c r="D1747" s="5" t="s">
        <v>748</v>
      </c>
      <c r="E1747" s="5" t="s">
        <v>34</v>
      </c>
      <c r="F1747" s="5" t="s">
        <v>34</v>
      </c>
      <c r="G1747" s="5" t="s">
        <v>35</v>
      </c>
      <c r="H1747" s="5" t="s">
        <v>35</v>
      </c>
      <c r="I1747" s="5" t="s">
        <v>36</v>
      </c>
      <c r="J1747" s="6">
        <v>4.0</v>
      </c>
      <c r="K1747" s="6" t="s">
        <v>37</v>
      </c>
      <c r="L1747" s="6">
        <v>2580.0</v>
      </c>
      <c r="M1747" s="26" t="s">
        <v>95</v>
      </c>
      <c r="N1747" s="26" t="s">
        <v>57</v>
      </c>
      <c r="O1747" s="6" t="s">
        <v>40</v>
      </c>
      <c r="P1747" s="5" t="s">
        <v>41</v>
      </c>
      <c r="Q1747" s="5"/>
      <c r="R1747" s="6" t="s">
        <v>42</v>
      </c>
      <c r="S1747" s="5" t="s">
        <v>416</v>
      </c>
      <c r="T1747" s="5" t="s">
        <v>44</v>
      </c>
      <c r="U1747" s="5" t="s">
        <v>44</v>
      </c>
      <c r="V1747" s="5" t="s">
        <v>44</v>
      </c>
      <c r="W1747" s="5" t="s">
        <v>35</v>
      </c>
      <c r="X1747" s="8" t="s">
        <v>2261</v>
      </c>
      <c r="Y1747" s="5" t="s">
        <v>46</v>
      </c>
      <c r="Z1747" s="5" t="s">
        <v>47</v>
      </c>
      <c r="AA1747" s="5" t="s">
        <v>48</v>
      </c>
      <c r="AB1747" s="5" t="s">
        <v>8421</v>
      </c>
      <c r="AC1747" s="6" t="s">
        <v>71</v>
      </c>
      <c r="AD1747" s="6">
        <v>3122.0</v>
      </c>
    </row>
    <row r="1748" ht="56.25" customHeight="1">
      <c r="A1748" s="5" t="s">
        <v>8399</v>
      </c>
      <c r="B1748" s="6" t="str">
        <f>IMAGE("https://storage.googleapis.com/acdb/housewares/FtrWorkbenchS_Remake_4_0.png")</f>
        <v/>
      </c>
      <c r="C1748" s="5" t="s">
        <v>114</v>
      </c>
      <c r="D1748" s="5" t="s">
        <v>748</v>
      </c>
      <c r="E1748" s="5" t="s">
        <v>34</v>
      </c>
      <c r="F1748" s="5" t="s">
        <v>34</v>
      </c>
      <c r="G1748" s="5" t="s">
        <v>35</v>
      </c>
      <c r="H1748" s="5" t="s">
        <v>35</v>
      </c>
      <c r="I1748" s="5" t="s">
        <v>36</v>
      </c>
      <c r="J1748" s="6">
        <v>4.0</v>
      </c>
      <c r="K1748" s="6" t="s">
        <v>37</v>
      </c>
      <c r="L1748" s="6">
        <v>2580.0</v>
      </c>
      <c r="M1748" s="26" t="s">
        <v>114</v>
      </c>
      <c r="N1748" s="26" t="s">
        <v>57</v>
      </c>
      <c r="O1748" s="6" t="s">
        <v>40</v>
      </c>
      <c r="P1748" s="5" t="s">
        <v>41</v>
      </c>
      <c r="Q1748" s="5"/>
      <c r="R1748" s="6" t="s">
        <v>42</v>
      </c>
      <c r="S1748" s="5" t="s">
        <v>416</v>
      </c>
      <c r="T1748" s="5" t="s">
        <v>44</v>
      </c>
      <c r="U1748" s="5" t="s">
        <v>44</v>
      </c>
      <c r="V1748" s="5" t="s">
        <v>44</v>
      </c>
      <c r="W1748" s="5" t="s">
        <v>35</v>
      </c>
      <c r="X1748" s="8" t="s">
        <v>2261</v>
      </c>
      <c r="Y1748" s="5" t="s">
        <v>46</v>
      </c>
      <c r="Z1748" s="5" t="s">
        <v>47</v>
      </c>
      <c r="AA1748" s="5" t="s">
        <v>48</v>
      </c>
      <c r="AB1748" s="5" t="s">
        <v>8427</v>
      </c>
      <c r="AC1748" s="6" t="s">
        <v>75</v>
      </c>
      <c r="AD1748" s="6">
        <v>3122.0</v>
      </c>
    </row>
    <row r="1749" ht="56.25" customHeight="1">
      <c r="A1749" s="5" t="s">
        <v>8399</v>
      </c>
      <c r="B1749" s="6" t="str">
        <f>IMAGE("https://storage.googleapis.com/acdb/housewares/FtrWorkbenchS_Remake_5_0.png")</f>
        <v/>
      </c>
      <c r="C1749" s="5" t="s">
        <v>96</v>
      </c>
      <c r="D1749" s="5" t="s">
        <v>748</v>
      </c>
      <c r="E1749" s="5" t="s">
        <v>34</v>
      </c>
      <c r="F1749" s="5" t="s">
        <v>34</v>
      </c>
      <c r="G1749" s="5" t="s">
        <v>35</v>
      </c>
      <c r="H1749" s="5" t="s">
        <v>35</v>
      </c>
      <c r="I1749" s="5" t="s">
        <v>36</v>
      </c>
      <c r="J1749" s="6">
        <v>4.0</v>
      </c>
      <c r="K1749" s="6" t="s">
        <v>37</v>
      </c>
      <c r="L1749" s="6">
        <v>2580.0</v>
      </c>
      <c r="M1749" s="26" t="s">
        <v>96</v>
      </c>
      <c r="N1749" s="26" t="s">
        <v>57</v>
      </c>
      <c r="O1749" s="6" t="s">
        <v>40</v>
      </c>
      <c r="P1749" s="5" t="s">
        <v>41</v>
      </c>
      <c r="Q1749" s="5"/>
      <c r="R1749" s="6" t="s">
        <v>42</v>
      </c>
      <c r="S1749" s="5" t="s">
        <v>416</v>
      </c>
      <c r="T1749" s="5" t="s">
        <v>44</v>
      </c>
      <c r="U1749" s="5" t="s">
        <v>44</v>
      </c>
      <c r="V1749" s="5" t="s">
        <v>44</v>
      </c>
      <c r="W1749" s="5" t="s">
        <v>35</v>
      </c>
      <c r="X1749" s="8" t="s">
        <v>2261</v>
      </c>
      <c r="Y1749" s="5" t="s">
        <v>46</v>
      </c>
      <c r="Z1749" s="5" t="s">
        <v>47</v>
      </c>
      <c r="AA1749" s="5" t="s">
        <v>48</v>
      </c>
      <c r="AB1749" s="5" t="s">
        <v>8434</v>
      </c>
      <c r="AC1749" s="6" t="s">
        <v>79</v>
      </c>
      <c r="AD1749" s="6">
        <v>3122.0</v>
      </c>
    </row>
    <row r="1750" ht="56.25" customHeight="1">
      <c r="A1750" s="5" t="s">
        <v>8399</v>
      </c>
      <c r="B1750" s="6" t="str">
        <f>IMAGE("https://storage.googleapis.com/acdb/housewares/FtrWorkbenchS_Remake_6_0.png")</f>
        <v/>
      </c>
      <c r="C1750" s="5" t="s">
        <v>68</v>
      </c>
      <c r="D1750" s="5" t="s">
        <v>748</v>
      </c>
      <c r="E1750" s="5" t="s">
        <v>34</v>
      </c>
      <c r="F1750" s="5" t="s">
        <v>34</v>
      </c>
      <c r="G1750" s="5" t="s">
        <v>35</v>
      </c>
      <c r="H1750" s="5" t="s">
        <v>35</v>
      </c>
      <c r="I1750" s="5" t="s">
        <v>36</v>
      </c>
      <c r="J1750" s="6">
        <v>4.0</v>
      </c>
      <c r="K1750" s="6" t="s">
        <v>37</v>
      </c>
      <c r="L1750" s="6">
        <v>2580.0</v>
      </c>
      <c r="M1750" s="26" t="s">
        <v>68</v>
      </c>
      <c r="N1750" s="26" t="s">
        <v>57</v>
      </c>
      <c r="O1750" s="6" t="s">
        <v>40</v>
      </c>
      <c r="P1750" s="5" t="s">
        <v>41</v>
      </c>
      <c r="Q1750" s="5"/>
      <c r="R1750" s="6" t="s">
        <v>42</v>
      </c>
      <c r="S1750" s="5" t="s">
        <v>416</v>
      </c>
      <c r="T1750" s="5" t="s">
        <v>44</v>
      </c>
      <c r="U1750" s="5" t="s">
        <v>44</v>
      </c>
      <c r="V1750" s="5" t="s">
        <v>44</v>
      </c>
      <c r="W1750" s="5" t="s">
        <v>35</v>
      </c>
      <c r="X1750" s="8" t="s">
        <v>2261</v>
      </c>
      <c r="Y1750" s="5" t="s">
        <v>46</v>
      </c>
      <c r="Z1750" s="5" t="s">
        <v>47</v>
      </c>
      <c r="AA1750" s="5" t="s">
        <v>48</v>
      </c>
      <c r="AB1750" s="5" t="s">
        <v>8438</v>
      </c>
      <c r="AC1750" s="6" t="s">
        <v>86</v>
      </c>
      <c r="AD1750" s="6">
        <v>3122.0</v>
      </c>
    </row>
    <row r="1751" ht="56.25" customHeight="1">
      <c r="A1751" s="5" t="s">
        <v>8399</v>
      </c>
      <c r="B1751" s="6" t="str">
        <f>IMAGE("https://storage.googleapis.com/acdb/housewares/FtrWorkbenchS_Remake_7_0.png")</f>
        <v/>
      </c>
      <c r="C1751" s="5" t="s">
        <v>69</v>
      </c>
      <c r="D1751" s="5" t="s">
        <v>748</v>
      </c>
      <c r="E1751" s="5" t="s">
        <v>34</v>
      </c>
      <c r="F1751" s="5" t="s">
        <v>34</v>
      </c>
      <c r="G1751" s="5" t="s">
        <v>35</v>
      </c>
      <c r="H1751" s="5" t="s">
        <v>35</v>
      </c>
      <c r="I1751" s="5" t="s">
        <v>36</v>
      </c>
      <c r="J1751" s="6">
        <v>4.0</v>
      </c>
      <c r="K1751" s="6" t="s">
        <v>37</v>
      </c>
      <c r="L1751" s="6">
        <v>2580.0</v>
      </c>
      <c r="M1751" s="26" t="s">
        <v>69</v>
      </c>
      <c r="N1751" s="26" t="s">
        <v>57</v>
      </c>
      <c r="O1751" s="6" t="s">
        <v>40</v>
      </c>
      <c r="P1751" s="5" t="s">
        <v>41</v>
      </c>
      <c r="Q1751" s="5"/>
      <c r="R1751" s="6" t="s">
        <v>42</v>
      </c>
      <c r="S1751" s="5" t="s">
        <v>416</v>
      </c>
      <c r="T1751" s="5" t="s">
        <v>44</v>
      </c>
      <c r="U1751" s="5" t="s">
        <v>44</v>
      </c>
      <c r="V1751" s="5" t="s">
        <v>44</v>
      </c>
      <c r="W1751" s="5" t="s">
        <v>35</v>
      </c>
      <c r="X1751" s="8" t="s">
        <v>2261</v>
      </c>
      <c r="Y1751" s="5" t="s">
        <v>46</v>
      </c>
      <c r="Z1751" s="5" t="s">
        <v>47</v>
      </c>
      <c r="AA1751" s="5" t="s">
        <v>48</v>
      </c>
      <c r="AB1751" s="5" t="s">
        <v>8443</v>
      </c>
      <c r="AC1751" s="6" t="s">
        <v>208</v>
      </c>
      <c r="AD1751" s="6">
        <v>3122.0</v>
      </c>
    </row>
    <row r="1752" ht="56.25" customHeight="1">
      <c r="A1752" s="5" t="s">
        <v>8444</v>
      </c>
      <c r="B1752" s="6" t="str">
        <f>IMAGE("https://storage.googleapis.com/acdb/housewares/FtrRefrigeratorMini_Remake_0_0.png")</f>
        <v/>
      </c>
      <c r="C1752" s="5" t="s">
        <v>57</v>
      </c>
      <c r="D1752" s="5" t="s">
        <v>34</v>
      </c>
      <c r="E1752" s="5" t="s">
        <v>34</v>
      </c>
      <c r="F1752" s="5" t="s">
        <v>34</v>
      </c>
      <c r="G1752" s="5" t="s">
        <v>36</v>
      </c>
      <c r="H1752" s="5" t="s">
        <v>36</v>
      </c>
      <c r="I1752" s="5" t="s">
        <v>36</v>
      </c>
      <c r="J1752" s="6" t="s">
        <v>34</v>
      </c>
      <c r="K1752" s="6">
        <v>1300.0</v>
      </c>
      <c r="L1752" s="6">
        <v>325.0</v>
      </c>
      <c r="M1752" s="26" t="s">
        <v>57</v>
      </c>
      <c r="N1752" s="26" t="s">
        <v>57</v>
      </c>
      <c r="O1752" s="6" t="s">
        <v>40</v>
      </c>
      <c r="P1752" s="5" t="s">
        <v>59</v>
      </c>
      <c r="Q1752" s="5" t="s">
        <v>122</v>
      </c>
      <c r="R1752" s="6" t="s">
        <v>42</v>
      </c>
      <c r="S1752" s="5" t="s">
        <v>141</v>
      </c>
      <c r="T1752" s="5" t="s">
        <v>44</v>
      </c>
      <c r="U1752" s="5" t="s">
        <v>44</v>
      </c>
      <c r="V1752" s="5" t="s">
        <v>44</v>
      </c>
      <c r="W1752" s="5" t="s">
        <v>35</v>
      </c>
      <c r="X1752" s="8" t="s">
        <v>182</v>
      </c>
      <c r="Y1752" s="5" t="s">
        <v>46</v>
      </c>
      <c r="Z1752" s="5" t="s">
        <v>47</v>
      </c>
      <c r="AA1752" s="5" t="s">
        <v>64</v>
      </c>
      <c r="AB1752" s="5" t="s">
        <v>8449</v>
      </c>
      <c r="AC1752" s="6" t="s">
        <v>50</v>
      </c>
      <c r="AD1752" s="6">
        <v>9766.0</v>
      </c>
    </row>
    <row r="1753" ht="56.25" customHeight="1">
      <c r="A1753" s="5" t="s">
        <v>8444</v>
      </c>
      <c r="B1753" s="6" t="str">
        <f>IMAGE("https://storage.googleapis.com/acdb/housewares/FtrRefrigeratorMini_Remake_1_0.png")</f>
        <v/>
      </c>
      <c r="C1753" s="5" t="s">
        <v>52</v>
      </c>
      <c r="D1753" s="5" t="s">
        <v>34</v>
      </c>
      <c r="E1753" s="5" t="s">
        <v>34</v>
      </c>
      <c r="F1753" s="5" t="s">
        <v>34</v>
      </c>
      <c r="G1753" s="5" t="s">
        <v>36</v>
      </c>
      <c r="H1753" s="5" t="s">
        <v>36</v>
      </c>
      <c r="I1753" s="5" t="s">
        <v>36</v>
      </c>
      <c r="J1753" s="6" t="s">
        <v>34</v>
      </c>
      <c r="K1753" s="6">
        <v>1300.0</v>
      </c>
      <c r="L1753" s="6">
        <v>325.0</v>
      </c>
      <c r="M1753" s="26" t="s">
        <v>52</v>
      </c>
      <c r="N1753" s="26" t="s">
        <v>52</v>
      </c>
      <c r="O1753" s="6" t="s">
        <v>40</v>
      </c>
      <c r="P1753" s="5" t="s">
        <v>59</v>
      </c>
      <c r="Q1753" s="5" t="s">
        <v>122</v>
      </c>
      <c r="R1753" s="6" t="s">
        <v>42</v>
      </c>
      <c r="S1753" s="5" t="s">
        <v>141</v>
      </c>
      <c r="T1753" s="5" t="s">
        <v>44</v>
      </c>
      <c r="U1753" s="5" t="s">
        <v>44</v>
      </c>
      <c r="V1753" s="5" t="s">
        <v>44</v>
      </c>
      <c r="W1753" s="5" t="s">
        <v>35</v>
      </c>
      <c r="X1753" s="8" t="s">
        <v>182</v>
      </c>
      <c r="Y1753" s="5" t="s">
        <v>46</v>
      </c>
      <c r="Z1753" s="5" t="s">
        <v>47</v>
      </c>
      <c r="AA1753" s="5" t="s">
        <v>64</v>
      </c>
      <c r="AB1753" s="5" t="s">
        <v>8454</v>
      </c>
      <c r="AC1753" s="6" t="s">
        <v>56</v>
      </c>
      <c r="AD1753" s="6">
        <v>9766.0</v>
      </c>
    </row>
    <row r="1754" ht="56.25" customHeight="1">
      <c r="A1754" s="5" t="s">
        <v>8444</v>
      </c>
      <c r="B1754" s="6" t="str">
        <f>IMAGE("https://storage.googleapis.com/acdb/housewares/FtrRefrigeratorMini_Remake_2_0.png")</f>
        <v/>
      </c>
      <c r="C1754" s="5" t="s">
        <v>69</v>
      </c>
      <c r="D1754" s="5" t="s">
        <v>34</v>
      </c>
      <c r="E1754" s="5" t="s">
        <v>34</v>
      </c>
      <c r="F1754" s="5" t="s">
        <v>34</v>
      </c>
      <c r="G1754" s="5" t="s">
        <v>36</v>
      </c>
      <c r="H1754" s="5" t="s">
        <v>36</v>
      </c>
      <c r="I1754" s="5" t="s">
        <v>36</v>
      </c>
      <c r="J1754" s="6" t="s">
        <v>34</v>
      </c>
      <c r="K1754" s="6">
        <v>1300.0</v>
      </c>
      <c r="L1754" s="6">
        <v>325.0</v>
      </c>
      <c r="M1754" s="26" t="s">
        <v>69</v>
      </c>
      <c r="N1754" s="26" t="s">
        <v>69</v>
      </c>
      <c r="O1754" s="6" t="s">
        <v>40</v>
      </c>
      <c r="P1754" s="5" t="s">
        <v>59</v>
      </c>
      <c r="Q1754" s="5" t="s">
        <v>122</v>
      </c>
      <c r="R1754" s="6" t="s">
        <v>42</v>
      </c>
      <c r="S1754" s="5" t="s">
        <v>141</v>
      </c>
      <c r="T1754" s="5" t="s">
        <v>44</v>
      </c>
      <c r="U1754" s="5" t="s">
        <v>44</v>
      </c>
      <c r="V1754" s="5" t="s">
        <v>44</v>
      </c>
      <c r="W1754" s="5" t="s">
        <v>35</v>
      </c>
      <c r="X1754" s="8" t="s">
        <v>182</v>
      </c>
      <c r="Y1754" s="5" t="s">
        <v>46</v>
      </c>
      <c r="Z1754" s="5" t="s">
        <v>47</v>
      </c>
      <c r="AA1754" s="5" t="s">
        <v>64</v>
      </c>
      <c r="AB1754" s="5" t="s">
        <v>8458</v>
      </c>
      <c r="AC1754" s="6" t="s">
        <v>67</v>
      </c>
      <c r="AD1754" s="6">
        <v>9766.0</v>
      </c>
    </row>
    <row r="1755" ht="56.25" customHeight="1">
      <c r="A1755" s="5" t="s">
        <v>8444</v>
      </c>
      <c r="B1755" s="6" t="str">
        <f>IMAGE("https://storage.googleapis.com/acdb/housewares/FtrRefrigeratorMini_Remake_3_0.png")</f>
        <v/>
      </c>
      <c r="C1755" s="5" t="s">
        <v>114</v>
      </c>
      <c r="D1755" s="5" t="s">
        <v>34</v>
      </c>
      <c r="E1755" s="5" t="s">
        <v>34</v>
      </c>
      <c r="F1755" s="5" t="s">
        <v>34</v>
      </c>
      <c r="G1755" s="5" t="s">
        <v>36</v>
      </c>
      <c r="H1755" s="5" t="s">
        <v>36</v>
      </c>
      <c r="I1755" s="5" t="s">
        <v>36</v>
      </c>
      <c r="J1755" s="6" t="s">
        <v>34</v>
      </c>
      <c r="K1755" s="6">
        <v>1300.0</v>
      </c>
      <c r="L1755" s="6">
        <v>325.0</v>
      </c>
      <c r="M1755" s="26" t="s">
        <v>114</v>
      </c>
      <c r="N1755" s="26" t="s">
        <v>114</v>
      </c>
      <c r="O1755" s="6" t="s">
        <v>40</v>
      </c>
      <c r="P1755" s="5" t="s">
        <v>59</v>
      </c>
      <c r="Q1755" s="5" t="s">
        <v>122</v>
      </c>
      <c r="R1755" s="6" t="s">
        <v>42</v>
      </c>
      <c r="S1755" s="5" t="s">
        <v>141</v>
      </c>
      <c r="T1755" s="5" t="s">
        <v>44</v>
      </c>
      <c r="U1755" s="5" t="s">
        <v>44</v>
      </c>
      <c r="V1755" s="5" t="s">
        <v>44</v>
      </c>
      <c r="W1755" s="5" t="s">
        <v>35</v>
      </c>
      <c r="X1755" s="8" t="s">
        <v>182</v>
      </c>
      <c r="Y1755" s="5" t="s">
        <v>46</v>
      </c>
      <c r="Z1755" s="5" t="s">
        <v>47</v>
      </c>
      <c r="AA1755" s="5" t="s">
        <v>64</v>
      </c>
      <c r="AB1755" s="5" t="s">
        <v>8462</v>
      </c>
      <c r="AC1755" s="6" t="s">
        <v>71</v>
      </c>
      <c r="AD1755" s="6">
        <v>9766.0</v>
      </c>
    </row>
    <row r="1756" ht="56.25" customHeight="1">
      <c r="A1756" s="5" t="s">
        <v>8444</v>
      </c>
      <c r="B1756" s="6" t="str">
        <f>IMAGE("https://storage.googleapis.com/acdb/housewares/FtrRefrigeratorMini_Remake_4_0.png")</f>
        <v/>
      </c>
      <c r="C1756" s="5" t="s">
        <v>68</v>
      </c>
      <c r="D1756" s="5" t="s">
        <v>34</v>
      </c>
      <c r="E1756" s="5" t="s">
        <v>34</v>
      </c>
      <c r="F1756" s="5" t="s">
        <v>34</v>
      </c>
      <c r="G1756" s="5" t="s">
        <v>36</v>
      </c>
      <c r="H1756" s="5" t="s">
        <v>36</v>
      </c>
      <c r="I1756" s="5" t="s">
        <v>36</v>
      </c>
      <c r="J1756" s="6" t="s">
        <v>34</v>
      </c>
      <c r="K1756" s="6">
        <v>1300.0</v>
      </c>
      <c r="L1756" s="6">
        <v>325.0</v>
      </c>
      <c r="M1756" s="26" t="s">
        <v>68</v>
      </c>
      <c r="N1756" s="26" t="s">
        <v>68</v>
      </c>
      <c r="O1756" s="6" t="s">
        <v>40</v>
      </c>
      <c r="P1756" s="5" t="s">
        <v>59</v>
      </c>
      <c r="Q1756" s="5" t="s">
        <v>122</v>
      </c>
      <c r="R1756" s="6" t="s">
        <v>42</v>
      </c>
      <c r="S1756" s="5" t="s">
        <v>141</v>
      </c>
      <c r="T1756" s="5" t="s">
        <v>44</v>
      </c>
      <c r="U1756" s="5" t="s">
        <v>44</v>
      </c>
      <c r="V1756" s="5" t="s">
        <v>44</v>
      </c>
      <c r="W1756" s="5" t="s">
        <v>35</v>
      </c>
      <c r="X1756" s="8" t="s">
        <v>182</v>
      </c>
      <c r="Y1756" s="5" t="s">
        <v>46</v>
      </c>
      <c r="Z1756" s="5" t="s">
        <v>47</v>
      </c>
      <c r="AA1756" s="5" t="s">
        <v>64</v>
      </c>
      <c r="AB1756" s="5" t="s">
        <v>8466</v>
      </c>
      <c r="AC1756" s="6" t="s">
        <v>75</v>
      </c>
      <c r="AD1756" s="6">
        <v>9766.0</v>
      </c>
    </row>
    <row r="1757" ht="56.25" customHeight="1">
      <c r="A1757" s="5" t="s">
        <v>8444</v>
      </c>
      <c r="B1757" s="6" t="str">
        <f>IMAGE("https://storage.googleapis.com/acdb/housewares/FtrRefrigeratorMini_Remake_5_0.png")</f>
        <v/>
      </c>
      <c r="C1757" s="5" t="s">
        <v>2321</v>
      </c>
      <c r="D1757" s="5" t="s">
        <v>34</v>
      </c>
      <c r="E1757" s="5" t="s">
        <v>34</v>
      </c>
      <c r="F1757" s="5" t="s">
        <v>34</v>
      </c>
      <c r="G1757" s="5" t="s">
        <v>36</v>
      </c>
      <c r="H1757" s="5" t="s">
        <v>36</v>
      </c>
      <c r="I1757" s="5" t="s">
        <v>36</v>
      </c>
      <c r="J1757" s="6" t="s">
        <v>34</v>
      </c>
      <c r="K1757" s="6">
        <v>1300.0</v>
      </c>
      <c r="L1757" s="6">
        <v>325.0</v>
      </c>
      <c r="M1757" s="26" t="s">
        <v>39</v>
      </c>
      <c r="N1757" s="26" t="s">
        <v>39</v>
      </c>
      <c r="O1757" s="6" t="s">
        <v>40</v>
      </c>
      <c r="P1757" s="5" t="s">
        <v>59</v>
      </c>
      <c r="Q1757" s="5" t="s">
        <v>122</v>
      </c>
      <c r="R1757" s="6" t="s">
        <v>42</v>
      </c>
      <c r="S1757" s="5" t="s">
        <v>141</v>
      </c>
      <c r="T1757" s="5" t="s">
        <v>44</v>
      </c>
      <c r="U1757" s="5" t="s">
        <v>44</v>
      </c>
      <c r="V1757" s="5" t="s">
        <v>44</v>
      </c>
      <c r="W1757" s="5" t="s">
        <v>35</v>
      </c>
      <c r="X1757" s="8" t="s">
        <v>182</v>
      </c>
      <c r="Y1757" s="5" t="s">
        <v>46</v>
      </c>
      <c r="Z1757" s="5" t="s">
        <v>47</v>
      </c>
      <c r="AA1757" s="5" t="s">
        <v>64</v>
      </c>
      <c r="AB1757" s="5" t="s">
        <v>8469</v>
      </c>
      <c r="AC1757" s="6" t="s">
        <v>79</v>
      </c>
      <c r="AD1757" s="6">
        <v>9766.0</v>
      </c>
    </row>
    <row r="1758" ht="56.25" customHeight="1">
      <c r="A1758" s="5" t="s">
        <v>8444</v>
      </c>
      <c r="B1758" s="6" t="str">
        <f>IMAGE("https://storage.googleapis.com/acdb/housewares/FtrRefrigeratorMini_Remake_6_0.png")</f>
        <v/>
      </c>
      <c r="C1758" s="5" t="s">
        <v>54</v>
      </c>
      <c r="D1758" s="5" t="s">
        <v>34</v>
      </c>
      <c r="E1758" s="5" t="s">
        <v>34</v>
      </c>
      <c r="F1758" s="5" t="s">
        <v>34</v>
      </c>
      <c r="G1758" s="5" t="s">
        <v>36</v>
      </c>
      <c r="H1758" s="5" t="s">
        <v>36</v>
      </c>
      <c r="I1758" s="5" t="s">
        <v>36</v>
      </c>
      <c r="J1758" s="6" t="s">
        <v>34</v>
      </c>
      <c r="K1758" s="6">
        <v>1300.0</v>
      </c>
      <c r="L1758" s="6">
        <v>325.0</v>
      </c>
      <c r="M1758" s="26" t="s">
        <v>54</v>
      </c>
      <c r="N1758" s="26" t="s">
        <v>54</v>
      </c>
      <c r="O1758" s="6" t="s">
        <v>40</v>
      </c>
      <c r="P1758" s="5" t="s">
        <v>59</v>
      </c>
      <c r="Q1758" s="5" t="s">
        <v>122</v>
      </c>
      <c r="R1758" s="6" t="s">
        <v>42</v>
      </c>
      <c r="S1758" s="5" t="s">
        <v>141</v>
      </c>
      <c r="T1758" s="5" t="s">
        <v>44</v>
      </c>
      <c r="U1758" s="5" t="s">
        <v>44</v>
      </c>
      <c r="V1758" s="5" t="s">
        <v>44</v>
      </c>
      <c r="W1758" s="5" t="s">
        <v>35</v>
      </c>
      <c r="X1758" s="8" t="s">
        <v>182</v>
      </c>
      <c r="Y1758" s="5" t="s">
        <v>46</v>
      </c>
      <c r="Z1758" s="5" t="s">
        <v>47</v>
      </c>
      <c r="AA1758" s="5" t="s">
        <v>64</v>
      </c>
      <c r="AB1758" s="5" t="s">
        <v>8473</v>
      </c>
      <c r="AC1758" s="6" t="s">
        <v>86</v>
      </c>
      <c r="AD1758" s="6">
        <v>9766.0</v>
      </c>
    </row>
    <row r="1759" ht="56.25" customHeight="1">
      <c r="A1759" s="5" t="s">
        <v>8444</v>
      </c>
      <c r="B1759" s="6" t="str">
        <f>IMAGE("https://storage.googleapis.com/acdb/housewares/FtrRefrigeratorMini_Remake_7_0.png")</f>
        <v/>
      </c>
      <c r="C1759" s="5" t="s">
        <v>95</v>
      </c>
      <c r="D1759" s="5" t="s">
        <v>34</v>
      </c>
      <c r="E1759" s="5" t="s">
        <v>34</v>
      </c>
      <c r="F1759" s="5" t="s">
        <v>34</v>
      </c>
      <c r="G1759" s="5" t="s">
        <v>36</v>
      </c>
      <c r="H1759" s="5" t="s">
        <v>36</v>
      </c>
      <c r="I1759" s="5" t="s">
        <v>36</v>
      </c>
      <c r="J1759" s="6" t="s">
        <v>34</v>
      </c>
      <c r="K1759" s="6">
        <v>1300.0</v>
      </c>
      <c r="L1759" s="6">
        <v>325.0</v>
      </c>
      <c r="M1759" s="26" t="s">
        <v>95</v>
      </c>
      <c r="N1759" s="26" t="s">
        <v>95</v>
      </c>
      <c r="O1759" s="6" t="s">
        <v>40</v>
      </c>
      <c r="P1759" s="5" t="s">
        <v>59</v>
      </c>
      <c r="Q1759" s="5" t="s">
        <v>122</v>
      </c>
      <c r="R1759" s="6" t="s">
        <v>42</v>
      </c>
      <c r="S1759" s="5" t="s">
        <v>141</v>
      </c>
      <c r="T1759" s="5" t="s">
        <v>44</v>
      </c>
      <c r="U1759" s="5" t="s">
        <v>44</v>
      </c>
      <c r="V1759" s="5" t="s">
        <v>44</v>
      </c>
      <c r="W1759" s="5" t="s">
        <v>35</v>
      </c>
      <c r="X1759" s="8" t="s">
        <v>182</v>
      </c>
      <c r="Y1759" s="5" t="s">
        <v>46</v>
      </c>
      <c r="Z1759" s="5" t="s">
        <v>47</v>
      </c>
      <c r="AA1759" s="5" t="s">
        <v>64</v>
      </c>
      <c r="AB1759" s="5" t="s">
        <v>8478</v>
      </c>
      <c r="AC1759" s="6" t="s">
        <v>208</v>
      </c>
      <c r="AD1759" s="6">
        <v>9766.0</v>
      </c>
    </row>
    <row r="1760" ht="56.25" customHeight="1">
      <c r="A1760" s="5" t="s">
        <v>8480</v>
      </c>
      <c r="B1760" s="6" t="str">
        <f>IMAGE("https://storage.googleapis.com/acdb/housewares/FtrMoai.png")</f>
        <v/>
      </c>
      <c r="C1760" s="5" t="s">
        <v>34</v>
      </c>
      <c r="D1760" s="5" t="s">
        <v>34</v>
      </c>
      <c r="E1760" s="5" t="s">
        <v>34</v>
      </c>
      <c r="F1760" s="5" t="s">
        <v>34</v>
      </c>
      <c r="G1760" s="5" t="s">
        <v>36</v>
      </c>
      <c r="H1760" s="5" t="s">
        <v>36</v>
      </c>
      <c r="I1760" s="5" t="s">
        <v>36</v>
      </c>
      <c r="J1760" s="6" t="s">
        <v>34</v>
      </c>
      <c r="K1760" s="6" t="s">
        <v>37</v>
      </c>
      <c r="L1760" s="6">
        <v>1900.0</v>
      </c>
      <c r="M1760" s="5" t="s">
        <v>95</v>
      </c>
      <c r="N1760" s="5" t="s">
        <v>95</v>
      </c>
      <c r="O1760" s="6" t="s">
        <v>214</v>
      </c>
      <c r="P1760" s="5" t="s">
        <v>1284</v>
      </c>
      <c r="Q1760" s="5"/>
      <c r="R1760" s="6" t="s">
        <v>42</v>
      </c>
      <c r="S1760" s="5" t="s">
        <v>696</v>
      </c>
      <c r="T1760" s="5" t="s">
        <v>44</v>
      </c>
      <c r="U1760" s="5" t="s">
        <v>44</v>
      </c>
      <c r="V1760" s="5" t="s">
        <v>44</v>
      </c>
      <c r="W1760" s="5" t="s">
        <v>36</v>
      </c>
      <c r="X1760" s="8" t="s">
        <v>1285</v>
      </c>
      <c r="Y1760" s="5" t="s">
        <v>46</v>
      </c>
      <c r="Z1760" s="5" t="s">
        <v>47</v>
      </c>
      <c r="AA1760" s="5" t="s">
        <v>48</v>
      </c>
      <c r="AB1760" s="5" t="s">
        <v>8483</v>
      </c>
      <c r="AC1760" s="6" t="s">
        <v>34</v>
      </c>
      <c r="AD1760" s="6">
        <v>698.0</v>
      </c>
    </row>
    <row r="1761" ht="56.25" customHeight="1">
      <c r="A1761" s="5" t="s">
        <v>8484</v>
      </c>
      <c r="B1761" s="6" t="str">
        <f>IMAGE("https://storage.googleapis.com/acdb/housewares/FtrOfficeChair_Remake_0_0.png")</f>
        <v/>
      </c>
      <c r="C1761" s="5" t="s">
        <v>68</v>
      </c>
      <c r="D1761" s="5" t="s">
        <v>34</v>
      </c>
      <c r="E1761" s="5" t="s">
        <v>34</v>
      </c>
      <c r="F1761" s="5" t="s">
        <v>34</v>
      </c>
      <c r="G1761" s="5" t="s">
        <v>36</v>
      </c>
      <c r="H1761" s="5" t="s">
        <v>36</v>
      </c>
      <c r="I1761" s="5" t="s">
        <v>36</v>
      </c>
      <c r="J1761" s="6" t="s">
        <v>34</v>
      </c>
      <c r="K1761" s="6">
        <v>2200.0</v>
      </c>
      <c r="L1761" s="6">
        <v>550.0</v>
      </c>
      <c r="M1761" s="26" t="s">
        <v>68</v>
      </c>
      <c r="N1761" s="26" t="s">
        <v>54</v>
      </c>
      <c r="O1761" s="6" t="s">
        <v>40</v>
      </c>
      <c r="P1761" s="5" t="s">
        <v>59</v>
      </c>
      <c r="Q1761" s="5" t="s">
        <v>122</v>
      </c>
      <c r="R1761" s="6" t="s">
        <v>42</v>
      </c>
      <c r="S1761" s="5" t="s">
        <v>91</v>
      </c>
      <c r="T1761" s="5" t="s">
        <v>44</v>
      </c>
      <c r="U1761" s="5" t="s">
        <v>44</v>
      </c>
      <c r="V1761" s="5" t="s">
        <v>91</v>
      </c>
      <c r="W1761" s="5" t="s">
        <v>35</v>
      </c>
      <c r="X1761" s="8" t="s">
        <v>248</v>
      </c>
      <c r="Y1761" s="5" t="s">
        <v>46</v>
      </c>
      <c r="Z1761" s="5" t="s">
        <v>47</v>
      </c>
      <c r="AA1761" s="5" t="s">
        <v>64</v>
      </c>
      <c r="AB1761" s="5" t="s">
        <v>8487</v>
      </c>
      <c r="AC1761" s="6" t="s">
        <v>50</v>
      </c>
      <c r="AD1761" s="6">
        <v>832.0</v>
      </c>
    </row>
    <row r="1762" ht="56.25" customHeight="1">
      <c r="A1762" s="5" t="s">
        <v>8484</v>
      </c>
      <c r="B1762" s="6" t="str">
        <f>IMAGE("https://storage.googleapis.com/acdb/housewares/FtrOfficeChair_Remake_1_0.png")</f>
        <v/>
      </c>
      <c r="C1762" s="5" t="s">
        <v>96</v>
      </c>
      <c r="D1762" s="5" t="s">
        <v>34</v>
      </c>
      <c r="E1762" s="5" t="s">
        <v>34</v>
      </c>
      <c r="F1762" s="5" t="s">
        <v>34</v>
      </c>
      <c r="G1762" s="5" t="s">
        <v>36</v>
      </c>
      <c r="H1762" s="5" t="s">
        <v>36</v>
      </c>
      <c r="I1762" s="5" t="s">
        <v>36</v>
      </c>
      <c r="J1762" s="6" t="s">
        <v>34</v>
      </c>
      <c r="K1762" s="6">
        <v>2200.0</v>
      </c>
      <c r="L1762" s="6">
        <v>550.0</v>
      </c>
      <c r="M1762" s="26" t="s">
        <v>96</v>
      </c>
      <c r="N1762" s="26" t="s">
        <v>54</v>
      </c>
      <c r="O1762" s="6" t="s">
        <v>40</v>
      </c>
      <c r="P1762" s="5" t="s">
        <v>59</v>
      </c>
      <c r="Q1762" s="5" t="s">
        <v>122</v>
      </c>
      <c r="R1762" s="6" t="s">
        <v>42</v>
      </c>
      <c r="S1762" s="5" t="s">
        <v>91</v>
      </c>
      <c r="T1762" s="5" t="s">
        <v>44</v>
      </c>
      <c r="U1762" s="5" t="s">
        <v>44</v>
      </c>
      <c r="V1762" s="5" t="s">
        <v>91</v>
      </c>
      <c r="W1762" s="5" t="s">
        <v>35</v>
      </c>
      <c r="X1762" s="8" t="s">
        <v>248</v>
      </c>
      <c r="Y1762" s="5" t="s">
        <v>46</v>
      </c>
      <c r="Z1762" s="5" t="s">
        <v>47</v>
      </c>
      <c r="AA1762" s="5" t="s">
        <v>64</v>
      </c>
      <c r="AB1762" s="5" t="s">
        <v>8492</v>
      </c>
      <c r="AC1762" s="6" t="s">
        <v>56</v>
      </c>
      <c r="AD1762" s="6">
        <v>832.0</v>
      </c>
    </row>
    <row r="1763" ht="56.25" customHeight="1">
      <c r="A1763" s="5" t="s">
        <v>8484</v>
      </c>
      <c r="B1763" s="6" t="str">
        <f>IMAGE("https://storage.googleapis.com/acdb/housewares/FtrOfficeChair_Remake_2_0.png")</f>
        <v/>
      </c>
      <c r="C1763" s="5" t="s">
        <v>114</v>
      </c>
      <c r="D1763" s="5" t="s">
        <v>34</v>
      </c>
      <c r="E1763" s="5" t="s">
        <v>34</v>
      </c>
      <c r="F1763" s="5" t="s">
        <v>34</v>
      </c>
      <c r="G1763" s="5" t="s">
        <v>36</v>
      </c>
      <c r="H1763" s="5" t="s">
        <v>36</v>
      </c>
      <c r="I1763" s="5" t="s">
        <v>36</v>
      </c>
      <c r="J1763" s="6" t="s">
        <v>34</v>
      </c>
      <c r="K1763" s="6">
        <v>2200.0</v>
      </c>
      <c r="L1763" s="6">
        <v>550.0</v>
      </c>
      <c r="M1763" s="26" t="s">
        <v>114</v>
      </c>
      <c r="N1763" s="26" t="s">
        <v>54</v>
      </c>
      <c r="O1763" s="6" t="s">
        <v>40</v>
      </c>
      <c r="P1763" s="5" t="s">
        <v>59</v>
      </c>
      <c r="Q1763" s="5" t="s">
        <v>122</v>
      </c>
      <c r="R1763" s="6" t="s">
        <v>42</v>
      </c>
      <c r="S1763" s="5" t="s">
        <v>91</v>
      </c>
      <c r="T1763" s="5" t="s">
        <v>44</v>
      </c>
      <c r="U1763" s="5" t="s">
        <v>44</v>
      </c>
      <c r="V1763" s="5" t="s">
        <v>91</v>
      </c>
      <c r="W1763" s="5" t="s">
        <v>35</v>
      </c>
      <c r="X1763" s="8" t="s">
        <v>248</v>
      </c>
      <c r="Y1763" s="5" t="s">
        <v>46</v>
      </c>
      <c r="Z1763" s="5" t="s">
        <v>47</v>
      </c>
      <c r="AA1763" s="5" t="s">
        <v>64</v>
      </c>
      <c r="AB1763" s="5" t="s">
        <v>8497</v>
      </c>
      <c r="AC1763" s="6" t="s">
        <v>67</v>
      </c>
      <c r="AD1763" s="6">
        <v>832.0</v>
      </c>
    </row>
    <row r="1764" ht="56.25" customHeight="1">
      <c r="A1764" s="5" t="s">
        <v>8484</v>
      </c>
      <c r="B1764" s="6" t="str">
        <f>IMAGE("https://storage.googleapis.com/acdb/housewares/FtrOfficeChair_Remake_3_0.png")</f>
        <v/>
      </c>
      <c r="C1764" s="5" t="s">
        <v>52</v>
      </c>
      <c r="D1764" s="5" t="s">
        <v>34</v>
      </c>
      <c r="E1764" s="5" t="s">
        <v>34</v>
      </c>
      <c r="F1764" s="5" t="s">
        <v>34</v>
      </c>
      <c r="G1764" s="5" t="s">
        <v>36</v>
      </c>
      <c r="H1764" s="5" t="s">
        <v>36</v>
      </c>
      <c r="I1764" s="5" t="s">
        <v>36</v>
      </c>
      <c r="J1764" s="6" t="s">
        <v>34</v>
      </c>
      <c r="K1764" s="6">
        <v>2200.0</v>
      </c>
      <c r="L1764" s="6">
        <v>550.0</v>
      </c>
      <c r="M1764" s="26" t="s">
        <v>52</v>
      </c>
      <c r="N1764" s="26" t="s">
        <v>54</v>
      </c>
      <c r="O1764" s="6" t="s">
        <v>40</v>
      </c>
      <c r="P1764" s="5" t="s">
        <v>59</v>
      </c>
      <c r="Q1764" s="5" t="s">
        <v>122</v>
      </c>
      <c r="R1764" s="6" t="s">
        <v>42</v>
      </c>
      <c r="S1764" s="5" t="s">
        <v>91</v>
      </c>
      <c r="T1764" s="5" t="s">
        <v>44</v>
      </c>
      <c r="U1764" s="5" t="s">
        <v>44</v>
      </c>
      <c r="V1764" s="5" t="s">
        <v>91</v>
      </c>
      <c r="W1764" s="5" t="s">
        <v>35</v>
      </c>
      <c r="X1764" s="8" t="s">
        <v>248</v>
      </c>
      <c r="Y1764" s="5" t="s">
        <v>46</v>
      </c>
      <c r="Z1764" s="5" t="s">
        <v>47</v>
      </c>
      <c r="AA1764" s="5" t="s">
        <v>64</v>
      </c>
      <c r="AB1764" s="5" t="s">
        <v>8502</v>
      </c>
      <c r="AC1764" s="6" t="s">
        <v>71</v>
      </c>
      <c r="AD1764" s="6">
        <v>832.0</v>
      </c>
    </row>
    <row r="1765" ht="56.25" customHeight="1">
      <c r="A1765" s="5" t="s">
        <v>8484</v>
      </c>
      <c r="B1765" s="6" t="str">
        <f>IMAGE("https://storage.googleapis.com/acdb/housewares/FtrOfficeChair_Remake_4_0.png")</f>
        <v/>
      </c>
      <c r="C1765" s="5" t="s">
        <v>83</v>
      </c>
      <c r="D1765" s="5" t="s">
        <v>34</v>
      </c>
      <c r="E1765" s="5" t="s">
        <v>34</v>
      </c>
      <c r="F1765" s="5" t="s">
        <v>34</v>
      </c>
      <c r="G1765" s="5" t="s">
        <v>36</v>
      </c>
      <c r="H1765" s="5" t="s">
        <v>36</v>
      </c>
      <c r="I1765" s="5" t="s">
        <v>36</v>
      </c>
      <c r="J1765" s="6" t="s">
        <v>34</v>
      </c>
      <c r="K1765" s="6">
        <v>2200.0</v>
      </c>
      <c r="L1765" s="6">
        <v>550.0</v>
      </c>
      <c r="M1765" s="26" t="s">
        <v>1175</v>
      </c>
      <c r="N1765" s="26" t="s">
        <v>95</v>
      </c>
      <c r="O1765" s="6" t="s">
        <v>40</v>
      </c>
      <c r="P1765" s="5" t="s">
        <v>59</v>
      </c>
      <c r="Q1765" s="5" t="s">
        <v>122</v>
      </c>
      <c r="R1765" s="6" t="s">
        <v>42</v>
      </c>
      <c r="S1765" s="5" t="s">
        <v>91</v>
      </c>
      <c r="T1765" s="5" t="s">
        <v>44</v>
      </c>
      <c r="U1765" s="5" t="s">
        <v>44</v>
      </c>
      <c r="V1765" s="5" t="s">
        <v>91</v>
      </c>
      <c r="W1765" s="5" t="s">
        <v>35</v>
      </c>
      <c r="X1765" s="8" t="s">
        <v>248</v>
      </c>
      <c r="Y1765" s="5" t="s">
        <v>46</v>
      </c>
      <c r="Z1765" s="5" t="s">
        <v>47</v>
      </c>
      <c r="AA1765" s="5" t="s">
        <v>64</v>
      </c>
      <c r="AB1765" s="5" t="s">
        <v>8509</v>
      </c>
      <c r="AC1765" s="6" t="s">
        <v>75</v>
      </c>
      <c r="AD1765" s="6">
        <v>832.0</v>
      </c>
    </row>
    <row r="1766" ht="56.25" customHeight="1">
      <c r="A1766" s="5" t="s">
        <v>8484</v>
      </c>
      <c r="B1766" s="6" t="str">
        <f>IMAGE("https://storage.googleapis.com/acdb/housewares/FtrOfficeChair_Remake_5_0.png")</f>
        <v/>
      </c>
      <c r="C1766" s="5" t="s">
        <v>69</v>
      </c>
      <c r="D1766" s="5" t="s">
        <v>34</v>
      </c>
      <c r="E1766" s="5" t="s">
        <v>34</v>
      </c>
      <c r="F1766" s="5" t="s">
        <v>34</v>
      </c>
      <c r="G1766" s="5" t="s">
        <v>36</v>
      </c>
      <c r="H1766" s="5" t="s">
        <v>36</v>
      </c>
      <c r="I1766" s="5" t="s">
        <v>36</v>
      </c>
      <c r="J1766" s="6" t="s">
        <v>34</v>
      </c>
      <c r="K1766" s="6">
        <v>2200.0</v>
      </c>
      <c r="L1766" s="6">
        <v>550.0</v>
      </c>
      <c r="M1766" s="26" t="s">
        <v>69</v>
      </c>
      <c r="N1766" s="26" t="s">
        <v>95</v>
      </c>
      <c r="O1766" s="6" t="s">
        <v>40</v>
      </c>
      <c r="P1766" s="5" t="s">
        <v>59</v>
      </c>
      <c r="Q1766" s="5" t="s">
        <v>122</v>
      </c>
      <c r="R1766" s="6" t="s">
        <v>42</v>
      </c>
      <c r="S1766" s="5" t="s">
        <v>91</v>
      </c>
      <c r="T1766" s="5" t="s">
        <v>44</v>
      </c>
      <c r="U1766" s="5" t="s">
        <v>44</v>
      </c>
      <c r="V1766" s="5" t="s">
        <v>91</v>
      </c>
      <c r="W1766" s="5" t="s">
        <v>35</v>
      </c>
      <c r="X1766" s="8" t="s">
        <v>248</v>
      </c>
      <c r="Y1766" s="5" t="s">
        <v>46</v>
      </c>
      <c r="Z1766" s="5" t="s">
        <v>47</v>
      </c>
      <c r="AA1766" s="5" t="s">
        <v>64</v>
      </c>
      <c r="AB1766" s="5" t="s">
        <v>8516</v>
      </c>
      <c r="AC1766" s="6" t="s">
        <v>79</v>
      </c>
      <c r="AD1766" s="6">
        <v>832.0</v>
      </c>
    </row>
    <row r="1767" ht="56.25" customHeight="1">
      <c r="A1767" s="5" t="s">
        <v>8484</v>
      </c>
      <c r="B1767" s="6" t="str">
        <f>IMAGE("https://storage.googleapis.com/acdb/housewares/FtrOfficeChair_Remake_6_0.png")</f>
        <v/>
      </c>
      <c r="C1767" s="5" t="s">
        <v>54</v>
      </c>
      <c r="D1767" s="5" t="s">
        <v>34</v>
      </c>
      <c r="E1767" s="5" t="s">
        <v>34</v>
      </c>
      <c r="F1767" s="5" t="s">
        <v>34</v>
      </c>
      <c r="G1767" s="5" t="s">
        <v>36</v>
      </c>
      <c r="H1767" s="5" t="s">
        <v>36</v>
      </c>
      <c r="I1767" s="5" t="s">
        <v>36</v>
      </c>
      <c r="J1767" s="6" t="s">
        <v>34</v>
      </c>
      <c r="K1767" s="6">
        <v>2200.0</v>
      </c>
      <c r="L1767" s="6">
        <v>550.0</v>
      </c>
      <c r="M1767" s="26" t="s">
        <v>54</v>
      </c>
      <c r="N1767" s="26" t="s">
        <v>95</v>
      </c>
      <c r="O1767" s="6" t="s">
        <v>40</v>
      </c>
      <c r="P1767" s="5" t="s">
        <v>59</v>
      </c>
      <c r="Q1767" s="5" t="s">
        <v>122</v>
      </c>
      <c r="R1767" s="6" t="s">
        <v>42</v>
      </c>
      <c r="S1767" s="5" t="s">
        <v>91</v>
      </c>
      <c r="T1767" s="5" t="s">
        <v>44</v>
      </c>
      <c r="U1767" s="5" t="s">
        <v>44</v>
      </c>
      <c r="V1767" s="5" t="s">
        <v>91</v>
      </c>
      <c r="W1767" s="5" t="s">
        <v>35</v>
      </c>
      <c r="X1767" s="8" t="s">
        <v>248</v>
      </c>
      <c r="Y1767" s="5" t="s">
        <v>46</v>
      </c>
      <c r="Z1767" s="5" t="s">
        <v>47</v>
      </c>
      <c r="AA1767" s="5" t="s">
        <v>64</v>
      </c>
      <c r="AB1767" s="5" t="s">
        <v>8522</v>
      </c>
      <c r="AC1767" s="6" t="s">
        <v>86</v>
      </c>
      <c r="AD1767" s="6">
        <v>832.0</v>
      </c>
    </row>
    <row r="1768" ht="56.25" customHeight="1">
      <c r="A1768" s="5" t="s">
        <v>8524</v>
      </c>
      <c r="B1768" s="6" t="str">
        <f>IMAGE("https://storage.googleapis.com/acdb/housewares/FtrMonster_Remake_0_0.png")</f>
        <v/>
      </c>
      <c r="C1768" s="5" t="s">
        <v>39</v>
      </c>
      <c r="D1768" s="5" t="s">
        <v>34</v>
      </c>
      <c r="E1768" s="5" t="s">
        <v>34</v>
      </c>
      <c r="F1768" s="5" t="s">
        <v>34</v>
      </c>
      <c r="G1768" s="5" t="s">
        <v>36</v>
      </c>
      <c r="H1768" s="5" t="s">
        <v>36</v>
      </c>
      <c r="I1768" s="5" t="s">
        <v>36</v>
      </c>
      <c r="J1768" s="6" t="s">
        <v>34</v>
      </c>
      <c r="K1768" s="6" t="s">
        <v>37</v>
      </c>
      <c r="L1768" s="6">
        <v>25000.0</v>
      </c>
      <c r="M1768" s="26" t="s">
        <v>39</v>
      </c>
      <c r="N1768" s="26" t="s">
        <v>39</v>
      </c>
      <c r="O1768" s="6" t="s">
        <v>4708</v>
      </c>
      <c r="P1768" s="5" t="s">
        <v>2140</v>
      </c>
      <c r="Q1768" s="5"/>
      <c r="R1768" s="6" t="s">
        <v>42</v>
      </c>
      <c r="S1768" s="5" t="s">
        <v>99</v>
      </c>
      <c r="T1768" s="5" t="s">
        <v>732</v>
      </c>
      <c r="U1768" s="5" t="s">
        <v>44</v>
      </c>
      <c r="V1768" s="5" t="s">
        <v>44</v>
      </c>
      <c r="W1768" s="5" t="s">
        <v>35</v>
      </c>
      <c r="X1768" s="8" t="s">
        <v>356</v>
      </c>
      <c r="Y1768" s="5" t="s">
        <v>46</v>
      </c>
      <c r="Z1768" s="5" t="s">
        <v>47</v>
      </c>
      <c r="AA1768" s="5" t="s">
        <v>48</v>
      </c>
      <c r="AB1768" s="5" t="s">
        <v>8530</v>
      </c>
      <c r="AC1768" s="6" t="s">
        <v>50</v>
      </c>
      <c r="AD1768" s="6">
        <v>4722.0</v>
      </c>
    </row>
    <row r="1769" ht="56.25" customHeight="1">
      <c r="A1769" s="5" t="s">
        <v>8524</v>
      </c>
      <c r="B1769" s="6" t="str">
        <f>IMAGE("https://storage.googleapis.com/acdb/housewares/FtrMonster_Remake_1_0.png")</f>
        <v/>
      </c>
      <c r="C1769" s="5" t="s">
        <v>68</v>
      </c>
      <c r="D1769" s="5" t="s">
        <v>34</v>
      </c>
      <c r="E1769" s="5" t="s">
        <v>34</v>
      </c>
      <c r="F1769" s="5" t="s">
        <v>34</v>
      </c>
      <c r="G1769" s="5" t="s">
        <v>36</v>
      </c>
      <c r="H1769" s="5" t="s">
        <v>36</v>
      </c>
      <c r="I1769" s="5" t="s">
        <v>36</v>
      </c>
      <c r="J1769" s="6" t="s">
        <v>34</v>
      </c>
      <c r="K1769" s="6" t="s">
        <v>37</v>
      </c>
      <c r="L1769" s="6">
        <v>25000.0</v>
      </c>
      <c r="M1769" s="26" t="s">
        <v>68</v>
      </c>
      <c r="N1769" s="26" t="s">
        <v>68</v>
      </c>
      <c r="O1769" s="6" t="s">
        <v>4708</v>
      </c>
      <c r="P1769" s="5" t="s">
        <v>2140</v>
      </c>
      <c r="Q1769" s="5"/>
      <c r="R1769" s="6" t="s">
        <v>42</v>
      </c>
      <c r="S1769" s="5" t="s">
        <v>99</v>
      </c>
      <c r="T1769" s="5" t="s">
        <v>732</v>
      </c>
      <c r="U1769" s="5" t="s">
        <v>44</v>
      </c>
      <c r="V1769" s="5" t="s">
        <v>44</v>
      </c>
      <c r="W1769" s="5" t="s">
        <v>35</v>
      </c>
      <c r="X1769" s="8" t="s">
        <v>356</v>
      </c>
      <c r="Y1769" s="5" t="s">
        <v>46</v>
      </c>
      <c r="Z1769" s="5" t="s">
        <v>47</v>
      </c>
      <c r="AA1769" s="5" t="s">
        <v>48</v>
      </c>
      <c r="AB1769" s="5" t="s">
        <v>8536</v>
      </c>
      <c r="AC1769" s="6" t="s">
        <v>56</v>
      </c>
      <c r="AD1769" s="6">
        <v>4722.0</v>
      </c>
    </row>
    <row r="1770" ht="56.25" customHeight="1">
      <c r="A1770" s="5" t="s">
        <v>8524</v>
      </c>
      <c r="B1770" s="6" t="str">
        <f>IMAGE("https://storage.googleapis.com/acdb/housewares/FtrMonster_Remake_2_0.png")</f>
        <v/>
      </c>
      <c r="C1770" s="5" t="s">
        <v>52</v>
      </c>
      <c r="D1770" s="5" t="s">
        <v>34</v>
      </c>
      <c r="E1770" s="5" t="s">
        <v>34</v>
      </c>
      <c r="F1770" s="5" t="s">
        <v>34</v>
      </c>
      <c r="G1770" s="5" t="s">
        <v>36</v>
      </c>
      <c r="H1770" s="5" t="s">
        <v>36</v>
      </c>
      <c r="I1770" s="5" t="s">
        <v>36</v>
      </c>
      <c r="J1770" s="6" t="s">
        <v>34</v>
      </c>
      <c r="K1770" s="6" t="s">
        <v>37</v>
      </c>
      <c r="L1770" s="6">
        <v>25000.0</v>
      </c>
      <c r="M1770" s="26" t="s">
        <v>52</v>
      </c>
      <c r="N1770" s="26" t="s">
        <v>52</v>
      </c>
      <c r="O1770" s="6" t="s">
        <v>4708</v>
      </c>
      <c r="P1770" s="5" t="s">
        <v>2140</v>
      </c>
      <c r="Q1770" s="5"/>
      <c r="R1770" s="6" t="s">
        <v>42</v>
      </c>
      <c r="S1770" s="5" t="s">
        <v>99</v>
      </c>
      <c r="T1770" s="5" t="s">
        <v>732</v>
      </c>
      <c r="U1770" s="5" t="s">
        <v>44</v>
      </c>
      <c r="V1770" s="5" t="s">
        <v>44</v>
      </c>
      <c r="W1770" s="5" t="s">
        <v>35</v>
      </c>
      <c r="X1770" s="8" t="s">
        <v>356</v>
      </c>
      <c r="Y1770" s="5" t="s">
        <v>46</v>
      </c>
      <c r="Z1770" s="5" t="s">
        <v>47</v>
      </c>
      <c r="AA1770" s="5" t="s">
        <v>48</v>
      </c>
      <c r="AB1770" s="5" t="s">
        <v>8540</v>
      </c>
      <c r="AC1770" s="6" t="s">
        <v>67</v>
      </c>
      <c r="AD1770" s="6">
        <v>4722.0</v>
      </c>
    </row>
    <row r="1771" ht="56.25" customHeight="1">
      <c r="A1771" s="5" t="s">
        <v>8524</v>
      </c>
      <c r="B1771" s="6" t="str">
        <f>IMAGE("https://storage.googleapis.com/acdb/housewares/FtrMonster_Remake_3_0.png")</f>
        <v/>
      </c>
      <c r="C1771" s="5" t="s">
        <v>54</v>
      </c>
      <c r="D1771" s="5" t="s">
        <v>34</v>
      </c>
      <c r="E1771" s="5" t="s">
        <v>34</v>
      </c>
      <c r="F1771" s="5" t="s">
        <v>34</v>
      </c>
      <c r="G1771" s="5" t="s">
        <v>36</v>
      </c>
      <c r="H1771" s="5" t="s">
        <v>36</v>
      </c>
      <c r="I1771" s="5" t="s">
        <v>36</v>
      </c>
      <c r="J1771" s="6" t="s">
        <v>34</v>
      </c>
      <c r="K1771" s="6" t="s">
        <v>37</v>
      </c>
      <c r="L1771" s="6">
        <v>25000.0</v>
      </c>
      <c r="M1771" s="26" t="s">
        <v>54</v>
      </c>
      <c r="N1771" s="26" t="s">
        <v>54</v>
      </c>
      <c r="O1771" s="6" t="s">
        <v>4708</v>
      </c>
      <c r="P1771" s="5" t="s">
        <v>2140</v>
      </c>
      <c r="Q1771" s="5"/>
      <c r="R1771" s="6" t="s">
        <v>42</v>
      </c>
      <c r="S1771" s="5" t="s">
        <v>99</v>
      </c>
      <c r="T1771" s="5" t="s">
        <v>732</v>
      </c>
      <c r="U1771" s="5" t="s">
        <v>44</v>
      </c>
      <c r="V1771" s="5" t="s">
        <v>44</v>
      </c>
      <c r="W1771" s="5" t="s">
        <v>35</v>
      </c>
      <c r="X1771" s="8" t="s">
        <v>356</v>
      </c>
      <c r="Y1771" s="5" t="s">
        <v>46</v>
      </c>
      <c r="Z1771" s="5" t="s">
        <v>47</v>
      </c>
      <c r="AA1771" s="5" t="s">
        <v>48</v>
      </c>
      <c r="AB1771" s="5" t="s">
        <v>8544</v>
      </c>
      <c r="AC1771" s="6" t="s">
        <v>71</v>
      </c>
      <c r="AD1771" s="6">
        <v>4722.0</v>
      </c>
    </row>
    <row r="1772" ht="56.25" customHeight="1">
      <c r="A1772" s="5" t="s">
        <v>8547</v>
      </c>
      <c r="B1772" s="6" t="str">
        <f>IMAGE("https://storage.googleapis.com/acdb/housewares/FtrPlantMonstera_Remake_0_0.png")</f>
        <v/>
      </c>
      <c r="C1772" s="5" t="s">
        <v>54</v>
      </c>
      <c r="D1772" s="5" t="s">
        <v>34</v>
      </c>
      <c r="E1772" s="5" t="s">
        <v>34</v>
      </c>
      <c r="F1772" s="5" t="s">
        <v>34</v>
      </c>
      <c r="G1772" s="5" t="s">
        <v>36</v>
      </c>
      <c r="H1772" s="5" t="s">
        <v>36</v>
      </c>
      <c r="I1772" s="5" t="s">
        <v>36</v>
      </c>
      <c r="J1772" s="6" t="s">
        <v>34</v>
      </c>
      <c r="K1772" s="6">
        <v>1700.0</v>
      </c>
      <c r="L1772" s="6">
        <v>425.0</v>
      </c>
      <c r="M1772" s="26" t="s">
        <v>54</v>
      </c>
      <c r="N1772" s="26" t="s">
        <v>96</v>
      </c>
      <c r="O1772" s="6" t="s">
        <v>40</v>
      </c>
      <c r="P1772" s="5" t="s">
        <v>59</v>
      </c>
      <c r="Q1772" s="5" t="s">
        <v>89</v>
      </c>
      <c r="R1772" s="6" t="s">
        <v>42</v>
      </c>
      <c r="S1772" s="5" t="s">
        <v>90</v>
      </c>
      <c r="T1772" s="5" t="s">
        <v>44</v>
      </c>
      <c r="U1772" s="5" t="s">
        <v>44</v>
      </c>
      <c r="V1772" s="5" t="s">
        <v>44</v>
      </c>
      <c r="W1772" s="5" t="s">
        <v>36</v>
      </c>
      <c r="X1772" s="8" t="s">
        <v>244</v>
      </c>
      <c r="Y1772" s="5" t="s">
        <v>46</v>
      </c>
      <c r="Z1772" s="5" t="s">
        <v>47</v>
      </c>
      <c r="AA1772" s="5" t="s">
        <v>64</v>
      </c>
      <c r="AB1772" s="5" t="s">
        <v>8549</v>
      </c>
      <c r="AC1772" s="6" t="s">
        <v>50</v>
      </c>
      <c r="AD1772" s="6">
        <v>4129.0</v>
      </c>
    </row>
    <row r="1773" ht="56.25" customHeight="1">
      <c r="A1773" s="5" t="s">
        <v>8547</v>
      </c>
      <c r="B1773" s="6" t="str">
        <f>IMAGE("https://storage.googleapis.com/acdb/housewares/FtrPlantMonstera_Remake_1_0.png")</f>
        <v/>
      </c>
      <c r="C1773" s="5" t="s">
        <v>39</v>
      </c>
      <c r="D1773" s="5" t="s">
        <v>34</v>
      </c>
      <c r="E1773" s="5" t="s">
        <v>34</v>
      </c>
      <c r="F1773" s="5" t="s">
        <v>34</v>
      </c>
      <c r="G1773" s="5" t="s">
        <v>36</v>
      </c>
      <c r="H1773" s="5" t="s">
        <v>36</v>
      </c>
      <c r="I1773" s="5" t="s">
        <v>36</v>
      </c>
      <c r="J1773" s="6" t="s">
        <v>34</v>
      </c>
      <c r="K1773" s="6">
        <v>1700.0</v>
      </c>
      <c r="L1773" s="6">
        <v>425.0</v>
      </c>
      <c r="M1773" s="26" t="s">
        <v>39</v>
      </c>
      <c r="N1773" s="26" t="s">
        <v>96</v>
      </c>
      <c r="O1773" s="6" t="s">
        <v>40</v>
      </c>
      <c r="P1773" s="5" t="s">
        <v>59</v>
      </c>
      <c r="Q1773" s="5" t="s">
        <v>89</v>
      </c>
      <c r="R1773" s="6" t="s">
        <v>42</v>
      </c>
      <c r="S1773" s="5" t="s">
        <v>90</v>
      </c>
      <c r="T1773" s="5" t="s">
        <v>44</v>
      </c>
      <c r="U1773" s="5" t="s">
        <v>44</v>
      </c>
      <c r="V1773" s="5" t="s">
        <v>44</v>
      </c>
      <c r="W1773" s="5" t="s">
        <v>36</v>
      </c>
      <c r="X1773" s="8" t="s">
        <v>244</v>
      </c>
      <c r="Y1773" s="5" t="s">
        <v>46</v>
      </c>
      <c r="Z1773" s="5" t="s">
        <v>47</v>
      </c>
      <c r="AA1773" s="5" t="s">
        <v>64</v>
      </c>
      <c r="AB1773" s="5" t="s">
        <v>8554</v>
      </c>
      <c r="AC1773" s="6" t="s">
        <v>56</v>
      </c>
      <c r="AD1773" s="6">
        <v>4129.0</v>
      </c>
    </row>
    <row r="1774" ht="56.25" customHeight="1">
      <c r="A1774" s="5" t="s">
        <v>8547</v>
      </c>
      <c r="B1774" s="6" t="str">
        <f>IMAGE("https://storage.googleapis.com/acdb/housewares/FtrPlantMonstera_Remake_2_0.png")</f>
        <v/>
      </c>
      <c r="C1774" s="5" t="s">
        <v>52</v>
      </c>
      <c r="D1774" s="5" t="s">
        <v>34</v>
      </c>
      <c r="E1774" s="5" t="s">
        <v>34</v>
      </c>
      <c r="F1774" s="5" t="s">
        <v>34</v>
      </c>
      <c r="G1774" s="5" t="s">
        <v>36</v>
      </c>
      <c r="H1774" s="5" t="s">
        <v>36</v>
      </c>
      <c r="I1774" s="5" t="s">
        <v>36</v>
      </c>
      <c r="J1774" s="6" t="s">
        <v>34</v>
      </c>
      <c r="K1774" s="6">
        <v>1700.0</v>
      </c>
      <c r="L1774" s="6">
        <v>425.0</v>
      </c>
      <c r="M1774" s="26" t="s">
        <v>52</v>
      </c>
      <c r="N1774" s="26" t="s">
        <v>96</v>
      </c>
      <c r="O1774" s="6" t="s">
        <v>40</v>
      </c>
      <c r="P1774" s="5" t="s">
        <v>59</v>
      </c>
      <c r="Q1774" s="5" t="s">
        <v>89</v>
      </c>
      <c r="R1774" s="6" t="s">
        <v>42</v>
      </c>
      <c r="S1774" s="5" t="s">
        <v>90</v>
      </c>
      <c r="T1774" s="5" t="s">
        <v>44</v>
      </c>
      <c r="U1774" s="5" t="s">
        <v>44</v>
      </c>
      <c r="V1774" s="5" t="s">
        <v>44</v>
      </c>
      <c r="W1774" s="5" t="s">
        <v>36</v>
      </c>
      <c r="X1774" s="8" t="s">
        <v>244</v>
      </c>
      <c r="Y1774" s="5" t="s">
        <v>46</v>
      </c>
      <c r="Z1774" s="5" t="s">
        <v>47</v>
      </c>
      <c r="AA1774" s="5" t="s">
        <v>64</v>
      </c>
      <c r="AB1774" s="5" t="s">
        <v>8559</v>
      </c>
      <c r="AC1774" s="6" t="s">
        <v>67</v>
      </c>
      <c r="AD1774" s="6">
        <v>4129.0</v>
      </c>
    </row>
    <row r="1775" ht="56.25" customHeight="1">
      <c r="A1775" s="5" t="s">
        <v>8547</v>
      </c>
      <c r="B1775" s="6" t="str">
        <f>IMAGE("https://storage.googleapis.com/acdb/housewares/FtrPlantMonstera_Remake_3_0.png")</f>
        <v/>
      </c>
      <c r="C1775" s="5" t="s">
        <v>114</v>
      </c>
      <c r="D1775" s="5" t="s">
        <v>34</v>
      </c>
      <c r="E1775" s="5" t="s">
        <v>34</v>
      </c>
      <c r="F1775" s="5" t="s">
        <v>34</v>
      </c>
      <c r="G1775" s="5" t="s">
        <v>36</v>
      </c>
      <c r="H1775" s="5" t="s">
        <v>36</v>
      </c>
      <c r="I1775" s="5" t="s">
        <v>36</v>
      </c>
      <c r="J1775" s="6" t="s">
        <v>34</v>
      </c>
      <c r="K1775" s="6">
        <v>1700.0</v>
      </c>
      <c r="L1775" s="6">
        <v>425.0</v>
      </c>
      <c r="M1775" s="26" t="s">
        <v>114</v>
      </c>
      <c r="N1775" s="26" t="s">
        <v>96</v>
      </c>
      <c r="O1775" s="6" t="s">
        <v>40</v>
      </c>
      <c r="P1775" s="5" t="s">
        <v>59</v>
      </c>
      <c r="Q1775" s="5" t="s">
        <v>89</v>
      </c>
      <c r="R1775" s="6" t="s">
        <v>42</v>
      </c>
      <c r="S1775" s="5" t="s">
        <v>90</v>
      </c>
      <c r="T1775" s="5" t="s">
        <v>44</v>
      </c>
      <c r="U1775" s="5" t="s">
        <v>44</v>
      </c>
      <c r="V1775" s="5" t="s">
        <v>44</v>
      </c>
      <c r="W1775" s="5" t="s">
        <v>36</v>
      </c>
      <c r="X1775" s="8" t="s">
        <v>244</v>
      </c>
      <c r="Y1775" s="5" t="s">
        <v>46</v>
      </c>
      <c r="Z1775" s="5" t="s">
        <v>47</v>
      </c>
      <c r="AA1775" s="5" t="s">
        <v>64</v>
      </c>
      <c r="AB1775" s="5" t="s">
        <v>8562</v>
      </c>
      <c r="AC1775" s="6" t="s">
        <v>71</v>
      </c>
      <c r="AD1775" s="6">
        <v>4129.0</v>
      </c>
    </row>
    <row r="1776" ht="56.25" customHeight="1">
      <c r="A1776" s="5" t="s">
        <v>8547</v>
      </c>
      <c r="B1776" s="6" t="str">
        <f>IMAGE("https://storage.googleapis.com/acdb/housewares/FtrPlantMonstera_Remake_4_0.png")</f>
        <v/>
      </c>
      <c r="C1776" s="5" t="s">
        <v>68</v>
      </c>
      <c r="D1776" s="5" t="s">
        <v>34</v>
      </c>
      <c r="E1776" s="5" t="s">
        <v>34</v>
      </c>
      <c r="F1776" s="5" t="s">
        <v>34</v>
      </c>
      <c r="G1776" s="5" t="s">
        <v>36</v>
      </c>
      <c r="H1776" s="5" t="s">
        <v>36</v>
      </c>
      <c r="I1776" s="5" t="s">
        <v>36</v>
      </c>
      <c r="J1776" s="6" t="s">
        <v>34</v>
      </c>
      <c r="K1776" s="6">
        <v>1700.0</v>
      </c>
      <c r="L1776" s="6">
        <v>425.0</v>
      </c>
      <c r="M1776" s="26" t="s">
        <v>68</v>
      </c>
      <c r="N1776" s="26" t="s">
        <v>96</v>
      </c>
      <c r="O1776" s="6" t="s">
        <v>40</v>
      </c>
      <c r="P1776" s="5" t="s">
        <v>59</v>
      </c>
      <c r="Q1776" s="5" t="s">
        <v>89</v>
      </c>
      <c r="R1776" s="6" t="s">
        <v>42</v>
      </c>
      <c r="S1776" s="5" t="s">
        <v>90</v>
      </c>
      <c r="T1776" s="5" t="s">
        <v>44</v>
      </c>
      <c r="U1776" s="5" t="s">
        <v>44</v>
      </c>
      <c r="V1776" s="5" t="s">
        <v>44</v>
      </c>
      <c r="W1776" s="5" t="s">
        <v>36</v>
      </c>
      <c r="X1776" s="8" t="s">
        <v>244</v>
      </c>
      <c r="Y1776" s="5" t="s">
        <v>46</v>
      </c>
      <c r="Z1776" s="5" t="s">
        <v>47</v>
      </c>
      <c r="AA1776" s="5" t="s">
        <v>64</v>
      </c>
      <c r="AB1776" s="5" t="s">
        <v>8565</v>
      </c>
      <c r="AC1776" s="6" t="s">
        <v>75</v>
      </c>
      <c r="AD1776" s="6">
        <v>4129.0</v>
      </c>
    </row>
    <row r="1777" ht="56.25" customHeight="1">
      <c r="A1777" s="5" t="s">
        <v>8547</v>
      </c>
      <c r="B1777" s="6" t="str">
        <f>IMAGE("https://storage.googleapis.com/acdb/housewares/FtrPlantMonstera_Remake_5_0.png")</f>
        <v/>
      </c>
      <c r="C1777" s="5" t="s">
        <v>57</v>
      </c>
      <c r="D1777" s="5" t="s">
        <v>34</v>
      </c>
      <c r="E1777" s="5" t="s">
        <v>34</v>
      </c>
      <c r="F1777" s="5" t="s">
        <v>34</v>
      </c>
      <c r="G1777" s="5" t="s">
        <v>36</v>
      </c>
      <c r="H1777" s="5" t="s">
        <v>36</v>
      </c>
      <c r="I1777" s="5" t="s">
        <v>36</v>
      </c>
      <c r="J1777" s="6" t="s">
        <v>34</v>
      </c>
      <c r="K1777" s="6">
        <v>1700.0</v>
      </c>
      <c r="L1777" s="6">
        <v>425.0</v>
      </c>
      <c r="M1777" s="26" t="s">
        <v>57</v>
      </c>
      <c r="N1777" s="26" t="s">
        <v>96</v>
      </c>
      <c r="O1777" s="6" t="s">
        <v>40</v>
      </c>
      <c r="P1777" s="5" t="s">
        <v>59</v>
      </c>
      <c r="Q1777" s="5" t="s">
        <v>89</v>
      </c>
      <c r="R1777" s="6" t="s">
        <v>42</v>
      </c>
      <c r="S1777" s="5" t="s">
        <v>90</v>
      </c>
      <c r="T1777" s="5" t="s">
        <v>44</v>
      </c>
      <c r="U1777" s="5" t="s">
        <v>44</v>
      </c>
      <c r="V1777" s="5" t="s">
        <v>44</v>
      </c>
      <c r="W1777" s="5" t="s">
        <v>36</v>
      </c>
      <c r="X1777" s="8" t="s">
        <v>244</v>
      </c>
      <c r="Y1777" s="5" t="s">
        <v>46</v>
      </c>
      <c r="Z1777" s="5" t="s">
        <v>47</v>
      </c>
      <c r="AA1777" s="5" t="s">
        <v>64</v>
      </c>
      <c r="AB1777" s="5" t="s">
        <v>8569</v>
      </c>
      <c r="AC1777" s="6" t="s">
        <v>79</v>
      </c>
      <c r="AD1777" s="6">
        <v>4129.0</v>
      </c>
    </row>
    <row r="1778" ht="56.25" customHeight="1">
      <c r="A1778" s="5" t="s">
        <v>8570</v>
      </c>
      <c r="B1778" s="6" t="str">
        <f>IMAGE("https://storage.googleapis.com/acdb/housewares/FtrMoon.png")</f>
        <v/>
      </c>
      <c r="C1778" s="5" t="s">
        <v>34</v>
      </c>
      <c r="D1778" s="5" t="s">
        <v>34</v>
      </c>
      <c r="E1778" s="5" t="s">
        <v>34</v>
      </c>
      <c r="F1778" s="5" t="s">
        <v>34</v>
      </c>
      <c r="G1778" s="5" t="s">
        <v>35</v>
      </c>
      <c r="H1778" s="5" t="s">
        <v>36</v>
      </c>
      <c r="I1778" s="5" t="s">
        <v>36</v>
      </c>
      <c r="J1778" s="6" t="s">
        <v>34</v>
      </c>
      <c r="K1778" s="6" t="s">
        <v>37</v>
      </c>
      <c r="L1778" s="6">
        <v>12500.0</v>
      </c>
      <c r="M1778" s="5" t="s">
        <v>114</v>
      </c>
      <c r="N1778" s="5" t="s">
        <v>114</v>
      </c>
      <c r="O1778" s="6" t="s">
        <v>214</v>
      </c>
      <c r="P1778" s="5" t="s">
        <v>41</v>
      </c>
      <c r="Q1778" s="5"/>
      <c r="R1778" s="6" t="s">
        <v>42</v>
      </c>
      <c r="S1778" s="5" t="s">
        <v>401</v>
      </c>
      <c r="T1778" s="5" t="s">
        <v>44</v>
      </c>
      <c r="U1778" s="5" t="s">
        <v>44</v>
      </c>
      <c r="V1778" s="5" t="s">
        <v>44</v>
      </c>
      <c r="W1778" s="5" t="s">
        <v>35</v>
      </c>
      <c r="X1778" s="8" t="s">
        <v>403</v>
      </c>
      <c r="Y1778" s="5" t="s">
        <v>46</v>
      </c>
      <c r="Z1778" s="5" t="s">
        <v>47</v>
      </c>
      <c r="AA1778" s="5" t="s">
        <v>48</v>
      </c>
      <c r="AB1778" s="5" t="s">
        <v>8573</v>
      </c>
      <c r="AC1778" s="6" t="s">
        <v>34</v>
      </c>
      <c r="AD1778" s="6">
        <v>1054.0</v>
      </c>
    </row>
    <row r="1779" ht="56.25" customHeight="1">
      <c r="A1779" s="5" t="s">
        <v>8574</v>
      </c>
      <c r="B1779" s="6" t="str">
        <f>IMAGE("https://storage.googleapis.com/acdb/housewares/FtrGardenrockMoss.png")</f>
        <v/>
      </c>
      <c r="C1779" s="5" t="s">
        <v>34</v>
      </c>
      <c r="D1779" s="5" t="s">
        <v>34</v>
      </c>
      <c r="E1779" s="5" t="s">
        <v>34</v>
      </c>
      <c r="F1779" s="5" t="s">
        <v>34</v>
      </c>
      <c r="G1779" s="5" t="s">
        <v>35</v>
      </c>
      <c r="H1779" s="5" t="s">
        <v>36</v>
      </c>
      <c r="I1779" s="5" t="s">
        <v>36</v>
      </c>
      <c r="J1779" s="6" t="s">
        <v>34</v>
      </c>
      <c r="K1779" s="6" t="s">
        <v>37</v>
      </c>
      <c r="L1779" s="6">
        <v>2550.0</v>
      </c>
      <c r="M1779" s="5" t="s">
        <v>95</v>
      </c>
      <c r="N1779" s="5" t="s">
        <v>96</v>
      </c>
      <c r="O1779" s="6" t="s">
        <v>40</v>
      </c>
      <c r="P1779" s="5" t="s">
        <v>41</v>
      </c>
      <c r="Q1779" s="5"/>
      <c r="R1779" s="6" t="s">
        <v>42</v>
      </c>
      <c r="S1779" s="5" t="s">
        <v>266</v>
      </c>
      <c r="T1779" s="5" t="s">
        <v>172</v>
      </c>
      <c r="U1779" s="5" t="s">
        <v>44</v>
      </c>
      <c r="V1779" s="5" t="s">
        <v>44</v>
      </c>
      <c r="W1779" s="5" t="s">
        <v>36</v>
      </c>
      <c r="X1779" s="8" t="s">
        <v>650</v>
      </c>
      <c r="Y1779" s="5" t="s">
        <v>46</v>
      </c>
      <c r="Z1779" s="5" t="s">
        <v>47</v>
      </c>
      <c r="AA1779" s="5" t="s">
        <v>48</v>
      </c>
      <c r="AB1779" s="5" t="s">
        <v>8582</v>
      </c>
      <c r="AC1779" s="6" t="s">
        <v>34</v>
      </c>
      <c r="AD1779" s="6">
        <v>12208.0</v>
      </c>
    </row>
    <row r="1780" ht="56.25" customHeight="1">
      <c r="A1780" s="5" t="s">
        <v>8583</v>
      </c>
      <c r="B1780" s="6" t="str">
        <f>IMAGE("https://storage.googleapis.com/acdb/housewares/FtrMountainbike_Remake_0_0.png")</f>
        <v/>
      </c>
      <c r="C1780" s="5" t="s">
        <v>96</v>
      </c>
      <c r="D1780" s="5" t="s">
        <v>34</v>
      </c>
      <c r="E1780" s="5" t="s">
        <v>34</v>
      </c>
      <c r="F1780" s="5" t="s">
        <v>34</v>
      </c>
      <c r="G1780" s="5" t="s">
        <v>36</v>
      </c>
      <c r="H1780" s="5" t="s">
        <v>36</v>
      </c>
      <c r="I1780" s="5" t="s">
        <v>36</v>
      </c>
      <c r="J1780" s="6" t="s">
        <v>34</v>
      </c>
      <c r="K1780" s="6">
        <v>5100.0</v>
      </c>
      <c r="L1780" s="6">
        <v>1275.0</v>
      </c>
      <c r="M1780" s="26" t="s">
        <v>96</v>
      </c>
      <c r="N1780" s="26" t="s">
        <v>54</v>
      </c>
      <c r="O1780" s="6" t="s">
        <v>276</v>
      </c>
      <c r="P1780" s="5" t="s">
        <v>59</v>
      </c>
      <c r="Q1780" s="5" t="s">
        <v>89</v>
      </c>
      <c r="R1780" s="6" t="s">
        <v>42</v>
      </c>
      <c r="S1780" s="5" t="s">
        <v>474</v>
      </c>
      <c r="T1780" s="5" t="s">
        <v>172</v>
      </c>
      <c r="U1780" s="5" t="s">
        <v>44</v>
      </c>
      <c r="V1780" s="5" t="s">
        <v>44</v>
      </c>
      <c r="W1780" s="5" t="s">
        <v>36</v>
      </c>
      <c r="X1780" s="8" t="s">
        <v>475</v>
      </c>
      <c r="Y1780" s="5" t="s">
        <v>46</v>
      </c>
      <c r="Z1780" s="5" t="s">
        <v>47</v>
      </c>
      <c r="AA1780" s="5" t="s">
        <v>64</v>
      </c>
      <c r="AB1780" s="5" t="s">
        <v>8589</v>
      </c>
      <c r="AC1780" s="6" t="s">
        <v>50</v>
      </c>
      <c r="AD1780" s="6">
        <v>2614.0</v>
      </c>
    </row>
    <row r="1781" ht="56.25" customHeight="1">
      <c r="A1781" s="5" t="s">
        <v>8583</v>
      </c>
      <c r="B1781" s="6" t="str">
        <f>IMAGE("https://storage.googleapis.com/acdb/housewares/FtrMountainbike_Remake_1_0.png")</f>
        <v/>
      </c>
      <c r="C1781" s="5" t="s">
        <v>114</v>
      </c>
      <c r="D1781" s="5" t="s">
        <v>34</v>
      </c>
      <c r="E1781" s="5" t="s">
        <v>34</v>
      </c>
      <c r="F1781" s="5" t="s">
        <v>34</v>
      </c>
      <c r="G1781" s="5" t="s">
        <v>36</v>
      </c>
      <c r="H1781" s="5" t="s">
        <v>36</v>
      </c>
      <c r="I1781" s="5" t="s">
        <v>36</v>
      </c>
      <c r="J1781" s="6" t="s">
        <v>34</v>
      </c>
      <c r="K1781" s="6">
        <v>5100.0</v>
      </c>
      <c r="L1781" s="6">
        <v>1275.0</v>
      </c>
      <c r="M1781" s="26" t="s">
        <v>114</v>
      </c>
      <c r="N1781" s="26" t="s">
        <v>54</v>
      </c>
      <c r="O1781" s="6" t="s">
        <v>276</v>
      </c>
      <c r="P1781" s="5" t="s">
        <v>59</v>
      </c>
      <c r="Q1781" s="5" t="s">
        <v>89</v>
      </c>
      <c r="R1781" s="6" t="s">
        <v>42</v>
      </c>
      <c r="S1781" s="5" t="s">
        <v>474</v>
      </c>
      <c r="T1781" s="5" t="s">
        <v>172</v>
      </c>
      <c r="U1781" s="5" t="s">
        <v>44</v>
      </c>
      <c r="V1781" s="5" t="s">
        <v>44</v>
      </c>
      <c r="W1781" s="5" t="s">
        <v>36</v>
      </c>
      <c r="X1781" s="8" t="s">
        <v>475</v>
      </c>
      <c r="Y1781" s="5" t="s">
        <v>46</v>
      </c>
      <c r="Z1781" s="5" t="s">
        <v>47</v>
      </c>
      <c r="AA1781" s="5" t="s">
        <v>64</v>
      </c>
      <c r="AB1781" s="5" t="s">
        <v>8593</v>
      </c>
      <c r="AC1781" s="6" t="s">
        <v>56</v>
      </c>
      <c r="AD1781" s="6">
        <v>2614.0</v>
      </c>
    </row>
    <row r="1782" ht="56.25" customHeight="1">
      <c r="A1782" s="5" t="s">
        <v>8583</v>
      </c>
      <c r="B1782" s="6" t="str">
        <f>IMAGE("https://storage.googleapis.com/acdb/housewares/FtrMountainbike_Remake_2_0.png")</f>
        <v/>
      </c>
      <c r="C1782" s="5" t="s">
        <v>69</v>
      </c>
      <c r="D1782" s="5" t="s">
        <v>34</v>
      </c>
      <c r="E1782" s="5" t="s">
        <v>34</v>
      </c>
      <c r="F1782" s="5" t="s">
        <v>34</v>
      </c>
      <c r="G1782" s="5" t="s">
        <v>36</v>
      </c>
      <c r="H1782" s="5" t="s">
        <v>36</v>
      </c>
      <c r="I1782" s="5" t="s">
        <v>36</v>
      </c>
      <c r="J1782" s="6" t="s">
        <v>34</v>
      </c>
      <c r="K1782" s="6">
        <v>5100.0</v>
      </c>
      <c r="L1782" s="6">
        <v>1275.0</v>
      </c>
      <c r="M1782" s="26" t="s">
        <v>69</v>
      </c>
      <c r="N1782" s="26" t="s">
        <v>54</v>
      </c>
      <c r="O1782" s="6" t="s">
        <v>276</v>
      </c>
      <c r="P1782" s="5" t="s">
        <v>59</v>
      </c>
      <c r="Q1782" s="5" t="s">
        <v>89</v>
      </c>
      <c r="R1782" s="6" t="s">
        <v>42</v>
      </c>
      <c r="S1782" s="5" t="s">
        <v>474</v>
      </c>
      <c r="T1782" s="5" t="s">
        <v>172</v>
      </c>
      <c r="U1782" s="5" t="s">
        <v>44</v>
      </c>
      <c r="V1782" s="5" t="s">
        <v>44</v>
      </c>
      <c r="W1782" s="5" t="s">
        <v>36</v>
      </c>
      <c r="X1782" s="8" t="s">
        <v>475</v>
      </c>
      <c r="Y1782" s="5" t="s">
        <v>46</v>
      </c>
      <c r="Z1782" s="5" t="s">
        <v>47</v>
      </c>
      <c r="AA1782" s="5" t="s">
        <v>64</v>
      </c>
      <c r="AB1782" s="5" t="s">
        <v>8599</v>
      </c>
      <c r="AC1782" s="6" t="s">
        <v>67</v>
      </c>
      <c r="AD1782" s="6">
        <v>2614.0</v>
      </c>
    </row>
    <row r="1783" ht="56.25" customHeight="1">
      <c r="A1783" s="5" t="s">
        <v>8583</v>
      </c>
      <c r="B1783" s="6" t="str">
        <f>IMAGE("https://storage.googleapis.com/acdb/housewares/FtrMountainbike_Remake_3_0.png")</f>
        <v/>
      </c>
      <c r="C1783" s="5" t="s">
        <v>68</v>
      </c>
      <c r="D1783" s="5" t="s">
        <v>34</v>
      </c>
      <c r="E1783" s="5" t="s">
        <v>34</v>
      </c>
      <c r="F1783" s="5" t="s">
        <v>34</v>
      </c>
      <c r="G1783" s="5" t="s">
        <v>36</v>
      </c>
      <c r="H1783" s="5" t="s">
        <v>36</v>
      </c>
      <c r="I1783" s="5" t="s">
        <v>36</v>
      </c>
      <c r="J1783" s="6" t="s">
        <v>34</v>
      </c>
      <c r="K1783" s="6">
        <v>5100.0</v>
      </c>
      <c r="L1783" s="6">
        <v>1275.0</v>
      </c>
      <c r="M1783" s="26" t="s">
        <v>106</v>
      </c>
      <c r="N1783" s="26" t="s">
        <v>54</v>
      </c>
      <c r="O1783" s="6" t="s">
        <v>276</v>
      </c>
      <c r="P1783" s="5" t="s">
        <v>59</v>
      </c>
      <c r="Q1783" s="5" t="s">
        <v>89</v>
      </c>
      <c r="R1783" s="6" t="s">
        <v>42</v>
      </c>
      <c r="S1783" s="5" t="s">
        <v>474</v>
      </c>
      <c r="T1783" s="5" t="s">
        <v>172</v>
      </c>
      <c r="U1783" s="5" t="s">
        <v>44</v>
      </c>
      <c r="V1783" s="5" t="s">
        <v>44</v>
      </c>
      <c r="W1783" s="5" t="s">
        <v>36</v>
      </c>
      <c r="X1783" s="8" t="s">
        <v>475</v>
      </c>
      <c r="Y1783" s="5" t="s">
        <v>46</v>
      </c>
      <c r="Z1783" s="5" t="s">
        <v>47</v>
      </c>
      <c r="AA1783" s="5" t="s">
        <v>64</v>
      </c>
      <c r="AB1783" s="5" t="s">
        <v>8602</v>
      </c>
      <c r="AC1783" s="6" t="s">
        <v>71</v>
      </c>
      <c r="AD1783" s="6">
        <v>2614.0</v>
      </c>
    </row>
    <row r="1784" ht="56.25" customHeight="1">
      <c r="A1784" s="5" t="s">
        <v>8583</v>
      </c>
      <c r="B1784" s="6" t="str">
        <f>IMAGE("https://storage.googleapis.com/acdb/housewares/FtrMountainbike_Remake_4_0.png")</f>
        <v/>
      </c>
      <c r="C1784" s="5" t="s">
        <v>57</v>
      </c>
      <c r="D1784" s="5" t="s">
        <v>34</v>
      </c>
      <c r="E1784" s="5" t="s">
        <v>34</v>
      </c>
      <c r="F1784" s="5" t="s">
        <v>34</v>
      </c>
      <c r="G1784" s="5" t="s">
        <v>36</v>
      </c>
      <c r="H1784" s="5" t="s">
        <v>36</v>
      </c>
      <c r="I1784" s="5" t="s">
        <v>36</v>
      </c>
      <c r="J1784" s="6" t="s">
        <v>34</v>
      </c>
      <c r="K1784" s="6">
        <v>5100.0</v>
      </c>
      <c r="L1784" s="6">
        <v>1275.0</v>
      </c>
      <c r="M1784" s="26" t="s">
        <v>57</v>
      </c>
      <c r="N1784" s="26" t="s">
        <v>54</v>
      </c>
      <c r="O1784" s="6" t="s">
        <v>276</v>
      </c>
      <c r="P1784" s="5" t="s">
        <v>59</v>
      </c>
      <c r="Q1784" s="5" t="s">
        <v>89</v>
      </c>
      <c r="R1784" s="6" t="s">
        <v>42</v>
      </c>
      <c r="S1784" s="5" t="s">
        <v>474</v>
      </c>
      <c r="T1784" s="5" t="s">
        <v>172</v>
      </c>
      <c r="U1784" s="5" t="s">
        <v>44</v>
      </c>
      <c r="V1784" s="5" t="s">
        <v>44</v>
      </c>
      <c r="W1784" s="5" t="s">
        <v>36</v>
      </c>
      <c r="X1784" s="8" t="s">
        <v>475</v>
      </c>
      <c r="Y1784" s="5" t="s">
        <v>46</v>
      </c>
      <c r="Z1784" s="5" t="s">
        <v>47</v>
      </c>
      <c r="AA1784" s="5" t="s">
        <v>64</v>
      </c>
      <c r="AB1784" s="5" t="s">
        <v>8606</v>
      </c>
      <c r="AC1784" s="6" t="s">
        <v>75</v>
      </c>
      <c r="AD1784" s="6">
        <v>2614.0</v>
      </c>
    </row>
    <row r="1785" ht="56.25" customHeight="1">
      <c r="A1785" s="5" t="s">
        <v>8583</v>
      </c>
      <c r="B1785" s="6" t="str">
        <f>IMAGE("https://storage.googleapis.com/acdb/housewares/FtrMountainbike_Remake_5_0.png")</f>
        <v/>
      </c>
      <c r="C1785" s="5" t="s">
        <v>54</v>
      </c>
      <c r="D1785" s="5" t="s">
        <v>34</v>
      </c>
      <c r="E1785" s="5" t="s">
        <v>34</v>
      </c>
      <c r="F1785" s="5" t="s">
        <v>34</v>
      </c>
      <c r="G1785" s="5" t="s">
        <v>36</v>
      </c>
      <c r="H1785" s="5" t="s">
        <v>36</v>
      </c>
      <c r="I1785" s="5" t="s">
        <v>36</v>
      </c>
      <c r="J1785" s="6" t="s">
        <v>34</v>
      </c>
      <c r="K1785" s="6">
        <v>5100.0</v>
      </c>
      <c r="L1785" s="6">
        <v>1275.0</v>
      </c>
      <c r="M1785" s="26" t="s">
        <v>54</v>
      </c>
      <c r="N1785" s="26" t="s">
        <v>54</v>
      </c>
      <c r="O1785" s="6" t="s">
        <v>276</v>
      </c>
      <c r="P1785" s="5" t="s">
        <v>59</v>
      </c>
      <c r="Q1785" s="5" t="s">
        <v>89</v>
      </c>
      <c r="R1785" s="6" t="s">
        <v>42</v>
      </c>
      <c r="S1785" s="5" t="s">
        <v>474</v>
      </c>
      <c r="T1785" s="5" t="s">
        <v>172</v>
      </c>
      <c r="U1785" s="5" t="s">
        <v>44</v>
      </c>
      <c r="V1785" s="5" t="s">
        <v>44</v>
      </c>
      <c r="W1785" s="5" t="s">
        <v>36</v>
      </c>
      <c r="X1785" s="8" t="s">
        <v>475</v>
      </c>
      <c r="Y1785" s="5" t="s">
        <v>46</v>
      </c>
      <c r="Z1785" s="5" t="s">
        <v>47</v>
      </c>
      <c r="AA1785" s="5" t="s">
        <v>64</v>
      </c>
      <c r="AB1785" s="5" t="s">
        <v>8610</v>
      </c>
      <c r="AC1785" s="6" t="s">
        <v>79</v>
      </c>
      <c r="AD1785" s="6">
        <v>2614.0</v>
      </c>
    </row>
    <row r="1786" ht="56.25" customHeight="1">
      <c r="A1786" s="5" t="s">
        <v>8611</v>
      </c>
      <c r="B1786" s="6" t="str">
        <f>IMAGE("https://storage.googleapis.com/acdb/housewares/FtrHariboteMountain_Remake_0_0.png")</f>
        <v/>
      </c>
      <c r="C1786" s="5" t="s">
        <v>5574</v>
      </c>
      <c r="D1786" s="5" t="s">
        <v>5575</v>
      </c>
      <c r="E1786" s="5" t="s">
        <v>34</v>
      </c>
      <c r="F1786" s="5" t="s">
        <v>34</v>
      </c>
      <c r="G1786" s="5" t="s">
        <v>35</v>
      </c>
      <c r="H1786" s="5" t="s">
        <v>35</v>
      </c>
      <c r="I1786" s="5" t="s">
        <v>36</v>
      </c>
      <c r="J1786" s="6">
        <v>2.0</v>
      </c>
      <c r="K1786" s="6" t="s">
        <v>37</v>
      </c>
      <c r="L1786" s="6">
        <v>1080.0</v>
      </c>
      <c r="M1786" s="26" t="s">
        <v>96</v>
      </c>
      <c r="N1786" s="26" t="s">
        <v>96</v>
      </c>
      <c r="O1786" s="6" t="s">
        <v>276</v>
      </c>
      <c r="P1786" s="5" t="s">
        <v>41</v>
      </c>
      <c r="Q1786" s="5"/>
      <c r="R1786" s="6" t="s">
        <v>42</v>
      </c>
      <c r="S1786" s="5" t="s">
        <v>130</v>
      </c>
      <c r="T1786" s="5" t="s">
        <v>44</v>
      </c>
      <c r="U1786" s="5" t="s">
        <v>44</v>
      </c>
      <c r="V1786" s="5" t="s">
        <v>5576</v>
      </c>
      <c r="W1786" s="5" t="s">
        <v>36</v>
      </c>
      <c r="X1786" s="8" t="s">
        <v>1593</v>
      </c>
      <c r="Y1786" s="5" t="s">
        <v>46</v>
      </c>
      <c r="Z1786" s="5" t="s">
        <v>47</v>
      </c>
      <c r="AA1786" s="5" t="s">
        <v>48</v>
      </c>
      <c r="AB1786" s="5" t="s">
        <v>8618</v>
      </c>
      <c r="AC1786" s="6" t="s">
        <v>50</v>
      </c>
      <c r="AD1786" s="6">
        <v>532.0</v>
      </c>
    </row>
    <row r="1787" ht="56.25" customHeight="1">
      <c r="A1787" s="5" t="s">
        <v>8611</v>
      </c>
      <c r="B1787" s="6" t="str">
        <f>IMAGE("https://storage.googleapis.com/acdb/housewares/FtrHariboteMountain_Remake_1_0.png")</f>
        <v/>
      </c>
      <c r="C1787" s="5" t="s">
        <v>2387</v>
      </c>
      <c r="D1787" s="5" t="s">
        <v>5575</v>
      </c>
      <c r="E1787" s="5" t="s">
        <v>34</v>
      </c>
      <c r="F1787" s="5" t="s">
        <v>34</v>
      </c>
      <c r="G1787" s="5" t="s">
        <v>35</v>
      </c>
      <c r="H1787" s="5" t="s">
        <v>35</v>
      </c>
      <c r="I1787" s="5" t="s">
        <v>36</v>
      </c>
      <c r="J1787" s="6">
        <v>2.0</v>
      </c>
      <c r="K1787" s="6" t="s">
        <v>37</v>
      </c>
      <c r="L1787" s="6">
        <v>1080.0</v>
      </c>
      <c r="M1787" s="26" t="s">
        <v>69</v>
      </c>
      <c r="N1787" s="26" t="s">
        <v>69</v>
      </c>
      <c r="O1787" s="6" t="s">
        <v>276</v>
      </c>
      <c r="P1787" s="5" t="s">
        <v>41</v>
      </c>
      <c r="Q1787" s="5"/>
      <c r="R1787" s="6" t="s">
        <v>42</v>
      </c>
      <c r="S1787" s="5" t="s">
        <v>130</v>
      </c>
      <c r="T1787" s="5" t="s">
        <v>44</v>
      </c>
      <c r="U1787" s="5" t="s">
        <v>44</v>
      </c>
      <c r="V1787" s="5" t="s">
        <v>5576</v>
      </c>
      <c r="W1787" s="5" t="s">
        <v>36</v>
      </c>
      <c r="X1787" s="8" t="s">
        <v>1593</v>
      </c>
      <c r="Y1787" s="5" t="s">
        <v>46</v>
      </c>
      <c r="Z1787" s="5" t="s">
        <v>47</v>
      </c>
      <c r="AA1787" s="5" t="s">
        <v>48</v>
      </c>
      <c r="AB1787" s="5" t="s">
        <v>8621</v>
      </c>
      <c r="AC1787" s="6" t="s">
        <v>56</v>
      </c>
      <c r="AD1787" s="6">
        <v>532.0</v>
      </c>
    </row>
    <row r="1788" ht="56.25" customHeight="1">
      <c r="A1788" s="5" t="s">
        <v>8611</v>
      </c>
      <c r="B1788" s="6" t="str">
        <f>IMAGE("https://storage.googleapis.com/acdb/housewares/FtrHariboteMountain_Remake_2_0.png")</f>
        <v/>
      </c>
      <c r="C1788" s="5" t="s">
        <v>5581</v>
      </c>
      <c r="D1788" s="5" t="s">
        <v>5575</v>
      </c>
      <c r="E1788" s="5" t="s">
        <v>34</v>
      </c>
      <c r="F1788" s="5" t="s">
        <v>34</v>
      </c>
      <c r="G1788" s="5" t="s">
        <v>35</v>
      </c>
      <c r="H1788" s="5" t="s">
        <v>35</v>
      </c>
      <c r="I1788" s="5" t="s">
        <v>36</v>
      </c>
      <c r="J1788" s="6">
        <v>2.0</v>
      </c>
      <c r="K1788" s="6" t="s">
        <v>37</v>
      </c>
      <c r="L1788" s="6">
        <v>1080.0</v>
      </c>
      <c r="M1788" s="26" t="s">
        <v>96</v>
      </c>
      <c r="N1788" s="26" t="s">
        <v>96</v>
      </c>
      <c r="O1788" s="6" t="s">
        <v>276</v>
      </c>
      <c r="P1788" s="5" t="s">
        <v>41</v>
      </c>
      <c r="Q1788" s="5"/>
      <c r="R1788" s="6" t="s">
        <v>42</v>
      </c>
      <c r="S1788" s="5" t="s">
        <v>130</v>
      </c>
      <c r="T1788" s="5" t="s">
        <v>44</v>
      </c>
      <c r="U1788" s="5" t="s">
        <v>44</v>
      </c>
      <c r="V1788" s="5" t="s">
        <v>5576</v>
      </c>
      <c r="W1788" s="5" t="s">
        <v>36</v>
      </c>
      <c r="X1788" s="8" t="s">
        <v>1593</v>
      </c>
      <c r="Y1788" s="5" t="s">
        <v>46</v>
      </c>
      <c r="Z1788" s="5" t="s">
        <v>47</v>
      </c>
      <c r="AA1788" s="5" t="s">
        <v>48</v>
      </c>
      <c r="AB1788" s="5" t="s">
        <v>8625</v>
      </c>
      <c r="AC1788" s="6" t="s">
        <v>67</v>
      </c>
      <c r="AD1788" s="6">
        <v>532.0</v>
      </c>
    </row>
    <row r="1789" ht="56.25" customHeight="1">
      <c r="A1789" s="5" t="s">
        <v>8611</v>
      </c>
      <c r="B1789" s="6" t="str">
        <f>IMAGE("https://storage.googleapis.com/acdb/housewares/FtrHariboteMountain_Remake_3_0.png")</f>
        <v/>
      </c>
      <c r="C1789" s="5" t="s">
        <v>8627</v>
      </c>
      <c r="D1789" s="5" t="s">
        <v>5575</v>
      </c>
      <c r="E1789" s="5" t="s">
        <v>34</v>
      </c>
      <c r="F1789" s="5" t="s">
        <v>34</v>
      </c>
      <c r="G1789" s="5" t="s">
        <v>35</v>
      </c>
      <c r="H1789" s="5" t="s">
        <v>35</v>
      </c>
      <c r="I1789" s="5" t="s">
        <v>36</v>
      </c>
      <c r="J1789" s="6">
        <v>2.0</v>
      </c>
      <c r="K1789" s="6" t="s">
        <v>37</v>
      </c>
      <c r="L1789" s="6">
        <v>1080.0</v>
      </c>
      <c r="M1789" s="26" t="s">
        <v>54</v>
      </c>
      <c r="N1789" s="26" t="s">
        <v>52</v>
      </c>
      <c r="O1789" s="6" t="s">
        <v>276</v>
      </c>
      <c r="P1789" s="5" t="s">
        <v>41</v>
      </c>
      <c r="Q1789" s="5"/>
      <c r="R1789" s="6" t="s">
        <v>42</v>
      </c>
      <c r="S1789" s="5" t="s">
        <v>130</v>
      </c>
      <c r="T1789" s="5" t="s">
        <v>44</v>
      </c>
      <c r="U1789" s="5" t="s">
        <v>44</v>
      </c>
      <c r="V1789" s="5" t="s">
        <v>5576</v>
      </c>
      <c r="W1789" s="5" t="s">
        <v>36</v>
      </c>
      <c r="X1789" s="8" t="s">
        <v>1593</v>
      </c>
      <c r="Y1789" s="5" t="s">
        <v>46</v>
      </c>
      <c r="Z1789" s="5" t="s">
        <v>47</v>
      </c>
      <c r="AA1789" s="5" t="s">
        <v>48</v>
      </c>
      <c r="AB1789" s="5" t="s">
        <v>8631</v>
      </c>
      <c r="AC1789" s="6" t="s">
        <v>71</v>
      </c>
      <c r="AD1789" s="6">
        <v>532.0</v>
      </c>
    </row>
    <row r="1790" ht="56.25" customHeight="1">
      <c r="A1790" s="5" t="s">
        <v>8611</v>
      </c>
      <c r="B1790" s="6" t="str">
        <f>IMAGE("https://storage.googleapis.com/acdb/housewares/FtrHariboteMountain_Remake_4_0.png")</f>
        <v/>
      </c>
      <c r="C1790" s="5" t="s">
        <v>5587</v>
      </c>
      <c r="D1790" s="5" t="s">
        <v>5575</v>
      </c>
      <c r="E1790" s="5" t="s">
        <v>34</v>
      </c>
      <c r="F1790" s="5" t="s">
        <v>34</v>
      </c>
      <c r="G1790" s="5" t="s">
        <v>35</v>
      </c>
      <c r="H1790" s="5" t="s">
        <v>35</v>
      </c>
      <c r="I1790" s="5" t="s">
        <v>36</v>
      </c>
      <c r="J1790" s="6">
        <v>2.0</v>
      </c>
      <c r="K1790" s="6" t="s">
        <v>37</v>
      </c>
      <c r="L1790" s="6">
        <v>1080.0</v>
      </c>
      <c r="M1790" s="26" t="s">
        <v>142</v>
      </c>
      <c r="N1790" s="26" t="s">
        <v>39</v>
      </c>
      <c r="O1790" s="6" t="s">
        <v>276</v>
      </c>
      <c r="P1790" s="5" t="s">
        <v>41</v>
      </c>
      <c r="Q1790" s="5"/>
      <c r="R1790" s="6" t="s">
        <v>42</v>
      </c>
      <c r="S1790" s="5" t="s">
        <v>130</v>
      </c>
      <c r="T1790" s="5" t="s">
        <v>44</v>
      </c>
      <c r="U1790" s="5" t="s">
        <v>44</v>
      </c>
      <c r="V1790" s="5" t="s">
        <v>5576</v>
      </c>
      <c r="W1790" s="5" t="s">
        <v>36</v>
      </c>
      <c r="X1790" s="8" t="s">
        <v>1593</v>
      </c>
      <c r="Y1790" s="5" t="s">
        <v>46</v>
      </c>
      <c r="Z1790" s="5" t="s">
        <v>47</v>
      </c>
      <c r="AA1790" s="5" t="s">
        <v>48</v>
      </c>
      <c r="AB1790" s="5" t="s">
        <v>8639</v>
      </c>
      <c r="AC1790" s="6" t="s">
        <v>75</v>
      </c>
      <c r="AD1790" s="6">
        <v>532.0</v>
      </c>
    </row>
    <row r="1791" ht="56.25" customHeight="1">
      <c r="A1791" s="5" t="s">
        <v>8611</v>
      </c>
      <c r="B1791" s="6" t="str">
        <f>IMAGE("https://storage.googleapis.com/acdb/housewares/FtrHariboteMountain_Remake_5_0.png")</f>
        <v/>
      </c>
      <c r="C1791" s="5" t="s">
        <v>5592</v>
      </c>
      <c r="D1791" s="5" t="s">
        <v>5575</v>
      </c>
      <c r="E1791" s="5" t="s">
        <v>34</v>
      </c>
      <c r="F1791" s="5" t="s">
        <v>34</v>
      </c>
      <c r="G1791" s="5" t="s">
        <v>35</v>
      </c>
      <c r="H1791" s="5" t="s">
        <v>35</v>
      </c>
      <c r="I1791" s="5" t="s">
        <v>36</v>
      </c>
      <c r="J1791" s="6">
        <v>2.0</v>
      </c>
      <c r="K1791" s="6" t="s">
        <v>37</v>
      </c>
      <c r="L1791" s="6">
        <v>1080.0</v>
      </c>
      <c r="M1791" s="26" t="s">
        <v>57</v>
      </c>
      <c r="N1791" s="26" t="s">
        <v>95</v>
      </c>
      <c r="O1791" s="6" t="s">
        <v>276</v>
      </c>
      <c r="P1791" s="5" t="s">
        <v>41</v>
      </c>
      <c r="Q1791" s="5"/>
      <c r="R1791" s="6" t="s">
        <v>42</v>
      </c>
      <c r="S1791" s="5" t="s">
        <v>130</v>
      </c>
      <c r="T1791" s="5" t="s">
        <v>44</v>
      </c>
      <c r="U1791" s="5" t="s">
        <v>44</v>
      </c>
      <c r="V1791" s="5" t="s">
        <v>5576</v>
      </c>
      <c r="W1791" s="5" t="s">
        <v>36</v>
      </c>
      <c r="X1791" s="8" t="s">
        <v>1593</v>
      </c>
      <c r="Y1791" s="5" t="s">
        <v>46</v>
      </c>
      <c r="Z1791" s="5" t="s">
        <v>47</v>
      </c>
      <c r="AA1791" s="5" t="s">
        <v>48</v>
      </c>
      <c r="AB1791" s="5" t="s">
        <v>8642</v>
      </c>
      <c r="AC1791" s="6" t="s">
        <v>79</v>
      </c>
      <c r="AD1791" s="6">
        <v>532.0</v>
      </c>
    </row>
    <row r="1792" ht="56.25" customHeight="1">
      <c r="A1792" s="5" t="s">
        <v>8644</v>
      </c>
      <c r="B1792" s="6" t="str">
        <f>IMAGE("https://storage.googleapis.com/acdb/housewares/FtrFlamingoMale_Remake_0_0.png")</f>
        <v/>
      </c>
      <c r="C1792" s="5" t="s">
        <v>32</v>
      </c>
      <c r="D1792" s="5" t="s">
        <v>34</v>
      </c>
      <c r="E1792" s="5" t="s">
        <v>34</v>
      </c>
      <c r="F1792" s="5" t="s">
        <v>34</v>
      </c>
      <c r="G1792" s="5" t="s">
        <v>36</v>
      </c>
      <c r="H1792" s="5" t="s">
        <v>36</v>
      </c>
      <c r="I1792" s="5" t="s">
        <v>36</v>
      </c>
      <c r="J1792" s="6" t="s">
        <v>34</v>
      </c>
      <c r="K1792" s="6">
        <v>3000.0</v>
      </c>
      <c r="L1792" s="6">
        <v>750.0</v>
      </c>
      <c r="M1792" s="26" t="s">
        <v>69</v>
      </c>
      <c r="N1792" s="26" t="s">
        <v>69</v>
      </c>
      <c r="O1792" s="6" t="s">
        <v>40</v>
      </c>
      <c r="P1792" s="5" t="s">
        <v>59</v>
      </c>
      <c r="Q1792" s="5" t="s">
        <v>89</v>
      </c>
      <c r="R1792" s="6" t="s">
        <v>42</v>
      </c>
      <c r="S1792" s="5" t="s">
        <v>172</v>
      </c>
      <c r="T1792" s="5" t="s">
        <v>61</v>
      </c>
      <c r="U1792" s="5" t="s">
        <v>44</v>
      </c>
      <c r="V1792" s="5" t="s">
        <v>44</v>
      </c>
      <c r="W1792" s="5" t="s">
        <v>36</v>
      </c>
      <c r="X1792" s="8" t="s">
        <v>330</v>
      </c>
      <c r="Y1792" s="5" t="s">
        <v>46</v>
      </c>
      <c r="Z1792" s="5" t="s">
        <v>47</v>
      </c>
      <c r="AA1792" s="5" t="s">
        <v>64</v>
      </c>
      <c r="AB1792" s="5" t="s">
        <v>8647</v>
      </c>
      <c r="AC1792" s="6" t="s">
        <v>50</v>
      </c>
      <c r="AD1792" s="6">
        <v>335.0</v>
      </c>
    </row>
    <row r="1793" ht="56.25" customHeight="1">
      <c r="A1793" s="5" t="s">
        <v>8644</v>
      </c>
      <c r="B1793" s="6" t="str">
        <f>IMAGE("https://storage.googleapis.com/acdb/housewares/FtrFlamingoMale_Remake_1_0.png")</f>
        <v/>
      </c>
      <c r="C1793" s="5" t="s">
        <v>57</v>
      </c>
      <c r="D1793" s="5" t="s">
        <v>34</v>
      </c>
      <c r="E1793" s="5" t="s">
        <v>34</v>
      </c>
      <c r="F1793" s="5" t="s">
        <v>34</v>
      </c>
      <c r="G1793" s="5" t="s">
        <v>36</v>
      </c>
      <c r="H1793" s="5" t="s">
        <v>36</v>
      </c>
      <c r="I1793" s="5" t="s">
        <v>36</v>
      </c>
      <c r="J1793" s="6" t="s">
        <v>34</v>
      </c>
      <c r="K1793" s="6">
        <v>3000.0</v>
      </c>
      <c r="L1793" s="6">
        <v>750.0</v>
      </c>
      <c r="M1793" s="26" t="s">
        <v>69</v>
      </c>
      <c r="N1793" s="26" t="s">
        <v>69</v>
      </c>
      <c r="O1793" s="6" t="s">
        <v>40</v>
      </c>
      <c r="P1793" s="5" t="s">
        <v>59</v>
      </c>
      <c r="Q1793" s="5" t="s">
        <v>89</v>
      </c>
      <c r="R1793" s="6" t="s">
        <v>42</v>
      </c>
      <c r="S1793" s="5" t="s">
        <v>172</v>
      </c>
      <c r="T1793" s="5" t="s">
        <v>61</v>
      </c>
      <c r="U1793" s="5" t="s">
        <v>44</v>
      </c>
      <c r="V1793" s="5" t="s">
        <v>44</v>
      </c>
      <c r="W1793" s="5" t="s">
        <v>36</v>
      </c>
      <c r="X1793" s="8" t="s">
        <v>330</v>
      </c>
      <c r="Y1793" s="5" t="s">
        <v>46</v>
      </c>
      <c r="Z1793" s="5" t="s">
        <v>47</v>
      </c>
      <c r="AA1793" s="5" t="s">
        <v>64</v>
      </c>
      <c r="AB1793" s="5" t="s">
        <v>8651</v>
      </c>
      <c r="AC1793" s="6" t="s">
        <v>56</v>
      </c>
      <c r="AD1793" s="6">
        <v>335.0</v>
      </c>
    </row>
    <row r="1794" ht="56.25" customHeight="1">
      <c r="A1794" s="5" t="s">
        <v>8652</v>
      </c>
      <c r="B1794" s="6" t="str">
        <f>IMAGE("https://storage.googleapis.com/acdb/housewares/FtrFlamingoFemale_Remake_0_0.png")</f>
        <v/>
      </c>
      <c r="C1794" s="5" t="s">
        <v>32</v>
      </c>
      <c r="D1794" s="5" t="s">
        <v>34</v>
      </c>
      <c r="E1794" s="5" t="s">
        <v>34</v>
      </c>
      <c r="F1794" s="5" t="s">
        <v>34</v>
      </c>
      <c r="G1794" s="5" t="s">
        <v>36</v>
      </c>
      <c r="H1794" s="5" t="s">
        <v>36</v>
      </c>
      <c r="I1794" s="5" t="s">
        <v>36</v>
      </c>
      <c r="J1794" s="6" t="s">
        <v>34</v>
      </c>
      <c r="K1794" s="6">
        <v>3000.0</v>
      </c>
      <c r="L1794" s="6">
        <v>750.0</v>
      </c>
      <c r="M1794" s="26" t="s">
        <v>69</v>
      </c>
      <c r="N1794" s="26" t="s">
        <v>69</v>
      </c>
      <c r="O1794" s="6" t="s">
        <v>40</v>
      </c>
      <c r="P1794" s="5" t="s">
        <v>59</v>
      </c>
      <c r="Q1794" s="5" t="s">
        <v>89</v>
      </c>
      <c r="R1794" s="6" t="s">
        <v>42</v>
      </c>
      <c r="S1794" s="5" t="s">
        <v>172</v>
      </c>
      <c r="T1794" s="5" t="s">
        <v>61</v>
      </c>
      <c r="U1794" s="5" t="s">
        <v>44</v>
      </c>
      <c r="V1794" s="5" t="s">
        <v>44</v>
      </c>
      <c r="W1794" s="5" t="s">
        <v>36</v>
      </c>
      <c r="X1794" s="8" t="s">
        <v>330</v>
      </c>
      <c r="Y1794" s="5" t="s">
        <v>46</v>
      </c>
      <c r="Z1794" s="5" t="s">
        <v>47</v>
      </c>
      <c r="AA1794" s="5" t="s">
        <v>64</v>
      </c>
      <c r="AB1794" s="5" t="s">
        <v>8658</v>
      </c>
      <c r="AC1794" s="6" t="s">
        <v>50</v>
      </c>
      <c r="AD1794" s="6">
        <v>336.0</v>
      </c>
    </row>
    <row r="1795" ht="56.25" customHeight="1">
      <c r="A1795" s="5" t="s">
        <v>8652</v>
      </c>
      <c r="B1795" s="6" t="str">
        <f>IMAGE("https://storage.googleapis.com/acdb/housewares/FtrFlamingoFemale_Remake_1_0.png")</f>
        <v/>
      </c>
      <c r="C1795" s="5" t="s">
        <v>57</v>
      </c>
      <c r="D1795" s="5" t="s">
        <v>34</v>
      </c>
      <c r="E1795" s="5" t="s">
        <v>34</v>
      </c>
      <c r="F1795" s="5" t="s">
        <v>34</v>
      </c>
      <c r="G1795" s="5" t="s">
        <v>36</v>
      </c>
      <c r="H1795" s="5" t="s">
        <v>36</v>
      </c>
      <c r="I1795" s="5" t="s">
        <v>36</v>
      </c>
      <c r="J1795" s="6" t="s">
        <v>34</v>
      </c>
      <c r="K1795" s="6">
        <v>3000.0</v>
      </c>
      <c r="L1795" s="6">
        <v>750.0</v>
      </c>
      <c r="M1795" s="26" t="s">
        <v>69</v>
      </c>
      <c r="N1795" s="26" t="s">
        <v>69</v>
      </c>
      <c r="O1795" s="6" t="s">
        <v>40</v>
      </c>
      <c r="P1795" s="5" t="s">
        <v>59</v>
      </c>
      <c r="Q1795" s="5" t="s">
        <v>89</v>
      </c>
      <c r="R1795" s="6" t="s">
        <v>42</v>
      </c>
      <c r="S1795" s="5" t="s">
        <v>172</v>
      </c>
      <c r="T1795" s="5" t="s">
        <v>61</v>
      </c>
      <c r="U1795" s="5" t="s">
        <v>44</v>
      </c>
      <c r="V1795" s="5" t="s">
        <v>44</v>
      </c>
      <c r="W1795" s="5" t="s">
        <v>36</v>
      </c>
      <c r="X1795" s="8" t="s">
        <v>330</v>
      </c>
      <c r="Y1795" s="5" t="s">
        <v>46</v>
      </c>
      <c r="Z1795" s="5" t="s">
        <v>47</v>
      </c>
      <c r="AA1795" s="5" t="s">
        <v>64</v>
      </c>
      <c r="AB1795" s="5" t="s">
        <v>8661</v>
      </c>
      <c r="AC1795" s="6" t="s">
        <v>56</v>
      </c>
      <c r="AD1795" s="6">
        <v>336.0</v>
      </c>
    </row>
    <row r="1796" ht="56.25" customHeight="1">
      <c r="A1796" s="5" t="s">
        <v>8662</v>
      </c>
      <c r="B1796" s="6" t="str">
        <f>IMAGE("https://storage.googleapis.com/acdb/housewares/FtrFlowerStoolS_Remake_0_0.png")</f>
        <v/>
      </c>
      <c r="C1796" s="5" t="s">
        <v>114</v>
      </c>
      <c r="D1796" s="5" t="s">
        <v>2163</v>
      </c>
      <c r="E1796" s="5" t="s">
        <v>34</v>
      </c>
      <c r="F1796" s="5" t="s">
        <v>34</v>
      </c>
      <c r="G1796" s="5" t="s">
        <v>35</v>
      </c>
      <c r="H1796" s="5" t="s">
        <v>35</v>
      </c>
      <c r="I1796" s="5" t="s">
        <v>36</v>
      </c>
      <c r="J1796" s="6">
        <v>1.0</v>
      </c>
      <c r="K1796" s="6" t="s">
        <v>37</v>
      </c>
      <c r="L1796" s="6">
        <v>440.0</v>
      </c>
      <c r="M1796" s="26" t="s">
        <v>114</v>
      </c>
      <c r="N1796" s="26" t="s">
        <v>114</v>
      </c>
      <c r="O1796" s="6" t="s">
        <v>40</v>
      </c>
      <c r="P1796" s="5" t="s">
        <v>41</v>
      </c>
      <c r="Q1796" s="5"/>
      <c r="R1796" s="6" t="s">
        <v>42</v>
      </c>
      <c r="S1796" s="5" t="s">
        <v>61</v>
      </c>
      <c r="T1796" s="5" t="s">
        <v>44</v>
      </c>
      <c r="U1796" s="5" t="s">
        <v>311</v>
      </c>
      <c r="V1796" s="5" t="s">
        <v>44</v>
      </c>
      <c r="W1796" s="5" t="s">
        <v>35</v>
      </c>
      <c r="X1796" s="8" t="s">
        <v>248</v>
      </c>
      <c r="Y1796" s="5" t="s">
        <v>46</v>
      </c>
      <c r="Z1796" s="5" t="s">
        <v>47</v>
      </c>
      <c r="AA1796" s="5" t="s">
        <v>48</v>
      </c>
      <c r="AB1796" s="5" t="s">
        <v>8668</v>
      </c>
      <c r="AC1796" s="6" t="s">
        <v>50</v>
      </c>
      <c r="AD1796" s="6">
        <v>7232.0</v>
      </c>
    </row>
    <row r="1797" ht="56.25" customHeight="1">
      <c r="A1797" s="5" t="s">
        <v>8662</v>
      </c>
      <c r="B1797" s="6" t="str">
        <f>IMAGE("https://storage.googleapis.com/acdb/housewares/FtrFlowerStoolS_Remake_1_0.png")</f>
        <v/>
      </c>
      <c r="C1797" s="5" t="s">
        <v>52</v>
      </c>
      <c r="D1797" s="5" t="s">
        <v>2163</v>
      </c>
      <c r="E1797" s="5" t="s">
        <v>34</v>
      </c>
      <c r="F1797" s="5" t="s">
        <v>34</v>
      </c>
      <c r="G1797" s="5" t="s">
        <v>35</v>
      </c>
      <c r="H1797" s="5" t="s">
        <v>35</v>
      </c>
      <c r="I1797" s="5" t="s">
        <v>36</v>
      </c>
      <c r="J1797" s="6">
        <v>1.0</v>
      </c>
      <c r="K1797" s="6" t="s">
        <v>37</v>
      </c>
      <c r="L1797" s="6">
        <v>440.0</v>
      </c>
      <c r="M1797" s="26" t="s">
        <v>52</v>
      </c>
      <c r="N1797" s="26" t="s">
        <v>52</v>
      </c>
      <c r="O1797" s="6" t="s">
        <v>40</v>
      </c>
      <c r="P1797" s="5" t="s">
        <v>41</v>
      </c>
      <c r="Q1797" s="5"/>
      <c r="R1797" s="6" t="s">
        <v>42</v>
      </c>
      <c r="S1797" s="5" t="s">
        <v>61</v>
      </c>
      <c r="T1797" s="5" t="s">
        <v>44</v>
      </c>
      <c r="U1797" s="5" t="s">
        <v>311</v>
      </c>
      <c r="V1797" s="5" t="s">
        <v>44</v>
      </c>
      <c r="W1797" s="5" t="s">
        <v>35</v>
      </c>
      <c r="X1797" s="8" t="s">
        <v>248</v>
      </c>
      <c r="Y1797" s="5" t="s">
        <v>46</v>
      </c>
      <c r="Z1797" s="5" t="s">
        <v>47</v>
      </c>
      <c r="AA1797" s="5" t="s">
        <v>48</v>
      </c>
      <c r="AB1797" s="5" t="s">
        <v>8673</v>
      </c>
      <c r="AC1797" s="6" t="s">
        <v>56</v>
      </c>
      <c r="AD1797" s="6">
        <v>7232.0</v>
      </c>
    </row>
    <row r="1798" ht="56.25" customHeight="1">
      <c r="A1798" s="5" t="s">
        <v>8662</v>
      </c>
      <c r="B1798" s="6" t="str">
        <f>IMAGE("https://storage.googleapis.com/acdb/housewares/FtrFlowerStoolS_Remake_2_0.png")</f>
        <v/>
      </c>
      <c r="C1798" s="5" t="s">
        <v>57</v>
      </c>
      <c r="D1798" s="5" t="s">
        <v>2163</v>
      </c>
      <c r="E1798" s="5" t="s">
        <v>34</v>
      </c>
      <c r="F1798" s="5" t="s">
        <v>34</v>
      </c>
      <c r="G1798" s="5" t="s">
        <v>35</v>
      </c>
      <c r="H1798" s="5" t="s">
        <v>35</v>
      </c>
      <c r="I1798" s="5" t="s">
        <v>36</v>
      </c>
      <c r="J1798" s="6">
        <v>1.0</v>
      </c>
      <c r="K1798" s="6" t="s">
        <v>37</v>
      </c>
      <c r="L1798" s="6">
        <v>440.0</v>
      </c>
      <c r="M1798" s="26" t="s">
        <v>57</v>
      </c>
      <c r="N1798" s="26" t="s">
        <v>57</v>
      </c>
      <c r="O1798" s="6" t="s">
        <v>40</v>
      </c>
      <c r="P1798" s="5" t="s">
        <v>41</v>
      </c>
      <c r="Q1798" s="5"/>
      <c r="R1798" s="6" t="s">
        <v>42</v>
      </c>
      <c r="S1798" s="5" t="s">
        <v>61</v>
      </c>
      <c r="T1798" s="5" t="s">
        <v>44</v>
      </c>
      <c r="U1798" s="5" t="s">
        <v>311</v>
      </c>
      <c r="V1798" s="5" t="s">
        <v>44</v>
      </c>
      <c r="W1798" s="5" t="s">
        <v>35</v>
      </c>
      <c r="X1798" s="8" t="s">
        <v>248</v>
      </c>
      <c r="Y1798" s="5" t="s">
        <v>46</v>
      </c>
      <c r="Z1798" s="5" t="s">
        <v>47</v>
      </c>
      <c r="AA1798" s="5" t="s">
        <v>48</v>
      </c>
      <c r="AB1798" s="5" t="s">
        <v>8679</v>
      </c>
      <c r="AC1798" s="6" t="s">
        <v>67</v>
      </c>
      <c r="AD1798" s="6">
        <v>7232.0</v>
      </c>
    </row>
    <row r="1799" ht="56.25" customHeight="1">
      <c r="A1799" s="5" t="s">
        <v>8682</v>
      </c>
      <c r="B1799" s="6" t="str">
        <f>IMAGE("https://storage.googleapis.com/acdb/housewares/FtrMushroomLamp_Remake_0_0.png")</f>
        <v/>
      </c>
      <c r="C1799" s="5" t="s">
        <v>8218</v>
      </c>
      <c r="D1799" s="5" t="s">
        <v>8219</v>
      </c>
      <c r="E1799" s="5" t="s">
        <v>34</v>
      </c>
      <c r="F1799" s="5" t="s">
        <v>34</v>
      </c>
      <c r="G1799" s="5" t="s">
        <v>35</v>
      </c>
      <c r="H1799" s="5" t="s">
        <v>35</v>
      </c>
      <c r="I1799" s="5" t="s">
        <v>36</v>
      </c>
      <c r="J1799" s="6">
        <v>3.0</v>
      </c>
      <c r="K1799" s="6" t="s">
        <v>37</v>
      </c>
      <c r="L1799" s="6">
        <v>1600.0</v>
      </c>
      <c r="M1799" s="26" t="s">
        <v>39</v>
      </c>
      <c r="N1799" s="26" t="s">
        <v>39</v>
      </c>
      <c r="O1799" s="6" t="s">
        <v>40</v>
      </c>
      <c r="P1799" s="5" t="s">
        <v>41</v>
      </c>
      <c r="Q1799" s="5" t="s">
        <v>1785</v>
      </c>
      <c r="R1799" s="6" t="s">
        <v>42</v>
      </c>
      <c r="S1799" s="5" t="s">
        <v>172</v>
      </c>
      <c r="T1799" s="5" t="s">
        <v>44</v>
      </c>
      <c r="U1799" s="5" t="s">
        <v>1786</v>
      </c>
      <c r="V1799" s="5" t="s">
        <v>44</v>
      </c>
      <c r="W1799" s="5" t="s">
        <v>35</v>
      </c>
      <c r="X1799" s="8" t="s">
        <v>467</v>
      </c>
      <c r="Y1799" s="5" t="s">
        <v>46</v>
      </c>
      <c r="Z1799" s="5" t="s">
        <v>502</v>
      </c>
      <c r="AA1799" s="5" t="s">
        <v>48</v>
      </c>
      <c r="AB1799" s="5" t="s">
        <v>8688</v>
      </c>
      <c r="AC1799" s="6" t="s">
        <v>50</v>
      </c>
      <c r="AD1799" s="6">
        <v>805.0</v>
      </c>
    </row>
    <row r="1800" ht="56.25" customHeight="1">
      <c r="A1800" s="5" t="s">
        <v>8682</v>
      </c>
      <c r="B1800" s="6" t="str">
        <f>IMAGE("https://storage.googleapis.com/acdb/housewares/FtrMushroomLamp_Remake_1_0.png")</f>
        <v/>
      </c>
      <c r="C1800" s="5" t="s">
        <v>8223</v>
      </c>
      <c r="D1800" s="5" t="s">
        <v>8219</v>
      </c>
      <c r="E1800" s="5" t="s">
        <v>34</v>
      </c>
      <c r="F1800" s="5" t="s">
        <v>34</v>
      </c>
      <c r="G1800" s="5" t="s">
        <v>35</v>
      </c>
      <c r="H1800" s="5" t="s">
        <v>35</v>
      </c>
      <c r="I1800" s="5" t="s">
        <v>36</v>
      </c>
      <c r="J1800" s="6">
        <v>3.0</v>
      </c>
      <c r="K1800" s="6" t="s">
        <v>37</v>
      </c>
      <c r="L1800" s="6">
        <v>1600.0</v>
      </c>
      <c r="M1800" s="26" t="s">
        <v>57</v>
      </c>
      <c r="N1800" s="26" t="s">
        <v>57</v>
      </c>
      <c r="O1800" s="6" t="s">
        <v>40</v>
      </c>
      <c r="P1800" s="5" t="s">
        <v>41</v>
      </c>
      <c r="Q1800" s="5" t="s">
        <v>1785</v>
      </c>
      <c r="R1800" s="6" t="s">
        <v>42</v>
      </c>
      <c r="S1800" s="5" t="s">
        <v>172</v>
      </c>
      <c r="T1800" s="5" t="s">
        <v>44</v>
      </c>
      <c r="U1800" s="5" t="s">
        <v>1786</v>
      </c>
      <c r="V1800" s="5" t="s">
        <v>44</v>
      </c>
      <c r="W1800" s="5" t="s">
        <v>35</v>
      </c>
      <c r="X1800" s="8" t="s">
        <v>467</v>
      </c>
      <c r="Y1800" s="5" t="s">
        <v>46</v>
      </c>
      <c r="Z1800" s="5" t="s">
        <v>502</v>
      </c>
      <c r="AA1800" s="5" t="s">
        <v>48</v>
      </c>
      <c r="AB1800" s="5" t="s">
        <v>8692</v>
      </c>
      <c r="AC1800" s="6" t="s">
        <v>56</v>
      </c>
      <c r="AD1800" s="6">
        <v>805.0</v>
      </c>
    </row>
    <row r="1801" ht="56.25" customHeight="1">
      <c r="A1801" s="5" t="s">
        <v>8682</v>
      </c>
      <c r="B1801" s="6" t="str">
        <f>IMAGE("https://storage.googleapis.com/acdb/housewares/FtrMushroomLamp_Remake_2_0.png")</f>
        <v/>
      </c>
      <c r="C1801" s="5" t="s">
        <v>8228</v>
      </c>
      <c r="D1801" s="5" t="s">
        <v>8219</v>
      </c>
      <c r="E1801" s="5" t="s">
        <v>34</v>
      </c>
      <c r="F1801" s="5" t="s">
        <v>34</v>
      </c>
      <c r="G1801" s="5" t="s">
        <v>35</v>
      </c>
      <c r="H1801" s="5" t="s">
        <v>35</v>
      </c>
      <c r="I1801" s="5" t="s">
        <v>36</v>
      </c>
      <c r="J1801" s="6">
        <v>3.0</v>
      </c>
      <c r="K1801" s="6" t="s">
        <v>37</v>
      </c>
      <c r="L1801" s="6">
        <v>1600.0</v>
      </c>
      <c r="M1801" s="26" t="s">
        <v>68</v>
      </c>
      <c r="N1801" s="26" t="s">
        <v>68</v>
      </c>
      <c r="O1801" s="6" t="s">
        <v>40</v>
      </c>
      <c r="P1801" s="5" t="s">
        <v>41</v>
      </c>
      <c r="Q1801" s="5" t="s">
        <v>1785</v>
      </c>
      <c r="R1801" s="6" t="s">
        <v>42</v>
      </c>
      <c r="S1801" s="5" t="s">
        <v>172</v>
      </c>
      <c r="T1801" s="5" t="s">
        <v>44</v>
      </c>
      <c r="U1801" s="5" t="s">
        <v>1786</v>
      </c>
      <c r="V1801" s="5" t="s">
        <v>44</v>
      </c>
      <c r="W1801" s="5" t="s">
        <v>35</v>
      </c>
      <c r="X1801" s="8" t="s">
        <v>467</v>
      </c>
      <c r="Y1801" s="5" t="s">
        <v>46</v>
      </c>
      <c r="Z1801" s="5" t="s">
        <v>502</v>
      </c>
      <c r="AA1801" s="5" t="s">
        <v>48</v>
      </c>
      <c r="AB1801" s="5" t="s">
        <v>8697</v>
      </c>
      <c r="AC1801" s="6" t="s">
        <v>67</v>
      </c>
      <c r="AD1801" s="6">
        <v>805.0</v>
      </c>
    </row>
    <row r="1802" ht="56.25" customHeight="1">
      <c r="A1802" s="5" t="s">
        <v>8682</v>
      </c>
      <c r="B1802" s="6" t="str">
        <f>IMAGE("https://storage.googleapis.com/acdb/housewares/FtrMushroomLamp_Remake_3_0.png")</f>
        <v/>
      </c>
      <c r="C1802" s="5" t="s">
        <v>8231</v>
      </c>
      <c r="D1802" s="5" t="s">
        <v>8219</v>
      </c>
      <c r="E1802" s="5" t="s">
        <v>34</v>
      </c>
      <c r="F1802" s="5" t="s">
        <v>34</v>
      </c>
      <c r="G1802" s="5" t="s">
        <v>35</v>
      </c>
      <c r="H1802" s="5" t="s">
        <v>35</v>
      </c>
      <c r="I1802" s="5" t="s">
        <v>36</v>
      </c>
      <c r="J1802" s="6">
        <v>3.0</v>
      </c>
      <c r="K1802" s="6" t="s">
        <v>37</v>
      </c>
      <c r="L1802" s="6">
        <v>1600.0</v>
      </c>
      <c r="M1802" s="26" t="s">
        <v>52</v>
      </c>
      <c r="N1802" s="26" t="s">
        <v>38</v>
      </c>
      <c r="O1802" s="6" t="s">
        <v>40</v>
      </c>
      <c r="P1802" s="5" t="s">
        <v>41</v>
      </c>
      <c r="Q1802" s="5" t="s">
        <v>1785</v>
      </c>
      <c r="R1802" s="6" t="s">
        <v>42</v>
      </c>
      <c r="S1802" s="5" t="s">
        <v>172</v>
      </c>
      <c r="T1802" s="5" t="s">
        <v>44</v>
      </c>
      <c r="U1802" s="5" t="s">
        <v>1786</v>
      </c>
      <c r="V1802" s="5" t="s">
        <v>44</v>
      </c>
      <c r="W1802" s="5" t="s">
        <v>35</v>
      </c>
      <c r="X1802" s="8" t="s">
        <v>467</v>
      </c>
      <c r="Y1802" s="5" t="s">
        <v>46</v>
      </c>
      <c r="Z1802" s="5" t="s">
        <v>502</v>
      </c>
      <c r="AA1802" s="5" t="s">
        <v>48</v>
      </c>
      <c r="AB1802" s="5" t="s">
        <v>8703</v>
      </c>
      <c r="AC1802" s="6" t="s">
        <v>71</v>
      </c>
      <c r="AD1802" s="6">
        <v>805.0</v>
      </c>
    </row>
    <row r="1803" ht="56.25" customHeight="1">
      <c r="A1803" s="5" t="s">
        <v>8682</v>
      </c>
      <c r="B1803" s="6" t="str">
        <f>IMAGE("https://storage.googleapis.com/acdb/housewares/FtrMushroomLamp_Remake_4_0.png")</f>
        <v/>
      </c>
      <c r="C1803" s="5" t="s">
        <v>8234</v>
      </c>
      <c r="D1803" s="5" t="s">
        <v>8219</v>
      </c>
      <c r="E1803" s="5" t="s">
        <v>34</v>
      </c>
      <c r="F1803" s="5" t="s">
        <v>34</v>
      </c>
      <c r="G1803" s="5" t="s">
        <v>35</v>
      </c>
      <c r="H1803" s="5" t="s">
        <v>35</v>
      </c>
      <c r="I1803" s="5" t="s">
        <v>36</v>
      </c>
      <c r="J1803" s="6">
        <v>3.0</v>
      </c>
      <c r="K1803" s="6" t="s">
        <v>37</v>
      </c>
      <c r="L1803" s="6">
        <v>1600.0</v>
      </c>
      <c r="M1803" s="26" t="s">
        <v>114</v>
      </c>
      <c r="N1803" s="26" t="s">
        <v>114</v>
      </c>
      <c r="O1803" s="6" t="s">
        <v>40</v>
      </c>
      <c r="P1803" s="5" t="s">
        <v>41</v>
      </c>
      <c r="Q1803" s="5" t="s">
        <v>1785</v>
      </c>
      <c r="R1803" s="6" t="s">
        <v>42</v>
      </c>
      <c r="S1803" s="5" t="s">
        <v>172</v>
      </c>
      <c r="T1803" s="5" t="s">
        <v>44</v>
      </c>
      <c r="U1803" s="5" t="s">
        <v>1786</v>
      </c>
      <c r="V1803" s="5" t="s">
        <v>44</v>
      </c>
      <c r="W1803" s="5" t="s">
        <v>35</v>
      </c>
      <c r="X1803" s="8" t="s">
        <v>467</v>
      </c>
      <c r="Y1803" s="5" t="s">
        <v>46</v>
      </c>
      <c r="Z1803" s="5" t="s">
        <v>502</v>
      </c>
      <c r="AA1803" s="5" t="s">
        <v>48</v>
      </c>
      <c r="AB1803" s="5" t="s">
        <v>8710</v>
      </c>
      <c r="AC1803" s="6" t="s">
        <v>75</v>
      </c>
      <c r="AD1803" s="6">
        <v>805.0</v>
      </c>
    </row>
    <row r="1804" ht="56.25" customHeight="1">
      <c r="A1804" s="5" t="s">
        <v>8711</v>
      </c>
      <c r="B1804" s="6" t="str">
        <f>IMAGE("https://storage.googleapis.com/acdb/housewares/FtrMushroomPulpwood_Remake_0_0.png")</f>
        <v/>
      </c>
      <c r="C1804" s="5" t="s">
        <v>8218</v>
      </c>
      <c r="D1804" s="5" t="s">
        <v>8219</v>
      </c>
      <c r="E1804" s="5" t="s">
        <v>34</v>
      </c>
      <c r="F1804" s="5" t="s">
        <v>34</v>
      </c>
      <c r="G1804" s="5" t="s">
        <v>35</v>
      </c>
      <c r="H1804" s="5" t="s">
        <v>35</v>
      </c>
      <c r="I1804" s="5" t="s">
        <v>36</v>
      </c>
      <c r="J1804" s="6">
        <v>3.0</v>
      </c>
      <c r="K1804" s="6" t="s">
        <v>37</v>
      </c>
      <c r="L1804" s="6">
        <v>1680.0</v>
      </c>
      <c r="M1804" s="26" t="s">
        <v>39</v>
      </c>
      <c r="N1804" s="26" t="s">
        <v>39</v>
      </c>
      <c r="O1804" s="6" t="s">
        <v>40</v>
      </c>
      <c r="P1804" s="5" t="s">
        <v>41</v>
      </c>
      <c r="Q1804" s="5" t="s">
        <v>1785</v>
      </c>
      <c r="R1804" s="6" t="s">
        <v>42</v>
      </c>
      <c r="S1804" s="5" t="s">
        <v>141</v>
      </c>
      <c r="T1804" s="5" t="s">
        <v>172</v>
      </c>
      <c r="U1804" s="5" t="s">
        <v>1786</v>
      </c>
      <c r="V1804" s="5" t="s">
        <v>44</v>
      </c>
      <c r="W1804" s="5" t="s">
        <v>36</v>
      </c>
      <c r="X1804" s="8" t="s">
        <v>230</v>
      </c>
      <c r="Y1804" s="5" t="s">
        <v>46</v>
      </c>
      <c r="Z1804" s="5" t="s">
        <v>47</v>
      </c>
      <c r="AA1804" s="5" t="s">
        <v>48</v>
      </c>
      <c r="AB1804" s="5" t="s">
        <v>8716</v>
      </c>
      <c r="AC1804" s="6" t="s">
        <v>50</v>
      </c>
      <c r="AD1804" s="6">
        <v>3808.0</v>
      </c>
    </row>
    <row r="1805" ht="56.25" customHeight="1">
      <c r="A1805" s="5" t="s">
        <v>8711</v>
      </c>
      <c r="B1805" s="6" t="str">
        <f>IMAGE("https://storage.googleapis.com/acdb/housewares/FtrMushroomPulpwood_Remake_1_0.png")</f>
        <v/>
      </c>
      <c r="C1805" s="5" t="s">
        <v>8223</v>
      </c>
      <c r="D1805" s="5" t="s">
        <v>8219</v>
      </c>
      <c r="E1805" s="5" t="s">
        <v>34</v>
      </c>
      <c r="F1805" s="5" t="s">
        <v>34</v>
      </c>
      <c r="G1805" s="5" t="s">
        <v>35</v>
      </c>
      <c r="H1805" s="5" t="s">
        <v>35</v>
      </c>
      <c r="I1805" s="5" t="s">
        <v>36</v>
      </c>
      <c r="J1805" s="6">
        <v>3.0</v>
      </c>
      <c r="K1805" s="6" t="s">
        <v>37</v>
      </c>
      <c r="L1805" s="6">
        <v>1680.0</v>
      </c>
      <c r="M1805" s="26" t="s">
        <v>39</v>
      </c>
      <c r="N1805" s="26" t="s">
        <v>57</v>
      </c>
      <c r="O1805" s="6" t="s">
        <v>40</v>
      </c>
      <c r="P1805" s="5" t="s">
        <v>41</v>
      </c>
      <c r="Q1805" s="5" t="s">
        <v>1785</v>
      </c>
      <c r="R1805" s="6" t="s">
        <v>42</v>
      </c>
      <c r="S1805" s="5" t="s">
        <v>141</v>
      </c>
      <c r="T1805" s="5" t="s">
        <v>172</v>
      </c>
      <c r="U1805" s="5" t="s">
        <v>1786</v>
      </c>
      <c r="V1805" s="5" t="s">
        <v>44</v>
      </c>
      <c r="W1805" s="5" t="s">
        <v>36</v>
      </c>
      <c r="X1805" s="8" t="s">
        <v>230</v>
      </c>
      <c r="Y1805" s="5" t="s">
        <v>46</v>
      </c>
      <c r="Z1805" s="5" t="s">
        <v>47</v>
      </c>
      <c r="AA1805" s="5" t="s">
        <v>48</v>
      </c>
      <c r="AB1805" s="5" t="s">
        <v>8721</v>
      </c>
      <c r="AC1805" s="6" t="s">
        <v>56</v>
      </c>
      <c r="AD1805" s="6">
        <v>3808.0</v>
      </c>
    </row>
    <row r="1806" ht="56.25" customHeight="1">
      <c r="A1806" s="5" t="s">
        <v>8711</v>
      </c>
      <c r="B1806" s="6" t="str">
        <f>IMAGE("https://storage.googleapis.com/acdb/housewares/FtrMushroomPulpwood_Remake_2_0.png")</f>
        <v/>
      </c>
      <c r="C1806" s="5" t="s">
        <v>8228</v>
      </c>
      <c r="D1806" s="5" t="s">
        <v>8219</v>
      </c>
      <c r="E1806" s="5" t="s">
        <v>34</v>
      </c>
      <c r="F1806" s="5" t="s">
        <v>34</v>
      </c>
      <c r="G1806" s="5" t="s">
        <v>35</v>
      </c>
      <c r="H1806" s="5" t="s">
        <v>35</v>
      </c>
      <c r="I1806" s="5" t="s">
        <v>36</v>
      </c>
      <c r="J1806" s="6">
        <v>3.0</v>
      </c>
      <c r="K1806" s="6" t="s">
        <v>37</v>
      </c>
      <c r="L1806" s="6">
        <v>1680.0</v>
      </c>
      <c r="M1806" s="26" t="s">
        <v>39</v>
      </c>
      <c r="N1806" s="26" t="s">
        <v>106</v>
      </c>
      <c r="O1806" s="6" t="s">
        <v>40</v>
      </c>
      <c r="P1806" s="5" t="s">
        <v>41</v>
      </c>
      <c r="Q1806" s="5" t="s">
        <v>1785</v>
      </c>
      <c r="R1806" s="6" t="s">
        <v>42</v>
      </c>
      <c r="S1806" s="5" t="s">
        <v>141</v>
      </c>
      <c r="T1806" s="5" t="s">
        <v>172</v>
      </c>
      <c r="U1806" s="5" t="s">
        <v>1786</v>
      </c>
      <c r="V1806" s="5" t="s">
        <v>44</v>
      </c>
      <c r="W1806" s="5" t="s">
        <v>36</v>
      </c>
      <c r="X1806" s="8" t="s">
        <v>230</v>
      </c>
      <c r="Y1806" s="5" t="s">
        <v>46</v>
      </c>
      <c r="Z1806" s="5" t="s">
        <v>47</v>
      </c>
      <c r="AA1806" s="5" t="s">
        <v>48</v>
      </c>
      <c r="AB1806" s="5" t="s">
        <v>8727</v>
      </c>
      <c r="AC1806" s="6" t="s">
        <v>67</v>
      </c>
      <c r="AD1806" s="6">
        <v>3808.0</v>
      </c>
    </row>
    <row r="1807" ht="56.25" customHeight="1">
      <c r="A1807" s="5" t="s">
        <v>8711</v>
      </c>
      <c r="B1807" s="6" t="str">
        <f>IMAGE("https://storage.googleapis.com/acdb/housewares/FtrMushroomPulpwood_Remake_3_0.png")</f>
        <v/>
      </c>
      <c r="C1807" s="5" t="s">
        <v>8231</v>
      </c>
      <c r="D1807" s="5" t="s">
        <v>8219</v>
      </c>
      <c r="E1807" s="5" t="s">
        <v>34</v>
      </c>
      <c r="F1807" s="5" t="s">
        <v>34</v>
      </c>
      <c r="G1807" s="5" t="s">
        <v>35</v>
      </c>
      <c r="H1807" s="5" t="s">
        <v>35</v>
      </c>
      <c r="I1807" s="5" t="s">
        <v>36</v>
      </c>
      <c r="J1807" s="6">
        <v>3.0</v>
      </c>
      <c r="K1807" s="6" t="s">
        <v>37</v>
      </c>
      <c r="L1807" s="6">
        <v>1680.0</v>
      </c>
      <c r="M1807" s="26" t="s">
        <v>39</v>
      </c>
      <c r="N1807" s="26" t="s">
        <v>52</v>
      </c>
      <c r="O1807" s="6" t="s">
        <v>40</v>
      </c>
      <c r="P1807" s="5" t="s">
        <v>41</v>
      </c>
      <c r="Q1807" s="5" t="s">
        <v>1785</v>
      </c>
      <c r="R1807" s="6" t="s">
        <v>42</v>
      </c>
      <c r="S1807" s="5" t="s">
        <v>141</v>
      </c>
      <c r="T1807" s="5" t="s">
        <v>172</v>
      </c>
      <c r="U1807" s="5" t="s">
        <v>1786</v>
      </c>
      <c r="V1807" s="5" t="s">
        <v>44</v>
      </c>
      <c r="W1807" s="5" t="s">
        <v>36</v>
      </c>
      <c r="X1807" s="8" t="s">
        <v>230</v>
      </c>
      <c r="Y1807" s="5" t="s">
        <v>46</v>
      </c>
      <c r="Z1807" s="5" t="s">
        <v>47</v>
      </c>
      <c r="AA1807" s="5" t="s">
        <v>48</v>
      </c>
      <c r="AB1807" s="5" t="s">
        <v>8735</v>
      </c>
      <c r="AC1807" s="6" t="s">
        <v>71</v>
      </c>
      <c r="AD1807" s="6">
        <v>3808.0</v>
      </c>
    </row>
    <row r="1808" ht="56.25" customHeight="1">
      <c r="A1808" s="5" t="s">
        <v>8711</v>
      </c>
      <c r="B1808" s="6" t="str">
        <f>IMAGE("https://storage.googleapis.com/acdb/housewares/FtrMushroomPulpwood_Remake_4_0.png")</f>
        <v/>
      </c>
      <c r="C1808" s="5" t="s">
        <v>8234</v>
      </c>
      <c r="D1808" s="5" t="s">
        <v>8219</v>
      </c>
      <c r="E1808" s="5" t="s">
        <v>34</v>
      </c>
      <c r="F1808" s="5" t="s">
        <v>34</v>
      </c>
      <c r="G1808" s="5" t="s">
        <v>35</v>
      </c>
      <c r="H1808" s="5" t="s">
        <v>35</v>
      </c>
      <c r="I1808" s="5" t="s">
        <v>36</v>
      </c>
      <c r="J1808" s="6">
        <v>3.0</v>
      </c>
      <c r="K1808" s="6" t="s">
        <v>37</v>
      </c>
      <c r="L1808" s="6">
        <v>1680.0</v>
      </c>
      <c r="M1808" s="26" t="s">
        <v>39</v>
      </c>
      <c r="N1808" s="26" t="s">
        <v>142</v>
      </c>
      <c r="O1808" s="6" t="s">
        <v>40</v>
      </c>
      <c r="P1808" s="5" t="s">
        <v>41</v>
      </c>
      <c r="Q1808" s="5" t="s">
        <v>1785</v>
      </c>
      <c r="R1808" s="6" t="s">
        <v>42</v>
      </c>
      <c r="S1808" s="5" t="s">
        <v>141</v>
      </c>
      <c r="T1808" s="5" t="s">
        <v>172</v>
      </c>
      <c r="U1808" s="5" t="s">
        <v>1786</v>
      </c>
      <c r="V1808" s="5" t="s">
        <v>44</v>
      </c>
      <c r="W1808" s="5" t="s">
        <v>36</v>
      </c>
      <c r="X1808" s="8" t="s">
        <v>230</v>
      </c>
      <c r="Y1808" s="5" t="s">
        <v>46</v>
      </c>
      <c r="Z1808" s="5" t="s">
        <v>47</v>
      </c>
      <c r="AA1808" s="5" t="s">
        <v>48</v>
      </c>
      <c r="AB1808" s="5" t="s">
        <v>8741</v>
      </c>
      <c r="AC1808" s="6" t="s">
        <v>75</v>
      </c>
      <c r="AD1808" s="6">
        <v>3808.0</v>
      </c>
    </row>
    <row r="1809" ht="56.25" customHeight="1">
      <c r="A1809" s="5" t="s">
        <v>8742</v>
      </c>
      <c r="B1809" s="6" t="str">
        <f>IMAGE("https://storage.googleapis.com/acdb/housewares/FtrMushroomChairS_Remake_0_0.png")</f>
        <v/>
      </c>
      <c r="C1809" s="5" t="s">
        <v>8218</v>
      </c>
      <c r="D1809" s="5" t="s">
        <v>8219</v>
      </c>
      <c r="E1809" s="5" t="s">
        <v>34</v>
      </c>
      <c r="F1809" s="5" t="s">
        <v>34</v>
      </c>
      <c r="G1809" s="5" t="s">
        <v>35</v>
      </c>
      <c r="H1809" s="5" t="s">
        <v>35</v>
      </c>
      <c r="I1809" s="5" t="s">
        <v>36</v>
      </c>
      <c r="J1809" s="6">
        <v>2.0</v>
      </c>
      <c r="K1809" s="6" t="s">
        <v>37</v>
      </c>
      <c r="L1809" s="6">
        <v>800.0</v>
      </c>
      <c r="M1809" s="26" t="s">
        <v>39</v>
      </c>
      <c r="N1809" s="26" t="s">
        <v>38</v>
      </c>
      <c r="O1809" s="6" t="s">
        <v>40</v>
      </c>
      <c r="P1809" s="5" t="s">
        <v>41</v>
      </c>
      <c r="Q1809" s="5" t="s">
        <v>1785</v>
      </c>
      <c r="R1809" s="6" t="s">
        <v>42</v>
      </c>
      <c r="S1809" s="5" t="s">
        <v>172</v>
      </c>
      <c r="T1809" s="5" t="s">
        <v>44</v>
      </c>
      <c r="U1809" s="5" t="s">
        <v>1786</v>
      </c>
      <c r="V1809" s="5" t="s">
        <v>44</v>
      </c>
      <c r="W1809" s="5" t="s">
        <v>35</v>
      </c>
      <c r="X1809" s="8" t="s">
        <v>248</v>
      </c>
      <c r="Y1809" s="5" t="s">
        <v>46</v>
      </c>
      <c r="Z1809" s="5" t="s">
        <v>47</v>
      </c>
      <c r="AA1809" s="5" t="s">
        <v>48</v>
      </c>
      <c r="AB1809" s="5" t="s">
        <v>8749</v>
      </c>
      <c r="AC1809" s="6" t="s">
        <v>50</v>
      </c>
      <c r="AD1809" s="6">
        <v>4708.0</v>
      </c>
    </row>
    <row r="1810" ht="56.25" customHeight="1">
      <c r="A1810" s="5" t="s">
        <v>8742</v>
      </c>
      <c r="B1810" s="6" t="str">
        <f>IMAGE("https://storage.googleapis.com/acdb/housewares/FtrMushroomChairS_Remake_1_0.png")</f>
        <v/>
      </c>
      <c r="C1810" s="5" t="s">
        <v>8223</v>
      </c>
      <c r="D1810" s="5" t="s">
        <v>8219</v>
      </c>
      <c r="E1810" s="5" t="s">
        <v>34</v>
      </c>
      <c r="F1810" s="5" t="s">
        <v>34</v>
      </c>
      <c r="G1810" s="5" t="s">
        <v>35</v>
      </c>
      <c r="H1810" s="5" t="s">
        <v>35</v>
      </c>
      <c r="I1810" s="5" t="s">
        <v>36</v>
      </c>
      <c r="J1810" s="6">
        <v>2.0</v>
      </c>
      <c r="K1810" s="6" t="s">
        <v>37</v>
      </c>
      <c r="L1810" s="6">
        <v>800.0</v>
      </c>
      <c r="M1810" s="26" t="s">
        <v>57</v>
      </c>
      <c r="N1810" s="26" t="s">
        <v>57</v>
      </c>
      <c r="O1810" s="6" t="s">
        <v>40</v>
      </c>
      <c r="P1810" s="5" t="s">
        <v>41</v>
      </c>
      <c r="Q1810" s="5" t="s">
        <v>1785</v>
      </c>
      <c r="R1810" s="6" t="s">
        <v>42</v>
      </c>
      <c r="S1810" s="5" t="s">
        <v>172</v>
      </c>
      <c r="T1810" s="5" t="s">
        <v>44</v>
      </c>
      <c r="U1810" s="5" t="s">
        <v>1786</v>
      </c>
      <c r="V1810" s="5" t="s">
        <v>44</v>
      </c>
      <c r="W1810" s="5" t="s">
        <v>35</v>
      </c>
      <c r="X1810" s="8" t="s">
        <v>248</v>
      </c>
      <c r="Y1810" s="5" t="s">
        <v>46</v>
      </c>
      <c r="Z1810" s="5" t="s">
        <v>47</v>
      </c>
      <c r="AA1810" s="5" t="s">
        <v>48</v>
      </c>
      <c r="AB1810" s="5" t="s">
        <v>8756</v>
      </c>
      <c r="AC1810" s="6" t="s">
        <v>56</v>
      </c>
      <c r="AD1810" s="6">
        <v>4708.0</v>
      </c>
    </row>
    <row r="1811" ht="56.25" customHeight="1">
      <c r="A1811" s="5" t="s">
        <v>8742</v>
      </c>
      <c r="B1811" s="6" t="str">
        <f>IMAGE("https://storage.googleapis.com/acdb/housewares/FtrMushroomChairS_Remake_2_0.png")</f>
        <v/>
      </c>
      <c r="C1811" s="5" t="s">
        <v>8228</v>
      </c>
      <c r="D1811" s="5" t="s">
        <v>8219</v>
      </c>
      <c r="E1811" s="5" t="s">
        <v>34</v>
      </c>
      <c r="F1811" s="5" t="s">
        <v>34</v>
      </c>
      <c r="G1811" s="5" t="s">
        <v>35</v>
      </c>
      <c r="H1811" s="5" t="s">
        <v>35</v>
      </c>
      <c r="I1811" s="5" t="s">
        <v>36</v>
      </c>
      <c r="J1811" s="6">
        <v>2.0</v>
      </c>
      <c r="K1811" s="6" t="s">
        <v>37</v>
      </c>
      <c r="L1811" s="6">
        <v>800.0</v>
      </c>
      <c r="M1811" s="26" t="s">
        <v>39</v>
      </c>
      <c r="N1811" s="26" t="s">
        <v>39</v>
      </c>
      <c r="O1811" s="6" t="s">
        <v>40</v>
      </c>
      <c r="P1811" s="5" t="s">
        <v>41</v>
      </c>
      <c r="Q1811" s="5" t="s">
        <v>1785</v>
      </c>
      <c r="R1811" s="6" t="s">
        <v>42</v>
      </c>
      <c r="S1811" s="5" t="s">
        <v>172</v>
      </c>
      <c r="T1811" s="5" t="s">
        <v>44</v>
      </c>
      <c r="U1811" s="5" t="s">
        <v>1786</v>
      </c>
      <c r="V1811" s="5" t="s">
        <v>44</v>
      </c>
      <c r="W1811" s="5" t="s">
        <v>35</v>
      </c>
      <c r="X1811" s="8" t="s">
        <v>248</v>
      </c>
      <c r="Y1811" s="5" t="s">
        <v>46</v>
      </c>
      <c r="Z1811" s="5" t="s">
        <v>47</v>
      </c>
      <c r="AA1811" s="5" t="s">
        <v>48</v>
      </c>
      <c r="AB1811" s="5" t="s">
        <v>8762</v>
      </c>
      <c r="AC1811" s="6" t="s">
        <v>67</v>
      </c>
      <c r="AD1811" s="6">
        <v>4708.0</v>
      </c>
    </row>
    <row r="1812" ht="56.25" customHeight="1">
      <c r="A1812" s="5" t="s">
        <v>8742</v>
      </c>
      <c r="B1812" s="6" t="str">
        <f>IMAGE("https://storage.googleapis.com/acdb/housewares/FtrMushroomChairS_Remake_3_0.png")</f>
        <v/>
      </c>
      <c r="C1812" s="5" t="s">
        <v>8231</v>
      </c>
      <c r="D1812" s="5" t="s">
        <v>8219</v>
      </c>
      <c r="E1812" s="5" t="s">
        <v>34</v>
      </c>
      <c r="F1812" s="5" t="s">
        <v>34</v>
      </c>
      <c r="G1812" s="5" t="s">
        <v>35</v>
      </c>
      <c r="H1812" s="5" t="s">
        <v>35</v>
      </c>
      <c r="I1812" s="5" t="s">
        <v>36</v>
      </c>
      <c r="J1812" s="6">
        <v>2.0</v>
      </c>
      <c r="K1812" s="6" t="s">
        <v>37</v>
      </c>
      <c r="L1812" s="6">
        <v>800.0</v>
      </c>
      <c r="M1812" s="26" t="s">
        <v>52</v>
      </c>
      <c r="N1812" s="26" t="s">
        <v>38</v>
      </c>
      <c r="O1812" s="6" t="s">
        <v>40</v>
      </c>
      <c r="P1812" s="5" t="s">
        <v>41</v>
      </c>
      <c r="Q1812" s="5" t="s">
        <v>1785</v>
      </c>
      <c r="R1812" s="6" t="s">
        <v>42</v>
      </c>
      <c r="S1812" s="5" t="s">
        <v>172</v>
      </c>
      <c r="T1812" s="5" t="s">
        <v>44</v>
      </c>
      <c r="U1812" s="5" t="s">
        <v>1786</v>
      </c>
      <c r="V1812" s="5" t="s">
        <v>44</v>
      </c>
      <c r="W1812" s="5" t="s">
        <v>35</v>
      </c>
      <c r="X1812" s="8" t="s">
        <v>248</v>
      </c>
      <c r="Y1812" s="5" t="s">
        <v>46</v>
      </c>
      <c r="Z1812" s="5" t="s">
        <v>47</v>
      </c>
      <c r="AA1812" s="5" t="s">
        <v>48</v>
      </c>
      <c r="AB1812" s="5" t="s">
        <v>8768</v>
      </c>
      <c r="AC1812" s="6" t="s">
        <v>71</v>
      </c>
      <c r="AD1812" s="6">
        <v>4708.0</v>
      </c>
    </row>
    <row r="1813" ht="56.25" customHeight="1">
      <c r="A1813" s="5" t="s">
        <v>8742</v>
      </c>
      <c r="B1813" s="6" t="str">
        <f>IMAGE("https://storage.googleapis.com/acdb/housewares/FtrMushroomChairS_Remake_4_0.png")</f>
        <v/>
      </c>
      <c r="C1813" s="5" t="s">
        <v>8234</v>
      </c>
      <c r="D1813" s="5" t="s">
        <v>8219</v>
      </c>
      <c r="E1813" s="5" t="s">
        <v>34</v>
      </c>
      <c r="F1813" s="5" t="s">
        <v>34</v>
      </c>
      <c r="G1813" s="5" t="s">
        <v>35</v>
      </c>
      <c r="H1813" s="5" t="s">
        <v>35</v>
      </c>
      <c r="I1813" s="5" t="s">
        <v>36</v>
      </c>
      <c r="J1813" s="6">
        <v>2.0</v>
      </c>
      <c r="K1813" s="6" t="s">
        <v>37</v>
      </c>
      <c r="L1813" s="6">
        <v>800.0</v>
      </c>
      <c r="M1813" s="26" t="s">
        <v>114</v>
      </c>
      <c r="N1813" s="26" t="s">
        <v>38</v>
      </c>
      <c r="O1813" s="6" t="s">
        <v>40</v>
      </c>
      <c r="P1813" s="5" t="s">
        <v>41</v>
      </c>
      <c r="Q1813" s="5" t="s">
        <v>1785</v>
      </c>
      <c r="R1813" s="6" t="s">
        <v>42</v>
      </c>
      <c r="S1813" s="5" t="s">
        <v>172</v>
      </c>
      <c r="T1813" s="5" t="s">
        <v>44</v>
      </c>
      <c r="U1813" s="5" t="s">
        <v>1786</v>
      </c>
      <c r="V1813" s="5" t="s">
        <v>44</v>
      </c>
      <c r="W1813" s="5" t="s">
        <v>35</v>
      </c>
      <c r="X1813" s="8" t="s">
        <v>248</v>
      </c>
      <c r="Y1813" s="5" t="s">
        <v>46</v>
      </c>
      <c r="Z1813" s="5" t="s">
        <v>47</v>
      </c>
      <c r="AA1813" s="5" t="s">
        <v>48</v>
      </c>
      <c r="AB1813" s="5" t="s">
        <v>8772</v>
      </c>
      <c r="AC1813" s="6" t="s">
        <v>75</v>
      </c>
      <c r="AD1813" s="6">
        <v>4708.0</v>
      </c>
    </row>
    <row r="1814" ht="56.25" customHeight="1">
      <c r="A1814" s="5" t="s">
        <v>8773</v>
      </c>
      <c r="B1814" s="6" t="str">
        <f>IMAGE("https://storage.googleapis.com/acdb/housewares/FtrMushroomParasol_Remake_0_0.png")</f>
        <v/>
      </c>
      <c r="C1814" s="5" t="s">
        <v>8218</v>
      </c>
      <c r="D1814" s="5" t="s">
        <v>8219</v>
      </c>
      <c r="E1814" s="5" t="s">
        <v>34</v>
      </c>
      <c r="F1814" s="5" t="s">
        <v>34</v>
      </c>
      <c r="G1814" s="5" t="s">
        <v>35</v>
      </c>
      <c r="H1814" s="5" t="s">
        <v>35</v>
      </c>
      <c r="I1814" s="5" t="s">
        <v>36</v>
      </c>
      <c r="J1814" s="6">
        <v>2.0</v>
      </c>
      <c r="K1814" s="6" t="s">
        <v>37</v>
      </c>
      <c r="L1814" s="6">
        <v>1200.0</v>
      </c>
      <c r="M1814" s="26" t="s">
        <v>142</v>
      </c>
      <c r="N1814" s="26" t="s">
        <v>39</v>
      </c>
      <c r="O1814" s="6" t="s">
        <v>214</v>
      </c>
      <c r="P1814" s="5" t="s">
        <v>41</v>
      </c>
      <c r="Q1814" s="5" t="s">
        <v>1785</v>
      </c>
      <c r="R1814" s="6" t="s">
        <v>42</v>
      </c>
      <c r="S1814" s="5" t="s">
        <v>172</v>
      </c>
      <c r="T1814" s="5" t="s">
        <v>44</v>
      </c>
      <c r="U1814" s="5" t="s">
        <v>1786</v>
      </c>
      <c r="V1814" s="5" t="s">
        <v>44</v>
      </c>
      <c r="W1814" s="5" t="s">
        <v>36</v>
      </c>
      <c r="X1814" s="8" t="s">
        <v>244</v>
      </c>
      <c r="Y1814" s="5" t="s">
        <v>46</v>
      </c>
      <c r="Z1814" s="5" t="s">
        <v>47</v>
      </c>
      <c r="AA1814" s="5" t="s">
        <v>48</v>
      </c>
      <c r="AB1814" s="5" t="s">
        <v>8777</v>
      </c>
      <c r="AC1814" s="6" t="s">
        <v>50</v>
      </c>
      <c r="AD1814" s="6">
        <v>3805.0</v>
      </c>
    </row>
    <row r="1815" ht="56.25" customHeight="1">
      <c r="A1815" s="5" t="s">
        <v>8773</v>
      </c>
      <c r="B1815" s="6" t="str">
        <f>IMAGE("https://storage.googleapis.com/acdb/housewares/FtrMushroomParasol_Remake_1_0.png")</f>
        <v/>
      </c>
      <c r="C1815" s="5" t="s">
        <v>8223</v>
      </c>
      <c r="D1815" s="5" t="s">
        <v>8219</v>
      </c>
      <c r="E1815" s="5" t="s">
        <v>34</v>
      </c>
      <c r="F1815" s="5" t="s">
        <v>34</v>
      </c>
      <c r="G1815" s="5" t="s">
        <v>35</v>
      </c>
      <c r="H1815" s="5" t="s">
        <v>35</v>
      </c>
      <c r="I1815" s="5" t="s">
        <v>36</v>
      </c>
      <c r="J1815" s="6">
        <v>2.0</v>
      </c>
      <c r="K1815" s="6" t="s">
        <v>37</v>
      </c>
      <c r="L1815" s="6">
        <v>1200.0</v>
      </c>
      <c r="M1815" s="26" t="s">
        <v>57</v>
      </c>
      <c r="N1815" s="26" t="s">
        <v>39</v>
      </c>
      <c r="O1815" s="6" t="s">
        <v>214</v>
      </c>
      <c r="P1815" s="5" t="s">
        <v>41</v>
      </c>
      <c r="Q1815" s="5" t="s">
        <v>1785</v>
      </c>
      <c r="R1815" s="6" t="s">
        <v>42</v>
      </c>
      <c r="S1815" s="5" t="s">
        <v>172</v>
      </c>
      <c r="T1815" s="5" t="s">
        <v>44</v>
      </c>
      <c r="U1815" s="5" t="s">
        <v>1786</v>
      </c>
      <c r="V1815" s="5" t="s">
        <v>44</v>
      </c>
      <c r="W1815" s="5" t="s">
        <v>36</v>
      </c>
      <c r="X1815" s="8" t="s">
        <v>244</v>
      </c>
      <c r="Y1815" s="5" t="s">
        <v>46</v>
      </c>
      <c r="Z1815" s="5" t="s">
        <v>47</v>
      </c>
      <c r="AA1815" s="5" t="s">
        <v>48</v>
      </c>
      <c r="AB1815" s="5" t="s">
        <v>8783</v>
      </c>
      <c r="AC1815" s="6" t="s">
        <v>56</v>
      </c>
      <c r="AD1815" s="6">
        <v>3805.0</v>
      </c>
    </row>
    <row r="1816" ht="56.25" customHeight="1">
      <c r="A1816" s="5" t="s">
        <v>8773</v>
      </c>
      <c r="B1816" s="6" t="str">
        <f>IMAGE("https://storage.googleapis.com/acdb/housewares/FtrMushroomParasol_Remake_2_0.png")</f>
        <v/>
      </c>
      <c r="C1816" s="5" t="s">
        <v>8228</v>
      </c>
      <c r="D1816" s="5" t="s">
        <v>8219</v>
      </c>
      <c r="E1816" s="5" t="s">
        <v>34</v>
      </c>
      <c r="F1816" s="5" t="s">
        <v>34</v>
      </c>
      <c r="G1816" s="5" t="s">
        <v>35</v>
      </c>
      <c r="H1816" s="5" t="s">
        <v>35</v>
      </c>
      <c r="I1816" s="5" t="s">
        <v>36</v>
      </c>
      <c r="J1816" s="6">
        <v>2.0</v>
      </c>
      <c r="K1816" s="6" t="s">
        <v>37</v>
      </c>
      <c r="L1816" s="6">
        <v>1200.0</v>
      </c>
      <c r="M1816" s="26" t="s">
        <v>95</v>
      </c>
      <c r="N1816" s="26" t="s">
        <v>39</v>
      </c>
      <c r="O1816" s="6" t="s">
        <v>214</v>
      </c>
      <c r="P1816" s="5" t="s">
        <v>41</v>
      </c>
      <c r="Q1816" s="5" t="s">
        <v>1785</v>
      </c>
      <c r="R1816" s="6" t="s">
        <v>42</v>
      </c>
      <c r="S1816" s="5" t="s">
        <v>172</v>
      </c>
      <c r="T1816" s="5" t="s">
        <v>44</v>
      </c>
      <c r="U1816" s="5" t="s">
        <v>1786</v>
      </c>
      <c r="V1816" s="5" t="s">
        <v>44</v>
      </c>
      <c r="W1816" s="5" t="s">
        <v>36</v>
      </c>
      <c r="X1816" s="8" t="s">
        <v>244</v>
      </c>
      <c r="Y1816" s="5" t="s">
        <v>46</v>
      </c>
      <c r="Z1816" s="5" t="s">
        <v>47</v>
      </c>
      <c r="AA1816" s="5" t="s">
        <v>48</v>
      </c>
      <c r="AB1816" s="5" t="s">
        <v>8789</v>
      </c>
      <c r="AC1816" s="6" t="s">
        <v>67</v>
      </c>
      <c r="AD1816" s="6">
        <v>3805.0</v>
      </c>
    </row>
    <row r="1817" ht="56.25" customHeight="1">
      <c r="A1817" s="5" t="s">
        <v>8773</v>
      </c>
      <c r="B1817" s="6" t="str">
        <f>IMAGE("https://storage.googleapis.com/acdb/housewares/FtrMushroomParasol_Remake_3_0.png")</f>
        <v/>
      </c>
      <c r="C1817" s="5" t="s">
        <v>8231</v>
      </c>
      <c r="D1817" s="5" t="s">
        <v>8219</v>
      </c>
      <c r="E1817" s="5" t="s">
        <v>34</v>
      </c>
      <c r="F1817" s="5" t="s">
        <v>34</v>
      </c>
      <c r="G1817" s="5" t="s">
        <v>35</v>
      </c>
      <c r="H1817" s="5" t="s">
        <v>35</v>
      </c>
      <c r="I1817" s="5" t="s">
        <v>36</v>
      </c>
      <c r="J1817" s="6">
        <v>2.0</v>
      </c>
      <c r="K1817" s="6" t="s">
        <v>37</v>
      </c>
      <c r="L1817" s="6">
        <v>1200.0</v>
      </c>
      <c r="M1817" s="26" t="s">
        <v>52</v>
      </c>
      <c r="N1817" s="26" t="s">
        <v>39</v>
      </c>
      <c r="O1817" s="6" t="s">
        <v>214</v>
      </c>
      <c r="P1817" s="5" t="s">
        <v>41</v>
      </c>
      <c r="Q1817" s="5" t="s">
        <v>1785</v>
      </c>
      <c r="R1817" s="6" t="s">
        <v>42</v>
      </c>
      <c r="S1817" s="5" t="s">
        <v>172</v>
      </c>
      <c r="T1817" s="5" t="s">
        <v>44</v>
      </c>
      <c r="U1817" s="5" t="s">
        <v>1786</v>
      </c>
      <c r="V1817" s="5" t="s">
        <v>44</v>
      </c>
      <c r="W1817" s="5" t="s">
        <v>36</v>
      </c>
      <c r="X1817" s="8" t="s">
        <v>244</v>
      </c>
      <c r="Y1817" s="5" t="s">
        <v>46</v>
      </c>
      <c r="Z1817" s="5" t="s">
        <v>47</v>
      </c>
      <c r="AA1817" s="5" t="s">
        <v>48</v>
      </c>
      <c r="AB1817" s="5" t="s">
        <v>8794</v>
      </c>
      <c r="AC1817" s="6" t="s">
        <v>71</v>
      </c>
      <c r="AD1817" s="6">
        <v>3805.0</v>
      </c>
    </row>
    <row r="1818" ht="56.25" customHeight="1">
      <c r="A1818" s="5" t="s">
        <v>8773</v>
      </c>
      <c r="B1818" s="6" t="str">
        <f>IMAGE("https://storage.googleapis.com/acdb/housewares/FtrMushroomParasol_Remake_4_0.png")</f>
        <v/>
      </c>
      <c r="C1818" s="5" t="s">
        <v>8234</v>
      </c>
      <c r="D1818" s="5" t="s">
        <v>8219</v>
      </c>
      <c r="E1818" s="5" t="s">
        <v>34</v>
      </c>
      <c r="F1818" s="5" t="s">
        <v>34</v>
      </c>
      <c r="G1818" s="5" t="s">
        <v>35</v>
      </c>
      <c r="H1818" s="5" t="s">
        <v>35</v>
      </c>
      <c r="I1818" s="5" t="s">
        <v>36</v>
      </c>
      <c r="J1818" s="6">
        <v>2.0</v>
      </c>
      <c r="K1818" s="6" t="s">
        <v>37</v>
      </c>
      <c r="L1818" s="6">
        <v>1200.0</v>
      </c>
      <c r="M1818" s="26" t="s">
        <v>114</v>
      </c>
      <c r="N1818" s="26" t="s">
        <v>39</v>
      </c>
      <c r="O1818" s="6" t="s">
        <v>214</v>
      </c>
      <c r="P1818" s="5" t="s">
        <v>41</v>
      </c>
      <c r="Q1818" s="5" t="s">
        <v>1785</v>
      </c>
      <c r="R1818" s="6" t="s">
        <v>42</v>
      </c>
      <c r="S1818" s="5" t="s">
        <v>172</v>
      </c>
      <c r="T1818" s="5" t="s">
        <v>44</v>
      </c>
      <c r="U1818" s="5" t="s">
        <v>1786</v>
      </c>
      <c r="V1818" s="5" t="s">
        <v>44</v>
      </c>
      <c r="W1818" s="5" t="s">
        <v>36</v>
      </c>
      <c r="X1818" s="8" t="s">
        <v>244</v>
      </c>
      <c r="Y1818" s="5" t="s">
        <v>46</v>
      </c>
      <c r="Z1818" s="5" t="s">
        <v>47</v>
      </c>
      <c r="AA1818" s="5" t="s">
        <v>48</v>
      </c>
      <c r="AB1818" s="5" t="s">
        <v>8798</v>
      </c>
      <c r="AC1818" s="6" t="s">
        <v>75</v>
      </c>
      <c r="AD1818" s="6">
        <v>3805.0</v>
      </c>
    </row>
    <row r="1819" ht="56.25" customHeight="1">
      <c r="A1819" s="5" t="s">
        <v>8800</v>
      </c>
      <c r="B1819" s="6" t="str">
        <f>IMAGE("https://storage.googleapis.com/acdb/housewares/FtrMushroomScreen_Remake_0_0.png")</f>
        <v/>
      </c>
      <c r="C1819" s="5" t="s">
        <v>8218</v>
      </c>
      <c r="D1819" s="5" t="s">
        <v>8219</v>
      </c>
      <c r="E1819" s="5" t="s">
        <v>34</v>
      </c>
      <c r="F1819" s="5" t="s">
        <v>34</v>
      </c>
      <c r="G1819" s="5" t="s">
        <v>35</v>
      </c>
      <c r="H1819" s="5" t="s">
        <v>35</v>
      </c>
      <c r="I1819" s="5" t="s">
        <v>36</v>
      </c>
      <c r="J1819" s="6">
        <v>3.0</v>
      </c>
      <c r="K1819" s="6" t="s">
        <v>37</v>
      </c>
      <c r="L1819" s="6">
        <v>1800.0</v>
      </c>
      <c r="M1819" s="26" t="s">
        <v>39</v>
      </c>
      <c r="N1819" s="26" t="s">
        <v>38</v>
      </c>
      <c r="O1819" s="6" t="s">
        <v>276</v>
      </c>
      <c r="P1819" s="5" t="s">
        <v>41</v>
      </c>
      <c r="Q1819" s="5" t="s">
        <v>1785</v>
      </c>
      <c r="R1819" s="6" t="s">
        <v>42</v>
      </c>
      <c r="S1819" s="5" t="s">
        <v>172</v>
      </c>
      <c r="T1819" s="5" t="s">
        <v>44</v>
      </c>
      <c r="U1819" s="5" t="s">
        <v>1786</v>
      </c>
      <c r="V1819" s="5" t="s">
        <v>44</v>
      </c>
      <c r="W1819" s="5" t="s">
        <v>36</v>
      </c>
      <c r="X1819" s="8" t="s">
        <v>715</v>
      </c>
      <c r="Y1819" s="5" t="s">
        <v>46</v>
      </c>
      <c r="Z1819" s="5" t="s">
        <v>47</v>
      </c>
      <c r="AA1819" s="5" t="s">
        <v>48</v>
      </c>
      <c r="AB1819" s="5" t="s">
        <v>8807</v>
      </c>
      <c r="AC1819" s="6" t="s">
        <v>50</v>
      </c>
      <c r="AD1819" s="6">
        <v>3806.0</v>
      </c>
    </row>
    <row r="1820" ht="56.25" customHeight="1">
      <c r="A1820" s="5" t="s">
        <v>8800</v>
      </c>
      <c r="B1820" s="6" t="str">
        <f>IMAGE("https://storage.googleapis.com/acdb/housewares/FtrMushroomScreen_Remake_1_0.png")</f>
        <v/>
      </c>
      <c r="C1820" s="5" t="s">
        <v>8223</v>
      </c>
      <c r="D1820" s="5" t="s">
        <v>8219</v>
      </c>
      <c r="E1820" s="5" t="s">
        <v>34</v>
      </c>
      <c r="F1820" s="5" t="s">
        <v>34</v>
      </c>
      <c r="G1820" s="5" t="s">
        <v>35</v>
      </c>
      <c r="H1820" s="5" t="s">
        <v>35</v>
      </c>
      <c r="I1820" s="5" t="s">
        <v>36</v>
      </c>
      <c r="J1820" s="6">
        <v>3.0</v>
      </c>
      <c r="K1820" s="6" t="s">
        <v>37</v>
      </c>
      <c r="L1820" s="6">
        <v>1800.0</v>
      </c>
      <c r="M1820" s="26" t="s">
        <v>57</v>
      </c>
      <c r="N1820" s="26" t="s">
        <v>57</v>
      </c>
      <c r="O1820" s="6" t="s">
        <v>276</v>
      </c>
      <c r="P1820" s="5" t="s">
        <v>41</v>
      </c>
      <c r="Q1820" s="5" t="s">
        <v>1785</v>
      </c>
      <c r="R1820" s="6" t="s">
        <v>42</v>
      </c>
      <c r="S1820" s="5" t="s">
        <v>172</v>
      </c>
      <c r="T1820" s="5" t="s">
        <v>44</v>
      </c>
      <c r="U1820" s="5" t="s">
        <v>1786</v>
      </c>
      <c r="V1820" s="5" t="s">
        <v>44</v>
      </c>
      <c r="W1820" s="5" t="s">
        <v>36</v>
      </c>
      <c r="X1820" s="8" t="s">
        <v>715</v>
      </c>
      <c r="Y1820" s="5" t="s">
        <v>46</v>
      </c>
      <c r="Z1820" s="5" t="s">
        <v>47</v>
      </c>
      <c r="AA1820" s="5" t="s">
        <v>48</v>
      </c>
      <c r="AB1820" s="5" t="s">
        <v>8815</v>
      </c>
      <c r="AC1820" s="6" t="s">
        <v>56</v>
      </c>
      <c r="AD1820" s="6">
        <v>3806.0</v>
      </c>
    </row>
    <row r="1821" ht="56.25" customHeight="1">
      <c r="A1821" s="5" t="s">
        <v>8800</v>
      </c>
      <c r="B1821" s="6" t="str">
        <f>IMAGE("https://storage.googleapis.com/acdb/housewares/FtrMushroomScreen_Remake_2_0.png")</f>
        <v/>
      </c>
      <c r="C1821" s="5" t="s">
        <v>8228</v>
      </c>
      <c r="D1821" s="5" t="s">
        <v>8219</v>
      </c>
      <c r="E1821" s="5" t="s">
        <v>34</v>
      </c>
      <c r="F1821" s="5" t="s">
        <v>34</v>
      </c>
      <c r="G1821" s="5" t="s">
        <v>35</v>
      </c>
      <c r="H1821" s="5" t="s">
        <v>35</v>
      </c>
      <c r="I1821" s="5" t="s">
        <v>36</v>
      </c>
      <c r="J1821" s="6">
        <v>3.0</v>
      </c>
      <c r="K1821" s="6" t="s">
        <v>37</v>
      </c>
      <c r="L1821" s="6">
        <v>1800.0</v>
      </c>
      <c r="M1821" s="26" t="s">
        <v>96</v>
      </c>
      <c r="N1821" s="26" t="s">
        <v>96</v>
      </c>
      <c r="O1821" s="6" t="s">
        <v>276</v>
      </c>
      <c r="P1821" s="5" t="s">
        <v>41</v>
      </c>
      <c r="Q1821" s="5" t="s">
        <v>1785</v>
      </c>
      <c r="R1821" s="6" t="s">
        <v>42</v>
      </c>
      <c r="S1821" s="5" t="s">
        <v>172</v>
      </c>
      <c r="T1821" s="5" t="s">
        <v>44</v>
      </c>
      <c r="U1821" s="5" t="s">
        <v>1786</v>
      </c>
      <c r="V1821" s="5" t="s">
        <v>44</v>
      </c>
      <c r="W1821" s="5" t="s">
        <v>36</v>
      </c>
      <c r="X1821" s="8" t="s">
        <v>715</v>
      </c>
      <c r="Y1821" s="5" t="s">
        <v>46</v>
      </c>
      <c r="Z1821" s="5" t="s">
        <v>47</v>
      </c>
      <c r="AA1821" s="5" t="s">
        <v>48</v>
      </c>
      <c r="AB1821" s="5" t="s">
        <v>8821</v>
      </c>
      <c r="AC1821" s="6" t="s">
        <v>67</v>
      </c>
      <c r="AD1821" s="6">
        <v>3806.0</v>
      </c>
    </row>
    <row r="1822" ht="56.25" customHeight="1">
      <c r="A1822" s="5" t="s">
        <v>8800</v>
      </c>
      <c r="B1822" s="6" t="str">
        <f>IMAGE("https://storage.googleapis.com/acdb/housewares/FtrMushroomScreen_Remake_3_0.png")</f>
        <v/>
      </c>
      <c r="C1822" s="5" t="s">
        <v>8231</v>
      </c>
      <c r="D1822" s="5" t="s">
        <v>8219</v>
      </c>
      <c r="E1822" s="5" t="s">
        <v>34</v>
      </c>
      <c r="F1822" s="5" t="s">
        <v>34</v>
      </c>
      <c r="G1822" s="5" t="s">
        <v>35</v>
      </c>
      <c r="H1822" s="5" t="s">
        <v>35</v>
      </c>
      <c r="I1822" s="5" t="s">
        <v>36</v>
      </c>
      <c r="J1822" s="6">
        <v>3.0</v>
      </c>
      <c r="K1822" s="6" t="s">
        <v>37</v>
      </c>
      <c r="L1822" s="6">
        <v>1800.0</v>
      </c>
      <c r="M1822" s="26" t="s">
        <v>52</v>
      </c>
      <c r="N1822" s="26" t="s">
        <v>38</v>
      </c>
      <c r="O1822" s="6" t="s">
        <v>276</v>
      </c>
      <c r="P1822" s="5" t="s">
        <v>41</v>
      </c>
      <c r="Q1822" s="5" t="s">
        <v>1785</v>
      </c>
      <c r="R1822" s="6" t="s">
        <v>42</v>
      </c>
      <c r="S1822" s="5" t="s">
        <v>172</v>
      </c>
      <c r="T1822" s="5" t="s">
        <v>44</v>
      </c>
      <c r="U1822" s="5" t="s">
        <v>1786</v>
      </c>
      <c r="V1822" s="5" t="s">
        <v>44</v>
      </c>
      <c r="W1822" s="5" t="s">
        <v>36</v>
      </c>
      <c r="X1822" s="8" t="s">
        <v>715</v>
      </c>
      <c r="Y1822" s="5" t="s">
        <v>46</v>
      </c>
      <c r="Z1822" s="5" t="s">
        <v>47</v>
      </c>
      <c r="AA1822" s="5" t="s">
        <v>48</v>
      </c>
      <c r="AB1822" s="5" t="s">
        <v>8826</v>
      </c>
      <c r="AC1822" s="6" t="s">
        <v>71</v>
      </c>
      <c r="AD1822" s="6">
        <v>3806.0</v>
      </c>
    </row>
    <row r="1823" ht="56.25" customHeight="1">
      <c r="A1823" s="5" t="s">
        <v>8800</v>
      </c>
      <c r="B1823" s="6" t="str">
        <f>IMAGE("https://storage.googleapis.com/acdb/housewares/FtrMushroomScreen_Remake_4_0.png")</f>
        <v/>
      </c>
      <c r="C1823" s="5" t="s">
        <v>8234</v>
      </c>
      <c r="D1823" s="5" t="s">
        <v>8219</v>
      </c>
      <c r="E1823" s="5" t="s">
        <v>34</v>
      </c>
      <c r="F1823" s="5" t="s">
        <v>34</v>
      </c>
      <c r="G1823" s="5" t="s">
        <v>35</v>
      </c>
      <c r="H1823" s="5" t="s">
        <v>35</v>
      </c>
      <c r="I1823" s="5" t="s">
        <v>36</v>
      </c>
      <c r="J1823" s="6">
        <v>3.0</v>
      </c>
      <c r="K1823" s="6" t="s">
        <v>37</v>
      </c>
      <c r="L1823" s="6">
        <v>1800.0</v>
      </c>
      <c r="M1823" s="26" t="s">
        <v>142</v>
      </c>
      <c r="N1823" s="26" t="s">
        <v>38</v>
      </c>
      <c r="O1823" s="6" t="s">
        <v>276</v>
      </c>
      <c r="P1823" s="5" t="s">
        <v>41</v>
      </c>
      <c r="Q1823" s="5" t="s">
        <v>1785</v>
      </c>
      <c r="R1823" s="6" t="s">
        <v>42</v>
      </c>
      <c r="S1823" s="5" t="s">
        <v>172</v>
      </c>
      <c r="T1823" s="5" t="s">
        <v>44</v>
      </c>
      <c r="U1823" s="5" t="s">
        <v>1786</v>
      </c>
      <c r="V1823" s="5" t="s">
        <v>44</v>
      </c>
      <c r="W1823" s="5" t="s">
        <v>36</v>
      </c>
      <c r="X1823" s="8" t="s">
        <v>715</v>
      </c>
      <c r="Y1823" s="5" t="s">
        <v>46</v>
      </c>
      <c r="Z1823" s="5" t="s">
        <v>47</v>
      </c>
      <c r="AA1823" s="5" t="s">
        <v>48</v>
      </c>
      <c r="AB1823" s="5" t="s">
        <v>8833</v>
      </c>
      <c r="AC1823" s="6" t="s">
        <v>75</v>
      </c>
      <c r="AD1823" s="6">
        <v>3806.0</v>
      </c>
    </row>
    <row r="1824" ht="56.25" customHeight="1">
      <c r="A1824" s="5" t="s">
        <v>8834</v>
      </c>
      <c r="B1824" s="6" t="str">
        <f>IMAGE("https://storage.googleapis.com/acdb/housewares/FtrMushroomTableL_Remake_0_0.png")</f>
        <v/>
      </c>
      <c r="C1824" s="5" t="s">
        <v>8218</v>
      </c>
      <c r="D1824" s="5" t="s">
        <v>8219</v>
      </c>
      <c r="E1824" s="5" t="s">
        <v>34</v>
      </c>
      <c r="F1824" s="5" t="s">
        <v>34</v>
      </c>
      <c r="G1824" s="5" t="s">
        <v>35</v>
      </c>
      <c r="H1824" s="5" t="s">
        <v>35</v>
      </c>
      <c r="I1824" s="5" t="s">
        <v>36</v>
      </c>
      <c r="J1824" s="6">
        <v>3.0</v>
      </c>
      <c r="K1824" s="6" t="s">
        <v>37</v>
      </c>
      <c r="L1824" s="6">
        <v>1520.0</v>
      </c>
      <c r="M1824" s="26" t="s">
        <v>39</v>
      </c>
      <c r="N1824" s="26" t="s">
        <v>38</v>
      </c>
      <c r="O1824" s="6" t="s">
        <v>214</v>
      </c>
      <c r="P1824" s="5" t="s">
        <v>41</v>
      </c>
      <c r="Q1824" s="5" t="s">
        <v>1785</v>
      </c>
      <c r="R1824" s="6" t="s">
        <v>42</v>
      </c>
      <c r="S1824" s="5" t="s">
        <v>172</v>
      </c>
      <c r="T1824" s="5" t="s">
        <v>44</v>
      </c>
      <c r="U1824" s="5" t="s">
        <v>1786</v>
      </c>
      <c r="V1824" s="5" t="s">
        <v>44</v>
      </c>
      <c r="W1824" s="5" t="s">
        <v>36</v>
      </c>
      <c r="X1824" s="8" t="s">
        <v>278</v>
      </c>
      <c r="Y1824" s="5" t="s">
        <v>46</v>
      </c>
      <c r="Z1824" s="5" t="s">
        <v>47</v>
      </c>
      <c r="AA1824" s="5" t="s">
        <v>48</v>
      </c>
      <c r="AB1824" s="5" t="s">
        <v>8839</v>
      </c>
      <c r="AC1824" s="6" t="s">
        <v>50</v>
      </c>
      <c r="AD1824" s="6">
        <v>808.0</v>
      </c>
    </row>
    <row r="1825" ht="56.25" customHeight="1">
      <c r="A1825" s="5" t="s">
        <v>8834</v>
      </c>
      <c r="B1825" s="6" t="str">
        <f>IMAGE("https://storage.googleapis.com/acdb/housewares/FtrMushroomTableL_Remake_1_0.png")</f>
        <v/>
      </c>
      <c r="C1825" s="5" t="s">
        <v>8223</v>
      </c>
      <c r="D1825" s="5" t="s">
        <v>8219</v>
      </c>
      <c r="E1825" s="5" t="s">
        <v>34</v>
      </c>
      <c r="F1825" s="5" t="s">
        <v>34</v>
      </c>
      <c r="G1825" s="5" t="s">
        <v>35</v>
      </c>
      <c r="H1825" s="5" t="s">
        <v>35</v>
      </c>
      <c r="I1825" s="5" t="s">
        <v>36</v>
      </c>
      <c r="J1825" s="6">
        <v>3.0</v>
      </c>
      <c r="K1825" s="6" t="s">
        <v>37</v>
      </c>
      <c r="L1825" s="6">
        <v>1520.0</v>
      </c>
      <c r="M1825" s="26" t="s">
        <v>57</v>
      </c>
      <c r="N1825" s="26" t="s">
        <v>57</v>
      </c>
      <c r="O1825" s="6" t="s">
        <v>214</v>
      </c>
      <c r="P1825" s="5" t="s">
        <v>41</v>
      </c>
      <c r="Q1825" s="5" t="s">
        <v>1785</v>
      </c>
      <c r="R1825" s="6" t="s">
        <v>42</v>
      </c>
      <c r="S1825" s="5" t="s">
        <v>172</v>
      </c>
      <c r="T1825" s="5" t="s">
        <v>44</v>
      </c>
      <c r="U1825" s="5" t="s">
        <v>1786</v>
      </c>
      <c r="V1825" s="5" t="s">
        <v>44</v>
      </c>
      <c r="W1825" s="5" t="s">
        <v>36</v>
      </c>
      <c r="X1825" s="8" t="s">
        <v>278</v>
      </c>
      <c r="Y1825" s="5" t="s">
        <v>46</v>
      </c>
      <c r="Z1825" s="5" t="s">
        <v>47</v>
      </c>
      <c r="AA1825" s="5" t="s">
        <v>48</v>
      </c>
      <c r="AB1825" s="5" t="s">
        <v>8844</v>
      </c>
      <c r="AC1825" s="6" t="s">
        <v>56</v>
      </c>
      <c r="AD1825" s="6">
        <v>808.0</v>
      </c>
    </row>
    <row r="1826" ht="56.25" customHeight="1">
      <c r="A1826" s="5" t="s">
        <v>8834</v>
      </c>
      <c r="B1826" s="6" t="str">
        <f>IMAGE("https://storage.googleapis.com/acdb/housewares/FtrMushroomTableL_Remake_2_0.png")</f>
        <v/>
      </c>
      <c r="C1826" s="5" t="s">
        <v>8228</v>
      </c>
      <c r="D1826" s="5" t="s">
        <v>8219</v>
      </c>
      <c r="E1826" s="5" t="s">
        <v>34</v>
      </c>
      <c r="F1826" s="5" t="s">
        <v>34</v>
      </c>
      <c r="G1826" s="5" t="s">
        <v>35</v>
      </c>
      <c r="H1826" s="5" t="s">
        <v>35</v>
      </c>
      <c r="I1826" s="5" t="s">
        <v>36</v>
      </c>
      <c r="J1826" s="6">
        <v>3.0</v>
      </c>
      <c r="K1826" s="6" t="s">
        <v>37</v>
      </c>
      <c r="L1826" s="6">
        <v>1520.0</v>
      </c>
      <c r="M1826" s="26" t="s">
        <v>96</v>
      </c>
      <c r="N1826" s="26" t="s">
        <v>57</v>
      </c>
      <c r="O1826" s="6" t="s">
        <v>214</v>
      </c>
      <c r="P1826" s="5" t="s">
        <v>41</v>
      </c>
      <c r="Q1826" s="5" t="s">
        <v>1785</v>
      </c>
      <c r="R1826" s="6" t="s">
        <v>42</v>
      </c>
      <c r="S1826" s="5" t="s">
        <v>172</v>
      </c>
      <c r="T1826" s="5" t="s">
        <v>44</v>
      </c>
      <c r="U1826" s="5" t="s">
        <v>1786</v>
      </c>
      <c r="V1826" s="5" t="s">
        <v>44</v>
      </c>
      <c r="W1826" s="5" t="s">
        <v>36</v>
      </c>
      <c r="X1826" s="8" t="s">
        <v>278</v>
      </c>
      <c r="Y1826" s="5" t="s">
        <v>46</v>
      </c>
      <c r="Z1826" s="5" t="s">
        <v>47</v>
      </c>
      <c r="AA1826" s="5" t="s">
        <v>48</v>
      </c>
      <c r="AB1826" s="5" t="s">
        <v>8849</v>
      </c>
      <c r="AC1826" s="6" t="s">
        <v>67</v>
      </c>
      <c r="AD1826" s="6">
        <v>808.0</v>
      </c>
    </row>
    <row r="1827" ht="56.25" customHeight="1">
      <c r="A1827" s="5" t="s">
        <v>8834</v>
      </c>
      <c r="B1827" s="6" t="str">
        <f>IMAGE("https://storage.googleapis.com/acdb/housewares/FtrMushroomTableL_Remake_3_0.png")</f>
        <v/>
      </c>
      <c r="C1827" s="5" t="s">
        <v>8231</v>
      </c>
      <c r="D1827" s="5" t="s">
        <v>8219</v>
      </c>
      <c r="E1827" s="5" t="s">
        <v>34</v>
      </c>
      <c r="F1827" s="5" t="s">
        <v>34</v>
      </c>
      <c r="G1827" s="5" t="s">
        <v>35</v>
      </c>
      <c r="H1827" s="5" t="s">
        <v>35</v>
      </c>
      <c r="I1827" s="5" t="s">
        <v>36</v>
      </c>
      <c r="J1827" s="6">
        <v>3.0</v>
      </c>
      <c r="K1827" s="6" t="s">
        <v>37</v>
      </c>
      <c r="L1827" s="6">
        <v>1520.0</v>
      </c>
      <c r="M1827" s="26" t="s">
        <v>52</v>
      </c>
      <c r="N1827" s="26" t="s">
        <v>38</v>
      </c>
      <c r="O1827" s="6" t="s">
        <v>214</v>
      </c>
      <c r="P1827" s="5" t="s">
        <v>41</v>
      </c>
      <c r="Q1827" s="5" t="s">
        <v>1785</v>
      </c>
      <c r="R1827" s="6" t="s">
        <v>42</v>
      </c>
      <c r="S1827" s="5" t="s">
        <v>172</v>
      </c>
      <c r="T1827" s="5" t="s">
        <v>44</v>
      </c>
      <c r="U1827" s="5" t="s">
        <v>1786</v>
      </c>
      <c r="V1827" s="5" t="s">
        <v>44</v>
      </c>
      <c r="W1827" s="5" t="s">
        <v>36</v>
      </c>
      <c r="X1827" s="8" t="s">
        <v>278</v>
      </c>
      <c r="Y1827" s="5" t="s">
        <v>46</v>
      </c>
      <c r="Z1827" s="5" t="s">
        <v>47</v>
      </c>
      <c r="AA1827" s="5" t="s">
        <v>48</v>
      </c>
      <c r="AB1827" s="5" t="s">
        <v>8852</v>
      </c>
      <c r="AC1827" s="6" t="s">
        <v>71</v>
      </c>
      <c r="AD1827" s="6">
        <v>808.0</v>
      </c>
    </row>
    <row r="1828" ht="56.25" customHeight="1">
      <c r="A1828" s="5" t="s">
        <v>8834</v>
      </c>
      <c r="B1828" s="6" t="str">
        <f>IMAGE("https://storage.googleapis.com/acdb/housewares/FtrMushroomTableL_Remake_4_0.png")</f>
        <v/>
      </c>
      <c r="C1828" s="5" t="s">
        <v>8234</v>
      </c>
      <c r="D1828" s="5" t="s">
        <v>8219</v>
      </c>
      <c r="E1828" s="5" t="s">
        <v>34</v>
      </c>
      <c r="F1828" s="5" t="s">
        <v>34</v>
      </c>
      <c r="G1828" s="5" t="s">
        <v>35</v>
      </c>
      <c r="H1828" s="5" t="s">
        <v>35</v>
      </c>
      <c r="I1828" s="5" t="s">
        <v>36</v>
      </c>
      <c r="J1828" s="6">
        <v>3.0</v>
      </c>
      <c r="K1828" s="6" t="s">
        <v>37</v>
      </c>
      <c r="L1828" s="6">
        <v>1520.0</v>
      </c>
      <c r="M1828" s="26" t="s">
        <v>114</v>
      </c>
      <c r="N1828" s="26" t="s">
        <v>38</v>
      </c>
      <c r="O1828" s="6" t="s">
        <v>214</v>
      </c>
      <c r="P1828" s="5" t="s">
        <v>41</v>
      </c>
      <c r="Q1828" s="5" t="s">
        <v>1785</v>
      </c>
      <c r="R1828" s="6" t="s">
        <v>42</v>
      </c>
      <c r="S1828" s="5" t="s">
        <v>172</v>
      </c>
      <c r="T1828" s="5" t="s">
        <v>44</v>
      </c>
      <c r="U1828" s="5" t="s">
        <v>1786</v>
      </c>
      <c r="V1828" s="5" t="s">
        <v>44</v>
      </c>
      <c r="W1828" s="5" t="s">
        <v>36</v>
      </c>
      <c r="X1828" s="8" t="s">
        <v>278</v>
      </c>
      <c r="Y1828" s="5" t="s">
        <v>46</v>
      </c>
      <c r="Z1828" s="5" t="s">
        <v>47</v>
      </c>
      <c r="AA1828" s="5" t="s">
        <v>48</v>
      </c>
      <c r="AB1828" s="5" t="s">
        <v>8857</v>
      </c>
      <c r="AC1828" s="6" t="s">
        <v>75</v>
      </c>
      <c r="AD1828" s="6">
        <v>808.0</v>
      </c>
    </row>
    <row r="1829" ht="56.25" customHeight="1">
      <c r="A1829" s="5" t="s">
        <v>8858</v>
      </c>
      <c r="B1829" s="6" t="str">
        <f>IMAGE("https://storage.googleapis.com/acdb/housewares/FtrMusicstand_Remake_0_0.png")</f>
        <v/>
      </c>
      <c r="C1829" s="5" t="s">
        <v>39</v>
      </c>
      <c r="D1829" s="5" t="s">
        <v>33</v>
      </c>
      <c r="E1829" s="5" t="s">
        <v>34</v>
      </c>
      <c r="F1829" s="5" t="s">
        <v>34</v>
      </c>
      <c r="G1829" s="5" t="s">
        <v>35</v>
      </c>
      <c r="H1829" s="5" t="s">
        <v>35</v>
      </c>
      <c r="I1829" s="5" t="s">
        <v>36</v>
      </c>
      <c r="J1829" s="6">
        <v>2.0</v>
      </c>
      <c r="K1829" s="6" t="s">
        <v>37</v>
      </c>
      <c r="L1829" s="6">
        <v>960.0</v>
      </c>
      <c r="M1829" s="26" t="s">
        <v>39</v>
      </c>
      <c r="N1829" s="26" t="s">
        <v>57</v>
      </c>
      <c r="O1829" s="6" t="s">
        <v>40</v>
      </c>
      <c r="P1829" s="5" t="s">
        <v>41</v>
      </c>
      <c r="Q1829" s="5"/>
      <c r="R1829" s="6" t="s">
        <v>42</v>
      </c>
      <c r="S1829" s="5" t="s">
        <v>43</v>
      </c>
      <c r="T1829" s="5" t="s">
        <v>44</v>
      </c>
      <c r="U1829" s="5" t="s">
        <v>44</v>
      </c>
      <c r="V1829" s="5" t="s">
        <v>44</v>
      </c>
      <c r="W1829" s="5" t="s">
        <v>36</v>
      </c>
      <c r="X1829" s="8" t="s">
        <v>45</v>
      </c>
      <c r="Y1829" s="5" t="s">
        <v>46</v>
      </c>
      <c r="Z1829" s="5" t="s">
        <v>47</v>
      </c>
      <c r="AA1829" s="5" t="s">
        <v>48</v>
      </c>
      <c r="AB1829" s="5" t="s">
        <v>8863</v>
      </c>
      <c r="AC1829" s="6" t="s">
        <v>50</v>
      </c>
      <c r="AD1829" s="6">
        <v>1058.0</v>
      </c>
    </row>
    <row r="1830" ht="56.25" customHeight="1">
      <c r="A1830" s="5" t="s">
        <v>8858</v>
      </c>
      <c r="B1830" s="6" t="str">
        <f>IMAGE("https://storage.googleapis.com/acdb/housewares/FtrMusicstand_Remake_1_0.png")</f>
        <v/>
      </c>
      <c r="C1830" s="5" t="s">
        <v>32</v>
      </c>
      <c r="D1830" s="5" t="s">
        <v>33</v>
      </c>
      <c r="E1830" s="5" t="s">
        <v>34</v>
      </c>
      <c r="F1830" s="5" t="s">
        <v>34</v>
      </c>
      <c r="G1830" s="5" t="s">
        <v>35</v>
      </c>
      <c r="H1830" s="5" t="s">
        <v>35</v>
      </c>
      <c r="I1830" s="5" t="s">
        <v>36</v>
      </c>
      <c r="J1830" s="6">
        <v>2.0</v>
      </c>
      <c r="K1830" s="6" t="s">
        <v>37</v>
      </c>
      <c r="L1830" s="6">
        <v>960.0</v>
      </c>
      <c r="M1830" s="26" t="s">
        <v>114</v>
      </c>
      <c r="N1830" s="26" t="s">
        <v>57</v>
      </c>
      <c r="O1830" s="6" t="s">
        <v>40</v>
      </c>
      <c r="P1830" s="5" t="s">
        <v>41</v>
      </c>
      <c r="Q1830" s="5"/>
      <c r="R1830" s="6" t="s">
        <v>42</v>
      </c>
      <c r="S1830" s="5" t="s">
        <v>43</v>
      </c>
      <c r="T1830" s="5" t="s">
        <v>44</v>
      </c>
      <c r="U1830" s="5" t="s">
        <v>44</v>
      </c>
      <c r="V1830" s="5" t="s">
        <v>44</v>
      </c>
      <c r="W1830" s="5" t="s">
        <v>36</v>
      </c>
      <c r="X1830" s="8" t="s">
        <v>45</v>
      </c>
      <c r="Y1830" s="5" t="s">
        <v>46</v>
      </c>
      <c r="Z1830" s="5" t="s">
        <v>47</v>
      </c>
      <c r="AA1830" s="5" t="s">
        <v>48</v>
      </c>
      <c r="AB1830" s="5" t="s">
        <v>8867</v>
      </c>
      <c r="AC1830" s="6" t="s">
        <v>56</v>
      </c>
      <c r="AD1830" s="6">
        <v>1058.0</v>
      </c>
    </row>
    <row r="1831" ht="56.25" customHeight="1">
      <c r="A1831" s="5" t="s">
        <v>8858</v>
      </c>
      <c r="B1831" s="6" t="str">
        <f>IMAGE("https://storage.googleapis.com/acdb/housewares/FtrMusicstand_Remake_2_0.png")</f>
        <v/>
      </c>
      <c r="C1831" s="5" t="s">
        <v>57</v>
      </c>
      <c r="D1831" s="5" t="s">
        <v>33</v>
      </c>
      <c r="E1831" s="5" t="s">
        <v>34</v>
      </c>
      <c r="F1831" s="5" t="s">
        <v>34</v>
      </c>
      <c r="G1831" s="5" t="s">
        <v>35</v>
      </c>
      <c r="H1831" s="5" t="s">
        <v>35</v>
      </c>
      <c r="I1831" s="5" t="s">
        <v>36</v>
      </c>
      <c r="J1831" s="6">
        <v>2.0</v>
      </c>
      <c r="K1831" s="6" t="s">
        <v>37</v>
      </c>
      <c r="L1831" s="6">
        <v>960.0</v>
      </c>
      <c r="M1831" s="26" t="s">
        <v>57</v>
      </c>
      <c r="N1831" s="26" t="s">
        <v>57</v>
      </c>
      <c r="O1831" s="6" t="s">
        <v>40</v>
      </c>
      <c r="P1831" s="5" t="s">
        <v>41</v>
      </c>
      <c r="Q1831" s="5"/>
      <c r="R1831" s="6" t="s">
        <v>42</v>
      </c>
      <c r="S1831" s="5" t="s">
        <v>43</v>
      </c>
      <c r="T1831" s="5" t="s">
        <v>44</v>
      </c>
      <c r="U1831" s="5" t="s">
        <v>44</v>
      </c>
      <c r="V1831" s="5" t="s">
        <v>44</v>
      </c>
      <c r="W1831" s="5" t="s">
        <v>36</v>
      </c>
      <c r="X1831" s="8" t="s">
        <v>45</v>
      </c>
      <c r="Y1831" s="5" t="s">
        <v>46</v>
      </c>
      <c r="Z1831" s="5" t="s">
        <v>47</v>
      </c>
      <c r="AA1831" s="5" t="s">
        <v>48</v>
      </c>
      <c r="AB1831" s="5" t="s">
        <v>8871</v>
      </c>
      <c r="AC1831" s="6" t="s">
        <v>67</v>
      </c>
      <c r="AD1831" s="6">
        <v>1058.0</v>
      </c>
    </row>
    <row r="1832" ht="56.25" customHeight="1">
      <c r="A1832" s="5" t="s">
        <v>8858</v>
      </c>
      <c r="B1832" s="6" t="str">
        <f>IMAGE("https://storage.googleapis.com/acdb/housewares/FtrMusicstand_Remake_3_0.png")</f>
        <v/>
      </c>
      <c r="C1832" s="5" t="s">
        <v>54</v>
      </c>
      <c r="D1832" s="5" t="s">
        <v>33</v>
      </c>
      <c r="E1832" s="5" t="s">
        <v>34</v>
      </c>
      <c r="F1832" s="5" t="s">
        <v>34</v>
      </c>
      <c r="G1832" s="5" t="s">
        <v>35</v>
      </c>
      <c r="H1832" s="5" t="s">
        <v>35</v>
      </c>
      <c r="I1832" s="5" t="s">
        <v>36</v>
      </c>
      <c r="J1832" s="6">
        <v>2.0</v>
      </c>
      <c r="K1832" s="6" t="s">
        <v>37</v>
      </c>
      <c r="L1832" s="6">
        <v>960.0</v>
      </c>
      <c r="M1832" s="26" t="s">
        <v>54</v>
      </c>
      <c r="N1832" s="26" t="s">
        <v>57</v>
      </c>
      <c r="O1832" s="6" t="s">
        <v>40</v>
      </c>
      <c r="P1832" s="5" t="s">
        <v>41</v>
      </c>
      <c r="Q1832" s="5"/>
      <c r="R1832" s="6" t="s">
        <v>42</v>
      </c>
      <c r="S1832" s="5" t="s">
        <v>43</v>
      </c>
      <c r="T1832" s="5" t="s">
        <v>44</v>
      </c>
      <c r="U1832" s="5" t="s">
        <v>44</v>
      </c>
      <c r="V1832" s="5" t="s">
        <v>44</v>
      </c>
      <c r="W1832" s="5" t="s">
        <v>36</v>
      </c>
      <c r="X1832" s="8" t="s">
        <v>45</v>
      </c>
      <c r="Y1832" s="5" t="s">
        <v>46</v>
      </c>
      <c r="Z1832" s="5" t="s">
        <v>47</v>
      </c>
      <c r="AA1832" s="5" t="s">
        <v>48</v>
      </c>
      <c r="AB1832" s="5" t="s">
        <v>8874</v>
      </c>
      <c r="AC1832" s="6" t="s">
        <v>71</v>
      </c>
      <c r="AD1832" s="6">
        <v>1058.0</v>
      </c>
    </row>
    <row r="1833" ht="56.25" customHeight="1">
      <c r="A1833" s="5" t="s">
        <v>8876</v>
      </c>
      <c r="B1833" s="6" t="str">
        <f>IMAGE("https://storage.googleapis.com/acdb/housewares/FtrGardenChairNatural_Remake_0_0.png")</f>
        <v/>
      </c>
      <c r="C1833" s="5" t="s">
        <v>32</v>
      </c>
      <c r="D1833" s="5" t="s">
        <v>8879</v>
      </c>
      <c r="E1833" s="5" t="s">
        <v>34</v>
      </c>
      <c r="F1833" s="5" t="s">
        <v>34</v>
      </c>
      <c r="G1833" s="5" t="s">
        <v>35</v>
      </c>
      <c r="H1833" s="5" t="s">
        <v>35</v>
      </c>
      <c r="I1833" s="5" t="s">
        <v>36</v>
      </c>
      <c r="J1833" s="6">
        <v>3.0</v>
      </c>
      <c r="K1833" s="6" t="s">
        <v>37</v>
      </c>
      <c r="L1833" s="6">
        <v>2220.0</v>
      </c>
      <c r="M1833" s="26" t="s">
        <v>38</v>
      </c>
      <c r="N1833" s="26" t="s">
        <v>54</v>
      </c>
      <c r="O1833" s="6" t="s">
        <v>40</v>
      </c>
      <c r="P1833" s="5" t="s">
        <v>41</v>
      </c>
      <c r="Q1833" s="5"/>
      <c r="R1833" s="6" t="s">
        <v>42</v>
      </c>
      <c r="S1833" s="5" t="s">
        <v>172</v>
      </c>
      <c r="T1833" s="5" t="s">
        <v>44</v>
      </c>
      <c r="U1833" s="5" t="s">
        <v>44</v>
      </c>
      <c r="V1833" s="5" t="s">
        <v>8881</v>
      </c>
      <c r="W1833" s="5" t="s">
        <v>35</v>
      </c>
      <c r="X1833" s="8" t="s">
        <v>248</v>
      </c>
      <c r="Y1833" s="5" t="s">
        <v>46</v>
      </c>
      <c r="Z1833" s="5" t="s">
        <v>47</v>
      </c>
      <c r="AA1833" s="5" t="s">
        <v>48</v>
      </c>
      <c r="AB1833" s="5" t="s">
        <v>8882</v>
      </c>
      <c r="AC1833" s="6" t="s">
        <v>50</v>
      </c>
      <c r="AD1833" s="6">
        <v>2586.0</v>
      </c>
    </row>
    <row r="1834" ht="56.25" customHeight="1">
      <c r="A1834" s="5" t="s">
        <v>8876</v>
      </c>
      <c r="B1834" s="6" t="str">
        <f>IMAGE("https://storage.googleapis.com/acdb/housewares/FtrGardenChairNatural_Remake_1_0.png")</f>
        <v/>
      </c>
      <c r="C1834" s="5" t="s">
        <v>1536</v>
      </c>
      <c r="D1834" s="5" t="s">
        <v>8879</v>
      </c>
      <c r="E1834" s="5" t="s">
        <v>34</v>
      </c>
      <c r="F1834" s="5" t="s">
        <v>34</v>
      </c>
      <c r="G1834" s="5" t="s">
        <v>35</v>
      </c>
      <c r="H1834" s="5" t="s">
        <v>35</v>
      </c>
      <c r="I1834" s="5" t="s">
        <v>36</v>
      </c>
      <c r="J1834" s="6">
        <v>3.0</v>
      </c>
      <c r="K1834" s="6" t="s">
        <v>37</v>
      </c>
      <c r="L1834" s="6">
        <v>2220.0</v>
      </c>
      <c r="M1834" s="26" t="s">
        <v>142</v>
      </c>
      <c r="N1834" s="26" t="s">
        <v>96</v>
      </c>
      <c r="O1834" s="6" t="s">
        <v>40</v>
      </c>
      <c r="P1834" s="5" t="s">
        <v>41</v>
      </c>
      <c r="Q1834" s="5"/>
      <c r="R1834" s="6" t="s">
        <v>42</v>
      </c>
      <c r="S1834" s="5" t="s">
        <v>172</v>
      </c>
      <c r="T1834" s="5" t="s">
        <v>44</v>
      </c>
      <c r="U1834" s="5" t="s">
        <v>44</v>
      </c>
      <c r="V1834" s="5" t="s">
        <v>8881</v>
      </c>
      <c r="W1834" s="5" t="s">
        <v>35</v>
      </c>
      <c r="X1834" s="8" t="s">
        <v>248</v>
      </c>
      <c r="Y1834" s="5" t="s">
        <v>46</v>
      </c>
      <c r="Z1834" s="5" t="s">
        <v>47</v>
      </c>
      <c r="AA1834" s="5" t="s">
        <v>48</v>
      </c>
      <c r="AB1834" s="5" t="s">
        <v>8887</v>
      </c>
      <c r="AC1834" s="6" t="s">
        <v>56</v>
      </c>
      <c r="AD1834" s="6">
        <v>2586.0</v>
      </c>
    </row>
    <row r="1835" ht="56.25" customHeight="1">
      <c r="A1835" s="5" t="s">
        <v>8876</v>
      </c>
      <c r="B1835" s="6" t="str">
        <f>IMAGE("https://storage.googleapis.com/acdb/housewares/FtrGardenChairNatural_Remake_2_0.png")</f>
        <v/>
      </c>
      <c r="C1835" s="5" t="s">
        <v>8889</v>
      </c>
      <c r="D1835" s="5" t="s">
        <v>8879</v>
      </c>
      <c r="E1835" s="5" t="s">
        <v>34</v>
      </c>
      <c r="F1835" s="5" t="s">
        <v>34</v>
      </c>
      <c r="G1835" s="5" t="s">
        <v>35</v>
      </c>
      <c r="H1835" s="5" t="s">
        <v>35</v>
      </c>
      <c r="I1835" s="5" t="s">
        <v>36</v>
      </c>
      <c r="J1835" s="6">
        <v>3.0</v>
      </c>
      <c r="K1835" s="6" t="s">
        <v>37</v>
      </c>
      <c r="L1835" s="6">
        <v>2220.0</v>
      </c>
      <c r="M1835" s="26" t="s">
        <v>57</v>
      </c>
      <c r="N1835" s="26" t="s">
        <v>95</v>
      </c>
      <c r="O1835" s="6" t="s">
        <v>40</v>
      </c>
      <c r="P1835" s="5" t="s">
        <v>41</v>
      </c>
      <c r="Q1835" s="5"/>
      <c r="R1835" s="6" t="s">
        <v>42</v>
      </c>
      <c r="S1835" s="5" t="s">
        <v>172</v>
      </c>
      <c r="T1835" s="5" t="s">
        <v>44</v>
      </c>
      <c r="U1835" s="5" t="s">
        <v>44</v>
      </c>
      <c r="V1835" s="5" t="s">
        <v>8881</v>
      </c>
      <c r="W1835" s="5" t="s">
        <v>35</v>
      </c>
      <c r="X1835" s="8" t="s">
        <v>248</v>
      </c>
      <c r="Y1835" s="5" t="s">
        <v>46</v>
      </c>
      <c r="Z1835" s="5" t="s">
        <v>47</v>
      </c>
      <c r="AA1835" s="5" t="s">
        <v>48</v>
      </c>
      <c r="AB1835" s="5" t="s">
        <v>8893</v>
      </c>
      <c r="AC1835" s="6" t="s">
        <v>67</v>
      </c>
      <c r="AD1835" s="6">
        <v>2586.0</v>
      </c>
    </row>
    <row r="1836" ht="56.25" customHeight="1">
      <c r="A1836" s="5" t="s">
        <v>8895</v>
      </c>
      <c r="B1836" s="6" t="str">
        <f>IMAGE("https://storage.googleapis.com/acdb/housewares/FtrGardenTableNatural_Remake_0_0.png")</f>
        <v/>
      </c>
      <c r="C1836" s="5" t="s">
        <v>32</v>
      </c>
      <c r="D1836" s="5" t="s">
        <v>8897</v>
      </c>
      <c r="E1836" s="5" t="s">
        <v>34</v>
      </c>
      <c r="F1836" s="5" t="s">
        <v>34</v>
      </c>
      <c r="G1836" s="5" t="s">
        <v>35</v>
      </c>
      <c r="H1836" s="5" t="s">
        <v>35</v>
      </c>
      <c r="I1836" s="5" t="s">
        <v>36</v>
      </c>
      <c r="J1836" s="6">
        <v>5.0</v>
      </c>
      <c r="K1836" s="6" t="s">
        <v>37</v>
      </c>
      <c r="L1836" s="6">
        <v>3330.0</v>
      </c>
      <c r="M1836" s="26" t="s">
        <v>38</v>
      </c>
      <c r="N1836" s="26" t="s">
        <v>54</v>
      </c>
      <c r="O1836" s="6" t="s">
        <v>214</v>
      </c>
      <c r="P1836" s="5" t="s">
        <v>41</v>
      </c>
      <c r="Q1836" s="5"/>
      <c r="R1836" s="6" t="s">
        <v>42</v>
      </c>
      <c r="S1836" s="5" t="s">
        <v>172</v>
      </c>
      <c r="T1836" s="5" t="s">
        <v>44</v>
      </c>
      <c r="U1836" s="5" t="s">
        <v>44</v>
      </c>
      <c r="V1836" s="5" t="s">
        <v>8881</v>
      </c>
      <c r="W1836" s="5" t="s">
        <v>36</v>
      </c>
      <c r="X1836" s="8" t="s">
        <v>278</v>
      </c>
      <c r="Y1836" s="5" t="s">
        <v>46</v>
      </c>
      <c r="Z1836" s="5" t="s">
        <v>47</v>
      </c>
      <c r="AA1836" s="5" t="s">
        <v>48</v>
      </c>
      <c r="AB1836" s="5" t="s">
        <v>8901</v>
      </c>
      <c r="AC1836" s="6" t="s">
        <v>50</v>
      </c>
      <c r="AD1836" s="6">
        <v>3396.0</v>
      </c>
    </row>
    <row r="1837" ht="56.25" customHeight="1">
      <c r="A1837" s="5" t="s">
        <v>8895</v>
      </c>
      <c r="B1837" s="6" t="str">
        <f>IMAGE("https://storage.googleapis.com/acdb/housewares/FtrGardenTableNatural_Remake_1_0.png")</f>
        <v/>
      </c>
      <c r="C1837" s="5" t="s">
        <v>1536</v>
      </c>
      <c r="D1837" s="5" t="s">
        <v>8897</v>
      </c>
      <c r="E1837" s="5" t="s">
        <v>34</v>
      </c>
      <c r="F1837" s="5" t="s">
        <v>34</v>
      </c>
      <c r="G1837" s="5" t="s">
        <v>35</v>
      </c>
      <c r="H1837" s="5" t="s">
        <v>35</v>
      </c>
      <c r="I1837" s="5" t="s">
        <v>36</v>
      </c>
      <c r="J1837" s="6">
        <v>5.0</v>
      </c>
      <c r="K1837" s="6" t="s">
        <v>37</v>
      </c>
      <c r="L1837" s="6">
        <v>3330.0</v>
      </c>
      <c r="M1837" s="26" t="s">
        <v>142</v>
      </c>
      <c r="N1837" s="26" t="s">
        <v>96</v>
      </c>
      <c r="O1837" s="6" t="s">
        <v>214</v>
      </c>
      <c r="P1837" s="5" t="s">
        <v>41</v>
      </c>
      <c r="Q1837" s="5"/>
      <c r="R1837" s="6" t="s">
        <v>42</v>
      </c>
      <c r="S1837" s="5" t="s">
        <v>172</v>
      </c>
      <c r="T1837" s="5" t="s">
        <v>44</v>
      </c>
      <c r="U1837" s="5" t="s">
        <v>44</v>
      </c>
      <c r="V1837" s="5" t="s">
        <v>8881</v>
      </c>
      <c r="W1837" s="5" t="s">
        <v>36</v>
      </c>
      <c r="X1837" s="8" t="s">
        <v>278</v>
      </c>
      <c r="Y1837" s="5" t="s">
        <v>46</v>
      </c>
      <c r="Z1837" s="5" t="s">
        <v>47</v>
      </c>
      <c r="AA1837" s="5" t="s">
        <v>48</v>
      </c>
      <c r="AB1837" s="5" t="s">
        <v>8907</v>
      </c>
      <c r="AC1837" s="6" t="s">
        <v>56</v>
      </c>
      <c r="AD1837" s="6">
        <v>3396.0</v>
      </c>
    </row>
    <row r="1838" ht="56.25" customHeight="1">
      <c r="A1838" s="5" t="s">
        <v>8895</v>
      </c>
      <c r="B1838" s="6" t="str">
        <f>IMAGE("https://storage.googleapis.com/acdb/housewares/FtrGardenTableNatural_Remake_2_0.png")</f>
        <v/>
      </c>
      <c r="C1838" s="5" t="s">
        <v>8889</v>
      </c>
      <c r="D1838" s="5" t="s">
        <v>8897</v>
      </c>
      <c r="E1838" s="5" t="s">
        <v>34</v>
      </c>
      <c r="F1838" s="5" t="s">
        <v>34</v>
      </c>
      <c r="G1838" s="5" t="s">
        <v>35</v>
      </c>
      <c r="H1838" s="5" t="s">
        <v>35</v>
      </c>
      <c r="I1838" s="5" t="s">
        <v>36</v>
      </c>
      <c r="J1838" s="6">
        <v>5.0</v>
      </c>
      <c r="K1838" s="6" t="s">
        <v>37</v>
      </c>
      <c r="L1838" s="6">
        <v>3330.0</v>
      </c>
      <c r="M1838" s="26" t="s">
        <v>57</v>
      </c>
      <c r="N1838" s="26" t="s">
        <v>95</v>
      </c>
      <c r="O1838" s="6" t="s">
        <v>214</v>
      </c>
      <c r="P1838" s="5" t="s">
        <v>41</v>
      </c>
      <c r="Q1838" s="5"/>
      <c r="R1838" s="6" t="s">
        <v>42</v>
      </c>
      <c r="S1838" s="5" t="s">
        <v>172</v>
      </c>
      <c r="T1838" s="5" t="s">
        <v>44</v>
      </c>
      <c r="U1838" s="5" t="s">
        <v>44</v>
      </c>
      <c r="V1838" s="5" t="s">
        <v>8881</v>
      </c>
      <c r="W1838" s="5" t="s">
        <v>36</v>
      </c>
      <c r="X1838" s="8" t="s">
        <v>278</v>
      </c>
      <c r="Y1838" s="5" t="s">
        <v>46</v>
      </c>
      <c r="Z1838" s="5" t="s">
        <v>47</v>
      </c>
      <c r="AA1838" s="5" t="s">
        <v>48</v>
      </c>
      <c r="AB1838" s="5" t="s">
        <v>8911</v>
      </c>
      <c r="AC1838" s="6" t="s">
        <v>67</v>
      </c>
      <c r="AD1838" s="6">
        <v>3396.0</v>
      </c>
    </row>
    <row r="1839" ht="56.25" customHeight="1">
      <c r="A1839" s="5" t="s">
        <v>8912</v>
      </c>
      <c r="B1839" s="6" t="str">
        <f>IMAGE("https://storage.googleapis.com/acdb/housewares/FtrGardenTableSNatural_Remake_0_0.png")</f>
        <v/>
      </c>
      <c r="C1839" s="5" t="s">
        <v>32</v>
      </c>
      <c r="D1839" s="5" t="s">
        <v>8897</v>
      </c>
      <c r="E1839" s="5" t="s">
        <v>34</v>
      </c>
      <c r="F1839" s="5" t="s">
        <v>34</v>
      </c>
      <c r="G1839" s="5" t="s">
        <v>35</v>
      </c>
      <c r="H1839" s="5" t="s">
        <v>35</v>
      </c>
      <c r="I1839" s="5" t="s">
        <v>36</v>
      </c>
      <c r="J1839" s="6">
        <v>3.0</v>
      </c>
      <c r="K1839" s="6" t="s">
        <v>37</v>
      </c>
      <c r="L1839" s="6">
        <v>1980.0</v>
      </c>
      <c r="M1839" s="26" t="s">
        <v>38</v>
      </c>
      <c r="N1839" s="26" t="s">
        <v>54</v>
      </c>
      <c r="O1839" s="6" t="s">
        <v>40</v>
      </c>
      <c r="P1839" s="5" t="s">
        <v>41</v>
      </c>
      <c r="Q1839" s="5"/>
      <c r="R1839" s="6" t="s">
        <v>42</v>
      </c>
      <c r="S1839" s="5" t="s">
        <v>172</v>
      </c>
      <c r="T1839" s="5" t="s">
        <v>44</v>
      </c>
      <c r="U1839" s="5" t="s">
        <v>44</v>
      </c>
      <c r="V1839" s="5" t="s">
        <v>8881</v>
      </c>
      <c r="W1839" s="5" t="s">
        <v>36</v>
      </c>
      <c r="X1839" s="8" t="s">
        <v>278</v>
      </c>
      <c r="Y1839" s="5" t="s">
        <v>46</v>
      </c>
      <c r="Z1839" s="5" t="s">
        <v>47</v>
      </c>
      <c r="AA1839" s="5" t="s">
        <v>48</v>
      </c>
      <c r="AB1839" s="5" t="s">
        <v>8916</v>
      </c>
      <c r="AC1839" s="6" t="s">
        <v>50</v>
      </c>
      <c r="AD1839" s="6">
        <v>12332.0</v>
      </c>
    </row>
    <row r="1840" ht="56.25" customHeight="1">
      <c r="A1840" s="5" t="s">
        <v>8912</v>
      </c>
      <c r="B1840" s="6" t="str">
        <f>IMAGE("https://storage.googleapis.com/acdb/housewares/FtrGardenTableSNatural_Remake_1_0.png")</f>
        <v/>
      </c>
      <c r="C1840" s="5" t="s">
        <v>1536</v>
      </c>
      <c r="D1840" s="5" t="s">
        <v>8897</v>
      </c>
      <c r="E1840" s="5" t="s">
        <v>34</v>
      </c>
      <c r="F1840" s="5" t="s">
        <v>34</v>
      </c>
      <c r="G1840" s="5" t="s">
        <v>35</v>
      </c>
      <c r="H1840" s="5" t="s">
        <v>35</v>
      </c>
      <c r="I1840" s="5" t="s">
        <v>36</v>
      </c>
      <c r="J1840" s="6">
        <v>3.0</v>
      </c>
      <c r="K1840" s="6" t="s">
        <v>37</v>
      </c>
      <c r="L1840" s="6">
        <v>1980.0</v>
      </c>
      <c r="M1840" s="26" t="s">
        <v>142</v>
      </c>
      <c r="N1840" s="26" t="s">
        <v>96</v>
      </c>
      <c r="O1840" s="6" t="s">
        <v>40</v>
      </c>
      <c r="P1840" s="5" t="s">
        <v>41</v>
      </c>
      <c r="Q1840" s="5"/>
      <c r="R1840" s="6" t="s">
        <v>42</v>
      </c>
      <c r="S1840" s="5" t="s">
        <v>172</v>
      </c>
      <c r="T1840" s="5" t="s">
        <v>44</v>
      </c>
      <c r="U1840" s="5" t="s">
        <v>44</v>
      </c>
      <c r="V1840" s="5" t="s">
        <v>8881</v>
      </c>
      <c r="W1840" s="5" t="s">
        <v>36</v>
      </c>
      <c r="X1840" s="8" t="s">
        <v>278</v>
      </c>
      <c r="Y1840" s="5" t="s">
        <v>46</v>
      </c>
      <c r="Z1840" s="5" t="s">
        <v>47</v>
      </c>
      <c r="AA1840" s="5" t="s">
        <v>48</v>
      </c>
      <c r="AB1840" s="5" t="s">
        <v>8922</v>
      </c>
      <c r="AC1840" s="6" t="s">
        <v>56</v>
      </c>
      <c r="AD1840" s="6">
        <v>12332.0</v>
      </c>
    </row>
    <row r="1841" ht="56.25" customHeight="1">
      <c r="A1841" s="5" t="s">
        <v>8912</v>
      </c>
      <c r="B1841" s="6" t="str">
        <f>IMAGE("https://storage.googleapis.com/acdb/housewares/FtrGardenTableSNatural_Remake_2_0.png")</f>
        <v/>
      </c>
      <c r="C1841" s="5" t="s">
        <v>8889</v>
      </c>
      <c r="D1841" s="5" t="s">
        <v>8897</v>
      </c>
      <c r="E1841" s="5" t="s">
        <v>34</v>
      </c>
      <c r="F1841" s="5" t="s">
        <v>34</v>
      </c>
      <c r="G1841" s="5" t="s">
        <v>35</v>
      </c>
      <c r="H1841" s="5" t="s">
        <v>35</v>
      </c>
      <c r="I1841" s="5" t="s">
        <v>36</v>
      </c>
      <c r="J1841" s="6">
        <v>3.0</v>
      </c>
      <c r="K1841" s="6" t="s">
        <v>37</v>
      </c>
      <c r="L1841" s="6">
        <v>1980.0</v>
      </c>
      <c r="M1841" s="26" t="s">
        <v>57</v>
      </c>
      <c r="N1841" s="26" t="s">
        <v>95</v>
      </c>
      <c r="O1841" s="6" t="s">
        <v>40</v>
      </c>
      <c r="P1841" s="5" t="s">
        <v>41</v>
      </c>
      <c r="Q1841" s="5"/>
      <c r="R1841" s="6" t="s">
        <v>42</v>
      </c>
      <c r="S1841" s="5" t="s">
        <v>172</v>
      </c>
      <c r="T1841" s="5" t="s">
        <v>44</v>
      </c>
      <c r="U1841" s="5" t="s">
        <v>44</v>
      </c>
      <c r="V1841" s="5" t="s">
        <v>8881</v>
      </c>
      <c r="W1841" s="5" t="s">
        <v>36</v>
      </c>
      <c r="X1841" s="8" t="s">
        <v>278</v>
      </c>
      <c r="Y1841" s="5" t="s">
        <v>46</v>
      </c>
      <c r="Z1841" s="5" t="s">
        <v>47</v>
      </c>
      <c r="AA1841" s="5" t="s">
        <v>48</v>
      </c>
      <c r="AB1841" s="5" t="s">
        <v>8928</v>
      </c>
      <c r="AC1841" s="6" t="s">
        <v>67</v>
      </c>
      <c r="AD1841" s="6">
        <v>12332.0</v>
      </c>
    </row>
    <row r="1842" ht="56.25" customHeight="1">
      <c r="A1842" s="5" t="s">
        <v>8929</v>
      </c>
      <c r="B1842" s="6" t="str">
        <f>IMAGE("https://storage.googleapis.com/acdb/housewares/FtrRingcornerNeutral_Remake_0_0.png")</f>
        <v/>
      </c>
      <c r="C1842" s="5" t="s">
        <v>34</v>
      </c>
      <c r="D1842" s="5" t="s">
        <v>34</v>
      </c>
      <c r="E1842" s="5" t="s">
        <v>96</v>
      </c>
      <c r="F1842" s="5" t="s">
        <v>1142</v>
      </c>
      <c r="G1842" s="5" t="s">
        <v>36</v>
      </c>
      <c r="H1842" s="5" t="s">
        <v>36</v>
      </c>
      <c r="I1842" s="5" t="s">
        <v>35</v>
      </c>
      <c r="J1842" s="6">
        <v>3.0</v>
      </c>
      <c r="K1842" s="6">
        <v>6100.0</v>
      </c>
      <c r="L1842" s="6">
        <v>1525.0</v>
      </c>
      <c r="M1842" s="5" t="s">
        <v>57</v>
      </c>
      <c r="N1842" s="26" t="s">
        <v>96</v>
      </c>
      <c r="O1842" s="6" t="s">
        <v>214</v>
      </c>
      <c r="P1842" s="5" t="s">
        <v>59</v>
      </c>
      <c r="Q1842" s="5" t="s">
        <v>115</v>
      </c>
      <c r="R1842" s="6" t="s">
        <v>42</v>
      </c>
      <c r="S1842" s="5" t="s">
        <v>474</v>
      </c>
      <c r="T1842" s="5" t="s">
        <v>44</v>
      </c>
      <c r="U1842" s="5" t="s">
        <v>44</v>
      </c>
      <c r="V1842" s="5" t="s">
        <v>1145</v>
      </c>
      <c r="W1842" s="5" t="s">
        <v>35</v>
      </c>
      <c r="X1842" s="8" t="s">
        <v>475</v>
      </c>
      <c r="Y1842" s="5" t="s">
        <v>46</v>
      </c>
      <c r="Z1842" s="5" t="s">
        <v>47</v>
      </c>
      <c r="AA1842" s="5" t="s">
        <v>64</v>
      </c>
      <c r="AB1842" s="5" t="s">
        <v>8932</v>
      </c>
      <c r="AC1842" s="6" t="s">
        <v>50</v>
      </c>
      <c r="AD1842" s="6">
        <v>7152.0</v>
      </c>
    </row>
    <row r="1843" ht="56.25" customHeight="1">
      <c r="A1843" s="5" t="s">
        <v>8929</v>
      </c>
      <c r="B1843" s="6" t="str">
        <f>image("https://storage.googleapis.com/acdb/housewares/FtrRingcornerNeutral_Remake_0_1.png")</f>
        <v/>
      </c>
      <c r="C1843" s="5" t="s">
        <v>34</v>
      </c>
      <c r="D1843" s="5" t="s">
        <v>34</v>
      </c>
      <c r="E1843" s="5" t="s">
        <v>52</v>
      </c>
      <c r="F1843" s="5" t="s">
        <v>1142</v>
      </c>
      <c r="G1843" s="5" t="s">
        <v>36</v>
      </c>
      <c r="H1843" s="5" t="s">
        <v>36</v>
      </c>
      <c r="I1843" s="5" t="s">
        <v>35</v>
      </c>
      <c r="J1843" s="6">
        <v>3.0</v>
      </c>
      <c r="K1843" s="6">
        <v>6100.0</v>
      </c>
      <c r="L1843" s="6">
        <v>1525.0</v>
      </c>
      <c r="M1843" s="5" t="s">
        <v>57</v>
      </c>
      <c r="N1843" s="26" t="s">
        <v>52</v>
      </c>
      <c r="O1843" s="6" t="s">
        <v>214</v>
      </c>
      <c r="P1843" s="5" t="s">
        <v>59</v>
      </c>
      <c r="Q1843" s="5" t="s">
        <v>115</v>
      </c>
      <c r="R1843" s="6" t="s">
        <v>42</v>
      </c>
      <c r="S1843" s="5" t="s">
        <v>474</v>
      </c>
      <c r="T1843" s="5" t="s">
        <v>44</v>
      </c>
      <c r="U1843" s="5" t="s">
        <v>44</v>
      </c>
      <c r="V1843" s="5" t="s">
        <v>1145</v>
      </c>
      <c r="W1843" s="5" t="s">
        <v>35</v>
      </c>
      <c r="X1843" s="8" t="s">
        <v>475</v>
      </c>
      <c r="Y1843" s="5" t="s">
        <v>46</v>
      </c>
      <c r="Z1843" s="5" t="s">
        <v>47</v>
      </c>
      <c r="AA1843" s="5" t="s">
        <v>64</v>
      </c>
      <c r="AB1843" s="5" t="s">
        <v>8937</v>
      </c>
      <c r="AC1843" s="6" t="s">
        <v>217</v>
      </c>
      <c r="AD1843" s="6">
        <v>7152.0</v>
      </c>
    </row>
    <row r="1844" ht="56.25" customHeight="1">
      <c r="A1844" s="5" t="s">
        <v>8929</v>
      </c>
      <c r="B1844" s="6" t="str">
        <f>image("https://storage.googleapis.com/acdb/housewares/FtrRingcornerNeutral_Remake_0_2.png")</f>
        <v/>
      </c>
      <c r="C1844" s="5" t="s">
        <v>34</v>
      </c>
      <c r="D1844" s="5" t="s">
        <v>34</v>
      </c>
      <c r="E1844" s="5" t="s">
        <v>68</v>
      </c>
      <c r="F1844" s="5" t="s">
        <v>1142</v>
      </c>
      <c r="G1844" s="5" t="s">
        <v>36</v>
      </c>
      <c r="H1844" s="5" t="s">
        <v>36</v>
      </c>
      <c r="I1844" s="5" t="s">
        <v>35</v>
      </c>
      <c r="J1844" s="6">
        <v>3.0</v>
      </c>
      <c r="K1844" s="6">
        <v>6100.0</v>
      </c>
      <c r="L1844" s="6">
        <v>1525.0</v>
      </c>
      <c r="M1844" s="5" t="s">
        <v>57</v>
      </c>
      <c r="N1844" s="26" t="s">
        <v>68</v>
      </c>
      <c r="O1844" s="6" t="s">
        <v>214</v>
      </c>
      <c r="P1844" s="5" t="s">
        <v>59</v>
      </c>
      <c r="Q1844" s="5" t="s">
        <v>115</v>
      </c>
      <c r="R1844" s="6" t="s">
        <v>42</v>
      </c>
      <c r="S1844" s="5" t="s">
        <v>474</v>
      </c>
      <c r="T1844" s="5" t="s">
        <v>44</v>
      </c>
      <c r="U1844" s="5" t="s">
        <v>44</v>
      </c>
      <c r="V1844" s="5" t="s">
        <v>1145</v>
      </c>
      <c r="W1844" s="5" t="s">
        <v>35</v>
      </c>
      <c r="X1844" s="8" t="s">
        <v>475</v>
      </c>
      <c r="Y1844" s="5" t="s">
        <v>46</v>
      </c>
      <c r="Z1844" s="5" t="s">
        <v>47</v>
      </c>
      <c r="AA1844" s="5" t="s">
        <v>64</v>
      </c>
      <c r="AB1844" s="5" t="s">
        <v>8943</v>
      </c>
      <c r="AC1844" s="6" t="s">
        <v>347</v>
      </c>
      <c r="AD1844" s="6">
        <v>7152.0</v>
      </c>
    </row>
    <row r="1845" ht="56.25" customHeight="1">
      <c r="A1845" s="5" t="s">
        <v>8929</v>
      </c>
      <c r="B1845" s="6" t="str">
        <f>image("https://storage.googleapis.com/acdb/housewares/FtrRingcornerNeutral_Remake_0_3.png")</f>
        <v/>
      </c>
      <c r="C1845" s="5" t="s">
        <v>34</v>
      </c>
      <c r="D1845" s="5" t="s">
        <v>34</v>
      </c>
      <c r="E1845" s="5" t="s">
        <v>54</v>
      </c>
      <c r="F1845" s="5" t="s">
        <v>1142</v>
      </c>
      <c r="G1845" s="5" t="s">
        <v>36</v>
      </c>
      <c r="H1845" s="5" t="s">
        <v>36</v>
      </c>
      <c r="I1845" s="5" t="s">
        <v>35</v>
      </c>
      <c r="J1845" s="6">
        <v>3.0</v>
      </c>
      <c r="K1845" s="6">
        <v>6100.0</v>
      </c>
      <c r="L1845" s="6">
        <v>1525.0</v>
      </c>
      <c r="M1845" s="5" t="s">
        <v>57</v>
      </c>
      <c r="N1845" s="26" t="s">
        <v>54</v>
      </c>
      <c r="O1845" s="6" t="s">
        <v>214</v>
      </c>
      <c r="P1845" s="5" t="s">
        <v>59</v>
      </c>
      <c r="Q1845" s="5" t="s">
        <v>115</v>
      </c>
      <c r="R1845" s="6" t="s">
        <v>42</v>
      </c>
      <c r="S1845" s="5" t="s">
        <v>474</v>
      </c>
      <c r="T1845" s="5" t="s">
        <v>44</v>
      </c>
      <c r="U1845" s="5" t="s">
        <v>44</v>
      </c>
      <c r="V1845" s="5" t="s">
        <v>1145</v>
      </c>
      <c r="W1845" s="5" t="s">
        <v>35</v>
      </c>
      <c r="X1845" s="8" t="s">
        <v>475</v>
      </c>
      <c r="Y1845" s="5" t="s">
        <v>46</v>
      </c>
      <c r="Z1845" s="5" t="s">
        <v>47</v>
      </c>
      <c r="AA1845" s="5" t="s">
        <v>64</v>
      </c>
      <c r="AB1845" s="5" t="s">
        <v>8946</v>
      </c>
      <c r="AC1845" s="6" t="s">
        <v>354</v>
      </c>
      <c r="AD1845" s="6">
        <v>7152.0</v>
      </c>
    </row>
    <row r="1846" ht="56.25" customHeight="1">
      <c r="A1846" s="5" t="s">
        <v>8929</v>
      </c>
      <c r="B1846" s="6" t="str">
        <f>image("https://storage.googleapis.com/acdb/housewares/FtrRingcornerNeutral_Remake_0_4.png")</f>
        <v/>
      </c>
      <c r="C1846" s="5" t="s">
        <v>34</v>
      </c>
      <c r="D1846" s="5" t="s">
        <v>34</v>
      </c>
      <c r="E1846" s="5" t="s">
        <v>114</v>
      </c>
      <c r="F1846" s="5" t="s">
        <v>1142</v>
      </c>
      <c r="G1846" s="5" t="s">
        <v>36</v>
      </c>
      <c r="H1846" s="5" t="s">
        <v>36</v>
      </c>
      <c r="I1846" s="5" t="s">
        <v>35</v>
      </c>
      <c r="J1846" s="6">
        <v>3.0</v>
      </c>
      <c r="K1846" s="6">
        <v>6100.0</v>
      </c>
      <c r="L1846" s="6">
        <v>1525.0</v>
      </c>
      <c r="M1846" s="5" t="s">
        <v>57</v>
      </c>
      <c r="N1846" s="26" t="s">
        <v>114</v>
      </c>
      <c r="O1846" s="6" t="s">
        <v>214</v>
      </c>
      <c r="P1846" s="5" t="s">
        <v>59</v>
      </c>
      <c r="Q1846" s="5" t="s">
        <v>115</v>
      </c>
      <c r="R1846" s="6" t="s">
        <v>42</v>
      </c>
      <c r="S1846" s="5" t="s">
        <v>474</v>
      </c>
      <c r="T1846" s="5" t="s">
        <v>44</v>
      </c>
      <c r="U1846" s="5" t="s">
        <v>44</v>
      </c>
      <c r="V1846" s="5" t="s">
        <v>1145</v>
      </c>
      <c r="W1846" s="5" t="s">
        <v>35</v>
      </c>
      <c r="X1846" s="8" t="s">
        <v>475</v>
      </c>
      <c r="Y1846" s="5" t="s">
        <v>46</v>
      </c>
      <c r="Z1846" s="5" t="s">
        <v>47</v>
      </c>
      <c r="AA1846" s="5" t="s">
        <v>64</v>
      </c>
      <c r="AB1846" s="5" t="s">
        <v>8952</v>
      </c>
      <c r="AC1846" s="6" t="s">
        <v>486</v>
      </c>
      <c r="AD1846" s="6">
        <v>7152.0</v>
      </c>
    </row>
    <row r="1847" ht="56.25" customHeight="1">
      <c r="A1847" s="5" t="s">
        <v>8953</v>
      </c>
      <c r="B1847" s="6" t="str">
        <f>IMAGE("https://storage.googleapis.com/acdb/housewares/FtrOfficeTable_Remake_0_0.png")</f>
        <v/>
      </c>
      <c r="C1847" s="5" t="s">
        <v>57</v>
      </c>
      <c r="D1847" s="5" t="s">
        <v>34</v>
      </c>
      <c r="E1847" s="5" t="s">
        <v>34</v>
      </c>
      <c r="F1847" s="5" t="s">
        <v>34</v>
      </c>
      <c r="G1847" s="5" t="s">
        <v>36</v>
      </c>
      <c r="H1847" s="5" t="s">
        <v>36</v>
      </c>
      <c r="I1847" s="5" t="s">
        <v>36</v>
      </c>
      <c r="J1847" s="6" t="s">
        <v>34</v>
      </c>
      <c r="K1847" s="6">
        <v>3600.0</v>
      </c>
      <c r="L1847" s="6">
        <v>900.0</v>
      </c>
      <c r="M1847" s="26" t="s">
        <v>57</v>
      </c>
      <c r="N1847" s="26" t="s">
        <v>57</v>
      </c>
      <c r="O1847" s="6" t="s">
        <v>276</v>
      </c>
      <c r="P1847" s="5" t="s">
        <v>59</v>
      </c>
      <c r="Q1847" s="5" t="s">
        <v>122</v>
      </c>
      <c r="R1847" s="6" t="s">
        <v>42</v>
      </c>
      <c r="S1847" s="5" t="s">
        <v>91</v>
      </c>
      <c r="T1847" s="5" t="s">
        <v>44</v>
      </c>
      <c r="U1847" s="5" t="s">
        <v>44</v>
      </c>
      <c r="V1847" s="5" t="s">
        <v>91</v>
      </c>
      <c r="W1847" s="5" t="s">
        <v>36</v>
      </c>
      <c r="X1847" s="8" t="s">
        <v>230</v>
      </c>
      <c r="Y1847" s="5" t="s">
        <v>46</v>
      </c>
      <c r="Z1847" s="5" t="s">
        <v>47</v>
      </c>
      <c r="AA1847" s="5" t="s">
        <v>64</v>
      </c>
      <c r="AB1847" s="5" t="s">
        <v>8956</v>
      </c>
      <c r="AC1847" s="6" t="s">
        <v>50</v>
      </c>
      <c r="AD1847" s="6">
        <v>840.0</v>
      </c>
    </row>
    <row r="1848" ht="56.25" customHeight="1">
      <c r="A1848" s="5" t="s">
        <v>8953</v>
      </c>
      <c r="B1848" s="6" t="str">
        <f>IMAGE("https://storage.googleapis.com/acdb/housewares/FtrOfficeTable_Remake_1_0.png")</f>
        <v/>
      </c>
      <c r="C1848" s="5" t="s">
        <v>8958</v>
      </c>
      <c r="D1848" s="5" t="s">
        <v>34</v>
      </c>
      <c r="E1848" s="5" t="s">
        <v>34</v>
      </c>
      <c r="F1848" s="5" t="s">
        <v>34</v>
      </c>
      <c r="G1848" s="5" t="s">
        <v>36</v>
      </c>
      <c r="H1848" s="5" t="s">
        <v>36</v>
      </c>
      <c r="I1848" s="5" t="s">
        <v>36</v>
      </c>
      <c r="J1848" s="6" t="s">
        <v>34</v>
      </c>
      <c r="K1848" s="6">
        <v>3600.0</v>
      </c>
      <c r="L1848" s="6">
        <v>900.0</v>
      </c>
      <c r="M1848" s="26" t="s">
        <v>38</v>
      </c>
      <c r="N1848" s="26" t="s">
        <v>57</v>
      </c>
      <c r="O1848" s="6" t="s">
        <v>276</v>
      </c>
      <c r="P1848" s="5" t="s">
        <v>59</v>
      </c>
      <c r="Q1848" s="5" t="s">
        <v>122</v>
      </c>
      <c r="R1848" s="6" t="s">
        <v>42</v>
      </c>
      <c r="S1848" s="5" t="s">
        <v>91</v>
      </c>
      <c r="T1848" s="5" t="s">
        <v>44</v>
      </c>
      <c r="U1848" s="5" t="s">
        <v>44</v>
      </c>
      <c r="V1848" s="5" t="s">
        <v>91</v>
      </c>
      <c r="W1848" s="5" t="s">
        <v>36</v>
      </c>
      <c r="X1848" s="8" t="s">
        <v>230</v>
      </c>
      <c r="Y1848" s="5" t="s">
        <v>46</v>
      </c>
      <c r="Z1848" s="5" t="s">
        <v>47</v>
      </c>
      <c r="AA1848" s="5" t="s">
        <v>64</v>
      </c>
      <c r="AB1848" s="5" t="s">
        <v>8961</v>
      </c>
      <c r="AC1848" s="6" t="s">
        <v>56</v>
      </c>
      <c r="AD1848" s="6">
        <v>840.0</v>
      </c>
    </row>
    <row r="1849" ht="56.25" customHeight="1">
      <c r="A1849" s="5" t="s">
        <v>8953</v>
      </c>
      <c r="B1849" s="6" t="str">
        <f>IMAGE("https://storage.googleapis.com/acdb/housewares/FtrOfficeTable_Remake_2_0.png")</f>
        <v/>
      </c>
      <c r="C1849" s="5" t="s">
        <v>8962</v>
      </c>
      <c r="D1849" s="5" t="s">
        <v>34</v>
      </c>
      <c r="E1849" s="5" t="s">
        <v>34</v>
      </c>
      <c r="F1849" s="5" t="s">
        <v>34</v>
      </c>
      <c r="G1849" s="5" t="s">
        <v>36</v>
      </c>
      <c r="H1849" s="5" t="s">
        <v>36</v>
      </c>
      <c r="I1849" s="5" t="s">
        <v>36</v>
      </c>
      <c r="J1849" s="6" t="s">
        <v>34</v>
      </c>
      <c r="K1849" s="6">
        <v>3600.0</v>
      </c>
      <c r="L1849" s="6">
        <v>900.0</v>
      </c>
      <c r="M1849" s="26" t="s">
        <v>39</v>
      </c>
      <c r="N1849" s="26" t="s">
        <v>54</v>
      </c>
      <c r="O1849" s="6" t="s">
        <v>276</v>
      </c>
      <c r="P1849" s="5" t="s">
        <v>59</v>
      </c>
      <c r="Q1849" s="5" t="s">
        <v>122</v>
      </c>
      <c r="R1849" s="6" t="s">
        <v>42</v>
      </c>
      <c r="S1849" s="5" t="s">
        <v>91</v>
      </c>
      <c r="T1849" s="5" t="s">
        <v>44</v>
      </c>
      <c r="U1849" s="5" t="s">
        <v>44</v>
      </c>
      <c r="V1849" s="5" t="s">
        <v>91</v>
      </c>
      <c r="W1849" s="5" t="s">
        <v>36</v>
      </c>
      <c r="X1849" s="8" t="s">
        <v>230</v>
      </c>
      <c r="Y1849" s="5" t="s">
        <v>46</v>
      </c>
      <c r="Z1849" s="5" t="s">
        <v>47</v>
      </c>
      <c r="AA1849" s="5" t="s">
        <v>64</v>
      </c>
      <c r="AB1849" s="5" t="s">
        <v>8965</v>
      </c>
      <c r="AC1849" s="6" t="s">
        <v>67</v>
      </c>
      <c r="AD1849" s="6">
        <v>840.0</v>
      </c>
    </row>
    <row r="1850" ht="56.25" customHeight="1">
      <c r="A1850" s="5" t="s">
        <v>8953</v>
      </c>
      <c r="B1850" s="6" t="str">
        <f>IMAGE("https://storage.googleapis.com/acdb/housewares/FtrOfficeTable_Remake_3_0.png")</f>
        <v/>
      </c>
      <c r="C1850" s="5" t="s">
        <v>95</v>
      </c>
      <c r="D1850" s="5" t="s">
        <v>34</v>
      </c>
      <c r="E1850" s="5" t="s">
        <v>34</v>
      </c>
      <c r="F1850" s="5" t="s">
        <v>34</v>
      </c>
      <c r="G1850" s="5" t="s">
        <v>36</v>
      </c>
      <c r="H1850" s="5" t="s">
        <v>36</v>
      </c>
      <c r="I1850" s="5" t="s">
        <v>36</v>
      </c>
      <c r="J1850" s="6" t="s">
        <v>34</v>
      </c>
      <c r="K1850" s="6">
        <v>3600.0</v>
      </c>
      <c r="L1850" s="6">
        <v>900.0</v>
      </c>
      <c r="M1850" s="26" t="s">
        <v>95</v>
      </c>
      <c r="N1850" s="26" t="s">
        <v>95</v>
      </c>
      <c r="O1850" s="6" t="s">
        <v>276</v>
      </c>
      <c r="P1850" s="5" t="s">
        <v>59</v>
      </c>
      <c r="Q1850" s="5" t="s">
        <v>122</v>
      </c>
      <c r="R1850" s="6" t="s">
        <v>42</v>
      </c>
      <c r="S1850" s="5" t="s">
        <v>91</v>
      </c>
      <c r="T1850" s="5" t="s">
        <v>44</v>
      </c>
      <c r="U1850" s="5" t="s">
        <v>44</v>
      </c>
      <c r="V1850" s="5" t="s">
        <v>91</v>
      </c>
      <c r="W1850" s="5" t="s">
        <v>36</v>
      </c>
      <c r="X1850" s="8" t="s">
        <v>230</v>
      </c>
      <c r="Y1850" s="5" t="s">
        <v>46</v>
      </c>
      <c r="Z1850" s="5" t="s">
        <v>47</v>
      </c>
      <c r="AA1850" s="5" t="s">
        <v>64</v>
      </c>
      <c r="AB1850" s="5" t="s">
        <v>8970</v>
      </c>
      <c r="AC1850" s="6" t="s">
        <v>71</v>
      </c>
      <c r="AD1850" s="6">
        <v>840.0</v>
      </c>
    </row>
    <row r="1851" ht="56.25" customHeight="1">
      <c r="A1851" s="5" t="s">
        <v>8971</v>
      </c>
      <c r="B1851" s="6" t="str">
        <f>IMAGE("https://storage.googleapis.com/acdb/housewares/FtrDrumcan_Remake_0_0.png")</f>
        <v/>
      </c>
      <c r="C1851" s="5" t="s">
        <v>1857</v>
      </c>
      <c r="D1851" s="5" t="s">
        <v>34</v>
      </c>
      <c r="E1851" s="5" t="s">
        <v>34</v>
      </c>
      <c r="F1851" s="5" t="s">
        <v>34</v>
      </c>
      <c r="G1851" s="5" t="s">
        <v>36</v>
      </c>
      <c r="H1851" s="5" t="s">
        <v>36</v>
      </c>
      <c r="I1851" s="5" t="s">
        <v>36</v>
      </c>
      <c r="J1851" s="6" t="s">
        <v>34</v>
      </c>
      <c r="K1851" s="6">
        <v>650.0</v>
      </c>
      <c r="L1851" s="6">
        <v>162.0</v>
      </c>
      <c r="M1851" s="26" t="s">
        <v>96</v>
      </c>
      <c r="N1851" s="26" t="s">
        <v>57</v>
      </c>
      <c r="O1851" s="6" t="s">
        <v>40</v>
      </c>
      <c r="P1851" s="5" t="s">
        <v>59</v>
      </c>
      <c r="Q1851" s="5" t="s">
        <v>554</v>
      </c>
      <c r="R1851" s="6" t="s">
        <v>42</v>
      </c>
      <c r="S1851" s="5" t="s">
        <v>416</v>
      </c>
      <c r="T1851" s="5" t="s">
        <v>44</v>
      </c>
      <c r="U1851" s="5" t="s">
        <v>44</v>
      </c>
      <c r="V1851" s="5" t="s">
        <v>44</v>
      </c>
      <c r="W1851" s="5" t="s">
        <v>36</v>
      </c>
      <c r="X1851" s="8" t="s">
        <v>173</v>
      </c>
      <c r="Y1851" s="5" t="s">
        <v>46</v>
      </c>
      <c r="Z1851" s="5" t="s">
        <v>47</v>
      </c>
      <c r="AA1851" s="5" t="s">
        <v>64</v>
      </c>
      <c r="AB1851" s="5" t="s">
        <v>8977</v>
      </c>
      <c r="AC1851" s="6" t="s">
        <v>50</v>
      </c>
      <c r="AD1851" s="6">
        <v>1567.0</v>
      </c>
    </row>
    <row r="1852" ht="56.25" customHeight="1">
      <c r="A1852" s="5" t="s">
        <v>8971</v>
      </c>
      <c r="B1852" s="6" t="str">
        <f>IMAGE("https://storage.googleapis.com/acdb/housewares/FtrDrumcan_Remake_1_0.png")</f>
        <v/>
      </c>
      <c r="C1852" s="5" t="s">
        <v>68</v>
      </c>
      <c r="D1852" s="5" t="s">
        <v>34</v>
      </c>
      <c r="E1852" s="5" t="s">
        <v>34</v>
      </c>
      <c r="F1852" s="5" t="s">
        <v>34</v>
      </c>
      <c r="G1852" s="5" t="s">
        <v>36</v>
      </c>
      <c r="H1852" s="5" t="s">
        <v>36</v>
      </c>
      <c r="I1852" s="5" t="s">
        <v>36</v>
      </c>
      <c r="J1852" s="6" t="s">
        <v>34</v>
      </c>
      <c r="K1852" s="6">
        <v>650.0</v>
      </c>
      <c r="L1852" s="6">
        <v>162.0</v>
      </c>
      <c r="M1852" s="26" t="s">
        <v>68</v>
      </c>
      <c r="N1852" s="26" t="s">
        <v>57</v>
      </c>
      <c r="O1852" s="6" t="s">
        <v>40</v>
      </c>
      <c r="P1852" s="5" t="s">
        <v>59</v>
      </c>
      <c r="Q1852" s="5" t="s">
        <v>554</v>
      </c>
      <c r="R1852" s="6" t="s">
        <v>42</v>
      </c>
      <c r="S1852" s="5" t="s">
        <v>416</v>
      </c>
      <c r="T1852" s="5" t="s">
        <v>44</v>
      </c>
      <c r="U1852" s="5" t="s">
        <v>44</v>
      </c>
      <c r="V1852" s="5" t="s">
        <v>44</v>
      </c>
      <c r="W1852" s="5" t="s">
        <v>36</v>
      </c>
      <c r="X1852" s="8" t="s">
        <v>173</v>
      </c>
      <c r="Y1852" s="5" t="s">
        <v>46</v>
      </c>
      <c r="Z1852" s="5" t="s">
        <v>47</v>
      </c>
      <c r="AA1852" s="5" t="s">
        <v>64</v>
      </c>
      <c r="AB1852" s="5" t="s">
        <v>8981</v>
      </c>
      <c r="AC1852" s="6" t="s">
        <v>56</v>
      </c>
      <c r="AD1852" s="6">
        <v>1567.0</v>
      </c>
    </row>
    <row r="1853" ht="56.25" customHeight="1">
      <c r="A1853" s="5" t="s">
        <v>8971</v>
      </c>
      <c r="B1853" s="6" t="str">
        <f>IMAGE("https://storage.googleapis.com/acdb/housewares/FtrDrumcan_Remake_2_0.png")</f>
        <v/>
      </c>
      <c r="C1853" s="5" t="s">
        <v>83</v>
      </c>
      <c r="D1853" s="5" t="s">
        <v>34</v>
      </c>
      <c r="E1853" s="5" t="s">
        <v>34</v>
      </c>
      <c r="F1853" s="5" t="s">
        <v>34</v>
      </c>
      <c r="G1853" s="5" t="s">
        <v>36</v>
      </c>
      <c r="H1853" s="5" t="s">
        <v>36</v>
      </c>
      <c r="I1853" s="5" t="s">
        <v>36</v>
      </c>
      <c r="J1853" s="6" t="s">
        <v>34</v>
      </c>
      <c r="K1853" s="6">
        <v>650.0</v>
      </c>
      <c r="L1853" s="6">
        <v>162.0</v>
      </c>
      <c r="M1853" s="26" t="s">
        <v>1175</v>
      </c>
      <c r="N1853" s="26" t="s">
        <v>57</v>
      </c>
      <c r="O1853" s="6" t="s">
        <v>40</v>
      </c>
      <c r="P1853" s="5" t="s">
        <v>59</v>
      </c>
      <c r="Q1853" s="5" t="s">
        <v>554</v>
      </c>
      <c r="R1853" s="6" t="s">
        <v>42</v>
      </c>
      <c r="S1853" s="5" t="s">
        <v>416</v>
      </c>
      <c r="T1853" s="5" t="s">
        <v>44</v>
      </c>
      <c r="U1853" s="5" t="s">
        <v>44</v>
      </c>
      <c r="V1853" s="5" t="s">
        <v>44</v>
      </c>
      <c r="W1853" s="5" t="s">
        <v>36</v>
      </c>
      <c r="X1853" s="8" t="s">
        <v>173</v>
      </c>
      <c r="Y1853" s="5" t="s">
        <v>46</v>
      </c>
      <c r="Z1853" s="5" t="s">
        <v>47</v>
      </c>
      <c r="AA1853" s="5" t="s">
        <v>64</v>
      </c>
      <c r="AB1853" s="5" t="s">
        <v>8988</v>
      </c>
      <c r="AC1853" s="6" t="s">
        <v>67</v>
      </c>
      <c r="AD1853" s="6">
        <v>1567.0</v>
      </c>
    </row>
    <row r="1854" ht="56.25" customHeight="1">
      <c r="A1854" s="5" t="s">
        <v>8971</v>
      </c>
      <c r="B1854" s="6" t="str">
        <f>IMAGE("https://storage.googleapis.com/acdb/housewares/FtrDrumcan_Remake_3_0.png")</f>
        <v/>
      </c>
      <c r="C1854" s="5" t="s">
        <v>142</v>
      </c>
      <c r="D1854" s="5" t="s">
        <v>34</v>
      </c>
      <c r="E1854" s="5" t="s">
        <v>34</v>
      </c>
      <c r="F1854" s="5" t="s">
        <v>34</v>
      </c>
      <c r="G1854" s="5" t="s">
        <v>36</v>
      </c>
      <c r="H1854" s="5" t="s">
        <v>36</v>
      </c>
      <c r="I1854" s="5" t="s">
        <v>36</v>
      </c>
      <c r="J1854" s="6" t="s">
        <v>34</v>
      </c>
      <c r="K1854" s="6">
        <v>650.0</v>
      </c>
      <c r="L1854" s="6">
        <v>162.0</v>
      </c>
      <c r="M1854" s="26" t="s">
        <v>142</v>
      </c>
      <c r="N1854" s="26" t="s">
        <v>57</v>
      </c>
      <c r="O1854" s="6" t="s">
        <v>40</v>
      </c>
      <c r="P1854" s="5" t="s">
        <v>59</v>
      </c>
      <c r="Q1854" s="5" t="s">
        <v>554</v>
      </c>
      <c r="R1854" s="6" t="s">
        <v>42</v>
      </c>
      <c r="S1854" s="5" t="s">
        <v>416</v>
      </c>
      <c r="T1854" s="5" t="s">
        <v>44</v>
      </c>
      <c r="U1854" s="5" t="s">
        <v>44</v>
      </c>
      <c r="V1854" s="5" t="s">
        <v>44</v>
      </c>
      <c r="W1854" s="5" t="s">
        <v>36</v>
      </c>
      <c r="X1854" s="8" t="s">
        <v>173</v>
      </c>
      <c r="Y1854" s="5" t="s">
        <v>46</v>
      </c>
      <c r="Z1854" s="5" t="s">
        <v>47</v>
      </c>
      <c r="AA1854" s="5" t="s">
        <v>64</v>
      </c>
      <c r="AB1854" s="5" t="s">
        <v>8994</v>
      </c>
      <c r="AC1854" s="6" t="s">
        <v>71</v>
      </c>
      <c r="AD1854" s="6">
        <v>1567.0</v>
      </c>
    </row>
    <row r="1855" ht="56.25" customHeight="1">
      <c r="A1855" s="5" t="s">
        <v>8971</v>
      </c>
      <c r="B1855" s="6" t="str">
        <f>IMAGE("https://storage.googleapis.com/acdb/housewares/FtrDrumcan_Remake_4_0.png")</f>
        <v/>
      </c>
      <c r="C1855" s="5" t="s">
        <v>8996</v>
      </c>
      <c r="D1855" s="5" t="s">
        <v>34</v>
      </c>
      <c r="E1855" s="5" t="s">
        <v>34</v>
      </c>
      <c r="F1855" s="5" t="s">
        <v>34</v>
      </c>
      <c r="G1855" s="5" t="s">
        <v>36</v>
      </c>
      <c r="H1855" s="5" t="s">
        <v>36</v>
      </c>
      <c r="I1855" s="5" t="s">
        <v>36</v>
      </c>
      <c r="J1855" s="6" t="s">
        <v>34</v>
      </c>
      <c r="K1855" s="6">
        <v>650.0</v>
      </c>
      <c r="L1855" s="6">
        <v>162.0</v>
      </c>
      <c r="M1855" s="26" t="s">
        <v>114</v>
      </c>
      <c r="N1855" s="26" t="s">
        <v>54</v>
      </c>
      <c r="O1855" s="6" t="s">
        <v>40</v>
      </c>
      <c r="P1855" s="5" t="s">
        <v>59</v>
      </c>
      <c r="Q1855" s="5" t="s">
        <v>554</v>
      </c>
      <c r="R1855" s="6" t="s">
        <v>42</v>
      </c>
      <c r="S1855" s="5" t="s">
        <v>416</v>
      </c>
      <c r="T1855" s="5" t="s">
        <v>44</v>
      </c>
      <c r="U1855" s="5" t="s">
        <v>44</v>
      </c>
      <c r="V1855" s="5" t="s">
        <v>44</v>
      </c>
      <c r="W1855" s="5" t="s">
        <v>36</v>
      </c>
      <c r="X1855" s="8" t="s">
        <v>173</v>
      </c>
      <c r="Y1855" s="5" t="s">
        <v>46</v>
      </c>
      <c r="Z1855" s="5" t="s">
        <v>47</v>
      </c>
      <c r="AA1855" s="5" t="s">
        <v>64</v>
      </c>
      <c r="AB1855" s="5" t="s">
        <v>8999</v>
      </c>
      <c r="AC1855" s="6" t="s">
        <v>75</v>
      </c>
      <c r="AD1855" s="6">
        <v>1567.0</v>
      </c>
    </row>
    <row r="1856" ht="56.25" customHeight="1">
      <c r="A1856" s="5" t="s">
        <v>8971</v>
      </c>
      <c r="B1856" s="6" t="str">
        <f>IMAGE("https://storage.googleapis.com/acdb/housewares/FtrDrumcan_Remake_5_0.png")</f>
        <v/>
      </c>
      <c r="C1856" s="5" t="s">
        <v>52</v>
      </c>
      <c r="D1856" s="5" t="s">
        <v>34</v>
      </c>
      <c r="E1856" s="5" t="s">
        <v>34</v>
      </c>
      <c r="F1856" s="5" t="s">
        <v>34</v>
      </c>
      <c r="G1856" s="5" t="s">
        <v>36</v>
      </c>
      <c r="H1856" s="5" t="s">
        <v>36</v>
      </c>
      <c r="I1856" s="5" t="s">
        <v>36</v>
      </c>
      <c r="J1856" s="6" t="s">
        <v>34</v>
      </c>
      <c r="K1856" s="6">
        <v>650.0</v>
      </c>
      <c r="L1856" s="6">
        <v>162.0</v>
      </c>
      <c r="M1856" s="26" t="s">
        <v>52</v>
      </c>
      <c r="N1856" s="26" t="s">
        <v>52</v>
      </c>
      <c r="O1856" s="6" t="s">
        <v>40</v>
      </c>
      <c r="P1856" s="5" t="s">
        <v>59</v>
      </c>
      <c r="Q1856" s="5" t="s">
        <v>554</v>
      </c>
      <c r="R1856" s="6" t="s">
        <v>42</v>
      </c>
      <c r="S1856" s="5" t="s">
        <v>416</v>
      </c>
      <c r="T1856" s="5" t="s">
        <v>44</v>
      </c>
      <c r="U1856" s="5" t="s">
        <v>44</v>
      </c>
      <c r="V1856" s="5" t="s">
        <v>44</v>
      </c>
      <c r="W1856" s="5" t="s">
        <v>36</v>
      </c>
      <c r="X1856" s="8" t="s">
        <v>173</v>
      </c>
      <c r="Y1856" s="5" t="s">
        <v>46</v>
      </c>
      <c r="Z1856" s="5" t="s">
        <v>47</v>
      </c>
      <c r="AA1856" s="5" t="s">
        <v>64</v>
      </c>
      <c r="AB1856" s="5" t="s">
        <v>9005</v>
      </c>
      <c r="AC1856" s="6" t="s">
        <v>79</v>
      </c>
      <c r="AD1856" s="6">
        <v>1567.0</v>
      </c>
    </row>
    <row r="1857" ht="56.25" customHeight="1">
      <c r="A1857" s="5" t="s">
        <v>8971</v>
      </c>
      <c r="B1857" s="6" t="str">
        <f>IMAGE("https://storage.googleapis.com/acdb/housewares/FtrDrumcan_Remake_6_0.png")</f>
        <v/>
      </c>
      <c r="C1857" s="5" t="s">
        <v>96</v>
      </c>
      <c r="D1857" s="5" t="s">
        <v>34</v>
      </c>
      <c r="E1857" s="5" t="s">
        <v>34</v>
      </c>
      <c r="F1857" s="5" t="s">
        <v>34</v>
      </c>
      <c r="G1857" s="5" t="s">
        <v>36</v>
      </c>
      <c r="H1857" s="5" t="s">
        <v>36</v>
      </c>
      <c r="I1857" s="5" t="s">
        <v>36</v>
      </c>
      <c r="J1857" s="6" t="s">
        <v>34</v>
      </c>
      <c r="K1857" s="6">
        <v>650.0</v>
      </c>
      <c r="L1857" s="6">
        <v>162.0</v>
      </c>
      <c r="M1857" s="26" t="s">
        <v>96</v>
      </c>
      <c r="N1857" s="26" t="s">
        <v>96</v>
      </c>
      <c r="O1857" s="6" t="s">
        <v>40</v>
      </c>
      <c r="P1857" s="5" t="s">
        <v>59</v>
      </c>
      <c r="Q1857" s="5" t="s">
        <v>554</v>
      </c>
      <c r="R1857" s="6" t="s">
        <v>42</v>
      </c>
      <c r="S1857" s="5" t="s">
        <v>416</v>
      </c>
      <c r="T1857" s="5" t="s">
        <v>44</v>
      </c>
      <c r="U1857" s="5" t="s">
        <v>44</v>
      </c>
      <c r="V1857" s="5" t="s">
        <v>44</v>
      </c>
      <c r="W1857" s="5" t="s">
        <v>36</v>
      </c>
      <c r="X1857" s="8" t="s">
        <v>173</v>
      </c>
      <c r="Y1857" s="5" t="s">
        <v>46</v>
      </c>
      <c r="Z1857" s="5" t="s">
        <v>47</v>
      </c>
      <c r="AA1857" s="5" t="s">
        <v>64</v>
      </c>
      <c r="AB1857" s="5" t="s">
        <v>9010</v>
      </c>
      <c r="AC1857" s="6" t="s">
        <v>86</v>
      </c>
      <c r="AD1857" s="6">
        <v>1567.0</v>
      </c>
    </row>
    <row r="1858" ht="56.25" customHeight="1">
      <c r="A1858" s="5" t="s">
        <v>8971</v>
      </c>
      <c r="B1858" s="6" t="str">
        <f>IMAGE("https://storage.googleapis.com/acdb/housewares/FtrDrumcan_Remake_7_0.png")</f>
        <v/>
      </c>
      <c r="C1858" s="5" t="s">
        <v>9011</v>
      </c>
      <c r="D1858" s="5" t="s">
        <v>34</v>
      </c>
      <c r="E1858" s="5" t="s">
        <v>34</v>
      </c>
      <c r="F1858" s="5" t="s">
        <v>34</v>
      </c>
      <c r="G1858" s="5" t="s">
        <v>36</v>
      </c>
      <c r="H1858" s="5" t="s">
        <v>36</v>
      </c>
      <c r="I1858" s="5" t="s">
        <v>36</v>
      </c>
      <c r="J1858" s="6" t="s">
        <v>34</v>
      </c>
      <c r="K1858" s="6">
        <v>650.0</v>
      </c>
      <c r="L1858" s="6">
        <v>162.0</v>
      </c>
      <c r="M1858" s="26" t="s">
        <v>39</v>
      </c>
      <c r="N1858" s="26" t="s">
        <v>39</v>
      </c>
      <c r="O1858" s="6" t="s">
        <v>40</v>
      </c>
      <c r="P1858" s="5" t="s">
        <v>59</v>
      </c>
      <c r="Q1858" s="5" t="s">
        <v>554</v>
      </c>
      <c r="R1858" s="6" t="s">
        <v>42</v>
      </c>
      <c r="S1858" s="5" t="s">
        <v>416</v>
      </c>
      <c r="T1858" s="5" t="s">
        <v>44</v>
      </c>
      <c r="U1858" s="5" t="s">
        <v>44</v>
      </c>
      <c r="V1858" s="5" t="s">
        <v>44</v>
      </c>
      <c r="W1858" s="5" t="s">
        <v>36</v>
      </c>
      <c r="X1858" s="8" t="s">
        <v>173</v>
      </c>
      <c r="Y1858" s="5" t="s">
        <v>46</v>
      </c>
      <c r="Z1858" s="5" t="s">
        <v>47</v>
      </c>
      <c r="AA1858" s="5" t="s">
        <v>64</v>
      </c>
      <c r="AB1858" s="5" t="s">
        <v>9016</v>
      </c>
      <c r="AC1858" s="6" t="s">
        <v>208</v>
      </c>
      <c r="AD1858" s="6">
        <v>1567.0</v>
      </c>
    </row>
    <row r="1859" ht="56.25" customHeight="1">
      <c r="A1859" s="5" t="s">
        <v>9017</v>
      </c>
      <c r="B1859" s="6" t="str">
        <f>IMAGE("https://storage.googleapis.com/acdb/housewares/FtrDrumcanbath_Remake_0_0.png")</f>
        <v/>
      </c>
      <c r="C1859" s="5" t="s">
        <v>9019</v>
      </c>
      <c r="D1859" s="5" t="s">
        <v>9020</v>
      </c>
      <c r="E1859" s="5" t="s">
        <v>34</v>
      </c>
      <c r="F1859" s="5" t="s">
        <v>34</v>
      </c>
      <c r="G1859" s="5" t="s">
        <v>35</v>
      </c>
      <c r="H1859" s="5" t="s">
        <v>35</v>
      </c>
      <c r="I1859" s="5" t="s">
        <v>36</v>
      </c>
      <c r="J1859" s="6">
        <v>1.0</v>
      </c>
      <c r="K1859" s="6" t="s">
        <v>37</v>
      </c>
      <c r="L1859" s="6">
        <v>655.0</v>
      </c>
      <c r="M1859" s="26" t="s">
        <v>95</v>
      </c>
      <c r="N1859" s="26" t="s">
        <v>95</v>
      </c>
      <c r="O1859" s="6" t="s">
        <v>40</v>
      </c>
      <c r="P1859" s="5" t="s">
        <v>41</v>
      </c>
      <c r="Q1859" s="5"/>
      <c r="R1859" s="6" t="s">
        <v>42</v>
      </c>
      <c r="S1859" s="5" t="s">
        <v>288</v>
      </c>
      <c r="T1859" s="5" t="s">
        <v>44</v>
      </c>
      <c r="U1859" s="5" t="s">
        <v>44</v>
      </c>
      <c r="V1859" s="5" t="s">
        <v>44</v>
      </c>
      <c r="W1859" s="5" t="s">
        <v>35</v>
      </c>
      <c r="X1859" s="8" t="s">
        <v>1968</v>
      </c>
      <c r="Y1859" s="5" t="s">
        <v>46</v>
      </c>
      <c r="Z1859" s="5" t="s">
        <v>47</v>
      </c>
      <c r="AA1859" s="5" t="s">
        <v>48</v>
      </c>
      <c r="AB1859" s="5" t="s">
        <v>9024</v>
      </c>
      <c r="AC1859" s="6" t="s">
        <v>50</v>
      </c>
      <c r="AD1859" s="6">
        <v>3819.0</v>
      </c>
    </row>
    <row r="1860" ht="56.25" customHeight="1">
      <c r="A1860" s="5" t="s">
        <v>9017</v>
      </c>
      <c r="B1860" s="6" t="str">
        <f>IMAGE("https://storage.googleapis.com/acdb/housewares/FtrDrumcanbath_Remake_1_0.png")</f>
        <v/>
      </c>
      <c r="C1860" s="5" t="s">
        <v>96</v>
      </c>
      <c r="D1860" s="5" t="s">
        <v>9020</v>
      </c>
      <c r="E1860" s="5" t="s">
        <v>34</v>
      </c>
      <c r="F1860" s="5" t="s">
        <v>34</v>
      </c>
      <c r="G1860" s="5" t="s">
        <v>35</v>
      </c>
      <c r="H1860" s="5" t="s">
        <v>35</v>
      </c>
      <c r="I1860" s="5" t="s">
        <v>36</v>
      </c>
      <c r="J1860" s="6">
        <v>1.0</v>
      </c>
      <c r="K1860" s="6" t="s">
        <v>37</v>
      </c>
      <c r="L1860" s="6">
        <v>655.0</v>
      </c>
      <c r="M1860" s="26" t="s">
        <v>96</v>
      </c>
      <c r="N1860" s="26" t="s">
        <v>96</v>
      </c>
      <c r="O1860" s="6" t="s">
        <v>40</v>
      </c>
      <c r="P1860" s="5" t="s">
        <v>41</v>
      </c>
      <c r="Q1860" s="5"/>
      <c r="R1860" s="6" t="s">
        <v>42</v>
      </c>
      <c r="S1860" s="5" t="s">
        <v>288</v>
      </c>
      <c r="T1860" s="5" t="s">
        <v>44</v>
      </c>
      <c r="U1860" s="5" t="s">
        <v>44</v>
      </c>
      <c r="V1860" s="5" t="s">
        <v>44</v>
      </c>
      <c r="W1860" s="5" t="s">
        <v>35</v>
      </c>
      <c r="X1860" s="8" t="s">
        <v>1968</v>
      </c>
      <c r="Y1860" s="5" t="s">
        <v>46</v>
      </c>
      <c r="Z1860" s="5" t="s">
        <v>47</v>
      </c>
      <c r="AA1860" s="5" t="s">
        <v>48</v>
      </c>
      <c r="AB1860" s="5" t="s">
        <v>9027</v>
      </c>
      <c r="AC1860" s="6" t="s">
        <v>56</v>
      </c>
      <c r="AD1860" s="6">
        <v>3819.0</v>
      </c>
    </row>
    <row r="1861" ht="56.25" customHeight="1">
      <c r="A1861" s="5" t="s">
        <v>9017</v>
      </c>
      <c r="B1861" s="6" t="str">
        <f>IMAGE("https://storage.googleapis.com/acdb/housewares/FtrDrumcanbath_Remake_2_0.png")</f>
        <v/>
      </c>
      <c r="C1861" s="5" t="s">
        <v>114</v>
      </c>
      <c r="D1861" s="5" t="s">
        <v>9020</v>
      </c>
      <c r="E1861" s="5" t="s">
        <v>34</v>
      </c>
      <c r="F1861" s="5" t="s">
        <v>34</v>
      </c>
      <c r="G1861" s="5" t="s">
        <v>35</v>
      </c>
      <c r="H1861" s="5" t="s">
        <v>35</v>
      </c>
      <c r="I1861" s="5" t="s">
        <v>36</v>
      </c>
      <c r="J1861" s="6">
        <v>1.0</v>
      </c>
      <c r="K1861" s="6" t="s">
        <v>37</v>
      </c>
      <c r="L1861" s="6">
        <v>655.0</v>
      </c>
      <c r="M1861" s="26" t="s">
        <v>114</v>
      </c>
      <c r="N1861" s="26" t="s">
        <v>114</v>
      </c>
      <c r="O1861" s="6" t="s">
        <v>40</v>
      </c>
      <c r="P1861" s="5" t="s">
        <v>41</v>
      </c>
      <c r="Q1861" s="5"/>
      <c r="R1861" s="6" t="s">
        <v>42</v>
      </c>
      <c r="S1861" s="5" t="s">
        <v>288</v>
      </c>
      <c r="T1861" s="5" t="s">
        <v>44</v>
      </c>
      <c r="U1861" s="5" t="s">
        <v>44</v>
      </c>
      <c r="V1861" s="5" t="s">
        <v>44</v>
      </c>
      <c r="W1861" s="5" t="s">
        <v>35</v>
      </c>
      <c r="X1861" s="8" t="s">
        <v>1968</v>
      </c>
      <c r="Y1861" s="5" t="s">
        <v>46</v>
      </c>
      <c r="Z1861" s="5" t="s">
        <v>47</v>
      </c>
      <c r="AA1861" s="5" t="s">
        <v>48</v>
      </c>
      <c r="AB1861" s="5" t="s">
        <v>9031</v>
      </c>
      <c r="AC1861" s="6" t="s">
        <v>67</v>
      </c>
      <c r="AD1861" s="6">
        <v>3819.0</v>
      </c>
    </row>
    <row r="1862" ht="56.25" customHeight="1">
      <c r="A1862" s="5" t="s">
        <v>9017</v>
      </c>
      <c r="B1862" s="6" t="str">
        <f>IMAGE("https://storage.googleapis.com/acdb/housewares/FtrDrumcanbath_Remake_3_0.png")</f>
        <v/>
      </c>
      <c r="C1862" s="5" t="s">
        <v>52</v>
      </c>
      <c r="D1862" s="5" t="s">
        <v>9020</v>
      </c>
      <c r="E1862" s="5" t="s">
        <v>34</v>
      </c>
      <c r="F1862" s="5" t="s">
        <v>34</v>
      </c>
      <c r="G1862" s="5" t="s">
        <v>35</v>
      </c>
      <c r="H1862" s="5" t="s">
        <v>35</v>
      </c>
      <c r="I1862" s="5" t="s">
        <v>36</v>
      </c>
      <c r="J1862" s="6">
        <v>1.0</v>
      </c>
      <c r="K1862" s="6" t="s">
        <v>37</v>
      </c>
      <c r="L1862" s="6">
        <v>655.0</v>
      </c>
      <c r="M1862" s="26" t="s">
        <v>52</v>
      </c>
      <c r="N1862" s="26" t="s">
        <v>52</v>
      </c>
      <c r="O1862" s="6" t="s">
        <v>40</v>
      </c>
      <c r="P1862" s="5" t="s">
        <v>41</v>
      </c>
      <c r="Q1862" s="5"/>
      <c r="R1862" s="6" t="s">
        <v>42</v>
      </c>
      <c r="S1862" s="5" t="s">
        <v>288</v>
      </c>
      <c r="T1862" s="5" t="s">
        <v>44</v>
      </c>
      <c r="U1862" s="5" t="s">
        <v>44</v>
      </c>
      <c r="V1862" s="5" t="s">
        <v>44</v>
      </c>
      <c r="W1862" s="5" t="s">
        <v>35</v>
      </c>
      <c r="X1862" s="8" t="s">
        <v>1968</v>
      </c>
      <c r="Y1862" s="5" t="s">
        <v>46</v>
      </c>
      <c r="Z1862" s="5" t="s">
        <v>47</v>
      </c>
      <c r="AA1862" s="5" t="s">
        <v>48</v>
      </c>
      <c r="AB1862" s="5" t="s">
        <v>9037</v>
      </c>
      <c r="AC1862" s="6" t="s">
        <v>71</v>
      </c>
      <c r="AD1862" s="6">
        <v>3819.0</v>
      </c>
    </row>
    <row r="1863" ht="56.25" customHeight="1">
      <c r="A1863" s="5" t="s">
        <v>9017</v>
      </c>
      <c r="B1863" s="6" t="str">
        <f>IMAGE("https://storage.googleapis.com/acdb/housewares/FtrDrumcanbath_Remake_4_0.png")</f>
        <v/>
      </c>
      <c r="C1863" s="5" t="s">
        <v>57</v>
      </c>
      <c r="D1863" s="5" t="s">
        <v>9020</v>
      </c>
      <c r="E1863" s="5" t="s">
        <v>34</v>
      </c>
      <c r="F1863" s="5" t="s">
        <v>34</v>
      </c>
      <c r="G1863" s="5" t="s">
        <v>35</v>
      </c>
      <c r="H1863" s="5" t="s">
        <v>35</v>
      </c>
      <c r="I1863" s="5" t="s">
        <v>36</v>
      </c>
      <c r="J1863" s="6">
        <v>1.0</v>
      </c>
      <c r="K1863" s="6" t="s">
        <v>37</v>
      </c>
      <c r="L1863" s="6">
        <v>655.0</v>
      </c>
      <c r="M1863" s="26" t="s">
        <v>57</v>
      </c>
      <c r="N1863" s="26" t="s">
        <v>57</v>
      </c>
      <c r="O1863" s="6" t="s">
        <v>40</v>
      </c>
      <c r="P1863" s="5" t="s">
        <v>41</v>
      </c>
      <c r="Q1863" s="5"/>
      <c r="R1863" s="6" t="s">
        <v>42</v>
      </c>
      <c r="S1863" s="5" t="s">
        <v>288</v>
      </c>
      <c r="T1863" s="5" t="s">
        <v>44</v>
      </c>
      <c r="U1863" s="5" t="s">
        <v>44</v>
      </c>
      <c r="V1863" s="5" t="s">
        <v>44</v>
      </c>
      <c r="W1863" s="5" t="s">
        <v>35</v>
      </c>
      <c r="X1863" s="8" t="s">
        <v>1968</v>
      </c>
      <c r="Y1863" s="5" t="s">
        <v>46</v>
      </c>
      <c r="Z1863" s="5" t="s">
        <v>47</v>
      </c>
      <c r="AA1863" s="5" t="s">
        <v>48</v>
      </c>
      <c r="AB1863" s="5" t="s">
        <v>9040</v>
      </c>
      <c r="AC1863" s="6" t="s">
        <v>75</v>
      </c>
      <c r="AD1863" s="6">
        <v>3819.0</v>
      </c>
    </row>
    <row r="1864" ht="56.25" customHeight="1">
      <c r="A1864" s="5" t="s">
        <v>9017</v>
      </c>
      <c r="B1864" s="6" t="str">
        <f>IMAGE("https://storage.googleapis.com/acdb/housewares/FtrDrumcanbath_Remake_5_0.png")</f>
        <v/>
      </c>
      <c r="C1864" s="5" t="s">
        <v>164</v>
      </c>
      <c r="D1864" s="5" t="s">
        <v>9020</v>
      </c>
      <c r="E1864" s="5" t="s">
        <v>34</v>
      </c>
      <c r="F1864" s="5" t="s">
        <v>34</v>
      </c>
      <c r="G1864" s="5" t="s">
        <v>35</v>
      </c>
      <c r="H1864" s="5" t="s">
        <v>35</v>
      </c>
      <c r="I1864" s="5" t="s">
        <v>36</v>
      </c>
      <c r="J1864" s="6">
        <v>1.0</v>
      </c>
      <c r="K1864" s="6" t="s">
        <v>37</v>
      </c>
      <c r="L1864" s="6">
        <v>655.0</v>
      </c>
      <c r="M1864" s="26" t="s">
        <v>39</v>
      </c>
      <c r="N1864" s="26" t="s">
        <v>39</v>
      </c>
      <c r="O1864" s="6" t="s">
        <v>40</v>
      </c>
      <c r="P1864" s="5" t="s">
        <v>41</v>
      </c>
      <c r="Q1864" s="5"/>
      <c r="R1864" s="6" t="s">
        <v>42</v>
      </c>
      <c r="S1864" s="5" t="s">
        <v>288</v>
      </c>
      <c r="T1864" s="5" t="s">
        <v>44</v>
      </c>
      <c r="U1864" s="5" t="s">
        <v>44</v>
      </c>
      <c r="V1864" s="5" t="s">
        <v>44</v>
      </c>
      <c r="W1864" s="5" t="s">
        <v>35</v>
      </c>
      <c r="X1864" s="8" t="s">
        <v>1968</v>
      </c>
      <c r="Y1864" s="5" t="s">
        <v>46</v>
      </c>
      <c r="Z1864" s="5" t="s">
        <v>47</v>
      </c>
      <c r="AA1864" s="5" t="s">
        <v>48</v>
      </c>
      <c r="AB1864" s="5" t="s">
        <v>9045</v>
      </c>
      <c r="AC1864" s="6" t="s">
        <v>79</v>
      </c>
      <c r="AD1864" s="6">
        <v>3819.0</v>
      </c>
    </row>
    <row r="1865" ht="56.25" customHeight="1">
      <c r="A1865" s="5" t="s">
        <v>9046</v>
      </c>
      <c r="B1865" s="6" t="str">
        <f>image("https://storage.googleapis.com/acdb/housewares/FtrCompassSignOK.png")</f>
        <v/>
      </c>
      <c r="C1865" s="5" t="s">
        <v>34</v>
      </c>
      <c r="D1865" s="5" t="s">
        <v>34</v>
      </c>
      <c r="E1865" s="5" t="s">
        <v>34</v>
      </c>
      <c r="F1865" s="5" t="s">
        <v>34</v>
      </c>
      <c r="G1865" s="5" t="s">
        <v>36</v>
      </c>
      <c r="H1865" s="5" t="s">
        <v>36</v>
      </c>
      <c r="I1865" s="5" t="s">
        <v>36</v>
      </c>
      <c r="J1865" s="6" t="s">
        <v>34</v>
      </c>
      <c r="K1865" s="6">
        <v>3000.0</v>
      </c>
      <c r="L1865" s="6">
        <v>750.0</v>
      </c>
      <c r="M1865" s="5" t="s">
        <v>52</v>
      </c>
      <c r="N1865" s="5" t="s">
        <v>68</v>
      </c>
      <c r="O1865" s="6" t="s">
        <v>40</v>
      </c>
      <c r="P1865" s="5" t="s">
        <v>1234</v>
      </c>
      <c r="Q1865" s="5" t="s">
        <v>1235</v>
      </c>
      <c r="R1865" s="6" t="s">
        <v>98</v>
      </c>
      <c r="S1865" s="5" t="s">
        <v>141</v>
      </c>
      <c r="T1865" s="5" t="s">
        <v>44</v>
      </c>
      <c r="U1865" s="5" t="s">
        <v>44</v>
      </c>
      <c r="V1865" s="5" t="s">
        <v>44</v>
      </c>
      <c r="W1865" s="5" t="s">
        <v>35</v>
      </c>
      <c r="X1865" s="8" t="s">
        <v>1236</v>
      </c>
      <c r="Y1865" s="5" t="s">
        <v>46</v>
      </c>
      <c r="Z1865" s="5" t="s">
        <v>502</v>
      </c>
      <c r="AA1865" s="5" t="s">
        <v>1237</v>
      </c>
      <c r="AB1865" s="5" t="s">
        <v>9050</v>
      </c>
      <c r="AC1865" s="6" t="s">
        <v>34</v>
      </c>
      <c r="AD1865" s="6">
        <v>12371.0</v>
      </c>
    </row>
    <row r="1866" ht="56.25" customHeight="1">
      <c r="A1866" s="5" t="s">
        <v>9051</v>
      </c>
      <c r="B1866" s="6" t="str">
        <f>IMAGE("https://storage.googleapis.com/acdb/housewares/FtrSewingmachineRetro_Remake_0_0.png")</f>
        <v/>
      </c>
      <c r="C1866" s="5" t="s">
        <v>54</v>
      </c>
      <c r="D1866" s="5" t="s">
        <v>34</v>
      </c>
      <c r="E1866" s="5" t="s">
        <v>34</v>
      </c>
      <c r="F1866" s="5" t="s">
        <v>34</v>
      </c>
      <c r="G1866" s="5" t="s">
        <v>36</v>
      </c>
      <c r="H1866" s="5" t="s">
        <v>36</v>
      </c>
      <c r="I1866" s="5" t="s">
        <v>36</v>
      </c>
      <c r="J1866" s="6" t="s">
        <v>34</v>
      </c>
      <c r="K1866" s="6">
        <v>2200.0</v>
      </c>
      <c r="L1866" s="6">
        <v>550.0</v>
      </c>
      <c r="M1866" s="26" t="s">
        <v>142</v>
      </c>
      <c r="N1866" s="26" t="s">
        <v>54</v>
      </c>
      <c r="O1866" s="6" t="s">
        <v>276</v>
      </c>
      <c r="P1866" s="5" t="s">
        <v>59</v>
      </c>
      <c r="Q1866" s="5" t="s">
        <v>89</v>
      </c>
      <c r="R1866" s="6" t="s">
        <v>42</v>
      </c>
      <c r="S1866" s="5" t="s">
        <v>90</v>
      </c>
      <c r="T1866" s="5" t="s">
        <v>44</v>
      </c>
      <c r="U1866" s="5" t="s">
        <v>44</v>
      </c>
      <c r="V1866" s="5" t="s">
        <v>44</v>
      </c>
      <c r="W1866" s="5" t="s">
        <v>35</v>
      </c>
      <c r="X1866" s="8" t="s">
        <v>5130</v>
      </c>
      <c r="Y1866" s="5" t="s">
        <v>46</v>
      </c>
      <c r="Z1866" s="5" t="s">
        <v>47</v>
      </c>
      <c r="AA1866" s="5" t="s">
        <v>64</v>
      </c>
      <c r="AB1866" s="5" t="s">
        <v>9056</v>
      </c>
      <c r="AC1866" s="6" t="s">
        <v>50</v>
      </c>
      <c r="AD1866" s="6">
        <v>1127.0</v>
      </c>
    </row>
    <row r="1867" ht="56.25" customHeight="1">
      <c r="A1867" s="5" t="s">
        <v>9051</v>
      </c>
      <c r="B1867" s="6" t="str">
        <f>IMAGE("https://storage.googleapis.com/acdb/housewares/FtrSewingmachineRetro_Remake_1_0.png")</f>
        <v/>
      </c>
      <c r="C1867" s="5" t="s">
        <v>96</v>
      </c>
      <c r="D1867" s="5" t="s">
        <v>34</v>
      </c>
      <c r="E1867" s="5" t="s">
        <v>34</v>
      </c>
      <c r="F1867" s="5" t="s">
        <v>34</v>
      </c>
      <c r="G1867" s="5" t="s">
        <v>36</v>
      </c>
      <c r="H1867" s="5" t="s">
        <v>36</v>
      </c>
      <c r="I1867" s="5" t="s">
        <v>36</v>
      </c>
      <c r="J1867" s="6" t="s">
        <v>34</v>
      </c>
      <c r="K1867" s="6">
        <v>2200.0</v>
      </c>
      <c r="L1867" s="6">
        <v>550.0</v>
      </c>
      <c r="M1867" s="26" t="s">
        <v>39</v>
      </c>
      <c r="N1867" s="26" t="s">
        <v>96</v>
      </c>
      <c r="O1867" s="6" t="s">
        <v>276</v>
      </c>
      <c r="P1867" s="5" t="s">
        <v>59</v>
      </c>
      <c r="Q1867" s="5" t="s">
        <v>89</v>
      </c>
      <c r="R1867" s="6" t="s">
        <v>42</v>
      </c>
      <c r="S1867" s="5" t="s">
        <v>90</v>
      </c>
      <c r="T1867" s="5" t="s">
        <v>44</v>
      </c>
      <c r="U1867" s="5" t="s">
        <v>44</v>
      </c>
      <c r="V1867" s="5" t="s">
        <v>44</v>
      </c>
      <c r="W1867" s="5" t="s">
        <v>35</v>
      </c>
      <c r="X1867" s="8" t="s">
        <v>5130</v>
      </c>
      <c r="Y1867" s="5" t="s">
        <v>46</v>
      </c>
      <c r="Z1867" s="5" t="s">
        <v>47</v>
      </c>
      <c r="AA1867" s="5" t="s">
        <v>64</v>
      </c>
      <c r="AB1867" s="5" t="s">
        <v>9062</v>
      </c>
      <c r="AC1867" s="6" t="s">
        <v>56</v>
      </c>
      <c r="AD1867" s="6">
        <v>1127.0</v>
      </c>
    </row>
    <row r="1868" ht="56.25" customHeight="1">
      <c r="A1868" s="5" t="s">
        <v>9051</v>
      </c>
      <c r="B1868" s="6" t="str">
        <f>IMAGE("https://storage.googleapis.com/acdb/housewares/FtrSewingmachineRetro_Remake_2_0.png")</f>
        <v/>
      </c>
      <c r="C1868" s="5" t="s">
        <v>146</v>
      </c>
      <c r="D1868" s="5" t="s">
        <v>34</v>
      </c>
      <c r="E1868" s="5" t="s">
        <v>34</v>
      </c>
      <c r="F1868" s="5" t="s">
        <v>34</v>
      </c>
      <c r="G1868" s="5" t="s">
        <v>36</v>
      </c>
      <c r="H1868" s="5" t="s">
        <v>36</v>
      </c>
      <c r="I1868" s="5" t="s">
        <v>36</v>
      </c>
      <c r="J1868" s="6" t="s">
        <v>34</v>
      </c>
      <c r="K1868" s="6">
        <v>2200.0</v>
      </c>
      <c r="L1868" s="6">
        <v>550.0</v>
      </c>
      <c r="M1868" s="26" t="s">
        <v>114</v>
      </c>
      <c r="N1868" s="26" t="s">
        <v>95</v>
      </c>
      <c r="O1868" s="6" t="s">
        <v>276</v>
      </c>
      <c r="P1868" s="5" t="s">
        <v>59</v>
      </c>
      <c r="Q1868" s="5" t="s">
        <v>89</v>
      </c>
      <c r="R1868" s="6" t="s">
        <v>42</v>
      </c>
      <c r="S1868" s="5" t="s">
        <v>90</v>
      </c>
      <c r="T1868" s="5" t="s">
        <v>44</v>
      </c>
      <c r="U1868" s="5" t="s">
        <v>44</v>
      </c>
      <c r="V1868" s="5" t="s">
        <v>44</v>
      </c>
      <c r="W1868" s="5" t="s">
        <v>35</v>
      </c>
      <c r="X1868" s="8" t="s">
        <v>5130</v>
      </c>
      <c r="Y1868" s="5" t="s">
        <v>46</v>
      </c>
      <c r="Z1868" s="5" t="s">
        <v>47</v>
      </c>
      <c r="AA1868" s="5" t="s">
        <v>64</v>
      </c>
      <c r="AB1868" s="5" t="s">
        <v>9068</v>
      </c>
      <c r="AC1868" s="6" t="s">
        <v>67</v>
      </c>
      <c r="AD1868" s="6">
        <v>1127.0</v>
      </c>
    </row>
    <row r="1869" ht="56.25" customHeight="1">
      <c r="A1869" s="5" t="s">
        <v>9069</v>
      </c>
      <c r="B1869" s="6" t="str">
        <f>IMAGE("https://storage.googleapis.com/acdb/housewares/FtrKitchenFlame.png")</f>
        <v/>
      </c>
      <c r="C1869" s="5" t="s">
        <v>34</v>
      </c>
      <c r="D1869" s="5" t="s">
        <v>34</v>
      </c>
      <c r="E1869" s="5" t="s">
        <v>34</v>
      </c>
      <c r="F1869" s="5" t="s">
        <v>34</v>
      </c>
      <c r="G1869" s="5" t="s">
        <v>36</v>
      </c>
      <c r="H1869" s="5" t="s">
        <v>36</v>
      </c>
      <c r="I1869" s="5" t="s">
        <v>36</v>
      </c>
      <c r="J1869" s="6" t="s">
        <v>34</v>
      </c>
      <c r="K1869" s="6">
        <v>140000.0</v>
      </c>
      <c r="L1869" s="6">
        <v>35000.0</v>
      </c>
      <c r="M1869" s="5" t="s">
        <v>95</v>
      </c>
      <c r="N1869" s="5" t="s">
        <v>95</v>
      </c>
      <c r="O1869" s="6" t="s">
        <v>276</v>
      </c>
      <c r="P1869" s="5" t="s">
        <v>59</v>
      </c>
      <c r="Q1869" s="5" t="s">
        <v>115</v>
      </c>
      <c r="R1869" s="6" t="s">
        <v>42</v>
      </c>
      <c r="S1869" s="5" t="s">
        <v>159</v>
      </c>
      <c r="T1869" s="5" t="s">
        <v>62</v>
      </c>
      <c r="U1869" s="5" t="s">
        <v>44</v>
      </c>
      <c r="V1869" s="5" t="s">
        <v>44</v>
      </c>
      <c r="W1869" s="5" t="s">
        <v>35</v>
      </c>
      <c r="X1869" s="8" t="s">
        <v>1244</v>
      </c>
      <c r="Y1869" s="5" t="s">
        <v>46</v>
      </c>
      <c r="Z1869" s="5" t="s">
        <v>47</v>
      </c>
      <c r="AA1869" s="5" t="s">
        <v>64</v>
      </c>
      <c r="AB1869" s="5" t="s">
        <v>9073</v>
      </c>
      <c r="AC1869" s="6" t="s">
        <v>34</v>
      </c>
      <c r="AD1869" s="6">
        <v>3615.0</v>
      </c>
    </row>
    <row r="1870" ht="56.25" customHeight="1">
      <c r="A1870" s="5" t="s">
        <v>9074</v>
      </c>
      <c r="B1870" s="6" t="str">
        <f>IMAGE("https://storage.googleapis.com/acdb/housewares/FtrFruitsTableS_Remake_0_0.png")</f>
        <v/>
      </c>
      <c r="C1870" s="5" t="s">
        <v>142</v>
      </c>
      <c r="D1870" s="5" t="s">
        <v>337</v>
      </c>
      <c r="E1870" s="5" t="s">
        <v>34</v>
      </c>
      <c r="F1870" s="5" t="s">
        <v>34</v>
      </c>
      <c r="G1870" s="5" t="s">
        <v>35</v>
      </c>
      <c r="H1870" s="5" t="s">
        <v>35</v>
      </c>
      <c r="I1870" s="5" t="s">
        <v>36</v>
      </c>
      <c r="J1870" s="6">
        <v>4.0</v>
      </c>
      <c r="K1870" s="6" t="s">
        <v>37</v>
      </c>
      <c r="L1870" s="6">
        <v>2480.0</v>
      </c>
      <c r="M1870" s="26" t="s">
        <v>142</v>
      </c>
      <c r="N1870" s="26" t="s">
        <v>96</v>
      </c>
      <c r="O1870" s="6" t="s">
        <v>40</v>
      </c>
      <c r="P1870" s="5" t="s">
        <v>41</v>
      </c>
      <c r="Q1870" s="5"/>
      <c r="R1870" s="6" t="s">
        <v>42</v>
      </c>
      <c r="S1870" s="5" t="s">
        <v>61</v>
      </c>
      <c r="T1870" s="5" t="s">
        <v>44</v>
      </c>
      <c r="U1870" s="5" t="s">
        <v>338</v>
      </c>
      <c r="V1870" s="5" t="s">
        <v>1801</v>
      </c>
      <c r="W1870" s="5" t="s">
        <v>36</v>
      </c>
      <c r="X1870" s="8" t="s">
        <v>278</v>
      </c>
      <c r="Y1870" s="5" t="s">
        <v>46</v>
      </c>
      <c r="Z1870" s="5" t="s">
        <v>47</v>
      </c>
      <c r="AA1870" s="5" t="s">
        <v>48</v>
      </c>
      <c r="AB1870" s="5" t="s">
        <v>9077</v>
      </c>
      <c r="AC1870" s="6" t="s">
        <v>50</v>
      </c>
      <c r="AD1870" s="6">
        <v>3975.0</v>
      </c>
    </row>
    <row r="1871" ht="56.25" customHeight="1">
      <c r="A1871" s="5" t="s">
        <v>9074</v>
      </c>
      <c r="B1871" s="6" t="str">
        <f>IMAGE("https://storage.googleapis.com/acdb/housewares/FtrFruitsTableS_Remake_1_0.png")</f>
        <v/>
      </c>
      <c r="C1871" s="5" t="s">
        <v>1803</v>
      </c>
      <c r="D1871" s="5" t="s">
        <v>337</v>
      </c>
      <c r="E1871" s="5" t="s">
        <v>34</v>
      </c>
      <c r="F1871" s="5" t="s">
        <v>34</v>
      </c>
      <c r="G1871" s="5" t="s">
        <v>35</v>
      </c>
      <c r="H1871" s="5" t="s">
        <v>35</v>
      </c>
      <c r="I1871" s="5" t="s">
        <v>36</v>
      </c>
      <c r="J1871" s="6">
        <v>4.0</v>
      </c>
      <c r="K1871" s="6" t="s">
        <v>37</v>
      </c>
      <c r="L1871" s="6">
        <v>2480.0</v>
      </c>
      <c r="M1871" s="26" t="s">
        <v>52</v>
      </c>
      <c r="N1871" s="26" t="s">
        <v>96</v>
      </c>
      <c r="O1871" s="6" t="s">
        <v>40</v>
      </c>
      <c r="P1871" s="5" t="s">
        <v>41</v>
      </c>
      <c r="Q1871" s="5"/>
      <c r="R1871" s="6" t="s">
        <v>42</v>
      </c>
      <c r="S1871" s="5" t="s">
        <v>61</v>
      </c>
      <c r="T1871" s="5" t="s">
        <v>44</v>
      </c>
      <c r="U1871" s="5" t="s">
        <v>338</v>
      </c>
      <c r="V1871" s="5" t="s">
        <v>1801</v>
      </c>
      <c r="W1871" s="5" t="s">
        <v>36</v>
      </c>
      <c r="X1871" s="8" t="s">
        <v>278</v>
      </c>
      <c r="Y1871" s="5" t="s">
        <v>46</v>
      </c>
      <c r="Z1871" s="5" t="s">
        <v>47</v>
      </c>
      <c r="AA1871" s="5" t="s">
        <v>48</v>
      </c>
      <c r="AB1871" s="5" t="s">
        <v>9082</v>
      </c>
      <c r="AC1871" s="6" t="s">
        <v>56</v>
      </c>
      <c r="AD1871" s="6">
        <v>3975.0</v>
      </c>
    </row>
    <row r="1872" ht="56.25" customHeight="1">
      <c r="A1872" s="5" t="s">
        <v>9083</v>
      </c>
      <c r="B1872" s="6" t="str">
        <f>IMAGE("https://storage.googleapis.com/acdb/housewares/FtrOutdoorunit.png")</f>
        <v/>
      </c>
      <c r="C1872" s="5" t="s">
        <v>34</v>
      </c>
      <c r="D1872" s="5" t="s">
        <v>34</v>
      </c>
      <c r="E1872" s="5" t="s">
        <v>34</v>
      </c>
      <c r="F1872" s="5" t="s">
        <v>34</v>
      </c>
      <c r="G1872" s="5" t="s">
        <v>36</v>
      </c>
      <c r="H1872" s="5" t="s">
        <v>36</v>
      </c>
      <c r="I1872" s="5" t="s">
        <v>36</v>
      </c>
      <c r="J1872" s="6" t="s">
        <v>34</v>
      </c>
      <c r="K1872" s="6">
        <v>2200.0</v>
      </c>
      <c r="L1872" s="6">
        <v>550.0</v>
      </c>
      <c r="M1872" s="5" t="s">
        <v>57</v>
      </c>
      <c r="N1872" s="5" t="s">
        <v>57</v>
      </c>
      <c r="O1872" s="6" t="s">
        <v>40</v>
      </c>
      <c r="P1872" s="5" t="s">
        <v>59</v>
      </c>
      <c r="Q1872" s="5" t="s">
        <v>89</v>
      </c>
      <c r="R1872" s="6" t="s">
        <v>42</v>
      </c>
      <c r="S1872" s="5" t="s">
        <v>141</v>
      </c>
      <c r="T1872" s="5" t="s">
        <v>172</v>
      </c>
      <c r="U1872" s="5" t="s">
        <v>44</v>
      </c>
      <c r="V1872" s="5" t="s">
        <v>44</v>
      </c>
      <c r="W1872" s="5" t="s">
        <v>35</v>
      </c>
      <c r="X1872" s="8" t="s">
        <v>92</v>
      </c>
      <c r="Y1872" s="5" t="s">
        <v>46</v>
      </c>
      <c r="Z1872" s="5" t="s">
        <v>47</v>
      </c>
      <c r="AA1872" s="5" t="s">
        <v>64</v>
      </c>
      <c r="AB1872" s="5" t="s">
        <v>9086</v>
      </c>
      <c r="AC1872" s="6" t="s">
        <v>34</v>
      </c>
      <c r="AD1872" s="6">
        <v>1131.0</v>
      </c>
    </row>
    <row r="1873" ht="56.25" customHeight="1">
      <c r="A1873" s="5" t="s">
        <v>9087</v>
      </c>
      <c r="B1873" s="6" t="str">
        <f>IMAGE("https://storage.googleapis.com/acdb/housewares/FtrOpenairbath_Remake_0_0.png")</f>
        <v/>
      </c>
      <c r="C1873" s="5" t="s">
        <v>95</v>
      </c>
      <c r="D1873" s="5" t="s">
        <v>2801</v>
      </c>
      <c r="E1873" s="5" t="s">
        <v>34</v>
      </c>
      <c r="F1873" s="5" t="s">
        <v>34</v>
      </c>
      <c r="G1873" s="5" t="s">
        <v>35</v>
      </c>
      <c r="H1873" s="5" t="s">
        <v>35</v>
      </c>
      <c r="I1873" s="5" t="s">
        <v>36</v>
      </c>
      <c r="J1873" s="6">
        <v>6.0</v>
      </c>
      <c r="K1873" s="6" t="s">
        <v>37</v>
      </c>
      <c r="L1873" s="6">
        <v>4350.0</v>
      </c>
      <c r="M1873" s="26" t="s">
        <v>95</v>
      </c>
      <c r="N1873" s="26" t="s">
        <v>95</v>
      </c>
      <c r="O1873" s="6" t="s">
        <v>4708</v>
      </c>
      <c r="P1873" s="5" t="s">
        <v>41</v>
      </c>
      <c r="Q1873" s="5"/>
      <c r="R1873" s="6" t="s">
        <v>42</v>
      </c>
      <c r="S1873" s="5" t="s">
        <v>172</v>
      </c>
      <c r="T1873" s="5" t="s">
        <v>266</v>
      </c>
      <c r="U1873" s="5" t="s">
        <v>44</v>
      </c>
      <c r="V1873" s="5" t="s">
        <v>44</v>
      </c>
      <c r="W1873" s="5" t="s">
        <v>35</v>
      </c>
      <c r="X1873" s="8" t="s">
        <v>1968</v>
      </c>
      <c r="Y1873" s="5" t="s">
        <v>46</v>
      </c>
      <c r="Z1873" s="5" t="s">
        <v>502</v>
      </c>
      <c r="AA1873" s="5" t="s">
        <v>48</v>
      </c>
      <c r="AB1873" s="5" t="s">
        <v>9090</v>
      </c>
      <c r="AC1873" s="6" t="s">
        <v>50</v>
      </c>
      <c r="AD1873" s="6">
        <v>1111.0</v>
      </c>
    </row>
    <row r="1874" ht="56.25" customHeight="1">
      <c r="A1874" s="5" t="s">
        <v>9087</v>
      </c>
      <c r="B1874" s="6" t="str">
        <f>IMAGE("https://storage.googleapis.com/acdb/housewares/FtrOpenairbath_Remake_1_0.png")</f>
        <v/>
      </c>
      <c r="C1874" s="5" t="s">
        <v>54</v>
      </c>
      <c r="D1874" s="5" t="s">
        <v>2801</v>
      </c>
      <c r="E1874" s="5" t="s">
        <v>34</v>
      </c>
      <c r="F1874" s="5" t="s">
        <v>34</v>
      </c>
      <c r="G1874" s="5" t="s">
        <v>35</v>
      </c>
      <c r="H1874" s="5" t="s">
        <v>35</v>
      </c>
      <c r="I1874" s="5" t="s">
        <v>36</v>
      </c>
      <c r="J1874" s="6">
        <v>6.0</v>
      </c>
      <c r="K1874" s="6" t="s">
        <v>37</v>
      </c>
      <c r="L1874" s="6">
        <v>4350.0</v>
      </c>
      <c r="M1874" s="26" t="s">
        <v>54</v>
      </c>
      <c r="N1874" s="26" t="s">
        <v>54</v>
      </c>
      <c r="O1874" s="6" t="s">
        <v>4708</v>
      </c>
      <c r="P1874" s="5" t="s">
        <v>41</v>
      </c>
      <c r="Q1874" s="5"/>
      <c r="R1874" s="6" t="s">
        <v>42</v>
      </c>
      <c r="S1874" s="5" t="s">
        <v>172</v>
      </c>
      <c r="T1874" s="5" t="s">
        <v>266</v>
      </c>
      <c r="U1874" s="5" t="s">
        <v>44</v>
      </c>
      <c r="V1874" s="5" t="s">
        <v>44</v>
      </c>
      <c r="W1874" s="5" t="s">
        <v>35</v>
      </c>
      <c r="X1874" s="8" t="s">
        <v>1968</v>
      </c>
      <c r="Y1874" s="5" t="s">
        <v>46</v>
      </c>
      <c r="Z1874" s="5" t="s">
        <v>502</v>
      </c>
      <c r="AA1874" s="5" t="s">
        <v>48</v>
      </c>
      <c r="AB1874" s="5" t="s">
        <v>9096</v>
      </c>
      <c r="AC1874" s="6" t="s">
        <v>56</v>
      </c>
      <c r="AD1874" s="6">
        <v>1111.0</v>
      </c>
    </row>
    <row r="1875" ht="56.25" customHeight="1">
      <c r="A1875" s="5" t="s">
        <v>9087</v>
      </c>
      <c r="B1875" s="6" t="str">
        <f>IMAGE("https://storage.googleapis.com/acdb/housewares/FtrOpenairbath_Remake_2_0.png")</f>
        <v/>
      </c>
      <c r="C1875" s="5" t="s">
        <v>39</v>
      </c>
      <c r="D1875" s="5" t="s">
        <v>2801</v>
      </c>
      <c r="E1875" s="5" t="s">
        <v>34</v>
      </c>
      <c r="F1875" s="5" t="s">
        <v>34</v>
      </c>
      <c r="G1875" s="5" t="s">
        <v>35</v>
      </c>
      <c r="H1875" s="5" t="s">
        <v>35</v>
      </c>
      <c r="I1875" s="5" t="s">
        <v>36</v>
      </c>
      <c r="J1875" s="6">
        <v>6.0</v>
      </c>
      <c r="K1875" s="6" t="s">
        <v>37</v>
      </c>
      <c r="L1875" s="6">
        <v>4350.0</v>
      </c>
      <c r="M1875" s="26" t="s">
        <v>39</v>
      </c>
      <c r="N1875" s="26" t="s">
        <v>39</v>
      </c>
      <c r="O1875" s="6" t="s">
        <v>4708</v>
      </c>
      <c r="P1875" s="5" t="s">
        <v>41</v>
      </c>
      <c r="Q1875" s="5"/>
      <c r="R1875" s="6" t="s">
        <v>42</v>
      </c>
      <c r="S1875" s="5" t="s">
        <v>172</v>
      </c>
      <c r="T1875" s="5" t="s">
        <v>266</v>
      </c>
      <c r="U1875" s="5" t="s">
        <v>44</v>
      </c>
      <c r="V1875" s="5" t="s">
        <v>44</v>
      </c>
      <c r="W1875" s="5" t="s">
        <v>35</v>
      </c>
      <c r="X1875" s="8" t="s">
        <v>1968</v>
      </c>
      <c r="Y1875" s="5" t="s">
        <v>46</v>
      </c>
      <c r="Z1875" s="5" t="s">
        <v>502</v>
      </c>
      <c r="AA1875" s="5" t="s">
        <v>48</v>
      </c>
      <c r="AB1875" s="5" t="s">
        <v>9100</v>
      </c>
      <c r="AC1875" s="6" t="s">
        <v>67</v>
      </c>
      <c r="AD1875" s="6">
        <v>1111.0</v>
      </c>
    </row>
    <row r="1876" ht="56.25" customHeight="1">
      <c r="A1876" s="5" t="s">
        <v>9087</v>
      </c>
      <c r="B1876" s="6" t="str">
        <f>IMAGE("https://storage.googleapis.com/acdb/housewares/FtrOpenairbath_Remake_3_0.png")</f>
        <v/>
      </c>
      <c r="C1876" s="5" t="s">
        <v>57</v>
      </c>
      <c r="D1876" s="5" t="s">
        <v>2801</v>
      </c>
      <c r="E1876" s="5" t="s">
        <v>34</v>
      </c>
      <c r="F1876" s="5" t="s">
        <v>34</v>
      </c>
      <c r="G1876" s="5" t="s">
        <v>35</v>
      </c>
      <c r="H1876" s="5" t="s">
        <v>35</v>
      </c>
      <c r="I1876" s="5" t="s">
        <v>36</v>
      </c>
      <c r="J1876" s="6">
        <v>6.0</v>
      </c>
      <c r="K1876" s="6" t="s">
        <v>37</v>
      </c>
      <c r="L1876" s="6">
        <v>4350.0</v>
      </c>
      <c r="M1876" s="26" t="s">
        <v>57</v>
      </c>
      <c r="N1876" s="26" t="s">
        <v>57</v>
      </c>
      <c r="O1876" s="6" t="s">
        <v>4708</v>
      </c>
      <c r="P1876" s="5" t="s">
        <v>41</v>
      </c>
      <c r="Q1876" s="5"/>
      <c r="R1876" s="6" t="s">
        <v>42</v>
      </c>
      <c r="S1876" s="5" t="s">
        <v>172</v>
      </c>
      <c r="T1876" s="5" t="s">
        <v>266</v>
      </c>
      <c r="U1876" s="5" t="s">
        <v>44</v>
      </c>
      <c r="V1876" s="5" t="s">
        <v>44</v>
      </c>
      <c r="W1876" s="5" t="s">
        <v>35</v>
      </c>
      <c r="X1876" s="8" t="s">
        <v>1968</v>
      </c>
      <c r="Y1876" s="5" t="s">
        <v>46</v>
      </c>
      <c r="Z1876" s="5" t="s">
        <v>502</v>
      </c>
      <c r="AA1876" s="5" t="s">
        <v>48</v>
      </c>
      <c r="AB1876" s="5" t="s">
        <v>9104</v>
      </c>
      <c r="AC1876" s="6" t="s">
        <v>71</v>
      </c>
      <c r="AD1876" s="6">
        <v>1111.0</v>
      </c>
    </row>
    <row r="1877" ht="56.25" customHeight="1">
      <c r="A1877" s="5" t="s">
        <v>9106</v>
      </c>
      <c r="B1877" s="6" t="str">
        <f>IMAGE("https://storage.googleapis.com/acdb/housewares/FtrOutdoorchairM_Remake_0_0.png")</f>
        <v/>
      </c>
      <c r="C1877" s="5" t="s">
        <v>57</v>
      </c>
      <c r="D1877" s="5" t="s">
        <v>34</v>
      </c>
      <c r="E1877" s="5" t="s">
        <v>57</v>
      </c>
      <c r="F1877" s="5" t="s">
        <v>9107</v>
      </c>
      <c r="G1877" s="5" t="s">
        <v>36</v>
      </c>
      <c r="H1877" s="5" t="s">
        <v>36</v>
      </c>
      <c r="I1877" s="5" t="s">
        <v>35</v>
      </c>
      <c r="J1877" s="6">
        <v>1.0</v>
      </c>
      <c r="K1877" s="6">
        <v>1300.0</v>
      </c>
      <c r="L1877" s="6">
        <v>325.0</v>
      </c>
      <c r="M1877" s="26" t="s">
        <v>95</v>
      </c>
      <c r="N1877" s="26" t="s">
        <v>57</v>
      </c>
      <c r="O1877" s="6" t="s">
        <v>276</v>
      </c>
      <c r="P1877" s="5" t="s">
        <v>59</v>
      </c>
      <c r="Q1877" s="5" t="s">
        <v>89</v>
      </c>
      <c r="R1877" s="6" t="s">
        <v>42</v>
      </c>
      <c r="S1877" s="5" t="s">
        <v>765</v>
      </c>
      <c r="T1877" s="5" t="s">
        <v>44</v>
      </c>
      <c r="U1877" s="5" t="s">
        <v>44</v>
      </c>
      <c r="V1877" s="5" t="s">
        <v>44</v>
      </c>
      <c r="W1877" s="5" t="s">
        <v>35</v>
      </c>
      <c r="X1877" s="8" t="s">
        <v>671</v>
      </c>
      <c r="Y1877" s="5" t="s">
        <v>46</v>
      </c>
      <c r="Z1877" s="5" t="s">
        <v>47</v>
      </c>
      <c r="AA1877" s="5" t="s">
        <v>64</v>
      </c>
      <c r="AB1877" s="5" t="s">
        <v>9113</v>
      </c>
      <c r="AC1877" s="6" t="s">
        <v>50</v>
      </c>
      <c r="AD1877" s="6">
        <v>3947.0</v>
      </c>
    </row>
    <row r="1878" ht="56.25" customHeight="1">
      <c r="A1878" s="5" t="s">
        <v>9106</v>
      </c>
      <c r="B1878" s="6" t="str">
        <f>IMAGE("https://storage.googleapis.com/acdb/housewares/FtrOutdoorchairM_Remake_0_1.png")</f>
        <v/>
      </c>
      <c r="C1878" s="5" t="s">
        <v>57</v>
      </c>
      <c r="D1878" s="5" t="s">
        <v>34</v>
      </c>
      <c r="E1878" s="5" t="s">
        <v>54</v>
      </c>
      <c r="F1878" s="5" t="s">
        <v>9107</v>
      </c>
      <c r="G1878" s="5" t="s">
        <v>36</v>
      </c>
      <c r="H1878" s="5" t="s">
        <v>36</v>
      </c>
      <c r="I1878" s="5" t="s">
        <v>35</v>
      </c>
      <c r="J1878" s="6">
        <v>1.0</v>
      </c>
      <c r="K1878" s="6">
        <v>1300.0</v>
      </c>
      <c r="L1878" s="6">
        <v>325.0</v>
      </c>
      <c r="M1878" s="26" t="s">
        <v>95</v>
      </c>
      <c r="N1878" s="26" t="s">
        <v>54</v>
      </c>
      <c r="O1878" s="6" t="s">
        <v>276</v>
      </c>
      <c r="P1878" s="5" t="s">
        <v>59</v>
      </c>
      <c r="Q1878" s="5" t="s">
        <v>89</v>
      </c>
      <c r="R1878" s="6" t="s">
        <v>42</v>
      </c>
      <c r="S1878" s="5" t="s">
        <v>765</v>
      </c>
      <c r="T1878" s="5" t="s">
        <v>44</v>
      </c>
      <c r="U1878" s="5" t="s">
        <v>44</v>
      </c>
      <c r="V1878" s="5" t="s">
        <v>44</v>
      </c>
      <c r="W1878" s="5" t="s">
        <v>35</v>
      </c>
      <c r="X1878" s="8" t="s">
        <v>671</v>
      </c>
      <c r="Y1878" s="5" t="s">
        <v>46</v>
      </c>
      <c r="Z1878" s="5" t="s">
        <v>47</v>
      </c>
      <c r="AA1878" s="5" t="s">
        <v>64</v>
      </c>
      <c r="AB1878" s="5" t="s">
        <v>9116</v>
      </c>
      <c r="AC1878" s="6" t="s">
        <v>217</v>
      </c>
      <c r="AD1878" s="6">
        <v>3947.0</v>
      </c>
    </row>
    <row r="1879" ht="56.25" customHeight="1">
      <c r="A1879" s="5" t="s">
        <v>9106</v>
      </c>
      <c r="B1879" s="6" t="str">
        <f>IMAGE("https://storage.googleapis.com/acdb/housewares/FtrOutdoorchairM_Remake_0_2.png")</f>
        <v/>
      </c>
      <c r="C1879" s="5" t="s">
        <v>57</v>
      </c>
      <c r="D1879" s="5" t="s">
        <v>34</v>
      </c>
      <c r="E1879" s="5" t="s">
        <v>96</v>
      </c>
      <c r="F1879" s="5" t="s">
        <v>9107</v>
      </c>
      <c r="G1879" s="5" t="s">
        <v>36</v>
      </c>
      <c r="H1879" s="5" t="s">
        <v>36</v>
      </c>
      <c r="I1879" s="5" t="s">
        <v>35</v>
      </c>
      <c r="J1879" s="6">
        <v>1.0</v>
      </c>
      <c r="K1879" s="6">
        <v>1300.0</v>
      </c>
      <c r="L1879" s="6">
        <v>325.0</v>
      </c>
      <c r="M1879" s="26" t="s">
        <v>95</v>
      </c>
      <c r="N1879" s="26" t="s">
        <v>96</v>
      </c>
      <c r="O1879" s="6" t="s">
        <v>276</v>
      </c>
      <c r="P1879" s="5" t="s">
        <v>59</v>
      </c>
      <c r="Q1879" s="5" t="s">
        <v>89</v>
      </c>
      <c r="R1879" s="6" t="s">
        <v>42</v>
      </c>
      <c r="S1879" s="5" t="s">
        <v>765</v>
      </c>
      <c r="T1879" s="5" t="s">
        <v>44</v>
      </c>
      <c r="U1879" s="5" t="s">
        <v>44</v>
      </c>
      <c r="V1879" s="5" t="s">
        <v>44</v>
      </c>
      <c r="W1879" s="5" t="s">
        <v>35</v>
      </c>
      <c r="X1879" s="8" t="s">
        <v>671</v>
      </c>
      <c r="Y1879" s="5" t="s">
        <v>46</v>
      </c>
      <c r="Z1879" s="5" t="s">
        <v>47</v>
      </c>
      <c r="AA1879" s="5" t="s">
        <v>64</v>
      </c>
      <c r="AB1879" s="5" t="s">
        <v>9119</v>
      </c>
      <c r="AC1879" s="6" t="s">
        <v>347</v>
      </c>
      <c r="AD1879" s="6">
        <v>3947.0</v>
      </c>
    </row>
    <row r="1880" ht="56.25" customHeight="1">
      <c r="A1880" s="5" t="s">
        <v>9106</v>
      </c>
      <c r="B1880" s="6" t="str">
        <f>IMAGE("https://storage.googleapis.com/acdb/housewares/FtrOutdoorchairM_Remake_0_3.png")</f>
        <v/>
      </c>
      <c r="C1880" s="5" t="s">
        <v>57</v>
      </c>
      <c r="D1880" s="5" t="s">
        <v>34</v>
      </c>
      <c r="E1880" s="5" t="s">
        <v>68</v>
      </c>
      <c r="F1880" s="5" t="s">
        <v>9107</v>
      </c>
      <c r="G1880" s="5" t="s">
        <v>36</v>
      </c>
      <c r="H1880" s="5" t="s">
        <v>36</v>
      </c>
      <c r="I1880" s="5" t="s">
        <v>35</v>
      </c>
      <c r="J1880" s="6">
        <v>1.0</v>
      </c>
      <c r="K1880" s="6">
        <v>1300.0</v>
      </c>
      <c r="L1880" s="6">
        <v>325.0</v>
      </c>
      <c r="M1880" s="26" t="s">
        <v>95</v>
      </c>
      <c r="N1880" s="26" t="s">
        <v>68</v>
      </c>
      <c r="O1880" s="6" t="s">
        <v>276</v>
      </c>
      <c r="P1880" s="5" t="s">
        <v>59</v>
      </c>
      <c r="Q1880" s="5" t="s">
        <v>89</v>
      </c>
      <c r="R1880" s="6" t="s">
        <v>42</v>
      </c>
      <c r="S1880" s="5" t="s">
        <v>765</v>
      </c>
      <c r="T1880" s="5" t="s">
        <v>44</v>
      </c>
      <c r="U1880" s="5" t="s">
        <v>44</v>
      </c>
      <c r="V1880" s="5" t="s">
        <v>44</v>
      </c>
      <c r="W1880" s="5" t="s">
        <v>35</v>
      </c>
      <c r="X1880" s="8" t="s">
        <v>671</v>
      </c>
      <c r="Y1880" s="5" t="s">
        <v>46</v>
      </c>
      <c r="Z1880" s="5" t="s">
        <v>47</v>
      </c>
      <c r="AA1880" s="5" t="s">
        <v>64</v>
      </c>
      <c r="AB1880" s="5" t="s">
        <v>9124</v>
      </c>
      <c r="AC1880" s="6" t="s">
        <v>354</v>
      </c>
      <c r="AD1880" s="6">
        <v>3947.0</v>
      </c>
    </row>
    <row r="1881" ht="56.25" customHeight="1">
      <c r="A1881" s="5" t="s">
        <v>9106</v>
      </c>
      <c r="B1881" s="6" t="str">
        <f>IMAGE("https://storage.googleapis.com/acdb/housewares/FtrOutdoorchairM_Remake_0_4.png")</f>
        <v/>
      </c>
      <c r="C1881" s="5" t="s">
        <v>57</v>
      </c>
      <c r="D1881" s="5" t="s">
        <v>34</v>
      </c>
      <c r="E1881" s="5" t="s">
        <v>142</v>
      </c>
      <c r="F1881" s="5" t="s">
        <v>9107</v>
      </c>
      <c r="G1881" s="5" t="s">
        <v>36</v>
      </c>
      <c r="H1881" s="5" t="s">
        <v>36</v>
      </c>
      <c r="I1881" s="5" t="s">
        <v>35</v>
      </c>
      <c r="J1881" s="6">
        <v>1.0</v>
      </c>
      <c r="K1881" s="6">
        <v>1300.0</v>
      </c>
      <c r="L1881" s="6">
        <v>325.0</v>
      </c>
      <c r="M1881" s="26" t="s">
        <v>95</v>
      </c>
      <c r="N1881" s="26" t="s">
        <v>142</v>
      </c>
      <c r="O1881" s="6" t="s">
        <v>276</v>
      </c>
      <c r="P1881" s="5" t="s">
        <v>59</v>
      </c>
      <c r="Q1881" s="5" t="s">
        <v>89</v>
      </c>
      <c r="R1881" s="6" t="s">
        <v>42</v>
      </c>
      <c r="S1881" s="5" t="s">
        <v>765</v>
      </c>
      <c r="T1881" s="5" t="s">
        <v>44</v>
      </c>
      <c r="U1881" s="5" t="s">
        <v>44</v>
      </c>
      <c r="V1881" s="5" t="s">
        <v>44</v>
      </c>
      <c r="W1881" s="5" t="s">
        <v>35</v>
      </c>
      <c r="X1881" s="8" t="s">
        <v>671</v>
      </c>
      <c r="Y1881" s="5" t="s">
        <v>46</v>
      </c>
      <c r="Z1881" s="5" t="s">
        <v>47</v>
      </c>
      <c r="AA1881" s="5" t="s">
        <v>64</v>
      </c>
      <c r="AB1881" s="5" t="s">
        <v>9130</v>
      </c>
      <c r="AC1881" s="6" t="s">
        <v>486</v>
      </c>
      <c r="AD1881" s="6">
        <v>3947.0</v>
      </c>
    </row>
    <row r="1882" ht="56.25" customHeight="1">
      <c r="A1882" s="5" t="s">
        <v>9106</v>
      </c>
      <c r="B1882" s="6" t="str">
        <f>IMAGE("https://storage.googleapis.com/acdb/housewares/FtrOutdoorchairM_Remake_0_5.png")</f>
        <v/>
      </c>
      <c r="C1882" s="5" t="s">
        <v>57</v>
      </c>
      <c r="D1882" s="5" t="s">
        <v>34</v>
      </c>
      <c r="E1882" s="5" t="s">
        <v>1137</v>
      </c>
      <c r="F1882" s="5" t="s">
        <v>9107</v>
      </c>
      <c r="G1882" s="5" t="s">
        <v>36</v>
      </c>
      <c r="H1882" s="5" t="s">
        <v>36</v>
      </c>
      <c r="I1882" s="5" t="s">
        <v>35</v>
      </c>
      <c r="J1882" s="6">
        <v>1.0</v>
      </c>
      <c r="K1882" s="6">
        <v>1300.0</v>
      </c>
      <c r="L1882" s="6">
        <v>325.0</v>
      </c>
      <c r="M1882" s="26" t="s">
        <v>95</v>
      </c>
      <c r="N1882" s="26" t="s">
        <v>38</v>
      </c>
      <c r="O1882" s="6" t="s">
        <v>276</v>
      </c>
      <c r="P1882" s="5" t="s">
        <v>59</v>
      </c>
      <c r="Q1882" s="5" t="s">
        <v>89</v>
      </c>
      <c r="R1882" s="6" t="s">
        <v>42</v>
      </c>
      <c r="S1882" s="5" t="s">
        <v>765</v>
      </c>
      <c r="T1882" s="5" t="s">
        <v>44</v>
      </c>
      <c r="U1882" s="5" t="s">
        <v>44</v>
      </c>
      <c r="V1882" s="5" t="s">
        <v>44</v>
      </c>
      <c r="W1882" s="5" t="s">
        <v>35</v>
      </c>
      <c r="X1882" s="8" t="s">
        <v>671</v>
      </c>
      <c r="Y1882" s="5" t="s">
        <v>46</v>
      </c>
      <c r="Z1882" s="5" t="s">
        <v>47</v>
      </c>
      <c r="AA1882" s="5" t="s">
        <v>64</v>
      </c>
      <c r="AB1882" s="5" t="s">
        <v>9134</v>
      </c>
      <c r="AC1882" s="6" t="s">
        <v>934</v>
      </c>
      <c r="AD1882" s="6">
        <v>3947.0</v>
      </c>
    </row>
    <row r="1883" ht="56.25" customHeight="1">
      <c r="A1883" s="5" t="s">
        <v>9106</v>
      </c>
      <c r="B1883" s="6" t="str">
        <f>IMAGE("https://storage.googleapis.com/acdb/housewares/FtrOutdoorchairM_Remake_0_6.png")</f>
        <v/>
      </c>
      <c r="C1883" s="5" t="s">
        <v>57</v>
      </c>
      <c r="D1883" s="5" t="s">
        <v>34</v>
      </c>
      <c r="E1883" s="5" t="s">
        <v>1132</v>
      </c>
      <c r="F1883" s="5" t="s">
        <v>9107</v>
      </c>
      <c r="G1883" s="5" t="s">
        <v>36</v>
      </c>
      <c r="H1883" s="5" t="s">
        <v>36</v>
      </c>
      <c r="I1883" s="5" t="s">
        <v>35</v>
      </c>
      <c r="J1883" s="6">
        <v>1.0</v>
      </c>
      <c r="K1883" s="6">
        <v>1300.0</v>
      </c>
      <c r="L1883" s="6">
        <v>325.0</v>
      </c>
      <c r="M1883" s="26" t="s">
        <v>95</v>
      </c>
      <c r="N1883" s="26" t="s">
        <v>39</v>
      </c>
      <c r="O1883" s="6" t="s">
        <v>276</v>
      </c>
      <c r="P1883" s="5" t="s">
        <v>59</v>
      </c>
      <c r="Q1883" s="5" t="s">
        <v>89</v>
      </c>
      <c r="R1883" s="6" t="s">
        <v>42</v>
      </c>
      <c r="S1883" s="5" t="s">
        <v>765</v>
      </c>
      <c r="T1883" s="5" t="s">
        <v>44</v>
      </c>
      <c r="U1883" s="5" t="s">
        <v>44</v>
      </c>
      <c r="V1883" s="5" t="s">
        <v>44</v>
      </c>
      <c r="W1883" s="5" t="s">
        <v>35</v>
      </c>
      <c r="X1883" s="8" t="s">
        <v>671</v>
      </c>
      <c r="Y1883" s="5" t="s">
        <v>46</v>
      </c>
      <c r="Z1883" s="5" t="s">
        <v>47</v>
      </c>
      <c r="AA1883" s="5" t="s">
        <v>64</v>
      </c>
      <c r="AB1883" s="5" t="s">
        <v>9137</v>
      </c>
      <c r="AC1883" s="6" t="s">
        <v>938</v>
      </c>
      <c r="AD1883" s="6">
        <v>3947.0</v>
      </c>
    </row>
    <row r="1884" ht="56.25" customHeight="1">
      <c r="A1884" s="5" t="s">
        <v>9106</v>
      </c>
      <c r="B1884" s="6" t="str">
        <f>IMAGE("https://storage.googleapis.com/acdb/housewares/FtrOutdoorchairM_Remake_1_0.png")</f>
        <v/>
      </c>
      <c r="C1884" s="5" t="s">
        <v>54</v>
      </c>
      <c r="D1884" s="5" t="s">
        <v>34</v>
      </c>
      <c r="E1884" s="5" t="s">
        <v>57</v>
      </c>
      <c r="F1884" s="5" t="s">
        <v>9107</v>
      </c>
      <c r="G1884" s="5" t="s">
        <v>36</v>
      </c>
      <c r="H1884" s="5" t="s">
        <v>36</v>
      </c>
      <c r="I1884" s="5" t="s">
        <v>35</v>
      </c>
      <c r="J1884" s="6">
        <v>1.0</v>
      </c>
      <c r="K1884" s="6">
        <v>1300.0</v>
      </c>
      <c r="L1884" s="6">
        <v>325.0</v>
      </c>
      <c r="M1884" s="26" t="s">
        <v>54</v>
      </c>
      <c r="N1884" s="26" t="s">
        <v>57</v>
      </c>
      <c r="O1884" s="6" t="s">
        <v>276</v>
      </c>
      <c r="P1884" s="5" t="s">
        <v>59</v>
      </c>
      <c r="Q1884" s="5" t="s">
        <v>89</v>
      </c>
      <c r="R1884" s="6" t="s">
        <v>42</v>
      </c>
      <c r="S1884" s="5" t="s">
        <v>765</v>
      </c>
      <c r="T1884" s="5" t="s">
        <v>44</v>
      </c>
      <c r="U1884" s="5" t="s">
        <v>44</v>
      </c>
      <c r="V1884" s="5" t="s">
        <v>44</v>
      </c>
      <c r="W1884" s="5" t="s">
        <v>35</v>
      </c>
      <c r="X1884" s="8" t="s">
        <v>671</v>
      </c>
      <c r="Y1884" s="5" t="s">
        <v>46</v>
      </c>
      <c r="Z1884" s="5" t="s">
        <v>47</v>
      </c>
      <c r="AA1884" s="5" t="s">
        <v>64</v>
      </c>
      <c r="AB1884" s="5" t="s">
        <v>9141</v>
      </c>
      <c r="AC1884" s="6" t="s">
        <v>56</v>
      </c>
      <c r="AD1884" s="6">
        <v>3947.0</v>
      </c>
    </row>
    <row r="1885" ht="56.25" customHeight="1">
      <c r="A1885" s="5" t="s">
        <v>9106</v>
      </c>
      <c r="B1885" s="6" t="str">
        <f>IMAGE("https://storage.googleapis.com/acdb/housewares/FtrOutdoorchairM_Remake_1_1.png")</f>
        <v/>
      </c>
      <c r="C1885" s="5" t="s">
        <v>54</v>
      </c>
      <c r="D1885" s="5" t="s">
        <v>34</v>
      </c>
      <c r="E1885" s="5" t="s">
        <v>54</v>
      </c>
      <c r="F1885" s="5" t="s">
        <v>9107</v>
      </c>
      <c r="G1885" s="5" t="s">
        <v>36</v>
      </c>
      <c r="H1885" s="5" t="s">
        <v>36</v>
      </c>
      <c r="I1885" s="5" t="s">
        <v>35</v>
      </c>
      <c r="J1885" s="6">
        <v>1.0</v>
      </c>
      <c r="K1885" s="6">
        <v>1300.0</v>
      </c>
      <c r="L1885" s="6">
        <v>325.0</v>
      </c>
      <c r="M1885" s="26" t="s">
        <v>54</v>
      </c>
      <c r="N1885" s="26" t="s">
        <v>54</v>
      </c>
      <c r="O1885" s="6" t="s">
        <v>276</v>
      </c>
      <c r="P1885" s="5" t="s">
        <v>59</v>
      </c>
      <c r="Q1885" s="5" t="s">
        <v>89</v>
      </c>
      <c r="R1885" s="6" t="s">
        <v>42</v>
      </c>
      <c r="S1885" s="5" t="s">
        <v>765</v>
      </c>
      <c r="T1885" s="5" t="s">
        <v>44</v>
      </c>
      <c r="U1885" s="5" t="s">
        <v>44</v>
      </c>
      <c r="V1885" s="5" t="s">
        <v>44</v>
      </c>
      <c r="W1885" s="5" t="s">
        <v>35</v>
      </c>
      <c r="X1885" s="8" t="s">
        <v>671</v>
      </c>
      <c r="Y1885" s="5" t="s">
        <v>46</v>
      </c>
      <c r="Z1885" s="5" t="s">
        <v>47</v>
      </c>
      <c r="AA1885" s="5" t="s">
        <v>64</v>
      </c>
      <c r="AB1885" s="5" t="s">
        <v>9145</v>
      </c>
      <c r="AC1885" s="6" t="s">
        <v>234</v>
      </c>
      <c r="AD1885" s="6">
        <v>3947.0</v>
      </c>
    </row>
    <row r="1886" ht="56.25" customHeight="1">
      <c r="A1886" s="5" t="s">
        <v>9106</v>
      </c>
      <c r="B1886" s="6" t="str">
        <f>IMAGE("https://storage.googleapis.com/acdb/housewares/FtrOutdoorchairM_Remake_1_2.png")</f>
        <v/>
      </c>
      <c r="C1886" s="5" t="s">
        <v>54</v>
      </c>
      <c r="D1886" s="5" t="s">
        <v>34</v>
      </c>
      <c r="E1886" s="5" t="s">
        <v>96</v>
      </c>
      <c r="F1886" s="5" t="s">
        <v>9107</v>
      </c>
      <c r="G1886" s="5" t="s">
        <v>36</v>
      </c>
      <c r="H1886" s="5" t="s">
        <v>36</v>
      </c>
      <c r="I1886" s="5" t="s">
        <v>35</v>
      </c>
      <c r="J1886" s="6">
        <v>1.0</v>
      </c>
      <c r="K1886" s="6">
        <v>1300.0</v>
      </c>
      <c r="L1886" s="6">
        <v>325.0</v>
      </c>
      <c r="M1886" s="26" t="s">
        <v>54</v>
      </c>
      <c r="N1886" s="26" t="s">
        <v>96</v>
      </c>
      <c r="O1886" s="6" t="s">
        <v>276</v>
      </c>
      <c r="P1886" s="5" t="s">
        <v>59</v>
      </c>
      <c r="Q1886" s="5" t="s">
        <v>89</v>
      </c>
      <c r="R1886" s="6" t="s">
        <v>42</v>
      </c>
      <c r="S1886" s="5" t="s">
        <v>765</v>
      </c>
      <c r="T1886" s="5" t="s">
        <v>44</v>
      </c>
      <c r="U1886" s="5" t="s">
        <v>44</v>
      </c>
      <c r="V1886" s="5" t="s">
        <v>44</v>
      </c>
      <c r="W1886" s="5" t="s">
        <v>35</v>
      </c>
      <c r="X1886" s="8" t="s">
        <v>671</v>
      </c>
      <c r="Y1886" s="5" t="s">
        <v>46</v>
      </c>
      <c r="Z1886" s="5" t="s">
        <v>47</v>
      </c>
      <c r="AA1886" s="5" t="s">
        <v>64</v>
      </c>
      <c r="AB1886" s="5" t="s">
        <v>9148</v>
      </c>
      <c r="AC1886" s="6" t="s">
        <v>370</v>
      </c>
      <c r="AD1886" s="6">
        <v>3947.0</v>
      </c>
    </row>
    <row r="1887" ht="56.25" customHeight="1">
      <c r="A1887" s="5" t="s">
        <v>9106</v>
      </c>
      <c r="B1887" s="6" t="str">
        <f>IMAGE("https://storage.googleapis.com/acdb/housewares/FtrOutdoorchairM_Remake_1_3.png")</f>
        <v/>
      </c>
      <c r="C1887" s="5" t="s">
        <v>54</v>
      </c>
      <c r="D1887" s="5" t="s">
        <v>34</v>
      </c>
      <c r="E1887" s="5" t="s">
        <v>68</v>
      </c>
      <c r="F1887" s="5" t="s">
        <v>9107</v>
      </c>
      <c r="G1887" s="5" t="s">
        <v>36</v>
      </c>
      <c r="H1887" s="5" t="s">
        <v>36</v>
      </c>
      <c r="I1887" s="5" t="s">
        <v>35</v>
      </c>
      <c r="J1887" s="6">
        <v>1.0</v>
      </c>
      <c r="K1887" s="6">
        <v>1300.0</v>
      </c>
      <c r="L1887" s="6">
        <v>325.0</v>
      </c>
      <c r="M1887" s="26" t="s">
        <v>54</v>
      </c>
      <c r="N1887" s="26" t="s">
        <v>68</v>
      </c>
      <c r="O1887" s="6" t="s">
        <v>276</v>
      </c>
      <c r="P1887" s="5" t="s">
        <v>59</v>
      </c>
      <c r="Q1887" s="5" t="s">
        <v>89</v>
      </c>
      <c r="R1887" s="6" t="s">
        <v>42</v>
      </c>
      <c r="S1887" s="5" t="s">
        <v>765</v>
      </c>
      <c r="T1887" s="5" t="s">
        <v>44</v>
      </c>
      <c r="U1887" s="5" t="s">
        <v>44</v>
      </c>
      <c r="V1887" s="5" t="s">
        <v>44</v>
      </c>
      <c r="W1887" s="5" t="s">
        <v>35</v>
      </c>
      <c r="X1887" s="8" t="s">
        <v>671</v>
      </c>
      <c r="Y1887" s="5" t="s">
        <v>46</v>
      </c>
      <c r="Z1887" s="5" t="s">
        <v>47</v>
      </c>
      <c r="AA1887" s="5" t="s">
        <v>64</v>
      </c>
      <c r="AB1887" s="5" t="s">
        <v>9151</v>
      </c>
      <c r="AC1887" s="6" t="s">
        <v>377</v>
      </c>
      <c r="AD1887" s="6">
        <v>3947.0</v>
      </c>
    </row>
    <row r="1888" ht="56.25" customHeight="1">
      <c r="A1888" s="5" t="s">
        <v>9106</v>
      </c>
      <c r="B1888" s="6" t="str">
        <f>IMAGE("https://storage.googleapis.com/acdb/housewares/FtrOutdoorchairM_Remake_1_4.png")</f>
        <v/>
      </c>
      <c r="C1888" s="5" t="s">
        <v>54</v>
      </c>
      <c r="D1888" s="5" t="s">
        <v>34</v>
      </c>
      <c r="E1888" s="5" t="s">
        <v>142</v>
      </c>
      <c r="F1888" s="5" t="s">
        <v>9107</v>
      </c>
      <c r="G1888" s="5" t="s">
        <v>36</v>
      </c>
      <c r="H1888" s="5" t="s">
        <v>36</v>
      </c>
      <c r="I1888" s="5" t="s">
        <v>35</v>
      </c>
      <c r="J1888" s="6">
        <v>1.0</v>
      </c>
      <c r="K1888" s="6">
        <v>1300.0</v>
      </c>
      <c r="L1888" s="6">
        <v>325.0</v>
      </c>
      <c r="M1888" s="26" t="s">
        <v>54</v>
      </c>
      <c r="N1888" s="26" t="s">
        <v>142</v>
      </c>
      <c r="O1888" s="6" t="s">
        <v>276</v>
      </c>
      <c r="P1888" s="5" t="s">
        <v>59</v>
      </c>
      <c r="Q1888" s="5" t="s">
        <v>89</v>
      </c>
      <c r="R1888" s="6" t="s">
        <v>42</v>
      </c>
      <c r="S1888" s="5" t="s">
        <v>765</v>
      </c>
      <c r="T1888" s="5" t="s">
        <v>44</v>
      </c>
      <c r="U1888" s="5" t="s">
        <v>44</v>
      </c>
      <c r="V1888" s="5" t="s">
        <v>44</v>
      </c>
      <c r="W1888" s="5" t="s">
        <v>35</v>
      </c>
      <c r="X1888" s="8" t="s">
        <v>671</v>
      </c>
      <c r="Y1888" s="5" t="s">
        <v>46</v>
      </c>
      <c r="Z1888" s="5" t="s">
        <v>47</v>
      </c>
      <c r="AA1888" s="5" t="s">
        <v>64</v>
      </c>
      <c r="AB1888" s="5" t="s">
        <v>9158</v>
      </c>
      <c r="AC1888" s="6" t="s">
        <v>520</v>
      </c>
      <c r="AD1888" s="6">
        <v>3947.0</v>
      </c>
    </row>
    <row r="1889" ht="56.25" customHeight="1">
      <c r="A1889" s="5" t="s">
        <v>9106</v>
      </c>
      <c r="B1889" s="6" t="str">
        <f>IMAGE("https://storage.googleapis.com/acdb/housewares/FtrOutdoorchairM_Remake_1_5.png")</f>
        <v/>
      </c>
      <c r="C1889" s="5" t="s">
        <v>54</v>
      </c>
      <c r="D1889" s="5" t="s">
        <v>34</v>
      </c>
      <c r="E1889" s="5" t="s">
        <v>1137</v>
      </c>
      <c r="F1889" s="5" t="s">
        <v>9107</v>
      </c>
      <c r="G1889" s="5" t="s">
        <v>36</v>
      </c>
      <c r="H1889" s="5" t="s">
        <v>36</v>
      </c>
      <c r="I1889" s="5" t="s">
        <v>35</v>
      </c>
      <c r="J1889" s="6">
        <v>1.0</v>
      </c>
      <c r="K1889" s="6">
        <v>1300.0</v>
      </c>
      <c r="L1889" s="6">
        <v>325.0</v>
      </c>
      <c r="M1889" s="26" t="s">
        <v>54</v>
      </c>
      <c r="N1889" s="26" t="s">
        <v>38</v>
      </c>
      <c r="O1889" s="6" t="s">
        <v>276</v>
      </c>
      <c r="P1889" s="5" t="s">
        <v>59</v>
      </c>
      <c r="Q1889" s="5" t="s">
        <v>89</v>
      </c>
      <c r="R1889" s="6" t="s">
        <v>42</v>
      </c>
      <c r="S1889" s="5" t="s">
        <v>765</v>
      </c>
      <c r="T1889" s="5" t="s">
        <v>44</v>
      </c>
      <c r="U1889" s="5" t="s">
        <v>44</v>
      </c>
      <c r="V1889" s="5" t="s">
        <v>44</v>
      </c>
      <c r="W1889" s="5" t="s">
        <v>35</v>
      </c>
      <c r="X1889" s="8" t="s">
        <v>671</v>
      </c>
      <c r="Y1889" s="5" t="s">
        <v>46</v>
      </c>
      <c r="Z1889" s="5" t="s">
        <v>47</v>
      </c>
      <c r="AA1889" s="5" t="s">
        <v>64</v>
      </c>
      <c r="AB1889" s="5" t="s">
        <v>9161</v>
      </c>
      <c r="AC1889" s="6" t="s">
        <v>1389</v>
      </c>
      <c r="AD1889" s="6">
        <v>3947.0</v>
      </c>
    </row>
    <row r="1890" ht="56.25" customHeight="1">
      <c r="A1890" s="5" t="s">
        <v>9106</v>
      </c>
      <c r="B1890" s="6" t="str">
        <f>IMAGE("https://storage.googleapis.com/acdb/housewares/FtrOutdoorchairM_Remake_1_6.png")</f>
        <v/>
      </c>
      <c r="C1890" s="5" t="s">
        <v>54</v>
      </c>
      <c r="D1890" s="5" t="s">
        <v>34</v>
      </c>
      <c r="E1890" s="5" t="s">
        <v>1132</v>
      </c>
      <c r="F1890" s="5" t="s">
        <v>9107</v>
      </c>
      <c r="G1890" s="5" t="s">
        <v>36</v>
      </c>
      <c r="H1890" s="5" t="s">
        <v>36</v>
      </c>
      <c r="I1890" s="5" t="s">
        <v>35</v>
      </c>
      <c r="J1890" s="6">
        <v>1.0</v>
      </c>
      <c r="K1890" s="6">
        <v>1300.0</v>
      </c>
      <c r="L1890" s="6">
        <v>325.0</v>
      </c>
      <c r="M1890" s="26" t="s">
        <v>54</v>
      </c>
      <c r="N1890" s="26" t="s">
        <v>39</v>
      </c>
      <c r="O1890" s="6" t="s">
        <v>276</v>
      </c>
      <c r="P1890" s="5" t="s">
        <v>59</v>
      </c>
      <c r="Q1890" s="5" t="s">
        <v>89</v>
      </c>
      <c r="R1890" s="6" t="s">
        <v>42</v>
      </c>
      <c r="S1890" s="5" t="s">
        <v>765</v>
      </c>
      <c r="T1890" s="5" t="s">
        <v>44</v>
      </c>
      <c r="U1890" s="5" t="s">
        <v>44</v>
      </c>
      <c r="V1890" s="5" t="s">
        <v>44</v>
      </c>
      <c r="W1890" s="5" t="s">
        <v>35</v>
      </c>
      <c r="X1890" s="8" t="s">
        <v>671</v>
      </c>
      <c r="Y1890" s="5" t="s">
        <v>46</v>
      </c>
      <c r="Z1890" s="5" t="s">
        <v>47</v>
      </c>
      <c r="AA1890" s="5" t="s">
        <v>64</v>
      </c>
      <c r="AB1890" s="5" t="s">
        <v>9167</v>
      </c>
      <c r="AC1890" s="6" t="s">
        <v>1394</v>
      </c>
      <c r="AD1890" s="6">
        <v>3947.0</v>
      </c>
    </row>
    <row r="1891" ht="56.25" customHeight="1">
      <c r="A1891" s="5" t="s">
        <v>9106</v>
      </c>
      <c r="B1891" s="6" t="str">
        <f>IMAGE("https://storage.googleapis.com/acdb/housewares/FtrOutdoorchairM_Remake_2_0.png")</f>
        <v/>
      </c>
      <c r="C1891" s="5" t="s">
        <v>96</v>
      </c>
      <c r="D1891" s="5" t="s">
        <v>34</v>
      </c>
      <c r="E1891" s="5" t="s">
        <v>57</v>
      </c>
      <c r="F1891" s="5" t="s">
        <v>9107</v>
      </c>
      <c r="G1891" s="5" t="s">
        <v>36</v>
      </c>
      <c r="H1891" s="5" t="s">
        <v>36</v>
      </c>
      <c r="I1891" s="5" t="s">
        <v>35</v>
      </c>
      <c r="J1891" s="6">
        <v>1.0</v>
      </c>
      <c r="K1891" s="6">
        <v>1300.0</v>
      </c>
      <c r="L1891" s="6">
        <v>325.0</v>
      </c>
      <c r="M1891" s="26" t="s">
        <v>96</v>
      </c>
      <c r="N1891" s="26" t="s">
        <v>57</v>
      </c>
      <c r="O1891" s="6" t="s">
        <v>276</v>
      </c>
      <c r="P1891" s="5" t="s">
        <v>59</v>
      </c>
      <c r="Q1891" s="5" t="s">
        <v>89</v>
      </c>
      <c r="R1891" s="6" t="s">
        <v>42</v>
      </c>
      <c r="S1891" s="5" t="s">
        <v>765</v>
      </c>
      <c r="T1891" s="5" t="s">
        <v>44</v>
      </c>
      <c r="U1891" s="5" t="s">
        <v>44</v>
      </c>
      <c r="V1891" s="5" t="s">
        <v>44</v>
      </c>
      <c r="W1891" s="5" t="s">
        <v>35</v>
      </c>
      <c r="X1891" s="8" t="s">
        <v>671</v>
      </c>
      <c r="Y1891" s="5" t="s">
        <v>46</v>
      </c>
      <c r="Z1891" s="5" t="s">
        <v>47</v>
      </c>
      <c r="AA1891" s="5" t="s">
        <v>64</v>
      </c>
      <c r="AB1891" s="5" t="s">
        <v>9172</v>
      </c>
      <c r="AC1891" s="6" t="s">
        <v>67</v>
      </c>
      <c r="AD1891" s="6">
        <v>3947.0</v>
      </c>
    </row>
    <row r="1892" ht="56.25" customHeight="1">
      <c r="A1892" s="5" t="s">
        <v>9106</v>
      </c>
      <c r="B1892" s="6" t="str">
        <f>IMAGE("https://storage.googleapis.com/acdb/housewares/FtrOutdoorchairM_Remake_2_1.png")</f>
        <v/>
      </c>
      <c r="C1892" s="5" t="s">
        <v>96</v>
      </c>
      <c r="D1892" s="5" t="s">
        <v>34</v>
      </c>
      <c r="E1892" s="5" t="s">
        <v>54</v>
      </c>
      <c r="F1892" s="5" t="s">
        <v>9107</v>
      </c>
      <c r="G1892" s="5" t="s">
        <v>36</v>
      </c>
      <c r="H1892" s="5" t="s">
        <v>36</v>
      </c>
      <c r="I1892" s="5" t="s">
        <v>35</v>
      </c>
      <c r="J1892" s="6">
        <v>1.0</v>
      </c>
      <c r="K1892" s="6">
        <v>1300.0</v>
      </c>
      <c r="L1892" s="6">
        <v>325.0</v>
      </c>
      <c r="M1892" s="26" t="s">
        <v>96</v>
      </c>
      <c r="N1892" s="26" t="s">
        <v>54</v>
      </c>
      <c r="O1892" s="6" t="s">
        <v>276</v>
      </c>
      <c r="P1892" s="5" t="s">
        <v>59</v>
      </c>
      <c r="Q1892" s="5" t="s">
        <v>89</v>
      </c>
      <c r="R1892" s="6" t="s">
        <v>42</v>
      </c>
      <c r="S1892" s="5" t="s">
        <v>765</v>
      </c>
      <c r="T1892" s="5" t="s">
        <v>44</v>
      </c>
      <c r="U1892" s="5" t="s">
        <v>44</v>
      </c>
      <c r="V1892" s="5" t="s">
        <v>44</v>
      </c>
      <c r="W1892" s="5" t="s">
        <v>35</v>
      </c>
      <c r="X1892" s="8" t="s">
        <v>671</v>
      </c>
      <c r="Y1892" s="5" t="s">
        <v>46</v>
      </c>
      <c r="Z1892" s="5" t="s">
        <v>47</v>
      </c>
      <c r="AA1892" s="5" t="s">
        <v>64</v>
      </c>
      <c r="AB1892" s="5" t="s">
        <v>9175</v>
      </c>
      <c r="AC1892" s="6" t="s">
        <v>247</v>
      </c>
      <c r="AD1892" s="6">
        <v>3947.0</v>
      </c>
    </row>
    <row r="1893" ht="56.25" customHeight="1">
      <c r="A1893" s="5" t="s">
        <v>9106</v>
      </c>
      <c r="B1893" s="6" t="str">
        <f>IMAGE("https://storage.googleapis.com/acdb/housewares/FtrOutdoorchairM_Remake_2_2.png")</f>
        <v/>
      </c>
      <c r="C1893" s="5" t="s">
        <v>96</v>
      </c>
      <c r="D1893" s="5" t="s">
        <v>34</v>
      </c>
      <c r="E1893" s="5" t="s">
        <v>96</v>
      </c>
      <c r="F1893" s="5" t="s">
        <v>9107</v>
      </c>
      <c r="G1893" s="5" t="s">
        <v>36</v>
      </c>
      <c r="H1893" s="5" t="s">
        <v>36</v>
      </c>
      <c r="I1893" s="5" t="s">
        <v>35</v>
      </c>
      <c r="J1893" s="6">
        <v>1.0</v>
      </c>
      <c r="K1893" s="6">
        <v>1300.0</v>
      </c>
      <c r="L1893" s="6">
        <v>325.0</v>
      </c>
      <c r="M1893" s="26" t="s">
        <v>96</v>
      </c>
      <c r="N1893" s="26" t="s">
        <v>96</v>
      </c>
      <c r="O1893" s="6" t="s">
        <v>276</v>
      </c>
      <c r="P1893" s="5" t="s">
        <v>59</v>
      </c>
      <c r="Q1893" s="5" t="s">
        <v>89</v>
      </c>
      <c r="R1893" s="6" t="s">
        <v>42</v>
      </c>
      <c r="S1893" s="5" t="s">
        <v>765</v>
      </c>
      <c r="T1893" s="5" t="s">
        <v>44</v>
      </c>
      <c r="U1893" s="5" t="s">
        <v>44</v>
      </c>
      <c r="V1893" s="5" t="s">
        <v>44</v>
      </c>
      <c r="W1893" s="5" t="s">
        <v>35</v>
      </c>
      <c r="X1893" s="8" t="s">
        <v>671</v>
      </c>
      <c r="Y1893" s="5" t="s">
        <v>46</v>
      </c>
      <c r="Z1893" s="5" t="s">
        <v>47</v>
      </c>
      <c r="AA1893" s="5" t="s">
        <v>64</v>
      </c>
      <c r="AB1893" s="5" t="s">
        <v>9180</v>
      </c>
      <c r="AC1893" s="6" t="s">
        <v>390</v>
      </c>
      <c r="AD1893" s="6">
        <v>3947.0</v>
      </c>
    </row>
    <row r="1894" ht="56.25" customHeight="1">
      <c r="A1894" s="5" t="s">
        <v>9106</v>
      </c>
      <c r="B1894" s="6" t="str">
        <f>IMAGE("https://storage.googleapis.com/acdb/housewares/FtrOutdoorchairM_Remake_2_3.png")</f>
        <v/>
      </c>
      <c r="C1894" s="5" t="s">
        <v>96</v>
      </c>
      <c r="D1894" s="5" t="s">
        <v>34</v>
      </c>
      <c r="E1894" s="5" t="s">
        <v>68</v>
      </c>
      <c r="F1894" s="5" t="s">
        <v>9107</v>
      </c>
      <c r="G1894" s="5" t="s">
        <v>36</v>
      </c>
      <c r="H1894" s="5" t="s">
        <v>36</v>
      </c>
      <c r="I1894" s="5" t="s">
        <v>35</v>
      </c>
      <c r="J1894" s="6">
        <v>1.0</v>
      </c>
      <c r="K1894" s="6">
        <v>1300.0</v>
      </c>
      <c r="L1894" s="6">
        <v>325.0</v>
      </c>
      <c r="M1894" s="26" t="s">
        <v>96</v>
      </c>
      <c r="N1894" s="26" t="s">
        <v>68</v>
      </c>
      <c r="O1894" s="6" t="s">
        <v>276</v>
      </c>
      <c r="P1894" s="5" t="s">
        <v>59</v>
      </c>
      <c r="Q1894" s="5" t="s">
        <v>89</v>
      </c>
      <c r="R1894" s="6" t="s">
        <v>42</v>
      </c>
      <c r="S1894" s="5" t="s">
        <v>765</v>
      </c>
      <c r="T1894" s="5" t="s">
        <v>44</v>
      </c>
      <c r="U1894" s="5" t="s">
        <v>44</v>
      </c>
      <c r="V1894" s="5" t="s">
        <v>44</v>
      </c>
      <c r="W1894" s="5" t="s">
        <v>35</v>
      </c>
      <c r="X1894" s="8" t="s">
        <v>671</v>
      </c>
      <c r="Y1894" s="5" t="s">
        <v>46</v>
      </c>
      <c r="Z1894" s="5" t="s">
        <v>47</v>
      </c>
      <c r="AA1894" s="5" t="s">
        <v>64</v>
      </c>
      <c r="AB1894" s="5" t="s">
        <v>9183</v>
      </c>
      <c r="AC1894" s="6" t="s">
        <v>396</v>
      </c>
      <c r="AD1894" s="6">
        <v>3947.0</v>
      </c>
    </row>
    <row r="1895" ht="56.25" customHeight="1">
      <c r="A1895" s="5" t="s">
        <v>9106</v>
      </c>
      <c r="B1895" s="6" t="str">
        <f>IMAGE("https://storage.googleapis.com/acdb/housewares/FtrOutdoorchairM_Remake_2_4.png")</f>
        <v/>
      </c>
      <c r="C1895" s="5" t="s">
        <v>96</v>
      </c>
      <c r="D1895" s="5" t="s">
        <v>34</v>
      </c>
      <c r="E1895" s="5" t="s">
        <v>142</v>
      </c>
      <c r="F1895" s="5" t="s">
        <v>9107</v>
      </c>
      <c r="G1895" s="5" t="s">
        <v>36</v>
      </c>
      <c r="H1895" s="5" t="s">
        <v>36</v>
      </c>
      <c r="I1895" s="5" t="s">
        <v>35</v>
      </c>
      <c r="J1895" s="6">
        <v>1.0</v>
      </c>
      <c r="K1895" s="6">
        <v>1300.0</v>
      </c>
      <c r="L1895" s="6">
        <v>325.0</v>
      </c>
      <c r="M1895" s="26" t="s">
        <v>96</v>
      </c>
      <c r="N1895" s="26" t="s">
        <v>142</v>
      </c>
      <c r="O1895" s="6" t="s">
        <v>276</v>
      </c>
      <c r="P1895" s="5" t="s">
        <v>59</v>
      </c>
      <c r="Q1895" s="5" t="s">
        <v>89</v>
      </c>
      <c r="R1895" s="6" t="s">
        <v>42</v>
      </c>
      <c r="S1895" s="5" t="s">
        <v>765</v>
      </c>
      <c r="T1895" s="5" t="s">
        <v>44</v>
      </c>
      <c r="U1895" s="5" t="s">
        <v>44</v>
      </c>
      <c r="V1895" s="5" t="s">
        <v>44</v>
      </c>
      <c r="W1895" s="5" t="s">
        <v>35</v>
      </c>
      <c r="X1895" s="8" t="s">
        <v>671</v>
      </c>
      <c r="Y1895" s="5" t="s">
        <v>46</v>
      </c>
      <c r="Z1895" s="5" t="s">
        <v>47</v>
      </c>
      <c r="AA1895" s="5" t="s">
        <v>64</v>
      </c>
      <c r="AB1895" s="5" t="s">
        <v>9187</v>
      </c>
      <c r="AC1895" s="6" t="s">
        <v>541</v>
      </c>
      <c r="AD1895" s="6">
        <v>3947.0</v>
      </c>
    </row>
    <row r="1896" ht="56.25" customHeight="1">
      <c r="A1896" s="5" t="s">
        <v>9106</v>
      </c>
      <c r="B1896" s="6" t="str">
        <f>IMAGE("https://storage.googleapis.com/acdb/housewares/FtrOutdoorchairM_Remake_2_5.png")</f>
        <v/>
      </c>
      <c r="C1896" s="5" t="s">
        <v>96</v>
      </c>
      <c r="D1896" s="5" t="s">
        <v>34</v>
      </c>
      <c r="E1896" s="5" t="s">
        <v>1137</v>
      </c>
      <c r="F1896" s="5" t="s">
        <v>9107</v>
      </c>
      <c r="G1896" s="5" t="s">
        <v>36</v>
      </c>
      <c r="H1896" s="5" t="s">
        <v>36</v>
      </c>
      <c r="I1896" s="5" t="s">
        <v>35</v>
      </c>
      <c r="J1896" s="6">
        <v>1.0</v>
      </c>
      <c r="K1896" s="6">
        <v>1300.0</v>
      </c>
      <c r="L1896" s="6">
        <v>325.0</v>
      </c>
      <c r="M1896" s="26" t="s">
        <v>96</v>
      </c>
      <c r="N1896" s="26" t="s">
        <v>38</v>
      </c>
      <c r="O1896" s="6" t="s">
        <v>276</v>
      </c>
      <c r="P1896" s="5" t="s">
        <v>59</v>
      </c>
      <c r="Q1896" s="5" t="s">
        <v>89</v>
      </c>
      <c r="R1896" s="6" t="s">
        <v>42</v>
      </c>
      <c r="S1896" s="5" t="s">
        <v>765</v>
      </c>
      <c r="T1896" s="5" t="s">
        <v>44</v>
      </c>
      <c r="U1896" s="5" t="s">
        <v>44</v>
      </c>
      <c r="V1896" s="5" t="s">
        <v>44</v>
      </c>
      <c r="W1896" s="5" t="s">
        <v>35</v>
      </c>
      <c r="X1896" s="8" t="s">
        <v>671</v>
      </c>
      <c r="Y1896" s="5" t="s">
        <v>46</v>
      </c>
      <c r="Z1896" s="5" t="s">
        <v>47</v>
      </c>
      <c r="AA1896" s="5" t="s">
        <v>64</v>
      </c>
      <c r="AB1896" s="5" t="s">
        <v>9192</v>
      </c>
      <c r="AC1896" s="6" t="s">
        <v>1415</v>
      </c>
      <c r="AD1896" s="6">
        <v>3947.0</v>
      </c>
    </row>
    <row r="1897" ht="56.25" customHeight="1">
      <c r="A1897" s="5" t="s">
        <v>9106</v>
      </c>
      <c r="B1897" s="6" t="str">
        <f>IMAGE("https://storage.googleapis.com/acdb/housewares/FtrOutdoorchairM_Remake_2_6.png")</f>
        <v/>
      </c>
      <c r="C1897" s="5" t="s">
        <v>96</v>
      </c>
      <c r="D1897" s="5" t="s">
        <v>34</v>
      </c>
      <c r="E1897" s="5" t="s">
        <v>1132</v>
      </c>
      <c r="F1897" s="5" t="s">
        <v>9107</v>
      </c>
      <c r="G1897" s="5" t="s">
        <v>36</v>
      </c>
      <c r="H1897" s="5" t="s">
        <v>36</v>
      </c>
      <c r="I1897" s="5" t="s">
        <v>35</v>
      </c>
      <c r="J1897" s="6">
        <v>1.0</v>
      </c>
      <c r="K1897" s="6">
        <v>1300.0</v>
      </c>
      <c r="L1897" s="6">
        <v>325.0</v>
      </c>
      <c r="M1897" s="26" t="s">
        <v>96</v>
      </c>
      <c r="N1897" s="26" t="s">
        <v>39</v>
      </c>
      <c r="O1897" s="6" t="s">
        <v>276</v>
      </c>
      <c r="P1897" s="5" t="s">
        <v>59</v>
      </c>
      <c r="Q1897" s="5" t="s">
        <v>89</v>
      </c>
      <c r="R1897" s="6" t="s">
        <v>42</v>
      </c>
      <c r="S1897" s="5" t="s">
        <v>765</v>
      </c>
      <c r="T1897" s="5" t="s">
        <v>44</v>
      </c>
      <c r="U1897" s="5" t="s">
        <v>44</v>
      </c>
      <c r="V1897" s="5" t="s">
        <v>44</v>
      </c>
      <c r="W1897" s="5" t="s">
        <v>35</v>
      </c>
      <c r="X1897" s="8" t="s">
        <v>671</v>
      </c>
      <c r="Y1897" s="5" t="s">
        <v>46</v>
      </c>
      <c r="Z1897" s="5" t="s">
        <v>47</v>
      </c>
      <c r="AA1897" s="5" t="s">
        <v>64</v>
      </c>
      <c r="AB1897" s="5" t="s">
        <v>9197</v>
      </c>
      <c r="AC1897" s="6" t="s">
        <v>1421</v>
      </c>
      <c r="AD1897" s="6">
        <v>3947.0</v>
      </c>
    </row>
    <row r="1898" ht="56.25" customHeight="1">
      <c r="A1898" s="5" t="s">
        <v>9106</v>
      </c>
      <c r="B1898" s="6" t="str">
        <f>IMAGE("https://storage.googleapis.com/acdb/housewares/FtrOutdoorchairM_Remake_3_0.png")</f>
        <v/>
      </c>
      <c r="C1898" s="5" t="s">
        <v>68</v>
      </c>
      <c r="D1898" s="5" t="s">
        <v>34</v>
      </c>
      <c r="E1898" s="5" t="s">
        <v>57</v>
      </c>
      <c r="F1898" s="5" t="s">
        <v>9107</v>
      </c>
      <c r="G1898" s="5" t="s">
        <v>36</v>
      </c>
      <c r="H1898" s="5" t="s">
        <v>36</v>
      </c>
      <c r="I1898" s="5" t="s">
        <v>35</v>
      </c>
      <c r="J1898" s="6">
        <v>1.0</v>
      </c>
      <c r="K1898" s="6">
        <v>1300.0</v>
      </c>
      <c r="L1898" s="6">
        <v>325.0</v>
      </c>
      <c r="M1898" s="26" t="s">
        <v>68</v>
      </c>
      <c r="N1898" s="26" t="s">
        <v>57</v>
      </c>
      <c r="O1898" s="6" t="s">
        <v>276</v>
      </c>
      <c r="P1898" s="5" t="s">
        <v>59</v>
      </c>
      <c r="Q1898" s="5" t="s">
        <v>89</v>
      </c>
      <c r="R1898" s="6" t="s">
        <v>42</v>
      </c>
      <c r="S1898" s="5" t="s">
        <v>765</v>
      </c>
      <c r="T1898" s="5" t="s">
        <v>44</v>
      </c>
      <c r="U1898" s="5" t="s">
        <v>44</v>
      </c>
      <c r="V1898" s="5" t="s">
        <v>44</v>
      </c>
      <c r="W1898" s="5" t="s">
        <v>35</v>
      </c>
      <c r="X1898" s="8" t="s">
        <v>671</v>
      </c>
      <c r="Y1898" s="5" t="s">
        <v>46</v>
      </c>
      <c r="Z1898" s="5" t="s">
        <v>47</v>
      </c>
      <c r="AA1898" s="5" t="s">
        <v>64</v>
      </c>
      <c r="AB1898" s="5" t="s">
        <v>9202</v>
      </c>
      <c r="AC1898" s="6" t="s">
        <v>71</v>
      </c>
      <c r="AD1898" s="6">
        <v>3947.0</v>
      </c>
    </row>
    <row r="1899" ht="56.25" customHeight="1">
      <c r="A1899" s="5" t="s">
        <v>9106</v>
      </c>
      <c r="B1899" s="6" t="str">
        <f>IMAGE("https://storage.googleapis.com/acdb/housewares/FtrOutdoorchairM_Remake_3_1.png")</f>
        <v/>
      </c>
      <c r="C1899" s="5" t="s">
        <v>68</v>
      </c>
      <c r="D1899" s="5" t="s">
        <v>34</v>
      </c>
      <c r="E1899" s="5" t="s">
        <v>54</v>
      </c>
      <c r="F1899" s="5" t="s">
        <v>9107</v>
      </c>
      <c r="G1899" s="5" t="s">
        <v>36</v>
      </c>
      <c r="H1899" s="5" t="s">
        <v>36</v>
      </c>
      <c r="I1899" s="5" t="s">
        <v>35</v>
      </c>
      <c r="J1899" s="6">
        <v>1.0</v>
      </c>
      <c r="K1899" s="6">
        <v>1300.0</v>
      </c>
      <c r="L1899" s="6">
        <v>325.0</v>
      </c>
      <c r="M1899" s="26" t="s">
        <v>68</v>
      </c>
      <c r="N1899" s="26" t="s">
        <v>54</v>
      </c>
      <c r="O1899" s="6" t="s">
        <v>276</v>
      </c>
      <c r="P1899" s="5" t="s">
        <v>59</v>
      </c>
      <c r="Q1899" s="5" t="s">
        <v>89</v>
      </c>
      <c r="R1899" s="6" t="s">
        <v>42</v>
      </c>
      <c r="S1899" s="5" t="s">
        <v>765</v>
      </c>
      <c r="T1899" s="5" t="s">
        <v>44</v>
      </c>
      <c r="U1899" s="5" t="s">
        <v>44</v>
      </c>
      <c r="V1899" s="5" t="s">
        <v>44</v>
      </c>
      <c r="W1899" s="5" t="s">
        <v>35</v>
      </c>
      <c r="X1899" s="8" t="s">
        <v>671</v>
      </c>
      <c r="Y1899" s="5" t="s">
        <v>46</v>
      </c>
      <c r="Z1899" s="5" t="s">
        <v>47</v>
      </c>
      <c r="AA1899" s="5" t="s">
        <v>64</v>
      </c>
      <c r="AB1899" s="5" t="s">
        <v>9206</v>
      </c>
      <c r="AC1899" s="6" t="s">
        <v>257</v>
      </c>
      <c r="AD1899" s="6">
        <v>3947.0</v>
      </c>
    </row>
    <row r="1900" ht="56.25" customHeight="1">
      <c r="A1900" s="5" t="s">
        <v>9106</v>
      </c>
      <c r="B1900" s="6" t="str">
        <f>IMAGE("https://storage.googleapis.com/acdb/housewares/FtrOutdoorchairM_Remake_3_2.png")</f>
        <v/>
      </c>
      <c r="C1900" s="5" t="s">
        <v>68</v>
      </c>
      <c r="D1900" s="5" t="s">
        <v>34</v>
      </c>
      <c r="E1900" s="5" t="s">
        <v>96</v>
      </c>
      <c r="F1900" s="5" t="s">
        <v>9107</v>
      </c>
      <c r="G1900" s="5" t="s">
        <v>36</v>
      </c>
      <c r="H1900" s="5" t="s">
        <v>36</v>
      </c>
      <c r="I1900" s="5" t="s">
        <v>35</v>
      </c>
      <c r="J1900" s="6">
        <v>1.0</v>
      </c>
      <c r="K1900" s="6">
        <v>1300.0</v>
      </c>
      <c r="L1900" s="6">
        <v>325.0</v>
      </c>
      <c r="M1900" s="26" t="s">
        <v>68</v>
      </c>
      <c r="N1900" s="26" t="s">
        <v>96</v>
      </c>
      <c r="O1900" s="6" t="s">
        <v>276</v>
      </c>
      <c r="P1900" s="5" t="s">
        <v>59</v>
      </c>
      <c r="Q1900" s="5" t="s">
        <v>89</v>
      </c>
      <c r="R1900" s="6" t="s">
        <v>42</v>
      </c>
      <c r="S1900" s="5" t="s">
        <v>765</v>
      </c>
      <c r="T1900" s="5" t="s">
        <v>44</v>
      </c>
      <c r="U1900" s="5" t="s">
        <v>44</v>
      </c>
      <c r="V1900" s="5" t="s">
        <v>44</v>
      </c>
      <c r="W1900" s="5" t="s">
        <v>35</v>
      </c>
      <c r="X1900" s="8" t="s">
        <v>671</v>
      </c>
      <c r="Y1900" s="5" t="s">
        <v>46</v>
      </c>
      <c r="Z1900" s="5" t="s">
        <v>47</v>
      </c>
      <c r="AA1900" s="5" t="s">
        <v>64</v>
      </c>
      <c r="AB1900" s="5" t="s">
        <v>9210</v>
      </c>
      <c r="AC1900" s="6" t="s">
        <v>414</v>
      </c>
      <c r="AD1900" s="6">
        <v>3947.0</v>
      </c>
    </row>
    <row r="1901" ht="56.25" customHeight="1">
      <c r="A1901" s="5" t="s">
        <v>9106</v>
      </c>
      <c r="B1901" s="6" t="str">
        <f>IMAGE("https://storage.googleapis.com/acdb/housewares/FtrOutdoorchairM_Remake_3_3.png")</f>
        <v/>
      </c>
      <c r="C1901" s="5" t="s">
        <v>68</v>
      </c>
      <c r="D1901" s="5" t="s">
        <v>34</v>
      </c>
      <c r="E1901" s="5" t="s">
        <v>68</v>
      </c>
      <c r="F1901" s="5" t="s">
        <v>9107</v>
      </c>
      <c r="G1901" s="5" t="s">
        <v>36</v>
      </c>
      <c r="H1901" s="5" t="s">
        <v>36</v>
      </c>
      <c r="I1901" s="5" t="s">
        <v>35</v>
      </c>
      <c r="J1901" s="6">
        <v>1.0</v>
      </c>
      <c r="K1901" s="6">
        <v>1300.0</v>
      </c>
      <c r="L1901" s="6">
        <v>325.0</v>
      </c>
      <c r="M1901" s="26" t="s">
        <v>68</v>
      </c>
      <c r="N1901" s="26" t="s">
        <v>68</v>
      </c>
      <c r="O1901" s="6" t="s">
        <v>276</v>
      </c>
      <c r="P1901" s="5" t="s">
        <v>59</v>
      </c>
      <c r="Q1901" s="5" t="s">
        <v>89</v>
      </c>
      <c r="R1901" s="6" t="s">
        <v>42</v>
      </c>
      <c r="S1901" s="5" t="s">
        <v>765</v>
      </c>
      <c r="T1901" s="5" t="s">
        <v>44</v>
      </c>
      <c r="U1901" s="5" t="s">
        <v>44</v>
      </c>
      <c r="V1901" s="5" t="s">
        <v>44</v>
      </c>
      <c r="W1901" s="5" t="s">
        <v>35</v>
      </c>
      <c r="X1901" s="8" t="s">
        <v>671</v>
      </c>
      <c r="Y1901" s="5" t="s">
        <v>46</v>
      </c>
      <c r="Z1901" s="5" t="s">
        <v>47</v>
      </c>
      <c r="AA1901" s="5" t="s">
        <v>64</v>
      </c>
      <c r="AB1901" s="5" t="s">
        <v>9215</v>
      </c>
      <c r="AC1901" s="6" t="s">
        <v>418</v>
      </c>
      <c r="AD1901" s="6">
        <v>3947.0</v>
      </c>
    </row>
    <row r="1902" ht="56.25" customHeight="1">
      <c r="A1902" s="5" t="s">
        <v>9106</v>
      </c>
      <c r="B1902" s="6" t="str">
        <f>IMAGE("https://storage.googleapis.com/acdb/housewares/FtrOutdoorchairM_Remake_3_4.png")</f>
        <v/>
      </c>
      <c r="C1902" s="5" t="s">
        <v>68</v>
      </c>
      <c r="D1902" s="5" t="s">
        <v>34</v>
      </c>
      <c r="E1902" s="5" t="s">
        <v>142</v>
      </c>
      <c r="F1902" s="5" t="s">
        <v>9107</v>
      </c>
      <c r="G1902" s="5" t="s">
        <v>36</v>
      </c>
      <c r="H1902" s="5" t="s">
        <v>36</v>
      </c>
      <c r="I1902" s="5" t="s">
        <v>35</v>
      </c>
      <c r="J1902" s="6">
        <v>1.0</v>
      </c>
      <c r="K1902" s="6">
        <v>1300.0</v>
      </c>
      <c r="L1902" s="6">
        <v>325.0</v>
      </c>
      <c r="M1902" s="26" t="s">
        <v>68</v>
      </c>
      <c r="N1902" s="26" t="s">
        <v>142</v>
      </c>
      <c r="O1902" s="6" t="s">
        <v>276</v>
      </c>
      <c r="P1902" s="5" t="s">
        <v>59</v>
      </c>
      <c r="Q1902" s="5" t="s">
        <v>89</v>
      </c>
      <c r="R1902" s="6" t="s">
        <v>42</v>
      </c>
      <c r="S1902" s="5" t="s">
        <v>765</v>
      </c>
      <c r="T1902" s="5" t="s">
        <v>44</v>
      </c>
      <c r="U1902" s="5" t="s">
        <v>44</v>
      </c>
      <c r="V1902" s="5" t="s">
        <v>44</v>
      </c>
      <c r="W1902" s="5" t="s">
        <v>35</v>
      </c>
      <c r="X1902" s="8" t="s">
        <v>671</v>
      </c>
      <c r="Y1902" s="5" t="s">
        <v>46</v>
      </c>
      <c r="Z1902" s="5" t="s">
        <v>47</v>
      </c>
      <c r="AA1902" s="5" t="s">
        <v>64</v>
      </c>
      <c r="AB1902" s="5" t="s">
        <v>9220</v>
      </c>
      <c r="AC1902" s="6" t="s">
        <v>563</v>
      </c>
      <c r="AD1902" s="6">
        <v>3947.0</v>
      </c>
    </row>
    <row r="1903" ht="56.25" customHeight="1">
      <c r="A1903" s="5" t="s">
        <v>9106</v>
      </c>
      <c r="B1903" s="6" t="str">
        <f>IMAGE("https://storage.googleapis.com/acdb/housewares/FtrOutdoorchairM_Remake_3_5.png")</f>
        <v/>
      </c>
      <c r="C1903" s="5" t="s">
        <v>68</v>
      </c>
      <c r="D1903" s="5" t="s">
        <v>34</v>
      </c>
      <c r="E1903" s="5" t="s">
        <v>1137</v>
      </c>
      <c r="F1903" s="5" t="s">
        <v>9107</v>
      </c>
      <c r="G1903" s="5" t="s">
        <v>36</v>
      </c>
      <c r="H1903" s="5" t="s">
        <v>36</v>
      </c>
      <c r="I1903" s="5" t="s">
        <v>35</v>
      </c>
      <c r="J1903" s="6">
        <v>1.0</v>
      </c>
      <c r="K1903" s="6">
        <v>1300.0</v>
      </c>
      <c r="L1903" s="6">
        <v>325.0</v>
      </c>
      <c r="M1903" s="26" t="s">
        <v>68</v>
      </c>
      <c r="N1903" s="26" t="s">
        <v>38</v>
      </c>
      <c r="O1903" s="6" t="s">
        <v>276</v>
      </c>
      <c r="P1903" s="5" t="s">
        <v>59</v>
      </c>
      <c r="Q1903" s="5" t="s">
        <v>89</v>
      </c>
      <c r="R1903" s="6" t="s">
        <v>42</v>
      </c>
      <c r="S1903" s="5" t="s">
        <v>765</v>
      </c>
      <c r="T1903" s="5" t="s">
        <v>44</v>
      </c>
      <c r="U1903" s="5" t="s">
        <v>44</v>
      </c>
      <c r="V1903" s="5" t="s">
        <v>44</v>
      </c>
      <c r="W1903" s="5" t="s">
        <v>35</v>
      </c>
      <c r="X1903" s="8" t="s">
        <v>671</v>
      </c>
      <c r="Y1903" s="5" t="s">
        <v>46</v>
      </c>
      <c r="Z1903" s="5" t="s">
        <v>47</v>
      </c>
      <c r="AA1903" s="5" t="s">
        <v>64</v>
      </c>
      <c r="AB1903" s="5" t="s">
        <v>9226</v>
      </c>
      <c r="AC1903" s="6" t="s">
        <v>1443</v>
      </c>
      <c r="AD1903" s="6">
        <v>3947.0</v>
      </c>
    </row>
    <row r="1904" ht="56.25" customHeight="1">
      <c r="A1904" s="5" t="s">
        <v>9106</v>
      </c>
      <c r="B1904" s="6" t="str">
        <f>IMAGE("https://storage.googleapis.com/acdb/housewares/FtrOutdoorchairM_Remake_3_6.png")</f>
        <v/>
      </c>
      <c r="C1904" s="5" t="s">
        <v>68</v>
      </c>
      <c r="D1904" s="5" t="s">
        <v>34</v>
      </c>
      <c r="E1904" s="5" t="s">
        <v>1132</v>
      </c>
      <c r="F1904" s="5" t="s">
        <v>9107</v>
      </c>
      <c r="G1904" s="5" t="s">
        <v>36</v>
      </c>
      <c r="H1904" s="5" t="s">
        <v>36</v>
      </c>
      <c r="I1904" s="5" t="s">
        <v>35</v>
      </c>
      <c r="J1904" s="6">
        <v>1.0</v>
      </c>
      <c r="K1904" s="6">
        <v>1300.0</v>
      </c>
      <c r="L1904" s="6">
        <v>325.0</v>
      </c>
      <c r="M1904" s="26" t="s">
        <v>68</v>
      </c>
      <c r="N1904" s="26" t="s">
        <v>39</v>
      </c>
      <c r="O1904" s="6" t="s">
        <v>276</v>
      </c>
      <c r="P1904" s="5" t="s">
        <v>59</v>
      </c>
      <c r="Q1904" s="5" t="s">
        <v>89</v>
      </c>
      <c r="R1904" s="6" t="s">
        <v>42</v>
      </c>
      <c r="S1904" s="5" t="s">
        <v>765</v>
      </c>
      <c r="T1904" s="5" t="s">
        <v>44</v>
      </c>
      <c r="U1904" s="5" t="s">
        <v>44</v>
      </c>
      <c r="V1904" s="5" t="s">
        <v>44</v>
      </c>
      <c r="W1904" s="5" t="s">
        <v>35</v>
      </c>
      <c r="X1904" s="8" t="s">
        <v>671</v>
      </c>
      <c r="Y1904" s="5" t="s">
        <v>46</v>
      </c>
      <c r="Z1904" s="5" t="s">
        <v>47</v>
      </c>
      <c r="AA1904" s="5" t="s">
        <v>64</v>
      </c>
      <c r="AB1904" s="5" t="s">
        <v>9229</v>
      </c>
      <c r="AC1904" s="6" t="s">
        <v>1450</v>
      </c>
      <c r="AD1904" s="6">
        <v>3947.0</v>
      </c>
    </row>
    <row r="1905" ht="56.25" customHeight="1">
      <c r="A1905" s="5" t="s">
        <v>9106</v>
      </c>
      <c r="B1905" s="6" t="str">
        <f>IMAGE("https://storage.googleapis.com/acdb/housewares/FtrOutdoorchairM_Remake_4_0.png")</f>
        <v/>
      </c>
      <c r="C1905" s="5" t="s">
        <v>52</v>
      </c>
      <c r="D1905" s="5" t="s">
        <v>34</v>
      </c>
      <c r="E1905" s="5" t="s">
        <v>57</v>
      </c>
      <c r="F1905" s="5" t="s">
        <v>9107</v>
      </c>
      <c r="G1905" s="5" t="s">
        <v>36</v>
      </c>
      <c r="H1905" s="5" t="s">
        <v>36</v>
      </c>
      <c r="I1905" s="5" t="s">
        <v>35</v>
      </c>
      <c r="J1905" s="6">
        <v>1.0</v>
      </c>
      <c r="K1905" s="6">
        <v>1300.0</v>
      </c>
      <c r="L1905" s="6">
        <v>325.0</v>
      </c>
      <c r="M1905" s="26" t="s">
        <v>52</v>
      </c>
      <c r="N1905" s="26" t="s">
        <v>57</v>
      </c>
      <c r="O1905" s="6" t="s">
        <v>276</v>
      </c>
      <c r="P1905" s="5" t="s">
        <v>59</v>
      </c>
      <c r="Q1905" s="5" t="s">
        <v>89</v>
      </c>
      <c r="R1905" s="6" t="s">
        <v>42</v>
      </c>
      <c r="S1905" s="5" t="s">
        <v>765</v>
      </c>
      <c r="T1905" s="5" t="s">
        <v>44</v>
      </c>
      <c r="U1905" s="5" t="s">
        <v>44</v>
      </c>
      <c r="V1905" s="5" t="s">
        <v>44</v>
      </c>
      <c r="W1905" s="5" t="s">
        <v>35</v>
      </c>
      <c r="X1905" s="8" t="s">
        <v>671</v>
      </c>
      <c r="Y1905" s="5" t="s">
        <v>46</v>
      </c>
      <c r="Z1905" s="5" t="s">
        <v>47</v>
      </c>
      <c r="AA1905" s="5" t="s">
        <v>64</v>
      </c>
      <c r="AB1905" s="5" t="s">
        <v>9235</v>
      </c>
      <c r="AC1905" s="6" t="s">
        <v>75</v>
      </c>
      <c r="AD1905" s="6">
        <v>3947.0</v>
      </c>
    </row>
    <row r="1906" ht="56.25" customHeight="1">
      <c r="A1906" s="5" t="s">
        <v>9106</v>
      </c>
      <c r="B1906" s="6" t="str">
        <f>IMAGE("https://storage.googleapis.com/acdb/housewares/FtrOutdoorchairM_Remake_4_1.png")</f>
        <v/>
      </c>
      <c r="C1906" s="5" t="s">
        <v>52</v>
      </c>
      <c r="D1906" s="5" t="s">
        <v>34</v>
      </c>
      <c r="E1906" s="5" t="s">
        <v>54</v>
      </c>
      <c r="F1906" s="5" t="s">
        <v>9107</v>
      </c>
      <c r="G1906" s="5" t="s">
        <v>36</v>
      </c>
      <c r="H1906" s="5" t="s">
        <v>36</v>
      </c>
      <c r="I1906" s="5" t="s">
        <v>35</v>
      </c>
      <c r="J1906" s="6">
        <v>1.0</v>
      </c>
      <c r="K1906" s="6">
        <v>1300.0</v>
      </c>
      <c r="L1906" s="6">
        <v>325.0</v>
      </c>
      <c r="M1906" s="26" t="s">
        <v>52</v>
      </c>
      <c r="N1906" s="26" t="s">
        <v>54</v>
      </c>
      <c r="O1906" s="6" t="s">
        <v>276</v>
      </c>
      <c r="P1906" s="5" t="s">
        <v>59</v>
      </c>
      <c r="Q1906" s="5" t="s">
        <v>89</v>
      </c>
      <c r="R1906" s="6" t="s">
        <v>42</v>
      </c>
      <c r="S1906" s="5" t="s">
        <v>765</v>
      </c>
      <c r="T1906" s="5" t="s">
        <v>44</v>
      </c>
      <c r="U1906" s="5" t="s">
        <v>44</v>
      </c>
      <c r="V1906" s="5" t="s">
        <v>44</v>
      </c>
      <c r="W1906" s="5" t="s">
        <v>35</v>
      </c>
      <c r="X1906" s="8" t="s">
        <v>671</v>
      </c>
      <c r="Y1906" s="5" t="s">
        <v>46</v>
      </c>
      <c r="Z1906" s="5" t="s">
        <v>47</v>
      </c>
      <c r="AA1906" s="5" t="s">
        <v>64</v>
      </c>
      <c r="AB1906" s="5" t="s">
        <v>9242</v>
      </c>
      <c r="AC1906" s="6" t="s">
        <v>429</v>
      </c>
      <c r="AD1906" s="6">
        <v>3947.0</v>
      </c>
    </row>
    <row r="1907" ht="56.25" customHeight="1">
      <c r="A1907" s="5" t="s">
        <v>9106</v>
      </c>
      <c r="B1907" s="6" t="str">
        <f>IMAGE("https://storage.googleapis.com/acdb/housewares/FtrOutdoorchairM_Remake_4_2.png")</f>
        <v/>
      </c>
      <c r="C1907" s="5" t="s">
        <v>52</v>
      </c>
      <c r="D1907" s="5" t="s">
        <v>34</v>
      </c>
      <c r="E1907" s="5" t="s">
        <v>96</v>
      </c>
      <c r="F1907" s="5" t="s">
        <v>9107</v>
      </c>
      <c r="G1907" s="5" t="s">
        <v>36</v>
      </c>
      <c r="H1907" s="5" t="s">
        <v>36</v>
      </c>
      <c r="I1907" s="5" t="s">
        <v>35</v>
      </c>
      <c r="J1907" s="6">
        <v>1.0</v>
      </c>
      <c r="K1907" s="6">
        <v>1300.0</v>
      </c>
      <c r="L1907" s="6">
        <v>325.0</v>
      </c>
      <c r="M1907" s="26" t="s">
        <v>52</v>
      </c>
      <c r="N1907" s="26" t="s">
        <v>96</v>
      </c>
      <c r="O1907" s="6" t="s">
        <v>276</v>
      </c>
      <c r="P1907" s="5" t="s">
        <v>59</v>
      </c>
      <c r="Q1907" s="5" t="s">
        <v>89</v>
      </c>
      <c r="R1907" s="6" t="s">
        <v>42</v>
      </c>
      <c r="S1907" s="5" t="s">
        <v>765</v>
      </c>
      <c r="T1907" s="5" t="s">
        <v>44</v>
      </c>
      <c r="U1907" s="5" t="s">
        <v>44</v>
      </c>
      <c r="V1907" s="5" t="s">
        <v>44</v>
      </c>
      <c r="W1907" s="5" t="s">
        <v>35</v>
      </c>
      <c r="X1907" s="8" t="s">
        <v>671</v>
      </c>
      <c r="Y1907" s="5" t="s">
        <v>46</v>
      </c>
      <c r="Z1907" s="5" t="s">
        <v>47</v>
      </c>
      <c r="AA1907" s="5" t="s">
        <v>64</v>
      </c>
      <c r="AB1907" s="5" t="s">
        <v>9248</v>
      </c>
      <c r="AC1907" s="6" t="s">
        <v>434</v>
      </c>
      <c r="AD1907" s="6">
        <v>3947.0</v>
      </c>
    </row>
    <row r="1908" ht="56.25" customHeight="1">
      <c r="A1908" s="5" t="s">
        <v>9106</v>
      </c>
      <c r="B1908" s="6" t="str">
        <f>IMAGE("https://storage.googleapis.com/acdb/housewares/FtrOutdoorchairM_Remake_4_3.png")</f>
        <v/>
      </c>
      <c r="C1908" s="5" t="s">
        <v>52</v>
      </c>
      <c r="D1908" s="5" t="s">
        <v>34</v>
      </c>
      <c r="E1908" s="5" t="s">
        <v>68</v>
      </c>
      <c r="F1908" s="5" t="s">
        <v>9107</v>
      </c>
      <c r="G1908" s="5" t="s">
        <v>36</v>
      </c>
      <c r="H1908" s="5" t="s">
        <v>36</v>
      </c>
      <c r="I1908" s="5" t="s">
        <v>35</v>
      </c>
      <c r="J1908" s="6">
        <v>1.0</v>
      </c>
      <c r="K1908" s="6">
        <v>1300.0</v>
      </c>
      <c r="L1908" s="6">
        <v>325.0</v>
      </c>
      <c r="M1908" s="26" t="s">
        <v>52</v>
      </c>
      <c r="N1908" s="26" t="s">
        <v>68</v>
      </c>
      <c r="O1908" s="6" t="s">
        <v>276</v>
      </c>
      <c r="P1908" s="5" t="s">
        <v>59</v>
      </c>
      <c r="Q1908" s="5" t="s">
        <v>89</v>
      </c>
      <c r="R1908" s="6" t="s">
        <v>42</v>
      </c>
      <c r="S1908" s="5" t="s">
        <v>765</v>
      </c>
      <c r="T1908" s="5" t="s">
        <v>44</v>
      </c>
      <c r="U1908" s="5" t="s">
        <v>44</v>
      </c>
      <c r="V1908" s="5" t="s">
        <v>44</v>
      </c>
      <c r="W1908" s="5" t="s">
        <v>35</v>
      </c>
      <c r="X1908" s="8" t="s">
        <v>671</v>
      </c>
      <c r="Y1908" s="5" t="s">
        <v>46</v>
      </c>
      <c r="Z1908" s="5" t="s">
        <v>47</v>
      </c>
      <c r="AA1908" s="5" t="s">
        <v>64</v>
      </c>
      <c r="AB1908" s="5" t="s">
        <v>9255</v>
      </c>
      <c r="AC1908" s="6" t="s">
        <v>438</v>
      </c>
      <c r="AD1908" s="6">
        <v>3947.0</v>
      </c>
    </row>
    <row r="1909" ht="56.25" customHeight="1">
      <c r="A1909" s="5" t="s">
        <v>9106</v>
      </c>
      <c r="B1909" s="6" t="str">
        <f>IMAGE("https://storage.googleapis.com/acdb/housewares/FtrOutdoorchairM_Remake_4_4.png")</f>
        <v/>
      </c>
      <c r="C1909" s="5" t="s">
        <v>52</v>
      </c>
      <c r="D1909" s="5" t="s">
        <v>34</v>
      </c>
      <c r="E1909" s="5" t="s">
        <v>142</v>
      </c>
      <c r="F1909" s="5" t="s">
        <v>9107</v>
      </c>
      <c r="G1909" s="5" t="s">
        <v>36</v>
      </c>
      <c r="H1909" s="5" t="s">
        <v>36</v>
      </c>
      <c r="I1909" s="5" t="s">
        <v>35</v>
      </c>
      <c r="J1909" s="6">
        <v>1.0</v>
      </c>
      <c r="K1909" s="6">
        <v>1300.0</v>
      </c>
      <c r="L1909" s="6">
        <v>325.0</v>
      </c>
      <c r="M1909" s="26" t="s">
        <v>52</v>
      </c>
      <c r="N1909" s="26" t="s">
        <v>142</v>
      </c>
      <c r="O1909" s="6" t="s">
        <v>276</v>
      </c>
      <c r="P1909" s="5" t="s">
        <v>59</v>
      </c>
      <c r="Q1909" s="5" t="s">
        <v>89</v>
      </c>
      <c r="R1909" s="6" t="s">
        <v>42</v>
      </c>
      <c r="S1909" s="5" t="s">
        <v>765</v>
      </c>
      <c r="T1909" s="5" t="s">
        <v>44</v>
      </c>
      <c r="U1909" s="5" t="s">
        <v>44</v>
      </c>
      <c r="V1909" s="5" t="s">
        <v>44</v>
      </c>
      <c r="W1909" s="5" t="s">
        <v>35</v>
      </c>
      <c r="X1909" s="8" t="s">
        <v>671</v>
      </c>
      <c r="Y1909" s="5" t="s">
        <v>46</v>
      </c>
      <c r="Z1909" s="5" t="s">
        <v>47</v>
      </c>
      <c r="AA1909" s="5" t="s">
        <v>64</v>
      </c>
      <c r="AB1909" s="5" t="s">
        <v>9263</v>
      </c>
      <c r="AC1909" s="6" t="s">
        <v>585</v>
      </c>
      <c r="AD1909" s="6">
        <v>3947.0</v>
      </c>
    </row>
    <row r="1910" ht="56.25" customHeight="1">
      <c r="A1910" s="5" t="s">
        <v>9106</v>
      </c>
      <c r="B1910" s="6" t="str">
        <f>IMAGE("https://storage.googleapis.com/acdb/housewares/FtrOutdoorchairM_Remake_4_5.png")</f>
        <v/>
      </c>
      <c r="C1910" s="5" t="s">
        <v>52</v>
      </c>
      <c r="D1910" s="5" t="s">
        <v>34</v>
      </c>
      <c r="E1910" s="5" t="s">
        <v>1137</v>
      </c>
      <c r="F1910" s="5" t="s">
        <v>9107</v>
      </c>
      <c r="G1910" s="5" t="s">
        <v>36</v>
      </c>
      <c r="H1910" s="5" t="s">
        <v>36</v>
      </c>
      <c r="I1910" s="5" t="s">
        <v>35</v>
      </c>
      <c r="J1910" s="6">
        <v>1.0</v>
      </c>
      <c r="K1910" s="6">
        <v>1300.0</v>
      </c>
      <c r="L1910" s="6">
        <v>325.0</v>
      </c>
      <c r="M1910" s="26" t="s">
        <v>52</v>
      </c>
      <c r="N1910" s="26" t="s">
        <v>38</v>
      </c>
      <c r="O1910" s="6" t="s">
        <v>276</v>
      </c>
      <c r="P1910" s="5" t="s">
        <v>59</v>
      </c>
      <c r="Q1910" s="5" t="s">
        <v>89</v>
      </c>
      <c r="R1910" s="6" t="s">
        <v>42</v>
      </c>
      <c r="S1910" s="5" t="s">
        <v>765</v>
      </c>
      <c r="T1910" s="5" t="s">
        <v>44</v>
      </c>
      <c r="U1910" s="5" t="s">
        <v>44</v>
      </c>
      <c r="V1910" s="5" t="s">
        <v>44</v>
      </c>
      <c r="W1910" s="5" t="s">
        <v>35</v>
      </c>
      <c r="X1910" s="8" t="s">
        <v>671</v>
      </c>
      <c r="Y1910" s="5" t="s">
        <v>46</v>
      </c>
      <c r="Z1910" s="5" t="s">
        <v>47</v>
      </c>
      <c r="AA1910" s="5" t="s">
        <v>64</v>
      </c>
      <c r="AB1910" s="5" t="s">
        <v>9269</v>
      </c>
      <c r="AC1910" s="6" t="s">
        <v>1816</v>
      </c>
      <c r="AD1910" s="6">
        <v>3947.0</v>
      </c>
    </row>
    <row r="1911" ht="56.25" customHeight="1">
      <c r="A1911" s="5" t="s">
        <v>9106</v>
      </c>
      <c r="B1911" s="6" t="str">
        <f>IMAGE("https://storage.googleapis.com/acdb/housewares/FtrOutdoorchairM_Remake_4_6.png")</f>
        <v/>
      </c>
      <c r="C1911" s="5" t="s">
        <v>52</v>
      </c>
      <c r="D1911" s="5" t="s">
        <v>34</v>
      </c>
      <c r="E1911" s="5" t="s">
        <v>1132</v>
      </c>
      <c r="F1911" s="5" t="s">
        <v>9107</v>
      </c>
      <c r="G1911" s="5" t="s">
        <v>36</v>
      </c>
      <c r="H1911" s="5" t="s">
        <v>36</v>
      </c>
      <c r="I1911" s="5" t="s">
        <v>35</v>
      </c>
      <c r="J1911" s="6">
        <v>1.0</v>
      </c>
      <c r="K1911" s="6">
        <v>1300.0</v>
      </c>
      <c r="L1911" s="6">
        <v>325.0</v>
      </c>
      <c r="M1911" s="26" t="s">
        <v>52</v>
      </c>
      <c r="N1911" s="26" t="s">
        <v>39</v>
      </c>
      <c r="O1911" s="6" t="s">
        <v>276</v>
      </c>
      <c r="P1911" s="5" t="s">
        <v>59</v>
      </c>
      <c r="Q1911" s="5" t="s">
        <v>89</v>
      </c>
      <c r="R1911" s="6" t="s">
        <v>42</v>
      </c>
      <c r="S1911" s="5" t="s">
        <v>765</v>
      </c>
      <c r="T1911" s="5" t="s">
        <v>44</v>
      </c>
      <c r="U1911" s="5" t="s">
        <v>44</v>
      </c>
      <c r="V1911" s="5" t="s">
        <v>44</v>
      </c>
      <c r="W1911" s="5" t="s">
        <v>35</v>
      </c>
      <c r="X1911" s="8" t="s">
        <v>671</v>
      </c>
      <c r="Y1911" s="5" t="s">
        <v>46</v>
      </c>
      <c r="Z1911" s="5" t="s">
        <v>47</v>
      </c>
      <c r="AA1911" s="5" t="s">
        <v>64</v>
      </c>
      <c r="AB1911" s="5" t="s">
        <v>9278</v>
      </c>
      <c r="AC1911" s="6" t="s">
        <v>1820</v>
      </c>
      <c r="AD1911" s="6">
        <v>3947.0</v>
      </c>
    </row>
    <row r="1912" ht="56.25" customHeight="1">
      <c r="A1912" s="5" t="s">
        <v>9280</v>
      </c>
      <c r="B1912" s="6" t="str">
        <f>IMAGE("https://storage.googleapis.com/acdb/housewares/FtrOutdoorgenerator_Remake_0_0.png")</f>
        <v/>
      </c>
      <c r="C1912" s="5" t="s">
        <v>52</v>
      </c>
      <c r="D1912" s="5" t="s">
        <v>34</v>
      </c>
      <c r="E1912" s="5" t="s">
        <v>34</v>
      </c>
      <c r="F1912" s="5" t="s">
        <v>34</v>
      </c>
      <c r="G1912" s="5" t="s">
        <v>36</v>
      </c>
      <c r="H1912" s="5" t="s">
        <v>36</v>
      </c>
      <c r="I1912" s="5" t="s">
        <v>36</v>
      </c>
      <c r="J1912" s="6" t="s">
        <v>34</v>
      </c>
      <c r="K1912" s="6">
        <v>4900.0</v>
      </c>
      <c r="L1912" s="6">
        <v>1225.0</v>
      </c>
      <c r="M1912" s="26" t="s">
        <v>52</v>
      </c>
      <c r="N1912" s="26" t="s">
        <v>95</v>
      </c>
      <c r="O1912" s="6" t="s">
        <v>40</v>
      </c>
      <c r="P1912" s="5" t="s">
        <v>59</v>
      </c>
      <c r="Q1912" s="5" t="s">
        <v>554</v>
      </c>
      <c r="R1912" s="6" t="s">
        <v>42</v>
      </c>
      <c r="S1912" s="5" t="s">
        <v>765</v>
      </c>
      <c r="T1912" s="5" t="s">
        <v>44</v>
      </c>
      <c r="U1912" s="5" t="s">
        <v>44</v>
      </c>
      <c r="V1912" s="5" t="s">
        <v>44</v>
      </c>
      <c r="W1912" s="5" t="s">
        <v>35</v>
      </c>
      <c r="X1912" s="8" t="s">
        <v>767</v>
      </c>
      <c r="Y1912" s="5" t="s">
        <v>46</v>
      </c>
      <c r="Z1912" s="5" t="s">
        <v>47</v>
      </c>
      <c r="AA1912" s="5" t="s">
        <v>64</v>
      </c>
      <c r="AB1912" s="5" t="s">
        <v>9288</v>
      </c>
      <c r="AC1912" s="6" t="s">
        <v>50</v>
      </c>
      <c r="AD1912" s="6">
        <v>7526.0</v>
      </c>
    </row>
    <row r="1913" ht="56.25" customHeight="1">
      <c r="A1913" s="5" t="s">
        <v>9280</v>
      </c>
      <c r="B1913" s="6" t="str">
        <f>IMAGE("https://storage.googleapis.com/acdb/housewares/FtrOutdoorgenerator_Remake_1_0.png")</f>
        <v/>
      </c>
      <c r="C1913" s="5" t="s">
        <v>68</v>
      </c>
      <c r="D1913" s="5" t="s">
        <v>34</v>
      </c>
      <c r="E1913" s="5" t="s">
        <v>34</v>
      </c>
      <c r="F1913" s="5" t="s">
        <v>34</v>
      </c>
      <c r="G1913" s="5" t="s">
        <v>36</v>
      </c>
      <c r="H1913" s="5" t="s">
        <v>36</v>
      </c>
      <c r="I1913" s="5" t="s">
        <v>36</v>
      </c>
      <c r="J1913" s="6" t="s">
        <v>34</v>
      </c>
      <c r="K1913" s="6">
        <v>4900.0</v>
      </c>
      <c r="L1913" s="6">
        <v>1225.0</v>
      </c>
      <c r="M1913" s="26" t="s">
        <v>68</v>
      </c>
      <c r="N1913" s="26" t="s">
        <v>54</v>
      </c>
      <c r="O1913" s="6" t="s">
        <v>40</v>
      </c>
      <c r="P1913" s="5" t="s">
        <v>59</v>
      </c>
      <c r="Q1913" s="5" t="s">
        <v>554</v>
      </c>
      <c r="R1913" s="6" t="s">
        <v>42</v>
      </c>
      <c r="S1913" s="5" t="s">
        <v>765</v>
      </c>
      <c r="T1913" s="5" t="s">
        <v>44</v>
      </c>
      <c r="U1913" s="5" t="s">
        <v>44</v>
      </c>
      <c r="V1913" s="5" t="s">
        <v>44</v>
      </c>
      <c r="W1913" s="5" t="s">
        <v>35</v>
      </c>
      <c r="X1913" s="8" t="s">
        <v>767</v>
      </c>
      <c r="Y1913" s="5" t="s">
        <v>46</v>
      </c>
      <c r="Z1913" s="5" t="s">
        <v>47</v>
      </c>
      <c r="AA1913" s="5" t="s">
        <v>64</v>
      </c>
      <c r="AB1913" s="5" t="s">
        <v>9297</v>
      </c>
      <c r="AC1913" s="6" t="s">
        <v>56</v>
      </c>
      <c r="AD1913" s="6">
        <v>7526.0</v>
      </c>
    </row>
    <row r="1914" ht="56.25" customHeight="1">
      <c r="A1914" s="5" t="s">
        <v>9280</v>
      </c>
      <c r="B1914" s="6" t="str">
        <f>IMAGE("https://storage.googleapis.com/acdb/housewares/FtrOutdoorgenerator_Remake_2_0.png")</f>
        <v/>
      </c>
      <c r="C1914" s="5" t="s">
        <v>114</v>
      </c>
      <c r="D1914" s="5" t="s">
        <v>34</v>
      </c>
      <c r="E1914" s="5" t="s">
        <v>34</v>
      </c>
      <c r="F1914" s="5" t="s">
        <v>34</v>
      </c>
      <c r="G1914" s="5" t="s">
        <v>36</v>
      </c>
      <c r="H1914" s="5" t="s">
        <v>36</v>
      </c>
      <c r="I1914" s="5" t="s">
        <v>36</v>
      </c>
      <c r="J1914" s="6" t="s">
        <v>34</v>
      </c>
      <c r="K1914" s="6">
        <v>4900.0</v>
      </c>
      <c r="L1914" s="6">
        <v>1225.0</v>
      </c>
      <c r="M1914" s="26" t="s">
        <v>114</v>
      </c>
      <c r="N1914" s="26" t="s">
        <v>54</v>
      </c>
      <c r="O1914" s="6" t="s">
        <v>40</v>
      </c>
      <c r="P1914" s="5" t="s">
        <v>59</v>
      </c>
      <c r="Q1914" s="5" t="s">
        <v>554</v>
      </c>
      <c r="R1914" s="6" t="s">
        <v>42</v>
      </c>
      <c r="S1914" s="5" t="s">
        <v>765</v>
      </c>
      <c r="T1914" s="5" t="s">
        <v>44</v>
      </c>
      <c r="U1914" s="5" t="s">
        <v>44</v>
      </c>
      <c r="V1914" s="5" t="s">
        <v>44</v>
      </c>
      <c r="W1914" s="5" t="s">
        <v>35</v>
      </c>
      <c r="X1914" s="8" t="s">
        <v>767</v>
      </c>
      <c r="Y1914" s="5" t="s">
        <v>46</v>
      </c>
      <c r="Z1914" s="5" t="s">
        <v>47</v>
      </c>
      <c r="AA1914" s="5" t="s">
        <v>64</v>
      </c>
      <c r="AB1914" s="5" t="s">
        <v>9303</v>
      </c>
      <c r="AC1914" s="6" t="s">
        <v>67</v>
      </c>
      <c r="AD1914" s="6">
        <v>7526.0</v>
      </c>
    </row>
    <row r="1915" ht="56.25" customHeight="1">
      <c r="A1915" s="5" t="s">
        <v>9280</v>
      </c>
      <c r="B1915" s="6" t="str">
        <f>IMAGE("https://storage.googleapis.com/acdb/housewares/FtrOutdoorgenerator_Remake_3_0.png")</f>
        <v/>
      </c>
      <c r="C1915" s="5" t="s">
        <v>1174</v>
      </c>
      <c r="D1915" s="5" t="s">
        <v>34</v>
      </c>
      <c r="E1915" s="5" t="s">
        <v>34</v>
      </c>
      <c r="F1915" s="5" t="s">
        <v>34</v>
      </c>
      <c r="G1915" s="5" t="s">
        <v>36</v>
      </c>
      <c r="H1915" s="5" t="s">
        <v>36</v>
      </c>
      <c r="I1915" s="5" t="s">
        <v>36</v>
      </c>
      <c r="J1915" s="6" t="s">
        <v>34</v>
      </c>
      <c r="K1915" s="6">
        <v>4900.0</v>
      </c>
      <c r="L1915" s="6">
        <v>1225.0</v>
      </c>
      <c r="M1915" s="26" t="s">
        <v>1175</v>
      </c>
      <c r="N1915" s="26" t="s">
        <v>54</v>
      </c>
      <c r="O1915" s="6" t="s">
        <v>40</v>
      </c>
      <c r="P1915" s="5" t="s">
        <v>59</v>
      </c>
      <c r="Q1915" s="5" t="s">
        <v>554</v>
      </c>
      <c r="R1915" s="6" t="s">
        <v>42</v>
      </c>
      <c r="S1915" s="5" t="s">
        <v>765</v>
      </c>
      <c r="T1915" s="5" t="s">
        <v>44</v>
      </c>
      <c r="U1915" s="5" t="s">
        <v>44</v>
      </c>
      <c r="V1915" s="5" t="s">
        <v>44</v>
      </c>
      <c r="W1915" s="5" t="s">
        <v>35</v>
      </c>
      <c r="X1915" s="8" t="s">
        <v>767</v>
      </c>
      <c r="Y1915" s="5" t="s">
        <v>46</v>
      </c>
      <c r="Z1915" s="5" t="s">
        <v>47</v>
      </c>
      <c r="AA1915" s="5" t="s">
        <v>64</v>
      </c>
      <c r="AB1915" s="5" t="s">
        <v>9311</v>
      </c>
      <c r="AC1915" s="6" t="s">
        <v>71</v>
      </c>
      <c r="AD1915" s="6">
        <v>7526.0</v>
      </c>
    </row>
    <row r="1916" ht="56.25" customHeight="1">
      <c r="A1916" s="5" t="s">
        <v>9280</v>
      </c>
      <c r="B1916" s="6" t="str">
        <f>IMAGE("https://storage.googleapis.com/acdb/housewares/FtrOutdoorgenerator_Remake_4_0.png")</f>
        <v/>
      </c>
      <c r="C1916" s="5" t="s">
        <v>142</v>
      </c>
      <c r="D1916" s="5" t="s">
        <v>34</v>
      </c>
      <c r="E1916" s="5" t="s">
        <v>34</v>
      </c>
      <c r="F1916" s="5" t="s">
        <v>34</v>
      </c>
      <c r="G1916" s="5" t="s">
        <v>36</v>
      </c>
      <c r="H1916" s="5" t="s">
        <v>36</v>
      </c>
      <c r="I1916" s="5" t="s">
        <v>36</v>
      </c>
      <c r="J1916" s="6" t="s">
        <v>34</v>
      </c>
      <c r="K1916" s="6">
        <v>4900.0</v>
      </c>
      <c r="L1916" s="6">
        <v>1225.0</v>
      </c>
      <c r="M1916" s="26" t="s">
        <v>54</v>
      </c>
      <c r="N1916" s="26" t="s">
        <v>142</v>
      </c>
      <c r="O1916" s="6" t="s">
        <v>40</v>
      </c>
      <c r="P1916" s="5" t="s">
        <v>59</v>
      </c>
      <c r="Q1916" s="5" t="s">
        <v>554</v>
      </c>
      <c r="R1916" s="6" t="s">
        <v>42</v>
      </c>
      <c r="S1916" s="5" t="s">
        <v>765</v>
      </c>
      <c r="T1916" s="5" t="s">
        <v>44</v>
      </c>
      <c r="U1916" s="5" t="s">
        <v>44</v>
      </c>
      <c r="V1916" s="5" t="s">
        <v>44</v>
      </c>
      <c r="W1916" s="5" t="s">
        <v>35</v>
      </c>
      <c r="X1916" s="8" t="s">
        <v>767</v>
      </c>
      <c r="Y1916" s="5" t="s">
        <v>46</v>
      </c>
      <c r="Z1916" s="5" t="s">
        <v>47</v>
      </c>
      <c r="AA1916" s="5" t="s">
        <v>64</v>
      </c>
      <c r="AB1916" s="5" t="s">
        <v>9317</v>
      </c>
      <c r="AC1916" s="6" t="s">
        <v>75</v>
      </c>
      <c r="AD1916" s="6">
        <v>7526.0</v>
      </c>
    </row>
    <row r="1917" ht="56.25" customHeight="1">
      <c r="A1917" s="5" t="s">
        <v>9280</v>
      </c>
      <c r="B1917" s="6" t="str">
        <f>IMAGE("https://storage.googleapis.com/acdb/housewares/FtrOutdoorgenerator_Remake_5_0.png")</f>
        <v/>
      </c>
      <c r="C1917" s="5" t="s">
        <v>146</v>
      </c>
      <c r="D1917" s="5" t="s">
        <v>34</v>
      </c>
      <c r="E1917" s="5" t="s">
        <v>34</v>
      </c>
      <c r="F1917" s="5" t="s">
        <v>34</v>
      </c>
      <c r="G1917" s="5" t="s">
        <v>36</v>
      </c>
      <c r="H1917" s="5" t="s">
        <v>36</v>
      </c>
      <c r="I1917" s="5" t="s">
        <v>36</v>
      </c>
      <c r="J1917" s="6" t="s">
        <v>34</v>
      </c>
      <c r="K1917" s="6">
        <v>4900.0</v>
      </c>
      <c r="L1917" s="6">
        <v>1225.0</v>
      </c>
      <c r="M1917" s="26" t="s">
        <v>57</v>
      </c>
      <c r="N1917" s="26" t="s">
        <v>54</v>
      </c>
      <c r="O1917" s="6" t="s">
        <v>40</v>
      </c>
      <c r="P1917" s="5" t="s">
        <v>59</v>
      </c>
      <c r="Q1917" s="5" t="s">
        <v>554</v>
      </c>
      <c r="R1917" s="6" t="s">
        <v>42</v>
      </c>
      <c r="S1917" s="5" t="s">
        <v>765</v>
      </c>
      <c r="T1917" s="5" t="s">
        <v>44</v>
      </c>
      <c r="U1917" s="5" t="s">
        <v>44</v>
      </c>
      <c r="V1917" s="5" t="s">
        <v>44</v>
      </c>
      <c r="W1917" s="5" t="s">
        <v>35</v>
      </c>
      <c r="X1917" s="8" t="s">
        <v>767</v>
      </c>
      <c r="Y1917" s="5" t="s">
        <v>46</v>
      </c>
      <c r="Z1917" s="5" t="s">
        <v>47</v>
      </c>
      <c r="AA1917" s="5" t="s">
        <v>64</v>
      </c>
      <c r="AB1917" s="5" t="s">
        <v>9322</v>
      </c>
      <c r="AC1917" s="6" t="s">
        <v>79</v>
      </c>
      <c r="AD1917" s="6">
        <v>7526.0</v>
      </c>
    </row>
    <row r="1918" ht="56.25" customHeight="1">
      <c r="A1918" s="5" t="s">
        <v>9325</v>
      </c>
      <c r="B1918" s="6" t="str">
        <f>IMAGE("https://storage.googleapis.com/acdb/housewares/FtrSakuraPicnicset.png")</f>
        <v/>
      </c>
      <c r="C1918" s="5" t="s">
        <v>34</v>
      </c>
      <c r="D1918" s="5" t="s">
        <v>34</v>
      </c>
      <c r="E1918" s="5" t="s">
        <v>34</v>
      </c>
      <c r="F1918" s="5" t="s">
        <v>34</v>
      </c>
      <c r="G1918" s="5" t="s">
        <v>35</v>
      </c>
      <c r="H1918" s="5" t="s">
        <v>36</v>
      </c>
      <c r="I1918" s="5" t="s">
        <v>36</v>
      </c>
      <c r="J1918" s="6" t="s">
        <v>34</v>
      </c>
      <c r="K1918" s="6" t="s">
        <v>37</v>
      </c>
      <c r="L1918" s="6">
        <v>4000.0</v>
      </c>
      <c r="M1918" s="5" t="s">
        <v>58</v>
      </c>
      <c r="N1918" s="5" t="s">
        <v>58</v>
      </c>
      <c r="O1918" s="6" t="s">
        <v>1243</v>
      </c>
      <c r="P1918" s="5" t="s">
        <v>41</v>
      </c>
      <c r="Q1918" s="5" t="s">
        <v>513</v>
      </c>
      <c r="R1918" s="6" t="s">
        <v>42</v>
      </c>
      <c r="S1918" s="5" t="s">
        <v>266</v>
      </c>
      <c r="T1918" s="5" t="s">
        <v>172</v>
      </c>
      <c r="U1918" s="5" t="s">
        <v>514</v>
      </c>
      <c r="V1918" s="5" t="s">
        <v>44</v>
      </c>
      <c r="W1918" s="5" t="s">
        <v>36</v>
      </c>
      <c r="X1918" s="8" t="s">
        <v>767</v>
      </c>
      <c r="Y1918" s="5" t="s">
        <v>46</v>
      </c>
      <c r="Z1918" s="5" t="s">
        <v>47</v>
      </c>
      <c r="AA1918" s="5" t="s">
        <v>48</v>
      </c>
      <c r="AB1918" s="5" t="s">
        <v>9329</v>
      </c>
      <c r="AC1918" s="6" t="s">
        <v>34</v>
      </c>
      <c r="AD1918" s="6">
        <v>6033.0</v>
      </c>
    </row>
    <row r="1919" ht="56.25" customHeight="1">
      <c r="A1919" s="5" t="s">
        <v>9330</v>
      </c>
      <c r="B1919" s="6" t="str">
        <f>IMAGE("https://storage.googleapis.com/acdb/housewares/FtrOutdoortableM_Remake_0_0.png")</f>
        <v/>
      </c>
      <c r="C1919" s="5" t="s">
        <v>57</v>
      </c>
      <c r="D1919" s="5" t="s">
        <v>34</v>
      </c>
      <c r="E1919" s="5" t="s">
        <v>57</v>
      </c>
      <c r="F1919" s="5" t="s">
        <v>278</v>
      </c>
      <c r="G1919" s="5" t="s">
        <v>36</v>
      </c>
      <c r="H1919" s="5" t="s">
        <v>36</v>
      </c>
      <c r="I1919" s="5" t="s">
        <v>35</v>
      </c>
      <c r="J1919" s="6">
        <v>1.0</v>
      </c>
      <c r="K1919" s="6">
        <v>2200.0</v>
      </c>
      <c r="L1919" s="6">
        <v>550.0</v>
      </c>
      <c r="M1919" s="26" t="s">
        <v>95</v>
      </c>
      <c r="N1919" s="26" t="s">
        <v>57</v>
      </c>
      <c r="O1919" s="6" t="s">
        <v>276</v>
      </c>
      <c r="P1919" s="5" t="s">
        <v>59</v>
      </c>
      <c r="Q1919" s="5" t="s">
        <v>89</v>
      </c>
      <c r="R1919" s="6" t="s">
        <v>42</v>
      </c>
      <c r="S1919" s="5" t="s">
        <v>765</v>
      </c>
      <c r="T1919" s="5" t="s">
        <v>44</v>
      </c>
      <c r="U1919" s="5" t="s">
        <v>44</v>
      </c>
      <c r="V1919" s="5" t="s">
        <v>44</v>
      </c>
      <c r="W1919" s="5" t="s">
        <v>36</v>
      </c>
      <c r="X1919" s="8" t="s">
        <v>278</v>
      </c>
      <c r="Y1919" s="5" t="s">
        <v>46</v>
      </c>
      <c r="Z1919" s="5" t="s">
        <v>47</v>
      </c>
      <c r="AA1919" s="5" t="s">
        <v>64</v>
      </c>
      <c r="AB1919" s="5" t="s">
        <v>9333</v>
      </c>
      <c r="AC1919" s="6" t="s">
        <v>50</v>
      </c>
      <c r="AD1919" s="6">
        <v>3946.0</v>
      </c>
    </row>
    <row r="1920" ht="56.25" customHeight="1">
      <c r="A1920" s="5" t="s">
        <v>9330</v>
      </c>
      <c r="B1920" s="6" t="str">
        <f>IMAGE("https://storage.googleapis.com/acdb/housewares/FtrOutdoortableM_Remake_0_1.png")</f>
        <v/>
      </c>
      <c r="C1920" s="5" t="s">
        <v>57</v>
      </c>
      <c r="D1920" s="5" t="s">
        <v>34</v>
      </c>
      <c r="E1920" s="5" t="s">
        <v>54</v>
      </c>
      <c r="F1920" s="5" t="s">
        <v>278</v>
      </c>
      <c r="G1920" s="5" t="s">
        <v>36</v>
      </c>
      <c r="H1920" s="5" t="s">
        <v>36</v>
      </c>
      <c r="I1920" s="5" t="s">
        <v>35</v>
      </c>
      <c r="J1920" s="6">
        <v>1.0</v>
      </c>
      <c r="K1920" s="6">
        <v>2200.0</v>
      </c>
      <c r="L1920" s="6">
        <v>550.0</v>
      </c>
      <c r="M1920" s="26" t="s">
        <v>95</v>
      </c>
      <c r="N1920" s="26" t="s">
        <v>54</v>
      </c>
      <c r="O1920" s="6" t="s">
        <v>276</v>
      </c>
      <c r="P1920" s="5" t="s">
        <v>59</v>
      </c>
      <c r="Q1920" s="5" t="s">
        <v>89</v>
      </c>
      <c r="R1920" s="6" t="s">
        <v>42</v>
      </c>
      <c r="S1920" s="5" t="s">
        <v>765</v>
      </c>
      <c r="T1920" s="5" t="s">
        <v>44</v>
      </c>
      <c r="U1920" s="5" t="s">
        <v>44</v>
      </c>
      <c r="V1920" s="5" t="s">
        <v>44</v>
      </c>
      <c r="W1920" s="5" t="s">
        <v>36</v>
      </c>
      <c r="X1920" s="8" t="s">
        <v>278</v>
      </c>
      <c r="Y1920" s="5" t="s">
        <v>46</v>
      </c>
      <c r="Z1920" s="5" t="s">
        <v>47</v>
      </c>
      <c r="AA1920" s="5" t="s">
        <v>64</v>
      </c>
      <c r="AB1920" s="5" t="s">
        <v>9337</v>
      </c>
      <c r="AC1920" s="6" t="s">
        <v>217</v>
      </c>
      <c r="AD1920" s="6">
        <v>3946.0</v>
      </c>
    </row>
    <row r="1921" ht="56.25" customHeight="1">
      <c r="A1921" s="5" t="s">
        <v>9330</v>
      </c>
      <c r="B1921" s="6" t="str">
        <f>IMAGE("https://storage.googleapis.com/acdb/housewares/FtrOutdoortableM_Remake_0_2.png")</f>
        <v/>
      </c>
      <c r="C1921" s="5" t="s">
        <v>57</v>
      </c>
      <c r="D1921" s="5" t="s">
        <v>34</v>
      </c>
      <c r="E1921" s="5" t="s">
        <v>96</v>
      </c>
      <c r="F1921" s="5" t="s">
        <v>278</v>
      </c>
      <c r="G1921" s="5" t="s">
        <v>36</v>
      </c>
      <c r="H1921" s="5" t="s">
        <v>36</v>
      </c>
      <c r="I1921" s="5" t="s">
        <v>35</v>
      </c>
      <c r="J1921" s="6">
        <v>1.0</v>
      </c>
      <c r="K1921" s="6">
        <v>2200.0</v>
      </c>
      <c r="L1921" s="6">
        <v>550.0</v>
      </c>
      <c r="M1921" s="26" t="s">
        <v>95</v>
      </c>
      <c r="N1921" s="26" t="s">
        <v>96</v>
      </c>
      <c r="O1921" s="6" t="s">
        <v>276</v>
      </c>
      <c r="P1921" s="5" t="s">
        <v>59</v>
      </c>
      <c r="Q1921" s="5" t="s">
        <v>89</v>
      </c>
      <c r="R1921" s="6" t="s">
        <v>42</v>
      </c>
      <c r="S1921" s="5" t="s">
        <v>765</v>
      </c>
      <c r="T1921" s="5" t="s">
        <v>44</v>
      </c>
      <c r="U1921" s="5" t="s">
        <v>44</v>
      </c>
      <c r="V1921" s="5" t="s">
        <v>44</v>
      </c>
      <c r="W1921" s="5" t="s">
        <v>36</v>
      </c>
      <c r="X1921" s="8" t="s">
        <v>278</v>
      </c>
      <c r="Y1921" s="5" t="s">
        <v>46</v>
      </c>
      <c r="Z1921" s="5" t="s">
        <v>47</v>
      </c>
      <c r="AA1921" s="5" t="s">
        <v>64</v>
      </c>
      <c r="AB1921" s="5" t="s">
        <v>9341</v>
      </c>
      <c r="AC1921" s="6" t="s">
        <v>347</v>
      </c>
      <c r="AD1921" s="6">
        <v>3946.0</v>
      </c>
    </row>
    <row r="1922" ht="56.25" customHeight="1">
      <c r="A1922" s="5" t="s">
        <v>9330</v>
      </c>
      <c r="B1922" s="6" t="str">
        <f>IMAGE("https://storage.googleapis.com/acdb/housewares/FtrOutdoortableM_Remake_0_3.png")</f>
        <v/>
      </c>
      <c r="C1922" s="5" t="s">
        <v>57</v>
      </c>
      <c r="D1922" s="5" t="s">
        <v>34</v>
      </c>
      <c r="E1922" s="5" t="s">
        <v>68</v>
      </c>
      <c r="F1922" s="5" t="s">
        <v>278</v>
      </c>
      <c r="G1922" s="5" t="s">
        <v>36</v>
      </c>
      <c r="H1922" s="5" t="s">
        <v>36</v>
      </c>
      <c r="I1922" s="5" t="s">
        <v>35</v>
      </c>
      <c r="J1922" s="6">
        <v>1.0</v>
      </c>
      <c r="K1922" s="6">
        <v>2200.0</v>
      </c>
      <c r="L1922" s="6">
        <v>550.0</v>
      </c>
      <c r="M1922" s="26" t="s">
        <v>95</v>
      </c>
      <c r="N1922" s="26" t="s">
        <v>68</v>
      </c>
      <c r="O1922" s="6" t="s">
        <v>276</v>
      </c>
      <c r="P1922" s="5" t="s">
        <v>59</v>
      </c>
      <c r="Q1922" s="5" t="s">
        <v>89</v>
      </c>
      <c r="R1922" s="6" t="s">
        <v>42</v>
      </c>
      <c r="S1922" s="5" t="s">
        <v>765</v>
      </c>
      <c r="T1922" s="5" t="s">
        <v>44</v>
      </c>
      <c r="U1922" s="5" t="s">
        <v>44</v>
      </c>
      <c r="V1922" s="5" t="s">
        <v>44</v>
      </c>
      <c r="W1922" s="5" t="s">
        <v>36</v>
      </c>
      <c r="X1922" s="8" t="s">
        <v>278</v>
      </c>
      <c r="Y1922" s="5" t="s">
        <v>46</v>
      </c>
      <c r="Z1922" s="5" t="s">
        <v>47</v>
      </c>
      <c r="AA1922" s="5" t="s">
        <v>64</v>
      </c>
      <c r="AB1922" s="5" t="s">
        <v>9346</v>
      </c>
      <c r="AC1922" s="6" t="s">
        <v>354</v>
      </c>
      <c r="AD1922" s="6">
        <v>3946.0</v>
      </c>
    </row>
    <row r="1923" ht="56.25" customHeight="1">
      <c r="A1923" s="5" t="s">
        <v>9330</v>
      </c>
      <c r="B1923" s="6" t="str">
        <f>IMAGE("https://storage.googleapis.com/acdb/housewares/FtrOutdoortableM_Remake_0_4.png")</f>
        <v/>
      </c>
      <c r="C1923" s="5" t="s">
        <v>57</v>
      </c>
      <c r="D1923" s="5" t="s">
        <v>34</v>
      </c>
      <c r="E1923" s="5" t="s">
        <v>142</v>
      </c>
      <c r="F1923" s="5" t="s">
        <v>278</v>
      </c>
      <c r="G1923" s="5" t="s">
        <v>36</v>
      </c>
      <c r="H1923" s="5" t="s">
        <v>36</v>
      </c>
      <c r="I1923" s="5" t="s">
        <v>35</v>
      </c>
      <c r="J1923" s="6">
        <v>1.0</v>
      </c>
      <c r="K1923" s="6">
        <v>2200.0</v>
      </c>
      <c r="L1923" s="6">
        <v>550.0</v>
      </c>
      <c r="M1923" s="26" t="s">
        <v>95</v>
      </c>
      <c r="N1923" s="26" t="s">
        <v>142</v>
      </c>
      <c r="O1923" s="6" t="s">
        <v>276</v>
      </c>
      <c r="P1923" s="5" t="s">
        <v>59</v>
      </c>
      <c r="Q1923" s="5" t="s">
        <v>89</v>
      </c>
      <c r="R1923" s="6" t="s">
        <v>42</v>
      </c>
      <c r="S1923" s="5" t="s">
        <v>765</v>
      </c>
      <c r="T1923" s="5" t="s">
        <v>44</v>
      </c>
      <c r="U1923" s="5" t="s">
        <v>44</v>
      </c>
      <c r="V1923" s="5" t="s">
        <v>44</v>
      </c>
      <c r="W1923" s="5" t="s">
        <v>36</v>
      </c>
      <c r="X1923" s="8" t="s">
        <v>278</v>
      </c>
      <c r="Y1923" s="5" t="s">
        <v>46</v>
      </c>
      <c r="Z1923" s="5" t="s">
        <v>47</v>
      </c>
      <c r="AA1923" s="5" t="s">
        <v>64</v>
      </c>
      <c r="AB1923" s="5" t="s">
        <v>9350</v>
      </c>
      <c r="AC1923" s="6" t="s">
        <v>486</v>
      </c>
      <c r="AD1923" s="6">
        <v>3946.0</v>
      </c>
    </row>
    <row r="1924" ht="56.25" customHeight="1">
      <c r="A1924" s="5" t="s">
        <v>9330</v>
      </c>
      <c r="B1924" s="6" t="str">
        <f>IMAGE("https://storage.googleapis.com/acdb/housewares/FtrOutdoortableM_Remake_0_5.png")</f>
        <v/>
      </c>
      <c r="C1924" s="5" t="s">
        <v>57</v>
      </c>
      <c r="D1924" s="5" t="s">
        <v>34</v>
      </c>
      <c r="E1924" s="5" t="s">
        <v>1137</v>
      </c>
      <c r="F1924" s="5" t="s">
        <v>278</v>
      </c>
      <c r="G1924" s="5" t="s">
        <v>36</v>
      </c>
      <c r="H1924" s="5" t="s">
        <v>36</v>
      </c>
      <c r="I1924" s="5" t="s">
        <v>35</v>
      </c>
      <c r="J1924" s="6">
        <v>1.0</v>
      </c>
      <c r="K1924" s="6">
        <v>2200.0</v>
      </c>
      <c r="L1924" s="6">
        <v>550.0</v>
      </c>
      <c r="M1924" s="26" t="s">
        <v>95</v>
      </c>
      <c r="N1924" s="26" t="s">
        <v>38</v>
      </c>
      <c r="O1924" s="6" t="s">
        <v>276</v>
      </c>
      <c r="P1924" s="5" t="s">
        <v>59</v>
      </c>
      <c r="Q1924" s="5" t="s">
        <v>89</v>
      </c>
      <c r="R1924" s="6" t="s">
        <v>42</v>
      </c>
      <c r="S1924" s="5" t="s">
        <v>765</v>
      </c>
      <c r="T1924" s="5" t="s">
        <v>44</v>
      </c>
      <c r="U1924" s="5" t="s">
        <v>44</v>
      </c>
      <c r="V1924" s="5" t="s">
        <v>44</v>
      </c>
      <c r="W1924" s="5" t="s">
        <v>36</v>
      </c>
      <c r="X1924" s="8" t="s">
        <v>278</v>
      </c>
      <c r="Y1924" s="5" t="s">
        <v>46</v>
      </c>
      <c r="Z1924" s="5" t="s">
        <v>47</v>
      </c>
      <c r="AA1924" s="5" t="s">
        <v>64</v>
      </c>
      <c r="AB1924" s="5" t="s">
        <v>9354</v>
      </c>
      <c r="AC1924" s="6" t="s">
        <v>934</v>
      </c>
      <c r="AD1924" s="6">
        <v>3946.0</v>
      </c>
    </row>
    <row r="1925" ht="56.25" customHeight="1">
      <c r="A1925" s="5" t="s">
        <v>9330</v>
      </c>
      <c r="B1925" s="6" t="str">
        <f>IMAGE("https://storage.googleapis.com/acdb/housewares/FtrOutdoortableM_Remake_0_6.png")</f>
        <v/>
      </c>
      <c r="C1925" s="5" t="s">
        <v>57</v>
      </c>
      <c r="D1925" s="5" t="s">
        <v>34</v>
      </c>
      <c r="E1925" s="5" t="s">
        <v>1132</v>
      </c>
      <c r="F1925" s="5" t="s">
        <v>278</v>
      </c>
      <c r="G1925" s="5" t="s">
        <v>36</v>
      </c>
      <c r="H1925" s="5" t="s">
        <v>36</v>
      </c>
      <c r="I1925" s="5" t="s">
        <v>35</v>
      </c>
      <c r="J1925" s="6">
        <v>1.0</v>
      </c>
      <c r="K1925" s="6">
        <v>2200.0</v>
      </c>
      <c r="L1925" s="6">
        <v>550.0</v>
      </c>
      <c r="M1925" s="26" t="s">
        <v>95</v>
      </c>
      <c r="N1925" s="26" t="s">
        <v>39</v>
      </c>
      <c r="O1925" s="6" t="s">
        <v>276</v>
      </c>
      <c r="P1925" s="5" t="s">
        <v>59</v>
      </c>
      <c r="Q1925" s="5" t="s">
        <v>89</v>
      </c>
      <c r="R1925" s="6" t="s">
        <v>42</v>
      </c>
      <c r="S1925" s="5" t="s">
        <v>765</v>
      </c>
      <c r="T1925" s="5" t="s">
        <v>44</v>
      </c>
      <c r="U1925" s="5" t="s">
        <v>44</v>
      </c>
      <c r="V1925" s="5" t="s">
        <v>44</v>
      </c>
      <c r="W1925" s="5" t="s">
        <v>36</v>
      </c>
      <c r="X1925" s="8" t="s">
        <v>278</v>
      </c>
      <c r="Y1925" s="5" t="s">
        <v>46</v>
      </c>
      <c r="Z1925" s="5" t="s">
        <v>47</v>
      </c>
      <c r="AA1925" s="5" t="s">
        <v>64</v>
      </c>
      <c r="AB1925" s="5" t="s">
        <v>9358</v>
      </c>
      <c r="AC1925" s="6" t="s">
        <v>938</v>
      </c>
      <c r="AD1925" s="6">
        <v>3946.0</v>
      </c>
    </row>
    <row r="1926" ht="56.25" customHeight="1">
      <c r="A1926" s="5" t="s">
        <v>9330</v>
      </c>
      <c r="B1926" s="6" t="str">
        <f>IMAGE("https://storage.googleapis.com/acdb/housewares/FtrOutdoortableM_Remake_1_0.png")</f>
        <v/>
      </c>
      <c r="C1926" s="5" t="s">
        <v>54</v>
      </c>
      <c r="D1926" s="5" t="s">
        <v>34</v>
      </c>
      <c r="E1926" s="5" t="s">
        <v>57</v>
      </c>
      <c r="F1926" s="5" t="s">
        <v>278</v>
      </c>
      <c r="G1926" s="5" t="s">
        <v>36</v>
      </c>
      <c r="H1926" s="5" t="s">
        <v>36</v>
      </c>
      <c r="I1926" s="5" t="s">
        <v>35</v>
      </c>
      <c r="J1926" s="6">
        <v>1.0</v>
      </c>
      <c r="K1926" s="6">
        <v>2200.0</v>
      </c>
      <c r="L1926" s="6">
        <v>550.0</v>
      </c>
      <c r="M1926" s="26" t="s">
        <v>54</v>
      </c>
      <c r="N1926" s="26" t="s">
        <v>57</v>
      </c>
      <c r="O1926" s="6" t="s">
        <v>276</v>
      </c>
      <c r="P1926" s="5" t="s">
        <v>59</v>
      </c>
      <c r="Q1926" s="5" t="s">
        <v>89</v>
      </c>
      <c r="R1926" s="6" t="s">
        <v>42</v>
      </c>
      <c r="S1926" s="5" t="s">
        <v>765</v>
      </c>
      <c r="T1926" s="5" t="s">
        <v>44</v>
      </c>
      <c r="U1926" s="5" t="s">
        <v>44</v>
      </c>
      <c r="V1926" s="5" t="s">
        <v>44</v>
      </c>
      <c r="W1926" s="5" t="s">
        <v>36</v>
      </c>
      <c r="X1926" s="8" t="s">
        <v>278</v>
      </c>
      <c r="Y1926" s="5" t="s">
        <v>46</v>
      </c>
      <c r="Z1926" s="5" t="s">
        <v>47</v>
      </c>
      <c r="AA1926" s="5" t="s">
        <v>64</v>
      </c>
      <c r="AB1926" s="5" t="s">
        <v>9364</v>
      </c>
      <c r="AC1926" s="6" t="s">
        <v>56</v>
      </c>
      <c r="AD1926" s="6">
        <v>3946.0</v>
      </c>
    </row>
    <row r="1927" ht="56.25" customHeight="1">
      <c r="A1927" s="5" t="s">
        <v>9330</v>
      </c>
      <c r="B1927" s="6" t="str">
        <f>IMAGE("https://storage.googleapis.com/acdb/housewares/FtrOutdoortableM_Remake_1_1.png")</f>
        <v/>
      </c>
      <c r="C1927" s="5" t="s">
        <v>54</v>
      </c>
      <c r="D1927" s="5" t="s">
        <v>34</v>
      </c>
      <c r="E1927" s="5" t="s">
        <v>54</v>
      </c>
      <c r="F1927" s="5" t="s">
        <v>278</v>
      </c>
      <c r="G1927" s="5" t="s">
        <v>36</v>
      </c>
      <c r="H1927" s="5" t="s">
        <v>36</v>
      </c>
      <c r="I1927" s="5" t="s">
        <v>35</v>
      </c>
      <c r="J1927" s="6">
        <v>1.0</v>
      </c>
      <c r="K1927" s="6">
        <v>2200.0</v>
      </c>
      <c r="L1927" s="6">
        <v>550.0</v>
      </c>
      <c r="M1927" s="26" t="s">
        <v>54</v>
      </c>
      <c r="N1927" s="26" t="s">
        <v>54</v>
      </c>
      <c r="O1927" s="6" t="s">
        <v>276</v>
      </c>
      <c r="P1927" s="5" t="s">
        <v>59</v>
      </c>
      <c r="Q1927" s="5" t="s">
        <v>89</v>
      </c>
      <c r="R1927" s="6" t="s">
        <v>42</v>
      </c>
      <c r="S1927" s="5" t="s">
        <v>765</v>
      </c>
      <c r="T1927" s="5" t="s">
        <v>44</v>
      </c>
      <c r="U1927" s="5" t="s">
        <v>44</v>
      </c>
      <c r="V1927" s="5" t="s">
        <v>44</v>
      </c>
      <c r="W1927" s="5" t="s">
        <v>36</v>
      </c>
      <c r="X1927" s="8" t="s">
        <v>278</v>
      </c>
      <c r="Y1927" s="5" t="s">
        <v>46</v>
      </c>
      <c r="Z1927" s="5" t="s">
        <v>47</v>
      </c>
      <c r="AA1927" s="5" t="s">
        <v>64</v>
      </c>
      <c r="AB1927" s="5" t="s">
        <v>9369</v>
      </c>
      <c r="AC1927" s="6" t="s">
        <v>234</v>
      </c>
      <c r="AD1927" s="6">
        <v>3946.0</v>
      </c>
    </row>
    <row r="1928" ht="56.25" customHeight="1">
      <c r="A1928" s="5" t="s">
        <v>9330</v>
      </c>
      <c r="B1928" s="6" t="str">
        <f>IMAGE("https://storage.googleapis.com/acdb/housewares/FtrOutdoortableM_Remake_1_2.png")</f>
        <v/>
      </c>
      <c r="C1928" s="5" t="s">
        <v>54</v>
      </c>
      <c r="D1928" s="5" t="s">
        <v>34</v>
      </c>
      <c r="E1928" s="5" t="s">
        <v>96</v>
      </c>
      <c r="F1928" s="5" t="s">
        <v>278</v>
      </c>
      <c r="G1928" s="5" t="s">
        <v>36</v>
      </c>
      <c r="H1928" s="5" t="s">
        <v>36</v>
      </c>
      <c r="I1928" s="5" t="s">
        <v>35</v>
      </c>
      <c r="J1928" s="6">
        <v>1.0</v>
      </c>
      <c r="K1928" s="6">
        <v>2200.0</v>
      </c>
      <c r="L1928" s="6">
        <v>550.0</v>
      </c>
      <c r="M1928" s="26" t="s">
        <v>54</v>
      </c>
      <c r="N1928" s="26" t="s">
        <v>96</v>
      </c>
      <c r="O1928" s="6" t="s">
        <v>276</v>
      </c>
      <c r="P1928" s="5" t="s">
        <v>59</v>
      </c>
      <c r="Q1928" s="5" t="s">
        <v>89</v>
      </c>
      <c r="R1928" s="6" t="s">
        <v>42</v>
      </c>
      <c r="S1928" s="5" t="s">
        <v>765</v>
      </c>
      <c r="T1928" s="5" t="s">
        <v>44</v>
      </c>
      <c r="U1928" s="5" t="s">
        <v>44</v>
      </c>
      <c r="V1928" s="5" t="s">
        <v>44</v>
      </c>
      <c r="W1928" s="5" t="s">
        <v>36</v>
      </c>
      <c r="X1928" s="8" t="s">
        <v>278</v>
      </c>
      <c r="Y1928" s="5" t="s">
        <v>46</v>
      </c>
      <c r="Z1928" s="5" t="s">
        <v>47</v>
      </c>
      <c r="AA1928" s="5" t="s">
        <v>64</v>
      </c>
      <c r="AB1928" s="5" t="s">
        <v>9372</v>
      </c>
      <c r="AC1928" s="6" t="s">
        <v>370</v>
      </c>
      <c r="AD1928" s="6">
        <v>3946.0</v>
      </c>
    </row>
    <row r="1929" ht="56.25" customHeight="1">
      <c r="A1929" s="5" t="s">
        <v>9330</v>
      </c>
      <c r="B1929" s="6" t="str">
        <f>IMAGE("https://storage.googleapis.com/acdb/housewares/FtrOutdoortableM_Remake_1_3.png")</f>
        <v/>
      </c>
      <c r="C1929" s="5" t="s">
        <v>54</v>
      </c>
      <c r="D1929" s="5" t="s">
        <v>34</v>
      </c>
      <c r="E1929" s="5" t="s">
        <v>68</v>
      </c>
      <c r="F1929" s="5" t="s">
        <v>278</v>
      </c>
      <c r="G1929" s="5" t="s">
        <v>36</v>
      </c>
      <c r="H1929" s="5" t="s">
        <v>36</v>
      </c>
      <c r="I1929" s="5" t="s">
        <v>35</v>
      </c>
      <c r="J1929" s="6">
        <v>1.0</v>
      </c>
      <c r="K1929" s="6">
        <v>2200.0</v>
      </c>
      <c r="L1929" s="6">
        <v>550.0</v>
      </c>
      <c r="M1929" s="26" t="s">
        <v>54</v>
      </c>
      <c r="N1929" s="26" t="s">
        <v>68</v>
      </c>
      <c r="O1929" s="6" t="s">
        <v>276</v>
      </c>
      <c r="P1929" s="5" t="s">
        <v>59</v>
      </c>
      <c r="Q1929" s="5" t="s">
        <v>89</v>
      </c>
      <c r="R1929" s="6" t="s">
        <v>42</v>
      </c>
      <c r="S1929" s="5" t="s">
        <v>765</v>
      </c>
      <c r="T1929" s="5" t="s">
        <v>44</v>
      </c>
      <c r="U1929" s="5" t="s">
        <v>44</v>
      </c>
      <c r="V1929" s="5" t="s">
        <v>44</v>
      </c>
      <c r="W1929" s="5" t="s">
        <v>36</v>
      </c>
      <c r="X1929" s="8" t="s">
        <v>278</v>
      </c>
      <c r="Y1929" s="5" t="s">
        <v>46</v>
      </c>
      <c r="Z1929" s="5" t="s">
        <v>47</v>
      </c>
      <c r="AA1929" s="5" t="s">
        <v>64</v>
      </c>
      <c r="AB1929" s="5" t="s">
        <v>9377</v>
      </c>
      <c r="AC1929" s="6" t="s">
        <v>377</v>
      </c>
      <c r="AD1929" s="6">
        <v>3946.0</v>
      </c>
    </row>
    <row r="1930" ht="56.25" customHeight="1">
      <c r="A1930" s="5" t="s">
        <v>9330</v>
      </c>
      <c r="B1930" s="6" t="str">
        <f>IMAGE("https://storage.googleapis.com/acdb/housewares/FtrOutdoortableM_Remake_1_4.png")</f>
        <v/>
      </c>
      <c r="C1930" s="5" t="s">
        <v>54</v>
      </c>
      <c r="D1930" s="5" t="s">
        <v>34</v>
      </c>
      <c r="E1930" s="5" t="s">
        <v>142</v>
      </c>
      <c r="F1930" s="5" t="s">
        <v>278</v>
      </c>
      <c r="G1930" s="5" t="s">
        <v>36</v>
      </c>
      <c r="H1930" s="5" t="s">
        <v>36</v>
      </c>
      <c r="I1930" s="5" t="s">
        <v>35</v>
      </c>
      <c r="J1930" s="6">
        <v>1.0</v>
      </c>
      <c r="K1930" s="6">
        <v>2200.0</v>
      </c>
      <c r="L1930" s="6">
        <v>550.0</v>
      </c>
      <c r="M1930" s="26" t="s">
        <v>54</v>
      </c>
      <c r="N1930" s="26" t="s">
        <v>142</v>
      </c>
      <c r="O1930" s="6" t="s">
        <v>276</v>
      </c>
      <c r="P1930" s="5" t="s">
        <v>59</v>
      </c>
      <c r="Q1930" s="5" t="s">
        <v>89</v>
      </c>
      <c r="R1930" s="6" t="s">
        <v>42</v>
      </c>
      <c r="S1930" s="5" t="s">
        <v>765</v>
      </c>
      <c r="T1930" s="5" t="s">
        <v>44</v>
      </c>
      <c r="U1930" s="5" t="s">
        <v>44</v>
      </c>
      <c r="V1930" s="5" t="s">
        <v>44</v>
      </c>
      <c r="W1930" s="5" t="s">
        <v>36</v>
      </c>
      <c r="X1930" s="8" t="s">
        <v>278</v>
      </c>
      <c r="Y1930" s="5" t="s">
        <v>46</v>
      </c>
      <c r="Z1930" s="5" t="s">
        <v>47</v>
      </c>
      <c r="AA1930" s="5" t="s">
        <v>64</v>
      </c>
      <c r="AB1930" s="5" t="s">
        <v>9381</v>
      </c>
      <c r="AC1930" s="6" t="s">
        <v>520</v>
      </c>
      <c r="AD1930" s="6">
        <v>3946.0</v>
      </c>
    </row>
    <row r="1931" ht="56.25" customHeight="1">
      <c r="A1931" s="5" t="s">
        <v>9330</v>
      </c>
      <c r="B1931" s="6" t="str">
        <f>IMAGE("https://storage.googleapis.com/acdb/housewares/FtrOutdoortableM_Remake_1_5.png")</f>
        <v/>
      </c>
      <c r="C1931" s="5" t="s">
        <v>54</v>
      </c>
      <c r="D1931" s="5" t="s">
        <v>34</v>
      </c>
      <c r="E1931" s="5" t="s">
        <v>1137</v>
      </c>
      <c r="F1931" s="5" t="s">
        <v>278</v>
      </c>
      <c r="G1931" s="5" t="s">
        <v>36</v>
      </c>
      <c r="H1931" s="5" t="s">
        <v>36</v>
      </c>
      <c r="I1931" s="5" t="s">
        <v>35</v>
      </c>
      <c r="J1931" s="6">
        <v>1.0</v>
      </c>
      <c r="K1931" s="6">
        <v>2200.0</v>
      </c>
      <c r="L1931" s="6">
        <v>550.0</v>
      </c>
      <c r="M1931" s="26" t="s">
        <v>54</v>
      </c>
      <c r="N1931" s="26" t="s">
        <v>38</v>
      </c>
      <c r="O1931" s="6" t="s">
        <v>276</v>
      </c>
      <c r="P1931" s="5" t="s">
        <v>59</v>
      </c>
      <c r="Q1931" s="5" t="s">
        <v>89</v>
      </c>
      <c r="R1931" s="6" t="s">
        <v>42</v>
      </c>
      <c r="S1931" s="5" t="s">
        <v>765</v>
      </c>
      <c r="T1931" s="5" t="s">
        <v>44</v>
      </c>
      <c r="U1931" s="5" t="s">
        <v>44</v>
      </c>
      <c r="V1931" s="5" t="s">
        <v>44</v>
      </c>
      <c r="W1931" s="5" t="s">
        <v>36</v>
      </c>
      <c r="X1931" s="8" t="s">
        <v>278</v>
      </c>
      <c r="Y1931" s="5" t="s">
        <v>46</v>
      </c>
      <c r="Z1931" s="5" t="s">
        <v>47</v>
      </c>
      <c r="AA1931" s="5" t="s">
        <v>64</v>
      </c>
      <c r="AB1931" s="5" t="s">
        <v>9386</v>
      </c>
      <c r="AC1931" s="6" t="s">
        <v>1389</v>
      </c>
      <c r="AD1931" s="6">
        <v>3946.0</v>
      </c>
    </row>
    <row r="1932" ht="56.25" customHeight="1">
      <c r="A1932" s="5" t="s">
        <v>9330</v>
      </c>
      <c r="B1932" s="6" t="str">
        <f>IMAGE("https://storage.googleapis.com/acdb/housewares/FtrOutdoortableM_Remake_1_6.png")</f>
        <v/>
      </c>
      <c r="C1932" s="5" t="s">
        <v>54</v>
      </c>
      <c r="D1932" s="5" t="s">
        <v>34</v>
      </c>
      <c r="E1932" s="5" t="s">
        <v>1132</v>
      </c>
      <c r="F1932" s="5" t="s">
        <v>278</v>
      </c>
      <c r="G1932" s="5" t="s">
        <v>36</v>
      </c>
      <c r="H1932" s="5" t="s">
        <v>36</v>
      </c>
      <c r="I1932" s="5" t="s">
        <v>35</v>
      </c>
      <c r="J1932" s="6">
        <v>1.0</v>
      </c>
      <c r="K1932" s="6">
        <v>2200.0</v>
      </c>
      <c r="L1932" s="6">
        <v>550.0</v>
      </c>
      <c r="M1932" s="26" t="s">
        <v>54</v>
      </c>
      <c r="N1932" s="26" t="s">
        <v>39</v>
      </c>
      <c r="O1932" s="6" t="s">
        <v>276</v>
      </c>
      <c r="P1932" s="5" t="s">
        <v>59</v>
      </c>
      <c r="Q1932" s="5" t="s">
        <v>89</v>
      </c>
      <c r="R1932" s="6" t="s">
        <v>42</v>
      </c>
      <c r="S1932" s="5" t="s">
        <v>765</v>
      </c>
      <c r="T1932" s="5" t="s">
        <v>44</v>
      </c>
      <c r="U1932" s="5" t="s">
        <v>44</v>
      </c>
      <c r="V1932" s="5" t="s">
        <v>44</v>
      </c>
      <c r="W1932" s="5" t="s">
        <v>36</v>
      </c>
      <c r="X1932" s="8" t="s">
        <v>278</v>
      </c>
      <c r="Y1932" s="5" t="s">
        <v>46</v>
      </c>
      <c r="Z1932" s="5" t="s">
        <v>47</v>
      </c>
      <c r="AA1932" s="5" t="s">
        <v>64</v>
      </c>
      <c r="AB1932" s="5" t="s">
        <v>9389</v>
      </c>
      <c r="AC1932" s="6" t="s">
        <v>1394</v>
      </c>
      <c r="AD1932" s="6">
        <v>3946.0</v>
      </c>
    </row>
    <row r="1933" ht="56.25" customHeight="1">
      <c r="A1933" s="5" t="s">
        <v>9330</v>
      </c>
      <c r="B1933" s="6" t="str">
        <f>IMAGE("https://storage.googleapis.com/acdb/housewares/FtrOutdoortableM_Remake_2_0.png")</f>
        <v/>
      </c>
      <c r="C1933" s="5" t="s">
        <v>96</v>
      </c>
      <c r="D1933" s="5" t="s">
        <v>34</v>
      </c>
      <c r="E1933" s="5" t="s">
        <v>57</v>
      </c>
      <c r="F1933" s="5" t="s">
        <v>278</v>
      </c>
      <c r="G1933" s="5" t="s">
        <v>36</v>
      </c>
      <c r="H1933" s="5" t="s">
        <v>36</v>
      </c>
      <c r="I1933" s="5" t="s">
        <v>35</v>
      </c>
      <c r="J1933" s="6">
        <v>1.0</v>
      </c>
      <c r="K1933" s="6">
        <v>2200.0</v>
      </c>
      <c r="L1933" s="6">
        <v>550.0</v>
      </c>
      <c r="M1933" s="26" t="s">
        <v>96</v>
      </c>
      <c r="N1933" s="26" t="s">
        <v>57</v>
      </c>
      <c r="O1933" s="6" t="s">
        <v>276</v>
      </c>
      <c r="P1933" s="5" t="s">
        <v>59</v>
      </c>
      <c r="Q1933" s="5" t="s">
        <v>89</v>
      </c>
      <c r="R1933" s="6" t="s">
        <v>42</v>
      </c>
      <c r="S1933" s="5" t="s">
        <v>765</v>
      </c>
      <c r="T1933" s="5" t="s">
        <v>44</v>
      </c>
      <c r="U1933" s="5" t="s">
        <v>44</v>
      </c>
      <c r="V1933" s="5" t="s">
        <v>44</v>
      </c>
      <c r="W1933" s="5" t="s">
        <v>36</v>
      </c>
      <c r="X1933" s="8" t="s">
        <v>278</v>
      </c>
      <c r="Y1933" s="5" t="s">
        <v>46</v>
      </c>
      <c r="Z1933" s="5" t="s">
        <v>47</v>
      </c>
      <c r="AA1933" s="5" t="s">
        <v>64</v>
      </c>
      <c r="AB1933" s="5" t="s">
        <v>9395</v>
      </c>
      <c r="AC1933" s="6" t="s">
        <v>67</v>
      </c>
      <c r="AD1933" s="6">
        <v>3946.0</v>
      </c>
    </row>
    <row r="1934" ht="56.25" customHeight="1">
      <c r="A1934" s="5" t="s">
        <v>9330</v>
      </c>
      <c r="B1934" s="6" t="str">
        <f>IMAGE("https://storage.googleapis.com/acdb/housewares/FtrOutdoortableM_Remake_2_1.png")</f>
        <v/>
      </c>
      <c r="C1934" s="5" t="s">
        <v>96</v>
      </c>
      <c r="D1934" s="5" t="s">
        <v>34</v>
      </c>
      <c r="E1934" s="5" t="s">
        <v>54</v>
      </c>
      <c r="F1934" s="5" t="s">
        <v>278</v>
      </c>
      <c r="G1934" s="5" t="s">
        <v>36</v>
      </c>
      <c r="H1934" s="5" t="s">
        <v>36</v>
      </c>
      <c r="I1934" s="5" t="s">
        <v>35</v>
      </c>
      <c r="J1934" s="6">
        <v>1.0</v>
      </c>
      <c r="K1934" s="6">
        <v>2200.0</v>
      </c>
      <c r="L1934" s="6">
        <v>550.0</v>
      </c>
      <c r="M1934" s="26" t="s">
        <v>96</v>
      </c>
      <c r="N1934" s="26" t="s">
        <v>54</v>
      </c>
      <c r="O1934" s="6" t="s">
        <v>276</v>
      </c>
      <c r="P1934" s="5" t="s">
        <v>59</v>
      </c>
      <c r="Q1934" s="5" t="s">
        <v>89</v>
      </c>
      <c r="R1934" s="6" t="s">
        <v>42</v>
      </c>
      <c r="S1934" s="5" t="s">
        <v>765</v>
      </c>
      <c r="T1934" s="5" t="s">
        <v>44</v>
      </c>
      <c r="U1934" s="5" t="s">
        <v>44</v>
      </c>
      <c r="V1934" s="5" t="s">
        <v>44</v>
      </c>
      <c r="W1934" s="5" t="s">
        <v>36</v>
      </c>
      <c r="X1934" s="8" t="s">
        <v>278</v>
      </c>
      <c r="Y1934" s="5" t="s">
        <v>46</v>
      </c>
      <c r="Z1934" s="5" t="s">
        <v>47</v>
      </c>
      <c r="AA1934" s="5" t="s">
        <v>64</v>
      </c>
      <c r="AB1934" s="5" t="s">
        <v>9399</v>
      </c>
      <c r="AC1934" s="6" t="s">
        <v>247</v>
      </c>
      <c r="AD1934" s="6">
        <v>3946.0</v>
      </c>
    </row>
    <row r="1935" ht="56.25" customHeight="1">
      <c r="A1935" s="5" t="s">
        <v>9330</v>
      </c>
      <c r="B1935" s="6" t="str">
        <f>IMAGE("https://storage.googleapis.com/acdb/housewares/FtrOutdoortableM_Remake_2_2.png")</f>
        <v/>
      </c>
      <c r="C1935" s="5" t="s">
        <v>96</v>
      </c>
      <c r="D1935" s="5" t="s">
        <v>34</v>
      </c>
      <c r="E1935" s="5" t="s">
        <v>96</v>
      </c>
      <c r="F1935" s="5" t="s">
        <v>278</v>
      </c>
      <c r="G1935" s="5" t="s">
        <v>36</v>
      </c>
      <c r="H1935" s="5" t="s">
        <v>36</v>
      </c>
      <c r="I1935" s="5" t="s">
        <v>35</v>
      </c>
      <c r="J1935" s="6">
        <v>1.0</v>
      </c>
      <c r="K1935" s="6">
        <v>2200.0</v>
      </c>
      <c r="L1935" s="6">
        <v>550.0</v>
      </c>
      <c r="M1935" s="26" t="s">
        <v>96</v>
      </c>
      <c r="N1935" s="26" t="s">
        <v>96</v>
      </c>
      <c r="O1935" s="6" t="s">
        <v>276</v>
      </c>
      <c r="P1935" s="5" t="s">
        <v>59</v>
      </c>
      <c r="Q1935" s="5" t="s">
        <v>89</v>
      </c>
      <c r="R1935" s="6" t="s">
        <v>42</v>
      </c>
      <c r="S1935" s="5" t="s">
        <v>765</v>
      </c>
      <c r="T1935" s="5" t="s">
        <v>44</v>
      </c>
      <c r="U1935" s="5" t="s">
        <v>44</v>
      </c>
      <c r="V1935" s="5" t="s">
        <v>44</v>
      </c>
      <c r="W1935" s="5" t="s">
        <v>36</v>
      </c>
      <c r="X1935" s="8" t="s">
        <v>278</v>
      </c>
      <c r="Y1935" s="5" t="s">
        <v>46</v>
      </c>
      <c r="Z1935" s="5" t="s">
        <v>47</v>
      </c>
      <c r="AA1935" s="5" t="s">
        <v>64</v>
      </c>
      <c r="AB1935" s="5" t="s">
        <v>9403</v>
      </c>
      <c r="AC1935" s="6" t="s">
        <v>390</v>
      </c>
      <c r="AD1935" s="6">
        <v>3946.0</v>
      </c>
    </row>
    <row r="1936" ht="56.25" customHeight="1">
      <c r="A1936" s="5" t="s">
        <v>9330</v>
      </c>
      <c r="B1936" s="6" t="str">
        <f>IMAGE("https://storage.googleapis.com/acdb/housewares/FtrOutdoortableM_Remake_2_3.png")</f>
        <v/>
      </c>
      <c r="C1936" s="5" t="s">
        <v>96</v>
      </c>
      <c r="D1936" s="5" t="s">
        <v>34</v>
      </c>
      <c r="E1936" s="5" t="s">
        <v>68</v>
      </c>
      <c r="F1936" s="5" t="s">
        <v>278</v>
      </c>
      <c r="G1936" s="5" t="s">
        <v>36</v>
      </c>
      <c r="H1936" s="5" t="s">
        <v>36</v>
      </c>
      <c r="I1936" s="5" t="s">
        <v>35</v>
      </c>
      <c r="J1936" s="6">
        <v>1.0</v>
      </c>
      <c r="K1936" s="6">
        <v>2200.0</v>
      </c>
      <c r="L1936" s="6">
        <v>550.0</v>
      </c>
      <c r="M1936" s="26" t="s">
        <v>96</v>
      </c>
      <c r="N1936" s="26" t="s">
        <v>68</v>
      </c>
      <c r="O1936" s="6" t="s">
        <v>276</v>
      </c>
      <c r="P1936" s="5" t="s">
        <v>59</v>
      </c>
      <c r="Q1936" s="5" t="s">
        <v>89</v>
      </c>
      <c r="R1936" s="6" t="s">
        <v>42</v>
      </c>
      <c r="S1936" s="5" t="s">
        <v>765</v>
      </c>
      <c r="T1936" s="5" t="s">
        <v>44</v>
      </c>
      <c r="U1936" s="5" t="s">
        <v>44</v>
      </c>
      <c r="V1936" s="5" t="s">
        <v>44</v>
      </c>
      <c r="W1936" s="5" t="s">
        <v>36</v>
      </c>
      <c r="X1936" s="8" t="s">
        <v>278</v>
      </c>
      <c r="Y1936" s="5" t="s">
        <v>46</v>
      </c>
      <c r="Z1936" s="5" t="s">
        <v>47</v>
      </c>
      <c r="AA1936" s="5" t="s">
        <v>64</v>
      </c>
      <c r="AB1936" s="5" t="s">
        <v>9406</v>
      </c>
      <c r="AC1936" s="6" t="s">
        <v>396</v>
      </c>
      <c r="AD1936" s="6">
        <v>3946.0</v>
      </c>
    </row>
    <row r="1937" ht="56.25" customHeight="1">
      <c r="A1937" s="5" t="s">
        <v>9330</v>
      </c>
      <c r="B1937" s="6" t="str">
        <f>IMAGE("https://storage.googleapis.com/acdb/housewares/FtrOutdoortableM_Remake_2_4.png")</f>
        <v/>
      </c>
      <c r="C1937" s="5" t="s">
        <v>96</v>
      </c>
      <c r="D1937" s="5" t="s">
        <v>34</v>
      </c>
      <c r="E1937" s="5" t="s">
        <v>142</v>
      </c>
      <c r="F1937" s="5" t="s">
        <v>278</v>
      </c>
      <c r="G1937" s="5" t="s">
        <v>36</v>
      </c>
      <c r="H1937" s="5" t="s">
        <v>36</v>
      </c>
      <c r="I1937" s="5" t="s">
        <v>35</v>
      </c>
      <c r="J1937" s="6">
        <v>1.0</v>
      </c>
      <c r="K1937" s="6">
        <v>2200.0</v>
      </c>
      <c r="L1937" s="6">
        <v>550.0</v>
      </c>
      <c r="M1937" s="26" t="s">
        <v>96</v>
      </c>
      <c r="N1937" s="26" t="s">
        <v>142</v>
      </c>
      <c r="O1937" s="6" t="s">
        <v>276</v>
      </c>
      <c r="P1937" s="5" t="s">
        <v>59</v>
      </c>
      <c r="Q1937" s="5" t="s">
        <v>89</v>
      </c>
      <c r="R1937" s="6" t="s">
        <v>42</v>
      </c>
      <c r="S1937" s="5" t="s">
        <v>765</v>
      </c>
      <c r="T1937" s="5" t="s">
        <v>44</v>
      </c>
      <c r="U1937" s="5" t="s">
        <v>44</v>
      </c>
      <c r="V1937" s="5" t="s">
        <v>44</v>
      </c>
      <c r="W1937" s="5" t="s">
        <v>36</v>
      </c>
      <c r="X1937" s="8" t="s">
        <v>278</v>
      </c>
      <c r="Y1937" s="5" t="s">
        <v>46</v>
      </c>
      <c r="Z1937" s="5" t="s">
        <v>47</v>
      </c>
      <c r="AA1937" s="5" t="s">
        <v>64</v>
      </c>
      <c r="AB1937" s="5" t="s">
        <v>9409</v>
      </c>
      <c r="AC1937" s="6" t="s">
        <v>541</v>
      </c>
      <c r="AD1937" s="6">
        <v>3946.0</v>
      </c>
    </row>
    <row r="1938" ht="56.25" customHeight="1">
      <c r="A1938" s="5" t="s">
        <v>9330</v>
      </c>
      <c r="B1938" s="6" t="str">
        <f>IMAGE("https://storage.googleapis.com/acdb/housewares/FtrOutdoortableM_Remake_2_5.png")</f>
        <v/>
      </c>
      <c r="C1938" s="5" t="s">
        <v>96</v>
      </c>
      <c r="D1938" s="5" t="s">
        <v>34</v>
      </c>
      <c r="E1938" s="5" t="s">
        <v>1137</v>
      </c>
      <c r="F1938" s="5" t="s">
        <v>278</v>
      </c>
      <c r="G1938" s="5" t="s">
        <v>36</v>
      </c>
      <c r="H1938" s="5" t="s">
        <v>36</v>
      </c>
      <c r="I1938" s="5" t="s">
        <v>35</v>
      </c>
      <c r="J1938" s="6">
        <v>1.0</v>
      </c>
      <c r="K1938" s="6">
        <v>2200.0</v>
      </c>
      <c r="L1938" s="6">
        <v>550.0</v>
      </c>
      <c r="M1938" s="26" t="s">
        <v>96</v>
      </c>
      <c r="N1938" s="26" t="s">
        <v>38</v>
      </c>
      <c r="O1938" s="6" t="s">
        <v>276</v>
      </c>
      <c r="P1938" s="5" t="s">
        <v>59</v>
      </c>
      <c r="Q1938" s="5" t="s">
        <v>89</v>
      </c>
      <c r="R1938" s="6" t="s">
        <v>42</v>
      </c>
      <c r="S1938" s="5" t="s">
        <v>765</v>
      </c>
      <c r="T1938" s="5" t="s">
        <v>44</v>
      </c>
      <c r="U1938" s="5" t="s">
        <v>44</v>
      </c>
      <c r="V1938" s="5" t="s">
        <v>44</v>
      </c>
      <c r="W1938" s="5" t="s">
        <v>36</v>
      </c>
      <c r="X1938" s="8" t="s">
        <v>278</v>
      </c>
      <c r="Y1938" s="5" t="s">
        <v>46</v>
      </c>
      <c r="Z1938" s="5" t="s">
        <v>47</v>
      </c>
      <c r="AA1938" s="5" t="s">
        <v>64</v>
      </c>
      <c r="AB1938" s="5" t="s">
        <v>9413</v>
      </c>
      <c r="AC1938" s="6" t="s">
        <v>1415</v>
      </c>
      <c r="AD1938" s="6">
        <v>3946.0</v>
      </c>
    </row>
    <row r="1939" ht="56.25" customHeight="1">
      <c r="A1939" s="5" t="s">
        <v>9330</v>
      </c>
      <c r="B1939" s="6" t="str">
        <f>IMAGE("https://storage.googleapis.com/acdb/housewares/FtrOutdoortableM_Remake_2_6.png")</f>
        <v/>
      </c>
      <c r="C1939" s="5" t="s">
        <v>96</v>
      </c>
      <c r="D1939" s="5" t="s">
        <v>34</v>
      </c>
      <c r="E1939" s="5" t="s">
        <v>1132</v>
      </c>
      <c r="F1939" s="5" t="s">
        <v>278</v>
      </c>
      <c r="G1939" s="5" t="s">
        <v>36</v>
      </c>
      <c r="H1939" s="5" t="s">
        <v>36</v>
      </c>
      <c r="I1939" s="5" t="s">
        <v>35</v>
      </c>
      <c r="J1939" s="6">
        <v>1.0</v>
      </c>
      <c r="K1939" s="6">
        <v>2200.0</v>
      </c>
      <c r="L1939" s="6">
        <v>550.0</v>
      </c>
      <c r="M1939" s="26" t="s">
        <v>96</v>
      </c>
      <c r="N1939" s="26" t="s">
        <v>39</v>
      </c>
      <c r="O1939" s="6" t="s">
        <v>276</v>
      </c>
      <c r="P1939" s="5" t="s">
        <v>59</v>
      </c>
      <c r="Q1939" s="5" t="s">
        <v>89</v>
      </c>
      <c r="R1939" s="6" t="s">
        <v>42</v>
      </c>
      <c r="S1939" s="5" t="s">
        <v>765</v>
      </c>
      <c r="T1939" s="5" t="s">
        <v>44</v>
      </c>
      <c r="U1939" s="5" t="s">
        <v>44</v>
      </c>
      <c r="V1939" s="5" t="s">
        <v>44</v>
      </c>
      <c r="W1939" s="5" t="s">
        <v>36</v>
      </c>
      <c r="X1939" s="8" t="s">
        <v>278</v>
      </c>
      <c r="Y1939" s="5" t="s">
        <v>46</v>
      </c>
      <c r="Z1939" s="5" t="s">
        <v>47</v>
      </c>
      <c r="AA1939" s="5" t="s">
        <v>64</v>
      </c>
      <c r="AB1939" s="5" t="s">
        <v>9419</v>
      </c>
      <c r="AC1939" s="6" t="s">
        <v>1421</v>
      </c>
      <c r="AD1939" s="6">
        <v>3946.0</v>
      </c>
    </row>
    <row r="1940" ht="56.25" customHeight="1">
      <c r="A1940" s="5" t="s">
        <v>9330</v>
      </c>
      <c r="B1940" s="6" t="str">
        <f>IMAGE("https://storage.googleapis.com/acdb/housewares/FtrOutdoortableM_Remake_3_0.png")</f>
        <v/>
      </c>
      <c r="C1940" s="5" t="s">
        <v>68</v>
      </c>
      <c r="D1940" s="5" t="s">
        <v>34</v>
      </c>
      <c r="E1940" s="5" t="s">
        <v>57</v>
      </c>
      <c r="F1940" s="5" t="s">
        <v>278</v>
      </c>
      <c r="G1940" s="5" t="s">
        <v>36</v>
      </c>
      <c r="H1940" s="5" t="s">
        <v>36</v>
      </c>
      <c r="I1940" s="5" t="s">
        <v>35</v>
      </c>
      <c r="J1940" s="6">
        <v>1.0</v>
      </c>
      <c r="K1940" s="6">
        <v>2200.0</v>
      </c>
      <c r="L1940" s="6">
        <v>550.0</v>
      </c>
      <c r="M1940" s="26" t="s">
        <v>68</v>
      </c>
      <c r="N1940" s="26" t="s">
        <v>57</v>
      </c>
      <c r="O1940" s="6" t="s">
        <v>276</v>
      </c>
      <c r="P1940" s="5" t="s">
        <v>59</v>
      </c>
      <c r="Q1940" s="5" t="s">
        <v>89</v>
      </c>
      <c r="R1940" s="6" t="s">
        <v>42</v>
      </c>
      <c r="S1940" s="5" t="s">
        <v>765</v>
      </c>
      <c r="T1940" s="5" t="s">
        <v>44</v>
      </c>
      <c r="U1940" s="5" t="s">
        <v>44</v>
      </c>
      <c r="V1940" s="5" t="s">
        <v>44</v>
      </c>
      <c r="W1940" s="5" t="s">
        <v>36</v>
      </c>
      <c r="X1940" s="8" t="s">
        <v>278</v>
      </c>
      <c r="Y1940" s="5" t="s">
        <v>46</v>
      </c>
      <c r="Z1940" s="5" t="s">
        <v>47</v>
      </c>
      <c r="AA1940" s="5" t="s">
        <v>64</v>
      </c>
      <c r="AB1940" s="5" t="s">
        <v>9425</v>
      </c>
      <c r="AC1940" s="6" t="s">
        <v>71</v>
      </c>
      <c r="AD1940" s="6">
        <v>3946.0</v>
      </c>
    </row>
    <row r="1941" ht="56.25" customHeight="1">
      <c r="A1941" s="5" t="s">
        <v>9330</v>
      </c>
      <c r="B1941" s="6" t="str">
        <f>IMAGE("https://storage.googleapis.com/acdb/housewares/FtrOutdoortableM_Remake_3_1.png")</f>
        <v/>
      </c>
      <c r="C1941" s="5" t="s">
        <v>68</v>
      </c>
      <c r="D1941" s="5" t="s">
        <v>34</v>
      </c>
      <c r="E1941" s="5" t="s">
        <v>54</v>
      </c>
      <c r="F1941" s="5" t="s">
        <v>278</v>
      </c>
      <c r="G1941" s="5" t="s">
        <v>36</v>
      </c>
      <c r="H1941" s="5" t="s">
        <v>36</v>
      </c>
      <c r="I1941" s="5" t="s">
        <v>35</v>
      </c>
      <c r="J1941" s="6">
        <v>1.0</v>
      </c>
      <c r="K1941" s="6">
        <v>2200.0</v>
      </c>
      <c r="L1941" s="6">
        <v>550.0</v>
      </c>
      <c r="M1941" s="26" t="s">
        <v>68</v>
      </c>
      <c r="N1941" s="26" t="s">
        <v>54</v>
      </c>
      <c r="O1941" s="6" t="s">
        <v>276</v>
      </c>
      <c r="P1941" s="5" t="s">
        <v>59</v>
      </c>
      <c r="Q1941" s="5" t="s">
        <v>89</v>
      </c>
      <c r="R1941" s="6" t="s">
        <v>42</v>
      </c>
      <c r="S1941" s="5" t="s">
        <v>765</v>
      </c>
      <c r="T1941" s="5" t="s">
        <v>44</v>
      </c>
      <c r="U1941" s="5" t="s">
        <v>44</v>
      </c>
      <c r="V1941" s="5" t="s">
        <v>44</v>
      </c>
      <c r="W1941" s="5" t="s">
        <v>36</v>
      </c>
      <c r="X1941" s="8" t="s">
        <v>278</v>
      </c>
      <c r="Y1941" s="5" t="s">
        <v>46</v>
      </c>
      <c r="Z1941" s="5" t="s">
        <v>47</v>
      </c>
      <c r="AA1941" s="5" t="s">
        <v>64</v>
      </c>
      <c r="AB1941" s="5" t="s">
        <v>9431</v>
      </c>
      <c r="AC1941" s="6" t="s">
        <v>257</v>
      </c>
      <c r="AD1941" s="6">
        <v>3946.0</v>
      </c>
    </row>
    <row r="1942" ht="56.25" customHeight="1">
      <c r="A1942" s="5" t="s">
        <v>9330</v>
      </c>
      <c r="B1942" s="6" t="str">
        <f>IMAGE("https://storage.googleapis.com/acdb/housewares/FtrOutdoortableM_Remake_3_2.png")</f>
        <v/>
      </c>
      <c r="C1942" s="5" t="s">
        <v>68</v>
      </c>
      <c r="D1942" s="5" t="s">
        <v>34</v>
      </c>
      <c r="E1942" s="5" t="s">
        <v>96</v>
      </c>
      <c r="F1942" s="5" t="s">
        <v>278</v>
      </c>
      <c r="G1942" s="5" t="s">
        <v>36</v>
      </c>
      <c r="H1942" s="5" t="s">
        <v>36</v>
      </c>
      <c r="I1942" s="5" t="s">
        <v>35</v>
      </c>
      <c r="J1942" s="6">
        <v>1.0</v>
      </c>
      <c r="K1942" s="6">
        <v>2200.0</v>
      </c>
      <c r="L1942" s="6">
        <v>550.0</v>
      </c>
      <c r="M1942" s="26" t="s">
        <v>68</v>
      </c>
      <c r="N1942" s="26" t="s">
        <v>96</v>
      </c>
      <c r="O1942" s="6" t="s">
        <v>276</v>
      </c>
      <c r="P1942" s="5" t="s">
        <v>59</v>
      </c>
      <c r="Q1942" s="5" t="s">
        <v>89</v>
      </c>
      <c r="R1942" s="6" t="s">
        <v>42</v>
      </c>
      <c r="S1942" s="5" t="s">
        <v>765</v>
      </c>
      <c r="T1942" s="5" t="s">
        <v>44</v>
      </c>
      <c r="U1942" s="5" t="s">
        <v>44</v>
      </c>
      <c r="V1942" s="5" t="s">
        <v>44</v>
      </c>
      <c r="W1942" s="5" t="s">
        <v>36</v>
      </c>
      <c r="X1942" s="8" t="s">
        <v>278</v>
      </c>
      <c r="Y1942" s="5" t="s">
        <v>46</v>
      </c>
      <c r="Z1942" s="5" t="s">
        <v>47</v>
      </c>
      <c r="AA1942" s="5" t="s">
        <v>64</v>
      </c>
      <c r="AB1942" s="5" t="s">
        <v>9435</v>
      </c>
      <c r="AC1942" s="6" t="s">
        <v>414</v>
      </c>
      <c r="AD1942" s="6">
        <v>3946.0</v>
      </c>
    </row>
    <row r="1943" ht="56.25" customHeight="1">
      <c r="A1943" s="5" t="s">
        <v>9330</v>
      </c>
      <c r="B1943" s="6" t="str">
        <f>IMAGE("https://storage.googleapis.com/acdb/housewares/FtrOutdoortableM_Remake_3_3.png")</f>
        <v/>
      </c>
      <c r="C1943" s="5" t="s">
        <v>68</v>
      </c>
      <c r="D1943" s="5" t="s">
        <v>34</v>
      </c>
      <c r="E1943" s="5" t="s">
        <v>68</v>
      </c>
      <c r="F1943" s="5" t="s">
        <v>278</v>
      </c>
      <c r="G1943" s="5" t="s">
        <v>36</v>
      </c>
      <c r="H1943" s="5" t="s">
        <v>36</v>
      </c>
      <c r="I1943" s="5" t="s">
        <v>35</v>
      </c>
      <c r="J1943" s="6">
        <v>1.0</v>
      </c>
      <c r="K1943" s="6">
        <v>2200.0</v>
      </c>
      <c r="L1943" s="6">
        <v>550.0</v>
      </c>
      <c r="M1943" s="26" t="s">
        <v>68</v>
      </c>
      <c r="N1943" s="26" t="s">
        <v>68</v>
      </c>
      <c r="O1943" s="6" t="s">
        <v>276</v>
      </c>
      <c r="P1943" s="5" t="s">
        <v>59</v>
      </c>
      <c r="Q1943" s="5" t="s">
        <v>89</v>
      </c>
      <c r="R1943" s="6" t="s">
        <v>42</v>
      </c>
      <c r="S1943" s="5" t="s">
        <v>765</v>
      </c>
      <c r="T1943" s="5" t="s">
        <v>44</v>
      </c>
      <c r="U1943" s="5" t="s">
        <v>44</v>
      </c>
      <c r="V1943" s="5" t="s">
        <v>44</v>
      </c>
      <c r="W1943" s="5" t="s">
        <v>36</v>
      </c>
      <c r="X1943" s="8" t="s">
        <v>278</v>
      </c>
      <c r="Y1943" s="5" t="s">
        <v>46</v>
      </c>
      <c r="Z1943" s="5" t="s">
        <v>47</v>
      </c>
      <c r="AA1943" s="5" t="s">
        <v>64</v>
      </c>
      <c r="AB1943" s="5" t="s">
        <v>9440</v>
      </c>
      <c r="AC1943" s="6" t="s">
        <v>418</v>
      </c>
      <c r="AD1943" s="6">
        <v>3946.0</v>
      </c>
    </row>
    <row r="1944" ht="56.25" customHeight="1">
      <c r="A1944" s="5" t="s">
        <v>9330</v>
      </c>
      <c r="B1944" s="6" t="str">
        <f>IMAGE("https://storage.googleapis.com/acdb/housewares/FtrOutdoortableM_Remake_3_4.png")</f>
        <v/>
      </c>
      <c r="C1944" s="5" t="s">
        <v>68</v>
      </c>
      <c r="D1944" s="5" t="s">
        <v>34</v>
      </c>
      <c r="E1944" s="5" t="s">
        <v>142</v>
      </c>
      <c r="F1944" s="5" t="s">
        <v>278</v>
      </c>
      <c r="G1944" s="5" t="s">
        <v>36</v>
      </c>
      <c r="H1944" s="5" t="s">
        <v>36</v>
      </c>
      <c r="I1944" s="5" t="s">
        <v>35</v>
      </c>
      <c r="J1944" s="6">
        <v>1.0</v>
      </c>
      <c r="K1944" s="6">
        <v>2200.0</v>
      </c>
      <c r="L1944" s="6">
        <v>550.0</v>
      </c>
      <c r="M1944" s="26" t="s">
        <v>68</v>
      </c>
      <c r="N1944" s="26" t="s">
        <v>142</v>
      </c>
      <c r="O1944" s="6" t="s">
        <v>276</v>
      </c>
      <c r="P1944" s="5" t="s">
        <v>59</v>
      </c>
      <c r="Q1944" s="5" t="s">
        <v>89</v>
      </c>
      <c r="R1944" s="6" t="s">
        <v>42</v>
      </c>
      <c r="S1944" s="5" t="s">
        <v>765</v>
      </c>
      <c r="T1944" s="5" t="s">
        <v>44</v>
      </c>
      <c r="U1944" s="5" t="s">
        <v>44</v>
      </c>
      <c r="V1944" s="5" t="s">
        <v>44</v>
      </c>
      <c r="W1944" s="5" t="s">
        <v>36</v>
      </c>
      <c r="X1944" s="8" t="s">
        <v>278</v>
      </c>
      <c r="Y1944" s="5" t="s">
        <v>46</v>
      </c>
      <c r="Z1944" s="5" t="s">
        <v>47</v>
      </c>
      <c r="AA1944" s="5" t="s">
        <v>64</v>
      </c>
      <c r="AB1944" s="5" t="s">
        <v>9444</v>
      </c>
      <c r="AC1944" s="6" t="s">
        <v>563</v>
      </c>
      <c r="AD1944" s="6">
        <v>3946.0</v>
      </c>
    </row>
    <row r="1945" ht="56.25" customHeight="1">
      <c r="A1945" s="5" t="s">
        <v>9330</v>
      </c>
      <c r="B1945" s="6" t="str">
        <f>IMAGE("https://storage.googleapis.com/acdb/housewares/FtrOutdoortableM_Remake_3_5.png")</f>
        <v/>
      </c>
      <c r="C1945" s="5" t="s">
        <v>68</v>
      </c>
      <c r="D1945" s="5" t="s">
        <v>34</v>
      </c>
      <c r="E1945" s="5" t="s">
        <v>1137</v>
      </c>
      <c r="F1945" s="5" t="s">
        <v>278</v>
      </c>
      <c r="G1945" s="5" t="s">
        <v>36</v>
      </c>
      <c r="H1945" s="5" t="s">
        <v>36</v>
      </c>
      <c r="I1945" s="5" t="s">
        <v>35</v>
      </c>
      <c r="J1945" s="6">
        <v>1.0</v>
      </c>
      <c r="K1945" s="6">
        <v>2200.0</v>
      </c>
      <c r="L1945" s="6">
        <v>550.0</v>
      </c>
      <c r="M1945" s="26" t="s">
        <v>68</v>
      </c>
      <c r="N1945" s="26" t="s">
        <v>38</v>
      </c>
      <c r="O1945" s="6" t="s">
        <v>276</v>
      </c>
      <c r="P1945" s="5" t="s">
        <v>59</v>
      </c>
      <c r="Q1945" s="5" t="s">
        <v>89</v>
      </c>
      <c r="R1945" s="6" t="s">
        <v>42</v>
      </c>
      <c r="S1945" s="5" t="s">
        <v>765</v>
      </c>
      <c r="T1945" s="5" t="s">
        <v>44</v>
      </c>
      <c r="U1945" s="5" t="s">
        <v>44</v>
      </c>
      <c r="V1945" s="5" t="s">
        <v>44</v>
      </c>
      <c r="W1945" s="5" t="s">
        <v>36</v>
      </c>
      <c r="X1945" s="8" t="s">
        <v>278</v>
      </c>
      <c r="Y1945" s="5" t="s">
        <v>46</v>
      </c>
      <c r="Z1945" s="5" t="s">
        <v>47</v>
      </c>
      <c r="AA1945" s="5" t="s">
        <v>64</v>
      </c>
      <c r="AB1945" s="5" t="s">
        <v>9447</v>
      </c>
      <c r="AC1945" s="6" t="s">
        <v>1443</v>
      </c>
      <c r="AD1945" s="6">
        <v>3946.0</v>
      </c>
    </row>
    <row r="1946" ht="56.25" customHeight="1">
      <c r="A1946" s="5" t="s">
        <v>9330</v>
      </c>
      <c r="B1946" s="6" t="str">
        <f>IMAGE("https://storage.googleapis.com/acdb/housewares/FtrOutdoortableM_Remake_3_6.png")</f>
        <v/>
      </c>
      <c r="C1946" s="5" t="s">
        <v>68</v>
      </c>
      <c r="D1946" s="5" t="s">
        <v>34</v>
      </c>
      <c r="E1946" s="5" t="s">
        <v>1132</v>
      </c>
      <c r="F1946" s="5" t="s">
        <v>278</v>
      </c>
      <c r="G1946" s="5" t="s">
        <v>36</v>
      </c>
      <c r="H1946" s="5" t="s">
        <v>36</v>
      </c>
      <c r="I1946" s="5" t="s">
        <v>35</v>
      </c>
      <c r="J1946" s="6">
        <v>1.0</v>
      </c>
      <c r="K1946" s="6">
        <v>2200.0</v>
      </c>
      <c r="L1946" s="6">
        <v>550.0</v>
      </c>
      <c r="M1946" s="26" t="s">
        <v>68</v>
      </c>
      <c r="N1946" s="26" t="s">
        <v>39</v>
      </c>
      <c r="O1946" s="6" t="s">
        <v>276</v>
      </c>
      <c r="P1946" s="5" t="s">
        <v>59</v>
      </c>
      <c r="Q1946" s="5" t="s">
        <v>89</v>
      </c>
      <c r="R1946" s="6" t="s">
        <v>42</v>
      </c>
      <c r="S1946" s="5" t="s">
        <v>765</v>
      </c>
      <c r="T1946" s="5" t="s">
        <v>44</v>
      </c>
      <c r="U1946" s="5" t="s">
        <v>44</v>
      </c>
      <c r="V1946" s="5" t="s">
        <v>44</v>
      </c>
      <c r="W1946" s="5" t="s">
        <v>36</v>
      </c>
      <c r="X1946" s="8" t="s">
        <v>278</v>
      </c>
      <c r="Y1946" s="5" t="s">
        <v>46</v>
      </c>
      <c r="Z1946" s="5" t="s">
        <v>47</v>
      </c>
      <c r="AA1946" s="5" t="s">
        <v>64</v>
      </c>
      <c r="AB1946" s="5" t="s">
        <v>9452</v>
      </c>
      <c r="AC1946" s="6" t="s">
        <v>1450</v>
      </c>
      <c r="AD1946" s="6">
        <v>3946.0</v>
      </c>
    </row>
    <row r="1947" ht="56.25" customHeight="1">
      <c r="A1947" s="5" t="s">
        <v>9330</v>
      </c>
      <c r="B1947" s="6" t="str">
        <f>IMAGE("https://storage.googleapis.com/acdb/housewares/FtrOutdoortableM_Remake_4_0.png")</f>
        <v/>
      </c>
      <c r="C1947" s="5" t="s">
        <v>52</v>
      </c>
      <c r="D1947" s="5" t="s">
        <v>34</v>
      </c>
      <c r="E1947" s="5" t="s">
        <v>57</v>
      </c>
      <c r="F1947" s="5" t="s">
        <v>278</v>
      </c>
      <c r="G1947" s="5" t="s">
        <v>36</v>
      </c>
      <c r="H1947" s="5" t="s">
        <v>36</v>
      </c>
      <c r="I1947" s="5" t="s">
        <v>35</v>
      </c>
      <c r="J1947" s="6">
        <v>1.0</v>
      </c>
      <c r="K1947" s="6">
        <v>2200.0</v>
      </c>
      <c r="L1947" s="6">
        <v>550.0</v>
      </c>
      <c r="M1947" s="26" t="s">
        <v>52</v>
      </c>
      <c r="N1947" s="26" t="s">
        <v>57</v>
      </c>
      <c r="O1947" s="6" t="s">
        <v>276</v>
      </c>
      <c r="P1947" s="5" t="s">
        <v>59</v>
      </c>
      <c r="Q1947" s="5" t="s">
        <v>89</v>
      </c>
      <c r="R1947" s="6" t="s">
        <v>42</v>
      </c>
      <c r="S1947" s="5" t="s">
        <v>765</v>
      </c>
      <c r="T1947" s="5" t="s">
        <v>44</v>
      </c>
      <c r="U1947" s="5" t="s">
        <v>44</v>
      </c>
      <c r="V1947" s="5" t="s">
        <v>44</v>
      </c>
      <c r="W1947" s="5" t="s">
        <v>36</v>
      </c>
      <c r="X1947" s="8" t="s">
        <v>278</v>
      </c>
      <c r="Y1947" s="5" t="s">
        <v>46</v>
      </c>
      <c r="Z1947" s="5" t="s">
        <v>47</v>
      </c>
      <c r="AA1947" s="5" t="s">
        <v>64</v>
      </c>
      <c r="AB1947" s="5" t="s">
        <v>9456</v>
      </c>
      <c r="AC1947" s="6" t="s">
        <v>75</v>
      </c>
      <c r="AD1947" s="6">
        <v>3946.0</v>
      </c>
    </row>
    <row r="1948" ht="56.25" customHeight="1">
      <c r="A1948" s="5" t="s">
        <v>9330</v>
      </c>
      <c r="B1948" s="6" t="str">
        <f>IMAGE("https://storage.googleapis.com/acdb/housewares/FtrOutdoortableM_Remake_4_1.png")</f>
        <v/>
      </c>
      <c r="C1948" s="5" t="s">
        <v>52</v>
      </c>
      <c r="D1948" s="5" t="s">
        <v>34</v>
      </c>
      <c r="E1948" s="5" t="s">
        <v>54</v>
      </c>
      <c r="F1948" s="5" t="s">
        <v>278</v>
      </c>
      <c r="G1948" s="5" t="s">
        <v>36</v>
      </c>
      <c r="H1948" s="5" t="s">
        <v>36</v>
      </c>
      <c r="I1948" s="5" t="s">
        <v>35</v>
      </c>
      <c r="J1948" s="6">
        <v>1.0</v>
      </c>
      <c r="K1948" s="6">
        <v>2200.0</v>
      </c>
      <c r="L1948" s="6">
        <v>550.0</v>
      </c>
      <c r="M1948" s="26" t="s">
        <v>52</v>
      </c>
      <c r="N1948" s="26" t="s">
        <v>54</v>
      </c>
      <c r="O1948" s="6" t="s">
        <v>276</v>
      </c>
      <c r="P1948" s="5" t="s">
        <v>59</v>
      </c>
      <c r="Q1948" s="5" t="s">
        <v>89</v>
      </c>
      <c r="R1948" s="6" t="s">
        <v>42</v>
      </c>
      <c r="S1948" s="5" t="s">
        <v>765</v>
      </c>
      <c r="T1948" s="5" t="s">
        <v>44</v>
      </c>
      <c r="U1948" s="5" t="s">
        <v>44</v>
      </c>
      <c r="V1948" s="5" t="s">
        <v>44</v>
      </c>
      <c r="W1948" s="5" t="s">
        <v>36</v>
      </c>
      <c r="X1948" s="8" t="s">
        <v>278</v>
      </c>
      <c r="Y1948" s="5" t="s">
        <v>46</v>
      </c>
      <c r="Z1948" s="5" t="s">
        <v>47</v>
      </c>
      <c r="AA1948" s="5" t="s">
        <v>64</v>
      </c>
      <c r="AB1948" s="5" t="s">
        <v>9462</v>
      </c>
      <c r="AC1948" s="6" t="s">
        <v>429</v>
      </c>
      <c r="AD1948" s="6">
        <v>3946.0</v>
      </c>
    </row>
    <row r="1949" ht="56.25" customHeight="1">
      <c r="A1949" s="5" t="s">
        <v>9330</v>
      </c>
      <c r="B1949" s="6" t="str">
        <f>IMAGE("https://storage.googleapis.com/acdb/housewares/FtrOutdoortableM_Remake_4_2.png")</f>
        <v/>
      </c>
      <c r="C1949" s="5" t="s">
        <v>52</v>
      </c>
      <c r="D1949" s="5" t="s">
        <v>34</v>
      </c>
      <c r="E1949" s="5" t="s">
        <v>96</v>
      </c>
      <c r="F1949" s="5" t="s">
        <v>278</v>
      </c>
      <c r="G1949" s="5" t="s">
        <v>36</v>
      </c>
      <c r="H1949" s="5" t="s">
        <v>36</v>
      </c>
      <c r="I1949" s="5" t="s">
        <v>35</v>
      </c>
      <c r="J1949" s="6">
        <v>1.0</v>
      </c>
      <c r="K1949" s="6">
        <v>2200.0</v>
      </c>
      <c r="L1949" s="6">
        <v>550.0</v>
      </c>
      <c r="M1949" s="26" t="s">
        <v>52</v>
      </c>
      <c r="N1949" s="26" t="s">
        <v>96</v>
      </c>
      <c r="O1949" s="6" t="s">
        <v>276</v>
      </c>
      <c r="P1949" s="5" t="s">
        <v>59</v>
      </c>
      <c r="Q1949" s="5" t="s">
        <v>89</v>
      </c>
      <c r="R1949" s="6" t="s">
        <v>42</v>
      </c>
      <c r="S1949" s="5" t="s">
        <v>765</v>
      </c>
      <c r="T1949" s="5" t="s">
        <v>44</v>
      </c>
      <c r="U1949" s="5" t="s">
        <v>44</v>
      </c>
      <c r="V1949" s="5" t="s">
        <v>44</v>
      </c>
      <c r="W1949" s="5" t="s">
        <v>36</v>
      </c>
      <c r="X1949" s="8" t="s">
        <v>278</v>
      </c>
      <c r="Y1949" s="5" t="s">
        <v>46</v>
      </c>
      <c r="Z1949" s="5" t="s">
        <v>47</v>
      </c>
      <c r="AA1949" s="5" t="s">
        <v>64</v>
      </c>
      <c r="AB1949" s="5" t="s">
        <v>9466</v>
      </c>
      <c r="AC1949" s="6" t="s">
        <v>434</v>
      </c>
      <c r="AD1949" s="6">
        <v>3946.0</v>
      </c>
    </row>
    <row r="1950" ht="56.25" customHeight="1">
      <c r="A1950" s="5" t="s">
        <v>9330</v>
      </c>
      <c r="B1950" s="6" t="str">
        <f>IMAGE("https://storage.googleapis.com/acdb/housewares/FtrOutdoortableM_Remake_4_3.png")</f>
        <v/>
      </c>
      <c r="C1950" s="5" t="s">
        <v>52</v>
      </c>
      <c r="D1950" s="5" t="s">
        <v>34</v>
      </c>
      <c r="E1950" s="5" t="s">
        <v>68</v>
      </c>
      <c r="F1950" s="5" t="s">
        <v>278</v>
      </c>
      <c r="G1950" s="5" t="s">
        <v>36</v>
      </c>
      <c r="H1950" s="5" t="s">
        <v>36</v>
      </c>
      <c r="I1950" s="5" t="s">
        <v>35</v>
      </c>
      <c r="J1950" s="6">
        <v>1.0</v>
      </c>
      <c r="K1950" s="6">
        <v>2200.0</v>
      </c>
      <c r="L1950" s="6">
        <v>550.0</v>
      </c>
      <c r="M1950" s="26" t="s">
        <v>52</v>
      </c>
      <c r="N1950" s="26" t="s">
        <v>68</v>
      </c>
      <c r="O1950" s="6" t="s">
        <v>276</v>
      </c>
      <c r="P1950" s="5" t="s">
        <v>59</v>
      </c>
      <c r="Q1950" s="5" t="s">
        <v>89</v>
      </c>
      <c r="R1950" s="6" t="s">
        <v>42</v>
      </c>
      <c r="S1950" s="5" t="s">
        <v>765</v>
      </c>
      <c r="T1950" s="5" t="s">
        <v>44</v>
      </c>
      <c r="U1950" s="5" t="s">
        <v>44</v>
      </c>
      <c r="V1950" s="5" t="s">
        <v>44</v>
      </c>
      <c r="W1950" s="5" t="s">
        <v>36</v>
      </c>
      <c r="X1950" s="8" t="s">
        <v>278</v>
      </c>
      <c r="Y1950" s="5" t="s">
        <v>46</v>
      </c>
      <c r="Z1950" s="5" t="s">
        <v>47</v>
      </c>
      <c r="AA1950" s="5" t="s">
        <v>64</v>
      </c>
      <c r="AB1950" s="5" t="s">
        <v>9470</v>
      </c>
      <c r="AC1950" s="6" t="s">
        <v>438</v>
      </c>
      <c r="AD1950" s="6">
        <v>3946.0</v>
      </c>
    </row>
    <row r="1951" ht="56.25" customHeight="1">
      <c r="A1951" s="5" t="s">
        <v>9330</v>
      </c>
      <c r="B1951" s="6" t="str">
        <f>IMAGE("https://storage.googleapis.com/acdb/housewares/FtrOutdoortableM_Remake_4_4.png")</f>
        <v/>
      </c>
      <c r="C1951" s="5" t="s">
        <v>52</v>
      </c>
      <c r="D1951" s="5" t="s">
        <v>34</v>
      </c>
      <c r="E1951" s="5" t="s">
        <v>142</v>
      </c>
      <c r="F1951" s="5" t="s">
        <v>278</v>
      </c>
      <c r="G1951" s="5" t="s">
        <v>36</v>
      </c>
      <c r="H1951" s="5" t="s">
        <v>36</v>
      </c>
      <c r="I1951" s="5" t="s">
        <v>35</v>
      </c>
      <c r="J1951" s="6">
        <v>1.0</v>
      </c>
      <c r="K1951" s="6">
        <v>2200.0</v>
      </c>
      <c r="L1951" s="6">
        <v>550.0</v>
      </c>
      <c r="M1951" s="26" t="s">
        <v>52</v>
      </c>
      <c r="N1951" s="26" t="s">
        <v>142</v>
      </c>
      <c r="O1951" s="6" t="s">
        <v>276</v>
      </c>
      <c r="P1951" s="5" t="s">
        <v>59</v>
      </c>
      <c r="Q1951" s="5" t="s">
        <v>89</v>
      </c>
      <c r="R1951" s="6" t="s">
        <v>42</v>
      </c>
      <c r="S1951" s="5" t="s">
        <v>765</v>
      </c>
      <c r="T1951" s="5" t="s">
        <v>44</v>
      </c>
      <c r="U1951" s="5" t="s">
        <v>44</v>
      </c>
      <c r="V1951" s="5" t="s">
        <v>44</v>
      </c>
      <c r="W1951" s="5" t="s">
        <v>36</v>
      </c>
      <c r="X1951" s="8" t="s">
        <v>278</v>
      </c>
      <c r="Y1951" s="5" t="s">
        <v>46</v>
      </c>
      <c r="Z1951" s="5" t="s">
        <v>47</v>
      </c>
      <c r="AA1951" s="5" t="s">
        <v>64</v>
      </c>
      <c r="AB1951" s="5" t="s">
        <v>9476</v>
      </c>
      <c r="AC1951" s="6" t="s">
        <v>585</v>
      </c>
      <c r="AD1951" s="6">
        <v>3946.0</v>
      </c>
    </row>
    <row r="1952" ht="56.25" customHeight="1">
      <c r="A1952" s="5" t="s">
        <v>9330</v>
      </c>
      <c r="B1952" s="6" t="str">
        <f>IMAGE("https://storage.googleapis.com/acdb/housewares/FtrOutdoortableM_Remake_4_5.png")</f>
        <v/>
      </c>
      <c r="C1952" s="5" t="s">
        <v>52</v>
      </c>
      <c r="D1952" s="5" t="s">
        <v>34</v>
      </c>
      <c r="E1952" s="5" t="s">
        <v>1137</v>
      </c>
      <c r="F1952" s="5" t="s">
        <v>278</v>
      </c>
      <c r="G1952" s="5" t="s">
        <v>36</v>
      </c>
      <c r="H1952" s="5" t="s">
        <v>36</v>
      </c>
      <c r="I1952" s="5" t="s">
        <v>35</v>
      </c>
      <c r="J1952" s="6">
        <v>1.0</v>
      </c>
      <c r="K1952" s="6">
        <v>2200.0</v>
      </c>
      <c r="L1952" s="6">
        <v>550.0</v>
      </c>
      <c r="M1952" s="26" t="s">
        <v>52</v>
      </c>
      <c r="N1952" s="26" t="s">
        <v>38</v>
      </c>
      <c r="O1952" s="6" t="s">
        <v>276</v>
      </c>
      <c r="P1952" s="5" t="s">
        <v>59</v>
      </c>
      <c r="Q1952" s="5" t="s">
        <v>89</v>
      </c>
      <c r="R1952" s="6" t="s">
        <v>42</v>
      </c>
      <c r="S1952" s="5" t="s">
        <v>765</v>
      </c>
      <c r="T1952" s="5" t="s">
        <v>44</v>
      </c>
      <c r="U1952" s="5" t="s">
        <v>44</v>
      </c>
      <c r="V1952" s="5" t="s">
        <v>44</v>
      </c>
      <c r="W1952" s="5" t="s">
        <v>36</v>
      </c>
      <c r="X1952" s="8" t="s">
        <v>278</v>
      </c>
      <c r="Y1952" s="5" t="s">
        <v>46</v>
      </c>
      <c r="Z1952" s="5" t="s">
        <v>47</v>
      </c>
      <c r="AA1952" s="5" t="s">
        <v>64</v>
      </c>
      <c r="AB1952" s="5" t="s">
        <v>9478</v>
      </c>
      <c r="AC1952" s="6" t="s">
        <v>1816</v>
      </c>
      <c r="AD1952" s="6">
        <v>3946.0</v>
      </c>
    </row>
    <row r="1953" ht="56.25" customHeight="1">
      <c r="A1953" s="5" t="s">
        <v>9330</v>
      </c>
      <c r="B1953" s="6" t="str">
        <f>IMAGE("https://storage.googleapis.com/acdb/housewares/FtrOutdoortableM_Remake_4_6.png")</f>
        <v/>
      </c>
      <c r="C1953" s="5" t="s">
        <v>52</v>
      </c>
      <c r="D1953" s="5" t="s">
        <v>34</v>
      </c>
      <c r="E1953" s="5" t="s">
        <v>1132</v>
      </c>
      <c r="F1953" s="5" t="s">
        <v>278</v>
      </c>
      <c r="G1953" s="5" t="s">
        <v>36</v>
      </c>
      <c r="H1953" s="5" t="s">
        <v>36</v>
      </c>
      <c r="I1953" s="5" t="s">
        <v>35</v>
      </c>
      <c r="J1953" s="6">
        <v>1.0</v>
      </c>
      <c r="K1953" s="6">
        <v>2200.0</v>
      </c>
      <c r="L1953" s="6">
        <v>550.0</v>
      </c>
      <c r="M1953" s="26" t="s">
        <v>52</v>
      </c>
      <c r="N1953" s="26" t="s">
        <v>39</v>
      </c>
      <c r="O1953" s="6" t="s">
        <v>276</v>
      </c>
      <c r="P1953" s="5" t="s">
        <v>59</v>
      </c>
      <c r="Q1953" s="5" t="s">
        <v>89</v>
      </c>
      <c r="R1953" s="6" t="s">
        <v>42</v>
      </c>
      <c r="S1953" s="5" t="s">
        <v>765</v>
      </c>
      <c r="T1953" s="5" t="s">
        <v>44</v>
      </c>
      <c r="U1953" s="5" t="s">
        <v>44</v>
      </c>
      <c r="V1953" s="5" t="s">
        <v>44</v>
      </c>
      <c r="W1953" s="5" t="s">
        <v>36</v>
      </c>
      <c r="X1953" s="8" t="s">
        <v>278</v>
      </c>
      <c r="Y1953" s="5" t="s">
        <v>46</v>
      </c>
      <c r="Z1953" s="5" t="s">
        <v>47</v>
      </c>
      <c r="AA1953" s="5" t="s">
        <v>64</v>
      </c>
      <c r="AB1953" s="5" t="s">
        <v>9483</v>
      </c>
      <c r="AC1953" s="6" t="s">
        <v>1820</v>
      </c>
      <c r="AD1953" s="6">
        <v>3946.0</v>
      </c>
    </row>
    <row r="1954" ht="56.25" customHeight="1">
      <c r="A1954" s="5" t="s">
        <v>9485</v>
      </c>
      <c r="B1954" s="6" t="str">
        <f>IMAGE("https://storage.googleapis.com/acdb/housewares/FtrGojyu_Remake_0_0.png")</f>
        <v/>
      </c>
      <c r="C1954" s="5" t="s">
        <v>52</v>
      </c>
      <c r="D1954" s="5" t="s">
        <v>2</v>
      </c>
      <c r="E1954" s="5" t="s">
        <v>34</v>
      </c>
      <c r="F1954" s="5" t="s">
        <v>34</v>
      </c>
      <c r="G1954" s="5" t="s">
        <v>36</v>
      </c>
      <c r="H1954" s="5" t="s">
        <v>35</v>
      </c>
      <c r="I1954" s="5" t="s">
        <v>36</v>
      </c>
      <c r="J1954" s="6">
        <v>3.0</v>
      </c>
      <c r="K1954" s="6" t="s">
        <v>37</v>
      </c>
      <c r="L1954" s="6">
        <v>2030.0</v>
      </c>
      <c r="M1954" s="26" t="s">
        <v>96</v>
      </c>
      <c r="N1954" s="26" t="s">
        <v>52</v>
      </c>
      <c r="O1954" s="6" t="s">
        <v>1243</v>
      </c>
      <c r="P1954" s="5" t="s">
        <v>1284</v>
      </c>
      <c r="Q1954" s="5"/>
      <c r="R1954" s="6" t="s">
        <v>42</v>
      </c>
      <c r="S1954" s="5" t="s">
        <v>696</v>
      </c>
      <c r="T1954" s="5" t="s">
        <v>266</v>
      </c>
      <c r="U1954" s="5" t="s">
        <v>44</v>
      </c>
      <c r="V1954" s="5" t="s">
        <v>44</v>
      </c>
      <c r="W1954" s="5" t="s">
        <v>36</v>
      </c>
      <c r="X1954" s="8" t="s">
        <v>650</v>
      </c>
      <c r="Y1954" s="5" t="s">
        <v>46</v>
      </c>
      <c r="Z1954" s="5" t="s">
        <v>47</v>
      </c>
      <c r="AA1954" s="5" t="s">
        <v>48</v>
      </c>
      <c r="AB1954" s="5" t="s">
        <v>9489</v>
      </c>
      <c r="AC1954" s="6" t="s">
        <v>50</v>
      </c>
      <c r="AD1954" s="6">
        <v>688.0</v>
      </c>
    </row>
    <row r="1955" ht="56.25" customHeight="1">
      <c r="A1955" s="5" t="s">
        <v>9485</v>
      </c>
      <c r="B1955" s="6" t="str">
        <f>IMAGE("https://storage.googleapis.com/acdb/housewares/FtrGojyu_Remake_1_0.png")</f>
        <v/>
      </c>
      <c r="C1955" s="5" t="s">
        <v>366</v>
      </c>
      <c r="D1955" s="5" t="s">
        <v>2</v>
      </c>
      <c r="E1955" s="5" t="s">
        <v>34</v>
      </c>
      <c r="F1955" s="5" t="s">
        <v>34</v>
      </c>
      <c r="G1955" s="5" t="s">
        <v>36</v>
      </c>
      <c r="H1955" s="5" t="s">
        <v>35</v>
      </c>
      <c r="I1955" s="5" t="s">
        <v>36</v>
      </c>
      <c r="J1955" s="6">
        <v>3.0</v>
      </c>
      <c r="K1955" s="6" t="s">
        <v>37</v>
      </c>
      <c r="L1955" s="6">
        <v>2030.0</v>
      </c>
      <c r="M1955" s="26" t="s">
        <v>142</v>
      </c>
      <c r="N1955" s="26" t="s">
        <v>39</v>
      </c>
      <c r="O1955" s="6" t="s">
        <v>1243</v>
      </c>
      <c r="P1955" s="5" t="s">
        <v>1284</v>
      </c>
      <c r="Q1955" s="5"/>
      <c r="R1955" s="6" t="s">
        <v>42</v>
      </c>
      <c r="S1955" s="5" t="s">
        <v>696</v>
      </c>
      <c r="T1955" s="5" t="s">
        <v>266</v>
      </c>
      <c r="U1955" s="5" t="s">
        <v>44</v>
      </c>
      <c r="V1955" s="5" t="s">
        <v>44</v>
      </c>
      <c r="W1955" s="5" t="s">
        <v>36</v>
      </c>
      <c r="X1955" s="8" t="s">
        <v>650</v>
      </c>
      <c r="Y1955" s="5" t="s">
        <v>46</v>
      </c>
      <c r="Z1955" s="5" t="s">
        <v>47</v>
      </c>
      <c r="AA1955" s="5" t="s">
        <v>48</v>
      </c>
      <c r="AB1955" s="5" t="s">
        <v>9494</v>
      </c>
      <c r="AC1955" s="6" t="s">
        <v>56</v>
      </c>
      <c r="AD1955" s="6">
        <v>688.0</v>
      </c>
    </row>
    <row r="1956" ht="56.25" customHeight="1">
      <c r="A1956" s="5" t="s">
        <v>9485</v>
      </c>
      <c r="B1956" s="6" t="str">
        <f>IMAGE("https://storage.googleapis.com/acdb/housewares/FtrGojyu_Remake_2_0.png")</f>
        <v/>
      </c>
      <c r="C1956" s="5" t="s">
        <v>1132</v>
      </c>
      <c r="D1956" s="5" t="s">
        <v>2</v>
      </c>
      <c r="E1956" s="5" t="s">
        <v>34</v>
      </c>
      <c r="F1956" s="5" t="s">
        <v>34</v>
      </c>
      <c r="G1956" s="5" t="s">
        <v>36</v>
      </c>
      <c r="H1956" s="5" t="s">
        <v>35</v>
      </c>
      <c r="I1956" s="5" t="s">
        <v>36</v>
      </c>
      <c r="J1956" s="6">
        <v>3.0</v>
      </c>
      <c r="K1956" s="6" t="s">
        <v>37</v>
      </c>
      <c r="L1956" s="6">
        <v>2030.0</v>
      </c>
      <c r="M1956" s="26" t="s">
        <v>39</v>
      </c>
      <c r="N1956" s="26" t="s">
        <v>39</v>
      </c>
      <c r="O1956" s="6" t="s">
        <v>1243</v>
      </c>
      <c r="P1956" s="5" t="s">
        <v>1284</v>
      </c>
      <c r="Q1956" s="5"/>
      <c r="R1956" s="6" t="s">
        <v>42</v>
      </c>
      <c r="S1956" s="5" t="s">
        <v>696</v>
      </c>
      <c r="T1956" s="5" t="s">
        <v>266</v>
      </c>
      <c r="U1956" s="5" t="s">
        <v>44</v>
      </c>
      <c r="V1956" s="5" t="s">
        <v>44</v>
      </c>
      <c r="W1956" s="5" t="s">
        <v>36</v>
      </c>
      <c r="X1956" s="8" t="s">
        <v>650</v>
      </c>
      <c r="Y1956" s="5" t="s">
        <v>46</v>
      </c>
      <c r="Z1956" s="5" t="s">
        <v>47</v>
      </c>
      <c r="AA1956" s="5" t="s">
        <v>48</v>
      </c>
      <c r="AB1956" s="5" t="s">
        <v>9499</v>
      </c>
      <c r="AC1956" s="6" t="s">
        <v>67</v>
      </c>
      <c r="AD1956" s="6">
        <v>688.0</v>
      </c>
    </row>
    <row r="1957" ht="56.25" customHeight="1">
      <c r="A1957" s="5" t="s">
        <v>9500</v>
      </c>
      <c r="B1957" s="6" t="str">
        <f>IMAGE("https://storage.googleapis.com/acdb/housewares/FtrPalmtreelamp_Remake_0_0.png")</f>
        <v/>
      </c>
      <c r="C1957" s="5" t="s">
        <v>32</v>
      </c>
      <c r="D1957" s="5" t="s">
        <v>2</v>
      </c>
      <c r="E1957" s="5" t="s">
        <v>34</v>
      </c>
      <c r="F1957" s="5" t="s">
        <v>34</v>
      </c>
      <c r="G1957" s="5" t="s">
        <v>35</v>
      </c>
      <c r="H1957" s="5" t="s">
        <v>35</v>
      </c>
      <c r="I1957" s="5" t="s">
        <v>36</v>
      </c>
      <c r="J1957" s="6">
        <v>5.0</v>
      </c>
      <c r="K1957" s="6" t="s">
        <v>37</v>
      </c>
      <c r="L1957" s="6">
        <v>3280.0</v>
      </c>
      <c r="M1957" s="26" t="s">
        <v>96</v>
      </c>
      <c r="N1957" s="26" t="s">
        <v>142</v>
      </c>
      <c r="O1957" s="6" t="s">
        <v>1243</v>
      </c>
      <c r="P1957" s="5" t="s">
        <v>41</v>
      </c>
      <c r="Q1957" s="5"/>
      <c r="R1957" s="6" t="s">
        <v>42</v>
      </c>
      <c r="S1957" s="5" t="s">
        <v>138</v>
      </c>
      <c r="T1957" s="5" t="s">
        <v>44</v>
      </c>
      <c r="U1957" s="5" t="s">
        <v>44</v>
      </c>
      <c r="V1957" s="5" t="s">
        <v>44</v>
      </c>
      <c r="W1957" s="5" t="s">
        <v>35</v>
      </c>
      <c r="X1957" s="8" t="s">
        <v>467</v>
      </c>
      <c r="Y1957" s="5" t="s">
        <v>46</v>
      </c>
      <c r="Z1957" s="5" t="s">
        <v>502</v>
      </c>
      <c r="AA1957" s="5" t="s">
        <v>48</v>
      </c>
      <c r="AB1957" s="5" t="s">
        <v>9506</v>
      </c>
      <c r="AC1957" s="6" t="s">
        <v>50</v>
      </c>
      <c r="AD1957" s="6">
        <v>7259.0</v>
      </c>
    </row>
    <row r="1958" ht="56.25" customHeight="1">
      <c r="A1958" s="5" t="s">
        <v>9500</v>
      </c>
      <c r="B1958" s="6" t="str">
        <f>IMAGE("https://storage.googleapis.com/acdb/housewares/FtrPalmtreelamp_Remake_1_0.png")</f>
        <v/>
      </c>
      <c r="C1958" s="5" t="s">
        <v>9507</v>
      </c>
      <c r="D1958" s="5" t="s">
        <v>2</v>
      </c>
      <c r="E1958" s="5" t="s">
        <v>34</v>
      </c>
      <c r="F1958" s="5" t="s">
        <v>34</v>
      </c>
      <c r="G1958" s="5" t="s">
        <v>35</v>
      </c>
      <c r="H1958" s="5" t="s">
        <v>35</v>
      </c>
      <c r="I1958" s="5" t="s">
        <v>36</v>
      </c>
      <c r="J1958" s="6">
        <v>5.0</v>
      </c>
      <c r="K1958" s="6" t="s">
        <v>37</v>
      </c>
      <c r="L1958" s="6">
        <v>3280.0</v>
      </c>
      <c r="M1958" s="26" t="s">
        <v>114</v>
      </c>
      <c r="N1958" s="26" t="s">
        <v>96</v>
      </c>
      <c r="O1958" s="6" t="s">
        <v>1243</v>
      </c>
      <c r="P1958" s="5" t="s">
        <v>41</v>
      </c>
      <c r="Q1958" s="5"/>
      <c r="R1958" s="6" t="s">
        <v>42</v>
      </c>
      <c r="S1958" s="5" t="s">
        <v>138</v>
      </c>
      <c r="T1958" s="5" t="s">
        <v>44</v>
      </c>
      <c r="U1958" s="5" t="s">
        <v>44</v>
      </c>
      <c r="V1958" s="5" t="s">
        <v>44</v>
      </c>
      <c r="W1958" s="5" t="s">
        <v>35</v>
      </c>
      <c r="X1958" s="8" t="s">
        <v>467</v>
      </c>
      <c r="Y1958" s="5" t="s">
        <v>46</v>
      </c>
      <c r="Z1958" s="5" t="s">
        <v>502</v>
      </c>
      <c r="AA1958" s="5" t="s">
        <v>48</v>
      </c>
      <c r="AB1958" s="5" t="s">
        <v>9511</v>
      </c>
      <c r="AC1958" s="6" t="s">
        <v>56</v>
      </c>
      <c r="AD1958" s="6">
        <v>7259.0</v>
      </c>
    </row>
    <row r="1959" ht="56.25" customHeight="1">
      <c r="A1959" s="5" t="s">
        <v>9500</v>
      </c>
      <c r="B1959" s="6" t="str">
        <f>IMAGE("https://storage.googleapis.com/acdb/housewares/FtrPalmtreelamp_Remake_2_0.png")</f>
        <v/>
      </c>
      <c r="C1959" s="5" t="s">
        <v>1959</v>
      </c>
      <c r="D1959" s="5" t="s">
        <v>2</v>
      </c>
      <c r="E1959" s="5" t="s">
        <v>34</v>
      </c>
      <c r="F1959" s="5" t="s">
        <v>34</v>
      </c>
      <c r="G1959" s="5" t="s">
        <v>35</v>
      </c>
      <c r="H1959" s="5" t="s">
        <v>35</v>
      </c>
      <c r="I1959" s="5" t="s">
        <v>36</v>
      </c>
      <c r="J1959" s="6">
        <v>5.0</v>
      </c>
      <c r="K1959" s="6" t="s">
        <v>37</v>
      </c>
      <c r="L1959" s="6">
        <v>3280.0</v>
      </c>
      <c r="M1959" s="26" t="s">
        <v>69</v>
      </c>
      <c r="N1959" s="26" t="s">
        <v>69</v>
      </c>
      <c r="O1959" s="6" t="s">
        <v>1243</v>
      </c>
      <c r="P1959" s="5" t="s">
        <v>41</v>
      </c>
      <c r="Q1959" s="5"/>
      <c r="R1959" s="6" t="s">
        <v>42</v>
      </c>
      <c r="S1959" s="5" t="s">
        <v>138</v>
      </c>
      <c r="T1959" s="5" t="s">
        <v>44</v>
      </c>
      <c r="U1959" s="5" t="s">
        <v>44</v>
      </c>
      <c r="V1959" s="5" t="s">
        <v>44</v>
      </c>
      <c r="W1959" s="5" t="s">
        <v>35</v>
      </c>
      <c r="X1959" s="8" t="s">
        <v>467</v>
      </c>
      <c r="Y1959" s="5" t="s">
        <v>46</v>
      </c>
      <c r="Z1959" s="5" t="s">
        <v>502</v>
      </c>
      <c r="AA1959" s="5" t="s">
        <v>48</v>
      </c>
      <c r="AB1959" s="5" t="s">
        <v>9515</v>
      </c>
      <c r="AC1959" s="6" t="s">
        <v>67</v>
      </c>
      <c r="AD1959" s="6">
        <v>7259.0</v>
      </c>
    </row>
    <row r="1960" ht="56.25" customHeight="1">
      <c r="A1960" s="5" t="s">
        <v>9500</v>
      </c>
      <c r="B1960" s="6" t="str">
        <f>IMAGE("https://storage.googleapis.com/acdb/housewares/FtrPalmtreelamp_Remake_3_0.png")</f>
        <v/>
      </c>
      <c r="C1960" s="5" t="s">
        <v>1952</v>
      </c>
      <c r="D1960" s="5" t="s">
        <v>2</v>
      </c>
      <c r="E1960" s="5" t="s">
        <v>34</v>
      </c>
      <c r="F1960" s="5" t="s">
        <v>34</v>
      </c>
      <c r="G1960" s="5" t="s">
        <v>35</v>
      </c>
      <c r="H1960" s="5" t="s">
        <v>35</v>
      </c>
      <c r="I1960" s="5" t="s">
        <v>36</v>
      </c>
      <c r="J1960" s="6">
        <v>5.0</v>
      </c>
      <c r="K1960" s="6" t="s">
        <v>37</v>
      </c>
      <c r="L1960" s="6">
        <v>3280.0</v>
      </c>
      <c r="M1960" s="26" t="s">
        <v>68</v>
      </c>
      <c r="N1960" s="26" t="s">
        <v>68</v>
      </c>
      <c r="O1960" s="6" t="s">
        <v>1243</v>
      </c>
      <c r="P1960" s="5" t="s">
        <v>41</v>
      </c>
      <c r="Q1960" s="5"/>
      <c r="R1960" s="6" t="s">
        <v>42</v>
      </c>
      <c r="S1960" s="5" t="s">
        <v>138</v>
      </c>
      <c r="T1960" s="5" t="s">
        <v>44</v>
      </c>
      <c r="U1960" s="5" t="s">
        <v>44</v>
      </c>
      <c r="V1960" s="5" t="s">
        <v>44</v>
      </c>
      <c r="W1960" s="5" t="s">
        <v>35</v>
      </c>
      <c r="X1960" s="8" t="s">
        <v>467</v>
      </c>
      <c r="Y1960" s="5" t="s">
        <v>46</v>
      </c>
      <c r="Z1960" s="5" t="s">
        <v>502</v>
      </c>
      <c r="AA1960" s="5" t="s">
        <v>48</v>
      </c>
      <c r="AB1960" s="5" t="s">
        <v>9520</v>
      </c>
      <c r="AC1960" s="6" t="s">
        <v>71</v>
      </c>
      <c r="AD1960" s="6">
        <v>7259.0</v>
      </c>
    </row>
    <row r="1961" ht="56.25" customHeight="1">
      <c r="A1961" s="5" t="s">
        <v>9521</v>
      </c>
      <c r="B1961" s="6" t="str">
        <f>IMAGE("https://storage.googleapis.com/acdb/housewares/FtrFlowerTableS_Remake_0_0.png")</f>
        <v/>
      </c>
      <c r="C1961" s="5" t="s">
        <v>114</v>
      </c>
      <c r="D1961" s="5" t="s">
        <v>2163</v>
      </c>
      <c r="E1961" s="5" t="s">
        <v>34</v>
      </c>
      <c r="F1961" s="5" t="s">
        <v>34</v>
      </c>
      <c r="G1961" s="5" t="s">
        <v>35</v>
      </c>
      <c r="H1961" s="5" t="s">
        <v>35</v>
      </c>
      <c r="I1961" s="5" t="s">
        <v>36</v>
      </c>
      <c r="J1961" s="6">
        <v>2.0</v>
      </c>
      <c r="K1961" s="6" t="s">
        <v>37</v>
      </c>
      <c r="L1961" s="6">
        <v>760.0</v>
      </c>
      <c r="M1961" s="26" t="s">
        <v>114</v>
      </c>
      <c r="N1961" s="26" t="s">
        <v>96</v>
      </c>
      <c r="O1961" s="6" t="s">
        <v>40</v>
      </c>
      <c r="P1961" s="5" t="s">
        <v>41</v>
      </c>
      <c r="Q1961" s="5"/>
      <c r="R1961" s="6" t="s">
        <v>42</v>
      </c>
      <c r="S1961" s="5" t="s">
        <v>61</v>
      </c>
      <c r="T1961" s="5" t="s">
        <v>44</v>
      </c>
      <c r="U1961" s="5" t="s">
        <v>311</v>
      </c>
      <c r="V1961" s="5" t="s">
        <v>44</v>
      </c>
      <c r="W1961" s="5" t="s">
        <v>36</v>
      </c>
      <c r="X1961" s="8" t="s">
        <v>278</v>
      </c>
      <c r="Y1961" s="5" t="s">
        <v>46</v>
      </c>
      <c r="Z1961" s="5" t="s">
        <v>47</v>
      </c>
      <c r="AA1961" s="5" t="s">
        <v>48</v>
      </c>
      <c r="AB1961" s="5" t="s">
        <v>9526</v>
      </c>
      <c r="AC1961" s="6" t="s">
        <v>50</v>
      </c>
      <c r="AD1961" s="6">
        <v>7237.0</v>
      </c>
    </row>
    <row r="1962" ht="56.25" customHeight="1">
      <c r="A1962" s="5" t="s">
        <v>9521</v>
      </c>
      <c r="B1962" s="6" t="str">
        <f>IMAGE("https://storage.googleapis.com/acdb/housewares/FtrFlowerTableS_Remake_1_0.png")</f>
        <v/>
      </c>
      <c r="C1962" s="5" t="s">
        <v>52</v>
      </c>
      <c r="D1962" s="5" t="s">
        <v>2163</v>
      </c>
      <c r="E1962" s="5" t="s">
        <v>34</v>
      </c>
      <c r="F1962" s="5" t="s">
        <v>34</v>
      </c>
      <c r="G1962" s="5" t="s">
        <v>35</v>
      </c>
      <c r="H1962" s="5" t="s">
        <v>35</v>
      </c>
      <c r="I1962" s="5" t="s">
        <v>36</v>
      </c>
      <c r="J1962" s="6">
        <v>2.0</v>
      </c>
      <c r="K1962" s="6" t="s">
        <v>37</v>
      </c>
      <c r="L1962" s="6">
        <v>760.0</v>
      </c>
      <c r="M1962" s="26" t="s">
        <v>52</v>
      </c>
      <c r="N1962" s="26" t="s">
        <v>96</v>
      </c>
      <c r="O1962" s="6" t="s">
        <v>40</v>
      </c>
      <c r="P1962" s="5" t="s">
        <v>41</v>
      </c>
      <c r="Q1962" s="5"/>
      <c r="R1962" s="6" t="s">
        <v>42</v>
      </c>
      <c r="S1962" s="5" t="s">
        <v>61</v>
      </c>
      <c r="T1962" s="5" t="s">
        <v>44</v>
      </c>
      <c r="U1962" s="5" t="s">
        <v>311</v>
      </c>
      <c r="V1962" s="5" t="s">
        <v>44</v>
      </c>
      <c r="W1962" s="5" t="s">
        <v>36</v>
      </c>
      <c r="X1962" s="8" t="s">
        <v>278</v>
      </c>
      <c r="Y1962" s="5" t="s">
        <v>46</v>
      </c>
      <c r="Z1962" s="5" t="s">
        <v>47</v>
      </c>
      <c r="AA1962" s="5" t="s">
        <v>48</v>
      </c>
      <c r="AB1962" s="5" t="s">
        <v>9532</v>
      </c>
      <c r="AC1962" s="6" t="s">
        <v>56</v>
      </c>
      <c r="AD1962" s="6">
        <v>7237.0</v>
      </c>
    </row>
    <row r="1963" ht="56.25" customHeight="1">
      <c r="A1963" s="5" t="s">
        <v>9521</v>
      </c>
      <c r="B1963" s="6" t="str">
        <f>IMAGE("https://storage.googleapis.com/acdb/housewares/FtrFlowerTableS_Remake_2_0.png")</f>
        <v/>
      </c>
      <c r="C1963" s="5" t="s">
        <v>57</v>
      </c>
      <c r="D1963" s="5" t="s">
        <v>2163</v>
      </c>
      <c r="E1963" s="5" t="s">
        <v>34</v>
      </c>
      <c r="F1963" s="5" t="s">
        <v>34</v>
      </c>
      <c r="G1963" s="5" t="s">
        <v>35</v>
      </c>
      <c r="H1963" s="5" t="s">
        <v>35</v>
      </c>
      <c r="I1963" s="5" t="s">
        <v>36</v>
      </c>
      <c r="J1963" s="6">
        <v>2.0</v>
      </c>
      <c r="K1963" s="6" t="s">
        <v>37</v>
      </c>
      <c r="L1963" s="6">
        <v>760.0</v>
      </c>
      <c r="M1963" s="26" t="s">
        <v>57</v>
      </c>
      <c r="N1963" s="26" t="s">
        <v>96</v>
      </c>
      <c r="O1963" s="6" t="s">
        <v>40</v>
      </c>
      <c r="P1963" s="5" t="s">
        <v>41</v>
      </c>
      <c r="Q1963" s="5"/>
      <c r="R1963" s="6" t="s">
        <v>42</v>
      </c>
      <c r="S1963" s="5" t="s">
        <v>61</v>
      </c>
      <c r="T1963" s="5" t="s">
        <v>44</v>
      </c>
      <c r="U1963" s="5" t="s">
        <v>311</v>
      </c>
      <c r="V1963" s="5" t="s">
        <v>44</v>
      </c>
      <c r="W1963" s="5" t="s">
        <v>36</v>
      </c>
      <c r="X1963" s="8" t="s">
        <v>278</v>
      </c>
      <c r="Y1963" s="5" t="s">
        <v>46</v>
      </c>
      <c r="Z1963" s="5" t="s">
        <v>47</v>
      </c>
      <c r="AA1963" s="5" t="s">
        <v>48</v>
      </c>
      <c r="AB1963" s="5" t="s">
        <v>9537</v>
      </c>
      <c r="AC1963" s="6" t="s">
        <v>67</v>
      </c>
      <c r="AD1963" s="6">
        <v>7237.0</v>
      </c>
    </row>
    <row r="1964" ht="56.25" customHeight="1">
      <c r="A1964" s="5" t="s">
        <v>9538</v>
      </c>
      <c r="B1964" s="6" t="str">
        <f>IMAGE("https://storage.googleapis.com/acdb/housewares/FtrPantspresser_Remake_0_0.png")</f>
        <v/>
      </c>
      <c r="C1964" s="5" t="s">
        <v>39</v>
      </c>
      <c r="D1964" s="5" t="s">
        <v>34</v>
      </c>
      <c r="E1964" s="5" t="s">
        <v>34</v>
      </c>
      <c r="F1964" s="5" t="s">
        <v>34</v>
      </c>
      <c r="G1964" s="5" t="s">
        <v>36</v>
      </c>
      <c r="H1964" s="5" t="s">
        <v>36</v>
      </c>
      <c r="I1964" s="5" t="s">
        <v>36</v>
      </c>
      <c r="J1964" s="6" t="s">
        <v>34</v>
      </c>
      <c r="K1964" s="6">
        <v>1900.0</v>
      </c>
      <c r="L1964" s="6">
        <v>475.0</v>
      </c>
      <c r="M1964" s="26" t="s">
        <v>52</v>
      </c>
      <c r="N1964" s="26" t="s">
        <v>95</v>
      </c>
      <c r="O1964" s="6" t="s">
        <v>40</v>
      </c>
      <c r="P1964" s="5" t="s">
        <v>59</v>
      </c>
      <c r="Q1964" s="5" t="s">
        <v>122</v>
      </c>
      <c r="R1964" s="6" t="s">
        <v>42</v>
      </c>
      <c r="S1964" s="5" t="s">
        <v>141</v>
      </c>
      <c r="T1964" s="5" t="s">
        <v>44</v>
      </c>
      <c r="U1964" s="5" t="s">
        <v>44</v>
      </c>
      <c r="V1964" s="5" t="s">
        <v>44</v>
      </c>
      <c r="W1964" s="5" t="s">
        <v>35</v>
      </c>
      <c r="X1964" s="8" t="s">
        <v>182</v>
      </c>
      <c r="Y1964" s="5" t="s">
        <v>46</v>
      </c>
      <c r="Z1964" s="5" t="s">
        <v>47</v>
      </c>
      <c r="AA1964" s="5" t="s">
        <v>64</v>
      </c>
      <c r="AB1964" s="5" t="s">
        <v>9542</v>
      </c>
      <c r="AC1964" s="6" t="s">
        <v>50</v>
      </c>
      <c r="AD1964" s="6">
        <v>4023.0</v>
      </c>
    </row>
    <row r="1965" ht="56.25" customHeight="1">
      <c r="A1965" s="5" t="s">
        <v>9538</v>
      </c>
      <c r="B1965" s="6" t="str">
        <f>IMAGE("https://storage.googleapis.com/acdb/housewares/FtrPantspresser_Remake_1_0.png")</f>
        <v/>
      </c>
      <c r="C1965" s="5" t="s">
        <v>54</v>
      </c>
      <c r="D1965" s="5" t="s">
        <v>34</v>
      </c>
      <c r="E1965" s="5" t="s">
        <v>34</v>
      </c>
      <c r="F1965" s="5" t="s">
        <v>34</v>
      </c>
      <c r="G1965" s="5" t="s">
        <v>36</v>
      </c>
      <c r="H1965" s="5" t="s">
        <v>36</v>
      </c>
      <c r="I1965" s="5" t="s">
        <v>36</v>
      </c>
      <c r="J1965" s="6" t="s">
        <v>34</v>
      </c>
      <c r="K1965" s="6">
        <v>1900.0</v>
      </c>
      <c r="L1965" s="6">
        <v>475.0</v>
      </c>
      <c r="M1965" s="26" t="s">
        <v>39</v>
      </c>
      <c r="N1965" s="26" t="s">
        <v>57</v>
      </c>
      <c r="O1965" s="6" t="s">
        <v>40</v>
      </c>
      <c r="P1965" s="5" t="s">
        <v>59</v>
      </c>
      <c r="Q1965" s="5" t="s">
        <v>122</v>
      </c>
      <c r="R1965" s="6" t="s">
        <v>42</v>
      </c>
      <c r="S1965" s="5" t="s">
        <v>141</v>
      </c>
      <c r="T1965" s="5" t="s">
        <v>44</v>
      </c>
      <c r="U1965" s="5" t="s">
        <v>44</v>
      </c>
      <c r="V1965" s="5" t="s">
        <v>44</v>
      </c>
      <c r="W1965" s="5" t="s">
        <v>35</v>
      </c>
      <c r="X1965" s="8" t="s">
        <v>182</v>
      </c>
      <c r="Y1965" s="5" t="s">
        <v>46</v>
      </c>
      <c r="Z1965" s="5" t="s">
        <v>47</v>
      </c>
      <c r="AA1965" s="5" t="s">
        <v>64</v>
      </c>
      <c r="AB1965" s="5" t="s">
        <v>9546</v>
      </c>
      <c r="AC1965" s="6" t="s">
        <v>56</v>
      </c>
      <c r="AD1965" s="6">
        <v>4023.0</v>
      </c>
    </row>
    <row r="1966" ht="56.25" customHeight="1">
      <c r="A1966" s="5" t="s">
        <v>9538</v>
      </c>
      <c r="B1966" s="6" t="str">
        <f>IMAGE("https://storage.googleapis.com/acdb/housewares/FtrPantspresser_Remake_2_0.png")</f>
        <v/>
      </c>
      <c r="C1966" s="5" t="s">
        <v>95</v>
      </c>
      <c r="D1966" s="5" t="s">
        <v>34</v>
      </c>
      <c r="E1966" s="5" t="s">
        <v>34</v>
      </c>
      <c r="F1966" s="5" t="s">
        <v>34</v>
      </c>
      <c r="G1966" s="5" t="s">
        <v>36</v>
      </c>
      <c r="H1966" s="5" t="s">
        <v>36</v>
      </c>
      <c r="I1966" s="5" t="s">
        <v>36</v>
      </c>
      <c r="J1966" s="6" t="s">
        <v>34</v>
      </c>
      <c r="K1966" s="6">
        <v>1900.0</v>
      </c>
      <c r="L1966" s="6">
        <v>475.0</v>
      </c>
      <c r="M1966" s="26" t="s">
        <v>95</v>
      </c>
      <c r="N1966" s="26" t="s">
        <v>68</v>
      </c>
      <c r="O1966" s="6" t="s">
        <v>40</v>
      </c>
      <c r="P1966" s="5" t="s">
        <v>59</v>
      </c>
      <c r="Q1966" s="5" t="s">
        <v>122</v>
      </c>
      <c r="R1966" s="6" t="s">
        <v>42</v>
      </c>
      <c r="S1966" s="5" t="s">
        <v>141</v>
      </c>
      <c r="T1966" s="5" t="s">
        <v>44</v>
      </c>
      <c r="U1966" s="5" t="s">
        <v>44</v>
      </c>
      <c r="V1966" s="5" t="s">
        <v>44</v>
      </c>
      <c r="W1966" s="5" t="s">
        <v>35</v>
      </c>
      <c r="X1966" s="8" t="s">
        <v>182</v>
      </c>
      <c r="Y1966" s="5" t="s">
        <v>46</v>
      </c>
      <c r="Z1966" s="5" t="s">
        <v>47</v>
      </c>
      <c r="AA1966" s="5" t="s">
        <v>64</v>
      </c>
      <c r="AB1966" s="5" t="s">
        <v>9551</v>
      </c>
      <c r="AC1966" s="6" t="s">
        <v>67</v>
      </c>
      <c r="AD1966" s="6">
        <v>4023.0</v>
      </c>
    </row>
    <row r="1967" ht="56.25" customHeight="1">
      <c r="A1967" s="5" t="s">
        <v>9552</v>
      </c>
      <c r="B1967" s="6" t="str">
        <f>IMAGE("https://storage.googleapis.com/acdb/housewares/FtrBearL_Remake_0_0.png")</f>
        <v/>
      </c>
      <c r="C1967" s="5" t="s">
        <v>307</v>
      </c>
      <c r="D1967" s="5" t="s">
        <v>34</v>
      </c>
      <c r="E1967" s="5" t="s">
        <v>44</v>
      </c>
      <c r="F1967" s="5" t="s">
        <v>5397</v>
      </c>
      <c r="G1967" s="5" t="s">
        <v>36</v>
      </c>
      <c r="H1967" s="5" t="s">
        <v>36</v>
      </c>
      <c r="I1967" s="5" t="s">
        <v>35</v>
      </c>
      <c r="J1967" s="6">
        <v>3.0</v>
      </c>
      <c r="K1967" s="6">
        <v>8500.0</v>
      </c>
      <c r="L1967" s="6">
        <v>2125.0</v>
      </c>
      <c r="M1967" s="26" t="s">
        <v>142</v>
      </c>
      <c r="N1967" s="26" t="s">
        <v>38</v>
      </c>
      <c r="O1967" s="6" t="s">
        <v>214</v>
      </c>
      <c r="P1967" s="5" t="s">
        <v>59</v>
      </c>
      <c r="Q1967" s="5" t="s">
        <v>115</v>
      </c>
      <c r="R1967" s="6" t="s">
        <v>42</v>
      </c>
      <c r="S1967" s="5" t="s">
        <v>61</v>
      </c>
      <c r="T1967" s="5" t="s">
        <v>99</v>
      </c>
      <c r="U1967" s="5" t="s">
        <v>44</v>
      </c>
      <c r="V1967" s="5" t="s">
        <v>329</v>
      </c>
      <c r="W1967" s="5" t="s">
        <v>36</v>
      </c>
      <c r="X1967" s="8" t="s">
        <v>330</v>
      </c>
      <c r="Y1967" s="5" t="s">
        <v>46</v>
      </c>
      <c r="Z1967" s="5" t="s">
        <v>47</v>
      </c>
      <c r="AA1967" s="5" t="s">
        <v>64</v>
      </c>
      <c r="AB1967" s="5" t="s">
        <v>9559</v>
      </c>
      <c r="AC1967" s="6" t="s">
        <v>50</v>
      </c>
      <c r="AD1967" s="6">
        <v>1499.0</v>
      </c>
    </row>
    <row r="1968" ht="56.25" customHeight="1">
      <c r="A1968" s="5" t="s">
        <v>9552</v>
      </c>
      <c r="B1968" s="6" t="str">
        <f>IMAGE("https://storage.googleapis.com/acdb/housewares/FtrBearL_Remake_0_1.png")</f>
        <v/>
      </c>
      <c r="C1968" s="5" t="s">
        <v>307</v>
      </c>
      <c r="D1968" s="5" t="s">
        <v>34</v>
      </c>
      <c r="E1968" s="5" t="s">
        <v>52</v>
      </c>
      <c r="F1968" s="5" t="s">
        <v>5397</v>
      </c>
      <c r="G1968" s="5" t="s">
        <v>36</v>
      </c>
      <c r="H1968" s="5" t="s">
        <v>36</v>
      </c>
      <c r="I1968" s="5" t="s">
        <v>35</v>
      </c>
      <c r="J1968" s="6">
        <v>3.0</v>
      </c>
      <c r="K1968" s="6">
        <v>8500.0</v>
      </c>
      <c r="L1968" s="6">
        <v>2125.0</v>
      </c>
      <c r="M1968" s="26" t="s">
        <v>142</v>
      </c>
      <c r="N1968" s="26" t="s">
        <v>52</v>
      </c>
      <c r="O1968" s="6" t="s">
        <v>214</v>
      </c>
      <c r="P1968" s="5" t="s">
        <v>59</v>
      </c>
      <c r="Q1968" s="5" t="s">
        <v>115</v>
      </c>
      <c r="R1968" s="6" t="s">
        <v>42</v>
      </c>
      <c r="S1968" s="5" t="s">
        <v>61</v>
      </c>
      <c r="T1968" s="5" t="s">
        <v>99</v>
      </c>
      <c r="U1968" s="5" t="s">
        <v>44</v>
      </c>
      <c r="V1968" s="5" t="s">
        <v>329</v>
      </c>
      <c r="W1968" s="5" t="s">
        <v>36</v>
      </c>
      <c r="X1968" s="8" t="s">
        <v>330</v>
      </c>
      <c r="Y1968" s="5" t="s">
        <v>46</v>
      </c>
      <c r="Z1968" s="5" t="s">
        <v>47</v>
      </c>
      <c r="AA1968" s="5" t="s">
        <v>64</v>
      </c>
      <c r="AB1968" s="5" t="s">
        <v>9563</v>
      </c>
      <c r="AC1968" s="6" t="s">
        <v>217</v>
      </c>
      <c r="AD1968" s="6">
        <v>1499.0</v>
      </c>
    </row>
    <row r="1969" ht="56.25" customHeight="1">
      <c r="A1969" s="5" t="s">
        <v>9552</v>
      </c>
      <c r="B1969" s="6" t="str">
        <f>IMAGE("https://storage.googleapis.com/acdb/housewares/FtrBearL_Remake_0_2.png")</f>
        <v/>
      </c>
      <c r="C1969" s="5" t="s">
        <v>307</v>
      </c>
      <c r="D1969" s="5" t="s">
        <v>34</v>
      </c>
      <c r="E1969" s="5" t="s">
        <v>68</v>
      </c>
      <c r="F1969" s="5" t="s">
        <v>5397</v>
      </c>
      <c r="G1969" s="5" t="s">
        <v>36</v>
      </c>
      <c r="H1969" s="5" t="s">
        <v>36</v>
      </c>
      <c r="I1969" s="5" t="s">
        <v>35</v>
      </c>
      <c r="J1969" s="6">
        <v>3.0</v>
      </c>
      <c r="K1969" s="6">
        <v>8500.0</v>
      </c>
      <c r="L1969" s="6">
        <v>2125.0</v>
      </c>
      <c r="M1969" s="26" t="s">
        <v>142</v>
      </c>
      <c r="N1969" s="26" t="s">
        <v>68</v>
      </c>
      <c r="O1969" s="6" t="s">
        <v>214</v>
      </c>
      <c r="P1969" s="5" t="s">
        <v>59</v>
      </c>
      <c r="Q1969" s="5" t="s">
        <v>115</v>
      </c>
      <c r="R1969" s="6" t="s">
        <v>42</v>
      </c>
      <c r="S1969" s="5" t="s">
        <v>61</v>
      </c>
      <c r="T1969" s="5" t="s">
        <v>99</v>
      </c>
      <c r="U1969" s="5" t="s">
        <v>44</v>
      </c>
      <c r="V1969" s="5" t="s">
        <v>329</v>
      </c>
      <c r="W1969" s="5" t="s">
        <v>36</v>
      </c>
      <c r="X1969" s="8" t="s">
        <v>330</v>
      </c>
      <c r="Y1969" s="5" t="s">
        <v>46</v>
      </c>
      <c r="Z1969" s="5" t="s">
        <v>47</v>
      </c>
      <c r="AA1969" s="5" t="s">
        <v>64</v>
      </c>
      <c r="AB1969" s="5" t="s">
        <v>9568</v>
      </c>
      <c r="AC1969" s="6" t="s">
        <v>347</v>
      </c>
      <c r="AD1969" s="6">
        <v>1499.0</v>
      </c>
    </row>
    <row r="1970" ht="56.25" customHeight="1">
      <c r="A1970" s="5" t="s">
        <v>9552</v>
      </c>
      <c r="B1970" s="6" t="str">
        <f>IMAGE("https://storage.googleapis.com/acdb/housewares/FtrBearL_Remake_0_3.png")</f>
        <v/>
      </c>
      <c r="C1970" s="5" t="s">
        <v>307</v>
      </c>
      <c r="D1970" s="5" t="s">
        <v>34</v>
      </c>
      <c r="E1970" s="5" t="s">
        <v>114</v>
      </c>
      <c r="F1970" s="5" t="s">
        <v>5397</v>
      </c>
      <c r="G1970" s="5" t="s">
        <v>36</v>
      </c>
      <c r="H1970" s="5" t="s">
        <v>36</v>
      </c>
      <c r="I1970" s="5" t="s">
        <v>35</v>
      </c>
      <c r="J1970" s="6">
        <v>3.0</v>
      </c>
      <c r="K1970" s="6">
        <v>8500.0</v>
      </c>
      <c r="L1970" s="6">
        <v>2125.0</v>
      </c>
      <c r="M1970" s="26" t="s">
        <v>142</v>
      </c>
      <c r="N1970" s="26" t="s">
        <v>114</v>
      </c>
      <c r="O1970" s="6" t="s">
        <v>214</v>
      </c>
      <c r="P1970" s="5" t="s">
        <v>59</v>
      </c>
      <c r="Q1970" s="5" t="s">
        <v>115</v>
      </c>
      <c r="R1970" s="6" t="s">
        <v>42</v>
      </c>
      <c r="S1970" s="5" t="s">
        <v>61</v>
      </c>
      <c r="T1970" s="5" t="s">
        <v>99</v>
      </c>
      <c r="U1970" s="5" t="s">
        <v>44</v>
      </c>
      <c r="V1970" s="5" t="s">
        <v>329</v>
      </c>
      <c r="W1970" s="5" t="s">
        <v>36</v>
      </c>
      <c r="X1970" s="8" t="s">
        <v>330</v>
      </c>
      <c r="Y1970" s="5" t="s">
        <v>46</v>
      </c>
      <c r="Z1970" s="5" t="s">
        <v>47</v>
      </c>
      <c r="AA1970" s="5" t="s">
        <v>64</v>
      </c>
      <c r="AB1970" s="5" t="s">
        <v>9572</v>
      </c>
      <c r="AC1970" s="6" t="s">
        <v>354</v>
      </c>
      <c r="AD1970" s="6">
        <v>1499.0</v>
      </c>
    </row>
    <row r="1971" ht="56.25" customHeight="1">
      <c r="A1971" s="5" t="s">
        <v>9552</v>
      </c>
      <c r="B1971" s="6" t="str">
        <f>IMAGE("https://storage.googleapis.com/acdb/housewares/FtrBearL_Remake_1_0.png")</f>
        <v/>
      </c>
      <c r="C1971" s="5" t="s">
        <v>355</v>
      </c>
      <c r="D1971" s="5" t="s">
        <v>34</v>
      </c>
      <c r="E1971" s="5" t="s">
        <v>44</v>
      </c>
      <c r="F1971" s="5" t="s">
        <v>5397</v>
      </c>
      <c r="G1971" s="5" t="s">
        <v>36</v>
      </c>
      <c r="H1971" s="5" t="s">
        <v>36</v>
      </c>
      <c r="I1971" s="5" t="s">
        <v>35</v>
      </c>
      <c r="J1971" s="6">
        <v>3.0</v>
      </c>
      <c r="K1971" s="6">
        <v>8500.0</v>
      </c>
      <c r="L1971" s="6">
        <v>2125.0</v>
      </c>
      <c r="M1971" s="26" t="s">
        <v>38</v>
      </c>
      <c r="N1971" s="26" t="s">
        <v>38</v>
      </c>
      <c r="O1971" s="6" t="s">
        <v>214</v>
      </c>
      <c r="P1971" s="5" t="s">
        <v>59</v>
      </c>
      <c r="Q1971" s="5" t="s">
        <v>115</v>
      </c>
      <c r="R1971" s="6" t="s">
        <v>42</v>
      </c>
      <c r="S1971" s="5" t="s">
        <v>61</v>
      </c>
      <c r="T1971" s="5" t="s">
        <v>99</v>
      </c>
      <c r="U1971" s="5" t="s">
        <v>44</v>
      </c>
      <c r="V1971" s="5" t="s">
        <v>329</v>
      </c>
      <c r="W1971" s="5" t="s">
        <v>36</v>
      </c>
      <c r="X1971" s="8" t="s">
        <v>330</v>
      </c>
      <c r="Y1971" s="5" t="s">
        <v>46</v>
      </c>
      <c r="Z1971" s="5" t="s">
        <v>47</v>
      </c>
      <c r="AA1971" s="5" t="s">
        <v>64</v>
      </c>
      <c r="AB1971" s="5" t="s">
        <v>9577</v>
      </c>
      <c r="AC1971" s="6" t="s">
        <v>56</v>
      </c>
      <c r="AD1971" s="6">
        <v>1499.0</v>
      </c>
    </row>
    <row r="1972" ht="56.25" customHeight="1">
      <c r="A1972" s="5" t="s">
        <v>9552</v>
      </c>
      <c r="B1972" s="6" t="str">
        <f>IMAGE("https://storage.googleapis.com/acdb/housewares/FtrBearL_Remake_1_1.png")</f>
        <v/>
      </c>
      <c r="C1972" s="5" t="s">
        <v>355</v>
      </c>
      <c r="D1972" s="5" t="s">
        <v>34</v>
      </c>
      <c r="E1972" s="5" t="s">
        <v>52</v>
      </c>
      <c r="F1972" s="5" t="s">
        <v>5397</v>
      </c>
      <c r="G1972" s="5" t="s">
        <v>36</v>
      </c>
      <c r="H1972" s="5" t="s">
        <v>36</v>
      </c>
      <c r="I1972" s="5" t="s">
        <v>35</v>
      </c>
      <c r="J1972" s="6">
        <v>3.0</v>
      </c>
      <c r="K1972" s="6">
        <v>8500.0</v>
      </c>
      <c r="L1972" s="6">
        <v>2125.0</v>
      </c>
      <c r="M1972" s="26" t="s">
        <v>38</v>
      </c>
      <c r="N1972" s="26" t="s">
        <v>52</v>
      </c>
      <c r="O1972" s="6" t="s">
        <v>214</v>
      </c>
      <c r="P1972" s="5" t="s">
        <v>59</v>
      </c>
      <c r="Q1972" s="5" t="s">
        <v>115</v>
      </c>
      <c r="R1972" s="6" t="s">
        <v>42</v>
      </c>
      <c r="S1972" s="5" t="s">
        <v>61</v>
      </c>
      <c r="T1972" s="5" t="s">
        <v>99</v>
      </c>
      <c r="U1972" s="5" t="s">
        <v>44</v>
      </c>
      <c r="V1972" s="5" t="s">
        <v>329</v>
      </c>
      <c r="W1972" s="5" t="s">
        <v>36</v>
      </c>
      <c r="X1972" s="8" t="s">
        <v>330</v>
      </c>
      <c r="Y1972" s="5" t="s">
        <v>46</v>
      </c>
      <c r="Z1972" s="5" t="s">
        <v>47</v>
      </c>
      <c r="AA1972" s="5" t="s">
        <v>64</v>
      </c>
      <c r="AB1972" s="5" t="s">
        <v>9585</v>
      </c>
      <c r="AC1972" s="6" t="s">
        <v>234</v>
      </c>
      <c r="AD1972" s="6">
        <v>1499.0</v>
      </c>
    </row>
    <row r="1973" ht="56.25" customHeight="1">
      <c r="A1973" s="5" t="s">
        <v>9552</v>
      </c>
      <c r="B1973" s="6" t="str">
        <f>IMAGE("https://storage.googleapis.com/acdb/housewares/FtrBearL_Remake_1_2.png")</f>
        <v/>
      </c>
      <c r="C1973" s="5" t="s">
        <v>355</v>
      </c>
      <c r="D1973" s="5" t="s">
        <v>34</v>
      </c>
      <c r="E1973" s="5" t="s">
        <v>68</v>
      </c>
      <c r="F1973" s="5" t="s">
        <v>5397</v>
      </c>
      <c r="G1973" s="5" t="s">
        <v>36</v>
      </c>
      <c r="H1973" s="5" t="s">
        <v>36</v>
      </c>
      <c r="I1973" s="5" t="s">
        <v>35</v>
      </c>
      <c r="J1973" s="6">
        <v>3.0</v>
      </c>
      <c r="K1973" s="6">
        <v>8500.0</v>
      </c>
      <c r="L1973" s="6">
        <v>2125.0</v>
      </c>
      <c r="M1973" s="26" t="s">
        <v>38</v>
      </c>
      <c r="N1973" s="26" t="s">
        <v>68</v>
      </c>
      <c r="O1973" s="6" t="s">
        <v>214</v>
      </c>
      <c r="P1973" s="5" t="s">
        <v>59</v>
      </c>
      <c r="Q1973" s="5" t="s">
        <v>115</v>
      </c>
      <c r="R1973" s="6" t="s">
        <v>42</v>
      </c>
      <c r="S1973" s="5" t="s">
        <v>61</v>
      </c>
      <c r="T1973" s="5" t="s">
        <v>99</v>
      </c>
      <c r="U1973" s="5" t="s">
        <v>44</v>
      </c>
      <c r="V1973" s="5" t="s">
        <v>329</v>
      </c>
      <c r="W1973" s="5" t="s">
        <v>36</v>
      </c>
      <c r="X1973" s="8" t="s">
        <v>330</v>
      </c>
      <c r="Y1973" s="5" t="s">
        <v>46</v>
      </c>
      <c r="Z1973" s="5" t="s">
        <v>47</v>
      </c>
      <c r="AA1973" s="5" t="s">
        <v>64</v>
      </c>
      <c r="AB1973" s="5" t="s">
        <v>9592</v>
      </c>
      <c r="AC1973" s="6" t="s">
        <v>370</v>
      </c>
      <c r="AD1973" s="6">
        <v>1499.0</v>
      </c>
    </row>
    <row r="1974" ht="56.25" customHeight="1">
      <c r="A1974" s="5" t="s">
        <v>9552</v>
      </c>
      <c r="B1974" s="6" t="str">
        <f>IMAGE("https://storage.googleapis.com/acdb/housewares/FtrBearL_Remake_1_3.png")</f>
        <v/>
      </c>
      <c r="C1974" s="5" t="s">
        <v>355</v>
      </c>
      <c r="D1974" s="5" t="s">
        <v>34</v>
      </c>
      <c r="E1974" s="5" t="s">
        <v>114</v>
      </c>
      <c r="F1974" s="5" t="s">
        <v>5397</v>
      </c>
      <c r="G1974" s="5" t="s">
        <v>36</v>
      </c>
      <c r="H1974" s="5" t="s">
        <v>36</v>
      </c>
      <c r="I1974" s="5" t="s">
        <v>35</v>
      </c>
      <c r="J1974" s="6">
        <v>3.0</v>
      </c>
      <c r="K1974" s="6">
        <v>8500.0</v>
      </c>
      <c r="L1974" s="6">
        <v>2125.0</v>
      </c>
      <c r="M1974" s="26" t="s">
        <v>38</v>
      </c>
      <c r="N1974" s="26" t="s">
        <v>114</v>
      </c>
      <c r="O1974" s="6" t="s">
        <v>214</v>
      </c>
      <c r="P1974" s="5" t="s">
        <v>59</v>
      </c>
      <c r="Q1974" s="5" t="s">
        <v>115</v>
      </c>
      <c r="R1974" s="6" t="s">
        <v>42</v>
      </c>
      <c r="S1974" s="5" t="s">
        <v>61</v>
      </c>
      <c r="T1974" s="5" t="s">
        <v>99</v>
      </c>
      <c r="U1974" s="5" t="s">
        <v>44</v>
      </c>
      <c r="V1974" s="5" t="s">
        <v>329</v>
      </c>
      <c r="W1974" s="5" t="s">
        <v>36</v>
      </c>
      <c r="X1974" s="8" t="s">
        <v>330</v>
      </c>
      <c r="Y1974" s="5" t="s">
        <v>46</v>
      </c>
      <c r="Z1974" s="5" t="s">
        <v>47</v>
      </c>
      <c r="AA1974" s="5" t="s">
        <v>64</v>
      </c>
      <c r="AB1974" s="5" t="s">
        <v>9599</v>
      </c>
      <c r="AC1974" s="6" t="s">
        <v>377</v>
      </c>
      <c r="AD1974" s="6">
        <v>1499.0</v>
      </c>
    </row>
    <row r="1975" ht="56.25" customHeight="1">
      <c r="A1975" s="5" t="s">
        <v>9552</v>
      </c>
      <c r="B1975" s="6" t="str">
        <f>IMAGE("https://storage.googleapis.com/acdb/housewares/FtrBearL_Remake_2_0.png")</f>
        <v/>
      </c>
      <c r="C1975" s="5" t="s">
        <v>379</v>
      </c>
      <c r="D1975" s="5" t="s">
        <v>34</v>
      </c>
      <c r="E1975" s="5" t="s">
        <v>44</v>
      </c>
      <c r="F1975" s="5" t="s">
        <v>5397</v>
      </c>
      <c r="G1975" s="5" t="s">
        <v>36</v>
      </c>
      <c r="H1975" s="5" t="s">
        <v>36</v>
      </c>
      <c r="I1975" s="5" t="s">
        <v>35</v>
      </c>
      <c r="J1975" s="6">
        <v>3.0</v>
      </c>
      <c r="K1975" s="6">
        <v>8500.0</v>
      </c>
      <c r="L1975" s="6">
        <v>2125.0</v>
      </c>
      <c r="M1975" s="26" t="s">
        <v>39</v>
      </c>
      <c r="N1975" s="26" t="s">
        <v>39</v>
      </c>
      <c r="O1975" s="6" t="s">
        <v>214</v>
      </c>
      <c r="P1975" s="5" t="s">
        <v>59</v>
      </c>
      <c r="Q1975" s="5" t="s">
        <v>115</v>
      </c>
      <c r="R1975" s="6" t="s">
        <v>42</v>
      </c>
      <c r="S1975" s="5" t="s">
        <v>61</v>
      </c>
      <c r="T1975" s="5" t="s">
        <v>99</v>
      </c>
      <c r="U1975" s="5" t="s">
        <v>44</v>
      </c>
      <c r="V1975" s="5" t="s">
        <v>329</v>
      </c>
      <c r="W1975" s="5" t="s">
        <v>36</v>
      </c>
      <c r="X1975" s="8" t="s">
        <v>330</v>
      </c>
      <c r="Y1975" s="5" t="s">
        <v>46</v>
      </c>
      <c r="Z1975" s="5" t="s">
        <v>47</v>
      </c>
      <c r="AA1975" s="5" t="s">
        <v>64</v>
      </c>
      <c r="AB1975" s="5" t="s">
        <v>9606</v>
      </c>
      <c r="AC1975" s="6" t="s">
        <v>67</v>
      </c>
      <c r="AD1975" s="6">
        <v>1499.0</v>
      </c>
    </row>
    <row r="1976" ht="56.25" customHeight="1">
      <c r="A1976" s="5" t="s">
        <v>9552</v>
      </c>
      <c r="B1976" s="6" t="str">
        <f>IMAGE("https://storage.googleapis.com/acdb/housewares/FtrBearL_Remake_2_1.png")</f>
        <v/>
      </c>
      <c r="C1976" s="5" t="s">
        <v>379</v>
      </c>
      <c r="D1976" s="5" t="s">
        <v>34</v>
      </c>
      <c r="E1976" s="5" t="s">
        <v>52</v>
      </c>
      <c r="F1976" s="5" t="s">
        <v>5397</v>
      </c>
      <c r="G1976" s="5" t="s">
        <v>36</v>
      </c>
      <c r="H1976" s="5" t="s">
        <v>36</v>
      </c>
      <c r="I1976" s="5" t="s">
        <v>35</v>
      </c>
      <c r="J1976" s="6">
        <v>3.0</v>
      </c>
      <c r="K1976" s="6">
        <v>8500.0</v>
      </c>
      <c r="L1976" s="6">
        <v>2125.0</v>
      </c>
      <c r="M1976" s="26" t="s">
        <v>39</v>
      </c>
      <c r="N1976" s="26" t="s">
        <v>52</v>
      </c>
      <c r="O1976" s="6" t="s">
        <v>214</v>
      </c>
      <c r="P1976" s="5" t="s">
        <v>59</v>
      </c>
      <c r="Q1976" s="5" t="s">
        <v>115</v>
      </c>
      <c r="R1976" s="6" t="s">
        <v>42</v>
      </c>
      <c r="S1976" s="5" t="s">
        <v>61</v>
      </c>
      <c r="T1976" s="5" t="s">
        <v>99</v>
      </c>
      <c r="U1976" s="5" t="s">
        <v>44</v>
      </c>
      <c r="V1976" s="5" t="s">
        <v>329</v>
      </c>
      <c r="W1976" s="5" t="s">
        <v>36</v>
      </c>
      <c r="X1976" s="8" t="s">
        <v>330</v>
      </c>
      <c r="Y1976" s="5" t="s">
        <v>46</v>
      </c>
      <c r="Z1976" s="5" t="s">
        <v>47</v>
      </c>
      <c r="AA1976" s="5" t="s">
        <v>64</v>
      </c>
      <c r="AB1976" s="5" t="s">
        <v>9611</v>
      </c>
      <c r="AC1976" s="6" t="s">
        <v>247</v>
      </c>
      <c r="AD1976" s="6">
        <v>1499.0</v>
      </c>
    </row>
    <row r="1977" ht="56.25" customHeight="1">
      <c r="A1977" s="5" t="s">
        <v>9552</v>
      </c>
      <c r="B1977" s="6" t="str">
        <f>IMAGE("https://storage.googleapis.com/acdb/housewares/FtrBearL_Remake_2_2.png")</f>
        <v/>
      </c>
      <c r="C1977" s="5" t="s">
        <v>379</v>
      </c>
      <c r="D1977" s="5" t="s">
        <v>34</v>
      </c>
      <c r="E1977" s="5" t="s">
        <v>68</v>
      </c>
      <c r="F1977" s="5" t="s">
        <v>5397</v>
      </c>
      <c r="G1977" s="5" t="s">
        <v>36</v>
      </c>
      <c r="H1977" s="5" t="s">
        <v>36</v>
      </c>
      <c r="I1977" s="5" t="s">
        <v>35</v>
      </c>
      <c r="J1977" s="6">
        <v>3.0</v>
      </c>
      <c r="K1977" s="6">
        <v>8500.0</v>
      </c>
      <c r="L1977" s="6">
        <v>2125.0</v>
      </c>
      <c r="M1977" s="26" t="s">
        <v>39</v>
      </c>
      <c r="N1977" s="26" t="s">
        <v>68</v>
      </c>
      <c r="O1977" s="6" t="s">
        <v>214</v>
      </c>
      <c r="P1977" s="5" t="s">
        <v>59</v>
      </c>
      <c r="Q1977" s="5" t="s">
        <v>115</v>
      </c>
      <c r="R1977" s="6" t="s">
        <v>42</v>
      </c>
      <c r="S1977" s="5" t="s">
        <v>61</v>
      </c>
      <c r="T1977" s="5" t="s">
        <v>99</v>
      </c>
      <c r="U1977" s="5" t="s">
        <v>44</v>
      </c>
      <c r="V1977" s="5" t="s">
        <v>329</v>
      </c>
      <c r="W1977" s="5" t="s">
        <v>36</v>
      </c>
      <c r="X1977" s="8" t="s">
        <v>330</v>
      </c>
      <c r="Y1977" s="5" t="s">
        <v>46</v>
      </c>
      <c r="Z1977" s="5" t="s">
        <v>47</v>
      </c>
      <c r="AA1977" s="5" t="s">
        <v>64</v>
      </c>
      <c r="AB1977" s="5" t="s">
        <v>9616</v>
      </c>
      <c r="AC1977" s="6" t="s">
        <v>390</v>
      </c>
      <c r="AD1977" s="6">
        <v>1499.0</v>
      </c>
    </row>
    <row r="1978" ht="56.25" customHeight="1">
      <c r="A1978" s="5" t="s">
        <v>9552</v>
      </c>
      <c r="B1978" s="6" t="str">
        <f>IMAGE("https://storage.googleapis.com/acdb/housewares/FtrBearL_Remake_2_3.png")</f>
        <v/>
      </c>
      <c r="C1978" s="5" t="s">
        <v>379</v>
      </c>
      <c r="D1978" s="5" t="s">
        <v>34</v>
      </c>
      <c r="E1978" s="5" t="s">
        <v>114</v>
      </c>
      <c r="F1978" s="5" t="s">
        <v>5397</v>
      </c>
      <c r="G1978" s="5" t="s">
        <v>36</v>
      </c>
      <c r="H1978" s="5" t="s">
        <v>36</v>
      </c>
      <c r="I1978" s="5" t="s">
        <v>35</v>
      </c>
      <c r="J1978" s="6">
        <v>3.0</v>
      </c>
      <c r="K1978" s="6">
        <v>8500.0</v>
      </c>
      <c r="L1978" s="6">
        <v>2125.0</v>
      </c>
      <c r="M1978" s="26" t="s">
        <v>39</v>
      </c>
      <c r="N1978" s="26" t="s">
        <v>114</v>
      </c>
      <c r="O1978" s="6" t="s">
        <v>214</v>
      </c>
      <c r="P1978" s="5" t="s">
        <v>59</v>
      </c>
      <c r="Q1978" s="5" t="s">
        <v>115</v>
      </c>
      <c r="R1978" s="6" t="s">
        <v>42</v>
      </c>
      <c r="S1978" s="5" t="s">
        <v>61</v>
      </c>
      <c r="T1978" s="5" t="s">
        <v>99</v>
      </c>
      <c r="U1978" s="5" t="s">
        <v>44</v>
      </c>
      <c r="V1978" s="5" t="s">
        <v>329</v>
      </c>
      <c r="W1978" s="5" t="s">
        <v>36</v>
      </c>
      <c r="X1978" s="8" t="s">
        <v>330</v>
      </c>
      <c r="Y1978" s="5" t="s">
        <v>46</v>
      </c>
      <c r="Z1978" s="5" t="s">
        <v>47</v>
      </c>
      <c r="AA1978" s="5" t="s">
        <v>64</v>
      </c>
      <c r="AB1978" s="5" t="s">
        <v>9621</v>
      </c>
      <c r="AC1978" s="6" t="s">
        <v>396</v>
      </c>
      <c r="AD1978" s="6">
        <v>1499.0</v>
      </c>
    </row>
    <row r="1979" ht="56.25" customHeight="1">
      <c r="A1979" s="5" t="s">
        <v>9552</v>
      </c>
      <c r="B1979" s="6" t="str">
        <f>IMAGE("https://storage.googleapis.com/acdb/housewares/FtrBearL_Remake_3_0.png")</f>
        <v/>
      </c>
      <c r="C1979" s="5" t="s">
        <v>400</v>
      </c>
      <c r="D1979" s="5" t="s">
        <v>34</v>
      </c>
      <c r="E1979" s="5" t="s">
        <v>44</v>
      </c>
      <c r="F1979" s="5" t="s">
        <v>5397</v>
      </c>
      <c r="G1979" s="5" t="s">
        <v>36</v>
      </c>
      <c r="H1979" s="5" t="s">
        <v>36</v>
      </c>
      <c r="I1979" s="5" t="s">
        <v>35</v>
      </c>
      <c r="J1979" s="6">
        <v>3.0</v>
      </c>
      <c r="K1979" s="6">
        <v>8500.0</v>
      </c>
      <c r="L1979" s="6">
        <v>2125.0</v>
      </c>
      <c r="M1979" s="26" t="s">
        <v>96</v>
      </c>
      <c r="N1979" s="26" t="s">
        <v>114</v>
      </c>
      <c r="O1979" s="6" t="s">
        <v>214</v>
      </c>
      <c r="P1979" s="5" t="s">
        <v>59</v>
      </c>
      <c r="Q1979" s="5" t="s">
        <v>115</v>
      </c>
      <c r="R1979" s="6" t="s">
        <v>42</v>
      </c>
      <c r="S1979" s="5" t="s">
        <v>61</v>
      </c>
      <c r="T1979" s="5" t="s">
        <v>99</v>
      </c>
      <c r="U1979" s="5" t="s">
        <v>44</v>
      </c>
      <c r="V1979" s="5" t="s">
        <v>329</v>
      </c>
      <c r="W1979" s="5" t="s">
        <v>36</v>
      </c>
      <c r="X1979" s="8" t="s">
        <v>330</v>
      </c>
      <c r="Y1979" s="5" t="s">
        <v>46</v>
      </c>
      <c r="Z1979" s="5" t="s">
        <v>47</v>
      </c>
      <c r="AA1979" s="5" t="s">
        <v>64</v>
      </c>
      <c r="AB1979" s="5" t="s">
        <v>9626</v>
      </c>
      <c r="AC1979" s="6" t="s">
        <v>71</v>
      </c>
      <c r="AD1979" s="6">
        <v>1499.0</v>
      </c>
    </row>
    <row r="1980" ht="56.25" customHeight="1">
      <c r="A1980" s="5" t="s">
        <v>9552</v>
      </c>
      <c r="B1980" s="6" t="str">
        <f>IMAGE("https://storage.googleapis.com/acdb/housewares/FtrBearL_Remake_3_1.png")</f>
        <v/>
      </c>
      <c r="C1980" s="5" t="s">
        <v>400</v>
      </c>
      <c r="D1980" s="5" t="s">
        <v>34</v>
      </c>
      <c r="E1980" s="5" t="s">
        <v>52</v>
      </c>
      <c r="F1980" s="5" t="s">
        <v>5397</v>
      </c>
      <c r="G1980" s="5" t="s">
        <v>36</v>
      </c>
      <c r="H1980" s="5" t="s">
        <v>36</v>
      </c>
      <c r="I1980" s="5" t="s">
        <v>35</v>
      </c>
      <c r="J1980" s="6">
        <v>3.0</v>
      </c>
      <c r="K1980" s="6">
        <v>8500.0</v>
      </c>
      <c r="L1980" s="6">
        <v>2125.0</v>
      </c>
      <c r="M1980" s="26" t="s">
        <v>96</v>
      </c>
      <c r="N1980" s="26" t="s">
        <v>52</v>
      </c>
      <c r="O1980" s="6" t="s">
        <v>214</v>
      </c>
      <c r="P1980" s="5" t="s">
        <v>59</v>
      </c>
      <c r="Q1980" s="5" t="s">
        <v>115</v>
      </c>
      <c r="R1980" s="6" t="s">
        <v>42</v>
      </c>
      <c r="S1980" s="5" t="s">
        <v>61</v>
      </c>
      <c r="T1980" s="5" t="s">
        <v>99</v>
      </c>
      <c r="U1980" s="5" t="s">
        <v>44</v>
      </c>
      <c r="V1980" s="5" t="s">
        <v>329</v>
      </c>
      <c r="W1980" s="5" t="s">
        <v>36</v>
      </c>
      <c r="X1980" s="8" t="s">
        <v>330</v>
      </c>
      <c r="Y1980" s="5" t="s">
        <v>46</v>
      </c>
      <c r="Z1980" s="5" t="s">
        <v>47</v>
      </c>
      <c r="AA1980" s="5" t="s">
        <v>64</v>
      </c>
      <c r="AB1980" s="5" t="s">
        <v>9630</v>
      </c>
      <c r="AC1980" s="6" t="s">
        <v>257</v>
      </c>
      <c r="AD1980" s="6">
        <v>1499.0</v>
      </c>
    </row>
    <row r="1981" ht="56.25" customHeight="1">
      <c r="A1981" s="5" t="s">
        <v>9552</v>
      </c>
      <c r="B1981" s="6" t="str">
        <f>IMAGE("https://storage.googleapis.com/acdb/housewares/FtrBearL_Remake_3_2.png")</f>
        <v/>
      </c>
      <c r="C1981" s="5" t="s">
        <v>400</v>
      </c>
      <c r="D1981" s="5" t="s">
        <v>34</v>
      </c>
      <c r="E1981" s="5" t="s">
        <v>68</v>
      </c>
      <c r="F1981" s="5" t="s">
        <v>5397</v>
      </c>
      <c r="G1981" s="5" t="s">
        <v>36</v>
      </c>
      <c r="H1981" s="5" t="s">
        <v>36</v>
      </c>
      <c r="I1981" s="5" t="s">
        <v>35</v>
      </c>
      <c r="J1981" s="6">
        <v>3.0</v>
      </c>
      <c r="K1981" s="6">
        <v>8500.0</v>
      </c>
      <c r="L1981" s="6">
        <v>2125.0</v>
      </c>
      <c r="M1981" s="26" t="s">
        <v>96</v>
      </c>
      <c r="N1981" s="26" t="s">
        <v>68</v>
      </c>
      <c r="O1981" s="6" t="s">
        <v>214</v>
      </c>
      <c r="P1981" s="5" t="s">
        <v>59</v>
      </c>
      <c r="Q1981" s="5" t="s">
        <v>115</v>
      </c>
      <c r="R1981" s="6" t="s">
        <v>42</v>
      </c>
      <c r="S1981" s="5" t="s">
        <v>61</v>
      </c>
      <c r="T1981" s="5" t="s">
        <v>99</v>
      </c>
      <c r="U1981" s="5" t="s">
        <v>44</v>
      </c>
      <c r="V1981" s="5" t="s">
        <v>329</v>
      </c>
      <c r="W1981" s="5" t="s">
        <v>36</v>
      </c>
      <c r="X1981" s="8" t="s">
        <v>330</v>
      </c>
      <c r="Y1981" s="5" t="s">
        <v>46</v>
      </c>
      <c r="Z1981" s="5" t="s">
        <v>47</v>
      </c>
      <c r="AA1981" s="5" t="s">
        <v>64</v>
      </c>
      <c r="AB1981" s="5" t="s">
        <v>9636</v>
      </c>
      <c r="AC1981" s="6" t="s">
        <v>414</v>
      </c>
      <c r="AD1981" s="6">
        <v>1499.0</v>
      </c>
    </row>
    <row r="1982" ht="56.25" customHeight="1">
      <c r="A1982" s="5" t="s">
        <v>9552</v>
      </c>
      <c r="B1982" s="6" t="str">
        <f>IMAGE("https://storage.googleapis.com/acdb/housewares/FtrBearL_Remake_3_3.png")</f>
        <v/>
      </c>
      <c r="C1982" s="5" t="s">
        <v>400</v>
      </c>
      <c r="D1982" s="5" t="s">
        <v>34</v>
      </c>
      <c r="E1982" s="5" t="s">
        <v>114</v>
      </c>
      <c r="F1982" s="5" t="s">
        <v>5397</v>
      </c>
      <c r="G1982" s="5" t="s">
        <v>36</v>
      </c>
      <c r="H1982" s="5" t="s">
        <v>36</v>
      </c>
      <c r="I1982" s="5" t="s">
        <v>35</v>
      </c>
      <c r="J1982" s="6">
        <v>3.0</v>
      </c>
      <c r="K1982" s="6">
        <v>8500.0</v>
      </c>
      <c r="L1982" s="6">
        <v>2125.0</v>
      </c>
      <c r="M1982" s="26" t="s">
        <v>96</v>
      </c>
      <c r="N1982" s="26" t="s">
        <v>114</v>
      </c>
      <c r="O1982" s="6" t="s">
        <v>214</v>
      </c>
      <c r="P1982" s="5" t="s">
        <v>59</v>
      </c>
      <c r="Q1982" s="5" t="s">
        <v>115</v>
      </c>
      <c r="R1982" s="6" t="s">
        <v>42</v>
      </c>
      <c r="S1982" s="5" t="s">
        <v>61</v>
      </c>
      <c r="T1982" s="5" t="s">
        <v>99</v>
      </c>
      <c r="U1982" s="5" t="s">
        <v>44</v>
      </c>
      <c r="V1982" s="5" t="s">
        <v>329</v>
      </c>
      <c r="W1982" s="5" t="s">
        <v>36</v>
      </c>
      <c r="X1982" s="8" t="s">
        <v>330</v>
      </c>
      <c r="Y1982" s="5" t="s">
        <v>46</v>
      </c>
      <c r="Z1982" s="5" t="s">
        <v>47</v>
      </c>
      <c r="AA1982" s="5" t="s">
        <v>64</v>
      </c>
      <c r="AB1982" s="5" t="s">
        <v>9641</v>
      </c>
      <c r="AC1982" s="6" t="s">
        <v>418</v>
      </c>
      <c r="AD1982" s="6">
        <v>1499.0</v>
      </c>
    </row>
    <row r="1983" ht="56.25" customHeight="1">
      <c r="A1983" s="5" t="s">
        <v>9552</v>
      </c>
      <c r="B1983" s="6" t="str">
        <f>IMAGE("https://storage.googleapis.com/acdb/housewares/FtrBearL_Remake_4_0.png")</f>
        <v/>
      </c>
      <c r="C1983" s="5" t="s">
        <v>422</v>
      </c>
      <c r="D1983" s="5" t="s">
        <v>34</v>
      </c>
      <c r="E1983" s="5" t="s">
        <v>44</v>
      </c>
      <c r="F1983" s="5" t="s">
        <v>5397</v>
      </c>
      <c r="G1983" s="5" t="s">
        <v>36</v>
      </c>
      <c r="H1983" s="5" t="s">
        <v>36</v>
      </c>
      <c r="I1983" s="5" t="s">
        <v>35</v>
      </c>
      <c r="J1983" s="6">
        <v>3.0</v>
      </c>
      <c r="K1983" s="6">
        <v>8500.0</v>
      </c>
      <c r="L1983" s="6">
        <v>2125.0</v>
      </c>
      <c r="M1983" s="26" t="s">
        <v>52</v>
      </c>
      <c r="N1983" s="26" t="s">
        <v>57</v>
      </c>
      <c r="O1983" s="6" t="s">
        <v>214</v>
      </c>
      <c r="P1983" s="5" t="s">
        <v>59</v>
      </c>
      <c r="Q1983" s="5" t="s">
        <v>115</v>
      </c>
      <c r="R1983" s="6" t="s">
        <v>42</v>
      </c>
      <c r="S1983" s="5" t="s">
        <v>61</v>
      </c>
      <c r="T1983" s="5" t="s">
        <v>99</v>
      </c>
      <c r="U1983" s="5" t="s">
        <v>44</v>
      </c>
      <c r="V1983" s="5" t="s">
        <v>329</v>
      </c>
      <c r="W1983" s="5" t="s">
        <v>36</v>
      </c>
      <c r="X1983" s="8" t="s">
        <v>330</v>
      </c>
      <c r="Y1983" s="5" t="s">
        <v>46</v>
      </c>
      <c r="Z1983" s="5" t="s">
        <v>47</v>
      </c>
      <c r="AA1983" s="5" t="s">
        <v>64</v>
      </c>
      <c r="AB1983" s="5" t="s">
        <v>9645</v>
      </c>
      <c r="AC1983" s="6" t="s">
        <v>75</v>
      </c>
      <c r="AD1983" s="6">
        <v>1499.0</v>
      </c>
    </row>
    <row r="1984" ht="56.25" customHeight="1">
      <c r="A1984" s="5" t="s">
        <v>9552</v>
      </c>
      <c r="B1984" s="6" t="str">
        <f>IMAGE("https://storage.googleapis.com/acdb/housewares/FtrBearL_Remake_4_1.png")</f>
        <v/>
      </c>
      <c r="C1984" s="5" t="s">
        <v>422</v>
      </c>
      <c r="D1984" s="5" t="s">
        <v>34</v>
      </c>
      <c r="E1984" s="5" t="s">
        <v>52</v>
      </c>
      <c r="F1984" s="5" t="s">
        <v>5397</v>
      </c>
      <c r="G1984" s="5" t="s">
        <v>36</v>
      </c>
      <c r="H1984" s="5" t="s">
        <v>36</v>
      </c>
      <c r="I1984" s="5" t="s">
        <v>35</v>
      </c>
      <c r="J1984" s="6">
        <v>3.0</v>
      </c>
      <c r="K1984" s="6">
        <v>8500.0</v>
      </c>
      <c r="L1984" s="6">
        <v>2125.0</v>
      </c>
      <c r="M1984" s="26" t="s">
        <v>52</v>
      </c>
      <c r="N1984" s="26" t="s">
        <v>52</v>
      </c>
      <c r="O1984" s="6" t="s">
        <v>214</v>
      </c>
      <c r="P1984" s="5" t="s">
        <v>59</v>
      </c>
      <c r="Q1984" s="5" t="s">
        <v>115</v>
      </c>
      <c r="R1984" s="6" t="s">
        <v>42</v>
      </c>
      <c r="S1984" s="5" t="s">
        <v>61</v>
      </c>
      <c r="T1984" s="5" t="s">
        <v>99</v>
      </c>
      <c r="U1984" s="5" t="s">
        <v>44</v>
      </c>
      <c r="V1984" s="5" t="s">
        <v>329</v>
      </c>
      <c r="W1984" s="5" t="s">
        <v>36</v>
      </c>
      <c r="X1984" s="8" t="s">
        <v>330</v>
      </c>
      <c r="Y1984" s="5" t="s">
        <v>46</v>
      </c>
      <c r="Z1984" s="5" t="s">
        <v>47</v>
      </c>
      <c r="AA1984" s="5" t="s">
        <v>64</v>
      </c>
      <c r="AB1984" s="5" t="s">
        <v>9652</v>
      </c>
      <c r="AC1984" s="6" t="s">
        <v>429</v>
      </c>
      <c r="AD1984" s="6">
        <v>1499.0</v>
      </c>
    </row>
    <row r="1985" ht="56.25" customHeight="1">
      <c r="A1985" s="5" t="s">
        <v>9552</v>
      </c>
      <c r="B1985" s="6" t="str">
        <f>IMAGE("https://storage.googleapis.com/acdb/housewares/FtrBearL_Remake_4_2.png")</f>
        <v/>
      </c>
      <c r="C1985" s="5" t="s">
        <v>422</v>
      </c>
      <c r="D1985" s="5" t="s">
        <v>34</v>
      </c>
      <c r="E1985" s="5" t="s">
        <v>68</v>
      </c>
      <c r="F1985" s="5" t="s">
        <v>5397</v>
      </c>
      <c r="G1985" s="5" t="s">
        <v>36</v>
      </c>
      <c r="H1985" s="5" t="s">
        <v>36</v>
      </c>
      <c r="I1985" s="5" t="s">
        <v>35</v>
      </c>
      <c r="J1985" s="6">
        <v>3.0</v>
      </c>
      <c r="K1985" s="6">
        <v>8500.0</v>
      </c>
      <c r="L1985" s="6">
        <v>2125.0</v>
      </c>
      <c r="M1985" s="26" t="s">
        <v>52</v>
      </c>
      <c r="N1985" s="26" t="s">
        <v>68</v>
      </c>
      <c r="O1985" s="6" t="s">
        <v>214</v>
      </c>
      <c r="P1985" s="5" t="s">
        <v>59</v>
      </c>
      <c r="Q1985" s="5" t="s">
        <v>115</v>
      </c>
      <c r="R1985" s="6" t="s">
        <v>42</v>
      </c>
      <c r="S1985" s="5" t="s">
        <v>61</v>
      </c>
      <c r="T1985" s="5" t="s">
        <v>99</v>
      </c>
      <c r="U1985" s="5" t="s">
        <v>44</v>
      </c>
      <c r="V1985" s="5" t="s">
        <v>329</v>
      </c>
      <c r="W1985" s="5" t="s">
        <v>36</v>
      </c>
      <c r="X1985" s="8" t="s">
        <v>330</v>
      </c>
      <c r="Y1985" s="5" t="s">
        <v>46</v>
      </c>
      <c r="Z1985" s="5" t="s">
        <v>47</v>
      </c>
      <c r="AA1985" s="5" t="s">
        <v>64</v>
      </c>
      <c r="AB1985" s="5" t="s">
        <v>9659</v>
      </c>
      <c r="AC1985" s="6" t="s">
        <v>434</v>
      </c>
      <c r="AD1985" s="6">
        <v>1499.0</v>
      </c>
    </row>
    <row r="1986" ht="56.25" customHeight="1">
      <c r="A1986" s="5" t="s">
        <v>9552</v>
      </c>
      <c r="B1986" s="6" t="str">
        <f>IMAGE("https://storage.googleapis.com/acdb/housewares/FtrBearL_Remake_4_3.png")</f>
        <v/>
      </c>
      <c r="C1986" s="5" t="s">
        <v>422</v>
      </c>
      <c r="D1986" s="5" t="s">
        <v>34</v>
      </c>
      <c r="E1986" s="5" t="s">
        <v>114</v>
      </c>
      <c r="F1986" s="5" t="s">
        <v>5397</v>
      </c>
      <c r="G1986" s="5" t="s">
        <v>36</v>
      </c>
      <c r="H1986" s="5" t="s">
        <v>36</v>
      </c>
      <c r="I1986" s="5" t="s">
        <v>35</v>
      </c>
      <c r="J1986" s="6">
        <v>3.0</v>
      </c>
      <c r="K1986" s="6">
        <v>8500.0</v>
      </c>
      <c r="L1986" s="6">
        <v>2125.0</v>
      </c>
      <c r="M1986" s="26" t="s">
        <v>52</v>
      </c>
      <c r="N1986" s="26" t="s">
        <v>114</v>
      </c>
      <c r="O1986" s="6" t="s">
        <v>214</v>
      </c>
      <c r="P1986" s="5" t="s">
        <v>59</v>
      </c>
      <c r="Q1986" s="5" t="s">
        <v>115</v>
      </c>
      <c r="R1986" s="6" t="s">
        <v>42</v>
      </c>
      <c r="S1986" s="5" t="s">
        <v>61</v>
      </c>
      <c r="T1986" s="5" t="s">
        <v>99</v>
      </c>
      <c r="U1986" s="5" t="s">
        <v>44</v>
      </c>
      <c r="V1986" s="5" t="s">
        <v>329</v>
      </c>
      <c r="W1986" s="5" t="s">
        <v>36</v>
      </c>
      <c r="X1986" s="8" t="s">
        <v>330</v>
      </c>
      <c r="Y1986" s="5" t="s">
        <v>46</v>
      </c>
      <c r="Z1986" s="5" t="s">
        <v>47</v>
      </c>
      <c r="AA1986" s="5" t="s">
        <v>64</v>
      </c>
      <c r="AB1986" s="5" t="s">
        <v>9666</v>
      </c>
      <c r="AC1986" s="6" t="s">
        <v>438</v>
      </c>
      <c r="AD1986" s="6">
        <v>1499.0</v>
      </c>
    </row>
    <row r="1987" ht="56.25" customHeight="1">
      <c r="A1987" s="5" t="s">
        <v>9552</v>
      </c>
      <c r="B1987" s="6" t="str">
        <f>IMAGE("https://storage.googleapis.com/acdb/housewares/FtrBearL_Remake_5_0.png")</f>
        <v/>
      </c>
      <c r="C1987" s="5" t="s">
        <v>439</v>
      </c>
      <c r="D1987" s="5" t="s">
        <v>34</v>
      </c>
      <c r="E1987" s="5" t="s">
        <v>44</v>
      </c>
      <c r="F1987" s="5" t="s">
        <v>5397</v>
      </c>
      <c r="G1987" s="5" t="s">
        <v>36</v>
      </c>
      <c r="H1987" s="5" t="s">
        <v>36</v>
      </c>
      <c r="I1987" s="5" t="s">
        <v>35</v>
      </c>
      <c r="J1987" s="6">
        <v>3.0</v>
      </c>
      <c r="K1987" s="6">
        <v>8500.0</v>
      </c>
      <c r="L1987" s="6">
        <v>2125.0</v>
      </c>
      <c r="M1987" s="26" t="s">
        <v>39</v>
      </c>
      <c r="N1987" s="26" t="s">
        <v>39</v>
      </c>
      <c r="O1987" s="6" t="s">
        <v>214</v>
      </c>
      <c r="P1987" s="5" t="s">
        <v>59</v>
      </c>
      <c r="Q1987" s="5" t="s">
        <v>115</v>
      </c>
      <c r="R1987" s="6" t="s">
        <v>42</v>
      </c>
      <c r="S1987" s="5" t="s">
        <v>61</v>
      </c>
      <c r="T1987" s="5" t="s">
        <v>99</v>
      </c>
      <c r="U1987" s="5" t="s">
        <v>44</v>
      </c>
      <c r="V1987" s="5" t="s">
        <v>329</v>
      </c>
      <c r="W1987" s="5" t="s">
        <v>36</v>
      </c>
      <c r="X1987" s="8" t="s">
        <v>330</v>
      </c>
      <c r="Y1987" s="5" t="s">
        <v>46</v>
      </c>
      <c r="Z1987" s="5" t="s">
        <v>47</v>
      </c>
      <c r="AA1987" s="5" t="s">
        <v>64</v>
      </c>
      <c r="AB1987" s="5" t="s">
        <v>9671</v>
      </c>
      <c r="AC1987" s="6" t="s">
        <v>79</v>
      </c>
      <c r="AD1987" s="6">
        <v>1499.0</v>
      </c>
    </row>
    <row r="1988" ht="56.25" customHeight="1">
      <c r="A1988" s="5" t="s">
        <v>9552</v>
      </c>
      <c r="B1988" s="6" t="str">
        <f>IMAGE("https://storage.googleapis.com/acdb/housewares/FtrBearL_Remake_5_1.png")</f>
        <v/>
      </c>
      <c r="C1988" s="5" t="s">
        <v>439</v>
      </c>
      <c r="D1988" s="5" t="s">
        <v>34</v>
      </c>
      <c r="E1988" s="5" t="s">
        <v>52</v>
      </c>
      <c r="F1988" s="5" t="s">
        <v>5397</v>
      </c>
      <c r="G1988" s="5" t="s">
        <v>36</v>
      </c>
      <c r="H1988" s="5" t="s">
        <v>36</v>
      </c>
      <c r="I1988" s="5" t="s">
        <v>35</v>
      </c>
      <c r="J1988" s="6">
        <v>3.0</v>
      </c>
      <c r="K1988" s="6">
        <v>8500.0</v>
      </c>
      <c r="L1988" s="6">
        <v>2125.0</v>
      </c>
      <c r="M1988" s="26" t="s">
        <v>39</v>
      </c>
      <c r="N1988" s="26" t="s">
        <v>52</v>
      </c>
      <c r="O1988" s="6" t="s">
        <v>214</v>
      </c>
      <c r="P1988" s="5" t="s">
        <v>59</v>
      </c>
      <c r="Q1988" s="5" t="s">
        <v>115</v>
      </c>
      <c r="R1988" s="6" t="s">
        <v>42</v>
      </c>
      <c r="S1988" s="5" t="s">
        <v>61</v>
      </c>
      <c r="T1988" s="5" t="s">
        <v>99</v>
      </c>
      <c r="U1988" s="5" t="s">
        <v>44</v>
      </c>
      <c r="V1988" s="5" t="s">
        <v>329</v>
      </c>
      <c r="W1988" s="5" t="s">
        <v>36</v>
      </c>
      <c r="X1988" s="8" t="s">
        <v>330</v>
      </c>
      <c r="Y1988" s="5" t="s">
        <v>46</v>
      </c>
      <c r="Z1988" s="5" t="s">
        <v>47</v>
      </c>
      <c r="AA1988" s="5" t="s">
        <v>64</v>
      </c>
      <c r="AB1988" s="5" t="s">
        <v>9678</v>
      </c>
      <c r="AC1988" s="6" t="s">
        <v>448</v>
      </c>
      <c r="AD1988" s="6">
        <v>1499.0</v>
      </c>
    </row>
    <row r="1989" ht="56.25" customHeight="1">
      <c r="A1989" s="5" t="s">
        <v>9552</v>
      </c>
      <c r="B1989" s="6" t="str">
        <f>IMAGE("https://storage.googleapis.com/acdb/housewares/FtrBearL_Remake_5_2.png")</f>
        <v/>
      </c>
      <c r="C1989" s="5" t="s">
        <v>439</v>
      </c>
      <c r="D1989" s="5" t="s">
        <v>34</v>
      </c>
      <c r="E1989" s="5" t="s">
        <v>68</v>
      </c>
      <c r="F1989" s="5" t="s">
        <v>5397</v>
      </c>
      <c r="G1989" s="5" t="s">
        <v>36</v>
      </c>
      <c r="H1989" s="5" t="s">
        <v>36</v>
      </c>
      <c r="I1989" s="5" t="s">
        <v>35</v>
      </c>
      <c r="J1989" s="6">
        <v>3.0</v>
      </c>
      <c r="K1989" s="6">
        <v>8500.0</v>
      </c>
      <c r="L1989" s="6">
        <v>2125.0</v>
      </c>
      <c r="M1989" s="26" t="s">
        <v>39</v>
      </c>
      <c r="N1989" s="26" t="s">
        <v>68</v>
      </c>
      <c r="O1989" s="6" t="s">
        <v>214</v>
      </c>
      <c r="P1989" s="5" t="s">
        <v>59</v>
      </c>
      <c r="Q1989" s="5" t="s">
        <v>115</v>
      </c>
      <c r="R1989" s="6" t="s">
        <v>42</v>
      </c>
      <c r="S1989" s="5" t="s">
        <v>61</v>
      </c>
      <c r="T1989" s="5" t="s">
        <v>99</v>
      </c>
      <c r="U1989" s="5" t="s">
        <v>44</v>
      </c>
      <c r="V1989" s="5" t="s">
        <v>329</v>
      </c>
      <c r="W1989" s="5" t="s">
        <v>36</v>
      </c>
      <c r="X1989" s="8" t="s">
        <v>330</v>
      </c>
      <c r="Y1989" s="5" t="s">
        <v>46</v>
      </c>
      <c r="Z1989" s="5" t="s">
        <v>47</v>
      </c>
      <c r="AA1989" s="5" t="s">
        <v>64</v>
      </c>
      <c r="AB1989" s="5" t="s">
        <v>9683</v>
      </c>
      <c r="AC1989" s="6" t="s">
        <v>452</v>
      </c>
      <c r="AD1989" s="6">
        <v>1499.0</v>
      </c>
    </row>
    <row r="1990" ht="56.25" customHeight="1">
      <c r="A1990" s="5" t="s">
        <v>9552</v>
      </c>
      <c r="B1990" s="6" t="str">
        <f>IMAGE("https://storage.googleapis.com/acdb/housewares/FtrBearL_Remake_5_3.png")</f>
        <v/>
      </c>
      <c r="C1990" s="5" t="s">
        <v>439</v>
      </c>
      <c r="D1990" s="5" t="s">
        <v>34</v>
      </c>
      <c r="E1990" s="5" t="s">
        <v>114</v>
      </c>
      <c r="F1990" s="5" t="s">
        <v>5397</v>
      </c>
      <c r="G1990" s="5" t="s">
        <v>36</v>
      </c>
      <c r="H1990" s="5" t="s">
        <v>36</v>
      </c>
      <c r="I1990" s="5" t="s">
        <v>35</v>
      </c>
      <c r="J1990" s="6">
        <v>3.0</v>
      </c>
      <c r="K1990" s="6">
        <v>8500.0</v>
      </c>
      <c r="L1990" s="6">
        <v>2125.0</v>
      </c>
      <c r="M1990" s="26" t="s">
        <v>39</v>
      </c>
      <c r="N1990" s="26" t="s">
        <v>114</v>
      </c>
      <c r="O1990" s="6" t="s">
        <v>214</v>
      </c>
      <c r="P1990" s="5" t="s">
        <v>59</v>
      </c>
      <c r="Q1990" s="5" t="s">
        <v>115</v>
      </c>
      <c r="R1990" s="6" t="s">
        <v>42</v>
      </c>
      <c r="S1990" s="5" t="s">
        <v>61</v>
      </c>
      <c r="T1990" s="5" t="s">
        <v>99</v>
      </c>
      <c r="U1990" s="5" t="s">
        <v>44</v>
      </c>
      <c r="V1990" s="5" t="s">
        <v>329</v>
      </c>
      <c r="W1990" s="5" t="s">
        <v>36</v>
      </c>
      <c r="X1990" s="8" t="s">
        <v>330</v>
      </c>
      <c r="Y1990" s="5" t="s">
        <v>46</v>
      </c>
      <c r="Z1990" s="5" t="s">
        <v>47</v>
      </c>
      <c r="AA1990" s="5" t="s">
        <v>64</v>
      </c>
      <c r="AB1990" s="5" t="s">
        <v>9689</v>
      </c>
      <c r="AC1990" s="6" t="s">
        <v>455</v>
      </c>
      <c r="AD1990" s="6">
        <v>1499.0</v>
      </c>
    </row>
    <row r="1991" ht="56.25" customHeight="1">
      <c r="A1991" s="5" t="s">
        <v>9690</v>
      </c>
      <c r="B1991" s="6" t="str">
        <f>IMAGE("https://storage.googleapis.com/acdb/housewares/FtrPandaL.png")</f>
        <v/>
      </c>
      <c r="C1991" s="5" t="s">
        <v>34</v>
      </c>
      <c r="D1991" s="5" t="s">
        <v>34</v>
      </c>
      <c r="E1991" s="5" t="s">
        <v>34</v>
      </c>
      <c r="F1991" s="5" t="s">
        <v>34</v>
      </c>
      <c r="G1991" s="5" t="s">
        <v>36</v>
      </c>
      <c r="H1991" s="5" t="s">
        <v>36</v>
      </c>
      <c r="I1991" s="5" t="s">
        <v>36</v>
      </c>
      <c r="J1991" s="6" t="s">
        <v>34</v>
      </c>
      <c r="K1991" s="6">
        <v>8500.0</v>
      </c>
      <c r="L1991" s="6">
        <v>2125.0</v>
      </c>
      <c r="M1991" s="5" t="s">
        <v>69</v>
      </c>
      <c r="N1991" s="5" t="s">
        <v>57</v>
      </c>
      <c r="O1991" s="6" t="s">
        <v>214</v>
      </c>
      <c r="P1991" s="5" t="s">
        <v>59</v>
      </c>
      <c r="Q1991" s="5" t="s">
        <v>115</v>
      </c>
      <c r="R1991" s="6" t="s">
        <v>42</v>
      </c>
      <c r="S1991" s="5" t="s">
        <v>61</v>
      </c>
      <c r="T1991" s="5" t="s">
        <v>99</v>
      </c>
      <c r="U1991" s="5" t="s">
        <v>44</v>
      </c>
      <c r="V1991" s="5" t="s">
        <v>460</v>
      </c>
      <c r="W1991" s="5" t="s">
        <v>36</v>
      </c>
      <c r="X1991" s="8" t="s">
        <v>330</v>
      </c>
      <c r="Y1991" s="5" t="s">
        <v>46</v>
      </c>
      <c r="Z1991" s="5" t="s">
        <v>47</v>
      </c>
      <c r="AA1991" s="5" t="s">
        <v>64</v>
      </c>
      <c r="AB1991" s="5" t="s">
        <v>9696</v>
      </c>
      <c r="AC1991" s="6" t="s">
        <v>34</v>
      </c>
      <c r="AD1991" s="6">
        <v>9700.0</v>
      </c>
    </row>
    <row r="1992" ht="56.25" customHeight="1">
      <c r="A1992" s="5" t="s">
        <v>9697</v>
      </c>
      <c r="B1992" s="6" t="str">
        <f>IMAGE("https://storage.googleapis.com/acdb/housewares/FtrLampJapan_Remake_0_0.png")</f>
        <v/>
      </c>
      <c r="C1992" s="5" t="s">
        <v>366</v>
      </c>
      <c r="D1992" s="5" t="s">
        <v>34</v>
      </c>
      <c r="E1992" s="5" t="s">
        <v>811</v>
      </c>
      <c r="F1992" s="5" t="s">
        <v>9700</v>
      </c>
      <c r="G1992" s="5" t="s">
        <v>36</v>
      </c>
      <c r="H1992" s="5" t="s">
        <v>36</v>
      </c>
      <c r="I1992" s="5" t="s">
        <v>35</v>
      </c>
      <c r="J1992" s="6">
        <v>1.0</v>
      </c>
      <c r="K1992" s="6">
        <v>780.0</v>
      </c>
      <c r="L1992" s="6">
        <v>195.0</v>
      </c>
      <c r="M1992" s="26" t="s">
        <v>38</v>
      </c>
      <c r="N1992" s="26" t="s">
        <v>57</v>
      </c>
      <c r="O1992" s="6" t="s">
        <v>40</v>
      </c>
      <c r="P1992" s="5" t="s">
        <v>59</v>
      </c>
      <c r="Q1992" s="5" t="s">
        <v>89</v>
      </c>
      <c r="R1992" s="6" t="s">
        <v>42</v>
      </c>
      <c r="S1992" s="5" t="s">
        <v>266</v>
      </c>
      <c r="T1992" s="5" t="s">
        <v>44</v>
      </c>
      <c r="U1992" s="5" t="s">
        <v>44</v>
      </c>
      <c r="V1992" s="5" t="s">
        <v>44</v>
      </c>
      <c r="W1992" s="5" t="s">
        <v>35</v>
      </c>
      <c r="X1992" s="8" t="s">
        <v>467</v>
      </c>
      <c r="Y1992" s="5" t="s">
        <v>46</v>
      </c>
      <c r="Z1992" s="5" t="s">
        <v>495</v>
      </c>
      <c r="AA1992" s="5" t="s">
        <v>64</v>
      </c>
      <c r="AB1992" s="5" t="s">
        <v>9703</v>
      </c>
      <c r="AC1992" s="6" t="s">
        <v>50</v>
      </c>
      <c r="AD1992" s="6">
        <v>725.0</v>
      </c>
    </row>
    <row r="1993" ht="56.25" customHeight="1">
      <c r="A1993" s="5" t="s">
        <v>9697</v>
      </c>
      <c r="B1993" s="6" t="str">
        <f>IMAGE("https://storage.googleapis.com/acdb/housewares/FtrLampJapan_Remake_0_1.png")</f>
        <v/>
      </c>
      <c r="C1993" s="5" t="s">
        <v>366</v>
      </c>
      <c r="D1993" s="5" t="s">
        <v>34</v>
      </c>
      <c r="E1993" s="5" t="s">
        <v>5574</v>
      </c>
      <c r="F1993" s="5" t="s">
        <v>9700</v>
      </c>
      <c r="G1993" s="5" t="s">
        <v>36</v>
      </c>
      <c r="H1993" s="5" t="s">
        <v>36</v>
      </c>
      <c r="I1993" s="5" t="s">
        <v>35</v>
      </c>
      <c r="J1993" s="6">
        <v>1.0</v>
      </c>
      <c r="K1993" s="6">
        <v>780.0</v>
      </c>
      <c r="L1993" s="6">
        <v>195.0</v>
      </c>
      <c r="M1993" s="26" t="s">
        <v>38</v>
      </c>
      <c r="N1993" s="26" t="s">
        <v>69</v>
      </c>
      <c r="O1993" s="6" t="s">
        <v>40</v>
      </c>
      <c r="P1993" s="5" t="s">
        <v>59</v>
      </c>
      <c r="Q1993" s="5" t="s">
        <v>89</v>
      </c>
      <c r="R1993" s="6" t="s">
        <v>42</v>
      </c>
      <c r="S1993" s="5" t="s">
        <v>266</v>
      </c>
      <c r="T1993" s="5" t="s">
        <v>44</v>
      </c>
      <c r="U1993" s="5" t="s">
        <v>44</v>
      </c>
      <c r="V1993" s="5" t="s">
        <v>44</v>
      </c>
      <c r="W1993" s="5" t="s">
        <v>35</v>
      </c>
      <c r="X1993" s="8" t="s">
        <v>467</v>
      </c>
      <c r="Y1993" s="5" t="s">
        <v>46</v>
      </c>
      <c r="Z1993" s="5" t="s">
        <v>495</v>
      </c>
      <c r="AA1993" s="5" t="s">
        <v>64</v>
      </c>
      <c r="AB1993" s="5" t="s">
        <v>9709</v>
      </c>
      <c r="AC1993" s="6" t="s">
        <v>217</v>
      </c>
      <c r="AD1993" s="6">
        <v>725.0</v>
      </c>
    </row>
    <row r="1994" ht="56.25" customHeight="1">
      <c r="A1994" s="5" t="s">
        <v>9697</v>
      </c>
      <c r="B1994" s="6" t="str">
        <f>IMAGE("https://storage.googleapis.com/acdb/housewares/FtrLampJapan_Remake_0_2.png")</f>
        <v/>
      </c>
      <c r="C1994" s="5" t="s">
        <v>366</v>
      </c>
      <c r="D1994" s="5" t="s">
        <v>34</v>
      </c>
      <c r="E1994" s="5" t="s">
        <v>5581</v>
      </c>
      <c r="F1994" s="5" t="s">
        <v>9700</v>
      </c>
      <c r="G1994" s="5" t="s">
        <v>36</v>
      </c>
      <c r="H1994" s="5" t="s">
        <v>36</v>
      </c>
      <c r="I1994" s="5" t="s">
        <v>35</v>
      </c>
      <c r="J1994" s="6">
        <v>1.0</v>
      </c>
      <c r="K1994" s="6">
        <v>780.0</v>
      </c>
      <c r="L1994" s="6">
        <v>195.0</v>
      </c>
      <c r="M1994" s="26" t="s">
        <v>38</v>
      </c>
      <c r="N1994" s="26" t="s">
        <v>96</v>
      </c>
      <c r="O1994" s="6" t="s">
        <v>40</v>
      </c>
      <c r="P1994" s="5" t="s">
        <v>59</v>
      </c>
      <c r="Q1994" s="5" t="s">
        <v>89</v>
      </c>
      <c r="R1994" s="6" t="s">
        <v>42</v>
      </c>
      <c r="S1994" s="5" t="s">
        <v>266</v>
      </c>
      <c r="T1994" s="5" t="s">
        <v>44</v>
      </c>
      <c r="U1994" s="5" t="s">
        <v>44</v>
      </c>
      <c r="V1994" s="5" t="s">
        <v>44</v>
      </c>
      <c r="W1994" s="5" t="s">
        <v>35</v>
      </c>
      <c r="X1994" s="8" t="s">
        <v>467</v>
      </c>
      <c r="Y1994" s="5" t="s">
        <v>46</v>
      </c>
      <c r="Z1994" s="5" t="s">
        <v>495</v>
      </c>
      <c r="AA1994" s="5" t="s">
        <v>64</v>
      </c>
      <c r="AB1994" s="5" t="s">
        <v>9715</v>
      </c>
      <c r="AC1994" s="6" t="s">
        <v>347</v>
      </c>
      <c r="AD1994" s="6">
        <v>725.0</v>
      </c>
    </row>
    <row r="1995" ht="56.25" customHeight="1">
      <c r="A1995" s="5" t="s">
        <v>9697</v>
      </c>
      <c r="B1995" s="6" t="str">
        <f>IMAGE("https://storage.googleapis.com/acdb/housewares/FtrLampJapan_Remake_0_3.png")</f>
        <v/>
      </c>
      <c r="C1995" s="5" t="s">
        <v>366</v>
      </c>
      <c r="D1995" s="5" t="s">
        <v>34</v>
      </c>
      <c r="E1995" s="5" t="s">
        <v>5587</v>
      </c>
      <c r="F1995" s="5" t="s">
        <v>9700</v>
      </c>
      <c r="G1995" s="5" t="s">
        <v>36</v>
      </c>
      <c r="H1995" s="5" t="s">
        <v>36</v>
      </c>
      <c r="I1995" s="5" t="s">
        <v>35</v>
      </c>
      <c r="J1995" s="6">
        <v>1.0</v>
      </c>
      <c r="K1995" s="6">
        <v>780.0</v>
      </c>
      <c r="L1995" s="6">
        <v>195.0</v>
      </c>
      <c r="M1995" s="26" t="s">
        <v>38</v>
      </c>
      <c r="N1995" s="26" t="s">
        <v>142</v>
      </c>
      <c r="O1995" s="6" t="s">
        <v>40</v>
      </c>
      <c r="P1995" s="5" t="s">
        <v>59</v>
      </c>
      <c r="Q1995" s="5" t="s">
        <v>89</v>
      </c>
      <c r="R1995" s="6" t="s">
        <v>42</v>
      </c>
      <c r="S1995" s="5" t="s">
        <v>266</v>
      </c>
      <c r="T1995" s="5" t="s">
        <v>44</v>
      </c>
      <c r="U1995" s="5" t="s">
        <v>44</v>
      </c>
      <c r="V1995" s="5" t="s">
        <v>44</v>
      </c>
      <c r="W1995" s="5" t="s">
        <v>35</v>
      </c>
      <c r="X1995" s="8" t="s">
        <v>467</v>
      </c>
      <c r="Y1995" s="5" t="s">
        <v>46</v>
      </c>
      <c r="Z1995" s="5" t="s">
        <v>495</v>
      </c>
      <c r="AA1995" s="5" t="s">
        <v>64</v>
      </c>
      <c r="AB1995" s="5" t="s">
        <v>9720</v>
      </c>
      <c r="AC1995" s="6" t="s">
        <v>354</v>
      </c>
      <c r="AD1995" s="6">
        <v>725.0</v>
      </c>
    </row>
    <row r="1996" ht="56.25" customHeight="1">
      <c r="A1996" s="5" t="s">
        <v>9697</v>
      </c>
      <c r="B1996" s="6" t="str">
        <f>IMAGE("https://storage.googleapis.com/acdb/housewares/FtrLampJapan_Remake_0_4.png")</f>
        <v/>
      </c>
      <c r="C1996" s="5" t="s">
        <v>366</v>
      </c>
      <c r="D1996" s="5" t="s">
        <v>34</v>
      </c>
      <c r="E1996" s="5" t="s">
        <v>5592</v>
      </c>
      <c r="F1996" s="5" t="s">
        <v>9700</v>
      </c>
      <c r="G1996" s="5" t="s">
        <v>36</v>
      </c>
      <c r="H1996" s="5" t="s">
        <v>36</v>
      </c>
      <c r="I1996" s="5" t="s">
        <v>35</v>
      </c>
      <c r="J1996" s="6">
        <v>1.0</v>
      </c>
      <c r="K1996" s="6">
        <v>780.0</v>
      </c>
      <c r="L1996" s="6">
        <v>195.0</v>
      </c>
      <c r="M1996" s="26" t="s">
        <v>38</v>
      </c>
      <c r="N1996" s="26" t="s">
        <v>95</v>
      </c>
      <c r="O1996" s="6" t="s">
        <v>40</v>
      </c>
      <c r="P1996" s="5" t="s">
        <v>59</v>
      </c>
      <c r="Q1996" s="5" t="s">
        <v>89</v>
      </c>
      <c r="R1996" s="6" t="s">
        <v>42</v>
      </c>
      <c r="S1996" s="5" t="s">
        <v>266</v>
      </c>
      <c r="T1996" s="5" t="s">
        <v>44</v>
      </c>
      <c r="U1996" s="5" t="s">
        <v>44</v>
      </c>
      <c r="V1996" s="5" t="s">
        <v>44</v>
      </c>
      <c r="W1996" s="5" t="s">
        <v>35</v>
      </c>
      <c r="X1996" s="8" t="s">
        <v>467</v>
      </c>
      <c r="Y1996" s="5" t="s">
        <v>46</v>
      </c>
      <c r="Z1996" s="5" t="s">
        <v>495</v>
      </c>
      <c r="AA1996" s="5" t="s">
        <v>64</v>
      </c>
      <c r="AB1996" s="5" t="s">
        <v>9723</v>
      </c>
      <c r="AC1996" s="6" t="s">
        <v>486</v>
      </c>
      <c r="AD1996" s="6">
        <v>725.0</v>
      </c>
    </row>
    <row r="1997" ht="56.25" customHeight="1">
      <c r="A1997" s="5" t="s">
        <v>9697</v>
      </c>
      <c r="B1997" s="6" t="str">
        <f>IMAGE("https://storage.googleapis.com/acdb/housewares/FtrLampJapan_Remake_1_0.png")</f>
        <v/>
      </c>
      <c r="C1997" s="5" t="s">
        <v>1132</v>
      </c>
      <c r="D1997" s="5" t="s">
        <v>34</v>
      </c>
      <c r="E1997" s="5" t="s">
        <v>811</v>
      </c>
      <c r="F1997" s="5" t="s">
        <v>9700</v>
      </c>
      <c r="G1997" s="5" t="s">
        <v>36</v>
      </c>
      <c r="H1997" s="5" t="s">
        <v>36</v>
      </c>
      <c r="I1997" s="5" t="s">
        <v>35</v>
      </c>
      <c r="J1997" s="6">
        <v>1.0</v>
      </c>
      <c r="K1997" s="6">
        <v>780.0</v>
      </c>
      <c r="L1997" s="6">
        <v>195.0</v>
      </c>
      <c r="M1997" s="26" t="s">
        <v>39</v>
      </c>
      <c r="N1997" s="26" t="s">
        <v>57</v>
      </c>
      <c r="O1997" s="6" t="s">
        <v>40</v>
      </c>
      <c r="P1997" s="5" t="s">
        <v>59</v>
      </c>
      <c r="Q1997" s="5" t="s">
        <v>89</v>
      </c>
      <c r="R1997" s="6" t="s">
        <v>42</v>
      </c>
      <c r="S1997" s="5" t="s">
        <v>266</v>
      </c>
      <c r="T1997" s="5" t="s">
        <v>44</v>
      </c>
      <c r="U1997" s="5" t="s">
        <v>44</v>
      </c>
      <c r="V1997" s="5" t="s">
        <v>44</v>
      </c>
      <c r="W1997" s="5" t="s">
        <v>35</v>
      </c>
      <c r="X1997" s="8" t="s">
        <v>467</v>
      </c>
      <c r="Y1997" s="5" t="s">
        <v>46</v>
      </c>
      <c r="Z1997" s="5" t="s">
        <v>495</v>
      </c>
      <c r="AA1997" s="5" t="s">
        <v>64</v>
      </c>
      <c r="AB1997" s="5" t="s">
        <v>9727</v>
      </c>
      <c r="AC1997" s="6" t="s">
        <v>56</v>
      </c>
      <c r="AD1997" s="6">
        <v>725.0</v>
      </c>
    </row>
    <row r="1998" ht="56.25" customHeight="1">
      <c r="A1998" s="5" t="s">
        <v>9697</v>
      </c>
      <c r="B1998" s="6" t="str">
        <f>IMAGE("https://storage.googleapis.com/acdb/housewares/FtrLampJapan_Remake_1_1.png")</f>
        <v/>
      </c>
      <c r="C1998" s="5" t="s">
        <v>1132</v>
      </c>
      <c r="D1998" s="5" t="s">
        <v>34</v>
      </c>
      <c r="E1998" s="5" t="s">
        <v>5574</v>
      </c>
      <c r="F1998" s="5" t="s">
        <v>9700</v>
      </c>
      <c r="G1998" s="5" t="s">
        <v>36</v>
      </c>
      <c r="H1998" s="5" t="s">
        <v>36</v>
      </c>
      <c r="I1998" s="5" t="s">
        <v>35</v>
      </c>
      <c r="J1998" s="6">
        <v>1.0</v>
      </c>
      <c r="K1998" s="6">
        <v>780.0</v>
      </c>
      <c r="L1998" s="6">
        <v>195.0</v>
      </c>
      <c r="M1998" s="26" t="s">
        <v>39</v>
      </c>
      <c r="N1998" s="26" t="s">
        <v>69</v>
      </c>
      <c r="O1998" s="6" t="s">
        <v>40</v>
      </c>
      <c r="P1998" s="5" t="s">
        <v>59</v>
      </c>
      <c r="Q1998" s="5" t="s">
        <v>89</v>
      </c>
      <c r="R1998" s="6" t="s">
        <v>42</v>
      </c>
      <c r="S1998" s="5" t="s">
        <v>266</v>
      </c>
      <c r="T1998" s="5" t="s">
        <v>44</v>
      </c>
      <c r="U1998" s="5" t="s">
        <v>44</v>
      </c>
      <c r="V1998" s="5" t="s">
        <v>44</v>
      </c>
      <c r="W1998" s="5" t="s">
        <v>35</v>
      </c>
      <c r="X1998" s="8" t="s">
        <v>467</v>
      </c>
      <c r="Y1998" s="5" t="s">
        <v>46</v>
      </c>
      <c r="Z1998" s="5" t="s">
        <v>495</v>
      </c>
      <c r="AA1998" s="5" t="s">
        <v>64</v>
      </c>
      <c r="AB1998" s="5" t="s">
        <v>9732</v>
      </c>
      <c r="AC1998" s="6" t="s">
        <v>234</v>
      </c>
      <c r="AD1998" s="6">
        <v>725.0</v>
      </c>
    </row>
    <row r="1999" ht="56.25" customHeight="1">
      <c r="A1999" s="5" t="s">
        <v>9697</v>
      </c>
      <c r="B1999" s="6" t="str">
        <f>IMAGE("https://storage.googleapis.com/acdb/housewares/FtrLampJapan_Remake_1_2.png")</f>
        <v/>
      </c>
      <c r="C1999" s="5" t="s">
        <v>1132</v>
      </c>
      <c r="D1999" s="5" t="s">
        <v>34</v>
      </c>
      <c r="E1999" s="5" t="s">
        <v>5581</v>
      </c>
      <c r="F1999" s="5" t="s">
        <v>9700</v>
      </c>
      <c r="G1999" s="5" t="s">
        <v>36</v>
      </c>
      <c r="H1999" s="5" t="s">
        <v>36</v>
      </c>
      <c r="I1999" s="5" t="s">
        <v>35</v>
      </c>
      <c r="J1999" s="6">
        <v>1.0</v>
      </c>
      <c r="K1999" s="6">
        <v>780.0</v>
      </c>
      <c r="L1999" s="6">
        <v>195.0</v>
      </c>
      <c r="M1999" s="26" t="s">
        <v>39</v>
      </c>
      <c r="N1999" s="26" t="s">
        <v>96</v>
      </c>
      <c r="O1999" s="6" t="s">
        <v>40</v>
      </c>
      <c r="P1999" s="5" t="s">
        <v>59</v>
      </c>
      <c r="Q1999" s="5" t="s">
        <v>89</v>
      </c>
      <c r="R1999" s="6" t="s">
        <v>42</v>
      </c>
      <c r="S1999" s="5" t="s">
        <v>266</v>
      </c>
      <c r="T1999" s="5" t="s">
        <v>44</v>
      </c>
      <c r="U1999" s="5" t="s">
        <v>44</v>
      </c>
      <c r="V1999" s="5" t="s">
        <v>44</v>
      </c>
      <c r="W1999" s="5" t="s">
        <v>35</v>
      </c>
      <c r="X1999" s="8" t="s">
        <v>467</v>
      </c>
      <c r="Y1999" s="5" t="s">
        <v>46</v>
      </c>
      <c r="Z1999" s="5" t="s">
        <v>495</v>
      </c>
      <c r="AA1999" s="5" t="s">
        <v>64</v>
      </c>
      <c r="AB1999" s="5" t="s">
        <v>9737</v>
      </c>
      <c r="AC1999" s="6" t="s">
        <v>370</v>
      </c>
      <c r="AD1999" s="6">
        <v>725.0</v>
      </c>
    </row>
    <row r="2000" ht="56.25" customHeight="1">
      <c r="A2000" s="5" t="s">
        <v>9697</v>
      </c>
      <c r="B2000" s="6" t="str">
        <f>IMAGE("https://storage.googleapis.com/acdb/housewares/FtrLampJapan_Remake_1_3.png")</f>
        <v/>
      </c>
      <c r="C2000" s="5" t="s">
        <v>1132</v>
      </c>
      <c r="D2000" s="5" t="s">
        <v>34</v>
      </c>
      <c r="E2000" s="5" t="s">
        <v>5587</v>
      </c>
      <c r="F2000" s="5" t="s">
        <v>9700</v>
      </c>
      <c r="G2000" s="5" t="s">
        <v>36</v>
      </c>
      <c r="H2000" s="5" t="s">
        <v>36</v>
      </c>
      <c r="I2000" s="5" t="s">
        <v>35</v>
      </c>
      <c r="J2000" s="6">
        <v>1.0</v>
      </c>
      <c r="K2000" s="6">
        <v>780.0</v>
      </c>
      <c r="L2000" s="6">
        <v>195.0</v>
      </c>
      <c r="M2000" s="26" t="s">
        <v>39</v>
      </c>
      <c r="N2000" s="26" t="s">
        <v>142</v>
      </c>
      <c r="O2000" s="6" t="s">
        <v>40</v>
      </c>
      <c r="P2000" s="5" t="s">
        <v>59</v>
      </c>
      <c r="Q2000" s="5" t="s">
        <v>89</v>
      </c>
      <c r="R2000" s="6" t="s">
        <v>42</v>
      </c>
      <c r="S2000" s="5" t="s">
        <v>266</v>
      </c>
      <c r="T2000" s="5" t="s">
        <v>44</v>
      </c>
      <c r="U2000" s="5" t="s">
        <v>44</v>
      </c>
      <c r="V2000" s="5" t="s">
        <v>44</v>
      </c>
      <c r="W2000" s="5" t="s">
        <v>35</v>
      </c>
      <c r="X2000" s="8" t="s">
        <v>467</v>
      </c>
      <c r="Y2000" s="5" t="s">
        <v>46</v>
      </c>
      <c r="Z2000" s="5" t="s">
        <v>495</v>
      </c>
      <c r="AA2000" s="5" t="s">
        <v>64</v>
      </c>
      <c r="AB2000" s="5" t="s">
        <v>9740</v>
      </c>
      <c r="AC2000" s="6" t="s">
        <v>377</v>
      </c>
      <c r="AD2000" s="6">
        <v>725.0</v>
      </c>
    </row>
    <row r="2001" ht="56.25" customHeight="1">
      <c r="A2001" s="5" t="s">
        <v>9697</v>
      </c>
      <c r="B2001" s="6" t="str">
        <f>IMAGE("https://storage.googleapis.com/acdb/housewares/FtrLampJapan_Remake_1_4.png")</f>
        <v/>
      </c>
      <c r="C2001" s="5" t="s">
        <v>1132</v>
      </c>
      <c r="D2001" s="5" t="s">
        <v>34</v>
      </c>
      <c r="E2001" s="5" t="s">
        <v>5592</v>
      </c>
      <c r="F2001" s="5" t="s">
        <v>9700</v>
      </c>
      <c r="G2001" s="5" t="s">
        <v>36</v>
      </c>
      <c r="H2001" s="5" t="s">
        <v>36</v>
      </c>
      <c r="I2001" s="5" t="s">
        <v>35</v>
      </c>
      <c r="J2001" s="6">
        <v>1.0</v>
      </c>
      <c r="K2001" s="6">
        <v>780.0</v>
      </c>
      <c r="L2001" s="6">
        <v>195.0</v>
      </c>
      <c r="M2001" s="26" t="s">
        <v>39</v>
      </c>
      <c r="N2001" s="26" t="s">
        <v>95</v>
      </c>
      <c r="O2001" s="6" t="s">
        <v>40</v>
      </c>
      <c r="P2001" s="5" t="s">
        <v>59</v>
      </c>
      <c r="Q2001" s="5" t="s">
        <v>89</v>
      </c>
      <c r="R2001" s="6" t="s">
        <v>42</v>
      </c>
      <c r="S2001" s="5" t="s">
        <v>266</v>
      </c>
      <c r="T2001" s="5" t="s">
        <v>44</v>
      </c>
      <c r="U2001" s="5" t="s">
        <v>44</v>
      </c>
      <c r="V2001" s="5" t="s">
        <v>44</v>
      </c>
      <c r="W2001" s="5" t="s">
        <v>35</v>
      </c>
      <c r="X2001" s="8" t="s">
        <v>467</v>
      </c>
      <c r="Y2001" s="5" t="s">
        <v>46</v>
      </c>
      <c r="Z2001" s="5" t="s">
        <v>495</v>
      </c>
      <c r="AA2001" s="5" t="s">
        <v>64</v>
      </c>
      <c r="AB2001" s="5" t="s">
        <v>9745</v>
      </c>
      <c r="AC2001" s="6" t="s">
        <v>520</v>
      </c>
      <c r="AD2001" s="6">
        <v>725.0</v>
      </c>
    </row>
    <row r="2002" ht="56.25" customHeight="1">
      <c r="A2002" s="5" t="s">
        <v>9697</v>
      </c>
      <c r="B2002" s="6" t="str">
        <f>IMAGE("https://storage.googleapis.com/acdb/housewares/FtrLampJapan_Remake_2_0.png")</f>
        <v/>
      </c>
      <c r="C2002" s="5" t="s">
        <v>1588</v>
      </c>
      <c r="D2002" s="5" t="s">
        <v>34</v>
      </c>
      <c r="E2002" s="5" t="s">
        <v>811</v>
      </c>
      <c r="F2002" s="5" t="s">
        <v>9700</v>
      </c>
      <c r="G2002" s="5" t="s">
        <v>36</v>
      </c>
      <c r="H2002" s="5" t="s">
        <v>36</v>
      </c>
      <c r="I2002" s="5" t="s">
        <v>35</v>
      </c>
      <c r="J2002" s="6">
        <v>1.0</v>
      </c>
      <c r="K2002" s="6">
        <v>780.0</v>
      </c>
      <c r="L2002" s="6">
        <v>195.0</v>
      </c>
      <c r="M2002" s="26" t="s">
        <v>142</v>
      </c>
      <c r="N2002" s="26" t="s">
        <v>57</v>
      </c>
      <c r="O2002" s="6" t="s">
        <v>40</v>
      </c>
      <c r="P2002" s="5" t="s">
        <v>59</v>
      </c>
      <c r="Q2002" s="5" t="s">
        <v>89</v>
      </c>
      <c r="R2002" s="6" t="s">
        <v>42</v>
      </c>
      <c r="S2002" s="5" t="s">
        <v>266</v>
      </c>
      <c r="T2002" s="5" t="s">
        <v>44</v>
      </c>
      <c r="U2002" s="5" t="s">
        <v>44</v>
      </c>
      <c r="V2002" s="5" t="s">
        <v>44</v>
      </c>
      <c r="W2002" s="5" t="s">
        <v>35</v>
      </c>
      <c r="X2002" s="8" t="s">
        <v>467</v>
      </c>
      <c r="Y2002" s="5" t="s">
        <v>46</v>
      </c>
      <c r="Z2002" s="5" t="s">
        <v>495</v>
      </c>
      <c r="AA2002" s="5" t="s">
        <v>64</v>
      </c>
      <c r="AB2002" s="5" t="s">
        <v>9750</v>
      </c>
      <c r="AC2002" s="6" t="s">
        <v>67</v>
      </c>
      <c r="AD2002" s="6">
        <v>725.0</v>
      </c>
    </row>
    <row r="2003" ht="56.25" customHeight="1">
      <c r="A2003" s="5" t="s">
        <v>9697</v>
      </c>
      <c r="B2003" s="6" t="str">
        <f>IMAGE("https://storage.googleapis.com/acdb/housewares/FtrLampJapan_Remake_2_1.png")</f>
        <v/>
      </c>
      <c r="C2003" s="5" t="s">
        <v>1588</v>
      </c>
      <c r="D2003" s="5" t="s">
        <v>34</v>
      </c>
      <c r="E2003" s="5" t="s">
        <v>5574</v>
      </c>
      <c r="F2003" s="5" t="s">
        <v>9700</v>
      </c>
      <c r="G2003" s="5" t="s">
        <v>36</v>
      </c>
      <c r="H2003" s="5" t="s">
        <v>36</v>
      </c>
      <c r="I2003" s="5" t="s">
        <v>35</v>
      </c>
      <c r="J2003" s="6">
        <v>1.0</v>
      </c>
      <c r="K2003" s="6">
        <v>780.0</v>
      </c>
      <c r="L2003" s="6">
        <v>195.0</v>
      </c>
      <c r="M2003" s="26" t="s">
        <v>142</v>
      </c>
      <c r="N2003" s="26" t="s">
        <v>69</v>
      </c>
      <c r="O2003" s="6" t="s">
        <v>40</v>
      </c>
      <c r="P2003" s="5" t="s">
        <v>59</v>
      </c>
      <c r="Q2003" s="5" t="s">
        <v>89</v>
      </c>
      <c r="R2003" s="6" t="s">
        <v>42</v>
      </c>
      <c r="S2003" s="5" t="s">
        <v>266</v>
      </c>
      <c r="T2003" s="5" t="s">
        <v>44</v>
      </c>
      <c r="U2003" s="5" t="s">
        <v>44</v>
      </c>
      <c r="V2003" s="5" t="s">
        <v>44</v>
      </c>
      <c r="W2003" s="5" t="s">
        <v>35</v>
      </c>
      <c r="X2003" s="8" t="s">
        <v>467</v>
      </c>
      <c r="Y2003" s="5" t="s">
        <v>46</v>
      </c>
      <c r="Z2003" s="5" t="s">
        <v>495</v>
      </c>
      <c r="AA2003" s="5" t="s">
        <v>64</v>
      </c>
      <c r="AB2003" s="5" t="s">
        <v>9756</v>
      </c>
      <c r="AC2003" s="6" t="s">
        <v>247</v>
      </c>
      <c r="AD2003" s="6">
        <v>725.0</v>
      </c>
    </row>
    <row r="2004" ht="56.25" customHeight="1">
      <c r="A2004" s="5" t="s">
        <v>9697</v>
      </c>
      <c r="B2004" s="6" t="str">
        <f>IMAGE("https://storage.googleapis.com/acdb/housewares/FtrLampJapan_Remake_2_2.png")</f>
        <v/>
      </c>
      <c r="C2004" s="5" t="s">
        <v>1588</v>
      </c>
      <c r="D2004" s="5" t="s">
        <v>34</v>
      </c>
      <c r="E2004" s="5" t="s">
        <v>5581</v>
      </c>
      <c r="F2004" s="5" t="s">
        <v>9700</v>
      </c>
      <c r="G2004" s="5" t="s">
        <v>36</v>
      </c>
      <c r="H2004" s="5" t="s">
        <v>36</v>
      </c>
      <c r="I2004" s="5" t="s">
        <v>35</v>
      </c>
      <c r="J2004" s="6">
        <v>1.0</v>
      </c>
      <c r="K2004" s="6">
        <v>780.0</v>
      </c>
      <c r="L2004" s="6">
        <v>195.0</v>
      </c>
      <c r="M2004" s="26" t="s">
        <v>142</v>
      </c>
      <c r="N2004" s="26" t="s">
        <v>96</v>
      </c>
      <c r="O2004" s="6" t="s">
        <v>40</v>
      </c>
      <c r="P2004" s="5" t="s">
        <v>59</v>
      </c>
      <c r="Q2004" s="5" t="s">
        <v>89</v>
      </c>
      <c r="R2004" s="6" t="s">
        <v>42</v>
      </c>
      <c r="S2004" s="5" t="s">
        <v>266</v>
      </c>
      <c r="T2004" s="5" t="s">
        <v>44</v>
      </c>
      <c r="U2004" s="5" t="s">
        <v>44</v>
      </c>
      <c r="V2004" s="5" t="s">
        <v>44</v>
      </c>
      <c r="W2004" s="5" t="s">
        <v>35</v>
      </c>
      <c r="X2004" s="8" t="s">
        <v>467</v>
      </c>
      <c r="Y2004" s="5" t="s">
        <v>46</v>
      </c>
      <c r="Z2004" s="5" t="s">
        <v>495</v>
      </c>
      <c r="AA2004" s="5" t="s">
        <v>64</v>
      </c>
      <c r="AB2004" s="5" t="s">
        <v>9761</v>
      </c>
      <c r="AC2004" s="6" t="s">
        <v>390</v>
      </c>
      <c r="AD2004" s="6">
        <v>725.0</v>
      </c>
    </row>
    <row r="2005" ht="56.25" customHeight="1">
      <c r="A2005" s="5" t="s">
        <v>9697</v>
      </c>
      <c r="B2005" s="6" t="str">
        <f>IMAGE("https://storage.googleapis.com/acdb/housewares/FtrLampJapan_Remake_2_3.png")</f>
        <v/>
      </c>
      <c r="C2005" s="5" t="s">
        <v>1588</v>
      </c>
      <c r="D2005" s="5" t="s">
        <v>34</v>
      </c>
      <c r="E2005" s="5" t="s">
        <v>5587</v>
      </c>
      <c r="F2005" s="5" t="s">
        <v>9700</v>
      </c>
      <c r="G2005" s="5" t="s">
        <v>36</v>
      </c>
      <c r="H2005" s="5" t="s">
        <v>36</v>
      </c>
      <c r="I2005" s="5" t="s">
        <v>35</v>
      </c>
      <c r="J2005" s="6">
        <v>1.0</v>
      </c>
      <c r="K2005" s="6">
        <v>780.0</v>
      </c>
      <c r="L2005" s="6">
        <v>195.0</v>
      </c>
      <c r="M2005" s="26" t="s">
        <v>142</v>
      </c>
      <c r="N2005" s="26" t="s">
        <v>142</v>
      </c>
      <c r="O2005" s="6" t="s">
        <v>40</v>
      </c>
      <c r="P2005" s="5" t="s">
        <v>59</v>
      </c>
      <c r="Q2005" s="5" t="s">
        <v>89</v>
      </c>
      <c r="R2005" s="6" t="s">
        <v>42</v>
      </c>
      <c r="S2005" s="5" t="s">
        <v>266</v>
      </c>
      <c r="T2005" s="5" t="s">
        <v>44</v>
      </c>
      <c r="U2005" s="5" t="s">
        <v>44</v>
      </c>
      <c r="V2005" s="5" t="s">
        <v>44</v>
      </c>
      <c r="W2005" s="5" t="s">
        <v>35</v>
      </c>
      <c r="X2005" s="8" t="s">
        <v>467</v>
      </c>
      <c r="Y2005" s="5" t="s">
        <v>46</v>
      </c>
      <c r="Z2005" s="5" t="s">
        <v>495</v>
      </c>
      <c r="AA2005" s="5" t="s">
        <v>64</v>
      </c>
      <c r="AB2005" s="5" t="s">
        <v>9766</v>
      </c>
      <c r="AC2005" s="6" t="s">
        <v>396</v>
      </c>
      <c r="AD2005" s="6">
        <v>725.0</v>
      </c>
    </row>
    <row r="2006" ht="56.25" customHeight="1">
      <c r="A2006" s="5" t="s">
        <v>9697</v>
      </c>
      <c r="B2006" s="6" t="str">
        <f>IMAGE("https://storage.googleapis.com/acdb/housewares/FtrLampJapan_Remake_2_4.png")</f>
        <v/>
      </c>
      <c r="C2006" s="5" t="s">
        <v>1588</v>
      </c>
      <c r="D2006" s="5" t="s">
        <v>34</v>
      </c>
      <c r="E2006" s="5" t="s">
        <v>5592</v>
      </c>
      <c r="F2006" s="5" t="s">
        <v>9700</v>
      </c>
      <c r="G2006" s="5" t="s">
        <v>36</v>
      </c>
      <c r="H2006" s="5" t="s">
        <v>36</v>
      </c>
      <c r="I2006" s="5" t="s">
        <v>35</v>
      </c>
      <c r="J2006" s="6">
        <v>1.0</v>
      </c>
      <c r="K2006" s="6">
        <v>780.0</v>
      </c>
      <c r="L2006" s="6">
        <v>195.0</v>
      </c>
      <c r="M2006" s="26" t="s">
        <v>142</v>
      </c>
      <c r="N2006" s="26" t="s">
        <v>95</v>
      </c>
      <c r="O2006" s="6" t="s">
        <v>40</v>
      </c>
      <c r="P2006" s="5" t="s">
        <v>59</v>
      </c>
      <c r="Q2006" s="5" t="s">
        <v>89</v>
      </c>
      <c r="R2006" s="6" t="s">
        <v>42</v>
      </c>
      <c r="S2006" s="5" t="s">
        <v>266</v>
      </c>
      <c r="T2006" s="5" t="s">
        <v>44</v>
      </c>
      <c r="U2006" s="5" t="s">
        <v>44</v>
      </c>
      <c r="V2006" s="5" t="s">
        <v>44</v>
      </c>
      <c r="W2006" s="5" t="s">
        <v>35</v>
      </c>
      <c r="X2006" s="8" t="s">
        <v>467</v>
      </c>
      <c r="Y2006" s="5" t="s">
        <v>46</v>
      </c>
      <c r="Z2006" s="5" t="s">
        <v>495</v>
      </c>
      <c r="AA2006" s="5" t="s">
        <v>64</v>
      </c>
      <c r="AB2006" s="5" t="s">
        <v>9769</v>
      </c>
      <c r="AC2006" s="6" t="s">
        <v>541</v>
      </c>
      <c r="AD2006" s="6">
        <v>725.0</v>
      </c>
    </row>
    <row r="2007" ht="56.25" customHeight="1">
      <c r="A2007" s="5" t="s">
        <v>9770</v>
      </c>
      <c r="B2007" s="6" t="str">
        <f>IMAGE("https://storage.googleapis.com/acdb/housewares/FtrParabolicantenna_Remake_0_0.png")</f>
        <v/>
      </c>
      <c r="C2007" s="5" t="s">
        <v>811</v>
      </c>
      <c r="D2007" s="5" t="s">
        <v>34</v>
      </c>
      <c r="E2007" s="5" t="s">
        <v>34</v>
      </c>
      <c r="F2007" s="5" t="s">
        <v>34</v>
      </c>
      <c r="G2007" s="5" t="s">
        <v>36</v>
      </c>
      <c r="H2007" s="5" t="s">
        <v>36</v>
      </c>
      <c r="I2007" s="5" t="s">
        <v>36</v>
      </c>
      <c r="J2007" s="6" t="s">
        <v>34</v>
      </c>
      <c r="K2007" s="6" t="s">
        <v>37</v>
      </c>
      <c r="L2007" s="6">
        <v>20000.0</v>
      </c>
      <c r="M2007" s="26" t="s">
        <v>57</v>
      </c>
      <c r="N2007" s="26" t="s">
        <v>57</v>
      </c>
      <c r="O2007" s="6" t="s">
        <v>4708</v>
      </c>
      <c r="P2007" s="5" t="s">
        <v>2140</v>
      </c>
      <c r="Q2007" s="5"/>
      <c r="R2007" s="6" t="s">
        <v>42</v>
      </c>
      <c r="S2007" s="5" t="s">
        <v>141</v>
      </c>
      <c r="T2007" s="5" t="s">
        <v>44</v>
      </c>
      <c r="U2007" s="5" t="s">
        <v>44</v>
      </c>
      <c r="V2007" s="5" t="s">
        <v>44</v>
      </c>
      <c r="W2007" s="5" t="s">
        <v>35</v>
      </c>
      <c r="X2007" s="8" t="s">
        <v>767</v>
      </c>
      <c r="Y2007" s="5" t="s">
        <v>46</v>
      </c>
      <c r="Z2007" s="5" t="s">
        <v>47</v>
      </c>
      <c r="AA2007" s="5" t="s">
        <v>48</v>
      </c>
      <c r="AB2007" s="5" t="s">
        <v>9775</v>
      </c>
      <c r="AC2007" s="6" t="s">
        <v>50</v>
      </c>
      <c r="AD2007" s="6">
        <v>2352.0</v>
      </c>
    </row>
    <row r="2008" ht="56.25" customHeight="1">
      <c r="A2008" s="5" t="s">
        <v>9770</v>
      </c>
      <c r="B2008" s="6" t="str">
        <f>IMAGE("https://storage.googleapis.com/acdb/housewares/FtrParabolicantenna_Remake_1_0.png")</f>
        <v/>
      </c>
      <c r="C2008" s="5" t="s">
        <v>9777</v>
      </c>
      <c r="D2008" s="5" t="s">
        <v>34</v>
      </c>
      <c r="E2008" s="5" t="s">
        <v>34</v>
      </c>
      <c r="F2008" s="5" t="s">
        <v>34</v>
      </c>
      <c r="G2008" s="5" t="s">
        <v>36</v>
      </c>
      <c r="H2008" s="5" t="s">
        <v>36</v>
      </c>
      <c r="I2008" s="5" t="s">
        <v>36</v>
      </c>
      <c r="J2008" s="6" t="s">
        <v>34</v>
      </c>
      <c r="K2008" s="6" t="s">
        <v>37</v>
      </c>
      <c r="L2008" s="6">
        <v>20000.0</v>
      </c>
      <c r="M2008" s="26" t="s">
        <v>57</v>
      </c>
      <c r="N2008" s="26" t="s">
        <v>52</v>
      </c>
      <c r="O2008" s="6" t="s">
        <v>4708</v>
      </c>
      <c r="P2008" s="5" t="s">
        <v>2140</v>
      </c>
      <c r="Q2008" s="5"/>
      <c r="R2008" s="6" t="s">
        <v>42</v>
      </c>
      <c r="S2008" s="5" t="s">
        <v>141</v>
      </c>
      <c r="T2008" s="5" t="s">
        <v>44</v>
      </c>
      <c r="U2008" s="5" t="s">
        <v>44</v>
      </c>
      <c r="V2008" s="5" t="s">
        <v>44</v>
      </c>
      <c r="W2008" s="5" t="s">
        <v>35</v>
      </c>
      <c r="X2008" s="8" t="s">
        <v>767</v>
      </c>
      <c r="Y2008" s="5" t="s">
        <v>46</v>
      </c>
      <c r="Z2008" s="5" t="s">
        <v>47</v>
      </c>
      <c r="AA2008" s="5" t="s">
        <v>48</v>
      </c>
      <c r="AB2008" s="5" t="s">
        <v>9779</v>
      </c>
      <c r="AC2008" s="6" t="s">
        <v>56</v>
      </c>
      <c r="AD2008" s="6">
        <v>2352.0</v>
      </c>
    </row>
    <row r="2009" ht="56.25" customHeight="1">
      <c r="A2009" s="5" t="s">
        <v>9770</v>
      </c>
      <c r="B2009" s="6" t="str">
        <f>IMAGE("https://storage.googleapis.com/acdb/housewares/FtrParabolicantenna_Remake_2_0.png")</f>
        <v/>
      </c>
      <c r="C2009" s="5" t="s">
        <v>9782</v>
      </c>
      <c r="D2009" s="5" t="s">
        <v>34</v>
      </c>
      <c r="E2009" s="5" t="s">
        <v>34</v>
      </c>
      <c r="F2009" s="5" t="s">
        <v>34</v>
      </c>
      <c r="G2009" s="5" t="s">
        <v>36</v>
      </c>
      <c r="H2009" s="5" t="s">
        <v>36</v>
      </c>
      <c r="I2009" s="5" t="s">
        <v>36</v>
      </c>
      <c r="J2009" s="6" t="s">
        <v>34</v>
      </c>
      <c r="K2009" s="6" t="s">
        <v>37</v>
      </c>
      <c r="L2009" s="6">
        <v>20000.0</v>
      </c>
      <c r="M2009" s="26" t="s">
        <v>57</v>
      </c>
      <c r="N2009" s="26" t="s">
        <v>96</v>
      </c>
      <c r="O2009" s="6" t="s">
        <v>4708</v>
      </c>
      <c r="P2009" s="5" t="s">
        <v>2140</v>
      </c>
      <c r="Q2009" s="5"/>
      <c r="R2009" s="6" t="s">
        <v>42</v>
      </c>
      <c r="S2009" s="5" t="s">
        <v>141</v>
      </c>
      <c r="T2009" s="5" t="s">
        <v>44</v>
      </c>
      <c r="U2009" s="5" t="s">
        <v>44</v>
      </c>
      <c r="V2009" s="5" t="s">
        <v>44</v>
      </c>
      <c r="W2009" s="5" t="s">
        <v>35</v>
      </c>
      <c r="X2009" s="8" t="s">
        <v>767</v>
      </c>
      <c r="Y2009" s="5" t="s">
        <v>46</v>
      </c>
      <c r="Z2009" s="5" t="s">
        <v>47</v>
      </c>
      <c r="AA2009" s="5" t="s">
        <v>48</v>
      </c>
      <c r="AB2009" s="5" t="s">
        <v>9785</v>
      </c>
      <c r="AC2009" s="6" t="s">
        <v>67</v>
      </c>
      <c r="AD2009" s="6">
        <v>2352.0</v>
      </c>
    </row>
    <row r="2010" ht="56.25" customHeight="1">
      <c r="A2010" s="5" t="s">
        <v>9786</v>
      </c>
      <c r="B2010" s="6" t="str">
        <f>IMAGE("https://storage.googleapis.com/acdb/housewares/FtrParkclock_Remake_0_0.png")</f>
        <v/>
      </c>
      <c r="C2010" s="5" t="s">
        <v>54</v>
      </c>
      <c r="D2010" s="5" t="s">
        <v>34</v>
      </c>
      <c r="E2010" s="5" t="s">
        <v>34</v>
      </c>
      <c r="F2010" s="5" t="s">
        <v>34</v>
      </c>
      <c r="G2010" s="5" t="s">
        <v>36</v>
      </c>
      <c r="H2010" s="5" t="s">
        <v>36</v>
      </c>
      <c r="I2010" s="5" t="s">
        <v>36</v>
      </c>
      <c r="J2010" s="6" t="s">
        <v>34</v>
      </c>
      <c r="K2010" s="6" t="s">
        <v>37</v>
      </c>
      <c r="L2010" s="6">
        <v>12000.0</v>
      </c>
      <c r="M2010" s="26" t="s">
        <v>54</v>
      </c>
      <c r="N2010" s="26" t="s">
        <v>57</v>
      </c>
      <c r="O2010" s="6" t="s">
        <v>40</v>
      </c>
      <c r="P2010" s="5" t="s">
        <v>2140</v>
      </c>
      <c r="Q2010" s="5"/>
      <c r="R2010" s="6" t="s">
        <v>42</v>
      </c>
      <c r="S2010" s="5" t="s">
        <v>172</v>
      </c>
      <c r="T2010" s="5" t="s">
        <v>44</v>
      </c>
      <c r="U2010" s="5" t="s">
        <v>44</v>
      </c>
      <c r="V2010" s="5" t="s">
        <v>44</v>
      </c>
      <c r="W2010" s="5" t="s">
        <v>35</v>
      </c>
      <c r="X2010" s="8" t="s">
        <v>260</v>
      </c>
      <c r="Y2010" s="5" t="s">
        <v>46</v>
      </c>
      <c r="Z2010" s="5" t="s">
        <v>47</v>
      </c>
      <c r="AA2010" s="5" t="s">
        <v>48</v>
      </c>
      <c r="AB2010" s="5" t="s">
        <v>9791</v>
      </c>
      <c r="AC2010" s="6" t="s">
        <v>50</v>
      </c>
      <c r="AD2010" s="6">
        <v>3595.0</v>
      </c>
    </row>
    <row r="2011" ht="56.25" customHeight="1">
      <c r="A2011" s="5" t="s">
        <v>9786</v>
      </c>
      <c r="B2011" s="6" t="str">
        <f>IMAGE("https://storage.googleapis.com/acdb/housewares/FtrParkclock_Remake_1_0.png")</f>
        <v/>
      </c>
      <c r="C2011" s="5" t="s">
        <v>146</v>
      </c>
      <c r="D2011" s="5" t="s">
        <v>34</v>
      </c>
      <c r="E2011" s="5" t="s">
        <v>34</v>
      </c>
      <c r="F2011" s="5" t="s">
        <v>34</v>
      </c>
      <c r="G2011" s="5" t="s">
        <v>36</v>
      </c>
      <c r="H2011" s="5" t="s">
        <v>36</v>
      </c>
      <c r="I2011" s="5" t="s">
        <v>36</v>
      </c>
      <c r="J2011" s="6" t="s">
        <v>34</v>
      </c>
      <c r="K2011" s="6" t="s">
        <v>37</v>
      </c>
      <c r="L2011" s="6">
        <v>12000.0</v>
      </c>
      <c r="M2011" s="26" t="s">
        <v>95</v>
      </c>
      <c r="N2011" s="26" t="s">
        <v>57</v>
      </c>
      <c r="O2011" s="6" t="s">
        <v>40</v>
      </c>
      <c r="P2011" s="5" t="s">
        <v>2140</v>
      </c>
      <c r="Q2011" s="5"/>
      <c r="R2011" s="6" t="s">
        <v>42</v>
      </c>
      <c r="S2011" s="5" t="s">
        <v>172</v>
      </c>
      <c r="T2011" s="5" t="s">
        <v>44</v>
      </c>
      <c r="U2011" s="5" t="s">
        <v>44</v>
      </c>
      <c r="V2011" s="5" t="s">
        <v>44</v>
      </c>
      <c r="W2011" s="5" t="s">
        <v>35</v>
      </c>
      <c r="X2011" s="8" t="s">
        <v>260</v>
      </c>
      <c r="Y2011" s="5" t="s">
        <v>46</v>
      </c>
      <c r="Z2011" s="5" t="s">
        <v>47</v>
      </c>
      <c r="AA2011" s="5" t="s">
        <v>48</v>
      </c>
      <c r="AB2011" s="5" t="s">
        <v>9796</v>
      </c>
      <c r="AC2011" s="6" t="s">
        <v>56</v>
      </c>
      <c r="AD2011" s="6">
        <v>3595.0</v>
      </c>
    </row>
    <row r="2012" ht="56.25" customHeight="1">
      <c r="A2012" s="5" t="s">
        <v>9786</v>
      </c>
      <c r="B2012" s="6" t="str">
        <f>IMAGE("https://storage.googleapis.com/acdb/housewares/FtrParkclock_Remake_2_0.png")</f>
        <v/>
      </c>
      <c r="C2012" s="5" t="s">
        <v>57</v>
      </c>
      <c r="D2012" s="5" t="s">
        <v>34</v>
      </c>
      <c r="E2012" s="5" t="s">
        <v>34</v>
      </c>
      <c r="F2012" s="5" t="s">
        <v>34</v>
      </c>
      <c r="G2012" s="5" t="s">
        <v>36</v>
      </c>
      <c r="H2012" s="5" t="s">
        <v>36</v>
      </c>
      <c r="I2012" s="5" t="s">
        <v>36</v>
      </c>
      <c r="J2012" s="6" t="s">
        <v>34</v>
      </c>
      <c r="K2012" s="6" t="s">
        <v>37</v>
      </c>
      <c r="L2012" s="6">
        <v>12000.0</v>
      </c>
      <c r="M2012" s="26" t="s">
        <v>57</v>
      </c>
      <c r="N2012" s="26" t="s">
        <v>57</v>
      </c>
      <c r="O2012" s="6" t="s">
        <v>40</v>
      </c>
      <c r="P2012" s="5" t="s">
        <v>2140</v>
      </c>
      <c r="Q2012" s="5"/>
      <c r="R2012" s="6" t="s">
        <v>42</v>
      </c>
      <c r="S2012" s="5" t="s">
        <v>172</v>
      </c>
      <c r="T2012" s="5" t="s">
        <v>44</v>
      </c>
      <c r="U2012" s="5" t="s">
        <v>44</v>
      </c>
      <c r="V2012" s="5" t="s">
        <v>44</v>
      </c>
      <c r="W2012" s="5" t="s">
        <v>35</v>
      </c>
      <c r="X2012" s="8" t="s">
        <v>260</v>
      </c>
      <c r="Y2012" s="5" t="s">
        <v>46</v>
      </c>
      <c r="Z2012" s="5" t="s">
        <v>47</v>
      </c>
      <c r="AA2012" s="5" t="s">
        <v>48</v>
      </c>
      <c r="AB2012" s="5" t="s">
        <v>9799</v>
      </c>
      <c r="AC2012" s="6" t="s">
        <v>67</v>
      </c>
      <c r="AD2012" s="6">
        <v>3595.0</v>
      </c>
    </row>
    <row r="2013" ht="56.25" customHeight="1">
      <c r="A2013" s="5" t="s">
        <v>9786</v>
      </c>
      <c r="B2013" s="6" t="str">
        <f>IMAGE("https://storage.googleapis.com/acdb/housewares/FtrParkclock_Remake_3_0.png")</f>
        <v/>
      </c>
      <c r="C2013" s="5" t="s">
        <v>39</v>
      </c>
      <c r="D2013" s="5" t="s">
        <v>34</v>
      </c>
      <c r="E2013" s="5" t="s">
        <v>34</v>
      </c>
      <c r="F2013" s="5" t="s">
        <v>34</v>
      </c>
      <c r="G2013" s="5" t="s">
        <v>36</v>
      </c>
      <c r="H2013" s="5" t="s">
        <v>36</v>
      </c>
      <c r="I2013" s="5" t="s">
        <v>36</v>
      </c>
      <c r="J2013" s="6" t="s">
        <v>34</v>
      </c>
      <c r="K2013" s="6" t="s">
        <v>37</v>
      </c>
      <c r="L2013" s="6">
        <v>12000.0</v>
      </c>
      <c r="M2013" s="26" t="s">
        <v>39</v>
      </c>
      <c r="N2013" s="26" t="s">
        <v>57</v>
      </c>
      <c r="O2013" s="6" t="s">
        <v>40</v>
      </c>
      <c r="P2013" s="5" t="s">
        <v>2140</v>
      </c>
      <c r="Q2013" s="5"/>
      <c r="R2013" s="6" t="s">
        <v>42</v>
      </c>
      <c r="S2013" s="5" t="s">
        <v>172</v>
      </c>
      <c r="T2013" s="5" t="s">
        <v>44</v>
      </c>
      <c r="U2013" s="5" t="s">
        <v>44</v>
      </c>
      <c r="V2013" s="5" t="s">
        <v>44</v>
      </c>
      <c r="W2013" s="5" t="s">
        <v>35</v>
      </c>
      <c r="X2013" s="8" t="s">
        <v>260</v>
      </c>
      <c r="Y2013" s="5" t="s">
        <v>46</v>
      </c>
      <c r="Z2013" s="5" t="s">
        <v>47</v>
      </c>
      <c r="AA2013" s="5" t="s">
        <v>48</v>
      </c>
      <c r="AB2013" s="5" t="s">
        <v>9805</v>
      </c>
      <c r="AC2013" s="6" t="s">
        <v>71</v>
      </c>
      <c r="AD2013" s="6">
        <v>3595.0</v>
      </c>
    </row>
    <row r="2014" ht="56.25" customHeight="1">
      <c r="A2014" s="5" t="s">
        <v>9808</v>
      </c>
      <c r="B2014" s="6" t="str">
        <f>IMAGE("https://storage.googleapis.com/acdb/housewares/FtrFruitsChairPeach_Remake_0_0.png")</f>
        <v/>
      </c>
      <c r="C2014" s="5" t="s">
        <v>4059</v>
      </c>
      <c r="D2014" s="5" t="s">
        <v>337</v>
      </c>
      <c r="E2014" s="5" t="s">
        <v>34</v>
      </c>
      <c r="F2014" s="5" t="s">
        <v>34</v>
      </c>
      <c r="G2014" s="5" t="s">
        <v>35</v>
      </c>
      <c r="H2014" s="5" t="s">
        <v>35</v>
      </c>
      <c r="I2014" s="5" t="s">
        <v>36</v>
      </c>
      <c r="J2014" s="6">
        <v>4.0</v>
      </c>
      <c r="K2014" s="6" t="s">
        <v>37</v>
      </c>
      <c r="L2014" s="6">
        <v>2600.0</v>
      </c>
      <c r="M2014" s="26" t="s">
        <v>69</v>
      </c>
      <c r="N2014" s="26" t="s">
        <v>39</v>
      </c>
      <c r="O2014" s="6" t="s">
        <v>40</v>
      </c>
      <c r="P2014" s="5" t="s">
        <v>41</v>
      </c>
      <c r="Q2014" s="5"/>
      <c r="R2014" s="6" t="s">
        <v>42</v>
      </c>
      <c r="S2014" s="5" t="s">
        <v>61</v>
      </c>
      <c r="T2014" s="5" t="s">
        <v>44</v>
      </c>
      <c r="U2014" s="5" t="s">
        <v>338</v>
      </c>
      <c r="V2014" s="5" t="s">
        <v>4063</v>
      </c>
      <c r="W2014" s="5" t="s">
        <v>35</v>
      </c>
      <c r="X2014" s="8" t="s">
        <v>248</v>
      </c>
      <c r="Y2014" s="5" t="s">
        <v>46</v>
      </c>
      <c r="Z2014" s="5" t="s">
        <v>47</v>
      </c>
      <c r="AA2014" s="5" t="s">
        <v>48</v>
      </c>
      <c r="AB2014" s="5" t="s">
        <v>9812</v>
      </c>
      <c r="AC2014" s="6" t="s">
        <v>50</v>
      </c>
      <c r="AD2014" s="6">
        <v>4127.0</v>
      </c>
    </row>
    <row r="2015" ht="56.25" customHeight="1">
      <c r="A2015" s="5" t="s">
        <v>9808</v>
      </c>
      <c r="B2015" s="6" t="str">
        <f>IMAGE("https://storage.googleapis.com/acdb/housewares/FtrFruitsChairPeach_Remake_1_0.png")</f>
        <v/>
      </c>
      <c r="C2015" s="5" t="s">
        <v>4067</v>
      </c>
      <c r="D2015" s="5" t="s">
        <v>337</v>
      </c>
      <c r="E2015" s="5" t="s">
        <v>34</v>
      </c>
      <c r="F2015" s="5" t="s">
        <v>34</v>
      </c>
      <c r="G2015" s="5" t="s">
        <v>35</v>
      </c>
      <c r="H2015" s="5" t="s">
        <v>35</v>
      </c>
      <c r="I2015" s="5" t="s">
        <v>36</v>
      </c>
      <c r="J2015" s="6">
        <v>4.0</v>
      </c>
      <c r="K2015" s="6" t="s">
        <v>37</v>
      </c>
      <c r="L2015" s="6">
        <v>2600.0</v>
      </c>
      <c r="M2015" s="26" t="s">
        <v>114</v>
      </c>
      <c r="N2015" s="26" t="s">
        <v>52</v>
      </c>
      <c r="O2015" s="6" t="s">
        <v>40</v>
      </c>
      <c r="P2015" s="5" t="s">
        <v>41</v>
      </c>
      <c r="Q2015" s="5"/>
      <c r="R2015" s="6" t="s">
        <v>42</v>
      </c>
      <c r="S2015" s="5" t="s">
        <v>61</v>
      </c>
      <c r="T2015" s="5" t="s">
        <v>44</v>
      </c>
      <c r="U2015" s="5" t="s">
        <v>338</v>
      </c>
      <c r="V2015" s="5" t="s">
        <v>4063</v>
      </c>
      <c r="W2015" s="5" t="s">
        <v>35</v>
      </c>
      <c r="X2015" s="8" t="s">
        <v>248</v>
      </c>
      <c r="Y2015" s="5" t="s">
        <v>46</v>
      </c>
      <c r="Z2015" s="5" t="s">
        <v>47</v>
      </c>
      <c r="AA2015" s="5" t="s">
        <v>48</v>
      </c>
      <c r="AB2015" s="5" t="s">
        <v>9818</v>
      </c>
      <c r="AC2015" s="6" t="s">
        <v>56</v>
      </c>
      <c r="AD2015" s="6">
        <v>4127.0</v>
      </c>
    </row>
    <row r="2016" ht="56.25" customHeight="1">
      <c r="A2016" s="5" t="s">
        <v>9820</v>
      </c>
      <c r="B2016" s="6" t="str">
        <f>IMAGE("https://storage.googleapis.com/acdb/housewares/FtrFruitsBedS_Remake_0_0.png")</f>
        <v/>
      </c>
      <c r="C2016" s="5" t="s">
        <v>9823</v>
      </c>
      <c r="D2016" s="5" t="s">
        <v>337</v>
      </c>
      <c r="E2016" s="5" t="s">
        <v>34</v>
      </c>
      <c r="F2016" s="5" t="s">
        <v>34</v>
      </c>
      <c r="G2016" s="5" t="s">
        <v>35</v>
      </c>
      <c r="H2016" s="5" t="s">
        <v>35</v>
      </c>
      <c r="I2016" s="5" t="s">
        <v>36</v>
      </c>
      <c r="J2016" s="6">
        <v>4.0</v>
      </c>
      <c r="K2016" s="6" t="s">
        <v>37</v>
      </c>
      <c r="L2016" s="6">
        <v>2720.0</v>
      </c>
      <c r="M2016" s="26" t="s">
        <v>96</v>
      </c>
      <c r="N2016" s="26" t="s">
        <v>38</v>
      </c>
      <c r="O2016" s="6" t="s">
        <v>276</v>
      </c>
      <c r="P2016" s="5" t="s">
        <v>41</v>
      </c>
      <c r="Q2016" s="5"/>
      <c r="R2016" s="6" t="s">
        <v>42</v>
      </c>
      <c r="S2016" s="5" t="s">
        <v>61</v>
      </c>
      <c r="T2016" s="5" t="s">
        <v>44</v>
      </c>
      <c r="U2016" s="5" t="s">
        <v>338</v>
      </c>
      <c r="V2016" s="5" t="s">
        <v>9827</v>
      </c>
      <c r="W2016" s="5" t="s">
        <v>35</v>
      </c>
      <c r="X2016" s="8" t="s">
        <v>218</v>
      </c>
      <c r="Y2016" s="5" t="s">
        <v>46</v>
      </c>
      <c r="Z2016" s="5" t="s">
        <v>47</v>
      </c>
      <c r="AA2016" s="5" t="s">
        <v>48</v>
      </c>
      <c r="AB2016" s="5" t="s">
        <v>9828</v>
      </c>
      <c r="AC2016" s="6" t="s">
        <v>50</v>
      </c>
      <c r="AD2016" s="6">
        <v>4546.0</v>
      </c>
    </row>
    <row r="2017" ht="56.25" customHeight="1">
      <c r="A2017" s="5" t="s">
        <v>9820</v>
      </c>
      <c r="B2017" s="6" t="str">
        <f>IMAGE("https://storage.googleapis.com/acdb/housewares/FtrFruitsBedS_Remake_1_0.png")</f>
        <v/>
      </c>
      <c r="C2017" s="5" t="s">
        <v>9830</v>
      </c>
      <c r="D2017" s="5" t="s">
        <v>337</v>
      </c>
      <c r="E2017" s="5" t="s">
        <v>34</v>
      </c>
      <c r="F2017" s="5" t="s">
        <v>34</v>
      </c>
      <c r="G2017" s="5" t="s">
        <v>35</v>
      </c>
      <c r="H2017" s="5" t="s">
        <v>35</v>
      </c>
      <c r="I2017" s="5" t="s">
        <v>36</v>
      </c>
      <c r="J2017" s="6">
        <v>4.0</v>
      </c>
      <c r="K2017" s="6" t="s">
        <v>37</v>
      </c>
      <c r="L2017" s="6">
        <v>2720.0</v>
      </c>
      <c r="M2017" s="26" t="s">
        <v>114</v>
      </c>
      <c r="N2017" s="26" t="s">
        <v>38</v>
      </c>
      <c r="O2017" s="6" t="s">
        <v>276</v>
      </c>
      <c r="P2017" s="5" t="s">
        <v>41</v>
      </c>
      <c r="Q2017" s="5"/>
      <c r="R2017" s="6" t="s">
        <v>42</v>
      </c>
      <c r="S2017" s="5" t="s">
        <v>61</v>
      </c>
      <c r="T2017" s="5" t="s">
        <v>44</v>
      </c>
      <c r="U2017" s="5" t="s">
        <v>338</v>
      </c>
      <c r="V2017" s="5" t="s">
        <v>9827</v>
      </c>
      <c r="W2017" s="5" t="s">
        <v>35</v>
      </c>
      <c r="X2017" s="8" t="s">
        <v>218</v>
      </c>
      <c r="Y2017" s="5" t="s">
        <v>46</v>
      </c>
      <c r="Z2017" s="5" t="s">
        <v>47</v>
      </c>
      <c r="AA2017" s="5" t="s">
        <v>48</v>
      </c>
      <c r="AB2017" s="5" t="s">
        <v>9835</v>
      </c>
      <c r="AC2017" s="6" t="s">
        <v>56</v>
      </c>
      <c r="AD2017" s="6">
        <v>4546.0</v>
      </c>
    </row>
    <row r="2018" ht="56.25" customHeight="1">
      <c r="A2018" s="5" t="s">
        <v>9836</v>
      </c>
      <c r="B2018" s="6" t="str">
        <f>IMAGE("https://storage.googleapis.com/acdb/housewares/FtrFruitsClosetLR_Remake_0_0.png")</f>
        <v/>
      </c>
      <c r="C2018" s="5" t="s">
        <v>9823</v>
      </c>
      <c r="D2018" s="5" t="s">
        <v>337</v>
      </c>
      <c r="E2018" s="5" t="s">
        <v>34</v>
      </c>
      <c r="F2018" s="5" t="s">
        <v>34</v>
      </c>
      <c r="G2018" s="5" t="s">
        <v>35</v>
      </c>
      <c r="H2018" s="5" t="s">
        <v>35</v>
      </c>
      <c r="I2018" s="5" t="s">
        <v>36</v>
      </c>
      <c r="J2018" s="6">
        <v>4.0</v>
      </c>
      <c r="K2018" s="6" t="s">
        <v>37</v>
      </c>
      <c r="L2018" s="6">
        <v>2600.0</v>
      </c>
      <c r="M2018" s="26" t="s">
        <v>96</v>
      </c>
      <c r="N2018" s="26" t="s">
        <v>38</v>
      </c>
      <c r="O2018" s="6" t="s">
        <v>40</v>
      </c>
      <c r="P2018" s="5" t="s">
        <v>41</v>
      </c>
      <c r="Q2018" s="5"/>
      <c r="R2018" s="6" t="s">
        <v>42</v>
      </c>
      <c r="S2018" s="5" t="s">
        <v>61</v>
      </c>
      <c r="T2018" s="5" t="s">
        <v>44</v>
      </c>
      <c r="U2018" s="5" t="s">
        <v>338</v>
      </c>
      <c r="V2018" s="5" t="s">
        <v>9827</v>
      </c>
      <c r="W2018" s="5" t="s">
        <v>35</v>
      </c>
      <c r="X2018" s="8" t="s">
        <v>322</v>
      </c>
      <c r="Y2018" s="5" t="s">
        <v>46</v>
      </c>
      <c r="Z2018" s="5" t="s">
        <v>47</v>
      </c>
      <c r="AA2018" s="5" t="s">
        <v>48</v>
      </c>
      <c r="AB2018" s="5" t="s">
        <v>9841</v>
      </c>
      <c r="AC2018" s="6" t="s">
        <v>50</v>
      </c>
      <c r="AD2018" s="6">
        <v>1263.0</v>
      </c>
    </row>
    <row r="2019" ht="56.25" customHeight="1">
      <c r="A2019" s="5" t="s">
        <v>9836</v>
      </c>
      <c r="B2019" s="6" t="str">
        <f>IMAGE("https://storage.googleapis.com/acdb/housewares/FtrFruitsClosetLR_Remake_1_0.png")</f>
        <v/>
      </c>
      <c r="C2019" s="5" t="s">
        <v>9830</v>
      </c>
      <c r="D2019" s="5" t="s">
        <v>337</v>
      </c>
      <c r="E2019" s="5" t="s">
        <v>34</v>
      </c>
      <c r="F2019" s="5" t="s">
        <v>34</v>
      </c>
      <c r="G2019" s="5" t="s">
        <v>35</v>
      </c>
      <c r="H2019" s="5" t="s">
        <v>35</v>
      </c>
      <c r="I2019" s="5" t="s">
        <v>36</v>
      </c>
      <c r="J2019" s="6">
        <v>4.0</v>
      </c>
      <c r="K2019" s="6" t="s">
        <v>37</v>
      </c>
      <c r="L2019" s="6">
        <v>2600.0</v>
      </c>
      <c r="M2019" s="26" t="s">
        <v>114</v>
      </c>
      <c r="N2019" s="26" t="s">
        <v>38</v>
      </c>
      <c r="O2019" s="6" t="s">
        <v>40</v>
      </c>
      <c r="P2019" s="5" t="s">
        <v>41</v>
      </c>
      <c r="Q2019" s="5"/>
      <c r="R2019" s="6" t="s">
        <v>42</v>
      </c>
      <c r="S2019" s="5" t="s">
        <v>61</v>
      </c>
      <c r="T2019" s="5" t="s">
        <v>44</v>
      </c>
      <c r="U2019" s="5" t="s">
        <v>338</v>
      </c>
      <c r="V2019" s="5" t="s">
        <v>9827</v>
      </c>
      <c r="W2019" s="5" t="s">
        <v>35</v>
      </c>
      <c r="X2019" s="8" t="s">
        <v>322</v>
      </c>
      <c r="Y2019" s="5" t="s">
        <v>46</v>
      </c>
      <c r="Z2019" s="5" t="s">
        <v>47</v>
      </c>
      <c r="AA2019" s="5" t="s">
        <v>48</v>
      </c>
      <c r="AB2019" s="5" t="s">
        <v>9846</v>
      </c>
      <c r="AC2019" s="6" t="s">
        <v>56</v>
      </c>
      <c r="AD2019" s="6">
        <v>1263.0</v>
      </c>
    </row>
    <row r="2020" ht="56.25" customHeight="1">
      <c r="A2020" s="5" t="s">
        <v>9847</v>
      </c>
      <c r="B2020" s="6" t="str">
        <f>IMAGE("https://storage.googleapis.com/acdb/housewares/FtrPetBed_Remake_0_0.png")</f>
        <v/>
      </c>
      <c r="C2020" s="5" t="s">
        <v>32</v>
      </c>
      <c r="D2020" s="5" t="s">
        <v>34</v>
      </c>
      <c r="E2020" s="5" t="s">
        <v>57</v>
      </c>
      <c r="F2020" s="5" t="s">
        <v>443</v>
      </c>
      <c r="G2020" s="5" t="s">
        <v>36</v>
      </c>
      <c r="H2020" s="5" t="s">
        <v>36</v>
      </c>
      <c r="I2020" s="5" t="s">
        <v>35</v>
      </c>
      <c r="J2020" s="6">
        <v>1.0</v>
      </c>
      <c r="K2020" s="6">
        <v>1100.0</v>
      </c>
      <c r="L2020" s="6">
        <v>275.0</v>
      </c>
      <c r="M2020" s="26" t="s">
        <v>38</v>
      </c>
      <c r="N2020" s="26" t="s">
        <v>57</v>
      </c>
      <c r="O2020" s="6" t="s">
        <v>40</v>
      </c>
      <c r="P2020" s="5" t="s">
        <v>59</v>
      </c>
      <c r="Q2020" s="5" t="s">
        <v>89</v>
      </c>
      <c r="R2020" s="6" t="s">
        <v>42</v>
      </c>
      <c r="S2020" s="5" t="s">
        <v>90</v>
      </c>
      <c r="T2020" s="5" t="s">
        <v>44</v>
      </c>
      <c r="U2020" s="5" t="s">
        <v>44</v>
      </c>
      <c r="V2020" s="5" t="s">
        <v>4107</v>
      </c>
      <c r="W2020" s="5" t="s">
        <v>35</v>
      </c>
      <c r="X2020" s="8" t="s">
        <v>248</v>
      </c>
      <c r="Y2020" s="5" t="s">
        <v>46</v>
      </c>
      <c r="Z2020" s="5" t="s">
        <v>47</v>
      </c>
      <c r="AA2020" s="5" t="s">
        <v>64</v>
      </c>
      <c r="AB2020" s="5" t="s">
        <v>9850</v>
      </c>
      <c r="AC2020" s="6" t="s">
        <v>50</v>
      </c>
      <c r="AD2020" s="6">
        <v>7802.0</v>
      </c>
    </row>
    <row r="2021" ht="56.25" customHeight="1">
      <c r="A2021" s="5" t="s">
        <v>9847</v>
      </c>
      <c r="B2021" s="6" t="str">
        <f>IMAGE("https://storage.googleapis.com/acdb/housewares/FtrPetBed_Remake_0_1.png")</f>
        <v/>
      </c>
      <c r="C2021" s="5" t="s">
        <v>32</v>
      </c>
      <c r="D2021" s="5" t="s">
        <v>34</v>
      </c>
      <c r="E2021" s="5" t="s">
        <v>9852</v>
      </c>
      <c r="F2021" s="5" t="s">
        <v>443</v>
      </c>
      <c r="G2021" s="5" t="s">
        <v>36</v>
      </c>
      <c r="H2021" s="5" t="s">
        <v>36</v>
      </c>
      <c r="I2021" s="5" t="s">
        <v>35</v>
      </c>
      <c r="J2021" s="6">
        <v>1.0</v>
      </c>
      <c r="K2021" s="6">
        <v>1100.0</v>
      </c>
      <c r="L2021" s="6">
        <v>275.0</v>
      </c>
      <c r="M2021" s="26" t="s">
        <v>38</v>
      </c>
      <c r="N2021" s="26" t="s">
        <v>96</v>
      </c>
      <c r="O2021" s="6" t="s">
        <v>40</v>
      </c>
      <c r="P2021" s="5" t="s">
        <v>59</v>
      </c>
      <c r="Q2021" s="5" t="s">
        <v>89</v>
      </c>
      <c r="R2021" s="6" t="s">
        <v>42</v>
      </c>
      <c r="S2021" s="5" t="s">
        <v>90</v>
      </c>
      <c r="T2021" s="5" t="s">
        <v>44</v>
      </c>
      <c r="U2021" s="5" t="s">
        <v>44</v>
      </c>
      <c r="V2021" s="5" t="s">
        <v>4107</v>
      </c>
      <c r="W2021" s="5" t="s">
        <v>35</v>
      </c>
      <c r="X2021" s="8" t="s">
        <v>248</v>
      </c>
      <c r="Y2021" s="5" t="s">
        <v>46</v>
      </c>
      <c r="Z2021" s="5" t="s">
        <v>47</v>
      </c>
      <c r="AA2021" s="5" t="s">
        <v>64</v>
      </c>
      <c r="AB2021" s="5" t="s">
        <v>9856</v>
      </c>
      <c r="AC2021" s="6" t="s">
        <v>217</v>
      </c>
      <c r="AD2021" s="6">
        <v>7802.0</v>
      </c>
    </row>
    <row r="2022" ht="56.25" customHeight="1">
      <c r="A2022" s="5" t="s">
        <v>9847</v>
      </c>
      <c r="B2022" s="6" t="str">
        <f>IMAGE("https://storage.googleapis.com/acdb/housewares/FtrPetBed_Remake_0_2.png")</f>
        <v/>
      </c>
      <c r="C2022" s="5" t="s">
        <v>32</v>
      </c>
      <c r="D2022" s="5" t="s">
        <v>34</v>
      </c>
      <c r="E2022" s="5" t="s">
        <v>1044</v>
      </c>
      <c r="F2022" s="5" t="s">
        <v>443</v>
      </c>
      <c r="G2022" s="5" t="s">
        <v>36</v>
      </c>
      <c r="H2022" s="5" t="s">
        <v>36</v>
      </c>
      <c r="I2022" s="5" t="s">
        <v>35</v>
      </c>
      <c r="J2022" s="6">
        <v>1.0</v>
      </c>
      <c r="K2022" s="6">
        <v>1100.0</v>
      </c>
      <c r="L2022" s="6">
        <v>275.0</v>
      </c>
      <c r="M2022" s="26" t="s">
        <v>38</v>
      </c>
      <c r="N2022" s="26" t="s">
        <v>1175</v>
      </c>
      <c r="O2022" s="6" t="s">
        <v>40</v>
      </c>
      <c r="P2022" s="5" t="s">
        <v>59</v>
      </c>
      <c r="Q2022" s="5" t="s">
        <v>89</v>
      </c>
      <c r="R2022" s="6" t="s">
        <v>42</v>
      </c>
      <c r="S2022" s="5" t="s">
        <v>90</v>
      </c>
      <c r="T2022" s="5" t="s">
        <v>44</v>
      </c>
      <c r="U2022" s="5" t="s">
        <v>44</v>
      </c>
      <c r="V2022" s="5" t="s">
        <v>4107</v>
      </c>
      <c r="W2022" s="5" t="s">
        <v>35</v>
      </c>
      <c r="X2022" s="8" t="s">
        <v>248</v>
      </c>
      <c r="Y2022" s="5" t="s">
        <v>46</v>
      </c>
      <c r="Z2022" s="5" t="s">
        <v>47</v>
      </c>
      <c r="AA2022" s="5" t="s">
        <v>64</v>
      </c>
      <c r="AB2022" s="5" t="s">
        <v>9860</v>
      </c>
      <c r="AC2022" s="6" t="s">
        <v>347</v>
      </c>
      <c r="AD2022" s="6">
        <v>7802.0</v>
      </c>
    </row>
    <row r="2023" ht="56.25" customHeight="1">
      <c r="A2023" s="5" t="s">
        <v>9847</v>
      </c>
      <c r="B2023" s="6" t="str">
        <f>IMAGE("https://storage.googleapis.com/acdb/housewares/FtrPetBed_Remake_0_3.png")</f>
        <v/>
      </c>
      <c r="C2023" s="5" t="s">
        <v>32</v>
      </c>
      <c r="D2023" s="5" t="s">
        <v>34</v>
      </c>
      <c r="E2023" s="5" t="s">
        <v>422</v>
      </c>
      <c r="F2023" s="5" t="s">
        <v>443</v>
      </c>
      <c r="G2023" s="5" t="s">
        <v>36</v>
      </c>
      <c r="H2023" s="5" t="s">
        <v>36</v>
      </c>
      <c r="I2023" s="5" t="s">
        <v>35</v>
      </c>
      <c r="J2023" s="6">
        <v>1.0</v>
      </c>
      <c r="K2023" s="6">
        <v>1100.0</v>
      </c>
      <c r="L2023" s="6">
        <v>275.0</v>
      </c>
      <c r="M2023" s="26" t="s">
        <v>38</v>
      </c>
      <c r="N2023" s="26" t="s">
        <v>52</v>
      </c>
      <c r="O2023" s="6" t="s">
        <v>40</v>
      </c>
      <c r="P2023" s="5" t="s">
        <v>59</v>
      </c>
      <c r="Q2023" s="5" t="s">
        <v>89</v>
      </c>
      <c r="R2023" s="6" t="s">
        <v>42</v>
      </c>
      <c r="S2023" s="5" t="s">
        <v>90</v>
      </c>
      <c r="T2023" s="5" t="s">
        <v>44</v>
      </c>
      <c r="U2023" s="5" t="s">
        <v>44</v>
      </c>
      <c r="V2023" s="5" t="s">
        <v>4107</v>
      </c>
      <c r="W2023" s="5" t="s">
        <v>35</v>
      </c>
      <c r="X2023" s="8" t="s">
        <v>248</v>
      </c>
      <c r="Y2023" s="5" t="s">
        <v>46</v>
      </c>
      <c r="Z2023" s="5" t="s">
        <v>47</v>
      </c>
      <c r="AA2023" s="5" t="s">
        <v>64</v>
      </c>
      <c r="AB2023" s="5" t="s">
        <v>9864</v>
      </c>
      <c r="AC2023" s="6" t="s">
        <v>354</v>
      </c>
      <c r="AD2023" s="6">
        <v>7802.0</v>
      </c>
    </row>
    <row r="2024" ht="56.25" customHeight="1">
      <c r="A2024" s="5" t="s">
        <v>9847</v>
      </c>
      <c r="B2024" s="6" t="str">
        <f>IMAGE("https://storage.googleapis.com/acdb/housewares/FtrPetBed_Remake_0_4.png")</f>
        <v/>
      </c>
      <c r="C2024" s="5" t="s">
        <v>32</v>
      </c>
      <c r="D2024" s="5" t="s">
        <v>34</v>
      </c>
      <c r="E2024" s="5" t="s">
        <v>400</v>
      </c>
      <c r="F2024" s="5" t="s">
        <v>443</v>
      </c>
      <c r="G2024" s="5" t="s">
        <v>36</v>
      </c>
      <c r="H2024" s="5" t="s">
        <v>36</v>
      </c>
      <c r="I2024" s="5" t="s">
        <v>35</v>
      </c>
      <c r="J2024" s="6">
        <v>1.0</v>
      </c>
      <c r="K2024" s="6">
        <v>1100.0</v>
      </c>
      <c r="L2024" s="6">
        <v>275.0</v>
      </c>
      <c r="M2024" s="26" t="s">
        <v>38</v>
      </c>
      <c r="N2024" s="26" t="s">
        <v>96</v>
      </c>
      <c r="O2024" s="6" t="s">
        <v>40</v>
      </c>
      <c r="P2024" s="5" t="s">
        <v>59</v>
      </c>
      <c r="Q2024" s="5" t="s">
        <v>89</v>
      </c>
      <c r="R2024" s="6" t="s">
        <v>42</v>
      </c>
      <c r="S2024" s="5" t="s">
        <v>90</v>
      </c>
      <c r="T2024" s="5" t="s">
        <v>44</v>
      </c>
      <c r="U2024" s="5" t="s">
        <v>44</v>
      </c>
      <c r="V2024" s="5" t="s">
        <v>4107</v>
      </c>
      <c r="W2024" s="5" t="s">
        <v>35</v>
      </c>
      <c r="X2024" s="8" t="s">
        <v>248</v>
      </c>
      <c r="Y2024" s="5" t="s">
        <v>46</v>
      </c>
      <c r="Z2024" s="5" t="s">
        <v>47</v>
      </c>
      <c r="AA2024" s="5" t="s">
        <v>64</v>
      </c>
      <c r="AB2024" s="5" t="s">
        <v>9867</v>
      </c>
      <c r="AC2024" s="6" t="s">
        <v>486</v>
      </c>
      <c r="AD2024" s="6">
        <v>7802.0</v>
      </c>
    </row>
    <row r="2025" ht="56.25" customHeight="1">
      <c r="A2025" s="5" t="s">
        <v>9847</v>
      </c>
      <c r="B2025" s="6" t="str">
        <f>IMAGE("https://storage.googleapis.com/acdb/housewares/FtrPetBed_Remake_1_0.png")</f>
        <v/>
      </c>
      <c r="C2025" s="5" t="s">
        <v>387</v>
      </c>
      <c r="D2025" s="5" t="s">
        <v>34</v>
      </c>
      <c r="E2025" s="5" t="s">
        <v>57</v>
      </c>
      <c r="F2025" s="5" t="s">
        <v>443</v>
      </c>
      <c r="G2025" s="5" t="s">
        <v>36</v>
      </c>
      <c r="H2025" s="5" t="s">
        <v>36</v>
      </c>
      <c r="I2025" s="5" t="s">
        <v>35</v>
      </c>
      <c r="J2025" s="6">
        <v>1.0</v>
      </c>
      <c r="K2025" s="6">
        <v>1100.0</v>
      </c>
      <c r="L2025" s="6">
        <v>275.0</v>
      </c>
      <c r="M2025" s="26" t="s">
        <v>39</v>
      </c>
      <c r="N2025" s="26" t="s">
        <v>57</v>
      </c>
      <c r="O2025" s="6" t="s">
        <v>40</v>
      </c>
      <c r="P2025" s="5" t="s">
        <v>59</v>
      </c>
      <c r="Q2025" s="5" t="s">
        <v>89</v>
      </c>
      <c r="R2025" s="6" t="s">
        <v>42</v>
      </c>
      <c r="S2025" s="5" t="s">
        <v>90</v>
      </c>
      <c r="T2025" s="5" t="s">
        <v>44</v>
      </c>
      <c r="U2025" s="5" t="s">
        <v>44</v>
      </c>
      <c r="V2025" s="5" t="s">
        <v>4107</v>
      </c>
      <c r="W2025" s="5" t="s">
        <v>35</v>
      </c>
      <c r="X2025" s="8" t="s">
        <v>248</v>
      </c>
      <c r="Y2025" s="5" t="s">
        <v>46</v>
      </c>
      <c r="Z2025" s="5" t="s">
        <v>47</v>
      </c>
      <c r="AA2025" s="5" t="s">
        <v>64</v>
      </c>
      <c r="AB2025" s="5" t="s">
        <v>9874</v>
      </c>
      <c r="AC2025" s="6" t="s">
        <v>56</v>
      </c>
      <c r="AD2025" s="6">
        <v>7802.0</v>
      </c>
    </row>
    <row r="2026" ht="56.25" customHeight="1">
      <c r="A2026" s="5" t="s">
        <v>9847</v>
      </c>
      <c r="B2026" s="6" t="str">
        <f>IMAGE("https://storage.googleapis.com/acdb/housewares/FtrPetBed_Remake_1_1.png")</f>
        <v/>
      </c>
      <c r="C2026" s="5" t="s">
        <v>387</v>
      </c>
      <c r="D2026" s="5" t="s">
        <v>34</v>
      </c>
      <c r="E2026" s="5" t="s">
        <v>9852</v>
      </c>
      <c r="F2026" s="5" t="s">
        <v>443</v>
      </c>
      <c r="G2026" s="5" t="s">
        <v>36</v>
      </c>
      <c r="H2026" s="5" t="s">
        <v>36</v>
      </c>
      <c r="I2026" s="5" t="s">
        <v>35</v>
      </c>
      <c r="J2026" s="6">
        <v>1.0</v>
      </c>
      <c r="K2026" s="6">
        <v>1100.0</v>
      </c>
      <c r="L2026" s="6">
        <v>275.0</v>
      </c>
      <c r="M2026" s="26" t="s">
        <v>39</v>
      </c>
      <c r="N2026" s="26" t="s">
        <v>96</v>
      </c>
      <c r="O2026" s="6" t="s">
        <v>40</v>
      </c>
      <c r="P2026" s="5" t="s">
        <v>59</v>
      </c>
      <c r="Q2026" s="5" t="s">
        <v>89</v>
      </c>
      <c r="R2026" s="6" t="s">
        <v>42</v>
      </c>
      <c r="S2026" s="5" t="s">
        <v>90</v>
      </c>
      <c r="T2026" s="5" t="s">
        <v>44</v>
      </c>
      <c r="U2026" s="5" t="s">
        <v>44</v>
      </c>
      <c r="V2026" s="5" t="s">
        <v>4107</v>
      </c>
      <c r="W2026" s="5" t="s">
        <v>35</v>
      </c>
      <c r="X2026" s="8" t="s">
        <v>248</v>
      </c>
      <c r="Y2026" s="5" t="s">
        <v>46</v>
      </c>
      <c r="Z2026" s="5" t="s">
        <v>47</v>
      </c>
      <c r="AA2026" s="5" t="s">
        <v>64</v>
      </c>
      <c r="AB2026" s="5" t="s">
        <v>9879</v>
      </c>
      <c r="AC2026" s="6" t="s">
        <v>234</v>
      </c>
      <c r="AD2026" s="6">
        <v>7802.0</v>
      </c>
    </row>
    <row r="2027" ht="56.25" customHeight="1">
      <c r="A2027" s="5" t="s">
        <v>9847</v>
      </c>
      <c r="B2027" s="6" t="str">
        <f>IMAGE("https://storage.googleapis.com/acdb/housewares/FtrPetBed_Remake_1_2.png")</f>
        <v/>
      </c>
      <c r="C2027" s="5" t="s">
        <v>387</v>
      </c>
      <c r="D2027" s="5" t="s">
        <v>34</v>
      </c>
      <c r="E2027" s="5" t="s">
        <v>1044</v>
      </c>
      <c r="F2027" s="5" t="s">
        <v>443</v>
      </c>
      <c r="G2027" s="5" t="s">
        <v>36</v>
      </c>
      <c r="H2027" s="5" t="s">
        <v>36</v>
      </c>
      <c r="I2027" s="5" t="s">
        <v>35</v>
      </c>
      <c r="J2027" s="6">
        <v>1.0</v>
      </c>
      <c r="K2027" s="6">
        <v>1100.0</v>
      </c>
      <c r="L2027" s="6">
        <v>275.0</v>
      </c>
      <c r="M2027" s="26" t="s">
        <v>39</v>
      </c>
      <c r="N2027" s="26" t="s">
        <v>1175</v>
      </c>
      <c r="O2027" s="6" t="s">
        <v>40</v>
      </c>
      <c r="P2027" s="5" t="s">
        <v>59</v>
      </c>
      <c r="Q2027" s="5" t="s">
        <v>89</v>
      </c>
      <c r="R2027" s="6" t="s">
        <v>42</v>
      </c>
      <c r="S2027" s="5" t="s">
        <v>90</v>
      </c>
      <c r="T2027" s="5" t="s">
        <v>44</v>
      </c>
      <c r="U2027" s="5" t="s">
        <v>44</v>
      </c>
      <c r="V2027" s="5" t="s">
        <v>4107</v>
      </c>
      <c r="W2027" s="5" t="s">
        <v>35</v>
      </c>
      <c r="X2027" s="8" t="s">
        <v>248</v>
      </c>
      <c r="Y2027" s="5" t="s">
        <v>46</v>
      </c>
      <c r="Z2027" s="5" t="s">
        <v>47</v>
      </c>
      <c r="AA2027" s="5" t="s">
        <v>64</v>
      </c>
      <c r="AB2027" s="5" t="s">
        <v>9885</v>
      </c>
      <c r="AC2027" s="6" t="s">
        <v>370</v>
      </c>
      <c r="AD2027" s="6">
        <v>7802.0</v>
      </c>
    </row>
    <row r="2028" ht="56.25" customHeight="1">
      <c r="A2028" s="5" t="s">
        <v>9847</v>
      </c>
      <c r="B2028" s="6" t="str">
        <f>IMAGE("https://storage.googleapis.com/acdb/housewares/FtrPetBed_Remake_1_3.png")</f>
        <v/>
      </c>
      <c r="C2028" s="5" t="s">
        <v>387</v>
      </c>
      <c r="D2028" s="5" t="s">
        <v>34</v>
      </c>
      <c r="E2028" s="5" t="s">
        <v>422</v>
      </c>
      <c r="F2028" s="5" t="s">
        <v>443</v>
      </c>
      <c r="G2028" s="5" t="s">
        <v>36</v>
      </c>
      <c r="H2028" s="5" t="s">
        <v>36</v>
      </c>
      <c r="I2028" s="5" t="s">
        <v>35</v>
      </c>
      <c r="J2028" s="6">
        <v>1.0</v>
      </c>
      <c r="K2028" s="6">
        <v>1100.0</v>
      </c>
      <c r="L2028" s="6">
        <v>275.0</v>
      </c>
      <c r="M2028" s="26" t="s">
        <v>39</v>
      </c>
      <c r="N2028" s="26" t="s">
        <v>52</v>
      </c>
      <c r="O2028" s="6" t="s">
        <v>40</v>
      </c>
      <c r="P2028" s="5" t="s">
        <v>59</v>
      </c>
      <c r="Q2028" s="5" t="s">
        <v>89</v>
      </c>
      <c r="R2028" s="6" t="s">
        <v>42</v>
      </c>
      <c r="S2028" s="5" t="s">
        <v>90</v>
      </c>
      <c r="T2028" s="5" t="s">
        <v>44</v>
      </c>
      <c r="U2028" s="5" t="s">
        <v>44</v>
      </c>
      <c r="V2028" s="5" t="s">
        <v>4107</v>
      </c>
      <c r="W2028" s="5" t="s">
        <v>35</v>
      </c>
      <c r="X2028" s="8" t="s">
        <v>248</v>
      </c>
      <c r="Y2028" s="5" t="s">
        <v>46</v>
      </c>
      <c r="Z2028" s="5" t="s">
        <v>47</v>
      </c>
      <c r="AA2028" s="5" t="s">
        <v>64</v>
      </c>
      <c r="AB2028" s="5" t="s">
        <v>9890</v>
      </c>
      <c r="AC2028" s="6" t="s">
        <v>377</v>
      </c>
      <c r="AD2028" s="6">
        <v>7802.0</v>
      </c>
    </row>
    <row r="2029" ht="56.25" customHeight="1">
      <c r="A2029" s="5" t="s">
        <v>9847</v>
      </c>
      <c r="B2029" s="6" t="str">
        <f>IMAGE("https://storage.googleapis.com/acdb/housewares/FtrPetBed_Remake_1_4.png")</f>
        <v/>
      </c>
      <c r="C2029" s="5" t="s">
        <v>387</v>
      </c>
      <c r="D2029" s="5" t="s">
        <v>34</v>
      </c>
      <c r="E2029" s="5" t="s">
        <v>400</v>
      </c>
      <c r="F2029" s="5" t="s">
        <v>443</v>
      </c>
      <c r="G2029" s="5" t="s">
        <v>36</v>
      </c>
      <c r="H2029" s="5" t="s">
        <v>36</v>
      </c>
      <c r="I2029" s="5" t="s">
        <v>35</v>
      </c>
      <c r="J2029" s="6">
        <v>1.0</v>
      </c>
      <c r="K2029" s="6">
        <v>1100.0</v>
      </c>
      <c r="L2029" s="6">
        <v>275.0</v>
      </c>
      <c r="M2029" s="26" t="s">
        <v>39</v>
      </c>
      <c r="N2029" s="26" t="s">
        <v>96</v>
      </c>
      <c r="O2029" s="6" t="s">
        <v>40</v>
      </c>
      <c r="P2029" s="5" t="s">
        <v>59</v>
      </c>
      <c r="Q2029" s="5" t="s">
        <v>89</v>
      </c>
      <c r="R2029" s="6" t="s">
        <v>42</v>
      </c>
      <c r="S2029" s="5" t="s">
        <v>90</v>
      </c>
      <c r="T2029" s="5" t="s">
        <v>44</v>
      </c>
      <c r="U2029" s="5" t="s">
        <v>44</v>
      </c>
      <c r="V2029" s="5" t="s">
        <v>4107</v>
      </c>
      <c r="W2029" s="5" t="s">
        <v>35</v>
      </c>
      <c r="X2029" s="8" t="s">
        <v>248</v>
      </c>
      <c r="Y2029" s="5" t="s">
        <v>46</v>
      </c>
      <c r="Z2029" s="5" t="s">
        <v>47</v>
      </c>
      <c r="AA2029" s="5" t="s">
        <v>64</v>
      </c>
      <c r="AB2029" s="5" t="s">
        <v>9895</v>
      </c>
      <c r="AC2029" s="6" t="s">
        <v>520</v>
      </c>
      <c r="AD2029" s="6">
        <v>7802.0</v>
      </c>
    </row>
    <row r="2030" ht="56.25" customHeight="1">
      <c r="A2030" s="5" t="s">
        <v>9847</v>
      </c>
      <c r="B2030" s="6" t="str">
        <f>IMAGE("https://storage.googleapis.com/acdb/housewares/FtrPetBed_Remake_2_0.png")</f>
        <v/>
      </c>
      <c r="C2030" s="5" t="s">
        <v>57</v>
      </c>
      <c r="D2030" s="5" t="s">
        <v>34</v>
      </c>
      <c r="E2030" s="5" t="s">
        <v>57</v>
      </c>
      <c r="F2030" s="5" t="s">
        <v>443</v>
      </c>
      <c r="G2030" s="5" t="s">
        <v>36</v>
      </c>
      <c r="H2030" s="5" t="s">
        <v>36</v>
      </c>
      <c r="I2030" s="5" t="s">
        <v>35</v>
      </c>
      <c r="J2030" s="6">
        <v>1.0</v>
      </c>
      <c r="K2030" s="6">
        <v>1100.0</v>
      </c>
      <c r="L2030" s="6">
        <v>275.0</v>
      </c>
      <c r="M2030" s="26" t="s">
        <v>57</v>
      </c>
      <c r="N2030" s="26" t="s">
        <v>57</v>
      </c>
      <c r="O2030" s="6" t="s">
        <v>40</v>
      </c>
      <c r="P2030" s="5" t="s">
        <v>59</v>
      </c>
      <c r="Q2030" s="5" t="s">
        <v>89</v>
      </c>
      <c r="R2030" s="6" t="s">
        <v>42</v>
      </c>
      <c r="S2030" s="5" t="s">
        <v>90</v>
      </c>
      <c r="T2030" s="5" t="s">
        <v>44</v>
      </c>
      <c r="U2030" s="5" t="s">
        <v>44</v>
      </c>
      <c r="V2030" s="5" t="s">
        <v>4107</v>
      </c>
      <c r="W2030" s="5" t="s">
        <v>35</v>
      </c>
      <c r="X2030" s="8" t="s">
        <v>248</v>
      </c>
      <c r="Y2030" s="5" t="s">
        <v>46</v>
      </c>
      <c r="Z2030" s="5" t="s">
        <v>47</v>
      </c>
      <c r="AA2030" s="5" t="s">
        <v>64</v>
      </c>
      <c r="AB2030" s="5" t="s">
        <v>9899</v>
      </c>
      <c r="AC2030" s="6" t="s">
        <v>67</v>
      </c>
      <c r="AD2030" s="6">
        <v>7802.0</v>
      </c>
    </row>
    <row r="2031" ht="56.25" customHeight="1">
      <c r="A2031" s="5" t="s">
        <v>9847</v>
      </c>
      <c r="B2031" s="6" t="str">
        <f>IMAGE("https://storage.googleapis.com/acdb/housewares/FtrPetBed_Remake_2_1.png")</f>
        <v/>
      </c>
      <c r="C2031" s="5" t="s">
        <v>57</v>
      </c>
      <c r="D2031" s="5" t="s">
        <v>34</v>
      </c>
      <c r="E2031" s="5" t="s">
        <v>9852</v>
      </c>
      <c r="F2031" s="5" t="s">
        <v>443</v>
      </c>
      <c r="G2031" s="5" t="s">
        <v>36</v>
      </c>
      <c r="H2031" s="5" t="s">
        <v>36</v>
      </c>
      <c r="I2031" s="5" t="s">
        <v>35</v>
      </c>
      <c r="J2031" s="6">
        <v>1.0</v>
      </c>
      <c r="K2031" s="6">
        <v>1100.0</v>
      </c>
      <c r="L2031" s="6">
        <v>275.0</v>
      </c>
      <c r="M2031" s="26" t="s">
        <v>57</v>
      </c>
      <c r="N2031" s="26" t="s">
        <v>96</v>
      </c>
      <c r="O2031" s="6" t="s">
        <v>40</v>
      </c>
      <c r="P2031" s="5" t="s">
        <v>59</v>
      </c>
      <c r="Q2031" s="5" t="s">
        <v>89</v>
      </c>
      <c r="R2031" s="6" t="s">
        <v>42</v>
      </c>
      <c r="S2031" s="5" t="s">
        <v>90</v>
      </c>
      <c r="T2031" s="5" t="s">
        <v>44</v>
      </c>
      <c r="U2031" s="5" t="s">
        <v>44</v>
      </c>
      <c r="V2031" s="5" t="s">
        <v>4107</v>
      </c>
      <c r="W2031" s="5" t="s">
        <v>35</v>
      </c>
      <c r="X2031" s="8" t="s">
        <v>248</v>
      </c>
      <c r="Y2031" s="5" t="s">
        <v>46</v>
      </c>
      <c r="Z2031" s="5" t="s">
        <v>47</v>
      </c>
      <c r="AA2031" s="5" t="s">
        <v>64</v>
      </c>
      <c r="AB2031" s="5" t="s">
        <v>9905</v>
      </c>
      <c r="AC2031" s="6" t="s">
        <v>247</v>
      </c>
      <c r="AD2031" s="6">
        <v>7802.0</v>
      </c>
    </row>
    <row r="2032" ht="56.25" customHeight="1">
      <c r="A2032" s="5" t="s">
        <v>9847</v>
      </c>
      <c r="B2032" s="6" t="str">
        <f>IMAGE("https://storage.googleapis.com/acdb/housewares/FtrPetBed_Remake_2_2.png")</f>
        <v/>
      </c>
      <c r="C2032" s="5" t="s">
        <v>57</v>
      </c>
      <c r="D2032" s="5" t="s">
        <v>34</v>
      </c>
      <c r="E2032" s="5" t="s">
        <v>1044</v>
      </c>
      <c r="F2032" s="5" t="s">
        <v>443</v>
      </c>
      <c r="G2032" s="5" t="s">
        <v>36</v>
      </c>
      <c r="H2032" s="5" t="s">
        <v>36</v>
      </c>
      <c r="I2032" s="5" t="s">
        <v>35</v>
      </c>
      <c r="J2032" s="6">
        <v>1.0</v>
      </c>
      <c r="K2032" s="6">
        <v>1100.0</v>
      </c>
      <c r="L2032" s="6">
        <v>275.0</v>
      </c>
      <c r="M2032" s="26" t="s">
        <v>57</v>
      </c>
      <c r="N2032" s="26" t="s">
        <v>1175</v>
      </c>
      <c r="O2032" s="6" t="s">
        <v>40</v>
      </c>
      <c r="P2032" s="5" t="s">
        <v>59</v>
      </c>
      <c r="Q2032" s="5" t="s">
        <v>89</v>
      </c>
      <c r="R2032" s="6" t="s">
        <v>42</v>
      </c>
      <c r="S2032" s="5" t="s">
        <v>90</v>
      </c>
      <c r="T2032" s="5" t="s">
        <v>44</v>
      </c>
      <c r="U2032" s="5" t="s">
        <v>44</v>
      </c>
      <c r="V2032" s="5" t="s">
        <v>4107</v>
      </c>
      <c r="W2032" s="5" t="s">
        <v>35</v>
      </c>
      <c r="X2032" s="8" t="s">
        <v>248</v>
      </c>
      <c r="Y2032" s="5" t="s">
        <v>46</v>
      </c>
      <c r="Z2032" s="5" t="s">
        <v>47</v>
      </c>
      <c r="AA2032" s="5" t="s">
        <v>64</v>
      </c>
      <c r="AB2032" s="5" t="s">
        <v>9914</v>
      </c>
      <c r="AC2032" s="6" t="s">
        <v>390</v>
      </c>
      <c r="AD2032" s="6">
        <v>7802.0</v>
      </c>
    </row>
    <row r="2033" ht="56.25" customHeight="1">
      <c r="A2033" s="5" t="s">
        <v>9847</v>
      </c>
      <c r="B2033" s="6" t="str">
        <f>IMAGE("https://storage.googleapis.com/acdb/housewares/FtrPetBed_Remake_2_3.png")</f>
        <v/>
      </c>
      <c r="C2033" s="5" t="s">
        <v>57</v>
      </c>
      <c r="D2033" s="5" t="s">
        <v>34</v>
      </c>
      <c r="E2033" s="5" t="s">
        <v>422</v>
      </c>
      <c r="F2033" s="5" t="s">
        <v>443</v>
      </c>
      <c r="G2033" s="5" t="s">
        <v>36</v>
      </c>
      <c r="H2033" s="5" t="s">
        <v>36</v>
      </c>
      <c r="I2033" s="5" t="s">
        <v>35</v>
      </c>
      <c r="J2033" s="6">
        <v>1.0</v>
      </c>
      <c r="K2033" s="6">
        <v>1100.0</v>
      </c>
      <c r="L2033" s="6">
        <v>275.0</v>
      </c>
      <c r="M2033" s="26" t="s">
        <v>57</v>
      </c>
      <c r="N2033" s="26" t="s">
        <v>52</v>
      </c>
      <c r="O2033" s="6" t="s">
        <v>40</v>
      </c>
      <c r="P2033" s="5" t="s">
        <v>59</v>
      </c>
      <c r="Q2033" s="5" t="s">
        <v>89</v>
      </c>
      <c r="R2033" s="6" t="s">
        <v>42</v>
      </c>
      <c r="S2033" s="5" t="s">
        <v>90</v>
      </c>
      <c r="T2033" s="5" t="s">
        <v>44</v>
      </c>
      <c r="U2033" s="5" t="s">
        <v>44</v>
      </c>
      <c r="V2033" s="5" t="s">
        <v>4107</v>
      </c>
      <c r="W2033" s="5" t="s">
        <v>35</v>
      </c>
      <c r="X2033" s="8" t="s">
        <v>248</v>
      </c>
      <c r="Y2033" s="5" t="s">
        <v>46</v>
      </c>
      <c r="Z2033" s="5" t="s">
        <v>47</v>
      </c>
      <c r="AA2033" s="5" t="s">
        <v>64</v>
      </c>
      <c r="AB2033" s="5" t="s">
        <v>9922</v>
      </c>
      <c r="AC2033" s="6" t="s">
        <v>396</v>
      </c>
      <c r="AD2033" s="6">
        <v>7802.0</v>
      </c>
    </row>
    <row r="2034" ht="56.25" customHeight="1">
      <c r="A2034" s="5" t="s">
        <v>9847</v>
      </c>
      <c r="B2034" s="6" t="str">
        <f>IMAGE("https://storage.googleapis.com/acdb/housewares/FtrPetBed_Remake_2_4.png")</f>
        <v/>
      </c>
      <c r="C2034" s="5" t="s">
        <v>57</v>
      </c>
      <c r="D2034" s="5" t="s">
        <v>34</v>
      </c>
      <c r="E2034" s="5" t="s">
        <v>400</v>
      </c>
      <c r="F2034" s="5" t="s">
        <v>443</v>
      </c>
      <c r="G2034" s="5" t="s">
        <v>36</v>
      </c>
      <c r="H2034" s="5" t="s">
        <v>36</v>
      </c>
      <c r="I2034" s="5" t="s">
        <v>35</v>
      </c>
      <c r="J2034" s="6">
        <v>1.0</v>
      </c>
      <c r="K2034" s="6">
        <v>1100.0</v>
      </c>
      <c r="L2034" s="6">
        <v>275.0</v>
      </c>
      <c r="M2034" s="26" t="s">
        <v>57</v>
      </c>
      <c r="N2034" s="26" t="s">
        <v>96</v>
      </c>
      <c r="O2034" s="6" t="s">
        <v>40</v>
      </c>
      <c r="P2034" s="5" t="s">
        <v>59</v>
      </c>
      <c r="Q2034" s="5" t="s">
        <v>89</v>
      </c>
      <c r="R2034" s="6" t="s">
        <v>42</v>
      </c>
      <c r="S2034" s="5" t="s">
        <v>90</v>
      </c>
      <c r="T2034" s="5" t="s">
        <v>44</v>
      </c>
      <c r="U2034" s="5" t="s">
        <v>44</v>
      </c>
      <c r="V2034" s="5" t="s">
        <v>4107</v>
      </c>
      <c r="W2034" s="5" t="s">
        <v>35</v>
      </c>
      <c r="X2034" s="8" t="s">
        <v>248</v>
      </c>
      <c r="Y2034" s="5" t="s">
        <v>46</v>
      </c>
      <c r="Z2034" s="5" t="s">
        <v>47</v>
      </c>
      <c r="AA2034" s="5" t="s">
        <v>64</v>
      </c>
      <c r="AB2034" s="5" t="s">
        <v>9929</v>
      </c>
      <c r="AC2034" s="6" t="s">
        <v>541</v>
      </c>
      <c r="AD2034" s="6">
        <v>7802.0</v>
      </c>
    </row>
    <row r="2035" ht="56.25" customHeight="1">
      <c r="A2035" s="5" t="s">
        <v>9931</v>
      </c>
      <c r="B2035" s="6" t="str">
        <f>IMAGE("https://storage.googleapis.com/acdb/housewares/FtrTelephonebox_Remake_0_0.png")</f>
        <v/>
      </c>
      <c r="C2035" s="5" t="s">
        <v>52</v>
      </c>
      <c r="D2035" s="5" t="s">
        <v>34</v>
      </c>
      <c r="E2035" s="5" t="s">
        <v>34</v>
      </c>
      <c r="F2035" s="5" t="s">
        <v>34</v>
      </c>
      <c r="G2035" s="5" t="s">
        <v>36</v>
      </c>
      <c r="H2035" s="5" t="s">
        <v>36</v>
      </c>
      <c r="I2035" s="5" t="s">
        <v>36</v>
      </c>
      <c r="J2035" s="6" t="s">
        <v>34</v>
      </c>
      <c r="K2035" s="6" t="s">
        <v>37</v>
      </c>
      <c r="L2035" s="6">
        <v>12000.0</v>
      </c>
      <c r="M2035" s="26" t="s">
        <v>52</v>
      </c>
      <c r="N2035" s="26" t="s">
        <v>52</v>
      </c>
      <c r="O2035" s="6" t="s">
        <v>40</v>
      </c>
      <c r="P2035" s="5" t="s">
        <v>2140</v>
      </c>
      <c r="Q2035" s="5"/>
      <c r="R2035" s="6" t="s">
        <v>42</v>
      </c>
      <c r="S2035" s="5" t="s">
        <v>130</v>
      </c>
      <c r="T2035" s="5" t="s">
        <v>141</v>
      </c>
      <c r="U2035" s="5" t="s">
        <v>44</v>
      </c>
      <c r="V2035" s="5" t="s">
        <v>44</v>
      </c>
      <c r="W2035" s="5" t="s">
        <v>35</v>
      </c>
      <c r="X2035" s="8" t="s">
        <v>921</v>
      </c>
      <c r="Y2035" s="5" t="s">
        <v>46</v>
      </c>
      <c r="Z2035" s="5" t="s">
        <v>102</v>
      </c>
      <c r="AA2035" s="5" t="s">
        <v>48</v>
      </c>
      <c r="AB2035" s="5" t="s">
        <v>9936</v>
      </c>
      <c r="AC2035" s="6" t="s">
        <v>50</v>
      </c>
      <c r="AD2035" s="6">
        <v>1185.0</v>
      </c>
    </row>
    <row r="2036" ht="56.25" customHeight="1">
      <c r="A2036" s="5" t="s">
        <v>9931</v>
      </c>
      <c r="B2036" s="6" t="str">
        <f>IMAGE("https://storage.googleapis.com/acdb/housewares/FtrTelephonebox_Remake_1_0.png")</f>
        <v/>
      </c>
      <c r="C2036" s="5" t="s">
        <v>96</v>
      </c>
      <c r="D2036" s="5" t="s">
        <v>34</v>
      </c>
      <c r="E2036" s="5" t="s">
        <v>34</v>
      </c>
      <c r="F2036" s="5" t="s">
        <v>34</v>
      </c>
      <c r="G2036" s="5" t="s">
        <v>36</v>
      </c>
      <c r="H2036" s="5" t="s">
        <v>36</v>
      </c>
      <c r="I2036" s="5" t="s">
        <v>36</v>
      </c>
      <c r="J2036" s="6" t="s">
        <v>34</v>
      </c>
      <c r="K2036" s="6" t="s">
        <v>37</v>
      </c>
      <c r="L2036" s="6">
        <v>12000.0</v>
      </c>
      <c r="M2036" s="26" t="s">
        <v>96</v>
      </c>
      <c r="N2036" s="26" t="s">
        <v>96</v>
      </c>
      <c r="O2036" s="6" t="s">
        <v>40</v>
      </c>
      <c r="P2036" s="5" t="s">
        <v>2140</v>
      </c>
      <c r="Q2036" s="5"/>
      <c r="R2036" s="6" t="s">
        <v>42</v>
      </c>
      <c r="S2036" s="5" t="s">
        <v>130</v>
      </c>
      <c r="T2036" s="5" t="s">
        <v>141</v>
      </c>
      <c r="U2036" s="5" t="s">
        <v>44</v>
      </c>
      <c r="V2036" s="5" t="s">
        <v>44</v>
      </c>
      <c r="W2036" s="5" t="s">
        <v>35</v>
      </c>
      <c r="X2036" s="8" t="s">
        <v>921</v>
      </c>
      <c r="Y2036" s="5" t="s">
        <v>46</v>
      </c>
      <c r="Z2036" s="5" t="s">
        <v>102</v>
      </c>
      <c r="AA2036" s="5" t="s">
        <v>48</v>
      </c>
      <c r="AB2036" s="5" t="s">
        <v>9945</v>
      </c>
      <c r="AC2036" s="6" t="s">
        <v>56</v>
      </c>
      <c r="AD2036" s="6">
        <v>1185.0</v>
      </c>
    </row>
    <row r="2037" ht="56.25" customHeight="1">
      <c r="A2037" s="5" t="s">
        <v>9931</v>
      </c>
      <c r="B2037" s="6" t="str">
        <f>IMAGE("https://storage.googleapis.com/acdb/housewares/FtrTelephonebox_Remake_2_0.png")</f>
        <v/>
      </c>
      <c r="C2037" s="5" t="s">
        <v>68</v>
      </c>
      <c r="D2037" s="5" t="s">
        <v>34</v>
      </c>
      <c r="E2037" s="5" t="s">
        <v>34</v>
      </c>
      <c r="F2037" s="5" t="s">
        <v>34</v>
      </c>
      <c r="G2037" s="5" t="s">
        <v>36</v>
      </c>
      <c r="H2037" s="5" t="s">
        <v>36</v>
      </c>
      <c r="I2037" s="5" t="s">
        <v>36</v>
      </c>
      <c r="J2037" s="6" t="s">
        <v>34</v>
      </c>
      <c r="K2037" s="6" t="s">
        <v>37</v>
      </c>
      <c r="L2037" s="6">
        <v>12000.0</v>
      </c>
      <c r="M2037" s="26" t="s">
        <v>68</v>
      </c>
      <c r="N2037" s="26" t="s">
        <v>68</v>
      </c>
      <c r="O2037" s="6" t="s">
        <v>40</v>
      </c>
      <c r="P2037" s="5" t="s">
        <v>2140</v>
      </c>
      <c r="Q2037" s="5"/>
      <c r="R2037" s="6" t="s">
        <v>42</v>
      </c>
      <c r="S2037" s="5" t="s">
        <v>130</v>
      </c>
      <c r="T2037" s="5" t="s">
        <v>141</v>
      </c>
      <c r="U2037" s="5" t="s">
        <v>44</v>
      </c>
      <c r="V2037" s="5" t="s">
        <v>44</v>
      </c>
      <c r="W2037" s="5" t="s">
        <v>35</v>
      </c>
      <c r="X2037" s="8" t="s">
        <v>921</v>
      </c>
      <c r="Y2037" s="5" t="s">
        <v>46</v>
      </c>
      <c r="Z2037" s="5" t="s">
        <v>102</v>
      </c>
      <c r="AA2037" s="5" t="s">
        <v>48</v>
      </c>
      <c r="AB2037" s="5" t="s">
        <v>9953</v>
      </c>
      <c r="AC2037" s="6" t="s">
        <v>67</v>
      </c>
      <c r="AD2037" s="6">
        <v>1185.0</v>
      </c>
    </row>
    <row r="2038" ht="56.25" customHeight="1">
      <c r="A2038" s="5" t="s">
        <v>9931</v>
      </c>
      <c r="B2038" s="6" t="str">
        <f>IMAGE("https://storage.googleapis.com/acdb/housewares/FtrTelephonebox_Remake_3_0.png")</f>
        <v/>
      </c>
      <c r="C2038" s="5" t="s">
        <v>114</v>
      </c>
      <c r="D2038" s="5" t="s">
        <v>34</v>
      </c>
      <c r="E2038" s="5" t="s">
        <v>34</v>
      </c>
      <c r="F2038" s="5" t="s">
        <v>34</v>
      </c>
      <c r="G2038" s="5" t="s">
        <v>36</v>
      </c>
      <c r="H2038" s="5" t="s">
        <v>36</v>
      </c>
      <c r="I2038" s="5" t="s">
        <v>36</v>
      </c>
      <c r="J2038" s="6" t="s">
        <v>34</v>
      </c>
      <c r="K2038" s="6" t="s">
        <v>37</v>
      </c>
      <c r="L2038" s="6">
        <v>12000.0</v>
      </c>
      <c r="M2038" s="26" t="s">
        <v>114</v>
      </c>
      <c r="N2038" s="26" t="s">
        <v>114</v>
      </c>
      <c r="O2038" s="6" t="s">
        <v>40</v>
      </c>
      <c r="P2038" s="5" t="s">
        <v>2140</v>
      </c>
      <c r="Q2038" s="5"/>
      <c r="R2038" s="6" t="s">
        <v>42</v>
      </c>
      <c r="S2038" s="5" t="s">
        <v>130</v>
      </c>
      <c r="T2038" s="5" t="s">
        <v>141</v>
      </c>
      <c r="U2038" s="5" t="s">
        <v>44</v>
      </c>
      <c r="V2038" s="5" t="s">
        <v>44</v>
      </c>
      <c r="W2038" s="5" t="s">
        <v>35</v>
      </c>
      <c r="X2038" s="8" t="s">
        <v>921</v>
      </c>
      <c r="Y2038" s="5" t="s">
        <v>46</v>
      </c>
      <c r="Z2038" s="5" t="s">
        <v>102</v>
      </c>
      <c r="AA2038" s="5" t="s">
        <v>48</v>
      </c>
      <c r="AB2038" s="5" t="s">
        <v>9959</v>
      </c>
      <c r="AC2038" s="6" t="s">
        <v>71</v>
      </c>
      <c r="AD2038" s="6">
        <v>1185.0</v>
      </c>
    </row>
    <row r="2039" ht="56.25" customHeight="1">
      <c r="A2039" s="5" t="s">
        <v>9931</v>
      </c>
      <c r="B2039" s="6" t="str">
        <f>IMAGE("https://storage.googleapis.com/acdb/housewares/FtrTelephonebox_Remake_4_0.png")</f>
        <v/>
      </c>
      <c r="C2039" s="5" t="s">
        <v>39</v>
      </c>
      <c r="D2039" s="5" t="s">
        <v>34</v>
      </c>
      <c r="E2039" s="5" t="s">
        <v>34</v>
      </c>
      <c r="F2039" s="5" t="s">
        <v>34</v>
      </c>
      <c r="G2039" s="5" t="s">
        <v>36</v>
      </c>
      <c r="H2039" s="5" t="s">
        <v>36</v>
      </c>
      <c r="I2039" s="5" t="s">
        <v>36</v>
      </c>
      <c r="J2039" s="6" t="s">
        <v>34</v>
      </c>
      <c r="K2039" s="6" t="s">
        <v>37</v>
      </c>
      <c r="L2039" s="6">
        <v>12000.0</v>
      </c>
      <c r="M2039" s="26" t="s">
        <v>39</v>
      </c>
      <c r="N2039" s="26" t="s">
        <v>39</v>
      </c>
      <c r="O2039" s="6" t="s">
        <v>40</v>
      </c>
      <c r="P2039" s="5" t="s">
        <v>2140</v>
      </c>
      <c r="Q2039" s="5"/>
      <c r="R2039" s="6" t="s">
        <v>42</v>
      </c>
      <c r="S2039" s="5" t="s">
        <v>130</v>
      </c>
      <c r="T2039" s="5" t="s">
        <v>141</v>
      </c>
      <c r="U2039" s="5" t="s">
        <v>44</v>
      </c>
      <c r="V2039" s="5" t="s">
        <v>44</v>
      </c>
      <c r="W2039" s="5" t="s">
        <v>35</v>
      </c>
      <c r="X2039" s="8" t="s">
        <v>921</v>
      </c>
      <c r="Y2039" s="5" t="s">
        <v>46</v>
      </c>
      <c r="Z2039" s="5" t="s">
        <v>102</v>
      </c>
      <c r="AA2039" s="5" t="s">
        <v>48</v>
      </c>
      <c r="AB2039" s="5" t="s">
        <v>9965</v>
      </c>
      <c r="AC2039" s="6" t="s">
        <v>75</v>
      </c>
      <c r="AD2039" s="6">
        <v>1185.0</v>
      </c>
    </row>
    <row r="2040" ht="56.25" customHeight="1">
      <c r="A2040" s="5" t="s">
        <v>9931</v>
      </c>
      <c r="B2040" s="6" t="str">
        <f>IMAGE("https://storage.googleapis.com/acdb/housewares/FtrTelephonebox_Remake_5_0.png")</f>
        <v/>
      </c>
      <c r="C2040" s="5" t="s">
        <v>57</v>
      </c>
      <c r="D2040" s="5" t="s">
        <v>34</v>
      </c>
      <c r="E2040" s="5" t="s">
        <v>34</v>
      </c>
      <c r="F2040" s="5" t="s">
        <v>34</v>
      </c>
      <c r="G2040" s="5" t="s">
        <v>36</v>
      </c>
      <c r="H2040" s="5" t="s">
        <v>36</v>
      </c>
      <c r="I2040" s="5" t="s">
        <v>36</v>
      </c>
      <c r="J2040" s="6" t="s">
        <v>34</v>
      </c>
      <c r="K2040" s="6" t="s">
        <v>37</v>
      </c>
      <c r="L2040" s="6">
        <v>12000.0</v>
      </c>
      <c r="M2040" s="26" t="s">
        <v>57</v>
      </c>
      <c r="N2040" s="26" t="s">
        <v>57</v>
      </c>
      <c r="O2040" s="6" t="s">
        <v>40</v>
      </c>
      <c r="P2040" s="5" t="s">
        <v>2140</v>
      </c>
      <c r="Q2040" s="5"/>
      <c r="R2040" s="6" t="s">
        <v>42</v>
      </c>
      <c r="S2040" s="5" t="s">
        <v>130</v>
      </c>
      <c r="T2040" s="5" t="s">
        <v>141</v>
      </c>
      <c r="U2040" s="5" t="s">
        <v>44</v>
      </c>
      <c r="V2040" s="5" t="s">
        <v>44</v>
      </c>
      <c r="W2040" s="5" t="s">
        <v>35</v>
      </c>
      <c r="X2040" s="8" t="s">
        <v>921</v>
      </c>
      <c r="Y2040" s="5" t="s">
        <v>46</v>
      </c>
      <c r="Z2040" s="5" t="s">
        <v>102</v>
      </c>
      <c r="AA2040" s="5" t="s">
        <v>48</v>
      </c>
      <c r="AB2040" s="5" t="s">
        <v>9968</v>
      </c>
      <c r="AC2040" s="6" t="s">
        <v>79</v>
      </c>
      <c r="AD2040" s="6">
        <v>1185.0</v>
      </c>
    </row>
    <row r="2041" ht="56.25" customHeight="1">
      <c r="A2041" s="5" t="s">
        <v>9931</v>
      </c>
      <c r="B2041" s="6" t="str">
        <f>IMAGE("https://storage.googleapis.com/acdb/housewares/FtrTelephonebox_Remake_6_0.png")</f>
        <v/>
      </c>
      <c r="C2041" s="5" t="s">
        <v>54</v>
      </c>
      <c r="D2041" s="5" t="s">
        <v>34</v>
      </c>
      <c r="E2041" s="5" t="s">
        <v>34</v>
      </c>
      <c r="F2041" s="5" t="s">
        <v>34</v>
      </c>
      <c r="G2041" s="5" t="s">
        <v>36</v>
      </c>
      <c r="H2041" s="5" t="s">
        <v>36</v>
      </c>
      <c r="I2041" s="5" t="s">
        <v>36</v>
      </c>
      <c r="J2041" s="6" t="s">
        <v>34</v>
      </c>
      <c r="K2041" s="6" t="s">
        <v>37</v>
      </c>
      <c r="L2041" s="6">
        <v>12000.0</v>
      </c>
      <c r="M2041" s="26" t="s">
        <v>54</v>
      </c>
      <c r="N2041" s="26" t="s">
        <v>54</v>
      </c>
      <c r="O2041" s="6" t="s">
        <v>40</v>
      </c>
      <c r="P2041" s="5" t="s">
        <v>2140</v>
      </c>
      <c r="Q2041" s="5"/>
      <c r="R2041" s="6" t="s">
        <v>42</v>
      </c>
      <c r="S2041" s="5" t="s">
        <v>130</v>
      </c>
      <c r="T2041" s="5" t="s">
        <v>141</v>
      </c>
      <c r="U2041" s="5" t="s">
        <v>44</v>
      </c>
      <c r="V2041" s="5" t="s">
        <v>44</v>
      </c>
      <c r="W2041" s="5" t="s">
        <v>35</v>
      </c>
      <c r="X2041" s="8" t="s">
        <v>921</v>
      </c>
      <c r="Y2041" s="5" t="s">
        <v>46</v>
      </c>
      <c r="Z2041" s="5" t="s">
        <v>102</v>
      </c>
      <c r="AA2041" s="5" t="s">
        <v>48</v>
      </c>
      <c r="AB2041" s="5" t="s">
        <v>9974</v>
      </c>
      <c r="AC2041" s="6" t="s">
        <v>86</v>
      </c>
      <c r="AD2041" s="6">
        <v>1185.0</v>
      </c>
    </row>
    <row r="2042" ht="56.25" customHeight="1">
      <c r="A2042" s="5" t="s">
        <v>9931</v>
      </c>
      <c r="B2042" s="6" t="str">
        <f>IMAGE("https://storage.googleapis.com/acdb/housewares/FtrTelephonebox_Remake_7_0.png")</f>
        <v/>
      </c>
      <c r="C2042" s="5" t="s">
        <v>151</v>
      </c>
      <c r="D2042" s="5" t="s">
        <v>34</v>
      </c>
      <c r="E2042" s="5" t="s">
        <v>34</v>
      </c>
      <c r="F2042" s="5" t="s">
        <v>34</v>
      </c>
      <c r="G2042" s="5" t="s">
        <v>36</v>
      </c>
      <c r="H2042" s="5" t="s">
        <v>36</v>
      </c>
      <c r="I2042" s="5" t="s">
        <v>36</v>
      </c>
      <c r="J2042" s="6" t="s">
        <v>34</v>
      </c>
      <c r="K2042" s="6" t="s">
        <v>37</v>
      </c>
      <c r="L2042" s="6">
        <v>12000.0</v>
      </c>
      <c r="M2042" s="26" t="s">
        <v>114</v>
      </c>
      <c r="N2042" s="26" t="s">
        <v>95</v>
      </c>
      <c r="O2042" s="6" t="s">
        <v>40</v>
      </c>
      <c r="P2042" s="5" t="s">
        <v>2140</v>
      </c>
      <c r="Q2042" s="5"/>
      <c r="R2042" s="6" t="s">
        <v>42</v>
      </c>
      <c r="S2042" s="5" t="s">
        <v>130</v>
      </c>
      <c r="T2042" s="5" t="s">
        <v>141</v>
      </c>
      <c r="U2042" s="5" t="s">
        <v>44</v>
      </c>
      <c r="V2042" s="5" t="s">
        <v>44</v>
      </c>
      <c r="W2042" s="5" t="s">
        <v>35</v>
      </c>
      <c r="X2042" s="8" t="s">
        <v>921</v>
      </c>
      <c r="Y2042" s="5" t="s">
        <v>46</v>
      </c>
      <c r="Z2042" s="5" t="s">
        <v>102</v>
      </c>
      <c r="AA2042" s="5" t="s">
        <v>48</v>
      </c>
      <c r="AB2042" s="5" t="s">
        <v>9978</v>
      </c>
      <c r="AC2042" s="6" t="s">
        <v>208</v>
      </c>
      <c r="AD2042" s="6">
        <v>1185.0</v>
      </c>
    </row>
    <row r="2043" ht="56.25" customHeight="1">
      <c r="A2043" s="5" t="s">
        <v>9979</v>
      </c>
      <c r="B2043" s="6" t="str">
        <f>IMAGE("https://storage.googleapis.com/acdb/housewares/FtrPianochair_Remake_0_0.png")</f>
        <v/>
      </c>
      <c r="C2043" s="5" t="s">
        <v>54</v>
      </c>
      <c r="D2043" s="5" t="s">
        <v>34</v>
      </c>
      <c r="E2043" s="5" t="s">
        <v>34</v>
      </c>
      <c r="F2043" s="5" t="s">
        <v>34</v>
      </c>
      <c r="G2043" s="5" t="s">
        <v>36</v>
      </c>
      <c r="H2043" s="5" t="s">
        <v>36</v>
      </c>
      <c r="I2043" s="5" t="s">
        <v>36</v>
      </c>
      <c r="J2043" s="6" t="s">
        <v>34</v>
      </c>
      <c r="K2043" s="6">
        <v>990.0</v>
      </c>
      <c r="L2043" s="6">
        <v>247.0</v>
      </c>
      <c r="M2043" s="26" t="s">
        <v>54</v>
      </c>
      <c r="N2043" s="26" t="s">
        <v>54</v>
      </c>
      <c r="O2043" s="6" t="s">
        <v>40</v>
      </c>
      <c r="P2043" s="5" t="s">
        <v>59</v>
      </c>
      <c r="Q2043" s="5" t="s">
        <v>89</v>
      </c>
      <c r="R2043" s="6" t="s">
        <v>42</v>
      </c>
      <c r="S2043" s="5" t="s">
        <v>43</v>
      </c>
      <c r="T2043" s="5" t="s">
        <v>44</v>
      </c>
      <c r="U2043" s="5" t="s">
        <v>44</v>
      </c>
      <c r="V2043" s="5" t="s">
        <v>44</v>
      </c>
      <c r="W2043" s="5" t="s">
        <v>35</v>
      </c>
      <c r="X2043" s="8" t="s">
        <v>248</v>
      </c>
      <c r="Y2043" s="5" t="s">
        <v>46</v>
      </c>
      <c r="Z2043" s="5" t="s">
        <v>47</v>
      </c>
      <c r="AA2043" s="5" t="s">
        <v>64</v>
      </c>
      <c r="AB2043" s="5" t="s">
        <v>9982</v>
      </c>
      <c r="AC2043" s="6" t="s">
        <v>50</v>
      </c>
      <c r="AD2043" s="6">
        <v>3681.0</v>
      </c>
    </row>
    <row r="2044" ht="56.25" customHeight="1">
      <c r="A2044" s="5" t="s">
        <v>9979</v>
      </c>
      <c r="B2044" s="6" t="str">
        <f>IMAGE("https://storage.googleapis.com/acdb/housewares/FtrPianochair_Remake_1_0.png")</f>
        <v/>
      </c>
      <c r="C2044" s="5" t="s">
        <v>52</v>
      </c>
      <c r="D2044" s="5" t="s">
        <v>34</v>
      </c>
      <c r="E2044" s="5" t="s">
        <v>34</v>
      </c>
      <c r="F2044" s="5" t="s">
        <v>34</v>
      </c>
      <c r="G2044" s="5" t="s">
        <v>36</v>
      </c>
      <c r="H2044" s="5" t="s">
        <v>36</v>
      </c>
      <c r="I2044" s="5" t="s">
        <v>36</v>
      </c>
      <c r="J2044" s="6" t="s">
        <v>34</v>
      </c>
      <c r="K2044" s="6">
        <v>990.0</v>
      </c>
      <c r="L2044" s="6">
        <v>247.0</v>
      </c>
      <c r="M2044" s="26" t="s">
        <v>52</v>
      </c>
      <c r="N2044" s="26" t="s">
        <v>54</v>
      </c>
      <c r="O2044" s="6" t="s">
        <v>40</v>
      </c>
      <c r="P2044" s="5" t="s">
        <v>59</v>
      </c>
      <c r="Q2044" s="5" t="s">
        <v>89</v>
      </c>
      <c r="R2044" s="6" t="s">
        <v>42</v>
      </c>
      <c r="S2044" s="5" t="s">
        <v>43</v>
      </c>
      <c r="T2044" s="5" t="s">
        <v>44</v>
      </c>
      <c r="U2044" s="5" t="s">
        <v>44</v>
      </c>
      <c r="V2044" s="5" t="s">
        <v>44</v>
      </c>
      <c r="W2044" s="5" t="s">
        <v>35</v>
      </c>
      <c r="X2044" s="8" t="s">
        <v>248</v>
      </c>
      <c r="Y2044" s="5" t="s">
        <v>46</v>
      </c>
      <c r="Z2044" s="5" t="s">
        <v>47</v>
      </c>
      <c r="AA2044" s="5" t="s">
        <v>64</v>
      </c>
      <c r="AB2044" s="5" t="s">
        <v>9985</v>
      </c>
      <c r="AC2044" s="6" t="s">
        <v>56</v>
      </c>
      <c r="AD2044" s="6">
        <v>3681.0</v>
      </c>
    </row>
    <row r="2045" ht="56.25" customHeight="1">
      <c r="A2045" s="5" t="s">
        <v>9979</v>
      </c>
      <c r="B2045" s="6" t="str">
        <f>IMAGE("https://storage.googleapis.com/acdb/housewares/FtrPianochair_Remake_2_0.png")</f>
        <v/>
      </c>
      <c r="C2045" s="5" t="s">
        <v>57</v>
      </c>
      <c r="D2045" s="5" t="s">
        <v>34</v>
      </c>
      <c r="E2045" s="5" t="s">
        <v>34</v>
      </c>
      <c r="F2045" s="5" t="s">
        <v>34</v>
      </c>
      <c r="G2045" s="5" t="s">
        <v>36</v>
      </c>
      <c r="H2045" s="5" t="s">
        <v>36</v>
      </c>
      <c r="I2045" s="5" t="s">
        <v>36</v>
      </c>
      <c r="J2045" s="6" t="s">
        <v>34</v>
      </c>
      <c r="K2045" s="6">
        <v>990.0</v>
      </c>
      <c r="L2045" s="6">
        <v>247.0</v>
      </c>
      <c r="M2045" s="26" t="s">
        <v>57</v>
      </c>
      <c r="N2045" s="26" t="s">
        <v>57</v>
      </c>
      <c r="O2045" s="6" t="s">
        <v>40</v>
      </c>
      <c r="P2045" s="5" t="s">
        <v>59</v>
      </c>
      <c r="Q2045" s="5" t="s">
        <v>89</v>
      </c>
      <c r="R2045" s="6" t="s">
        <v>42</v>
      </c>
      <c r="S2045" s="5" t="s">
        <v>43</v>
      </c>
      <c r="T2045" s="5" t="s">
        <v>44</v>
      </c>
      <c r="U2045" s="5" t="s">
        <v>44</v>
      </c>
      <c r="V2045" s="5" t="s">
        <v>44</v>
      </c>
      <c r="W2045" s="5" t="s">
        <v>35</v>
      </c>
      <c r="X2045" s="8" t="s">
        <v>248</v>
      </c>
      <c r="Y2045" s="5" t="s">
        <v>46</v>
      </c>
      <c r="Z2045" s="5" t="s">
        <v>47</v>
      </c>
      <c r="AA2045" s="5" t="s">
        <v>64</v>
      </c>
      <c r="AB2045" s="5" t="s">
        <v>9991</v>
      </c>
      <c r="AC2045" s="6" t="s">
        <v>67</v>
      </c>
      <c r="AD2045" s="6">
        <v>3681.0</v>
      </c>
    </row>
    <row r="2046" ht="56.25" customHeight="1">
      <c r="A2046" s="5" t="s">
        <v>9979</v>
      </c>
      <c r="B2046" s="6" t="str">
        <f>IMAGE("https://storage.googleapis.com/acdb/housewares/FtrPianochair_Remake_3_0.png")</f>
        <v/>
      </c>
      <c r="C2046" s="5" t="s">
        <v>68</v>
      </c>
      <c r="D2046" s="5" t="s">
        <v>34</v>
      </c>
      <c r="E2046" s="5" t="s">
        <v>34</v>
      </c>
      <c r="F2046" s="5" t="s">
        <v>34</v>
      </c>
      <c r="G2046" s="5" t="s">
        <v>36</v>
      </c>
      <c r="H2046" s="5" t="s">
        <v>36</v>
      </c>
      <c r="I2046" s="5" t="s">
        <v>36</v>
      </c>
      <c r="J2046" s="6" t="s">
        <v>34</v>
      </c>
      <c r="K2046" s="6">
        <v>990.0</v>
      </c>
      <c r="L2046" s="6">
        <v>247.0</v>
      </c>
      <c r="M2046" s="26" t="s">
        <v>68</v>
      </c>
      <c r="N2046" s="26" t="s">
        <v>57</v>
      </c>
      <c r="O2046" s="6" t="s">
        <v>40</v>
      </c>
      <c r="P2046" s="5" t="s">
        <v>59</v>
      </c>
      <c r="Q2046" s="5" t="s">
        <v>89</v>
      </c>
      <c r="R2046" s="6" t="s">
        <v>42</v>
      </c>
      <c r="S2046" s="5" t="s">
        <v>43</v>
      </c>
      <c r="T2046" s="5" t="s">
        <v>44</v>
      </c>
      <c r="U2046" s="5" t="s">
        <v>44</v>
      </c>
      <c r="V2046" s="5" t="s">
        <v>44</v>
      </c>
      <c r="W2046" s="5" t="s">
        <v>35</v>
      </c>
      <c r="X2046" s="8" t="s">
        <v>248</v>
      </c>
      <c r="Y2046" s="5" t="s">
        <v>46</v>
      </c>
      <c r="Z2046" s="5" t="s">
        <v>47</v>
      </c>
      <c r="AA2046" s="5" t="s">
        <v>64</v>
      </c>
      <c r="AB2046" s="5" t="s">
        <v>9994</v>
      </c>
      <c r="AC2046" s="6" t="s">
        <v>71</v>
      </c>
      <c r="AD2046" s="6">
        <v>3681.0</v>
      </c>
    </row>
    <row r="2047" ht="56.25" customHeight="1">
      <c r="A2047" s="5" t="s">
        <v>9979</v>
      </c>
      <c r="B2047" s="6" t="str">
        <f>IMAGE("https://storage.googleapis.com/acdb/housewares/FtrPianochair_Remake_4_0.png")</f>
        <v/>
      </c>
      <c r="C2047" s="5" t="s">
        <v>39</v>
      </c>
      <c r="D2047" s="5" t="s">
        <v>34</v>
      </c>
      <c r="E2047" s="5" t="s">
        <v>34</v>
      </c>
      <c r="F2047" s="5" t="s">
        <v>34</v>
      </c>
      <c r="G2047" s="5" t="s">
        <v>36</v>
      </c>
      <c r="H2047" s="5" t="s">
        <v>36</v>
      </c>
      <c r="I2047" s="5" t="s">
        <v>36</v>
      </c>
      <c r="J2047" s="6" t="s">
        <v>34</v>
      </c>
      <c r="K2047" s="6">
        <v>990.0</v>
      </c>
      <c r="L2047" s="6">
        <v>247.0</v>
      </c>
      <c r="M2047" s="26" t="s">
        <v>39</v>
      </c>
      <c r="N2047" s="26" t="s">
        <v>39</v>
      </c>
      <c r="O2047" s="6" t="s">
        <v>40</v>
      </c>
      <c r="P2047" s="5" t="s">
        <v>59</v>
      </c>
      <c r="Q2047" s="5" t="s">
        <v>89</v>
      </c>
      <c r="R2047" s="6" t="s">
        <v>42</v>
      </c>
      <c r="S2047" s="5" t="s">
        <v>43</v>
      </c>
      <c r="T2047" s="5" t="s">
        <v>44</v>
      </c>
      <c r="U2047" s="5" t="s">
        <v>44</v>
      </c>
      <c r="V2047" s="5" t="s">
        <v>44</v>
      </c>
      <c r="W2047" s="5" t="s">
        <v>35</v>
      </c>
      <c r="X2047" s="8" t="s">
        <v>248</v>
      </c>
      <c r="Y2047" s="5" t="s">
        <v>46</v>
      </c>
      <c r="Z2047" s="5" t="s">
        <v>47</v>
      </c>
      <c r="AA2047" s="5" t="s">
        <v>64</v>
      </c>
      <c r="AB2047" s="5" t="s">
        <v>10000</v>
      </c>
      <c r="AC2047" s="6" t="s">
        <v>75</v>
      </c>
      <c r="AD2047" s="6">
        <v>3681.0</v>
      </c>
    </row>
    <row r="2048" ht="56.25" customHeight="1">
      <c r="A2048" s="5" t="s">
        <v>9979</v>
      </c>
      <c r="B2048" s="6" t="str">
        <f>IMAGE("https://storage.googleapis.com/acdb/housewares/FtrPianochair_Remake_5_0.png")</f>
        <v/>
      </c>
      <c r="C2048" s="5" t="s">
        <v>96</v>
      </c>
      <c r="D2048" s="5" t="s">
        <v>34</v>
      </c>
      <c r="E2048" s="5" t="s">
        <v>34</v>
      </c>
      <c r="F2048" s="5" t="s">
        <v>34</v>
      </c>
      <c r="G2048" s="5" t="s">
        <v>36</v>
      </c>
      <c r="H2048" s="5" t="s">
        <v>36</v>
      </c>
      <c r="I2048" s="5" t="s">
        <v>36</v>
      </c>
      <c r="J2048" s="6" t="s">
        <v>34</v>
      </c>
      <c r="K2048" s="6">
        <v>990.0</v>
      </c>
      <c r="L2048" s="6">
        <v>247.0</v>
      </c>
      <c r="M2048" s="26" t="s">
        <v>96</v>
      </c>
      <c r="N2048" s="26" t="s">
        <v>39</v>
      </c>
      <c r="O2048" s="6" t="s">
        <v>40</v>
      </c>
      <c r="P2048" s="5" t="s">
        <v>59</v>
      </c>
      <c r="Q2048" s="5" t="s">
        <v>89</v>
      </c>
      <c r="R2048" s="6" t="s">
        <v>42</v>
      </c>
      <c r="S2048" s="5" t="s">
        <v>43</v>
      </c>
      <c r="T2048" s="5" t="s">
        <v>44</v>
      </c>
      <c r="U2048" s="5" t="s">
        <v>44</v>
      </c>
      <c r="V2048" s="5" t="s">
        <v>44</v>
      </c>
      <c r="W2048" s="5" t="s">
        <v>35</v>
      </c>
      <c r="X2048" s="8" t="s">
        <v>248</v>
      </c>
      <c r="Y2048" s="5" t="s">
        <v>46</v>
      </c>
      <c r="Z2048" s="5" t="s">
        <v>47</v>
      </c>
      <c r="AA2048" s="5" t="s">
        <v>64</v>
      </c>
      <c r="AB2048" s="5" t="s">
        <v>10006</v>
      </c>
      <c r="AC2048" s="6" t="s">
        <v>79</v>
      </c>
      <c r="AD2048" s="6">
        <v>3681.0</v>
      </c>
    </row>
    <row r="2049" ht="56.25" customHeight="1">
      <c r="A2049" s="5" t="s">
        <v>9979</v>
      </c>
      <c r="B2049" s="6" t="str">
        <f>IMAGE("https://storage.googleapis.com/acdb/housewares/FtrPianochair_Remake_6_0.png")</f>
        <v/>
      </c>
      <c r="C2049" s="5" t="s">
        <v>1857</v>
      </c>
      <c r="D2049" s="5" t="s">
        <v>34</v>
      </c>
      <c r="E2049" s="5" t="s">
        <v>34</v>
      </c>
      <c r="F2049" s="5" t="s">
        <v>34</v>
      </c>
      <c r="G2049" s="5" t="s">
        <v>36</v>
      </c>
      <c r="H2049" s="5" t="s">
        <v>36</v>
      </c>
      <c r="I2049" s="5" t="s">
        <v>36</v>
      </c>
      <c r="J2049" s="6" t="s">
        <v>34</v>
      </c>
      <c r="K2049" s="6">
        <v>990.0</v>
      </c>
      <c r="L2049" s="6">
        <v>247.0</v>
      </c>
      <c r="M2049" s="26" t="s">
        <v>96</v>
      </c>
      <c r="N2049" s="26" t="s">
        <v>38</v>
      </c>
      <c r="O2049" s="6" t="s">
        <v>40</v>
      </c>
      <c r="P2049" s="5" t="s">
        <v>59</v>
      </c>
      <c r="Q2049" s="5" t="s">
        <v>89</v>
      </c>
      <c r="R2049" s="6" t="s">
        <v>42</v>
      </c>
      <c r="S2049" s="5" t="s">
        <v>43</v>
      </c>
      <c r="T2049" s="5" t="s">
        <v>44</v>
      </c>
      <c r="U2049" s="5" t="s">
        <v>44</v>
      </c>
      <c r="V2049" s="5" t="s">
        <v>44</v>
      </c>
      <c r="W2049" s="5" t="s">
        <v>35</v>
      </c>
      <c r="X2049" s="8" t="s">
        <v>248</v>
      </c>
      <c r="Y2049" s="5" t="s">
        <v>46</v>
      </c>
      <c r="Z2049" s="5" t="s">
        <v>47</v>
      </c>
      <c r="AA2049" s="5" t="s">
        <v>64</v>
      </c>
      <c r="AB2049" s="5" t="s">
        <v>10011</v>
      </c>
      <c r="AC2049" s="6" t="s">
        <v>86</v>
      </c>
      <c r="AD2049" s="6">
        <v>3681.0</v>
      </c>
    </row>
    <row r="2050" ht="56.25" customHeight="1">
      <c r="A2050" s="5" t="s">
        <v>9979</v>
      </c>
      <c r="B2050" s="6" t="str">
        <f>IMAGE("https://storage.googleapis.com/acdb/housewares/FtrPianochair_Remake_7_0.png")</f>
        <v/>
      </c>
      <c r="C2050" s="5" t="s">
        <v>2408</v>
      </c>
      <c r="D2050" s="5" t="s">
        <v>34</v>
      </c>
      <c r="E2050" s="5" t="s">
        <v>34</v>
      </c>
      <c r="F2050" s="5" t="s">
        <v>34</v>
      </c>
      <c r="G2050" s="5" t="s">
        <v>36</v>
      </c>
      <c r="H2050" s="5" t="s">
        <v>36</v>
      </c>
      <c r="I2050" s="5" t="s">
        <v>36</v>
      </c>
      <c r="J2050" s="6" t="s">
        <v>34</v>
      </c>
      <c r="K2050" s="6">
        <v>990.0</v>
      </c>
      <c r="L2050" s="6">
        <v>247.0</v>
      </c>
      <c r="M2050" s="26" t="s">
        <v>114</v>
      </c>
      <c r="N2050" s="26" t="s">
        <v>39</v>
      </c>
      <c r="O2050" s="6" t="s">
        <v>40</v>
      </c>
      <c r="P2050" s="5" t="s">
        <v>59</v>
      </c>
      <c r="Q2050" s="5" t="s">
        <v>89</v>
      </c>
      <c r="R2050" s="6" t="s">
        <v>42</v>
      </c>
      <c r="S2050" s="5" t="s">
        <v>43</v>
      </c>
      <c r="T2050" s="5" t="s">
        <v>44</v>
      </c>
      <c r="U2050" s="5" t="s">
        <v>44</v>
      </c>
      <c r="V2050" s="5" t="s">
        <v>44</v>
      </c>
      <c r="W2050" s="5" t="s">
        <v>35</v>
      </c>
      <c r="X2050" s="8" t="s">
        <v>248</v>
      </c>
      <c r="Y2050" s="5" t="s">
        <v>46</v>
      </c>
      <c r="Z2050" s="5" t="s">
        <v>47</v>
      </c>
      <c r="AA2050" s="5" t="s">
        <v>64</v>
      </c>
      <c r="AB2050" s="5" t="s">
        <v>10015</v>
      </c>
      <c r="AC2050" s="6" t="s">
        <v>208</v>
      </c>
      <c r="AD2050" s="6">
        <v>3681.0</v>
      </c>
    </row>
    <row r="2051" ht="56.25" customHeight="1">
      <c r="A2051" s="5" t="s">
        <v>10018</v>
      </c>
      <c r="B2051" s="6" t="str">
        <f>IMAGE("https://storage.googleapis.com/acdb/housewares/FtrFallenleaves.png")</f>
        <v/>
      </c>
      <c r="C2051" s="5" t="s">
        <v>34</v>
      </c>
      <c r="D2051" s="5" t="s">
        <v>34</v>
      </c>
      <c r="E2051" s="5" t="s">
        <v>34</v>
      </c>
      <c r="F2051" s="5" t="s">
        <v>34</v>
      </c>
      <c r="G2051" s="5" t="s">
        <v>35</v>
      </c>
      <c r="H2051" s="5" t="s">
        <v>36</v>
      </c>
      <c r="I2051" s="5" t="s">
        <v>36</v>
      </c>
      <c r="J2051" s="6" t="s">
        <v>34</v>
      </c>
      <c r="K2051" s="6" t="s">
        <v>37</v>
      </c>
      <c r="L2051" s="6">
        <v>1300.0</v>
      </c>
      <c r="M2051" s="5" t="s">
        <v>39</v>
      </c>
      <c r="N2051" s="5" t="s">
        <v>39</v>
      </c>
      <c r="O2051" s="6" t="s">
        <v>1243</v>
      </c>
      <c r="P2051" s="5" t="s">
        <v>41</v>
      </c>
      <c r="Q2051" s="5" t="s">
        <v>2446</v>
      </c>
      <c r="R2051" s="6" t="s">
        <v>42</v>
      </c>
      <c r="S2051" s="5" t="s">
        <v>172</v>
      </c>
      <c r="T2051" s="5" t="s">
        <v>44</v>
      </c>
      <c r="U2051" s="5" t="s">
        <v>2448</v>
      </c>
      <c r="V2051" s="5" t="s">
        <v>44</v>
      </c>
      <c r="W2051" s="5" t="s">
        <v>35</v>
      </c>
      <c r="X2051" s="8" t="s">
        <v>244</v>
      </c>
      <c r="Y2051" s="5" t="s">
        <v>46</v>
      </c>
      <c r="Z2051" s="5" t="s">
        <v>47</v>
      </c>
      <c r="AA2051" s="5" t="s">
        <v>48</v>
      </c>
      <c r="AB2051" s="5" t="s">
        <v>10023</v>
      </c>
      <c r="AC2051" s="6" t="s">
        <v>34</v>
      </c>
      <c r="AD2051" s="6">
        <v>1023.0</v>
      </c>
    </row>
    <row r="2052" ht="56.25" customHeight="1">
      <c r="A2052" s="5" t="s">
        <v>10024</v>
      </c>
      <c r="B2052" s="6" t="str">
        <f>image("https://storage.googleapis.com/acdb/housewares/FtrCushionJapanPile_Remake_0_0.png")</f>
        <v/>
      </c>
      <c r="C2052" s="5" t="s">
        <v>34</v>
      </c>
      <c r="D2052" s="5" t="s">
        <v>34</v>
      </c>
      <c r="E2052" s="5" t="s">
        <v>4507</v>
      </c>
      <c r="F2052" s="5" t="s">
        <v>10027</v>
      </c>
      <c r="G2052" s="5" t="s">
        <v>35</v>
      </c>
      <c r="H2052" s="5" t="s">
        <v>36</v>
      </c>
      <c r="I2052" s="5" t="s">
        <v>35</v>
      </c>
      <c r="J2052" s="6">
        <v>2.0</v>
      </c>
      <c r="K2052" s="6" t="s">
        <v>37</v>
      </c>
      <c r="L2052" s="6">
        <v>750.0</v>
      </c>
      <c r="M2052" s="26" t="s">
        <v>68</v>
      </c>
      <c r="N2052" s="26" t="s">
        <v>68</v>
      </c>
      <c r="O2052" s="6" t="s">
        <v>40</v>
      </c>
      <c r="P2052" s="5" t="s">
        <v>41</v>
      </c>
      <c r="Q2052" s="5"/>
      <c r="R2052" s="6" t="s">
        <v>42</v>
      </c>
      <c r="S2052" s="5" t="s">
        <v>266</v>
      </c>
      <c r="T2052" s="5" t="s">
        <v>90</v>
      </c>
      <c r="U2052" s="5" t="s">
        <v>44</v>
      </c>
      <c r="V2052" s="5" t="s">
        <v>44</v>
      </c>
      <c r="W2052" s="5" t="s">
        <v>35</v>
      </c>
      <c r="X2052" s="8" t="s">
        <v>248</v>
      </c>
      <c r="Y2052" s="5" t="s">
        <v>46</v>
      </c>
      <c r="Z2052" s="5" t="s">
        <v>47</v>
      </c>
      <c r="AA2052" s="5" t="s">
        <v>48</v>
      </c>
      <c r="AB2052" s="5" t="s">
        <v>10031</v>
      </c>
      <c r="AC2052" s="6" t="s">
        <v>50</v>
      </c>
      <c r="AD2052" s="6">
        <v>7048.0</v>
      </c>
    </row>
    <row r="2053" ht="56.25" customHeight="1">
      <c r="A2053" s="5" t="s">
        <v>10024</v>
      </c>
      <c r="B2053" s="6" t="str">
        <f>image("https://storage.googleapis.com/acdb/housewares/FtrCushionJapanPile_Remake_0_1.png")</f>
        <v/>
      </c>
      <c r="C2053" s="5" t="s">
        <v>34</v>
      </c>
      <c r="D2053" s="5" t="s">
        <v>34</v>
      </c>
      <c r="E2053" s="5" t="s">
        <v>10034</v>
      </c>
      <c r="F2053" s="5" t="s">
        <v>10027</v>
      </c>
      <c r="G2053" s="5" t="s">
        <v>35</v>
      </c>
      <c r="H2053" s="5" t="s">
        <v>36</v>
      </c>
      <c r="I2053" s="5" t="s">
        <v>35</v>
      </c>
      <c r="J2053" s="6">
        <v>2.0</v>
      </c>
      <c r="K2053" s="6" t="s">
        <v>37</v>
      </c>
      <c r="L2053" s="6">
        <v>750.0</v>
      </c>
      <c r="M2053" s="26" t="s">
        <v>68</v>
      </c>
      <c r="N2053" s="26" t="s">
        <v>68</v>
      </c>
      <c r="O2053" s="6" t="s">
        <v>40</v>
      </c>
      <c r="P2053" s="5" t="s">
        <v>41</v>
      </c>
      <c r="Q2053" s="5"/>
      <c r="R2053" s="6" t="s">
        <v>42</v>
      </c>
      <c r="S2053" s="5" t="s">
        <v>266</v>
      </c>
      <c r="T2053" s="5" t="s">
        <v>90</v>
      </c>
      <c r="U2053" s="5" t="s">
        <v>44</v>
      </c>
      <c r="V2053" s="5" t="s">
        <v>44</v>
      </c>
      <c r="W2053" s="5" t="s">
        <v>35</v>
      </c>
      <c r="X2053" s="8" t="s">
        <v>248</v>
      </c>
      <c r="Y2053" s="5" t="s">
        <v>46</v>
      </c>
      <c r="Z2053" s="5" t="s">
        <v>47</v>
      </c>
      <c r="AA2053" s="5" t="s">
        <v>48</v>
      </c>
      <c r="AB2053" s="5" t="s">
        <v>10037</v>
      </c>
      <c r="AC2053" s="6" t="s">
        <v>217</v>
      </c>
      <c r="AD2053" s="6">
        <v>7048.0</v>
      </c>
    </row>
    <row r="2054" ht="56.25" customHeight="1">
      <c r="A2054" s="5" t="s">
        <v>10024</v>
      </c>
      <c r="B2054" s="6" t="str">
        <f>image("https://storage.googleapis.com/acdb/housewares/FtrCushionJapanPile_Remake_0_2.png")</f>
        <v/>
      </c>
      <c r="C2054" s="5" t="s">
        <v>34</v>
      </c>
      <c r="D2054" s="5" t="s">
        <v>34</v>
      </c>
      <c r="E2054" s="5" t="s">
        <v>10041</v>
      </c>
      <c r="F2054" s="5" t="s">
        <v>10027</v>
      </c>
      <c r="G2054" s="5" t="s">
        <v>35</v>
      </c>
      <c r="H2054" s="5" t="s">
        <v>36</v>
      </c>
      <c r="I2054" s="5" t="s">
        <v>35</v>
      </c>
      <c r="J2054" s="6">
        <v>2.0</v>
      </c>
      <c r="K2054" s="6" t="s">
        <v>37</v>
      </c>
      <c r="L2054" s="6">
        <v>750.0</v>
      </c>
      <c r="M2054" s="26" t="s">
        <v>52</v>
      </c>
      <c r="N2054" s="26" t="s">
        <v>69</v>
      </c>
      <c r="O2054" s="6" t="s">
        <v>40</v>
      </c>
      <c r="P2054" s="5" t="s">
        <v>41</v>
      </c>
      <c r="Q2054" s="5"/>
      <c r="R2054" s="6" t="s">
        <v>42</v>
      </c>
      <c r="S2054" s="5" t="s">
        <v>266</v>
      </c>
      <c r="T2054" s="5" t="s">
        <v>90</v>
      </c>
      <c r="U2054" s="5" t="s">
        <v>44</v>
      </c>
      <c r="V2054" s="5" t="s">
        <v>44</v>
      </c>
      <c r="W2054" s="5" t="s">
        <v>35</v>
      </c>
      <c r="X2054" s="8" t="s">
        <v>248</v>
      </c>
      <c r="Y2054" s="5" t="s">
        <v>46</v>
      </c>
      <c r="Z2054" s="5" t="s">
        <v>47</v>
      </c>
      <c r="AA2054" s="5" t="s">
        <v>48</v>
      </c>
      <c r="AB2054" s="5" t="s">
        <v>10044</v>
      </c>
      <c r="AC2054" s="6" t="s">
        <v>347</v>
      </c>
      <c r="AD2054" s="6">
        <v>7048.0</v>
      </c>
    </row>
    <row r="2055" ht="56.25" customHeight="1">
      <c r="A2055" s="5" t="s">
        <v>10024</v>
      </c>
      <c r="B2055" s="6" t="str">
        <f>image("https://storage.googleapis.com/acdb/housewares/FtrCushionJapanPile_Remake_0_3.png")</f>
        <v/>
      </c>
      <c r="C2055" s="5" t="s">
        <v>34</v>
      </c>
      <c r="D2055" s="5" t="s">
        <v>34</v>
      </c>
      <c r="E2055" s="5" t="s">
        <v>10046</v>
      </c>
      <c r="F2055" s="5" t="s">
        <v>10027</v>
      </c>
      <c r="G2055" s="5" t="s">
        <v>35</v>
      </c>
      <c r="H2055" s="5" t="s">
        <v>36</v>
      </c>
      <c r="I2055" s="5" t="s">
        <v>35</v>
      </c>
      <c r="J2055" s="6">
        <v>2.0</v>
      </c>
      <c r="K2055" s="6" t="s">
        <v>37</v>
      </c>
      <c r="L2055" s="6">
        <v>750.0</v>
      </c>
      <c r="M2055" s="26" t="s">
        <v>96</v>
      </c>
      <c r="N2055" s="26" t="s">
        <v>96</v>
      </c>
      <c r="O2055" s="6" t="s">
        <v>40</v>
      </c>
      <c r="P2055" s="5" t="s">
        <v>41</v>
      </c>
      <c r="Q2055" s="5"/>
      <c r="R2055" s="6" t="s">
        <v>42</v>
      </c>
      <c r="S2055" s="5" t="s">
        <v>266</v>
      </c>
      <c r="T2055" s="5" t="s">
        <v>90</v>
      </c>
      <c r="U2055" s="5" t="s">
        <v>44</v>
      </c>
      <c r="V2055" s="5" t="s">
        <v>44</v>
      </c>
      <c r="W2055" s="5" t="s">
        <v>35</v>
      </c>
      <c r="X2055" s="8" t="s">
        <v>248</v>
      </c>
      <c r="Y2055" s="5" t="s">
        <v>46</v>
      </c>
      <c r="Z2055" s="5" t="s">
        <v>47</v>
      </c>
      <c r="AA2055" s="5" t="s">
        <v>48</v>
      </c>
      <c r="AB2055" s="5" t="s">
        <v>10048</v>
      </c>
      <c r="AC2055" s="6" t="s">
        <v>354</v>
      </c>
      <c r="AD2055" s="6">
        <v>7048.0</v>
      </c>
    </row>
    <row r="2056" ht="56.25" customHeight="1">
      <c r="A2056" s="5" t="s">
        <v>10024</v>
      </c>
      <c r="B2056" s="6" t="str">
        <f>image("https://storage.googleapis.com/acdb/housewares/FtrCushionJapanPile_Remake_0_4.png")</f>
        <v/>
      </c>
      <c r="C2056" s="5" t="s">
        <v>34</v>
      </c>
      <c r="D2056" s="5" t="s">
        <v>34</v>
      </c>
      <c r="E2056" s="5" t="s">
        <v>5996</v>
      </c>
      <c r="F2056" s="5" t="s">
        <v>10027</v>
      </c>
      <c r="G2056" s="5" t="s">
        <v>35</v>
      </c>
      <c r="H2056" s="5" t="s">
        <v>36</v>
      </c>
      <c r="I2056" s="5" t="s">
        <v>35</v>
      </c>
      <c r="J2056" s="6">
        <v>2.0</v>
      </c>
      <c r="K2056" s="6" t="s">
        <v>37</v>
      </c>
      <c r="L2056" s="6">
        <v>750.0</v>
      </c>
      <c r="M2056" s="26" t="s">
        <v>1175</v>
      </c>
      <c r="N2056" s="26" t="s">
        <v>58</v>
      </c>
      <c r="O2056" s="6" t="s">
        <v>40</v>
      </c>
      <c r="P2056" s="5" t="s">
        <v>41</v>
      </c>
      <c r="Q2056" s="5"/>
      <c r="R2056" s="6" t="s">
        <v>42</v>
      </c>
      <c r="S2056" s="5" t="s">
        <v>266</v>
      </c>
      <c r="T2056" s="5" t="s">
        <v>90</v>
      </c>
      <c r="U2056" s="5" t="s">
        <v>44</v>
      </c>
      <c r="V2056" s="5" t="s">
        <v>44</v>
      </c>
      <c r="W2056" s="5" t="s">
        <v>35</v>
      </c>
      <c r="X2056" s="8" t="s">
        <v>248</v>
      </c>
      <c r="Y2056" s="5" t="s">
        <v>46</v>
      </c>
      <c r="Z2056" s="5" t="s">
        <v>47</v>
      </c>
      <c r="AA2056" s="5" t="s">
        <v>48</v>
      </c>
      <c r="AB2056" s="5" t="s">
        <v>10052</v>
      </c>
      <c r="AC2056" s="6" t="s">
        <v>486</v>
      </c>
      <c r="AD2056" s="6">
        <v>7048.0</v>
      </c>
    </row>
    <row r="2057" ht="56.25" customHeight="1">
      <c r="A2057" s="5" t="s">
        <v>10024</v>
      </c>
      <c r="B2057" s="6" t="str">
        <f>image("https://storage.googleapis.com/acdb/housewares/FtrCushionJapanPile_Remake_0_5.png")</f>
        <v/>
      </c>
      <c r="C2057" s="5" t="s">
        <v>34</v>
      </c>
      <c r="D2057" s="5" t="s">
        <v>34</v>
      </c>
      <c r="E2057" s="5" t="s">
        <v>10056</v>
      </c>
      <c r="F2057" s="5" t="s">
        <v>10027</v>
      </c>
      <c r="G2057" s="5" t="s">
        <v>35</v>
      </c>
      <c r="H2057" s="5" t="s">
        <v>36</v>
      </c>
      <c r="I2057" s="5" t="s">
        <v>35</v>
      </c>
      <c r="J2057" s="6">
        <v>2.0</v>
      </c>
      <c r="K2057" s="6" t="s">
        <v>37</v>
      </c>
      <c r="L2057" s="6">
        <v>750.0</v>
      </c>
      <c r="M2057" s="26" t="s">
        <v>52</v>
      </c>
      <c r="N2057" s="26" t="s">
        <v>52</v>
      </c>
      <c r="O2057" s="6" t="s">
        <v>40</v>
      </c>
      <c r="P2057" s="5" t="s">
        <v>41</v>
      </c>
      <c r="Q2057" s="5"/>
      <c r="R2057" s="6" t="s">
        <v>42</v>
      </c>
      <c r="S2057" s="5" t="s">
        <v>266</v>
      </c>
      <c r="T2057" s="5" t="s">
        <v>90</v>
      </c>
      <c r="U2057" s="5" t="s">
        <v>44</v>
      </c>
      <c r="V2057" s="5" t="s">
        <v>44</v>
      </c>
      <c r="W2057" s="5" t="s">
        <v>35</v>
      </c>
      <c r="X2057" s="8" t="s">
        <v>248</v>
      </c>
      <c r="Y2057" s="5" t="s">
        <v>46</v>
      </c>
      <c r="Z2057" s="5" t="s">
        <v>47</v>
      </c>
      <c r="AA2057" s="5" t="s">
        <v>48</v>
      </c>
      <c r="AB2057" s="5" t="s">
        <v>10062</v>
      </c>
      <c r="AC2057" s="6" t="s">
        <v>934</v>
      </c>
      <c r="AD2057" s="6">
        <v>7048.0</v>
      </c>
    </row>
    <row r="2058" ht="56.25" customHeight="1">
      <c r="A2058" s="5" t="s">
        <v>10024</v>
      </c>
      <c r="B2058" s="6" t="str">
        <f>image("https://storage.googleapis.com/acdb/housewares/FtrCushionJapanPile_Remake_0_6.png")</f>
        <v/>
      </c>
      <c r="C2058" s="5" t="s">
        <v>34</v>
      </c>
      <c r="D2058" s="5" t="s">
        <v>34</v>
      </c>
      <c r="E2058" s="5" t="s">
        <v>151</v>
      </c>
      <c r="F2058" s="5" t="s">
        <v>10027</v>
      </c>
      <c r="G2058" s="5" t="s">
        <v>35</v>
      </c>
      <c r="H2058" s="5" t="s">
        <v>36</v>
      </c>
      <c r="I2058" s="5" t="s">
        <v>35</v>
      </c>
      <c r="J2058" s="6">
        <v>2.0</v>
      </c>
      <c r="K2058" s="6" t="s">
        <v>37</v>
      </c>
      <c r="L2058" s="6">
        <v>750.0</v>
      </c>
      <c r="M2058" s="26" t="s">
        <v>114</v>
      </c>
      <c r="N2058" s="26" t="s">
        <v>106</v>
      </c>
      <c r="O2058" s="6" t="s">
        <v>40</v>
      </c>
      <c r="P2058" s="5" t="s">
        <v>41</v>
      </c>
      <c r="Q2058" s="5"/>
      <c r="R2058" s="6" t="s">
        <v>42</v>
      </c>
      <c r="S2058" s="5" t="s">
        <v>266</v>
      </c>
      <c r="T2058" s="5" t="s">
        <v>90</v>
      </c>
      <c r="U2058" s="5" t="s">
        <v>44</v>
      </c>
      <c r="V2058" s="5" t="s">
        <v>44</v>
      </c>
      <c r="W2058" s="5" t="s">
        <v>35</v>
      </c>
      <c r="X2058" s="8" t="s">
        <v>248</v>
      </c>
      <c r="Y2058" s="5" t="s">
        <v>46</v>
      </c>
      <c r="Z2058" s="5" t="s">
        <v>47</v>
      </c>
      <c r="AA2058" s="5" t="s">
        <v>48</v>
      </c>
      <c r="AB2058" s="5" t="s">
        <v>10068</v>
      </c>
      <c r="AC2058" s="6" t="s">
        <v>938</v>
      </c>
      <c r="AD2058" s="6">
        <v>7048.0</v>
      </c>
    </row>
    <row r="2059" ht="56.25" customHeight="1">
      <c r="A2059" s="5" t="s">
        <v>10070</v>
      </c>
      <c r="B2059" s="6" t="str">
        <f>IMAGE("https://storage.googleapis.com/acdb/housewares/FtrPinball_Remake_0_0.png")</f>
        <v/>
      </c>
      <c r="C2059" s="5" t="s">
        <v>57</v>
      </c>
      <c r="D2059" s="5" t="s">
        <v>34</v>
      </c>
      <c r="E2059" s="5" t="s">
        <v>34</v>
      </c>
      <c r="F2059" s="5" t="s">
        <v>34</v>
      </c>
      <c r="G2059" s="5" t="s">
        <v>36</v>
      </c>
      <c r="H2059" s="5" t="s">
        <v>36</v>
      </c>
      <c r="I2059" s="5" t="s">
        <v>36</v>
      </c>
      <c r="J2059" s="6" t="s">
        <v>34</v>
      </c>
      <c r="K2059" s="6">
        <v>2700.0</v>
      </c>
      <c r="L2059" s="6">
        <v>675.0</v>
      </c>
      <c r="M2059" s="26" t="s">
        <v>57</v>
      </c>
      <c r="N2059" s="26" t="s">
        <v>58</v>
      </c>
      <c r="O2059" s="6" t="s">
        <v>40</v>
      </c>
      <c r="P2059" s="5" t="s">
        <v>59</v>
      </c>
      <c r="Q2059" s="5" t="s">
        <v>122</v>
      </c>
      <c r="R2059" s="6" t="s">
        <v>42</v>
      </c>
      <c r="S2059" s="5" t="s">
        <v>141</v>
      </c>
      <c r="T2059" s="5" t="s">
        <v>62</v>
      </c>
      <c r="U2059" s="5" t="s">
        <v>44</v>
      </c>
      <c r="V2059" s="5" t="s">
        <v>44</v>
      </c>
      <c r="W2059" s="5" t="s">
        <v>35</v>
      </c>
      <c r="X2059" s="8" t="s">
        <v>356</v>
      </c>
      <c r="Y2059" s="5" t="s">
        <v>46</v>
      </c>
      <c r="Z2059" s="5" t="s">
        <v>47</v>
      </c>
      <c r="AA2059" s="5" t="s">
        <v>64</v>
      </c>
      <c r="AB2059" s="5" t="s">
        <v>10073</v>
      </c>
      <c r="AC2059" s="6" t="s">
        <v>50</v>
      </c>
      <c r="AD2059" s="6">
        <v>1087.0</v>
      </c>
    </row>
    <row r="2060" ht="56.25" customHeight="1">
      <c r="A2060" s="5" t="s">
        <v>10070</v>
      </c>
      <c r="B2060" s="6" t="str">
        <f>IMAGE("https://storage.googleapis.com/acdb/housewares/FtrPinball_Remake_1_0.png")</f>
        <v/>
      </c>
      <c r="C2060" s="5" t="s">
        <v>52</v>
      </c>
      <c r="D2060" s="5" t="s">
        <v>34</v>
      </c>
      <c r="E2060" s="5" t="s">
        <v>34</v>
      </c>
      <c r="F2060" s="5" t="s">
        <v>34</v>
      </c>
      <c r="G2060" s="5" t="s">
        <v>36</v>
      </c>
      <c r="H2060" s="5" t="s">
        <v>36</v>
      </c>
      <c r="I2060" s="5" t="s">
        <v>36</v>
      </c>
      <c r="J2060" s="6" t="s">
        <v>34</v>
      </c>
      <c r="K2060" s="6">
        <v>2700.0</v>
      </c>
      <c r="L2060" s="6">
        <v>675.0</v>
      </c>
      <c r="M2060" s="26" t="s">
        <v>52</v>
      </c>
      <c r="N2060" s="26" t="s">
        <v>58</v>
      </c>
      <c r="O2060" s="6" t="s">
        <v>40</v>
      </c>
      <c r="P2060" s="5" t="s">
        <v>59</v>
      </c>
      <c r="Q2060" s="5" t="s">
        <v>122</v>
      </c>
      <c r="R2060" s="6" t="s">
        <v>42</v>
      </c>
      <c r="S2060" s="5" t="s">
        <v>141</v>
      </c>
      <c r="T2060" s="5" t="s">
        <v>62</v>
      </c>
      <c r="U2060" s="5" t="s">
        <v>44</v>
      </c>
      <c r="V2060" s="5" t="s">
        <v>44</v>
      </c>
      <c r="W2060" s="5" t="s">
        <v>35</v>
      </c>
      <c r="X2060" s="8" t="s">
        <v>356</v>
      </c>
      <c r="Y2060" s="5" t="s">
        <v>46</v>
      </c>
      <c r="Z2060" s="5" t="s">
        <v>47</v>
      </c>
      <c r="AA2060" s="5" t="s">
        <v>64</v>
      </c>
      <c r="AB2060" s="5" t="s">
        <v>10077</v>
      </c>
      <c r="AC2060" s="6" t="s">
        <v>56</v>
      </c>
      <c r="AD2060" s="6">
        <v>1087.0</v>
      </c>
    </row>
    <row r="2061" ht="56.25" customHeight="1">
      <c r="A2061" s="5" t="s">
        <v>10070</v>
      </c>
      <c r="B2061" s="6" t="str">
        <f>IMAGE("https://storage.googleapis.com/acdb/housewares/FtrPinball_Remake_2_0.png")</f>
        <v/>
      </c>
      <c r="C2061" s="5" t="s">
        <v>68</v>
      </c>
      <c r="D2061" s="5" t="s">
        <v>34</v>
      </c>
      <c r="E2061" s="5" t="s">
        <v>34</v>
      </c>
      <c r="F2061" s="5" t="s">
        <v>34</v>
      </c>
      <c r="G2061" s="5" t="s">
        <v>36</v>
      </c>
      <c r="H2061" s="5" t="s">
        <v>36</v>
      </c>
      <c r="I2061" s="5" t="s">
        <v>36</v>
      </c>
      <c r="J2061" s="6" t="s">
        <v>34</v>
      </c>
      <c r="K2061" s="6">
        <v>2700.0</v>
      </c>
      <c r="L2061" s="6">
        <v>675.0</v>
      </c>
      <c r="M2061" s="26" t="s">
        <v>106</v>
      </c>
      <c r="N2061" s="26" t="s">
        <v>58</v>
      </c>
      <c r="O2061" s="6" t="s">
        <v>40</v>
      </c>
      <c r="P2061" s="5" t="s">
        <v>59</v>
      </c>
      <c r="Q2061" s="5" t="s">
        <v>122</v>
      </c>
      <c r="R2061" s="6" t="s">
        <v>42</v>
      </c>
      <c r="S2061" s="5" t="s">
        <v>141</v>
      </c>
      <c r="T2061" s="5" t="s">
        <v>62</v>
      </c>
      <c r="U2061" s="5" t="s">
        <v>44</v>
      </c>
      <c r="V2061" s="5" t="s">
        <v>44</v>
      </c>
      <c r="W2061" s="5" t="s">
        <v>35</v>
      </c>
      <c r="X2061" s="8" t="s">
        <v>356</v>
      </c>
      <c r="Y2061" s="5" t="s">
        <v>46</v>
      </c>
      <c r="Z2061" s="5" t="s">
        <v>47</v>
      </c>
      <c r="AA2061" s="5" t="s">
        <v>64</v>
      </c>
      <c r="AB2061" s="5" t="s">
        <v>10082</v>
      </c>
      <c r="AC2061" s="6" t="s">
        <v>67</v>
      </c>
      <c r="AD2061" s="6">
        <v>1087.0</v>
      </c>
    </row>
    <row r="2062" ht="56.25" customHeight="1">
      <c r="A2062" s="5" t="s">
        <v>10070</v>
      </c>
      <c r="B2062" s="6" t="str">
        <f>IMAGE("https://storage.googleapis.com/acdb/housewares/FtrPinball_Remake_3_0.png")</f>
        <v/>
      </c>
      <c r="C2062" s="5" t="s">
        <v>54</v>
      </c>
      <c r="D2062" s="5" t="s">
        <v>34</v>
      </c>
      <c r="E2062" s="5" t="s">
        <v>34</v>
      </c>
      <c r="F2062" s="5" t="s">
        <v>34</v>
      </c>
      <c r="G2062" s="5" t="s">
        <v>36</v>
      </c>
      <c r="H2062" s="5" t="s">
        <v>36</v>
      </c>
      <c r="I2062" s="5" t="s">
        <v>36</v>
      </c>
      <c r="J2062" s="6" t="s">
        <v>34</v>
      </c>
      <c r="K2062" s="6">
        <v>2700.0</v>
      </c>
      <c r="L2062" s="6">
        <v>675.0</v>
      </c>
      <c r="M2062" s="26" t="s">
        <v>54</v>
      </c>
      <c r="N2062" s="26" t="s">
        <v>58</v>
      </c>
      <c r="O2062" s="6" t="s">
        <v>40</v>
      </c>
      <c r="P2062" s="5" t="s">
        <v>59</v>
      </c>
      <c r="Q2062" s="5" t="s">
        <v>122</v>
      </c>
      <c r="R2062" s="6" t="s">
        <v>42</v>
      </c>
      <c r="S2062" s="5" t="s">
        <v>141</v>
      </c>
      <c r="T2062" s="5" t="s">
        <v>62</v>
      </c>
      <c r="U2062" s="5" t="s">
        <v>44</v>
      </c>
      <c r="V2062" s="5" t="s">
        <v>44</v>
      </c>
      <c r="W2062" s="5" t="s">
        <v>35</v>
      </c>
      <c r="X2062" s="8" t="s">
        <v>356</v>
      </c>
      <c r="Y2062" s="5" t="s">
        <v>46</v>
      </c>
      <c r="Z2062" s="5" t="s">
        <v>47</v>
      </c>
      <c r="AA2062" s="5" t="s">
        <v>64</v>
      </c>
      <c r="AB2062" s="5" t="s">
        <v>10086</v>
      </c>
      <c r="AC2062" s="6" t="s">
        <v>71</v>
      </c>
      <c r="AD2062" s="6">
        <v>1087.0</v>
      </c>
    </row>
    <row r="2063" ht="56.25" customHeight="1">
      <c r="A2063" s="5" t="s">
        <v>10070</v>
      </c>
      <c r="B2063" s="6" t="str">
        <f>IMAGE("https://storage.googleapis.com/acdb/housewares/FtrPinball_Remake_4_0.png")</f>
        <v/>
      </c>
      <c r="C2063" s="5" t="s">
        <v>39</v>
      </c>
      <c r="D2063" s="5" t="s">
        <v>34</v>
      </c>
      <c r="E2063" s="5" t="s">
        <v>34</v>
      </c>
      <c r="F2063" s="5" t="s">
        <v>34</v>
      </c>
      <c r="G2063" s="5" t="s">
        <v>36</v>
      </c>
      <c r="H2063" s="5" t="s">
        <v>36</v>
      </c>
      <c r="I2063" s="5" t="s">
        <v>36</v>
      </c>
      <c r="J2063" s="6" t="s">
        <v>34</v>
      </c>
      <c r="K2063" s="6">
        <v>2700.0</v>
      </c>
      <c r="L2063" s="6">
        <v>675.0</v>
      </c>
      <c r="M2063" s="26" t="s">
        <v>39</v>
      </c>
      <c r="N2063" s="26" t="s">
        <v>58</v>
      </c>
      <c r="O2063" s="6" t="s">
        <v>40</v>
      </c>
      <c r="P2063" s="5" t="s">
        <v>59</v>
      </c>
      <c r="Q2063" s="5" t="s">
        <v>122</v>
      </c>
      <c r="R2063" s="6" t="s">
        <v>42</v>
      </c>
      <c r="S2063" s="5" t="s">
        <v>141</v>
      </c>
      <c r="T2063" s="5" t="s">
        <v>62</v>
      </c>
      <c r="U2063" s="5" t="s">
        <v>44</v>
      </c>
      <c r="V2063" s="5" t="s">
        <v>44</v>
      </c>
      <c r="W2063" s="5" t="s">
        <v>35</v>
      </c>
      <c r="X2063" s="8" t="s">
        <v>356</v>
      </c>
      <c r="Y2063" s="5" t="s">
        <v>46</v>
      </c>
      <c r="Z2063" s="5" t="s">
        <v>47</v>
      </c>
      <c r="AA2063" s="5" t="s">
        <v>64</v>
      </c>
      <c r="AB2063" s="5" t="s">
        <v>10090</v>
      </c>
      <c r="AC2063" s="6" t="s">
        <v>75</v>
      </c>
      <c r="AD2063" s="6">
        <v>1087.0</v>
      </c>
    </row>
    <row r="2064" ht="56.25" customHeight="1">
      <c r="A2064" s="5" t="s">
        <v>10091</v>
      </c>
      <c r="B2064" s="6" t="str">
        <f>IMAGE("https://storage.googleapis.com/acdb/housewares/FtrZodiacPisces.png")</f>
        <v/>
      </c>
      <c r="C2064" s="5" t="s">
        <v>34</v>
      </c>
      <c r="D2064" s="5" t="s">
        <v>34</v>
      </c>
      <c r="E2064" s="5" t="s">
        <v>34</v>
      </c>
      <c r="F2064" s="5" t="s">
        <v>34</v>
      </c>
      <c r="G2064" s="5" t="s">
        <v>35</v>
      </c>
      <c r="H2064" s="5" t="s">
        <v>36</v>
      </c>
      <c r="I2064" s="5" t="s">
        <v>36</v>
      </c>
      <c r="J2064" s="6" t="s">
        <v>34</v>
      </c>
      <c r="K2064" s="6" t="s">
        <v>37</v>
      </c>
      <c r="L2064" s="6">
        <v>22050.0</v>
      </c>
      <c r="M2064" s="5" t="s">
        <v>114</v>
      </c>
      <c r="N2064" s="5" t="s">
        <v>57</v>
      </c>
      <c r="O2064" s="6" t="s">
        <v>40</v>
      </c>
      <c r="P2064" s="5" t="s">
        <v>41</v>
      </c>
      <c r="Q2064" s="5"/>
      <c r="R2064" s="6" t="s">
        <v>42</v>
      </c>
      <c r="S2064" s="5" t="s">
        <v>116</v>
      </c>
      <c r="T2064" s="5" t="s">
        <v>44</v>
      </c>
      <c r="U2064" s="5" t="s">
        <v>349</v>
      </c>
      <c r="V2064" s="5" t="s">
        <v>44</v>
      </c>
      <c r="W2064" s="5" t="s">
        <v>35</v>
      </c>
      <c r="X2064" s="8" t="s">
        <v>467</v>
      </c>
      <c r="Y2064" s="5" t="s">
        <v>46</v>
      </c>
      <c r="Z2064" s="5" t="s">
        <v>502</v>
      </c>
      <c r="AA2064" s="5" t="s">
        <v>48</v>
      </c>
      <c r="AB2064" s="5" t="s">
        <v>10094</v>
      </c>
      <c r="AC2064" s="6" t="s">
        <v>34</v>
      </c>
      <c r="AD2064" s="6">
        <v>5963.0</v>
      </c>
    </row>
    <row r="2065" ht="56.25" customHeight="1">
      <c r="A2065" s="5" t="s">
        <v>10096</v>
      </c>
      <c r="B2065" s="6" t="str">
        <f>IMAGE("https://storage.googleapis.com/acdb/housewares/FtrWashstandBowl_Remake_0_0.png")</f>
        <v/>
      </c>
      <c r="C2065" s="5" t="s">
        <v>32</v>
      </c>
      <c r="D2065" s="5" t="s">
        <v>373</v>
      </c>
      <c r="E2065" s="5" t="s">
        <v>34</v>
      </c>
      <c r="F2065" s="5" t="s">
        <v>34</v>
      </c>
      <c r="G2065" s="5" t="s">
        <v>35</v>
      </c>
      <c r="H2065" s="5" t="s">
        <v>35</v>
      </c>
      <c r="I2065" s="5" t="s">
        <v>36</v>
      </c>
      <c r="J2065" s="6">
        <v>4.0</v>
      </c>
      <c r="K2065" s="6" t="s">
        <v>37</v>
      </c>
      <c r="L2065" s="6">
        <v>2270.0</v>
      </c>
      <c r="M2065" s="26" t="s">
        <v>114</v>
      </c>
      <c r="N2065" s="26" t="s">
        <v>57</v>
      </c>
      <c r="O2065" s="6" t="s">
        <v>40</v>
      </c>
      <c r="P2065" s="5" t="s">
        <v>41</v>
      </c>
      <c r="Q2065" s="5"/>
      <c r="R2065" s="6" t="s">
        <v>42</v>
      </c>
      <c r="S2065" s="5" t="s">
        <v>288</v>
      </c>
      <c r="T2065" s="5" t="s">
        <v>44</v>
      </c>
      <c r="U2065" s="5" t="s">
        <v>44</v>
      </c>
      <c r="V2065" s="5" t="s">
        <v>44</v>
      </c>
      <c r="W2065" s="5" t="s">
        <v>35</v>
      </c>
      <c r="X2065" s="8" t="s">
        <v>289</v>
      </c>
      <c r="Y2065" s="5" t="s">
        <v>46</v>
      </c>
      <c r="Z2065" s="5" t="s">
        <v>47</v>
      </c>
      <c r="AA2065" s="5" t="s">
        <v>48</v>
      </c>
      <c r="AB2065" s="5" t="s">
        <v>10098</v>
      </c>
      <c r="AC2065" s="6" t="s">
        <v>50</v>
      </c>
      <c r="AD2065" s="6">
        <v>3683.0</v>
      </c>
    </row>
    <row r="2066" ht="56.25" customHeight="1">
      <c r="A2066" s="5" t="s">
        <v>10096</v>
      </c>
      <c r="B2066" s="6" t="str">
        <f>IMAGE("https://storage.googleapis.com/acdb/housewares/FtrWashstandBowl_Remake_1_0.png")</f>
        <v/>
      </c>
      <c r="C2066" s="5" t="s">
        <v>1551</v>
      </c>
      <c r="D2066" s="5" t="s">
        <v>373</v>
      </c>
      <c r="E2066" s="5" t="s">
        <v>34</v>
      </c>
      <c r="F2066" s="5" t="s">
        <v>34</v>
      </c>
      <c r="G2066" s="5" t="s">
        <v>35</v>
      </c>
      <c r="H2066" s="5" t="s">
        <v>35</v>
      </c>
      <c r="I2066" s="5" t="s">
        <v>36</v>
      </c>
      <c r="J2066" s="6">
        <v>4.0</v>
      </c>
      <c r="K2066" s="6" t="s">
        <v>37</v>
      </c>
      <c r="L2066" s="6">
        <v>2270.0</v>
      </c>
      <c r="M2066" s="26" t="s">
        <v>142</v>
      </c>
      <c r="N2066" s="26" t="s">
        <v>57</v>
      </c>
      <c r="O2066" s="6" t="s">
        <v>40</v>
      </c>
      <c r="P2066" s="5" t="s">
        <v>41</v>
      </c>
      <c r="Q2066" s="5"/>
      <c r="R2066" s="6" t="s">
        <v>42</v>
      </c>
      <c r="S2066" s="5" t="s">
        <v>288</v>
      </c>
      <c r="T2066" s="5" t="s">
        <v>44</v>
      </c>
      <c r="U2066" s="5" t="s">
        <v>44</v>
      </c>
      <c r="V2066" s="5" t="s">
        <v>44</v>
      </c>
      <c r="W2066" s="5" t="s">
        <v>35</v>
      </c>
      <c r="X2066" s="8" t="s">
        <v>289</v>
      </c>
      <c r="Y2066" s="5" t="s">
        <v>46</v>
      </c>
      <c r="Z2066" s="5" t="s">
        <v>47</v>
      </c>
      <c r="AA2066" s="5" t="s">
        <v>48</v>
      </c>
      <c r="AB2066" s="5" t="s">
        <v>10102</v>
      </c>
      <c r="AC2066" s="6" t="s">
        <v>56</v>
      </c>
      <c r="AD2066" s="6">
        <v>3683.0</v>
      </c>
    </row>
    <row r="2067" ht="56.25" customHeight="1">
      <c r="A2067" s="5" t="s">
        <v>10096</v>
      </c>
      <c r="B2067" s="6" t="str">
        <f>IMAGE("https://storage.googleapis.com/acdb/housewares/FtrWashstandBowl_Remake_2_0.png")</f>
        <v/>
      </c>
      <c r="C2067" s="5" t="s">
        <v>1132</v>
      </c>
      <c r="D2067" s="5" t="s">
        <v>373</v>
      </c>
      <c r="E2067" s="5" t="s">
        <v>34</v>
      </c>
      <c r="F2067" s="5" t="s">
        <v>34</v>
      </c>
      <c r="G2067" s="5" t="s">
        <v>35</v>
      </c>
      <c r="H2067" s="5" t="s">
        <v>35</v>
      </c>
      <c r="I2067" s="5" t="s">
        <v>36</v>
      </c>
      <c r="J2067" s="6">
        <v>4.0</v>
      </c>
      <c r="K2067" s="6" t="s">
        <v>37</v>
      </c>
      <c r="L2067" s="6">
        <v>2270.0</v>
      </c>
      <c r="M2067" s="26" t="s">
        <v>39</v>
      </c>
      <c r="N2067" s="26" t="s">
        <v>96</v>
      </c>
      <c r="O2067" s="6" t="s">
        <v>40</v>
      </c>
      <c r="P2067" s="5" t="s">
        <v>41</v>
      </c>
      <c r="Q2067" s="5"/>
      <c r="R2067" s="6" t="s">
        <v>42</v>
      </c>
      <c r="S2067" s="5" t="s">
        <v>288</v>
      </c>
      <c r="T2067" s="5" t="s">
        <v>44</v>
      </c>
      <c r="U2067" s="5" t="s">
        <v>44</v>
      </c>
      <c r="V2067" s="5" t="s">
        <v>44</v>
      </c>
      <c r="W2067" s="5" t="s">
        <v>35</v>
      </c>
      <c r="X2067" s="8" t="s">
        <v>289</v>
      </c>
      <c r="Y2067" s="5" t="s">
        <v>46</v>
      </c>
      <c r="Z2067" s="5" t="s">
        <v>47</v>
      </c>
      <c r="AA2067" s="5" t="s">
        <v>48</v>
      </c>
      <c r="AB2067" s="5" t="s">
        <v>10106</v>
      </c>
      <c r="AC2067" s="6" t="s">
        <v>67</v>
      </c>
      <c r="AD2067" s="6">
        <v>3683.0</v>
      </c>
    </row>
    <row r="2068" ht="56.25" customHeight="1">
      <c r="A2068" s="5" t="s">
        <v>10096</v>
      </c>
      <c r="B2068" s="6" t="str">
        <f>IMAGE("https://storage.googleapis.com/acdb/housewares/FtrWashstandBowl_Remake_3_0.png")</f>
        <v/>
      </c>
      <c r="C2068" s="5" t="s">
        <v>10109</v>
      </c>
      <c r="D2068" s="5" t="s">
        <v>373</v>
      </c>
      <c r="E2068" s="5" t="s">
        <v>34</v>
      </c>
      <c r="F2068" s="5" t="s">
        <v>34</v>
      </c>
      <c r="G2068" s="5" t="s">
        <v>35</v>
      </c>
      <c r="H2068" s="5" t="s">
        <v>35</v>
      </c>
      <c r="I2068" s="5" t="s">
        <v>36</v>
      </c>
      <c r="J2068" s="6">
        <v>4.0</v>
      </c>
      <c r="K2068" s="6" t="s">
        <v>37</v>
      </c>
      <c r="L2068" s="6">
        <v>2270.0</v>
      </c>
      <c r="M2068" s="26" t="s">
        <v>38</v>
      </c>
      <c r="N2068" s="26" t="s">
        <v>57</v>
      </c>
      <c r="O2068" s="6" t="s">
        <v>40</v>
      </c>
      <c r="P2068" s="5" t="s">
        <v>41</v>
      </c>
      <c r="Q2068" s="5"/>
      <c r="R2068" s="6" t="s">
        <v>42</v>
      </c>
      <c r="S2068" s="5" t="s">
        <v>288</v>
      </c>
      <c r="T2068" s="5" t="s">
        <v>44</v>
      </c>
      <c r="U2068" s="5" t="s">
        <v>44</v>
      </c>
      <c r="V2068" s="5" t="s">
        <v>44</v>
      </c>
      <c r="W2068" s="5" t="s">
        <v>35</v>
      </c>
      <c r="X2068" s="8" t="s">
        <v>289</v>
      </c>
      <c r="Y2068" s="5" t="s">
        <v>46</v>
      </c>
      <c r="Z2068" s="5" t="s">
        <v>47</v>
      </c>
      <c r="AA2068" s="5" t="s">
        <v>48</v>
      </c>
      <c r="AB2068" s="5" t="s">
        <v>10111</v>
      </c>
      <c r="AC2068" s="6" t="s">
        <v>71</v>
      </c>
      <c r="AD2068" s="6">
        <v>3683.0</v>
      </c>
    </row>
    <row r="2069" ht="56.25" customHeight="1">
      <c r="A2069" s="5" t="s">
        <v>10096</v>
      </c>
      <c r="B2069" s="6" t="str">
        <f>IMAGE("https://storage.googleapis.com/acdb/housewares/FtrWashstandBowl_Remake_4_0.png")</f>
        <v/>
      </c>
      <c r="C2069" s="5" t="s">
        <v>10114</v>
      </c>
      <c r="D2069" s="5" t="s">
        <v>373</v>
      </c>
      <c r="E2069" s="5" t="s">
        <v>34</v>
      </c>
      <c r="F2069" s="5" t="s">
        <v>34</v>
      </c>
      <c r="G2069" s="5" t="s">
        <v>35</v>
      </c>
      <c r="H2069" s="5" t="s">
        <v>35</v>
      </c>
      <c r="I2069" s="5" t="s">
        <v>36</v>
      </c>
      <c r="J2069" s="6">
        <v>4.0</v>
      </c>
      <c r="K2069" s="6" t="s">
        <v>37</v>
      </c>
      <c r="L2069" s="6">
        <v>2270.0</v>
      </c>
      <c r="M2069" s="26" t="s">
        <v>95</v>
      </c>
      <c r="N2069" s="26" t="s">
        <v>38</v>
      </c>
      <c r="O2069" s="6" t="s">
        <v>40</v>
      </c>
      <c r="P2069" s="5" t="s">
        <v>41</v>
      </c>
      <c r="Q2069" s="5"/>
      <c r="R2069" s="6" t="s">
        <v>42</v>
      </c>
      <c r="S2069" s="5" t="s">
        <v>288</v>
      </c>
      <c r="T2069" s="5" t="s">
        <v>44</v>
      </c>
      <c r="U2069" s="5" t="s">
        <v>44</v>
      </c>
      <c r="V2069" s="5" t="s">
        <v>44</v>
      </c>
      <c r="W2069" s="5" t="s">
        <v>35</v>
      </c>
      <c r="X2069" s="8" t="s">
        <v>289</v>
      </c>
      <c r="Y2069" s="5" t="s">
        <v>46</v>
      </c>
      <c r="Z2069" s="5" t="s">
        <v>47</v>
      </c>
      <c r="AA2069" s="5" t="s">
        <v>48</v>
      </c>
      <c r="AB2069" s="5" t="s">
        <v>10115</v>
      </c>
      <c r="AC2069" s="6" t="s">
        <v>75</v>
      </c>
      <c r="AD2069" s="6">
        <v>3683.0</v>
      </c>
    </row>
    <row r="2070" ht="56.25" customHeight="1">
      <c r="A2070" s="5" t="s">
        <v>10096</v>
      </c>
      <c r="B2070" s="6" t="str">
        <f>IMAGE("https://storage.googleapis.com/acdb/housewares/FtrWashstandBowl_Remake_5_0.png")</f>
        <v/>
      </c>
      <c r="C2070" s="5" t="s">
        <v>10118</v>
      </c>
      <c r="D2070" s="5" t="s">
        <v>373</v>
      </c>
      <c r="E2070" s="5" t="s">
        <v>34</v>
      </c>
      <c r="F2070" s="5" t="s">
        <v>34</v>
      </c>
      <c r="G2070" s="5" t="s">
        <v>35</v>
      </c>
      <c r="H2070" s="5" t="s">
        <v>35</v>
      </c>
      <c r="I2070" s="5" t="s">
        <v>36</v>
      </c>
      <c r="J2070" s="6">
        <v>4.0</v>
      </c>
      <c r="K2070" s="6" t="s">
        <v>37</v>
      </c>
      <c r="L2070" s="6">
        <v>2270.0</v>
      </c>
      <c r="M2070" s="26" t="s">
        <v>54</v>
      </c>
      <c r="N2070" s="26" t="s">
        <v>68</v>
      </c>
      <c r="O2070" s="6" t="s">
        <v>40</v>
      </c>
      <c r="P2070" s="5" t="s">
        <v>41</v>
      </c>
      <c r="Q2070" s="5"/>
      <c r="R2070" s="6" t="s">
        <v>42</v>
      </c>
      <c r="S2070" s="5" t="s">
        <v>288</v>
      </c>
      <c r="T2070" s="5" t="s">
        <v>44</v>
      </c>
      <c r="U2070" s="5" t="s">
        <v>44</v>
      </c>
      <c r="V2070" s="5" t="s">
        <v>44</v>
      </c>
      <c r="W2070" s="5" t="s">
        <v>35</v>
      </c>
      <c r="X2070" s="8" t="s">
        <v>289</v>
      </c>
      <c r="Y2070" s="5" t="s">
        <v>46</v>
      </c>
      <c r="Z2070" s="5" t="s">
        <v>47</v>
      </c>
      <c r="AA2070" s="5" t="s">
        <v>48</v>
      </c>
      <c r="AB2070" s="5" t="s">
        <v>10120</v>
      </c>
      <c r="AC2070" s="6" t="s">
        <v>79</v>
      </c>
      <c r="AD2070" s="6">
        <v>3683.0</v>
      </c>
    </row>
    <row r="2071" ht="56.25" customHeight="1">
      <c r="A2071" s="5" t="s">
        <v>10121</v>
      </c>
      <c r="B2071" s="6" t="str">
        <f>IMAGE("https://storage.googleapis.com/acdb/housewares/FtrSignWood_Remake_0_0.png")</f>
        <v/>
      </c>
      <c r="C2071" s="5" t="s">
        <v>32</v>
      </c>
      <c r="D2071" s="5" t="s">
        <v>10124</v>
      </c>
      <c r="E2071" s="5" t="s">
        <v>10125</v>
      </c>
      <c r="F2071" s="5" t="s">
        <v>10126</v>
      </c>
      <c r="G2071" s="5" t="s">
        <v>35</v>
      </c>
      <c r="H2071" s="5" t="s">
        <v>35</v>
      </c>
      <c r="I2071" s="5" t="s">
        <v>35</v>
      </c>
      <c r="J2071" s="6">
        <v>2.0</v>
      </c>
      <c r="K2071" s="6" t="s">
        <v>37</v>
      </c>
      <c r="L2071" s="6">
        <v>720.0</v>
      </c>
      <c r="M2071" s="26" t="s">
        <v>38</v>
      </c>
      <c r="N2071" s="26" t="s">
        <v>57</v>
      </c>
      <c r="O2071" s="6" t="s">
        <v>40</v>
      </c>
      <c r="P2071" s="5" t="s">
        <v>41</v>
      </c>
      <c r="Q2071" s="5"/>
      <c r="R2071" s="6" t="s">
        <v>42</v>
      </c>
      <c r="S2071" s="5" t="s">
        <v>172</v>
      </c>
      <c r="T2071" s="5" t="s">
        <v>44</v>
      </c>
      <c r="U2071" s="5" t="s">
        <v>44</v>
      </c>
      <c r="V2071" s="5" t="s">
        <v>44</v>
      </c>
      <c r="W2071" s="5" t="s">
        <v>36</v>
      </c>
      <c r="X2071" s="8" t="s">
        <v>173</v>
      </c>
      <c r="Y2071" s="5" t="s">
        <v>46</v>
      </c>
      <c r="Z2071" s="5" t="s">
        <v>47</v>
      </c>
      <c r="AA2071" s="5" t="s">
        <v>48</v>
      </c>
      <c r="AB2071" s="5" t="s">
        <v>10128</v>
      </c>
      <c r="AC2071" s="6" t="s">
        <v>50</v>
      </c>
      <c r="AD2071" s="6">
        <v>3692.0</v>
      </c>
    </row>
    <row r="2072" ht="56.25" customHeight="1">
      <c r="A2072" s="5" t="s">
        <v>10121</v>
      </c>
      <c r="B2072" s="6" t="str">
        <f>IMAGE("https://storage.googleapis.com/acdb/housewares/FtrSignWood_Remake_0_1.png")</f>
        <v/>
      </c>
      <c r="C2072" s="5" t="s">
        <v>32</v>
      </c>
      <c r="D2072" s="5" t="s">
        <v>10124</v>
      </c>
      <c r="E2072" s="5" t="s">
        <v>10131</v>
      </c>
      <c r="F2072" s="5" t="s">
        <v>10126</v>
      </c>
      <c r="G2072" s="5" t="s">
        <v>35</v>
      </c>
      <c r="H2072" s="5" t="s">
        <v>35</v>
      </c>
      <c r="I2072" s="5" t="s">
        <v>35</v>
      </c>
      <c r="J2072" s="6">
        <v>2.0</v>
      </c>
      <c r="K2072" s="6" t="s">
        <v>37</v>
      </c>
      <c r="L2072" s="6">
        <v>720.0</v>
      </c>
      <c r="M2072" s="26" t="s">
        <v>38</v>
      </c>
      <c r="N2072" s="26" t="s">
        <v>39</v>
      </c>
      <c r="O2072" s="6" t="s">
        <v>40</v>
      </c>
      <c r="P2072" s="5" t="s">
        <v>41</v>
      </c>
      <c r="Q2072" s="5"/>
      <c r="R2072" s="6" t="s">
        <v>42</v>
      </c>
      <c r="S2072" s="5" t="s">
        <v>172</v>
      </c>
      <c r="T2072" s="5" t="s">
        <v>44</v>
      </c>
      <c r="U2072" s="5" t="s">
        <v>44</v>
      </c>
      <c r="V2072" s="5" t="s">
        <v>44</v>
      </c>
      <c r="W2072" s="5" t="s">
        <v>36</v>
      </c>
      <c r="X2072" s="8" t="s">
        <v>173</v>
      </c>
      <c r="Y2072" s="5" t="s">
        <v>46</v>
      </c>
      <c r="Z2072" s="5" t="s">
        <v>47</v>
      </c>
      <c r="AA2072" s="5" t="s">
        <v>48</v>
      </c>
      <c r="AB2072" s="5" t="s">
        <v>10134</v>
      </c>
      <c r="AC2072" s="6" t="s">
        <v>217</v>
      </c>
      <c r="AD2072" s="6">
        <v>3692.0</v>
      </c>
    </row>
    <row r="2073" ht="56.25" customHeight="1">
      <c r="A2073" s="5" t="s">
        <v>10121</v>
      </c>
      <c r="B2073" s="6" t="str">
        <f>IMAGE("https://storage.googleapis.com/acdb/housewares/FtrSignWood_Remake_0_2.png")</f>
        <v/>
      </c>
      <c r="C2073" s="5" t="s">
        <v>32</v>
      </c>
      <c r="D2073" s="5" t="s">
        <v>10124</v>
      </c>
      <c r="E2073" s="5" t="s">
        <v>10136</v>
      </c>
      <c r="F2073" s="5" t="s">
        <v>10126</v>
      </c>
      <c r="G2073" s="5" t="s">
        <v>35</v>
      </c>
      <c r="H2073" s="5" t="s">
        <v>35</v>
      </c>
      <c r="I2073" s="5" t="s">
        <v>35</v>
      </c>
      <c r="J2073" s="6">
        <v>2.0</v>
      </c>
      <c r="K2073" s="6" t="s">
        <v>37</v>
      </c>
      <c r="L2073" s="6">
        <v>720.0</v>
      </c>
      <c r="M2073" s="26" t="s">
        <v>38</v>
      </c>
      <c r="N2073" s="26" t="s">
        <v>68</v>
      </c>
      <c r="O2073" s="6" t="s">
        <v>40</v>
      </c>
      <c r="P2073" s="5" t="s">
        <v>41</v>
      </c>
      <c r="Q2073" s="5"/>
      <c r="R2073" s="6" t="s">
        <v>42</v>
      </c>
      <c r="S2073" s="5" t="s">
        <v>172</v>
      </c>
      <c r="T2073" s="5" t="s">
        <v>44</v>
      </c>
      <c r="U2073" s="5" t="s">
        <v>44</v>
      </c>
      <c r="V2073" s="5" t="s">
        <v>44</v>
      </c>
      <c r="W2073" s="5" t="s">
        <v>36</v>
      </c>
      <c r="X2073" s="8" t="s">
        <v>173</v>
      </c>
      <c r="Y2073" s="5" t="s">
        <v>46</v>
      </c>
      <c r="Z2073" s="5" t="s">
        <v>47</v>
      </c>
      <c r="AA2073" s="5" t="s">
        <v>48</v>
      </c>
      <c r="AB2073" s="5" t="s">
        <v>10140</v>
      </c>
      <c r="AC2073" s="6" t="s">
        <v>347</v>
      </c>
      <c r="AD2073" s="6">
        <v>3692.0</v>
      </c>
    </row>
    <row r="2074" ht="56.25" customHeight="1">
      <c r="A2074" s="5" t="s">
        <v>10121</v>
      </c>
      <c r="B2074" s="6" t="str">
        <f>IMAGE("https://storage.googleapis.com/acdb/housewares/FtrSignWood_Remake_0_3.png")</f>
        <v/>
      </c>
      <c r="C2074" s="5" t="s">
        <v>32</v>
      </c>
      <c r="D2074" s="5" t="s">
        <v>10124</v>
      </c>
      <c r="E2074" s="5" t="s">
        <v>1783</v>
      </c>
      <c r="F2074" s="5" t="s">
        <v>10126</v>
      </c>
      <c r="G2074" s="5" t="s">
        <v>35</v>
      </c>
      <c r="H2074" s="5" t="s">
        <v>35</v>
      </c>
      <c r="I2074" s="5" t="s">
        <v>35</v>
      </c>
      <c r="J2074" s="6">
        <v>2.0</v>
      </c>
      <c r="K2074" s="6" t="s">
        <v>37</v>
      </c>
      <c r="L2074" s="6">
        <v>720.0</v>
      </c>
      <c r="M2074" s="26" t="s">
        <v>38</v>
      </c>
      <c r="N2074" s="26" t="s">
        <v>114</v>
      </c>
      <c r="O2074" s="6" t="s">
        <v>40</v>
      </c>
      <c r="P2074" s="5" t="s">
        <v>41</v>
      </c>
      <c r="Q2074" s="5"/>
      <c r="R2074" s="6" t="s">
        <v>42</v>
      </c>
      <c r="S2074" s="5" t="s">
        <v>172</v>
      </c>
      <c r="T2074" s="5" t="s">
        <v>44</v>
      </c>
      <c r="U2074" s="5" t="s">
        <v>44</v>
      </c>
      <c r="V2074" s="5" t="s">
        <v>44</v>
      </c>
      <c r="W2074" s="5" t="s">
        <v>36</v>
      </c>
      <c r="X2074" s="8" t="s">
        <v>173</v>
      </c>
      <c r="Y2074" s="5" t="s">
        <v>46</v>
      </c>
      <c r="Z2074" s="5" t="s">
        <v>47</v>
      </c>
      <c r="AA2074" s="5" t="s">
        <v>48</v>
      </c>
      <c r="AB2074" s="5" t="s">
        <v>10147</v>
      </c>
      <c r="AC2074" s="6" t="s">
        <v>354</v>
      </c>
      <c r="AD2074" s="6">
        <v>3692.0</v>
      </c>
    </row>
    <row r="2075" ht="56.25" customHeight="1">
      <c r="A2075" s="5" t="s">
        <v>10121</v>
      </c>
      <c r="B2075" s="6" t="str">
        <f>IMAGE("https://storage.googleapis.com/acdb/housewares/FtrSignWood_Remake_1_0.png")</f>
        <v/>
      </c>
      <c r="C2075" s="5" t="s">
        <v>57</v>
      </c>
      <c r="D2075" s="5" t="s">
        <v>10124</v>
      </c>
      <c r="E2075" s="5" t="s">
        <v>10125</v>
      </c>
      <c r="F2075" s="5" t="s">
        <v>10126</v>
      </c>
      <c r="G2075" s="5" t="s">
        <v>35</v>
      </c>
      <c r="H2075" s="5" t="s">
        <v>35</v>
      </c>
      <c r="I2075" s="5" t="s">
        <v>35</v>
      </c>
      <c r="J2075" s="6">
        <v>2.0</v>
      </c>
      <c r="K2075" s="6" t="s">
        <v>37</v>
      </c>
      <c r="L2075" s="6">
        <v>720.0</v>
      </c>
      <c r="M2075" s="26" t="s">
        <v>57</v>
      </c>
      <c r="N2075" s="26" t="s">
        <v>57</v>
      </c>
      <c r="O2075" s="6" t="s">
        <v>40</v>
      </c>
      <c r="P2075" s="5" t="s">
        <v>41</v>
      </c>
      <c r="Q2075" s="5"/>
      <c r="R2075" s="6" t="s">
        <v>42</v>
      </c>
      <c r="S2075" s="5" t="s">
        <v>172</v>
      </c>
      <c r="T2075" s="5" t="s">
        <v>44</v>
      </c>
      <c r="U2075" s="5" t="s">
        <v>44</v>
      </c>
      <c r="V2075" s="5" t="s">
        <v>44</v>
      </c>
      <c r="W2075" s="5" t="s">
        <v>36</v>
      </c>
      <c r="X2075" s="8" t="s">
        <v>173</v>
      </c>
      <c r="Y2075" s="5" t="s">
        <v>46</v>
      </c>
      <c r="Z2075" s="5" t="s">
        <v>47</v>
      </c>
      <c r="AA2075" s="5" t="s">
        <v>48</v>
      </c>
      <c r="AB2075" s="5" t="s">
        <v>10151</v>
      </c>
      <c r="AC2075" s="6" t="s">
        <v>56</v>
      </c>
      <c r="AD2075" s="6">
        <v>3692.0</v>
      </c>
    </row>
    <row r="2076" ht="56.25" customHeight="1">
      <c r="A2076" s="5" t="s">
        <v>10121</v>
      </c>
      <c r="B2076" s="6" t="str">
        <f>IMAGE("https://storage.googleapis.com/acdb/housewares/FtrSignWood_Remake_1_1.png")</f>
        <v/>
      </c>
      <c r="C2076" s="5" t="s">
        <v>57</v>
      </c>
      <c r="D2076" s="5" t="s">
        <v>10124</v>
      </c>
      <c r="E2076" s="5" t="s">
        <v>10131</v>
      </c>
      <c r="F2076" s="5" t="s">
        <v>10126</v>
      </c>
      <c r="G2076" s="5" t="s">
        <v>35</v>
      </c>
      <c r="H2076" s="5" t="s">
        <v>35</v>
      </c>
      <c r="I2076" s="5" t="s">
        <v>35</v>
      </c>
      <c r="J2076" s="6">
        <v>2.0</v>
      </c>
      <c r="K2076" s="6" t="s">
        <v>37</v>
      </c>
      <c r="L2076" s="6">
        <v>720.0</v>
      </c>
      <c r="M2076" s="26" t="s">
        <v>57</v>
      </c>
      <c r="N2076" s="26" t="s">
        <v>39</v>
      </c>
      <c r="O2076" s="6" t="s">
        <v>40</v>
      </c>
      <c r="P2076" s="5" t="s">
        <v>41</v>
      </c>
      <c r="Q2076" s="5"/>
      <c r="R2076" s="6" t="s">
        <v>42</v>
      </c>
      <c r="S2076" s="5" t="s">
        <v>172</v>
      </c>
      <c r="T2076" s="5" t="s">
        <v>44</v>
      </c>
      <c r="U2076" s="5" t="s">
        <v>44</v>
      </c>
      <c r="V2076" s="5" t="s">
        <v>44</v>
      </c>
      <c r="W2076" s="5" t="s">
        <v>36</v>
      </c>
      <c r="X2076" s="8" t="s">
        <v>173</v>
      </c>
      <c r="Y2076" s="5" t="s">
        <v>46</v>
      </c>
      <c r="Z2076" s="5" t="s">
        <v>47</v>
      </c>
      <c r="AA2076" s="5" t="s">
        <v>48</v>
      </c>
      <c r="AB2076" s="5" t="s">
        <v>10155</v>
      </c>
      <c r="AC2076" s="6" t="s">
        <v>234</v>
      </c>
      <c r="AD2076" s="6">
        <v>3692.0</v>
      </c>
    </row>
    <row r="2077" ht="56.25" customHeight="1">
      <c r="A2077" s="5" t="s">
        <v>10121</v>
      </c>
      <c r="B2077" s="6" t="str">
        <f>IMAGE("https://storage.googleapis.com/acdb/housewares/FtrSignWood_Remake_1_2.png")</f>
        <v/>
      </c>
      <c r="C2077" s="5" t="s">
        <v>57</v>
      </c>
      <c r="D2077" s="5" t="s">
        <v>10124</v>
      </c>
      <c r="E2077" s="5" t="s">
        <v>10136</v>
      </c>
      <c r="F2077" s="5" t="s">
        <v>10126</v>
      </c>
      <c r="G2077" s="5" t="s">
        <v>35</v>
      </c>
      <c r="H2077" s="5" t="s">
        <v>35</v>
      </c>
      <c r="I2077" s="5" t="s">
        <v>35</v>
      </c>
      <c r="J2077" s="6">
        <v>2.0</v>
      </c>
      <c r="K2077" s="6" t="s">
        <v>37</v>
      </c>
      <c r="L2077" s="6">
        <v>720.0</v>
      </c>
      <c r="M2077" s="26" t="s">
        <v>57</v>
      </c>
      <c r="N2077" s="26" t="s">
        <v>68</v>
      </c>
      <c r="O2077" s="6" t="s">
        <v>40</v>
      </c>
      <c r="P2077" s="5" t="s">
        <v>41</v>
      </c>
      <c r="Q2077" s="5"/>
      <c r="R2077" s="6" t="s">
        <v>42</v>
      </c>
      <c r="S2077" s="5" t="s">
        <v>172</v>
      </c>
      <c r="T2077" s="5" t="s">
        <v>44</v>
      </c>
      <c r="U2077" s="5" t="s">
        <v>44</v>
      </c>
      <c r="V2077" s="5" t="s">
        <v>44</v>
      </c>
      <c r="W2077" s="5" t="s">
        <v>36</v>
      </c>
      <c r="X2077" s="8" t="s">
        <v>173</v>
      </c>
      <c r="Y2077" s="5" t="s">
        <v>46</v>
      </c>
      <c r="Z2077" s="5" t="s">
        <v>47</v>
      </c>
      <c r="AA2077" s="5" t="s">
        <v>48</v>
      </c>
      <c r="AB2077" s="5" t="s">
        <v>10159</v>
      </c>
      <c r="AC2077" s="6" t="s">
        <v>370</v>
      </c>
      <c r="AD2077" s="6">
        <v>3692.0</v>
      </c>
    </row>
    <row r="2078" ht="56.25" customHeight="1">
      <c r="A2078" s="5" t="s">
        <v>10121</v>
      </c>
      <c r="B2078" s="6" t="str">
        <f>IMAGE("https://storage.googleapis.com/acdb/housewares/FtrSignWood_Remake_1_3.png")</f>
        <v/>
      </c>
      <c r="C2078" s="5" t="s">
        <v>57</v>
      </c>
      <c r="D2078" s="5" t="s">
        <v>10124</v>
      </c>
      <c r="E2078" s="5" t="s">
        <v>1783</v>
      </c>
      <c r="F2078" s="5" t="s">
        <v>10126</v>
      </c>
      <c r="G2078" s="5" t="s">
        <v>35</v>
      </c>
      <c r="H2078" s="5" t="s">
        <v>35</v>
      </c>
      <c r="I2078" s="5" t="s">
        <v>35</v>
      </c>
      <c r="J2078" s="6">
        <v>2.0</v>
      </c>
      <c r="K2078" s="6" t="s">
        <v>37</v>
      </c>
      <c r="L2078" s="6">
        <v>720.0</v>
      </c>
      <c r="M2078" s="26" t="s">
        <v>57</v>
      </c>
      <c r="N2078" s="26" t="s">
        <v>114</v>
      </c>
      <c r="O2078" s="6" t="s">
        <v>40</v>
      </c>
      <c r="P2078" s="5" t="s">
        <v>41</v>
      </c>
      <c r="Q2078" s="5"/>
      <c r="R2078" s="6" t="s">
        <v>42</v>
      </c>
      <c r="S2078" s="5" t="s">
        <v>172</v>
      </c>
      <c r="T2078" s="5" t="s">
        <v>44</v>
      </c>
      <c r="U2078" s="5" t="s">
        <v>44</v>
      </c>
      <c r="V2078" s="5" t="s">
        <v>44</v>
      </c>
      <c r="W2078" s="5" t="s">
        <v>36</v>
      </c>
      <c r="X2078" s="8" t="s">
        <v>173</v>
      </c>
      <c r="Y2078" s="5" t="s">
        <v>46</v>
      </c>
      <c r="Z2078" s="5" t="s">
        <v>47</v>
      </c>
      <c r="AA2078" s="5" t="s">
        <v>48</v>
      </c>
      <c r="AB2078" s="5" t="s">
        <v>10163</v>
      </c>
      <c r="AC2078" s="6" t="s">
        <v>377</v>
      </c>
      <c r="AD2078" s="6">
        <v>3692.0</v>
      </c>
    </row>
    <row r="2079" ht="56.25" customHeight="1">
      <c r="A2079" s="5" t="s">
        <v>10121</v>
      </c>
      <c r="B2079" s="6" t="str">
        <f>IMAGE("https://storage.googleapis.com/acdb/housewares/FtrSignWood_Remake_2_0.png")</f>
        <v/>
      </c>
      <c r="C2079" s="5" t="s">
        <v>1132</v>
      </c>
      <c r="D2079" s="5" t="s">
        <v>10124</v>
      </c>
      <c r="E2079" s="5" t="s">
        <v>10125</v>
      </c>
      <c r="F2079" s="5" t="s">
        <v>10126</v>
      </c>
      <c r="G2079" s="5" t="s">
        <v>35</v>
      </c>
      <c r="H2079" s="5" t="s">
        <v>35</v>
      </c>
      <c r="I2079" s="5" t="s">
        <v>35</v>
      </c>
      <c r="J2079" s="6">
        <v>2.0</v>
      </c>
      <c r="K2079" s="6" t="s">
        <v>37</v>
      </c>
      <c r="L2079" s="6">
        <v>720.0</v>
      </c>
      <c r="M2079" s="26" t="s">
        <v>39</v>
      </c>
      <c r="N2079" s="26" t="s">
        <v>57</v>
      </c>
      <c r="O2079" s="6" t="s">
        <v>40</v>
      </c>
      <c r="P2079" s="5" t="s">
        <v>41</v>
      </c>
      <c r="Q2079" s="5"/>
      <c r="R2079" s="6" t="s">
        <v>42</v>
      </c>
      <c r="S2079" s="5" t="s">
        <v>172</v>
      </c>
      <c r="T2079" s="5" t="s">
        <v>44</v>
      </c>
      <c r="U2079" s="5" t="s">
        <v>44</v>
      </c>
      <c r="V2079" s="5" t="s">
        <v>44</v>
      </c>
      <c r="W2079" s="5" t="s">
        <v>36</v>
      </c>
      <c r="X2079" s="8" t="s">
        <v>173</v>
      </c>
      <c r="Y2079" s="5" t="s">
        <v>46</v>
      </c>
      <c r="Z2079" s="5" t="s">
        <v>47</v>
      </c>
      <c r="AA2079" s="5" t="s">
        <v>48</v>
      </c>
      <c r="AB2079" s="5" t="s">
        <v>10170</v>
      </c>
      <c r="AC2079" s="6" t="s">
        <v>67</v>
      </c>
      <c r="AD2079" s="6">
        <v>3692.0</v>
      </c>
    </row>
    <row r="2080" ht="56.25" customHeight="1">
      <c r="A2080" s="5" t="s">
        <v>10121</v>
      </c>
      <c r="B2080" s="6" t="str">
        <f>IMAGE("https://storage.googleapis.com/acdb/housewares/FtrSignWood_Remake_2_1.png")</f>
        <v/>
      </c>
      <c r="C2080" s="5" t="s">
        <v>1132</v>
      </c>
      <c r="D2080" s="5" t="s">
        <v>34</v>
      </c>
      <c r="E2080" s="5" t="s">
        <v>10131</v>
      </c>
      <c r="F2080" s="5" t="s">
        <v>10126</v>
      </c>
      <c r="G2080" s="5" t="s">
        <v>35</v>
      </c>
      <c r="H2080" s="5" t="s">
        <v>36</v>
      </c>
      <c r="I2080" s="5" t="s">
        <v>35</v>
      </c>
      <c r="J2080" s="6">
        <v>2.0</v>
      </c>
      <c r="K2080" s="6" t="s">
        <v>37</v>
      </c>
      <c r="L2080" s="6">
        <v>720.0</v>
      </c>
      <c r="M2080" s="26" t="s">
        <v>39</v>
      </c>
      <c r="N2080" s="26" t="s">
        <v>39</v>
      </c>
      <c r="O2080" s="6" t="s">
        <v>40</v>
      </c>
      <c r="P2080" s="5" t="s">
        <v>41</v>
      </c>
      <c r="Q2080" s="5"/>
      <c r="R2080" s="6" t="s">
        <v>42</v>
      </c>
      <c r="S2080" s="5" t="s">
        <v>172</v>
      </c>
      <c r="T2080" s="5" t="s">
        <v>44</v>
      </c>
      <c r="U2080" s="5" t="s">
        <v>44</v>
      </c>
      <c r="V2080" s="5" t="s">
        <v>44</v>
      </c>
      <c r="W2080" s="5" t="s">
        <v>36</v>
      </c>
      <c r="X2080" s="8" t="s">
        <v>173</v>
      </c>
      <c r="Y2080" s="5" t="s">
        <v>46</v>
      </c>
      <c r="Z2080" s="5" t="s">
        <v>47</v>
      </c>
      <c r="AA2080" s="5" t="s">
        <v>48</v>
      </c>
      <c r="AB2080" s="5" t="s">
        <v>10176</v>
      </c>
      <c r="AC2080" s="6" t="s">
        <v>247</v>
      </c>
      <c r="AD2080" s="6">
        <v>3692.0</v>
      </c>
    </row>
    <row r="2081" ht="56.25" customHeight="1">
      <c r="A2081" s="5" t="s">
        <v>10121</v>
      </c>
      <c r="B2081" s="6" t="str">
        <f>IMAGE("https://storage.googleapis.com/acdb/housewares/FtrSignWood_Remake_2_2.png")</f>
        <v/>
      </c>
      <c r="C2081" s="5" t="s">
        <v>1132</v>
      </c>
      <c r="D2081" s="5" t="s">
        <v>34</v>
      </c>
      <c r="E2081" s="5" t="s">
        <v>10136</v>
      </c>
      <c r="F2081" s="5" t="s">
        <v>10126</v>
      </c>
      <c r="G2081" s="5" t="s">
        <v>35</v>
      </c>
      <c r="H2081" s="5" t="s">
        <v>36</v>
      </c>
      <c r="I2081" s="5" t="s">
        <v>35</v>
      </c>
      <c r="J2081" s="6">
        <v>2.0</v>
      </c>
      <c r="K2081" s="6" t="s">
        <v>37</v>
      </c>
      <c r="L2081" s="6">
        <v>720.0</v>
      </c>
      <c r="M2081" s="26" t="s">
        <v>39</v>
      </c>
      <c r="N2081" s="26" t="s">
        <v>68</v>
      </c>
      <c r="O2081" s="6" t="s">
        <v>40</v>
      </c>
      <c r="P2081" s="5" t="s">
        <v>41</v>
      </c>
      <c r="Q2081" s="5"/>
      <c r="R2081" s="6" t="s">
        <v>42</v>
      </c>
      <c r="S2081" s="5" t="s">
        <v>172</v>
      </c>
      <c r="T2081" s="5" t="s">
        <v>44</v>
      </c>
      <c r="U2081" s="5" t="s">
        <v>44</v>
      </c>
      <c r="V2081" s="5" t="s">
        <v>44</v>
      </c>
      <c r="W2081" s="5" t="s">
        <v>36</v>
      </c>
      <c r="X2081" s="8" t="s">
        <v>173</v>
      </c>
      <c r="Y2081" s="5" t="s">
        <v>46</v>
      </c>
      <c r="Z2081" s="5" t="s">
        <v>47</v>
      </c>
      <c r="AA2081" s="5" t="s">
        <v>48</v>
      </c>
      <c r="AB2081" s="5" t="s">
        <v>10180</v>
      </c>
      <c r="AC2081" s="6" t="s">
        <v>390</v>
      </c>
      <c r="AD2081" s="6">
        <v>3692.0</v>
      </c>
    </row>
    <row r="2082" ht="56.25" customHeight="1">
      <c r="A2082" s="5" t="s">
        <v>10121</v>
      </c>
      <c r="B2082" s="6" t="str">
        <f>IMAGE("https://storage.googleapis.com/acdb/housewares/FtrSignWood_Remake_2_3.png")</f>
        <v/>
      </c>
      <c r="C2082" s="5" t="s">
        <v>1132</v>
      </c>
      <c r="D2082" s="5" t="s">
        <v>34</v>
      </c>
      <c r="E2082" s="5" t="s">
        <v>1783</v>
      </c>
      <c r="F2082" s="5" t="s">
        <v>10126</v>
      </c>
      <c r="G2082" s="5" t="s">
        <v>35</v>
      </c>
      <c r="H2082" s="5" t="s">
        <v>36</v>
      </c>
      <c r="I2082" s="5" t="s">
        <v>35</v>
      </c>
      <c r="J2082" s="6">
        <v>2.0</v>
      </c>
      <c r="K2082" s="6" t="s">
        <v>37</v>
      </c>
      <c r="L2082" s="6">
        <v>720.0</v>
      </c>
      <c r="M2082" s="26" t="s">
        <v>39</v>
      </c>
      <c r="N2082" s="26" t="s">
        <v>114</v>
      </c>
      <c r="O2082" s="6" t="s">
        <v>40</v>
      </c>
      <c r="P2082" s="5" t="s">
        <v>41</v>
      </c>
      <c r="Q2082" s="5"/>
      <c r="R2082" s="6" t="s">
        <v>42</v>
      </c>
      <c r="S2082" s="5" t="s">
        <v>172</v>
      </c>
      <c r="T2082" s="5" t="s">
        <v>44</v>
      </c>
      <c r="U2082" s="5" t="s">
        <v>44</v>
      </c>
      <c r="V2082" s="5" t="s">
        <v>44</v>
      </c>
      <c r="W2082" s="5" t="s">
        <v>36</v>
      </c>
      <c r="X2082" s="8" t="s">
        <v>173</v>
      </c>
      <c r="Y2082" s="5" t="s">
        <v>46</v>
      </c>
      <c r="Z2082" s="5" t="s">
        <v>47</v>
      </c>
      <c r="AA2082" s="5" t="s">
        <v>48</v>
      </c>
      <c r="AB2082" s="5" t="s">
        <v>10189</v>
      </c>
      <c r="AC2082" s="6" t="s">
        <v>396</v>
      </c>
      <c r="AD2082" s="6">
        <v>3692.0</v>
      </c>
    </row>
    <row r="2083" ht="56.25" customHeight="1">
      <c r="A2083" s="5" t="s">
        <v>10190</v>
      </c>
      <c r="B2083" s="6" t="str">
        <f>IMAGE("https://storage.googleapis.com/acdb/housewares/FtrGardenpool_Remake_0_0.png")</f>
        <v/>
      </c>
      <c r="C2083" s="5" t="s">
        <v>68</v>
      </c>
      <c r="D2083" s="5" t="s">
        <v>34</v>
      </c>
      <c r="E2083" s="5" t="s">
        <v>34</v>
      </c>
      <c r="F2083" s="5" t="s">
        <v>34</v>
      </c>
      <c r="G2083" s="5" t="s">
        <v>36</v>
      </c>
      <c r="H2083" s="5" t="s">
        <v>36</v>
      </c>
      <c r="I2083" s="5" t="s">
        <v>36</v>
      </c>
      <c r="J2083" s="6" t="s">
        <v>34</v>
      </c>
      <c r="K2083" s="6">
        <v>3100.0</v>
      </c>
      <c r="L2083" s="6">
        <v>775.0</v>
      </c>
      <c r="M2083" s="26" t="s">
        <v>68</v>
      </c>
      <c r="N2083" s="26" t="s">
        <v>114</v>
      </c>
      <c r="O2083" s="6" t="s">
        <v>214</v>
      </c>
      <c r="P2083" s="5" t="s">
        <v>59</v>
      </c>
      <c r="Q2083" s="5" t="s">
        <v>115</v>
      </c>
      <c r="R2083" s="6" t="s">
        <v>42</v>
      </c>
      <c r="S2083" s="5" t="s">
        <v>172</v>
      </c>
      <c r="T2083" s="5" t="s">
        <v>44</v>
      </c>
      <c r="U2083" s="5" t="s">
        <v>44</v>
      </c>
      <c r="V2083" s="5" t="s">
        <v>44</v>
      </c>
      <c r="W2083" s="5" t="s">
        <v>35</v>
      </c>
      <c r="X2083" s="8" t="s">
        <v>1010</v>
      </c>
      <c r="Y2083" s="5" t="s">
        <v>46</v>
      </c>
      <c r="Z2083" s="5" t="s">
        <v>47</v>
      </c>
      <c r="AA2083" s="5" t="s">
        <v>64</v>
      </c>
      <c r="AB2083" s="5" t="s">
        <v>10195</v>
      </c>
      <c r="AC2083" s="6" t="s">
        <v>50</v>
      </c>
      <c r="AD2083" s="6">
        <v>3348.0</v>
      </c>
    </row>
    <row r="2084" ht="56.25" customHeight="1">
      <c r="A2084" s="5" t="s">
        <v>10190</v>
      </c>
      <c r="B2084" s="6" t="str">
        <f>IMAGE("https://storage.googleapis.com/acdb/housewares/FtrGardenpool_Remake_1_0.png")</f>
        <v/>
      </c>
      <c r="C2084" s="5" t="s">
        <v>69</v>
      </c>
      <c r="D2084" s="5" t="s">
        <v>34</v>
      </c>
      <c r="E2084" s="5" t="s">
        <v>34</v>
      </c>
      <c r="F2084" s="5" t="s">
        <v>34</v>
      </c>
      <c r="G2084" s="5" t="s">
        <v>36</v>
      </c>
      <c r="H2084" s="5" t="s">
        <v>36</v>
      </c>
      <c r="I2084" s="5" t="s">
        <v>36</v>
      </c>
      <c r="J2084" s="6" t="s">
        <v>34</v>
      </c>
      <c r="K2084" s="6">
        <v>3100.0</v>
      </c>
      <c r="L2084" s="6">
        <v>775.0</v>
      </c>
      <c r="M2084" s="26" t="s">
        <v>69</v>
      </c>
      <c r="N2084" s="26" t="s">
        <v>106</v>
      </c>
      <c r="O2084" s="6" t="s">
        <v>214</v>
      </c>
      <c r="P2084" s="5" t="s">
        <v>59</v>
      </c>
      <c r="Q2084" s="5" t="s">
        <v>115</v>
      </c>
      <c r="R2084" s="6" t="s">
        <v>42</v>
      </c>
      <c r="S2084" s="5" t="s">
        <v>172</v>
      </c>
      <c r="T2084" s="5" t="s">
        <v>44</v>
      </c>
      <c r="U2084" s="5" t="s">
        <v>44</v>
      </c>
      <c r="V2084" s="5" t="s">
        <v>44</v>
      </c>
      <c r="W2084" s="5" t="s">
        <v>35</v>
      </c>
      <c r="X2084" s="8" t="s">
        <v>1010</v>
      </c>
      <c r="Y2084" s="5" t="s">
        <v>46</v>
      </c>
      <c r="Z2084" s="5" t="s">
        <v>47</v>
      </c>
      <c r="AA2084" s="5" t="s">
        <v>64</v>
      </c>
      <c r="AB2084" s="5" t="s">
        <v>10203</v>
      </c>
      <c r="AC2084" s="6" t="s">
        <v>56</v>
      </c>
      <c r="AD2084" s="6">
        <v>3348.0</v>
      </c>
    </row>
    <row r="2085" ht="56.25" customHeight="1">
      <c r="A2085" s="5" t="s">
        <v>10190</v>
      </c>
      <c r="B2085" s="6" t="str">
        <f>IMAGE("https://storage.googleapis.com/acdb/housewares/FtrGardenpool_Remake_2_0.png")</f>
        <v/>
      </c>
      <c r="C2085" s="5" t="s">
        <v>96</v>
      </c>
      <c r="D2085" s="5" t="s">
        <v>34</v>
      </c>
      <c r="E2085" s="5" t="s">
        <v>34</v>
      </c>
      <c r="F2085" s="5" t="s">
        <v>34</v>
      </c>
      <c r="G2085" s="5" t="s">
        <v>36</v>
      </c>
      <c r="H2085" s="5" t="s">
        <v>36</v>
      </c>
      <c r="I2085" s="5" t="s">
        <v>36</v>
      </c>
      <c r="J2085" s="6" t="s">
        <v>34</v>
      </c>
      <c r="K2085" s="6">
        <v>3100.0</v>
      </c>
      <c r="L2085" s="6">
        <v>775.0</v>
      </c>
      <c r="M2085" s="26" t="s">
        <v>96</v>
      </c>
      <c r="N2085" s="26" t="s">
        <v>52</v>
      </c>
      <c r="O2085" s="6" t="s">
        <v>214</v>
      </c>
      <c r="P2085" s="5" t="s">
        <v>59</v>
      </c>
      <c r="Q2085" s="5" t="s">
        <v>115</v>
      </c>
      <c r="R2085" s="6" t="s">
        <v>42</v>
      </c>
      <c r="S2085" s="5" t="s">
        <v>172</v>
      </c>
      <c r="T2085" s="5" t="s">
        <v>44</v>
      </c>
      <c r="U2085" s="5" t="s">
        <v>44</v>
      </c>
      <c r="V2085" s="5" t="s">
        <v>44</v>
      </c>
      <c r="W2085" s="5" t="s">
        <v>35</v>
      </c>
      <c r="X2085" s="8" t="s">
        <v>1010</v>
      </c>
      <c r="Y2085" s="5" t="s">
        <v>46</v>
      </c>
      <c r="Z2085" s="5" t="s">
        <v>47</v>
      </c>
      <c r="AA2085" s="5" t="s">
        <v>64</v>
      </c>
      <c r="AB2085" s="5" t="s">
        <v>10209</v>
      </c>
      <c r="AC2085" s="6" t="s">
        <v>67</v>
      </c>
      <c r="AD2085" s="6">
        <v>3348.0</v>
      </c>
    </row>
    <row r="2086" ht="56.25" customHeight="1">
      <c r="A2086" s="5" t="s">
        <v>10190</v>
      </c>
      <c r="B2086" s="6" t="str">
        <f>IMAGE("https://storage.googleapis.com/acdb/housewares/FtrGardenpool_Remake_3_0.png")</f>
        <v/>
      </c>
      <c r="C2086" s="5" t="s">
        <v>142</v>
      </c>
      <c r="D2086" s="5" t="s">
        <v>34</v>
      </c>
      <c r="E2086" s="5" t="s">
        <v>34</v>
      </c>
      <c r="F2086" s="5" t="s">
        <v>34</v>
      </c>
      <c r="G2086" s="5" t="s">
        <v>36</v>
      </c>
      <c r="H2086" s="5" t="s">
        <v>36</v>
      </c>
      <c r="I2086" s="5" t="s">
        <v>36</v>
      </c>
      <c r="J2086" s="6" t="s">
        <v>34</v>
      </c>
      <c r="K2086" s="6">
        <v>3100.0</v>
      </c>
      <c r="L2086" s="6">
        <v>775.0</v>
      </c>
      <c r="M2086" s="26" t="s">
        <v>142</v>
      </c>
      <c r="N2086" s="26" t="s">
        <v>54</v>
      </c>
      <c r="O2086" s="6" t="s">
        <v>214</v>
      </c>
      <c r="P2086" s="5" t="s">
        <v>59</v>
      </c>
      <c r="Q2086" s="5" t="s">
        <v>115</v>
      </c>
      <c r="R2086" s="6" t="s">
        <v>42</v>
      </c>
      <c r="S2086" s="5" t="s">
        <v>172</v>
      </c>
      <c r="T2086" s="5" t="s">
        <v>44</v>
      </c>
      <c r="U2086" s="5" t="s">
        <v>44</v>
      </c>
      <c r="V2086" s="5" t="s">
        <v>44</v>
      </c>
      <c r="W2086" s="5" t="s">
        <v>35</v>
      </c>
      <c r="X2086" s="8" t="s">
        <v>1010</v>
      </c>
      <c r="Y2086" s="5" t="s">
        <v>46</v>
      </c>
      <c r="Z2086" s="5" t="s">
        <v>47</v>
      </c>
      <c r="AA2086" s="5" t="s">
        <v>64</v>
      </c>
      <c r="AB2086" s="5" t="s">
        <v>10213</v>
      </c>
      <c r="AC2086" s="6" t="s">
        <v>71</v>
      </c>
      <c r="AD2086" s="6">
        <v>3348.0</v>
      </c>
    </row>
    <row r="2087" ht="56.25" customHeight="1">
      <c r="A2087" s="5" t="s">
        <v>10190</v>
      </c>
      <c r="B2087" s="6" t="str">
        <f>IMAGE("https://storage.googleapis.com/acdb/housewares/FtrGardenpool_Remake_4_0.png")</f>
        <v/>
      </c>
      <c r="C2087" s="5" t="s">
        <v>58</v>
      </c>
      <c r="D2087" s="5" t="s">
        <v>34</v>
      </c>
      <c r="E2087" s="5" t="s">
        <v>34</v>
      </c>
      <c r="F2087" s="5" t="s">
        <v>34</v>
      </c>
      <c r="G2087" s="5" t="s">
        <v>36</v>
      </c>
      <c r="H2087" s="5" t="s">
        <v>36</v>
      </c>
      <c r="I2087" s="5" t="s">
        <v>36</v>
      </c>
      <c r="J2087" s="6" t="s">
        <v>34</v>
      </c>
      <c r="K2087" s="6">
        <v>3100.0</v>
      </c>
      <c r="L2087" s="6">
        <v>775.0</v>
      </c>
      <c r="M2087" s="26" t="s">
        <v>58</v>
      </c>
      <c r="N2087" s="26" t="s">
        <v>57</v>
      </c>
      <c r="O2087" s="6" t="s">
        <v>214</v>
      </c>
      <c r="P2087" s="5" t="s">
        <v>59</v>
      </c>
      <c r="Q2087" s="5" t="s">
        <v>115</v>
      </c>
      <c r="R2087" s="6" t="s">
        <v>42</v>
      </c>
      <c r="S2087" s="5" t="s">
        <v>172</v>
      </c>
      <c r="T2087" s="5" t="s">
        <v>44</v>
      </c>
      <c r="U2087" s="5" t="s">
        <v>44</v>
      </c>
      <c r="V2087" s="5" t="s">
        <v>44</v>
      </c>
      <c r="W2087" s="5" t="s">
        <v>35</v>
      </c>
      <c r="X2087" s="8" t="s">
        <v>1010</v>
      </c>
      <c r="Y2087" s="5" t="s">
        <v>46</v>
      </c>
      <c r="Z2087" s="5" t="s">
        <v>47</v>
      </c>
      <c r="AA2087" s="5" t="s">
        <v>64</v>
      </c>
      <c r="AB2087" s="5" t="s">
        <v>10219</v>
      </c>
      <c r="AC2087" s="6" t="s">
        <v>75</v>
      </c>
      <c r="AD2087" s="6">
        <v>3348.0</v>
      </c>
    </row>
    <row r="2088" ht="56.25" customHeight="1">
      <c r="A2088" s="5" t="s">
        <v>10190</v>
      </c>
      <c r="B2088" s="6" t="str">
        <f>IMAGE("https://storage.googleapis.com/acdb/housewares/FtrGardenpool_Remake_5_0.png")</f>
        <v/>
      </c>
      <c r="C2088" s="5" t="s">
        <v>1044</v>
      </c>
      <c r="D2088" s="5" t="s">
        <v>34</v>
      </c>
      <c r="E2088" s="5" t="s">
        <v>34</v>
      </c>
      <c r="F2088" s="5" t="s">
        <v>34</v>
      </c>
      <c r="G2088" s="5" t="s">
        <v>36</v>
      </c>
      <c r="H2088" s="5" t="s">
        <v>36</v>
      </c>
      <c r="I2088" s="5" t="s">
        <v>36</v>
      </c>
      <c r="J2088" s="6" t="s">
        <v>34</v>
      </c>
      <c r="K2088" s="6">
        <v>3100.0</v>
      </c>
      <c r="L2088" s="6">
        <v>775.0</v>
      </c>
      <c r="M2088" s="26" t="s">
        <v>58</v>
      </c>
      <c r="N2088" s="26" t="s">
        <v>68</v>
      </c>
      <c r="O2088" s="6" t="s">
        <v>214</v>
      </c>
      <c r="P2088" s="5" t="s">
        <v>59</v>
      </c>
      <c r="Q2088" s="5" t="s">
        <v>115</v>
      </c>
      <c r="R2088" s="6" t="s">
        <v>42</v>
      </c>
      <c r="S2088" s="5" t="s">
        <v>172</v>
      </c>
      <c r="T2088" s="5" t="s">
        <v>44</v>
      </c>
      <c r="U2088" s="5" t="s">
        <v>44</v>
      </c>
      <c r="V2088" s="5" t="s">
        <v>44</v>
      </c>
      <c r="W2088" s="5" t="s">
        <v>35</v>
      </c>
      <c r="X2088" s="8" t="s">
        <v>1010</v>
      </c>
      <c r="Y2088" s="5" t="s">
        <v>46</v>
      </c>
      <c r="Z2088" s="5" t="s">
        <v>47</v>
      </c>
      <c r="AA2088" s="5" t="s">
        <v>64</v>
      </c>
      <c r="AB2088" s="5" t="s">
        <v>10225</v>
      </c>
      <c r="AC2088" s="6" t="s">
        <v>79</v>
      </c>
      <c r="AD2088" s="6">
        <v>3348.0</v>
      </c>
    </row>
    <row r="2089" ht="56.25" customHeight="1">
      <c r="A2089" s="5" t="s">
        <v>10226</v>
      </c>
      <c r="B2089" s="6" t="str">
        <f>IMAGE("https://storage.googleapis.com/acdb/housewares/FtrJunglegym_Remake_0_0.png")</f>
        <v/>
      </c>
      <c r="C2089" s="5" t="s">
        <v>58</v>
      </c>
      <c r="D2089" s="5" t="s">
        <v>34</v>
      </c>
      <c r="E2089" s="5" t="s">
        <v>34</v>
      </c>
      <c r="F2089" s="5" t="s">
        <v>34</v>
      </c>
      <c r="G2089" s="5" t="s">
        <v>36</v>
      </c>
      <c r="H2089" s="5" t="s">
        <v>36</v>
      </c>
      <c r="I2089" s="5" t="s">
        <v>36</v>
      </c>
      <c r="J2089" s="6" t="s">
        <v>34</v>
      </c>
      <c r="K2089" s="6" t="s">
        <v>37</v>
      </c>
      <c r="L2089" s="6">
        <v>15000.0</v>
      </c>
      <c r="M2089" s="26" t="s">
        <v>58</v>
      </c>
      <c r="N2089" s="26" t="s">
        <v>58</v>
      </c>
      <c r="O2089" s="6" t="s">
        <v>214</v>
      </c>
      <c r="P2089" s="5" t="s">
        <v>2140</v>
      </c>
      <c r="Q2089" s="5"/>
      <c r="R2089" s="6" t="s">
        <v>42</v>
      </c>
      <c r="S2089" s="5" t="s">
        <v>172</v>
      </c>
      <c r="T2089" s="5" t="s">
        <v>99</v>
      </c>
      <c r="U2089" s="5" t="s">
        <v>44</v>
      </c>
      <c r="V2089" s="5" t="s">
        <v>44</v>
      </c>
      <c r="W2089" s="5" t="s">
        <v>35</v>
      </c>
      <c r="X2089" s="8" t="s">
        <v>3156</v>
      </c>
      <c r="Y2089" s="5" t="s">
        <v>46</v>
      </c>
      <c r="Z2089" s="5" t="s">
        <v>47</v>
      </c>
      <c r="AA2089" s="5" t="s">
        <v>48</v>
      </c>
      <c r="AB2089" s="5" t="s">
        <v>10229</v>
      </c>
      <c r="AC2089" s="6" t="s">
        <v>50</v>
      </c>
      <c r="AD2089" s="6">
        <v>3430.0</v>
      </c>
    </row>
    <row r="2090" ht="56.25" customHeight="1">
      <c r="A2090" s="5" t="s">
        <v>10226</v>
      </c>
      <c r="B2090" s="6" t="str">
        <f>IMAGE("https://storage.googleapis.com/acdb/housewares/FtrJunglegym_Remake_1_0.png")</f>
        <v/>
      </c>
      <c r="C2090" s="5" t="s">
        <v>843</v>
      </c>
      <c r="D2090" s="5" t="s">
        <v>34</v>
      </c>
      <c r="E2090" s="5" t="s">
        <v>34</v>
      </c>
      <c r="F2090" s="5" t="s">
        <v>34</v>
      </c>
      <c r="G2090" s="5" t="s">
        <v>36</v>
      </c>
      <c r="H2090" s="5" t="s">
        <v>36</v>
      </c>
      <c r="I2090" s="5" t="s">
        <v>36</v>
      </c>
      <c r="J2090" s="6" t="s">
        <v>34</v>
      </c>
      <c r="K2090" s="6" t="s">
        <v>37</v>
      </c>
      <c r="L2090" s="6">
        <v>15000.0</v>
      </c>
      <c r="M2090" s="26" t="s">
        <v>57</v>
      </c>
      <c r="N2090" s="26" t="s">
        <v>54</v>
      </c>
      <c r="O2090" s="6" t="s">
        <v>214</v>
      </c>
      <c r="P2090" s="5" t="s">
        <v>2140</v>
      </c>
      <c r="Q2090" s="5"/>
      <c r="R2090" s="6" t="s">
        <v>42</v>
      </c>
      <c r="S2090" s="5" t="s">
        <v>172</v>
      </c>
      <c r="T2090" s="5" t="s">
        <v>99</v>
      </c>
      <c r="U2090" s="5" t="s">
        <v>44</v>
      </c>
      <c r="V2090" s="5" t="s">
        <v>44</v>
      </c>
      <c r="W2090" s="5" t="s">
        <v>35</v>
      </c>
      <c r="X2090" s="8" t="s">
        <v>3156</v>
      </c>
      <c r="Y2090" s="5" t="s">
        <v>46</v>
      </c>
      <c r="Z2090" s="5" t="s">
        <v>47</v>
      </c>
      <c r="AA2090" s="5" t="s">
        <v>48</v>
      </c>
      <c r="AB2090" s="5" t="s">
        <v>10234</v>
      </c>
      <c r="AC2090" s="6" t="s">
        <v>56</v>
      </c>
      <c r="AD2090" s="6">
        <v>3430.0</v>
      </c>
    </row>
    <row r="2091" ht="56.25" customHeight="1">
      <c r="A2091" s="5" t="s">
        <v>10226</v>
      </c>
      <c r="B2091" s="6" t="str">
        <f>IMAGE("https://storage.googleapis.com/acdb/housewares/FtrJunglegym_Remake_2_0.png")</f>
        <v/>
      </c>
      <c r="C2091" s="5" t="s">
        <v>52</v>
      </c>
      <c r="D2091" s="5" t="s">
        <v>34</v>
      </c>
      <c r="E2091" s="5" t="s">
        <v>34</v>
      </c>
      <c r="F2091" s="5" t="s">
        <v>34</v>
      </c>
      <c r="G2091" s="5" t="s">
        <v>36</v>
      </c>
      <c r="H2091" s="5" t="s">
        <v>36</v>
      </c>
      <c r="I2091" s="5" t="s">
        <v>36</v>
      </c>
      <c r="J2091" s="6" t="s">
        <v>34</v>
      </c>
      <c r="K2091" s="6" t="s">
        <v>37</v>
      </c>
      <c r="L2091" s="6">
        <v>15000.0</v>
      </c>
      <c r="M2091" s="26" t="s">
        <v>52</v>
      </c>
      <c r="N2091" s="26" t="s">
        <v>114</v>
      </c>
      <c r="O2091" s="6" t="s">
        <v>214</v>
      </c>
      <c r="P2091" s="5" t="s">
        <v>2140</v>
      </c>
      <c r="Q2091" s="5"/>
      <c r="R2091" s="6" t="s">
        <v>42</v>
      </c>
      <c r="S2091" s="5" t="s">
        <v>172</v>
      </c>
      <c r="T2091" s="5" t="s">
        <v>99</v>
      </c>
      <c r="U2091" s="5" t="s">
        <v>44</v>
      </c>
      <c r="V2091" s="5" t="s">
        <v>44</v>
      </c>
      <c r="W2091" s="5" t="s">
        <v>35</v>
      </c>
      <c r="X2091" s="8" t="s">
        <v>3156</v>
      </c>
      <c r="Y2091" s="5" t="s">
        <v>46</v>
      </c>
      <c r="Z2091" s="5" t="s">
        <v>47</v>
      </c>
      <c r="AA2091" s="5" t="s">
        <v>48</v>
      </c>
      <c r="AB2091" s="5" t="s">
        <v>10240</v>
      </c>
      <c r="AC2091" s="6" t="s">
        <v>67</v>
      </c>
      <c r="AD2091" s="6">
        <v>3430.0</v>
      </c>
    </row>
    <row r="2092" ht="56.25" customHeight="1">
      <c r="A2092" s="5" t="s">
        <v>10226</v>
      </c>
      <c r="B2092" s="6" t="str">
        <f>IMAGE("https://storage.googleapis.com/acdb/housewares/FtrJunglegym_Remake_3_0.png")</f>
        <v/>
      </c>
      <c r="C2092" s="5" t="s">
        <v>68</v>
      </c>
      <c r="D2092" s="5" t="s">
        <v>34</v>
      </c>
      <c r="E2092" s="5" t="s">
        <v>34</v>
      </c>
      <c r="F2092" s="5" t="s">
        <v>34</v>
      </c>
      <c r="G2092" s="5" t="s">
        <v>36</v>
      </c>
      <c r="H2092" s="5" t="s">
        <v>36</v>
      </c>
      <c r="I2092" s="5" t="s">
        <v>36</v>
      </c>
      <c r="J2092" s="6" t="s">
        <v>34</v>
      </c>
      <c r="K2092" s="6" t="s">
        <v>37</v>
      </c>
      <c r="L2092" s="6">
        <v>15000.0</v>
      </c>
      <c r="M2092" s="26" t="s">
        <v>68</v>
      </c>
      <c r="N2092" s="26" t="s">
        <v>1175</v>
      </c>
      <c r="O2092" s="6" t="s">
        <v>214</v>
      </c>
      <c r="P2092" s="5" t="s">
        <v>2140</v>
      </c>
      <c r="Q2092" s="5"/>
      <c r="R2092" s="6" t="s">
        <v>42</v>
      </c>
      <c r="S2092" s="5" t="s">
        <v>172</v>
      </c>
      <c r="T2092" s="5" t="s">
        <v>99</v>
      </c>
      <c r="U2092" s="5" t="s">
        <v>44</v>
      </c>
      <c r="V2092" s="5" t="s">
        <v>44</v>
      </c>
      <c r="W2092" s="5" t="s">
        <v>35</v>
      </c>
      <c r="X2092" s="8" t="s">
        <v>3156</v>
      </c>
      <c r="Y2092" s="5" t="s">
        <v>46</v>
      </c>
      <c r="Z2092" s="5" t="s">
        <v>47</v>
      </c>
      <c r="AA2092" s="5" t="s">
        <v>48</v>
      </c>
      <c r="AB2092" s="5" t="s">
        <v>10243</v>
      </c>
      <c r="AC2092" s="6" t="s">
        <v>71</v>
      </c>
      <c r="AD2092" s="6">
        <v>3430.0</v>
      </c>
    </row>
    <row r="2093" ht="56.25" customHeight="1">
      <c r="A2093" s="5" t="s">
        <v>10226</v>
      </c>
      <c r="B2093" s="6" t="str">
        <f>IMAGE("https://storage.googleapis.com/acdb/housewares/FtrJunglegym_Remake_4_0.png")</f>
        <v/>
      </c>
      <c r="C2093" s="5" t="s">
        <v>96</v>
      </c>
      <c r="D2093" s="5" t="s">
        <v>34</v>
      </c>
      <c r="E2093" s="5" t="s">
        <v>34</v>
      </c>
      <c r="F2093" s="5" t="s">
        <v>34</v>
      </c>
      <c r="G2093" s="5" t="s">
        <v>36</v>
      </c>
      <c r="H2093" s="5" t="s">
        <v>36</v>
      </c>
      <c r="I2093" s="5" t="s">
        <v>36</v>
      </c>
      <c r="J2093" s="6" t="s">
        <v>34</v>
      </c>
      <c r="K2093" s="6" t="s">
        <v>37</v>
      </c>
      <c r="L2093" s="6">
        <v>15000.0</v>
      </c>
      <c r="M2093" s="26" t="s">
        <v>1175</v>
      </c>
      <c r="N2093" s="26" t="s">
        <v>114</v>
      </c>
      <c r="O2093" s="6" t="s">
        <v>214</v>
      </c>
      <c r="P2093" s="5" t="s">
        <v>2140</v>
      </c>
      <c r="Q2093" s="5"/>
      <c r="R2093" s="6" t="s">
        <v>42</v>
      </c>
      <c r="S2093" s="5" t="s">
        <v>172</v>
      </c>
      <c r="T2093" s="5" t="s">
        <v>99</v>
      </c>
      <c r="U2093" s="5" t="s">
        <v>44</v>
      </c>
      <c r="V2093" s="5" t="s">
        <v>44</v>
      </c>
      <c r="W2093" s="5" t="s">
        <v>35</v>
      </c>
      <c r="X2093" s="8" t="s">
        <v>3156</v>
      </c>
      <c r="Y2093" s="5" t="s">
        <v>46</v>
      </c>
      <c r="Z2093" s="5" t="s">
        <v>47</v>
      </c>
      <c r="AA2093" s="5" t="s">
        <v>48</v>
      </c>
      <c r="AB2093" s="5" t="s">
        <v>10248</v>
      </c>
      <c r="AC2093" s="6" t="s">
        <v>75</v>
      </c>
      <c r="AD2093" s="6">
        <v>3430.0</v>
      </c>
    </row>
    <row r="2094" ht="56.25" customHeight="1">
      <c r="A2094" s="5" t="s">
        <v>10250</v>
      </c>
      <c r="B2094" s="6" t="str">
        <f>IMAGE("https://storage.googleapis.com/acdb/housewares/FtrLectern.png")</f>
        <v/>
      </c>
      <c r="C2094" s="5" t="s">
        <v>34</v>
      </c>
      <c r="D2094" s="5" t="s">
        <v>34</v>
      </c>
      <c r="E2094" s="5" t="s">
        <v>34</v>
      </c>
      <c r="F2094" s="5" t="s">
        <v>34</v>
      </c>
      <c r="G2094" s="5" t="s">
        <v>36</v>
      </c>
      <c r="H2094" s="5" t="s">
        <v>36</v>
      </c>
      <c r="I2094" s="5" t="s">
        <v>36</v>
      </c>
      <c r="J2094" s="6" t="s">
        <v>34</v>
      </c>
      <c r="K2094" s="6">
        <v>3400.0</v>
      </c>
      <c r="L2094" s="6">
        <v>850.0</v>
      </c>
      <c r="M2094" s="5" t="s">
        <v>39</v>
      </c>
      <c r="N2094" s="5" t="s">
        <v>39</v>
      </c>
      <c r="O2094" s="6" t="s">
        <v>40</v>
      </c>
      <c r="P2094" s="5" t="s">
        <v>59</v>
      </c>
      <c r="Q2094" s="5" t="s">
        <v>122</v>
      </c>
      <c r="R2094" s="6" t="s">
        <v>42</v>
      </c>
      <c r="S2094" s="5" t="s">
        <v>130</v>
      </c>
      <c r="T2094" s="5" t="s">
        <v>44</v>
      </c>
      <c r="U2094" s="5" t="s">
        <v>44</v>
      </c>
      <c r="V2094" s="5" t="s">
        <v>44</v>
      </c>
      <c r="W2094" s="5" t="s">
        <v>36</v>
      </c>
      <c r="X2094" s="8" t="s">
        <v>230</v>
      </c>
      <c r="Y2094" s="5" t="s">
        <v>46</v>
      </c>
      <c r="Z2094" s="5" t="s">
        <v>47</v>
      </c>
      <c r="AA2094" s="5" t="s">
        <v>64</v>
      </c>
      <c r="AB2094" s="5" t="s">
        <v>10256</v>
      </c>
      <c r="AC2094" s="6" t="s">
        <v>34</v>
      </c>
      <c r="AD2094" s="6">
        <v>1329.0</v>
      </c>
    </row>
    <row r="2095" ht="56.25" customHeight="1">
      <c r="A2095" s="5" t="s">
        <v>10257</v>
      </c>
      <c r="B2095" s="6" t="str">
        <f>IMAGE("https://storage.googleapis.com/acdb/housewares/FtrStonewaterbowl_Remake_0_0.png")</f>
        <v/>
      </c>
      <c r="C2095" s="5" t="s">
        <v>57</v>
      </c>
      <c r="D2095" s="5" t="s">
        <v>2801</v>
      </c>
      <c r="E2095" s="5" t="s">
        <v>34</v>
      </c>
      <c r="F2095" s="5" t="s">
        <v>34</v>
      </c>
      <c r="G2095" s="5" t="s">
        <v>35</v>
      </c>
      <c r="H2095" s="5" t="s">
        <v>35</v>
      </c>
      <c r="I2095" s="5" t="s">
        <v>36</v>
      </c>
      <c r="J2095" s="6">
        <v>2.0</v>
      </c>
      <c r="K2095" s="6" t="s">
        <v>37</v>
      </c>
      <c r="L2095" s="6">
        <v>1500.0</v>
      </c>
      <c r="M2095" s="26" t="s">
        <v>95</v>
      </c>
      <c r="N2095" s="26" t="s">
        <v>95</v>
      </c>
      <c r="O2095" s="6" t="s">
        <v>276</v>
      </c>
      <c r="P2095" s="5" t="s">
        <v>41</v>
      </c>
      <c r="Q2095" s="5"/>
      <c r="R2095" s="6" t="s">
        <v>42</v>
      </c>
      <c r="S2095" s="5" t="s">
        <v>266</v>
      </c>
      <c r="T2095" s="5" t="s">
        <v>172</v>
      </c>
      <c r="U2095" s="5" t="s">
        <v>44</v>
      </c>
      <c r="V2095" s="5" t="s">
        <v>44</v>
      </c>
      <c r="W2095" s="5" t="s">
        <v>36</v>
      </c>
      <c r="X2095" s="8" t="s">
        <v>650</v>
      </c>
      <c r="Y2095" s="5" t="s">
        <v>46</v>
      </c>
      <c r="Z2095" s="5" t="s">
        <v>47</v>
      </c>
      <c r="AA2095" s="5" t="s">
        <v>48</v>
      </c>
      <c r="AB2095" s="5" t="s">
        <v>10263</v>
      </c>
      <c r="AC2095" s="6" t="s">
        <v>50</v>
      </c>
      <c r="AD2095" s="6">
        <v>7393.0</v>
      </c>
    </row>
    <row r="2096" ht="56.25" customHeight="1">
      <c r="A2096" s="5" t="s">
        <v>10257</v>
      </c>
      <c r="B2096" s="6" t="str">
        <f>IMAGE("https://storage.googleapis.com/acdb/housewares/FtrStonewaterbowl_Remake_1_0.png")</f>
        <v/>
      </c>
      <c r="C2096" s="5" t="s">
        <v>10266</v>
      </c>
      <c r="D2096" s="5" t="s">
        <v>2801</v>
      </c>
      <c r="E2096" s="5" t="s">
        <v>34</v>
      </c>
      <c r="F2096" s="5" t="s">
        <v>34</v>
      </c>
      <c r="G2096" s="5" t="s">
        <v>35</v>
      </c>
      <c r="H2096" s="5" t="s">
        <v>35</v>
      </c>
      <c r="I2096" s="5" t="s">
        <v>36</v>
      </c>
      <c r="J2096" s="6">
        <v>2.0</v>
      </c>
      <c r="K2096" s="6" t="s">
        <v>37</v>
      </c>
      <c r="L2096" s="6">
        <v>1500.0</v>
      </c>
      <c r="M2096" s="26" t="s">
        <v>96</v>
      </c>
      <c r="N2096" s="26" t="s">
        <v>54</v>
      </c>
      <c r="O2096" s="6" t="s">
        <v>276</v>
      </c>
      <c r="P2096" s="5" t="s">
        <v>41</v>
      </c>
      <c r="Q2096" s="5"/>
      <c r="R2096" s="6" t="s">
        <v>42</v>
      </c>
      <c r="S2096" s="5" t="s">
        <v>266</v>
      </c>
      <c r="T2096" s="5" t="s">
        <v>172</v>
      </c>
      <c r="U2096" s="5" t="s">
        <v>44</v>
      </c>
      <c r="V2096" s="5" t="s">
        <v>44</v>
      </c>
      <c r="W2096" s="5" t="s">
        <v>36</v>
      </c>
      <c r="X2096" s="8" t="s">
        <v>650</v>
      </c>
      <c r="Y2096" s="5" t="s">
        <v>46</v>
      </c>
      <c r="Z2096" s="5" t="s">
        <v>47</v>
      </c>
      <c r="AA2096" s="5" t="s">
        <v>48</v>
      </c>
      <c r="AB2096" s="5" t="s">
        <v>10271</v>
      </c>
      <c r="AC2096" s="6" t="s">
        <v>56</v>
      </c>
      <c r="AD2096" s="6">
        <v>7393.0</v>
      </c>
    </row>
    <row r="2097" ht="56.25" customHeight="1">
      <c r="A2097" s="5" t="s">
        <v>10273</v>
      </c>
      <c r="B2097" s="6" t="str">
        <f>IMAGE("https://storage.googleapis.com/acdb/housewares/FtrPool_Remake_0_0.png")</f>
        <v/>
      </c>
      <c r="C2097" s="5" t="s">
        <v>57</v>
      </c>
      <c r="D2097" s="5" t="s">
        <v>34</v>
      </c>
      <c r="E2097" s="5" t="s">
        <v>34</v>
      </c>
      <c r="F2097" s="5" t="s">
        <v>34</v>
      </c>
      <c r="G2097" s="5" t="s">
        <v>36</v>
      </c>
      <c r="H2097" s="5" t="s">
        <v>36</v>
      </c>
      <c r="I2097" s="5" t="s">
        <v>36</v>
      </c>
      <c r="J2097" s="6" t="s">
        <v>34</v>
      </c>
      <c r="K2097" s="6" t="s">
        <v>37</v>
      </c>
      <c r="L2097" s="6">
        <v>25000.0</v>
      </c>
      <c r="M2097" s="26" t="s">
        <v>57</v>
      </c>
      <c r="N2097" s="26" t="s">
        <v>68</v>
      </c>
      <c r="O2097" s="6" t="s">
        <v>4708</v>
      </c>
      <c r="P2097" s="5" t="s">
        <v>2140</v>
      </c>
      <c r="Q2097" s="5"/>
      <c r="R2097" s="6" t="s">
        <v>42</v>
      </c>
      <c r="S2097" s="5" t="s">
        <v>474</v>
      </c>
      <c r="T2097" s="5" t="s">
        <v>116</v>
      </c>
      <c r="U2097" s="5" t="s">
        <v>44</v>
      </c>
      <c r="V2097" s="5" t="s">
        <v>44</v>
      </c>
      <c r="W2097" s="5" t="s">
        <v>36</v>
      </c>
      <c r="X2097" s="8" t="s">
        <v>475</v>
      </c>
      <c r="Y2097" s="5" t="s">
        <v>46</v>
      </c>
      <c r="Z2097" s="5" t="s">
        <v>47</v>
      </c>
      <c r="AA2097" s="5" t="s">
        <v>48</v>
      </c>
      <c r="AB2097" s="5" t="s">
        <v>10279</v>
      </c>
      <c r="AC2097" s="6" t="s">
        <v>50</v>
      </c>
      <c r="AD2097" s="6">
        <v>3596.0</v>
      </c>
    </row>
    <row r="2098" ht="56.25" customHeight="1">
      <c r="A2098" s="5" t="s">
        <v>10273</v>
      </c>
      <c r="B2098" s="6" t="str">
        <f>IMAGE("https://storage.googleapis.com/acdb/housewares/FtrPool_Remake_1_0.png")</f>
        <v/>
      </c>
      <c r="C2098" s="5" t="s">
        <v>39</v>
      </c>
      <c r="D2098" s="5" t="s">
        <v>34</v>
      </c>
      <c r="E2098" s="5" t="s">
        <v>34</v>
      </c>
      <c r="F2098" s="5" t="s">
        <v>34</v>
      </c>
      <c r="G2098" s="5" t="s">
        <v>36</v>
      </c>
      <c r="H2098" s="5" t="s">
        <v>36</v>
      </c>
      <c r="I2098" s="5" t="s">
        <v>36</v>
      </c>
      <c r="J2098" s="6" t="s">
        <v>34</v>
      </c>
      <c r="K2098" s="6" t="s">
        <v>37</v>
      </c>
      <c r="L2098" s="6">
        <v>25000.0</v>
      </c>
      <c r="M2098" s="26" t="s">
        <v>142</v>
      </c>
      <c r="N2098" s="26" t="s">
        <v>1175</v>
      </c>
      <c r="O2098" s="6" t="s">
        <v>4708</v>
      </c>
      <c r="P2098" s="5" t="s">
        <v>2140</v>
      </c>
      <c r="Q2098" s="5"/>
      <c r="R2098" s="6" t="s">
        <v>42</v>
      </c>
      <c r="S2098" s="5" t="s">
        <v>474</v>
      </c>
      <c r="T2098" s="5" t="s">
        <v>116</v>
      </c>
      <c r="U2098" s="5" t="s">
        <v>44</v>
      </c>
      <c r="V2098" s="5" t="s">
        <v>44</v>
      </c>
      <c r="W2098" s="5" t="s">
        <v>36</v>
      </c>
      <c r="X2098" s="8" t="s">
        <v>475</v>
      </c>
      <c r="Y2098" s="5" t="s">
        <v>46</v>
      </c>
      <c r="Z2098" s="5" t="s">
        <v>47</v>
      </c>
      <c r="AA2098" s="5" t="s">
        <v>48</v>
      </c>
      <c r="AB2098" s="5" t="s">
        <v>10284</v>
      </c>
      <c r="AC2098" s="6" t="s">
        <v>56</v>
      </c>
      <c r="AD2098" s="6">
        <v>3596.0</v>
      </c>
    </row>
    <row r="2099" ht="56.25" customHeight="1">
      <c r="A2099" s="5" t="s">
        <v>10273</v>
      </c>
      <c r="B2099" s="6" t="str">
        <f>IMAGE("https://storage.googleapis.com/acdb/housewares/FtrPool_Remake_2_0.png")</f>
        <v/>
      </c>
      <c r="C2099" s="5" t="s">
        <v>95</v>
      </c>
      <c r="D2099" s="5" t="s">
        <v>34</v>
      </c>
      <c r="E2099" s="5" t="s">
        <v>34</v>
      </c>
      <c r="F2099" s="5" t="s">
        <v>34</v>
      </c>
      <c r="G2099" s="5" t="s">
        <v>36</v>
      </c>
      <c r="H2099" s="5" t="s">
        <v>36</v>
      </c>
      <c r="I2099" s="5" t="s">
        <v>36</v>
      </c>
      <c r="J2099" s="6" t="s">
        <v>34</v>
      </c>
      <c r="K2099" s="6" t="s">
        <v>37</v>
      </c>
      <c r="L2099" s="6">
        <v>25000.0</v>
      </c>
      <c r="M2099" s="26" t="s">
        <v>95</v>
      </c>
      <c r="N2099" s="26" t="s">
        <v>106</v>
      </c>
      <c r="O2099" s="6" t="s">
        <v>4708</v>
      </c>
      <c r="P2099" s="5" t="s">
        <v>2140</v>
      </c>
      <c r="Q2099" s="5"/>
      <c r="R2099" s="6" t="s">
        <v>42</v>
      </c>
      <c r="S2099" s="5" t="s">
        <v>474</v>
      </c>
      <c r="T2099" s="5" t="s">
        <v>116</v>
      </c>
      <c r="U2099" s="5" t="s">
        <v>44</v>
      </c>
      <c r="V2099" s="5" t="s">
        <v>44</v>
      </c>
      <c r="W2099" s="5" t="s">
        <v>36</v>
      </c>
      <c r="X2099" s="8" t="s">
        <v>475</v>
      </c>
      <c r="Y2099" s="5" t="s">
        <v>46</v>
      </c>
      <c r="Z2099" s="5" t="s">
        <v>47</v>
      </c>
      <c r="AA2099" s="5" t="s">
        <v>48</v>
      </c>
      <c r="AB2099" s="5" t="s">
        <v>10289</v>
      </c>
      <c r="AC2099" s="6" t="s">
        <v>67</v>
      </c>
      <c r="AD2099" s="6">
        <v>3596.0</v>
      </c>
    </row>
    <row r="2100" ht="56.25" customHeight="1">
      <c r="A2100" s="5" t="s">
        <v>10291</v>
      </c>
      <c r="B2100" s="6" t="str">
        <f>IMAGE("https://storage.googleapis.com/acdb/housewares/FtrPoolsidebed_Remake_0_0.png")</f>
        <v/>
      </c>
      <c r="C2100" s="5" t="s">
        <v>935</v>
      </c>
      <c r="D2100" s="5" t="s">
        <v>34</v>
      </c>
      <c r="E2100" s="5" t="s">
        <v>57</v>
      </c>
      <c r="F2100" s="5" t="s">
        <v>10293</v>
      </c>
      <c r="G2100" s="5" t="s">
        <v>36</v>
      </c>
      <c r="H2100" s="5" t="s">
        <v>36</v>
      </c>
      <c r="I2100" s="5" t="s">
        <v>35</v>
      </c>
      <c r="J2100" s="6">
        <v>2.0</v>
      </c>
      <c r="K2100" s="6">
        <v>3400.0</v>
      </c>
      <c r="L2100" s="6">
        <v>850.0</v>
      </c>
      <c r="M2100" s="26" t="s">
        <v>38</v>
      </c>
      <c r="N2100" s="26" t="s">
        <v>57</v>
      </c>
      <c r="O2100" s="6" t="s">
        <v>276</v>
      </c>
      <c r="P2100" s="5" t="s">
        <v>59</v>
      </c>
      <c r="Q2100" s="5" t="s">
        <v>122</v>
      </c>
      <c r="R2100" s="6" t="s">
        <v>42</v>
      </c>
      <c r="S2100" s="5" t="s">
        <v>138</v>
      </c>
      <c r="T2100" s="5" t="s">
        <v>116</v>
      </c>
      <c r="U2100" s="5" t="s">
        <v>44</v>
      </c>
      <c r="V2100" s="5" t="s">
        <v>44</v>
      </c>
      <c r="W2100" s="5" t="s">
        <v>35</v>
      </c>
      <c r="X2100" s="8" t="s">
        <v>218</v>
      </c>
      <c r="Y2100" s="5" t="s">
        <v>46</v>
      </c>
      <c r="Z2100" s="5" t="s">
        <v>47</v>
      </c>
      <c r="AA2100" s="5" t="s">
        <v>64</v>
      </c>
      <c r="AB2100" s="5" t="s">
        <v>10298</v>
      </c>
      <c r="AC2100" s="6" t="s">
        <v>50</v>
      </c>
      <c r="AD2100" s="6">
        <v>4102.0</v>
      </c>
    </row>
    <row r="2101" ht="56.25" customHeight="1">
      <c r="A2101" s="5" t="s">
        <v>10291</v>
      </c>
      <c r="B2101" s="6" t="str">
        <f>IMAGE("https://storage.googleapis.com/acdb/housewares/FtrPoolsidebed_Remake_0_1.png")</f>
        <v/>
      </c>
      <c r="C2101" s="5" t="s">
        <v>935</v>
      </c>
      <c r="D2101" s="5" t="s">
        <v>34</v>
      </c>
      <c r="E2101" s="5" t="s">
        <v>54</v>
      </c>
      <c r="F2101" s="5" t="s">
        <v>10293</v>
      </c>
      <c r="G2101" s="5" t="s">
        <v>36</v>
      </c>
      <c r="H2101" s="5" t="s">
        <v>36</v>
      </c>
      <c r="I2101" s="5" t="s">
        <v>35</v>
      </c>
      <c r="J2101" s="6">
        <v>2.0</v>
      </c>
      <c r="K2101" s="6">
        <v>3400.0</v>
      </c>
      <c r="L2101" s="6">
        <v>850.0</v>
      </c>
      <c r="M2101" s="26" t="s">
        <v>38</v>
      </c>
      <c r="N2101" s="26" t="s">
        <v>54</v>
      </c>
      <c r="O2101" s="6" t="s">
        <v>276</v>
      </c>
      <c r="P2101" s="5" t="s">
        <v>59</v>
      </c>
      <c r="Q2101" s="5" t="s">
        <v>122</v>
      </c>
      <c r="R2101" s="6" t="s">
        <v>42</v>
      </c>
      <c r="S2101" s="5" t="s">
        <v>138</v>
      </c>
      <c r="T2101" s="5" t="s">
        <v>116</v>
      </c>
      <c r="U2101" s="5" t="s">
        <v>44</v>
      </c>
      <c r="V2101" s="5" t="s">
        <v>44</v>
      </c>
      <c r="W2101" s="5" t="s">
        <v>35</v>
      </c>
      <c r="X2101" s="8" t="s">
        <v>218</v>
      </c>
      <c r="Y2101" s="5" t="s">
        <v>46</v>
      </c>
      <c r="Z2101" s="5" t="s">
        <v>47</v>
      </c>
      <c r="AA2101" s="5" t="s">
        <v>64</v>
      </c>
      <c r="AB2101" s="5" t="s">
        <v>10303</v>
      </c>
      <c r="AC2101" s="6" t="s">
        <v>217</v>
      </c>
      <c r="AD2101" s="6">
        <v>4102.0</v>
      </c>
    </row>
    <row r="2102" ht="56.25" customHeight="1">
      <c r="A2102" s="5" t="s">
        <v>10291</v>
      </c>
      <c r="B2102" s="6" t="str">
        <f>IMAGE("https://storage.googleapis.com/acdb/housewares/FtrPoolsidebed_Remake_0_2.png")</f>
        <v/>
      </c>
      <c r="C2102" s="5" t="s">
        <v>935</v>
      </c>
      <c r="D2102" s="5" t="s">
        <v>34</v>
      </c>
      <c r="E2102" s="5" t="s">
        <v>68</v>
      </c>
      <c r="F2102" s="5" t="s">
        <v>10293</v>
      </c>
      <c r="G2102" s="5" t="s">
        <v>36</v>
      </c>
      <c r="H2102" s="5" t="s">
        <v>36</v>
      </c>
      <c r="I2102" s="5" t="s">
        <v>35</v>
      </c>
      <c r="J2102" s="6">
        <v>2.0</v>
      </c>
      <c r="K2102" s="6">
        <v>3400.0</v>
      </c>
      <c r="L2102" s="6">
        <v>850.0</v>
      </c>
      <c r="M2102" s="26" t="s">
        <v>38</v>
      </c>
      <c r="N2102" s="26" t="s">
        <v>68</v>
      </c>
      <c r="O2102" s="6" t="s">
        <v>276</v>
      </c>
      <c r="P2102" s="5" t="s">
        <v>59</v>
      </c>
      <c r="Q2102" s="5" t="s">
        <v>122</v>
      </c>
      <c r="R2102" s="6" t="s">
        <v>42</v>
      </c>
      <c r="S2102" s="5" t="s">
        <v>138</v>
      </c>
      <c r="T2102" s="5" t="s">
        <v>116</v>
      </c>
      <c r="U2102" s="5" t="s">
        <v>44</v>
      </c>
      <c r="V2102" s="5" t="s">
        <v>44</v>
      </c>
      <c r="W2102" s="5" t="s">
        <v>35</v>
      </c>
      <c r="X2102" s="8" t="s">
        <v>218</v>
      </c>
      <c r="Y2102" s="5" t="s">
        <v>46</v>
      </c>
      <c r="Z2102" s="5" t="s">
        <v>47</v>
      </c>
      <c r="AA2102" s="5" t="s">
        <v>64</v>
      </c>
      <c r="AB2102" s="5" t="s">
        <v>10306</v>
      </c>
      <c r="AC2102" s="6" t="s">
        <v>347</v>
      </c>
      <c r="AD2102" s="6">
        <v>4102.0</v>
      </c>
    </row>
    <row r="2103" ht="56.25" customHeight="1">
      <c r="A2103" s="5" t="s">
        <v>10291</v>
      </c>
      <c r="B2103" s="6" t="str">
        <f>IMAGE("https://storage.googleapis.com/acdb/housewares/FtrPoolsidebed_Remake_0_3.png")</f>
        <v/>
      </c>
      <c r="C2103" s="5" t="s">
        <v>935</v>
      </c>
      <c r="D2103" s="5" t="s">
        <v>34</v>
      </c>
      <c r="E2103" s="5" t="s">
        <v>52</v>
      </c>
      <c r="F2103" s="5" t="s">
        <v>10293</v>
      </c>
      <c r="G2103" s="5" t="s">
        <v>36</v>
      </c>
      <c r="H2103" s="5" t="s">
        <v>36</v>
      </c>
      <c r="I2103" s="5" t="s">
        <v>35</v>
      </c>
      <c r="J2103" s="6">
        <v>2.0</v>
      </c>
      <c r="K2103" s="6">
        <v>3400.0</v>
      </c>
      <c r="L2103" s="6">
        <v>850.0</v>
      </c>
      <c r="M2103" s="26" t="s">
        <v>38</v>
      </c>
      <c r="N2103" s="26" t="s">
        <v>52</v>
      </c>
      <c r="O2103" s="6" t="s">
        <v>276</v>
      </c>
      <c r="P2103" s="5" t="s">
        <v>59</v>
      </c>
      <c r="Q2103" s="5" t="s">
        <v>122</v>
      </c>
      <c r="R2103" s="6" t="s">
        <v>42</v>
      </c>
      <c r="S2103" s="5" t="s">
        <v>138</v>
      </c>
      <c r="T2103" s="5" t="s">
        <v>116</v>
      </c>
      <c r="U2103" s="5" t="s">
        <v>44</v>
      </c>
      <c r="V2103" s="5" t="s">
        <v>44</v>
      </c>
      <c r="W2103" s="5" t="s">
        <v>35</v>
      </c>
      <c r="X2103" s="8" t="s">
        <v>218</v>
      </c>
      <c r="Y2103" s="5" t="s">
        <v>46</v>
      </c>
      <c r="Z2103" s="5" t="s">
        <v>47</v>
      </c>
      <c r="AA2103" s="5" t="s">
        <v>64</v>
      </c>
      <c r="AB2103" s="5" t="s">
        <v>10312</v>
      </c>
      <c r="AC2103" s="6" t="s">
        <v>354</v>
      </c>
      <c r="AD2103" s="6">
        <v>4102.0</v>
      </c>
    </row>
    <row r="2104" ht="56.25" customHeight="1">
      <c r="A2104" s="5" t="s">
        <v>10291</v>
      </c>
      <c r="B2104" s="6" t="str">
        <f>IMAGE("https://storage.googleapis.com/acdb/housewares/FtrPoolsidebed_Remake_0_4.png")</f>
        <v/>
      </c>
      <c r="C2104" s="5" t="s">
        <v>935</v>
      </c>
      <c r="D2104" s="5" t="s">
        <v>34</v>
      </c>
      <c r="E2104" s="5" t="s">
        <v>114</v>
      </c>
      <c r="F2104" s="5" t="s">
        <v>10293</v>
      </c>
      <c r="G2104" s="5" t="s">
        <v>36</v>
      </c>
      <c r="H2104" s="5" t="s">
        <v>36</v>
      </c>
      <c r="I2104" s="5" t="s">
        <v>35</v>
      </c>
      <c r="J2104" s="6">
        <v>2.0</v>
      </c>
      <c r="K2104" s="6">
        <v>3400.0</v>
      </c>
      <c r="L2104" s="6">
        <v>850.0</v>
      </c>
      <c r="M2104" s="26" t="s">
        <v>38</v>
      </c>
      <c r="N2104" s="26" t="s">
        <v>114</v>
      </c>
      <c r="O2104" s="6" t="s">
        <v>276</v>
      </c>
      <c r="P2104" s="5" t="s">
        <v>59</v>
      </c>
      <c r="Q2104" s="5" t="s">
        <v>122</v>
      </c>
      <c r="R2104" s="6" t="s">
        <v>42</v>
      </c>
      <c r="S2104" s="5" t="s">
        <v>138</v>
      </c>
      <c r="T2104" s="5" t="s">
        <v>116</v>
      </c>
      <c r="U2104" s="5" t="s">
        <v>44</v>
      </c>
      <c r="V2104" s="5" t="s">
        <v>44</v>
      </c>
      <c r="W2104" s="5" t="s">
        <v>35</v>
      </c>
      <c r="X2104" s="8" t="s">
        <v>218</v>
      </c>
      <c r="Y2104" s="5" t="s">
        <v>46</v>
      </c>
      <c r="Z2104" s="5" t="s">
        <v>47</v>
      </c>
      <c r="AA2104" s="5" t="s">
        <v>64</v>
      </c>
      <c r="AB2104" s="5" t="s">
        <v>10317</v>
      </c>
      <c r="AC2104" s="6" t="s">
        <v>486</v>
      </c>
      <c r="AD2104" s="6">
        <v>4102.0</v>
      </c>
    </row>
    <row r="2105" ht="56.25" customHeight="1">
      <c r="A2105" s="5" t="s">
        <v>10291</v>
      </c>
      <c r="B2105" s="6" t="str">
        <f>IMAGE("https://storage.googleapis.com/acdb/housewares/FtrPoolsidebed_Remake_1_0.png")</f>
        <v/>
      </c>
      <c r="C2105" s="5" t="s">
        <v>39</v>
      </c>
      <c r="D2105" s="5" t="s">
        <v>34</v>
      </c>
      <c r="E2105" s="5" t="s">
        <v>57</v>
      </c>
      <c r="F2105" s="5" t="s">
        <v>10293</v>
      </c>
      <c r="G2105" s="5" t="s">
        <v>36</v>
      </c>
      <c r="H2105" s="5" t="s">
        <v>36</v>
      </c>
      <c r="I2105" s="5" t="s">
        <v>35</v>
      </c>
      <c r="J2105" s="6">
        <v>2.0</v>
      </c>
      <c r="K2105" s="6">
        <v>3400.0</v>
      </c>
      <c r="L2105" s="6">
        <v>850.0</v>
      </c>
      <c r="M2105" s="26" t="s">
        <v>142</v>
      </c>
      <c r="N2105" s="26" t="s">
        <v>57</v>
      </c>
      <c r="O2105" s="6" t="s">
        <v>276</v>
      </c>
      <c r="P2105" s="5" t="s">
        <v>59</v>
      </c>
      <c r="Q2105" s="5" t="s">
        <v>122</v>
      </c>
      <c r="R2105" s="6" t="s">
        <v>42</v>
      </c>
      <c r="S2105" s="5" t="s">
        <v>138</v>
      </c>
      <c r="T2105" s="5" t="s">
        <v>116</v>
      </c>
      <c r="U2105" s="5" t="s">
        <v>44</v>
      </c>
      <c r="V2105" s="5" t="s">
        <v>44</v>
      </c>
      <c r="W2105" s="5" t="s">
        <v>35</v>
      </c>
      <c r="X2105" s="8" t="s">
        <v>218</v>
      </c>
      <c r="Y2105" s="5" t="s">
        <v>46</v>
      </c>
      <c r="Z2105" s="5" t="s">
        <v>47</v>
      </c>
      <c r="AA2105" s="5" t="s">
        <v>64</v>
      </c>
      <c r="AB2105" s="5" t="s">
        <v>10321</v>
      </c>
      <c r="AC2105" s="6" t="s">
        <v>56</v>
      </c>
      <c r="AD2105" s="6">
        <v>4102.0</v>
      </c>
    </row>
    <row r="2106" ht="56.25" customHeight="1">
      <c r="A2106" s="5" t="s">
        <v>10291</v>
      </c>
      <c r="B2106" s="6" t="str">
        <f>IMAGE("https://storage.googleapis.com/acdb/housewares/FtrPoolsidebed_Remake_1_1.png")</f>
        <v/>
      </c>
      <c r="C2106" s="5" t="s">
        <v>39</v>
      </c>
      <c r="D2106" s="5" t="s">
        <v>34</v>
      </c>
      <c r="E2106" s="5" t="s">
        <v>54</v>
      </c>
      <c r="F2106" s="5" t="s">
        <v>10293</v>
      </c>
      <c r="G2106" s="5" t="s">
        <v>36</v>
      </c>
      <c r="H2106" s="5" t="s">
        <v>36</v>
      </c>
      <c r="I2106" s="5" t="s">
        <v>35</v>
      </c>
      <c r="J2106" s="6">
        <v>2.0</v>
      </c>
      <c r="K2106" s="6">
        <v>3400.0</v>
      </c>
      <c r="L2106" s="6">
        <v>850.0</v>
      </c>
      <c r="M2106" s="26" t="s">
        <v>142</v>
      </c>
      <c r="N2106" s="26" t="s">
        <v>54</v>
      </c>
      <c r="O2106" s="6" t="s">
        <v>276</v>
      </c>
      <c r="P2106" s="5" t="s">
        <v>59</v>
      </c>
      <c r="Q2106" s="5" t="s">
        <v>122</v>
      </c>
      <c r="R2106" s="6" t="s">
        <v>42</v>
      </c>
      <c r="S2106" s="5" t="s">
        <v>138</v>
      </c>
      <c r="T2106" s="5" t="s">
        <v>116</v>
      </c>
      <c r="U2106" s="5" t="s">
        <v>44</v>
      </c>
      <c r="V2106" s="5" t="s">
        <v>44</v>
      </c>
      <c r="W2106" s="5" t="s">
        <v>35</v>
      </c>
      <c r="X2106" s="8" t="s">
        <v>218</v>
      </c>
      <c r="Y2106" s="5" t="s">
        <v>46</v>
      </c>
      <c r="Z2106" s="5" t="s">
        <v>47</v>
      </c>
      <c r="AA2106" s="5" t="s">
        <v>64</v>
      </c>
      <c r="AB2106" s="5" t="s">
        <v>10327</v>
      </c>
      <c r="AC2106" s="6" t="s">
        <v>234</v>
      </c>
      <c r="AD2106" s="6">
        <v>4102.0</v>
      </c>
    </row>
    <row r="2107" ht="56.25" customHeight="1">
      <c r="A2107" s="5" t="s">
        <v>10291</v>
      </c>
      <c r="B2107" s="6" t="str">
        <f>IMAGE("https://storage.googleapis.com/acdb/housewares/FtrPoolsidebed_Remake_1_2.png")</f>
        <v/>
      </c>
      <c r="C2107" s="5" t="s">
        <v>39</v>
      </c>
      <c r="D2107" s="5" t="s">
        <v>34</v>
      </c>
      <c r="E2107" s="5" t="s">
        <v>68</v>
      </c>
      <c r="F2107" s="5" t="s">
        <v>10293</v>
      </c>
      <c r="G2107" s="5" t="s">
        <v>36</v>
      </c>
      <c r="H2107" s="5" t="s">
        <v>36</v>
      </c>
      <c r="I2107" s="5" t="s">
        <v>35</v>
      </c>
      <c r="J2107" s="6">
        <v>2.0</v>
      </c>
      <c r="K2107" s="6">
        <v>3400.0</v>
      </c>
      <c r="L2107" s="6">
        <v>850.0</v>
      </c>
      <c r="M2107" s="26" t="s">
        <v>142</v>
      </c>
      <c r="N2107" s="26" t="s">
        <v>68</v>
      </c>
      <c r="O2107" s="6" t="s">
        <v>276</v>
      </c>
      <c r="P2107" s="5" t="s">
        <v>59</v>
      </c>
      <c r="Q2107" s="5" t="s">
        <v>122</v>
      </c>
      <c r="R2107" s="6" t="s">
        <v>42</v>
      </c>
      <c r="S2107" s="5" t="s">
        <v>138</v>
      </c>
      <c r="T2107" s="5" t="s">
        <v>116</v>
      </c>
      <c r="U2107" s="5" t="s">
        <v>44</v>
      </c>
      <c r="V2107" s="5" t="s">
        <v>44</v>
      </c>
      <c r="W2107" s="5" t="s">
        <v>35</v>
      </c>
      <c r="X2107" s="8" t="s">
        <v>218</v>
      </c>
      <c r="Y2107" s="5" t="s">
        <v>46</v>
      </c>
      <c r="Z2107" s="5" t="s">
        <v>47</v>
      </c>
      <c r="AA2107" s="5" t="s">
        <v>64</v>
      </c>
      <c r="AB2107" s="5" t="s">
        <v>10332</v>
      </c>
      <c r="AC2107" s="6" t="s">
        <v>370</v>
      </c>
      <c r="AD2107" s="6">
        <v>4102.0</v>
      </c>
    </row>
    <row r="2108" ht="56.25" customHeight="1">
      <c r="A2108" s="5" t="s">
        <v>10291</v>
      </c>
      <c r="B2108" s="6" t="str">
        <f>IMAGE("https://storage.googleapis.com/acdb/housewares/FtrPoolsidebed_Remake_1_3.png")</f>
        <v/>
      </c>
      <c r="C2108" s="5" t="s">
        <v>39</v>
      </c>
      <c r="D2108" s="5" t="s">
        <v>34</v>
      </c>
      <c r="E2108" s="5" t="s">
        <v>52</v>
      </c>
      <c r="F2108" s="5" t="s">
        <v>10293</v>
      </c>
      <c r="G2108" s="5" t="s">
        <v>36</v>
      </c>
      <c r="H2108" s="5" t="s">
        <v>36</v>
      </c>
      <c r="I2108" s="5" t="s">
        <v>35</v>
      </c>
      <c r="J2108" s="6">
        <v>2.0</v>
      </c>
      <c r="K2108" s="6">
        <v>3400.0</v>
      </c>
      <c r="L2108" s="6">
        <v>850.0</v>
      </c>
      <c r="M2108" s="26" t="s">
        <v>142</v>
      </c>
      <c r="N2108" s="26" t="s">
        <v>52</v>
      </c>
      <c r="O2108" s="6" t="s">
        <v>276</v>
      </c>
      <c r="P2108" s="5" t="s">
        <v>59</v>
      </c>
      <c r="Q2108" s="5" t="s">
        <v>122</v>
      </c>
      <c r="R2108" s="6" t="s">
        <v>42</v>
      </c>
      <c r="S2108" s="5" t="s">
        <v>138</v>
      </c>
      <c r="T2108" s="5" t="s">
        <v>116</v>
      </c>
      <c r="U2108" s="5" t="s">
        <v>44</v>
      </c>
      <c r="V2108" s="5" t="s">
        <v>44</v>
      </c>
      <c r="W2108" s="5" t="s">
        <v>35</v>
      </c>
      <c r="X2108" s="8" t="s">
        <v>218</v>
      </c>
      <c r="Y2108" s="5" t="s">
        <v>46</v>
      </c>
      <c r="Z2108" s="5" t="s">
        <v>47</v>
      </c>
      <c r="AA2108" s="5" t="s">
        <v>64</v>
      </c>
      <c r="AB2108" s="5" t="s">
        <v>10336</v>
      </c>
      <c r="AC2108" s="6" t="s">
        <v>377</v>
      </c>
      <c r="AD2108" s="6">
        <v>4102.0</v>
      </c>
    </row>
    <row r="2109" ht="56.25" customHeight="1">
      <c r="A2109" s="5" t="s">
        <v>10291</v>
      </c>
      <c r="B2109" s="6" t="str">
        <f>IMAGE("https://storage.googleapis.com/acdb/housewares/FtrPoolsidebed_Remake_1_4.png")</f>
        <v/>
      </c>
      <c r="C2109" s="5" t="s">
        <v>39</v>
      </c>
      <c r="D2109" s="5" t="s">
        <v>34</v>
      </c>
      <c r="E2109" s="5" t="s">
        <v>114</v>
      </c>
      <c r="F2109" s="5" t="s">
        <v>10293</v>
      </c>
      <c r="G2109" s="5" t="s">
        <v>36</v>
      </c>
      <c r="H2109" s="5" t="s">
        <v>36</v>
      </c>
      <c r="I2109" s="5" t="s">
        <v>35</v>
      </c>
      <c r="J2109" s="6">
        <v>2.0</v>
      </c>
      <c r="K2109" s="6">
        <v>3400.0</v>
      </c>
      <c r="L2109" s="6">
        <v>850.0</v>
      </c>
      <c r="M2109" s="26" t="s">
        <v>142</v>
      </c>
      <c r="N2109" s="26" t="s">
        <v>114</v>
      </c>
      <c r="O2109" s="6" t="s">
        <v>276</v>
      </c>
      <c r="P2109" s="5" t="s">
        <v>59</v>
      </c>
      <c r="Q2109" s="5" t="s">
        <v>122</v>
      </c>
      <c r="R2109" s="6" t="s">
        <v>42</v>
      </c>
      <c r="S2109" s="5" t="s">
        <v>138</v>
      </c>
      <c r="T2109" s="5" t="s">
        <v>116</v>
      </c>
      <c r="U2109" s="5" t="s">
        <v>44</v>
      </c>
      <c r="V2109" s="5" t="s">
        <v>44</v>
      </c>
      <c r="W2109" s="5" t="s">
        <v>35</v>
      </c>
      <c r="X2109" s="8" t="s">
        <v>218</v>
      </c>
      <c r="Y2109" s="5" t="s">
        <v>46</v>
      </c>
      <c r="Z2109" s="5" t="s">
        <v>47</v>
      </c>
      <c r="AA2109" s="5" t="s">
        <v>64</v>
      </c>
      <c r="AB2109" s="5" t="s">
        <v>10339</v>
      </c>
      <c r="AC2109" s="6" t="s">
        <v>520</v>
      </c>
      <c r="AD2109" s="6">
        <v>4102.0</v>
      </c>
    </row>
    <row r="2110" ht="56.25" customHeight="1">
      <c r="A2110" s="5" t="s">
        <v>10291</v>
      </c>
      <c r="B2110" s="6" t="str">
        <f>IMAGE("https://storage.googleapis.com/acdb/housewares/FtrPoolsidebed_Remake_2_0.png")</f>
        <v/>
      </c>
      <c r="C2110" s="5" t="s">
        <v>387</v>
      </c>
      <c r="D2110" s="5" t="s">
        <v>34</v>
      </c>
      <c r="E2110" s="5" t="s">
        <v>57</v>
      </c>
      <c r="F2110" s="5" t="s">
        <v>10293</v>
      </c>
      <c r="G2110" s="5" t="s">
        <v>36</v>
      </c>
      <c r="H2110" s="5" t="s">
        <v>36</v>
      </c>
      <c r="I2110" s="5" t="s">
        <v>35</v>
      </c>
      <c r="J2110" s="6">
        <v>2.0</v>
      </c>
      <c r="K2110" s="6">
        <v>3400.0</v>
      </c>
      <c r="L2110" s="6">
        <v>850.0</v>
      </c>
      <c r="M2110" s="26" t="s">
        <v>39</v>
      </c>
      <c r="N2110" s="26" t="s">
        <v>57</v>
      </c>
      <c r="O2110" s="6" t="s">
        <v>276</v>
      </c>
      <c r="P2110" s="5" t="s">
        <v>59</v>
      </c>
      <c r="Q2110" s="5" t="s">
        <v>122</v>
      </c>
      <c r="R2110" s="6" t="s">
        <v>42</v>
      </c>
      <c r="S2110" s="5" t="s">
        <v>138</v>
      </c>
      <c r="T2110" s="5" t="s">
        <v>116</v>
      </c>
      <c r="U2110" s="5" t="s">
        <v>44</v>
      </c>
      <c r="V2110" s="5" t="s">
        <v>44</v>
      </c>
      <c r="W2110" s="5" t="s">
        <v>35</v>
      </c>
      <c r="X2110" s="8" t="s">
        <v>218</v>
      </c>
      <c r="Y2110" s="5" t="s">
        <v>46</v>
      </c>
      <c r="Z2110" s="5" t="s">
        <v>47</v>
      </c>
      <c r="AA2110" s="5" t="s">
        <v>64</v>
      </c>
      <c r="AB2110" s="5" t="s">
        <v>10343</v>
      </c>
      <c r="AC2110" s="6" t="s">
        <v>67</v>
      </c>
      <c r="AD2110" s="6">
        <v>4102.0</v>
      </c>
    </row>
    <row r="2111" ht="56.25" customHeight="1">
      <c r="A2111" s="5" t="s">
        <v>10291</v>
      </c>
      <c r="B2111" s="6" t="str">
        <f>IMAGE("https://storage.googleapis.com/acdb/housewares/FtrPoolsidebed_Remake_2_1.png")</f>
        <v/>
      </c>
      <c r="C2111" s="5" t="s">
        <v>387</v>
      </c>
      <c r="D2111" s="5" t="s">
        <v>34</v>
      </c>
      <c r="E2111" s="5" t="s">
        <v>54</v>
      </c>
      <c r="F2111" s="5" t="s">
        <v>10293</v>
      </c>
      <c r="G2111" s="5" t="s">
        <v>36</v>
      </c>
      <c r="H2111" s="5" t="s">
        <v>36</v>
      </c>
      <c r="I2111" s="5" t="s">
        <v>35</v>
      </c>
      <c r="J2111" s="6">
        <v>2.0</v>
      </c>
      <c r="K2111" s="6">
        <v>3400.0</v>
      </c>
      <c r="L2111" s="6">
        <v>850.0</v>
      </c>
      <c r="M2111" s="26" t="s">
        <v>39</v>
      </c>
      <c r="N2111" s="26" t="s">
        <v>54</v>
      </c>
      <c r="O2111" s="6" t="s">
        <v>276</v>
      </c>
      <c r="P2111" s="5" t="s">
        <v>59</v>
      </c>
      <c r="Q2111" s="5" t="s">
        <v>122</v>
      </c>
      <c r="R2111" s="6" t="s">
        <v>42</v>
      </c>
      <c r="S2111" s="5" t="s">
        <v>138</v>
      </c>
      <c r="T2111" s="5" t="s">
        <v>116</v>
      </c>
      <c r="U2111" s="5" t="s">
        <v>44</v>
      </c>
      <c r="V2111" s="5" t="s">
        <v>44</v>
      </c>
      <c r="W2111" s="5" t="s">
        <v>35</v>
      </c>
      <c r="X2111" s="8" t="s">
        <v>218</v>
      </c>
      <c r="Y2111" s="5" t="s">
        <v>46</v>
      </c>
      <c r="Z2111" s="5" t="s">
        <v>47</v>
      </c>
      <c r="AA2111" s="5" t="s">
        <v>64</v>
      </c>
      <c r="AB2111" s="5" t="s">
        <v>10346</v>
      </c>
      <c r="AC2111" s="6" t="s">
        <v>247</v>
      </c>
      <c r="AD2111" s="6">
        <v>4102.0</v>
      </c>
    </row>
    <row r="2112" ht="56.25" customHeight="1">
      <c r="A2112" s="5" t="s">
        <v>10291</v>
      </c>
      <c r="B2112" s="6" t="str">
        <f>IMAGE("https://storage.googleapis.com/acdb/housewares/FtrPoolsidebed_Remake_2_2.png")</f>
        <v/>
      </c>
      <c r="C2112" s="5" t="s">
        <v>387</v>
      </c>
      <c r="D2112" s="5" t="s">
        <v>34</v>
      </c>
      <c r="E2112" s="5" t="s">
        <v>68</v>
      </c>
      <c r="F2112" s="5" t="s">
        <v>10293</v>
      </c>
      <c r="G2112" s="5" t="s">
        <v>36</v>
      </c>
      <c r="H2112" s="5" t="s">
        <v>36</v>
      </c>
      <c r="I2112" s="5" t="s">
        <v>35</v>
      </c>
      <c r="J2112" s="6">
        <v>2.0</v>
      </c>
      <c r="K2112" s="6">
        <v>3400.0</v>
      </c>
      <c r="L2112" s="6">
        <v>850.0</v>
      </c>
      <c r="M2112" s="26" t="s">
        <v>39</v>
      </c>
      <c r="N2112" s="26" t="s">
        <v>68</v>
      </c>
      <c r="O2112" s="6" t="s">
        <v>276</v>
      </c>
      <c r="P2112" s="5" t="s">
        <v>59</v>
      </c>
      <c r="Q2112" s="5" t="s">
        <v>122</v>
      </c>
      <c r="R2112" s="6" t="s">
        <v>42</v>
      </c>
      <c r="S2112" s="5" t="s">
        <v>138</v>
      </c>
      <c r="T2112" s="5" t="s">
        <v>116</v>
      </c>
      <c r="U2112" s="5" t="s">
        <v>44</v>
      </c>
      <c r="V2112" s="5" t="s">
        <v>44</v>
      </c>
      <c r="W2112" s="5" t="s">
        <v>35</v>
      </c>
      <c r="X2112" s="8" t="s">
        <v>218</v>
      </c>
      <c r="Y2112" s="5" t="s">
        <v>46</v>
      </c>
      <c r="Z2112" s="5" t="s">
        <v>47</v>
      </c>
      <c r="AA2112" s="5" t="s">
        <v>64</v>
      </c>
      <c r="AB2112" s="5" t="s">
        <v>10350</v>
      </c>
      <c r="AC2112" s="6" t="s">
        <v>390</v>
      </c>
      <c r="AD2112" s="6">
        <v>4102.0</v>
      </c>
    </row>
    <row r="2113" ht="56.25" customHeight="1">
      <c r="A2113" s="5" t="s">
        <v>10291</v>
      </c>
      <c r="B2113" s="6" t="str">
        <f>IMAGE("https://storage.googleapis.com/acdb/housewares/FtrPoolsidebed_Remake_2_3.png")</f>
        <v/>
      </c>
      <c r="C2113" s="5" t="s">
        <v>387</v>
      </c>
      <c r="D2113" s="5" t="s">
        <v>34</v>
      </c>
      <c r="E2113" s="5" t="s">
        <v>52</v>
      </c>
      <c r="F2113" s="5" t="s">
        <v>10293</v>
      </c>
      <c r="G2113" s="5" t="s">
        <v>36</v>
      </c>
      <c r="H2113" s="5" t="s">
        <v>36</v>
      </c>
      <c r="I2113" s="5" t="s">
        <v>35</v>
      </c>
      <c r="J2113" s="6">
        <v>2.0</v>
      </c>
      <c r="K2113" s="6">
        <v>3400.0</v>
      </c>
      <c r="L2113" s="6">
        <v>850.0</v>
      </c>
      <c r="M2113" s="26" t="s">
        <v>39</v>
      </c>
      <c r="N2113" s="26" t="s">
        <v>52</v>
      </c>
      <c r="O2113" s="6" t="s">
        <v>276</v>
      </c>
      <c r="P2113" s="5" t="s">
        <v>59</v>
      </c>
      <c r="Q2113" s="5" t="s">
        <v>122</v>
      </c>
      <c r="R2113" s="6" t="s">
        <v>42</v>
      </c>
      <c r="S2113" s="5" t="s">
        <v>138</v>
      </c>
      <c r="T2113" s="5" t="s">
        <v>116</v>
      </c>
      <c r="U2113" s="5" t="s">
        <v>44</v>
      </c>
      <c r="V2113" s="5" t="s">
        <v>44</v>
      </c>
      <c r="W2113" s="5" t="s">
        <v>35</v>
      </c>
      <c r="X2113" s="8" t="s">
        <v>218</v>
      </c>
      <c r="Y2113" s="5" t="s">
        <v>46</v>
      </c>
      <c r="Z2113" s="5" t="s">
        <v>47</v>
      </c>
      <c r="AA2113" s="5" t="s">
        <v>64</v>
      </c>
      <c r="AB2113" s="5" t="s">
        <v>10355</v>
      </c>
      <c r="AC2113" s="6" t="s">
        <v>396</v>
      </c>
      <c r="AD2113" s="6">
        <v>4102.0</v>
      </c>
    </row>
    <row r="2114" ht="56.25" customHeight="1">
      <c r="A2114" s="5" t="s">
        <v>10291</v>
      </c>
      <c r="B2114" s="6" t="str">
        <f>IMAGE("https://storage.googleapis.com/acdb/housewares/FtrPoolsidebed_Remake_2_4.png")</f>
        <v/>
      </c>
      <c r="C2114" s="5" t="s">
        <v>387</v>
      </c>
      <c r="D2114" s="5" t="s">
        <v>34</v>
      </c>
      <c r="E2114" s="5" t="s">
        <v>114</v>
      </c>
      <c r="F2114" s="5" t="s">
        <v>10293</v>
      </c>
      <c r="G2114" s="5" t="s">
        <v>36</v>
      </c>
      <c r="H2114" s="5" t="s">
        <v>36</v>
      </c>
      <c r="I2114" s="5" t="s">
        <v>35</v>
      </c>
      <c r="J2114" s="6">
        <v>2.0</v>
      </c>
      <c r="K2114" s="6">
        <v>3400.0</v>
      </c>
      <c r="L2114" s="6">
        <v>850.0</v>
      </c>
      <c r="M2114" s="26" t="s">
        <v>39</v>
      </c>
      <c r="N2114" s="26" t="s">
        <v>114</v>
      </c>
      <c r="O2114" s="6" t="s">
        <v>276</v>
      </c>
      <c r="P2114" s="5" t="s">
        <v>59</v>
      </c>
      <c r="Q2114" s="5" t="s">
        <v>122</v>
      </c>
      <c r="R2114" s="6" t="s">
        <v>42</v>
      </c>
      <c r="S2114" s="5" t="s">
        <v>138</v>
      </c>
      <c r="T2114" s="5" t="s">
        <v>116</v>
      </c>
      <c r="U2114" s="5" t="s">
        <v>44</v>
      </c>
      <c r="V2114" s="5" t="s">
        <v>44</v>
      </c>
      <c r="W2114" s="5" t="s">
        <v>35</v>
      </c>
      <c r="X2114" s="8" t="s">
        <v>218</v>
      </c>
      <c r="Y2114" s="5" t="s">
        <v>46</v>
      </c>
      <c r="Z2114" s="5" t="s">
        <v>47</v>
      </c>
      <c r="AA2114" s="5" t="s">
        <v>64</v>
      </c>
      <c r="AB2114" s="5" t="s">
        <v>10360</v>
      </c>
      <c r="AC2114" s="6" t="s">
        <v>541</v>
      </c>
      <c r="AD2114" s="6">
        <v>4102.0</v>
      </c>
    </row>
    <row r="2115" ht="56.25" customHeight="1">
      <c r="A2115" s="5" t="s">
        <v>10361</v>
      </c>
      <c r="B2115" s="6" t="str">
        <f>IMAGE("https://storage.googleapis.com/acdb/housewares/FtrPopcornmachine_Remake_0_0.png")</f>
        <v/>
      </c>
      <c r="C2115" s="5" t="s">
        <v>52</v>
      </c>
      <c r="D2115" s="5" t="s">
        <v>34</v>
      </c>
      <c r="E2115" s="5" t="s">
        <v>34</v>
      </c>
      <c r="F2115" s="5" t="s">
        <v>34</v>
      </c>
      <c r="G2115" s="5" t="s">
        <v>36</v>
      </c>
      <c r="H2115" s="5" t="s">
        <v>36</v>
      </c>
      <c r="I2115" s="5" t="s">
        <v>36</v>
      </c>
      <c r="J2115" s="6" t="s">
        <v>34</v>
      </c>
      <c r="K2115" s="6">
        <v>4900.0</v>
      </c>
      <c r="L2115" s="6">
        <v>1225.0</v>
      </c>
      <c r="M2115" s="26" t="s">
        <v>52</v>
      </c>
      <c r="N2115" s="26" t="s">
        <v>114</v>
      </c>
      <c r="O2115" s="6" t="s">
        <v>40</v>
      </c>
      <c r="P2115" s="5" t="s">
        <v>59</v>
      </c>
      <c r="Q2115" s="5" t="s">
        <v>89</v>
      </c>
      <c r="R2115" s="6" t="s">
        <v>42</v>
      </c>
      <c r="S2115" s="5" t="s">
        <v>141</v>
      </c>
      <c r="T2115" s="5" t="s">
        <v>465</v>
      </c>
      <c r="U2115" s="5" t="s">
        <v>44</v>
      </c>
      <c r="V2115" s="5" t="s">
        <v>44</v>
      </c>
      <c r="W2115" s="5" t="s">
        <v>35</v>
      </c>
      <c r="X2115" s="8" t="s">
        <v>194</v>
      </c>
      <c r="Y2115" s="5" t="s">
        <v>46</v>
      </c>
      <c r="Z2115" s="5" t="s">
        <v>47</v>
      </c>
      <c r="AA2115" s="5" t="s">
        <v>64</v>
      </c>
      <c r="AB2115" s="5" t="s">
        <v>10365</v>
      </c>
      <c r="AC2115" s="6" t="s">
        <v>50</v>
      </c>
      <c r="AD2115" s="6">
        <v>1092.0</v>
      </c>
    </row>
    <row r="2116" ht="56.25" customHeight="1">
      <c r="A2116" s="5" t="s">
        <v>10361</v>
      </c>
      <c r="B2116" s="6" t="str">
        <f>IMAGE("https://storage.googleapis.com/acdb/housewares/FtrPopcornmachine_Remake_1_0.png")</f>
        <v/>
      </c>
      <c r="C2116" s="5" t="s">
        <v>96</v>
      </c>
      <c r="D2116" s="5" t="s">
        <v>34</v>
      </c>
      <c r="E2116" s="5" t="s">
        <v>34</v>
      </c>
      <c r="F2116" s="5" t="s">
        <v>34</v>
      </c>
      <c r="G2116" s="5" t="s">
        <v>36</v>
      </c>
      <c r="H2116" s="5" t="s">
        <v>36</v>
      </c>
      <c r="I2116" s="5" t="s">
        <v>36</v>
      </c>
      <c r="J2116" s="6" t="s">
        <v>34</v>
      </c>
      <c r="K2116" s="6">
        <v>4900.0</v>
      </c>
      <c r="L2116" s="6">
        <v>1225.0</v>
      </c>
      <c r="M2116" s="26" t="s">
        <v>96</v>
      </c>
      <c r="N2116" s="26" t="s">
        <v>114</v>
      </c>
      <c r="O2116" s="6" t="s">
        <v>40</v>
      </c>
      <c r="P2116" s="5" t="s">
        <v>59</v>
      </c>
      <c r="Q2116" s="5" t="s">
        <v>89</v>
      </c>
      <c r="R2116" s="6" t="s">
        <v>42</v>
      </c>
      <c r="S2116" s="5" t="s">
        <v>141</v>
      </c>
      <c r="T2116" s="5" t="s">
        <v>465</v>
      </c>
      <c r="U2116" s="5" t="s">
        <v>44</v>
      </c>
      <c r="V2116" s="5" t="s">
        <v>44</v>
      </c>
      <c r="W2116" s="5" t="s">
        <v>35</v>
      </c>
      <c r="X2116" s="8" t="s">
        <v>194</v>
      </c>
      <c r="Y2116" s="5" t="s">
        <v>46</v>
      </c>
      <c r="Z2116" s="5" t="s">
        <v>47</v>
      </c>
      <c r="AA2116" s="5" t="s">
        <v>64</v>
      </c>
      <c r="AB2116" s="5" t="s">
        <v>10371</v>
      </c>
      <c r="AC2116" s="6" t="s">
        <v>56</v>
      </c>
      <c r="AD2116" s="6">
        <v>1092.0</v>
      </c>
    </row>
    <row r="2117" ht="56.25" customHeight="1">
      <c r="A2117" s="5" t="s">
        <v>10361</v>
      </c>
      <c r="B2117" s="6" t="str">
        <f>IMAGE("https://storage.googleapis.com/acdb/housewares/FtrPopcornmachine_Remake_2_0.png")</f>
        <v/>
      </c>
      <c r="C2117" s="5" t="s">
        <v>69</v>
      </c>
      <c r="D2117" s="5" t="s">
        <v>34</v>
      </c>
      <c r="E2117" s="5" t="s">
        <v>34</v>
      </c>
      <c r="F2117" s="5" t="s">
        <v>34</v>
      </c>
      <c r="G2117" s="5" t="s">
        <v>36</v>
      </c>
      <c r="H2117" s="5" t="s">
        <v>36</v>
      </c>
      <c r="I2117" s="5" t="s">
        <v>36</v>
      </c>
      <c r="J2117" s="6" t="s">
        <v>34</v>
      </c>
      <c r="K2117" s="6">
        <v>4900.0</v>
      </c>
      <c r="L2117" s="6">
        <v>1225.0</v>
      </c>
      <c r="M2117" s="26" t="s">
        <v>69</v>
      </c>
      <c r="N2117" s="26" t="s">
        <v>57</v>
      </c>
      <c r="O2117" s="6" t="s">
        <v>40</v>
      </c>
      <c r="P2117" s="5" t="s">
        <v>59</v>
      </c>
      <c r="Q2117" s="5" t="s">
        <v>89</v>
      </c>
      <c r="R2117" s="6" t="s">
        <v>42</v>
      </c>
      <c r="S2117" s="5" t="s">
        <v>141</v>
      </c>
      <c r="T2117" s="5" t="s">
        <v>465</v>
      </c>
      <c r="U2117" s="5" t="s">
        <v>44</v>
      </c>
      <c r="V2117" s="5" t="s">
        <v>44</v>
      </c>
      <c r="W2117" s="5" t="s">
        <v>35</v>
      </c>
      <c r="X2117" s="8" t="s">
        <v>194</v>
      </c>
      <c r="Y2117" s="5" t="s">
        <v>46</v>
      </c>
      <c r="Z2117" s="5" t="s">
        <v>47</v>
      </c>
      <c r="AA2117" s="5" t="s">
        <v>64</v>
      </c>
      <c r="AB2117" s="5" t="s">
        <v>10375</v>
      </c>
      <c r="AC2117" s="6" t="s">
        <v>67</v>
      </c>
      <c r="AD2117" s="6">
        <v>1092.0</v>
      </c>
    </row>
    <row r="2118" ht="56.25" customHeight="1">
      <c r="A2118" s="5" t="s">
        <v>10361</v>
      </c>
      <c r="B2118" s="6" t="str">
        <f>IMAGE("https://storage.googleapis.com/acdb/housewares/FtrPopcornmachine_Remake_3_0.png")</f>
        <v/>
      </c>
      <c r="C2118" s="5" t="s">
        <v>68</v>
      </c>
      <c r="D2118" s="5" t="s">
        <v>34</v>
      </c>
      <c r="E2118" s="5" t="s">
        <v>34</v>
      </c>
      <c r="F2118" s="5" t="s">
        <v>34</v>
      </c>
      <c r="G2118" s="5" t="s">
        <v>36</v>
      </c>
      <c r="H2118" s="5" t="s">
        <v>36</v>
      </c>
      <c r="I2118" s="5" t="s">
        <v>36</v>
      </c>
      <c r="J2118" s="6" t="s">
        <v>34</v>
      </c>
      <c r="K2118" s="6">
        <v>4900.0</v>
      </c>
      <c r="L2118" s="6">
        <v>1225.0</v>
      </c>
      <c r="M2118" s="26" t="s">
        <v>68</v>
      </c>
      <c r="N2118" s="26" t="s">
        <v>1175</v>
      </c>
      <c r="O2118" s="6" t="s">
        <v>40</v>
      </c>
      <c r="P2118" s="5" t="s">
        <v>59</v>
      </c>
      <c r="Q2118" s="5" t="s">
        <v>89</v>
      </c>
      <c r="R2118" s="6" t="s">
        <v>42</v>
      </c>
      <c r="S2118" s="5" t="s">
        <v>141</v>
      </c>
      <c r="T2118" s="5" t="s">
        <v>465</v>
      </c>
      <c r="U2118" s="5" t="s">
        <v>44</v>
      </c>
      <c r="V2118" s="5" t="s">
        <v>44</v>
      </c>
      <c r="W2118" s="5" t="s">
        <v>35</v>
      </c>
      <c r="X2118" s="8" t="s">
        <v>194</v>
      </c>
      <c r="Y2118" s="5" t="s">
        <v>46</v>
      </c>
      <c r="Z2118" s="5" t="s">
        <v>47</v>
      </c>
      <c r="AA2118" s="5" t="s">
        <v>64</v>
      </c>
      <c r="AB2118" s="5" t="s">
        <v>10381</v>
      </c>
      <c r="AC2118" s="6" t="s">
        <v>71</v>
      </c>
      <c r="AD2118" s="6">
        <v>1092.0</v>
      </c>
    </row>
    <row r="2119" ht="56.25" customHeight="1">
      <c r="A2119" s="5" t="s">
        <v>10361</v>
      </c>
      <c r="B2119" s="6" t="str">
        <f>IMAGE("https://storage.googleapis.com/acdb/housewares/FtrPopcornmachine_Remake_4_0.png")</f>
        <v/>
      </c>
      <c r="C2119" s="5" t="s">
        <v>54</v>
      </c>
      <c r="D2119" s="5" t="s">
        <v>34</v>
      </c>
      <c r="E2119" s="5" t="s">
        <v>34</v>
      </c>
      <c r="F2119" s="5" t="s">
        <v>34</v>
      </c>
      <c r="G2119" s="5" t="s">
        <v>36</v>
      </c>
      <c r="H2119" s="5" t="s">
        <v>36</v>
      </c>
      <c r="I2119" s="5" t="s">
        <v>36</v>
      </c>
      <c r="J2119" s="6" t="s">
        <v>34</v>
      </c>
      <c r="K2119" s="6">
        <v>4900.0</v>
      </c>
      <c r="L2119" s="6">
        <v>1225.0</v>
      </c>
      <c r="M2119" s="26" t="s">
        <v>54</v>
      </c>
      <c r="N2119" s="26" t="s">
        <v>114</v>
      </c>
      <c r="O2119" s="6" t="s">
        <v>40</v>
      </c>
      <c r="P2119" s="5" t="s">
        <v>59</v>
      </c>
      <c r="Q2119" s="5" t="s">
        <v>89</v>
      </c>
      <c r="R2119" s="6" t="s">
        <v>42</v>
      </c>
      <c r="S2119" s="5" t="s">
        <v>141</v>
      </c>
      <c r="T2119" s="5" t="s">
        <v>465</v>
      </c>
      <c r="U2119" s="5" t="s">
        <v>44</v>
      </c>
      <c r="V2119" s="5" t="s">
        <v>44</v>
      </c>
      <c r="W2119" s="5" t="s">
        <v>35</v>
      </c>
      <c r="X2119" s="8" t="s">
        <v>194</v>
      </c>
      <c r="Y2119" s="5" t="s">
        <v>46</v>
      </c>
      <c r="Z2119" s="5" t="s">
        <v>47</v>
      </c>
      <c r="AA2119" s="5" t="s">
        <v>64</v>
      </c>
      <c r="AB2119" s="5" t="s">
        <v>10384</v>
      </c>
      <c r="AC2119" s="6" t="s">
        <v>75</v>
      </c>
      <c r="AD2119" s="6">
        <v>1092.0</v>
      </c>
    </row>
    <row r="2120" ht="56.25" customHeight="1">
      <c r="A2120" s="5" t="s">
        <v>10386</v>
      </c>
      <c r="B2120" s="6" t="str">
        <f>IMAGE("https://storage.googleapis.com/acdb/housewares/FtrWCPortable_Remake_0_0.png")</f>
        <v/>
      </c>
      <c r="C2120" s="5" t="s">
        <v>9021</v>
      </c>
      <c r="D2120" s="5" t="s">
        <v>34</v>
      </c>
      <c r="E2120" s="5" t="s">
        <v>34</v>
      </c>
      <c r="F2120" s="5" t="s">
        <v>34</v>
      </c>
      <c r="G2120" s="5" t="s">
        <v>36</v>
      </c>
      <c r="H2120" s="5" t="s">
        <v>36</v>
      </c>
      <c r="I2120" s="5" t="s">
        <v>36</v>
      </c>
      <c r="J2120" s="6" t="s">
        <v>34</v>
      </c>
      <c r="K2120" s="6" t="s">
        <v>37</v>
      </c>
      <c r="L2120" s="6">
        <v>5000.0</v>
      </c>
      <c r="M2120" s="26" t="s">
        <v>1175</v>
      </c>
      <c r="N2120" s="26" t="s">
        <v>57</v>
      </c>
      <c r="O2120" s="6" t="s">
        <v>40</v>
      </c>
      <c r="P2120" s="5" t="s">
        <v>2140</v>
      </c>
      <c r="Q2120" s="5"/>
      <c r="R2120" s="6" t="s">
        <v>42</v>
      </c>
      <c r="S2120" s="5" t="s">
        <v>288</v>
      </c>
      <c r="T2120" s="5" t="s">
        <v>141</v>
      </c>
      <c r="U2120" s="5" t="s">
        <v>44</v>
      </c>
      <c r="V2120" s="5" t="s">
        <v>44</v>
      </c>
      <c r="W2120" s="5" t="s">
        <v>36</v>
      </c>
      <c r="X2120" s="8" t="s">
        <v>5512</v>
      </c>
      <c r="Y2120" s="5" t="s">
        <v>46</v>
      </c>
      <c r="Z2120" s="5" t="s">
        <v>47</v>
      </c>
      <c r="AA2120" s="5" t="s">
        <v>48</v>
      </c>
      <c r="AB2120" s="5" t="s">
        <v>10390</v>
      </c>
      <c r="AC2120" s="6" t="s">
        <v>50</v>
      </c>
      <c r="AD2120" s="6">
        <v>1234.0</v>
      </c>
    </row>
    <row r="2121" ht="56.25" customHeight="1">
      <c r="A2121" s="5" t="s">
        <v>10386</v>
      </c>
      <c r="B2121" s="6" t="str">
        <f>IMAGE("https://storage.googleapis.com/acdb/housewares/FtrWCPortable_Remake_1_0.png")</f>
        <v/>
      </c>
      <c r="C2121" s="5" t="s">
        <v>52</v>
      </c>
      <c r="D2121" s="5" t="s">
        <v>34</v>
      </c>
      <c r="E2121" s="5" t="s">
        <v>34</v>
      </c>
      <c r="F2121" s="5" t="s">
        <v>34</v>
      </c>
      <c r="G2121" s="5" t="s">
        <v>36</v>
      </c>
      <c r="H2121" s="5" t="s">
        <v>36</v>
      </c>
      <c r="I2121" s="5" t="s">
        <v>36</v>
      </c>
      <c r="J2121" s="6" t="s">
        <v>34</v>
      </c>
      <c r="K2121" s="6" t="s">
        <v>37</v>
      </c>
      <c r="L2121" s="6">
        <v>5000.0</v>
      </c>
      <c r="M2121" s="26" t="s">
        <v>52</v>
      </c>
      <c r="N2121" s="26" t="s">
        <v>57</v>
      </c>
      <c r="O2121" s="6" t="s">
        <v>40</v>
      </c>
      <c r="P2121" s="5" t="s">
        <v>2140</v>
      </c>
      <c r="Q2121" s="5"/>
      <c r="R2121" s="6" t="s">
        <v>42</v>
      </c>
      <c r="S2121" s="5" t="s">
        <v>288</v>
      </c>
      <c r="T2121" s="5" t="s">
        <v>141</v>
      </c>
      <c r="U2121" s="5" t="s">
        <v>44</v>
      </c>
      <c r="V2121" s="5" t="s">
        <v>44</v>
      </c>
      <c r="W2121" s="5" t="s">
        <v>36</v>
      </c>
      <c r="X2121" s="8" t="s">
        <v>5512</v>
      </c>
      <c r="Y2121" s="5" t="s">
        <v>46</v>
      </c>
      <c r="Z2121" s="5" t="s">
        <v>47</v>
      </c>
      <c r="AA2121" s="5" t="s">
        <v>48</v>
      </c>
      <c r="AB2121" s="5" t="s">
        <v>10393</v>
      </c>
      <c r="AC2121" s="6" t="s">
        <v>56</v>
      </c>
      <c r="AD2121" s="6">
        <v>1234.0</v>
      </c>
    </row>
    <row r="2122" ht="56.25" customHeight="1">
      <c r="A2122" s="5" t="s">
        <v>10386</v>
      </c>
      <c r="B2122" s="6" t="str">
        <f>IMAGE("https://storage.googleapis.com/acdb/housewares/FtrWCPortable_Remake_2_0.png")</f>
        <v/>
      </c>
      <c r="C2122" s="5" t="s">
        <v>68</v>
      </c>
      <c r="D2122" s="5" t="s">
        <v>34</v>
      </c>
      <c r="E2122" s="5" t="s">
        <v>34</v>
      </c>
      <c r="F2122" s="5" t="s">
        <v>34</v>
      </c>
      <c r="G2122" s="5" t="s">
        <v>36</v>
      </c>
      <c r="H2122" s="5" t="s">
        <v>36</v>
      </c>
      <c r="I2122" s="5" t="s">
        <v>36</v>
      </c>
      <c r="J2122" s="6" t="s">
        <v>34</v>
      </c>
      <c r="K2122" s="6" t="s">
        <v>37</v>
      </c>
      <c r="L2122" s="6">
        <v>5000.0</v>
      </c>
      <c r="M2122" s="26" t="s">
        <v>68</v>
      </c>
      <c r="N2122" s="26" t="s">
        <v>57</v>
      </c>
      <c r="O2122" s="6" t="s">
        <v>40</v>
      </c>
      <c r="P2122" s="5" t="s">
        <v>2140</v>
      </c>
      <c r="Q2122" s="5"/>
      <c r="R2122" s="6" t="s">
        <v>42</v>
      </c>
      <c r="S2122" s="5" t="s">
        <v>288</v>
      </c>
      <c r="T2122" s="5" t="s">
        <v>141</v>
      </c>
      <c r="U2122" s="5" t="s">
        <v>44</v>
      </c>
      <c r="V2122" s="5" t="s">
        <v>44</v>
      </c>
      <c r="W2122" s="5" t="s">
        <v>36</v>
      </c>
      <c r="X2122" s="8" t="s">
        <v>5512</v>
      </c>
      <c r="Y2122" s="5" t="s">
        <v>46</v>
      </c>
      <c r="Z2122" s="5" t="s">
        <v>47</v>
      </c>
      <c r="AA2122" s="5" t="s">
        <v>48</v>
      </c>
      <c r="AB2122" s="5" t="s">
        <v>10397</v>
      </c>
      <c r="AC2122" s="6" t="s">
        <v>67</v>
      </c>
      <c r="AD2122" s="6">
        <v>1234.0</v>
      </c>
    </row>
    <row r="2123" ht="56.25" customHeight="1">
      <c r="A2123" s="5" t="s">
        <v>10386</v>
      </c>
      <c r="B2123" s="6" t="str">
        <f>IMAGE("https://storage.googleapis.com/acdb/housewares/FtrWCPortable_Remake_3_0.png")</f>
        <v/>
      </c>
      <c r="C2123" s="5" t="s">
        <v>10398</v>
      </c>
      <c r="D2123" s="5" t="s">
        <v>34</v>
      </c>
      <c r="E2123" s="5" t="s">
        <v>34</v>
      </c>
      <c r="F2123" s="5" t="s">
        <v>34</v>
      </c>
      <c r="G2123" s="5" t="s">
        <v>36</v>
      </c>
      <c r="H2123" s="5" t="s">
        <v>36</v>
      </c>
      <c r="I2123" s="5" t="s">
        <v>36</v>
      </c>
      <c r="J2123" s="6" t="s">
        <v>34</v>
      </c>
      <c r="K2123" s="6" t="s">
        <v>37</v>
      </c>
      <c r="L2123" s="6">
        <v>5000.0</v>
      </c>
      <c r="M2123" s="26" t="s">
        <v>96</v>
      </c>
      <c r="N2123" s="26" t="s">
        <v>57</v>
      </c>
      <c r="O2123" s="6" t="s">
        <v>40</v>
      </c>
      <c r="P2123" s="5" t="s">
        <v>2140</v>
      </c>
      <c r="Q2123" s="5"/>
      <c r="R2123" s="6" t="s">
        <v>42</v>
      </c>
      <c r="S2123" s="5" t="s">
        <v>288</v>
      </c>
      <c r="T2123" s="5" t="s">
        <v>141</v>
      </c>
      <c r="U2123" s="5" t="s">
        <v>44</v>
      </c>
      <c r="V2123" s="5" t="s">
        <v>44</v>
      </c>
      <c r="W2123" s="5" t="s">
        <v>36</v>
      </c>
      <c r="X2123" s="8" t="s">
        <v>5512</v>
      </c>
      <c r="Y2123" s="5" t="s">
        <v>46</v>
      </c>
      <c r="Z2123" s="5" t="s">
        <v>47</v>
      </c>
      <c r="AA2123" s="5" t="s">
        <v>48</v>
      </c>
      <c r="AB2123" s="5" t="s">
        <v>10401</v>
      </c>
      <c r="AC2123" s="6" t="s">
        <v>71</v>
      </c>
      <c r="AD2123" s="6">
        <v>1234.0</v>
      </c>
    </row>
    <row r="2124" ht="56.25" customHeight="1">
      <c r="A2124" s="5" t="s">
        <v>10386</v>
      </c>
      <c r="B2124" s="6" t="str">
        <f>IMAGE("https://storage.googleapis.com/acdb/housewares/FtrWCPortable_Remake_4_0.png")</f>
        <v/>
      </c>
      <c r="C2124" s="5" t="s">
        <v>95</v>
      </c>
      <c r="D2124" s="5" t="s">
        <v>34</v>
      </c>
      <c r="E2124" s="5" t="s">
        <v>34</v>
      </c>
      <c r="F2124" s="5" t="s">
        <v>34</v>
      </c>
      <c r="G2124" s="5" t="s">
        <v>36</v>
      </c>
      <c r="H2124" s="5" t="s">
        <v>36</v>
      </c>
      <c r="I2124" s="5" t="s">
        <v>36</v>
      </c>
      <c r="J2124" s="6" t="s">
        <v>34</v>
      </c>
      <c r="K2124" s="6" t="s">
        <v>37</v>
      </c>
      <c r="L2124" s="6">
        <v>5000.0</v>
      </c>
      <c r="M2124" s="26" t="s">
        <v>95</v>
      </c>
      <c r="N2124" s="26" t="s">
        <v>57</v>
      </c>
      <c r="O2124" s="6" t="s">
        <v>40</v>
      </c>
      <c r="P2124" s="5" t="s">
        <v>2140</v>
      </c>
      <c r="Q2124" s="5"/>
      <c r="R2124" s="6" t="s">
        <v>42</v>
      </c>
      <c r="S2124" s="5" t="s">
        <v>288</v>
      </c>
      <c r="T2124" s="5" t="s">
        <v>141</v>
      </c>
      <c r="U2124" s="5" t="s">
        <v>44</v>
      </c>
      <c r="V2124" s="5" t="s">
        <v>44</v>
      </c>
      <c r="W2124" s="5" t="s">
        <v>36</v>
      </c>
      <c r="X2124" s="8" t="s">
        <v>5512</v>
      </c>
      <c r="Y2124" s="5" t="s">
        <v>46</v>
      </c>
      <c r="Z2124" s="5" t="s">
        <v>47</v>
      </c>
      <c r="AA2124" s="5" t="s">
        <v>48</v>
      </c>
      <c r="AB2124" s="5" t="s">
        <v>10405</v>
      </c>
      <c r="AC2124" s="6" t="s">
        <v>75</v>
      </c>
      <c r="AD2124" s="6">
        <v>1234.0</v>
      </c>
    </row>
    <row r="2125" ht="56.25" customHeight="1">
      <c r="A2125" s="5" t="s">
        <v>10406</v>
      </c>
      <c r="B2125" s="6" t="str">
        <f>IMAGE("https://storage.googleapis.com/acdb/housewares/FtrPublicbench_Remake_0_0.png")</f>
        <v/>
      </c>
      <c r="C2125" s="5" t="s">
        <v>68</v>
      </c>
      <c r="D2125" s="5" t="s">
        <v>34</v>
      </c>
      <c r="E2125" s="5" t="s">
        <v>34</v>
      </c>
      <c r="F2125" s="5" t="s">
        <v>34</v>
      </c>
      <c r="G2125" s="5" t="s">
        <v>36</v>
      </c>
      <c r="H2125" s="5" t="s">
        <v>36</v>
      </c>
      <c r="I2125" s="5" t="s">
        <v>36</v>
      </c>
      <c r="J2125" s="6" t="s">
        <v>34</v>
      </c>
      <c r="K2125" s="6" t="s">
        <v>37</v>
      </c>
      <c r="L2125" s="6">
        <v>10000.0</v>
      </c>
      <c r="M2125" s="26" t="s">
        <v>1175</v>
      </c>
      <c r="N2125" s="26" t="s">
        <v>1175</v>
      </c>
      <c r="O2125" s="6" t="s">
        <v>276</v>
      </c>
      <c r="P2125" s="5" t="s">
        <v>2140</v>
      </c>
      <c r="Q2125" s="5"/>
      <c r="R2125" s="6" t="s">
        <v>42</v>
      </c>
      <c r="S2125" s="5" t="s">
        <v>141</v>
      </c>
      <c r="T2125" s="5" t="s">
        <v>44</v>
      </c>
      <c r="U2125" s="5" t="s">
        <v>44</v>
      </c>
      <c r="V2125" s="5" t="s">
        <v>44</v>
      </c>
      <c r="W2125" s="5" t="s">
        <v>35</v>
      </c>
      <c r="X2125" s="8" t="s">
        <v>671</v>
      </c>
      <c r="Y2125" s="5" t="s">
        <v>46</v>
      </c>
      <c r="Z2125" s="5" t="s">
        <v>47</v>
      </c>
      <c r="AA2125" s="5" t="s">
        <v>48</v>
      </c>
      <c r="AB2125" s="5" t="s">
        <v>10411</v>
      </c>
      <c r="AC2125" s="6" t="s">
        <v>50</v>
      </c>
      <c r="AD2125" s="6">
        <v>3346.0</v>
      </c>
    </row>
    <row r="2126" ht="56.25" customHeight="1">
      <c r="A2126" s="5" t="s">
        <v>10406</v>
      </c>
      <c r="B2126" s="6" t="str">
        <f>IMAGE("https://storage.googleapis.com/acdb/housewares/FtrPublicbench_Remake_1_0.png")</f>
        <v/>
      </c>
      <c r="C2126" s="5" t="s">
        <v>96</v>
      </c>
      <c r="D2126" s="5" t="s">
        <v>34</v>
      </c>
      <c r="E2126" s="5" t="s">
        <v>34</v>
      </c>
      <c r="F2126" s="5" t="s">
        <v>34</v>
      </c>
      <c r="G2126" s="5" t="s">
        <v>36</v>
      </c>
      <c r="H2126" s="5" t="s">
        <v>36</v>
      </c>
      <c r="I2126" s="5" t="s">
        <v>36</v>
      </c>
      <c r="J2126" s="6" t="s">
        <v>34</v>
      </c>
      <c r="K2126" s="6" t="s">
        <v>37</v>
      </c>
      <c r="L2126" s="6">
        <v>10000.0</v>
      </c>
      <c r="M2126" s="26" t="s">
        <v>96</v>
      </c>
      <c r="N2126" s="26" t="s">
        <v>96</v>
      </c>
      <c r="O2126" s="6" t="s">
        <v>276</v>
      </c>
      <c r="P2126" s="5" t="s">
        <v>2140</v>
      </c>
      <c r="Q2126" s="5"/>
      <c r="R2126" s="6" t="s">
        <v>42</v>
      </c>
      <c r="S2126" s="5" t="s">
        <v>141</v>
      </c>
      <c r="T2126" s="5" t="s">
        <v>44</v>
      </c>
      <c r="U2126" s="5" t="s">
        <v>44</v>
      </c>
      <c r="V2126" s="5" t="s">
        <v>44</v>
      </c>
      <c r="W2126" s="5" t="s">
        <v>35</v>
      </c>
      <c r="X2126" s="8" t="s">
        <v>671</v>
      </c>
      <c r="Y2126" s="5" t="s">
        <v>46</v>
      </c>
      <c r="Z2126" s="5" t="s">
        <v>47</v>
      </c>
      <c r="AA2126" s="5" t="s">
        <v>48</v>
      </c>
      <c r="AB2126" s="5" t="s">
        <v>10415</v>
      </c>
      <c r="AC2126" s="6" t="s">
        <v>56</v>
      </c>
      <c r="AD2126" s="6">
        <v>3346.0</v>
      </c>
    </row>
    <row r="2127" ht="56.25" customHeight="1">
      <c r="A2127" s="5" t="s">
        <v>10406</v>
      </c>
      <c r="B2127" s="6" t="str">
        <f>IMAGE("https://storage.googleapis.com/acdb/housewares/FtrPublicbench_Remake_2_0.png")</f>
        <v/>
      </c>
      <c r="C2127" s="5" t="s">
        <v>52</v>
      </c>
      <c r="D2127" s="5" t="s">
        <v>34</v>
      </c>
      <c r="E2127" s="5" t="s">
        <v>34</v>
      </c>
      <c r="F2127" s="5" t="s">
        <v>34</v>
      </c>
      <c r="G2127" s="5" t="s">
        <v>36</v>
      </c>
      <c r="H2127" s="5" t="s">
        <v>36</v>
      </c>
      <c r="I2127" s="5" t="s">
        <v>36</v>
      </c>
      <c r="J2127" s="6" t="s">
        <v>34</v>
      </c>
      <c r="K2127" s="6" t="s">
        <v>37</v>
      </c>
      <c r="L2127" s="6">
        <v>10000.0</v>
      </c>
      <c r="M2127" s="26" t="s">
        <v>142</v>
      </c>
      <c r="N2127" s="26" t="s">
        <v>142</v>
      </c>
      <c r="O2127" s="6" t="s">
        <v>276</v>
      </c>
      <c r="P2127" s="5" t="s">
        <v>2140</v>
      </c>
      <c r="Q2127" s="5"/>
      <c r="R2127" s="6" t="s">
        <v>42</v>
      </c>
      <c r="S2127" s="5" t="s">
        <v>141</v>
      </c>
      <c r="T2127" s="5" t="s">
        <v>44</v>
      </c>
      <c r="U2127" s="5" t="s">
        <v>44</v>
      </c>
      <c r="V2127" s="5" t="s">
        <v>44</v>
      </c>
      <c r="W2127" s="5" t="s">
        <v>35</v>
      </c>
      <c r="X2127" s="8" t="s">
        <v>671</v>
      </c>
      <c r="Y2127" s="5" t="s">
        <v>46</v>
      </c>
      <c r="Z2127" s="5" t="s">
        <v>47</v>
      </c>
      <c r="AA2127" s="5" t="s">
        <v>48</v>
      </c>
      <c r="AB2127" s="5" t="s">
        <v>10419</v>
      </c>
      <c r="AC2127" s="6" t="s">
        <v>67</v>
      </c>
      <c r="AD2127" s="6">
        <v>3346.0</v>
      </c>
    </row>
    <row r="2128" ht="56.25" customHeight="1">
      <c r="A2128" s="5" t="s">
        <v>10406</v>
      </c>
      <c r="B2128" s="6" t="str">
        <f>IMAGE("https://storage.googleapis.com/acdb/housewares/FtrPublicbench_Remake_3_0.png")</f>
        <v/>
      </c>
      <c r="C2128" s="5" t="s">
        <v>57</v>
      </c>
      <c r="D2128" s="5" t="s">
        <v>34</v>
      </c>
      <c r="E2128" s="5" t="s">
        <v>34</v>
      </c>
      <c r="F2128" s="5" t="s">
        <v>34</v>
      </c>
      <c r="G2128" s="5" t="s">
        <v>36</v>
      </c>
      <c r="H2128" s="5" t="s">
        <v>36</v>
      </c>
      <c r="I2128" s="5" t="s">
        <v>36</v>
      </c>
      <c r="J2128" s="6" t="s">
        <v>34</v>
      </c>
      <c r="K2128" s="6" t="s">
        <v>37</v>
      </c>
      <c r="L2128" s="6">
        <v>10000.0</v>
      </c>
      <c r="M2128" s="26" t="s">
        <v>38</v>
      </c>
      <c r="N2128" s="26" t="s">
        <v>38</v>
      </c>
      <c r="O2128" s="6" t="s">
        <v>276</v>
      </c>
      <c r="P2128" s="5" t="s">
        <v>2140</v>
      </c>
      <c r="Q2128" s="5"/>
      <c r="R2128" s="6" t="s">
        <v>42</v>
      </c>
      <c r="S2128" s="5" t="s">
        <v>141</v>
      </c>
      <c r="T2128" s="5" t="s">
        <v>44</v>
      </c>
      <c r="U2128" s="5" t="s">
        <v>44</v>
      </c>
      <c r="V2128" s="5" t="s">
        <v>44</v>
      </c>
      <c r="W2128" s="5" t="s">
        <v>35</v>
      </c>
      <c r="X2128" s="8" t="s">
        <v>671</v>
      </c>
      <c r="Y2128" s="5" t="s">
        <v>46</v>
      </c>
      <c r="Z2128" s="5" t="s">
        <v>47</v>
      </c>
      <c r="AA2128" s="5" t="s">
        <v>48</v>
      </c>
      <c r="AB2128" s="5" t="s">
        <v>10423</v>
      </c>
      <c r="AC2128" s="6" t="s">
        <v>71</v>
      </c>
      <c r="AD2128" s="6">
        <v>3346.0</v>
      </c>
    </row>
    <row r="2129" ht="56.25" customHeight="1">
      <c r="A2129" s="5" t="s">
        <v>10406</v>
      </c>
      <c r="B2129" s="6" t="str">
        <f>IMAGE("https://storage.googleapis.com/acdb/housewares/FtrPublicbench_Remake_4_0.png")</f>
        <v/>
      </c>
      <c r="C2129" s="5" t="s">
        <v>10424</v>
      </c>
      <c r="D2129" s="5" t="s">
        <v>34</v>
      </c>
      <c r="E2129" s="5" t="s">
        <v>34</v>
      </c>
      <c r="F2129" s="5" t="s">
        <v>34</v>
      </c>
      <c r="G2129" s="5" t="s">
        <v>36</v>
      </c>
      <c r="H2129" s="5" t="s">
        <v>36</v>
      </c>
      <c r="I2129" s="5" t="s">
        <v>36</v>
      </c>
      <c r="J2129" s="6" t="s">
        <v>34</v>
      </c>
      <c r="K2129" s="6" t="s">
        <v>37</v>
      </c>
      <c r="L2129" s="6">
        <v>10000.0</v>
      </c>
      <c r="M2129" s="26" t="s">
        <v>114</v>
      </c>
      <c r="N2129" s="26" t="s">
        <v>68</v>
      </c>
      <c r="O2129" s="6" t="s">
        <v>276</v>
      </c>
      <c r="P2129" s="5" t="s">
        <v>2140</v>
      </c>
      <c r="Q2129" s="5"/>
      <c r="R2129" s="6" t="s">
        <v>42</v>
      </c>
      <c r="S2129" s="5" t="s">
        <v>141</v>
      </c>
      <c r="T2129" s="5" t="s">
        <v>44</v>
      </c>
      <c r="U2129" s="5" t="s">
        <v>44</v>
      </c>
      <c r="V2129" s="5" t="s">
        <v>44</v>
      </c>
      <c r="W2129" s="5" t="s">
        <v>35</v>
      </c>
      <c r="X2129" s="8" t="s">
        <v>671</v>
      </c>
      <c r="Y2129" s="5" t="s">
        <v>46</v>
      </c>
      <c r="Z2129" s="5" t="s">
        <v>47</v>
      </c>
      <c r="AA2129" s="5" t="s">
        <v>48</v>
      </c>
      <c r="AB2129" s="5" t="s">
        <v>10428</v>
      </c>
      <c r="AC2129" s="6" t="s">
        <v>75</v>
      </c>
      <c r="AD2129" s="6">
        <v>3346.0</v>
      </c>
    </row>
    <row r="2130" ht="56.25" customHeight="1">
      <c r="A2130" s="5" t="s">
        <v>10406</v>
      </c>
      <c r="B2130" s="6" t="str">
        <f>IMAGE("https://storage.googleapis.com/acdb/housewares/FtrPublicbench_Remake_5_0.png")</f>
        <v/>
      </c>
      <c r="C2130" s="5" t="s">
        <v>381</v>
      </c>
      <c r="D2130" s="5" t="s">
        <v>34</v>
      </c>
      <c r="E2130" s="5" t="s">
        <v>34</v>
      </c>
      <c r="F2130" s="5" t="s">
        <v>34</v>
      </c>
      <c r="G2130" s="5" t="s">
        <v>36</v>
      </c>
      <c r="H2130" s="5" t="s">
        <v>36</v>
      </c>
      <c r="I2130" s="5" t="s">
        <v>36</v>
      </c>
      <c r="J2130" s="6" t="s">
        <v>34</v>
      </c>
      <c r="K2130" s="6" t="s">
        <v>37</v>
      </c>
      <c r="L2130" s="6">
        <v>10000.0</v>
      </c>
      <c r="M2130" s="26" t="s">
        <v>142</v>
      </c>
      <c r="N2130" s="26" t="s">
        <v>96</v>
      </c>
      <c r="O2130" s="6" t="s">
        <v>276</v>
      </c>
      <c r="P2130" s="5" t="s">
        <v>2140</v>
      </c>
      <c r="Q2130" s="5"/>
      <c r="R2130" s="6" t="s">
        <v>42</v>
      </c>
      <c r="S2130" s="5" t="s">
        <v>141</v>
      </c>
      <c r="T2130" s="5" t="s">
        <v>44</v>
      </c>
      <c r="U2130" s="5" t="s">
        <v>44</v>
      </c>
      <c r="V2130" s="5" t="s">
        <v>44</v>
      </c>
      <c r="W2130" s="5" t="s">
        <v>35</v>
      </c>
      <c r="X2130" s="8" t="s">
        <v>671</v>
      </c>
      <c r="Y2130" s="5" t="s">
        <v>46</v>
      </c>
      <c r="Z2130" s="5" t="s">
        <v>47</v>
      </c>
      <c r="AA2130" s="5" t="s">
        <v>48</v>
      </c>
      <c r="AB2130" s="5" t="s">
        <v>10432</v>
      </c>
      <c r="AC2130" s="6" t="s">
        <v>79</v>
      </c>
      <c r="AD2130" s="6">
        <v>3346.0</v>
      </c>
    </row>
    <row r="2131" ht="56.25" customHeight="1">
      <c r="A2131" s="5" t="s">
        <v>10406</v>
      </c>
      <c r="B2131" s="6" t="str">
        <f>IMAGE("https://storage.googleapis.com/acdb/housewares/FtrPublicbench_Remake_6_0.png")</f>
        <v/>
      </c>
      <c r="C2131" s="5" t="s">
        <v>10434</v>
      </c>
      <c r="D2131" s="5" t="s">
        <v>34</v>
      </c>
      <c r="E2131" s="5" t="s">
        <v>34</v>
      </c>
      <c r="F2131" s="5" t="s">
        <v>34</v>
      </c>
      <c r="G2131" s="5" t="s">
        <v>36</v>
      </c>
      <c r="H2131" s="5" t="s">
        <v>36</v>
      </c>
      <c r="I2131" s="5" t="s">
        <v>36</v>
      </c>
      <c r="J2131" s="6" t="s">
        <v>34</v>
      </c>
      <c r="K2131" s="6" t="s">
        <v>37</v>
      </c>
      <c r="L2131" s="6">
        <v>10000.0</v>
      </c>
      <c r="M2131" s="26" t="s">
        <v>69</v>
      </c>
      <c r="N2131" s="26" t="s">
        <v>1175</v>
      </c>
      <c r="O2131" s="6" t="s">
        <v>276</v>
      </c>
      <c r="P2131" s="5" t="s">
        <v>2140</v>
      </c>
      <c r="Q2131" s="5"/>
      <c r="R2131" s="6" t="s">
        <v>42</v>
      </c>
      <c r="S2131" s="5" t="s">
        <v>141</v>
      </c>
      <c r="T2131" s="5" t="s">
        <v>44</v>
      </c>
      <c r="U2131" s="5" t="s">
        <v>44</v>
      </c>
      <c r="V2131" s="5" t="s">
        <v>44</v>
      </c>
      <c r="W2131" s="5" t="s">
        <v>35</v>
      </c>
      <c r="X2131" s="8" t="s">
        <v>671</v>
      </c>
      <c r="Y2131" s="5" t="s">
        <v>46</v>
      </c>
      <c r="Z2131" s="5" t="s">
        <v>47</v>
      </c>
      <c r="AA2131" s="5" t="s">
        <v>48</v>
      </c>
      <c r="AB2131" s="5" t="s">
        <v>10436</v>
      </c>
      <c r="AC2131" s="6" t="s">
        <v>86</v>
      </c>
      <c r="AD2131" s="6">
        <v>3346.0</v>
      </c>
    </row>
    <row r="2132" ht="56.25" customHeight="1">
      <c r="A2132" s="5" t="s">
        <v>10406</v>
      </c>
      <c r="B2132" s="6" t="str">
        <f>IMAGE("https://storage.googleapis.com/acdb/housewares/FtrPublicbench_Remake_7_0.png")</f>
        <v/>
      </c>
      <c r="C2132" s="5" t="s">
        <v>843</v>
      </c>
      <c r="D2132" s="5" t="s">
        <v>34</v>
      </c>
      <c r="E2132" s="5" t="s">
        <v>34</v>
      </c>
      <c r="F2132" s="5" t="s">
        <v>34</v>
      </c>
      <c r="G2132" s="5" t="s">
        <v>36</v>
      </c>
      <c r="H2132" s="5" t="s">
        <v>36</v>
      </c>
      <c r="I2132" s="5" t="s">
        <v>36</v>
      </c>
      <c r="J2132" s="6" t="s">
        <v>34</v>
      </c>
      <c r="K2132" s="6" t="s">
        <v>37</v>
      </c>
      <c r="L2132" s="6">
        <v>10000.0</v>
      </c>
      <c r="M2132" s="26" t="s">
        <v>54</v>
      </c>
      <c r="N2132" s="26" t="s">
        <v>57</v>
      </c>
      <c r="O2132" s="6" t="s">
        <v>276</v>
      </c>
      <c r="P2132" s="5" t="s">
        <v>2140</v>
      </c>
      <c r="Q2132" s="5"/>
      <c r="R2132" s="6" t="s">
        <v>42</v>
      </c>
      <c r="S2132" s="5" t="s">
        <v>141</v>
      </c>
      <c r="T2132" s="5" t="s">
        <v>44</v>
      </c>
      <c r="U2132" s="5" t="s">
        <v>44</v>
      </c>
      <c r="V2132" s="5" t="s">
        <v>44</v>
      </c>
      <c r="W2132" s="5" t="s">
        <v>35</v>
      </c>
      <c r="X2132" s="8" t="s">
        <v>671</v>
      </c>
      <c r="Y2132" s="5" t="s">
        <v>46</v>
      </c>
      <c r="Z2132" s="5" t="s">
        <v>47</v>
      </c>
      <c r="AA2132" s="5" t="s">
        <v>48</v>
      </c>
      <c r="AB2132" s="5" t="s">
        <v>10440</v>
      </c>
      <c r="AC2132" s="6" t="s">
        <v>208</v>
      </c>
      <c r="AD2132" s="6">
        <v>3346.0</v>
      </c>
    </row>
    <row r="2133" ht="56.25" customHeight="1">
      <c r="A2133" s="5" t="s">
        <v>10441</v>
      </c>
      <c r="B2133" s="6" t="str">
        <f>IMAGE("https://storage.googleapis.com/acdb/housewares/FtrPullupstand_Remake_0_0.png")</f>
        <v/>
      </c>
      <c r="C2133" s="5" t="s">
        <v>54</v>
      </c>
      <c r="D2133" s="5" t="s">
        <v>34</v>
      </c>
      <c r="E2133" s="5" t="s">
        <v>34</v>
      </c>
      <c r="F2133" s="5" t="s">
        <v>34</v>
      </c>
      <c r="G2133" s="5" t="s">
        <v>36</v>
      </c>
      <c r="H2133" s="5" t="s">
        <v>36</v>
      </c>
      <c r="I2133" s="5" t="s">
        <v>36</v>
      </c>
      <c r="J2133" s="6" t="s">
        <v>34</v>
      </c>
      <c r="K2133" s="6">
        <v>4800.0</v>
      </c>
      <c r="L2133" s="6">
        <v>1200.0</v>
      </c>
      <c r="M2133" s="26" t="s">
        <v>54</v>
      </c>
      <c r="N2133" s="26" t="s">
        <v>95</v>
      </c>
      <c r="O2133" s="6" t="s">
        <v>40</v>
      </c>
      <c r="P2133" s="5" t="s">
        <v>59</v>
      </c>
      <c r="Q2133" s="5" t="s">
        <v>122</v>
      </c>
      <c r="R2133" s="6" t="s">
        <v>42</v>
      </c>
      <c r="S2133" s="5" t="s">
        <v>474</v>
      </c>
      <c r="T2133" s="5" t="s">
        <v>44</v>
      </c>
      <c r="U2133" s="5" t="s">
        <v>44</v>
      </c>
      <c r="V2133" s="5" t="s">
        <v>44</v>
      </c>
      <c r="W2133" s="5" t="s">
        <v>36</v>
      </c>
      <c r="X2133" s="8" t="s">
        <v>475</v>
      </c>
      <c r="Y2133" s="5" t="s">
        <v>46</v>
      </c>
      <c r="Z2133" s="5" t="s">
        <v>47</v>
      </c>
      <c r="AA2133" s="5" t="s">
        <v>64</v>
      </c>
      <c r="AB2133" s="5" t="s">
        <v>10444</v>
      </c>
      <c r="AC2133" s="6" t="s">
        <v>50</v>
      </c>
      <c r="AD2133" s="6">
        <v>7845.0</v>
      </c>
    </row>
    <row r="2134" ht="56.25" customHeight="1">
      <c r="A2134" s="5" t="s">
        <v>10441</v>
      </c>
      <c r="B2134" s="6" t="str">
        <f>IMAGE("https://storage.googleapis.com/acdb/housewares/FtrPullupstand_Remake_1_0.png")</f>
        <v/>
      </c>
      <c r="C2134" s="5" t="s">
        <v>52</v>
      </c>
      <c r="D2134" s="5" t="s">
        <v>34</v>
      </c>
      <c r="E2134" s="5" t="s">
        <v>34</v>
      </c>
      <c r="F2134" s="5" t="s">
        <v>34</v>
      </c>
      <c r="G2134" s="5" t="s">
        <v>36</v>
      </c>
      <c r="H2134" s="5" t="s">
        <v>36</v>
      </c>
      <c r="I2134" s="5" t="s">
        <v>36</v>
      </c>
      <c r="J2134" s="6" t="s">
        <v>34</v>
      </c>
      <c r="K2134" s="6">
        <v>4800.0</v>
      </c>
      <c r="L2134" s="6">
        <v>1200.0</v>
      </c>
      <c r="M2134" s="26" t="s">
        <v>52</v>
      </c>
      <c r="N2134" s="26" t="s">
        <v>54</v>
      </c>
      <c r="O2134" s="6" t="s">
        <v>40</v>
      </c>
      <c r="P2134" s="5" t="s">
        <v>59</v>
      </c>
      <c r="Q2134" s="5" t="s">
        <v>122</v>
      </c>
      <c r="R2134" s="6" t="s">
        <v>42</v>
      </c>
      <c r="S2134" s="5" t="s">
        <v>474</v>
      </c>
      <c r="T2134" s="5" t="s">
        <v>44</v>
      </c>
      <c r="U2134" s="5" t="s">
        <v>44</v>
      </c>
      <c r="V2134" s="5" t="s">
        <v>44</v>
      </c>
      <c r="W2134" s="5" t="s">
        <v>36</v>
      </c>
      <c r="X2134" s="8" t="s">
        <v>475</v>
      </c>
      <c r="Y2134" s="5" t="s">
        <v>46</v>
      </c>
      <c r="Z2134" s="5" t="s">
        <v>47</v>
      </c>
      <c r="AA2134" s="5" t="s">
        <v>64</v>
      </c>
      <c r="AB2134" s="5" t="s">
        <v>10447</v>
      </c>
      <c r="AC2134" s="6" t="s">
        <v>56</v>
      </c>
      <c r="AD2134" s="6">
        <v>7845.0</v>
      </c>
    </row>
    <row r="2135" ht="56.25" customHeight="1">
      <c r="A2135" s="5" t="s">
        <v>10441</v>
      </c>
      <c r="B2135" s="6" t="str">
        <f>IMAGE("https://storage.googleapis.com/acdb/housewares/FtrPullupstand_Remake_2_0.png")</f>
        <v/>
      </c>
      <c r="C2135" s="5" t="s">
        <v>114</v>
      </c>
      <c r="D2135" s="5" t="s">
        <v>34</v>
      </c>
      <c r="E2135" s="5" t="s">
        <v>34</v>
      </c>
      <c r="F2135" s="5" t="s">
        <v>34</v>
      </c>
      <c r="G2135" s="5" t="s">
        <v>36</v>
      </c>
      <c r="H2135" s="5" t="s">
        <v>36</v>
      </c>
      <c r="I2135" s="5" t="s">
        <v>36</v>
      </c>
      <c r="J2135" s="6" t="s">
        <v>34</v>
      </c>
      <c r="K2135" s="6">
        <v>4800.0</v>
      </c>
      <c r="L2135" s="6">
        <v>1200.0</v>
      </c>
      <c r="M2135" s="26" t="s">
        <v>114</v>
      </c>
      <c r="N2135" s="26" t="s">
        <v>54</v>
      </c>
      <c r="O2135" s="6" t="s">
        <v>40</v>
      </c>
      <c r="P2135" s="5" t="s">
        <v>59</v>
      </c>
      <c r="Q2135" s="5" t="s">
        <v>122</v>
      </c>
      <c r="R2135" s="6" t="s">
        <v>42</v>
      </c>
      <c r="S2135" s="5" t="s">
        <v>474</v>
      </c>
      <c r="T2135" s="5" t="s">
        <v>44</v>
      </c>
      <c r="U2135" s="5" t="s">
        <v>44</v>
      </c>
      <c r="V2135" s="5" t="s">
        <v>44</v>
      </c>
      <c r="W2135" s="5" t="s">
        <v>36</v>
      </c>
      <c r="X2135" s="8" t="s">
        <v>475</v>
      </c>
      <c r="Y2135" s="5" t="s">
        <v>46</v>
      </c>
      <c r="Z2135" s="5" t="s">
        <v>47</v>
      </c>
      <c r="AA2135" s="5" t="s">
        <v>64</v>
      </c>
      <c r="AB2135" s="5" t="s">
        <v>10450</v>
      </c>
      <c r="AC2135" s="6" t="s">
        <v>67</v>
      </c>
      <c r="AD2135" s="6">
        <v>7845.0</v>
      </c>
    </row>
    <row r="2136" ht="56.25" customHeight="1">
      <c r="A2136" s="5" t="s">
        <v>10441</v>
      </c>
      <c r="B2136" s="6" t="str">
        <f>IMAGE("https://storage.googleapis.com/acdb/housewares/FtrPullupstand_Remake_3_0.png")</f>
        <v/>
      </c>
      <c r="C2136" s="5" t="s">
        <v>68</v>
      </c>
      <c r="D2136" s="5" t="s">
        <v>34</v>
      </c>
      <c r="E2136" s="5" t="s">
        <v>34</v>
      </c>
      <c r="F2136" s="5" t="s">
        <v>34</v>
      </c>
      <c r="G2136" s="5" t="s">
        <v>36</v>
      </c>
      <c r="H2136" s="5" t="s">
        <v>36</v>
      </c>
      <c r="I2136" s="5" t="s">
        <v>36</v>
      </c>
      <c r="J2136" s="6" t="s">
        <v>34</v>
      </c>
      <c r="K2136" s="6">
        <v>4800.0</v>
      </c>
      <c r="L2136" s="6">
        <v>1200.0</v>
      </c>
      <c r="M2136" s="26" t="s">
        <v>68</v>
      </c>
      <c r="N2136" s="26" t="s">
        <v>54</v>
      </c>
      <c r="O2136" s="6" t="s">
        <v>40</v>
      </c>
      <c r="P2136" s="5" t="s">
        <v>59</v>
      </c>
      <c r="Q2136" s="5" t="s">
        <v>122</v>
      </c>
      <c r="R2136" s="6" t="s">
        <v>42</v>
      </c>
      <c r="S2136" s="5" t="s">
        <v>474</v>
      </c>
      <c r="T2136" s="5" t="s">
        <v>44</v>
      </c>
      <c r="U2136" s="5" t="s">
        <v>44</v>
      </c>
      <c r="V2136" s="5" t="s">
        <v>44</v>
      </c>
      <c r="W2136" s="5" t="s">
        <v>36</v>
      </c>
      <c r="X2136" s="8" t="s">
        <v>475</v>
      </c>
      <c r="Y2136" s="5" t="s">
        <v>46</v>
      </c>
      <c r="Z2136" s="5" t="s">
        <v>47</v>
      </c>
      <c r="AA2136" s="5" t="s">
        <v>64</v>
      </c>
      <c r="AB2136" s="5" t="s">
        <v>10454</v>
      </c>
      <c r="AC2136" s="6" t="s">
        <v>71</v>
      </c>
      <c r="AD2136" s="6">
        <v>7845.0</v>
      </c>
    </row>
    <row r="2137" ht="56.25" customHeight="1">
      <c r="A2137" s="5" t="s">
        <v>10455</v>
      </c>
      <c r="B2137" s="6" t="str">
        <f>IMAGE("https://storage.googleapis.com/acdb/housewares/FtrSandbag_Remake_0_0.png")</f>
        <v/>
      </c>
      <c r="C2137" s="5" t="s">
        <v>52</v>
      </c>
      <c r="D2137" s="5" t="s">
        <v>34</v>
      </c>
      <c r="E2137" s="5" t="s">
        <v>34</v>
      </c>
      <c r="F2137" s="5" t="s">
        <v>34</v>
      </c>
      <c r="G2137" s="5" t="s">
        <v>36</v>
      </c>
      <c r="H2137" s="5" t="s">
        <v>36</v>
      </c>
      <c r="I2137" s="5" t="s">
        <v>36</v>
      </c>
      <c r="J2137" s="6" t="s">
        <v>34</v>
      </c>
      <c r="K2137" s="6">
        <v>3800.0</v>
      </c>
      <c r="L2137" s="6">
        <v>950.0</v>
      </c>
      <c r="M2137" s="26" t="s">
        <v>52</v>
      </c>
      <c r="N2137" s="26" t="s">
        <v>54</v>
      </c>
      <c r="O2137" s="6" t="s">
        <v>40</v>
      </c>
      <c r="P2137" s="5" t="s">
        <v>59</v>
      </c>
      <c r="Q2137" s="5" t="s">
        <v>89</v>
      </c>
      <c r="R2137" s="6" t="s">
        <v>42</v>
      </c>
      <c r="S2137" s="5" t="s">
        <v>474</v>
      </c>
      <c r="T2137" s="5" t="s">
        <v>44</v>
      </c>
      <c r="U2137" s="5" t="s">
        <v>44</v>
      </c>
      <c r="V2137" s="5" t="s">
        <v>44</v>
      </c>
      <c r="W2137" s="5" t="s">
        <v>35</v>
      </c>
      <c r="X2137" s="8" t="s">
        <v>475</v>
      </c>
      <c r="Y2137" s="5" t="s">
        <v>46</v>
      </c>
      <c r="Z2137" s="5" t="s">
        <v>47</v>
      </c>
      <c r="AA2137" s="5" t="s">
        <v>64</v>
      </c>
      <c r="AB2137" s="5" t="s">
        <v>10459</v>
      </c>
      <c r="AC2137" s="6" t="s">
        <v>50</v>
      </c>
      <c r="AD2137" s="6">
        <v>4013.0</v>
      </c>
    </row>
    <row r="2138" ht="56.25" customHeight="1">
      <c r="A2138" s="5" t="s">
        <v>10455</v>
      </c>
      <c r="B2138" s="6" t="str">
        <f>IMAGE("https://storage.googleapis.com/acdb/housewares/FtrSandbag_Remake_1_0.png")</f>
        <v/>
      </c>
      <c r="C2138" s="5" t="s">
        <v>68</v>
      </c>
      <c r="D2138" s="5" t="s">
        <v>34</v>
      </c>
      <c r="E2138" s="5" t="s">
        <v>34</v>
      </c>
      <c r="F2138" s="5" t="s">
        <v>34</v>
      </c>
      <c r="G2138" s="5" t="s">
        <v>36</v>
      </c>
      <c r="H2138" s="5" t="s">
        <v>36</v>
      </c>
      <c r="I2138" s="5" t="s">
        <v>36</v>
      </c>
      <c r="J2138" s="6" t="s">
        <v>34</v>
      </c>
      <c r="K2138" s="6">
        <v>3800.0</v>
      </c>
      <c r="L2138" s="6">
        <v>950.0</v>
      </c>
      <c r="M2138" s="26" t="s">
        <v>68</v>
      </c>
      <c r="N2138" s="26" t="s">
        <v>54</v>
      </c>
      <c r="O2138" s="6" t="s">
        <v>40</v>
      </c>
      <c r="P2138" s="5" t="s">
        <v>59</v>
      </c>
      <c r="Q2138" s="5" t="s">
        <v>89</v>
      </c>
      <c r="R2138" s="6" t="s">
        <v>42</v>
      </c>
      <c r="S2138" s="5" t="s">
        <v>474</v>
      </c>
      <c r="T2138" s="5" t="s">
        <v>44</v>
      </c>
      <c r="U2138" s="5" t="s">
        <v>44</v>
      </c>
      <c r="V2138" s="5" t="s">
        <v>44</v>
      </c>
      <c r="W2138" s="5" t="s">
        <v>35</v>
      </c>
      <c r="X2138" s="8" t="s">
        <v>475</v>
      </c>
      <c r="Y2138" s="5" t="s">
        <v>46</v>
      </c>
      <c r="Z2138" s="5" t="s">
        <v>47</v>
      </c>
      <c r="AA2138" s="5" t="s">
        <v>64</v>
      </c>
      <c r="AB2138" s="5" t="s">
        <v>10463</v>
      </c>
      <c r="AC2138" s="6" t="s">
        <v>56</v>
      </c>
      <c r="AD2138" s="6">
        <v>4013.0</v>
      </c>
    </row>
    <row r="2139" ht="56.25" customHeight="1">
      <c r="A2139" s="5" t="s">
        <v>10455</v>
      </c>
      <c r="B2139" s="6" t="str">
        <f>IMAGE("https://storage.googleapis.com/acdb/housewares/FtrSandbag_Remake_2_0.png")</f>
        <v/>
      </c>
      <c r="C2139" s="5" t="s">
        <v>54</v>
      </c>
      <c r="D2139" s="5" t="s">
        <v>34</v>
      </c>
      <c r="E2139" s="5" t="s">
        <v>34</v>
      </c>
      <c r="F2139" s="5" t="s">
        <v>34</v>
      </c>
      <c r="G2139" s="5" t="s">
        <v>36</v>
      </c>
      <c r="H2139" s="5" t="s">
        <v>36</v>
      </c>
      <c r="I2139" s="5" t="s">
        <v>36</v>
      </c>
      <c r="J2139" s="6" t="s">
        <v>34</v>
      </c>
      <c r="K2139" s="6">
        <v>3800.0</v>
      </c>
      <c r="L2139" s="6">
        <v>950.0</v>
      </c>
      <c r="M2139" s="26" t="s">
        <v>54</v>
      </c>
      <c r="N2139" s="26" t="s">
        <v>95</v>
      </c>
      <c r="O2139" s="6" t="s">
        <v>40</v>
      </c>
      <c r="P2139" s="5" t="s">
        <v>59</v>
      </c>
      <c r="Q2139" s="5" t="s">
        <v>89</v>
      </c>
      <c r="R2139" s="6" t="s">
        <v>42</v>
      </c>
      <c r="S2139" s="5" t="s">
        <v>474</v>
      </c>
      <c r="T2139" s="5" t="s">
        <v>44</v>
      </c>
      <c r="U2139" s="5" t="s">
        <v>44</v>
      </c>
      <c r="V2139" s="5" t="s">
        <v>44</v>
      </c>
      <c r="W2139" s="5" t="s">
        <v>35</v>
      </c>
      <c r="X2139" s="8" t="s">
        <v>475</v>
      </c>
      <c r="Y2139" s="5" t="s">
        <v>46</v>
      </c>
      <c r="Z2139" s="5" t="s">
        <v>47</v>
      </c>
      <c r="AA2139" s="5" t="s">
        <v>64</v>
      </c>
      <c r="AB2139" s="5" t="s">
        <v>10470</v>
      </c>
      <c r="AC2139" s="6" t="s">
        <v>67</v>
      </c>
      <c r="AD2139" s="6">
        <v>4013.0</v>
      </c>
    </row>
    <row r="2140" ht="56.25" customHeight="1">
      <c r="A2140" s="5" t="s">
        <v>10471</v>
      </c>
      <c r="B2140" s="6" t="str">
        <f>IMAGE("https://storage.googleapis.com/acdb/housewares/FtrPyramid.png")</f>
        <v/>
      </c>
      <c r="C2140" s="5" t="s">
        <v>34</v>
      </c>
      <c r="D2140" s="5" t="s">
        <v>34</v>
      </c>
      <c r="E2140" s="5" t="s">
        <v>34</v>
      </c>
      <c r="F2140" s="5" t="s">
        <v>34</v>
      </c>
      <c r="G2140" s="5" t="s">
        <v>36</v>
      </c>
      <c r="H2140" s="5" t="s">
        <v>36</v>
      </c>
      <c r="I2140" s="5" t="s">
        <v>36</v>
      </c>
      <c r="J2140" s="6" t="s">
        <v>34</v>
      </c>
      <c r="K2140" s="6" t="s">
        <v>37</v>
      </c>
      <c r="L2140" s="6">
        <v>2300.0</v>
      </c>
      <c r="M2140" s="5" t="s">
        <v>38</v>
      </c>
      <c r="N2140" s="5" t="s">
        <v>38</v>
      </c>
      <c r="O2140" s="6" t="s">
        <v>4708</v>
      </c>
      <c r="P2140" s="5" t="s">
        <v>1284</v>
      </c>
      <c r="Q2140" s="5"/>
      <c r="R2140" s="6" t="s">
        <v>42</v>
      </c>
      <c r="S2140" s="5" t="s">
        <v>696</v>
      </c>
      <c r="T2140" s="5" t="s">
        <v>44</v>
      </c>
      <c r="U2140" s="5" t="s">
        <v>44</v>
      </c>
      <c r="V2140" s="5" t="s">
        <v>44</v>
      </c>
      <c r="W2140" s="5" t="s">
        <v>36</v>
      </c>
      <c r="X2140" s="8" t="s">
        <v>1285</v>
      </c>
      <c r="Y2140" s="5" t="s">
        <v>46</v>
      </c>
      <c r="Z2140" s="5" t="s">
        <v>47</v>
      </c>
      <c r="AA2140" s="5" t="s">
        <v>48</v>
      </c>
      <c r="AB2140" s="5" t="s">
        <v>10475</v>
      </c>
      <c r="AC2140" s="6" t="s">
        <v>34</v>
      </c>
      <c r="AD2140" s="6">
        <v>8608.0</v>
      </c>
    </row>
    <row r="2141" ht="56.25" customHeight="1">
      <c r="A2141" s="5" t="s">
        <v>10477</v>
      </c>
      <c r="B2141" s="6" t="str">
        <f>IMAGE("https://storage.googleapis.com/acdb/housewares/FtrOrnamentTanuki.png")</f>
        <v/>
      </c>
      <c r="C2141" s="5" t="s">
        <v>34</v>
      </c>
      <c r="D2141" s="5" t="s">
        <v>34</v>
      </c>
      <c r="E2141" s="5" t="s">
        <v>34</v>
      </c>
      <c r="F2141" s="5" t="s">
        <v>34</v>
      </c>
      <c r="G2141" s="5" t="s">
        <v>35</v>
      </c>
      <c r="H2141" s="5" t="s">
        <v>36</v>
      </c>
      <c r="I2141" s="5" t="s">
        <v>36</v>
      </c>
      <c r="J2141" s="6" t="s">
        <v>34</v>
      </c>
      <c r="K2141" s="6" t="s">
        <v>37</v>
      </c>
      <c r="L2141" s="6">
        <v>1200.0</v>
      </c>
      <c r="M2141" s="5" t="s">
        <v>39</v>
      </c>
      <c r="N2141" s="5" t="s">
        <v>57</v>
      </c>
      <c r="O2141" s="6" t="s">
        <v>40</v>
      </c>
      <c r="P2141" s="5" t="s">
        <v>41</v>
      </c>
      <c r="Q2141" s="5"/>
      <c r="R2141" s="6" t="s">
        <v>42</v>
      </c>
      <c r="S2141" s="5" t="s">
        <v>266</v>
      </c>
      <c r="T2141" s="5" t="s">
        <v>44</v>
      </c>
      <c r="U2141" s="5" t="s">
        <v>44</v>
      </c>
      <c r="V2141" s="5" t="s">
        <v>44</v>
      </c>
      <c r="W2141" s="5" t="s">
        <v>36</v>
      </c>
      <c r="X2141" s="8" t="s">
        <v>650</v>
      </c>
      <c r="Y2141" s="5" t="s">
        <v>46</v>
      </c>
      <c r="Z2141" s="5" t="s">
        <v>47</v>
      </c>
      <c r="AA2141" s="5" t="s">
        <v>48</v>
      </c>
      <c r="AB2141" s="5" t="s">
        <v>10482</v>
      </c>
      <c r="AC2141" s="6" t="s">
        <v>34</v>
      </c>
      <c r="AD2141" s="6">
        <v>7452.0</v>
      </c>
    </row>
    <row r="2142" ht="56.25" customHeight="1">
      <c r="A2142" s="5" t="s">
        <v>10484</v>
      </c>
      <c r="B2142" s="6" t="str">
        <f>IMAGE("https://storage.googleapis.com/acdb/housewares/FtrRattanChairS_Remake_0_0.png")</f>
        <v/>
      </c>
      <c r="C2142" s="5" t="s">
        <v>39</v>
      </c>
      <c r="D2142" s="5" t="s">
        <v>34</v>
      </c>
      <c r="E2142" s="5" t="s">
        <v>34</v>
      </c>
      <c r="F2142" s="5" t="s">
        <v>34</v>
      </c>
      <c r="G2142" s="5" t="s">
        <v>36</v>
      </c>
      <c r="H2142" s="5" t="s">
        <v>36</v>
      </c>
      <c r="I2142" s="5" t="s">
        <v>36</v>
      </c>
      <c r="J2142" s="6" t="s">
        <v>34</v>
      </c>
      <c r="K2142" s="6">
        <v>3200.0</v>
      </c>
      <c r="L2142" s="6">
        <v>800.0</v>
      </c>
      <c r="M2142" s="26" t="s">
        <v>57</v>
      </c>
      <c r="N2142" s="26" t="s">
        <v>39</v>
      </c>
      <c r="O2142" s="6" t="s">
        <v>40</v>
      </c>
      <c r="P2142" s="5" t="s">
        <v>59</v>
      </c>
      <c r="Q2142" s="5" t="s">
        <v>122</v>
      </c>
      <c r="R2142" s="6" t="s">
        <v>42</v>
      </c>
      <c r="S2142" s="5" t="s">
        <v>90</v>
      </c>
      <c r="T2142" s="5" t="s">
        <v>44</v>
      </c>
      <c r="U2142" s="5" t="s">
        <v>4533</v>
      </c>
      <c r="V2142" s="5" t="s">
        <v>44</v>
      </c>
      <c r="W2142" s="5" t="s">
        <v>35</v>
      </c>
      <c r="X2142" s="8" t="s">
        <v>671</v>
      </c>
      <c r="Y2142" s="5" t="s">
        <v>46</v>
      </c>
      <c r="Z2142" s="5" t="s">
        <v>47</v>
      </c>
      <c r="AA2142" s="5" t="s">
        <v>64</v>
      </c>
      <c r="AB2142" s="5" t="s">
        <v>10489</v>
      </c>
      <c r="AC2142" s="6" t="s">
        <v>50</v>
      </c>
      <c r="AD2142" s="6">
        <v>4053.0</v>
      </c>
    </row>
    <row r="2143" ht="56.25" customHeight="1">
      <c r="A2143" s="5" t="s">
        <v>10484</v>
      </c>
      <c r="B2143" s="6" t="str">
        <f>IMAGE("https://storage.googleapis.com/acdb/housewares/FtrRattanChairS_Remake_1_0.png")</f>
        <v/>
      </c>
      <c r="C2143" s="5" t="s">
        <v>4586</v>
      </c>
      <c r="D2143" s="5" t="s">
        <v>34</v>
      </c>
      <c r="E2143" s="5" t="s">
        <v>34</v>
      </c>
      <c r="F2143" s="5" t="s">
        <v>34</v>
      </c>
      <c r="G2143" s="5" t="s">
        <v>36</v>
      </c>
      <c r="H2143" s="5" t="s">
        <v>36</v>
      </c>
      <c r="I2143" s="5" t="s">
        <v>36</v>
      </c>
      <c r="J2143" s="6" t="s">
        <v>34</v>
      </c>
      <c r="K2143" s="6">
        <v>3200.0</v>
      </c>
      <c r="L2143" s="6">
        <v>800.0</v>
      </c>
      <c r="M2143" s="26" t="s">
        <v>1175</v>
      </c>
      <c r="N2143" s="26" t="s">
        <v>142</v>
      </c>
      <c r="O2143" s="6" t="s">
        <v>40</v>
      </c>
      <c r="P2143" s="5" t="s">
        <v>59</v>
      </c>
      <c r="Q2143" s="5" t="s">
        <v>122</v>
      </c>
      <c r="R2143" s="6" t="s">
        <v>42</v>
      </c>
      <c r="S2143" s="5" t="s">
        <v>90</v>
      </c>
      <c r="T2143" s="5" t="s">
        <v>44</v>
      </c>
      <c r="U2143" s="5" t="s">
        <v>4533</v>
      </c>
      <c r="V2143" s="5" t="s">
        <v>44</v>
      </c>
      <c r="W2143" s="5" t="s">
        <v>35</v>
      </c>
      <c r="X2143" s="8" t="s">
        <v>671</v>
      </c>
      <c r="Y2143" s="5" t="s">
        <v>46</v>
      </c>
      <c r="Z2143" s="5" t="s">
        <v>47</v>
      </c>
      <c r="AA2143" s="5" t="s">
        <v>64</v>
      </c>
      <c r="AB2143" s="5" t="s">
        <v>10495</v>
      </c>
      <c r="AC2143" s="6" t="s">
        <v>56</v>
      </c>
      <c r="AD2143" s="6">
        <v>4053.0</v>
      </c>
    </row>
    <row r="2144" ht="56.25" customHeight="1">
      <c r="A2144" s="5" t="s">
        <v>10484</v>
      </c>
      <c r="B2144" s="6" t="str">
        <f>IMAGE("https://storage.googleapis.com/acdb/housewares/FtrRattanChairS_Remake_2_0.png")</f>
        <v/>
      </c>
      <c r="C2144" s="5" t="s">
        <v>935</v>
      </c>
      <c r="D2144" s="5" t="s">
        <v>34</v>
      </c>
      <c r="E2144" s="5" t="s">
        <v>34</v>
      </c>
      <c r="F2144" s="5" t="s">
        <v>34</v>
      </c>
      <c r="G2144" s="5" t="s">
        <v>36</v>
      </c>
      <c r="H2144" s="5" t="s">
        <v>36</v>
      </c>
      <c r="I2144" s="5" t="s">
        <v>36</v>
      </c>
      <c r="J2144" s="6" t="s">
        <v>34</v>
      </c>
      <c r="K2144" s="6">
        <v>3200.0</v>
      </c>
      <c r="L2144" s="6">
        <v>800.0</v>
      </c>
      <c r="M2144" s="26" t="s">
        <v>68</v>
      </c>
      <c r="N2144" s="26" t="s">
        <v>114</v>
      </c>
      <c r="O2144" s="6" t="s">
        <v>40</v>
      </c>
      <c r="P2144" s="5" t="s">
        <v>59</v>
      </c>
      <c r="Q2144" s="5" t="s">
        <v>122</v>
      </c>
      <c r="R2144" s="6" t="s">
        <v>42</v>
      </c>
      <c r="S2144" s="5" t="s">
        <v>90</v>
      </c>
      <c r="T2144" s="5" t="s">
        <v>44</v>
      </c>
      <c r="U2144" s="5" t="s">
        <v>4533</v>
      </c>
      <c r="V2144" s="5" t="s">
        <v>44</v>
      </c>
      <c r="W2144" s="5" t="s">
        <v>35</v>
      </c>
      <c r="X2144" s="8" t="s">
        <v>671</v>
      </c>
      <c r="Y2144" s="5" t="s">
        <v>46</v>
      </c>
      <c r="Z2144" s="5" t="s">
        <v>47</v>
      </c>
      <c r="AA2144" s="5" t="s">
        <v>64</v>
      </c>
      <c r="AB2144" s="5" t="s">
        <v>10502</v>
      </c>
      <c r="AC2144" s="6" t="s">
        <v>67</v>
      </c>
      <c r="AD2144" s="6">
        <v>4053.0</v>
      </c>
    </row>
    <row r="2145" ht="56.25" customHeight="1">
      <c r="A2145" s="5" t="s">
        <v>10484</v>
      </c>
      <c r="B2145" s="6" t="str">
        <f>IMAGE("https://storage.googleapis.com/acdb/housewares/FtrRattanChairS_Remake_3_0.png")</f>
        <v/>
      </c>
      <c r="C2145" s="5" t="s">
        <v>57</v>
      </c>
      <c r="D2145" s="5" t="s">
        <v>34</v>
      </c>
      <c r="E2145" s="5" t="s">
        <v>34</v>
      </c>
      <c r="F2145" s="5" t="s">
        <v>34</v>
      </c>
      <c r="G2145" s="5" t="s">
        <v>36</v>
      </c>
      <c r="H2145" s="5" t="s">
        <v>36</v>
      </c>
      <c r="I2145" s="5" t="s">
        <v>36</v>
      </c>
      <c r="J2145" s="6" t="s">
        <v>34</v>
      </c>
      <c r="K2145" s="6">
        <v>3200.0</v>
      </c>
      <c r="L2145" s="6">
        <v>800.0</v>
      </c>
      <c r="M2145" s="26" t="s">
        <v>1175</v>
      </c>
      <c r="N2145" s="26" t="s">
        <v>57</v>
      </c>
      <c r="O2145" s="6" t="s">
        <v>40</v>
      </c>
      <c r="P2145" s="5" t="s">
        <v>59</v>
      </c>
      <c r="Q2145" s="5" t="s">
        <v>122</v>
      </c>
      <c r="R2145" s="6" t="s">
        <v>42</v>
      </c>
      <c r="S2145" s="5" t="s">
        <v>90</v>
      </c>
      <c r="T2145" s="5" t="s">
        <v>44</v>
      </c>
      <c r="U2145" s="5" t="s">
        <v>4533</v>
      </c>
      <c r="V2145" s="5" t="s">
        <v>44</v>
      </c>
      <c r="W2145" s="5" t="s">
        <v>35</v>
      </c>
      <c r="X2145" s="8" t="s">
        <v>671</v>
      </c>
      <c r="Y2145" s="5" t="s">
        <v>46</v>
      </c>
      <c r="Z2145" s="5" t="s">
        <v>47</v>
      </c>
      <c r="AA2145" s="5" t="s">
        <v>64</v>
      </c>
      <c r="AB2145" s="5" t="s">
        <v>10508</v>
      </c>
      <c r="AC2145" s="6" t="s">
        <v>71</v>
      </c>
      <c r="AD2145" s="6">
        <v>4053.0</v>
      </c>
    </row>
    <row r="2146" ht="56.25" customHeight="1">
      <c r="A2146" s="5" t="s">
        <v>10484</v>
      </c>
      <c r="B2146" s="6" t="str">
        <f>IMAGE("https://storage.googleapis.com/acdb/housewares/FtrRattanChairS_Remake_4_0.png")</f>
        <v/>
      </c>
      <c r="C2146" s="5" t="s">
        <v>95</v>
      </c>
      <c r="D2146" s="5" t="s">
        <v>34</v>
      </c>
      <c r="E2146" s="5" t="s">
        <v>34</v>
      </c>
      <c r="F2146" s="5" t="s">
        <v>34</v>
      </c>
      <c r="G2146" s="5" t="s">
        <v>36</v>
      </c>
      <c r="H2146" s="5" t="s">
        <v>36</v>
      </c>
      <c r="I2146" s="5" t="s">
        <v>36</v>
      </c>
      <c r="J2146" s="6" t="s">
        <v>34</v>
      </c>
      <c r="K2146" s="6">
        <v>3200.0</v>
      </c>
      <c r="L2146" s="6">
        <v>800.0</v>
      </c>
      <c r="M2146" s="26" t="s">
        <v>96</v>
      </c>
      <c r="N2146" s="26" t="s">
        <v>68</v>
      </c>
      <c r="O2146" s="6" t="s">
        <v>40</v>
      </c>
      <c r="P2146" s="5" t="s">
        <v>59</v>
      </c>
      <c r="Q2146" s="5" t="s">
        <v>122</v>
      </c>
      <c r="R2146" s="6" t="s">
        <v>42</v>
      </c>
      <c r="S2146" s="5" t="s">
        <v>90</v>
      </c>
      <c r="T2146" s="5" t="s">
        <v>44</v>
      </c>
      <c r="U2146" s="5" t="s">
        <v>4533</v>
      </c>
      <c r="V2146" s="5" t="s">
        <v>44</v>
      </c>
      <c r="W2146" s="5" t="s">
        <v>35</v>
      </c>
      <c r="X2146" s="8" t="s">
        <v>671</v>
      </c>
      <c r="Y2146" s="5" t="s">
        <v>46</v>
      </c>
      <c r="Z2146" s="5" t="s">
        <v>47</v>
      </c>
      <c r="AA2146" s="5" t="s">
        <v>64</v>
      </c>
      <c r="AB2146" s="5" t="s">
        <v>10513</v>
      </c>
      <c r="AC2146" s="6" t="s">
        <v>75</v>
      </c>
      <c r="AD2146" s="6">
        <v>4053.0</v>
      </c>
    </row>
    <row r="2147" ht="56.25" customHeight="1">
      <c r="A2147" s="5" t="s">
        <v>10484</v>
      </c>
      <c r="B2147" s="6" t="str">
        <f>IMAGE("https://storage.googleapis.com/acdb/housewares/FtrRattanChairS_Remake_5_0.png")</f>
        <v/>
      </c>
      <c r="C2147" s="5" t="s">
        <v>54</v>
      </c>
      <c r="D2147" s="5" t="s">
        <v>34</v>
      </c>
      <c r="E2147" s="5" t="s">
        <v>34</v>
      </c>
      <c r="F2147" s="5" t="s">
        <v>34</v>
      </c>
      <c r="G2147" s="5" t="s">
        <v>36</v>
      </c>
      <c r="H2147" s="5" t="s">
        <v>36</v>
      </c>
      <c r="I2147" s="5" t="s">
        <v>36</v>
      </c>
      <c r="J2147" s="6" t="s">
        <v>34</v>
      </c>
      <c r="K2147" s="6">
        <v>3200.0</v>
      </c>
      <c r="L2147" s="6">
        <v>800.0</v>
      </c>
      <c r="M2147" s="26" t="s">
        <v>95</v>
      </c>
      <c r="N2147" s="26" t="s">
        <v>54</v>
      </c>
      <c r="O2147" s="6" t="s">
        <v>40</v>
      </c>
      <c r="P2147" s="5" t="s">
        <v>59</v>
      </c>
      <c r="Q2147" s="5" t="s">
        <v>122</v>
      </c>
      <c r="R2147" s="6" t="s">
        <v>42</v>
      </c>
      <c r="S2147" s="5" t="s">
        <v>90</v>
      </c>
      <c r="T2147" s="5" t="s">
        <v>44</v>
      </c>
      <c r="U2147" s="5" t="s">
        <v>4533</v>
      </c>
      <c r="V2147" s="5" t="s">
        <v>44</v>
      </c>
      <c r="W2147" s="5" t="s">
        <v>35</v>
      </c>
      <c r="X2147" s="8" t="s">
        <v>671</v>
      </c>
      <c r="Y2147" s="5" t="s">
        <v>46</v>
      </c>
      <c r="Z2147" s="5" t="s">
        <v>47</v>
      </c>
      <c r="AA2147" s="5" t="s">
        <v>64</v>
      </c>
      <c r="AB2147" s="5" t="s">
        <v>10520</v>
      </c>
      <c r="AC2147" s="6" t="s">
        <v>79</v>
      </c>
      <c r="AD2147" s="6">
        <v>4053.0</v>
      </c>
    </row>
    <row r="2148" ht="56.25" customHeight="1">
      <c r="A2148" s="5" t="s">
        <v>10521</v>
      </c>
      <c r="B2148" s="6" t="str">
        <f>IMAGE("https://storage.googleapis.com/acdb/housewares/FtrRattanBedW_Remake_0_0.png")</f>
        <v/>
      </c>
      <c r="C2148" s="5" t="s">
        <v>39</v>
      </c>
      <c r="D2148" s="5" t="s">
        <v>34</v>
      </c>
      <c r="E2148" s="5" t="s">
        <v>34</v>
      </c>
      <c r="F2148" s="5" t="s">
        <v>34</v>
      </c>
      <c r="G2148" s="5" t="s">
        <v>36</v>
      </c>
      <c r="H2148" s="5" t="s">
        <v>36</v>
      </c>
      <c r="I2148" s="5" t="s">
        <v>36</v>
      </c>
      <c r="J2148" s="6" t="s">
        <v>34</v>
      </c>
      <c r="K2148" s="6">
        <v>7200.0</v>
      </c>
      <c r="L2148" s="6">
        <v>1800.0</v>
      </c>
      <c r="M2148" s="26" t="s">
        <v>57</v>
      </c>
      <c r="N2148" s="26" t="s">
        <v>39</v>
      </c>
      <c r="O2148" s="6" t="s">
        <v>214</v>
      </c>
      <c r="P2148" s="5" t="s">
        <v>59</v>
      </c>
      <c r="Q2148" s="5" t="s">
        <v>115</v>
      </c>
      <c r="R2148" s="6" t="s">
        <v>42</v>
      </c>
      <c r="S2148" s="5" t="s">
        <v>90</v>
      </c>
      <c r="T2148" s="5" t="s">
        <v>44</v>
      </c>
      <c r="U2148" s="5" t="s">
        <v>4533</v>
      </c>
      <c r="V2148" s="5" t="s">
        <v>44</v>
      </c>
      <c r="W2148" s="5" t="s">
        <v>35</v>
      </c>
      <c r="X2148" s="8" t="s">
        <v>218</v>
      </c>
      <c r="Y2148" s="5" t="s">
        <v>46</v>
      </c>
      <c r="Z2148" s="5" t="s">
        <v>47</v>
      </c>
      <c r="AA2148" s="5" t="s">
        <v>64</v>
      </c>
      <c r="AB2148" s="5" t="s">
        <v>10525</v>
      </c>
      <c r="AC2148" s="6" t="s">
        <v>50</v>
      </c>
      <c r="AD2148" s="6">
        <v>4052.0</v>
      </c>
    </row>
    <row r="2149" ht="56.25" customHeight="1">
      <c r="A2149" s="5" t="s">
        <v>10521</v>
      </c>
      <c r="B2149" s="6" t="str">
        <f>IMAGE("https://storage.googleapis.com/acdb/housewares/FtrRattanBedW_Remake_1_0.png")</f>
        <v/>
      </c>
      <c r="C2149" s="5" t="s">
        <v>4586</v>
      </c>
      <c r="D2149" s="5" t="s">
        <v>34</v>
      </c>
      <c r="E2149" s="5" t="s">
        <v>34</v>
      </c>
      <c r="F2149" s="5" t="s">
        <v>34</v>
      </c>
      <c r="G2149" s="5" t="s">
        <v>36</v>
      </c>
      <c r="H2149" s="5" t="s">
        <v>36</v>
      </c>
      <c r="I2149" s="5" t="s">
        <v>36</v>
      </c>
      <c r="J2149" s="6" t="s">
        <v>34</v>
      </c>
      <c r="K2149" s="6">
        <v>7200.0</v>
      </c>
      <c r="L2149" s="6">
        <v>1800.0</v>
      </c>
      <c r="M2149" s="26" t="s">
        <v>1175</v>
      </c>
      <c r="N2149" s="26" t="s">
        <v>142</v>
      </c>
      <c r="O2149" s="6" t="s">
        <v>214</v>
      </c>
      <c r="P2149" s="5" t="s">
        <v>59</v>
      </c>
      <c r="Q2149" s="5" t="s">
        <v>115</v>
      </c>
      <c r="R2149" s="6" t="s">
        <v>42</v>
      </c>
      <c r="S2149" s="5" t="s">
        <v>90</v>
      </c>
      <c r="T2149" s="5" t="s">
        <v>44</v>
      </c>
      <c r="U2149" s="5" t="s">
        <v>4533</v>
      </c>
      <c r="V2149" s="5" t="s">
        <v>44</v>
      </c>
      <c r="W2149" s="5" t="s">
        <v>35</v>
      </c>
      <c r="X2149" s="8" t="s">
        <v>218</v>
      </c>
      <c r="Y2149" s="5" t="s">
        <v>46</v>
      </c>
      <c r="Z2149" s="5" t="s">
        <v>47</v>
      </c>
      <c r="AA2149" s="5" t="s">
        <v>64</v>
      </c>
      <c r="AB2149" s="5" t="s">
        <v>10531</v>
      </c>
      <c r="AC2149" s="6" t="s">
        <v>56</v>
      </c>
      <c r="AD2149" s="6">
        <v>4052.0</v>
      </c>
    </row>
    <row r="2150" ht="56.25" customHeight="1">
      <c r="A2150" s="5" t="s">
        <v>10521</v>
      </c>
      <c r="B2150" s="6" t="str">
        <f>IMAGE("https://storage.googleapis.com/acdb/housewares/FtrRattanBedW_Remake_2_0.png")</f>
        <v/>
      </c>
      <c r="C2150" s="5" t="s">
        <v>935</v>
      </c>
      <c r="D2150" s="5" t="s">
        <v>34</v>
      </c>
      <c r="E2150" s="5" t="s">
        <v>34</v>
      </c>
      <c r="F2150" s="5" t="s">
        <v>34</v>
      </c>
      <c r="G2150" s="5" t="s">
        <v>36</v>
      </c>
      <c r="H2150" s="5" t="s">
        <v>36</v>
      </c>
      <c r="I2150" s="5" t="s">
        <v>36</v>
      </c>
      <c r="J2150" s="6" t="s">
        <v>34</v>
      </c>
      <c r="K2150" s="6">
        <v>7200.0</v>
      </c>
      <c r="L2150" s="6">
        <v>1800.0</v>
      </c>
      <c r="M2150" s="26" t="s">
        <v>68</v>
      </c>
      <c r="N2150" s="26" t="s">
        <v>114</v>
      </c>
      <c r="O2150" s="6" t="s">
        <v>214</v>
      </c>
      <c r="P2150" s="5" t="s">
        <v>59</v>
      </c>
      <c r="Q2150" s="5" t="s">
        <v>115</v>
      </c>
      <c r="R2150" s="6" t="s">
        <v>42</v>
      </c>
      <c r="S2150" s="5" t="s">
        <v>90</v>
      </c>
      <c r="T2150" s="5" t="s">
        <v>44</v>
      </c>
      <c r="U2150" s="5" t="s">
        <v>4533</v>
      </c>
      <c r="V2150" s="5" t="s">
        <v>44</v>
      </c>
      <c r="W2150" s="5" t="s">
        <v>35</v>
      </c>
      <c r="X2150" s="8" t="s">
        <v>218</v>
      </c>
      <c r="Y2150" s="5" t="s">
        <v>46</v>
      </c>
      <c r="Z2150" s="5" t="s">
        <v>47</v>
      </c>
      <c r="AA2150" s="5" t="s">
        <v>64</v>
      </c>
      <c r="AB2150" s="5" t="s">
        <v>10537</v>
      </c>
      <c r="AC2150" s="6" t="s">
        <v>67</v>
      </c>
      <c r="AD2150" s="6">
        <v>4052.0</v>
      </c>
    </row>
    <row r="2151" ht="56.25" customHeight="1">
      <c r="A2151" s="5" t="s">
        <v>10521</v>
      </c>
      <c r="B2151" s="6" t="str">
        <f>IMAGE("https://storage.googleapis.com/acdb/housewares/FtrRattanBedW_Remake_3_0.png")</f>
        <v/>
      </c>
      <c r="C2151" s="5" t="s">
        <v>57</v>
      </c>
      <c r="D2151" s="5" t="s">
        <v>34</v>
      </c>
      <c r="E2151" s="5" t="s">
        <v>34</v>
      </c>
      <c r="F2151" s="5" t="s">
        <v>34</v>
      </c>
      <c r="G2151" s="5" t="s">
        <v>36</v>
      </c>
      <c r="H2151" s="5" t="s">
        <v>36</v>
      </c>
      <c r="I2151" s="5" t="s">
        <v>36</v>
      </c>
      <c r="J2151" s="6" t="s">
        <v>34</v>
      </c>
      <c r="K2151" s="6">
        <v>7200.0</v>
      </c>
      <c r="L2151" s="6">
        <v>1800.0</v>
      </c>
      <c r="M2151" s="26" t="s">
        <v>1175</v>
      </c>
      <c r="N2151" s="26" t="s">
        <v>57</v>
      </c>
      <c r="O2151" s="6" t="s">
        <v>214</v>
      </c>
      <c r="P2151" s="5" t="s">
        <v>59</v>
      </c>
      <c r="Q2151" s="5" t="s">
        <v>115</v>
      </c>
      <c r="R2151" s="6" t="s">
        <v>42</v>
      </c>
      <c r="S2151" s="5" t="s">
        <v>90</v>
      </c>
      <c r="T2151" s="5" t="s">
        <v>44</v>
      </c>
      <c r="U2151" s="5" t="s">
        <v>4533</v>
      </c>
      <c r="V2151" s="5" t="s">
        <v>44</v>
      </c>
      <c r="W2151" s="5" t="s">
        <v>35</v>
      </c>
      <c r="X2151" s="8" t="s">
        <v>218</v>
      </c>
      <c r="Y2151" s="5" t="s">
        <v>46</v>
      </c>
      <c r="Z2151" s="5" t="s">
        <v>47</v>
      </c>
      <c r="AA2151" s="5" t="s">
        <v>64</v>
      </c>
      <c r="AB2151" s="5" t="s">
        <v>10543</v>
      </c>
      <c r="AC2151" s="6" t="s">
        <v>71</v>
      </c>
      <c r="AD2151" s="6">
        <v>4052.0</v>
      </c>
    </row>
    <row r="2152" ht="56.25" customHeight="1">
      <c r="A2152" s="5" t="s">
        <v>10521</v>
      </c>
      <c r="B2152" s="6" t="str">
        <f>IMAGE("https://storage.googleapis.com/acdb/housewares/FtrRattanBedW_Remake_4_0.png")</f>
        <v/>
      </c>
      <c r="C2152" s="5" t="s">
        <v>95</v>
      </c>
      <c r="D2152" s="5" t="s">
        <v>34</v>
      </c>
      <c r="E2152" s="5" t="s">
        <v>34</v>
      </c>
      <c r="F2152" s="5" t="s">
        <v>34</v>
      </c>
      <c r="G2152" s="5" t="s">
        <v>36</v>
      </c>
      <c r="H2152" s="5" t="s">
        <v>36</v>
      </c>
      <c r="I2152" s="5" t="s">
        <v>36</v>
      </c>
      <c r="J2152" s="6" t="s">
        <v>34</v>
      </c>
      <c r="K2152" s="6">
        <v>7200.0</v>
      </c>
      <c r="L2152" s="6">
        <v>1800.0</v>
      </c>
      <c r="M2152" s="26" t="s">
        <v>96</v>
      </c>
      <c r="N2152" s="26" t="s">
        <v>68</v>
      </c>
      <c r="O2152" s="6" t="s">
        <v>214</v>
      </c>
      <c r="P2152" s="5" t="s">
        <v>59</v>
      </c>
      <c r="Q2152" s="5" t="s">
        <v>115</v>
      </c>
      <c r="R2152" s="6" t="s">
        <v>42</v>
      </c>
      <c r="S2152" s="5" t="s">
        <v>90</v>
      </c>
      <c r="T2152" s="5" t="s">
        <v>44</v>
      </c>
      <c r="U2152" s="5" t="s">
        <v>4533</v>
      </c>
      <c r="V2152" s="5" t="s">
        <v>44</v>
      </c>
      <c r="W2152" s="5" t="s">
        <v>35</v>
      </c>
      <c r="X2152" s="8" t="s">
        <v>218</v>
      </c>
      <c r="Y2152" s="5" t="s">
        <v>46</v>
      </c>
      <c r="Z2152" s="5" t="s">
        <v>47</v>
      </c>
      <c r="AA2152" s="5" t="s">
        <v>64</v>
      </c>
      <c r="AB2152" s="5" t="s">
        <v>10549</v>
      </c>
      <c r="AC2152" s="6" t="s">
        <v>75</v>
      </c>
      <c r="AD2152" s="6">
        <v>4052.0</v>
      </c>
    </row>
    <row r="2153" ht="56.25" customHeight="1">
      <c r="A2153" s="5" t="s">
        <v>10521</v>
      </c>
      <c r="B2153" s="6" t="str">
        <f>IMAGE("https://storage.googleapis.com/acdb/housewares/FtrRattanBedW_Remake_5_0.png")</f>
        <v/>
      </c>
      <c r="C2153" s="5" t="s">
        <v>54</v>
      </c>
      <c r="D2153" s="5" t="s">
        <v>34</v>
      </c>
      <c r="E2153" s="5" t="s">
        <v>34</v>
      </c>
      <c r="F2153" s="5" t="s">
        <v>34</v>
      </c>
      <c r="G2153" s="5" t="s">
        <v>36</v>
      </c>
      <c r="H2153" s="5" t="s">
        <v>36</v>
      </c>
      <c r="I2153" s="5" t="s">
        <v>36</v>
      </c>
      <c r="J2153" s="6" t="s">
        <v>34</v>
      </c>
      <c r="K2153" s="6">
        <v>7200.0</v>
      </c>
      <c r="L2153" s="6">
        <v>1800.0</v>
      </c>
      <c r="M2153" s="26" t="s">
        <v>95</v>
      </c>
      <c r="N2153" s="26" t="s">
        <v>54</v>
      </c>
      <c r="O2153" s="6" t="s">
        <v>214</v>
      </c>
      <c r="P2153" s="5" t="s">
        <v>59</v>
      </c>
      <c r="Q2153" s="5" t="s">
        <v>115</v>
      </c>
      <c r="R2153" s="6" t="s">
        <v>42</v>
      </c>
      <c r="S2153" s="5" t="s">
        <v>90</v>
      </c>
      <c r="T2153" s="5" t="s">
        <v>44</v>
      </c>
      <c r="U2153" s="5" t="s">
        <v>4533</v>
      </c>
      <c r="V2153" s="5" t="s">
        <v>44</v>
      </c>
      <c r="W2153" s="5" t="s">
        <v>35</v>
      </c>
      <c r="X2153" s="8" t="s">
        <v>218</v>
      </c>
      <c r="Y2153" s="5" t="s">
        <v>46</v>
      </c>
      <c r="Z2153" s="5" t="s">
        <v>47</v>
      </c>
      <c r="AA2153" s="5" t="s">
        <v>64</v>
      </c>
      <c r="AB2153" s="5" t="s">
        <v>10555</v>
      </c>
      <c r="AC2153" s="6" t="s">
        <v>79</v>
      </c>
      <c r="AD2153" s="6">
        <v>4052.0</v>
      </c>
    </row>
    <row r="2154" ht="56.25" customHeight="1">
      <c r="A2154" s="5" t="s">
        <v>10557</v>
      </c>
      <c r="B2154" s="6" t="str">
        <f>IMAGE("https://storage.googleapis.com/acdb/housewares/FtrRattanTableS_Remake_0_0.png")</f>
        <v/>
      </c>
      <c r="C2154" s="5" t="s">
        <v>39</v>
      </c>
      <c r="D2154" s="5" t="s">
        <v>34</v>
      </c>
      <c r="E2154" s="5" t="s">
        <v>34</v>
      </c>
      <c r="F2154" s="5" t="s">
        <v>34</v>
      </c>
      <c r="G2154" s="5" t="s">
        <v>36</v>
      </c>
      <c r="H2154" s="5" t="s">
        <v>36</v>
      </c>
      <c r="I2154" s="5" t="s">
        <v>36</v>
      </c>
      <c r="J2154" s="6" t="s">
        <v>34</v>
      </c>
      <c r="K2154" s="6">
        <v>4300.0</v>
      </c>
      <c r="L2154" s="6">
        <v>1075.0</v>
      </c>
      <c r="M2154" s="26" t="s">
        <v>39</v>
      </c>
      <c r="N2154" s="26" t="s">
        <v>39</v>
      </c>
      <c r="O2154" s="6" t="s">
        <v>40</v>
      </c>
      <c r="P2154" s="5" t="s">
        <v>59</v>
      </c>
      <c r="Q2154" s="5" t="s">
        <v>122</v>
      </c>
      <c r="R2154" s="6" t="s">
        <v>42</v>
      </c>
      <c r="S2154" s="5" t="s">
        <v>90</v>
      </c>
      <c r="T2154" s="5" t="s">
        <v>44</v>
      </c>
      <c r="U2154" s="5" t="s">
        <v>4533</v>
      </c>
      <c r="V2154" s="5" t="s">
        <v>44</v>
      </c>
      <c r="W2154" s="5" t="s">
        <v>36</v>
      </c>
      <c r="X2154" s="8" t="s">
        <v>278</v>
      </c>
      <c r="Y2154" s="5" t="s">
        <v>46</v>
      </c>
      <c r="Z2154" s="5" t="s">
        <v>47</v>
      </c>
      <c r="AA2154" s="5" t="s">
        <v>64</v>
      </c>
      <c r="AB2154" s="5" t="s">
        <v>10562</v>
      </c>
      <c r="AC2154" s="6" t="s">
        <v>50</v>
      </c>
      <c r="AD2154" s="6">
        <v>4046.0</v>
      </c>
    </row>
    <row r="2155" ht="56.25" customHeight="1">
      <c r="A2155" s="5" t="s">
        <v>10557</v>
      </c>
      <c r="B2155" s="6" t="str">
        <f>IMAGE("https://storage.googleapis.com/acdb/housewares/FtrRattanTableS_Remake_1_0.png")</f>
        <v/>
      </c>
      <c r="C2155" s="5" t="s">
        <v>4586</v>
      </c>
      <c r="D2155" s="5" t="s">
        <v>34</v>
      </c>
      <c r="E2155" s="5" t="s">
        <v>34</v>
      </c>
      <c r="F2155" s="5" t="s">
        <v>34</v>
      </c>
      <c r="G2155" s="5" t="s">
        <v>36</v>
      </c>
      <c r="H2155" s="5" t="s">
        <v>36</v>
      </c>
      <c r="I2155" s="5" t="s">
        <v>36</v>
      </c>
      <c r="J2155" s="6" t="s">
        <v>34</v>
      </c>
      <c r="K2155" s="6">
        <v>4300.0</v>
      </c>
      <c r="L2155" s="6">
        <v>1075.0</v>
      </c>
      <c r="M2155" s="26" t="s">
        <v>142</v>
      </c>
      <c r="N2155" s="26" t="s">
        <v>142</v>
      </c>
      <c r="O2155" s="6" t="s">
        <v>40</v>
      </c>
      <c r="P2155" s="5" t="s">
        <v>59</v>
      </c>
      <c r="Q2155" s="5" t="s">
        <v>122</v>
      </c>
      <c r="R2155" s="6" t="s">
        <v>42</v>
      </c>
      <c r="S2155" s="5" t="s">
        <v>90</v>
      </c>
      <c r="T2155" s="5" t="s">
        <v>44</v>
      </c>
      <c r="U2155" s="5" t="s">
        <v>4533</v>
      </c>
      <c r="V2155" s="5" t="s">
        <v>44</v>
      </c>
      <c r="W2155" s="5" t="s">
        <v>36</v>
      </c>
      <c r="X2155" s="8" t="s">
        <v>278</v>
      </c>
      <c r="Y2155" s="5" t="s">
        <v>46</v>
      </c>
      <c r="Z2155" s="5" t="s">
        <v>47</v>
      </c>
      <c r="AA2155" s="5" t="s">
        <v>64</v>
      </c>
      <c r="AB2155" s="5" t="s">
        <v>10568</v>
      </c>
      <c r="AC2155" s="6" t="s">
        <v>56</v>
      </c>
      <c r="AD2155" s="6">
        <v>4046.0</v>
      </c>
    </row>
    <row r="2156" ht="56.25" customHeight="1">
      <c r="A2156" s="5" t="s">
        <v>10557</v>
      </c>
      <c r="B2156" s="6" t="str">
        <f>IMAGE("https://storage.googleapis.com/acdb/housewares/FtrRattanTableS_Remake_2_0.png")</f>
        <v/>
      </c>
      <c r="C2156" s="5" t="s">
        <v>935</v>
      </c>
      <c r="D2156" s="5" t="s">
        <v>34</v>
      </c>
      <c r="E2156" s="5" t="s">
        <v>34</v>
      </c>
      <c r="F2156" s="5" t="s">
        <v>34</v>
      </c>
      <c r="G2156" s="5" t="s">
        <v>36</v>
      </c>
      <c r="H2156" s="5" t="s">
        <v>36</v>
      </c>
      <c r="I2156" s="5" t="s">
        <v>36</v>
      </c>
      <c r="J2156" s="6" t="s">
        <v>34</v>
      </c>
      <c r="K2156" s="6">
        <v>4300.0</v>
      </c>
      <c r="L2156" s="6">
        <v>1075.0</v>
      </c>
      <c r="M2156" s="26" t="s">
        <v>114</v>
      </c>
      <c r="N2156" s="26" t="s">
        <v>114</v>
      </c>
      <c r="O2156" s="6" t="s">
        <v>40</v>
      </c>
      <c r="P2156" s="5" t="s">
        <v>59</v>
      </c>
      <c r="Q2156" s="5" t="s">
        <v>122</v>
      </c>
      <c r="R2156" s="6" t="s">
        <v>42</v>
      </c>
      <c r="S2156" s="5" t="s">
        <v>90</v>
      </c>
      <c r="T2156" s="5" t="s">
        <v>44</v>
      </c>
      <c r="U2156" s="5" t="s">
        <v>4533</v>
      </c>
      <c r="V2156" s="5" t="s">
        <v>44</v>
      </c>
      <c r="W2156" s="5" t="s">
        <v>36</v>
      </c>
      <c r="X2156" s="8" t="s">
        <v>278</v>
      </c>
      <c r="Y2156" s="5" t="s">
        <v>46</v>
      </c>
      <c r="Z2156" s="5" t="s">
        <v>47</v>
      </c>
      <c r="AA2156" s="5" t="s">
        <v>64</v>
      </c>
      <c r="AB2156" s="5" t="s">
        <v>10574</v>
      </c>
      <c r="AC2156" s="6" t="s">
        <v>67</v>
      </c>
      <c r="AD2156" s="6">
        <v>4046.0</v>
      </c>
    </row>
    <row r="2157" ht="56.25" customHeight="1">
      <c r="A2157" s="5" t="s">
        <v>10557</v>
      </c>
      <c r="B2157" s="6" t="str">
        <f>IMAGE("https://storage.googleapis.com/acdb/housewares/FtrRattanTableS_Remake_3_0.png")</f>
        <v/>
      </c>
      <c r="C2157" s="5" t="s">
        <v>57</v>
      </c>
      <c r="D2157" s="5" t="s">
        <v>34</v>
      </c>
      <c r="E2157" s="5" t="s">
        <v>34</v>
      </c>
      <c r="F2157" s="5" t="s">
        <v>34</v>
      </c>
      <c r="G2157" s="5" t="s">
        <v>36</v>
      </c>
      <c r="H2157" s="5" t="s">
        <v>36</v>
      </c>
      <c r="I2157" s="5" t="s">
        <v>36</v>
      </c>
      <c r="J2157" s="6" t="s">
        <v>34</v>
      </c>
      <c r="K2157" s="6">
        <v>4300.0</v>
      </c>
      <c r="L2157" s="6">
        <v>1075.0</v>
      </c>
      <c r="M2157" s="26" t="s">
        <v>57</v>
      </c>
      <c r="N2157" s="26" t="s">
        <v>57</v>
      </c>
      <c r="O2157" s="6" t="s">
        <v>40</v>
      </c>
      <c r="P2157" s="5" t="s">
        <v>59</v>
      </c>
      <c r="Q2157" s="5" t="s">
        <v>122</v>
      </c>
      <c r="R2157" s="6" t="s">
        <v>42</v>
      </c>
      <c r="S2157" s="5" t="s">
        <v>90</v>
      </c>
      <c r="T2157" s="5" t="s">
        <v>44</v>
      </c>
      <c r="U2157" s="5" t="s">
        <v>4533</v>
      </c>
      <c r="V2157" s="5" t="s">
        <v>44</v>
      </c>
      <c r="W2157" s="5" t="s">
        <v>36</v>
      </c>
      <c r="X2157" s="8" t="s">
        <v>278</v>
      </c>
      <c r="Y2157" s="5" t="s">
        <v>46</v>
      </c>
      <c r="Z2157" s="5" t="s">
        <v>47</v>
      </c>
      <c r="AA2157" s="5" t="s">
        <v>64</v>
      </c>
      <c r="AB2157" s="5" t="s">
        <v>10580</v>
      </c>
      <c r="AC2157" s="6" t="s">
        <v>71</v>
      </c>
      <c r="AD2157" s="6">
        <v>4046.0</v>
      </c>
    </row>
    <row r="2158" ht="56.25" customHeight="1">
      <c r="A2158" s="5" t="s">
        <v>10557</v>
      </c>
      <c r="B2158" s="6" t="str">
        <f>IMAGE("https://storage.googleapis.com/acdb/housewares/FtrRattanTableS_Remake_4_0.png")</f>
        <v/>
      </c>
      <c r="C2158" s="5" t="s">
        <v>95</v>
      </c>
      <c r="D2158" s="5" t="s">
        <v>34</v>
      </c>
      <c r="E2158" s="5" t="s">
        <v>34</v>
      </c>
      <c r="F2158" s="5" t="s">
        <v>34</v>
      </c>
      <c r="G2158" s="5" t="s">
        <v>36</v>
      </c>
      <c r="H2158" s="5" t="s">
        <v>36</v>
      </c>
      <c r="I2158" s="5" t="s">
        <v>36</v>
      </c>
      <c r="J2158" s="6" t="s">
        <v>34</v>
      </c>
      <c r="K2158" s="6">
        <v>4300.0</v>
      </c>
      <c r="L2158" s="6">
        <v>1075.0</v>
      </c>
      <c r="M2158" s="26" t="s">
        <v>68</v>
      </c>
      <c r="N2158" s="26" t="s">
        <v>68</v>
      </c>
      <c r="O2158" s="6" t="s">
        <v>40</v>
      </c>
      <c r="P2158" s="5" t="s">
        <v>59</v>
      </c>
      <c r="Q2158" s="5" t="s">
        <v>122</v>
      </c>
      <c r="R2158" s="6" t="s">
        <v>42</v>
      </c>
      <c r="S2158" s="5" t="s">
        <v>90</v>
      </c>
      <c r="T2158" s="5" t="s">
        <v>44</v>
      </c>
      <c r="U2158" s="5" t="s">
        <v>4533</v>
      </c>
      <c r="V2158" s="5" t="s">
        <v>44</v>
      </c>
      <c r="W2158" s="5" t="s">
        <v>36</v>
      </c>
      <c r="X2158" s="8" t="s">
        <v>278</v>
      </c>
      <c r="Y2158" s="5" t="s">
        <v>46</v>
      </c>
      <c r="Z2158" s="5" t="s">
        <v>47</v>
      </c>
      <c r="AA2158" s="5" t="s">
        <v>64</v>
      </c>
      <c r="AB2158" s="5" t="s">
        <v>10589</v>
      </c>
      <c r="AC2158" s="6" t="s">
        <v>75</v>
      </c>
      <c r="AD2158" s="6">
        <v>4046.0</v>
      </c>
    </row>
    <row r="2159" ht="56.25" customHeight="1">
      <c r="A2159" s="5" t="s">
        <v>10557</v>
      </c>
      <c r="B2159" s="6" t="str">
        <f>IMAGE("https://storage.googleapis.com/acdb/housewares/FtrRattanTableS_Remake_5_0.png")</f>
        <v/>
      </c>
      <c r="C2159" s="5" t="s">
        <v>54</v>
      </c>
      <c r="D2159" s="5" t="s">
        <v>34</v>
      </c>
      <c r="E2159" s="5" t="s">
        <v>34</v>
      </c>
      <c r="F2159" s="5" t="s">
        <v>34</v>
      </c>
      <c r="G2159" s="5" t="s">
        <v>36</v>
      </c>
      <c r="H2159" s="5" t="s">
        <v>36</v>
      </c>
      <c r="I2159" s="5" t="s">
        <v>36</v>
      </c>
      <c r="J2159" s="6" t="s">
        <v>34</v>
      </c>
      <c r="K2159" s="6">
        <v>4300.0</v>
      </c>
      <c r="L2159" s="6">
        <v>1075.0</v>
      </c>
      <c r="M2159" s="26" t="s">
        <v>54</v>
      </c>
      <c r="N2159" s="26" t="s">
        <v>54</v>
      </c>
      <c r="O2159" s="6" t="s">
        <v>40</v>
      </c>
      <c r="P2159" s="5" t="s">
        <v>59</v>
      </c>
      <c r="Q2159" s="5" t="s">
        <v>122</v>
      </c>
      <c r="R2159" s="6" t="s">
        <v>42</v>
      </c>
      <c r="S2159" s="5" t="s">
        <v>90</v>
      </c>
      <c r="T2159" s="5" t="s">
        <v>44</v>
      </c>
      <c r="U2159" s="5" t="s">
        <v>4533</v>
      </c>
      <c r="V2159" s="5" t="s">
        <v>44</v>
      </c>
      <c r="W2159" s="5" t="s">
        <v>36</v>
      </c>
      <c r="X2159" s="8" t="s">
        <v>278</v>
      </c>
      <c r="Y2159" s="5" t="s">
        <v>46</v>
      </c>
      <c r="Z2159" s="5" t="s">
        <v>47</v>
      </c>
      <c r="AA2159" s="5" t="s">
        <v>64</v>
      </c>
      <c r="AB2159" s="5" t="s">
        <v>10595</v>
      </c>
      <c r="AC2159" s="6" t="s">
        <v>79</v>
      </c>
      <c r="AD2159" s="6">
        <v>4046.0</v>
      </c>
    </row>
    <row r="2160" ht="56.25" customHeight="1">
      <c r="A2160" s="5" t="s">
        <v>10597</v>
      </c>
      <c r="B2160" s="6" t="str">
        <f>IMAGE("https://storage.googleapis.com/acdb/housewares/FtrRattanTableM_Remake_0_0.png")</f>
        <v/>
      </c>
      <c r="C2160" s="5" t="s">
        <v>39</v>
      </c>
      <c r="D2160" s="5" t="s">
        <v>34</v>
      </c>
      <c r="E2160" s="5" t="s">
        <v>34</v>
      </c>
      <c r="F2160" s="5" t="s">
        <v>34</v>
      </c>
      <c r="G2160" s="5" t="s">
        <v>36</v>
      </c>
      <c r="H2160" s="5" t="s">
        <v>36</v>
      </c>
      <c r="I2160" s="5" t="s">
        <v>36</v>
      </c>
      <c r="J2160" s="6" t="s">
        <v>34</v>
      </c>
      <c r="K2160" s="6">
        <v>2900.0</v>
      </c>
      <c r="L2160" s="6">
        <v>725.0</v>
      </c>
      <c r="M2160" s="26" t="s">
        <v>39</v>
      </c>
      <c r="N2160" s="26" t="s">
        <v>39</v>
      </c>
      <c r="O2160" s="6" t="s">
        <v>276</v>
      </c>
      <c r="P2160" s="5" t="s">
        <v>59</v>
      </c>
      <c r="Q2160" s="5" t="s">
        <v>122</v>
      </c>
      <c r="R2160" s="6" t="s">
        <v>42</v>
      </c>
      <c r="S2160" s="5" t="s">
        <v>90</v>
      </c>
      <c r="T2160" s="5" t="s">
        <v>44</v>
      </c>
      <c r="U2160" s="5" t="s">
        <v>4533</v>
      </c>
      <c r="V2160" s="5" t="s">
        <v>44</v>
      </c>
      <c r="W2160" s="5" t="s">
        <v>36</v>
      </c>
      <c r="X2160" s="8" t="s">
        <v>278</v>
      </c>
      <c r="Y2160" s="5" t="s">
        <v>46</v>
      </c>
      <c r="Z2160" s="5" t="s">
        <v>47</v>
      </c>
      <c r="AA2160" s="5" t="s">
        <v>64</v>
      </c>
      <c r="AB2160" s="5" t="s">
        <v>10601</v>
      </c>
      <c r="AC2160" s="6" t="s">
        <v>50</v>
      </c>
      <c r="AD2160" s="6">
        <v>4054.0</v>
      </c>
    </row>
    <row r="2161" ht="56.25" customHeight="1">
      <c r="A2161" s="5" t="s">
        <v>10597</v>
      </c>
      <c r="B2161" s="6" t="str">
        <f>IMAGE("https://storage.googleapis.com/acdb/housewares/FtrRattanTableM_Remake_1_0.png")</f>
        <v/>
      </c>
      <c r="C2161" s="5" t="s">
        <v>4586</v>
      </c>
      <c r="D2161" s="5" t="s">
        <v>34</v>
      </c>
      <c r="E2161" s="5" t="s">
        <v>34</v>
      </c>
      <c r="F2161" s="5" t="s">
        <v>34</v>
      </c>
      <c r="G2161" s="5" t="s">
        <v>36</v>
      </c>
      <c r="H2161" s="5" t="s">
        <v>36</v>
      </c>
      <c r="I2161" s="5" t="s">
        <v>36</v>
      </c>
      <c r="J2161" s="6" t="s">
        <v>34</v>
      </c>
      <c r="K2161" s="6">
        <v>2900.0</v>
      </c>
      <c r="L2161" s="6">
        <v>725.0</v>
      </c>
      <c r="M2161" s="26" t="s">
        <v>142</v>
      </c>
      <c r="N2161" s="26" t="s">
        <v>142</v>
      </c>
      <c r="O2161" s="6" t="s">
        <v>276</v>
      </c>
      <c r="P2161" s="5" t="s">
        <v>59</v>
      </c>
      <c r="Q2161" s="5" t="s">
        <v>122</v>
      </c>
      <c r="R2161" s="6" t="s">
        <v>42</v>
      </c>
      <c r="S2161" s="5" t="s">
        <v>90</v>
      </c>
      <c r="T2161" s="5" t="s">
        <v>44</v>
      </c>
      <c r="U2161" s="5" t="s">
        <v>4533</v>
      </c>
      <c r="V2161" s="5" t="s">
        <v>44</v>
      </c>
      <c r="W2161" s="5" t="s">
        <v>36</v>
      </c>
      <c r="X2161" s="8" t="s">
        <v>278</v>
      </c>
      <c r="Y2161" s="5" t="s">
        <v>46</v>
      </c>
      <c r="Z2161" s="5" t="s">
        <v>47</v>
      </c>
      <c r="AA2161" s="5" t="s">
        <v>64</v>
      </c>
      <c r="AB2161" s="5" t="s">
        <v>10606</v>
      </c>
      <c r="AC2161" s="6" t="s">
        <v>56</v>
      </c>
      <c r="AD2161" s="6">
        <v>4054.0</v>
      </c>
    </row>
    <row r="2162" ht="56.25" customHeight="1">
      <c r="A2162" s="5" t="s">
        <v>10597</v>
      </c>
      <c r="B2162" s="6" t="str">
        <f>IMAGE("https://storage.googleapis.com/acdb/housewares/FtrRattanTableM_Remake_2_0.png")</f>
        <v/>
      </c>
      <c r="C2162" s="5" t="s">
        <v>935</v>
      </c>
      <c r="D2162" s="5" t="s">
        <v>34</v>
      </c>
      <c r="E2162" s="5" t="s">
        <v>34</v>
      </c>
      <c r="F2162" s="5" t="s">
        <v>34</v>
      </c>
      <c r="G2162" s="5" t="s">
        <v>36</v>
      </c>
      <c r="H2162" s="5" t="s">
        <v>36</v>
      </c>
      <c r="I2162" s="5" t="s">
        <v>36</v>
      </c>
      <c r="J2162" s="6" t="s">
        <v>34</v>
      </c>
      <c r="K2162" s="6">
        <v>2900.0</v>
      </c>
      <c r="L2162" s="6">
        <v>725.0</v>
      </c>
      <c r="M2162" s="26" t="s">
        <v>114</v>
      </c>
      <c r="N2162" s="26" t="s">
        <v>114</v>
      </c>
      <c r="O2162" s="6" t="s">
        <v>276</v>
      </c>
      <c r="P2162" s="5" t="s">
        <v>59</v>
      </c>
      <c r="Q2162" s="5" t="s">
        <v>122</v>
      </c>
      <c r="R2162" s="6" t="s">
        <v>42</v>
      </c>
      <c r="S2162" s="5" t="s">
        <v>90</v>
      </c>
      <c r="T2162" s="5" t="s">
        <v>44</v>
      </c>
      <c r="U2162" s="5" t="s">
        <v>4533</v>
      </c>
      <c r="V2162" s="5" t="s">
        <v>44</v>
      </c>
      <c r="W2162" s="5" t="s">
        <v>36</v>
      </c>
      <c r="X2162" s="8" t="s">
        <v>278</v>
      </c>
      <c r="Y2162" s="5" t="s">
        <v>46</v>
      </c>
      <c r="Z2162" s="5" t="s">
        <v>47</v>
      </c>
      <c r="AA2162" s="5" t="s">
        <v>64</v>
      </c>
      <c r="AB2162" s="5" t="s">
        <v>10612</v>
      </c>
      <c r="AC2162" s="6" t="s">
        <v>67</v>
      </c>
      <c r="AD2162" s="6">
        <v>4054.0</v>
      </c>
    </row>
    <row r="2163" ht="56.25" customHeight="1">
      <c r="A2163" s="5" t="s">
        <v>10597</v>
      </c>
      <c r="B2163" s="6" t="str">
        <f>IMAGE("https://storage.googleapis.com/acdb/housewares/FtrRattanTableM_Remake_3_0.png")</f>
        <v/>
      </c>
      <c r="C2163" s="5" t="s">
        <v>57</v>
      </c>
      <c r="D2163" s="5" t="s">
        <v>34</v>
      </c>
      <c r="E2163" s="5" t="s">
        <v>34</v>
      </c>
      <c r="F2163" s="5" t="s">
        <v>34</v>
      </c>
      <c r="G2163" s="5" t="s">
        <v>36</v>
      </c>
      <c r="H2163" s="5" t="s">
        <v>36</v>
      </c>
      <c r="I2163" s="5" t="s">
        <v>36</v>
      </c>
      <c r="J2163" s="6" t="s">
        <v>34</v>
      </c>
      <c r="K2163" s="6">
        <v>2900.0</v>
      </c>
      <c r="L2163" s="6">
        <v>725.0</v>
      </c>
      <c r="M2163" s="26" t="s">
        <v>57</v>
      </c>
      <c r="N2163" s="26" t="s">
        <v>57</v>
      </c>
      <c r="O2163" s="6" t="s">
        <v>276</v>
      </c>
      <c r="P2163" s="5" t="s">
        <v>59</v>
      </c>
      <c r="Q2163" s="5" t="s">
        <v>122</v>
      </c>
      <c r="R2163" s="6" t="s">
        <v>42</v>
      </c>
      <c r="S2163" s="5" t="s">
        <v>90</v>
      </c>
      <c r="T2163" s="5" t="s">
        <v>44</v>
      </c>
      <c r="U2163" s="5" t="s">
        <v>4533</v>
      </c>
      <c r="V2163" s="5" t="s">
        <v>44</v>
      </c>
      <c r="W2163" s="5" t="s">
        <v>36</v>
      </c>
      <c r="X2163" s="8" t="s">
        <v>278</v>
      </c>
      <c r="Y2163" s="5" t="s">
        <v>46</v>
      </c>
      <c r="Z2163" s="5" t="s">
        <v>47</v>
      </c>
      <c r="AA2163" s="5" t="s">
        <v>64</v>
      </c>
      <c r="AB2163" s="5" t="s">
        <v>10617</v>
      </c>
      <c r="AC2163" s="6" t="s">
        <v>71</v>
      </c>
      <c r="AD2163" s="6">
        <v>4054.0</v>
      </c>
    </row>
    <row r="2164" ht="56.25" customHeight="1">
      <c r="A2164" s="5" t="s">
        <v>10597</v>
      </c>
      <c r="B2164" s="6" t="str">
        <f>IMAGE("https://storage.googleapis.com/acdb/housewares/FtrRattanTableM_Remake_4_0.png")</f>
        <v/>
      </c>
      <c r="C2164" s="5" t="s">
        <v>95</v>
      </c>
      <c r="D2164" s="5" t="s">
        <v>34</v>
      </c>
      <c r="E2164" s="5" t="s">
        <v>34</v>
      </c>
      <c r="F2164" s="5" t="s">
        <v>34</v>
      </c>
      <c r="G2164" s="5" t="s">
        <v>36</v>
      </c>
      <c r="H2164" s="5" t="s">
        <v>36</v>
      </c>
      <c r="I2164" s="5" t="s">
        <v>36</v>
      </c>
      <c r="J2164" s="6" t="s">
        <v>34</v>
      </c>
      <c r="K2164" s="6">
        <v>2900.0</v>
      </c>
      <c r="L2164" s="6">
        <v>725.0</v>
      </c>
      <c r="M2164" s="26" t="s">
        <v>68</v>
      </c>
      <c r="N2164" s="26" t="s">
        <v>68</v>
      </c>
      <c r="O2164" s="6" t="s">
        <v>276</v>
      </c>
      <c r="P2164" s="5" t="s">
        <v>59</v>
      </c>
      <c r="Q2164" s="5" t="s">
        <v>122</v>
      </c>
      <c r="R2164" s="6" t="s">
        <v>42</v>
      </c>
      <c r="S2164" s="5" t="s">
        <v>90</v>
      </c>
      <c r="T2164" s="5" t="s">
        <v>44</v>
      </c>
      <c r="U2164" s="5" t="s">
        <v>4533</v>
      </c>
      <c r="V2164" s="5" t="s">
        <v>44</v>
      </c>
      <c r="W2164" s="5" t="s">
        <v>36</v>
      </c>
      <c r="X2164" s="8" t="s">
        <v>278</v>
      </c>
      <c r="Y2164" s="5" t="s">
        <v>46</v>
      </c>
      <c r="Z2164" s="5" t="s">
        <v>47</v>
      </c>
      <c r="AA2164" s="5" t="s">
        <v>64</v>
      </c>
      <c r="AB2164" s="5" t="s">
        <v>10621</v>
      </c>
      <c r="AC2164" s="6" t="s">
        <v>75</v>
      </c>
      <c r="AD2164" s="6">
        <v>4054.0</v>
      </c>
    </row>
    <row r="2165" ht="56.25" customHeight="1">
      <c r="A2165" s="5" t="s">
        <v>10597</v>
      </c>
      <c r="B2165" s="6" t="str">
        <f>IMAGE("https://storage.googleapis.com/acdb/housewares/FtrRattanTableM_Remake_5_0.png")</f>
        <v/>
      </c>
      <c r="C2165" s="5" t="s">
        <v>54</v>
      </c>
      <c r="D2165" s="5" t="s">
        <v>34</v>
      </c>
      <c r="E2165" s="5" t="s">
        <v>34</v>
      </c>
      <c r="F2165" s="5" t="s">
        <v>34</v>
      </c>
      <c r="G2165" s="5" t="s">
        <v>36</v>
      </c>
      <c r="H2165" s="5" t="s">
        <v>36</v>
      </c>
      <c r="I2165" s="5" t="s">
        <v>36</v>
      </c>
      <c r="J2165" s="6" t="s">
        <v>34</v>
      </c>
      <c r="K2165" s="6">
        <v>2900.0</v>
      </c>
      <c r="L2165" s="6">
        <v>725.0</v>
      </c>
      <c r="M2165" s="26" t="s">
        <v>54</v>
      </c>
      <c r="N2165" s="26" t="s">
        <v>54</v>
      </c>
      <c r="O2165" s="6" t="s">
        <v>276</v>
      </c>
      <c r="P2165" s="5" t="s">
        <v>59</v>
      </c>
      <c r="Q2165" s="5" t="s">
        <v>122</v>
      </c>
      <c r="R2165" s="6" t="s">
        <v>42</v>
      </c>
      <c r="S2165" s="5" t="s">
        <v>90</v>
      </c>
      <c r="T2165" s="5" t="s">
        <v>44</v>
      </c>
      <c r="U2165" s="5" t="s">
        <v>4533</v>
      </c>
      <c r="V2165" s="5" t="s">
        <v>44</v>
      </c>
      <c r="W2165" s="5" t="s">
        <v>36</v>
      </c>
      <c r="X2165" s="8" t="s">
        <v>278</v>
      </c>
      <c r="Y2165" s="5" t="s">
        <v>46</v>
      </c>
      <c r="Z2165" s="5" t="s">
        <v>47</v>
      </c>
      <c r="AA2165" s="5" t="s">
        <v>64</v>
      </c>
      <c r="AB2165" s="5" t="s">
        <v>10628</v>
      </c>
      <c r="AC2165" s="6" t="s">
        <v>79</v>
      </c>
      <c r="AD2165" s="6">
        <v>4054.0</v>
      </c>
    </row>
    <row r="2166" ht="56.25" customHeight="1">
      <c r="A2166" s="5" t="s">
        <v>10630</v>
      </c>
      <c r="B2166" s="6" t="str">
        <f>IMAGE("https://storage.googleapis.com/acdb/housewares/FtrRattanStool_Remake_0_0.png")</f>
        <v/>
      </c>
      <c r="C2166" s="5" t="s">
        <v>39</v>
      </c>
      <c r="D2166" s="5" t="s">
        <v>34</v>
      </c>
      <c r="E2166" s="5" t="s">
        <v>34</v>
      </c>
      <c r="F2166" s="5" t="s">
        <v>34</v>
      </c>
      <c r="G2166" s="5" t="s">
        <v>36</v>
      </c>
      <c r="H2166" s="5" t="s">
        <v>36</v>
      </c>
      <c r="I2166" s="5" t="s">
        <v>36</v>
      </c>
      <c r="J2166" s="6" t="s">
        <v>34</v>
      </c>
      <c r="K2166" s="6">
        <v>2900.0</v>
      </c>
      <c r="L2166" s="6">
        <v>725.0</v>
      </c>
      <c r="M2166" s="26" t="s">
        <v>57</v>
      </c>
      <c r="N2166" s="26" t="s">
        <v>39</v>
      </c>
      <c r="O2166" s="6" t="s">
        <v>40</v>
      </c>
      <c r="P2166" s="5" t="s">
        <v>59</v>
      </c>
      <c r="Q2166" s="5" t="s">
        <v>122</v>
      </c>
      <c r="R2166" s="6" t="s">
        <v>42</v>
      </c>
      <c r="S2166" s="5" t="s">
        <v>90</v>
      </c>
      <c r="T2166" s="5" t="s">
        <v>44</v>
      </c>
      <c r="U2166" s="5" t="s">
        <v>4533</v>
      </c>
      <c r="V2166" s="5" t="s">
        <v>44</v>
      </c>
      <c r="W2166" s="5" t="s">
        <v>35</v>
      </c>
      <c r="X2166" s="8" t="s">
        <v>248</v>
      </c>
      <c r="Y2166" s="5" t="s">
        <v>46</v>
      </c>
      <c r="Z2166" s="5" t="s">
        <v>47</v>
      </c>
      <c r="AA2166" s="5" t="s">
        <v>64</v>
      </c>
      <c r="AB2166" s="5" t="s">
        <v>10635</v>
      </c>
      <c r="AC2166" s="6" t="s">
        <v>50</v>
      </c>
      <c r="AD2166" s="6">
        <v>4047.0</v>
      </c>
    </row>
    <row r="2167" ht="56.25" customHeight="1">
      <c r="A2167" s="5" t="s">
        <v>10630</v>
      </c>
      <c r="B2167" s="6" t="str">
        <f>IMAGE("https://storage.googleapis.com/acdb/housewares/FtrRattanStool_Remake_1_0.png")</f>
        <v/>
      </c>
      <c r="C2167" s="5" t="s">
        <v>4586</v>
      </c>
      <c r="D2167" s="5" t="s">
        <v>34</v>
      </c>
      <c r="E2167" s="5" t="s">
        <v>34</v>
      </c>
      <c r="F2167" s="5" t="s">
        <v>34</v>
      </c>
      <c r="G2167" s="5" t="s">
        <v>36</v>
      </c>
      <c r="H2167" s="5" t="s">
        <v>36</v>
      </c>
      <c r="I2167" s="5" t="s">
        <v>36</v>
      </c>
      <c r="J2167" s="6" t="s">
        <v>34</v>
      </c>
      <c r="K2167" s="6">
        <v>2900.0</v>
      </c>
      <c r="L2167" s="6">
        <v>725.0</v>
      </c>
      <c r="M2167" s="26" t="s">
        <v>1175</v>
      </c>
      <c r="N2167" s="26" t="s">
        <v>142</v>
      </c>
      <c r="O2167" s="6" t="s">
        <v>40</v>
      </c>
      <c r="P2167" s="5" t="s">
        <v>59</v>
      </c>
      <c r="Q2167" s="5" t="s">
        <v>122</v>
      </c>
      <c r="R2167" s="6" t="s">
        <v>42</v>
      </c>
      <c r="S2167" s="5" t="s">
        <v>90</v>
      </c>
      <c r="T2167" s="5" t="s">
        <v>44</v>
      </c>
      <c r="U2167" s="5" t="s">
        <v>4533</v>
      </c>
      <c r="V2167" s="5" t="s">
        <v>44</v>
      </c>
      <c r="W2167" s="5" t="s">
        <v>35</v>
      </c>
      <c r="X2167" s="8" t="s">
        <v>248</v>
      </c>
      <c r="Y2167" s="5" t="s">
        <v>46</v>
      </c>
      <c r="Z2167" s="5" t="s">
        <v>47</v>
      </c>
      <c r="AA2167" s="5" t="s">
        <v>64</v>
      </c>
      <c r="AB2167" s="5" t="s">
        <v>10640</v>
      </c>
      <c r="AC2167" s="6" t="s">
        <v>56</v>
      </c>
      <c r="AD2167" s="6">
        <v>4047.0</v>
      </c>
    </row>
    <row r="2168" ht="56.25" customHeight="1">
      <c r="A2168" s="5" t="s">
        <v>10630</v>
      </c>
      <c r="B2168" s="6" t="str">
        <f>IMAGE("https://storage.googleapis.com/acdb/housewares/FtrRattanStool_Remake_2_0.png")</f>
        <v/>
      </c>
      <c r="C2168" s="5" t="s">
        <v>935</v>
      </c>
      <c r="D2168" s="5" t="s">
        <v>34</v>
      </c>
      <c r="E2168" s="5" t="s">
        <v>34</v>
      </c>
      <c r="F2168" s="5" t="s">
        <v>34</v>
      </c>
      <c r="G2168" s="5" t="s">
        <v>36</v>
      </c>
      <c r="H2168" s="5" t="s">
        <v>36</v>
      </c>
      <c r="I2168" s="5" t="s">
        <v>36</v>
      </c>
      <c r="J2168" s="6" t="s">
        <v>34</v>
      </c>
      <c r="K2168" s="6">
        <v>2900.0</v>
      </c>
      <c r="L2168" s="6">
        <v>725.0</v>
      </c>
      <c r="M2168" s="26" t="s">
        <v>68</v>
      </c>
      <c r="N2168" s="26" t="s">
        <v>114</v>
      </c>
      <c r="O2168" s="6" t="s">
        <v>40</v>
      </c>
      <c r="P2168" s="5" t="s">
        <v>59</v>
      </c>
      <c r="Q2168" s="5" t="s">
        <v>122</v>
      </c>
      <c r="R2168" s="6" t="s">
        <v>42</v>
      </c>
      <c r="S2168" s="5" t="s">
        <v>90</v>
      </c>
      <c r="T2168" s="5" t="s">
        <v>44</v>
      </c>
      <c r="U2168" s="5" t="s">
        <v>4533</v>
      </c>
      <c r="V2168" s="5" t="s">
        <v>44</v>
      </c>
      <c r="W2168" s="5" t="s">
        <v>35</v>
      </c>
      <c r="X2168" s="8" t="s">
        <v>248</v>
      </c>
      <c r="Y2168" s="5" t="s">
        <v>46</v>
      </c>
      <c r="Z2168" s="5" t="s">
        <v>47</v>
      </c>
      <c r="AA2168" s="5" t="s">
        <v>64</v>
      </c>
      <c r="AB2168" s="5" t="s">
        <v>10648</v>
      </c>
      <c r="AC2168" s="6" t="s">
        <v>67</v>
      </c>
      <c r="AD2168" s="6">
        <v>4047.0</v>
      </c>
    </row>
    <row r="2169" ht="56.25" customHeight="1">
      <c r="A2169" s="5" t="s">
        <v>10630</v>
      </c>
      <c r="B2169" s="6" t="str">
        <f>IMAGE("https://storage.googleapis.com/acdb/housewares/FtrRattanStool_Remake_3_0.png")</f>
        <v/>
      </c>
      <c r="C2169" s="5" t="s">
        <v>57</v>
      </c>
      <c r="D2169" s="5" t="s">
        <v>34</v>
      </c>
      <c r="E2169" s="5" t="s">
        <v>34</v>
      </c>
      <c r="F2169" s="5" t="s">
        <v>34</v>
      </c>
      <c r="G2169" s="5" t="s">
        <v>36</v>
      </c>
      <c r="H2169" s="5" t="s">
        <v>36</v>
      </c>
      <c r="I2169" s="5" t="s">
        <v>36</v>
      </c>
      <c r="J2169" s="6" t="s">
        <v>34</v>
      </c>
      <c r="K2169" s="6">
        <v>2900.0</v>
      </c>
      <c r="L2169" s="6">
        <v>725.0</v>
      </c>
      <c r="M2169" s="26" t="s">
        <v>1175</v>
      </c>
      <c r="N2169" s="26" t="s">
        <v>57</v>
      </c>
      <c r="O2169" s="6" t="s">
        <v>40</v>
      </c>
      <c r="P2169" s="5" t="s">
        <v>59</v>
      </c>
      <c r="Q2169" s="5" t="s">
        <v>122</v>
      </c>
      <c r="R2169" s="6" t="s">
        <v>42</v>
      </c>
      <c r="S2169" s="5" t="s">
        <v>90</v>
      </c>
      <c r="T2169" s="5" t="s">
        <v>44</v>
      </c>
      <c r="U2169" s="5" t="s">
        <v>4533</v>
      </c>
      <c r="V2169" s="5" t="s">
        <v>44</v>
      </c>
      <c r="W2169" s="5" t="s">
        <v>35</v>
      </c>
      <c r="X2169" s="8" t="s">
        <v>248</v>
      </c>
      <c r="Y2169" s="5" t="s">
        <v>46</v>
      </c>
      <c r="Z2169" s="5" t="s">
        <v>47</v>
      </c>
      <c r="AA2169" s="5" t="s">
        <v>64</v>
      </c>
      <c r="AB2169" s="5" t="s">
        <v>10656</v>
      </c>
      <c r="AC2169" s="6" t="s">
        <v>71</v>
      </c>
      <c r="AD2169" s="6">
        <v>4047.0</v>
      </c>
    </row>
    <row r="2170" ht="56.25" customHeight="1">
      <c r="A2170" s="5" t="s">
        <v>10630</v>
      </c>
      <c r="B2170" s="6" t="str">
        <f>IMAGE("https://storage.googleapis.com/acdb/housewares/FtrRattanStool_Remake_4_0.png")</f>
        <v/>
      </c>
      <c r="C2170" s="5" t="s">
        <v>95</v>
      </c>
      <c r="D2170" s="5" t="s">
        <v>34</v>
      </c>
      <c r="E2170" s="5" t="s">
        <v>34</v>
      </c>
      <c r="F2170" s="5" t="s">
        <v>34</v>
      </c>
      <c r="G2170" s="5" t="s">
        <v>36</v>
      </c>
      <c r="H2170" s="5" t="s">
        <v>36</v>
      </c>
      <c r="I2170" s="5" t="s">
        <v>36</v>
      </c>
      <c r="J2170" s="6" t="s">
        <v>34</v>
      </c>
      <c r="K2170" s="6">
        <v>2900.0</v>
      </c>
      <c r="L2170" s="6">
        <v>725.0</v>
      </c>
      <c r="M2170" s="26" t="s">
        <v>96</v>
      </c>
      <c r="N2170" s="26" t="s">
        <v>68</v>
      </c>
      <c r="O2170" s="6" t="s">
        <v>40</v>
      </c>
      <c r="P2170" s="5" t="s">
        <v>59</v>
      </c>
      <c r="Q2170" s="5" t="s">
        <v>122</v>
      </c>
      <c r="R2170" s="6" t="s">
        <v>42</v>
      </c>
      <c r="S2170" s="5" t="s">
        <v>90</v>
      </c>
      <c r="T2170" s="5" t="s">
        <v>44</v>
      </c>
      <c r="U2170" s="5" t="s">
        <v>4533</v>
      </c>
      <c r="V2170" s="5" t="s">
        <v>44</v>
      </c>
      <c r="W2170" s="5" t="s">
        <v>35</v>
      </c>
      <c r="X2170" s="8" t="s">
        <v>248</v>
      </c>
      <c r="Y2170" s="5" t="s">
        <v>46</v>
      </c>
      <c r="Z2170" s="5" t="s">
        <v>47</v>
      </c>
      <c r="AA2170" s="5" t="s">
        <v>64</v>
      </c>
      <c r="AB2170" s="5" t="s">
        <v>10663</v>
      </c>
      <c r="AC2170" s="6" t="s">
        <v>75</v>
      </c>
      <c r="AD2170" s="6">
        <v>4047.0</v>
      </c>
    </row>
    <row r="2171" ht="56.25" customHeight="1">
      <c r="A2171" s="5" t="s">
        <v>10630</v>
      </c>
      <c r="B2171" s="6" t="str">
        <f>IMAGE("https://storage.googleapis.com/acdb/housewares/FtrRattanStool_Remake_5_0.png")</f>
        <v/>
      </c>
      <c r="C2171" s="5" t="s">
        <v>54</v>
      </c>
      <c r="D2171" s="5" t="s">
        <v>34</v>
      </c>
      <c r="E2171" s="5" t="s">
        <v>34</v>
      </c>
      <c r="F2171" s="5" t="s">
        <v>34</v>
      </c>
      <c r="G2171" s="5" t="s">
        <v>36</v>
      </c>
      <c r="H2171" s="5" t="s">
        <v>36</v>
      </c>
      <c r="I2171" s="5" t="s">
        <v>36</v>
      </c>
      <c r="J2171" s="6" t="s">
        <v>34</v>
      </c>
      <c r="K2171" s="6">
        <v>2900.0</v>
      </c>
      <c r="L2171" s="6">
        <v>725.0</v>
      </c>
      <c r="M2171" s="26" t="s">
        <v>95</v>
      </c>
      <c r="N2171" s="26" t="s">
        <v>54</v>
      </c>
      <c r="O2171" s="6" t="s">
        <v>40</v>
      </c>
      <c r="P2171" s="5" t="s">
        <v>59</v>
      </c>
      <c r="Q2171" s="5" t="s">
        <v>122</v>
      </c>
      <c r="R2171" s="6" t="s">
        <v>42</v>
      </c>
      <c r="S2171" s="5" t="s">
        <v>90</v>
      </c>
      <c r="T2171" s="5" t="s">
        <v>44</v>
      </c>
      <c r="U2171" s="5" t="s">
        <v>4533</v>
      </c>
      <c r="V2171" s="5" t="s">
        <v>44</v>
      </c>
      <c r="W2171" s="5" t="s">
        <v>35</v>
      </c>
      <c r="X2171" s="8" t="s">
        <v>248</v>
      </c>
      <c r="Y2171" s="5" t="s">
        <v>46</v>
      </c>
      <c r="Z2171" s="5" t="s">
        <v>47</v>
      </c>
      <c r="AA2171" s="5" t="s">
        <v>64</v>
      </c>
      <c r="AB2171" s="5" t="s">
        <v>10669</v>
      </c>
      <c r="AC2171" s="6" t="s">
        <v>79</v>
      </c>
      <c r="AD2171" s="6">
        <v>4047.0</v>
      </c>
    </row>
    <row r="2172" ht="56.25" customHeight="1">
      <c r="A2172" s="5" t="s">
        <v>10670</v>
      </c>
      <c r="B2172" s="6" t="str">
        <f>IMAGE("https://storage.googleapis.com/acdb/housewares/FtrRattanDresser_Remake_0_0.png")</f>
        <v/>
      </c>
      <c r="C2172" s="5" t="s">
        <v>39</v>
      </c>
      <c r="D2172" s="5" t="s">
        <v>34</v>
      </c>
      <c r="E2172" s="5" t="s">
        <v>34</v>
      </c>
      <c r="F2172" s="5" t="s">
        <v>34</v>
      </c>
      <c r="G2172" s="5" t="s">
        <v>36</v>
      </c>
      <c r="H2172" s="5" t="s">
        <v>36</v>
      </c>
      <c r="I2172" s="5" t="s">
        <v>36</v>
      </c>
      <c r="J2172" s="6" t="s">
        <v>34</v>
      </c>
      <c r="K2172" s="6">
        <v>5900.0</v>
      </c>
      <c r="L2172" s="6">
        <v>1475.0</v>
      </c>
      <c r="M2172" s="26" t="s">
        <v>39</v>
      </c>
      <c r="N2172" s="26" t="s">
        <v>39</v>
      </c>
      <c r="O2172" s="6" t="s">
        <v>40</v>
      </c>
      <c r="P2172" s="5" t="s">
        <v>59</v>
      </c>
      <c r="Q2172" s="5" t="s">
        <v>122</v>
      </c>
      <c r="R2172" s="6" t="s">
        <v>42</v>
      </c>
      <c r="S2172" s="5" t="s">
        <v>90</v>
      </c>
      <c r="T2172" s="5" t="s">
        <v>44</v>
      </c>
      <c r="U2172" s="5" t="s">
        <v>4533</v>
      </c>
      <c r="V2172" s="5" t="s">
        <v>44</v>
      </c>
      <c r="W2172" s="5" t="s">
        <v>35</v>
      </c>
      <c r="X2172" s="8" t="s">
        <v>309</v>
      </c>
      <c r="Y2172" s="5" t="s">
        <v>46</v>
      </c>
      <c r="Z2172" s="5" t="s">
        <v>47</v>
      </c>
      <c r="AA2172" s="5" t="s">
        <v>64</v>
      </c>
      <c r="AB2172" s="5" t="s">
        <v>10678</v>
      </c>
      <c r="AC2172" s="6" t="s">
        <v>50</v>
      </c>
      <c r="AD2172" s="6">
        <v>4051.0</v>
      </c>
    </row>
    <row r="2173" ht="56.25" customHeight="1">
      <c r="A2173" s="5" t="s">
        <v>10670</v>
      </c>
      <c r="B2173" s="6" t="str">
        <f>IMAGE("https://storage.googleapis.com/acdb/housewares/FtrRattanDresser_Remake_1_0.png")</f>
        <v/>
      </c>
      <c r="C2173" s="5" t="s">
        <v>4586</v>
      </c>
      <c r="D2173" s="5" t="s">
        <v>34</v>
      </c>
      <c r="E2173" s="5" t="s">
        <v>34</v>
      </c>
      <c r="F2173" s="5" t="s">
        <v>34</v>
      </c>
      <c r="G2173" s="5" t="s">
        <v>36</v>
      </c>
      <c r="H2173" s="5" t="s">
        <v>36</v>
      </c>
      <c r="I2173" s="5" t="s">
        <v>36</v>
      </c>
      <c r="J2173" s="6" t="s">
        <v>34</v>
      </c>
      <c r="K2173" s="6">
        <v>5900.0</v>
      </c>
      <c r="L2173" s="6">
        <v>1475.0</v>
      </c>
      <c r="M2173" s="26" t="s">
        <v>142</v>
      </c>
      <c r="N2173" s="26" t="s">
        <v>142</v>
      </c>
      <c r="O2173" s="6" t="s">
        <v>40</v>
      </c>
      <c r="P2173" s="5" t="s">
        <v>59</v>
      </c>
      <c r="Q2173" s="5" t="s">
        <v>122</v>
      </c>
      <c r="R2173" s="6" t="s">
        <v>42</v>
      </c>
      <c r="S2173" s="5" t="s">
        <v>90</v>
      </c>
      <c r="T2173" s="5" t="s">
        <v>44</v>
      </c>
      <c r="U2173" s="5" t="s">
        <v>4533</v>
      </c>
      <c r="V2173" s="5" t="s">
        <v>44</v>
      </c>
      <c r="W2173" s="5" t="s">
        <v>35</v>
      </c>
      <c r="X2173" s="8" t="s">
        <v>309</v>
      </c>
      <c r="Y2173" s="5" t="s">
        <v>46</v>
      </c>
      <c r="Z2173" s="5" t="s">
        <v>47</v>
      </c>
      <c r="AA2173" s="5" t="s">
        <v>64</v>
      </c>
      <c r="AB2173" s="5" t="s">
        <v>10686</v>
      </c>
      <c r="AC2173" s="6" t="s">
        <v>56</v>
      </c>
      <c r="AD2173" s="6">
        <v>4051.0</v>
      </c>
    </row>
    <row r="2174" ht="56.25" customHeight="1">
      <c r="A2174" s="5" t="s">
        <v>10670</v>
      </c>
      <c r="B2174" s="6" t="str">
        <f>IMAGE("https://storage.googleapis.com/acdb/housewares/FtrRattanDresser_Remake_2_0.png")</f>
        <v/>
      </c>
      <c r="C2174" s="5" t="s">
        <v>935</v>
      </c>
      <c r="D2174" s="5" t="s">
        <v>34</v>
      </c>
      <c r="E2174" s="5" t="s">
        <v>34</v>
      </c>
      <c r="F2174" s="5" t="s">
        <v>34</v>
      </c>
      <c r="G2174" s="5" t="s">
        <v>36</v>
      </c>
      <c r="H2174" s="5" t="s">
        <v>36</v>
      </c>
      <c r="I2174" s="5" t="s">
        <v>36</v>
      </c>
      <c r="J2174" s="6" t="s">
        <v>34</v>
      </c>
      <c r="K2174" s="6">
        <v>5900.0</v>
      </c>
      <c r="L2174" s="6">
        <v>1475.0</v>
      </c>
      <c r="M2174" s="26" t="s">
        <v>114</v>
      </c>
      <c r="N2174" s="26" t="s">
        <v>114</v>
      </c>
      <c r="O2174" s="6" t="s">
        <v>40</v>
      </c>
      <c r="P2174" s="5" t="s">
        <v>59</v>
      </c>
      <c r="Q2174" s="5" t="s">
        <v>122</v>
      </c>
      <c r="R2174" s="6" t="s">
        <v>42</v>
      </c>
      <c r="S2174" s="5" t="s">
        <v>90</v>
      </c>
      <c r="T2174" s="5" t="s">
        <v>44</v>
      </c>
      <c r="U2174" s="5" t="s">
        <v>4533</v>
      </c>
      <c r="V2174" s="5" t="s">
        <v>44</v>
      </c>
      <c r="W2174" s="5" t="s">
        <v>35</v>
      </c>
      <c r="X2174" s="8" t="s">
        <v>309</v>
      </c>
      <c r="Y2174" s="5" t="s">
        <v>46</v>
      </c>
      <c r="Z2174" s="5" t="s">
        <v>47</v>
      </c>
      <c r="AA2174" s="5" t="s">
        <v>64</v>
      </c>
      <c r="AB2174" s="5" t="s">
        <v>10693</v>
      </c>
      <c r="AC2174" s="6" t="s">
        <v>67</v>
      </c>
      <c r="AD2174" s="6">
        <v>4051.0</v>
      </c>
    </row>
    <row r="2175" ht="56.25" customHeight="1">
      <c r="A2175" s="5" t="s">
        <v>10670</v>
      </c>
      <c r="B2175" s="6" t="str">
        <f>IMAGE("https://storage.googleapis.com/acdb/housewares/FtrRattanDresser_Remake_3_0.png")</f>
        <v/>
      </c>
      <c r="C2175" s="5" t="s">
        <v>57</v>
      </c>
      <c r="D2175" s="5" t="s">
        <v>34</v>
      </c>
      <c r="E2175" s="5" t="s">
        <v>34</v>
      </c>
      <c r="F2175" s="5" t="s">
        <v>34</v>
      </c>
      <c r="G2175" s="5" t="s">
        <v>36</v>
      </c>
      <c r="H2175" s="5" t="s">
        <v>36</v>
      </c>
      <c r="I2175" s="5" t="s">
        <v>36</v>
      </c>
      <c r="J2175" s="6" t="s">
        <v>34</v>
      </c>
      <c r="K2175" s="6">
        <v>5900.0</v>
      </c>
      <c r="L2175" s="6">
        <v>1475.0</v>
      </c>
      <c r="M2175" s="26" t="s">
        <v>57</v>
      </c>
      <c r="N2175" s="26" t="s">
        <v>57</v>
      </c>
      <c r="O2175" s="6" t="s">
        <v>40</v>
      </c>
      <c r="P2175" s="5" t="s">
        <v>59</v>
      </c>
      <c r="Q2175" s="5" t="s">
        <v>122</v>
      </c>
      <c r="R2175" s="6" t="s">
        <v>42</v>
      </c>
      <c r="S2175" s="5" t="s">
        <v>90</v>
      </c>
      <c r="T2175" s="5" t="s">
        <v>44</v>
      </c>
      <c r="U2175" s="5" t="s">
        <v>4533</v>
      </c>
      <c r="V2175" s="5" t="s">
        <v>44</v>
      </c>
      <c r="W2175" s="5" t="s">
        <v>35</v>
      </c>
      <c r="X2175" s="8" t="s">
        <v>309</v>
      </c>
      <c r="Y2175" s="5" t="s">
        <v>46</v>
      </c>
      <c r="Z2175" s="5" t="s">
        <v>47</v>
      </c>
      <c r="AA2175" s="5" t="s">
        <v>64</v>
      </c>
      <c r="AB2175" s="5" t="s">
        <v>10700</v>
      </c>
      <c r="AC2175" s="6" t="s">
        <v>71</v>
      </c>
      <c r="AD2175" s="6">
        <v>4051.0</v>
      </c>
    </row>
    <row r="2176" ht="56.25" customHeight="1">
      <c r="A2176" s="5" t="s">
        <v>10670</v>
      </c>
      <c r="B2176" s="6" t="str">
        <f>IMAGE("https://storage.googleapis.com/acdb/housewares/FtrRattanDresser_Remake_4_0.png")</f>
        <v/>
      </c>
      <c r="C2176" s="5" t="s">
        <v>95</v>
      </c>
      <c r="D2176" s="5" t="s">
        <v>34</v>
      </c>
      <c r="E2176" s="5" t="s">
        <v>34</v>
      </c>
      <c r="F2176" s="5" t="s">
        <v>34</v>
      </c>
      <c r="G2176" s="5" t="s">
        <v>36</v>
      </c>
      <c r="H2176" s="5" t="s">
        <v>36</v>
      </c>
      <c r="I2176" s="5" t="s">
        <v>36</v>
      </c>
      <c r="J2176" s="6" t="s">
        <v>34</v>
      </c>
      <c r="K2176" s="6">
        <v>5900.0</v>
      </c>
      <c r="L2176" s="6">
        <v>1475.0</v>
      </c>
      <c r="M2176" s="26" t="s">
        <v>68</v>
      </c>
      <c r="N2176" s="26" t="s">
        <v>68</v>
      </c>
      <c r="O2176" s="6" t="s">
        <v>40</v>
      </c>
      <c r="P2176" s="5" t="s">
        <v>59</v>
      </c>
      <c r="Q2176" s="5" t="s">
        <v>122</v>
      </c>
      <c r="R2176" s="6" t="s">
        <v>42</v>
      </c>
      <c r="S2176" s="5" t="s">
        <v>90</v>
      </c>
      <c r="T2176" s="5" t="s">
        <v>44</v>
      </c>
      <c r="U2176" s="5" t="s">
        <v>4533</v>
      </c>
      <c r="V2176" s="5" t="s">
        <v>44</v>
      </c>
      <c r="W2176" s="5" t="s">
        <v>35</v>
      </c>
      <c r="X2176" s="8" t="s">
        <v>309</v>
      </c>
      <c r="Y2176" s="5" t="s">
        <v>46</v>
      </c>
      <c r="Z2176" s="5" t="s">
        <v>47</v>
      </c>
      <c r="AA2176" s="5" t="s">
        <v>64</v>
      </c>
      <c r="AB2176" s="5" t="s">
        <v>10708</v>
      </c>
      <c r="AC2176" s="6" t="s">
        <v>75</v>
      </c>
      <c r="AD2176" s="6">
        <v>4051.0</v>
      </c>
    </row>
    <row r="2177" ht="56.25" customHeight="1">
      <c r="A2177" s="5" t="s">
        <v>10670</v>
      </c>
      <c r="B2177" s="6" t="str">
        <f>IMAGE("https://storage.googleapis.com/acdb/housewares/FtrRattanDresser_Remake_5_0.png")</f>
        <v/>
      </c>
      <c r="C2177" s="5" t="s">
        <v>54</v>
      </c>
      <c r="D2177" s="5" t="s">
        <v>34</v>
      </c>
      <c r="E2177" s="5" t="s">
        <v>34</v>
      </c>
      <c r="F2177" s="5" t="s">
        <v>34</v>
      </c>
      <c r="G2177" s="5" t="s">
        <v>36</v>
      </c>
      <c r="H2177" s="5" t="s">
        <v>36</v>
      </c>
      <c r="I2177" s="5" t="s">
        <v>36</v>
      </c>
      <c r="J2177" s="6" t="s">
        <v>34</v>
      </c>
      <c r="K2177" s="6">
        <v>5900.0</v>
      </c>
      <c r="L2177" s="6">
        <v>1475.0</v>
      </c>
      <c r="M2177" s="26" t="s">
        <v>54</v>
      </c>
      <c r="N2177" s="26" t="s">
        <v>54</v>
      </c>
      <c r="O2177" s="6" t="s">
        <v>40</v>
      </c>
      <c r="P2177" s="5" t="s">
        <v>59</v>
      </c>
      <c r="Q2177" s="5" t="s">
        <v>122</v>
      </c>
      <c r="R2177" s="6" t="s">
        <v>42</v>
      </c>
      <c r="S2177" s="5" t="s">
        <v>90</v>
      </c>
      <c r="T2177" s="5" t="s">
        <v>44</v>
      </c>
      <c r="U2177" s="5" t="s">
        <v>4533</v>
      </c>
      <c r="V2177" s="5" t="s">
        <v>44</v>
      </c>
      <c r="W2177" s="5" t="s">
        <v>35</v>
      </c>
      <c r="X2177" s="8" t="s">
        <v>309</v>
      </c>
      <c r="Y2177" s="5" t="s">
        <v>46</v>
      </c>
      <c r="Z2177" s="5" t="s">
        <v>47</v>
      </c>
      <c r="AA2177" s="5" t="s">
        <v>64</v>
      </c>
      <c r="AB2177" s="5" t="s">
        <v>10714</v>
      </c>
      <c r="AC2177" s="6" t="s">
        <v>79</v>
      </c>
      <c r="AD2177" s="6">
        <v>4051.0</v>
      </c>
    </row>
    <row r="2178" ht="56.25" customHeight="1">
      <c r="A2178" s="5" t="s">
        <v>10715</v>
      </c>
      <c r="B2178" s="6" t="str">
        <f>IMAGE("https://storage.googleapis.com/acdb/housewares/FtrRattanClosetLR_Remake_0_0.png")</f>
        <v/>
      </c>
      <c r="C2178" s="5" t="s">
        <v>39</v>
      </c>
      <c r="D2178" s="5" t="s">
        <v>34</v>
      </c>
      <c r="E2178" s="5" t="s">
        <v>34</v>
      </c>
      <c r="F2178" s="5" t="s">
        <v>34</v>
      </c>
      <c r="G2178" s="5" t="s">
        <v>36</v>
      </c>
      <c r="H2178" s="5" t="s">
        <v>36</v>
      </c>
      <c r="I2178" s="5" t="s">
        <v>36</v>
      </c>
      <c r="J2178" s="6" t="s">
        <v>34</v>
      </c>
      <c r="K2178" s="6">
        <v>6900.0</v>
      </c>
      <c r="L2178" s="6">
        <v>1725.0</v>
      </c>
      <c r="M2178" s="26" t="s">
        <v>39</v>
      </c>
      <c r="N2178" s="26" t="s">
        <v>39</v>
      </c>
      <c r="O2178" s="6" t="s">
        <v>40</v>
      </c>
      <c r="P2178" s="5" t="s">
        <v>59</v>
      </c>
      <c r="Q2178" s="5" t="s">
        <v>122</v>
      </c>
      <c r="R2178" s="6" t="s">
        <v>42</v>
      </c>
      <c r="S2178" s="5" t="s">
        <v>90</v>
      </c>
      <c r="T2178" s="5" t="s">
        <v>44</v>
      </c>
      <c r="U2178" s="5" t="s">
        <v>4533</v>
      </c>
      <c r="V2178" s="5" t="s">
        <v>44</v>
      </c>
      <c r="W2178" s="5" t="s">
        <v>35</v>
      </c>
      <c r="X2178" s="8" t="s">
        <v>322</v>
      </c>
      <c r="Y2178" s="5" t="s">
        <v>46</v>
      </c>
      <c r="Z2178" s="5" t="s">
        <v>47</v>
      </c>
      <c r="AA2178" s="5" t="s">
        <v>64</v>
      </c>
      <c r="AB2178" s="5" t="s">
        <v>10721</v>
      </c>
      <c r="AC2178" s="6" t="s">
        <v>50</v>
      </c>
      <c r="AD2178" s="6">
        <v>4049.0</v>
      </c>
    </row>
    <row r="2179" ht="56.25" customHeight="1">
      <c r="A2179" s="5" t="s">
        <v>10715</v>
      </c>
      <c r="B2179" s="6" t="str">
        <f>IMAGE("https://storage.googleapis.com/acdb/housewares/FtrRattanClosetLR_Remake_1_0.png")</f>
        <v/>
      </c>
      <c r="C2179" s="5" t="s">
        <v>4586</v>
      </c>
      <c r="D2179" s="5" t="s">
        <v>34</v>
      </c>
      <c r="E2179" s="5" t="s">
        <v>34</v>
      </c>
      <c r="F2179" s="5" t="s">
        <v>34</v>
      </c>
      <c r="G2179" s="5" t="s">
        <v>36</v>
      </c>
      <c r="H2179" s="5" t="s">
        <v>36</v>
      </c>
      <c r="I2179" s="5" t="s">
        <v>36</v>
      </c>
      <c r="J2179" s="6" t="s">
        <v>34</v>
      </c>
      <c r="K2179" s="6">
        <v>6900.0</v>
      </c>
      <c r="L2179" s="6">
        <v>1725.0</v>
      </c>
      <c r="M2179" s="26" t="s">
        <v>142</v>
      </c>
      <c r="N2179" s="26" t="s">
        <v>142</v>
      </c>
      <c r="O2179" s="6" t="s">
        <v>40</v>
      </c>
      <c r="P2179" s="5" t="s">
        <v>59</v>
      </c>
      <c r="Q2179" s="5" t="s">
        <v>122</v>
      </c>
      <c r="R2179" s="6" t="s">
        <v>42</v>
      </c>
      <c r="S2179" s="5" t="s">
        <v>90</v>
      </c>
      <c r="T2179" s="5" t="s">
        <v>44</v>
      </c>
      <c r="U2179" s="5" t="s">
        <v>4533</v>
      </c>
      <c r="V2179" s="5" t="s">
        <v>44</v>
      </c>
      <c r="W2179" s="5" t="s">
        <v>35</v>
      </c>
      <c r="X2179" s="8" t="s">
        <v>322</v>
      </c>
      <c r="Y2179" s="5" t="s">
        <v>46</v>
      </c>
      <c r="Z2179" s="5" t="s">
        <v>47</v>
      </c>
      <c r="AA2179" s="5" t="s">
        <v>64</v>
      </c>
      <c r="AB2179" s="5" t="s">
        <v>10730</v>
      </c>
      <c r="AC2179" s="6" t="s">
        <v>56</v>
      </c>
      <c r="AD2179" s="6">
        <v>4049.0</v>
      </c>
    </row>
    <row r="2180" ht="56.25" customHeight="1">
      <c r="A2180" s="5" t="s">
        <v>10715</v>
      </c>
      <c r="B2180" s="6" t="str">
        <f>IMAGE("https://storage.googleapis.com/acdb/housewares/FtrRattanClosetLR_Remake_2_0.png")</f>
        <v/>
      </c>
      <c r="C2180" s="5" t="s">
        <v>935</v>
      </c>
      <c r="D2180" s="5" t="s">
        <v>34</v>
      </c>
      <c r="E2180" s="5" t="s">
        <v>34</v>
      </c>
      <c r="F2180" s="5" t="s">
        <v>34</v>
      </c>
      <c r="G2180" s="5" t="s">
        <v>36</v>
      </c>
      <c r="H2180" s="5" t="s">
        <v>36</v>
      </c>
      <c r="I2180" s="5" t="s">
        <v>36</v>
      </c>
      <c r="J2180" s="6" t="s">
        <v>34</v>
      </c>
      <c r="K2180" s="6">
        <v>6900.0</v>
      </c>
      <c r="L2180" s="6">
        <v>1725.0</v>
      </c>
      <c r="M2180" s="26" t="s">
        <v>114</v>
      </c>
      <c r="N2180" s="26" t="s">
        <v>114</v>
      </c>
      <c r="O2180" s="6" t="s">
        <v>40</v>
      </c>
      <c r="P2180" s="5" t="s">
        <v>59</v>
      </c>
      <c r="Q2180" s="5" t="s">
        <v>122</v>
      </c>
      <c r="R2180" s="6" t="s">
        <v>42</v>
      </c>
      <c r="S2180" s="5" t="s">
        <v>90</v>
      </c>
      <c r="T2180" s="5" t="s">
        <v>44</v>
      </c>
      <c r="U2180" s="5" t="s">
        <v>4533</v>
      </c>
      <c r="V2180" s="5" t="s">
        <v>44</v>
      </c>
      <c r="W2180" s="5" t="s">
        <v>35</v>
      </c>
      <c r="X2180" s="8" t="s">
        <v>322</v>
      </c>
      <c r="Y2180" s="5" t="s">
        <v>46</v>
      </c>
      <c r="Z2180" s="5" t="s">
        <v>47</v>
      </c>
      <c r="AA2180" s="5" t="s">
        <v>64</v>
      </c>
      <c r="AB2180" s="5" t="s">
        <v>10733</v>
      </c>
      <c r="AC2180" s="6" t="s">
        <v>67</v>
      </c>
      <c r="AD2180" s="6">
        <v>4049.0</v>
      </c>
    </row>
    <row r="2181" ht="56.25" customHeight="1">
      <c r="A2181" s="5" t="s">
        <v>10715</v>
      </c>
      <c r="B2181" s="6" t="str">
        <f>IMAGE("https://storage.googleapis.com/acdb/housewares/FtrRattanClosetLR_Remake_3_0.png")</f>
        <v/>
      </c>
      <c r="C2181" s="5" t="s">
        <v>57</v>
      </c>
      <c r="D2181" s="5" t="s">
        <v>34</v>
      </c>
      <c r="E2181" s="5" t="s">
        <v>34</v>
      </c>
      <c r="F2181" s="5" t="s">
        <v>34</v>
      </c>
      <c r="G2181" s="5" t="s">
        <v>36</v>
      </c>
      <c r="H2181" s="5" t="s">
        <v>36</v>
      </c>
      <c r="I2181" s="5" t="s">
        <v>36</v>
      </c>
      <c r="J2181" s="6" t="s">
        <v>34</v>
      </c>
      <c r="K2181" s="6">
        <v>6900.0</v>
      </c>
      <c r="L2181" s="6">
        <v>1725.0</v>
      </c>
      <c r="M2181" s="26" t="s">
        <v>57</v>
      </c>
      <c r="N2181" s="26" t="s">
        <v>57</v>
      </c>
      <c r="O2181" s="6" t="s">
        <v>40</v>
      </c>
      <c r="P2181" s="5" t="s">
        <v>59</v>
      </c>
      <c r="Q2181" s="5" t="s">
        <v>122</v>
      </c>
      <c r="R2181" s="6" t="s">
        <v>42</v>
      </c>
      <c r="S2181" s="5" t="s">
        <v>90</v>
      </c>
      <c r="T2181" s="5" t="s">
        <v>44</v>
      </c>
      <c r="U2181" s="5" t="s">
        <v>4533</v>
      </c>
      <c r="V2181" s="5" t="s">
        <v>44</v>
      </c>
      <c r="W2181" s="5" t="s">
        <v>35</v>
      </c>
      <c r="X2181" s="8" t="s">
        <v>322</v>
      </c>
      <c r="Y2181" s="5" t="s">
        <v>46</v>
      </c>
      <c r="Z2181" s="5" t="s">
        <v>47</v>
      </c>
      <c r="AA2181" s="5" t="s">
        <v>64</v>
      </c>
      <c r="AB2181" s="5" t="s">
        <v>10738</v>
      </c>
      <c r="AC2181" s="6" t="s">
        <v>71</v>
      </c>
      <c r="AD2181" s="6">
        <v>4049.0</v>
      </c>
    </row>
    <row r="2182" ht="56.25" customHeight="1">
      <c r="A2182" s="5" t="s">
        <v>10715</v>
      </c>
      <c r="B2182" s="6" t="str">
        <f>IMAGE("https://storage.googleapis.com/acdb/housewares/FtrRattanClosetLR_Remake_4_0.png")</f>
        <v/>
      </c>
      <c r="C2182" s="5" t="s">
        <v>95</v>
      </c>
      <c r="D2182" s="5" t="s">
        <v>34</v>
      </c>
      <c r="E2182" s="5" t="s">
        <v>34</v>
      </c>
      <c r="F2182" s="5" t="s">
        <v>34</v>
      </c>
      <c r="G2182" s="5" t="s">
        <v>36</v>
      </c>
      <c r="H2182" s="5" t="s">
        <v>36</v>
      </c>
      <c r="I2182" s="5" t="s">
        <v>36</v>
      </c>
      <c r="J2182" s="6" t="s">
        <v>34</v>
      </c>
      <c r="K2182" s="6">
        <v>6900.0</v>
      </c>
      <c r="L2182" s="6">
        <v>1725.0</v>
      </c>
      <c r="M2182" s="26" t="s">
        <v>68</v>
      </c>
      <c r="N2182" s="26" t="s">
        <v>68</v>
      </c>
      <c r="O2182" s="6" t="s">
        <v>40</v>
      </c>
      <c r="P2182" s="5" t="s">
        <v>59</v>
      </c>
      <c r="Q2182" s="5" t="s">
        <v>122</v>
      </c>
      <c r="R2182" s="6" t="s">
        <v>42</v>
      </c>
      <c r="S2182" s="5" t="s">
        <v>90</v>
      </c>
      <c r="T2182" s="5" t="s">
        <v>44</v>
      </c>
      <c r="U2182" s="5" t="s">
        <v>4533</v>
      </c>
      <c r="V2182" s="5" t="s">
        <v>44</v>
      </c>
      <c r="W2182" s="5" t="s">
        <v>35</v>
      </c>
      <c r="X2182" s="8" t="s">
        <v>322</v>
      </c>
      <c r="Y2182" s="5" t="s">
        <v>46</v>
      </c>
      <c r="Z2182" s="5" t="s">
        <v>47</v>
      </c>
      <c r="AA2182" s="5" t="s">
        <v>64</v>
      </c>
      <c r="AB2182" s="5" t="s">
        <v>10742</v>
      </c>
      <c r="AC2182" s="6" t="s">
        <v>75</v>
      </c>
      <c r="AD2182" s="6">
        <v>4049.0</v>
      </c>
    </row>
    <row r="2183" ht="56.25" customHeight="1">
      <c r="A2183" s="5" t="s">
        <v>10715</v>
      </c>
      <c r="B2183" s="6" t="str">
        <f>IMAGE("https://storage.googleapis.com/acdb/housewares/FtrRattanClosetLR_Remake_5_0.png")</f>
        <v/>
      </c>
      <c r="C2183" s="5" t="s">
        <v>54</v>
      </c>
      <c r="D2183" s="5" t="s">
        <v>34</v>
      </c>
      <c r="E2183" s="5" t="s">
        <v>34</v>
      </c>
      <c r="F2183" s="5" t="s">
        <v>34</v>
      </c>
      <c r="G2183" s="5" t="s">
        <v>36</v>
      </c>
      <c r="H2183" s="5" t="s">
        <v>36</v>
      </c>
      <c r="I2183" s="5" t="s">
        <v>36</v>
      </c>
      <c r="J2183" s="6" t="s">
        <v>34</v>
      </c>
      <c r="K2183" s="6">
        <v>6900.0</v>
      </c>
      <c r="L2183" s="6">
        <v>1725.0</v>
      </c>
      <c r="M2183" s="26" t="s">
        <v>54</v>
      </c>
      <c r="N2183" s="26" t="s">
        <v>54</v>
      </c>
      <c r="O2183" s="6" t="s">
        <v>40</v>
      </c>
      <c r="P2183" s="5" t="s">
        <v>59</v>
      </c>
      <c r="Q2183" s="5" t="s">
        <v>122</v>
      </c>
      <c r="R2183" s="6" t="s">
        <v>42</v>
      </c>
      <c r="S2183" s="5" t="s">
        <v>90</v>
      </c>
      <c r="T2183" s="5" t="s">
        <v>44</v>
      </c>
      <c r="U2183" s="5" t="s">
        <v>4533</v>
      </c>
      <c r="V2183" s="5" t="s">
        <v>44</v>
      </c>
      <c r="W2183" s="5" t="s">
        <v>35</v>
      </c>
      <c r="X2183" s="8" t="s">
        <v>322</v>
      </c>
      <c r="Y2183" s="5" t="s">
        <v>46</v>
      </c>
      <c r="Z2183" s="5" t="s">
        <v>47</v>
      </c>
      <c r="AA2183" s="5" t="s">
        <v>64</v>
      </c>
      <c r="AB2183" s="5" t="s">
        <v>10746</v>
      </c>
      <c r="AC2183" s="6" t="s">
        <v>79</v>
      </c>
      <c r="AD2183" s="6">
        <v>4049.0</v>
      </c>
    </row>
    <row r="2184" ht="56.25" customHeight="1">
      <c r="A2184" s="5" t="s">
        <v>10747</v>
      </c>
      <c r="B2184" s="6" t="str">
        <f>IMAGE("https://storage.googleapis.com/acdb/housewares/FtrRattanTrashbox_Remake_0_0.png")</f>
        <v/>
      </c>
      <c r="C2184" s="5" t="s">
        <v>39</v>
      </c>
      <c r="D2184" s="5" t="s">
        <v>34</v>
      </c>
      <c r="E2184" s="5" t="s">
        <v>34</v>
      </c>
      <c r="F2184" s="5" t="s">
        <v>34</v>
      </c>
      <c r="G2184" s="5" t="s">
        <v>36</v>
      </c>
      <c r="H2184" s="5" t="s">
        <v>36</v>
      </c>
      <c r="I2184" s="5" t="s">
        <v>36</v>
      </c>
      <c r="J2184" s="6" t="s">
        <v>34</v>
      </c>
      <c r="K2184" s="6">
        <v>1000.0</v>
      </c>
      <c r="L2184" s="6">
        <v>250.0</v>
      </c>
      <c r="M2184" s="26" t="s">
        <v>39</v>
      </c>
      <c r="N2184" s="26" t="s">
        <v>39</v>
      </c>
      <c r="O2184" s="6" t="s">
        <v>40</v>
      </c>
      <c r="P2184" s="5" t="s">
        <v>59</v>
      </c>
      <c r="Q2184" s="5" t="s">
        <v>122</v>
      </c>
      <c r="R2184" s="6" t="s">
        <v>42</v>
      </c>
      <c r="S2184" s="5" t="s">
        <v>90</v>
      </c>
      <c r="T2184" s="5" t="s">
        <v>44</v>
      </c>
      <c r="U2184" s="5" t="s">
        <v>4533</v>
      </c>
      <c r="V2184" s="5" t="s">
        <v>44</v>
      </c>
      <c r="W2184" s="5" t="s">
        <v>35</v>
      </c>
      <c r="X2184" s="8" t="s">
        <v>432</v>
      </c>
      <c r="Y2184" s="5" t="s">
        <v>46</v>
      </c>
      <c r="Z2184" s="5" t="s">
        <v>47</v>
      </c>
      <c r="AA2184" s="5" t="s">
        <v>64</v>
      </c>
      <c r="AB2184" s="5" t="s">
        <v>10753</v>
      </c>
      <c r="AC2184" s="6" t="s">
        <v>50</v>
      </c>
      <c r="AD2184" s="6">
        <v>4045.0</v>
      </c>
    </row>
    <row r="2185" ht="56.25" customHeight="1">
      <c r="A2185" s="5" t="s">
        <v>10747</v>
      </c>
      <c r="B2185" s="6" t="str">
        <f>IMAGE("https://storage.googleapis.com/acdb/housewares/FtrRattanTrashbox_Remake_1_0.png")</f>
        <v/>
      </c>
      <c r="C2185" s="5" t="s">
        <v>4586</v>
      </c>
      <c r="D2185" s="5" t="s">
        <v>34</v>
      </c>
      <c r="E2185" s="5" t="s">
        <v>34</v>
      </c>
      <c r="F2185" s="5" t="s">
        <v>34</v>
      </c>
      <c r="G2185" s="5" t="s">
        <v>36</v>
      </c>
      <c r="H2185" s="5" t="s">
        <v>36</v>
      </c>
      <c r="I2185" s="5" t="s">
        <v>36</v>
      </c>
      <c r="J2185" s="6" t="s">
        <v>34</v>
      </c>
      <c r="K2185" s="6">
        <v>1000.0</v>
      </c>
      <c r="L2185" s="6">
        <v>250.0</v>
      </c>
      <c r="M2185" s="26" t="s">
        <v>142</v>
      </c>
      <c r="N2185" s="26" t="s">
        <v>142</v>
      </c>
      <c r="O2185" s="6" t="s">
        <v>40</v>
      </c>
      <c r="P2185" s="5" t="s">
        <v>59</v>
      </c>
      <c r="Q2185" s="5" t="s">
        <v>122</v>
      </c>
      <c r="R2185" s="6" t="s">
        <v>42</v>
      </c>
      <c r="S2185" s="5" t="s">
        <v>90</v>
      </c>
      <c r="T2185" s="5" t="s">
        <v>44</v>
      </c>
      <c r="U2185" s="5" t="s">
        <v>4533</v>
      </c>
      <c r="V2185" s="5" t="s">
        <v>44</v>
      </c>
      <c r="W2185" s="5" t="s">
        <v>35</v>
      </c>
      <c r="X2185" s="8" t="s">
        <v>432</v>
      </c>
      <c r="Y2185" s="5" t="s">
        <v>46</v>
      </c>
      <c r="Z2185" s="5" t="s">
        <v>47</v>
      </c>
      <c r="AA2185" s="5" t="s">
        <v>64</v>
      </c>
      <c r="AB2185" s="5" t="s">
        <v>10756</v>
      </c>
      <c r="AC2185" s="6" t="s">
        <v>56</v>
      </c>
      <c r="AD2185" s="6">
        <v>4045.0</v>
      </c>
    </row>
    <row r="2186" ht="56.25" customHeight="1">
      <c r="A2186" s="5" t="s">
        <v>10747</v>
      </c>
      <c r="B2186" s="6" t="str">
        <f>IMAGE("https://storage.googleapis.com/acdb/housewares/FtrRattanTrashbox_Remake_2_0.png")</f>
        <v/>
      </c>
      <c r="C2186" s="5" t="s">
        <v>935</v>
      </c>
      <c r="D2186" s="5" t="s">
        <v>34</v>
      </c>
      <c r="E2186" s="5" t="s">
        <v>34</v>
      </c>
      <c r="F2186" s="5" t="s">
        <v>34</v>
      </c>
      <c r="G2186" s="5" t="s">
        <v>36</v>
      </c>
      <c r="H2186" s="5" t="s">
        <v>36</v>
      </c>
      <c r="I2186" s="5" t="s">
        <v>36</v>
      </c>
      <c r="J2186" s="6" t="s">
        <v>34</v>
      </c>
      <c r="K2186" s="6">
        <v>1000.0</v>
      </c>
      <c r="L2186" s="6">
        <v>250.0</v>
      </c>
      <c r="M2186" s="26" t="s">
        <v>114</v>
      </c>
      <c r="N2186" s="26" t="s">
        <v>114</v>
      </c>
      <c r="O2186" s="6" t="s">
        <v>40</v>
      </c>
      <c r="P2186" s="5" t="s">
        <v>59</v>
      </c>
      <c r="Q2186" s="5" t="s">
        <v>122</v>
      </c>
      <c r="R2186" s="6" t="s">
        <v>42</v>
      </c>
      <c r="S2186" s="5" t="s">
        <v>90</v>
      </c>
      <c r="T2186" s="5" t="s">
        <v>44</v>
      </c>
      <c r="U2186" s="5" t="s">
        <v>4533</v>
      </c>
      <c r="V2186" s="5" t="s">
        <v>44</v>
      </c>
      <c r="W2186" s="5" t="s">
        <v>35</v>
      </c>
      <c r="X2186" s="8" t="s">
        <v>432</v>
      </c>
      <c r="Y2186" s="5" t="s">
        <v>46</v>
      </c>
      <c r="Z2186" s="5" t="s">
        <v>47</v>
      </c>
      <c r="AA2186" s="5" t="s">
        <v>64</v>
      </c>
      <c r="AB2186" s="5" t="s">
        <v>10759</v>
      </c>
      <c r="AC2186" s="6" t="s">
        <v>67</v>
      </c>
      <c r="AD2186" s="6">
        <v>4045.0</v>
      </c>
    </row>
    <row r="2187" ht="56.25" customHeight="1">
      <c r="A2187" s="5" t="s">
        <v>10747</v>
      </c>
      <c r="B2187" s="6" t="str">
        <f>IMAGE("https://storage.googleapis.com/acdb/housewares/FtrRattanTrashbox_Remake_3_0.png")</f>
        <v/>
      </c>
      <c r="C2187" s="5" t="s">
        <v>57</v>
      </c>
      <c r="D2187" s="5" t="s">
        <v>34</v>
      </c>
      <c r="E2187" s="5" t="s">
        <v>34</v>
      </c>
      <c r="F2187" s="5" t="s">
        <v>34</v>
      </c>
      <c r="G2187" s="5" t="s">
        <v>36</v>
      </c>
      <c r="H2187" s="5" t="s">
        <v>36</v>
      </c>
      <c r="I2187" s="5" t="s">
        <v>36</v>
      </c>
      <c r="J2187" s="6" t="s">
        <v>34</v>
      </c>
      <c r="K2187" s="6">
        <v>1000.0</v>
      </c>
      <c r="L2187" s="6">
        <v>250.0</v>
      </c>
      <c r="M2187" s="26" t="s">
        <v>57</v>
      </c>
      <c r="N2187" s="26" t="s">
        <v>57</v>
      </c>
      <c r="O2187" s="6" t="s">
        <v>40</v>
      </c>
      <c r="P2187" s="5" t="s">
        <v>59</v>
      </c>
      <c r="Q2187" s="5" t="s">
        <v>122</v>
      </c>
      <c r="R2187" s="6" t="s">
        <v>42</v>
      </c>
      <c r="S2187" s="5" t="s">
        <v>90</v>
      </c>
      <c r="T2187" s="5" t="s">
        <v>44</v>
      </c>
      <c r="U2187" s="5" t="s">
        <v>4533</v>
      </c>
      <c r="V2187" s="5" t="s">
        <v>44</v>
      </c>
      <c r="W2187" s="5" t="s">
        <v>35</v>
      </c>
      <c r="X2187" s="8" t="s">
        <v>432</v>
      </c>
      <c r="Y2187" s="5" t="s">
        <v>46</v>
      </c>
      <c r="Z2187" s="5" t="s">
        <v>47</v>
      </c>
      <c r="AA2187" s="5" t="s">
        <v>64</v>
      </c>
      <c r="AB2187" s="5" t="s">
        <v>10762</v>
      </c>
      <c r="AC2187" s="6" t="s">
        <v>71</v>
      </c>
      <c r="AD2187" s="6">
        <v>4045.0</v>
      </c>
    </row>
    <row r="2188" ht="56.25" customHeight="1">
      <c r="A2188" s="5" t="s">
        <v>10747</v>
      </c>
      <c r="B2188" s="6" t="str">
        <f>IMAGE("https://storage.googleapis.com/acdb/housewares/FtrRattanTrashbox_Remake_4_0.png")</f>
        <v/>
      </c>
      <c r="C2188" s="5" t="s">
        <v>95</v>
      </c>
      <c r="D2188" s="5" t="s">
        <v>34</v>
      </c>
      <c r="E2188" s="5" t="s">
        <v>34</v>
      </c>
      <c r="F2188" s="5" t="s">
        <v>34</v>
      </c>
      <c r="G2188" s="5" t="s">
        <v>36</v>
      </c>
      <c r="H2188" s="5" t="s">
        <v>36</v>
      </c>
      <c r="I2188" s="5" t="s">
        <v>36</v>
      </c>
      <c r="J2188" s="6" t="s">
        <v>34</v>
      </c>
      <c r="K2188" s="6">
        <v>1000.0</v>
      </c>
      <c r="L2188" s="6">
        <v>250.0</v>
      </c>
      <c r="M2188" s="26" t="s">
        <v>68</v>
      </c>
      <c r="N2188" s="26" t="s">
        <v>68</v>
      </c>
      <c r="O2188" s="6" t="s">
        <v>40</v>
      </c>
      <c r="P2188" s="5" t="s">
        <v>59</v>
      </c>
      <c r="Q2188" s="5" t="s">
        <v>122</v>
      </c>
      <c r="R2188" s="6" t="s">
        <v>42</v>
      </c>
      <c r="S2188" s="5" t="s">
        <v>90</v>
      </c>
      <c r="T2188" s="5" t="s">
        <v>44</v>
      </c>
      <c r="U2188" s="5" t="s">
        <v>4533</v>
      </c>
      <c r="V2188" s="5" t="s">
        <v>44</v>
      </c>
      <c r="W2188" s="5" t="s">
        <v>35</v>
      </c>
      <c r="X2188" s="8" t="s">
        <v>432</v>
      </c>
      <c r="Y2188" s="5" t="s">
        <v>46</v>
      </c>
      <c r="Z2188" s="5" t="s">
        <v>47</v>
      </c>
      <c r="AA2188" s="5" t="s">
        <v>64</v>
      </c>
      <c r="AB2188" s="5" t="s">
        <v>10766</v>
      </c>
      <c r="AC2188" s="6" t="s">
        <v>75</v>
      </c>
      <c r="AD2188" s="6">
        <v>4045.0</v>
      </c>
    </row>
    <row r="2189" ht="56.25" customHeight="1">
      <c r="A2189" s="5" t="s">
        <v>10747</v>
      </c>
      <c r="B2189" s="6" t="str">
        <f>IMAGE("https://storage.googleapis.com/acdb/housewares/FtrRattanTrashbox_Remake_5_0.png")</f>
        <v/>
      </c>
      <c r="C2189" s="5" t="s">
        <v>54</v>
      </c>
      <c r="D2189" s="5" t="s">
        <v>34</v>
      </c>
      <c r="E2189" s="5" t="s">
        <v>34</v>
      </c>
      <c r="F2189" s="5" t="s">
        <v>34</v>
      </c>
      <c r="G2189" s="5" t="s">
        <v>36</v>
      </c>
      <c r="H2189" s="5" t="s">
        <v>36</v>
      </c>
      <c r="I2189" s="5" t="s">
        <v>36</v>
      </c>
      <c r="J2189" s="6" t="s">
        <v>34</v>
      </c>
      <c r="K2189" s="6">
        <v>1000.0</v>
      </c>
      <c r="L2189" s="6">
        <v>250.0</v>
      </c>
      <c r="M2189" s="26" t="s">
        <v>54</v>
      </c>
      <c r="N2189" s="26" t="s">
        <v>54</v>
      </c>
      <c r="O2189" s="6" t="s">
        <v>40</v>
      </c>
      <c r="P2189" s="5" t="s">
        <v>59</v>
      </c>
      <c r="Q2189" s="5" t="s">
        <v>122</v>
      </c>
      <c r="R2189" s="6" t="s">
        <v>42</v>
      </c>
      <c r="S2189" s="5" t="s">
        <v>90</v>
      </c>
      <c r="T2189" s="5" t="s">
        <v>44</v>
      </c>
      <c r="U2189" s="5" t="s">
        <v>4533</v>
      </c>
      <c r="V2189" s="5" t="s">
        <v>44</v>
      </c>
      <c r="W2189" s="5" t="s">
        <v>35</v>
      </c>
      <c r="X2189" s="8" t="s">
        <v>432</v>
      </c>
      <c r="Y2189" s="5" t="s">
        <v>46</v>
      </c>
      <c r="Z2189" s="5" t="s">
        <v>47</v>
      </c>
      <c r="AA2189" s="5" t="s">
        <v>64</v>
      </c>
      <c r="AB2189" s="5" t="s">
        <v>10770</v>
      </c>
      <c r="AC2189" s="6" t="s">
        <v>79</v>
      </c>
      <c r="AD2189" s="6">
        <v>4045.0</v>
      </c>
    </row>
    <row r="2190" ht="56.25" customHeight="1">
      <c r="A2190" s="5" t="s">
        <v>10771</v>
      </c>
      <c r="B2190" s="6" t="str">
        <f>IMAGE("https://storage.googleapis.com/acdb/housewares/FtrRingcornerRed_Remake_0_0.png")</f>
        <v/>
      </c>
      <c r="C2190" s="5" t="s">
        <v>34</v>
      </c>
      <c r="D2190" s="5" t="s">
        <v>34</v>
      </c>
      <c r="E2190" s="5" t="s">
        <v>96</v>
      </c>
      <c r="F2190" s="5" t="s">
        <v>1142</v>
      </c>
      <c r="G2190" s="5" t="s">
        <v>36</v>
      </c>
      <c r="H2190" s="5" t="s">
        <v>36</v>
      </c>
      <c r="I2190" s="5" t="s">
        <v>35</v>
      </c>
      <c r="J2190" s="6">
        <v>3.0</v>
      </c>
      <c r="K2190" s="6">
        <v>6100.0</v>
      </c>
      <c r="L2190" s="6">
        <v>1525.0</v>
      </c>
      <c r="M2190" s="5" t="s">
        <v>57</v>
      </c>
      <c r="N2190" s="26" t="s">
        <v>96</v>
      </c>
      <c r="O2190" s="6" t="s">
        <v>214</v>
      </c>
      <c r="P2190" s="5" t="s">
        <v>59</v>
      </c>
      <c r="Q2190" s="5" t="s">
        <v>115</v>
      </c>
      <c r="R2190" s="6" t="s">
        <v>42</v>
      </c>
      <c r="S2190" s="5" t="s">
        <v>474</v>
      </c>
      <c r="T2190" s="5" t="s">
        <v>44</v>
      </c>
      <c r="U2190" s="5" t="s">
        <v>44</v>
      </c>
      <c r="V2190" s="5" t="s">
        <v>1145</v>
      </c>
      <c r="W2190" s="5" t="s">
        <v>35</v>
      </c>
      <c r="X2190" s="8" t="s">
        <v>475</v>
      </c>
      <c r="Y2190" s="5" t="s">
        <v>46</v>
      </c>
      <c r="Z2190" s="5" t="s">
        <v>47</v>
      </c>
      <c r="AA2190" s="5" t="s">
        <v>64</v>
      </c>
      <c r="AB2190" s="5" t="s">
        <v>10776</v>
      </c>
      <c r="AC2190" s="6" t="s">
        <v>50</v>
      </c>
      <c r="AD2190" s="6">
        <v>7151.0</v>
      </c>
    </row>
    <row r="2191" ht="56.25" customHeight="1">
      <c r="A2191" s="5" t="s">
        <v>10771</v>
      </c>
      <c r="B2191" s="6" t="str">
        <f>image("https://storage.googleapis.com/acdb/housewares/FtrRingcornerRed_Remake_0_1.png")</f>
        <v/>
      </c>
      <c r="C2191" s="5" t="s">
        <v>34</v>
      </c>
      <c r="D2191" s="5" t="s">
        <v>34</v>
      </c>
      <c r="E2191" s="5" t="s">
        <v>52</v>
      </c>
      <c r="F2191" s="5" t="s">
        <v>1142</v>
      </c>
      <c r="G2191" s="5" t="s">
        <v>36</v>
      </c>
      <c r="H2191" s="5" t="s">
        <v>36</v>
      </c>
      <c r="I2191" s="5" t="s">
        <v>35</v>
      </c>
      <c r="J2191" s="6">
        <v>3.0</v>
      </c>
      <c r="K2191" s="6">
        <v>6100.0</v>
      </c>
      <c r="L2191" s="6">
        <v>1525.0</v>
      </c>
      <c r="M2191" s="5" t="s">
        <v>57</v>
      </c>
      <c r="N2191" s="26" t="s">
        <v>52</v>
      </c>
      <c r="O2191" s="6" t="s">
        <v>214</v>
      </c>
      <c r="P2191" s="5" t="s">
        <v>59</v>
      </c>
      <c r="Q2191" s="5" t="s">
        <v>115</v>
      </c>
      <c r="R2191" s="6" t="s">
        <v>42</v>
      </c>
      <c r="S2191" s="5" t="s">
        <v>474</v>
      </c>
      <c r="T2191" s="5" t="s">
        <v>44</v>
      </c>
      <c r="U2191" s="5" t="s">
        <v>44</v>
      </c>
      <c r="V2191" s="5" t="s">
        <v>1145</v>
      </c>
      <c r="W2191" s="5" t="s">
        <v>35</v>
      </c>
      <c r="X2191" s="8" t="s">
        <v>475</v>
      </c>
      <c r="Y2191" s="5" t="s">
        <v>46</v>
      </c>
      <c r="Z2191" s="5" t="s">
        <v>47</v>
      </c>
      <c r="AA2191" s="5" t="s">
        <v>64</v>
      </c>
      <c r="AB2191" s="5" t="s">
        <v>10782</v>
      </c>
      <c r="AC2191" s="6" t="s">
        <v>217</v>
      </c>
      <c r="AD2191" s="6">
        <v>7151.0</v>
      </c>
    </row>
    <row r="2192" ht="56.25" customHeight="1">
      <c r="A2192" s="5" t="s">
        <v>10771</v>
      </c>
      <c r="B2192" s="6" t="str">
        <f>image("https://storage.googleapis.com/acdb/housewares/FtrRingcornerRed_Remake_0_2.png")</f>
        <v/>
      </c>
      <c r="C2192" s="5" t="s">
        <v>34</v>
      </c>
      <c r="D2192" s="5" t="s">
        <v>34</v>
      </c>
      <c r="E2192" s="5" t="s">
        <v>68</v>
      </c>
      <c r="F2192" s="5" t="s">
        <v>1142</v>
      </c>
      <c r="G2192" s="5" t="s">
        <v>36</v>
      </c>
      <c r="H2192" s="5" t="s">
        <v>36</v>
      </c>
      <c r="I2192" s="5" t="s">
        <v>35</v>
      </c>
      <c r="J2192" s="6">
        <v>3.0</v>
      </c>
      <c r="K2192" s="6">
        <v>6100.0</v>
      </c>
      <c r="L2192" s="6">
        <v>1525.0</v>
      </c>
      <c r="M2192" s="5" t="s">
        <v>57</v>
      </c>
      <c r="N2192" s="26" t="s">
        <v>68</v>
      </c>
      <c r="O2192" s="6" t="s">
        <v>214</v>
      </c>
      <c r="P2192" s="5" t="s">
        <v>59</v>
      </c>
      <c r="Q2192" s="5" t="s">
        <v>115</v>
      </c>
      <c r="R2192" s="6" t="s">
        <v>42</v>
      </c>
      <c r="S2192" s="5" t="s">
        <v>474</v>
      </c>
      <c r="T2192" s="5" t="s">
        <v>44</v>
      </c>
      <c r="U2192" s="5" t="s">
        <v>44</v>
      </c>
      <c r="V2192" s="5" t="s">
        <v>1145</v>
      </c>
      <c r="W2192" s="5" t="s">
        <v>35</v>
      </c>
      <c r="X2192" s="8" t="s">
        <v>475</v>
      </c>
      <c r="Y2192" s="5" t="s">
        <v>46</v>
      </c>
      <c r="Z2192" s="5" t="s">
        <v>47</v>
      </c>
      <c r="AA2192" s="5" t="s">
        <v>64</v>
      </c>
      <c r="AB2192" s="5" t="s">
        <v>10786</v>
      </c>
      <c r="AC2192" s="6" t="s">
        <v>347</v>
      </c>
      <c r="AD2192" s="6">
        <v>7151.0</v>
      </c>
    </row>
    <row r="2193" ht="56.25" customHeight="1">
      <c r="A2193" s="5" t="s">
        <v>10771</v>
      </c>
      <c r="B2193" s="6" t="str">
        <f>image("https://storage.googleapis.com/acdb/housewares/FtrRingcornerRed_Remake_0_3.png")</f>
        <v/>
      </c>
      <c r="C2193" s="5" t="s">
        <v>34</v>
      </c>
      <c r="D2193" s="5" t="s">
        <v>34</v>
      </c>
      <c r="E2193" s="5" t="s">
        <v>54</v>
      </c>
      <c r="F2193" s="5" t="s">
        <v>1142</v>
      </c>
      <c r="G2193" s="5" t="s">
        <v>36</v>
      </c>
      <c r="H2193" s="5" t="s">
        <v>36</v>
      </c>
      <c r="I2193" s="5" t="s">
        <v>35</v>
      </c>
      <c r="J2193" s="6">
        <v>3.0</v>
      </c>
      <c r="K2193" s="6">
        <v>6100.0</v>
      </c>
      <c r="L2193" s="6">
        <v>1525.0</v>
      </c>
      <c r="M2193" s="5" t="s">
        <v>57</v>
      </c>
      <c r="N2193" s="26" t="s">
        <v>54</v>
      </c>
      <c r="O2193" s="6" t="s">
        <v>214</v>
      </c>
      <c r="P2193" s="5" t="s">
        <v>59</v>
      </c>
      <c r="Q2193" s="5" t="s">
        <v>115</v>
      </c>
      <c r="R2193" s="6" t="s">
        <v>42</v>
      </c>
      <c r="S2193" s="5" t="s">
        <v>474</v>
      </c>
      <c r="T2193" s="5" t="s">
        <v>44</v>
      </c>
      <c r="U2193" s="5" t="s">
        <v>44</v>
      </c>
      <c r="V2193" s="5" t="s">
        <v>1145</v>
      </c>
      <c r="W2193" s="5" t="s">
        <v>35</v>
      </c>
      <c r="X2193" s="8" t="s">
        <v>475</v>
      </c>
      <c r="Y2193" s="5" t="s">
        <v>46</v>
      </c>
      <c r="Z2193" s="5" t="s">
        <v>47</v>
      </c>
      <c r="AA2193" s="5" t="s">
        <v>64</v>
      </c>
      <c r="AB2193" s="5" t="s">
        <v>10789</v>
      </c>
      <c r="AC2193" s="6" t="s">
        <v>354</v>
      </c>
      <c r="AD2193" s="6">
        <v>7151.0</v>
      </c>
    </row>
    <row r="2194" ht="56.25" customHeight="1">
      <c r="A2194" s="5" t="s">
        <v>10771</v>
      </c>
      <c r="B2194" s="6" t="str">
        <f>image("https://storage.googleapis.com/acdb/housewares/FtrRingcornerRed_Remake_0_4.png")</f>
        <v/>
      </c>
      <c r="C2194" s="5" t="s">
        <v>34</v>
      </c>
      <c r="D2194" s="5" t="s">
        <v>34</v>
      </c>
      <c r="E2194" s="5" t="s">
        <v>114</v>
      </c>
      <c r="F2194" s="5" t="s">
        <v>1142</v>
      </c>
      <c r="G2194" s="5" t="s">
        <v>36</v>
      </c>
      <c r="H2194" s="5" t="s">
        <v>36</v>
      </c>
      <c r="I2194" s="5" t="s">
        <v>35</v>
      </c>
      <c r="J2194" s="6">
        <v>3.0</v>
      </c>
      <c r="K2194" s="6">
        <v>6100.0</v>
      </c>
      <c r="L2194" s="6">
        <v>1525.0</v>
      </c>
      <c r="M2194" s="5" t="s">
        <v>57</v>
      </c>
      <c r="N2194" s="26" t="s">
        <v>114</v>
      </c>
      <c r="O2194" s="6" t="s">
        <v>214</v>
      </c>
      <c r="P2194" s="5" t="s">
        <v>59</v>
      </c>
      <c r="Q2194" s="5" t="s">
        <v>115</v>
      </c>
      <c r="R2194" s="6" t="s">
        <v>42</v>
      </c>
      <c r="S2194" s="5" t="s">
        <v>474</v>
      </c>
      <c r="T2194" s="5" t="s">
        <v>44</v>
      </c>
      <c r="U2194" s="5" t="s">
        <v>44</v>
      </c>
      <c r="V2194" s="5" t="s">
        <v>1145</v>
      </c>
      <c r="W2194" s="5" t="s">
        <v>35</v>
      </c>
      <c r="X2194" s="8" t="s">
        <v>475</v>
      </c>
      <c r="Y2194" s="5" t="s">
        <v>46</v>
      </c>
      <c r="Z2194" s="5" t="s">
        <v>47</v>
      </c>
      <c r="AA2194" s="5" t="s">
        <v>64</v>
      </c>
      <c r="AB2194" s="5" t="s">
        <v>10793</v>
      </c>
      <c r="AC2194" s="6" t="s">
        <v>486</v>
      </c>
      <c r="AD2194" s="6">
        <v>7151.0</v>
      </c>
    </row>
    <row r="2195" ht="56.25" customHeight="1">
      <c r="A2195" s="5" t="s">
        <v>10796</v>
      </c>
      <c r="B2195" s="6" t="str">
        <f>IMAGE("https://storage.googleapis.com/acdb/housewares/FtrFallenleavesRed.png")</f>
        <v/>
      </c>
      <c r="C2195" s="5" t="s">
        <v>34</v>
      </c>
      <c r="D2195" s="5" t="s">
        <v>34</v>
      </c>
      <c r="E2195" s="5" t="s">
        <v>34</v>
      </c>
      <c r="F2195" s="5" t="s">
        <v>34</v>
      </c>
      <c r="G2195" s="5" t="s">
        <v>35</v>
      </c>
      <c r="H2195" s="5" t="s">
        <v>36</v>
      </c>
      <c r="I2195" s="5" t="s">
        <v>36</v>
      </c>
      <c r="J2195" s="6" t="s">
        <v>34</v>
      </c>
      <c r="K2195" s="6" t="s">
        <v>37</v>
      </c>
      <c r="L2195" s="6">
        <v>1280.0</v>
      </c>
      <c r="M2195" s="5" t="s">
        <v>52</v>
      </c>
      <c r="N2195" s="5" t="s">
        <v>52</v>
      </c>
      <c r="O2195" s="6" t="s">
        <v>1243</v>
      </c>
      <c r="P2195" s="5" t="s">
        <v>41</v>
      </c>
      <c r="Q2195" s="5" t="s">
        <v>2840</v>
      </c>
      <c r="R2195" s="6" t="s">
        <v>42</v>
      </c>
      <c r="S2195" s="5" t="s">
        <v>172</v>
      </c>
      <c r="T2195" s="5" t="s">
        <v>44</v>
      </c>
      <c r="U2195" s="5" t="s">
        <v>2448</v>
      </c>
      <c r="V2195" s="5" t="s">
        <v>44</v>
      </c>
      <c r="W2195" s="5" t="s">
        <v>35</v>
      </c>
      <c r="X2195" s="8" t="s">
        <v>244</v>
      </c>
      <c r="Y2195" s="5" t="s">
        <v>46</v>
      </c>
      <c r="Z2195" s="5" t="s">
        <v>47</v>
      </c>
      <c r="AA2195" s="5" t="s">
        <v>48</v>
      </c>
      <c r="AB2195" s="5" t="s">
        <v>10799</v>
      </c>
      <c r="AC2195" s="6" t="s">
        <v>34</v>
      </c>
      <c r="AD2195" s="6">
        <v>4271.0</v>
      </c>
    </row>
    <row r="2196" ht="56.25" customHeight="1">
      <c r="A2196" s="5" t="s">
        <v>10800</v>
      </c>
      <c r="B2196" s="6" t="str">
        <f>IMAGE("https://storage.googleapis.com/acdb/housewares/FtrRefrigerator_Remake_0_0.png")</f>
        <v/>
      </c>
      <c r="C2196" s="5" t="s">
        <v>57</v>
      </c>
      <c r="D2196" s="5" t="s">
        <v>34</v>
      </c>
      <c r="E2196" s="5" t="s">
        <v>44</v>
      </c>
      <c r="F2196" s="5" t="s">
        <v>3454</v>
      </c>
      <c r="G2196" s="5" t="s">
        <v>36</v>
      </c>
      <c r="H2196" s="5" t="s">
        <v>36</v>
      </c>
      <c r="I2196" s="5" t="s">
        <v>35</v>
      </c>
      <c r="J2196" s="6">
        <v>2.0</v>
      </c>
      <c r="K2196" s="6">
        <v>5100.0</v>
      </c>
      <c r="L2196" s="6">
        <v>1275.0</v>
      </c>
      <c r="M2196" s="26" t="s">
        <v>57</v>
      </c>
      <c r="N2196" s="26" t="s">
        <v>57</v>
      </c>
      <c r="O2196" s="6" t="s">
        <v>40</v>
      </c>
      <c r="P2196" s="5" t="s">
        <v>59</v>
      </c>
      <c r="Q2196" s="5" t="s">
        <v>122</v>
      </c>
      <c r="R2196" s="6" t="s">
        <v>42</v>
      </c>
      <c r="S2196" s="5" t="s">
        <v>159</v>
      </c>
      <c r="T2196" s="5" t="s">
        <v>62</v>
      </c>
      <c r="U2196" s="5" t="s">
        <v>44</v>
      </c>
      <c r="V2196" s="5" t="s">
        <v>44</v>
      </c>
      <c r="W2196" s="5" t="s">
        <v>35</v>
      </c>
      <c r="X2196" s="8" t="s">
        <v>182</v>
      </c>
      <c r="Y2196" s="5" t="s">
        <v>46</v>
      </c>
      <c r="Z2196" s="5" t="s">
        <v>47</v>
      </c>
      <c r="AA2196" s="5" t="s">
        <v>64</v>
      </c>
      <c r="AB2196" s="5" t="s">
        <v>10805</v>
      </c>
      <c r="AC2196" s="6" t="s">
        <v>50</v>
      </c>
      <c r="AD2196" s="6">
        <v>2713.0</v>
      </c>
    </row>
    <row r="2197" ht="56.25" customHeight="1">
      <c r="A2197" s="5" t="s">
        <v>10800</v>
      </c>
      <c r="B2197" s="6" t="str">
        <f>IMAGE("https://storage.googleapis.com/acdb/housewares/FtrRefrigerator_Remake_0_1.png")</f>
        <v/>
      </c>
      <c r="C2197" s="5" t="s">
        <v>57</v>
      </c>
      <c r="D2197" s="5" t="s">
        <v>34</v>
      </c>
      <c r="E2197" s="5" t="s">
        <v>1959</v>
      </c>
      <c r="F2197" s="5" t="s">
        <v>3454</v>
      </c>
      <c r="G2197" s="5" t="s">
        <v>36</v>
      </c>
      <c r="H2197" s="5" t="s">
        <v>36</v>
      </c>
      <c r="I2197" s="5" t="s">
        <v>35</v>
      </c>
      <c r="J2197" s="6">
        <v>2.0</v>
      </c>
      <c r="K2197" s="6">
        <v>5100.0</v>
      </c>
      <c r="L2197" s="6">
        <v>1275.0</v>
      </c>
      <c r="M2197" s="26" t="s">
        <v>57</v>
      </c>
      <c r="N2197" s="26" t="s">
        <v>69</v>
      </c>
      <c r="O2197" s="6" t="s">
        <v>40</v>
      </c>
      <c r="P2197" s="5" t="s">
        <v>59</v>
      </c>
      <c r="Q2197" s="5" t="s">
        <v>122</v>
      </c>
      <c r="R2197" s="6" t="s">
        <v>42</v>
      </c>
      <c r="S2197" s="5" t="s">
        <v>159</v>
      </c>
      <c r="T2197" s="5" t="s">
        <v>62</v>
      </c>
      <c r="U2197" s="5" t="s">
        <v>44</v>
      </c>
      <c r="V2197" s="5" t="s">
        <v>44</v>
      </c>
      <c r="W2197" s="5" t="s">
        <v>35</v>
      </c>
      <c r="X2197" s="8" t="s">
        <v>182</v>
      </c>
      <c r="Y2197" s="5" t="s">
        <v>46</v>
      </c>
      <c r="Z2197" s="5" t="s">
        <v>47</v>
      </c>
      <c r="AA2197" s="5" t="s">
        <v>64</v>
      </c>
      <c r="AB2197" s="5" t="s">
        <v>10808</v>
      </c>
      <c r="AC2197" s="6" t="s">
        <v>217</v>
      </c>
      <c r="AD2197" s="6">
        <v>2713.0</v>
      </c>
    </row>
    <row r="2198" ht="56.25" customHeight="1">
      <c r="A2198" s="5" t="s">
        <v>10800</v>
      </c>
      <c r="B2198" s="6" t="str">
        <f>IMAGE("https://storage.googleapis.com/acdb/housewares/FtrRefrigerator_Remake_0_2.png")</f>
        <v/>
      </c>
      <c r="C2198" s="5" t="s">
        <v>57</v>
      </c>
      <c r="D2198" s="5" t="s">
        <v>34</v>
      </c>
      <c r="E2198" s="5" t="s">
        <v>10811</v>
      </c>
      <c r="F2198" s="5" t="s">
        <v>3454</v>
      </c>
      <c r="G2198" s="5" t="s">
        <v>36</v>
      </c>
      <c r="H2198" s="5" t="s">
        <v>36</v>
      </c>
      <c r="I2198" s="5" t="s">
        <v>35</v>
      </c>
      <c r="J2198" s="6">
        <v>2.0</v>
      </c>
      <c r="K2198" s="6">
        <v>5100.0</v>
      </c>
      <c r="L2198" s="6">
        <v>1275.0</v>
      </c>
      <c r="M2198" s="26" t="s">
        <v>57</v>
      </c>
      <c r="N2198" s="26" t="s">
        <v>58</v>
      </c>
      <c r="O2198" s="6" t="s">
        <v>40</v>
      </c>
      <c r="P2198" s="5" t="s">
        <v>59</v>
      </c>
      <c r="Q2198" s="5" t="s">
        <v>122</v>
      </c>
      <c r="R2198" s="6" t="s">
        <v>42</v>
      </c>
      <c r="S2198" s="5" t="s">
        <v>159</v>
      </c>
      <c r="T2198" s="5" t="s">
        <v>62</v>
      </c>
      <c r="U2198" s="5" t="s">
        <v>44</v>
      </c>
      <c r="V2198" s="5" t="s">
        <v>44</v>
      </c>
      <c r="W2198" s="5" t="s">
        <v>35</v>
      </c>
      <c r="X2198" s="8" t="s">
        <v>182</v>
      </c>
      <c r="Y2198" s="5" t="s">
        <v>46</v>
      </c>
      <c r="Z2198" s="5" t="s">
        <v>47</v>
      </c>
      <c r="AA2198" s="5" t="s">
        <v>64</v>
      </c>
      <c r="AB2198" s="5" t="s">
        <v>10814</v>
      </c>
      <c r="AC2198" s="6" t="s">
        <v>347</v>
      </c>
      <c r="AD2198" s="6">
        <v>2713.0</v>
      </c>
    </row>
    <row r="2199" ht="56.25" customHeight="1">
      <c r="A2199" s="5" t="s">
        <v>10800</v>
      </c>
      <c r="B2199" s="6" t="str">
        <f>IMAGE("https://storage.googleapis.com/acdb/housewares/FtrRefrigerator_Remake_0_3.png")</f>
        <v/>
      </c>
      <c r="C2199" s="5" t="s">
        <v>57</v>
      </c>
      <c r="D2199" s="5" t="s">
        <v>34</v>
      </c>
      <c r="E2199" s="5" t="s">
        <v>1006</v>
      </c>
      <c r="F2199" s="5" t="s">
        <v>3454</v>
      </c>
      <c r="G2199" s="5" t="s">
        <v>36</v>
      </c>
      <c r="H2199" s="5" t="s">
        <v>36</v>
      </c>
      <c r="I2199" s="5" t="s">
        <v>35</v>
      </c>
      <c r="J2199" s="6">
        <v>2.0</v>
      </c>
      <c r="K2199" s="6">
        <v>5100.0</v>
      </c>
      <c r="L2199" s="6">
        <v>1275.0</v>
      </c>
      <c r="M2199" s="26" t="s">
        <v>57</v>
      </c>
      <c r="N2199" s="26" t="s">
        <v>96</v>
      </c>
      <c r="O2199" s="6" t="s">
        <v>40</v>
      </c>
      <c r="P2199" s="5" t="s">
        <v>59</v>
      </c>
      <c r="Q2199" s="5" t="s">
        <v>122</v>
      </c>
      <c r="R2199" s="6" t="s">
        <v>42</v>
      </c>
      <c r="S2199" s="5" t="s">
        <v>159</v>
      </c>
      <c r="T2199" s="5" t="s">
        <v>62</v>
      </c>
      <c r="U2199" s="5" t="s">
        <v>44</v>
      </c>
      <c r="V2199" s="5" t="s">
        <v>44</v>
      </c>
      <c r="W2199" s="5" t="s">
        <v>35</v>
      </c>
      <c r="X2199" s="8" t="s">
        <v>182</v>
      </c>
      <c r="Y2199" s="5" t="s">
        <v>46</v>
      </c>
      <c r="Z2199" s="5" t="s">
        <v>47</v>
      </c>
      <c r="AA2199" s="5" t="s">
        <v>64</v>
      </c>
      <c r="AB2199" s="5" t="s">
        <v>10818</v>
      </c>
      <c r="AC2199" s="6" t="s">
        <v>354</v>
      </c>
      <c r="AD2199" s="6">
        <v>2713.0</v>
      </c>
    </row>
    <row r="2200" ht="56.25" customHeight="1">
      <c r="A2200" s="5" t="s">
        <v>10800</v>
      </c>
      <c r="B2200" s="6" t="str">
        <f>IMAGE("https://storage.googleapis.com/acdb/housewares/FtrRefrigerator_Remake_0_4.png")</f>
        <v/>
      </c>
      <c r="C2200" s="5" t="s">
        <v>57</v>
      </c>
      <c r="D2200" s="5" t="s">
        <v>34</v>
      </c>
      <c r="E2200" s="5" t="s">
        <v>10821</v>
      </c>
      <c r="F2200" s="5" t="s">
        <v>3454</v>
      </c>
      <c r="G2200" s="5" t="s">
        <v>36</v>
      </c>
      <c r="H2200" s="5" t="s">
        <v>36</v>
      </c>
      <c r="I2200" s="5" t="s">
        <v>35</v>
      </c>
      <c r="J2200" s="6">
        <v>2.0</v>
      </c>
      <c r="K2200" s="6">
        <v>5100.0</v>
      </c>
      <c r="L2200" s="6">
        <v>1275.0</v>
      </c>
      <c r="M2200" s="26" t="s">
        <v>57</v>
      </c>
      <c r="N2200" s="26" t="s">
        <v>58</v>
      </c>
      <c r="O2200" s="6" t="s">
        <v>40</v>
      </c>
      <c r="P2200" s="5" t="s">
        <v>59</v>
      </c>
      <c r="Q2200" s="5" t="s">
        <v>122</v>
      </c>
      <c r="R2200" s="6" t="s">
        <v>42</v>
      </c>
      <c r="S2200" s="5" t="s">
        <v>159</v>
      </c>
      <c r="T2200" s="5" t="s">
        <v>62</v>
      </c>
      <c r="U2200" s="5" t="s">
        <v>44</v>
      </c>
      <c r="V2200" s="5" t="s">
        <v>44</v>
      </c>
      <c r="W2200" s="5" t="s">
        <v>35</v>
      </c>
      <c r="X2200" s="8" t="s">
        <v>182</v>
      </c>
      <c r="Y2200" s="5" t="s">
        <v>46</v>
      </c>
      <c r="Z2200" s="5" t="s">
        <v>47</v>
      </c>
      <c r="AA2200" s="5" t="s">
        <v>64</v>
      </c>
      <c r="AB2200" s="5" t="s">
        <v>10824</v>
      </c>
      <c r="AC2200" s="6" t="s">
        <v>486</v>
      </c>
      <c r="AD2200" s="6">
        <v>2713.0</v>
      </c>
    </row>
    <row r="2201" ht="56.25" customHeight="1">
      <c r="A2201" s="5" t="s">
        <v>10800</v>
      </c>
      <c r="B2201" s="6" t="str">
        <f>IMAGE("https://storage.googleapis.com/acdb/housewares/FtrRefrigerator_Remake_1_0.png")</f>
        <v/>
      </c>
      <c r="C2201" s="5" t="s">
        <v>52</v>
      </c>
      <c r="D2201" s="5" t="s">
        <v>34</v>
      </c>
      <c r="E2201" s="5" t="s">
        <v>44</v>
      </c>
      <c r="F2201" s="5" t="s">
        <v>3454</v>
      </c>
      <c r="G2201" s="5" t="s">
        <v>36</v>
      </c>
      <c r="H2201" s="5" t="s">
        <v>36</v>
      </c>
      <c r="I2201" s="5" t="s">
        <v>35</v>
      </c>
      <c r="J2201" s="6">
        <v>2.0</v>
      </c>
      <c r="K2201" s="6">
        <v>5100.0</v>
      </c>
      <c r="L2201" s="6">
        <v>1275.0</v>
      </c>
      <c r="M2201" s="26" t="s">
        <v>52</v>
      </c>
      <c r="N2201" s="26" t="s">
        <v>52</v>
      </c>
      <c r="O2201" s="6" t="s">
        <v>40</v>
      </c>
      <c r="P2201" s="5" t="s">
        <v>59</v>
      </c>
      <c r="Q2201" s="5" t="s">
        <v>122</v>
      </c>
      <c r="R2201" s="6" t="s">
        <v>42</v>
      </c>
      <c r="S2201" s="5" t="s">
        <v>159</v>
      </c>
      <c r="T2201" s="5" t="s">
        <v>62</v>
      </c>
      <c r="U2201" s="5" t="s">
        <v>44</v>
      </c>
      <c r="V2201" s="5" t="s">
        <v>44</v>
      </c>
      <c r="W2201" s="5" t="s">
        <v>35</v>
      </c>
      <c r="X2201" s="8" t="s">
        <v>182</v>
      </c>
      <c r="Y2201" s="5" t="s">
        <v>46</v>
      </c>
      <c r="Z2201" s="5" t="s">
        <v>47</v>
      </c>
      <c r="AA2201" s="5" t="s">
        <v>64</v>
      </c>
      <c r="AB2201" s="5" t="s">
        <v>10832</v>
      </c>
      <c r="AC2201" s="6" t="s">
        <v>56</v>
      </c>
      <c r="AD2201" s="6">
        <v>2713.0</v>
      </c>
    </row>
    <row r="2202" ht="56.25" customHeight="1">
      <c r="A2202" s="5" t="s">
        <v>10800</v>
      </c>
      <c r="B2202" s="6" t="str">
        <f>IMAGE("https://storage.googleapis.com/acdb/housewares/FtrRefrigerator_Remake_1_1.png")</f>
        <v/>
      </c>
      <c r="C2202" s="5" t="s">
        <v>52</v>
      </c>
      <c r="D2202" s="5" t="s">
        <v>34</v>
      </c>
      <c r="E2202" s="5" t="s">
        <v>1959</v>
      </c>
      <c r="F2202" s="5" t="s">
        <v>3454</v>
      </c>
      <c r="G2202" s="5" t="s">
        <v>36</v>
      </c>
      <c r="H2202" s="5" t="s">
        <v>36</v>
      </c>
      <c r="I2202" s="5" t="s">
        <v>35</v>
      </c>
      <c r="J2202" s="6">
        <v>2.0</v>
      </c>
      <c r="K2202" s="6">
        <v>5100.0</v>
      </c>
      <c r="L2202" s="6">
        <v>1275.0</v>
      </c>
      <c r="M2202" s="26" t="s">
        <v>52</v>
      </c>
      <c r="N2202" s="26" t="s">
        <v>69</v>
      </c>
      <c r="O2202" s="6" t="s">
        <v>40</v>
      </c>
      <c r="P2202" s="5" t="s">
        <v>59</v>
      </c>
      <c r="Q2202" s="5" t="s">
        <v>122</v>
      </c>
      <c r="R2202" s="6" t="s">
        <v>42</v>
      </c>
      <c r="S2202" s="5" t="s">
        <v>159</v>
      </c>
      <c r="T2202" s="5" t="s">
        <v>62</v>
      </c>
      <c r="U2202" s="5" t="s">
        <v>44</v>
      </c>
      <c r="V2202" s="5" t="s">
        <v>44</v>
      </c>
      <c r="W2202" s="5" t="s">
        <v>35</v>
      </c>
      <c r="X2202" s="8" t="s">
        <v>182</v>
      </c>
      <c r="Y2202" s="5" t="s">
        <v>46</v>
      </c>
      <c r="Z2202" s="5" t="s">
        <v>47</v>
      </c>
      <c r="AA2202" s="5" t="s">
        <v>64</v>
      </c>
      <c r="AB2202" s="5" t="s">
        <v>10837</v>
      </c>
      <c r="AC2202" s="6" t="s">
        <v>234</v>
      </c>
      <c r="AD2202" s="6">
        <v>2713.0</v>
      </c>
    </row>
    <row r="2203" ht="56.25" customHeight="1">
      <c r="A2203" s="5" t="s">
        <v>10800</v>
      </c>
      <c r="B2203" s="6" t="str">
        <f>IMAGE("https://storage.googleapis.com/acdb/housewares/FtrRefrigerator_Remake_1_2.png")</f>
        <v/>
      </c>
      <c r="C2203" s="5" t="s">
        <v>52</v>
      </c>
      <c r="D2203" s="5" t="s">
        <v>34</v>
      </c>
      <c r="E2203" s="5" t="s">
        <v>10811</v>
      </c>
      <c r="F2203" s="5" t="s">
        <v>3454</v>
      </c>
      <c r="G2203" s="5" t="s">
        <v>36</v>
      </c>
      <c r="H2203" s="5" t="s">
        <v>36</v>
      </c>
      <c r="I2203" s="5" t="s">
        <v>35</v>
      </c>
      <c r="J2203" s="6">
        <v>2.0</v>
      </c>
      <c r="K2203" s="6">
        <v>5100.0</v>
      </c>
      <c r="L2203" s="6">
        <v>1275.0</v>
      </c>
      <c r="M2203" s="26" t="s">
        <v>52</v>
      </c>
      <c r="N2203" s="26" t="s">
        <v>58</v>
      </c>
      <c r="O2203" s="6" t="s">
        <v>40</v>
      </c>
      <c r="P2203" s="5" t="s">
        <v>59</v>
      </c>
      <c r="Q2203" s="5" t="s">
        <v>122</v>
      </c>
      <c r="R2203" s="6" t="s">
        <v>42</v>
      </c>
      <c r="S2203" s="5" t="s">
        <v>159</v>
      </c>
      <c r="T2203" s="5" t="s">
        <v>62</v>
      </c>
      <c r="U2203" s="5" t="s">
        <v>44</v>
      </c>
      <c r="V2203" s="5" t="s">
        <v>44</v>
      </c>
      <c r="W2203" s="5" t="s">
        <v>35</v>
      </c>
      <c r="X2203" s="8" t="s">
        <v>182</v>
      </c>
      <c r="Y2203" s="5" t="s">
        <v>46</v>
      </c>
      <c r="Z2203" s="5" t="s">
        <v>47</v>
      </c>
      <c r="AA2203" s="5" t="s">
        <v>64</v>
      </c>
      <c r="AB2203" s="5" t="s">
        <v>10840</v>
      </c>
      <c r="AC2203" s="6" t="s">
        <v>370</v>
      </c>
      <c r="AD2203" s="6">
        <v>2713.0</v>
      </c>
    </row>
    <row r="2204" ht="56.25" customHeight="1">
      <c r="A2204" s="5" t="s">
        <v>10800</v>
      </c>
      <c r="B2204" s="6" t="str">
        <f>IMAGE("https://storage.googleapis.com/acdb/housewares/FtrRefrigerator_Remake_1_3.png")</f>
        <v/>
      </c>
      <c r="C2204" s="5" t="s">
        <v>52</v>
      </c>
      <c r="D2204" s="5" t="s">
        <v>34</v>
      </c>
      <c r="E2204" s="5" t="s">
        <v>1006</v>
      </c>
      <c r="F2204" s="5" t="s">
        <v>3454</v>
      </c>
      <c r="G2204" s="5" t="s">
        <v>36</v>
      </c>
      <c r="H2204" s="5" t="s">
        <v>36</v>
      </c>
      <c r="I2204" s="5" t="s">
        <v>35</v>
      </c>
      <c r="J2204" s="6">
        <v>2.0</v>
      </c>
      <c r="K2204" s="6">
        <v>5100.0</v>
      </c>
      <c r="L2204" s="6">
        <v>1275.0</v>
      </c>
      <c r="M2204" s="26" t="s">
        <v>52</v>
      </c>
      <c r="N2204" s="26" t="s">
        <v>96</v>
      </c>
      <c r="O2204" s="6" t="s">
        <v>40</v>
      </c>
      <c r="P2204" s="5" t="s">
        <v>59</v>
      </c>
      <c r="Q2204" s="5" t="s">
        <v>122</v>
      </c>
      <c r="R2204" s="6" t="s">
        <v>42</v>
      </c>
      <c r="S2204" s="5" t="s">
        <v>159</v>
      </c>
      <c r="T2204" s="5" t="s">
        <v>62</v>
      </c>
      <c r="U2204" s="5" t="s">
        <v>44</v>
      </c>
      <c r="V2204" s="5" t="s">
        <v>44</v>
      </c>
      <c r="W2204" s="5" t="s">
        <v>35</v>
      </c>
      <c r="X2204" s="8" t="s">
        <v>182</v>
      </c>
      <c r="Y2204" s="5" t="s">
        <v>46</v>
      </c>
      <c r="Z2204" s="5" t="s">
        <v>47</v>
      </c>
      <c r="AA2204" s="5" t="s">
        <v>64</v>
      </c>
      <c r="AB2204" s="5" t="s">
        <v>10843</v>
      </c>
      <c r="AC2204" s="6" t="s">
        <v>377</v>
      </c>
      <c r="AD2204" s="6">
        <v>2713.0</v>
      </c>
    </row>
    <row r="2205" ht="56.25" customHeight="1">
      <c r="A2205" s="5" t="s">
        <v>10800</v>
      </c>
      <c r="B2205" s="6" t="str">
        <f>IMAGE("https://storage.googleapis.com/acdb/housewares/FtrRefrigerator_Remake_1_4.png")</f>
        <v/>
      </c>
      <c r="C2205" s="5" t="s">
        <v>52</v>
      </c>
      <c r="D2205" s="5" t="s">
        <v>34</v>
      </c>
      <c r="E2205" s="5" t="s">
        <v>10821</v>
      </c>
      <c r="F2205" s="5" t="s">
        <v>3454</v>
      </c>
      <c r="G2205" s="5" t="s">
        <v>36</v>
      </c>
      <c r="H2205" s="5" t="s">
        <v>36</v>
      </c>
      <c r="I2205" s="5" t="s">
        <v>35</v>
      </c>
      <c r="J2205" s="6">
        <v>2.0</v>
      </c>
      <c r="K2205" s="6">
        <v>5100.0</v>
      </c>
      <c r="L2205" s="6">
        <v>1275.0</v>
      </c>
      <c r="M2205" s="26" t="s">
        <v>52</v>
      </c>
      <c r="N2205" s="26" t="s">
        <v>58</v>
      </c>
      <c r="O2205" s="6" t="s">
        <v>40</v>
      </c>
      <c r="P2205" s="5" t="s">
        <v>59</v>
      </c>
      <c r="Q2205" s="5" t="s">
        <v>122</v>
      </c>
      <c r="R2205" s="6" t="s">
        <v>42</v>
      </c>
      <c r="S2205" s="5" t="s">
        <v>159</v>
      </c>
      <c r="T2205" s="5" t="s">
        <v>62</v>
      </c>
      <c r="U2205" s="5" t="s">
        <v>44</v>
      </c>
      <c r="V2205" s="5" t="s">
        <v>44</v>
      </c>
      <c r="W2205" s="5" t="s">
        <v>35</v>
      </c>
      <c r="X2205" s="8" t="s">
        <v>182</v>
      </c>
      <c r="Y2205" s="5" t="s">
        <v>46</v>
      </c>
      <c r="Z2205" s="5" t="s">
        <v>47</v>
      </c>
      <c r="AA2205" s="5" t="s">
        <v>64</v>
      </c>
      <c r="AB2205" s="5" t="s">
        <v>10848</v>
      </c>
      <c r="AC2205" s="6" t="s">
        <v>520</v>
      </c>
      <c r="AD2205" s="6">
        <v>2713.0</v>
      </c>
    </row>
    <row r="2206" ht="56.25" customHeight="1">
      <c r="A2206" s="5" t="s">
        <v>10800</v>
      </c>
      <c r="B2206" s="6" t="str">
        <f>IMAGE("https://storage.googleapis.com/acdb/housewares/FtrRefrigerator_Remake_2_0.png")</f>
        <v/>
      </c>
      <c r="C2206" s="5" t="s">
        <v>69</v>
      </c>
      <c r="D2206" s="5" t="s">
        <v>34</v>
      </c>
      <c r="E2206" s="5" t="s">
        <v>44</v>
      </c>
      <c r="F2206" s="5" t="s">
        <v>3454</v>
      </c>
      <c r="G2206" s="5" t="s">
        <v>36</v>
      </c>
      <c r="H2206" s="5" t="s">
        <v>36</v>
      </c>
      <c r="I2206" s="5" t="s">
        <v>35</v>
      </c>
      <c r="J2206" s="6">
        <v>2.0</v>
      </c>
      <c r="K2206" s="6">
        <v>5100.0</v>
      </c>
      <c r="L2206" s="6">
        <v>1275.0</v>
      </c>
      <c r="M2206" s="26" t="s">
        <v>69</v>
      </c>
      <c r="N2206" s="26" t="s">
        <v>69</v>
      </c>
      <c r="O2206" s="6" t="s">
        <v>40</v>
      </c>
      <c r="P2206" s="5" t="s">
        <v>59</v>
      </c>
      <c r="Q2206" s="5" t="s">
        <v>122</v>
      </c>
      <c r="R2206" s="6" t="s">
        <v>42</v>
      </c>
      <c r="S2206" s="5" t="s">
        <v>159</v>
      </c>
      <c r="T2206" s="5" t="s">
        <v>62</v>
      </c>
      <c r="U2206" s="5" t="s">
        <v>44</v>
      </c>
      <c r="V2206" s="5" t="s">
        <v>44</v>
      </c>
      <c r="W2206" s="5" t="s">
        <v>35</v>
      </c>
      <c r="X2206" s="8" t="s">
        <v>182</v>
      </c>
      <c r="Y2206" s="5" t="s">
        <v>46</v>
      </c>
      <c r="Z2206" s="5" t="s">
        <v>47</v>
      </c>
      <c r="AA2206" s="5" t="s">
        <v>64</v>
      </c>
      <c r="AB2206" s="5" t="s">
        <v>10853</v>
      </c>
      <c r="AC2206" s="6" t="s">
        <v>67</v>
      </c>
      <c r="AD2206" s="6">
        <v>2713.0</v>
      </c>
    </row>
    <row r="2207" ht="56.25" customHeight="1">
      <c r="A2207" s="5" t="s">
        <v>10800</v>
      </c>
      <c r="B2207" s="6" t="str">
        <f>IMAGE("https://storage.googleapis.com/acdb/housewares/FtrRefrigerator_Remake_2_1.png")</f>
        <v/>
      </c>
      <c r="C2207" s="5" t="s">
        <v>69</v>
      </c>
      <c r="D2207" s="5" t="s">
        <v>34</v>
      </c>
      <c r="E2207" s="5" t="s">
        <v>1959</v>
      </c>
      <c r="F2207" s="5" t="s">
        <v>3454</v>
      </c>
      <c r="G2207" s="5" t="s">
        <v>36</v>
      </c>
      <c r="H2207" s="5" t="s">
        <v>36</v>
      </c>
      <c r="I2207" s="5" t="s">
        <v>35</v>
      </c>
      <c r="J2207" s="6">
        <v>2.0</v>
      </c>
      <c r="K2207" s="6">
        <v>5100.0</v>
      </c>
      <c r="L2207" s="6">
        <v>1275.0</v>
      </c>
      <c r="M2207" s="26" t="s">
        <v>69</v>
      </c>
      <c r="N2207" s="26" t="s">
        <v>69</v>
      </c>
      <c r="O2207" s="6" t="s">
        <v>40</v>
      </c>
      <c r="P2207" s="5" t="s">
        <v>59</v>
      </c>
      <c r="Q2207" s="5" t="s">
        <v>122</v>
      </c>
      <c r="R2207" s="6" t="s">
        <v>42</v>
      </c>
      <c r="S2207" s="5" t="s">
        <v>159</v>
      </c>
      <c r="T2207" s="5" t="s">
        <v>62</v>
      </c>
      <c r="U2207" s="5" t="s">
        <v>44</v>
      </c>
      <c r="V2207" s="5" t="s">
        <v>44</v>
      </c>
      <c r="W2207" s="5" t="s">
        <v>35</v>
      </c>
      <c r="X2207" s="8" t="s">
        <v>182</v>
      </c>
      <c r="Y2207" s="5" t="s">
        <v>46</v>
      </c>
      <c r="Z2207" s="5" t="s">
        <v>47</v>
      </c>
      <c r="AA2207" s="5" t="s">
        <v>64</v>
      </c>
      <c r="AB2207" s="5" t="s">
        <v>10857</v>
      </c>
      <c r="AC2207" s="6" t="s">
        <v>247</v>
      </c>
      <c r="AD2207" s="6">
        <v>2713.0</v>
      </c>
    </row>
    <row r="2208" ht="56.25" customHeight="1">
      <c r="A2208" s="5" t="s">
        <v>10800</v>
      </c>
      <c r="B2208" s="6" t="str">
        <f>IMAGE("https://storage.googleapis.com/acdb/housewares/FtrRefrigerator_Remake_2_2.png")</f>
        <v/>
      </c>
      <c r="C2208" s="5" t="s">
        <v>69</v>
      </c>
      <c r="D2208" s="5" t="s">
        <v>34</v>
      </c>
      <c r="E2208" s="5" t="s">
        <v>10811</v>
      </c>
      <c r="F2208" s="5" t="s">
        <v>3454</v>
      </c>
      <c r="G2208" s="5" t="s">
        <v>36</v>
      </c>
      <c r="H2208" s="5" t="s">
        <v>36</v>
      </c>
      <c r="I2208" s="5" t="s">
        <v>35</v>
      </c>
      <c r="J2208" s="6">
        <v>2.0</v>
      </c>
      <c r="K2208" s="6">
        <v>5100.0</v>
      </c>
      <c r="L2208" s="6">
        <v>1275.0</v>
      </c>
      <c r="M2208" s="26" t="s">
        <v>69</v>
      </c>
      <c r="N2208" s="26" t="s">
        <v>58</v>
      </c>
      <c r="O2208" s="6" t="s">
        <v>40</v>
      </c>
      <c r="P2208" s="5" t="s">
        <v>59</v>
      </c>
      <c r="Q2208" s="5" t="s">
        <v>122</v>
      </c>
      <c r="R2208" s="6" t="s">
        <v>42</v>
      </c>
      <c r="S2208" s="5" t="s">
        <v>159</v>
      </c>
      <c r="T2208" s="5" t="s">
        <v>62</v>
      </c>
      <c r="U2208" s="5" t="s">
        <v>44</v>
      </c>
      <c r="V2208" s="5" t="s">
        <v>44</v>
      </c>
      <c r="W2208" s="5" t="s">
        <v>35</v>
      </c>
      <c r="X2208" s="8" t="s">
        <v>182</v>
      </c>
      <c r="Y2208" s="5" t="s">
        <v>46</v>
      </c>
      <c r="Z2208" s="5" t="s">
        <v>47</v>
      </c>
      <c r="AA2208" s="5" t="s">
        <v>64</v>
      </c>
      <c r="AB2208" s="5" t="s">
        <v>10860</v>
      </c>
      <c r="AC2208" s="6" t="s">
        <v>390</v>
      </c>
      <c r="AD2208" s="6">
        <v>2713.0</v>
      </c>
    </row>
    <row r="2209" ht="56.25" customHeight="1">
      <c r="A2209" s="5" t="s">
        <v>10800</v>
      </c>
      <c r="B2209" s="6" t="str">
        <f>IMAGE("https://storage.googleapis.com/acdb/housewares/FtrRefrigerator_Remake_2_3.png")</f>
        <v/>
      </c>
      <c r="C2209" s="5" t="s">
        <v>69</v>
      </c>
      <c r="D2209" s="5" t="s">
        <v>34</v>
      </c>
      <c r="E2209" s="5" t="s">
        <v>1006</v>
      </c>
      <c r="F2209" s="5" t="s">
        <v>3454</v>
      </c>
      <c r="G2209" s="5" t="s">
        <v>36</v>
      </c>
      <c r="H2209" s="5" t="s">
        <v>36</v>
      </c>
      <c r="I2209" s="5" t="s">
        <v>35</v>
      </c>
      <c r="J2209" s="6">
        <v>2.0</v>
      </c>
      <c r="K2209" s="6">
        <v>5100.0</v>
      </c>
      <c r="L2209" s="6">
        <v>1275.0</v>
      </c>
      <c r="M2209" s="26" t="s">
        <v>69</v>
      </c>
      <c r="N2209" s="26" t="s">
        <v>96</v>
      </c>
      <c r="O2209" s="6" t="s">
        <v>40</v>
      </c>
      <c r="P2209" s="5" t="s">
        <v>59</v>
      </c>
      <c r="Q2209" s="5" t="s">
        <v>122</v>
      </c>
      <c r="R2209" s="6" t="s">
        <v>42</v>
      </c>
      <c r="S2209" s="5" t="s">
        <v>159</v>
      </c>
      <c r="T2209" s="5" t="s">
        <v>62</v>
      </c>
      <c r="U2209" s="5" t="s">
        <v>44</v>
      </c>
      <c r="V2209" s="5" t="s">
        <v>44</v>
      </c>
      <c r="W2209" s="5" t="s">
        <v>35</v>
      </c>
      <c r="X2209" s="8" t="s">
        <v>182</v>
      </c>
      <c r="Y2209" s="5" t="s">
        <v>46</v>
      </c>
      <c r="Z2209" s="5" t="s">
        <v>47</v>
      </c>
      <c r="AA2209" s="5" t="s">
        <v>64</v>
      </c>
      <c r="AB2209" s="5" t="s">
        <v>10862</v>
      </c>
      <c r="AC2209" s="6" t="s">
        <v>396</v>
      </c>
      <c r="AD2209" s="6">
        <v>2713.0</v>
      </c>
    </row>
    <row r="2210" ht="56.25" customHeight="1">
      <c r="A2210" s="5" t="s">
        <v>10800</v>
      </c>
      <c r="B2210" s="6" t="str">
        <f>IMAGE("https://storage.googleapis.com/acdb/housewares/FtrRefrigerator_Remake_2_4.png")</f>
        <v/>
      </c>
      <c r="C2210" s="5" t="s">
        <v>69</v>
      </c>
      <c r="D2210" s="5" t="s">
        <v>34</v>
      </c>
      <c r="E2210" s="5" t="s">
        <v>10821</v>
      </c>
      <c r="F2210" s="5" t="s">
        <v>3454</v>
      </c>
      <c r="G2210" s="5" t="s">
        <v>36</v>
      </c>
      <c r="H2210" s="5" t="s">
        <v>36</v>
      </c>
      <c r="I2210" s="5" t="s">
        <v>35</v>
      </c>
      <c r="J2210" s="6">
        <v>2.0</v>
      </c>
      <c r="K2210" s="6">
        <v>5100.0</v>
      </c>
      <c r="L2210" s="6">
        <v>1275.0</v>
      </c>
      <c r="M2210" s="26" t="s">
        <v>69</v>
      </c>
      <c r="N2210" s="26" t="s">
        <v>58</v>
      </c>
      <c r="O2210" s="6" t="s">
        <v>40</v>
      </c>
      <c r="P2210" s="5" t="s">
        <v>59</v>
      </c>
      <c r="Q2210" s="5" t="s">
        <v>122</v>
      </c>
      <c r="R2210" s="6" t="s">
        <v>42</v>
      </c>
      <c r="S2210" s="5" t="s">
        <v>159</v>
      </c>
      <c r="T2210" s="5" t="s">
        <v>62</v>
      </c>
      <c r="U2210" s="5" t="s">
        <v>44</v>
      </c>
      <c r="V2210" s="5" t="s">
        <v>44</v>
      </c>
      <c r="W2210" s="5" t="s">
        <v>35</v>
      </c>
      <c r="X2210" s="8" t="s">
        <v>182</v>
      </c>
      <c r="Y2210" s="5" t="s">
        <v>46</v>
      </c>
      <c r="Z2210" s="5" t="s">
        <v>47</v>
      </c>
      <c r="AA2210" s="5" t="s">
        <v>64</v>
      </c>
      <c r="AB2210" s="5" t="s">
        <v>10867</v>
      </c>
      <c r="AC2210" s="6" t="s">
        <v>541</v>
      </c>
      <c r="AD2210" s="6">
        <v>2713.0</v>
      </c>
    </row>
    <row r="2211" ht="56.25" customHeight="1">
      <c r="A2211" s="5" t="s">
        <v>10800</v>
      </c>
      <c r="B2211" s="6" t="str">
        <f>IMAGE("https://storage.googleapis.com/acdb/housewares/FtrRefrigerator_Remake_3_0.png")</f>
        <v/>
      </c>
      <c r="C2211" s="5" t="s">
        <v>114</v>
      </c>
      <c r="D2211" s="5" t="s">
        <v>34</v>
      </c>
      <c r="E2211" s="5" t="s">
        <v>44</v>
      </c>
      <c r="F2211" s="5" t="s">
        <v>3454</v>
      </c>
      <c r="G2211" s="5" t="s">
        <v>36</v>
      </c>
      <c r="H2211" s="5" t="s">
        <v>36</v>
      </c>
      <c r="I2211" s="5" t="s">
        <v>35</v>
      </c>
      <c r="J2211" s="6">
        <v>2.0</v>
      </c>
      <c r="K2211" s="6">
        <v>5100.0</v>
      </c>
      <c r="L2211" s="6">
        <v>1275.0</v>
      </c>
      <c r="M2211" s="26" t="s">
        <v>114</v>
      </c>
      <c r="N2211" s="26" t="s">
        <v>114</v>
      </c>
      <c r="O2211" s="6" t="s">
        <v>40</v>
      </c>
      <c r="P2211" s="5" t="s">
        <v>59</v>
      </c>
      <c r="Q2211" s="5" t="s">
        <v>122</v>
      </c>
      <c r="R2211" s="6" t="s">
        <v>42</v>
      </c>
      <c r="S2211" s="5" t="s">
        <v>159</v>
      </c>
      <c r="T2211" s="5" t="s">
        <v>62</v>
      </c>
      <c r="U2211" s="5" t="s">
        <v>44</v>
      </c>
      <c r="V2211" s="5" t="s">
        <v>44</v>
      </c>
      <c r="W2211" s="5" t="s">
        <v>35</v>
      </c>
      <c r="X2211" s="8" t="s">
        <v>182</v>
      </c>
      <c r="Y2211" s="5" t="s">
        <v>46</v>
      </c>
      <c r="Z2211" s="5" t="s">
        <v>47</v>
      </c>
      <c r="AA2211" s="5" t="s">
        <v>64</v>
      </c>
      <c r="AB2211" s="5" t="s">
        <v>10872</v>
      </c>
      <c r="AC2211" s="6" t="s">
        <v>71</v>
      </c>
      <c r="AD2211" s="6">
        <v>2713.0</v>
      </c>
    </row>
    <row r="2212" ht="56.25" customHeight="1">
      <c r="A2212" s="5" t="s">
        <v>10800</v>
      </c>
      <c r="B2212" s="6" t="str">
        <f>IMAGE("https://storage.googleapis.com/acdb/housewares/FtrRefrigerator_Remake_3_1.png")</f>
        <v/>
      </c>
      <c r="C2212" s="5" t="s">
        <v>114</v>
      </c>
      <c r="D2212" s="5" t="s">
        <v>34</v>
      </c>
      <c r="E2212" s="5" t="s">
        <v>1959</v>
      </c>
      <c r="F2212" s="5" t="s">
        <v>3454</v>
      </c>
      <c r="G2212" s="5" t="s">
        <v>36</v>
      </c>
      <c r="H2212" s="5" t="s">
        <v>36</v>
      </c>
      <c r="I2212" s="5" t="s">
        <v>35</v>
      </c>
      <c r="J2212" s="6">
        <v>2.0</v>
      </c>
      <c r="K2212" s="6">
        <v>5100.0</v>
      </c>
      <c r="L2212" s="6">
        <v>1275.0</v>
      </c>
      <c r="M2212" s="26" t="s">
        <v>114</v>
      </c>
      <c r="N2212" s="26" t="s">
        <v>69</v>
      </c>
      <c r="O2212" s="6" t="s">
        <v>40</v>
      </c>
      <c r="P2212" s="5" t="s">
        <v>59</v>
      </c>
      <c r="Q2212" s="5" t="s">
        <v>122</v>
      </c>
      <c r="R2212" s="6" t="s">
        <v>42</v>
      </c>
      <c r="S2212" s="5" t="s">
        <v>159</v>
      </c>
      <c r="T2212" s="5" t="s">
        <v>62</v>
      </c>
      <c r="U2212" s="5" t="s">
        <v>44</v>
      </c>
      <c r="V2212" s="5" t="s">
        <v>44</v>
      </c>
      <c r="W2212" s="5" t="s">
        <v>35</v>
      </c>
      <c r="X2212" s="8" t="s">
        <v>182</v>
      </c>
      <c r="Y2212" s="5" t="s">
        <v>46</v>
      </c>
      <c r="Z2212" s="5" t="s">
        <v>47</v>
      </c>
      <c r="AA2212" s="5" t="s">
        <v>64</v>
      </c>
      <c r="AB2212" s="5" t="s">
        <v>10875</v>
      </c>
      <c r="AC2212" s="6" t="s">
        <v>257</v>
      </c>
      <c r="AD2212" s="6">
        <v>2713.0</v>
      </c>
    </row>
    <row r="2213" ht="56.25" customHeight="1">
      <c r="A2213" s="5" t="s">
        <v>10800</v>
      </c>
      <c r="B2213" s="6" t="str">
        <f>IMAGE("https://storage.googleapis.com/acdb/housewares/FtrRefrigerator_Remake_3_2.png")</f>
        <v/>
      </c>
      <c r="C2213" s="5" t="s">
        <v>114</v>
      </c>
      <c r="D2213" s="5" t="s">
        <v>34</v>
      </c>
      <c r="E2213" s="5" t="s">
        <v>10811</v>
      </c>
      <c r="F2213" s="5" t="s">
        <v>3454</v>
      </c>
      <c r="G2213" s="5" t="s">
        <v>36</v>
      </c>
      <c r="H2213" s="5" t="s">
        <v>36</v>
      </c>
      <c r="I2213" s="5" t="s">
        <v>35</v>
      </c>
      <c r="J2213" s="6">
        <v>2.0</v>
      </c>
      <c r="K2213" s="6">
        <v>5100.0</v>
      </c>
      <c r="L2213" s="6">
        <v>1275.0</v>
      </c>
      <c r="M2213" s="26" t="s">
        <v>114</v>
      </c>
      <c r="N2213" s="26" t="s">
        <v>58</v>
      </c>
      <c r="O2213" s="6" t="s">
        <v>40</v>
      </c>
      <c r="P2213" s="5" t="s">
        <v>59</v>
      </c>
      <c r="Q2213" s="5" t="s">
        <v>122</v>
      </c>
      <c r="R2213" s="6" t="s">
        <v>42</v>
      </c>
      <c r="S2213" s="5" t="s">
        <v>159</v>
      </c>
      <c r="T2213" s="5" t="s">
        <v>62</v>
      </c>
      <c r="U2213" s="5" t="s">
        <v>44</v>
      </c>
      <c r="V2213" s="5" t="s">
        <v>44</v>
      </c>
      <c r="W2213" s="5" t="s">
        <v>35</v>
      </c>
      <c r="X2213" s="8" t="s">
        <v>182</v>
      </c>
      <c r="Y2213" s="5" t="s">
        <v>46</v>
      </c>
      <c r="Z2213" s="5" t="s">
        <v>47</v>
      </c>
      <c r="AA2213" s="5" t="s">
        <v>64</v>
      </c>
      <c r="AB2213" s="5" t="s">
        <v>10881</v>
      </c>
      <c r="AC2213" s="6" t="s">
        <v>414</v>
      </c>
      <c r="AD2213" s="6">
        <v>2713.0</v>
      </c>
    </row>
    <row r="2214" ht="56.25" customHeight="1">
      <c r="A2214" s="5" t="s">
        <v>10800</v>
      </c>
      <c r="B2214" s="6" t="str">
        <f>IMAGE("https://storage.googleapis.com/acdb/housewares/FtrRefrigerator_Remake_3_3.png")</f>
        <v/>
      </c>
      <c r="C2214" s="5" t="s">
        <v>114</v>
      </c>
      <c r="D2214" s="5" t="s">
        <v>34</v>
      </c>
      <c r="E2214" s="5" t="s">
        <v>1006</v>
      </c>
      <c r="F2214" s="5" t="s">
        <v>3454</v>
      </c>
      <c r="G2214" s="5" t="s">
        <v>36</v>
      </c>
      <c r="H2214" s="5" t="s">
        <v>36</v>
      </c>
      <c r="I2214" s="5" t="s">
        <v>35</v>
      </c>
      <c r="J2214" s="6">
        <v>2.0</v>
      </c>
      <c r="K2214" s="6">
        <v>5100.0</v>
      </c>
      <c r="L2214" s="6">
        <v>1275.0</v>
      </c>
      <c r="M2214" s="26" t="s">
        <v>114</v>
      </c>
      <c r="N2214" s="26" t="s">
        <v>96</v>
      </c>
      <c r="O2214" s="6" t="s">
        <v>40</v>
      </c>
      <c r="P2214" s="5" t="s">
        <v>59</v>
      </c>
      <c r="Q2214" s="5" t="s">
        <v>122</v>
      </c>
      <c r="R2214" s="6" t="s">
        <v>42</v>
      </c>
      <c r="S2214" s="5" t="s">
        <v>159</v>
      </c>
      <c r="T2214" s="5" t="s">
        <v>62</v>
      </c>
      <c r="U2214" s="5" t="s">
        <v>44</v>
      </c>
      <c r="V2214" s="5" t="s">
        <v>44</v>
      </c>
      <c r="W2214" s="5" t="s">
        <v>35</v>
      </c>
      <c r="X2214" s="8" t="s">
        <v>182</v>
      </c>
      <c r="Y2214" s="5" t="s">
        <v>46</v>
      </c>
      <c r="Z2214" s="5" t="s">
        <v>47</v>
      </c>
      <c r="AA2214" s="5" t="s">
        <v>64</v>
      </c>
      <c r="AB2214" s="5" t="s">
        <v>10886</v>
      </c>
      <c r="AC2214" s="6" t="s">
        <v>418</v>
      </c>
      <c r="AD2214" s="6">
        <v>2713.0</v>
      </c>
    </row>
    <row r="2215" ht="56.25" customHeight="1">
      <c r="A2215" s="5" t="s">
        <v>10800</v>
      </c>
      <c r="B2215" s="6" t="str">
        <f>IMAGE("https://storage.googleapis.com/acdb/housewares/FtrRefrigerator_Remake_3_4.png")</f>
        <v/>
      </c>
      <c r="C2215" s="5" t="s">
        <v>114</v>
      </c>
      <c r="D2215" s="5" t="s">
        <v>34</v>
      </c>
      <c r="E2215" s="5" t="s">
        <v>10821</v>
      </c>
      <c r="F2215" s="5" t="s">
        <v>3454</v>
      </c>
      <c r="G2215" s="5" t="s">
        <v>36</v>
      </c>
      <c r="H2215" s="5" t="s">
        <v>36</v>
      </c>
      <c r="I2215" s="5" t="s">
        <v>35</v>
      </c>
      <c r="J2215" s="6">
        <v>2.0</v>
      </c>
      <c r="K2215" s="6">
        <v>5100.0</v>
      </c>
      <c r="L2215" s="6">
        <v>1275.0</v>
      </c>
      <c r="M2215" s="26" t="s">
        <v>114</v>
      </c>
      <c r="N2215" s="26" t="s">
        <v>58</v>
      </c>
      <c r="O2215" s="6" t="s">
        <v>40</v>
      </c>
      <c r="P2215" s="5" t="s">
        <v>59</v>
      </c>
      <c r="Q2215" s="5" t="s">
        <v>122</v>
      </c>
      <c r="R2215" s="6" t="s">
        <v>42</v>
      </c>
      <c r="S2215" s="5" t="s">
        <v>159</v>
      </c>
      <c r="T2215" s="5" t="s">
        <v>62</v>
      </c>
      <c r="U2215" s="5" t="s">
        <v>44</v>
      </c>
      <c r="V2215" s="5" t="s">
        <v>44</v>
      </c>
      <c r="W2215" s="5" t="s">
        <v>35</v>
      </c>
      <c r="X2215" s="8" t="s">
        <v>182</v>
      </c>
      <c r="Y2215" s="5" t="s">
        <v>46</v>
      </c>
      <c r="Z2215" s="5" t="s">
        <v>47</v>
      </c>
      <c r="AA2215" s="5" t="s">
        <v>64</v>
      </c>
      <c r="AB2215" s="5" t="s">
        <v>10889</v>
      </c>
      <c r="AC2215" s="6" t="s">
        <v>563</v>
      </c>
      <c r="AD2215" s="6">
        <v>2713.0</v>
      </c>
    </row>
    <row r="2216" ht="56.25" customHeight="1">
      <c r="A2216" s="5" t="s">
        <v>10800</v>
      </c>
      <c r="B2216" s="6" t="str">
        <f>IMAGE("https://storage.googleapis.com/acdb/housewares/FtrRefrigerator_Remake_4_0.png")</f>
        <v/>
      </c>
      <c r="C2216" s="5" t="s">
        <v>68</v>
      </c>
      <c r="D2216" s="5" t="s">
        <v>34</v>
      </c>
      <c r="E2216" s="5" t="s">
        <v>44</v>
      </c>
      <c r="F2216" s="5" t="s">
        <v>3454</v>
      </c>
      <c r="G2216" s="5" t="s">
        <v>36</v>
      </c>
      <c r="H2216" s="5" t="s">
        <v>36</v>
      </c>
      <c r="I2216" s="5" t="s">
        <v>35</v>
      </c>
      <c r="J2216" s="6">
        <v>2.0</v>
      </c>
      <c r="K2216" s="6">
        <v>5100.0</v>
      </c>
      <c r="L2216" s="6">
        <v>1275.0</v>
      </c>
      <c r="M2216" s="26" t="s">
        <v>68</v>
      </c>
      <c r="N2216" s="26" t="s">
        <v>68</v>
      </c>
      <c r="O2216" s="6" t="s">
        <v>40</v>
      </c>
      <c r="P2216" s="5" t="s">
        <v>59</v>
      </c>
      <c r="Q2216" s="5" t="s">
        <v>122</v>
      </c>
      <c r="R2216" s="6" t="s">
        <v>42</v>
      </c>
      <c r="S2216" s="5" t="s">
        <v>159</v>
      </c>
      <c r="T2216" s="5" t="s">
        <v>62</v>
      </c>
      <c r="U2216" s="5" t="s">
        <v>44</v>
      </c>
      <c r="V2216" s="5" t="s">
        <v>44</v>
      </c>
      <c r="W2216" s="5" t="s">
        <v>35</v>
      </c>
      <c r="X2216" s="8" t="s">
        <v>182</v>
      </c>
      <c r="Y2216" s="5" t="s">
        <v>46</v>
      </c>
      <c r="Z2216" s="5" t="s">
        <v>47</v>
      </c>
      <c r="AA2216" s="5" t="s">
        <v>64</v>
      </c>
      <c r="AB2216" s="5" t="s">
        <v>10896</v>
      </c>
      <c r="AC2216" s="6" t="s">
        <v>75</v>
      </c>
      <c r="AD2216" s="6">
        <v>2713.0</v>
      </c>
    </row>
    <row r="2217" ht="56.25" customHeight="1">
      <c r="A2217" s="5" t="s">
        <v>10800</v>
      </c>
      <c r="B2217" s="6" t="str">
        <f>IMAGE("https://storage.googleapis.com/acdb/housewares/FtrRefrigerator_Remake_4_1.png")</f>
        <v/>
      </c>
      <c r="C2217" s="5" t="s">
        <v>68</v>
      </c>
      <c r="D2217" s="5" t="s">
        <v>34</v>
      </c>
      <c r="E2217" s="5" t="s">
        <v>1959</v>
      </c>
      <c r="F2217" s="5" t="s">
        <v>3454</v>
      </c>
      <c r="G2217" s="5" t="s">
        <v>36</v>
      </c>
      <c r="H2217" s="5" t="s">
        <v>36</v>
      </c>
      <c r="I2217" s="5" t="s">
        <v>35</v>
      </c>
      <c r="J2217" s="6">
        <v>2.0</v>
      </c>
      <c r="K2217" s="6">
        <v>5100.0</v>
      </c>
      <c r="L2217" s="6">
        <v>1275.0</v>
      </c>
      <c r="M2217" s="26" t="s">
        <v>68</v>
      </c>
      <c r="N2217" s="26" t="s">
        <v>69</v>
      </c>
      <c r="O2217" s="6" t="s">
        <v>40</v>
      </c>
      <c r="P2217" s="5" t="s">
        <v>59</v>
      </c>
      <c r="Q2217" s="5" t="s">
        <v>122</v>
      </c>
      <c r="R2217" s="6" t="s">
        <v>42</v>
      </c>
      <c r="S2217" s="5" t="s">
        <v>159</v>
      </c>
      <c r="T2217" s="5" t="s">
        <v>62</v>
      </c>
      <c r="U2217" s="5" t="s">
        <v>44</v>
      </c>
      <c r="V2217" s="5" t="s">
        <v>44</v>
      </c>
      <c r="W2217" s="5" t="s">
        <v>35</v>
      </c>
      <c r="X2217" s="8" t="s">
        <v>182</v>
      </c>
      <c r="Y2217" s="5" t="s">
        <v>46</v>
      </c>
      <c r="Z2217" s="5" t="s">
        <v>47</v>
      </c>
      <c r="AA2217" s="5" t="s">
        <v>64</v>
      </c>
      <c r="AB2217" s="5" t="s">
        <v>10900</v>
      </c>
      <c r="AC2217" s="6" t="s">
        <v>429</v>
      </c>
      <c r="AD2217" s="6">
        <v>2713.0</v>
      </c>
    </row>
    <row r="2218" ht="56.25" customHeight="1">
      <c r="A2218" s="5" t="s">
        <v>10800</v>
      </c>
      <c r="B2218" s="6" t="str">
        <f>IMAGE("https://storage.googleapis.com/acdb/housewares/FtrRefrigerator_Remake_4_2.png")</f>
        <v/>
      </c>
      <c r="C2218" s="5" t="s">
        <v>68</v>
      </c>
      <c r="D2218" s="5" t="s">
        <v>34</v>
      </c>
      <c r="E2218" s="5" t="s">
        <v>10811</v>
      </c>
      <c r="F2218" s="5" t="s">
        <v>3454</v>
      </c>
      <c r="G2218" s="5" t="s">
        <v>36</v>
      </c>
      <c r="H2218" s="5" t="s">
        <v>36</v>
      </c>
      <c r="I2218" s="5" t="s">
        <v>35</v>
      </c>
      <c r="J2218" s="6">
        <v>2.0</v>
      </c>
      <c r="K2218" s="6">
        <v>5100.0</v>
      </c>
      <c r="L2218" s="6">
        <v>1275.0</v>
      </c>
      <c r="M2218" s="26" t="s">
        <v>68</v>
      </c>
      <c r="N2218" s="26" t="s">
        <v>58</v>
      </c>
      <c r="O2218" s="6" t="s">
        <v>40</v>
      </c>
      <c r="P2218" s="5" t="s">
        <v>59</v>
      </c>
      <c r="Q2218" s="5" t="s">
        <v>122</v>
      </c>
      <c r="R2218" s="6" t="s">
        <v>42</v>
      </c>
      <c r="S2218" s="5" t="s">
        <v>159</v>
      </c>
      <c r="T2218" s="5" t="s">
        <v>62</v>
      </c>
      <c r="U2218" s="5" t="s">
        <v>44</v>
      </c>
      <c r="V2218" s="5" t="s">
        <v>44</v>
      </c>
      <c r="W2218" s="5" t="s">
        <v>35</v>
      </c>
      <c r="X2218" s="8" t="s">
        <v>182</v>
      </c>
      <c r="Y2218" s="5" t="s">
        <v>46</v>
      </c>
      <c r="Z2218" s="5" t="s">
        <v>47</v>
      </c>
      <c r="AA2218" s="5" t="s">
        <v>64</v>
      </c>
      <c r="AB2218" s="5" t="s">
        <v>10906</v>
      </c>
      <c r="AC2218" s="6" t="s">
        <v>434</v>
      </c>
      <c r="AD2218" s="6">
        <v>2713.0</v>
      </c>
    </row>
    <row r="2219" ht="56.25" customHeight="1">
      <c r="A2219" s="5" t="s">
        <v>10800</v>
      </c>
      <c r="B2219" s="6" t="str">
        <f>IMAGE("https://storage.googleapis.com/acdb/housewares/FtrRefrigerator_Remake_4_3.png")</f>
        <v/>
      </c>
      <c r="C2219" s="5" t="s">
        <v>68</v>
      </c>
      <c r="D2219" s="5" t="s">
        <v>34</v>
      </c>
      <c r="E2219" s="5" t="s">
        <v>1006</v>
      </c>
      <c r="F2219" s="5" t="s">
        <v>3454</v>
      </c>
      <c r="G2219" s="5" t="s">
        <v>36</v>
      </c>
      <c r="H2219" s="5" t="s">
        <v>36</v>
      </c>
      <c r="I2219" s="5" t="s">
        <v>35</v>
      </c>
      <c r="J2219" s="6">
        <v>2.0</v>
      </c>
      <c r="K2219" s="6">
        <v>5100.0</v>
      </c>
      <c r="L2219" s="6">
        <v>1275.0</v>
      </c>
      <c r="M2219" s="26" t="s">
        <v>68</v>
      </c>
      <c r="N2219" s="26" t="s">
        <v>96</v>
      </c>
      <c r="O2219" s="6" t="s">
        <v>40</v>
      </c>
      <c r="P2219" s="5" t="s">
        <v>59</v>
      </c>
      <c r="Q2219" s="5" t="s">
        <v>122</v>
      </c>
      <c r="R2219" s="6" t="s">
        <v>42</v>
      </c>
      <c r="S2219" s="5" t="s">
        <v>159</v>
      </c>
      <c r="T2219" s="5" t="s">
        <v>62</v>
      </c>
      <c r="U2219" s="5" t="s">
        <v>44</v>
      </c>
      <c r="V2219" s="5" t="s">
        <v>44</v>
      </c>
      <c r="W2219" s="5" t="s">
        <v>35</v>
      </c>
      <c r="X2219" s="8" t="s">
        <v>182</v>
      </c>
      <c r="Y2219" s="5" t="s">
        <v>46</v>
      </c>
      <c r="Z2219" s="5" t="s">
        <v>47</v>
      </c>
      <c r="AA2219" s="5" t="s">
        <v>64</v>
      </c>
      <c r="AB2219" s="5" t="s">
        <v>10909</v>
      </c>
      <c r="AC2219" s="6" t="s">
        <v>438</v>
      </c>
      <c r="AD2219" s="6">
        <v>2713.0</v>
      </c>
    </row>
    <row r="2220" ht="56.25" customHeight="1">
      <c r="A2220" s="5" t="s">
        <v>10800</v>
      </c>
      <c r="B2220" s="6" t="str">
        <f>IMAGE("https://storage.googleapis.com/acdb/housewares/FtrRefrigerator_Remake_4_4.png")</f>
        <v/>
      </c>
      <c r="C2220" s="5" t="s">
        <v>68</v>
      </c>
      <c r="D2220" s="5" t="s">
        <v>34</v>
      </c>
      <c r="E2220" s="5" t="s">
        <v>10821</v>
      </c>
      <c r="F2220" s="5" t="s">
        <v>3454</v>
      </c>
      <c r="G2220" s="5" t="s">
        <v>36</v>
      </c>
      <c r="H2220" s="5" t="s">
        <v>36</v>
      </c>
      <c r="I2220" s="5" t="s">
        <v>35</v>
      </c>
      <c r="J2220" s="6">
        <v>2.0</v>
      </c>
      <c r="K2220" s="6">
        <v>5100.0</v>
      </c>
      <c r="L2220" s="6">
        <v>1275.0</v>
      </c>
      <c r="M2220" s="26" t="s">
        <v>68</v>
      </c>
      <c r="N2220" s="26" t="s">
        <v>58</v>
      </c>
      <c r="O2220" s="6" t="s">
        <v>40</v>
      </c>
      <c r="P2220" s="5" t="s">
        <v>59</v>
      </c>
      <c r="Q2220" s="5" t="s">
        <v>122</v>
      </c>
      <c r="R2220" s="6" t="s">
        <v>42</v>
      </c>
      <c r="S2220" s="5" t="s">
        <v>159</v>
      </c>
      <c r="T2220" s="5" t="s">
        <v>62</v>
      </c>
      <c r="U2220" s="5" t="s">
        <v>44</v>
      </c>
      <c r="V2220" s="5" t="s">
        <v>44</v>
      </c>
      <c r="W2220" s="5" t="s">
        <v>35</v>
      </c>
      <c r="X2220" s="8" t="s">
        <v>182</v>
      </c>
      <c r="Y2220" s="5" t="s">
        <v>46</v>
      </c>
      <c r="Z2220" s="5" t="s">
        <v>47</v>
      </c>
      <c r="AA2220" s="5" t="s">
        <v>64</v>
      </c>
      <c r="AB2220" s="5" t="s">
        <v>10913</v>
      </c>
      <c r="AC2220" s="6" t="s">
        <v>585</v>
      </c>
      <c r="AD2220" s="6">
        <v>2713.0</v>
      </c>
    </row>
    <row r="2221" ht="56.25" customHeight="1">
      <c r="A2221" s="5" t="s">
        <v>10800</v>
      </c>
      <c r="B2221" s="6" t="str">
        <f>IMAGE("https://storage.googleapis.com/acdb/housewares/FtrRefrigerator_Remake_5_0.png")</f>
        <v/>
      </c>
      <c r="C2221" s="5" t="s">
        <v>39</v>
      </c>
      <c r="D2221" s="5" t="s">
        <v>34</v>
      </c>
      <c r="E2221" s="5" t="s">
        <v>44</v>
      </c>
      <c r="F2221" s="5" t="s">
        <v>3454</v>
      </c>
      <c r="G2221" s="5" t="s">
        <v>36</v>
      </c>
      <c r="H2221" s="5" t="s">
        <v>36</v>
      </c>
      <c r="I2221" s="5" t="s">
        <v>35</v>
      </c>
      <c r="J2221" s="6">
        <v>2.0</v>
      </c>
      <c r="K2221" s="6">
        <v>5100.0</v>
      </c>
      <c r="L2221" s="6">
        <v>1275.0</v>
      </c>
      <c r="M2221" s="26" t="s">
        <v>39</v>
      </c>
      <c r="N2221" s="26" t="s">
        <v>39</v>
      </c>
      <c r="O2221" s="6" t="s">
        <v>40</v>
      </c>
      <c r="P2221" s="5" t="s">
        <v>59</v>
      </c>
      <c r="Q2221" s="5" t="s">
        <v>122</v>
      </c>
      <c r="R2221" s="6" t="s">
        <v>42</v>
      </c>
      <c r="S2221" s="5" t="s">
        <v>159</v>
      </c>
      <c r="T2221" s="5" t="s">
        <v>62</v>
      </c>
      <c r="U2221" s="5" t="s">
        <v>44</v>
      </c>
      <c r="V2221" s="5" t="s">
        <v>44</v>
      </c>
      <c r="W2221" s="5" t="s">
        <v>35</v>
      </c>
      <c r="X2221" s="8" t="s">
        <v>182</v>
      </c>
      <c r="Y2221" s="5" t="s">
        <v>46</v>
      </c>
      <c r="Z2221" s="5" t="s">
        <v>47</v>
      </c>
      <c r="AA2221" s="5" t="s">
        <v>64</v>
      </c>
      <c r="AB2221" s="5" t="s">
        <v>10916</v>
      </c>
      <c r="AC2221" s="6" t="s">
        <v>79</v>
      </c>
      <c r="AD2221" s="6">
        <v>2713.0</v>
      </c>
    </row>
    <row r="2222" ht="56.25" customHeight="1">
      <c r="A2222" s="5" t="s">
        <v>10800</v>
      </c>
      <c r="B2222" s="6" t="str">
        <f>IMAGE("https://storage.googleapis.com/acdb/housewares/FtrRefrigerator_Remake_5_1.png")</f>
        <v/>
      </c>
      <c r="C2222" s="5" t="s">
        <v>39</v>
      </c>
      <c r="D2222" s="5" t="s">
        <v>34</v>
      </c>
      <c r="E2222" s="5" t="s">
        <v>1959</v>
      </c>
      <c r="F2222" s="5" t="s">
        <v>3454</v>
      </c>
      <c r="G2222" s="5" t="s">
        <v>36</v>
      </c>
      <c r="H2222" s="5" t="s">
        <v>36</v>
      </c>
      <c r="I2222" s="5" t="s">
        <v>35</v>
      </c>
      <c r="J2222" s="6">
        <v>2.0</v>
      </c>
      <c r="K2222" s="6">
        <v>5100.0</v>
      </c>
      <c r="L2222" s="6">
        <v>1275.0</v>
      </c>
      <c r="M2222" s="26" t="s">
        <v>39</v>
      </c>
      <c r="N2222" s="26" t="s">
        <v>69</v>
      </c>
      <c r="O2222" s="6" t="s">
        <v>40</v>
      </c>
      <c r="P2222" s="5" t="s">
        <v>59</v>
      </c>
      <c r="Q2222" s="5" t="s">
        <v>122</v>
      </c>
      <c r="R2222" s="6" t="s">
        <v>42</v>
      </c>
      <c r="S2222" s="5" t="s">
        <v>159</v>
      </c>
      <c r="T2222" s="5" t="s">
        <v>62</v>
      </c>
      <c r="U2222" s="5" t="s">
        <v>44</v>
      </c>
      <c r="V2222" s="5" t="s">
        <v>44</v>
      </c>
      <c r="W2222" s="5" t="s">
        <v>35</v>
      </c>
      <c r="X2222" s="8" t="s">
        <v>182</v>
      </c>
      <c r="Y2222" s="5" t="s">
        <v>46</v>
      </c>
      <c r="Z2222" s="5" t="s">
        <v>47</v>
      </c>
      <c r="AA2222" s="5" t="s">
        <v>64</v>
      </c>
      <c r="AB2222" s="5" t="s">
        <v>10919</v>
      </c>
      <c r="AC2222" s="6" t="s">
        <v>448</v>
      </c>
      <c r="AD2222" s="6">
        <v>2713.0</v>
      </c>
    </row>
    <row r="2223" ht="56.25" customHeight="1">
      <c r="A2223" s="5" t="s">
        <v>10800</v>
      </c>
      <c r="B2223" s="6" t="str">
        <f>IMAGE("https://storage.googleapis.com/acdb/housewares/FtrRefrigerator_Remake_5_2.png")</f>
        <v/>
      </c>
      <c r="C2223" s="5" t="s">
        <v>39</v>
      </c>
      <c r="D2223" s="5" t="s">
        <v>34</v>
      </c>
      <c r="E2223" s="5" t="s">
        <v>10811</v>
      </c>
      <c r="F2223" s="5" t="s">
        <v>3454</v>
      </c>
      <c r="G2223" s="5" t="s">
        <v>36</v>
      </c>
      <c r="H2223" s="5" t="s">
        <v>36</v>
      </c>
      <c r="I2223" s="5" t="s">
        <v>35</v>
      </c>
      <c r="J2223" s="6">
        <v>2.0</v>
      </c>
      <c r="K2223" s="6">
        <v>5100.0</v>
      </c>
      <c r="L2223" s="6">
        <v>1275.0</v>
      </c>
      <c r="M2223" s="26" t="s">
        <v>39</v>
      </c>
      <c r="N2223" s="26" t="s">
        <v>58</v>
      </c>
      <c r="O2223" s="6" t="s">
        <v>40</v>
      </c>
      <c r="P2223" s="5" t="s">
        <v>59</v>
      </c>
      <c r="Q2223" s="5" t="s">
        <v>122</v>
      </c>
      <c r="R2223" s="6" t="s">
        <v>42</v>
      </c>
      <c r="S2223" s="5" t="s">
        <v>159</v>
      </c>
      <c r="T2223" s="5" t="s">
        <v>62</v>
      </c>
      <c r="U2223" s="5" t="s">
        <v>44</v>
      </c>
      <c r="V2223" s="5" t="s">
        <v>44</v>
      </c>
      <c r="W2223" s="5" t="s">
        <v>35</v>
      </c>
      <c r="X2223" s="8" t="s">
        <v>182</v>
      </c>
      <c r="Y2223" s="5" t="s">
        <v>46</v>
      </c>
      <c r="Z2223" s="5" t="s">
        <v>47</v>
      </c>
      <c r="AA2223" s="5" t="s">
        <v>64</v>
      </c>
      <c r="AB2223" s="5" t="s">
        <v>10924</v>
      </c>
      <c r="AC2223" s="6" t="s">
        <v>452</v>
      </c>
      <c r="AD2223" s="6">
        <v>2713.0</v>
      </c>
    </row>
    <row r="2224" ht="56.25" customHeight="1">
      <c r="A2224" s="5" t="s">
        <v>10800</v>
      </c>
      <c r="B2224" s="6" t="str">
        <f>IMAGE("https://storage.googleapis.com/acdb/housewares/FtrRefrigerator_Remake_5_3.png")</f>
        <v/>
      </c>
      <c r="C2224" s="5" t="s">
        <v>39</v>
      </c>
      <c r="D2224" s="5" t="s">
        <v>34</v>
      </c>
      <c r="E2224" s="5" t="s">
        <v>1006</v>
      </c>
      <c r="F2224" s="5" t="s">
        <v>3454</v>
      </c>
      <c r="G2224" s="5" t="s">
        <v>36</v>
      </c>
      <c r="H2224" s="5" t="s">
        <v>36</v>
      </c>
      <c r="I2224" s="5" t="s">
        <v>35</v>
      </c>
      <c r="J2224" s="6">
        <v>2.0</v>
      </c>
      <c r="K2224" s="6">
        <v>5100.0</v>
      </c>
      <c r="L2224" s="6">
        <v>1275.0</v>
      </c>
      <c r="M2224" s="26" t="s">
        <v>39</v>
      </c>
      <c r="N2224" s="26" t="s">
        <v>96</v>
      </c>
      <c r="O2224" s="6" t="s">
        <v>40</v>
      </c>
      <c r="P2224" s="5" t="s">
        <v>59</v>
      </c>
      <c r="Q2224" s="5" t="s">
        <v>122</v>
      </c>
      <c r="R2224" s="6" t="s">
        <v>42</v>
      </c>
      <c r="S2224" s="5" t="s">
        <v>159</v>
      </c>
      <c r="T2224" s="5" t="s">
        <v>62</v>
      </c>
      <c r="U2224" s="5" t="s">
        <v>44</v>
      </c>
      <c r="V2224" s="5" t="s">
        <v>44</v>
      </c>
      <c r="W2224" s="5" t="s">
        <v>35</v>
      </c>
      <c r="X2224" s="8" t="s">
        <v>182</v>
      </c>
      <c r="Y2224" s="5" t="s">
        <v>46</v>
      </c>
      <c r="Z2224" s="5" t="s">
        <v>47</v>
      </c>
      <c r="AA2224" s="5" t="s">
        <v>64</v>
      </c>
      <c r="AB2224" s="5" t="s">
        <v>10930</v>
      </c>
      <c r="AC2224" s="6" t="s">
        <v>455</v>
      </c>
      <c r="AD2224" s="6">
        <v>2713.0</v>
      </c>
    </row>
    <row r="2225" ht="56.25" customHeight="1">
      <c r="A2225" s="5" t="s">
        <v>10800</v>
      </c>
      <c r="B2225" s="6" t="str">
        <f>IMAGE("https://storage.googleapis.com/acdb/housewares/FtrRefrigerator_Remake_5_4.png")</f>
        <v/>
      </c>
      <c r="C2225" s="5" t="s">
        <v>39</v>
      </c>
      <c r="D2225" s="5" t="s">
        <v>34</v>
      </c>
      <c r="E2225" s="5" t="s">
        <v>10821</v>
      </c>
      <c r="F2225" s="5" t="s">
        <v>3454</v>
      </c>
      <c r="G2225" s="5" t="s">
        <v>36</v>
      </c>
      <c r="H2225" s="5" t="s">
        <v>36</v>
      </c>
      <c r="I2225" s="5" t="s">
        <v>35</v>
      </c>
      <c r="J2225" s="6">
        <v>2.0</v>
      </c>
      <c r="K2225" s="6">
        <v>5100.0</v>
      </c>
      <c r="L2225" s="6">
        <v>1275.0</v>
      </c>
      <c r="M2225" s="26" t="s">
        <v>39</v>
      </c>
      <c r="N2225" s="26" t="s">
        <v>58</v>
      </c>
      <c r="O2225" s="6" t="s">
        <v>40</v>
      </c>
      <c r="P2225" s="5" t="s">
        <v>59</v>
      </c>
      <c r="Q2225" s="5" t="s">
        <v>122</v>
      </c>
      <c r="R2225" s="6" t="s">
        <v>42</v>
      </c>
      <c r="S2225" s="5" t="s">
        <v>159</v>
      </c>
      <c r="T2225" s="5" t="s">
        <v>62</v>
      </c>
      <c r="U2225" s="5" t="s">
        <v>44</v>
      </c>
      <c r="V2225" s="5" t="s">
        <v>44</v>
      </c>
      <c r="W2225" s="5" t="s">
        <v>35</v>
      </c>
      <c r="X2225" s="8" t="s">
        <v>182</v>
      </c>
      <c r="Y2225" s="5" t="s">
        <v>46</v>
      </c>
      <c r="Z2225" s="5" t="s">
        <v>47</v>
      </c>
      <c r="AA2225" s="5" t="s">
        <v>64</v>
      </c>
      <c r="AB2225" s="5" t="s">
        <v>10933</v>
      </c>
      <c r="AC2225" s="6" t="s">
        <v>609</v>
      </c>
      <c r="AD2225" s="6">
        <v>2713.0</v>
      </c>
    </row>
    <row r="2226" ht="56.25" customHeight="1">
      <c r="A2226" s="5" t="s">
        <v>10800</v>
      </c>
      <c r="B2226" s="6" t="str">
        <f>IMAGE("https://storage.googleapis.com/acdb/housewares/FtrRefrigerator_Remake_6_0.png")</f>
        <v/>
      </c>
      <c r="C2226" s="5" t="s">
        <v>54</v>
      </c>
      <c r="D2226" s="5" t="s">
        <v>34</v>
      </c>
      <c r="E2226" s="5" t="s">
        <v>44</v>
      </c>
      <c r="F2226" s="5" t="s">
        <v>3454</v>
      </c>
      <c r="G2226" s="5" t="s">
        <v>36</v>
      </c>
      <c r="H2226" s="5" t="s">
        <v>36</v>
      </c>
      <c r="I2226" s="5" t="s">
        <v>35</v>
      </c>
      <c r="J2226" s="6">
        <v>2.0</v>
      </c>
      <c r="K2226" s="6">
        <v>5100.0</v>
      </c>
      <c r="L2226" s="6">
        <v>1275.0</v>
      </c>
      <c r="M2226" s="26" t="s">
        <v>54</v>
      </c>
      <c r="N2226" s="26" t="s">
        <v>54</v>
      </c>
      <c r="O2226" s="6" t="s">
        <v>40</v>
      </c>
      <c r="P2226" s="5" t="s">
        <v>59</v>
      </c>
      <c r="Q2226" s="5" t="s">
        <v>122</v>
      </c>
      <c r="R2226" s="6" t="s">
        <v>42</v>
      </c>
      <c r="S2226" s="5" t="s">
        <v>159</v>
      </c>
      <c r="T2226" s="5" t="s">
        <v>62</v>
      </c>
      <c r="U2226" s="5" t="s">
        <v>44</v>
      </c>
      <c r="V2226" s="5" t="s">
        <v>44</v>
      </c>
      <c r="W2226" s="5" t="s">
        <v>35</v>
      </c>
      <c r="X2226" s="8" t="s">
        <v>182</v>
      </c>
      <c r="Y2226" s="5" t="s">
        <v>46</v>
      </c>
      <c r="Z2226" s="5" t="s">
        <v>47</v>
      </c>
      <c r="AA2226" s="5" t="s">
        <v>64</v>
      </c>
      <c r="AB2226" s="5" t="s">
        <v>10938</v>
      </c>
      <c r="AC2226" s="6" t="s">
        <v>86</v>
      </c>
      <c r="AD2226" s="6">
        <v>2713.0</v>
      </c>
    </row>
    <row r="2227" ht="56.25" customHeight="1">
      <c r="A2227" s="5" t="s">
        <v>10800</v>
      </c>
      <c r="B2227" s="6" t="str">
        <f>IMAGE("https://storage.googleapis.com/acdb/housewares/FtrRefrigerator_Remake_6_1.png")</f>
        <v/>
      </c>
      <c r="C2227" s="5" t="s">
        <v>54</v>
      </c>
      <c r="D2227" s="5" t="s">
        <v>34</v>
      </c>
      <c r="E2227" s="5" t="s">
        <v>1959</v>
      </c>
      <c r="F2227" s="5" t="s">
        <v>3454</v>
      </c>
      <c r="G2227" s="5" t="s">
        <v>36</v>
      </c>
      <c r="H2227" s="5" t="s">
        <v>36</v>
      </c>
      <c r="I2227" s="5" t="s">
        <v>35</v>
      </c>
      <c r="J2227" s="6">
        <v>2.0</v>
      </c>
      <c r="K2227" s="6">
        <v>5100.0</v>
      </c>
      <c r="L2227" s="6">
        <v>1275.0</v>
      </c>
      <c r="M2227" s="26" t="s">
        <v>54</v>
      </c>
      <c r="N2227" s="26" t="s">
        <v>69</v>
      </c>
      <c r="O2227" s="6" t="s">
        <v>40</v>
      </c>
      <c r="P2227" s="5" t="s">
        <v>59</v>
      </c>
      <c r="Q2227" s="5" t="s">
        <v>122</v>
      </c>
      <c r="R2227" s="6" t="s">
        <v>42</v>
      </c>
      <c r="S2227" s="5" t="s">
        <v>159</v>
      </c>
      <c r="T2227" s="5" t="s">
        <v>62</v>
      </c>
      <c r="U2227" s="5" t="s">
        <v>44</v>
      </c>
      <c r="V2227" s="5" t="s">
        <v>44</v>
      </c>
      <c r="W2227" s="5" t="s">
        <v>35</v>
      </c>
      <c r="X2227" s="8" t="s">
        <v>182</v>
      </c>
      <c r="Y2227" s="5" t="s">
        <v>46</v>
      </c>
      <c r="Z2227" s="5" t="s">
        <v>47</v>
      </c>
      <c r="AA2227" s="5" t="s">
        <v>64</v>
      </c>
      <c r="AB2227" s="5" t="s">
        <v>10941</v>
      </c>
      <c r="AC2227" s="6" t="s">
        <v>620</v>
      </c>
      <c r="AD2227" s="6">
        <v>2713.0</v>
      </c>
    </row>
    <row r="2228" ht="56.25" customHeight="1">
      <c r="A2228" s="5" t="s">
        <v>10800</v>
      </c>
      <c r="B2228" s="6" t="str">
        <f>IMAGE("https://storage.googleapis.com/acdb/housewares/FtrRefrigerator_Remake_6_2.png")</f>
        <v/>
      </c>
      <c r="C2228" s="5" t="s">
        <v>54</v>
      </c>
      <c r="D2228" s="5" t="s">
        <v>34</v>
      </c>
      <c r="E2228" s="5" t="s">
        <v>10811</v>
      </c>
      <c r="F2228" s="5" t="s">
        <v>3454</v>
      </c>
      <c r="G2228" s="5" t="s">
        <v>36</v>
      </c>
      <c r="H2228" s="5" t="s">
        <v>36</v>
      </c>
      <c r="I2228" s="5" t="s">
        <v>35</v>
      </c>
      <c r="J2228" s="6">
        <v>2.0</v>
      </c>
      <c r="K2228" s="6">
        <v>5100.0</v>
      </c>
      <c r="L2228" s="6">
        <v>1275.0</v>
      </c>
      <c r="M2228" s="26" t="s">
        <v>54</v>
      </c>
      <c r="N2228" s="26" t="s">
        <v>58</v>
      </c>
      <c r="O2228" s="6" t="s">
        <v>40</v>
      </c>
      <c r="P2228" s="5" t="s">
        <v>59</v>
      </c>
      <c r="Q2228" s="5" t="s">
        <v>122</v>
      </c>
      <c r="R2228" s="6" t="s">
        <v>42</v>
      </c>
      <c r="S2228" s="5" t="s">
        <v>159</v>
      </c>
      <c r="T2228" s="5" t="s">
        <v>62</v>
      </c>
      <c r="U2228" s="5" t="s">
        <v>44</v>
      </c>
      <c r="V2228" s="5" t="s">
        <v>44</v>
      </c>
      <c r="W2228" s="5" t="s">
        <v>35</v>
      </c>
      <c r="X2228" s="8" t="s">
        <v>182</v>
      </c>
      <c r="Y2228" s="5" t="s">
        <v>46</v>
      </c>
      <c r="Z2228" s="5" t="s">
        <v>47</v>
      </c>
      <c r="AA2228" s="5" t="s">
        <v>64</v>
      </c>
      <c r="AB2228" s="5" t="s">
        <v>10945</v>
      </c>
      <c r="AC2228" s="6" t="s">
        <v>626</v>
      </c>
      <c r="AD2228" s="6">
        <v>2713.0</v>
      </c>
    </row>
    <row r="2229" ht="56.25" customHeight="1">
      <c r="A2229" s="5" t="s">
        <v>10800</v>
      </c>
      <c r="B2229" s="6" t="str">
        <f>IMAGE("https://storage.googleapis.com/acdb/housewares/FtrRefrigerator_Remake_6_3.png")</f>
        <v/>
      </c>
      <c r="C2229" s="5" t="s">
        <v>54</v>
      </c>
      <c r="D2229" s="5" t="s">
        <v>34</v>
      </c>
      <c r="E2229" s="5" t="s">
        <v>1006</v>
      </c>
      <c r="F2229" s="5" t="s">
        <v>3454</v>
      </c>
      <c r="G2229" s="5" t="s">
        <v>36</v>
      </c>
      <c r="H2229" s="5" t="s">
        <v>36</v>
      </c>
      <c r="I2229" s="5" t="s">
        <v>35</v>
      </c>
      <c r="J2229" s="6">
        <v>2.0</v>
      </c>
      <c r="K2229" s="6">
        <v>5100.0</v>
      </c>
      <c r="L2229" s="6">
        <v>1275.0</v>
      </c>
      <c r="M2229" s="26" t="s">
        <v>54</v>
      </c>
      <c r="N2229" s="26" t="s">
        <v>96</v>
      </c>
      <c r="O2229" s="6" t="s">
        <v>40</v>
      </c>
      <c r="P2229" s="5" t="s">
        <v>59</v>
      </c>
      <c r="Q2229" s="5" t="s">
        <v>122</v>
      </c>
      <c r="R2229" s="6" t="s">
        <v>42</v>
      </c>
      <c r="S2229" s="5" t="s">
        <v>159</v>
      </c>
      <c r="T2229" s="5" t="s">
        <v>62</v>
      </c>
      <c r="U2229" s="5" t="s">
        <v>44</v>
      </c>
      <c r="V2229" s="5" t="s">
        <v>44</v>
      </c>
      <c r="W2229" s="5" t="s">
        <v>35</v>
      </c>
      <c r="X2229" s="8" t="s">
        <v>182</v>
      </c>
      <c r="Y2229" s="5" t="s">
        <v>46</v>
      </c>
      <c r="Z2229" s="5" t="s">
        <v>47</v>
      </c>
      <c r="AA2229" s="5" t="s">
        <v>64</v>
      </c>
      <c r="AB2229" s="5" t="s">
        <v>10948</v>
      </c>
      <c r="AC2229" s="6" t="s">
        <v>634</v>
      </c>
      <c r="AD2229" s="6">
        <v>2713.0</v>
      </c>
    </row>
    <row r="2230" ht="56.25" customHeight="1">
      <c r="A2230" s="5" t="s">
        <v>10800</v>
      </c>
      <c r="B2230" s="6" t="str">
        <f>IMAGE("https://storage.googleapis.com/acdb/housewares/FtrRefrigerator_Remake_6_4.png")</f>
        <v/>
      </c>
      <c r="C2230" s="5" t="s">
        <v>54</v>
      </c>
      <c r="D2230" s="5" t="s">
        <v>34</v>
      </c>
      <c r="E2230" s="5" t="s">
        <v>10821</v>
      </c>
      <c r="F2230" s="5" t="s">
        <v>3454</v>
      </c>
      <c r="G2230" s="5" t="s">
        <v>36</v>
      </c>
      <c r="H2230" s="5" t="s">
        <v>36</v>
      </c>
      <c r="I2230" s="5" t="s">
        <v>35</v>
      </c>
      <c r="J2230" s="6">
        <v>2.0</v>
      </c>
      <c r="K2230" s="6">
        <v>5100.0</v>
      </c>
      <c r="L2230" s="6">
        <v>1275.0</v>
      </c>
      <c r="M2230" s="26" t="s">
        <v>54</v>
      </c>
      <c r="N2230" s="26" t="s">
        <v>58</v>
      </c>
      <c r="O2230" s="6" t="s">
        <v>40</v>
      </c>
      <c r="P2230" s="5" t="s">
        <v>59</v>
      </c>
      <c r="Q2230" s="5" t="s">
        <v>122</v>
      </c>
      <c r="R2230" s="6" t="s">
        <v>42</v>
      </c>
      <c r="S2230" s="5" t="s">
        <v>159</v>
      </c>
      <c r="T2230" s="5" t="s">
        <v>62</v>
      </c>
      <c r="U2230" s="5" t="s">
        <v>44</v>
      </c>
      <c r="V2230" s="5" t="s">
        <v>44</v>
      </c>
      <c r="W2230" s="5" t="s">
        <v>35</v>
      </c>
      <c r="X2230" s="8" t="s">
        <v>182</v>
      </c>
      <c r="Y2230" s="5" t="s">
        <v>46</v>
      </c>
      <c r="Z2230" s="5" t="s">
        <v>47</v>
      </c>
      <c r="AA2230" s="5" t="s">
        <v>64</v>
      </c>
      <c r="AB2230" s="5" t="s">
        <v>10953</v>
      </c>
      <c r="AC2230" s="6" t="s">
        <v>641</v>
      </c>
      <c r="AD2230" s="6">
        <v>2713.0</v>
      </c>
    </row>
    <row r="2231" ht="56.25" customHeight="1">
      <c r="A2231" s="5" t="s">
        <v>10800</v>
      </c>
      <c r="B2231" s="6" t="str">
        <f>IMAGE("https://storage.googleapis.com/acdb/housewares/FtrRefrigerator_Remake_7_0.png")</f>
        <v/>
      </c>
      <c r="C2231" s="5" t="s">
        <v>146</v>
      </c>
      <c r="D2231" s="5" t="s">
        <v>34</v>
      </c>
      <c r="E2231" s="5" t="s">
        <v>44</v>
      </c>
      <c r="F2231" s="5" t="s">
        <v>3454</v>
      </c>
      <c r="G2231" s="5" t="s">
        <v>36</v>
      </c>
      <c r="H2231" s="5" t="s">
        <v>36</v>
      </c>
      <c r="I2231" s="5" t="s">
        <v>35</v>
      </c>
      <c r="J2231" s="6">
        <v>2.0</v>
      </c>
      <c r="K2231" s="6">
        <v>5100.0</v>
      </c>
      <c r="L2231" s="6">
        <v>1275.0</v>
      </c>
      <c r="M2231" s="26" t="s">
        <v>95</v>
      </c>
      <c r="N2231" s="26" t="s">
        <v>95</v>
      </c>
      <c r="O2231" s="6" t="s">
        <v>40</v>
      </c>
      <c r="P2231" s="5" t="s">
        <v>59</v>
      </c>
      <c r="Q2231" s="5" t="s">
        <v>122</v>
      </c>
      <c r="R2231" s="6" t="s">
        <v>42</v>
      </c>
      <c r="S2231" s="5" t="s">
        <v>159</v>
      </c>
      <c r="T2231" s="5" t="s">
        <v>62</v>
      </c>
      <c r="U2231" s="5" t="s">
        <v>44</v>
      </c>
      <c r="V2231" s="5" t="s">
        <v>44</v>
      </c>
      <c r="W2231" s="5" t="s">
        <v>35</v>
      </c>
      <c r="X2231" s="8" t="s">
        <v>182</v>
      </c>
      <c r="Y2231" s="5" t="s">
        <v>46</v>
      </c>
      <c r="Z2231" s="5" t="s">
        <v>47</v>
      </c>
      <c r="AA2231" s="5" t="s">
        <v>64</v>
      </c>
      <c r="AB2231" s="5" t="s">
        <v>10956</v>
      </c>
      <c r="AC2231" s="6" t="s">
        <v>208</v>
      </c>
      <c r="AD2231" s="6">
        <v>2713.0</v>
      </c>
    </row>
    <row r="2232" ht="56.25" customHeight="1">
      <c r="A2232" s="5" t="s">
        <v>10800</v>
      </c>
      <c r="B2232" s="6" t="str">
        <f>IMAGE("https://storage.googleapis.com/acdb/housewares/FtrRefrigerator_Remake_7_1.png")</f>
        <v/>
      </c>
      <c r="C2232" s="5" t="s">
        <v>146</v>
      </c>
      <c r="D2232" s="5" t="s">
        <v>34</v>
      </c>
      <c r="E2232" s="5" t="s">
        <v>1959</v>
      </c>
      <c r="F2232" s="5" t="s">
        <v>3454</v>
      </c>
      <c r="G2232" s="5" t="s">
        <v>36</v>
      </c>
      <c r="H2232" s="5" t="s">
        <v>36</v>
      </c>
      <c r="I2232" s="5" t="s">
        <v>35</v>
      </c>
      <c r="J2232" s="6">
        <v>2.0</v>
      </c>
      <c r="K2232" s="6">
        <v>5100.0</v>
      </c>
      <c r="L2232" s="6">
        <v>1275.0</v>
      </c>
      <c r="M2232" s="26" t="s">
        <v>95</v>
      </c>
      <c r="N2232" s="26" t="s">
        <v>69</v>
      </c>
      <c r="O2232" s="6" t="s">
        <v>40</v>
      </c>
      <c r="P2232" s="5" t="s">
        <v>59</v>
      </c>
      <c r="Q2232" s="5" t="s">
        <v>122</v>
      </c>
      <c r="R2232" s="6" t="s">
        <v>42</v>
      </c>
      <c r="S2232" s="5" t="s">
        <v>159</v>
      </c>
      <c r="T2232" s="5" t="s">
        <v>62</v>
      </c>
      <c r="U2232" s="5" t="s">
        <v>44</v>
      </c>
      <c r="V2232" s="5" t="s">
        <v>44</v>
      </c>
      <c r="W2232" s="5" t="s">
        <v>35</v>
      </c>
      <c r="X2232" s="8" t="s">
        <v>182</v>
      </c>
      <c r="Y2232" s="5" t="s">
        <v>46</v>
      </c>
      <c r="Z2232" s="5" t="s">
        <v>47</v>
      </c>
      <c r="AA2232" s="5" t="s">
        <v>64</v>
      </c>
      <c r="AB2232" s="5" t="s">
        <v>10959</v>
      </c>
      <c r="AC2232" s="6" t="s">
        <v>1892</v>
      </c>
      <c r="AD2232" s="6">
        <v>2713.0</v>
      </c>
    </row>
    <row r="2233" ht="56.25" customHeight="1">
      <c r="A2233" s="5" t="s">
        <v>10800</v>
      </c>
      <c r="B2233" s="6" t="str">
        <f>IMAGE("https://storage.googleapis.com/acdb/housewares/FtrRefrigerator_Remake_7_2.png")</f>
        <v/>
      </c>
      <c r="C2233" s="5" t="s">
        <v>146</v>
      </c>
      <c r="D2233" s="5" t="s">
        <v>34</v>
      </c>
      <c r="E2233" s="5" t="s">
        <v>10811</v>
      </c>
      <c r="F2233" s="5" t="s">
        <v>3454</v>
      </c>
      <c r="G2233" s="5" t="s">
        <v>36</v>
      </c>
      <c r="H2233" s="5" t="s">
        <v>36</v>
      </c>
      <c r="I2233" s="5" t="s">
        <v>35</v>
      </c>
      <c r="J2233" s="6">
        <v>2.0</v>
      </c>
      <c r="K2233" s="6">
        <v>5100.0</v>
      </c>
      <c r="L2233" s="6">
        <v>1275.0</v>
      </c>
      <c r="M2233" s="26" t="s">
        <v>95</v>
      </c>
      <c r="N2233" s="26" t="s">
        <v>58</v>
      </c>
      <c r="O2233" s="6" t="s">
        <v>40</v>
      </c>
      <c r="P2233" s="5" t="s">
        <v>59</v>
      </c>
      <c r="Q2233" s="5" t="s">
        <v>122</v>
      </c>
      <c r="R2233" s="6" t="s">
        <v>42</v>
      </c>
      <c r="S2233" s="5" t="s">
        <v>159</v>
      </c>
      <c r="T2233" s="5" t="s">
        <v>62</v>
      </c>
      <c r="U2233" s="5" t="s">
        <v>44</v>
      </c>
      <c r="V2233" s="5" t="s">
        <v>44</v>
      </c>
      <c r="W2233" s="5" t="s">
        <v>35</v>
      </c>
      <c r="X2233" s="8" t="s">
        <v>182</v>
      </c>
      <c r="Y2233" s="5" t="s">
        <v>46</v>
      </c>
      <c r="Z2233" s="5" t="s">
        <v>47</v>
      </c>
      <c r="AA2233" s="5" t="s">
        <v>64</v>
      </c>
      <c r="AB2233" s="5" t="s">
        <v>10963</v>
      </c>
      <c r="AC2233" s="6" t="s">
        <v>1901</v>
      </c>
      <c r="AD2233" s="6">
        <v>2713.0</v>
      </c>
    </row>
    <row r="2234" ht="56.25" customHeight="1">
      <c r="A2234" s="5" t="s">
        <v>10800</v>
      </c>
      <c r="B2234" s="6" t="str">
        <f>IMAGE("https://storage.googleapis.com/acdb/housewares/FtrRefrigerator_Remake_7_3.png")</f>
        <v/>
      </c>
      <c r="C2234" s="5" t="s">
        <v>146</v>
      </c>
      <c r="D2234" s="5" t="s">
        <v>34</v>
      </c>
      <c r="E2234" s="5" t="s">
        <v>1006</v>
      </c>
      <c r="F2234" s="5" t="s">
        <v>3454</v>
      </c>
      <c r="G2234" s="5" t="s">
        <v>36</v>
      </c>
      <c r="H2234" s="5" t="s">
        <v>36</v>
      </c>
      <c r="I2234" s="5" t="s">
        <v>35</v>
      </c>
      <c r="J2234" s="6">
        <v>2.0</v>
      </c>
      <c r="K2234" s="6">
        <v>5100.0</v>
      </c>
      <c r="L2234" s="6">
        <v>1275.0</v>
      </c>
      <c r="M2234" s="26" t="s">
        <v>95</v>
      </c>
      <c r="N2234" s="26" t="s">
        <v>96</v>
      </c>
      <c r="O2234" s="6" t="s">
        <v>40</v>
      </c>
      <c r="P2234" s="5" t="s">
        <v>59</v>
      </c>
      <c r="Q2234" s="5" t="s">
        <v>122</v>
      </c>
      <c r="R2234" s="6" t="s">
        <v>42</v>
      </c>
      <c r="S2234" s="5" t="s">
        <v>159</v>
      </c>
      <c r="T2234" s="5" t="s">
        <v>62</v>
      </c>
      <c r="U2234" s="5" t="s">
        <v>44</v>
      </c>
      <c r="V2234" s="5" t="s">
        <v>44</v>
      </c>
      <c r="W2234" s="5" t="s">
        <v>35</v>
      </c>
      <c r="X2234" s="8" t="s">
        <v>182</v>
      </c>
      <c r="Y2234" s="5" t="s">
        <v>46</v>
      </c>
      <c r="Z2234" s="5" t="s">
        <v>47</v>
      </c>
      <c r="AA2234" s="5" t="s">
        <v>64</v>
      </c>
      <c r="AB2234" s="5" t="s">
        <v>10967</v>
      </c>
      <c r="AC2234" s="6" t="s">
        <v>1906</v>
      </c>
      <c r="AD2234" s="6">
        <v>2713.0</v>
      </c>
    </row>
    <row r="2235" ht="56.25" customHeight="1">
      <c r="A2235" s="5" t="s">
        <v>10800</v>
      </c>
      <c r="B2235" s="6" t="str">
        <f>IMAGE("https://storage.googleapis.com/acdb/housewares/FtrRefrigerator_Remake_7_4.png")</f>
        <v/>
      </c>
      <c r="C2235" s="5" t="s">
        <v>146</v>
      </c>
      <c r="D2235" s="5" t="s">
        <v>34</v>
      </c>
      <c r="E2235" s="5" t="s">
        <v>10821</v>
      </c>
      <c r="F2235" s="5" t="s">
        <v>3454</v>
      </c>
      <c r="G2235" s="5" t="s">
        <v>36</v>
      </c>
      <c r="H2235" s="5" t="s">
        <v>36</v>
      </c>
      <c r="I2235" s="5" t="s">
        <v>35</v>
      </c>
      <c r="J2235" s="6">
        <v>2.0</v>
      </c>
      <c r="K2235" s="6">
        <v>5100.0</v>
      </c>
      <c r="L2235" s="6">
        <v>1275.0</v>
      </c>
      <c r="M2235" s="26" t="s">
        <v>95</v>
      </c>
      <c r="N2235" s="26" t="s">
        <v>58</v>
      </c>
      <c r="O2235" s="6" t="s">
        <v>40</v>
      </c>
      <c r="P2235" s="5" t="s">
        <v>59</v>
      </c>
      <c r="Q2235" s="5" t="s">
        <v>122</v>
      </c>
      <c r="R2235" s="6" t="s">
        <v>42</v>
      </c>
      <c r="S2235" s="5" t="s">
        <v>159</v>
      </c>
      <c r="T2235" s="5" t="s">
        <v>62</v>
      </c>
      <c r="U2235" s="5" t="s">
        <v>44</v>
      </c>
      <c r="V2235" s="5" t="s">
        <v>44</v>
      </c>
      <c r="W2235" s="5" t="s">
        <v>35</v>
      </c>
      <c r="X2235" s="8" t="s">
        <v>182</v>
      </c>
      <c r="Y2235" s="5" t="s">
        <v>46</v>
      </c>
      <c r="Z2235" s="5" t="s">
        <v>47</v>
      </c>
      <c r="AA2235" s="5" t="s">
        <v>64</v>
      </c>
      <c r="AB2235" s="5" t="s">
        <v>10972</v>
      </c>
      <c r="AC2235" s="6" t="s">
        <v>1910</v>
      </c>
      <c r="AD2235" s="6">
        <v>2713.0</v>
      </c>
    </row>
    <row r="2236" ht="56.25" customHeight="1">
      <c r="A2236" s="5" t="s">
        <v>10973</v>
      </c>
      <c r="B2236" s="6" t="str">
        <f>IMAGE("https://storage.googleapis.com/acdb/housewares/FtrFanRetro_Remake_0_0.png")</f>
        <v/>
      </c>
      <c r="C2236" s="5" t="s">
        <v>68</v>
      </c>
      <c r="D2236" s="5" t="s">
        <v>34</v>
      </c>
      <c r="E2236" s="5" t="s">
        <v>34</v>
      </c>
      <c r="F2236" s="5" t="s">
        <v>34</v>
      </c>
      <c r="G2236" s="5" t="s">
        <v>36</v>
      </c>
      <c r="H2236" s="5" t="s">
        <v>36</v>
      </c>
      <c r="I2236" s="5" t="s">
        <v>36</v>
      </c>
      <c r="J2236" s="6" t="s">
        <v>34</v>
      </c>
      <c r="K2236" s="6">
        <v>2100.0</v>
      </c>
      <c r="L2236" s="6">
        <v>525.0</v>
      </c>
      <c r="M2236" s="26" t="s">
        <v>68</v>
      </c>
      <c r="N2236" s="26" t="s">
        <v>57</v>
      </c>
      <c r="O2236" s="6" t="s">
        <v>40</v>
      </c>
      <c r="P2236" s="5" t="s">
        <v>59</v>
      </c>
      <c r="Q2236" s="5" t="s">
        <v>10976</v>
      </c>
      <c r="R2236" s="6" t="s">
        <v>42</v>
      </c>
      <c r="S2236" s="5" t="s">
        <v>90</v>
      </c>
      <c r="T2236" s="5" t="s">
        <v>44</v>
      </c>
      <c r="U2236" s="5" t="s">
        <v>44</v>
      </c>
      <c r="V2236" s="5" t="s">
        <v>44</v>
      </c>
      <c r="W2236" s="5" t="s">
        <v>35</v>
      </c>
      <c r="X2236" s="8" t="s">
        <v>92</v>
      </c>
      <c r="Y2236" s="5" t="s">
        <v>46</v>
      </c>
      <c r="Z2236" s="5" t="s">
        <v>47</v>
      </c>
      <c r="AA2236" s="5" t="s">
        <v>64</v>
      </c>
      <c r="AB2236" s="5" t="s">
        <v>10977</v>
      </c>
      <c r="AC2236" s="6" t="s">
        <v>50</v>
      </c>
      <c r="AD2236" s="6">
        <v>2736.0</v>
      </c>
    </row>
    <row r="2237" ht="56.25" customHeight="1">
      <c r="A2237" s="5" t="s">
        <v>10973</v>
      </c>
      <c r="B2237" s="6" t="str">
        <f>IMAGE("https://storage.googleapis.com/acdb/housewares/FtrFanRetro_Remake_1_0.png")</f>
        <v/>
      </c>
      <c r="C2237" s="5" t="s">
        <v>96</v>
      </c>
      <c r="D2237" s="5" t="s">
        <v>34</v>
      </c>
      <c r="E2237" s="5" t="s">
        <v>34</v>
      </c>
      <c r="F2237" s="5" t="s">
        <v>34</v>
      </c>
      <c r="G2237" s="5" t="s">
        <v>36</v>
      </c>
      <c r="H2237" s="5" t="s">
        <v>36</v>
      </c>
      <c r="I2237" s="5" t="s">
        <v>36</v>
      </c>
      <c r="J2237" s="6" t="s">
        <v>34</v>
      </c>
      <c r="K2237" s="6">
        <v>2100.0</v>
      </c>
      <c r="L2237" s="6">
        <v>525.0</v>
      </c>
      <c r="M2237" s="5" t="s">
        <v>96</v>
      </c>
      <c r="N2237" s="26" t="s">
        <v>57</v>
      </c>
      <c r="O2237" s="6" t="s">
        <v>40</v>
      </c>
      <c r="P2237" s="5" t="s">
        <v>59</v>
      </c>
      <c r="Q2237" s="5" t="s">
        <v>10976</v>
      </c>
      <c r="R2237" s="6" t="s">
        <v>42</v>
      </c>
      <c r="S2237" s="5" t="s">
        <v>90</v>
      </c>
      <c r="T2237" s="5" t="s">
        <v>44</v>
      </c>
      <c r="U2237" s="5" t="s">
        <v>44</v>
      </c>
      <c r="V2237" s="5" t="s">
        <v>44</v>
      </c>
      <c r="W2237" s="5" t="s">
        <v>35</v>
      </c>
      <c r="X2237" s="8" t="s">
        <v>92</v>
      </c>
      <c r="Y2237" s="5" t="s">
        <v>46</v>
      </c>
      <c r="Z2237" s="5" t="s">
        <v>47</v>
      </c>
      <c r="AA2237" s="5" t="s">
        <v>64</v>
      </c>
      <c r="AB2237" s="5" t="s">
        <v>10981</v>
      </c>
      <c r="AC2237" s="6" t="s">
        <v>56</v>
      </c>
      <c r="AD2237" s="6">
        <v>2736.0</v>
      </c>
    </row>
    <row r="2238" ht="56.25" customHeight="1">
      <c r="A2238" s="5" t="s">
        <v>10973</v>
      </c>
      <c r="B2238" s="6" t="str">
        <f>IMAGE("https://storage.googleapis.com/acdb/housewares/FtrFanRetro_Remake_2_0.png")</f>
        <v/>
      </c>
      <c r="C2238" s="5" t="s">
        <v>142</v>
      </c>
      <c r="D2238" s="5" t="s">
        <v>34</v>
      </c>
      <c r="E2238" s="5" t="s">
        <v>34</v>
      </c>
      <c r="F2238" s="5" t="s">
        <v>34</v>
      </c>
      <c r="G2238" s="5" t="s">
        <v>36</v>
      </c>
      <c r="H2238" s="5" t="s">
        <v>36</v>
      </c>
      <c r="I2238" s="5" t="s">
        <v>36</v>
      </c>
      <c r="J2238" s="6" t="s">
        <v>34</v>
      </c>
      <c r="K2238" s="6">
        <v>2100.0</v>
      </c>
      <c r="L2238" s="6">
        <v>525.0</v>
      </c>
      <c r="M2238" s="5" t="s">
        <v>142</v>
      </c>
      <c r="N2238" s="26" t="s">
        <v>57</v>
      </c>
      <c r="O2238" s="6" t="s">
        <v>40</v>
      </c>
      <c r="P2238" s="5" t="s">
        <v>59</v>
      </c>
      <c r="Q2238" s="5" t="s">
        <v>10976</v>
      </c>
      <c r="R2238" s="6" t="s">
        <v>42</v>
      </c>
      <c r="S2238" s="5" t="s">
        <v>90</v>
      </c>
      <c r="T2238" s="5" t="s">
        <v>44</v>
      </c>
      <c r="U2238" s="5" t="s">
        <v>44</v>
      </c>
      <c r="V2238" s="5" t="s">
        <v>44</v>
      </c>
      <c r="W2238" s="5" t="s">
        <v>35</v>
      </c>
      <c r="X2238" s="8" t="s">
        <v>92</v>
      </c>
      <c r="Y2238" s="5" t="s">
        <v>46</v>
      </c>
      <c r="Z2238" s="5" t="s">
        <v>47</v>
      </c>
      <c r="AA2238" s="5" t="s">
        <v>64</v>
      </c>
      <c r="AB2238" s="5" t="s">
        <v>10985</v>
      </c>
      <c r="AC2238" s="6" t="s">
        <v>67</v>
      </c>
      <c r="AD2238" s="6">
        <v>2736.0</v>
      </c>
    </row>
    <row r="2239" ht="56.25" customHeight="1">
      <c r="A2239" s="5" t="s">
        <v>10987</v>
      </c>
      <c r="B2239" s="6" t="str">
        <f>IMAGE("https://storage.googleapis.com/acdb/housewares/FtrAmeretroGasstand_Remake_0_0.png")</f>
        <v/>
      </c>
      <c r="C2239" s="5" t="s">
        <v>52</v>
      </c>
      <c r="D2239" s="5" t="s">
        <v>34</v>
      </c>
      <c r="E2239" s="5" t="s">
        <v>10988</v>
      </c>
      <c r="F2239" s="5" t="s">
        <v>467</v>
      </c>
      <c r="G2239" s="5" t="s">
        <v>36</v>
      </c>
      <c r="H2239" s="5" t="s">
        <v>36</v>
      </c>
      <c r="I2239" s="5" t="s">
        <v>35</v>
      </c>
      <c r="J2239" s="6">
        <v>1.0</v>
      </c>
      <c r="K2239" s="6">
        <v>2700.0</v>
      </c>
      <c r="L2239" s="6">
        <v>675.0</v>
      </c>
      <c r="M2239" s="26" t="s">
        <v>52</v>
      </c>
      <c r="N2239" s="26" t="s">
        <v>52</v>
      </c>
      <c r="O2239" s="6" t="s">
        <v>40</v>
      </c>
      <c r="P2239" s="5" t="s">
        <v>59</v>
      </c>
      <c r="Q2239" s="5" t="s">
        <v>89</v>
      </c>
      <c r="R2239" s="6" t="s">
        <v>42</v>
      </c>
      <c r="S2239" s="5" t="s">
        <v>172</v>
      </c>
      <c r="T2239" s="5" t="s">
        <v>62</v>
      </c>
      <c r="U2239" s="5" t="s">
        <v>780</v>
      </c>
      <c r="V2239" s="5" t="s">
        <v>44</v>
      </c>
      <c r="W2239" s="5" t="s">
        <v>35</v>
      </c>
      <c r="X2239" s="8" t="s">
        <v>173</v>
      </c>
      <c r="Y2239" s="5" t="s">
        <v>46</v>
      </c>
      <c r="Z2239" s="5" t="s">
        <v>47</v>
      </c>
      <c r="AA2239" s="5" t="s">
        <v>64</v>
      </c>
      <c r="AB2239" s="5" t="s">
        <v>10992</v>
      </c>
      <c r="AC2239" s="6" t="s">
        <v>50</v>
      </c>
      <c r="AD2239" s="6">
        <v>4140.0</v>
      </c>
    </row>
    <row r="2240" ht="56.25" customHeight="1">
      <c r="A2240" s="5" t="s">
        <v>10987</v>
      </c>
      <c r="B2240" s="6" t="str">
        <f>IMAGE("https://storage.googleapis.com/acdb/housewares/FtrAmeretroGasstand_Remake_0_1.png")</f>
        <v/>
      </c>
      <c r="C2240" s="5" t="s">
        <v>52</v>
      </c>
      <c r="D2240" s="5" t="s">
        <v>34</v>
      </c>
      <c r="E2240" s="5" t="s">
        <v>10993</v>
      </c>
      <c r="F2240" s="5" t="s">
        <v>467</v>
      </c>
      <c r="G2240" s="5" t="s">
        <v>36</v>
      </c>
      <c r="H2240" s="5" t="s">
        <v>36</v>
      </c>
      <c r="I2240" s="5" t="s">
        <v>35</v>
      </c>
      <c r="J2240" s="6">
        <v>1.0</v>
      </c>
      <c r="K2240" s="6">
        <v>2700.0</v>
      </c>
      <c r="L2240" s="6">
        <v>675.0</v>
      </c>
      <c r="M2240" s="26" t="s">
        <v>52</v>
      </c>
      <c r="N2240" s="26" t="s">
        <v>96</v>
      </c>
      <c r="O2240" s="6" t="s">
        <v>40</v>
      </c>
      <c r="P2240" s="5" t="s">
        <v>59</v>
      </c>
      <c r="Q2240" s="5" t="s">
        <v>89</v>
      </c>
      <c r="R2240" s="6" t="s">
        <v>42</v>
      </c>
      <c r="S2240" s="5" t="s">
        <v>172</v>
      </c>
      <c r="T2240" s="5" t="s">
        <v>62</v>
      </c>
      <c r="U2240" s="5" t="s">
        <v>780</v>
      </c>
      <c r="V2240" s="5" t="s">
        <v>44</v>
      </c>
      <c r="W2240" s="5" t="s">
        <v>35</v>
      </c>
      <c r="X2240" s="8" t="s">
        <v>173</v>
      </c>
      <c r="Y2240" s="5" t="s">
        <v>46</v>
      </c>
      <c r="Z2240" s="5" t="s">
        <v>47</v>
      </c>
      <c r="AA2240" s="5" t="s">
        <v>64</v>
      </c>
      <c r="AB2240" s="5" t="s">
        <v>10996</v>
      </c>
      <c r="AC2240" s="6" t="s">
        <v>217</v>
      </c>
      <c r="AD2240" s="6">
        <v>4140.0</v>
      </c>
    </row>
    <row r="2241" ht="56.25" customHeight="1">
      <c r="A2241" s="5" t="s">
        <v>10987</v>
      </c>
      <c r="B2241" s="6" t="str">
        <f>IMAGE("https://storage.googleapis.com/acdb/housewares/FtrAmeretroGasstand_Remake_0_2.png")</f>
        <v/>
      </c>
      <c r="C2241" s="5" t="s">
        <v>52</v>
      </c>
      <c r="D2241" s="5" t="s">
        <v>34</v>
      </c>
      <c r="E2241" s="5" t="s">
        <v>10997</v>
      </c>
      <c r="F2241" s="5" t="s">
        <v>467</v>
      </c>
      <c r="G2241" s="5" t="s">
        <v>36</v>
      </c>
      <c r="H2241" s="5" t="s">
        <v>36</v>
      </c>
      <c r="I2241" s="5" t="s">
        <v>35</v>
      </c>
      <c r="J2241" s="6">
        <v>1.0</v>
      </c>
      <c r="K2241" s="6">
        <v>2700.0</v>
      </c>
      <c r="L2241" s="6">
        <v>675.0</v>
      </c>
      <c r="M2241" s="26" t="s">
        <v>52</v>
      </c>
      <c r="N2241" s="26" t="s">
        <v>114</v>
      </c>
      <c r="O2241" s="6" t="s">
        <v>40</v>
      </c>
      <c r="P2241" s="5" t="s">
        <v>59</v>
      </c>
      <c r="Q2241" s="5" t="s">
        <v>89</v>
      </c>
      <c r="R2241" s="6" t="s">
        <v>42</v>
      </c>
      <c r="S2241" s="5" t="s">
        <v>172</v>
      </c>
      <c r="T2241" s="5" t="s">
        <v>62</v>
      </c>
      <c r="U2241" s="5" t="s">
        <v>780</v>
      </c>
      <c r="V2241" s="5" t="s">
        <v>44</v>
      </c>
      <c r="W2241" s="5" t="s">
        <v>35</v>
      </c>
      <c r="X2241" s="8" t="s">
        <v>173</v>
      </c>
      <c r="Y2241" s="5" t="s">
        <v>46</v>
      </c>
      <c r="Z2241" s="5" t="s">
        <v>47</v>
      </c>
      <c r="AA2241" s="5" t="s">
        <v>64</v>
      </c>
      <c r="AB2241" s="5" t="s">
        <v>11000</v>
      </c>
      <c r="AC2241" s="6" t="s">
        <v>347</v>
      </c>
      <c r="AD2241" s="6">
        <v>4140.0</v>
      </c>
    </row>
    <row r="2242" ht="56.25" customHeight="1">
      <c r="A2242" s="5" t="s">
        <v>10987</v>
      </c>
      <c r="B2242" s="6" t="str">
        <f>IMAGE("https://storage.googleapis.com/acdb/housewares/FtrAmeretroGasstand_Remake_1_0.png")</f>
        <v/>
      </c>
      <c r="C2242" s="5" t="s">
        <v>96</v>
      </c>
      <c r="D2242" s="5" t="s">
        <v>34</v>
      </c>
      <c r="E2242" s="5" t="s">
        <v>10988</v>
      </c>
      <c r="F2242" s="5" t="s">
        <v>467</v>
      </c>
      <c r="G2242" s="5" t="s">
        <v>36</v>
      </c>
      <c r="H2242" s="5" t="s">
        <v>36</v>
      </c>
      <c r="I2242" s="5" t="s">
        <v>35</v>
      </c>
      <c r="J2242" s="6">
        <v>1.0</v>
      </c>
      <c r="K2242" s="6">
        <v>2700.0</v>
      </c>
      <c r="L2242" s="6">
        <v>675.0</v>
      </c>
      <c r="M2242" s="26" t="s">
        <v>96</v>
      </c>
      <c r="N2242" s="26" t="s">
        <v>52</v>
      </c>
      <c r="O2242" s="6" t="s">
        <v>40</v>
      </c>
      <c r="P2242" s="5" t="s">
        <v>59</v>
      </c>
      <c r="Q2242" s="5" t="s">
        <v>89</v>
      </c>
      <c r="R2242" s="6" t="s">
        <v>42</v>
      </c>
      <c r="S2242" s="5" t="s">
        <v>172</v>
      </c>
      <c r="T2242" s="5" t="s">
        <v>62</v>
      </c>
      <c r="U2242" s="5" t="s">
        <v>780</v>
      </c>
      <c r="V2242" s="5" t="s">
        <v>44</v>
      </c>
      <c r="W2242" s="5" t="s">
        <v>35</v>
      </c>
      <c r="X2242" s="8" t="s">
        <v>173</v>
      </c>
      <c r="Y2242" s="5" t="s">
        <v>46</v>
      </c>
      <c r="Z2242" s="5" t="s">
        <v>47</v>
      </c>
      <c r="AA2242" s="5" t="s">
        <v>64</v>
      </c>
      <c r="AB2242" s="5" t="s">
        <v>11004</v>
      </c>
      <c r="AC2242" s="6" t="s">
        <v>56</v>
      </c>
      <c r="AD2242" s="6">
        <v>4140.0</v>
      </c>
    </row>
    <row r="2243" ht="56.25" customHeight="1">
      <c r="A2243" s="5" t="s">
        <v>10987</v>
      </c>
      <c r="B2243" s="6" t="str">
        <f>IMAGE("https://storage.googleapis.com/acdb/housewares/FtrAmeretroGasstand_Remake_1_1.png")</f>
        <v/>
      </c>
      <c r="C2243" s="5" t="s">
        <v>96</v>
      </c>
      <c r="D2243" s="5" t="s">
        <v>34</v>
      </c>
      <c r="E2243" s="5" t="s">
        <v>10993</v>
      </c>
      <c r="F2243" s="5" t="s">
        <v>467</v>
      </c>
      <c r="G2243" s="5" t="s">
        <v>36</v>
      </c>
      <c r="H2243" s="5" t="s">
        <v>36</v>
      </c>
      <c r="I2243" s="5" t="s">
        <v>35</v>
      </c>
      <c r="J2243" s="6">
        <v>1.0</v>
      </c>
      <c r="K2243" s="6">
        <v>2700.0</v>
      </c>
      <c r="L2243" s="6">
        <v>675.0</v>
      </c>
      <c r="M2243" s="26" t="s">
        <v>96</v>
      </c>
      <c r="N2243" s="26" t="s">
        <v>96</v>
      </c>
      <c r="O2243" s="6" t="s">
        <v>40</v>
      </c>
      <c r="P2243" s="5" t="s">
        <v>59</v>
      </c>
      <c r="Q2243" s="5" t="s">
        <v>89</v>
      </c>
      <c r="R2243" s="6" t="s">
        <v>42</v>
      </c>
      <c r="S2243" s="5" t="s">
        <v>172</v>
      </c>
      <c r="T2243" s="5" t="s">
        <v>62</v>
      </c>
      <c r="U2243" s="5" t="s">
        <v>780</v>
      </c>
      <c r="V2243" s="5" t="s">
        <v>44</v>
      </c>
      <c r="W2243" s="5" t="s">
        <v>35</v>
      </c>
      <c r="X2243" s="8" t="s">
        <v>173</v>
      </c>
      <c r="Y2243" s="5" t="s">
        <v>46</v>
      </c>
      <c r="Z2243" s="5" t="s">
        <v>47</v>
      </c>
      <c r="AA2243" s="5" t="s">
        <v>64</v>
      </c>
      <c r="AB2243" s="5" t="s">
        <v>11007</v>
      </c>
      <c r="AC2243" s="6" t="s">
        <v>234</v>
      </c>
      <c r="AD2243" s="6">
        <v>4140.0</v>
      </c>
    </row>
    <row r="2244" ht="56.25" customHeight="1">
      <c r="A2244" s="5" t="s">
        <v>10987</v>
      </c>
      <c r="B2244" s="6" t="str">
        <f>IMAGE("https://storage.googleapis.com/acdb/housewares/FtrAmeretroGasstand_Remake_1_2.png")</f>
        <v/>
      </c>
      <c r="C2244" s="5" t="s">
        <v>96</v>
      </c>
      <c r="D2244" s="5" t="s">
        <v>34</v>
      </c>
      <c r="E2244" s="5" t="s">
        <v>10997</v>
      </c>
      <c r="F2244" s="5" t="s">
        <v>467</v>
      </c>
      <c r="G2244" s="5" t="s">
        <v>36</v>
      </c>
      <c r="H2244" s="5" t="s">
        <v>36</v>
      </c>
      <c r="I2244" s="5" t="s">
        <v>35</v>
      </c>
      <c r="J2244" s="6">
        <v>1.0</v>
      </c>
      <c r="K2244" s="6">
        <v>2700.0</v>
      </c>
      <c r="L2244" s="6">
        <v>675.0</v>
      </c>
      <c r="M2244" s="26" t="s">
        <v>96</v>
      </c>
      <c r="N2244" s="26" t="s">
        <v>114</v>
      </c>
      <c r="O2244" s="6" t="s">
        <v>40</v>
      </c>
      <c r="P2244" s="5" t="s">
        <v>59</v>
      </c>
      <c r="Q2244" s="5" t="s">
        <v>89</v>
      </c>
      <c r="R2244" s="6" t="s">
        <v>42</v>
      </c>
      <c r="S2244" s="5" t="s">
        <v>172</v>
      </c>
      <c r="T2244" s="5" t="s">
        <v>62</v>
      </c>
      <c r="U2244" s="5" t="s">
        <v>780</v>
      </c>
      <c r="V2244" s="5" t="s">
        <v>44</v>
      </c>
      <c r="W2244" s="5" t="s">
        <v>35</v>
      </c>
      <c r="X2244" s="8" t="s">
        <v>173</v>
      </c>
      <c r="Y2244" s="5" t="s">
        <v>46</v>
      </c>
      <c r="Z2244" s="5" t="s">
        <v>47</v>
      </c>
      <c r="AA2244" s="5" t="s">
        <v>64</v>
      </c>
      <c r="AB2244" s="5" t="s">
        <v>11011</v>
      </c>
      <c r="AC2244" s="6" t="s">
        <v>370</v>
      </c>
      <c r="AD2244" s="6">
        <v>4140.0</v>
      </c>
    </row>
    <row r="2245" ht="56.25" customHeight="1">
      <c r="A2245" s="5" t="s">
        <v>10987</v>
      </c>
      <c r="B2245" s="6" t="str">
        <f>IMAGE("https://storage.googleapis.com/acdb/housewares/FtrAmeretroGasstand_Remake_2_0.png")</f>
        <v/>
      </c>
      <c r="C2245" s="5" t="s">
        <v>114</v>
      </c>
      <c r="D2245" s="5" t="s">
        <v>34</v>
      </c>
      <c r="E2245" s="5" t="s">
        <v>10988</v>
      </c>
      <c r="F2245" s="5" t="s">
        <v>467</v>
      </c>
      <c r="G2245" s="5" t="s">
        <v>36</v>
      </c>
      <c r="H2245" s="5" t="s">
        <v>36</v>
      </c>
      <c r="I2245" s="5" t="s">
        <v>35</v>
      </c>
      <c r="J2245" s="6">
        <v>1.0</v>
      </c>
      <c r="K2245" s="6">
        <v>2700.0</v>
      </c>
      <c r="L2245" s="6">
        <v>675.0</v>
      </c>
      <c r="M2245" s="26" t="s">
        <v>114</v>
      </c>
      <c r="N2245" s="26" t="s">
        <v>52</v>
      </c>
      <c r="O2245" s="6" t="s">
        <v>40</v>
      </c>
      <c r="P2245" s="5" t="s">
        <v>59</v>
      </c>
      <c r="Q2245" s="5" t="s">
        <v>89</v>
      </c>
      <c r="R2245" s="6" t="s">
        <v>42</v>
      </c>
      <c r="S2245" s="5" t="s">
        <v>172</v>
      </c>
      <c r="T2245" s="5" t="s">
        <v>62</v>
      </c>
      <c r="U2245" s="5" t="s">
        <v>780</v>
      </c>
      <c r="V2245" s="5" t="s">
        <v>44</v>
      </c>
      <c r="W2245" s="5" t="s">
        <v>35</v>
      </c>
      <c r="X2245" s="8" t="s">
        <v>173</v>
      </c>
      <c r="Y2245" s="5" t="s">
        <v>46</v>
      </c>
      <c r="Z2245" s="5" t="s">
        <v>47</v>
      </c>
      <c r="AA2245" s="5" t="s">
        <v>64</v>
      </c>
      <c r="AB2245" s="5" t="s">
        <v>11014</v>
      </c>
      <c r="AC2245" s="6" t="s">
        <v>67</v>
      </c>
      <c r="AD2245" s="6">
        <v>4140.0</v>
      </c>
    </row>
    <row r="2246" ht="56.25" customHeight="1">
      <c r="A2246" s="5" t="s">
        <v>10987</v>
      </c>
      <c r="B2246" s="6" t="str">
        <f>IMAGE("https://storage.googleapis.com/acdb/housewares/FtrAmeretroGasstand_Remake_2_1.png")</f>
        <v/>
      </c>
      <c r="C2246" s="5" t="s">
        <v>114</v>
      </c>
      <c r="D2246" s="5" t="s">
        <v>34</v>
      </c>
      <c r="E2246" s="5" t="s">
        <v>10993</v>
      </c>
      <c r="F2246" s="5" t="s">
        <v>467</v>
      </c>
      <c r="G2246" s="5" t="s">
        <v>36</v>
      </c>
      <c r="H2246" s="5" t="s">
        <v>36</v>
      </c>
      <c r="I2246" s="5" t="s">
        <v>35</v>
      </c>
      <c r="J2246" s="6">
        <v>1.0</v>
      </c>
      <c r="K2246" s="6">
        <v>2700.0</v>
      </c>
      <c r="L2246" s="6">
        <v>675.0</v>
      </c>
      <c r="M2246" s="26" t="s">
        <v>114</v>
      </c>
      <c r="N2246" s="26" t="s">
        <v>96</v>
      </c>
      <c r="O2246" s="6" t="s">
        <v>40</v>
      </c>
      <c r="P2246" s="5" t="s">
        <v>59</v>
      </c>
      <c r="Q2246" s="5" t="s">
        <v>89</v>
      </c>
      <c r="R2246" s="6" t="s">
        <v>42</v>
      </c>
      <c r="S2246" s="5" t="s">
        <v>172</v>
      </c>
      <c r="T2246" s="5" t="s">
        <v>62</v>
      </c>
      <c r="U2246" s="5" t="s">
        <v>780</v>
      </c>
      <c r="V2246" s="5" t="s">
        <v>44</v>
      </c>
      <c r="W2246" s="5" t="s">
        <v>35</v>
      </c>
      <c r="X2246" s="8" t="s">
        <v>173</v>
      </c>
      <c r="Y2246" s="5" t="s">
        <v>46</v>
      </c>
      <c r="Z2246" s="5" t="s">
        <v>47</v>
      </c>
      <c r="AA2246" s="5" t="s">
        <v>64</v>
      </c>
      <c r="AB2246" s="5" t="s">
        <v>11017</v>
      </c>
      <c r="AC2246" s="6" t="s">
        <v>247</v>
      </c>
      <c r="AD2246" s="6">
        <v>4140.0</v>
      </c>
    </row>
    <row r="2247" ht="56.25" customHeight="1">
      <c r="A2247" s="5" t="s">
        <v>10987</v>
      </c>
      <c r="B2247" s="6" t="str">
        <f>IMAGE("https://storage.googleapis.com/acdb/housewares/FtrAmeretroGasstand_Remake_2_2.png")</f>
        <v/>
      </c>
      <c r="C2247" s="5" t="s">
        <v>114</v>
      </c>
      <c r="D2247" s="5" t="s">
        <v>34</v>
      </c>
      <c r="E2247" s="5" t="s">
        <v>10997</v>
      </c>
      <c r="F2247" s="5" t="s">
        <v>467</v>
      </c>
      <c r="G2247" s="5" t="s">
        <v>36</v>
      </c>
      <c r="H2247" s="5" t="s">
        <v>36</v>
      </c>
      <c r="I2247" s="5" t="s">
        <v>35</v>
      </c>
      <c r="J2247" s="6">
        <v>1.0</v>
      </c>
      <c r="K2247" s="6">
        <v>2700.0</v>
      </c>
      <c r="L2247" s="6">
        <v>675.0</v>
      </c>
      <c r="M2247" s="26" t="s">
        <v>114</v>
      </c>
      <c r="N2247" s="26" t="s">
        <v>114</v>
      </c>
      <c r="O2247" s="6" t="s">
        <v>40</v>
      </c>
      <c r="P2247" s="5" t="s">
        <v>59</v>
      </c>
      <c r="Q2247" s="5" t="s">
        <v>89</v>
      </c>
      <c r="R2247" s="6" t="s">
        <v>42</v>
      </c>
      <c r="S2247" s="5" t="s">
        <v>172</v>
      </c>
      <c r="T2247" s="5" t="s">
        <v>62</v>
      </c>
      <c r="U2247" s="5" t="s">
        <v>780</v>
      </c>
      <c r="V2247" s="5" t="s">
        <v>44</v>
      </c>
      <c r="W2247" s="5" t="s">
        <v>35</v>
      </c>
      <c r="X2247" s="8" t="s">
        <v>173</v>
      </c>
      <c r="Y2247" s="5" t="s">
        <v>46</v>
      </c>
      <c r="Z2247" s="5" t="s">
        <v>47</v>
      </c>
      <c r="AA2247" s="5" t="s">
        <v>64</v>
      </c>
      <c r="AB2247" s="5" t="s">
        <v>11022</v>
      </c>
      <c r="AC2247" s="6" t="s">
        <v>390</v>
      </c>
      <c r="AD2247" s="6">
        <v>4140.0</v>
      </c>
    </row>
    <row r="2248" ht="56.25" customHeight="1">
      <c r="A2248" s="5" t="s">
        <v>10987</v>
      </c>
      <c r="B2248" s="6" t="str">
        <f>IMAGE("https://storage.googleapis.com/acdb/housewares/FtrAmeretroGasstand_Remake_3_0.png")</f>
        <v/>
      </c>
      <c r="C2248" s="5" t="s">
        <v>57</v>
      </c>
      <c r="D2248" s="5" t="s">
        <v>34</v>
      </c>
      <c r="E2248" s="5" t="s">
        <v>10988</v>
      </c>
      <c r="F2248" s="5" t="s">
        <v>467</v>
      </c>
      <c r="G2248" s="5" t="s">
        <v>36</v>
      </c>
      <c r="H2248" s="5" t="s">
        <v>36</v>
      </c>
      <c r="I2248" s="5" t="s">
        <v>35</v>
      </c>
      <c r="J2248" s="6">
        <v>1.0</v>
      </c>
      <c r="K2248" s="6">
        <v>2700.0</v>
      </c>
      <c r="L2248" s="6">
        <v>675.0</v>
      </c>
      <c r="M2248" s="26" t="s">
        <v>57</v>
      </c>
      <c r="N2248" s="26" t="s">
        <v>52</v>
      </c>
      <c r="O2248" s="6" t="s">
        <v>40</v>
      </c>
      <c r="P2248" s="5" t="s">
        <v>59</v>
      </c>
      <c r="Q2248" s="5" t="s">
        <v>89</v>
      </c>
      <c r="R2248" s="6" t="s">
        <v>42</v>
      </c>
      <c r="S2248" s="5" t="s">
        <v>172</v>
      </c>
      <c r="T2248" s="5" t="s">
        <v>62</v>
      </c>
      <c r="U2248" s="5" t="s">
        <v>780</v>
      </c>
      <c r="V2248" s="5" t="s">
        <v>44</v>
      </c>
      <c r="W2248" s="5" t="s">
        <v>35</v>
      </c>
      <c r="X2248" s="8" t="s">
        <v>173</v>
      </c>
      <c r="Y2248" s="5" t="s">
        <v>46</v>
      </c>
      <c r="Z2248" s="5" t="s">
        <v>47</v>
      </c>
      <c r="AA2248" s="5" t="s">
        <v>64</v>
      </c>
      <c r="AB2248" s="5" t="s">
        <v>11025</v>
      </c>
      <c r="AC2248" s="6" t="s">
        <v>71</v>
      </c>
      <c r="AD2248" s="6">
        <v>4140.0</v>
      </c>
    </row>
    <row r="2249" ht="56.25" customHeight="1">
      <c r="A2249" s="5" t="s">
        <v>10987</v>
      </c>
      <c r="B2249" s="6" t="str">
        <f>IMAGE("https://storage.googleapis.com/acdb/housewares/FtrAmeretroGasstand_Remake_3_1.png")</f>
        <v/>
      </c>
      <c r="C2249" s="5" t="s">
        <v>57</v>
      </c>
      <c r="D2249" s="5" t="s">
        <v>34</v>
      </c>
      <c r="E2249" s="5" t="s">
        <v>10993</v>
      </c>
      <c r="F2249" s="5" t="s">
        <v>467</v>
      </c>
      <c r="G2249" s="5" t="s">
        <v>36</v>
      </c>
      <c r="H2249" s="5" t="s">
        <v>36</v>
      </c>
      <c r="I2249" s="5" t="s">
        <v>35</v>
      </c>
      <c r="J2249" s="6">
        <v>1.0</v>
      </c>
      <c r="K2249" s="6">
        <v>2700.0</v>
      </c>
      <c r="L2249" s="6">
        <v>675.0</v>
      </c>
      <c r="M2249" s="26" t="s">
        <v>57</v>
      </c>
      <c r="N2249" s="26" t="s">
        <v>96</v>
      </c>
      <c r="O2249" s="6" t="s">
        <v>40</v>
      </c>
      <c r="P2249" s="5" t="s">
        <v>59</v>
      </c>
      <c r="Q2249" s="5" t="s">
        <v>89</v>
      </c>
      <c r="R2249" s="6" t="s">
        <v>42</v>
      </c>
      <c r="S2249" s="5" t="s">
        <v>172</v>
      </c>
      <c r="T2249" s="5" t="s">
        <v>62</v>
      </c>
      <c r="U2249" s="5" t="s">
        <v>780</v>
      </c>
      <c r="V2249" s="5" t="s">
        <v>44</v>
      </c>
      <c r="W2249" s="5" t="s">
        <v>35</v>
      </c>
      <c r="X2249" s="8" t="s">
        <v>173</v>
      </c>
      <c r="Y2249" s="5" t="s">
        <v>46</v>
      </c>
      <c r="Z2249" s="5" t="s">
        <v>47</v>
      </c>
      <c r="AA2249" s="5" t="s">
        <v>64</v>
      </c>
      <c r="AB2249" s="5" t="s">
        <v>11031</v>
      </c>
      <c r="AC2249" s="6" t="s">
        <v>257</v>
      </c>
      <c r="AD2249" s="6">
        <v>4140.0</v>
      </c>
    </row>
    <row r="2250" ht="56.25" customHeight="1">
      <c r="A2250" s="5" t="s">
        <v>10987</v>
      </c>
      <c r="B2250" s="6" t="str">
        <f>IMAGE("https://storage.googleapis.com/acdb/housewares/FtrAmeretroGasstand_Remake_3_2.png")</f>
        <v/>
      </c>
      <c r="C2250" s="5" t="s">
        <v>57</v>
      </c>
      <c r="D2250" s="5" t="s">
        <v>34</v>
      </c>
      <c r="E2250" s="5" t="s">
        <v>10997</v>
      </c>
      <c r="F2250" s="5" t="s">
        <v>467</v>
      </c>
      <c r="G2250" s="5" t="s">
        <v>36</v>
      </c>
      <c r="H2250" s="5" t="s">
        <v>36</v>
      </c>
      <c r="I2250" s="5" t="s">
        <v>35</v>
      </c>
      <c r="J2250" s="6">
        <v>1.0</v>
      </c>
      <c r="K2250" s="6">
        <v>2700.0</v>
      </c>
      <c r="L2250" s="6">
        <v>675.0</v>
      </c>
      <c r="M2250" s="26" t="s">
        <v>57</v>
      </c>
      <c r="N2250" s="26" t="s">
        <v>114</v>
      </c>
      <c r="O2250" s="6" t="s">
        <v>40</v>
      </c>
      <c r="P2250" s="5" t="s">
        <v>59</v>
      </c>
      <c r="Q2250" s="5" t="s">
        <v>89</v>
      </c>
      <c r="R2250" s="6" t="s">
        <v>42</v>
      </c>
      <c r="S2250" s="5" t="s">
        <v>172</v>
      </c>
      <c r="T2250" s="5" t="s">
        <v>62</v>
      </c>
      <c r="U2250" s="5" t="s">
        <v>780</v>
      </c>
      <c r="V2250" s="5" t="s">
        <v>44</v>
      </c>
      <c r="W2250" s="5" t="s">
        <v>35</v>
      </c>
      <c r="X2250" s="8" t="s">
        <v>173</v>
      </c>
      <c r="Y2250" s="5" t="s">
        <v>46</v>
      </c>
      <c r="Z2250" s="5" t="s">
        <v>47</v>
      </c>
      <c r="AA2250" s="5" t="s">
        <v>64</v>
      </c>
      <c r="AB2250" s="5" t="s">
        <v>11035</v>
      </c>
      <c r="AC2250" s="6" t="s">
        <v>414</v>
      </c>
      <c r="AD2250" s="6">
        <v>4140.0</v>
      </c>
    </row>
    <row r="2251" ht="56.25" customHeight="1">
      <c r="A2251" s="5" t="s">
        <v>10987</v>
      </c>
      <c r="B2251" s="6" t="str">
        <f>IMAGE("https://storage.googleapis.com/acdb/housewares/FtrAmeretroGasstand_Remake_4_0.png")</f>
        <v/>
      </c>
      <c r="C2251" s="5" t="s">
        <v>54</v>
      </c>
      <c r="D2251" s="5" t="s">
        <v>34</v>
      </c>
      <c r="E2251" s="5" t="s">
        <v>10988</v>
      </c>
      <c r="F2251" s="5" t="s">
        <v>467</v>
      </c>
      <c r="G2251" s="5" t="s">
        <v>36</v>
      </c>
      <c r="H2251" s="5" t="s">
        <v>36</v>
      </c>
      <c r="I2251" s="5" t="s">
        <v>35</v>
      </c>
      <c r="J2251" s="6">
        <v>1.0</v>
      </c>
      <c r="K2251" s="6">
        <v>2700.0</v>
      </c>
      <c r="L2251" s="6">
        <v>675.0</v>
      </c>
      <c r="M2251" s="26" t="s">
        <v>54</v>
      </c>
      <c r="N2251" s="26" t="s">
        <v>52</v>
      </c>
      <c r="O2251" s="6" t="s">
        <v>40</v>
      </c>
      <c r="P2251" s="5" t="s">
        <v>59</v>
      </c>
      <c r="Q2251" s="5" t="s">
        <v>89</v>
      </c>
      <c r="R2251" s="6" t="s">
        <v>42</v>
      </c>
      <c r="S2251" s="5" t="s">
        <v>172</v>
      </c>
      <c r="T2251" s="5" t="s">
        <v>62</v>
      </c>
      <c r="U2251" s="5" t="s">
        <v>780</v>
      </c>
      <c r="V2251" s="5" t="s">
        <v>44</v>
      </c>
      <c r="W2251" s="5" t="s">
        <v>35</v>
      </c>
      <c r="X2251" s="8" t="s">
        <v>173</v>
      </c>
      <c r="Y2251" s="5" t="s">
        <v>46</v>
      </c>
      <c r="Z2251" s="5" t="s">
        <v>47</v>
      </c>
      <c r="AA2251" s="5" t="s">
        <v>64</v>
      </c>
      <c r="AB2251" s="5" t="s">
        <v>11040</v>
      </c>
      <c r="AC2251" s="6" t="s">
        <v>75</v>
      </c>
      <c r="AD2251" s="6">
        <v>4140.0</v>
      </c>
    </row>
    <row r="2252" ht="56.25" customHeight="1">
      <c r="A2252" s="5" t="s">
        <v>10987</v>
      </c>
      <c r="B2252" s="6" t="str">
        <f>IMAGE("https://storage.googleapis.com/acdb/housewares/FtrAmeretroGasstand_Remake_4_1.png")</f>
        <v/>
      </c>
      <c r="C2252" s="5" t="s">
        <v>54</v>
      </c>
      <c r="D2252" s="5" t="s">
        <v>34</v>
      </c>
      <c r="E2252" s="5" t="s">
        <v>10993</v>
      </c>
      <c r="F2252" s="5" t="s">
        <v>467</v>
      </c>
      <c r="G2252" s="5" t="s">
        <v>36</v>
      </c>
      <c r="H2252" s="5" t="s">
        <v>36</v>
      </c>
      <c r="I2252" s="5" t="s">
        <v>35</v>
      </c>
      <c r="J2252" s="6">
        <v>1.0</v>
      </c>
      <c r="K2252" s="6">
        <v>2700.0</v>
      </c>
      <c r="L2252" s="6">
        <v>675.0</v>
      </c>
      <c r="M2252" s="26" t="s">
        <v>54</v>
      </c>
      <c r="N2252" s="26" t="s">
        <v>96</v>
      </c>
      <c r="O2252" s="6" t="s">
        <v>40</v>
      </c>
      <c r="P2252" s="5" t="s">
        <v>59</v>
      </c>
      <c r="Q2252" s="5" t="s">
        <v>89</v>
      </c>
      <c r="R2252" s="6" t="s">
        <v>42</v>
      </c>
      <c r="S2252" s="5" t="s">
        <v>172</v>
      </c>
      <c r="T2252" s="5" t="s">
        <v>62</v>
      </c>
      <c r="U2252" s="5" t="s">
        <v>780</v>
      </c>
      <c r="V2252" s="5" t="s">
        <v>44</v>
      </c>
      <c r="W2252" s="5" t="s">
        <v>35</v>
      </c>
      <c r="X2252" s="8" t="s">
        <v>173</v>
      </c>
      <c r="Y2252" s="5" t="s">
        <v>46</v>
      </c>
      <c r="Z2252" s="5" t="s">
        <v>47</v>
      </c>
      <c r="AA2252" s="5" t="s">
        <v>64</v>
      </c>
      <c r="AB2252" s="5" t="s">
        <v>11043</v>
      </c>
      <c r="AC2252" s="6" t="s">
        <v>429</v>
      </c>
      <c r="AD2252" s="6">
        <v>4140.0</v>
      </c>
    </row>
    <row r="2253" ht="56.25" customHeight="1">
      <c r="A2253" s="5" t="s">
        <v>10987</v>
      </c>
      <c r="B2253" s="6" t="str">
        <f>IMAGE("https://storage.googleapis.com/acdb/housewares/FtrAmeretroGasstand_Remake_4_2.png")</f>
        <v/>
      </c>
      <c r="C2253" s="5" t="s">
        <v>54</v>
      </c>
      <c r="D2253" s="5" t="s">
        <v>34</v>
      </c>
      <c r="E2253" s="5" t="s">
        <v>10997</v>
      </c>
      <c r="F2253" s="5" t="s">
        <v>467</v>
      </c>
      <c r="G2253" s="5" t="s">
        <v>36</v>
      </c>
      <c r="H2253" s="5" t="s">
        <v>36</v>
      </c>
      <c r="I2253" s="5" t="s">
        <v>35</v>
      </c>
      <c r="J2253" s="6">
        <v>1.0</v>
      </c>
      <c r="K2253" s="6">
        <v>2700.0</v>
      </c>
      <c r="L2253" s="6">
        <v>675.0</v>
      </c>
      <c r="M2253" s="26" t="s">
        <v>54</v>
      </c>
      <c r="N2253" s="26" t="s">
        <v>114</v>
      </c>
      <c r="O2253" s="6" t="s">
        <v>40</v>
      </c>
      <c r="P2253" s="5" t="s">
        <v>59</v>
      </c>
      <c r="Q2253" s="5" t="s">
        <v>89</v>
      </c>
      <c r="R2253" s="6" t="s">
        <v>42</v>
      </c>
      <c r="S2253" s="5" t="s">
        <v>172</v>
      </c>
      <c r="T2253" s="5" t="s">
        <v>62</v>
      </c>
      <c r="U2253" s="5" t="s">
        <v>780</v>
      </c>
      <c r="V2253" s="5" t="s">
        <v>44</v>
      </c>
      <c r="W2253" s="5" t="s">
        <v>35</v>
      </c>
      <c r="X2253" s="8" t="s">
        <v>173</v>
      </c>
      <c r="Y2253" s="5" t="s">
        <v>46</v>
      </c>
      <c r="Z2253" s="5" t="s">
        <v>47</v>
      </c>
      <c r="AA2253" s="5" t="s">
        <v>64</v>
      </c>
      <c r="AB2253" s="5" t="s">
        <v>11046</v>
      </c>
      <c r="AC2253" s="6" t="s">
        <v>434</v>
      </c>
      <c r="AD2253" s="6">
        <v>4140.0</v>
      </c>
    </row>
    <row r="2254" ht="56.25" customHeight="1">
      <c r="A2254" s="5" t="s">
        <v>10987</v>
      </c>
      <c r="B2254" s="6" t="str">
        <f>IMAGE("https://storage.googleapis.com/acdb/housewares/FtrAmeretroGasstand_Remake_5_0.png")</f>
        <v/>
      </c>
      <c r="C2254" s="5" t="s">
        <v>164</v>
      </c>
      <c r="D2254" s="5" t="s">
        <v>34</v>
      </c>
      <c r="E2254" s="5" t="s">
        <v>10988</v>
      </c>
      <c r="F2254" s="5" t="s">
        <v>467</v>
      </c>
      <c r="G2254" s="5" t="s">
        <v>36</v>
      </c>
      <c r="H2254" s="5" t="s">
        <v>36</v>
      </c>
      <c r="I2254" s="5" t="s">
        <v>35</v>
      </c>
      <c r="J2254" s="6">
        <v>1.0</v>
      </c>
      <c r="K2254" s="6">
        <v>2700.0</v>
      </c>
      <c r="L2254" s="6">
        <v>675.0</v>
      </c>
      <c r="M2254" s="26" t="s">
        <v>39</v>
      </c>
      <c r="N2254" s="26" t="s">
        <v>52</v>
      </c>
      <c r="O2254" s="6" t="s">
        <v>40</v>
      </c>
      <c r="P2254" s="5" t="s">
        <v>59</v>
      </c>
      <c r="Q2254" s="5" t="s">
        <v>89</v>
      </c>
      <c r="R2254" s="6" t="s">
        <v>42</v>
      </c>
      <c r="S2254" s="5" t="s">
        <v>172</v>
      </c>
      <c r="T2254" s="5" t="s">
        <v>62</v>
      </c>
      <c r="U2254" s="5" t="s">
        <v>780</v>
      </c>
      <c r="V2254" s="5" t="s">
        <v>44</v>
      </c>
      <c r="W2254" s="5" t="s">
        <v>35</v>
      </c>
      <c r="X2254" s="8" t="s">
        <v>173</v>
      </c>
      <c r="Y2254" s="5" t="s">
        <v>46</v>
      </c>
      <c r="Z2254" s="5" t="s">
        <v>47</v>
      </c>
      <c r="AA2254" s="5" t="s">
        <v>64</v>
      </c>
      <c r="AB2254" s="5" t="s">
        <v>11048</v>
      </c>
      <c r="AC2254" s="6" t="s">
        <v>79</v>
      </c>
      <c r="AD2254" s="6">
        <v>4140.0</v>
      </c>
    </row>
    <row r="2255" ht="56.25" customHeight="1">
      <c r="A2255" s="5" t="s">
        <v>10987</v>
      </c>
      <c r="B2255" s="6" t="str">
        <f>IMAGE("https://storage.googleapis.com/acdb/housewares/FtrAmeretroGasstand_Remake_5_1.png")</f>
        <v/>
      </c>
      <c r="C2255" s="5" t="s">
        <v>164</v>
      </c>
      <c r="D2255" s="5" t="s">
        <v>34</v>
      </c>
      <c r="E2255" s="5" t="s">
        <v>10993</v>
      </c>
      <c r="F2255" s="5" t="s">
        <v>467</v>
      </c>
      <c r="G2255" s="5" t="s">
        <v>36</v>
      </c>
      <c r="H2255" s="5" t="s">
        <v>36</v>
      </c>
      <c r="I2255" s="5" t="s">
        <v>35</v>
      </c>
      <c r="J2255" s="6">
        <v>1.0</v>
      </c>
      <c r="K2255" s="6">
        <v>2700.0</v>
      </c>
      <c r="L2255" s="6">
        <v>675.0</v>
      </c>
      <c r="M2255" s="26" t="s">
        <v>39</v>
      </c>
      <c r="N2255" s="26" t="s">
        <v>96</v>
      </c>
      <c r="O2255" s="6" t="s">
        <v>40</v>
      </c>
      <c r="P2255" s="5" t="s">
        <v>59</v>
      </c>
      <c r="Q2255" s="5" t="s">
        <v>89</v>
      </c>
      <c r="R2255" s="6" t="s">
        <v>42</v>
      </c>
      <c r="S2255" s="5" t="s">
        <v>172</v>
      </c>
      <c r="T2255" s="5" t="s">
        <v>62</v>
      </c>
      <c r="U2255" s="5" t="s">
        <v>780</v>
      </c>
      <c r="V2255" s="5" t="s">
        <v>44</v>
      </c>
      <c r="W2255" s="5" t="s">
        <v>35</v>
      </c>
      <c r="X2255" s="8" t="s">
        <v>173</v>
      </c>
      <c r="Y2255" s="5" t="s">
        <v>46</v>
      </c>
      <c r="Z2255" s="5" t="s">
        <v>47</v>
      </c>
      <c r="AA2255" s="5" t="s">
        <v>64</v>
      </c>
      <c r="AB2255" s="5" t="s">
        <v>11051</v>
      </c>
      <c r="AC2255" s="6" t="s">
        <v>448</v>
      </c>
      <c r="AD2255" s="6">
        <v>4140.0</v>
      </c>
    </row>
    <row r="2256" ht="56.25" customHeight="1">
      <c r="A2256" s="5" t="s">
        <v>10987</v>
      </c>
      <c r="B2256" s="6" t="str">
        <f>IMAGE("https://storage.googleapis.com/acdb/housewares/FtrAmeretroGasstand_Remake_5_2.png")</f>
        <v/>
      </c>
      <c r="C2256" s="5" t="s">
        <v>164</v>
      </c>
      <c r="D2256" s="5" t="s">
        <v>34</v>
      </c>
      <c r="E2256" s="5" t="s">
        <v>10997</v>
      </c>
      <c r="F2256" s="5" t="s">
        <v>467</v>
      </c>
      <c r="G2256" s="5" t="s">
        <v>36</v>
      </c>
      <c r="H2256" s="5" t="s">
        <v>36</v>
      </c>
      <c r="I2256" s="5" t="s">
        <v>35</v>
      </c>
      <c r="J2256" s="6">
        <v>1.0</v>
      </c>
      <c r="K2256" s="6">
        <v>2700.0</v>
      </c>
      <c r="L2256" s="6">
        <v>675.0</v>
      </c>
      <c r="M2256" s="26" t="s">
        <v>39</v>
      </c>
      <c r="N2256" s="26" t="s">
        <v>114</v>
      </c>
      <c r="O2256" s="6" t="s">
        <v>40</v>
      </c>
      <c r="P2256" s="5" t="s">
        <v>59</v>
      </c>
      <c r="Q2256" s="5" t="s">
        <v>89</v>
      </c>
      <c r="R2256" s="6" t="s">
        <v>42</v>
      </c>
      <c r="S2256" s="5" t="s">
        <v>172</v>
      </c>
      <c r="T2256" s="5" t="s">
        <v>62</v>
      </c>
      <c r="U2256" s="5" t="s">
        <v>780</v>
      </c>
      <c r="V2256" s="5" t="s">
        <v>44</v>
      </c>
      <c r="W2256" s="5" t="s">
        <v>35</v>
      </c>
      <c r="X2256" s="8" t="s">
        <v>173</v>
      </c>
      <c r="Y2256" s="5" t="s">
        <v>46</v>
      </c>
      <c r="Z2256" s="5" t="s">
        <v>47</v>
      </c>
      <c r="AA2256" s="5" t="s">
        <v>64</v>
      </c>
      <c r="AB2256" s="5" t="s">
        <v>11054</v>
      </c>
      <c r="AC2256" s="6" t="s">
        <v>452</v>
      </c>
      <c r="AD2256" s="6">
        <v>4140.0</v>
      </c>
    </row>
    <row r="2257" ht="56.25" customHeight="1">
      <c r="A2257" s="5" t="s">
        <v>11055</v>
      </c>
      <c r="B2257" s="6" t="str">
        <f>IMAGE("https://storage.googleapis.com/acdb/housewares/FtrStereoRetro_Remake_0_0.png")</f>
        <v/>
      </c>
      <c r="C2257" s="5" t="s">
        <v>54</v>
      </c>
      <c r="D2257" s="5" t="s">
        <v>34</v>
      </c>
      <c r="E2257" s="5" t="s">
        <v>34</v>
      </c>
      <c r="F2257" s="5" t="s">
        <v>34</v>
      </c>
      <c r="G2257" s="5" t="s">
        <v>36</v>
      </c>
      <c r="H2257" s="5" t="s">
        <v>36</v>
      </c>
      <c r="I2257" s="5" t="s">
        <v>36</v>
      </c>
      <c r="J2257" s="6" t="s">
        <v>34</v>
      </c>
      <c r="K2257" s="6">
        <v>6000.0</v>
      </c>
      <c r="L2257" s="6">
        <v>1500.0</v>
      </c>
      <c r="M2257" s="26" t="s">
        <v>39</v>
      </c>
      <c r="N2257" s="26" t="s">
        <v>38</v>
      </c>
      <c r="O2257" s="6" t="s">
        <v>276</v>
      </c>
      <c r="P2257" s="5" t="s">
        <v>59</v>
      </c>
      <c r="Q2257" s="5" t="s">
        <v>89</v>
      </c>
      <c r="R2257" s="6" t="s">
        <v>42</v>
      </c>
      <c r="S2257" s="5" t="s">
        <v>90</v>
      </c>
      <c r="T2257" s="5" t="s">
        <v>44</v>
      </c>
      <c r="U2257" s="5" t="s">
        <v>44</v>
      </c>
      <c r="V2257" s="5" t="s">
        <v>44</v>
      </c>
      <c r="W2257" s="5" t="s">
        <v>35</v>
      </c>
      <c r="X2257" s="8" t="s">
        <v>746</v>
      </c>
      <c r="Y2257" s="5" t="s">
        <v>164</v>
      </c>
      <c r="Z2257" s="5" t="s">
        <v>47</v>
      </c>
      <c r="AA2257" s="5" t="s">
        <v>64</v>
      </c>
      <c r="AB2257" s="5" t="s">
        <v>11059</v>
      </c>
      <c r="AC2257" s="6" t="s">
        <v>50</v>
      </c>
      <c r="AD2257" s="6">
        <v>796.0</v>
      </c>
    </row>
    <row r="2258" ht="56.25" customHeight="1">
      <c r="A2258" s="5" t="s">
        <v>11055</v>
      </c>
      <c r="B2258" s="6" t="str">
        <f>IMAGE("https://storage.googleapis.com/acdb/housewares/FtrStereoRetro_Remake_1_0.png")</f>
        <v/>
      </c>
      <c r="C2258" s="5" t="s">
        <v>39</v>
      </c>
      <c r="D2258" s="5" t="s">
        <v>34</v>
      </c>
      <c r="E2258" s="5" t="s">
        <v>34</v>
      </c>
      <c r="F2258" s="5" t="s">
        <v>34</v>
      </c>
      <c r="G2258" s="5" t="s">
        <v>36</v>
      </c>
      <c r="H2258" s="5" t="s">
        <v>36</v>
      </c>
      <c r="I2258" s="5" t="s">
        <v>36</v>
      </c>
      <c r="J2258" s="6" t="s">
        <v>34</v>
      </c>
      <c r="K2258" s="6">
        <v>6000.0</v>
      </c>
      <c r="L2258" s="6">
        <v>1500.0</v>
      </c>
      <c r="M2258" s="26" t="s">
        <v>142</v>
      </c>
      <c r="N2258" s="26" t="s">
        <v>54</v>
      </c>
      <c r="O2258" s="6" t="s">
        <v>276</v>
      </c>
      <c r="P2258" s="5" t="s">
        <v>59</v>
      </c>
      <c r="Q2258" s="5" t="s">
        <v>89</v>
      </c>
      <c r="R2258" s="6" t="s">
        <v>42</v>
      </c>
      <c r="S2258" s="5" t="s">
        <v>90</v>
      </c>
      <c r="T2258" s="5" t="s">
        <v>44</v>
      </c>
      <c r="U2258" s="5" t="s">
        <v>44</v>
      </c>
      <c r="V2258" s="5" t="s">
        <v>44</v>
      </c>
      <c r="W2258" s="5" t="s">
        <v>35</v>
      </c>
      <c r="X2258" s="8" t="s">
        <v>746</v>
      </c>
      <c r="Y2258" s="5" t="s">
        <v>164</v>
      </c>
      <c r="Z2258" s="5" t="s">
        <v>47</v>
      </c>
      <c r="AA2258" s="5" t="s">
        <v>64</v>
      </c>
      <c r="AB2258" s="5" t="s">
        <v>11063</v>
      </c>
      <c r="AC2258" s="6" t="s">
        <v>56</v>
      </c>
      <c r="AD2258" s="6">
        <v>796.0</v>
      </c>
    </row>
    <row r="2259" ht="56.25" customHeight="1">
      <c r="A2259" s="5" t="s">
        <v>11065</v>
      </c>
      <c r="B2259" s="6" t="str">
        <f>IMAGE("https://storage.googleapis.com/acdb/housewares/FtrHerorobot_Remake_0_0.png")</f>
        <v/>
      </c>
      <c r="C2259" s="5" t="s">
        <v>52</v>
      </c>
      <c r="D2259" s="5" t="s">
        <v>6058</v>
      </c>
      <c r="E2259" s="5" t="s">
        <v>34</v>
      </c>
      <c r="F2259" s="5" t="s">
        <v>34</v>
      </c>
      <c r="G2259" s="5" t="s">
        <v>35</v>
      </c>
      <c r="H2259" s="5" t="s">
        <v>35</v>
      </c>
      <c r="I2259" s="5" t="s">
        <v>36</v>
      </c>
      <c r="J2259" s="6">
        <v>50.0</v>
      </c>
      <c r="K2259" s="6" t="s">
        <v>37</v>
      </c>
      <c r="L2259" s="6">
        <v>250000.0</v>
      </c>
      <c r="M2259" s="26" t="s">
        <v>52</v>
      </c>
      <c r="N2259" s="26" t="s">
        <v>54</v>
      </c>
      <c r="O2259" s="6" t="s">
        <v>4708</v>
      </c>
      <c r="P2259" s="5" t="s">
        <v>41</v>
      </c>
      <c r="Q2259" s="5"/>
      <c r="R2259" s="6" t="s">
        <v>42</v>
      </c>
      <c r="S2259" s="5" t="s">
        <v>99</v>
      </c>
      <c r="T2259" s="5" t="s">
        <v>141</v>
      </c>
      <c r="U2259" s="5" t="s">
        <v>44</v>
      </c>
      <c r="V2259" s="5" t="s">
        <v>44</v>
      </c>
      <c r="W2259" s="5" t="s">
        <v>35</v>
      </c>
      <c r="X2259" s="8" t="s">
        <v>356</v>
      </c>
      <c r="Y2259" s="5" t="s">
        <v>46</v>
      </c>
      <c r="Z2259" s="5" t="s">
        <v>47</v>
      </c>
      <c r="AA2259" s="5" t="s">
        <v>48</v>
      </c>
      <c r="AB2259" s="5" t="s">
        <v>11070</v>
      </c>
      <c r="AC2259" s="6" t="s">
        <v>50</v>
      </c>
      <c r="AD2259" s="6">
        <v>1509.0</v>
      </c>
    </row>
    <row r="2260" ht="56.25" customHeight="1">
      <c r="A2260" s="5" t="s">
        <v>11065</v>
      </c>
      <c r="B2260" s="6" t="str">
        <f>IMAGE("https://storage.googleapis.com/acdb/housewares/FtrHerorobot_Remake_1_0.png")</f>
        <v/>
      </c>
      <c r="C2260" s="5" t="s">
        <v>68</v>
      </c>
      <c r="D2260" s="5" t="s">
        <v>6058</v>
      </c>
      <c r="E2260" s="5" t="s">
        <v>34</v>
      </c>
      <c r="F2260" s="5" t="s">
        <v>34</v>
      </c>
      <c r="G2260" s="5" t="s">
        <v>35</v>
      </c>
      <c r="H2260" s="5" t="s">
        <v>35</v>
      </c>
      <c r="I2260" s="5" t="s">
        <v>36</v>
      </c>
      <c r="J2260" s="6">
        <v>50.0</v>
      </c>
      <c r="K2260" s="6" t="s">
        <v>37</v>
      </c>
      <c r="L2260" s="6">
        <v>250000.0</v>
      </c>
      <c r="M2260" s="5" t="s">
        <v>68</v>
      </c>
      <c r="N2260" s="26" t="s">
        <v>54</v>
      </c>
      <c r="O2260" s="6" t="s">
        <v>4708</v>
      </c>
      <c r="P2260" s="5" t="s">
        <v>41</v>
      </c>
      <c r="Q2260" s="5"/>
      <c r="R2260" s="6" t="s">
        <v>42</v>
      </c>
      <c r="S2260" s="5" t="s">
        <v>99</v>
      </c>
      <c r="T2260" s="5" t="s">
        <v>141</v>
      </c>
      <c r="U2260" s="5" t="s">
        <v>44</v>
      </c>
      <c r="V2260" s="5" t="s">
        <v>44</v>
      </c>
      <c r="W2260" s="5" t="s">
        <v>35</v>
      </c>
      <c r="X2260" s="8" t="s">
        <v>356</v>
      </c>
      <c r="Y2260" s="5" t="s">
        <v>46</v>
      </c>
      <c r="Z2260" s="5" t="s">
        <v>47</v>
      </c>
      <c r="AA2260" s="5" t="s">
        <v>48</v>
      </c>
      <c r="AB2260" s="5" t="s">
        <v>11073</v>
      </c>
      <c r="AC2260" s="6" t="s">
        <v>56</v>
      </c>
      <c r="AD2260" s="6">
        <v>1509.0</v>
      </c>
    </row>
    <row r="2261" ht="56.25" customHeight="1">
      <c r="A2261" s="5" t="s">
        <v>11065</v>
      </c>
      <c r="B2261" s="6" t="str">
        <f>IMAGE("https://storage.googleapis.com/acdb/housewares/FtrHerorobot_Remake_2_0.png")</f>
        <v/>
      </c>
      <c r="C2261" s="5" t="s">
        <v>114</v>
      </c>
      <c r="D2261" s="5" t="s">
        <v>6058</v>
      </c>
      <c r="E2261" s="5" t="s">
        <v>34</v>
      </c>
      <c r="F2261" s="5" t="s">
        <v>34</v>
      </c>
      <c r="G2261" s="5" t="s">
        <v>35</v>
      </c>
      <c r="H2261" s="5" t="s">
        <v>35</v>
      </c>
      <c r="I2261" s="5" t="s">
        <v>36</v>
      </c>
      <c r="J2261" s="6">
        <v>50.0</v>
      </c>
      <c r="K2261" s="6" t="s">
        <v>37</v>
      </c>
      <c r="L2261" s="6">
        <v>250000.0</v>
      </c>
      <c r="M2261" s="5" t="s">
        <v>114</v>
      </c>
      <c r="N2261" s="26" t="s">
        <v>54</v>
      </c>
      <c r="O2261" s="6" t="s">
        <v>4708</v>
      </c>
      <c r="P2261" s="5" t="s">
        <v>41</v>
      </c>
      <c r="Q2261" s="5"/>
      <c r="R2261" s="6" t="s">
        <v>42</v>
      </c>
      <c r="S2261" s="5" t="s">
        <v>99</v>
      </c>
      <c r="T2261" s="5" t="s">
        <v>141</v>
      </c>
      <c r="U2261" s="5" t="s">
        <v>44</v>
      </c>
      <c r="V2261" s="5" t="s">
        <v>44</v>
      </c>
      <c r="W2261" s="5" t="s">
        <v>35</v>
      </c>
      <c r="X2261" s="8" t="s">
        <v>356</v>
      </c>
      <c r="Y2261" s="5" t="s">
        <v>46</v>
      </c>
      <c r="Z2261" s="5" t="s">
        <v>47</v>
      </c>
      <c r="AA2261" s="5" t="s">
        <v>48</v>
      </c>
      <c r="AB2261" s="5" t="s">
        <v>11077</v>
      </c>
      <c r="AC2261" s="6" t="s">
        <v>67</v>
      </c>
      <c r="AD2261" s="6">
        <v>1509.0</v>
      </c>
    </row>
    <row r="2262" ht="56.25" customHeight="1">
      <c r="A2262" s="5" t="s">
        <v>11065</v>
      </c>
      <c r="B2262" s="6" t="str">
        <f>IMAGE("https://storage.googleapis.com/acdb/housewares/FtrHerorobot_Remake_3_0.png")</f>
        <v/>
      </c>
      <c r="C2262" s="5" t="s">
        <v>96</v>
      </c>
      <c r="D2262" s="5" t="s">
        <v>6058</v>
      </c>
      <c r="E2262" s="5" t="s">
        <v>34</v>
      </c>
      <c r="F2262" s="5" t="s">
        <v>34</v>
      </c>
      <c r="G2262" s="5" t="s">
        <v>35</v>
      </c>
      <c r="H2262" s="5" t="s">
        <v>35</v>
      </c>
      <c r="I2262" s="5" t="s">
        <v>36</v>
      </c>
      <c r="J2262" s="6">
        <v>50.0</v>
      </c>
      <c r="K2262" s="6" t="s">
        <v>37</v>
      </c>
      <c r="L2262" s="6">
        <v>250000.0</v>
      </c>
      <c r="M2262" s="5" t="s">
        <v>96</v>
      </c>
      <c r="N2262" s="26" t="s">
        <v>54</v>
      </c>
      <c r="O2262" s="6" t="s">
        <v>4708</v>
      </c>
      <c r="P2262" s="5" t="s">
        <v>41</v>
      </c>
      <c r="Q2262" s="5"/>
      <c r="R2262" s="6" t="s">
        <v>42</v>
      </c>
      <c r="S2262" s="5" t="s">
        <v>99</v>
      </c>
      <c r="T2262" s="5" t="s">
        <v>141</v>
      </c>
      <c r="U2262" s="5" t="s">
        <v>44</v>
      </c>
      <c r="V2262" s="5" t="s">
        <v>44</v>
      </c>
      <c r="W2262" s="5" t="s">
        <v>35</v>
      </c>
      <c r="X2262" s="8" t="s">
        <v>356</v>
      </c>
      <c r="Y2262" s="5" t="s">
        <v>46</v>
      </c>
      <c r="Z2262" s="5" t="s">
        <v>47</v>
      </c>
      <c r="AA2262" s="5" t="s">
        <v>48</v>
      </c>
      <c r="AB2262" s="5" t="s">
        <v>11080</v>
      </c>
      <c r="AC2262" s="6" t="s">
        <v>71</v>
      </c>
      <c r="AD2262" s="6">
        <v>1509.0</v>
      </c>
    </row>
    <row r="2263" ht="56.25" customHeight="1">
      <c r="A2263" s="5" t="s">
        <v>11065</v>
      </c>
      <c r="B2263" s="6" t="str">
        <f>IMAGE("https://storage.googleapis.com/acdb/housewares/FtrHerorobot_Remake_4_0.png")</f>
        <v/>
      </c>
      <c r="C2263" s="5" t="s">
        <v>69</v>
      </c>
      <c r="D2263" s="5" t="s">
        <v>6058</v>
      </c>
      <c r="E2263" s="5" t="s">
        <v>34</v>
      </c>
      <c r="F2263" s="5" t="s">
        <v>34</v>
      </c>
      <c r="G2263" s="5" t="s">
        <v>35</v>
      </c>
      <c r="H2263" s="5" t="s">
        <v>35</v>
      </c>
      <c r="I2263" s="5" t="s">
        <v>36</v>
      </c>
      <c r="J2263" s="6">
        <v>50.0</v>
      </c>
      <c r="K2263" s="6" t="s">
        <v>37</v>
      </c>
      <c r="L2263" s="6">
        <v>250000.0</v>
      </c>
      <c r="M2263" s="5" t="s">
        <v>69</v>
      </c>
      <c r="N2263" s="26" t="s">
        <v>54</v>
      </c>
      <c r="O2263" s="6" t="s">
        <v>4708</v>
      </c>
      <c r="P2263" s="5" t="s">
        <v>41</v>
      </c>
      <c r="Q2263" s="5"/>
      <c r="R2263" s="6" t="s">
        <v>42</v>
      </c>
      <c r="S2263" s="5" t="s">
        <v>99</v>
      </c>
      <c r="T2263" s="5" t="s">
        <v>141</v>
      </c>
      <c r="U2263" s="5" t="s">
        <v>44</v>
      </c>
      <c r="V2263" s="5" t="s">
        <v>44</v>
      </c>
      <c r="W2263" s="5" t="s">
        <v>35</v>
      </c>
      <c r="X2263" s="8" t="s">
        <v>356</v>
      </c>
      <c r="Y2263" s="5" t="s">
        <v>46</v>
      </c>
      <c r="Z2263" s="5" t="s">
        <v>47</v>
      </c>
      <c r="AA2263" s="5" t="s">
        <v>48</v>
      </c>
      <c r="AB2263" s="5" t="s">
        <v>11082</v>
      </c>
      <c r="AC2263" s="6" t="s">
        <v>75</v>
      </c>
      <c r="AD2263" s="6">
        <v>1509.0</v>
      </c>
    </row>
    <row r="2264" ht="56.25" customHeight="1">
      <c r="A2264" s="5" t="s">
        <v>11065</v>
      </c>
      <c r="B2264" s="6" t="str">
        <f>IMAGE("https://storage.googleapis.com/acdb/housewares/FtrHerorobot_Remake_5_0.png")</f>
        <v/>
      </c>
      <c r="C2264" s="5" t="s">
        <v>57</v>
      </c>
      <c r="D2264" s="5" t="s">
        <v>6058</v>
      </c>
      <c r="E2264" s="5" t="s">
        <v>34</v>
      </c>
      <c r="F2264" s="5" t="s">
        <v>34</v>
      </c>
      <c r="G2264" s="5" t="s">
        <v>35</v>
      </c>
      <c r="H2264" s="5" t="s">
        <v>35</v>
      </c>
      <c r="I2264" s="5" t="s">
        <v>36</v>
      </c>
      <c r="J2264" s="6">
        <v>50.0</v>
      </c>
      <c r="K2264" s="6" t="s">
        <v>37</v>
      </c>
      <c r="L2264" s="6">
        <v>250000.0</v>
      </c>
      <c r="M2264" s="5" t="s">
        <v>57</v>
      </c>
      <c r="N2264" s="26" t="s">
        <v>54</v>
      </c>
      <c r="O2264" s="6" t="s">
        <v>4708</v>
      </c>
      <c r="P2264" s="5" t="s">
        <v>41</v>
      </c>
      <c r="Q2264" s="5"/>
      <c r="R2264" s="6" t="s">
        <v>42</v>
      </c>
      <c r="S2264" s="5" t="s">
        <v>99</v>
      </c>
      <c r="T2264" s="5" t="s">
        <v>141</v>
      </c>
      <c r="U2264" s="5" t="s">
        <v>44</v>
      </c>
      <c r="V2264" s="5" t="s">
        <v>44</v>
      </c>
      <c r="W2264" s="5" t="s">
        <v>35</v>
      </c>
      <c r="X2264" s="8" t="s">
        <v>356</v>
      </c>
      <c r="Y2264" s="5" t="s">
        <v>46</v>
      </c>
      <c r="Z2264" s="5" t="s">
        <v>47</v>
      </c>
      <c r="AA2264" s="5" t="s">
        <v>48</v>
      </c>
      <c r="AB2264" s="5" t="s">
        <v>11086</v>
      </c>
      <c r="AC2264" s="6" t="s">
        <v>79</v>
      </c>
      <c r="AD2264" s="6">
        <v>1509.0</v>
      </c>
    </row>
    <row r="2265" ht="56.25" customHeight="1">
      <c r="A2265" s="5" t="s">
        <v>11065</v>
      </c>
      <c r="B2265" s="6" t="str">
        <f>IMAGE("https://storage.googleapis.com/acdb/housewares/FtrHerorobot_Remake_6_0.png")</f>
        <v/>
      </c>
      <c r="C2265" s="5" t="s">
        <v>54</v>
      </c>
      <c r="D2265" s="5" t="s">
        <v>6058</v>
      </c>
      <c r="E2265" s="5" t="s">
        <v>34</v>
      </c>
      <c r="F2265" s="5" t="s">
        <v>34</v>
      </c>
      <c r="G2265" s="5" t="s">
        <v>35</v>
      </c>
      <c r="H2265" s="5" t="s">
        <v>35</v>
      </c>
      <c r="I2265" s="5" t="s">
        <v>36</v>
      </c>
      <c r="J2265" s="6">
        <v>50.0</v>
      </c>
      <c r="K2265" s="6" t="s">
        <v>37</v>
      </c>
      <c r="L2265" s="6">
        <v>250000.0</v>
      </c>
      <c r="M2265" s="5" t="s">
        <v>54</v>
      </c>
      <c r="N2265" s="26" t="s">
        <v>54</v>
      </c>
      <c r="O2265" s="6" t="s">
        <v>4708</v>
      </c>
      <c r="P2265" s="5" t="s">
        <v>41</v>
      </c>
      <c r="Q2265" s="5"/>
      <c r="R2265" s="6" t="s">
        <v>42</v>
      </c>
      <c r="S2265" s="5" t="s">
        <v>99</v>
      </c>
      <c r="T2265" s="5" t="s">
        <v>141</v>
      </c>
      <c r="U2265" s="5" t="s">
        <v>44</v>
      </c>
      <c r="V2265" s="5" t="s">
        <v>44</v>
      </c>
      <c r="W2265" s="5" t="s">
        <v>35</v>
      </c>
      <c r="X2265" s="8" t="s">
        <v>356</v>
      </c>
      <c r="Y2265" s="5" t="s">
        <v>46</v>
      </c>
      <c r="Z2265" s="5" t="s">
        <v>47</v>
      </c>
      <c r="AA2265" s="5" t="s">
        <v>48</v>
      </c>
      <c r="AB2265" s="5" t="s">
        <v>11088</v>
      </c>
      <c r="AC2265" s="6" t="s">
        <v>86</v>
      </c>
      <c r="AD2265" s="6">
        <v>1509.0</v>
      </c>
    </row>
    <row r="2266" ht="56.25" customHeight="1">
      <c r="A2266" s="5" t="s">
        <v>11065</v>
      </c>
      <c r="B2266" s="6" t="str">
        <f>IMAGE("https://storage.googleapis.com/acdb/housewares/FtrHerorobot_Remake_7_0.png")</f>
        <v/>
      </c>
      <c r="C2266" s="5" t="s">
        <v>95</v>
      </c>
      <c r="D2266" s="5" t="s">
        <v>6058</v>
      </c>
      <c r="E2266" s="5" t="s">
        <v>34</v>
      </c>
      <c r="F2266" s="5" t="s">
        <v>34</v>
      </c>
      <c r="G2266" s="5" t="s">
        <v>35</v>
      </c>
      <c r="H2266" s="5" t="s">
        <v>35</v>
      </c>
      <c r="I2266" s="5" t="s">
        <v>36</v>
      </c>
      <c r="J2266" s="6">
        <v>50.0</v>
      </c>
      <c r="K2266" s="6" t="s">
        <v>37</v>
      </c>
      <c r="L2266" s="6">
        <v>250000.0</v>
      </c>
      <c r="M2266" s="5" t="s">
        <v>95</v>
      </c>
      <c r="N2266" s="26" t="s">
        <v>54</v>
      </c>
      <c r="O2266" s="6" t="s">
        <v>4708</v>
      </c>
      <c r="P2266" s="5" t="s">
        <v>41</v>
      </c>
      <c r="Q2266" s="5"/>
      <c r="R2266" s="6" t="s">
        <v>42</v>
      </c>
      <c r="S2266" s="5" t="s">
        <v>99</v>
      </c>
      <c r="T2266" s="5" t="s">
        <v>141</v>
      </c>
      <c r="U2266" s="5" t="s">
        <v>44</v>
      </c>
      <c r="V2266" s="5" t="s">
        <v>44</v>
      </c>
      <c r="W2266" s="5" t="s">
        <v>35</v>
      </c>
      <c r="X2266" s="8" t="s">
        <v>356</v>
      </c>
      <c r="Y2266" s="5" t="s">
        <v>46</v>
      </c>
      <c r="Z2266" s="5" t="s">
        <v>47</v>
      </c>
      <c r="AA2266" s="5" t="s">
        <v>48</v>
      </c>
      <c r="AB2266" s="5" t="s">
        <v>11091</v>
      </c>
      <c r="AC2266" s="6" t="s">
        <v>208</v>
      </c>
      <c r="AD2266" s="6">
        <v>1509.0</v>
      </c>
    </row>
    <row r="2267" ht="56.25" customHeight="1">
      <c r="A2267" s="5" t="s">
        <v>11093</v>
      </c>
      <c r="B2267" s="6" t="str">
        <f>IMAGE("https://storage.googleapis.com/acdb/housewares/FtrElectricguitar1_Remake_0_0.png")</f>
        <v/>
      </c>
      <c r="C2267" s="5" t="s">
        <v>3716</v>
      </c>
      <c r="D2267" s="5" t="s">
        <v>34</v>
      </c>
      <c r="E2267" s="5" t="s">
        <v>44</v>
      </c>
      <c r="F2267" s="5" t="s">
        <v>3454</v>
      </c>
      <c r="G2267" s="5" t="s">
        <v>36</v>
      </c>
      <c r="H2267" s="5" t="s">
        <v>36</v>
      </c>
      <c r="I2267" s="5" t="s">
        <v>35</v>
      </c>
      <c r="J2267" s="6">
        <v>2.0</v>
      </c>
      <c r="K2267" s="6">
        <v>3100.0</v>
      </c>
      <c r="L2267" s="6">
        <v>775.0</v>
      </c>
      <c r="M2267" s="26" t="s">
        <v>142</v>
      </c>
      <c r="N2267" s="26" t="s">
        <v>57</v>
      </c>
      <c r="O2267" s="6" t="s">
        <v>40</v>
      </c>
      <c r="P2267" s="5" t="s">
        <v>59</v>
      </c>
      <c r="Q2267" s="5" t="s">
        <v>89</v>
      </c>
      <c r="R2267" s="6" t="s">
        <v>42</v>
      </c>
      <c r="S2267" s="5" t="s">
        <v>129</v>
      </c>
      <c r="T2267" s="5" t="s">
        <v>44</v>
      </c>
      <c r="U2267" s="5" t="s">
        <v>44</v>
      </c>
      <c r="V2267" s="5" t="s">
        <v>44</v>
      </c>
      <c r="W2267" s="5" t="s">
        <v>35</v>
      </c>
      <c r="X2267" s="8" t="s">
        <v>45</v>
      </c>
      <c r="Y2267" s="5" t="s">
        <v>46</v>
      </c>
      <c r="Z2267" s="5" t="s">
        <v>47</v>
      </c>
      <c r="AA2267" s="5" t="s">
        <v>64</v>
      </c>
      <c r="AB2267" s="5" t="s">
        <v>11098</v>
      </c>
      <c r="AC2267" s="6" t="s">
        <v>50</v>
      </c>
      <c r="AD2267" s="6">
        <v>1644.0</v>
      </c>
    </row>
    <row r="2268" ht="56.25" customHeight="1">
      <c r="A2268" s="5" t="s">
        <v>11093</v>
      </c>
      <c r="B2268" s="6" t="str">
        <f>IMAGE("https://storage.googleapis.com/acdb/housewares/FtrElectricguitar1_Remake_0_1.png")</f>
        <v/>
      </c>
      <c r="C2268" s="5" t="s">
        <v>3716</v>
      </c>
      <c r="D2268" s="5" t="s">
        <v>34</v>
      </c>
      <c r="E2268" s="5" t="s">
        <v>2817</v>
      </c>
      <c r="F2268" s="5" t="s">
        <v>3454</v>
      </c>
      <c r="G2268" s="5" t="s">
        <v>36</v>
      </c>
      <c r="H2268" s="5" t="s">
        <v>36</v>
      </c>
      <c r="I2268" s="5" t="s">
        <v>35</v>
      </c>
      <c r="J2268" s="6">
        <v>2.0</v>
      </c>
      <c r="K2268" s="6">
        <v>3100.0</v>
      </c>
      <c r="L2268" s="6">
        <v>775.0</v>
      </c>
      <c r="M2268" s="26" t="s">
        <v>142</v>
      </c>
      <c r="N2268" s="26" t="s">
        <v>54</v>
      </c>
      <c r="O2268" s="6" t="s">
        <v>40</v>
      </c>
      <c r="P2268" s="5" t="s">
        <v>59</v>
      </c>
      <c r="Q2268" s="5" t="s">
        <v>89</v>
      </c>
      <c r="R2268" s="6" t="s">
        <v>42</v>
      </c>
      <c r="S2268" s="5" t="s">
        <v>129</v>
      </c>
      <c r="T2268" s="5" t="s">
        <v>44</v>
      </c>
      <c r="U2268" s="5" t="s">
        <v>44</v>
      </c>
      <c r="V2268" s="5" t="s">
        <v>44</v>
      </c>
      <c r="W2268" s="5" t="s">
        <v>35</v>
      </c>
      <c r="X2268" s="8" t="s">
        <v>45</v>
      </c>
      <c r="Y2268" s="5" t="s">
        <v>46</v>
      </c>
      <c r="Z2268" s="5" t="s">
        <v>47</v>
      </c>
      <c r="AA2268" s="5" t="s">
        <v>64</v>
      </c>
      <c r="AB2268" s="5" t="s">
        <v>11101</v>
      </c>
      <c r="AC2268" s="6" t="s">
        <v>217</v>
      </c>
      <c r="AD2268" s="6">
        <v>1644.0</v>
      </c>
    </row>
    <row r="2269" ht="56.25" customHeight="1">
      <c r="A2269" s="5" t="s">
        <v>11093</v>
      </c>
      <c r="B2269" s="6" t="str">
        <f>IMAGE("https://storage.googleapis.com/acdb/housewares/FtrElectricguitar1_Remake_0_2.png")</f>
        <v/>
      </c>
      <c r="C2269" s="5" t="s">
        <v>3716</v>
      </c>
      <c r="D2269" s="5" t="s">
        <v>34</v>
      </c>
      <c r="E2269" s="5" t="s">
        <v>2827</v>
      </c>
      <c r="F2269" s="5" t="s">
        <v>3454</v>
      </c>
      <c r="G2269" s="5" t="s">
        <v>36</v>
      </c>
      <c r="H2269" s="5" t="s">
        <v>36</v>
      </c>
      <c r="I2269" s="5" t="s">
        <v>35</v>
      </c>
      <c r="J2269" s="6">
        <v>2.0</v>
      </c>
      <c r="K2269" s="6">
        <v>3100.0</v>
      </c>
      <c r="L2269" s="6">
        <v>775.0</v>
      </c>
      <c r="M2269" s="26" t="s">
        <v>142</v>
      </c>
      <c r="N2269" s="26" t="s">
        <v>57</v>
      </c>
      <c r="O2269" s="6" t="s">
        <v>40</v>
      </c>
      <c r="P2269" s="5" t="s">
        <v>59</v>
      </c>
      <c r="Q2269" s="5" t="s">
        <v>89</v>
      </c>
      <c r="R2269" s="6" t="s">
        <v>42</v>
      </c>
      <c r="S2269" s="5" t="s">
        <v>129</v>
      </c>
      <c r="T2269" s="5" t="s">
        <v>44</v>
      </c>
      <c r="U2269" s="5" t="s">
        <v>44</v>
      </c>
      <c r="V2269" s="5" t="s">
        <v>44</v>
      </c>
      <c r="W2269" s="5" t="s">
        <v>35</v>
      </c>
      <c r="X2269" s="8" t="s">
        <v>45</v>
      </c>
      <c r="Y2269" s="5" t="s">
        <v>46</v>
      </c>
      <c r="Z2269" s="5" t="s">
        <v>47</v>
      </c>
      <c r="AA2269" s="5" t="s">
        <v>64</v>
      </c>
      <c r="AB2269" s="5" t="s">
        <v>11104</v>
      </c>
      <c r="AC2269" s="6" t="s">
        <v>347</v>
      </c>
      <c r="AD2269" s="6">
        <v>1644.0</v>
      </c>
    </row>
    <row r="2270" ht="56.25" customHeight="1">
      <c r="A2270" s="5" t="s">
        <v>11093</v>
      </c>
      <c r="B2270" s="6" t="str">
        <f>IMAGE("https://storage.googleapis.com/acdb/housewares/FtrElectricguitar1_Remake_0_3.png")</f>
        <v/>
      </c>
      <c r="C2270" s="5" t="s">
        <v>3716</v>
      </c>
      <c r="D2270" s="5" t="s">
        <v>34</v>
      </c>
      <c r="E2270" s="5" t="s">
        <v>2833</v>
      </c>
      <c r="F2270" s="5" t="s">
        <v>3454</v>
      </c>
      <c r="G2270" s="5" t="s">
        <v>36</v>
      </c>
      <c r="H2270" s="5" t="s">
        <v>36</v>
      </c>
      <c r="I2270" s="5" t="s">
        <v>35</v>
      </c>
      <c r="J2270" s="6">
        <v>2.0</v>
      </c>
      <c r="K2270" s="6">
        <v>3100.0</v>
      </c>
      <c r="L2270" s="6">
        <v>775.0</v>
      </c>
      <c r="M2270" s="26" t="s">
        <v>142</v>
      </c>
      <c r="N2270" s="26" t="s">
        <v>106</v>
      </c>
      <c r="O2270" s="6" t="s">
        <v>40</v>
      </c>
      <c r="P2270" s="5" t="s">
        <v>59</v>
      </c>
      <c r="Q2270" s="5" t="s">
        <v>89</v>
      </c>
      <c r="R2270" s="6" t="s">
        <v>42</v>
      </c>
      <c r="S2270" s="5" t="s">
        <v>129</v>
      </c>
      <c r="T2270" s="5" t="s">
        <v>44</v>
      </c>
      <c r="U2270" s="5" t="s">
        <v>44</v>
      </c>
      <c r="V2270" s="5" t="s">
        <v>44</v>
      </c>
      <c r="W2270" s="5" t="s">
        <v>35</v>
      </c>
      <c r="X2270" s="8" t="s">
        <v>45</v>
      </c>
      <c r="Y2270" s="5" t="s">
        <v>46</v>
      </c>
      <c r="Z2270" s="5" t="s">
        <v>47</v>
      </c>
      <c r="AA2270" s="5" t="s">
        <v>64</v>
      </c>
      <c r="AB2270" s="5" t="s">
        <v>11107</v>
      </c>
      <c r="AC2270" s="6" t="s">
        <v>354</v>
      </c>
      <c r="AD2270" s="6">
        <v>1644.0</v>
      </c>
    </row>
    <row r="2271" ht="56.25" customHeight="1">
      <c r="A2271" s="5" t="s">
        <v>11093</v>
      </c>
      <c r="B2271" s="6" t="str">
        <f>IMAGE("https://storage.googleapis.com/acdb/housewares/FtrElectricguitar1_Remake_0_4.png")</f>
        <v/>
      </c>
      <c r="C2271" s="5" t="s">
        <v>3716</v>
      </c>
      <c r="D2271" s="5" t="s">
        <v>34</v>
      </c>
      <c r="E2271" s="5" t="s">
        <v>2841</v>
      </c>
      <c r="F2271" s="5" t="s">
        <v>3454</v>
      </c>
      <c r="G2271" s="5" t="s">
        <v>36</v>
      </c>
      <c r="H2271" s="5" t="s">
        <v>36</v>
      </c>
      <c r="I2271" s="5" t="s">
        <v>35</v>
      </c>
      <c r="J2271" s="6">
        <v>2.0</v>
      </c>
      <c r="K2271" s="6">
        <v>3100.0</v>
      </c>
      <c r="L2271" s="6">
        <v>775.0</v>
      </c>
      <c r="M2271" s="26" t="s">
        <v>142</v>
      </c>
      <c r="N2271" s="26" t="s">
        <v>96</v>
      </c>
      <c r="O2271" s="6" t="s">
        <v>40</v>
      </c>
      <c r="P2271" s="5" t="s">
        <v>59</v>
      </c>
      <c r="Q2271" s="5" t="s">
        <v>89</v>
      </c>
      <c r="R2271" s="6" t="s">
        <v>42</v>
      </c>
      <c r="S2271" s="5" t="s">
        <v>129</v>
      </c>
      <c r="T2271" s="5" t="s">
        <v>44</v>
      </c>
      <c r="U2271" s="5" t="s">
        <v>44</v>
      </c>
      <c r="V2271" s="5" t="s">
        <v>44</v>
      </c>
      <c r="W2271" s="5" t="s">
        <v>35</v>
      </c>
      <c r="X2271" s="8" t="s">
        <v>45</v>
      </c>
      <c r="Y2271" s="5" t="s">
        <v>46</v>
      </c>
      <c r="Z2271" s="5" t="s">
        <v>47</v>
      </c>
      <c r="AA2271" s="5" t="s">
        <v>64</v>
      </c>
      <c r="AB2271" s="5" t="s">
        <v>11109</v>
      </c>
      <c r="AC2271" s="6" t="s">
        <v>486</v>
      </c>
      <c r="AD2271" s="6">
        <v>1644.0</v>
      </c>
    </row>
    <row r="2272" ht="56.25" customHeight="1">
      <c r="A2272" s="5" t="s">
        <v>11093</v>
      </c>
      <c r="B2272" s="6" t="str">
        <f>IMAGE("https://storage.googleapis.com/acdb/housewares/FtrElectricguitar1_Remake_0_5.png")</f>
        <v/>
      </c>
      <c r="C2272" s="5" t="s">
        <v>3716</v>
      </c>
      <c r="D2272" s="5" t="s">
        <v>34</v>
      </c>
      <c r="E2272" s="5" t="s">
        <v>2848</v>
      </c>
      <c r="F2272" s="5" t="s">
        <v>3454</v>
      </c>
      <c r="G2272" s="5" t="s">
        <v>36</v>
      </c>
      <c r="H2272" s="5" t="s">
        <v>36</v>
      </c>
      <c r="I2272" s="5" t="s">
        <v>35</v>
      </c>
      <c r="J2272" s="6">
        <v>2.0</v>
      </c>
      <c r="K2272" s="6">
        <v>3100.0</v>
      </c>
      <c r="L2272" s="6">
        <v>775.0</v>
      </c>
      <c r="M2272" s="26" t="s">
        <v>142</v>
      </c>
      <c r="N2272" s="26" t="s">
        <v>1175</v>
      </c>
      <c r="O2272" s="6" t="s">
        <v>40</v>
      </c>
      <c r="P2272" s="5" t="s">
        <v>59</v>
      </c>
      <c r="Q2272" s="5" t="s">
        <v>89</v>
      </c>
      <c r="R2272" s="6" t="s">
        <v>42</v>
      </c>
      <c r="S2272" s="5" t="s">
        <v>129</v>
      </c>
      <c r="T2272" s="5" t="s">
        <v>44</v>
      </c>
      <c r="U2272" s="5" t="s">
        <v>44</v>
      </c>
      <c r="V2272" s="5" t="s">
        <v>44</v>
      </c>
      <c r="W2272" s="5" t="s">
        <v>35</v>
      </c>
      <c r="X2272" s="8" t="s">
        <v>45</v>
      </c>
      <c r="Y2272" s="5" t="s">
        <v>46</v>
      </c>
      <c r="Z2272" s="5" t="s">
        <v>47</v>
      </c>
      <c r="AA2272" s="5" t="s">
        <v>64</v>
      </c>
      <c r="AB2272" s="5" t="s">
        <v>11113</v>
      </c>
      <c r="AC2272" s="6" t="s">
        <v>934</v>
      </c>
      <c r="AD2272" s="6">
        <v>1644.0</v>
      </c>
    </row>
    <row r="2273" ht="56.25" customHeight="1">
      <c r="A2273" s="5" t="s">
        <v>11093</v>
      </c>
      <c r="B2273" s="6" t="str">
        <f>IMAGE("https://storage.googleapis.com/acdb/housewares/FtrElectricguitar1_Remake_0_6.png")</f>
        <v/>
      </c>
      <c r="C2273" s="5" t="s">
        <v>3716</v>
      </c>
      <c r="D2273" s="5" t="s">
        <v>34</v>
      </c>
      <c r="E2273" s="5" t="s">
        <v>2855</v>
      </c>
      <c r="F2273" s="5" t="s">
        <v>3454</v>
      </c>
      <c r="G2273" s="5" t="s">
        <v>36</v>
      </c>
      <c r="H2273" s="5" t="s">
        <v>36</v>
      </c>
      <c r="I2273" s="5" t="s">
        <v>35</v>
      </c>
      <c r="J2273" s="6">
        <v>2.0</v>
      </c>
      <c r="K2273" s="6">
        <v>3100.0</v>
      </c>
      <c r="L2273" s="6">
        <v>775.0</v>
      </c>
      <c r="M2273" s="26" t="s">
        <v>142</v>
      </c>
      <c r="N2273" s="26" t="s">
        <v>58</v>
      </c>
      <c r="O2273" s="6" t="s">
        <v>40</v>
      </c>
      <c r="P2273" s="5" t="s">
        <v>59</v>
      </c>
      <c r="Q2273" s="5" t="s">
        <v>89</v>
      </c>
      <c r="R2273" s="6" t="s">
        <v>42</v>
      </c>
      <c r="S2273" s="5" t="s">
        <v>129</v>
      </c>
      <c r="T2273" s="5" t="s">
        <v>44</v>
      </c>
      <c r="U2273" s="5" t="s">
        <v>44</v>
      </c>
      <c r="V2273" s="5" t="s">
        <v>44</v>
      </c>
      <c r="W2273" s="5" t="s">
        <v>35</v>
      </c>
      <c r="X2273" s="8" t="s">
        <v>45</v>
      </c>
      <c r="Y2273" s="5" t="s">
        <v>46</v>
      </c>
      <c r="Z2273" s="5" t="s">
        <v>47</v>
      </c>
      <c r="AA2273" s="5" t="s">
        <v>64</v>
      </c>
      <c r="AB2273" s="5" t="s">
        <v>11116</v>
      </c>
      <c r="AC2273" s="6" t="s">
        <v>938</v>
      </c>
      <c r="AD2273" s="6">
        <v>1644.0</v>
      </c>
    </row>
    <row r="2274" ht="56.25" customHeight="1">
      <c r="A2274" s="5" t="s">
        <v>11093</v>
      </c>
      <c r="B2274" s="6" t="str">
        <f>IMAGE("https://storage.googleapis.com/acdb/housewares/FtrElectricguitar1_Remake_0_7.png")</f>
        <v/>
      </c>
      <c r="C2274" s="5" t="s">
        <v>3716</v>
      </c>
      <c r="D2274" s="5" t="s">
        <v>34</v>
      </c>
      <c r="E2274" s="5" t="s">
        <v>2863</v>
      </c>
      <c r="F2274" s="5" t="s">
        <v>3454</v>
      </c>
      <c r="G2274" s="5" t="s">
        <v>36</v>
      </c>
      <c r="H2274" s="5" t="s">
        <v>36</v>
      </c>
      <c r="I2274" s="5" t="s">
        <v>35</v>
      </c>
      <c r="J2274" s="6">
        <v>2.0</v>
      </c>
      <c r="K2274" s="6">
        <v>3100.0</v>
      </c>
      <c r="L2274" s="6">
        <v>775.0</v>
      </c>
      <c r="M2274" s="26" t="s">
        <v>142</v>
      </c>
      <c r="N2274" s="26" t="s">
        <v>69</v>
      </c>
      <c r="O2274" s="6" t="s">
        <v>40</v>
      </c>
      <c r="P2274" s="5" t="s">
        <v>59</v>
      </c>
      <c r="Q2274" s="5" t="s">
        <v>89</v>
      </c>
      <c r="R2274" s="6" t="s">
        <v>42</v>
      </c>
      <c r="S2274" s="5" t="s">
        <v>129</v>
      </c>
      <c r="T2274" s="5" t="s">
        <v>44</v>
      </c>
      <c r="U2274" s="5" t="s">
        <v>44</v>
      </c>
      <c r="V2274" s="5" t="s">
        <v>44</v>
      </c>
      <c r="W2274" s="5" t="s">
        <v>35</v>
      </c>
      <c r="X2274" s="8" t="s">
        <v>45</v>
      </c>
      <c r="Y2274" s="5" t="s">
        <v>46</v>
      </c>
      <c r="Z2274" s="5" t="s">
        <v>47</v>
      </c>
      <c r="AA2274" s="5" t="s">
        <v>64</v>
      </c>
      <c r="AB2274" s="5" t="s">
        <v>11121</v>
      </c>
      <c r="AC2274" s="6" t="s">
        <v>1700</v>
      </c>
      <c r="AD2274" s="6">
        <v>1644.0</v>
      </c>
    </row>
    <row r="2275" ht="56.25" customHeight="1">
      <c r="A2275" s="5" t="s">
        <v>11093</v>
      </c>
      <c r="B2275" s="6" t="str">
        <f>IMAGE("https://storage.googleapis.com/acdb/housewares/FtrElectricguitar1_Remake_1_0.png")</f>
        <v/>
      </c>
      <c r="C2275" s="5" t="s">
        <v>11122</v>
      </c>
      <c r="D2275" s="5" t="s">
        <v>34</v>
      </c>
      <c r="E2275" s="5" t="s">
        <v>44</v>
      </c>
      <c r="F2275" s="5" t="s">
        <v>3454</v>
      </c>
      <c r="G2275" s="5" t="s">
        <v>36</v>
      </c>
      <c r="H2275" s="5" t="s">
        <v>36</v>
      </c>
      <c r="I2275" s="5" t="s">
        <v>35</v>
      </c>
      <c r="J2275" s="6">
        <v>2.0</v>
      </c>
      <c r="K2275" s="6">
        <v>3100.0</v>
      </c>
      <c r="L2275" s="6">
        <v>775.0</v>
      </c>
      <c r="M2275" s="26" t="s">
        <v>69</v>
      </c>
      <c r="N2275" s="26" t="s">
        <v>57</v>
      </c>
      <c r="O2275" s="6" t="s">
        <v>40</v>
      </c>
      <c r="P2275" s="5" t="s">
        <v>59</v>
      </c>
      <c r="Q2275" s="5" t="s">
        <v>89</v>
      </c>
      <c r="R2275" s="6" t="s">
        <v>42</v>
      </c>
      <c r="S2275" s="5" t="s">
        <v>129</v>
      </c>
      <c r="T2275" s="5" t="s">
        <v>44</v>
      </c>
      <c r="U2275" s="5" t="s">
        <v>44</v>
      </c>
      <c r="V2275" s="5" t="s">
        <v>44</v>
      </c>
      <c r="W2275" s="5" t="s">
        <v>35</v>
      </c>
      <c r="X2275" s="8" t="s">
        <v>45</v>
      </c>
      <c r="Y2275" s="5" t="s">
        <v>46</v>
      </c>
      <c r="Z2275" s="5" t="s">
        <v>47</v>
      </c>
      <c r="AA2275" s="5" t="s">
        <v>64</v>
      </c>
      <c r="AB2275" s="5" t="s">
        <v>11127</v>
      </c>
      <c r="AC2275" s="6" t="s">
        <v>56</v>
      </c>
      <c r="AD2275" s="6">
        <v>1644.0</v>
      </c>
    </row>
    <row r="2276" ht="56.25" customHeight="1">
      <c r="A2276" s="5" t="s">
        <v>11093</v>
      </c>
      <c r="B2276" s="6" t="str">
        <f>IMAGE("https://storage.googleapis.com/acdb/housewares/FtrElectricguitar1_Remake_1_1.png")</f>
        <v/>
      </c>
      <c r="C2276" s="5" t="s">
        <v>11122</v>
      </c>
      <c r="D2276" s="5" t="s">
        <v>34</v>
      </c>
      <c r="E2276" s="5" t="s">
        <v>2817</v>
      </c>
      <c r="F2276" s="5" t="s">
        <v>3454</v>
      </c>
      <c r="G2276" s="5" t="s">
        <v>36</v>
      </c>
      <c r="H2276" s="5" t="s">
        <v>36</v>
      </c>
      <c r="I2276" s="5" t="s">
        <v>35</v>
      </c>
      <c r="J2276" s="6">
        <v>2.0</v>
      </c>
      <c r="K2276" s="6">
        <v>3100.0</v>
      </c>
      <c r="L2276" s="6">
        <v>775.0</v>
      </c>
      <c r="M2276" s="26" t="s">
        <v>69</v>
      </c>
      <c r="N2276" s="26" t="s">
        <v>54</v>
      </c>
      <c r="O2276" s="6" t="s">
        <v>40</v>
      </c>
      <c r="P2276" s="5" t="s">
        <v>59</v>
      </c>
      <c r="Q2276" s="5" t="s">
        <v>89</v>
      </c>
      <c r="R2276" s="6" t="s">
        <v>42</v>
      </c>
      <c r="S2276" s="5" t="s">
        <v>129</v>
      </c>
      <c r="T2276" s="5" t="s">
        <v>44</v>
      </c>
      <c r="U2276" s="5" t="s">
        <v>44</v>
      </c>
      <c r="V2276" s="5" t="s">
        <v>44</v>
      </c>
      <c r="W2276" s="5" t="s">
        <v>35</v>
      </c>
      <c r="X2276" s="8" t="s">
        <v>45</v>
      </c>
      <c r="Y2276" s="5" t="s">
        <v>46</v>
      </c>
      <c r="Z2276" s="5" t="s">
        <v>47</v>
      </c>
      <c r="AA2276" s="5" t="s">
        <v>64</v>
      </c>
      <c r="AB2276" s="5" t="s">
        <v>11130</v>
      </c>
      <c r="AC2276" s="6" t="s">
        <v>234</v>
      </c>
      <c r="AD2276" s="6">
        <v>1644.0</v>
      </c>
    </row>
    <row r="2277" ht="56.25" customHeight="1">
      <c r="A2277" s="5" t="s">
        <v>11093</v>
      </c>
      <c r="B2277" s="6" t="str">
        <f>IMAGE("https://storage.googleapis.com/acdb/housewares/FtrElectricguitar1_Remake_1_2.png")</f>
        <v/>
      </c>
      <c r="C2277" s="5" t="s">
        <v>11122</v>
      </c>
      <c r="D2277" s="5" t="s">
        <v>34</v>
      </c>
      <c r="E2277" s="5" t="s">
        <v>2827</v>
      </c>
      <c r="F2277" s="5" t="s">
        <v>3454</v>
      </c>
      <c r="G2277" s="5" t="s">
        <v>36</v>
      </c>
      <c r="H2277" s="5" t="s">
        <v>36</v>
      </c>
      <c r="I2277" s="5" t="s">
        <v>35</v>
      </c>
      <c r="J2277" s="6">
        <v>2.0</v>
      </c>
      <c r="K2277" s="6">
        <v>3100.0</v>
      </c>
      <c r="L2277" s="6">
        <v>775.0</v>
      </c>
      <c r="M2277" s="26" t="s">
        <v>69</v>
      </c>
      <c r="N2277" s="26" t="s">
        <v>57</v>
      </c>
      <c r="O2277" s="6" t="s">
        <v>40</v>
      </c>
      <c r="P2277" s="5" t="s">
        <v>59</v>
      </c>
      <c r="Q2277" s="5" t="s">
        <v>89</v>
      </c>
      <c r="R2277" s="6" t="s">
        <v>42</v>
      </c>
      <c r="S2277" s="5" t="s">
        <v>129</v>
      </c>
      <c r="T2277" s="5" t="s">
        <v>44</v>
      </c>
      <c r="U2277" s="5" t="s">
        <v>44</v>
      </c>
      <c r="V2277" s="5" t="s">
        <v>44</v>
      </c>
      <c r="W2277" s="5" t="s">
        <v>35</v>
      </c>
      <c r="X2277" s="8" t="s">
        <v>45</v>
      </c>
      <c r="Y2277" s="5" t="s">
        <v>46</v>
      </c>
      <c r="Z2277" s="5" t="s">
        <v>47</v>
      </c>
      <c r="AA2277" s="5" t="s">
        <v>64</v>
      </c>
      <c r="AB2277" s="5" t="s">
        <v>11135</v>
      </c>
      <c r="AC2277" s="6" t="s">
        <v>370</v>
      </c>
      <c r="AD2277" s="6">
        <v>1644.0</v>
      </c>
    </row>
    <row r="2278" ht="56.25" customHeight="1">
      <c r="A2278" s="5" t="s">
        <v>11093</v>
      </c>
      <c r="B2278" s="6" t="str">
        <f>IMAGE("https://storage.googleapis.com/acdb/housewares/FtrElectricguitar1_Remake_1_3.png")</f>
        <v/>
      </c>
      <c r="C2278" s="5" t="s">
        <v>11122</v>
      </c>
      <c r="D2278" s="5" t="s">
        <v>34</v>
      </c>
      <c r="E2278" s="5" t="s">
        <v>2833</v>
      </c>
      <c r="F2278" s="5" t="s">
        <v>3454</v>
      </c>
      <c r="G2278" s="5" t="s">
        <v>36</v>
      </c>
      <c r="H2278" s="5" t="s">
        <v>36</v>
      </c>
      <c r="I2278" s="5" t="s">
        <v>35</v>
      </c>
      <c r="J2278" s="6">
        <v>2.0</v>
      </c>
      <c r="K2278" s="6">
        <v>3100.0</v>
      </c>
      <c r="L2278" s="6">
        <v>775.0</v>
      </c>
      <c r="M2278" s="26" t="s">
        <v>69</v>
      </c>
      <c r="N2278" s="26" t="s">
        <v>106</v>
      </c>
      <c r="O2278" s="6" t="s">
        <v>40</v>
      </c>
      <c r="P2278" s="5" t="s">
        <v>59</v>
      </c>
      <c r="Q2278" s="5" t="s">
        <v>89</v>
      </c>
      <c r="R2278" s="6" t="s">
        <v>42</v>
      </c>
      <c r="S2278" s="5" t="s">
        <v>129</v>
      </c>
      <c r="T2278" s="5" t="s">
        <v>44</v>
      </c>
      <c r="U2278" s="5" t="s">
        <v>44</v>
      </c>
      <c r="V2278" s="5" t="s">
        <v>44</v>
      </c>
      <c r="W2278" s="5" t="s">
        <v>35</v>
      </c>
      <c r="X2278" s="8" t="s">
        <v>45</v>
      </c>
      <c r="Y2278" s="5" t="s">
        <v>46</v>
      </c>
      <c r="Z2278" s="5" t="s">
        <v>47</v>
      </c>
      <c r="AA2278" s="5" t="s">
        <v>64</v>
      </c>
      <c r="AB2278" s="5" t="s">
        <v>11138</v>
      </c>
      <c r="AC2278" s="6" t="s">
        <v>377</v>
      </c>
      <c r="AD2278" s="6">
        <v>1644.0</v>
      </c>
    </row>
    <row r="2279" ht="56.25" customHeight="1">
      <c r="A2279" s="5" t="s">
        <v>11093</v>
      </c>
      <c r="B2279" s="6" t="str">
        <f>IMAGE("https://storage.googleapis.com/acdb/housewares/FtrElectricguitar1_Remake_1_4.png")</f>
        <v/>
      </c>
      <c r="C2279" s="5" t="s">
        <v>11122</v>
      </c>
      <c r="D2279" s="5" t="s">
        <v>34</v>
      </c>
      <c r="E2279" s="5" t="s">
        <v>2841</v>
      </c>
      <c r="F2279" s="5" t="s">
        <v>3454</v>
      </c>
      <c r="G2279" s="5" t="s">
        <v>36</v>
      </c>
      <c r="H2279" s="5" t="s">
        <v>36</v>
      </c>
      <c r="I2279" s="5" t="s">
        <v>35</v>
      </c>
      <c r="J2279" s="6">
        <v>2.0</v>
      </c>
      <c r="K2279" s="6">
        <v>3100.0</v>
      </c>
      <c r="L2279" s="6">
        <v>775.0</v>
      </c>
      <c r="M2279" s="26" t="s">
        <v>69</v>
      </c>
      <c r="N2279" s="26" t="s">
        <v>96</v>
      </c>
      <c r="O2279" s="6" t="s">
        <v>40</v>
      </c>
      <c r="P2279" s="5" t="s">
        <v>59</v>
      </c>
      <c r="Q2279" s="5" t="s">
        <v>89</v>
      </c>
      <c r="R2279" s="6" t="s">
        <v>42</v>
      </c>
      <c r="S2279" s="5" t="s">
        <v>129</v>
      </c>
      <c r="T2279" s="5" t="s">
        <v>44</v>
      </c>
      <c r="U2279" s="5" t="s">
        <v>44</v>
      </c>
      <c r="V2279" s="5" t="s">
        <v>44</v>
      </c>
      <c r="W2279" s="5" t="s">
        <v>35</v>
      </c>
      <c r="X2279" s="8" t="s">
        <v>45</v>
      </c>
      <c r="Y2279" s="5" t="s">
        <v>46</v>
      </c>
      <c r="Z2279" s="5" t="s">
        <v>47</v>
      </c>
      <c r="AA2279" s="5" t="s">
        <v>64</v>
      </c>
      <c r="AB2279" s="5" t="s">
        <v>11143</v>
      </c>
      <c r="AC2279" s="6" t="s">
        <v>520</v>
      </c>
      <c r="AD2279" s="6">
        <v>1644.0</v>
      </c>
    </row>
    <row r="2280" ht="56.25" customHeight="1">
      <c r="A2280" s="5" t="s">
        <v>11093</v>
      </c>
      <c r="B2280" s="6" t="str">
        <f>IMAGE("https://storage.googleapis.com/acdb/housewares/FtrElectricguitar1_Remake_1_5.png")</f>
        <v/>
      </c>
      <c r="C2280" s="5" t="s">
        <v>11122</v>
      </c>
      <c r="D2280" s="5" t="s">
        <v>34</v>
      </c>
      <c r="E2280" s="5" t="s">
        <v>2848</v>
      </c>
      <c r="F2280" s="5" t="s">
        <v>3454</v>
      </c>
      <c r="G2280" s="5" t="s">
        <v>36</v>
      </c>
      <c r="H2280" s="5" t="s">
        <v>36</v>
      </c>
      <c r="I2280" s="5" t="s">
        <v>35</v>
      </c>
      <c r="J2280" s="6">
        <v>2.0</v>
      </c>
      <c r="K2280" s="6">
        <v>3100.0</v>
      </c>
      <c r="L2280" s="6">
        <v>775.0</v>
      </c>
      <c r="M2280" s="26" t="s">
        <v>69</v>
      </c>
      <c r="N2280" s="26" t="s">
        <v>1175</v>
      </c>
      <c r="O2280" s="6" t="s">
        <v>40</v>
      </c>
      <c r="P2280" s="5" t="s">
        <v>59</v>
      </c>
      <c r="Q2280" s="5" t="s">
        <v>89</v>
      </c>
      <c r="R2280" s="6" t="s">
        <v>42</v>
      </c>
      <c r="S2280" s="5" t="s">
        <v>129</v>
      </c>
      <c r="T2280" s="5" t="s">
        <v>44</v>
      </c>
      <c r="U2280" s="5" t="s">
        <v>44</v>
      </c>
      <c r="V2280" s="5" t="s">
        <v>44</v>
      </c>
      <c r="W2280" s="5" t="s">
        <v>35</v>
      </c>
      <c r="X2280" s="8" t="s">
        <v>45</v>
      </c>
      <c r="Y2280" s="5" t="s">
        <v>46</v>
      </c>
      <c r="Z2280" s="5" t="s">
        <v>47</v>
      </c>
      <c r="AA2280" s="5" t="s">
        <v>64</v>
      </c>
      <c r="AB2280" s="5" t="s">
        <v>11147</v>
      </c>
      <c r="AC2280" s="6" t="s">
        <v>1389</v>
      </c>
      <c r="AD2280" s="6">
        <v>1644.0</v>
      </c>
    </row>
    <row r="2281" ht="56.25" customHeight="1">
      <c r="A2281" s="5" t="s">
        <v>11093</v>
      </c>
      <c r="B2281" s="6" t="str">
        <f>IMAGE("https://storage.googleapis.com/acdb/housewares/FtrElectricguitar1_Remake_1_6.png")</f>
        <v/>
      </c>
      <c r="C2281" s="5" t="s">
        <v>11122</v>
      </c>
      <c r="D2281" s="5" t="s">
        <v>34</v>
      </c>
      <c r="E2281" s="5" t="s">
        <v>2855</v>
      </c>
      <c r="F2281" s="5" t="s">
        <v>3454</v>
      </c>
      <c r="G2281" s="5" t="s">
        <v>36</v>
      </c>
      <c r="H2281" s="5" t="s">
        <v>36</v>
      </c>
      <c r="I2281" s="5" t="s">
        <v>35</v>
      </c>
      <c r="J2281" s="6">
        <v>2.0</v>
      </c>
      <c r="K2281" s="6">
        <v>3100.0</v>
      </c>
      <c r="L2281" s="6">
        <v>775.0</v>
      </c>
      <c r="M2281" s="26" t="s">
        <v>69</v>
      </c>
      <c r="N2281" s="26" t="s">
        <v>58</v>
      </c>
      <c r="O2281" s="6" t="s">
        <v>40</v>
      </c>
      <c r="P2281" s="5" t="s">
        <v>59</v>
      </c>
      <c r="Q2281" s="5" t="s">
        <v>89</v>
      </c>
      <c r="R2281" s="6" t="s">
        <v>42</v>
      </c>
      <c r="S2281" s="5" t="s">
        <v>129</v>
      </c>
      <c r="T2281" s="5" t="s">
        <v>44</v>
      </c>
      <c r="U2281" s="5" t="s">
        <v>44</v>
      </c>
      <c r="V2281" s="5" t="s">
        <v>44</v>
      </c>
      <c r="W2281" s="5" t="s">
        <v>35</v>
      </c>
      <c r="X2281" s="8" t="s">
        <v>45</v>
      </c>
      <c r="Y2281" s="5" t="s">
        <v>46</v>
      </c>
      <c r="Z2281" s="5" t="s">
        <v>47</v>
      </c>
      <c r="AA2281" s="5" t="s">
        <v>64</v>
      </c>
      <c r="AB2281" s="5" t="s">
        <v>11150</v>
      </c>
      <c r="AC2281" s="6" t="s">
        <v>1394</v>
      </c>
      <c r="AD2281" s="6">
        <v>1644.0</v>
      </c>
    </row>
    <row r="2282" ht="56.25" customHeight="1">
      <c r="A2282" s="5" t="s">
        <v>11093</v>
      </c>
      <c r="B2282" s="6" t="str">
        <f>IMAGE("https://storage.googleapis.com/acdb/housewares/FtrElectricguitar1_Remake_1_7.png")</f>
        <v/>
      </c>
      <c r="C2282" s="5" t="s">
        <v>11122</v>
      </c>
      <c r="D2282" s="5" t="s">
        <v>34</v>
      </c>
      <c r="E2282" s="5" t="s">
        <v>2863</v>
      </c>
      <c r="F2282" s="5" t="s">
        <v>3454</v>
      </c>
      <c r="G2282" s="5" t="s">
        <v>36</v>
      </c>
      <c r="H2282" s="5" t="s">
        <v>36</v>
      </c>
      <c r="I2282" s="5" t="s">
        <v>35</v>
      </c>
      <c r="J2282" s="6">
        <v>2.0</v>
      </c>
      <c r="K2282" s="6">
        <v>3100.0</v>
      </c>
      <c r="L2282" s="6">
        <v>775.0</v>
      </c>
      <c r="M2282" s="26" t="s">
        <v>69</v>
      </c>
      <c r="N2282" s="26" t="s">
        <v>69</v>
      </c>
      <c r="O2282" s="6" t="s">
        <v>40</v>
      </c>
      <c r="P2282" s="5" t="s">
        <v>59</v>
      </c>
      <c r="Q2282" s="5" t="s">
        <v>89</v>
      </c>
      <c r="R2282" s="6" t="s">
        <v>42</v>
      </c>
      <c r="S2282" s="5" t="s">
        <v>129</v>
      </c>
      <c r="T2282" s="5" t="s">
        <v>44</v>
      </c>
      <c r="U2282" s="5" t="s">
        <v>44</v>
      </c>
      <c r="V2282" s="5" t="s">
        <v>44</v>
      </c>
      <c r="W2282" s="5" t="s">
        <v>35</v>
      </c>
      <c r="X2282" s="8" t="s">
        <v>45</v>
      </c>
      <c r="Y2282" s="5" t="s">
        <v>46</v>
      </c>
      <c r="Z2282" s="5" t="s">
        <v>47</v>
      </c>
      <c r="AA2282" s="5" t="s">
        <v>64</v>
      </c>
      <c r="AB2282" s="5" t="s">
        <v>11154</v>
      </c>
      <c r="AC2282" s="6" t="s">
        <v>1729</v>
      </c>
      <c r="AD2282" s="6">
        <v>1644.0</v>
      </c>
    </row>
    <row r="2283" ht="56.25" customHeight="1">
      <c r="A2283" s="5" t="s">
        <v>11093</v>
      </c>
      <c r="B2283" s="6" t="str">
        <f>IMAGE("https://storage.googleapis.com/acdb/housewares/FtrElectricguitar1_Remake_2_0.png")</f>
        <v/>
      </c>
      <c r="C2283" s="5" t="s">
        <v>3208</v>
      </c>
      <c r="D2283" s="5" t="s">
        <v>34</v>
      </c>
      <c r="E2283" s="5" t="s">
        <v>44</v>
      </c>
      <c r="F2283" s="5" t="s">
        <v>3454</v>
      </c>
      <c r="G2283" s="5" t="s">
        <v>36</v>
      </c>
      <c r="H2283" s="5" t="s">
        <v>36</v>
      </c>
      <c r="I2283" s="5" t="s">
        <v>35</v>
      </c>
      <c r="J2283" s="6">
        <v>2.0</v>
      </c>
      <c r="K2283" s="6">
        <v>3100.0</v>
      </c>
      <c r="L2283" s="6">
        <v>775.0</v>
      </c>
      <c r="M2283" s="26" t="s">
        <v>54</v>
      </c>
      <c r="N2283" s="26" t="s">
        <v>57</v>
      </c>
      <c r="O2283" s="6" t="s">
        <v>40</v>
      </c>
      <c r="P2283" s="5" t="s">
        <v>59</v>
      </c>
      <c r="Q2283" s="5" t="s">
        <v>89</v>
      </c>
      <c r="R2283" s="6" t="s">
        <v>42</v>
      </c>
      <c r="S2283" s="5" t="s">
        <v>129</v>
      </c>
      <c r="T2283" s="5" t="s">
        <v>44</v>
      </c>
      <c r="U2283" s="5" t="s">
        <v>44</v>
      </c>
      <c r="V2283" s="5" t="s">
        <v>44</v>
      </c>
      <c r="W2283" s="5" t="s">
        <v>35</v>
      </c>
      <c r="X2283" s="8" t="s">
        <v>45</v>
      </c>
      <c r="Y2283" s="5" t="s">
        <v>46</v>
      </c>
      <c r="Z2283" s="5" t="s">
        <v>47</v>
      </c>
      <c r="AA2283" s="5" t="s">
        <v>64</v>
      </c>
      <c r="AB2283" s="5" t="s">
        <v>11159</v>
      </c>
      <c r="AC2283" s="6" t="s">
        <v>67</v>
      </c>
      <c r="AD2283" s="6">
        <v>1644.0</v>
      </c>
    </row>
    <row r="2284" ht="56.25" customHeight="1">
      <c r="A2284" s="5" t="s">
        <v>11093</v>
      </c>
      <c r="B2284" s="6" t="str">
        <f>IMAGE("https://storage.googleapis.com/acdb/housewares/FtrElectricguitar1_Remake_2_1.png")</f>
        <v/>
      </c>
      <c r="C2284" s="5" t="s">
        <v>3208</v>
      </c>
      <c r="D2284" s="5" t="s">
        <v>34</v>
      </c>
      <c r="E2284" s="5" t="s">
        <v>2817</v>
      </c>
      <c r="F2284" s="5" t="s">
        <v>3454</v>
      </c>
      <c r="G2284" s="5" t="s">
        <v>36</v>
      </c>
      <c r="H2284" s="5" t="s">
        <v>36</v>
      </c>
      <c r="I2284" s="5" t="s">
        <v>35</v>
      </c>
      <c r="J2284" s="6">
        <v>2.0</v>
      </c>
      <c r="K2284" s="6">
        <v>3100.0</v>
      </c>
      <c r="L2284" s="6">
        <v>775.0</v>
      </c>
      <c r="M2284" s="26" t="s">
        <v>54</v>
      </c>
      <c r="N2284" s="26" t="s">
        <v>54</v>
      </c>
      <c r="O2284" s="6" t="s">
        <v>40</v>
      </c>
      <c r="P2284" s="5" t="s">
        <v>59</v>
      </c>
      <c r="Q2284" s="5" t="s">
        <v>89</v>
      </c>
      <c r="R2284" s="6" t="s">
        <v>42</v>
      </c>
      <c r="S2284" s="5" t="s">
        <v>129</v>
      </c>
      <c r="T2284" s="5" t="s">
        <v>44</v>
      </c>
      <c r="U2284" s="5" t="s">
        <v>44</v>
      </c>
      <c r="V2284" s="5" t="s">
        <v>44</v>
      </c>
      <c r="W2284" s="5" t="s">
        <v>35</v>
      </c>
      <c r="X2284" s="8" t="s">
        <v>45</v>
      </c>
      <c r="Y2284" s="5" t="s">
        <v>46</v>
      </c>
      <c r="Z2284" s="5" t="s">
        <v>47</v>
      </c>
      <c r="AA2284" s="5" t="s">
        <v>64</v>
      </c>
      <c r="AB2284" s="5" t="s">
        <v>11162</v>
      </c>
      <c r="AC2284" s="6" t="s">
        <v>247</v>
      </c>
      <c r="AD2284" s="6">
        <v>1644.0</v>
      </c>
    </row>
    <row r="2285" ht="56.25" customHeight="1">
      <c r="A2285" s="5" t="s">
        <v>11093</v>
      </c>
      <c r="B2285" s="6" t="str">
        <f>IMAGE("https://storage.googleapis.com/acdb/housewares/FtrElectricguitar1_Remake_2_2.png")</f>
        <v/>
      </c>
      <c r="C2285" s="5" t="s">
        <v>3208</v>
      </c>
      <c r="D2285" s="5" t="s">
        <v>34</v>
      </c>
      <c r="E2285" s="5" t="s">
        <v>2827</v>
      </c>
      <c r="F2285" s="5" t="s">
        <v>3454</v>
      </c>
      <c r="G2285" s="5" t="s">
        <v>36</v>
      </c>
      <c r="H2285" s="5" t="s">
        <v>36</v>
      </c>
      <c r="I2285" s="5" t="s">
        <v>35</v>
      </c>
      <c r="J2285" s="6">
        <v>2.0</v>
      </c>
      <c r="K2285" s="6">
        <v>3100.0</v>
      </c>
      <c r="L2285" s="6">
        <v>775.0</v>
      </c>
      <c r="M2285" s="26" t="s">
        <v>54</v>
      </c>
      <c r="N2285" s="26" t="s">
        <v>57</v>
      </c>
      <c r="O2285" s="6" t="s">
        <v>40</v>
      </c>
      <c r="P2285" s="5" t="s">
        <v>59</v>
      </c>
      <c r="Q2285" s="5" t="s">
        <v>89</v>
      </c>
      <c r="R2285" s="6" t="s">
        <v>42</v>
      </c>
      <c r="S2285" s="5" t="s">
        <v>129</v>
      </c>
      <c r="T2285" s="5" t="s">
        <v>44</v>
      </c>
      <c r="U2285" s="5" t="s">
        <v>44</v>
      </c>
      <c r="V2285" s="5" t="s">
        <v>44</v>
      </c>
      <c r="W2285" s="5" t="s">
        <v>35</v>
      </c>
      <c r="X2285" s="8" t="s">
        <v>45</v>
      </c>
      <c r="Y2285" s="5" t="s">
        <v>46</v>
      </c>
      <c r="Z2285" s="5" t="s">
        <v>47</v>
      </c>
      <c r="AA2285" s="5" t="s">
        <v>64</v>
      </c>
      <c r="AB2285" s="5" t="s">
        <v>11168</v>
      </c>
      <c r="AC2285" s="6" t="s">
        <v>390</v>
      </c>
      <c r="AD2285" s="6">
        <v>1644.0</v>
      </c>
    </row>
    <row r="2286" ht="56.25" customHeight="1">
      <c r="A2286" s="5" t="s">
        <v>11093</v>
      </c>
      <c r="B2286" s="6" t="str">
        <f>IMAGE("https://storage.googleapis.com/acdb/housewares/FtrElectricguitar1_Remake_2_3.png")</f>
        <v/>
      </c>
      <c r="C2286" s="5" t="s">
        <v>3208</v>
      </c>
      <c r="D2286" s="5" t="s">
        <v>34</v>
      </c>
      <c r="E2286" s="5" t="s">
        <v>2833</v>
      </c>
      <c r="F2286" s="5" t="s">
        <v>3454</v>
      </c>
      <c r="G2286" s="5" t="s">
        <v>36</v>
      </c>
      <c r="H2286" s="5" t="s">
        <v>36</v>
      </c>
      <c r="I2286" s="5" t="s">
        <v>35</v>
      </c>
      <c r="J2286" s="6">
        <v>2.0</v>
      </c>
      <c r="K2286" s="6">
        <v>3100.0</v>
      </c>
      <c r="L2286" s="6">
        <v>775.0</v>
      </c>
      <c r="M2286" s="26" t="s">
        <v>54</v>
      </c>
      <c r="N2286" s="26" t="s">
        <v>106</v>
      </c>
      <c r="O2286" s="6" t="s">
        <v>40</v>
      </c>
      <c r="P2286" s="5" t="s">
        <v>59</v>
      </c>
      <c r="Q2286" s="5" t="s">
        <v>89</v>
      </c>
      <c r="R2286" s="6" t="s">
        <v>42</v>
      </c>
      <c r="S2286" s="5" t="s">
        <v>129</v>
      </c>
      <c r="T2286" s="5" t="s">
        <v>44</v>
      </c>
      <c r="U2286" s="5" t="s">
        <v>44</v>
      </c>
      <c r="V2286" s="5" t="s">
        <v>44</v>
      </c>
      <c r="W2286" s="5" t="s">
        <v>35</v>
      </c>
      <c r="X2286" s="8" t="s">
        <v>45</v>
      </c>
      <c r="Y2286" s="5" t="s">
        <v>46</v>
      </c>
      <c r="Z2286" s="5" t="s">
        <v>47</v>
      </c>
      <c r="AA2286" s="5" t="s">
        <v>64</v>
      </c>
      <c r="AB2286" s="5" t="s">
        <v>11171</v>
      </c>
      <c r="AC2286" s="6" t="s">
        <v>396</v>
      </c>
      <c r="AD2286" s="6">
        <v>1644.0</v>
      </c>
    </row>
    <row r="2287" ht="56.25" customHeight="1">
      <c r="A2287" s="5" t="s">
        <v>11093</v>
      </c>
      <c r="B2287" s="6" t="str">
        <f>IMAGE("https://storage.googleapis.com/acdb/housewares/FtrElectricguitar1_Remake_2_4.png")</f>
        <v/>
      </c>
      <c r="C2287" s="5" t="s">
        <v>3208</v>
      </c>
      <c r="D2287" s="5" t="s">
        <v>34</v>
      </c>
      <c r="E2287" s="5" t="s">
        <v>2841</v>
      </c>
      <c r="F2287" s="5" t="s">
        <v>3454</v>
      </c>
      <c r="G2287" s="5" t="s">
        <v>36</v>
      </c>
      <c r="H2287" s="5" t="s">
        <v>36</v>
      </c>
      <c r="I2287" s="5" t="s">
        <v>35</v>
      </c>
      <c r="J2287" s="6">
        <v>2.0</v>
      </c>
      <c r="K2287" s="6">
        <v>3100.0</v>
      </c>
      <c r="L2287" s="6">
        <v>775.0</v>
      </c>
      <c r="M2287" s="26" t="s">
        <v>54</v>
      </c>
      <c r="N2287" s="26" t="s">
        <v>96</v>
      </c>
      <c r="O2287" s="6" t="s">
        <v>40</v>
      </c>
      <c r="P2287" s="5" t="s">
        <v>59</v>
      </c>
      <c r="Q2287" s="5" t="s">
        <v>89</v>
      </c>
      <c r="R2287" s="6" t="s">
        <v>42</v>
      </c>
      <c r="S2287" s="5" t="s">
        <v>129</v>
      </c>
      <c r="T2287" s="5" t="s">
        <v>44</v>
      </c>
      <c r="U2287" s="5" t="s">
        <v>44</v>
      </c>
      <c r="V2287" s="5" t="s">
        <v>44</v>
      </c>
      <c r="W2287" s="5" t="s">
        <v>35</v>
      </c>
      <c r="X2287" s="8" t="s">
        <v>45</v>
      </c>
      <c r="Y2287" s="5" t="s">
        <v>46</v>
      </c>
      <c r="Z2287" s="5" t="s">
        <v>47</v>
      </c>
      <c r="AA2287" s="5" t="s">
        <v>64</v>
      </c>
      <c r="AB2287" s="5" t="s">
        <v>11174</v>
      </c>
      <c r="AC2287" s="6" t="s">
        <v>541</v>
      </c>
      <c r="AD2287" s="6">
        <v>1644.0</v>
      </c>
    </row>
    <row r="2288" ht="56.25" customHeight="1">
      <c r="A2288" s="5" t="s">
        <v>11093</v>
      </c>
      <c r="B2288" s="6" t="str">
        <f>IMAGE("https://storage.googleapis.com/acdb/housewares/FtrElectricguitar1_Remake_2_5.png")</f>
        <v/>
      </c>
      <c r="C2288" s="5" t="s">
        <v>3208</v>
      </c>
      <c r="D2288" s="5" t="s">
        <v>34</v>
      </c>
      <c r="E2288" s="5" t="s">
        <v>2848</v>
      </c>
      <c r="F2288" s="5" t="s">
        <v>3454</v>
      </c>
      <c r="G2288" s="5" t="s">
        <v>36</v>
      </c>
      <c r="H2288" s="5" t="s">
        <v>36</v>
      </c>
      <c r="I2288" s="5" t="s">
        <v>35</v>
      </c>
      <c r="J2288" s="6">
        <v>2.0</v>
      </c>
      <c r="K2288" s="6">
        <v>3100.0</v>
      </c>
      <c r="L2288" s="6">
        <v>775.0</v>
      </c>
      <c r="M2288" s="26" t="s">
        <v>54</v>
      </c>
      <c r="N2288" s="26" t="s">
        <v>1175</v>
      </c>
      <c r="O2288" s="6" t="s">
        <v>40</v>
      </c>
      <c r="P2288" s="5" t="s">
        <v>59</v>
      </c>
      <c r="Q2288" s="5" t="s">
        <v>89</v>
      </c>
      <c r="R2288" s="6" t="s">
        <v>42</v>
      </c>
      <c r="S2288" s="5" t="s">
        <v>129</v>
      </c>
      <c r="T2288" s="5" t="s">
        <v>44</v>
      </c>
      <c r="U2288" s="5" t="s">
        <v>44</v>
      </c>
      <c r="V2288" s="5" t="s">
        <v>44</v>
      </c>
      <c r="W2288" s="5" t="s">
        <v>35</v>
      </c>
      <c r="X2288" s="8" t="s">
        <v>45</v>
      </c>
      <c r="Y2288" s="5" t="s">
        <v>46</v>
      </c>
      <c r="Z2288" s="5" t="s">
        <v>47</v>
      </c>
      <c r="AA2288" s="5" t="s">
        <v>64</v>
      </c>
      <c r="AB2288" s="5" t="s">
        <v>11179</v>
      </c>
      <c r="AC2288" s="6" t="s">
        <v>1415</v>
      </c>
      <c r="AD2288" s="6">
        <v>1644.0</v>
      </c>
    </row>
    <row r="2289" ht="56.25" customHeight="1">
      <c r="A2289" s="5" t="s">
        <v>11093</v>
      </c>
      <c r="B2289" s="6" t="str">
        <f>IMAGE("https://storage.googleapis.com/acdb/housewares/FtrElectricguitar1_Remake_2_6.png")</f>
        <v/>
      </c>
      <c r="C2289" s="5" t="s">
        <v>3208</v>
      </c>
      <c r="D2289" s="5" t="s">
        <v>34</v>
      </c>
      <c r="E2289" s="5" t="s">
        <v>2855</v>
      </c>
      <c r="F2289" s="5" t="s">
        <v>3454</v>
      </c>
      <c r="G2289" s="5" t="s">
        <v>36</v>
      </c>
      <c r="H2289" s="5" t="s">
        <v>36</v>
      </c>
      <c r="I2289" s="5" t="s">
        <v>35</v>
      </c>
      <c r="J2289" s="6">
        <v>2.0</v>
      </c>
      <c r="K2289" s="6">
        <v>3100.0</v>
      </c>
      <c r="L2289" s="6">
        <v>775.0</v>
      </c>
      <c r="M2289" s="26" t="s">
        <v>54</v>
      </c>
      <c r="N2289" s="26" t="s">
        <v>58</v>
      </c>
      <c r="O2289" s="6" t="s">
        <v>40</v>
      </c>
      <c r="P2289" s="5" t="s">
        <v>59</v>
      </c>
      <c r="Q2289" s="5" t="s">
        <v>89</v>
      </c>
      <c r="R2289" s="6" t="s">
        <v>42</v>
      </c>
      <c r="S2289" s="5" t="s">
        <v>129</v>
      </c>
      <c r="T2289" s="5" t="s">
        <v>44</v>
      </c>
      <c r="U2289" s="5" t="s">
        <v>44</v>
      </c>
      <c r="V2289" s="5" t="s">
        <v>44</v>
      </c>
      <c r="W2289" s="5" t="s">
        <v>35</v>
      </c>
      <c r="X2289" s="8" t="s">
        <v>45</v>
      </c>
      <c r="Y2289" s="5" t="s">
        <v>46</v>
      </c>
      <c r="Z2289" s="5" t="s">
        <v>47</v>
      </c>
      <c r="AA2289" s="5" t="s">
        <v>64</v>
      </c>
      <c r="AB2289" s="5" t="s">
        <v>11184</v>
      </c>
      <c r="AC2289" s="6" t="s">
        <v>1421</v>
      </c>
      <c r="AD2289" s="6">
        <v>1644.0</v>
      </c>
    </row>
    <row r="2290" ht="56.25" customHeight="1">
      <c r="A2290" s="5" t="s">
        <v>11093</v>
      </c>
      <c r="B2290" s="6" t="str">
        <f>IMAGE("https://storage.googleapis.com/acdb/housewares/FtrElectricguitar1_Remake_2_7.png")</f>
        <v/>
      </c>
      <c r="C2290" s="5" t="s">
        <v>3208</v>
      </c>
      <c r="D2290" s="5" t="s">
        <v>34</v>
      </c>
      <c r="E2290" s="5" t="s">
        <v>2863</v>
      </c>
      <c r="F2290" s="5" t="s">
        <v>3454</v>
      </c>
      <c r="G2290" s="5" t="s">
        <v>36</v>
      </c>
      <c r="H2290" s="5" t="s">
        <v>36</v>
      </c>
      <c r="I2290" s="5" t="s">
        <v>35</v>
      </c>
      <c r="J2290" s="6">
        <v>2.0</v>
      </c>
      <c r="K2290" s="6">
        <v>3100.0</v>
      </c>
      <c r="L2290" s="6">
        <v>775.0</v>
      </c>
      <c r="M2290" s="26" t="s">
        <v>54</v>
      </c>
      <c r="N2290" s="26" t="s">
        <v>69</v>
      </c>
      <c r="O2290" s="6" t="s">
        <v>40</v>
      </c>
      <c r="P2290" s="5" t="s">
        <v>59</v>
      </c>
      <c r="Q2290" s="5" t="s">
        <v>89</v>
      </c>
      <c r="R2290" s="6" t="s">
        <v>42</v>
      </c>
      <c r="S2290" s="5" t="s">
        <v>129</v>
      </c>
      <c r="T2290" s="5" t="s">
        <v>44</v>
      </c>
      <c r="U2290" s="5" t="s">
        <v>44</v>
      </c>
      <c r="V2290" s="5" t="s">
        <v>44</v>
      </c>
      <c r="W2290" s="5" t="s">
        <v>35</v>
      </c>
      <c r="X2290" s="8" t="s">
        <v>45</v>
      </c>
      <c r="Y2290" s="5" t="s">
        <v>46</v>
      </c>
      <c r="Z2290" s="5" t="s">
        <v>47</v>
      </c>
      <c r="AA2290" s="5" t="s">
        <v>64</v>
      </c>
      <c r="AB2290" s="5" t="s">
        <v>11188</v>
      </c>
      <c r="AC2290" s="6" t="s">
        <v>1759</v>
      </c>
      <c r="AD2290" s="6">
        <v>1644.0</v>
      </c>
    </row>
    <row r="2291" ht="56.25" customHeight="1">
      <c r="A2291" s="5" t="s">
        <v>11093</v>
      </c>
      <c r="B2291" s="6" t="str">
        <f>IMAGE("https://storage.googleapis.com/acdb/housewares/FtrElectricguitar1_Remake_3_0.png")</f>
        <v/>
      </c>
      <c r="C2291" s="5" t="s">
        <v>11191</v>
      </c>
      <c r="D2291" s="5" t="s">
        <v>34</v>
      </c>
      <c r="E2291" s="5" t="s">
        <v>44</v>
      </c>
      <c r="F2291" s="5" t="s">
        <v>3454</v>
      </c>
      <c r="G2291" s="5" t="s">
        <v>36</v>
      </c>
      <c r="H2291" s="5" t="s">
        <v>36</v>
      </c>
      <c r="I2291" s="5" t="s">
        <v>35</v>
      </c>
      <c r="J2291" s="6">
        <v>2.0</v>
      </c>
      <c r="K2291" s="6">
        <v>3100.0</v>
      </c>
      <c r="L2291" s="6">
        <v>775.0</v>
      </c>
      <c r="M2291" s="26" t="s">
        <v>52</v>
      </c>
      <c r="N2291" s="26" t="s">
        <v>57</v>
      </c>
      <c r="O2291" s="6" t="s">
        <v>40</v>
      </c>
      <c r="P2291" s="5" t="s">
        <v>59</v>
      </c>
      <c r="Q2291" s="5" t="s">
        <v>89</v>
      </c>
      <c r="R2291" s="6" t="s">
        <v>42</v>
      </c>
      <c r="S2291" s="5" t="s">
        <v>129</v>
      </c>
      <c r="T2291" s="5" t="s">
        <v>44</v>
      </c>
      <c r="U2291" s="5" t="s">
        <v>44</v>
      </c>
      <c r="V2291" s="5" t="s">
        <v>44</v>
      </c>
      <c r="W2291" s="5" t="s">
        <v>35</v>
      </c>
      <c r="X2291" s="8" t="s">
        <v>45</v>
      </c>
      <c r="Y2291" s="5" t="s">
        <v>46</v>
      </c>
      <c r="Z2291" s="5" t="s">
        <v>47</v>
      </c>
      <c r="AA2291" s="5" t="s">
        <v>64</v>
      </c>
      <c r="AB2291" s="5" t="s">
        <v>11195</v>
      </c>
      <c r="AC2291" s="6" t="s">
        <v>71</v>
      </c>
      <c r="AD2291" s="6">
        <v>1644.0</v>
      </c>
    </row>
    <row r="2292" ht="56.25" customHeight="1">
      <c r="A2292" s="5" t="s">
        <v>11093</v>
      </c>
      <c r="B2292" s="6" t="str">
        <f>IMAGE("https://storage.googleapis.com/acdb/housewares/FtrElectricguitar1_Remake_3_1.png")</f>
        <v/>
      </c>
      <c r="C2292" s="5" t="s">
        <v>11191</v>
      </c>
      <c r="D2292" s="5" t="s">
        <v>34</v>
      </c>
      <c r="E2292" s="5" t="s">
        <v>2817</v>
      </c>
      <c r="F2292" s="5" t="s">
        <v>3454</v>
      </c>
      <c r="G2292" s="5" t="s">
        <v>36</v>
      </c>
      <c r="H2292" s="5" t="s">
        <v>36</v>
      </c>
      <c r="I2292" s="5" t="s">
        <v>35</v>
      </c>
      <c r="J2292" s="6">
        <v>2.0</v>
      </c>
      <c r="K2292" s="6">
        <v>3100.0</v>
      </c>
      <c r="L2292" s="6">
        <v>775.0</v>
      </c>
      <c r="M2292" s="26" t="s">
        <v>52</v>
      </c>
      <c r="N2292" s="26" t="s">
        <v>54</v>
      </c>
      <c r="O2292" s="6" t="s">
        <v>40</v>
      </c>
      <c r="P2292" s="5" t="s">
        <v>59</v>
      </c>
      <c r="Q2292" s="5" t="s">
        <v>89</v>
      </c>
      <c r="R2292" s="6" t="s">
        <v>42</v>
      </c>
      <c r="S2292" s="5" t="s">
        <v>129</v>
      </c>
      <c r="T2292" s="5" t="s">
        <v>44</v>
      </c>
      <c r="U2292" s="5" t="s">
        <v>44</v>
      </c>
      <c r="V2292" s="5" t="s">
        <v>44</v>
      </c>
      <c r="W2292" s="5" t="s">
        <v>35</v>
      </c>
      <c r="X2292" s="8" t="s">
        <v>45</v>
      </c>
      <c r="Y2292" s="5" t="s">
        <v>46</v>
      </c>
      <c r="Z2292" s="5" t="s">
        <v>47</v>
      </c>
      <c r="AA2292" s="5" t="s">
        <v>64</v>
      </c>
      <c r="AB2292" s="5" t="s">
        <v>11198</v>
      </c>
      <c r="AC2292" s="6" t="s">
        <v>257</v>
      </c>
      <c r="AD2292" s="6">
        <v>1644.0</v>
      </c>
    </row>
    <row r="2293" ht="56.25" customHeight="1">
      <c r="A2293" s="5" t="s">
        <v>11093</v>
      </c>
      <c r="B2293" s="6" t="str">
        <f>IMAGE("https://storage.googleapis.com/acdb/housewares/FtrElectricguitar1_Remake_3_2.png")</f>
        <v/>
      </c>
      <c r="C2293" s="5" t="s">
        <v>11191</v>
      </c>
      <c r="D2293" s="5" t="s">
        <v>34</v>
      </c>
      <c r="E2293" s="5" t="s">
        <v>2827</v>
      </c>
      <c r="F2293" s="5" t="s">
        <v>3454</v>
      </c>
      <c r="G2293" s="5" t="s">
        <v>36</v>
      </c>
      <c r="H2293" s="5" t="s">
        <v>36</v>
      </c>
      <c r="I2293" s="5" t="s">
        <v>35</v>
      </c>
      <c r="J2293" s="6">
        <v>2.0</v>
      </c>
      <c r="K2293" s="6">
        <v>3100.0</v>
      </c>
      <c r="L2293" s="6">
        <v>775.0</v>
      </c>
      <c r="M2293" s="26" t="s">
        <v>52</v>
      </c>
      <c r="N2293" s="26" t="s">
        <v>57</v>
      </c>
      <c r="O2293" s="6" t="s">
        <v>40</v>
      </c>
      <c r="P2293" s="5" t="s">
        <v>59</v>
      </c>
      <c r="Q2293" s="5" t="s">
        <v>89</v>
      </c>
      <c r="R2293" s="6" t="s">
        <v>42</v>
      </c>
      <c r="S2293" s="5" t="s">
        <v>129</v>
      </c>
      <c r="T2293" s="5" t="s">
        <v>44</v>
      </c>
      <c r="U2293" s="5" t="s">
        <v>44</v>
      </c>
      <c r="V2293" s="5" t="s">
        <v>44</v>
      </c>
      <c r="W2293" s="5" t="s">
        <v>35</v>
      </c>
      <c r="X2293" s="8" t="s">
        <v>45</v>
      </c>
      <c r="Y2293" s="5" t="s">
        <v>46</v>
      </c>
      <c r="Z2293" s="5" t="s">
        <v>47</v>
      </c>
      <c r="AA2293" s="5" t="s">
        <v>64</v>
      </c>
      <c r="AB2293" s="5" t="s">
        <v>11203</v>
      </c>
      <c r="AC2293" s="6" t="s">
        <v>414</v>
      </c>
      <c r="AD2293" s="6">
        <v>1644.0</v>
      </c>
    </row>
    <row r="2294" ht="56.25" customHeight="1">
      <c r="A2294" s="5" t="s">
        <v>11093</v>
      </c>
      <c r="B2294" s="6" t="str">
        <f>IMAGE("https://storage.googleapis.com/acdb/housewares/FtrElectricguitar1_Remake_3_3.png")</f>
        <v/>
      </c>
      <c r="C2294" s="5" t="s">
        <v>11191</v>
      </c>
      <c r="D2294" s="5" t="s">
        <v>34</v>
      </c>
      <c r="E2294" s="5" t="s">
        <v>2833</v>
      </c>
      <c r="F2294" s="5" t="s">
        <v>3454</v>
      </c>
      <c r="G2294" s="5" t="s">
        <v>36</v>
      </c>
      <c r="H2294" s="5" t="s">
        <v>36</v>
      </c>
      <c r="I2294" s="5" t="s">
        <v>35</v>
      </c>
      <c r="J2294" s="6">
        <v>2.0</v>
      </c>
      <c r="K2294" s="6">
        <v>3100.0</v>
      </c>
      <c r="L2294" s="6">
        <v>775.0</v>
      </c>
      <c r="M2294" s="26" t="s">
        <v>52</v>
      </c>
      <c r="N2294" s="26" t="s">
        <v>106</v>
      </c>
      <c r="O2294" s="6" t="s">
        <v>40</v>
      </c>
      <c r="P2294" s="5" t="s">
        <v>59</v>
      </c>
      <c r="Q2294" s="5" t="s">
        <v>89</v>
      </c>
      <c r="R2294" s="6" t="s">
        <v>42</v>
      </c>
      <c r="S2294" s="5" t="s">
        <v>129</v>
      </c>
      <c r="T2294" s="5" t="s">
        <v>44</v>
      </c>
      <c r="U2294" s="5" t="s">
        <v>44</v>
      </c>
      <c r="V2294" s="5" t="s">
        <v>44</v>
      </c>
      <c r="W2294" s="5" t="s">
        <v>35</v>
      </c>
      <c r="X2294" s="8" t="s">
        <v>45</v>
      </c>
      <c r="Y2294" s="5" t="s">
        <v>46</v>
      </c>
      <c r="Z2294" s="5" t="s">
        <v>47</v>
      </c>
      <c r="AA2294" s="5" t="s">
        <v>64</v>
      </c>
      <c r="AB2294" s="5" t="s">
        <v>11207</v>
      </c>
      <c r="AC2294" s="6" t="s">
        <v>418</v>
      </c>
      <c r="AD2294" s="6">
        <v>1644.0</v>
      </c>
    </row>
    <row r="2295" ht="56.25" customHeight="1">
      <c r="A2295" s="5" t="s">
        <v>11093</v>
      </c>
      <c r="B2295" s="6" t="str">
        <f>IMAGE("https://storage.googleapis.com/acdb/housewares/FtrElectricguitar1_Remake_3_4.png")</f>
        <v/>
      </c>
      <c r="C2295" s="5" t="s">
        <v>11191</v>
      </c>
      <c r="D2295" s="5" t="s">
        <v>34</v>
      </c>
      <c r="E2295" s="5" t="s">
        <v>2841</v>
      </c>
      <c r="F2295" s="5" t="s">
        <v>3454</v>
      </c>
      <c r="G2295" s="5" t="s">
        <v>36</v>
      </c>
      <c r="H2295" s="5" t="s">
        <v>36</v>
      </c>
      <c r="I2295" s="5" t="s">
        <v>35</v>
      </c>
      <c r="J2295" s="6">
        <v>2.0</v>
      </c>
      <c r="K2295" s="6">
        <v>3100.0</v>
      </c>
      <c r="L2295" s="6">
        <v>775.0</v>
      </c>
      <c r="M2295" s="26" t="s">
        <v>52</v>
      </c>
      <c r="N2295" s="26" t="s">
        <v>96</v>
      </c>
      <c r="O2295" s="6" t="s">
        <v>40</v>
      </c>
      <c r="P2295" s="5" t="s">
        <v>59</v>
      </c>
      <c r="Q2295" s="5" t="s">
        <v>89</v>
      </c>
      <c r="R2295" s="6" t="s">
        <v>42</v>
      </c>
      <c r="S2295" s="5" t="s">
        <v>129</v>
      </c>
      <c r="T2295" s="5" t="s">
        <v>44</v>
      </c>
      <c r="U2295" s="5" t="s">
        <v>44</v>
      </c>
      <c r="V2295" s="5" t="s">
        <v>44</v>
      </c>
      <c r="W2295" s="5" t="s">
        <v>35</v>
      </c>
      <c r="X2295" s="8" t="s">
        <v>45</v>
      </c>
      <c r="Y2295" s="5" t="s">
        <v>46</v>
      </c>
      <c r="Z2295" s="5" t="s">
        <v>47</v>
      </c>
      <c r="AA2295" s="5" t="s">
        <v>64</v>
      </c>
      <c r="AB2295" s="5" t="s">
        <v>11212</v>
      </c>
      <c r="AC2295" s="6" t="s">
        <v>563</v>
      </c>
      <c r="AD2295" s="6">
        <v>1644.0</v>
      </c>
    </row>
    <row r="2296" ht="56.25" customHeight="1">
      <c r="A2296" s="5" t="s">
        <v>11093</v>
      </c>
      <c r="B2296" s="6" t="str">
        <f>IMAGE("https://storage.googleapis.com/acdb/housewares/FtrElectricguitar1_Remake_3_5.png")</f>
        <v/>
      </c>
      <c r="C2296" s="5" t="s">
        <v>11191</v>
      </c>
      <c r="D2296" s="5" t="s">
        <v>34</v>
      </c>
      <c r="E2296" s="5" t="s">
        <v>2848</v>
      </c>
      <c r="F2296" s="5" t="s">
        <v>3454</v>
      </c>
      <c r="G2296" s="5" t="s">
        <v>36</v>
      </c>
      <c r="H2296" s="5" t="s">
        <v>36</v>
      </c>
      <c r="I2296" s="5" t="s">
        <v>35</v>
      </c>
      <c r="J2296" s="6">
        <v>2.0</v>
      </c>
      <c r="K2296" s="6">
        <v>3100.0</v>
      </c>
      <c r="L2296" s="6">
        <v>775.0</v>
      </c>
      <c r="M2296" s="26" t="s">
        <v>52</v>
      </c>
      <c r="N2296" s="26" t="s">
        <v>1175</v>
      </c>
      <c r="O2296" s="6" t="s">
        <v>40</v>
      </c>
      <c r="P2296" s="5" t="s">
        <v>59</v>
      </c>
      <c r="Q2296" s="5" t="s">
        <v>89</v>
      </c>
      <c r="R2296" s="6" t="s">
        <v>42</v>
      </c>
      <c r="S2296" s="5" t="s">
        <v>129</v>
      </c>
      <c r="T2296" s="5" t="s">
        <v>44</v>
      </c>
      <c r="U2296" s="5" t="s">
        <v>44</v>
      </c>
      <c r="V2296" s="5" t="s">
        <v>44</v>
      </c>
      <c r="W2296" s="5" t="s">
        <v>35</v>
      </c>
      <c r="X2296" s="8" t="s">
        <v>45</v>
      </c>
      <c r="Y2296" s="5" t="s">
        <v>46</v>
      </c>
      <c r="Z2296" s="5" t="s">
        <v>47</v>
      </c>
      <c r="AA2296" s="5" t="s">
        <v>64</v>
      </c>
      <c r="AB2296" s="5" t="s">
        <v>11216</v>
      </c>
      <c r="AC2296" s="6" t="s">
        <v>1443</v>
      </c>
      <c r="AD2296" s="6">
        <v>1644.0</v>
      </c>
    </row>
    <row r="2297" ht="56.25" customHeight="1">
      <c r="A2297" s="5" t="s">
        <v>11093</v>
      </c>
      <c r="B2297" s="6" t="str">
        <f>IMAGE("https://storage.googleapis.com/acdb/housewares/FtrElectricguitar1_Remake_3_6.png")</f>
        <v/>
      </c>
      <c r="C2297" s="5" t="s">
        <v>11191</v>
      </c>
      <c r="D2297" s="5" t="s">
        <v>34</v>
      </c>
      <c r="E2297" s="5" t="s">
        <v>2855</v>
      </c>
      <c r="F2297" s="5" t="s">
        <v>3454</v>
      </c>
      <c r="G2297" s="5" t="s">
        <v>36</v>
      </c>
      <c r="H2297" s="5" t="s">
        <v>36</v>
      </c>
      <c r="I2297" s="5" t="s">
        <v>35</v>
      </c>
      <c r="J2297" s="6">
        <v>2.0</v>
      </c>
      <c r="K2297" s="6">
        <v>3100.0</v>
      </c>
      <c r="L2297" s="6">
        <v>775.0</v>
      </c>
      <c r="M2297" s="26" t="s">
        <v>52</v>
      </c>
      <c r="N2297" s="26" t="s">
        <v>58</v>
      </c>
      <c r="O2297" s="6" t="s">
        <v>40</v>
      </c>
      <c r="P2297" s="5" t="s">
        <v>59</v>
      </c>
      <c r="Q2297" s="5" t="s">
        <v>89</v>
      </c>
      <c r="R2297" s="6" t="s">
        <v>42</v>
      </c>
      <c r="S2297" s="5" t="s">
        <v>129</v>
      </c>
      <c r="T2297" s="5" t="s">
        <v>44</v>
      </c>
      <c r="U2297" s="5" t="s">
        <v>44</v>
      </c>
      <c r="V2297" s="5" t="s">
        <v>44</v>
      </c>
      <c r="W2297" s="5" t="s">
        <v>35</v>
      </c>
      <c r="X2297" s="8" t="s">
        <v>45</v>
      </c>
      <c r="Y2297" s="5" t="s">
        <v>46</v>
      </c>
      <c r="Z2297" s="5" t="s">
        <v>47</v>
      </c>
      <c r="AA2297" s="5" t="s">
        <v>64</v>
      </c>
      <c r="AB2297" s="5" t="s">
        <v>11220</v>
      </c>
      <c r="AC2297" s="6" t="s">
        <v>1450</v>
      </c>
      <c r="AD2297" s="6">
        <v>1644.0</v>
      </c>
    </row>
    <row r="2298" ht="56.25" customHeight="1">
      <c r="A2298" s="5" t="s">
        <v>11093</v>
      </c>
      <c r="B2298" s="6" t="str">
        <f>IMAGE("https://storage.googleapis.com/acdb/housewares/FtrElectricguitar1_Remake_3_7.png")</f>
        <v/>
      </c>
      <c r="C2298" s="5" t="s">
        <v>11191</v>
      </c>
      <c r="D2298" s="5" t="s">
        <v>34</v>
      </c>
      <c r="E2298" s="5" t="s">
        <v>2863</v>
      </c>
      <c r="F2298" s="5" t="s">
        <v>3454</v>
      </c>
      <c r="G2298" s="5" t="s">
        <v>36</v>
      </c>
      <c r="H2298" s="5" t="s">
        <v>36</v>
      </c>
      <c r="I2298" s="5" t="s">
        <v>35</v>
      </c>
      <c r="J2298" s="6">
        <v>2.0</v>
      </c>
      <c r="K2298" s="6">
        <v>3100.0</v>
      </c>
      <c r="L2298" s="6">
        <v>775.0</v>
      </c>
      <c r="M2298" s="26" t="s">
        <v>52</v>
      </c>
      <c r="N2298" s="26" t="s">
        <v>69</v>
      </c>
      <c r="O2298" s="6" t="s">
        <v>40</v>
      </c>
      <c r="P2298" s="5" t="s">
        <v>59</v>
      </c>
      <c r="Q2298" s="5" t="s">
        <v>89</v>
      </c>
      <c r="R2298" s="6" t="s">
        <v>42</v>
      </c>
      <c r="S2298" s="5" t="s">
        <v>129</v>
      </c>
      <c r="T2298" s="5" t="s">
        <v>44</v>
      </c>
      <c r="U2298" s="5" t="s">
        <v>44</v>
      </c>
      <c r="V2298" s="5" t="s">
        <v>44</v>
      </c>
      <c r="W2298" s="5" t="s">
        <v>35</v>
      </c>
      <c r="X2298" s="8" t="s">
        <v>45</v>
      </c>
      <c r="Y2298" s="5" t="s">
        <v>46</v>
      </c>
      <c r="Z2298" s="5" t="s">
        <v>47</v>
      </c>
      <c r="AA2298" s="5" t="s">
        <v>64</v>
      </c>
      <c r="AB2298" s="5" t="s">
        <v>11224</v>
      </c>
      <c r="AC2298" s="6" t="s">
        <v>1792</v>
      </c>
      <c r="AD2298" s="6">
        <v>1644.0</v>
      </c>
    </row>
    <row r="2299" ht="56.25" customHeight="1">
      <c r="A2299" s="5" t="s">
        <v>11093</v>
      </c>
      <c r="B2299" s="6" t="str">
        <f>IMAGE("https://storage.googleapis.com/acdb/housewares/FtrElectricguitar1_Remake_4_0.png")</f>
        <v/>
      </c>
      <c r="C2299" s="5" t="s">
        <v>11226</v>
      </c>
      <c r="D2299" s="5" t="s">
        <v>34</v>
      </c>
      <c r="E2299" s="5" t="s">
        <v>44</v>
      </c>
      <c r="F2299" s="5" t="s">
        <v>3454</v>
      </c>
      <c r="G2299" s="5" t="s">
        <v>36</v>
      </c>
      <c r="H2299" s="5" t="s">
        <v>36</v>
      </c>
      <c r="I2299" s="5" t="s">
        <v>35</v>
      </c>
      <c r="J2299" s="6">
        <v>2.0</v>
      </c>
      <c r="K2299" s="6">
        <v>3100.0</v>
      </c>
      <c r="L2299" s="6">
        <v>775.0</v>
      </c>
      <c r="M2299" s="26" t="s">
        <v>114</v>
      </c>
      <c r="N2299" s="26" t="s">
        <v>57</v>
      </c>
      <c r="O2299" s="6" t="s">
        <v>40</v>
      </c>
      <c r="P2299" s="5" t="s">
        <v>59</v>
      </c>
      <c r="Q2299" s="5" t="s">
        <v>89</v>
      </c>
      <c r="R2299" s="6" t="s">
        <v>42</v>
      </c>
      <c r="S2299" s="5" t="s">
        <v>129</v>
      </c>
      <c r="T2299" s="5" t="s">
        <v>44</v>
      </c>
      <c r="U2299" s="5" t="s">
        <v>44</v>
      </c>
      <c r="V2299" s="5" t="s">
        <v>44</v>
      </c>
      <c r="W2299" s="5" t="s">
        <v>35</v>
      </c>
      <c r="X2299" s="8" t="s">
        <v>45</v>
      </c>
      <c r="Y2299" s="5" t="s">
        <v>46</v>
      </c>
      <c r="Z2299" s="5" t="s">
        <v>47</v>
      </c>
      <c r="AA2299" s="5" t="s">
        <v>64</v>
      </c>
      <c r="AB2299" s="5" t="s">
        <v>11229</v>
      </c>
      <c r="AC2299" s="6" t="s">
        <v>75</v>
      </c>
      <c r="AD2299" s="6">
        <v>1644.0</v>
      </c>
    </row>
    <row r="2300" ht="56.25" customHeight="1">
      <c r="A2300" s="5" t="s">
        <v>11093</v>
      </c>
      <c r="B2300" s="6" t="str">
        <f>IMAGE("https://storage.googleapis.com/acdb/housewares/FtrElectricguitar1_Remake_4_1.png")</f>
        <v/>
      </c>
      <c r="C2300" s="5" t="s">
        <v>11226</v>
      </c>
      <c r="D2300" s="5" t="s">
        <v>34</v>
      </c>
      <c r="E2300" s="5" t="s">
        <v>2817</v>
      </c>
      <c r="F2300" s="5" t="s">
        <v>3454</v>
      </c>
      <c r="G2300" s="5" t="s">
        <v>36</v>
      </c>
      <c r="H2300" s="5" t="s">
        <v>36</v>
      </c>
      <c r="I2300" s="5" t="s">
        <v>35</v>
      </c>
      <c r="J2300" s="6">
        <v>2.0</v>
      </c>
      <c r="K2300" s="6">
        <v>3100.0</v>
      </c>
      <c r="L2300" s="6">
        <v>775.0</v>
      </c>
      <c r="M2300" s="26" t="s">
        <v>114</v>
      </c>
      <c r="N2300" s="26" t="s">
        <v>54</v>
      </c>
      <c r="O2300" s="6" t="s">
        <v>40</v>
      </c>
      <c r="P2300" s="5" t="s">
        <v>59</v>
      </c>
      <c r="Q2300" s="5" t="s">
        <v>89</v>
      </c>
      <c r="R2300" s="6" t="s">
        <v>42</v>
      </c>
      <c r="S2300" s="5" t="s">
        <v>129</v>
      </c>
      <c r="T2300" s="5" t="s">
        <v>44</v>
      </c>
      <c r="U2300" s="5" t="s">
        <v>44</v>
      </c>
      <c r="V2300" s="5" t="s">
        <v>44</v>
      </c>
      <c r="W2300" s="5" t="s">
        <v>35</v>
      </c>
      <c r="X2300" s="8" t="s">
        <v>45</v>
      </c>
      <c r="Y2300" s="5" t="s">
        <v>46</v>
      </c>
      <c r="Z2300" s="5" t="s">
        <v>47</v>
      </c>
      <c r="AA2300" s="5" t="s">
        <v>64</v>
      </c>
      <c r="AB2300" s="5" t="s">
        <v>11232</v>
      </c>
      <c r="AC2300" s="6" t="s">
        <v>429</v>
      </c>
      <c r="AD2300" s="6">
        <v>1644.0</v>
      </c>
    </row>
    <row r="2301" ht="56.25" customHeight="1">
      <c r="A2301" s="5" t="s">
        <v>11093</v>
      </c>
      <c r="B2301" s="6" t="str">
        <f>IMAGE("https://storage.googleapis.com/acdb/housewares/FtrElectricguitar1_Remake_4_2.png")</f>
        <v/>
      </c>
      <c r="C2301" s="5" t="s">
        <v>11226</v>
      </c>
      <c r="D2301" s="5" t="s">
        <v>34</v>
      </c>
      <c r="E2301" s="5" t="s">
        <v>2827</v>
      </c>
      <c r="F2301" s="5" t="s">
        <v>3454</v>
      </c>
      <c r="G2301" s="5" t="s">
        <v>36</v>
      </c>
      <c r="H2301" s="5" t="s">
        <v>36</v>
      </c>
      <c r="I2301" s="5" t="s">
        <v>35</v>
      </c>
      <c r="J2301" s="6">
        <v>2.0</v>
      </c>
      <c r="K2301" s="6">
        <v>3100.0</v>
      </c>
      <c r="L2301" s="6">
        <v>775.0</v>
      </c>
      <c r="M2301" s="26" t="s">
        <v>114</v>
      </c>
      <c r="N2301" s="26" t="s">
        <v>57</v>
      </c>
      <c r="O2301" s="6" t="s">
        <v>40</v>
      </c>
      <c r="P2301" s="5" t="s">
        <v>59</v>
      </c>
      <c r="Q2301" s="5" t="s">
        <v>89</v>
      </c>
      <c r="R2301" s="6" t="s">
        <v>42</v>
      </c>
      <c r="S2301" s="5" t="s">
        <v>129</v>
      </c>
      <c r="T2301" s="5" t="s">
        <v>44</v>
      </c>
      <c r="U2301" s="5" t="s">
        <v>44</v>
      </c>
      <c r="V2301" s="5" t="s">
        <v>44</v>
      </c>
      <c r="W2301" s="5" t="s">
        <v>35</v>
      </c>
      <c r="X2301" s="8" t="s">
        <v>45</v>
      </c>
      <c r="Y2301" s="5" t="s">
        <v>46</v>
      </c>
      <c r="Z2301" s="5" t="s">
        <v>47</v>
      </c>
      <c r="AA2301" s="5" t="s">
        <v>64</v>
      </c>
      <c r="AB2301" s="5" t="s">
        <v>11237</v>
      </c>
      <c r="AC2301" s="6" t="s">
        <v>434</v>
      </c>
      <c r="AD2301" s="6">
        <v>1644.0</v>
      </c>
    </row>
    <row r="2302" ht="56.25" customHeight="1">
      <c r="A2302" s="5" t="s">
        <v>11093</v>
      </c>
      <c r="B2302" s="6" t="str">
        <f>IMAGE("https://storage.googleapis.com/acdb/housewares/FtrElectricguitar1_Remake_4_3.png")</f>
        <v/>
      </c>
      <c r="C2302" s="5" t="s">
        <v>11226</v>
      </c>
      <c r="D2302" s="5" t="s">
        <v>34</v>
      </c>
      <c r="E2302" s="5" t="s">
        <v>2833</v>
      </c>
      <c r="F2302" s="5" t="s">
        <v>3454</v>
      </c>
      <c r="G2302" s="5" t="s">
        <v>36</v>
      </c>
      <c r="H2302" s="5" t="s">
        <v>36</v>
      </c>
      <c r="I2302" s="5" t="s">
        <v>35</v>
      </c>
      <c r="J2302" s="6">
        <v>2.0</v>
      </c>
      <c r="K2302" s="6">
        <v>3100.0</v>
      </c>
      <c r="L2302" s="6">
        <v>775.0</v>
      </c>
      <c r="M2302" s="26" t="s">
        <v>114</v>
      </c>
      <c r="N2302" s="26" t="s">
        <v>106</v>
      </c>
      <c r="O2302" s="6" t="s">
        <v>40</v>
      </c>
      <c r="P2302" s="5" t="s">
        <v>59</v>
      </c>
      <c r="Q2302" s="5" t="s">
        <v>89</v>
      </c>
      <c r="R2302" s="6" t="s">
        <v>42</v>
      </c>
      <c r="S2302" s="5" t="s">
        <v>129</v>
      </c>
      <c r="T2302" s="5" t="s">
        <v>44</v>
      </c>
      <c r="U2302" s="5" t="s">
        <v>44</v>
      </c>
      <c r="V2302" s="5" t="s">
        <v>44</v>
      </c>
      <c r="W2302" s="5" t="s">
        <v>35</v>
      </c>
      <c r="X2302" s="8" t="s">
        <v>45</v>
      </c>
      <c r="Y2302" s="5" t="s">
        <v>46</v>
      </c>
      <c r="Z2302" s="5" t="s">
        <v>47</v>
      </c>
      <c r="AA2302" s="5" t="s">
        <v>64</v>
      </c>
      <c r="AB2302" s="5" t="s">
        <v>11242</v>
      </c>
      <c r="AC2302" s="6" t="s">
        <v>438</v>
      </c>
      <c r="AD2302" s="6">
        <v>1644.0</v>
      </c>
    </row>
    <row r="2303" ht="56.25" customHeight="1">
      <c r="A2303" s="5" t="s">
        <v>11093</v>
      </c>
      <c r="B2303" s="6" t="str">
        <f>IMAGE("https://storage.googleapis.com/acdb/housewares/FtrElectricguitar1_Remake_4_4.png")</f>
        <v/>
      </c>
      <c r="C2303" s="5" t="s">
        <v>11226</v>
      </c>
      <c r="D2303" s="5" t="s">
        <v>34</v>
      </c>
      <c r="E2303" s="5" t="s">
        <v>2841</v>
      </c>
      <c r="F2303" s="5" t="s">
        <v>3454</v>
      </c>
      <c r="G2303" s="5" t="s">
        <v>36</v>
      </c>
      <c r="H2303" s="5" t="s">
        <v>36</v>
      </c>
      <c r="I2303" s="5" t="s">
        <v>35</v>
      </c>
      <c r="J2303" s="6">
        <v>2.0</v>
      </c>
      <c r="K2303" s="6">
        <v>3100.0</v>
      </c>
      <c r="L2303" s="6">
        <v>775.0</v>
      </c>
      <c r="M2303" s="26" t="s">
        <v>114</v>
      </c>
      <c r="N2303" s="26" t="s">
        <v>96</v>
      </c>
      <c r="O2303" s="6" t="s">
        <v>40</v>
      </c>
      <c r="P2303" s="5" t="s">
        <v>59</v>
      </c>
      <c r="Q2303" s="5" t="s">
        <v>89</v>
      </c>
      <c r="R2303" s="6" t="s">
        <v>42</v>
      </c>
      <c r="S2303" s="5" t="s">
        <v>129</v>
      </c>
      <c r="T2303" s="5" t="s">
        <v>44</v>
      </c>
      <c r="U2303" s="5" t="s">
        <v>44</v>
      </c>
      <c r="V2303" s="5" t="s">
        <v>44</v>
      </c>
      <c r="W2303" s="5" t="s">
        <v>35</v>
      </c>
      <c r="X2303" s="8" t="s">
        <v>45</v>
      </c>
      <c r="Y2303" s="5" t="s">
        <v>46</v>
      </c>
      <c r="Z2303" s="5" t="s">
        <v>47</v>
      </c>
      <c r="AA2303" s="5" t="s">
        <v>64</v>
      </c>
      <c r="AB2303" s="5" t="s">
        <v>11246</v>
      </c>
      <c r="AC2303" s="6" t="s">
        <v>585</v>
      </c>
      <c r="AD2303" s="6">
        <v>1644.0</v>
      </c>
    </row>
    <row r="2304" ht="56.25" customHeight="1">
      <c r="A2304" s="5" t="s">
        <v>11093</v>
      </c>
      <c r="B2304" s="6" t="str">
        <f>IMAGE("https://storage.googleapis.com/acdb/housewares/FtrElectricguitar1_Remake_4_5.png")</f>
        <v/>
      </c>
      <c r="C2304" s="5" t="s">
        <v>11226</v>
      </c>
      <c r="D2304" s="5" t="s">
        <v>34</v>
      </c>
      <c r="E2304" s="5" t="s">
        <v>2848</v>
      </c>
      <c r="F2304" s="5" t="s">
        <v>3454</v>
      </c>
      <c r="G2304" s="5" t="s">
        <v>36</v>
      </c>
      <c r="H2304" s="5" t="s">
        <v>36</v>
      </c>
      <c r="I2304" s="5" t="s">
        <v>35</v>
      </c>
      <c r="J2304" s="6">
        <v>2.0</v>
      </c>
      <c r="K2304" s="6">
        <v>3100.0</v>
      </c>
      <c r="L2304" s="6">
        <v>775.0</v>
      </c>
      <c r="M2304" s="26" t="s">
        <v>114</v>
      </c>
      <c r="N2304" s="26" t="s">
        <v>1175</v>
      </c>
      <c r="O2304" s="6" t="s">
        <v>40</v>
      </c>
      <c r="P2304" s="5" t="s">
        <v>59</v>
      </c>
      <c r="Q2304" s="5" t="s">
        <v>89</v>
      </c>
      <c r="R2304" s="6" t="s">
        <v>42</v>
      </c>
      <c r="S2304" s="5" t="s">
        <v>129</v>
      </c>
      <c r="T2304" s="5" t="s">
        <v>44</v>
      </c>
      <c r="U2304" s="5" t="s">
        <v>44</v>
      </c>
      <c r="V2304" s="5" t="s">
        <v>44</v>
      </c>
      <c r="W2304" s="5" t="s">
        <v>35</v>
      </c>
      <c r="X2304" s="8" t="s">
        <v>45</v>
      </c>
      <c r="Y2304" s="5" t="s">
        <v>46</v>
      </c>
      <c r="Z2304" s="5" t="s">
        <v>47</v>
      </c>
      <c r="AA2304" s="5" t="s">
        <v>64</v>
      </c>
      <c r="AB2304" s="5" t="s">
        <v>11250</v>
      </c>
      <c r="AC2304" s="6" t="s">
        <v>1816</v>
      </c>
      <c r="AD2304" s="6">
        <v>1644.0</v>
      </c>
    </row>
    <row r="2305" ht="56.25" customHeight="1">
      <c r="A2305" s="5" t="s">
        <v>11093</v>
      </c>
      <c r="B2305" s="6" t="str">
        <f>IMAGE("https://storage.googleapis.com/acdb/housewares/FtrElectricguitar1_Remake_4_6.png")</f>
        <v/>
      </c>
      <c r="C2305" s="5" t="s">
        <v>11226</v>
      </c>
      <c r="D2305" s="5" t="s">
        <v>34</v>
      </c>
      <c r="E2305" s="5" t="s">
        <v>2855</v>
      </c>
      <c r="F2305" s="5" t="s">
        <v>3454</v>
      </c>
      <c r="G2305" s="5" t="s">
        <v>36</v>
      </c>
      <c r="H2305" s="5" t="s">
        <v>36</v>
      </c>
      <c r="I2305" s="5" t="s">
        <v>35</v>
      </c>
      <c r="J2305" s="6">
        <v>2.0</v>
      </c>
      <c r="K2305" s="6">
        <v>3100.0</v>
      </c>
      <c r="L2305" s="6">
        <v>775.0</v>
      </c>
      <c r="M2305" s="26" t="s">
        <v>114</v>
      </c>
      <c r="N2305" s="26" t="s">
        <v>58</v>
      </c>
      <c r="O2305" s="6" t="s">
        <v>40</v>
      </c>
      <c r="P2305" s="5" t="s">
        <v>59</v>
      </c>
      <c r="Q2305" s="5" t="s">
        <v>89</v>
      </c>
      <c r="R2305" s="6" t="s">
        <v>42</v>
      </c>
      <c r="S2305" s="5" t="s">
        <v>129</v>
      </c>
      <c r="T2305" s="5" t="s">
        <v>44</v>
      </c>
      <c r="U2305" s="5" t="s">
        <v>44</v>
      </c>
      <c r="V2305" s="5" t="s">
        <v>44</v>
      </c>
      <c r="W2305" s="5" t="s">
        <v>35</v>
      </c>
      <c r="X2305" s="8" t="s">
        <v>45</v>
      </c>
      <c r="Y2305" s="5" t="s">
        <v>46</v>
      </c>
      <c r="Z2305" s="5" t="s">
        <v>47</v>
      </c>
      <c r="AA2305" s="5" t="s">
        <v>64</v>
      </c>
      <c r="AB2305" s="5" t="s">
        <v>11253</v>
      </c>
      <c r="AC2305" s="6" t="s">
        <v>1820</v>
      </c>
      <c r="AD2305" s="6">
        <v>1644.0</v>
      </c>
    </row>
    <row r="2306" ht="56.25" customHeight="1">
      <c r="A2306" s="5" t="s">
        <v>11093</v>
      </c>
      <c r="B2306" s="6" t="str">
        <f>IMAGE("https://storage.googleapis.com/acdb/housewares/FtrElectricguitar1_Remake_4_7.png")</f>
        <v/>
      </c>
      <c r="C2306" s="5" t="s">
        <v>11226</v>
      </c>
      <c r="D2306" s="5" t="s">
        <v>34</v>
      </c>
      <c r="E2306" s="5" t="s">
        <v>2863</v>
      </c>
      <c r="F2306" s="5" t="s">
        <v>3454</v>
      </c>
      <c r="G2306" s="5" t="s">
        <v>36</v>
      </c>
      <c r="H2306" s="5" t="s">
        <v>36</v>
      </c>
      <c r="I2306" s="5" t="s">
        <v>35</v>
      </c>
      <c r="J2306" s="6">
        <v>2.0</v>
      </c>
      <c r="K2306" s="6">
        <v>3100.0</v>
      </c>
      <c r="L2306" s="6">
        <v>775.0</v>
      </c>
      <c r="M2306" s="26" t="s">
        <v>114</v>
      </c>
      <c r="N2306" s="26" t="s">
        <v>69</v>
      </c>
      <c r="O2306" s="6" t="s">
        <v>40</v>
      </c>
      <c r="P2306" s="5" t="s">
        <v>59</v>
      </c>
      <c r="Q2306" s="5" t="s">
        <v>89</v>
      </c>
      <c r="R2306" s="6" t="s">
        <v>42</v>
      </c>
      <c r="S2306" s="5" t="s">
        <v>129</v>
      </c>
      <c r="T2306" s="5" t="s">
        <v>44</v>
      </c>
      <c r="U2306" s="5" t="s">
        <v>44</v>
      </c>
      <c r="V2306" s="5" t="s">
        <v>44</v>
      </c>
      <c r="W2306" s="5" t="s">
        <v>35</v>
      </c>
      <c r="X2306" s="8" t="s">
        <v>45</v>
      </c>
      <c r="Y2306" s="5" t="s">
        <v>46</v>
      </c>
      <c r="Z2306" s="5" t="s">
        <v>47</v>
      </c>
      <c r="AA2306" s="5" t="s">
        <v>64</v>
      </c>
      <c r="AB2306" s="5" t="s">
        <v>11258</v>
      </c>
      <c r="AC2306" s="6" t="s">
        <v>1825</v>
      </c>
      <c r="AD2306" s="6">
        <v>1644.0</v>
      </c>
    </row>
    <row r="2307" ht="56.25" customHeight="1">
      <c r="A2307" s="5" t="s">
        <v>11093</v>
      </c>
      <c r="B2307" s="6" t="str">
        <f>IMAGE("https://storage.googleapis.com/acdb/housewares/FtrElectricguitar1_Remake_5_0.png")</f>
        <v/>
      </c>
      <c r="C2307" s="5" t="s">
        <v>366</v>
      </c>
      <c r="D2307" s="5" t="s">
        <v>34</v>
      </c>
      <c r="E2307" s="5" t="s">
        <v>44</v>
      </c>
      <c r="F2307" s="5" t="s">
        <v>3454</v>
      </c>
      <c r="G2307" s="5" t="s">
        <v>36</v>
      </c>
      <c r="H2307" s="5" t="s">
        <v>36</v>
      </c>
      <c r="I2307" s="5" t="s">
        <v>35</v>
      </c>
      <c r="J2307" s="6">
        <v>2.0</v>
      </c>
      <c r="K2307" s="6">
        <v>3100.0</v>
      </c>
      <c r="L2307" s="6">
        <v>775.0</v>
      </c>
      <c r="M2307" s="26" t="s">
        <v>38</v>
      </c>
      <c r="N2307" s="26" t="s">
        <v>54</v>
      </c>
      <c r="O2307" s="6" t="s">
        <v>40</v>
      </c>
      <c r="P2307" s="5" t="s">
        <v>59</v>
      </c>
      <c r="Q2307" s="5" t="s">
        <v>89</v>
      </c>
      <c r="R2307" s="6" t="s">
        <v>42</v>
      </c>
      <c r="S2307" s="5" t="s">
        <v>129</v>
      </c>
      <c r="T2307" s="5" t="s">
        <v>44</v>
      </c>
      <c r="U2307" s="5" t="s">
        <v>44</v>
      </c>
      <c r="V2307" s="5" t="s">
        <v>44</v>
      </c>
      <c r="W2307" s="5" t="s">
        <v>35</v>
      </c>
      <c r="X2307" s="8" t="s">
        <v>45</v>
      </c>
      <c r="Y2307" s="5" t="s">
        <v>46</v>
      </c>
      <c r="Z2307" s="5" t="s">
        <v>47</v>
      </c>
      <c r="AA2307" s="5" t="s">
        <v>64</v>
      </c>
      <c r="AB2307" s="5" t="s">
        <v>11260</v>
      </c>
      <c r="AC2307" s="6" t="s">
        <v>79</v>
      </c>
      <c r="AD2307" s="6">
        <v>1644.0</v>
      </c>
    </row>
    <row r="2308" ht="56.25" customHeight="1">
      <c r="A2308" s="5" t="s">
        <v>11093</v>
      </c>
      <c r="B2308" s="6" t="str">
        <f>IMAGE("https://storage.googleapis.com/acdb/housewares/FtrElectricguitar1_Remake_5_1.png")</f>
        <v/>
      </c>
      <c r="C2308" s="5" t="s">
        <v>366</v>
      </c>
      <c r="D2308" s="5" t="s">
        <v>34</v>
      </c>
      <c r="E2308" s="5" t="s">
        <v>2817</v>
      </c>
      <c r="F2308" s="5" t="s">
        <v>3454</v>
      </c>
      <c r="G2308" s="5" t="s">
        <v>36</v>
      </c>
      <c r="H2308" s="5" t="s">
        <v>36</v>
      </c>
      <c r="I2308" s="5" t="s">
        <v>35</v>
      </c>
      <c r="J2308" s="6">
        <v>2.0</v>
      </c>
      <c r="K2308" s="6">
        <v>3100.0</v>
      </c>
      <c r="L2308" s="6">
        <v>775.0</v>
      </c>
      <c r="M2308" s="26" t="s">
        <v>38</v>
      </c>
      <c r="N2308" s="26" t="s">
        <v>54</v>
      </c>
      <c r="O2308" s="6" t="s">
        <v>40</v>
      </c>
      <c r="P2308" s="5" t="s">
        <v>59</v>
      </c>
      <c r="Q2308" s="5" t="s">
        <v>89</v>
      </c>
      <c r="R2308" s="6" t="s">
        <v>42</v>
      </c>
      <c r="S2308" s="5" t="s">
        <v>129</v>
      </c>
      <c r="T2308" s="5" t="s">
        <v>44</v>
      </c>
      <c r="U2308" s="5" t="s">
        <v>44</v>
      </c>
      <c r="V2308" s="5" t="s">
        <v>44</v>
      </c>
      <c r="W2308" s="5" t="s">
        <v>35</v>
      </c>
      <c r="X2308" s="8" t="s">
        <v>45</v>
      </c>
      <c r="Y2308" s="5" t="s">
        <v>46</v>
      </c>
      <c r="Z2308" s="5" t="s">
        <v>47</v>
      </c>
      <c r="AA2308" s="5" t="s">
        <v>64</v>
      </c>
      <c r="AB2308" s="5" t="s">
        <v>11264</v>
      </c>
      <c r="AC2308" s="6" t="s">
        <v>448</v>
      </c>
      <c r="AD2308" s="6">
        <v>1644.0</v>
      </c>
    </row>
    <row r="2309" ht="56.25" customHeight="1">
      <c r="A2309" s="5" t="s">
        <v>11093</v>
      </c>
      <c r="B2309" s="6" t="str">
        <f>IMAGE("https://storage.googleapis.com/acdb/housewares/FtrElectricguitar1_Remake_5_2.png")</f>
        <v/>
      </c>
      <c r="C2309" s="5" t="s">
        <v>366</v>
      </c>
      <c r="D2309" s="5" t="s">
        <v>34</v>
      </c>
      <c r="E2309" s="5" t="s">
        <v>2827</v>
      </c>
      <c r="F2309" s="5" t="s">
        <v>3454</v>
      </c>
      <c r="G2309" s="5" t="s">
        <v>36</v>
      </c>
      <c r="H2309" s="5" t="s">
        <v>36</v>
      </c>
      <c r="I2309" s="5" t="s">
        <v>35</v>
      </c>
      <c r="J2309" s="6">
        <v>2.0</v>
      </c>
      <c r="K2309" s="6">
        <v>3100.0</v>
      </c>
      <c r="L2309" s="6">
        <v>775.0</v>
      </c>
      <c r="M2309" s="26" t="s">
        <v>38</v>
      </c>
      <c r="N2309" s="26" t="s">
        <v>57</v>
      </c>
      <c r="O2309" s="6" t="s">
        <v>40</v>
      </c>
      <c r="P2309" s="5" t="s">
        <v>59</v>
      </c>
      <c r="Q2309" s="5" t="s">
        <v>89</v>
      </c>
      <c r="R2309" s="6" t="s">
        <v>42</v>
      </c>
      <c r="S2309" s="5" t="s">
        <v>129</v>
      </c>
      <c r="T2309" s="5" t="s">
        <v>44</v>
      </c>
      <c r="U2309" s="5" t="s">
        <v>44</v>
      </c>
      <c r="V2309" s="5" t="s">
        <v>44</v>
      </c>
      <c r="W2309" s="5" t="s">
        <v>35</v>
      </c>
      <c r="X2309" s="8" t="s">
        <v>45</v>
      </c>
      <c r="Y2309" s="5" t="s">
        <v>46</v>
      </c>
      <c r="Z2309" s="5" t="s">
        <v>47</v>
      </c>
      <c r="AA2309" s="5" t="s">
        <v>64</v>
      </c>
      <c r="AB2309" s="5" t="s">
        <v>11267</v>
      </c>
      <c r="AC2309" s="6" t="s">
        <v>452</v>
      </c>
      <c r="AD2309" s="6">
        <v>1644.0</v>
      </c>
    </row>
    <row r="2310" ht="56.25" customHeight="1">
      <c r="A2310" s="5" t="s">
        <v>11093</v>
      </c>
      <c r="B2310" s="6" t="str">
        <f>IMAGE("https://storage.googleapis.com/acdb/housewares/FtrElectricguitar1_Remake_5_3.png")</f>
        <v/>
      </c>
      <c r="C2310" s="5" t="s">
        <v>366</v>
      </c>
      <c r="D2310" s="5" t="s">
        <v>34</v>
      </c>
      <c r="E2310" s="5" t="s">
        <v>2833</v>
      </c>
      <c r="F2310" s="5" t="s">
        <v>3454</v>
      </c>
      <c r="G2310" s="5" t="s">
        <v>36</v>
      </c>
      <c r="H2310" s="5" t="s">
        <v>36</v>
      </c>
      <c r="I2310" s="5" t="s">
        <v>35</v>
      </c>
      <c r="J2310" s="6">
        <v>2.0</v>
      </c>
      <c r="K2310" s="6">
        <v>3100.0</v>
      </c>
      <c r="L2310" s="6">
        <v>775.0</v>
      </c>
      <c r="M2310" s="26" t="s">
        <v>38</v>
      </c>
      <c r="N2310" s="26" t="s">
        <v>106</v>
      </c>
      <c r="O2310" s="6" t="s">
        <v>40</v>
      </c>
      <c r="P2310" s="5" t="s">
        <v>59</v>
      </c>
      <c r="Q2310" s="5" t="s">
        <v>89</v>
      </c>
      <c r="R2310" s="6" t="s">
        <v>42</v>
      </c>
      <c r="S2310" s="5" t="s">
        <v>129</v>
      </c>
      <c r="T2310" s="5" t="s">
        <v>44</v>
      </c>
      <c r="U2310" s="5" t="s">
        <v>44</v>
      </c>
      <c r="V2310" s="5" t="s">
        <v>44</v>
      </c>
      <c r="W2310" s="5" t="s">
        <v>35</v>
      </c>
      <c r="X2310" s="8" t="s">
        <v>45</v>
      </c>
      <c r="Y2310" s="5" t="s">
        <v>46</v>
      </c>
      <c r="Z2310" s="5" t="s">
        <v>47</v>
      </c>
      <c r="AA2310" s="5" t="s">
        <v>64</v>
      </c>
      <c r="AB2310" s="5" t="s">
        <v>11271</v>
      </c>
      <c r="AC2310" s="6" t="s">
        <v>455</v>
      </c>
      <c r="AD2310" s="6">
        <v>1644.0</v>
      </c>
    </row>
    <row r="2311" ht="56.25" customHeight="1">
      <c r="A2311" s="5" t="s">
        <v>11093</v>
      </c>
      <c r="B2311" s="6" t="str">
        <f>IMAGE("https://storage.googleapis.com/acdb/housewares/FtrElectricguitar1_Remake_5_4.png")</f>
        <v/>
      </c>
      <c r="C2311" s="5" t="s">
        <v>366</v>
      </c>
      <c r="D2311" s="5" t="s">
        <v>34</v>
      </c>
      <c r="E2311" s="5" t="s">
        <v>2841</v>
      </c>
      <c r="F2311" s="5" t="s">
        <v>3454</v>
      </c>
      <c r="G2311" s="5" t="s">
        <v>36</v>
      </c>
      <c r="H2311" s="5" t="s">
        <v>36</v>
      </c>
      <c r="I2311" s="5" t="s">
        <v>35</v>
      </c>
      <c r="J2311" s="6">
        <v>2.0</v>
      </c>
      <c r="K2311" s="6">
        <v>3100.0</v>
      </c>
      <c r="L2311" s="6">
        <v>775.0</v>
      </c>
      <c r="M2311" s="26" t="s">
        <v>38</v>
      </c>
      <c r="N2311" s="26" t="s">
        <v>96</v>
      </c>
      <c r="O2311" s="6" t="s">
        <v>40</v>
      </c>
      <c r="P2311" s="5" t="s">
        <v>59</v>
      </c>
      <c r="Q2311" s="5" t="s">
        <v>89</v>
      </c>
      <c r="R2311" s="6" t="s">
        <v>42</v>
      </c>
      <c r="S2311" s="5" t="s">
        <v>129</v>
      </c>
      <c r="T2311" s="5" t="s">
        <v>44</v>
      </c>
      <c r="U2311" s="5" t="s">
        <v>44</v>
      </c>
      <c r="V2311" s="5" t="s">
        <v>44</v>
      </c>
      <c r="W2311" s="5" t="s">
        <v>35</v>
      </c>
      <c r="X2311" s="8" t="s">
        <v>45</v>
      </c>
      <c r="Y2311" s="5" t="s">
        <v>46</v>
      </c>
      <c r="Z2311" s="5" t="s">
        <v>47</v>
      </c>
      <c r="AA2311" s="5" t="s">
        <v>64</v>
      </c>
      <c r="AB2311" s="5" t="s">
        <v>11275</v>
      </c>
      <c r="AC2311" s="6" t="s">
        <v>609</v>
      </c>
      <c r="AD2311" s="6">
        <v>1644.0</v>
      </c>
    </row>
    <row r="2312" ht="56.25" customHeight="1">
      <c r="A2312" s="5" t="s">
        <v>11093</v>
      </c>
      <c r="B2312" s="6" t="str">
        <f>IMAGE("https://storage.googleapis.com/acdb/housewares/FtrElectricguitar1_Remake_5_5.png")</f>
        <v/>
      </c>
      <c r="C2312" s="5" t="s">
        <v>366</v>
      </c>
      <c r="D2312" s="5" t="s">
        <v>34</v>
      </c>
      <c r="E2312" s="5" t="s">
        <v>2848</v>
      </c>
      <c r="F2312" s="5" t="s">
        <v>3454</v>
      </c>
      <c r="G2312" s="5" t="s">
        <v>36</v>
      </c>
      <c r="H2312" s="5" t="s">
        <v>36</v>
      </c>
      <c r="I2312" s="5" t="s">
        <v>35</v>
      </c>
      <c r="J2312" s="6">
        <v>2.0</v>
      </c>
      <c r="K2312" s="6">
        <v>3100.0</v>
      </c>
      <c r="L2312" s="6">
        <v>775.0</v>
      </c>
      <c r="M2312" s="26" t="s">
        <v>38</v>
      </c>
      <c r="N2312" s="26" t="s">
        <v>1175</v>
      </c>
      <c r="O2312" s="6" t="s">
        <v>40</v>
      </c>
      <c r="P2312" s="5" t="s">
        <v>59</v>
      </c>
      <c r="Q2312" s="5" t="s">
        <v>89</v>
      </c>
      <c r="R2312" s="6" t="s">
        <v>42</v>
      </c>
      <c r="S2312" s="5" t="s">
        <v>129</v>
      </c>
      <c r="T2312" s="5" t="s">
        <v>44</v>
      </c>
      <c r="U2312" s="5" t="s">
        <v>44</v>
      </c>
      <c r="V2312" s="5" t="s">
        <v>44</v>
      </c>
      <c r="W2312" s="5" t="s">
        <v>35</v>
      </c>
      <c r="X2312" s="8" t="s">
        <v>45</v>
      </c>
      <c r="Y2312" s="5" t="s">
        <v>46</v>
      </c>
      <c r="Z2312" s="5" t="s">
        <v>47</v>
      </c>
      <c r="AA2312" s="5" t="s">
        <v>64</v>
      </c>
      <c r="AB2312" s="5" t="s">
        <v>11278</v>
      </c>
      <c r="AC2312" s="6" t="s">
        <v>1843</v>
      </c>
      <c r="AD2312" s="6">
        <v>1644.0</v>
      </c>
    </row>
    <row r="2313" ht="56.25" customHeight="1">
      <c r="A2313" s="5" t="s">
        <v>11093</v>
      </c>
      <c r="B2313" s="6" t="str">
        <f>IMAGE("https://storage.googleapis.com/acdb/housewares/FtrElectricguitar1_Remake_5_6.png")</f>
        <v/>
      </c>
      <c r="C2313" s="5" t="s">
        <v>366</v>
      </c>
      <c r="D2313" s="5" t="s">
        <v>34</v>
      </c>
      <c r="E2313" s="5" t="s">
        <v>2855</v>
      </c>
      <c r="F2313" s="5" t="s">
        <v>3454</v>
      </c>
      <c r="G2313" s="5" t="s">
        <v>36</v>
      </c>
      <c r="H2313" s="5" t="s">
        <v>36</v>
      </c>
      <c r="I2313" s="5" t="s">
        <v>35</v>
      </c>
      <c r="J2313" s="6">
        <v>2.0</v>
      </c>
      <c r="K2313" s="6">
        <v>3100.0</v>
      </c>
      <c r="L2313" s="6">
        <v>775.0</v>
      </c>
      <c r="M2313" s="26" t="s">
        <v>38</v>
      </c>
      <c r="N2313" s="26" t="s">
        <v>58</v>
      </c>
      <c r="O2313" s="6" t="s">
        <v>40</v>
      </c>
      <c r="P2313" s="5" t="s">
        <v>59</v>
      </c>
      <c r="Q2313" s="5" t="s">
        <v>89</v>
      </c>
      <c r="R2313" s="6" t="s">
        <v>42</v>
      </c>
      <c r="S2313" s="5" t="s">
        <v>129</v>
      </c>
      <c r="T2313" s="5" t="s">
        <v>44</v>
      </c>
      <c r="U2313" s="5" t="s">
        <v>44</v>
      </c>
      <c r="V2313" s="5" t="s">
        <v>44</v>
      </c>
      <c r="W2313" s="5" t="s">
        <v>35</v>
      </c>
      <c r="X2313" s="8" t="s">
        <v>45</v>
      </c>
      <c r="Y2313" s="5" t="s">
        <v>46</v>
      </c>
      <c r="Z2313" s="5" t="s">
        <v>47</v>
      </c>
      <c r="AA2313" s="5" t="s">
        <v>64</v>
      </c>
      <c r="AB2313" s="5" t="s">
        <v>11284</v>
      </c>
      <c r="AC2313" s="6" t="s">
        <v>1847</v>
      </c>
      <c r="AD2313" s="6">
        <v>1644.0</v>
      </c>
    </row>
    <row r="2314" ht="56.25" customHeight="1">
      <c r="A2314" s="5" t="s">
        <v>11093</v>
      </c>
      <c r="B2314" s="6" t="str">
        <f>IMAGE("https://storage.googleapis.com/acdb/housewares/FtrElectricguitar1_Remake_5_7.png")</f>
        <v/>
      </c>
      <c r="C2314" s="5" t="s">
        <v>366</v>
      </c>
      <c r="D2314" s="5" t="s">
        <v>34</v>
      </c>
      <c r="E2314" s="5" t="s">
        <v>2863</v>
      </c>
      <c r="F2314" s="5" t="s">
        <v>3454</v>
      </c>
      <c r="G2314" s="5" t="s">
        <v>36</v>
      </c>
      <c r="H2314" s="5" t="s">
        <v>36</v>
      </c>
      <c r="I2314" s="5" t="s">
        <v>35</v>
      </c>
      <c r="J2314" s="6">
        <v>2.0</v>
      </c>
      <c r="K2314" s="6">
        <v>3100.0</v>
      </c>
      <c r="L2314" s="6">
        <v>775.0</v>
      </c>
      <c r="M2314" s="26" t="s">
        <v>38</v>
      </c>
      <c r="N2314" s="26" t="s">
        <v>69</v>
      </c>
      <c r="O2314" s="6" t="s">
        <v>40</v>
      </c>
      <c r="P2314" s="5" t="s">
        <v>59</v>
      </c>
      <c r="Q2314" s="5" t="s">
        <v>89</v>
      </c>
      <c r="R2314" s="6" t="s">
        <v>42</v>
      </c>
      <c r="S2314" s="5" t="s">
        <v>129</v>
      </c>
      <c r="T2314" s="5" t="s">
        <v>44</v>
      </c>
      <c r="U2314" s="5" t="s">
        <v>44</v>
      </c>
      <c r="V2314" s="5" t="s">
        <v>44</v>
      </c>
      <c r="W2314" s="5" t="s">
        <v>35</v>
      </c>
      <c r="X2314" s="8" t="s">
        <v>45</v>
      </c>
      <c r="Y2314" s="5" t="s">
        <v>46</v>
      </c>
      <c r="Z2314" s="5" t="s">
        <v>47</v>
      </c>
      <c r="AA2314" s="5" t="s">
        <v>64</v>
      </c>
      <c r="AB2314" s="5" t="s">
        <v>11289</v>
      </c>
      <c r="AC2314" s="6" t="s">
        <v>1850</v>
      </c>
      <c r="AD2314" s="6">
        <v>1644.0</v>
      </c>
    </row>
    <row r="2315" ht="56.25" customHeight="1">
      <c r="A2315" s="5" t="s">
        <v>11093</v>
      </c>
      <c r="B2315" s="6" t="str">
        <f>IMAGE("https://storage.googleapis.com/acdb/housewares/FtrElectricguitar1_Remake_6_0.png")</f>
        <v/>
      </c>
      <c r="C2315" s="5" t="s">
        <v>3707</v>
      </c>
      <c r="D2315" s="5" t="s">
        <v>34</v>
      </c>
      <c r="E2315" s="5" t="s">
        <v>44</v>
      </c>
      <c r="F2315" s="5" t="s">
        <v>3454</v>
      </c>
      <c r="G2315" s="5" t="s">
        <v>36</v>
      </c>
      <c r="H2315" s="5" t="s">
        <v>36</v>
      </c>
      <c r="I2315" s="5" t="s">
        <v>35</v>
      </c>
      <c r="J2315" s="6">
        <v>2.0</v>
      </c>
      <c r="K2315" s="6">
        <v>3100.0</v>
      </c>
      <c r="L2315" s="6">
        <v>775.0</v>
      </c>
      <c r="M2315" s="26" t="s">
        <v>57</v>
      </c>
      <c r="N2315" s="26" t="s">
        <v>57</v>
      </c>
      <c r="O2315" s="6" t="s">
        <v>40</v>
      </c>
      <c r="P2315" s="5" t="s">
        <v>59</v>
      </c>
      <c r="Q2315" s="5" t="s">
        <v>89</v>
      </c>
      <c r="R2315" s="6" t="s">
        <v>42</v>
      </c>
      <c r="S2315" s="5" t="s">
        <v>129</v>
      </c>
      <c r="T2315" s="5" t="s">
        <v>44</v>
      </c>
      <c r="U2315" s="5" t="s">
        <v>44</v>
      </c>
      <c r="V2315" s="5" t="s">
        <v>44</v>
      </c>
      <c r="W2315" s="5" t="s">
        <v>35</v>
      </c>
      <c r="X2315" s="8" t="s">
        <v>45</v>
      </c>
      <c r="Y2315" s="5" t="s">
        <v>46</v>
      </c>
      <c r="Z2315" s="5" t="s">
        <v>47</v>
      </c>
      <c r="AA2315" s="5" t="s">
        <v>64</v>
      </c>
      <c r="AB2315" s="5" t="s">
        <v>11295</v>
      </c>
      <c r="AC2315" s="6" t="s">
        <v>86</v>
      </c>
      <c r="AD2315" s="6">
        <v>1644.0</v>
      </c>
    </row>
    <row r="2316" ht="56.25" customHeight="1">
      <c r="A2316" s="5" t="s">
        <v>11093</v>
      </c>
      <c r="B2316" s="6" t="str">
        <f>IMAGE("https://storage.googleapis.com/acdb/housewares/FtrElectricguitar1_Remake_6_1.png")</f>
        <v/>
      </c>
      <c r="C2316" s="5" t="s">
        <v>3707</v>
      </c>
      <c r="D2316" s="5" t="s">
        <v>34</v>
      </c>
      <c r="E2316" s="5" t="s">
        <v>2817</v>
      </c>
      <c r="F2316" s="5" t="s">
        <v>3454</v>
      </c>
      <c r="G2316" s="5" t="s">
        <v>36</v>
      </c>
      <c r="H2316" s="5" t="s">
        <v>36</v>
      </c>
      <c r="I2316" s="5" t="s">
        <v>35</v>
      </c>
      <c r="J2316" s="6">
        <v>2.0</v>
      </c>
      <c r="K2316" s="6">
        <v>3100.0</v>
      </c>
      <c r="L2316" s="6">
        <v>775.0</v>
      </c>
      <c r="M2316" s="26" t="s">
        <v>57</v>
      </c>
      <c r="N2316" s="26" t="s">
        <v>54</v>
      </c>
      <c r="O2316" s="6" t="s">
        <v>40</v>
      </c>
      <c r="P2316" s="5" t="s">
        <v>59</v>
      </c>
      <c r="Q2316" s="5" t="s">
        <v>89</v>
      </c>
      <c r="R2316" s="6" t="s">
        <v>42</v>
      </c>
      <c r="S2316" s="5" t="s">
        <v>129</v>
      </c>
      <c r="T2316" s="5" t="s">
        <v>44</v>
      </c>
      <c r="U2316" s="5" t="s">
        <v>44</v>
      </c>
      <c r="V2316" s="5" t="s">
        <v>44</v>
      </c>
      <c r="W2316" s="5" t="s">
        <v>35</v>
      </c>
      <c r="X2316" s="8" t="s">
        <v>45</v>
      </c>
      <c r="Y2316" s="5" t="s">
        <v>46</v>
      </c>
      <c r="Z2316" s="5" t="s">
        <v>47</v>
      </c>
      <c r="AA2316" s="5" t="s">
        <v>64</v>
      </c>
      <c r="AB2316" s="5" t="s">
        <v>11301</v>
      </c>
      <c r="AC2316" s="6" t="s">
        <v>620</v>
      </c>
      <c r="AD2316" s="6">
        <v>1644.0</v>
      </c>
    </row>
    <row r="2317" ht="56.25" customHeight="1">
      <c r="A2317" s="5" t="s">
        <v>11093</v>
      </c>
      <c r="B2317" s="6" t="str">
        <f>IMAGE("https://storage.googleapis.com/acdb/housewares/FtrElectricguitar1_Remake_6_2.png")</f>
        <v/>
      </c>
      <c r="C2317" s="5" t="s">
        <v>3707</v>
      </c>
      <c r="D2317" s="5" t="s">
        <v>34</v>
      </c>
      <c r="E2317" s="5" t="s">
        <v>2827</v>
      </c>
      <c r="F2317" s="5" t="s">
        <v>3454</v>
      </c>
      <c r="G2317" s="5" t="s">
        <v>36</v>
      </c>
      <c r="H2317" s="5" t="s">
        <v>36</v>
      </c>
      <c r="I2317" s="5" t="s">
        <v>35</v>
      </c>
      <c r="J2317" s="6">
        <v>2.0</v>
      </c>
      <c r="K2317" s="6">
        <v>3100.0</v>
      </c>
      <c r="L2317" s="6">
        <v>775.0</v>
      </c>
      <c r="M2317" s="26" t="s">
        <v>57</v>
      </c>
      <c r="N2317" s="26" t="s">
        <v>57</v>
      </c>
      <c r="O2317" s="6" t="s">
        <v>40</v>
      </c>
      <c r="P2317" s="5" t="s">
        <v>59</v>
      </c>
      <c r="Q2317" s="5" t="s">
        <v>89</v>
      </c>
      <c r="R2317" s="6" t="s">
        <v>42</v>
      </c>
      <c r="S2317" s="5" t="s">
        <v>129</v>
      </c>
      <c r="T2317" s="5" t="s">
        <v>44</v>
      </c>
      <c r="U2317" s="5" t="s">
        <v>44</v>
      </c>
      <c r="V2317" s="5" t="s">
        <v>44</v>
      </c>
      <c r="W2317" s="5" t="s">
        <v>35</v>
      </c>
      <c r="X2317" s="8" t="s">
        <v>45</v>
      </c>
      <c r="Y2317" s="5" t="s">
        <v>46</v>
      </c>
      <c r="Z2317" s="5" t="s">
        <v>47</v>
      </c>
      <c r="AA2317" s="5" t="s">
        <v>64</v>
      </c>
      <c r="AB2317" s="5" t="s">
        <v>11306</v>
      </c>
      <c r="AC2317" s="6" t="s">
        <v>626</v>
      </c>
      <c r="AD2317" s="6">
        <v>1644.0</v>
      </c>
    </row>
    <row r="2318" ht="56.25" customHeight="1">
      <c r="A2318" s="5" t="s">
        <v>11093</v>
      </c>
      <c r="B2318" s="6" t="str">
        <f>IMAGE("https://storage.googleapis.com/acdb/housewares/FtrElectricguitar1_Remake_6_3.png")</f>
        <v/>
      </c>
      <c r="C2318" s="5" t="s">
        <v>3707</v>
      </c>
      <c r="D2318" s="5" t="s">
        <v>34</v>
      </c>
      <c r="E2318" s="5" t="s">
        <v>2833</v>
      </c>
      <c r="F2318" s="5" t="s">
        <v>3454</v>
      </c>
      <c r="G2318" s="5" t="s">
        <v>36</v>
      </c>
      <c r="H2318" s="5" t="s">
        <v>36</v>
      </c>
      <c r="I2318" s="5" t="s">
        <v>35</v>
      </c>
      <c r="J2318" s="6">
        <v>2.0</v>
      </c>
      <c r="K2318" s="6">
        <v>3100.0</v>
      </c>
      <c r="L2318" s="6">
        <v>775.0</v>
      </c>
      <c r="M2318" s="26" t="s">
        <v>57</v>
      </c>
      <c r="N2318" s="26" t="s">
        <v>106</v>
      </c>
      <c r="O2318" s="6" t="s">
        <v>40</v>
      </c>
      <c r="P2318" s="5" t="s">
        <v>59</v>
      </c>
      <c r="Q2318" s="5" t="s">
        <v>89</v>
      </c>
      <c r="R2318" s="6" t="s">
        <v>42</v>
      </c>
      <c r="S2318" s="5" t="s">
        <v>129</v>
      </c>
      <c r="T2318" s="5" t="s">
        <v>44</v>
      </c>
      <c r="U2318" s="5" t="s">
        <v>44</v>
      </c>
      <c r="V2318" s="5" t="s">
        <v>44</v>
      </c>
      <c r="W2318" s="5" t="s">
        <v>35</v>
      </c>
      <c r="X2318" s="8" t="s">
        <v>45</v>
      </c>
      <c r="Y2318" s="5" t="s">
        <v>46</v>
      </c>
      <c r="Z2318" s="5" t="s">
        <v>47</v>
      </c>
      <c r="AA2318" s="5" t="s">
        <v>64</v>
      </c>
      <c r="AB2318" s="5" t="s">
        <v>11309</v>
      </c>
      <c r="AC2318" s="6" t="s">
        <v>634</v>
      </c>
      <c r="AD2318" s="6">
        <v>1644.0</v>
      </c>
    </row>
    <row r="2319" ht="56.25" customHeight="1">
      <c r="A2319" s="5" t="s">
        <v>11093</v>
      </c>
      <c r="B2319" s="6" t="str">
        <f>IMAGE("https://storage.googleapis.com/acdb/housewares/FtrElectricguitar1_Remake_6_4.png")</f>
        <v/>
      </c>
      <c r="C2319" s="5" t="s">
        <v>3707</v>
      </c>
      <c r="D2319" s="5" t="s">
        <v>34</v>
      </c>
      <c r="E2319" s="5" t="s">
        <v>2841</v>
      </c>
      <c r="F2319" s="5" t="s">
        <v>3454</v>
      </c>
      <c r="G2319" s="5" t="s">
        <v>36</v>
      </c>
      <c r="H2319" s="5" t="s">
        <v>36</v>
      </c>
      <c r="I2319" s="5" t="s">
        <v>35</v>
      </c>
      <c r="J2319" s="6">
        <v>2.0</v>
      </c>
      <c r="K2319" s="6">
        <v>3100.0</v>
      </c>
      <c r="L2319" s="6">
        <v>775.0</v>
      </c>
      <c r="M2319" s="26" t="s">
        <v>57</v>
      </c>
      <c r="N2319" s="26" t="s">
        <v>96</v>
      </c>
      <c r="O2319" s="6" t="s">
        <v>40</v>
      </c>
      <c r="P2319" s="5" t="s">
        <v>59</v>
      </c>
      <c r="Q2319" s="5" t="s">
        <v>89</v>
      </c>
      <c r="R2319" s="6" t="s">
        <v>42</v>
      </c>
      <c r="S2319" s="5" t="s">
        <v>129</v>
      </c>
      <c r="T2319" s="5" t="s">
        <v>44</v>
      </c>
      <c r="U2319" s="5" t="s">
        <v>44</v>
      </c>
      <c r="V2319" s="5" t="s">
        <v>44</v>
      </c>
      <c r="W2319" s="5" t="s">
        <v>35</v>
      </c>
      <c r="X2319" s="8" t="s">
        <v>45</v>
      </c>
      <c r="Y2319" s="5" t="s">
        <v>46</v>
      </c>
      <c r="Z2319" s="5" t="s">
        <v>47</v>
      </c>
      <c r="AA2319" s="5" t="s">
        <v>64</v>
      </c>
      <c r="AB2319" s="5" t="s">
        <v>11314</v>
      </c>
      <c r="AC2319" s="6" t="s">
        <v>641</v>
      </c>
      <c r="AD2319" s="6">
        <v>1644.0</v>
      </c>
    </row>
    <row r="2320" ht="56.25" customHeight="1">
      <c r="A2320" s="5" t="s">
        <v>11093</v>
      </c>
      <c r="B2320" s="6" t="str">
        <f>IMAGE("https://storage.googleapis.com/acdb/housewares/FtrElectricguitar1_Remake_6_5.png")</f>
        <v/>
      </c>
      <c r="C2320" s="5" t="s">
        <v>3707</v>
      </c>
      <c r="D2320" s="5" t="s">
        <v>34</v>
      </c>
      <c r="E2320" s="5" t="s">
        <v>2848</v>
      </c>
      <c r="F2320" s="5" t="s">
        <v>3454</v>
      </c>
      <c r="G2320" s="5" t="s">
        <v>36</v>
      </c>
      <c r="H2320" s="5" t="s">
        <v>36</v>
      </c>
      <c r="I2320" s="5" t="s">
        <v>35</v>
      </c>
      <c r="J2320" s="6">
        <v>2.0</v>
      </c>
      <c r="K2320" s="6">
        <v>3100.0</v>
      </c>
      <c r="L2320" s="6">
        <v>775.0</v>
      </c>
      <c r="M2320" s="26" t="s">
        <v>57</v>
      </c>
      <c r="N2320" s="26" t="s">
        <v>1175</v>
      </c>
      <c r="O2320" s="6" t="s">
        <v>40</v>
      </c>
      <c r="P2320" s="5" t="s">
        <v>59</v>
      </c>
      <c r="Q2320" s="5" t="s">
        <v>89</v>
      </c>
      <c r="R2320" s="6" t="s">
        <v>42</v>
      </c>
      <c r="S2320" s="5" t="s">
        <v>129</v>
      </c>
      <c r="T2320" s="5" t="s">
        <v>44</v>
      </c>
      <c r="U2320" s="5" t="s">
        <v>44</v>
      </c>
      <c r="V2320" s="5" t="s">
        <v>44</v>
      </c>
      <c r="W2320" s="5" t="s">
        <v>35</v>
      </c>
      <c r="X2320" s="8" t="s">
        <v>45</v>
      </c>
      <c r="Y2320" s="5" t="s">
        <v>46</v>
      </c>
      <c r="Z2320" s="5" t="s">
        <v>47</v>
      </c>
      <c r="AA2320" s="5" t="s">
        <v>64</v>
      </c>
      <c r="AB2320" s="5" t="s">
        <v>11319</v>
      </c>
      <c r="AC2320" s="6" t="s">
        <v>1870</v>
      </c>
      <c r="AD2320" s="6">
        <v>1644.0</v>
      </c>
    </row>
    <row r="2321" ht="56.25" customHeight="1">
      <c r="A2321" s="5" t="s">
        <v>11093</v>
      </c>
      <c r="B2321" s="6" t="str">
        <f>IMAGE("https://storage.googleapis.com/acdb/housewares/FtrElectricguitar1_Remake_6_6.png")</f>
        <v/>
      </c>
      <c r="C2321" s="5" t="s">
        <v>3707</v>
      </c>
      <c r="D2321" s="5" t="s">
        <v>34</v>
      </c>
      <c r="E2321" s="5" t="s">
        <v>2855</v>
      </c>
      <c r="F2321" s="5" t="s">
        <v>3454</v>
      </c>
      <c r="G2321" s="5" t="s">
        <v>36</v>
      </c>
      <c r="H2321" s="5" t="s">
        <v>36</v>
      </c>
      <c r="I2321" s="5" t="s">
        <v>35</v>
      </c>
      <c r="J2321" s="6">
        <v>2.0</v>
      </c>
      <c r="K2321" s="6">
        <v>3100.0</v>
      </c>
      <c r="L2321" s="6">
        <v>775.0</v>
      </c>
      <c r="M2321" s="26" t="s">
        <v>57</v>
      </c>
      <c r="N2321" s="26" t="s">
        <v>58</v>
      </c>
      <c r="O2321" s="6" t="s">
        <v>40</v>
      </c>
      <c r="P2321" s="5" t="s">
        <v>59</v>
      </c>
      <c r="Q2321" s="5" t="s">
        <v>89</v>
      </c>
      <c r="R2321" s="6" t="s">
        <v>42</v>
      </c>
      <c r="S2321" s="5" t="s">
        <v>129</v>
      </c>
      <c r="T2321" s="5" t="s">
        <v>44</v>
      </c>
      <c r="U2321" s="5" t="s">
        <v>44</v>
      </c>
      <c r="V2321" s="5" t="s">
        <v>44</v>
      </c>
      <c r="W2321" s="5" t="s">
        <v>35</v>
      </c>
      <c r="X2321" s="8" t="s">
        <v>45</v>
      </c>
      <c r="Y2321" s="5" t="s">
        <v>46</v>
      </c>
      <c r="Z2321" s="5" t="s">
        <v>47</v>
      </c>
      <c r="AA2321" s="5" t="s">
        <v>64</v>
      </c>
      <c r="AB2321" s="5" t="s">
        <v>11322</v>
      </c>
      <c r="AC2321" s="6" t="s">
        <v>1873</v>
      </c>
      <c r="AD2321" s="6">
        <v>1644.0</v>
      </c>
    </row>
    <row r="2322" ht="56.25" customHeight="1">
      <c r="A2322" s="5" t="s">
        <v>11093</v>
      </c>
      <c r="B2322" s="6" t="str">
        <f>IMAGE("https://storage.googleapis.com/acdb/housewares/FtrElectricguitar1_Remake_6_7.png")</f>
        <v/>
      </c>
      <c r="C2322" s="5" t="s">
        <v>3707</v>
      </c>
      <c r="D2322" s="5" t="s">
        <v>34</v>
      </c>
      <c r="E2322" s="5" t="s">
        <v>2863</v>
      </c>
      <c r="F2322" s="5" t="s">
        <v>3454</v>
      </c>
      <c r="G2322" s="5" t="s">
        <v>36</v>
      </c>
      <c r="H2322" s="5" t="s">
        <v>36</v>
      </c>
      <c r="I2322" s="5" t="s">
        <v>35</v>
      </c>
      <c r="J2322" s="6">
        <v>2.0</v>
      </c>
      <c r="K2322" s="6">
        <v>3100.0</v>
      </c>
      <c r="L2322" s="6">
        <v>775.0</v>
      </c>
      <c r="M2322" s="26" t="s">
        <v>57</v>
      </c>
      <c r="N2322" s="26" t="s">
        <v>69</v>
      </c>
      <c r="O2322" s="6" t="s">
        <v>40</v>
      </c>
      <c r="P2322" s="5" t="s">
        <v>59</v>
      </c>
      <c r="Q2322" s="5" t="s">
        <v>89</v>
      </c>
      <c r="R2322" s="6" t="s">
        <v>42</v>
      </c>
      <c r="S2322" s="5" t="s">
        <v>129</v>
      </c>
      <c r="T2322" s="5" t="s">
        <v>44</v>
      </c>
      <c r="U2322" s="5" t="s">
        <v>44</v>
      </c>
      <c r="V2322" s="5" t="s">
        <v>44</v>
      </c>
      <c r="W2322" s="5" t="s">
        <v>35</v>
      </c>
      <c r="X2322" s="8" t="s">
        <v>45</v>
      </c>
      <c r="Y2322" s="5" t="s">
        <v>46</v>
      </c>
      <c r="Z2322" s="5" t="s">
        <v>47</v>
      </c>
      <c r="AA2322" s="5" t="s">
        <v>64</v>
      </c>
      <c r="AB2322" s="5" t="s">
        <v>11327</v>
      </c>
      <c r="AC2322" s="6" t="s">
        <v>1879</v>
      </c>
      <c r="AD2322" s="6">
        <v>1644.0</v>
      </c>
    </row>
    <row r="2323" ht="56.25" customHeight="1">
      <c r="A2323" s="5" t="s">
        <v>11093</v>
      </c>
      <c r="B2323" s="6" t="str">
        <f>IMAGE("https://storage.googleapis.com/acdb/housewares/FtrElectricguitar1_Remake_7_0.png")</f>
        <v/>
      </c>
      <c r="C2323" s="5" t="s">
        <v>11329</v>
      </c>
      <c r="D2323" s="5" t="s">
        <v>34</v>
      </c>
      <c r="E2323" s="5" t="s">
        <v>44</v>
      </c>
      <c r="F2323" s="5" t="s">
        <v>3454</v>
      </c>
      <c r="G2323" s="5" t="s">
        <v>36</v>
      </c>
      <c r="H2323" s="5" t="s">
        <v>36</v>
      </c>
      <c r="I2323" s="5" t="s">
        <v>35</v>
      </c>
      <c r="J2323" s="6">
        <v>2.0</v>
      </c>
      <c r="K2323" s="6">
        <v>3100.0</v>
      </c>
      <c r="L2323" s="6">
        <v>775.0</v>
      </c>
      <c r="M2323" s="26" t="s">
        <v>68</v>
      </c>
      <c r="N2323" s="26" t="s">
        <v>57</v>
      </c>
      <c r="O2323" s="6" t="s">
        <v>40</v>
      </c>
      <c r="P2323" s="5" t="s">
        <v>59</v>
      </c>
      <c r="Q2323" s="5" t="s">
        <v>89</v>
      </c>
      <c r="R2323" s="6" t="s">
        <v>42</v>
      </c>
      <c r="S2323" s="5" t="s">
        <v>129</v>
      </c>
      <c r="T2323" s="5" t="s">
        <v>44</v>
      </c>
      <c r="U2323" s="5" t="s">
        <v>44</v>
      </c>
      <c r="V2323" s="5" t="s">
        <v>44</v>
      </c>
      <c r="W2323" s="5" t="s">
        <v>35</v>
      </c>
      <c r="X2323" s="8" t="s">
        <v>45</v>
      </c>
      <c r="Y2323" s="5" t="s">
        <v>46</v>
      </c>
      <c r="Z2323" s="5" t="s">
        <v>47</v>
      </c>
      <c r="AA2323" s="5" t="s">
        <v>64</v>
      </c>
      <c r="AB2323" s="5" t="s">
        <v>11332</v>
      </c>
      <c r="AC2323" s="6" t="s">
        <v>208</v>
      </c>
      <c r="AD2323" s="6">
        <v>1644.0</v>
      </c>
    </row>
    <row r="2324" ht="56.25" customHeight="1">
      <c r="A2324" s="5" t="s">
        <v>11093</v>
      </c>
      <c r="B2324" s="6" t="str">
        <f>IMAGE("https://storage.googleapis.com/acdb/housewares/FtrElectricguitar1_Remake_7_1.png")</f>
        <v/>
      </c>
      <c r="C2324" s="5" t="s">
        <v>11329</v>
      </c>
      <c r="D2324" s="5" t="s">
        <v>34</v>
      </c>
      <c r="E2324" s="5" t="s">
        <v>2817</v>
      </c>
      <c r="F2324" s="5" t="s">
        <v>3454</v>
      </c>
      <c r="G2324" s="5" t="s">
        <v>36</v>
      </c>
      <c r="H2324" s="5" t="s">
        <v>36</v>
      </c>
      <c r="I2324" s="5" t="s">
        <v>35</v>
      </c>
      <c r="J2324" s="6">
        <v>2.0</v>
      </c>
      <c r="K2324" s="6">
        <v>3100.0</v>
      </c>
      <c r="L2324" s="6">
        <v>775.0</v>
      </c>
      <c r="M2324" s="26" t="s">
        <v>68</v>
      </c>
      <c r="N2324" s="26" t="s">
        <v>54</v>
      </c>
      <c r="O2324" s="6" t="s">
        <v>40</v>
      </c>
      <c r="P2324" s="5" t="s">
        <v>59</v>
      </c>
      <c r="Q2324" s="5" t="s">
        <v>89</v>
      </c>
      <c r="R2324" s="6" t="s">
        <v>42</v>
      </c>
      <c r="S2324" s="5" t="s">
        <v>129</v>
      </c>
      <c r="T2324" s="5" t="s">
        <v>44</v>
      </c>
      <c r="U2324" s="5" t="s">
        <v>44</v>
      </c>
      <c r="V2324" s="5" t="s">
        <v>44</v>
      </c>
      <c r="W2324" s="5" t="s">
        <v>35</v>
      </c>
      <c r="X2324" s="8" t="s">
        <v>45</v>
      </c>
      <c r="Y2324" s="5" t="s">
        <v>46</v>
      </c>
      <c r="Z2324" s="5" t="s">
        <v>47</v>
      </c>
      <c r="AA2324" s="5" t="s">
        <v>64</v>
      </c>
      <c r="AB2324" s="5" t="s">
        <v>11338</v>
      </c>
      <c r="AC2324" s="6" t="s">
        <v>1892</v>
      </c>
      <c r="AD2324" s="6">
        <v>1644.0</v>
      </c>
    </row>
    <row r="2325" ht="56.25" customHeight="1">
      <c r="A2325" s="5" t="s">
        <v>11093</v>
      </c>
      <c r="B2325" s="6" t="str">
        <f>IMAGE("https://storage.googleapis.com/acdb/housewares/FtrElectricguitar1_Remake_7_2.png")</f>
        <v/>
      </c>
      <c r="C2325" s="5" t="s">
        <v>11329</v>
      </c>
      <c r="D2325" s="5" t="s">
        <v>34</v>
      </c>
      <c r="E2325" s="5" t="s">
        <v>2827</v>
      </c>
      <c r="F2325" s="5" t="s">
        <v>3454</v>
      </c>
      <c r="G2325" s="5" t="s">
        <v>36</v>
      </c>
      <c r="H2325" s="5" t="s">
        <v>36</v>
      </c>
      <c r="I2325" s="5" t="s">
        <v>35</v>
      </c>
      <c r="J2325" s="6">
        <v>2.0</v>
      </c>
      <c r="K2325" s="6">
        <v>3100.0</v>
      </c>
      <c r="L2325" s="6">
        <v>775.0</v>
      </c>
      <c r="M2325" s="26" t="s">
        <v>68</v>
      </c>
      <c r="N2325" s="26" t="s">
        <v>57</v>
      </c>
      <c r="O2325" s="6" t="s">
        <v>40</v>
      </c>
      <c r="P2325" s="5" t="s">
        <v>59</v>
      </c>
      <c r="Q2325" s="5" t="s">
        <v>89</v>
      </c>
      <c r="R2325" s="6" t="s">
        <v>42</v>
      </c>
      <c r="S2325" s="5" t="s">
        <v>129</v>
      </c>
      <c r="T2325" s="5" t="s">
        <v>44</v>
      </c>
      <c r="U2325" s="5" t="s">
        <v>44</v>
      </c>
      <c r="V2325" s="5" t="s">
        <v>44</v>
      </c>
      <c r="W2325" s="5" t="s">
        <v>35</v>
      </c>
      <c r="X2325" s="8" t="s">
        <v>45</v>
      </c>
      <c r="Y2325" s="5" t="s">
        <v>46</v>
      </c>
      <c r="Z2325" s="5" t="s">
        <v>47</v>
      </c>
      <c r="AA2325" s="5" t="s">
        <v>64</v>
      </c>
      <c r="AB2325" s="5" t="s">
        <v>11344</v>
      </c>
      <c r="AC2325" s="6" t="s">
        <v>1901</v>
      </c>
      <c r="AD2325" s="6">
        <v>1644.0</v>
      </c>
    </row>
    <row r="2326" ht="56.25" customHeight="1">
      <c r="A2326" s="5" t="s">
        <v>11093</v>
      </c>
      <c r="B2326" s="6" t="str">
        <f>IMAGE("https://storage.googleapis.com/acdb/housewares/FtrElectricguitar1_Remake_7_3.png")</f>
        <v/>
      </c>
      <c r="C2326" s="5" t="s">
        <v>11329</v>
      </c>
      <c r="D2326" s="5" t="s">
        <v>34</v>
      </c>
      <c r="E2326" s="5" t="s">
        <v>2833</v>
      </c>
      <c r="F2326" s="5" t="s">
        <v>3454</v>
      </c>
      <c r="G2326" s="5" t="s">
        <v>36</v>
      </c>
      <c r="H2326" s="5" t="s">
        <v>36</v>
      </c>
      <c r="I2326" s="5" t="s">
        <v>35</v>
      </c>
      <c r="J2326" s="6">
        <v>2.0</v>
      </c>
      <c r="K2326" s="6">
        <v>3100.0</v>
      </c>
      <c r="L2326" s="6">
        <v>775.0</v>
      </c>
      <c r="M2326" s="26" t="s">
        <v>68</v>
      </c>
      <c r="N2326" s="26" t="s">
        <v>106</v>
      </c>
      <c r="O2326" s="6" t="s">
        <v>40</v>
      </c>
      <c r="P2326" s="5" t="s">
        <v>59</v>
      </c>
      <c r="Q2326" s="5" t="s">
        <v>89</v>
      </c>
      <c r="R2326" s="6" t="s">
        <v>42</v>
      </c>
      <c r="S2326" s="5" t="s">
        <v>129</v>
      </c>
      <c r="T2326" s="5" t="s">
        <v>44</v>
      </c>
      <c r="U2326" s="5" t="s">
        <v>44</v>
      </c>
      <c r="V2326" s="5" t="s">
        <v>44</v>
      </c>
      <c r="W2326" s="5" t="s">
        <v>35</v>
      </c>
      <c r="X2326" s="8" t="s">
        <v>45</v>
      </c>
      <c r="Y2326" s="5" t="s">
        <v>46</v>
      </c>
      <c r="Z2326" s="5" t="s">
        <v>47</v>
      </c>
      <c r="AA2326" s="5" t="s">
        <v>64</v>
      </c>
      <c r="AB2326" s="5" t="s">
        <v>11351</v>
      </c>
      <c r="AC2326" s="6" t="s">
        <v>1906</v>
      </c>
      <c r="AD2326" s="6">
        <v>1644.0</v>
      </c>
    </row>
    <row r="2327" ht="56.25" customHeight="1">
      <c r="A2327" s="5" t="s">
        <v>11093</v>
      </c>
      <c r="B2327" s="6" t="str">
        <f>IMAGE("https://storage.googleapis.com/acdb/housewares/FtrElectricguitar1_Remake_7_4.png")</f>
        <v/>
      </c>
      <c r="C2327" s="5" t="s">
        <v>11329</v>
      </c>
      <c r="D2327" s="5" t="s">
        <v>34</v>
      </c>
      <c r="E2327" s="5" t="s">
        <v>2841</v>
      </c>
      <c r="F2327" s="5" t="s">
        <v>3454</v>
      </c>
      <c r="G2327" s="5" t="s">
        <v>36</v>
      </c>
      <c r="H2327" s="5" t="s">
        <v>36</v>
      </c>
      <c r="I2327" s="5" t="s">
        <v>35</v>
      </c>
      <c r="J2327" s="6">
        <v>2.0</v>
      </c>
      <c r="K2327" s="6">
        <v>3100.0</v>
      </c>
      <c r="L2327" s="6">
        <v>775.0</v>
      </c>
      <c r="M2327" s="26" t="s">
        <v>68</v>
      </c>
      <c r="N2327" s="26" t="s">
        <v>96</v>
      </c>
      <c r="O2327" s="6" t="s">
        <v>40</v>
      </c>
      <c r="P2327" s="5" t="s">
        <v>59</v>
      </c>
      <c r="Q2327" s="5" t="s">
        <v>89</v>
      </c>
      <c r="R2327" s="6" t="s">
        <v>42</v>
      </c>
      <c r="S2327" s="5" t="s">
        <v>129</v>
      </c>
      <c r="T2327" s="5" t="s">
        <v>44</v>
      </c>
      <c r="U2327" s="5" t="s">
        <v>44</v>
      </c>
      <c r="V2327" s="5" t="s">
        <v>44</v>
      </c>
      <c r="W2327" s="5" t="s">
        <v>35</v>
      </c>
      <c r="X2327" s="8" t="s">
        <v>45</v>
      </c>
      <c r="Y2327" s="5" t="s">
        <v>46</v>
      </c>
      <c r="Z2327" s="5" t="s">
        <v>47</v>
      </c>
      <c r="AA2327" s="5" t="s">
        <v>64</v>
      </c>
      <c r="AB2327" s="5" t="s">
        <v>11357</v>
      </c>
      <c r="AC2327" s="6" t="s">
        <v>1910</v>
      </c>
      <c r="AD2327" s="6">
        <v>1644.0</v>
      </c>
    </row>
    <row r="2328" ht="56.25" customHeight="1">
      <c r="A2328" s="5" t="s">
        <v>11093</v>
      </c>
      <c r="B2328" s="6" t="str">
        <f>IMAGE("https://storage.googleapis.com/acdb/housewares/FtrElectricguitar1_Remake_7_5.png")</f>
        <v/>
      </c>
      <c r="C2328" s="5" t="s">
        <v>11329</v>
      </c>
      <c r="D2328" s="5" t="s">
        <v>34</v>
      </c>
      <c r="E2328" s="5" t="s">
        <v>2848</v>
      </c>
      <c r="F2328" s="5" t="s">
        <v>3454</v>
      </c>
      <c r="G2328" s="5" t="s">
        <v>36</v>
      </c>
      <c r="H2328" s="5" t="s">
        <v>36</v>
      </c>
      <c r="I2328" s="5" t="s">
        <v>35</v>
      </c>
      <c r="J2328" s="6">
        <v>2.0</v>
      </c>
      <c r="K2328" s="6">
        <v>3100.0</v>
      </c>
      <c r="L2328" s="6">
        <v>775.0</v>
      </c>
      <c r="M2328" s="26" t="s">
        <v>68</v>
      </c>
      <c r="N2328" s="26" t="s">
        <v>1175</v>
      </c>
      <c r="O2328" s="6" t="s">
        <v>40</v>
      </c>
      <c r="P2328" s="5" t="s">
        <v>59</v>
      </c>
      <c r="Q2328" s="5" t="s">
        <v>89</v>
      </c>
      <c r="R2328" s="6" t="s">
        <v>42</v>
      </c>
      <c r="S2328" s="5" t="s">
        <v>129</v>
      </c>
      <c r="T2328" s="5" t="s">
        <v>44</v>
      </c>
      <c r="U2328" s="5" t="s">
        <v>44</v>
      </c>
      <c r="V2328" s="5" t="s">
        <v>44</v>
      </c>
      <c r="W2328" s="5" t="s">
        <v>35</v>
      </c>
      <c r="X2328" s="8" t="s">
        <v>45</v>
      </c>
      <c r="Y2328" s="5" t="s">
        <v>46</v>
      </c>
      <c r="Z2328" s="5" t="s">
        <v>47</v>
      </c>
      <c r="AA2328" s="5" t="s">
        <v>64</v>
      </c>
      <c r="AB2328" s="5" t="s">
        <v>11362</v>
      </c>
      <c r="AC2328" s="6" t="s">
        <v>1915</v>
      </c>
      <c r="AD2328" s="6">
        <v>1644.0</v>
      </c>
    </row>
    <row r="2329" ht="56.25" customHeight="1">
      <c r="A2329" s="5" t="s">
        <v>11093</v>
      </c>
      <c r="B2329" s="6" t="str">
        <f>IMAGE("https://storage.googleapis.com/acdb/housewares/FtrElectricguitar1_Remake_7_6.png")</f>
        <v/>
      </c>
      <c r="C2329" s="5" t="s">
        <v>11329</v>
      </c>
      <c r="D2329" s="5" t="s">
        <v>34</v>
      </c>
      <c r="E2329" s="5" t="s">
        <v>2855</v>
      </c>
      <c r="F2329" s="5" t="s">
        <v>3454</v>
      </c>
      <c r="G2329" s="5" t="s">
        <v>36</v>
      </c>
      <c r="H2329" s="5" t="s">
        <v>36</v>
      </c>
      <c r="I2329" s="5" t="s">
        <v>35</v>
      </c>
      <c r="J2329" s="6">
        <v>2.0</v>
      </c>
      <c r="K2329" s="6">
        <v>3100.0</v>
      </c>
      <c r="L2329" s="6">
        <v>775.0</v>
      </c>
      <c r="M2329" s="26" t="s">
        <v>68</v>
      </c>
      <c r="N2329" s="26" t="s">
        <v>58</v>
      </c>
      <c r="O2329" s="6" t="s">
        <v>40</v>
      </c>
      <c r="P2329" s="5" t="s">
        <v>59</v>
      </c>
      <c r="Q2329" s="5" t="s">
        <v>89</v>
      </c>
      <c r="R2329" s="6" t="s">
        <v>42</v>
      </c>
      <c r="S2329" s="5" t="s">
        <v>129</v>
      </c>
      <c r="T2329" s="5" t="s">
        <v>44</v>
      </c>
      <c r="U2329" s="5" t="s">
        <v>44</v>
      </c>
      <c r="V2329" s="5" t="s">
        <v>44</v>
      </c>
      <c r="W2329" s="5" t="s">
        <v>35</v>
      </c>
      <c r="X2329" s="8" t="s">
        <v>45</v>
      </c>
      <c r="Y2329" s="5" t="s">
        <v>46</v>
      </c>
      <c r="Z2329" s="5" t="s">
        <v>47</v>
      </c>
      <c r="AA2329" s="5" t="s">
        <v>64</v>
      </c>
      <c r="AB2329" s="5" t="s">
        <v>11365</v>
      </c>
      <c r="AC2329" s="6" t="s">
        <v>1919</v>
      </c>
      <c r="AD2329" s="6">
        <v>1644.0</v>
      </c>
    </row>
    <row r="2330" ht="56.25" customHeight="1">
      <c r="A2330" s="5" t="s">
        <v>11093</v>
      </c>
      <c r="B2330" s="6" t="str">
        <f>IMAGE("https://storage.googleapis.com/acdb/housewares/FtrElectricguitar1_Remake_7_7.png")</f>
        <v/>
      </c>
      <c r="C2330" s="5" t="s">
        <v>11329</v>
      </c>
      <c r="D2330" s="5" t="s">
        <v>34</v>
      </c>
      <c r="E2330" s="5" t="s">
        <v>2863</v>
      </c>
      <c r="F2330" s="5" t="s">
        <v>3454</v>
      </c>
      <c r="G2330" s="5" t="s">
        <v>36</v>
      </c>
      <c r="H2330" s="5" t="s">
        <v>36</v>
      </c>
      <c r="I2330" s="5" t="s">
        <v>35</v>
      </c>
      <c r="J2330" s="6">
        <v>2.0</v>
      </c>
      <c r="K2330" s="6">
        <v>3100.0</v>
      </c>
      <c r="L2330" s="6">
        <v>775.0</v>
      </c>
      <c r="M2330" s="26" t="s">
        <v>68</v>
      </c>
      <c r="N2330" s="26" t="s">
        <v>69</v>
      </c>
      <c r="O2330" s="6" t="s">
        <v>40</v>
      </c>
      <c r="P2330" s="5" t="s">
        <v>59</v>
      </c>
      <c r="Q2330" s="5" t="s">
        <v>89</v>
      </c>
      <c r="R2330" s="6" t="s">
        <v>42</v>
      </c>
      <c r="S2330" s="5" t="s">
        <v>129</v>
      </c>
      <c r="T2330" s="5" t="s">
        <v>44</v>
      </c>
      <c r="U2330" s="5" t="s">
        <v>44</v>
      </c>
      <c r="V2330" s="5" t="s">
        <v>44</v>
      </c>
      <c r="W2330" s="5" t="s">
        <v>35</v>
      </c>
      <c r="X2330" s="8" t="s">
        <v>45</v>
      </c>
      <c r="Y2330" s="5" t="s">
        <v>46</v>
      </c>
      <c r="Z2330" s="5" t="s">
        <v>47</v>
      </c>
      <c r="AA2330" s="5" t="s">
        <v>64</v>
      </c>
      <c r="AB2330" s="5" t="s">
        <v>11371</v>
      </c>
      <c r="AC2330" s="6" t="s">
        <v>1925</v>
      </c>
      <c r="AD2330" s="6">
        <v>1644.0</v>
      </c>
    </row>
    <row r="2331" ht="56.25" customHeight="1">
      <c r="A2331" s="5" t="s">
        <v>11372</v>
      </c>
      <c r="B2331" s="6" t="str">
        <f>IMAGE("https://storage.googleapis.com/acdb/housewares/FtrRocket.png")</f>
        <v/>
      </c>
      <c r="C2331" s="5" t="s">
        <v>34</v>
      </c>
      <c r="D2331" s="5" t="s">
        <v>34</v>
      </c>
      <c r="E2331" s="5" t="s">
        <v>34</v>
      </c>
      <c r="F2331" s="5" t="s">
        <v>34</v>
      </c>
      <c r="G2331" s="5" t="s">
        <v>35</v>
      </c>
      <c r="H2331" s="5" t="s">
        <v>36</v>
      </c>
      <c r="I2331" s="5" t="s">
        <v>36</v>
      </c>
      <c r="J2331" s="6" t="s">
        <v>34</v>
      </c>
      <c r="K2331" s="6" t="s">
        <v>37</v>
      </c>
      <c r="L2331" s="6">
        <v>20000.0</v>
      </c>
      <c r="M2331" s="5" t="s">
        <v>57</v>
      </c>
      <c r="N2331" s="5" t="s">
        <v>52</v>
      </c>
      <c r="O2331" s="6" t="s">
        <v>276</v>
      </c>
      <c r="P2331" s="5" t="s">
        <v>41</v>
      </c>
      <c r="Q2331" s="5"/>
      <c r="R2331" s="6" t="s">
        <v>42</v>
      </c>
      <c r="S2331" s="5" t="s">
        <v>401</v>
      </c>
      <c r="T2331" s="5" t="s">
        <v>44</v>
      </c>
      <c r="U2331" s="5" t="s">
        <v>44</v>
      </c>
      <c r="V2331" s="5" t="s">
        <v>44</v>
      </c>
      <c r="W2331" s="5" t="s">
        <v>36</v>
      </c>
      <c r="X2331" s="8" t="s">
        <v>403</v>
      </c>
      <c r="Y2331" s="5" t="s">
        <v>46</v>
      </c>
      <c r="Z2331" s="5" t="s">
        <v>47</v>
      </c>
      <c r="AA2331" s="5" t="s">
        <v>48</v>
      </c>
      <c r="AB2331" s="5" t="s">
        <v>11378</v>
      </c>
      <c r="AC2331" s="6" t="s">
        <v>34</v>
      </c>
      <c r="AD2331" s="6">
        <v>1441.0</v>
      </c>
    </row>
    <row r="2332" ht="56.25" customHeight="1">
      <c r="A2332" s="5" t="s">
        <v>11379</v>
      </c>
      <c r="B2332" s="6" t="str">
        <f>IMAGE("https://storage.googleapis.com/acdb/housewares/FtrLavalamp_Remake_0_0.png")</f>
        <v/>
      </c>
      <c r="C2332" s="5" t="s">
        <v>68</v>
      </c>
      <c r="D2332" s="5" t="s">
        <v>34</v>
      </c>
      <c r="E2332" s="5" t="s">
        <v>34</v>
      </c>
      <c r="F2332" s="5" t="s">
        <v>34</v>
      </c>
      <c r="G2332" s="5" t="s">
        <v>36</v>
      </c>
      <c r="H2332" s="5" t="s">
        <v>36</v>
      </c>
      <c r="I2332" s="5" t="s">
        <v>36</v>
      </c>
      <c r="J2332" s="6" t="s">
        <v>34</v>
      </c>
      <c r="K2332" s="6">
        <v>1500.0</v>
      </c>
      <c r="L2332" s="6">
        <v>375.0</v>
      </c>
      <c r="M2332" s="26" t="s">
        <v>1175</v>
      </c>
      <c r="N2332" s="26" t="s">
        <v>96</v>
      </c>
      <c r="O2332" s="6" t="s">
        <v>40</v>
      </c>
      <c r="P2332" s="5" t="s">
        <v>59</v>
      </c>
      <c r="Q2332" s="5" t="s">
        <v>89</v>
      </c>
      <c r="R2332" s="6" t="s">
        <v>42</v>
      </c>
      <c r="S2332" s="5" t="s">
        <v>141</v>
      </c>
      <c r="T2332" s="5" t="s">
        <v>44</v>
      </c>
      <c r="U2332" s="5" t="s">
        <v>44</v>
      </c>
      <c r="V2332" s="5" t="s">
        <v>44</v>
      </c>
      <c r="W2332" s="5" t="s">
        <v>35</v>
      </c>
      <c r="X2332" s="8" t="s">
        <v>467</v>
      </c>
      <c r="Y2332" s="5" t="s">
        <v>46</v>
      </c>
      <c r="Z2332" s="5" t="s">
        <v>502</v>
      </c>
      <c r="AA2332" s="5" t="s">
        <v>64</v>
      </c>
      <c r="AB2332" s="5" t="s">
        <v>11384</v>
      </c>
      <c r="AC2332" s="6" t="s">
        <v>50</v>
      </c>
      <c r="AD2332" s="6">
        <v>1851.0</v>
      </c>
    </row>
    <row r="2333" ht="56.25" customHeight="1">
      <c r="A2333" s="5" t="s">
        <v>11379</v>
      </c>
      <c r="B2333" s="6" t="str">
        <f>IMAGE("https://storage.googleapis.com/acdb/housewares/FtrLavalamp_Remake_1_0.png")</f>
        <v/>
      </c>
      <c r="C2333" s="5" t="s">
        <v>52</v>
      </c>
      <c r="D2333" s="5" t="s">
        <v>34</v>
      </c>
      <c r="E2333" s="5" t="s">
        <v>34</v>
      </c>
      <c r="F2333" s="5" t="s">
        <v>34</v>
      </c>
      <c r="G2333" s="5" t="s">
        <v>36</v>
      </c>
      <c r="H2333" s="5" t="s">
        <v>36</v>
      </c>
      <c r="I2333" s="5" t="s">
        <v>36</v>
      </c>
      <c r="J2333" s="6" t="s">
        <v>34</v>
      </c>
      <c r="K2333" s="6">
        <v>1500.0</v>
      </c>
      <c r="L2333" s="6">
        <v>375.0</v>
      </c>
      <c r="M2333" s="26" t="s">
        <v>52</v>
      </c>
      <c r="N2333" s="26" t="s">
        <v>57</v>
      </c>
      <c r="O2333" s="6" t="s">
        <v>40</v>
      </c>
      <c r="P2333" s="5" t="s">
        <v>59</v>
      </c>
      <c r="Q2333" s="5" t="s">
        <v>89</v>
      </c>
      <c r="R2333" s="6" t="s">
        <v>42</v>
      </c>
      <c r="S2333" s="5" t="s">
        <v>141</v>
      </c>
      <c r="T2333" s="5" t="s">
        <v>44</v>
      </c>
      <c r="U2333" s="5" t="s">
        <v>44</v>
      </c>
      <c r="V2333" s="5" t="s">
        <v>44</v>
      </c>
      <c r="W2333" s="5" t="s">
        <v>35</v>
      </c>
      <c r="X2333" s="8" t="s">
        <v>467</v>
      </c>
      <c r="Y2333" s="5" t="s">
        <v>46</v>
      </c>
      <c r="Z2333" s="5" t="s">
        <v>502</v>
      </c>
      <c r="AA2333" s="5" t="s">
        <v>64</v>
      </c>
      <c r="AB2333" s="5" t="s">
        <v>11389</v>
      </c>
      <c r="AC2333" s="6" t="s">
        <v>56</v>
      </c>
      <c r="AD2333" s="6">
        <v>1851.0</v>
      </c>
    </row>
    <row r="2334" ht="56.25" customHeight="1">
      <c r="A2334" s="5" t="s">
        <v>11379</v>
      </c>
      <c r="B2334" s="6" t="str">
        <f>IMAGE("https://storage.googleapis.com/acdb/housewares/FtrLavalamp_Remake_2_0.png")</f>
        <v/>
      </c>
      <c r="C2334" s="5" t="s">
        <v>114</v>
      </c>
      <c r="D2334" s="5" t="s">
        <v>34</v>
      </c>
      <c r="E2334" s="5" t="s">
        <v>34</v>
      </c>
      <c r="F2334" s="5" t="s">
        <v>34</v>
      </c>
      <c r="G2334" s="5" t="s">
        <v>36</v>
      </c>
      <c r="H2334" s="5" t="s">
        <v>36</v>
      </c>
      <c r="I2334" s="5" t="s">
        <v>36</v>
      </c>
      <c r="J2334" s="6" t="s">
        <v>34</v>
      </c>
      <c r="K2334" s="6">
        <v>1500.0</v>
      </c>
      <c r="L2334" s="6">
        <v>375.0</v>
      </c>
      <c r="M2334" s="26" t="s">
        <v>114</v>
      </c>
      <c r="N2334" s="26" t="s">
        <v>142</v>
      </c>
      <c r="O2334" s="6" t="s">
        <v>40</v>
      </c>
      <c r="P2334" s="5" t="s">
        <v>59</v>
      </c>
      <c r="Q2334" s="5" t="s">
        <v>89</v>
      </c>
      <c r="R2334" s="6" t="s">
        <v>42</v>
      </c>
      <c r="S2334" s="5" t="s">
        <v>141</v>
      </c>
      <c r="T2334" s="5" t="s">
        <v>44</v>
      </c>
      <c r="U2334" s="5" t="s">
        <v>44</v>
      </c>
      <c r="V2334" s="5" t="s">
        <v>44</v>
      </c>
      <c r="W2334" s="5" t="s">
        <v>35</v>
      </c>
      <c r="X2334" s="8" t="s">
        <v>467</v>
      </c>
      <c r="Y2334" s="5" t="s">
        <v>46</v>
      </c>
      <c r="Z2334" s="5" t="s">
        <v>502</v>
      </c>
      <c r="AA2334" s="5" t="s">
        <v>64</v>
      </c>
      <c r="AB2334" s="5" t="s">
        <v>11395</v>
      </c>
      <c r="AC2334" s="6" t="s">
        <v>67</v>
      </c>
      <c r="AD2334" s="6">
        <v>1851.0</v>
      </c>
    </row>
    <row r="2335" ht="56.25" customHeight="1">
      <c r="A2335" s="5" t="s">
        <v>11379</v>
      </c>
      <c r="B2335" s="6" t="str">
        <f>IMAGE("https://storage.googleapis.com/acdb/housewares/FtrLavalamp_Remake_3_0.png")</f>
        <v/>
      </c>
      <c r="C2335" s="5" t="s">
        <v>1174</v>
      </c>
      <c r="D2335" s="5" t="s">
        <v>34</v>
      </c>
      <c r="E2335" s="5" t="s">
        <v>34</v>
      </c>
      <c r="F2335" s="5" t="s">
        <v>34</v>
      </c>
      <c r="G2335" s="5" t="s">
        <v>36</v>
      </c>
      <c r="H2335" s="5" t="s">
        <v>36</v>
      </c>
      <c r="I2335" s="5" t="s">
        <v>36</v>
      </c>
      <c r="J2335" s="6" t="s">
        <v>34</v>
      </c>
      <c r="K2335" s="6">
        <v>1500.0</v>
      </c>
      <c r="L2335" s="6">
        <v>375.0</v>
      </c>
      <c r="M2335" s="26" t="s">
        <v>1175</v>
      </c>
      <c r="N2335" s="26" t="s">
        <v>69</v>
      </c>
      <c r="O2335" s="6" t="s">
        <v>40</v>
      </c>
      <c r="P2335" s="5" t="s">
        <v>59</v>
      </c>
      <c r="Q2335" s="5" t="s">
        <v>89</v>
      </c>
      <c r="R2335" s="6" t="s">
        <v>42</v>
      </c>
      <c r="S2335" s="5" t="s">
        <v>141</v>
      </c>
      <c r="T2335" s="5" t="s">
        <v>44</v>
      </c>
      <c r="U2335" s="5" t="s">
        <v>44</v>
      </c>
      <c r="V2335" s="5" t="s">
        <v>44</v>
      </c>
      <c r="W2335" s="5" t="s">
        <v>35</v>
      </c>
      <c r="X2335" s="8" t="s">
        <v>467</v>
      </c>
      <c r="Y2335" s="5" t="s">
        <v>46</v>
      </c>
      <c r="Z2335" s="5" t="s">
        <v>502</v>
      </c>
      <c r="AA2335" s="5" t="s">
        <v>64</v>
      </c>
      <c r="AB2335" s="5" t="s">
        <v>11401</v>
      </c>
      <c r="AC2335" s="6" t="s">
        <v>71</v>
      </c>
      <c r="AD2335" s="6">
        <v>1851.0</v>
      </c>
    </row>
    <row r="2336" ht="56.25" customHeight="1">
      <c r="A2336" s="5" t="s">
        <v>11379</v>
      </c>
      <c r="B2336" s="6" t="str">
        <f>IMAGE("https://storage.googleapis.com/acdb/housewares/FtrLavalamp_Remake_4_0.png")</f>
        <v/>
      </c>
      <c r="C2336" s="5" t="s">
        <v>106</v>
      </c>
      <c r="D2336" s="5" t="s">
        <v>34</v>
      </c>
      <c r="E2336" s="5" t="s">
        <v>34</v>
      </c>
      <c r="F2336" s="5" t="s">
        <v>34</v>
      </c>
      <c r="G2336" s="5" t="s">
        <v>36</v>
      </c>
      <c r="H2336" s="5" t="s">
        <v>36</v>
      </c>
      <c r="I2336" s="5" t="s">
        <v>36</v>
      </c>
      <c r="J2336" s="6" t="s">
        <v>34</v>
      </c>
      <c r="K2336" s="6">
        <v>1500.0</v>
      </c>
      <c r="L2336" s="6">
        <v>375.0</v>
      </c>
      <c r="M2336" s="26" t="s">
        <v>106</v>
      </c>
      <c r="N2336" s="26" t="s">
        <v>68</v>
      </c>
      <c r="O2336" s="6" t="s">
        <v>40</v>
      </c>
      <c r="P2336" s="5" t="s">
        <v>59</v>
      </c>
      <c r="Q2336" s="5" t="s">
        <v>89</v>
      </c>
      <c r="R2336" s="6" t="s">
        <v>42</v>
      </c>
      <c r="S2336" s="5" t="s">
        <v>141</v>
      </c>
      <c r="T2336" s="5" t="s">
        <v>44</v>
      </c>
      <c r="U2336" s="5" t="s">
        <v>44</v>
      </c>
      <c r="V2336" s="5" t="s">
        <v>44</v>
      </c>
      <c r="W2336" s="5" t="s">
        <v>35</v>
      </c>
      <c r="X2336" s="8" t="s">
        <v>467</v>
      </c>
      <c r="Y2336" s="5" t="s">
        <v>46</v>
      </c>
      <c r="Z2336" s="5" t="s">
        <v>502</v>
      </c>
      <c r="AA2336" s="5" t="s">
        <v>64</v>
      </c>
      <c r="AB2336" s="5" t="s">
        <v>11406</v>
      </c>
      <c r="AC2336" s="6" t="s">
        <v>75</v>
      </c>
      <c r="AD2336" s="6">
        <v>1851.0</v>
      </c>
    </row>
    <row r="2337" ht="56.25" customHeight="1">
      <c r="A2337" s="5" t="s">
        <v>11379</v>
      </c>
      <c r="B2337" s="6" t="str">
        <f>IMAGE("https://storage.googleapis.com/acdb/housewares/FtrLavalamp_Remake_5_0.png")</f>
        <v/>
      </c>
      <c r="C2337" s="5" t="s">
        <v>96</v>
      </c>
      <c r="D2337" s="5" t="s">
        <v>34</v>
      </c>
      <c r="E2337" s="5" t="s">
        <v>34</v>
      </c>
      <c r="F2337" s="5" t="s">
        <v>34</v>
      </c>
      <c r="G2337" s="5" t="s">
        <v>36</v>
      </c>
      <c r="H2337" s="5" t="s">
        <v>36</v>
      </c>
      <c r="I2337" s="5" t="s">
        <v>36</v>
      </c>
      <c r="J2337" s="6" t="s">
        <v>34</v>
      </c>
      <c r="K2337" s="6">
        <v>1500.0</v>
      </c>
      <c r="L2337" s="6">
        <v>375.0</v>
      </c>
      <c r="M2337" s="26" t="s">
        <v>96</v>
      </c>
      <c r="N2337" s="26" t="s">
        <v>114</v>
      </c>
      <c r="O2337" s="6" t="s">
        <v>40</v>
      </c>
      <c r="P2337" s="5" t="s">
        <v>59</v>
      </c>
      <c r="Q2337" s="5" t="s">
        <v>89</v>
      </c>
      <c r="R2337" s="6" t="s">
        <v>42</v>
      </c>
      <c r="S2337" s="5" t="s">
        <v>141</v>
      </c>
      <c r="T2337" s="5" t="s">
        <v>44</v>
      </c>
      <c r="U2337" s="5" t="s">
        <v>44</v>
      </c>
      <c r="V2337" s="5" t="s">
        <v>44</v>
      </c>
      <c r="W2337" s="5" t="s">
        <v>35</v>
      </c>
      <c r="X2337" s="8" t="s">
        <v>467</v>
      </c>
      <c r="Y2337" s="5" t="s">
        <v>46</v>
      </c>
      <c r="Z2337" s="5" t="s">
        <v>502</v>
      </c>
      <c r="AA2337" s="5" t="s">
        <v>64</v>
      </c>
      <c r="AB2337" s="5" t="s">
        <v>11412</v>
      </c>
      <c r="AC2337" s="6" t="s">
        <v>79</v>
      </c>
      <c r="AD2337" s="6">
        <v>1851.0</v>
      </c>
    </row>
    <row r="2338" ht="56.25" customHeight="1">
      <c r="A2338" s="5" t="s">
        <v>11379</v>
      </c>
      <c r="B2338" s="6" t="str">
        <f>IMAGE("https://storage.googleapis.com/acdb/housewares/FtrLavalamp_Remake_6_0.png")</f>
        <v/>
      </c>
      <c r="C2338" s="5" t="s">
        <v>69</v>
      </c>
      <c r="D2338" s="5" t="s">
        <v>34</v>
      </c>
      <c r="E2338" s="5" t="s">
        <v>34</v>
      </c>
      <c r="F2338" s="5" t="s">
        <v>34</v>
      </c>
      <c r="G2338" s="5" t="s">
        <v>36</v>
      </c>
      <c r="H2338" s="5" t="s">
        <v>36</v>
      </c>
      <c r="I2338" s="5" t="s">
        <v>36</v>
      </c>
      <c r="J2338" s="6" t="s">
        <v>34</v>
      </c>
      <c r="K2338" s="6">
        <v>1500.0</v>
      </c>
      <c r="L2338" s="6">
        <v>375.0</v>
      </c>
      <c r="M2338" s="26" t="s">
        <v>69</v>
      </c>
      <c r="N2338" s="26" t="s">
        <v>69</v>
      </c>
      <c r="O2338" s="6" t="s">
        <v>40</v>
      </c>
      <c r="P2338" s="5" t="s">
        <v>59</v>
      </c>
      <c r="Q2338" s="5" t="s">
        <v>89</v>
      </c>
      <c r="R2338" s="6" t="s">
        <v>42</v>
      </c>
      <c r="S2338" s="5" t="s">
        <v>141</v>
      </c>
      <c r="T2338" s="5" t="s">
        <v>44</v>
      </c>
      <c r="U2338" s="5" t="s">
        <v>44</v>
      </c>
      <c r="V2338" s="5" t="s">
        <v>44</v>
      </c>
      <c r="W2338" s="5" t="s">
        <v>35</v>
      </c>
      <c r="X2338" s="8" t="s">
        <v>467</v>
      </c>
      <c r="Y2338" s="5" t="s">
        <v>46</v>
      </c>
      <c r="Z2338" s="5" t="s">
        <v>502</v>
      </c>
      <c r="AA2338" s="5" t="s">
        <v>64</v>
      </c>
      <c r="AB2338" s="5" t="s">
        <v>11418</v>
      </c>
      <c r="AC2338" s="6" t="s">
        <v>86</v>
      </c>
      <c r="AD2338" s="6">
        <v>1851.0</v>
      </c>
    </row>
    <row r="2339" ht="56.25" customHeight="1">
      <c r="A2339" s="5" t="s">
        <v>11420</v>
      </c>
      <c r="B2339" s="6" t="str">
        <f>IMAGE("https://storage.googleapis.com/acdb/housewares/FtrRockingchair_Remake_0_0.png")</f>
        <v/>
      </c>
      <c r="C2339" s="5" t="s">
        <v>1137</v>
      </c>
      <c r="D2339" s="5" t="s">
        <v>1455</v>
      </c>
      <c r="E2339" s="5" t="s">
        <v>34</v>
      </c>
      <c r="F2339" s="5" t="s">
        <v>34</v>
      </c>
      <c r="G2339" s="5" t="s">
        <v>35</v>
      </c>
      <c r="H2339" s="5" t="s">
        <v>35</v>
      </c>
      <c r="I2339" s="5" t="s">
        <v>36</v>
      </c>
      <c r="J2339" s="6">
        <v>2.0</v>
      </c>
      <c r="K2339" s="6" t="s">
        <v>37</v>
      </c>
      <c r="L2339" s="6">
        <v>960.0</v>
      </c>
      <c r="M2339" s="26" t="s">
        <v>38</v>
      </c>
      <c r="N2339" s="26" t="s">
        <v>38</v>
      </c>
      <c r="O2339" s="6" t="s">
        <v>40</v>
      </c>
      <c r="P2339" s="5" t="s">
        <v>41</v>
      </c>
      <c r="Q2339" s="5"/>
      <c r="R2339" s="6" t="s">
        <v>42</v>
      </c>
      <c r="S2339" s="5" t="s">
        <v>90</v>
      </c>
      <c r="T2339" s="5" t="s">
        <v>44</v>
      </c>
      <c r="U2339" s="5" t="s">
        <v>44</v>
      </c>
      <c r="V2339" s="5" t="s">
        <v>44</v>
      </c>
      <c r="W2339" s="5" t="s">
        <v>35</v>
      </c>
      <c r="X2339" s="8" t="s">
        <v>248</v>
      </c>
      <c r="Y2339" s="5" t="s">
        <v>46</v>
      </c>
      <c r="Z2339" s="5" t="s">
        <v>47</v>
      </c>
      <c r="AA2339" s="5" t="s">
        <v>48</v>
      </c>
      <c r="AB2339" s="5" t="s">
        <v>11425</v>
      </c>
      <c r="AC2339" s="6" t="s">
        <v>50</v>
      </c>
      <c r="AD2339" s="6">
        <v>1103.0</v>
      </c>
    </row>
    <row r="2340" ht="56.25" customHeight="1">
      <c r="A2340" s="5" t="s">
        <v>11420</v>
      </c>
      <c r="B2340" s="6" t="str">
        <f>IMAGE("https://storage.googleapis.com/acdb/housewares/FtrRockingchair_Remake_1_0.png")</f>
        <v/>
      </c>
      <c r="C2340" s="5" t="s">
        <v>366</v>
      </c>
      <c r="D2340" s="5" t="s">
        <v>1455</v>
      </c>
      <c r="E2340" s="5" t="s">
        <v>34</v>
      </c>
      <c r="F2340" s="5" t="s">
        <v>34</v>
      </c>
      <c r="G2340" s="5" t="s">
        <v>35</v>
      </c>
      <c r="H2340" s="5" t="s">
        <v>35</v>
      </c>
      <c r="I2340" s="5" t="s">
        <v>36</v>
      </c>
      <c r="J2340" s="6">
        <v>2.0</v>
      </c>
      <c r="K2340" s="6" t="s">
        <v>37</v>
      </c>
      <c r="L2340" s="6">
        <v>960.0</v>
      </c>
      <c r="M2340" s="26" t="s">
        <v>142</v>
      </c>
      <c r="N2340" s="26" t="s">
        <v>142</v>
      </c>
      <c r="O2340" s="6" t="s">
        <v>40</v>
      </c>
      <c r="P2340" s="5" t="s">
        <v>41</v>
      </c>
      <c r="Q2340" s="5"/>
      <c r="R2340" s="6" t="s">
        <v>42</v>
      </c>
      <c r="S2340" s="5" t="s">
        <v>90</v>
      </c>
      <c r="T2340" s="5" t="s">
        <v>44</v>
      </c>
      <c r="U2340" s="5" t="s">
        <v>44</v>
      </c>
      <c r="V2340" s="5" t="s">
        <v>44</v>
      </c>
      <c r="W2340" s="5" t="s">
        <v>35</v>
      </c>
      <c r="X2340" s="8" t="s">
        <v>248</v>
      </c>
      <c r="Y2340" s="5" t="s">
        <v>46</v>
      </c>
      <c r="Z2340" s="5" t="s">
        <v>47</v>
      </c>
      <c r="AA2340" s="5" t="s">
        <v>48</v>
      </c>
      <c r="AB2340" s="5" t="s">
        <v>11430</v>
      </c>
      <c r="AC2340" s="6" t="s">
        <v>56</v>
      </c>
      <c r="AD2340" s="6">
        <v>1103.0</v>
      </c>
    </row>
    <row r="2341" ht="56.25" customHeight="1">
      <c r="A2341" s="5" t="s">
        <v>11420</v>
      </c>
      <c r="B2341" s="6" t="str">
        <f>IMAGE("https://storage.googleapis.com/acdb/housewares/FtrRockingchair_Remake_2_0.png")</f>
        <v/>
      </c>
      <c r="C2341" s="5" t="s">
        <v>1132</v>
      </c>
      <c r="D2341" s="5" t="s">
        <v>1455</v>
      </c>
      <c r="E2341" s="5" t="s">
        <v>34</v>
      </c>
      <c r="F2341" s="5" t="s">
        <v>34</v>
      </c>
      <c r="G2341" s="5" t="s">
        <v>35</v>
      </c>
      <c r="H2341" s="5" t="s">
        <v>35</v>
      </c>
      <c r="I2341" s="5" t="s">
        <v>36</v>
      </c>
      <c r="J2341" s="6">
        <v>2.0</v>
      </c>
      <c r="K2341" s="6" t="s">
        <v>37</v>
      </c>
      <c r="L2341" s="6">
        <v>960.0</v>
      </c>
      <c r="M2341" s="26" t="s">
        <v>39</v>
      </c>
      <c r="N2341" s="26" t="s">
        <v>39</v>
      </c>
      <c r="O2341" s="6" t="s">
        <v>40</v>
      </c>
      <c r="P2341" s="5" t="s">
        <v>41</v>
      </c>
      <c r="Q2341" s="5"/>
      <c r="R2341" s="6" t="s">
        <v>42</v>
      </c>
      <c r="S2341" s="5" t="s">
        <v>90</v>
      </c>
      <c r="T2341" s="5" t="s">
        <v>44</v>
      </c>
      <c r="U2341" s="5" t="s">
        <v>44</v>
      </c>
      <c r="V2341" s="5" t="s">
        <v>44</v>
      </c>
      <c r="W2341" s="5" t="s">
        <v>35</v>
      </c>
      <c r="X2341" s="8" t="s">
        <v>248</v>
      </c>
      <c r="Y2341" s="5" t="s">
        <v>46</v>
      </c>
      <c r="Z2341" s="5" t="s">
        <v>47</v>
      </c>
      <c r="AA2341" s="5" t="s">
        <v>48</v>
      </c>
      <c r="AB2341" s="5" t="s">
        <v>11435</v>
      </c>
      <c r="AC2341" s="6" t="s">
        <v>67</v>
      </c>
      <c r="AD2341" s="6">
        <v>1103.0</v>
      </c>
    </row>
    <row r="2342" ht="56.25" customHeight="1">
      <c r="A2342" s="5" t="s">
        <v>11420</v>
      </c>
      <c r="B2342" s="6" t="str">
        <f>IMAGE("https://storage.googleapis.com/acdb/housewares/FtrRockingchair_Remake_3_0.png")</f>
        <v/>
      </c>
      <c r="C2342" s="5" t="s">
        <v>57</v>
      </c>
      <c r="D2342" s="5" t="s">
        <v>1455</v>
      </c>
      <c r="E2342" s="5" t="s">
        <v>34</v>
      </c>
      <c r="F2342" s="5" t="s">
        <v>34</v>
      </c>
      <c r="G2342" s="5" t="s">
        <v>35</v>
      </c>
      <c r="H2342" s="5" t="s">
        <v>35</v>
      </c>
      <c r="I2342" s="5" t="s">
        <v>36</v>
      </c>
      <c r="J2342" s="6">
        <v>2.0</v>
      </c>
      <c r="K2342" s="6" t="s">
        <v>37</v>
      </c>
      <c r="L2342" s="6">
        <v>960.0</v>
      </c>
      <c r="M2342" s="26" t="s">
        <v>57</v>
      </c>
      <c r="N2342" s="26" t="s">
        <v>57</v>
      </c>
      <c r="O2342" s="6" t="s">
        <v>40</v>
      </c>
      <c r="P2342" s="5" t="s">
        <v>41</v>
      </c>
      <c r="Q2342" s="5"/>
      <c r="R2342" s="6" t="s">
        <v>42</v>
      </c>
      <c r="S2342" s="5" t="s">
        <v>90</v>
      </c>
      <c r="T2342" s="5" t="s">
        <v>44</v>
      </c>
      <c r="U2342" s="5" t="s">
        <v>44</v>
      </c>
      <c r="V2342" s="5" t="s">
        <v>44</v>
      </c>
      <c r="W2342" s="5" t="s">
        <v>35</v>
      </c>
      <c r="X2342" s="8" t="s">
        <v>248</v>
      </c>
      <c r="Y2342" s="5" t="s">
        <v>46</v>
      </c>
      <c r="Z2342" s="5" t="s">
        <v>47</v>
      </c>
      <c r="AA2342" s="5" t="s">
        <v>48</v>
      </c>
      <c r="AB2342" s="5" t="s">
        <v>11440</v>
      </c>
      <c r="AC2342" s="6" t="s">
        <v>71</v>
      </c>
      <c r="AD2342" s="6">
        <v>1103.0</v>
      </c>
    </row>
    <row r="2343" ht="56.25" customHeight="1">
      <c r="A2343" s="5" t="s">
        <v>11420</v>
      </c>
      <c r="B2343" s="6" t="str">
        <f>IMAGE("https://storage.googleapis.com/acdb/housewares/FtrRockingchair_Remake_4_0.png")</f>
        <v/>
      </c>
      <c r="C2343" s="5" t="s">
        <v>54</v>
      </c>
      <c r="D2343" s="5" t="s">
        <v>1455</v>
      </c>
      <c r="E2343" s="5" t="s">
        <v>34</v>
      </c>
      <c r="F2343" s="5" t="s">
        <v>34</v>
      </c>
      <c r="G2343" s="5" t="s">
        <v>35</v>
      </c>
      <c r="H2343" s="5" t="s">
        <v>35</v>
      </c>
      <c r="I2343" s="5" t="s">
        <v>36</v>
      </c>
      <c r="J2343" s="6">
        <v>2.0</v>
      </c>
      <c r="K2343" s="6" t="s">
        <v>37</v>
      </c>
      <c r="L2343" s="6">
        <v>960.0</v>
      </c>
      <c r="M2343" s="26" t="s">
        <v>54</v>
      </c>
      <c r="N2343" s="26" t="s">
        <v>54</v>
      </c>
      <c r="O2343" s="6" t="s">
        <v>40</v>
      </c>
      <c r="P2343" s="5" t="s">
        <v>41</v>
      </c>
      <c r="Q2343" s="5"/>
      <c r="R2343" s="6" t="s">
        <v>42</v>
      </c>
      <c r="S2343" s="5" t="s">
        <v>90</v>
      </c>
      <c r="T2343" s="5" t="s">
        <v>44</v>
      </c>
      <c r="U2343" s="5" t="s">
        <v>44</v>
      </c>
      <c r="V2343" s="5" t="s">
        <v>44</v>
      </c>
      <c r="W2343" s="5" t="s">
        <v>35</v>
      </c>
      <c r="X2343" s="8" t="s">
        <v>248</v>
      </c>
      <c r="Y2343" s="5" t="s">
        <v>46</v>
      </c>
      <c r="Z2343" s="5" t="s">
        <v>47</v>
      </c>
      <c r="AA2343" s="5" t="s">
        <v>48</v>
      </c>
      <c r="AB2343" s="5" t="s">
        <v>11444</v>
      </c>
      <c r="AC2343" s="6" t="s">
        <v>75</v>
      </c>
      <c r="AD2343" s="6">
        <v>1103.0</v>
      </c>
    </row>
    <row r="2344" ht="56.25" customHeight="1">
      <c r="A2344" s="5" t="s">
        <v>11445</v>
      </c>
      <c r="B2344" s="6" t="str">
        <f>IMAGE("https://storage.googleapis.com/acdb/housewares/FtrRockinghorse_Remake_0_0.png")</f>
        <v/>
      </c>
      <c r="C2344" s="5" t="s">
        <v>32</v>
      </c>
      <c r="D2344" s="5" t="s">
        <v>748</v>
      </c>
      <c r="E2344" s="5" t="s">
        <v>34</v>
      </c>
      <c r="F2344" s="5" t="s">
        <v>34</v>
      </c>
      <c r="G2344" s="5" t="s">
        <v>35</v>
      </c>
      <c r="H2344" s="5" t="s">
        <v>35</v>
      </c>
      <c r="I2344" s="5" t="s">
        <v>36</v>
      </c>
      <c r="J2344" s="6">
        <v>1.0</v>
      </c>
      <c r="K2344" s="6" t="s">
        <v>37</v>
      </c>
      <c r="L2344" s="6">
        <v>600.0</v>
      </c>
      <c r="M2344" s="26" t="s">
        <v>114</v>
      </c>
      <c r="N2344" s="26" t="s">
        <v>114</v>
      </c>
      <c r="O2344" s="6" t="s">
        <v>40</v>
      </c>
      <c r="P2344" s="5" t="s">
        <v>41</v>
      </c>
      <c r="Q2344" s="5"/>
      <c r="R2344" s="6" t="s">
        <v>42</v>
      </c>
      <c r="S2344" s="5" t="s">
        <v>99</v>
      </c>
      <c r="T2344" s="5" t="s">
        <v>61</v>
      </c>
      <c r="U2344" s="5" t="s">
        <v>44</v>
      </c>
      <c r="V2344" s="5" t="s">
        <v>44</v>
      </c>
      <c r="W2344" s="5" t="s">
        <v>35</v>
      </c>
      <c r="X2344" s="8" t="s">
        <v>356</v>
      </c>
      <c r="Y2344" s="5" t="s">
        <v>46</v>
      </c>
      <c r="Z2344" s="5" t="s">
        <v>47</v>
      </c>
      <c r="AA2344" s="5" t="s">
        <v>48</v>
      </c>
      <c r="AB2344" s="5" t="s">
        <v>11450</v>
      </c>
      <c r="AC2344" s="6" t="s">
        <v>50</v>
      </c>
      <c r="AD2344" s="6">
        <v>83.0</v>
      </c>
    </row>
    <row r="2345" ht="56.25" customHeight="1">
      <c r="A2345" s="5" t="s">
        <v>11445</v>
      </c>
      <c r="B2345" s="6" t="str">
        <f>IMAGE("https://storage.googleapis.com/acdb/housewares/FtrRockinghorse_Remake_1_0.png")</f>
        <v/>
      </c>
      <c r="C2345" s="5" t="s">
        <v>58</v>
      </c>
      <c r="D2345" s="5" t="s">
        <v>748</v>
      </c>
      <c r="E2345" s="5" t="s">
        <v>34</v>
      </c>
      <c r="F2345" s="5" t="s">
        <v>34</v>
      </c>
      <c r="G2345" s="5" t="s">
        <v>35</v>
      </c>
      <c r="H2345" s="5" t="s">
        <v>35</v>
      </c>
      <c r="I2345" s="5" t="s">
        <v>36</v>
      </c>
      <c r="J2345" s="6">
        <v>1.0</v>
      </c>
      <c r="K2345" s="6" t="s">
        <v>37</v>
      </c>
      <c r="L2345" s="6">
        <v>600.0</v>
      </c>
      <c r="M2345" s="26" t="s">
        <v>52</v>
      </c>
      <c r="N2345" s="26" t="s">
        <v>68</v>
      </c>
      <c r="O2345" s="6" t="s">
        <v>40</v>
      </c>
      <c r="P2345" s="5" t="s">
        <v>41</v>
      </c>
      <c r="Q2345" s="5"/>
      <c r="R2345" s="6" t="s">
        <v>42</v>
      </c>
      <c r="S2345" s="5" t="s">
        <v>99</v>
      </c>
      <c r="T2345" s="5" t="s">
        <v>61</v>
      </c>
      <c r="U2345" s="5" t="s">
        <v>44</v>
      </c>
      <c r="V2345" s="5" t="s">
        <v>44</v>
      </c>
      <c r="W2345" s="5" t="s">
        <v>35</v>
      </c>
      <c r="X2345" s="8" t="s">
        <v>356</v>
      </c>
      <c r="Y2345" s="5" t="s">
        <v>46</v>
      </c>
      <c r="Z2345" s="5" t="s">
        <v>47</v>
      </c>
      <c r="AA2345" s="5" t="s">
        <v>48</v>
      </c>
      <c r="AB2345" s="5" t="s">
        <v>11456</v>
      </c>
      <c r="AC2345" s="6" t="s">
        <v>56</v>
      </c>
      <c r="AD2345" s="6">
        <v>83.0</v>
      </c>
    </row>
    <row r="2346" ht="56.25" customHeight="1">
      <c r="A2346" s="5" t="s">
        <v>11445</v>
      </c>
      <c r="B2346" s="6" t="str">
        <f>IMAGE("https://storage.googleapis.com/acdb/housewares/FtrRockinghorse_Remake_2_0.png")</f>
        <v/>
      </c>
      <c r="C2346" s="5" t="s">
        <v>57</v>
      </c>
      <c r="D2346" s="5" t="s">
        <v>748</v>
      </c>
      <c r="E2346" s="5" t="s">
        <v>34</v>
      </c>
      <c r="F2346" s="5" t="s">
        <v>34</v>
      </c>
      <c r="G2346" s="5" t="s">
        <v>35</v>
      </c>
      <c r="H2346" s="5" t="s">
        <v>35</v>
      </c>
      <c r="I2346" s="5" t="s">
        <v>36</v>
      </c>
      <c r="J2346" s="6">
        <v>1.0</v>
      </c>
      <c r="K2346" s="6" t="s">
        <v>37</v>
      </c>
      <c r="L2346" s="6">
        <v>600.0</v>
      </c>
      <c r="M2346" s="26" t="s">
        <v>57</v>
      </c>
      <c r="N2346" s="26" t="s">
        <v>1175</v>
      </c>
      <c r="O2346" s="6" t="s">
        <v>40</v>
      </c>
      <c r="P2346" s="5" t="s">
        <v>41</v>
      </c>
      <c r="Q2346" s="5"/>
      <c r="R2346" s="6" t="s">
        <v>42</v>
      </c>
      <c r="S2346" s="5" t="s">
        <v>99</v>
      </c>
      <c r="T2346" s="5" t="s">
        <v>61</v>
      </c>
      <c r="U2346" s="5" t="s">
        <v>44</v>
      </c>
      <c r="V2346" s="5" t="s">
        <v>44</v>
      </c>
      <c r="W2346" s="5" t="s">
        <v>35</v>
      </c>
      <c r="X2346" s="8" t="s">
        <v>356</v>
      </c>
      <c r="Y2346" s="5" t="s">
        <v>46</v>
      </c>
      <c r="Z2346" s="5" t="s">
        <v>47</v>
      </c>
      <c r="AA2346" s="5" t="s">
        <v>48</v>
      </c>
      <c r="AB2346" s="5" t="s">
        <v>11460</v>
      </c>
      <c r="AC2346" s="6" t="s">
        <v>67</v>
      </c>
      <c r="AD2346" s="6">
        <v>83.0</v>
      </c>
    </row>
    <row r="2347" ht="56.25" customHeight="1">
      <c r="A2347" s="5" t="s">
        <v>11445</v>
      </c>
      <c r="B2347" s="6" t="str">
        <f>IMAGE("https://storage.googleapis.com/acdb/housewares/FtrRockinghorse_Remake_3_0.png")</f>
        <v/>
      </c>
      <c r="C2347" s="5" t="s">
        <v>688</v>
      </c>
      <c r="D2347" s="5" t="s">
        <v>748</v>
      </c>
      <c r="E2347" s="5" t="s">
        <v>34</v>
      </c>
      <c r="F2347" s="5" t="s">
        <v>34</v>
      </c>
      <c r="G2347" s="5" t="s">
        <v>35</v>
      </c>
      <c r="H2347" s="5" t="s">
        <v>35</v>
      </c>
      <c r="I2347" s="5" t="s">
        <v>36</v>
      </c>
      <c r="J2347" s="6">
        <v>1.0</v>
      </c>
      <c r="K2347" s="6" t="s">
        <v>37</v>
      </c>
      <c r="L2347" s="6">
        <v>600.0</v>
      </c>
      <c r="M2347" s="26" t="s">
        <v>69</v>
      </c>
      <c r="N2347" s="26" t="s">
        <v>106</v>
      </c>
      <c r="O2347" s="6" t="s">
        <v>40</v>
      </c>
      <c r="P2347" s="5" t="s">
        <v>41</v>
      </c>
      <c r="Q2347" s="5"/>
      <c r="R2347" s="6" t="s">
        <v>42</v>
      </c>
      <c r="S2347" s="5" t="s">
        <v>99</v>
      </c>
      <c r="T2347" s="5" t="s">
        <v>61</v>
      </c>
      <c r="U2347" s="5" t="s">
        <v>44</v>
      </c>
      <c r="V2347" s="5" t="s">
        <v>44</v>
      </c>
      <c r="W2347" s="5" t="s">
        <v>35</v>
      </c>
      <c r="X2347" s="8" t="s">
        <v>356</v>
      </c>
      <c r="Y2347" s="5" t="s">
        <v>46</v>
      </c>
      <c r="Z2347" s="5" t="s">
        <v>47</v>
      </c>
      <c r="AA2347" s="5" t="s">
        <v>48</v>
      </c>
      <c r="AB2347" s="5" t="s">
        <v>11466</v>
      </c>
      <c r="AC2347" s="6" t="s">
        <v>71</v>
      </c>
      <c r="AD2347" s="6">
        <v>83.0</v>
      </c>
    </row>
    <row r="2348" ht="56.25" customHeight="1">
      <c r="A2348" s="5" t="s">
        <v>11445</v>
      </c>
      <c r="B2348" s="6" t="str">
        <f>IMAGE("https://storage.googleapis.com/acdb/housewares/FtrRockinghorse_Remake_4_0.png")</f>
        <v/>
      </c>
      <c r="C2348" s="5" t="s">
        <v>68</v>
      </c>
      <c r="D2348" s="5" t="s">
        <v>748</v>
      </c>
      <c r="E2348" s="5" t="s">
        <v>34</v>
      </c>
      <c r="F2348" s="5" t="s">
        <v>34</v>
      </c>
      <c r="G2348" s="5" t="s">
        <v>35</v>
      </c>
      <c r="H2348" s="5" t="s">
        <v>35</v>
      </c>
      <c r="I2348" s="5" t="s">
        <v>36</v>
      </c>
      <c r="J2348" s="6">
        <v>1.0</v>
      </c>
      <c r="K2348" s="6" t="s">
        <v>37</v>
      </c>
      <c r="L2348" s="6">
        <v>600.0</v>
      </c>
      <c r="M2348" s="26" t="s">
        <v>68</v>
      </c>
      <c r="N2348" s="26" t="s">
        <v>1175</v>
      </c>
      <c r="O2348" s="6" t="s">
        <v>40</v>
      </c>
      <c r="P2348" s="5" t="s">
        <v>41</v>
      </c>
      <c r="Q2348" s="5"/>
      <c r="R2348" s="6" t="s">
        <v>42</v>
      </c>
      <c r="S2348" s="5" t="s">
        <v>99</v>
      </c>
      <c r="T2348" s="5" t="s">
        <v>61</v>
      </c>
      <c r="U2348" s="5" t="s">
        <v>44</v>
      </c>
      <c r="V2348" s="5" t="s">
        <v>44</v>
      </c>
      <c r="W2348" s="5" t="s">
        <v>35</v>
      </c>
      <c r="X2348" s="8" t="s">
        <v>356</v>
      </c>
      <c r="Y2348" s="5" t="s">
        <v>46</v>
      </c>
      <c r="Z2348" s="5" t="s">
        <v>47</v>
      </c>
      <c r="AA2348" s="5" t="s">
        <v>48</v>
      </c>
      <c r="AB2348" s="5" t="s">
        <v>11471</v>
      </c>
      <c r="AC2348" s="6" t="s">
        <v>75</v>
      </c>
      <c r="AD2348" s="6">
        <v>83.0</v>
      </c>
    </row>
    <row r="2349" ht="56.25" customHeight="1">
      <c r="A2349" s="5" t="s">
        <v>11445</v>
      </c>
      <c r="B2349" s="6" t="str">
        <f>IMAGE("https://storage.googleapis.com/acdb/housewares/FtrRockinghorse_Remake_5_0.png")</f>
        <v/>
      </c>
      <c r="C2349" s="5" t="s">
        <v>1167</v>
      </c>
      <c r="D2349" s="5" t="s">
        <v>748</v>
      </c>
      <c r="E2349" s="5" t="s">
        <v>34</v>
      </c>
      <c r="F2349" s="5" t="s">
        <v>34</v>
      </c>
      <c r="G2349" s="5" t="s">
        <v>35</v>
      </c>
      <c r="H2349" s="5" t="s">
        <v>35</v>
      </c>
      <c r="I2349" s="5" t="s">
        <v>36</v>
      </c>
      <c r="J2349" s="6">
        <v>1.0</v>
      </c>
      <c r="K2349" s="6" t="s">
        <v>37</v>
      </c>
      <c r="L2349" s="6">
        <v>600.0</v>
      </c>
      <c r="M2349" s="26" t="s">
        <v>1175</v>
      </c>
      <c r="N2349" s="26" t="s">
        <v>52</v>
      </c>
      <c r="O2349" s="6" t="s">
        <v>40</v>
      </c>
      <c r="P2349" s="5" t="s">
        <v>41</v>
      </c>
      <c r="Q2349" s="5"/>
      <c r="R2349" s="6" t="s">
        <v>42</v>
      </c>
      <c r="S2349" s="5" t="s">
        <v>99</v>
      </c>
      <c r="T2349" s="5" t="s">
        <v>61</v>
      </c>
      <c r="U2349" s="5" t="s">
        <v>44</v>
      </c>
      <c r="V2349" s="5" t="s">
        <v>44</v>
      </c>
      <c r="W2349" s="5" t="s">
        <v>35</v>
      </c>
      <c r="X2349" s="8" t="s">
        <v>356</v>
      </c>
      <c r="Y2349" s="5" t="s">
        <v>46</v>
      </c>
      <c r="Z2349" s="5" t="s">
        <v>47</v>
      </c>
      <c r="AA2349" s="5" t="s">
        <v>48</v>
      </c>
      <c r="AB2349" s="5" t="s">
        <v>11477</v>
      </c>
      <c r="AC2349" s="6" t="s">
        <v>79</v>
      </c>
      <c r="AD2349" s="6">
        <v>83.0</v>
      </c>
    </row>
    <row r="2350" ht="56.25" customHeight="1">
      <c r="A2350" s="5" t="s">
        <v>11479</v>
      </c>
      <c r="B2350" s="6" t="str">
        <f>IMAGE("https://storage.googleapis.com/acdb/housewares/FtrFlowerBedW_Remake_0_0.png")</f>
        <v/>
      </c>
      <c r="C2350" s="5" t="s">
        <v>52</v>
      </c>
      <c r="D2350" s="5" t="s">
        <v>2163</v>
      </c>
      <c r="E2350" s="5" t="s">
        <v>34</v>
      </c>
      <c r="F2350" s="5" t="s">
        <v>34</v>
      </c>
      <c r="G2350" s="5" t="s">
        <v>35</v>
      </c>
      <c r="H2350" s="5" t="s">
        <v>35</v>
      </c>
      <c r="I2350" s="5" t="s">
        <v>36</v>
      </c>
      <c r="J2350" s="6">
        <v>2.0</v>
      </c>
      <c r="K2350" s="6" t="s">
        <v>37</v>
      </c>
      <c r="L2350" s="6">
        <v>1400.0</v>
      </c>
      <c r="M2350" s="26" t="s">
        <v>52</v>
      </c>
      <c r="N2350" s="26" t="s">
        <v>96</v>
      </c>
      <c r="O2350" s="6" t="s">
        <v>214</v>
      </c>
      <c r="P2350" s="5" t="s">
        <v>41</v>
      </c>
      <c r="Q2350" s="5"/>
      <c r="R2350" s="6" t="s">
        <v>42</v>
      </c>
      <c r="S2350" s="5" t="s">
        <v>61</v>
      </c>
      <c r="T2350" s="5" t="s">
        <v>44</v>
      </c>
      <c r="U2350" s="5" t="s">
        <v>311</v>
      </c>
      <c r="V2350" s="5" t="s">
        <v>44</v>
      </c>
      <c r="W2350" s="5" t="s">
        <v>35</v>
      </c>
      <c r="X2350" s="8" t="s">
        <v>218</v>
      </c>
      <c r="Y2350" s="5" t="s">
        <v>46</v>
      </c>
      <c r="Z2350" s="5" t="s">
        <v>47</v>
      </c>
      <c r="AA2350" s="5" t="s">
        <v>48</v>
      </c>
      <c r="AB2350" s="5" t="s">
        <v>11484</v>
      </c>
      <c r="AC2350" s="6" t="s">
        <v>50</v>
      </c>
      <c r="AD2350" s="6">
        <v>7235.0</v>
      </c>
    </row>
    <row r="2351" ht="56.25" customHeight="1">
      <c r="A2351" s="5" t="s">
        <v>11479</v>
      </c>
      <c r="B2351" s="6" t="str">
        <f>IMAGE("https://storage.googleapis.com/acdb/housewares/FtrFlowerBedW_Remake_1_0.png")</f>
        <v/>
      </c>
      <c r="C2351" s="5" t="s">
        <v>106</v>
      </c>
      <c r="D2351" s="5" t="s">
        <v>2163</v>
      </c>
      <c r="E2351" s="5" t="s">
        <v>34</v>
      </c>
      <c r="F2351" s="5" t="s">
        <v>34</v>
      </c>
      <c r="G2351" s="5" t="s">
        <v>35</v>
      </c>
      <c r="H2351" s="5" t="s">
        <v>35</v>
      </c>
      <c r="I2351" s="5" t="s">
        <v>36</v>
      </c>
      <c r="J2351" s="6">
        <v>2.0</v>
      </c>
      <c r="K2351" s="6" t="s">
        <v>37</v>
      </c>
      <c r="L2351" s="6">
        <v>1400.0</v>
      </c>
      <c r="M2351" s="26" t="s">
        <v>106</v>
      </c>
      <c r="N2351" s="26" t="s">
        <v>96</v>
      </c>
      <c r="O2351" s="6" t="s">
        <v>214</v>
      </c>
      <c r="P2351" s="5" t="s">
        <v>41</v>
      </c>
      <c r="Q2351" s="5"/>
      <c r="R2351" s="6" t="s">
        <v>42</v>
      </c>
      <c r="S2351" s="5" t="s">
        <v>61</v>
      </c>
      <c r="T2351" s="5" t="s">
        <v>44</v>
      </c>
      <c r="U2351" s="5" t="s">
        <v>311</v>
      </c>
      <c r="V2351" s="5" t="s">
        <v>44</v>
      </c>
      <c r="W2351" s="5" t="s">
        <v>35</v>
      </c>
      <c r="X2351" s="8" t="s">
        <v>218</v>
      </c>
      <c r="Y2351" s="5" t="s">
        <v>46</v>
      </c>
      <c r="Z2351" s="5" t="s">
        <v>47</v>
      </c>
      <c r="AA2351" s="5" t="s">
        <v>48</v>
      </c>
      <c r="AB2351" s="5" t="s">
        <v>11490</v>
      </c>
      <c r="AC2351" s="6" t="s">
        <v>56</v>
      </c>
      <c r="AD2351" s="6">
        <v>7235.0</v>
      </c>
    </row>
    <row r="2352" ht="56.25" customHeight="1">
      <c r="A2352" s="5" t="s">
        <v>11479</v>
      </c>
      <c r="B2352" s="6" t="str">
        <f>IMAGE("https://storage.googleapis.com/acdb/housewares/FtrFlowerBedW_Remake_2_0.png")</f>
        <v/>
      </c>
      <c r="C2352" s="5" t="s">
        <v>54</v>
      </c>
      <c r="D2352" s="5" t="s">
        <v>2163</v>
      </c>
      <c r="E2352" s="5" t="s">
        <v>34</v>
      </c>
      <c r="F2352" s="5" t="s">
        <v>34</v>
      </c>
      <c r="G2352" s="5" t="s">
        <v>35</v>
      </c>
      <c r="H2352" s="5" t="s">
        <v>35</v>
      </c>
      <c r="I2352" s="5" t="s">
        <v>36</v>
      </c>
      <c r="J2352" s="6">
        <v>2.0</v>
      </c>
      <c r="K2352" s="6" t="s">
        <v>37</v>
      </c>
      <c r="L2352" s="6">
        <v>1400.0</v>
      </c>
      <c r="M2352" s="26" t="s">
        <v>54</v>
      </c>
      <c r="N2352" s="26" t="s">
        <v>96</v>
      </c>
      <c r="O2352" s="6" t="s">
        <v>214</v>
      </c>
      <c r="P2352" s="5" t="s">
        <v>41</v>
      </c>
      <c r="Q2352" s="5"/>
      <c r="R2352" s="6" t="s">
        <v>42</v>
      </c>
      <c r="S2352" s="5" t="s">
        <v>61</v>
      </c>
      <c r="T2352" s="5" t="s">
        <v>44</v>
      </c>
      <c r="U2352" s="5" t="s">
        <v>311</v>
      </c>
      <c r="V2352" s="5" t="s">
        <v>44</v>
      </c>
      <c r="W2352" s="5" t="s">
        <v>35</v>
      </c>
      <c r="X2352" s="8" t="s">
        <v>218</v>
      </c>
      <c r="Y2352" s="5" t="s">
        <v>46</v>
      </c>
      <c r="Z2352" s="5" t="s">
        <v>47</v>
      </c>
      <c r="AA2352" s="5" t="s">
        <v>48</v>
      </c>
      <c r="AB2352" s="5" t="s">
        <v>11493</v>
      </c>
      <c r="AC2352" s="6" t="s">
        <v>67</v>
      </c>
      <c r="AD2352" s="6">
        <v>7235.0</v>
      </c>
    </row>
    <row r="2353" ht="56.25" customHeight="1">
      <c r="A2353" s="5" t="s">
        <v>11494</v>
      </c>
      <c r="B2353" s="6" t="str">
        <f>IMAGE("https://storage.googleapis.com/acdb/housewares/FtrStoveRound_Remake_0_0.png")</f>
        <v/>
      </c>
      <c r="C2353" s="5" t="s">
        <v>57</v>
      </c>
      <c r="D2353" s="5" t="s">
        <v>34</v>
      </c>
      <c r="E2353" s="5" t="s">
        <v>34</v>
      </c>
      <c r="F2353" s="5" t="s">
        <v>34</v>
      </c>
      <c r="G2353" s="5" t="s">
        <v>36</v>
      </c>
      <c r="H2353" s="5" t="s">
        <v>36</v>
      </c>
      <c r="I2353" s="5" t="s">
        <v>36</v>
      </c>
      <c r="J2353" s="6" t="s">
        <v>34</v>
      </c>
      <c r="K2353" s="6">
        <v>2700.0</v>
      </c>
      <c r="L2353" s="6">
        <v>675.0</v>
      </c>
      <c r="M2353" s="26" t="s">
        <v>57</v>
      </c>
      <c r="N2353" s="26" t="s">
        <v>57</v>
      </c>
      <c r="O2353" s="6" t="s">
        <v>40</v>
      </c>
      <c r="P2353" s="5" t="s">
        <v>59</v>
      </c>
      <c r="Q2353" s="5" t="s">
        <v>10976</v>
      </c>
      <c r="R2353" s="6" t="s">
        <v>42</v>
      </c>
      <c r="S2353" s="5" t="s">
        <v>90</v>
      </c>
      <c r="T2353" s="5" t="s">
        <v>130</v>
      </c>
      <c r="U2353" s="5" t="s">
        <v>44</v>
      </c>
      <c r="V2353" s="5" t="s">
        <v>44</v>
      </c>
      <c r="W2353" s="5" t="s">
        <v>35</v>
      </c>
      <c r="X2353" s="8" t="s">
        <v>2087</v>
      </c>
      <c r="Y2353" s="5" t="s">
        <v>46</v>
      </c>
      <c r="Z2353" s="5" t="s">
        <v>47</v>
      </c>
      <c r="AA2353" s="5" t="s">
        <v>64</v>
      </c>
      <c r="AB2353" s="5" t="s">
        <v>11501</v>
      </c>
      <c r="AC2353" s="6" t="s">
        <v>50</v>
      </c>
      <c r="AD2353" s="6">
        <v>2771.0</v>
      </c>
    </row>
    <row r="2354" ht="56.25" customHeight="1">
      <c r="A2354" s="5" t="s">
        <v>11494</v>
      </c>
      <c r="B2354" s="6" t="str">
        <f>IMAGE("https://storage.googleapis.com/acdb/housewares/FtrStoveRound_Remake_1_0.png")</f>
        <v/>
      </c>
      <c r="C2354" s="5" t="s">
        <v>54</v>
      </c>
      <c r="D2354" s="5" t="s">
        <v>34</v>
      </c>
      <c r="E2354" s="5" t="s">
        <v>34</v>
      </c>
      <c r="F2354" s="5" t="s">
        <v>34</v>
      </c>
      <c r="G2354" s="5" t="s">
        <v>36</v>
      </c>
      <c r="H2354" s="5" t="s">
        <v>36</v>
      </c>
      <c r="I2354" s="5" t="s">
        <v>36</v>
      </c>
      <c r="J2354" s="6" t="s">
        <v>34</v>
      </c>
      <c r="K2354" s="6">
        <v>2700.0</v>
      </c>
      <c r="L2354" s="6">
        <v>675.0</v>
      </c>
      <c r="M2354" s="26" t="s">
        <v>54</v>
      </c>
      <c r="N2354" s="26" t="s">
        <v>54</v>
      </c>
      <c r="O2354" s="6" t="s">
        <v>40</v>
      </c>
      <c r="P2354" s="5" t="s">
        <v>59</v>
      </c>
      <c r="Q2354" s="5" t="s">
        <v>10976</v>
      </c>
      <c r="R2354" s="6" t="s">
        <v>42</v>
      </c>
      <c r="S2354" s="5" t="s">
        <v>90</v>
      </c>
      <c r="T2354" s="5" t="s">
        <v>130</v>
      </c>
      <c r="U2354" s="5" t="s">
        <v>44</v>
      </c>
      <c r="V2354" s="5" t="s">
        <v>44</v>
      </c>
      <c r="W2354" s="5" t="s">
        <v>35</v>
      </c>
      <c r="X2354" s="8" t="s">
        <v>2087</v>
      </c>
      <c r="Y2354" s="5" t="s">
        <v>46</v>
      </c>
      <c r="Z2354" s="5" t="s">
        <v>47</v>
      </c>
      <c r="AA2354" s="5" t="s">
        <v>64</v>
      </c>
      <c r="AB2354" s="5" t="s">
        <v>11505</v>
      </c>
      <c r="AC2354" s="6" t="s">
        <v>56</v>
      </c>
      <c r="AD2354" s="6">
        <v>2771.0</v>
      </c>
    </row>
    <row r="2355" ht="56.25" customHeight="1">
      <c r="A2355" s="5" t="s">
        <v>11494</v>
      </c>
      <c r="B2355" s="6" t="str">
        <f>IMAGE("https://storage.googleapis.com/acdb/housewares/FtrStoveRound_Remake_2_0.png")</f>
        <v/>
      </c>
      <c r="C2355" s="5" t="s">
        <v>52</v>
      </c>
      <c r="D2355" s="5" t="s">
        <v>34</v>
      </c>
      <c r="E2355" s="5" t="s">
        <v>34</v>
      </c>
      <c r="F2355" s="5" t="s">
        <v>34</v>
      </c>
      <c r="G2355" s="5" t="s">
        <v>36</v>
      </c>
      <c r="H2355" s="5" t="s">
        <v>36</v>
      </c>
      <c r="I2355" s="5" t="s">
        <v>36</v>
      </c>
      <c r="J2355" s="6" t="s">
        <v>34</v>
      </c>
      <c r="K2355" s="6">
        <v>2700.0</v>
      </c>
      <c r="L2355" s="6">
        <v>675.0</v>
      </c>
      <c r="M2355" s="26" t="s">
        <v>52</v>
      </c>
      <c r="N2355" s="26" t="s">
        <v>52</v>
      </c>
      <c r="O2355" s="6" t="s">
        <v>40</v>
      </c>
      <c r="P2355" s="5" t="s">
        <v>59</v>
      </c>
      <c r="Q2355" s="5" t="s">
        <v>10976</v>
      </c>
      <c r="R2355" s="6" t="s">
        <v>42</v>
      </c>
      <c r="S2355" s="5" t="s">
        <v>90</v>
      </c>
      <c r="T2355" s="5" t="s">
        <v>130</v>
      </c>
      <c r="U2355" s="5" t="s">
        <v>44</v>
      </c>
      <c r="V2355" s="5" t="s">
        <v>44</v>
      </c>
      <c r="W2355" s="5" t="s">
        <v>35</v>
      </c>
      <c r="X2355" s="8" t="s">
        <v>2087</v>
      </c>
      <c r="Y2355" s="5" t="s">
        <v>46</v>
      </c>
      <c r="Z2355" s="5" t="s">
        <v>47</v>
      </c>
      <c r="AA2355" s="5" t="s">
        <v>64</v>
      </c>
      <c r="AB2355" s="5" t="s">
        <v>11510</v>
      </c>
      <c r="AC2355" s="6" t="s">
        <v>67</v>
      </c>
      <c r="AD2355" s="6">
        <v>2771.0</v>
      </c>
    </row>
    <row r="2356" ht="56.25" customHeight="1">
      <c r="A2356" s="5" t="s">
        <v>11494</v>
      </c>
      <c r="B2356" s="6" t="str">
        <f>IMAGE("https://storage.googleapis.com/acdb/housewares/FtrStoveRound_Remake_3_0.png")</f>
        <v/>
      </c>
      <c r="C2356" s="5" t="s">
        <v>96</v>
      </c>
      <c r="D2356" s="5" t="s">
        <v>34</v>
      </c>
      <c r="E2356" s="5" t="s">
        <v>34</v>
      </c>
      <c r="F2356" s="5" t="s">
        <v>34</v>
      </c>
      <c r="G2356" s="5" t="s">
        <v>36</v>
      </c>
      <c r="H2356" s="5" t="s">
        <v>36</v>
      </c>
      <c r="I2356" s="5" t="s">
        <v>36</v>
      </c>
      <c r="J2356" s="6" t="s">
        <v>34</v>
      </c>
      <c r="K2356" s="6">
        <v>2700.0</v>
      </c>
      <c r="L2356" s="6">
        <v>675.0</v>
      </c>
      <c r="M2356" s="26" t="s">
        <v>96</v>
      </c>
      <c r="N2356" s="26" t="s">
        <v>96</v>
      </c>
      <c r="O2356" s="6" t="s">
        <v>40</v>
      </c>
      <c r="P2356" s="5" t="s">
        <v>59</v>
      </c>
      <c r="Q2356" s="5" t="s">
        <v>10976</v>
      </c>
      <c r="R2356" s="6" t="s">
        <v>42</v>
      </c>
      <c r="S2356" s="5" t="s">
        <v>90</v>
      </c>
      <c r="T2356" s="5" t="s">
        <v>130</v>
      </c>
      <c r="U2356" s="5" t="s">
        <v>44</v>
      </c>
      <c r="V2356" s="5" t="s">
        <v>44</v>
      </c>
      <c r="W2356" s="5" t="s">
        <v>35</v>
      </c>
      <c r="X2356" s="8" t="s">
        <v>2087</v>
      </c>
      <c r="Y2356" s="5" t="s">
        <v>46</v>
      </c>
      <c r="Z2356" s="5" t="s">
        <v>47</v>
      </c>
      <c r="AA2356" s="5" t="s">
        <v>64</v>
      </c>
      <c r="AB2356" s="5" t="s">
        <v>11515</v>
      </c>
      <c r="AC2356" s="6" t="s">
        <v>71</v>
      </c>
      <c r="AD2356" s="6">
        <v>2771.0</v>
      </c>
    </row>
    <row r="2357" ht="56.25" customHeight="1">
      <c r="A2357" s="5" t="s">
        <v>11494</v>
      </c>
      <c r="B2357" s="6" t="str">
        <f>IMAGE("https://storage.googleapis.com/acdb/housewares/FtrStoveRound_Remake_4_0.png")</f>
        <v/>
      </c>
      <c r="C2357" s="5" t="s">
        <v>142</v>
      </c>
      <c r="D2357" s="5" t="s">
        <v>34</v>
      </c>
      <c r="E2357" s="5" t="s">
        <v>34</v>
      </c>
      <c r="F2357" s="5" t="s">
        <v>34</v>
      </c>
      <c r="G2357" s="5" t="s">
        <v>36</v>
      </c>
      <c r="H2357" s="5" t="s">
        <v>36</v>
      </c>
      <c r="I2357" s="5" t="s">
        <v>36</v>
      </c>
      <c r="J2357" s="6" t="s">
        <v>34</v>
      </c>
      <c r="K2357" s="6">
        <v>2700.0</v>
      </c>
      <c r="L2357" s="6">
        <v>675.0</v>
      </c>
      <c r="M2357" s="26" t="s">
        <v>142</v>
      </c>
      <c r="N2357" s="26" t="s">
        <v>142</v>
      </c>
      <c r="O2357" s="6" t="s">
        <v>40</v>
      </c>
      <c r="P2357" s="5" t="s">
        <v>59</v>
      </c>
      <c r="Q2357" s="5" t="s">
        <v>10976</v>
      </c>
      <c r="R2357" s="6" t="s">
        <v>42</v>
      </c>
      <c r="S2357" s="5" t="s">
        <v>90</v>
      </c>
      <c r="T2357" s="5" t="s">
        <v>130</v>
      </c>
      <c r="U2357" s="5" t="s">
        <v>44</v>
      </c>
      <c r="V2357" s="5" t="s">
        <v>44</v>
      </c>
      <c r="W2357" s="5" t="s">
        <v>35</v>
      </c>
      <c r="X2357" s="8" t="s">
        <v>2087</v>
      </c>
      <c r="Y2357" s="5" t="s">
        <v>46</v>
      </c>
      <c r="Z2357" s="5" t="s">
        <v>47</v>
      </c>
      <c r="AA2357" s="5" t="s">
        <v>64</v>
      </c>
      <c r="AB2357" s="5" t="s">
        <v>11523</v>
      </c>
      <c r="AC2357" s="6" t="s">
        <v>75</v>
      </c>
      <c r="AD2357" s="6">
        <v>2771.0</v>
      </c>
    </row>
    <row r="2358" ht="56.25" customHeight="1">
      <c r="A2358" s="5" t="s">
        <v>11494</v>
      </c>
      <c r="B2358" s="6" t="str">
        <f>IMAGE("https://storage.googleapis.com/acdb/housewares/FtrStoveRound_Remake_5_0.png")</f>
        <v/>
      </c>
      <c r="C2358" s="5" t="s">
        <v>83</v>
      </c>
      <c r="D2358" s="5" t="s">
        <v>34</v>
      </c>
      <c r="E2358" s="5" t="s">
        <v>34</v>
      </c>
      <c r="F2358" s="5" t="s">
        <v>34</v>
      </c>
      <c r="G2358" s="5" t="s">
        <v>36</v>
      </c>
      <c r="H2358" s="5" t="s">
        <v>36</v>
      </c>
      <c r="I2358" s="5" t="s">
        <v>36</v>
      </c>
      <c r="J2358" s="6" t="s">
        <v>34</v>
      </c>
      <c r="K2358" s="6">
        <v>2700.0</v>
      </c>
      <c r="L2358" s="6">
        <v>675.0</v>
      </c>
      <c r="M2358" s="26" t="s">
        <v>1175</v>
      </c>
      <c r="N2358" s="26" t="s">
        <v>1175</v>
      </c>
      <c r="O2358" s="6" t="s">
        <v>40</v>
      </c>
      <c r="P2358" s="5" t="s">
        <v>59</v>
      </c>
      <c r="Q2358" s="5" t="s">
        <v>10976</v>
      </c>
      <c r="R2358" s="6" t="s">
        <v>42</v>
      </c>
      <c r="S2358" s="5" t="s">
        <v>90</v>
      </c>
      <c r="T2358" s="5" t="s">
        <v>130</v>
      </c>
      <c r="U2358" s="5" t="s">
        <v>44</v>
      </c>
      <c r="V2358" s="5" t="s">
        <v>44</v>
      </c>
      <c r="W2358" s="5" t="s">
        <v>35</v>
      </c>
      <c r="X2358" s="8" t="s">
        <v>2087</v>
      </c>
      <c r="Y2358" s="5" t="s">
        <v>46</v>
      </c>
      <c r="Z2358" s="5" t="s">
        <v>47</v>
      </c>
      <c r="AA2358" s="5" t="s">
        <v>64</v>
      </c>
      <c r="AB2358" s="5" t="s">
        <v>11527</v>
      </c>
      <c r="AC2358" s="6" t="s">
        <v>79</v>
      </c>
      <c r="AD2358" s="6">
        <v>2771.0</v>
      </c>
    </row>
    <row r="2359" ht="56.25" customHeight="1">
      <c r="A2359" s="5" t="s">
        <v>11528</v>
      </c>
      <c r="B2359" s="6" t="str">
        <f>IMAGE("https://storage.googleapis.com/acdb/housewares/FtrSafebox_Remake_0_0.png")</f>
        <v/>
      </c>
      <c r="C2359" s="5" t="s">
        <v>146</v>
      </c>
      <c r="D2359" s="5" t="s">
        <v>34</v>
      </c>
      <c r="E2359" s="5" t="s">
        <v>34</v>
      </c>
      <c r="F2359" s="5" t="s">
        <v>34</v>
      </c>
      <c r="G2359" s="5" t="s">
        <v>36</v>
      </c>
      <c r="H2359" s="5" t="s">
        <v>36</v>
      </c>
      <c r="I2359" s="5" t="s">
        <v>36</v>
      </c>
      <c r="J2359" s="6" t="s">
        <v>34</v>
      </c>
      <c r="K2359" s="6">
        <v>3600.0</v>
      </c>
      <c r="L2359" s="6">
        <v>900.0</v>
      </c>
      <c r="M2359" s="26" t="s">
        <v>95</v>
      </c>
      <c r="N2359" s="26" t="s">
        <v>95</v>
      </c>
      <c r="O2359" s="6" t="s">
        <v>40</v>
      </c>
      <c r="P2359" s="5" t="s">
        <v>59</v>
      </c>
      <c r="Q2359" s="5" t="s">
        <v>122</v>
      </c>
      <c r="R2359" s="6" t="s">
        <v>42</v>
      </c>
      <c r="S2359" s="5" t="s">
        <v>141</v>
      </c>
      <c r="T2359" s="5" t="s">
        <v>116</v>
      </c>
      <c r="U2359" s="5" t="s">
        <v>44</v>
      </c>
      <c r="V2359" s="5" t="s">
        <v>44</v>
      </c>
      <c r="W2359" s="5" t="s">
        <v>35</v>
      </c>
      <c r="X2359" s="8" t="s">
        <v>322</v>
      </c>
      <c r="Y2359" s="5" t="s">
        <v>46</v>
      </c>
      <c r="Z2359" s="5" t="s">
        <v>47</v>
      </c>
      <c r="AA2359" s="5" t="s">
        <v>64</v>
      </c>
      <c r="AB2359" s="5" t="s">
        <v>11531</v>
      </c>
      <c r="AC2359" s="6" t="s">
        <v>50</v>
      </c>
      <c r="AD2359" s="6">
        <v>839.0</v>
      </c>
    </row>
    <row r="2360" ht="56.25" customHeight="1">
      <c r="A2360" s="5" t="s">
        <v>11528</v>
      </c>
      <c r="B2360" s="6" t="str">
        <f>IMAGE("https://storage.googleapis.com/acdb/housewares/FtrSafebox_Remake_1_0.png")</f>
        <v/>
      </c>
      <c r="C2360" s="5" t="s">
        <v>57</v>
      </c>
      <c r="D2360" s="5" t="s">
        <v>34</v>
      </c>
      <c r="E2360" s="5" t="s">
        <v>34</v>
      </c>
      <c r="F2360" s="5" t="s">
        <v>34</v>
      </c>
      <c r="G2360" s="5" t="s">
        <v>36</v>
      </c>
      <c r="H2360" s="5" t="s">
        <v>36</v>
      </c>
      <c r="I2360" s="5" t="s">
        <v>36</v>
      </c>
      <c r="J2360" s="6" t="s">
        <v>34</v>
      </c>
      <c r="K2360" s="6">
        <v>3600.0</v>
      </c>
      <c r="L2360" s="6">
        <v>900.0</v>
      </c>
      <c r="M2360" s="26" t="s">
        <v>57</v>
      </c>
      <c r="N2360" s="26" t="s">
        <v>95</v>
      </c>
      <c r="O2360" s="6" t="s">
        <v>40</v>
      </c>
      <c r="P2360" s="5" t="s">
        <v>59</v>
      </c>
      <c r="Q2360" s="5" t="s">
        <v>122</v>
      </c>
      <c r="R2360" s="6" t="s">
        <v>42</v>
      </c>
      <c r="S2360" s="5" t="s">
        <v>141</v>
      </c>
      <c r="T2360" s="5" t="s">
        <v>116</v>
      </c>
      <c r="U2360" s="5" t="s">
        <v>44</v>
      </c>
      <c r="V2360" s="5" t="s">
        <v>44</v>
      </c>
      <c r="W2360" s="5" t="s">
        <v>35</v>
      </c>
      <c r="X2360" s="8" t="s">
        <v>322</v>
      </c>
      <c r="Y2360" s="5" t="s">
        <v>46</v>
      </c>
      <c r="Z2360" s="5" t="s">
        <v>47</v>
      </c>
      <c r="AA2360" s="5" t="s">
        <v>64</v>
      </c>
      <c r="AB2360" s="5" t="s">
        <v>11534</v>
      </c>
      <c r="AC2360" s="6" t="s">
        <v>56</v>
      </c>
      <c r="AD2360" s="6">
        <v>839.0</v>
      </c>
    </row>
    <row r="2361" ht="56.25" customHeight="1">
      <c r="A2361" s="5" t="s">
        <v>11528</v>
      </c>
      <c r="B2361" s="6" t="str">
        <f>IMAGE("https://storage.googleapis.com/acdb/housewares/FtrSafebox_Remake_2_0.png")</f>
        <v/>
      </c>
      <c r="C2361" s="5" t="s">
        <v>54</v>
      </c>
      <c r="D2361" s="5" t="s">
        <v>34</v>
      </c>
      <c r="E2361" s="5" t="s">
        <v>34</v>
      </c>
      <c r="F2361" s="5" t="s">
        <v>34</v>
      </c>
      <c r="G2361" s="5" t="s">
        <v>36</v>
      </c>
      <c r="H2361" s="5" t="s">
        <v>36</v>
      </c>
      <c r="I2361" s="5" t="s">
        <v>36</v>
      </c>
      <c r="J2361" s="6" t="s">
        <v>34</v>
      </c>
      <c r="K2361" s="6">
        <v>3600.0</v>
      </c>
      <c r="L2361" s="6">
        <v>900.0</v>
      </c>
      <c r="M2361" s="26" t="s">
        <v>54</v>
      </c>
      <c r="N2361" s="26" t="s">
        <v>95</v>
      </c>
      <c r="O2361" s="6" t="s">
        <v>40</v>
      </c>
      <c r="P2361" s="5" t="s">
        <v>59</v>
      </c>
      <c r="Q2361" s="5" t="s">
        <v>122</v>
      </c>
      <c r="R2361" s="6" t="s">
        <v>42</v>
      </c>
      <c r="S2361" s="5" t="s">
        <v>141</v>
      </c>
      <c r="T2361" s="5" t="s">
        <v>116</v>
      </c>
      <c r="U2361" s="5" t="s">
        <v>44</v>
      </c>
      <c r="V2361" s="5" t="s">
        <v>44</v>
      </c>
      <c r="W2361" s="5" t="s">
        <v>35</v>
      </c>
      <c r="X2361" s="8" t="s">
        <v>322</v>
      </c>
      <c r="Y2361" s="5" t="s">
        <v>46</v>
      </c>
      <c r="Z2361" s="5" t="s">
        <v>47</v>
      </c>
      <c r="AA2361" s="5" t="s">
        <v>64</v>
      </c>
      <c r="AB2361" s="5" t="s">
        <v>11539</v>
      </c>
      <c r="AC2361" s="6" t="s">
        <v>67</v>
      </c>
      <c r="AD2361" s="6">
        <v>839.0</v>
      </c>
    </row>
    <row r="2362" ht="56.25" customHeight="1">
      <c r="A2362" s="5" t="s">
        <v>11528</v>
      </c>
      <c r="B2362" s="6" t="str">
        <f>IMAGE("https://storage.googleapis.com/acdb/housewares/FtrSafebox_Remake_3_0.png")</f>
        <v/>
      </c>
      <c r="C2362" s="5" t="s">
        <v>151</v>
      </c>
      <c r="D2362" s="5" t="s">
        <v>34</v>
      </c>
      <c r="E2362" s="5" t="s">
        <v>34</v>
      </c>
      <c r="F2362" s="5" t="s">
        <v>34</v>
      </c>
      <c r="G2362" s="5" t="s">
        <v>36</v>
      </c>
      <c r="H2362" s="5" t="s">
        <v>36</v>
      </c>
      <c r="I2362" s="5" t="s">
        <v>36</v>
      </c>
      <c r="J2362" s="6" t="s">
        <v>34</v>
      </c>
      <c r="K2362" s="6">
        <v>3600.0</v>
      </c>
      <c r="L2362" s="6">
        <v>900.0</v>
      </c>
      <c r="M2362" s="26" t="s">
        <v>114</v>
      </c>
      <c r="N2362" s="26" t="s">
        <v>95</v>
      </c>
      <c r="O2362" s="6" t="s">
        <v>40</v>
      </c>
      <c r="P2362" s="5" t="s">
        <v>59</v>
      </c>
      <c r="Q2362" s="5" t="s">
        <v>122</v>
      </c>
      <c r="R2362" s="6" t="s">
        <v>42</v>
      </c>
      <c r="S2362" s="5" t="s">
        <v>141</v>
      </c>
      <c r="T2362" s="5" t="s">
        <v>116</v>
      </c>
      <c r="U2362" s="5" t="s">
        <v>44</v>
      </c>
      <c r="V2362" s="5" t="s">
        <v>44</v>
      </c>
      <c r="W2362" s="5" t="s">
        <v>35</v>
      </c>
      <c r="X2362" s="8" t="s">
        <v>322</v>
      </c>
      <c r="Y2362" s="5" t="s">
        <v>46</v>
      </c>
      <c r="Z2362" s="5" t="s">
        <v>47</v>
      </c>
      <c r="AA2362" s="5" t="s">
        <v>64</v>
      </c>
      <c r="AB2362" s="5" t="s">
        <v>11543</v>
      </c>
      <c r="AC2362" s="6" t="s">
        <v>71</v>
      </c>
      <c r="AD2362" s="6">
        <v>839.0</v>
      </c>
    </row>
    <row r="2363" ht="56.25" customHeight="1">
      <c r="A2363" s="5" t="s">
        <v>11544</v>
      </c>
      <c r="B2363" s="6" t="str">
        <f>IMAGE("https://storage.googleapis.com/acdb/housewares/FtrSandcastle_Remake_0_0.png")</f>
        <v/>
      </c>
      <c r="C2363" s="5" t="s">
        <v>11546</v>
      </c>
      <c r="D2363" s="5" t="s">
        <v>34</v>
      </c>
      <c r="E2363" s="5" t="s">
        <v>34</v>
      </c>
      <c r="F2363" s="5" t="s">
        <v>34</v>
      </c>
      <c r="G2363" s="5" t="s">
        <v>36</v>
      </c>
      <c r="H2363" s="5" t="s">
        <v>36</v>
      </c>
      <c r="I2363" s="5" t="s">
        <v>36</v>
      </c>
      <c r="J2363" s="6" t="s">
        <v>34</v>
      </c>
      <c r="K2363" s="6">
        <v>2100.0</v>
      </c>
      <c r="L2363" s="6">
        <v>525.0</v>
      </c>
      <c r="M2363" s="26" t="s">
        <v>142</v>
      </c>
      <c r="N2363" s="26" t="s">
        <v>52</v>
      </c>
      <c r="O2363" s="6" t="s">
        <v>40</v>
      </c>
      <c r="P2363" s="5" t="s">
        <v>59</v>
      </c>
      <c r="Q2363" s="5" t="s">
        <v>89</v>
      </c>
      <c r="R2363" s="6" t="s">
        <v>42</v>
      </c>
      <c r="S2363" s="5" t="s">
        <v>138</v>
      </c>
      <c r="T2363" s="5" t="s">
        <v>172</v>
      </c>
      <c r="U2363" s="5" t="s">
        <v>44</v>
      </c>
      <c r="V2363" s="5" t="s">
        <v>44</v>
      </c>
      <c r="W2363" s="5" t="s">
        <v>36</v>
      </c>
      <c r="X2363" s="8" t="s">
        <v>140</v>
      </c>
      <c r="Y2363" s="5" t="s">
        <v>46</v>
      </c>
      <c r="Z2363" s="5" t="s">
        <v>47</v>
      </c>
      <c r="AA2363" s="5" t="s">
        <v>64</v>
      </c>
      <c r="AB2363" s="5" t="s">
        <v>11550</v>
      </c>
      <c r="AC2363" s="6" t="s">
        <v>50</v>
      </c>
      <c r="AD2363" s="6">
        <v>1117.0</v>
      </c>
    </row>
    <row r="2364" ht="56.25" customHeight="1">
      <c r="A2364" s="5" t="s">
        <v>11544</v>
      </c>
      <c r="B2364" s="6" t="str">
        <f>IMAGE("https://storage.googleapis.com/acdb/housewares/FtrSandcastle_Remake_1_0.png")</f>
        <v/>
      </c>
      <c r="C2364" s="5" t="s">
        <v>11551</v>
      </c>
      <c r="D2364" s="5" t="s">
        <v>34</v>
      </c>
      <c r="E2364" s="5" t="s">
        <v>34</v>
      </c>
      <c r="F2364" s="5" t="s">
        <v>34</v>
      </c>
      <c r="G2364" s="5" t="s">
        <v>36</v>
      </c>
      <c r="H2364" s="5" t="s">
        <v>36</v>
      </c>
      <c r="I2364" s="5" t="s">
        <v>36</v>
      </c>
      <c r="J2364" s="6" t="s">
        <v>34</v>
      </c>
      <c r="K2364" s="6">
        <v>2100.0</v>
      </c>
      <c r="L2364" s="6">
        <v>525.0</v>
      </c>
      <c r="M2364" s="26" t="s">
        <v>95</v>
      </c>
      <c r="N2364" s="26" t="s">
        <v>68</v>
      </c>
      <c r="O2364" s="6" t="s">
        <v>40</v>
      </c>
      <c r="P2364" s="5" t="s">
        <v>59</v>
      </c>
      <c r="Q2364" s="5" t="s">
        <v>89</v>
      </c>
      <c r="R2364" s="6" t="s">
        <v>42</v>
      </c>
      <c r="S2364" s="5" t="s">
        <v>138</v>
      </c>
      <c r="T2364" s="5" t="s">
        <v>172</v>
      </c>
      <c r="U2364" s="5" t="s">
        <v>44</v>
      </c>
      <c r="V2364" s="5" t="s">
        <v>44</v>
      </c>
      <c r="W2364" s="5" t="s">
        <v>36</v>
      </c>
      <c r="X2364" s="8" t="s">
        <v>140</v>
      </c>
      <c r="Y2364" s="5" t="s">
        <v>46</v>
      </c>
      <c r="Z2364" s="5" t="s">
        <v>47</v>
      </c>
      <c r="AA2364" s="5" t="s">
        <v>64</v>
      </c>
      <c r="AB2364" s="5" t="s">
        <v>11554</v>
      </c>
      <c r="AC2364" s="6" t="s">
        <v>56</v>
      </c>
      <c r="AD2364" s="6">
        <v>1117.0</v>
      </c>
    </row>
    <row r="2365" ht="56.25" customHeight="1">
      <c r="A2365" s="5" t="s">
        <v>11555</v>
      </c>
      <c r="B2365" s="6" t="str">
        <f>IMAGE("https://storage.googleapis.com/acdb/housewares/FtrSandbox.png")</f>
        <v/>
      </c>
      <c r="C2365" s="5" t="s">
        <v>34</v>
      </c>
      <c r="D2365" s="5" t="s">
        <v>34</v>
      </c>
      <c r="E2365" s="5" t="s">
        <v>34</v>
      </c>
      <c r="F2365" s="5" t="s">
        <v>34</v>
      </c>
      <c r="G2365" s="5" t="s">
        <v>36</v>
      </c>
      <c r="H2365" s="5" t="s">
        <v>36</v>
      </c>
      <c r="I2365" s="5" t="s">
        <v>36</v>
      </c>
      <c r="J2365" s="6" t="s">
        <v>34</v>
      </c>
      <c r="K2365" s="6" t="s">
        <v>37</v>
      </c>
      <c r="L2365" s="6">
        <v>12000.0</v>
      </c>
      <c r="M2365" s="5" t="s">
        <v>38</v>
      </c>
      <c r="N2365" s="5" t="s">
        <v>58</v>
      </c>
      <c r="O2365" s="6" t="s">
        <v>11558</v>
      </c>
      <c r="P2365" s="5" t="s">
        <v>2140</v>
      </c>
      <c r="Q2365" s="5"/>
      <c r="R2365" s="6" t="s">
        <v>42</v>
      </c>
      <c r="S2365" s="5" t="s">
        <v>172</v>
      </c>
      <c r="T2365" s="5" t="s">
        <v>44</v>
      </c>
      <c r="U2365" s="5" t="s">
        <v>44</v>
      </c>
      <c r="V2365" s="5" t="s">
        <v>44</v>
      </c>
      <c r="W2365" s="5" t="s">
        <v>36</v>
      </c>
      <c r="X2365" s="8" t="s">
        <v>3156</v>
      </c>
      <c r="Y2365" s="5" t="s">
        <v>46</v>
      </c>
      <c r="Z2365" s="5" t="s">
        <v>47</v>
      </c>
      <c r="AA2365" s="5" t="s">
        <v>48</v>
      </c>
      <c r="AB2365" s="5" t="s">
        <v>11561</v>
      </c>
      <c r="AC2365" s="6" t="s">
        <v>34</v>
      </c>
      <c r="AD2365" s="6">
        <v>1116.0</v>
      </c>
    </row>
    <row r="2366" ht="56.25" customHeight="1">
      <c r="A2366" s="5" t="s">
        <v>11562</v>
      </c>
      <c r="B2366" s="6" t="str">
        <f>IMAGE("https://storage.googleapis.com/acdb/housewares/FtrSatellite.png")</f>
        <v/>
      </c>
      <c r="C2366" s="5" t="s">
        <v>34</v>
      </c>
      <c r="D2366" s="5" t="s">
        <v>34</v>
      </c>
      <c r="E2366" s="5" t="s">
        <v>34</v>
      </c>
      <c r="F2366" s="5" t="s">
        <v>34</v>
      </c>
      <c r="G2366" s="5" t="s">
        <v>35</v>
      </c>
      <c r="H2366" s="5" t="s">
        <v>36</v>
      </c>
      <c r="I2366" s="5" t="s">
        <v>36</v>
      </c>
      <c r="J2366" s="6" t="s">
        <v>34</v>
      </c>
      <c r="K2366" s="6" t="s">
        <v>37</v>
      </c>
      <c r="L2366" s="6">
        <v>16250.0</v>
      </c>
      <c r="M2366" s="5" t="s">
        <v>68</v>
      </c>
      <c r="N2366" s="5" t="s">
        <v>57</v>
      </c>
      <c r="O2366" s="6" t="s">
        <v>276</v>
      </c>
      <c r="P2366" s="5" t="s">
        <v>41</v>
      </c>
      <c r="Q2366" s="5"/>
      <c r="R2366" s="6" t="s">
        <v>42</v>
      </c>
      <c r="S2366" s="5" t="s">
        <v>401</v>
      </c>
      <c r="T2366" s="5" t="s">
        <v>44</v>
      </c>
      <c r="U2366" s="5" t="s">
        <v>44</v>
      </c>
      <c r="V2366" s="5" t="s">
        <v>44</v>
      </c>
      <c r="W2366" s="5" t="s">
        <v>35</v>
      </c>
      <c r="X2366" s="8" t="s">
        <v>403</v>
      </c>
      <c r="Y2366" s="5" t="s">
        <v>46</v>
      </c>
      <c r="Z2366" s="5" t="s">
        <v>47</v>
      </c>
      <c r="AA2366" s="5" t="s">
        <v>48</v>
      </c>
      <c r="AB2366" s="5" t="s">
        <v>11565</v>
      </c>
      <c r="AC2366" s="6" t="s">
        <v>34</v>
      </c>
      <c r="AD2366" s="6">
        <v>1443.0</v>
      </c>
    </row>
    <row r="2367" ht="56.25" customHeight="1">
      <c r="A2367" s="5" t="s">
        <v>11567</v>
      </c>
      <c r="B2367" s="6" t="str">
        <f>IMAGE("https://storage.googleapis.com/acdb/housewares/FtrStoveSauna.png")</f>
        <v/>
      </c>
      <c r="C2367" s="5" t="s">
        <v>34</v>
      </c>
      <c r="D2367" s="5" t="s">
        <v>34</v>
      </c>
      <c r="E2367" s="5" t="s">
        <v>34</v>
      </c>
      <c r="F2367" s="5" t="s">
        <v>34</v>
      </c>
      <c r="G2367" s="5" t="s">
        <v>35</v>
      </c>
      <c r="H2367" s="5" t="s">
        <v>36</v>
      </c>
      <c r="I2367" s="5" t="s">
        <v>36</v>
      </c>
      <c r="J2367" s="6" t="s">
        <v>34</v>
      </c>
      <c r="K2367" s="6" t="s">
        <v>37</v>
      </c>
      <c r="L2367" s="6">
        <v>3510.0</v>
      </c>
      <c r="M2367" s="5" t="s">
        <v>54</v>
      </c>
      <c r="N2367" s="5" t="s">
        <v>95</v>
      </c>
      <c r="O2367" s="6" t="s">
        <v>40</v>
      </c>
      <c r="P2367" s="5" t="s">
        <v>41</v>
      </c>
      <c r="Q2367" s="5"/>
      <c r="R2367" s="6" t="s">
        <v>42</v>
      </c>
      <c r="S2367" s="5" t="s">
        <v>288</v>
      </c>
      <c r="T2367" s="5" t="s">
        <v>44</v>
      </c>
      <c r="U2367" s="5" t="s">
        <v>44</v>
      </c>
      <c r="V2367" s="5" t="s">
        <v>44</v>
      </c>
      <c r="W2367" s="5" t="s">
        <v>35</v>
      </c>
      <c r="X2367" s="8" t="s">
        <v>1164</v>
      </c>
      <c r="Y2367" s="5" t="s">
        <v>46</v>
      </c>
      <c r="Z2367" s="5" t="s">
        <v>47</v>
      </c>
      <c r="AA2367" s="5" t="s">
        <v>48</v>
      </c>
      <c r="AB2367" s="5" t="s">
        <v>11572</v>
      </c>
      <c r="AC2367" s="6" t="s">
        <v>34</v>
      </c>
      <c r="AD2367" s="6">
        <v>3689.0</v>
      </c>
    </row>
    <row r="2368" ht="56.25" customHeight="1">
      <c r="A2368" s="5" t="s">
        <v>11574</v>
      </c>
      <c r="B2368" s="6" t="str">
        <f>IMAGE("https://storage.googleapis.com/acdb/housewares/FtrScarecrow.png")</f>
        <v/>
      </c>
      <c r="C2368" s="5" t="s">
        <v>34</v>
      </c>
      <c r="D2368" s="5" t="s">
        <v>34</v>
      </c>
      <c r="E2368" s="5" t="s">
        <v>34</v>
      </c>
      <c r="F2368" s="5" t="s">
        <v>34</v>
      </c>
      <c r="G2368" s="5" t="s">
        <v>35</v>
      </c>
      <c r="H2368" s="5" t="s">
        <v>36</v>
      </c>
      <c r="I2368" s="5" t="s">
        <v>36</v>
      </c>
      <c r="J2368" s="6" t="s">
        <v>34</v>
      </c>
      <c r="K2368" s="6" t="s">
        <v>37</v>
      </c>
      <c r="L2368" s="6">
        <v>130.0</v>
      </c>
      <c r="M2368" s="5" t="s">
        <v>38</v>
      </c>
      <c r="N2368" s="5" t="s">
        <v>114</v>
      </c>
      <c r="O2368" s="6" t="s">
        <v>40</v>
      </c>
      <c r="P2368" s="5" t="s">
        <v>41</v>
      </c>
      <c r="Q2368" s="5"/>
      <c r="R2368" s="6" t="s">
        <v>42</v>
      </c>
      <c r="S2368" s="5" t="s">
        <v>172</v>
      </c>
      <c r="T2368" s="5" t="s">
        <v>732</v>
      </c>
      <c r="U2368" s="5" t="s">
        <v>44</v>
      </c>
      <c r="V2368" s="5" t="s">
        <v>44</v>
      </c>
      <c r="W2368" s="5" t="s">
        <v>36</v>
      </c>
      <c r="X2368" s="8" t="s">
        <v>395</v>
      </c>
      <c r="Y2368" s="5" t="s">
        <v>46</v>
      </c>
      <c r="Z2368" s="5" t="s">
        <v>47</v>
      </c>
      <c r="AA2368" s="5" t="s">
        <v>48</v>
      </c>
      <c r="AB2368" s="5" t="s">
        <v>11578</v>
      </c>
      <c r="AC2368" s="6" t="s">
        <v>34</v>
      </c>
      <c r="AD2368" s="6">
        <v>1120.0</v>
      </c>
    </row>
    <row r="2369" ht="56.25" customHeight="1">
      <c r="A2369" s="5" t="s">
        <v>11579</v>
      </c>
      <c r="B2369" s="6" t="str">
        <f>IMAGE("https://storage.googleapis.com/acdb/housewares/FtrFloorpapers_Remake_0_0.png")</f>
        <v/>
      </c>
      <c r="C2369" s="5" t="s">
        <v>34</v>
      </c>
      <c r="D2369" s="5" t="s">
        <v>34</v>
      </c>
      <c r="E2369" s="5" t="s">
        <v>11580</v>
      </c>
      <c r="F2369" s="5" t="s">
        <v>1526</v>
      </c>
      <c r="G2369" s="5" t="s">
        <v>35</v>
      </c>
      <c r="H2369" s="5" t="s">
        <v>36</v>
      </c>
      <c r="I2369" s="5" t="s">
        <v>35</v>
      </c>
      <c r="J2369" s="6">
        <v>2.0</v>
      </c>
      <c r="K2369" s="6" t="s">
        <v>37</v>
      </c>
      <c r="L2369" s="6">
        <v>400.0</v>
      </c>
      <c r="M2369" s="5" t="s">
        <v>57</v>
      </c>
      <c r="N2369" s="26" t="s">
        <v>96</v>
      </c>
      <c r="O2369" s="6" t="s">
        <v>1243</v>
      </c>
      <c r="P2369" s="5" t="s">
        <v>41</v>
      </c>
      <c r="Q2369" s="5"/>
      <c r="R2369" s="6" t="s">
        <v>42</v>
      </c>
      <c r="S2369" s="5" t="s">
        <v>202</v>
      </c>
      <c r="T2369" s="5" t="s">
        <v>91</v>
      </c>
      <c r="U2369" s="5" t="s">
        <v>44</v>
      </c>
      <c r="V2369" s="5" t="s">
        <v>44</v>
      </c>
      <c r="W2369" s="5" t="s">
        <v>35</v>
      </c>
      <c r="X2369" s="8" t="s">
        <v>203</v>
      </c>
      <c r="Y2369" s="5" t="s">
        <v>46</v>
      </c>
      <c r="Z2369" s="5" t="s">
        <v>47</v>
      </c>
      <c r="AA2369" s="5" t="s">
        <v>48</v>
      </c>
      <c r="AB2369" s="5" t="s">
        <v>11583</v>
      </c>
      <c r="AC2369" s="6" t="s">
        <v>50</v>
      </c>
      <c r="AD2369" s="6">
        <v>4034.0</v>
      </c>
    </row>
    <row r="2370" ht="56.25" customHeight="1">
      <c r="A2370" s="5" t="s">
        <v>11579</v>
      </c>
      <c r="B2370" s="6" t="str">
        <f>image("https://storage.googleapis.com/acdb/housewares/FtrFloorpapers_Remake_0_1.png")</f>
        <v/>
      </c>
      <c r="C2370" s="5" t="s">
        <v>34</v>
      </c>
      <c r="D2370" s="5" t="s">
        <v>34</v>
      </c>
      <c r="E2370" s="5" t="s">
        <v>850</v>
      </c>
      <c r="F2370" s="5" t="s">
        <v>1526</v>
      </c>
      <c r="G2370" s="5" t="s">
        <v>35</v>
      </c>
      <c r="H2370" s="5" t="s">
        <v>36</v>
      </c>
      <c r="I2370" s="5" t="s">
        <v>35</v>
      </c>
      <c r="J2370" s="6">
        <v>2.0</v>
      </c>
      <c r="K2370" s="6" t="s">
        <v>37</v>
      </c>
      <c r="L2370" s="6">
        <v>400.0</v>
      </c>
      <c r="M2370" s="5" t="s">
        <v>57</v>
      </c>
      <c r="N2370" s="26" t="s">
        <v>96</v>
      </c>
      <c r="O2370" s="6" t="s">
        <v>1243</v>
      </c>
      <c r="P2370" s="5" t="s">
        <v>41</v>
      </c>
      <c r="Q2370" s="5"/>
      <c r="R2370" s="6" t="s">
        <v>42</v>
      </c>
      <c r="S2370" s="5" t="s">
        <v>202</v>
      </c>
      <c r="T2370" s="5" t="s">
        <v>91</v>
      </c>
      <c r="U2370" s="5" t="s">
        <v>44</v>
      </c>
      <c r="V2370" s="5" t="s">
        <v>44</v>
      </c>
      <c r="W2370" s="5" t="s">
        <v>35</v>
      </c>
      <c r="X2370" s="8" t="s">
        <v>203</v>
      </c>
      <c r="Y2370" s="5" t="s">
        <v>46</v>
      </c>
      <c r="Z2370" s="5" t="s">
        <v>47</v>
      </c>
      <c r="AA2370" s="5" t="s">
        <v>48</v>
      </c>
      <c r="AB2370" s="5" t="s">
        <v>11584</v>
      </c>
      <c r="AC2370" s="6" t="s">
        <v>217</v>
      </c>
      <c r="AD2370" s="6">
        <v>4034.0</v>
      </c>
    </row>
    <row r="2371" ht="56.25" customHeight="1">
      <c r="A2371" s="5" t="s">
        <v>11579</v>
      </c>
      <c r="B2371" s="6" t="str">
        <f>image("https://storage.googleapis.com/acdb/housewares/FtrFloorpapers_Remake_0_2.png")</f>
        <v/>
      </c>
      <c r="C2371" s="5" t="s">
        <v>34</v>
      </c>
      <c r="D2371" s="5" t="s">
        <v>34</v>
      </c>
      <c r="E2371" s="5" t="s">
        <v>11587</v>
      </c>
      <c r="F2371" s="5" t="s">
        <v>1526</v>
      </c>
      <c r="G2371" s="5" t="s">
        <v>35</v>
      </c>
      <c r="H2371" s="5" t="s">
        <v>36</v>
      </c>
      <c r="I2371" s="5" t="s">
        <v>35</v>
      </c>
      <c r="J2371" s="6">
        <v>2.0</v>
      </c>
      <c r="K2371" s="6" t="s">
        <v>37</v>
      </c>
      <c r="L2371" s="6">
        <v>400.0</v>
      </c>
      <c r="M2371" s="5" t="s">
        <v>57</v>
      </c>
      <c r="N2371" s="26" t="s">
        <v>1175</v>
      </c>
      <c r="O2371" s="6" t="s">
        <v>1243</v>
      </c>
      <c r="P2371" s="5" t="s">
        <v>41</v>
      </c>
      <c r="Q2371" s="5"/>
      <c r="R2371" s="6" t="s">
        <v>42</v>
      </c>
      <c r="S2371" s="5" t="s">
        <v>202</v>
      </c>
      <c r="T2371" s="5" t="s">
        <v>91</v>
      </c>
      <c r="U2371" s="5" t="s">
        <v>44</v>
      </c>
      <c r="V2371" s="5" t="s">
        <v>44</v>
      </c>
      <c r="W2371" s="5" t="s">
        <v>35</v>
      </c>
      <c r="X2371" s="8" t="s">
        <v>203</v>
      </c>
      <c r="Y2371" s="5" t="s">
        <v>46</v>
      </c>
      <c r="Z2371" s="5" t="s">
        <v>47</v>
      </c>
      <c r="AA2371" s="5" t="s">
        <v>48</v>
      </c>
      <c r="AB2371" s="5" t="s">
        <v>11588</v>
      </c>
      <c r="AC2371" s="6" t="s">
        <v>347</v>
      </c>
      <c r="AD2371" s="6">
        <v>4034.0</v>
      </c>
    </row>
    <row r="2372" ht="56.25" customHeight="1">
      <c r="A2372" s="5" t="s">
        <v>11579</v>
      </c>
      <c r="B2372" s="6" t="str">
        <f>image("https://storage.googleapis.com/acdb/housewares/FtrFloorpapers_Remake_0_3.png")</f>
        <v/>
      </c>
      <c r="C2372" s="5" t="s">
        <v>34</v>
      </c>
      <c r="D2372" s="5" t="s">
        <v>34</v>
      </c>
      <c r="E2372" s="5" t="s">
        <v>11589</v>
      </c>
      <c r="F2372" s="5" t="s">
        <v>1526</v>
      </c>
      <c r="G2372" s="5" t="s">
        <v>35</v>
      </c>
      <c r="H2372" s="5" t="s">
        <v>36</v>
      </c>
      <c r="I2372" s="5" t="s">
        <v>35</v>
      </c>
      <c r="J2372" s="6">
        <v>2.0</v>
      </c>
      <c r="K2372" s="6" t="s">
        <v>37</v>
      </c>
      <c r="L2372" s="6">
        <v>400.0</v>
      </c>
      <c r="M2372" s="5" t="s">
        <v>57</v>
      </c>
      <c r="N2372" s="26" t="s">
        <v>142</v>
      </c>
      <c r="O2372" s="6" t="s">
        <v>1243</v>
      </c>
      <c r="P2372" s="5" t="s">
        <v>41</v>
      </c>
      <c r="Q2372" s="5"/>
      <c r="R2372" s="6" t="s">
        <v>42</v>
      </c>
      <c r="S2372" s="5" t="s">
        <v>202</v>
      </c>
      <c r="T2372" s="5" t="s">
        <v>91</v>
      </c>
      <c r="U2372" s="5" t="s">
        <v>44</v>
      </c>
      <c r="V2372" s="5" t="s">
        <v>44</v>
      </c>
      <c r="W2372" s="5" t="s">
        <v>35</v>
      </c>
      <c r="X2372" s="8" t="s">
        <v>203</v>
      </c>
      <c r="Y2372" s="5" t="s">
        <v>46</v>
      </c>
      <c r="Z2372" s="5" t="s">
        <v>47</v>
      </c>
      <c r="AA2372" s="5" t="s">
        <v>48</v>
      </c>
      <c r="AB2372" s="5" t="s">
        <v>11593</v>
      </c>
      <c r="AC2372" s="6" t="s">
        <v>354</v>
      </c>
      <c r="AD2372" s="6">
        <v>4034.0</v>
      </c>
    </row>
    <row r="2373" ht="56.25" customHeight="1">
      <c r="A2373" s="5" t="s">
        <v>11594</v>
      </c>
      <c r="B2373" s="6" t="str">
        <f>IMAGE("https://storage.googleapis.com/acdb/housewares/FtrSchoolChairS_Remake_0_0.png")</f>
        <v/>
      </c>
      <c r="C2373" s="5" t="s">
        <v>11595</v>
      </c>
      <c r="D2373" s="5" t="s">
        <v>34</v>
      </c>
      <c r="E2373" s="5" t="s">
        <v>34</v>
      </c>
      <c r="F2373" s="5" t="s">
        <v>34</v>
      </c>
      <c r="G2373" s="5" t="s">
        <v>36</v>
      </c>
      <c r="H2373" s="5" t="s">
        <v>36</v>
      </c>
      <c r="I2373" s="5" t="s">
        <v>36</v>
      </c>
      <c r="J2373" s="6" t="s">
        <v>34</v>
      </c>
      <c r="K2373" s="6">
        <v>980.0</v>
      </c>
      <c r="L2373" s="6">
        <v>245.0</v>
      </c>
      <c r="M2373" s="26" t="s">
        <v>114</v>
      </c>
      <c r="N2373" s="26" t="s">
        <v>95</v>
      </c>
      <c r="O2373" s="6" t="s">
        <v>40</v>
      </c>
      <c r="P2373" s="5" t="s">
        <v>59</v>
      </c>
      <c r="Q2373" s="5" t="s">
        <v>89</v>
      </c>
      <c r="R2373" s="6" t="s">
        <v>42</v>
      </c>
      <c r="S2373" s="5" t="s">
        <v>130</v>
      </c>
      <c r="T2373" s="5" t="s">
        <v>44</v>
      </c>
      <c r="U2373" s="5" t="s">
        <v>44</v>
      </c>
      <c r="V2373" s="5" t="s">
        <v>130</v>
      </c>
      <c r="W2373" s="5" t="s">
        <v>35</v>
      </c>
      <c r="X2373" s="8" t="s">
        <v>248</v>
      </c>
      <c r="Y2373" s="5" t="s">
        <v>46</v>
      </c>
      <c r="Z2373" s="5" t="s">
        <v>47</v>
      </c>
      <c r="AA2373" s="5" t="s">
        <v>64</v>
      </c>
      <c r="AB2373" s="5" t="s">
        <v>11598</v>
      </c>
      <c r="AC2373" s="6" t="s">
        <v>50</v>
      </c>
      <c r="AD2373" s="6">
        <v>1308.0</v>
      </c>
    </row>
    <row r="2374" ht="56.25" customHeight="1">
      <c r="A2374" s="5" t="s">
        <v>11594</v>
      </c>
      <c r="B2374" s="6" t="str">
        <f>IMAGE("https://storage.googleapis.com/acdb/housewares/FtrSchoolChairS_Remake_1_0.png")</f>
        <v/>
      </c>
      <c r="C2374" s="5" t="s">
        <v>11599</v>
      </c>
      <c r="D2374" s="5" t="s">
        <v>34</v>
      </c>
      <c r="E2374" s="5" t="s">
        <v>34</v>
      </c>
      <c r="F2374" s="5" t="s">
        <v>34</v>
      </c>
      <c r="G2374" s="5" t="s">
        <v>36</v>
      </c>
      <c r="H2374" s="5" t="s">
        <v>36</v>
      </c>
      <c r="I2374" s="5" t="s">
        <v>36</v>
      </c>
      <c r="J2374" s="6" t="s">
        <v>34</v>
      </c>
      <c r="K2374" s="6">
        <v>980.0</v>
      </c>
      <c r="L2374" s="6">
        <v>245.0</v>
      </c>
      <c r="M2374" s="26" t="s">
        <v>39</v>
      </c>
      <c r="N2374" s="26" t="s">
        <v>57</v>
      </c>
      <c r="O2374" s="6" t="s">
        <v>40</v>
      </c>
      <c r="P2374" s="5" t="s">
        <v>59</v>
      </c>
      <c r="Q2374" s="5" t="s">
        <v>89</v>
      </c>
      <c r="R2374" s="6" t="s">
        <v>42</v>
      </c>
      <c r="S2374" s="5" t="s">
        <v>130</v>
      </c>
      <c r="T2374" s="5" t="s">
        <v>44</v>
      </c>
      <c r="U2374" s="5" t="s">
        <v>44</v>
      </c>
      <c r="V2374" s="5" t="s">
        <v>130</v>
      </c>
      <c r="W2374" s="5" t="s">
        <v>35</v>
      </c>
      <c r="X2374" s="8" t="s">
        <v>248</v>
      </c>
      <c r="Y2374" s="5" t="s">
        <v>46</v>
      </c>
      <c r="Z2374" s="5" t="s">
        <v>47</v>
      </c>
      <c r="AA2374" s="5" t="s">
        <v>64</v>
      </c>
      <c r="AB2374" s="5" t="s">
        <v>11602</v>
      </c>
      <c r="AC2374" s="6" t="s">
        <v>56</v>
      </c>
      <c r="AD2374" s="6">
        <v>1308.0</v>
      </c>
    </row>
    <row r="2375" ht="56.25" customHeight="1">
      <c r="A2375" s="5" t="s">
        <v>11594</v>
      </c>
      <c r="B2375" s="6" t="str">
        <f>IMAGE("https://storage.googleapis.com/acdb/housewares/FtrSchoolChairS_Remake_2_0.png")</f>
        <v/>
      </c>
      <c r="C2375" s="5" t="s">
        <v>11604</v>
      </c>
      <c r="D2375" s="5" t="s">
        <v>34</v>
      </c>
      <c r="E2375" s="5" t="s">
        <v>34</v>
      </c>
      <c r="F2375" s="5" t="s">
        <v>34</v>
      </c>
      <c r="G2375" s="5" t="s">
        <v>36</v>
      </c>
      <c r="H2375" s="5" t="s">
        <v>36</v>
      </c>
      <c r="I2375" s="5" t="s">
        <v>36</v>
      </c>
      <c r="J2375" s="6" t="s">
        <v>34</v>
      </c>
      <c r="K2375" s="6">
        <v>980.0</v>
      </c>
      <c r="L2375" s="6">
        <v>245.0</v>
      </c>
      <c r="M2375" s="26" t="s">
        <v>142</v>
      </c>
      <c r="N2375" s="26" t="s">
        <v>54</v>
      </c>
      <c r="O2375" s="6" t="s">
        <v>40</v>
      </c>
      <c r="P2375" s="5" t="s">
        <v>59</v>
      </c>
      <c r="Q2375" s="5" t="s">
        <v>89</v>
      </c>
      <c r="R2375" s="6" t="s">
        <v>42</v>
      </c>
      <c r="S2375" s="5" t="s">
        <v>130</v>
      </c>
      <c r="T2375" s="5" t="s">
        <v>44</v>
      </c>
      <c r="U2375" s="5" t="s">
        <v>44</v>
      </c>
      <c r="V2375" s="5" t="s">
        <v>130</v>
      </c>
      <c r="W2375" s="5" t="s">
        <v>35</v>
      </c>
      <c r="X2375" s="8" t="s">
        <v>248</v>
      </c>
      <c r="Y2375" s="5" t="s">
        <v>46</v>
      </c>
      <c r="Z2375" s="5" t="s">
        <v>47</v>
      </c>
      <c r="AA2375" s="5" t="s">
        <v>64</v>
      </c>
      <c r="AB2375" s="5" t="s">
        <v>11608</v>
      </c>
      <c r="AC2375" s="6" t="s">
        <v>67</v>
      </c>
      <c r="AD2375" s="6">
        <v>1308.0</v>
      </c>
    </row>
    <row r="2376" ht="56.25" customHeight="1">
      <c r="A2376" s="5" t="s">
        <v>11594</v>
      </c>
      <c r="B2376" s="6" t="str">
        <f>IMAGE("https://storage.googleapis.com/acdb/housewares/FtrSchoolChairS_Remake_3_0.png")</f>
        <v/>
      </c>
      <c r="C2376" s="5" t="s">
        <v>11612</v>
      </c>
      <c r="D2376" s="5" t="s">
        <v>34</v>
      </c>
      <c r="E2376" s="5" t="s">
        <v>34</v>
      </c>
      <c r="F2376" s="5" t="s">
        <v>34</v>
      </c>
      <c r="G2376" s="5" t="s">
        <v>36</v>
      </c>
      <c r="H2376" s="5" t="s">
        <v>36</v>
      </c>
      <c r="I2376" s="5" t="s">
        <v>36</v>
      </c>
      <c r="J2376" s="6" t="s">
        <v>34</v>
      </c>
      <c r="K2376" s="6">
        <v>980.0</v>
      </c>
      <c r="L2376" s="6">
        <v>245.0</v>
      </c>
      <c r="M2376" s="26" t="s">
        <v>57</v>
      </c>
      <c r="N2376" s="26" t="s">
        <v>52</v>
      </c>
      <c r="O2376" s="6" t="s">
        <v>40</v>
      </c>
      <c r="P2376" s="5" t="s">
        <v>59</v>
      </c>
      <c r="Q2376" s="5" t="s">
        <v>89</v>
      </c>
      <c r="R2376" s="6" t="s">
        <v>42</v>
      </c>
      <c r="S2376" s="5" t="s">
        <v>130</v>
      </c>
      <c r="T2376" s="5" t="s">
        <v>44</v>
      </c>
      <c r="U2376" s="5" t="s">
        <v>44</v>
      </c>
      <c r="V2376" s="5" t="s">
        <v>130</v>
      </c>
      <c r="W2376" s="5" t="s">
        <v>35</v>
      </c>
      <c r="X2376" s="8" t="s">
        <v>248</v>
      </c>
      <c r="Y2376" s="5" t="s">
        <v>46</v>
      </c>
      <c r="Z2376" s="5" t="s">
        <v>47</v>
      </c>
      <c r="AA2376" s="5" t="s">
        <v>64</v>
      </c>
      <c r="AB2376" s="5" t="s">
        <v>11614</v>
      </c>
      <c r="AC2376" s="6" t="s">
        <v>71</v>
      </c>
      <c r="AD2376" s="6">
        <v>1308.0</v>
      </c>
    </row>
    <row r="2377" ht="56.25" customHeight="1">
      <c r="A2377" s="5" t="s">
        <v>11594</v>
      </c>
      <c r="B2377" s="6" t="str">
        <f>IMAGE("https://storage.googleapis.com/acdb/housewares/FtrSchoolChairS_Remake_4_0.png")</f>
        <v/>
      </c>
      <c r="C2377" s="5" t="s">
        <v>11616</v>
      </c>
      <c r="D2377" s="5" t="s">
        <v>34</v>
      </c>
      <c r="E2377" s="5" t="s">
        <v>34</v>
      </c>
      <c r="F2377" s="5" t="s">
        <v>34</v>
      </c>
      <c r="G2377" s="5" t="s">
        <v>36</v>
      </c>
      <c r="H2377" s="5" t="s">
        <v>36</v>
      </c>
      <c r="I2377" s="5" t="s">
        <v>36</v>
      </c>
      <c r="J2377" s="6" t="s">
        <v>34</v>
      </c>
      <c r="K2377" s="6">
        <v>980.0</v>
      </c>
      <c r="L2377" s="6">
        <v>245.0</v>
      </c>
      <c r="M2377" s="26" t="s">
        <v>95</v>
      </c>
      <c r="N2377" s="26" t="s">
        <v>68</v>
      </c>
      <c r="O2377" s="6" t="s">
        <v>40</v>
      </c>
      <c r="P2377" s="5" t="s">
        <v>59</v>
      </c>
      <c r="Q2377" s="5" t="s">
        <v>89</v>
      </c>
      <c r="R2377" s="6" t="s">
        <v>42</v>
      </c>
      <c r="S2377" s="5" t="s">
        <v>130</v>
      </c>
      <c r="T2377" s="5" t="s">
        <v>44</v>
      </c>
      <c r="U2377" s="5" t="s">
        <v>44</v>
      </c>
      <c r="V2377" s="5" t="s">
        <v>130</v>
      </c>
      <c r="W2377" s="5" t="s">
        <v>35</v>
      </c>
      <c r="X2377" s="8" t="s">
        <v>248</v>
      </c>
      <c r="Y2377" s="5" t="s">
        <v>46</v>
      </c>
      <c r="Z2377" s="5" t="s">
        <v>47</v>
      </c>
      <c r="AA2377" s="5" t="s">
        <v>64</v>
      </c>
      <c r="AB2377" s="5" t="s">
        <v>11619</v>
      </c>
      <c r="AC2377" s="6" t="s">
        <v>75</v>
      </c>
      <c r="AD2377" s="6">
        <v>1308.0</v>
      </c>
    </row>
    <row r="2378" ht="56.25" customHeight="1">
      <c r="A2378" s="5" t="s">
        <v>11594</v>
      </c>
      <c r="B2378" s="6" t="str">
        <f>IMAGE("https://storage.googleapis.com/acdb/housewares/FtrSchoolChairS_Remake_5_0.png")</f>
        <v/>
      </c>
      <c r="C2378" s="5" t="s">
        <v>11620</v>
      </c>
      <c r="D2378" s="5" t="s">
        <v>34</v>
      </c>
      <c r="E2378" s="5" t="s">
        <v>34</v>
      </c>
      <c r="F2378" s="5" t="s">
        <v>34</v>
      </c>
      <c r="G2378" s="5" t="s">
        <v>36</v>
      </c>
      <c r="H2378" s="5" t="s">
        <v>36</v>
      </c>
      <c r="I2378" s="5" t="s">
        <v>36</v>
      </c>
      <c r="J2378" s="6" t="s">
        <v>34</v>
      </c>
      <c r="K2378" s="6">
        <v>980.0</v>
      </c>
      <c r="L2378" s="6">
        <v>245.0</v>
      </c>
      <c r="M2378" s="26" t="s">
        <v>38</v>
      </c>
      <c r="N2378" s="26" t="s">
        <v>96</v>
      </c>
      <c r="O2378" s="6" t="s">
        <v>40</v>
      </c>
      <c r="P2378" s="5" t="s">
        <v>59</v>
      </c>
      <c r="Q2378" s="5" t="s">
        <v>89</v>
      </c>
      <c r="R2378" s="6" t="s">
        <v>42</v>
      </c>
      <c r="S2378" s="5" t="s">
        <v>130</v>
      </c>
      <c r="T2378" s="5" t="s">
        <v>44</v>
      </c>
      <c r="U2378" s="5" t="s">
        <v>44</v>
      </c>
      <c r="V2378" s="5" t="s">
        <v>130</v>
      </c>
      <c r="W2378" s="5" t="s">
        <v>35</v>
      </c>
      <c r="X2378" s="8" t="s">
        <v>248</v>
      </c>
      <c r="Y2378" s="5" t="s">
        <v>46</v>
      </c>
      <c r="Z2378" s="5" t="s">
        <v>47</v>
      </c>
      <c r="AA2378" s="5" t="s">
        <v>64</v>
      </c>
      <c r="AB2378" s="5" t="s">
        <v>11625</v>
      </c>
      <c r="AC2378" s="6" t="s">
        <v>79</v>
      </c>
      <c r="AD2378" s="6">
        <v>1308.0</v>
      </c>
    </row>
    <row r="2379" ht="56.25" customHeight="1">
      <c r="A2379" s="5" t="s">
        <v>11626</v>
      </c>
      <c r="B2379" s="6" t="str">
        <f>IMAGE("https://storage.googleapis.com/acdb/housewares/FtrSchoolTableS_Remake_0_0.png")</f>
        <v/>
      </c>
      <c r="C2379" s="5" t="s">
        <v>11595</v>
      </c>
      <c r="D2379" s="5" t="s">
        <v>34</v>
      </c>
      <c r="E2379" s="5" t="s">
        <v>34</v>
      </c>
      <c r="F2379" s="5" t="s">
        <v>34</v>
      </c>
      <c r="G2379" s="5" t="s">
        <v>36</v>
      </c>
      <c r="H2379" s="5" t="s">
        <v>36</v>
      </c>
      <c r="I2379" s="5" t="s">
        <v>36</v>
      </c>
      <c r="J2379" s="6" t="s">
        <v>34</v>
      </c>
      <c r="K2379" s="6">
        <v>1100.0</v>
      </c>
      <c r="L2379" s="6">
        <v>275.0</v>
      </c>
      <c r="M2379" s="26" t="s">
        <v>114</v>
      </c>
      <c r="N2379" s="26" t="s">
        <v>95</v>
      </c>
      <c r="O2379" s="6" t="s">
        <v>40</v>
      </c>
      <c r="P2379" s="5" t="s">
        <v>59</v>
      </c>
      <c r="Q2379" s="5" t="s">
        <v>89</v>
      </c>
      <c r="R2379" s="6" t="s">
        <v>42</v>
      </c>
      <c r="S2379" s="5" t="s">
        <v>130</v>
      </c>
      <c r="T2379" s="5" t="s">
        <v>44</v>
      </c>
      <c r="U2379" s="5" t="s">
        <v>44</v>
      </c>
      <c r="V2379" s="5" t="s">
        <v>130</v>
      </c>
      <c r="W2379" s="5" t="s">
        <v>36</v>
      </c>
      <c r="X2379" s="8" t="s">
        <v>230</v>
      </c>
      <c r="Y2379" s="5" t="s">
        <v>46</v>
      </c>
      <c r="Z2379" s="5" t="s">
        <v>47</v>
      </c>
      <c r="AA2379" s="5" t="s">
        <v>64</v>
      </c>
      <c r="AB2379" s="5" t="s">
        <v>11631</v>
      </c>
      <c r="AC2379" s="6" t="s">
        <v>50</v>
      </c>
      <c r="AD2379" s="6">
        <v>1328.0</v>
      </c>
    </row>
    <row r="2380" ht="56.25" customHeight="1">
      <c r="A2380" s="5" t="s">
        <v>11626</v>
      </c>
      <c r="B2380" s="6" t="str">
        <f>IMAGE("https://storage.googleapis.com/acdb/housewares/FtrSchoolTableS_Remake_1_0.png")</f>
        <v/>
      </c>
      <c r="C2380" s="5" t="s">
        <v>11599</v>
      </c>
      <c r="D2380" s="5" t="s">
        <v>34</v>
      </c>
      <c r="E2380" s="5" t="s">
        <v>34</v>
      </c>
      <c r="F2380" s="5" t="s">
        <v>34</v>
      </c>
      <c r="G2380" s="5" t="s">
        <v>36</v>
      </c>
      <c r="H2380" s="5" t="s">
        <v>36</v>
      </c>
      <c r="I2380" s="5" t="s">
        <v>36</v>
      </c>
      <c r="J2380" s="6" t="s">
        <v>34</v>
      </c>
      <c r="K2380" s="6">
        <v>1100.0</v>
      </c>
      <c r="L2380" s="6">
        <v>275.0</v>
      </c>
      <c r="M2380" s="26" t="s">
        <v>39</v>
      </c>
      <c r="N2380" s="26" t="s">
        <v>57</v>
      </c>
      <c r="O2380" s="6" t="s">
        <v>40</v>
      </c>
      <c r="P2380" s="5" t="s">
        <v>59</v>
      </c>
      <c r="Q2380" s="5" t="s">
        <v>89</v>
      </c>
      <c r="R2380" s="6" t="s">
        <v>42</v>
      </c>
      <c r="S2380" s="5" t="s">
        <v>130</v>
      </c>
      <c r="T2380" s="5" t="s">
        <v>44</v>
      </c>
      <c r="U2380" s="5" t="s">
        <v>44</v>
      </c>
      <c r="V2380" s="5" t="s">
        <v>130</v>
      </c>
      <c r="W2380" s="5" t="s">
        <v>36</v>
      </c>
      <c r="X2380" s="8" t="s">
        <v>230</v>
      </c>
      <c r="Y2380" s="5" t="s">
        <v>46</v>
      </c>
      <c r="Z2380" s="5" t="s">
        <v>47</v>
      </c>
      <c r="AA2380" s="5" t="s">
        <v>64</v>
      </c>
      <c r="AB2380" s="5" t="s">
        <v>11634</v>
      </c>
      <c r="AC2380" s="6" t="s">
        <v>56</v>
      </c>
      <c r="AD2380" s="6">
        <v>1328.0</v>
      </c>
    </row>
    <row r="2381" ht="56.25" customHeight="1">
      <c r="A2381" s="5" t="s">
        <v>11626</v>
      </c>
      <c r="B2381" s="6" t="str">
        <f>IMAGE("https://storage.googleapis.com/acdb/housewares/FtrSchoolTableS_Remake_2_0.png")</f>
        <v/>
      </c>
      <c r="C2381" s="5" t="s">
        <v>11604</v>
      </c>
      <c r="D2381" s="5" t="s">
        <v>34</v>
      </c>
      <c r="E2381" s="5" t="s">
        <v>34</v>
      </c>
      <c r="F2381" s="5" t="s">
        <v>34</v>
      </c>
      <c r="G2381" s="5" t="s">
        <v>36</v>
      </c>
      <c r="H2381" s="5" t="s">
        <v>36</v>
      </c>
      <c r="I2381" s="5" t="s">
        <v>36</v>
      </c>
      <c r="J2381" s="6" t="s">
        <v>34</v>
      </c>
      <c r="K2381" s="6">
        <v>1100.0</v>
      </c>
      <c r="L2381" s="6">
        <v>275.0</v>
      </c>
      <c r="M2381" s="26" t="s">
        <v>142</v>
      </c>
      <c r="N2381" s="26" t="s">
        <v>54</v>
      </c>
      <c r="O2381" s="6" t="s">
        <v>40</v>
      </c>
      <c r="P2381" s="5" t="s">
        <v>59</v>
      </c>
      <c r="Q2381" s="5" t="s">
        <v>89</v>
      </c>
      <c r="R2381" s="6" t="s">
        <v>42</v>
      </c>
      <c r="S2381" s="5" t="s">
        <v>130</v>
      </c>
      <c r="T2381" s="5" t="s">
        <v>44</v>
      </c>
      <c r="U2381" s="5" t="s">
        <v>44</v>
      </c>
      <c r="V2381" s="5" t="s">
        <v>130</v>
      </c>
      <c r="W2381" s="5" t="s">
        <v>36</v>
      </c>
      <c r="X2381" s="8" t="s">
        <v>230</v>
      </c>
      <c r="Y2381" s="5" t="s">
        <v>46</v>
      </c>
      <c r="Z2381" s="5" t="s">
        <v>47</v>
      </c>
      <c r="AA2381" s="5" t="s">
        <v>64</v>
      </c>
      <c r="AB2381" s="5" t="s">
        <v>11640</v>
      </c>
      <c r="AC2381" s="6" t="s">
        <v>67</v>
      </c>
      <c r="AD2381" s="6">
        <v>1328.0</v>
      </c>
    </row>
    <row r="2382" ht="56.25" customHeight="1">
      <c r="A2382" s="5" t="s">
        <v>11626</v>
      </c>
      <c r="B2382" s="6" t="str">
        <f>IMAGE("https://storage.googleapis.com/acdb/housewares/FtrSchoolTableS_Remake_3_0.png")</f>
        <v/>
      </c>
      <c r="C2382" s="5" t="s">
        <v>11612</v>
      </c>
      <c r="D2382" s="5" t="s">
        <v>34</v>
      </c>
      <c r="E2382" s="5" t="s">
        <v>34</v>
      </c>
      <c r="F2382" s="5" t="s">
        <v>34</v>
      </c>
      <c r="G2382" s="5" t="s">
        <v>36</v>
      </c>
      <c r="H2382" s="5" t="s">
        <v>36</v>
      </c>
      <c r="I2382" s="5" t="s">
        <v>36</v>
      </c>
      <c r="J2382" s="6" t="s">
        <v>34</v>
      </c>
      <c r="K2382" s="6">
        <v>1100.0</v>
      </c>
      <c r="L2382" s="6">
        <v>275.0</v>
      </c>
      <c r="M2382" s="26" t="s">
        <v>57</v>
      </c>
      <c r="N2382" s="26" t="s">
        <v>52</v>
      </c>
      <c r="O2382" s="6" t="s">
        <v>40</v>
      </c>
      <c r="P2382" s="5" t="s">
        <v>59</v>
      </c>
      <c r="Q2382" s="5" t="s">
        <v>89</v>
      </c>
      <c r="R2382" s="6" t="s">
        <v>42</v>
      </c>
      <c r="S2382" s="5" t="s">
        <v>130</v>
      </c>
      <c r="T2382" s="5" t="s">
        <v>44</v>
      </c>
      <c r="U2382" s="5" t="s">
        <v>44</v>
      </c>
      <c r="V2382" s="5" t="s">
        <v>130</v>
      </c>
      <c r="W2382" s="5" t="s">
        <v>36</v>
      </c>
      <c r="X2382" s="8" t="s">
        <v>230</v>
      </c>
      <c r="Y2382" s="5" t="s">
        <v>46</v>
      </c>
      <c r="Z2382" s="5" t="s">
        <v>47</v>
      </c>
      <c r="AA2382" s="5" t="s">
        <v>64</v>
      </c>
      <c r="AB2382" s="5" t="s">
        <v>11643</v>
      </c>
      <c r="AC2382" s="6" t="s">
        <v>71</v>
      </c>
      <c r="AD2382" s="6">
        <v>1328.0</v>
      </c>
    </row>
    <row r="2383" ht="56.25" customHeight="1">
      <c r="A2383" s="5" t="s">
        <v>11626</v>
      </c>
      <c r="B2383" s="6" t="str">
        <f>IMAGE("https://storage.googleapis.com/acdb/housewares/FtrSchoolTableS_Remake_4_0.png")</f>
        <v/>
      </c>
      <c r="C2383" s="5" t="s">
        <v>11616</v>
      </c>
      <c r="D2383" s="5" t="s">
        <v>34</v>
      </c>
      <c r="E2383" s="5" t="s">
        <v>34</v>
      </c>
      <c r="F2383" s="5" t="s">
        <v>34</v>
      </c>
      <c r="G2383" s="5" t="s">
        <v>36</v>
      </c>
      <c r="H2383" s="5" t="s">
        <v>36</v>
      </c>
      <c r="I2383" s="5" t="s">
        <v>36</v>
      </c>
      <c r="J2383" s="6" t="s">
        <v>34</v>
      </c>
      <c r="K2383" s="6">
        <v>1100.0</v>
      </c>
      <c r="L2383" s="6">
        <v>275.0</v>
      </c>
      <c r="M2383" s="26" t="s">
        <v>95</v>
      </c>
      <c r="N2383" s="26" t="s">
        <v>68</v>
      </c>
      <c r="O2383" s="6" t="s">
        <v>40</v>
      </c>
      <c r="P2383" s="5" t="s">
        <v>59</v>
      </c>
      <c r="Q2383" s="5" t="s">
        <v>89</v>
      </c>
      <c r="R2383" s="6" t="s">
        <v>42</v>
      </c>
      <c r="S2383" s="5" t="s">
        <v>130</v>
      </c>
      <c r="T2383" s="5" t="s">
        <v>44</v>
      </c>
      <c r="U2383" s="5" t="s">
        <v>44</v>
      </c>
      <c r="V2383" s="5" t="s">
        <v>130</v>
      </c>
      <c r="W2383" s="5" t="s">
        <v>36</v>
      </c>
      <c r="X2383" s="8" t="s">
        <v>230</v>
      </c>
      <c r="Y2383" s="5" t="s">
        <v>46</v>
      </c>
      <c r="Z2383" s="5" t="s">
        <v>47</v>
      </c>
      <c r="AA2383" s="5" t="s">
        <v>64</v>
      </c>
      <c r="AB2383" s="5" t="s">
        <v>11645</v>
      </c>
      <c r="AC2383" s="6" t="s">
        <v>75</v>
      </c>
      <c r="AD2383" s="6">
        <v>1328.0</v>
      </c>
    </row>
    <row r="2384" ht="56.25" customHeight="1">
      <c r="A2384" s="5" t="s">
        <v>11626</v>
      </c>
      <c r="B2384" s="6" t="str">
        <f>IMAGE("https://storage.googleapis.com/acdb/housewares/FtrSchoolTableS_Remake_5_0.png")</f>
        <v/>
      </c>
      <c r="C2384" s="5" t="s">
        <v>11620</v>
      </c>
      <c r="D2384" s="5" t="s">
        <v>34</v>
      </c>
      <c r="E2384" s="5" t="s">
        <v>34</v>
      </c>
      <c r="F2384" s="5" t="s">
        <v>34</v>
      </c>
      <c r="G2384" s="5" t="s">
        <v>36</v>
      </c>
      <c r="H2384" s="5" t="s">
        <v>36</v>
      </c>
      <c r="I2384" s="5" t="s">
        <v>36</v>
      </c>
      <c r="J2384" s="6" t="s">
        <v>34</v>
      </c>
      <c r="K2384" s="6">
        <v>1100.0</v>
      </c>
      <c r="L2384" s="6">
        <v>275.0</v>
      </c>
      <c r="M2384" s="26" t="s">
        <v>38</v>
      </c>
      <c r="N2384" s="26" t="s">
        <v>96</v>
      </c>
      <c r="O2384" s="6" t="s">
        <v>40</v>
      </c>
      <c r="P2384" s="5" t="s">
        <v>59</v>
      </c>
      <c r="Q2384" s="5" t="s">
        <v>89</v>
      </c>
      <c r="R2384" s="6" t="s">
        <v>42</v>
      </c>
      <c r="S2384" s="5" t="s">
        <v>130</v>
      </c>
      <c r="T2384" s="5" t="s">
        <v>44</v>
      </c>
      <c r="U2384" s="5" t="s">
        <v>44</v>
      </c>
      <c r="V2384" s="5" t="s">
        <v>130</v>
      </c>
      <c r="W2384" s="5" t="s">
        <v>36</v>
      </c>
      <c r="X2384" s="8" t="s">
        <v>230</v>
      </c>
      <c r="Y2384" s="5" t="s">
        <v>46</v>
      </c>
      <c r="Z2384" s="5" t="s">
        <v>47</v>
      </c>
      <c r="AA2384" s="5" t="s">
        <v>64</v>
      </c>
      <c r="AB2384" s="5" t="s">
        <v>11649</v>
      </c>
      <c r="AC2384" s="6" t="s">
        <v>79</v>
      </c>
      <c r="AD2384" s="6">
        <v>1328.0</v>
      </c>
    </row>
    <row r="2385" ht="56.25" customHeight="1">
      <c r="A2385" s="5" t="s">
        <v>11650</v>
      </c>
      <c r="B2385" s="6" t="str">
        <f>IMAGE("https://storage.googleapis.com/acdb/housewares/FtrScreenByoubu_Remake_0_0.png")</f>
        <v/>
      </c>
      <c r="C2385" s="5" t="s">
        <v>262</v>
      </c>
      <c r="D2385" s="5" t="s">
        <v>34</v>
      </c>
      <c r="E2385" s="5" t="s">
        <v>34</v>
      </c>
      <c r="F2385" s="5" t="s">
        <v>34</v>
      </c>
      <c r="G2385" s="5" t="s">
        <v>36</v>
      </c>
      <c r="H2385" s="5" t="s">
        <v>36</v>
      </c>
      <c r="I2385" s="5" t="s">
        <v>36</v>
      </c>
      <c r="J2385" s="6" t="s">
        <v>34</v>
      </c>
      <c r="K2385" s="6">
        <v>140000.0</v>
      </c>
      <c r="L2385" s="6">
        <v>35000.0</v>
      </c>
      <c r="M2385" s="26" t="s">
        <v>114</v>
      </c>
      <c r="N2385" s="26" t="s">
        <v>96</v>
      </c>
      <c r="O2385" s="6" t="s">
        <v>276</v>
      </c>
      <c r="P2385" s="5" t="s">
        <v>59</v>
      </c>
      <c r="Q2385" s="5" t="s">
        <v>115</v>
      </c>
      <c r="R2385" s="6" t="s">
        <v>42</v>
      </c>
      <c r="S2385" s="5" t="s">
        <v>266</v>
      </c>
      <c r="T2385" s="5" t="s">
        <v>116</v>
      </c>
      <c r="U2385" s="5" t="s">
        <v>44</v>
      </c>
      <c r="V2385" s="5" t="s">
        <v>44</v>
      </c>
      <c r="W2385" s="5" t="s">
        <v>36</v>
      </c>
      <c r="X2385" s="8" t="s">
        <v>650</v>
      </c>
      <c r="Y2385" s="5" t="s">
        <v>46</v>
      </c>
      <c r="Z2385" s="5" t="s">
        <v>47</v>
      </c>
      <c r="AA2385" s="5" t="s">
        <v>64</v>
      </c>
      <c r="AB2385" s="5" t="s">
        <v>11652</v>
      </c>
      <c r="AC2385" s="6" t="s">
        <v>50</v>
      </c>
      <c r="AD2385" s="6">
        <v>716.0</v>
      </c>
    </row>
    <row r="2386" ht="56.25" customHeight="1">
      <c r="A2386" s="5" t="s">
        <v>11650</v>
      </c>
      <c r="B2386" s="6" t="str">
        <f>IMAGE("https://storage.googleapis.com/acdb/housewares/FtrScreenByoubu_Remake_1_0.png")</f>
        <v/>
      </c>
      <c r="C2386" s="5" t="s">
        <v>11655</v>
      </c>
      <c r="D2386" s="5" t="s">
        <v>34</v>
      </c>
      <c r="E2386" s="5" t="s">
        <v>34</v>
      </c>
      <c r="F2386" s="5" t="s">
        <v>34</v>
      </c>
      <c r="G2386" s="5" t="s">
        <v>36</v>
      </c>
      <c r="H2386" s="5" t="s">
        <v>36</v>
      </c>
      <c r="I2386" s="5" t="s">
        <v>36</v>
      </c>
      <c r="J2386" s="6" t="s">
        <v>34</v>
      </c>
      <c r="K2386" s="6">
        <v>140000.0</v>
      </c>
      <c r="L2386" s="6">
        <v>35000.0</v>
      </c>
      <c r="M2386" s="26" t="s">
        <v>114</v>
      </c>
      <c r="N2386" s="26" t="s">
        <v>52</v>
      </c>
      <c r="O2386" s="6" t="s">
        <v>276</v>
      </c>
      <c r="P2386" s="5" t="s">
        <v>59</v>
      </c>
      <c r="Q2386" s="5" t="s">
        <v>115</v>
      </c>
      <c r="R2386" s="6" t="s">
        <v>42</v>
      </c>
      <c r="S2386" s="5" t="s">
        <v>266</v>
      </c>
      <c r="T2386" s="5" t="s">
        <v>116</v>
      </c>
      <c r="U2386" s="5" t="s">
        <v>44</v>
      </c>
      <c r="V2386" s="5" t="s">
        <v>44</v>
      </c>
      <c r="W2386" s="5" t="s">
        <v>36</v>
      </c>
      <c r="X2386" s="8" t="s">
        <v>650</v>
      </c>
      <c r="Y2386" s="5" t="s">
        <v>46</v>
      </c>
      <c r="Z2386" s="5" t="s">
        <v>47</v>
      </c>
      <c r="AA2386" s="5" t="s">
        <v>64</v>
      </c>
      <c r="AB2386" s="5" t="s">
        <v>11656</v>
      </c>
      <c r="AC2386" s="6" t="s">
        <v>56</v>
      </c>
      <c r="AD2386" s="6">
        <v>716.0</v>
      </c>
    </row>
    <row r="2387" ht="56.25" customHeight="1">
      <c r="A2387" s="5" t="s">
        <v>11650</v>
      </c>
      <c r="B2387" s="6" t="str">
        <f>IMAGE("https://storage.googleapis.com/acdb/housewares/FtrScreenByoubu_Remake_2_0.png")</f>
        <v/>
      </c>
      <c r="C2387" s="5" t="s">
        <v>11659</v>
      </c>
      <c r="D2387" s="5" t="s">
        <v>34</v>
      </c>
      <c r="E2387" s="5" t="s">
        <v>34</v>
      </c>
      <c r="F2387" s="5" t="s">
        <v>34</v>
      </c>
      <c r="G2387" s="5" t="s">
        <v>36</v>
      </c>
      <c r="H2387" s="5" t="s">
        <v>36</v>
      </c>
      <c r="I2387" s="5" t="s">
        <v>36</v>
      </c>
      <c r="J2387" s="6" t="s">
        <v>34</v>
      </c>
      <c r="K2387" s="6">
        <v>140000.0</v>
      </c>
      <c r="L2387" s="6">
        <v>35000.0</v>
      </c>
      <c r="M2387" s="26" t="s">
        <v>114</v>
      </c>
      <c r="N2387" s="26" t="s">
        <v>96</v>
      </c>
      <c r="O2387" s="6" t="s">
        <v>276</v>
      </c>
      <c r="P2387" s="5" t="s">
        <v>59</v>
      </c>
      <c r="Q2387" s="5" t="s">
        <v>115</v>
      </c>
      <c r="R2387" s="6" t="s">
        <v>42</v>
      </c>
      <c r="S2387" s="5" t="s">
        <v>266</v>
      </c>
      <c r="T2387" s="5" t="s">
        <v>116</v>
      </c>
      <c r="U2387" s="5" t="s">
        <v>44</v>
      </c>
      <c r="V2387" s="5" t="s">
        <v>44</v>
      </c>
      <c r="W2387" s="5" t="s">
        <v>36</v>
      </c>
      <c r="X2387" s="8" t="s">
        <v>650</v>
      </c>
      <c r="Y2387" s="5" t="s">
        <v>46</v>
      </c>
      <c r="Z2387" s="5" t="s">
        <v>47</v>
      </c>
      <c r="AA2387" s="5" t="s">
        <v>64</v>
      </c>
      <c r="AB2387" s="5" t="s">
        <v>11662</v>
      </c>
      <c r="AC2387" s="6" t="s">
        <v>67</v>
      </c>
      <c r="AD2387" s="6">
        <v>716.0</v>
      </c>
    </row>
    <row r="2388" ht="56.25" customHeight="1">
      <c r="A2388" s="5" t="s">
        <v>11650</v>
      </c>
      <c r="B2388" s="6" t="str">
        <f>IMAGE("https://storage.googleapis.com/acdb/housewares/FtrScreenByoubu_Remake_3_0.png")</f>
        <v/>
      </c>
      <c r="C2388" s="5" t="s">
        <v>8630</v>
      </c>
      <c r="D2388" s="5" t="s">
        <v>34</v>
      </c>
      <c r="E2388" s="5" t="s">
        <v>34</v>
      </c>
      <c r="F2388" s="5" t="s">
        <v>34</v>
      </c>
      <c r="G2388" s="5" t="s">
        <v>36</v>
      </c>
      <c r="H2388" s="5" t="s">
        <v>36</v>
      </c>
      <c r="I2388" s="5" t="s">
        <v>36</v>
      </c>
      <c r="J2388" s="6" t="s">
        <v>34</v>
      </c>
      <c r="K2388" s="6">
        <v>140000.0</v>
      </c>
      <c r="L2388" s="6">
        <v>35000.0</v>
      </c>
      <c r="M2388" s="26" t="s">
        <v>114</v>
      </c>
      <c r="N2388" s="26" t="s">
        <v>142</v>
      </c>
      <c r="O2388" s="6" t="s">
        <v>276</v>
      </c>
      <c r="P2388" s="5" t="s">
        <v>59</v>
      </c>
      <c r="Q2388" s="5" t="s">
        <v>115</v>
      </c>
      <c r="R2388" s="6" t="s">
        <v>42</v>
      </c>
      <c r="S2388" s="5" t="s">
        <v>266</v>
      </c>
      <c r="T2388" s="5" t="s">
        <v>116</v>
      </c>
      <c r="U2388" s="5" t="s">
        <v>44</v>
      </c>
      <c r="V2388" s="5" t="s">
        <v>44</v>
      </c>
      <c r="W2388" s="5" t="s">
        <v>36</v>
      </c>
      <c r="X2388" s="8" t="s">
        <v>650</v>
      </c>
      <c r="Y2388" s="5" t="s">
        <v>46</v>
      </c>
      <c r="Z2388" s="5" t="s">
        <v>47</v>
      </c>
      <c r="AA2388" s="5" t="s">
        <v>64</v>
      </c>
      <c r="AB2388" s="5" t="s">
        <v>11665</v>
      </c>
      <c r="AC2388" s="6" t="s">
        <v>71</v>
      </c>
      <c r="AD2388" s="6">
        <v>716.0</v>
      </c>
    </row>
    <row r="2389" ht="56.25" customHeight="1">
      <c r="A2389" s="5" t="s">
        <v>11650</v>
      </c>
      <c r="B2389" s="6" t="str">
        <f>IMAGE("https://storage.googleapis.com/acdb/housewares/FtrScreenByoubu_Remake_4_0.png")</f>
        <v/>
      </c>
      <c r="C2389" s="5" t="s">
        <v>11668</v>
      </c>
      <c r="D2389" s="5" t="s">
        <v>34</v>
      </c>
      <c r="E2389" s="5" t="s">
        <v>34</v>
      </c>
      <c r="F2389" s="5" t="s">
        <v>34</v>
      </c>
      <c r="G2389" s="5" t="s">
        <v>36</v>
      </c>
      <c r="H2389" s="5" t="s">
        <v>36</v>
      </c>
      <c r="I2389" s="5" t="s">
        <v>36</v>
      </c>
      <c r="J2389" s="6" t="s">
        <v>34</v>
      </c>
      <c r="K2389" s="6">
        <v>140000.0</v>
      </c>
      <c r="L2389" s="6">
        <v>35000.0</v>
      </c>
      <c r="M2389" s="26" t="s">
        <v>38</v>
      </c>
      <c r="N2389" s="26" t="s">
        <v>54</v>
      </c>
      <c r="O2389" s="6" t="s">
        <v>276</v>
      </c>
      <c r="P2389" s="5" t="s">
        <v>59</v>
      </c>
      <c r="Q2389" s="5" t="s">
        <v>115</v>
      </c>
      <c r="R2389" s="6" t="s">
        <v>42</v>
      </c>
      <c r="S2389" s="5" t="s">
        <v>266</v>
      </c>
      <c r="T2389" s="5" t="s">
        <v>116</v>
      </c>
      <c r="U2389" s="5" t="s">
        <v>44</v>
      </c>
      <c r="V2389" s="5" t="s">
        <v>44</v>
      </c>
      <c r="W2389" s="5" t="s">
        <v>36</v>
      </c>
      <c r="X2389" s="8" t="s">
        <v>650</v>
      </c>
      <c r="Y2389" s="5" t="s">
        <v>46</v>
      </c>
      <c r="Z2389" s="5" t="s">
        <v>47</v>
      </c>
      <c r="AA2389" s="5" t="s">
        <v>64</v>
      </c>
      <c r="AB2389" s="5" t="s">
        <v>11670</v>
      </c>
      <c r="AC2389" s="6" t="s">
        <v>75</v>
      </c>
      <c r="AD2389" s="6">
        <v>716.0</v>
      </c>
    </row>
    <row r="2390" ht="56.25" customHeight="1">
      <c r="A2390" s="5" t="s">
        <v>11672</v>
      </c>
      <c r="B2390" s="6" t="str">
        <f>IMAGE("https://storage.googleapis.com/acdb/housewares/FtrServer.png")</f>
        <v/>
      </c>
      <c r="C2390" s="5" t="s">
        <v>34</v>
      </c>
      <c r="D2390" s="5" t="s">
        <v>34</v>
      </c>
      <c r="E2390" s="5" t="s">
        <v>34</v>
      </c>
      <c r="F2390" s="5" t="s">
        <v>34</v>
      </c>
      <c r="G2390" s="5" t="s">
        <v>36</v>
      </c>
      <c r="H2390" s="5" t="s">
        <v>36</v>
      </c>
      <c r="I2390" s="5" t="s">
        <v>36</v>
      </c>
      <c r="J2390" s="6" t="s">
        <v>34</v>
      </c>
      <c r="K2390" s="6">
        <v>100000.0</v>
      </c>
      <c r="L2390" s="6">
        <v>25000.0</v>
      </c>
      <c r="M2390" s="5" t="s">
        <v>54</v>
      </c>
      <c r="N2390" s="5" t="s">
        <v>54</v>
      </c>
      <c r="O2390" s="6" t="s">
        <v>40</v>
      </c>
      <c r="P2390" s="5" t="s">
        <v>59</v>
      </c>
      <c r="Q2390" s="5" t="s">
        <v>115</v>
      </c>
      <c r="R2390" s="6" t="s">
        <v>42</v>
      </c>
      <c r="S2390" s="5" t="s">
        <v>91</v>
      </c>
      <c r="T2390" s="5" t="s">
        <v>141</v>
      </c>
      <c r="U2390" s="5" t="s">
        <v>44</v>
      </c>
      <c r="V2390" s="5" t="s">
        <v>44</v>
      </c>
      <c r="W2390" s="5" t="s">
        <v>35</v>
      </c>
      <c r="X2390" s="8" t="s">
        <v>117</v>
      </c>
      <c r="Y2390" s="5" t="s">
        <v>46</v>
      </c>
      <c r="Z2390" s="5" t="s">
        <v>47</v>
      </c>
      <c r="AA2390" s="5" t="s">
        <v>64</v>
      </c>
      <c r="AB2390" s="5" t="s">
        <v>11676</v>
      </c>
      <c r="AC2390" s="6" t="s">
        <v>34</v>
      </c>
      <c r="AD2390" s="6">
        <v>1126.0</v>
      </c>
    </row>
    <row r="2391" ht="56.25" customHeight="1">
      <c r="A2391" s="5" t="s">
        <v>11677</v>
      </c>
      <c r="B2391" s="6" t="str">
        <f>IMAGE("https://storage.googleapis.com/acdb/housewares/FtrServingcart_Remake_0_0.png")</f>
        <v/>
      </c>
      <c r="C2391" s="5" t="s">
        <v>32</v>
      </c>
      <c r="D2391" s="5" t="s">
        <v>34</v>
      </c>
      <c r="E2391" s="5" t="s">
        <v>34</v>
      </c>
      <c r="F2391" s="5" t="s">
        <v>34</v>
      </c>
      <c r="G2391" s="5" t="s">
        <v>36</v>
      </c>
      <c r="H2391" s="5" t="s">
        <v>36</v>
      </c>
      <c r="I2391" s="5" t="s">
        <v>36</v>
      </c>
      <c r="J2391" s="6" t="s">
        <v>34</v>
      </c>
      <c r="K2391" s="6">
        <v>1300.0</v>
      </c>
      <c r="L2391" s="6">
        <v>325.0</v>
      </c>
      <c r="M2391" s="26" t="s">
        <v>38</v>
      </c>
      <c r="N2391" s="26" t="s">
        <v>38</v>
      </c>
      <c r="O2391" s="6" t="s">
        <v>40</v>
      </c>
      <c r="P2391" s="5" t="s">
        <v>59</v>
      </c>
      <c r="Q2391" s="5" t="s">
        <v>89</v>
      </c>
      <c r="R2391" s="6" t="s">
        <v>42</v>
      </c>
      <c r="S2391" s="5" t="s">
        <v>159</v>
      </c>
      <c r="T2391" s="5" t="s">
        <v>62</v>
      </c>
      <c r="U2391" s="5" t="s">
        <v>44</v>
      </c>
      <c r="V2391" s="5" t="s">
        <v>44</v>
      </c>
      <c r="W2391" s="5" t="s">
        <v>36</v>
      </c>
      <c r="X2391" s="8" t="s">
        <v>160</v>
      </c>
      <c r="Y2391" s="5" t="s">
        <v>46</v>
      </c>
      <c r="Z2391" s="5" t="s">
        <v>47</v>
      </c>
      <c r="AA2391" s="5" t="s">
        <v>64</v>
      </c>
      <c r="AB2391" s="5" t="s">
        <v>11682</v>
      </c>
      <c r="AC2391" s="6" t="s">
        <v>50</v>
      </c>
      <c r="AD2391" s="6">
        <v>1606.0</v>
      </c>
    </row>
    <row r="2392" ht="56.25" customHeight="1">
      <c r="A2392" s="5" t="s">
        <v>11677</v>
      </c>
      <c r="B2392" s="6" t="str">
        <f>IMAGE("https://storage.googleapis.com/acdb/housewares/FtrServingcart_Remake_1_0.png")</f>
        <v/>
      </c>
      <c r="C2392" s="5" t="s">
        <v>39</v>
      </c>
      <c r="D2392" s="5" t="s">
        <v>34</v>
      </c>
      <c r="E2392" s="5" t="s">
        <v>34</v>
      </c>
      <c r="F2392" s="5" t="s">
        <v>34</v>
      </c>
      <c r="G2392" s="5" t="s">
        <v>36</v>
      </c>
      <c r="H2392" s="5" t="s">
        <v>36</v>
      </c>
      <c r="I2392" s="5" t="s">
        <v>36</v>
      </c>
      <c r="J2392" s="6" t="s">
        <v>34</v>
      </c>
      <c r="K2392" s="6">
        <v>1300.0</v>
      </c>
      <c r="L2392" s="6">
        <v>325.0</v>
      </c>
      <c r="M2392" s="26" t="s">
        <v>39</v>
      </c>
      <c r="N2392" s="26" t="s">
        <v>39</v>
      </c>
      <c r="O2392" s="6" t="s">
        <v>40</v>
      </c>
      <c r="P2392" s="5" t="s">
        <v>59</v>
      </c>
      <c r="Q2392" s="5" t="s">
        <v>89</v>
      </c>
      <c r="R2392" s="6" t="s">
        <v>42</v>
      </c>
      <c r="S2392" s="5" t="s">
        <v>159</v>
      </c>
      <c r="T2392" s="5" t="s">
        <v>62</v>
      </c>
      <c r="U2392" s="5" t="s">
        <v>44</v>
      </c>
      <c r="V2392" s="5" t="s">
        <v>44</v>
      </c>
      <c r="W2392" s="5" t="s">
        <v>36</v>
      </c>
      <c r="X2392" s="8" t="s">
        <v>160</v>
      </c>
      <c r="Y2392" s="5" t="s">
        <v>46</v>
      </c>
      <c r="Z2392" s="5" t="s">
        <v>47</v>
      </c>
      <c r="AA2392" s="5" t="s">
        <v>64</v>
      </c>
      <c r="AB2392" s="5" t="s">
        <v>11687</v>
      </c>
      <c r="AC2392" s="6" t="s">
        <v>56</v>
      </c>
      <c r="AD2392" s="6">
        <v>1606.0</v>
      </c>
    </row>
    <row r="2393" ht="56.25" customHeight="1">
      <c r="A2393" s="5" t="s">
        <v>11677</v>
      </c>
      <c r="B2393" s="6" t="str">
        <f>IMAGE("https://storage.googleapis.com/acdb/housewares/FtrServingcart_Remake_2_0.png")</f>
        <v/>
      </c>
      <c r="C2393" s="5" t="s">
        <v>57</v>
      </c>
      <c r="D2393" s="5" t="s">
        <v>34</v>
      </c>
      <c r="E2393" s="5" t="s">
        <v>34</v>
      </c>
      <c r="F2393" s="5" t="s">
        <v>34</v>
      </c>
      <c r="G2393" s="5" t="s">
        <v>36</v>
      </c>
      <c r="H2393" s="5" t="s">
        <v>36</v>
      </c>
      <c r="I2393" s="5" t="s">
        <v>36</v>
      </c>
      <c r="J2393" s="6" t="s">
        <v>34</v>
      </c>
      <c r="K2393" s="6">
        <v>1300.0</v>
      </c>
      <c r="L2393" s="6">
        <v>325.0</v>
      </c>
      <c r="M2393" s="26" t="s">
        <v>57</v>
      </c>
      <c r="N2393" s="26" t="s">
        <v>57</v>
      </c>
      <c r="O2393" s="6" t="s">
        <v>40</v>
      </c>
      <c r="P2393" s="5" t="s">
        <v>59</v>
      </c>
      <c r="Q2393" s="5" t="s">
        <v>89</v>
      </c>
      <c r="R2393" s="6" t="s">
        <v>42</v>
      </c>
      <c r="S2393" s="5" t="s">
        <v>159</v>
      </c>
      <c r="T2393" s="5" t="s">
        <v>62</v>
      </c>
      <c r="U2393" s="5" t="s">
        <v>44</v>
      </c>
      <c r="V2393" s="5" t="s">
        <v>44</v>
      </c>
      <c r="W2393" s="5" t="s">
        <v>36</v>
      </c>
      <c r="X2393" s="8" t="s">
        <v>160</v>
      </c>
      <c r="Y2393" s="5" t="s">
        <v>46</v>
      </c>
      <c r="Z2393" s="5" t="s">
        <v>47</v>
      </c>
      <c r="AA2393" s="5" t="s">
        <v>64</v>
      </c>
      <c r="AB2393" s="5" t="s">
        <v>11691</v>
      </c>
      <c r="AC2393" s="6" t="s">
        <v>67</v>
      </c>
      <c r="AD2393" s="6">
        <v>1606.0</v>
      </c>
    </row>
    <row r="2394" ht="56.25" customHeight="1">
      <c r="A2394" s="5" t="s">
        <v>11677</v>
      </c>
      <c r="B2394" s="6" t="str">
        <f>IMAGE("https://storage.googleapis.com/acdb/housewares/FtrServingcart_Remake_3_0.png")</f>
        <v/>
      </c>
      <c r="C2394" s="5" t="s">
        <v>11693</v>
      </c>
      <c r="D2394" s="5" t="s">
        <v>34</v>
      </c>
      <c r="E2394" s="5" t="s">
        <v>34</v>
      </c>
      <c r="F2394" s="5" t="s">
        <v>34</v>
      </c>
      <c r="G2394" s="5" t="s">
        <v>36</v>
      </c>
      <c r="H2394" s="5" t="s">
        <v>36</v>
      </c>
      <c r="I2394" s="5" t="s">
        <v>36</v>
      </c>
      <c r="J2394" s="6" t="s">
        <v>34</v>
      </c>
      <c r="K2394" s="6">
        <v>1300.0</v>
      </c>
      <c r="L2394" s="6">
        <v>325.0</v>
      </c>
      <c r="M2394" s="26" t="s">
        <v>57</v>
      </c>
      <c r="N2394" s="26" t="s">
        <v>95</v>
      </c>
      <c r="O2394" s="6" t="s">
        <v>40</v>
      </c>
      <c r="P2394" s="5" t="s">
        <v>59</v>
      </c>
      <c r="Q2394" s="5" t="s">
        <v>89</v>
      </c>
      <c r="R2394" s="6" t="s">
        <v>42</v>
      </c>
      <c r="S2394" s="5" t="s">
        <v>159</v>
      </c>
      <c r="T2394" s="5" t="s">
        <v>62</v>
      </c>
      <c r="U2394" s="5" t="s">
        <v>44</v>
      </c>
      <c r="V2394" s="5" t="s">
        <v>44</v>
      </c>
      <c r="W2394" s="5" t="s">
        <v>36</v>
      </c>
      <c r="X2394" s="8" t="s">
        <v>160</v>
      </c>
      <c r="Y2394" s="5" t="s">
        <v>46</v>
      </c>
      <c r="Z2394" s="5" t="s">
        <v>47</v>
      </c>
      <c r="AA2394" s="5" t="s">
        <v>64</v>
      </c>
      <c r="AB2394" s="5" t="s">
        <v>11695</v>
      </c>
      <c r="AC2394" s="6" t="s">
        <v>71</v>
      </c>
      <c r="AD2394" s="6">
        <v>1606.0</v>
      </c>
    </row>
    <row r="2395" ht="56.25" customHeight="1">
      <c r="A2395" s="5" t="s">
        <v>11677</v>
      </c>
      <c r="B2395" s="6" t="str">
        <f>IMAGE("https://storage.googleapis.com/acdb/housewares/FtrServingcart_Remake_4_0.png")</f>
        <v/>
      </c>
      <c r="C2395" s="5" t="s">
        <v>52</v>
      </c>
      <c r="D2395" s="5" t="s">
        <v>34</v>
      </c>
      <c r="E2395" s="5" t="s">
        <v>34</v>
      </c>
      <c r="F2395" s="5" t="s">
        <v>34</v>
      </c>
      <c r="G2395" s="5" t="s">
        <v>36</v>
      </c>
      <c r="H2395" s="5" t="s">
        <v>36</v>
      </c>
      <c r="I2395" s="5" t="s">
        <v>36</v>
      </c>
      <c r="J2395" s="6" t="s">
        <v>34</v>
      </c>
      <c r="K2395" s="6">
        <v>1300.0</v>
      </c>
      <c r="L2395" s="6">
        <v>325.0</v>
      </c>
      <c r="M2395" s="26" t="s">
        <v>52</v>
      </c>
      <c r="N2395" s="26" t="s">
        <v>54</v>
      </c>
      <c r="O2395" s="6" t="s">
        <v>40</v>
      </c>
      <c r="P2395" s="5" t="s">
        <v>59</v>
      </c>
      <c r="Q2395" s="5" t="s">
        <v>89</v>
      </c>
      <c r="R2395" s="6" t="s">
        <v>42</v>
      </c>
      <c r="S2395" s="5" t="s">
        <v>159</v>
      </c>
      <c r="T2395" s="5" t="s">
        <v>62</v>
      </c>
      <c r="U2395" s="5" t="s">
        <v>44</v>
      </c>
      <c r="V2395" s="5" t="s">
        <v>44</v>
      </c>
      <c r="W2395" s="5" t="s">
        <v>36</v>
      </c>
      <c r="X2395" s="8" t="s">
        <v>160</v>
      </c>
      <c r="Y2395" s="5" t="s">
        <v>46</v>
      </c>
      <c r="Z2395" s="5" t="s">
        <v>47</v>
      </c>
      <c r="AA2395" s="5" t="s">
        <v>64</v>
      </c>
      <c r="AB2395" s="5" t="s">
        <v>11699</v>
      </c>
      <c r="AC2395" s="6" t="s">
        <v>75</v>
      </c>
      <c r="AD2395" s="6">
        <v>1606.0</v>
      </c>
    </row>
    <row r="2396" ht="56.25" customHeight="1">
      <c r="A2396" s="5" t="s">
        <v>11677</v>
      </c>
      <c r="B2396" s="6" t="str">
        <f>IMAGE("https://storage.googleapis.com/acdb/housewares/FtrServingcart_Remake_5_0.png")</f>
        <v/>
      </c>
      <c r="C2396" s="5" t="s">
        <v>54</v>
      </c>
      <c r="D2396" s="5" t="s">
        <v>34</v>
      </c>
      <c r="E2396" s="5" t="s">
        <v>34</v>
      </c>
      <c r="F2396" s="5" t="s">
        <v>34</v>
      </c>
      <c r="G2396" s="5" t="s">
        <v>36</v>
      </c>
      <c r="H2396" s="5" t="s">
        <v>36</v>
      </c>
      <c r="I2396" s="5" t="s">
        <v>36</v>
      </c>
      <c r="J2396" s="6" t="s">
        <v>34</v>
      </c>
      <c r="K2396" s="6">
        <v>1300.0</v>
      </c>
      <c r="L2396" s="6">
        <v>325.0</v>
      </c>
      <c r="M2396" s="26" t="s">
        <v>54</v>
      </c>
      <c r="N2396" s="26" t="s">
        <v>114</v>
      </c>
      <c r="O2396" s="6" t="s">
        <v>40</v>
      </c>
      <c r="P2396" s="5" t="s">
        <v>59</v>
      </c>
      <c r="Q2396" s="5" t="s">
        <v>89</v>
      </c>
      <c r="R2396" s="6" t="s">
        <v>42</v>
      </c>
      <c r="S2396" s="5" t="s">
        <v>159</v>
      </c>
      <c r="T2396" s="5" t="s">
        <v>62</v>
      </c>
      <c r="U2396" s="5" t="s">
        <v>44</v>
      </c>
      <c r="V2396" s="5" t="s">
        <v>44</v>
      </c>
      <c r="W2396" s="5" t="s">
        <v>36</v>
      </c>
      <c r="X2396" s="8" t="s">
        <v>160</v>
      </c>
      <c r="Y2396" s="5" t="s">
        <v>46</v>
      </c>
      <c r="Z2396" s="5" t="s">
        <v>47</v>
      </c>
      <c r="AA2396" s="5" t="s">
        <v>64</v>
      </c>
      <c r="AB2396" s="5" t="s">
        <v>11704</v>
      </c>
      <c r="AC2396" s="6" t="s">
        <v>79</v>
      </c>
      <c r="AD2396" s="6">
        <v>1606.0</v>
      </c>
    </row>
    <row r="2397" ht="56.25" customHeight="1">
      <c r="A2397" s="5" t="s">
        <v>11705</v>
      </c>
      <c r="B2397" s="6" t="str">
        <f>IMAGE("https://storage.googleapis.com/acdb/housewares/FtrLampMount_Remake_0_0.png")</f>
        <v/>
      </c>
      <c r="C2397" s="5" t="s">
        <v>114</v>
      </c>
      <c r="D2397" s="5" t="s">
        <v>34</v>
      </c>
      <c r="E2397" s="5" t="s">
        <v>34</v>
      </c>
      <c r="F2397" s="5" t="s">
        <v>34</v>
      </c>
      <c r="G2397" s="5" t="s">
        <v>36</v>
      </c>
      <c r="H2397" s="5" t="s">
        <v>36</v>
      </c>
      <c r="I2397" s="5" t="s">
        <v>36</v>
      </c>
      <c r="J2397" s="6" t="s">
        <v>34</v>
      </c>
      <c r="K2397" s="6">
        <v>1700.0</v>
      </c>
      <c r="L2397" s="6">
        <v>425.0</v>
      </c>
      <c r="M2397" s="26" t="s">
        <v>114</v>
      </c>
      <c r="N2397" s="26" t="s">
        <v>95</v>
      </c>
      <c r="O2397" s="6" t="s">
        <v>40</v>
      </c>
      <c r="P2397" s="5" t="s">
        <v>59</v>
      </c>
      <c r="Q2397" s="5" t="s">
        <v>122</v>
      </c>
      <c r="R2397" s="6" t="s">
        <v>42</v>
      </c>
      <c r="S2397" s="5" t="s">
        <v>90</v>
      </c>
      <c r="T2397" s="5" t="s">
        <v>44</v>
      </c>
      <c r="U2397" s="5" t="s">
        <v>44</v>
      </c>
      <c r="V2397" s="5" t="s">
        <v>44</v>
      </c>
      <c r="W2397" s="5" t="s">
        <v>35</v>
      </c>
      <c r="X2397" s="8" t="s">
        <v>467</v>
      </c>
      <c r="Y2397" s="5" t="s">
        <v>46</v>
      </c>
      <c r="Z2397" s="5" t="s">
        <v>502</v>
      </c>
      <c r="AA2397" s="5" t="s">
        <v>64</v>
      </c>
      <c r="AB2397" s="5" t="s">
        <v>11710</v>
      </c>
      <c r="AC2397" s="6" t="s">
        <v>50</v>
      </c>
      <c r="AD2397" s="6">
        <v>4572.0</v>
      </c>
    </row>
    <row r="2398" ht="56.25" customHeight="1">
      <c r="A2398" s="5" t="s">
        <v>11705</v>
      </c>
      <c r="B2398" s="6" t="str">
        <f>IMAGE("https://storage.googleapis.com/acdb/housewares/FtrLampMount_Remake_1_0.png")</f>
        <v/>
      </c>
      <c r="C2398" s="5" t="s">
        <v>68</v>
      </c>
      <c r="D2398" s="5" t="s">
        <v>34</v>
      </c>
      <c r="E2398" s="5" t="s">
        <v>34</v>
      </c>
      <c r="F2398" s="5" t="s">
        <v>34</v>
      </c>
      <c r="G2398" s="5" t="s">
        <v>36</v>
      </c>
      <c r="H2398" s="5" t="s">
        <v>36</v>
      </c>
      <c r="I2398" s="5" t="s">
        <v>36</v>
      </c>
      <c r="J2398" s="6" t="s">
        <v>34</v>
      </c>
      <c r="K2398" s="6">
        <v>1700.0</v>
      </c>
      <c r="L2398" s="6">
        <v>425.0</v>
      </c>
      <c r="M2398" s="26" t="s">
        <v>68</v>
      </c>
      <c r="N2398" s="26" t="s">
        <v>95</v>
      </c>
      <c r="O2398" s="6" t="s">
        <v>40</v>
      </c>
      <c r="P2398" s="5" t="s">
        <v>59</v>
      </c>
      <c r="Q2398" s="5" t="s">
        <v>122</v>
      </c>
      <c r="R2398" s="6" t="s">
        <v>42</v>
      </c>
      <c r="S2398" s="5" t="s">
        <v>90</v>
      </c>
      <c r="T2398" s="5" t="s">
        <v>44</v>
      </c>
      <c r="U2398" s="5" t="s">
        <v>44</v>
      </c>
      <c r="V2398" s="5" t="s">
        <v>44</v>
      </c>
      <c r="W2398" s="5" t="s">
        <v>35</v>
      </c>
      <c r="X2398" s="8" t="s">
        <v>467</v>
      </c>
      <c r="Y2398" s="5" t="s">
        <v>46</v>
      </c>
      <c r="Z2398" s="5" t="s">
        <v>502</v>
      </c>
      <c r="AA2398" s="5" t="s">
        <v>64</v>
      </c>
      <c r="AB2398" s="5" t="s">
        <v>11718</v>
      </c>
      <c r="AC2398" s="6" t="s">
        <v>56</v>
      </c>
      <c r="AD2398" s="6">
        <v>4572.0</v>
      </c>
    </row>
    <row r="2399" ht="56.25" customHeight="1">
      <c r="A2399" s="5" t="s">
        <v>11705</v>
      </c>
      <c r="B2399" s="6" t="str">
        <f>IMAGE("https://storage.googleapis.com/acdb/housewares/FtrLampMount_Remake_2_0.png")</f>
        <v/>
      </c>
      <c r="C2399" s="5" t="s">
        <v>52</v>
      </c>
      <c r="D2399" s="5" t="s">
        <v>34</v>
      </c>
      <c r="E2399" s="5" t="s">
        <v>34</v>
      </c>
      <c r="F2399" s="5" t="s">
        <v>34</v>
      </c>
      <c r="G2399" s="5" t="s">
        <v>36</v>
      </c>
      <c r="H2399" s="5" t="s">
        <v>36</v>
      </c>
      <c r="I2399" s="5" t="s">
        <v>36</v>
      </c>
      <c r="J2399" s="6" t="s">
        <v>34</v>
      </c>
      <c r="K2399" s="6">
        <v>1700.0</v>
      </c>
      <c r="L2399" s="6">
        <v>425.0</v>
      </c>
      <c r="M2399" s="26" t="s">
        <v>52</v>
      </c>
      <c r="N2399" s="26" t="s">
        <v>95</v>
      </c>
      <c r="O2399" s="6" t="s">
        <v>40</v>
      </c>
      <c r="P2399" s="5" t="s">
        <v>59</v>
      </c>
      <c r="Q2399" s="5" t="s">
        <v>122</v>
      </c>
      <c r="R2399" s="6" t="s">
        <v>42</v>
      </c>
      <c r="S2399" s="5" t="s">
        <v>90</v>
      </c>
      <c r="T2399" s="5" t="s">
        <v>44</v>
      </c>
      <c r="U2399" s="5" t="s">
        <v>44</v>
      </c>
      <c r="V2399" s="5" t="s">
        <v>44</v>
      </c>
      <c r="W2399" s="5" t="s">
        <v>35</v>
      </c>
      <c r="X2399" s="8" t="s">
        <v>467</v>
      </c>
      <c r="Y2399" s="5" t="s">
        <v>46</v>
      </c>
      <c r="Z2399" s="5" t="s">
        <v>502</v>
      </c>
      <c r="AA2399" s="5" t="s">
        <v>64</v>
      </c>
      <c r="AB2399" s="5" t="s">
        <v>11724</v>
      </c>
      <c r="AC2399" s="6" t="s">
        <v>67</v>
      </c>
      <c r="AD2399" s="6">
        <v>4572.0</v>
      </c>
    </row>
    <row r="2400" ht="56.25" customHeight="1">
      <c r="A2400" s="5" t="s">
        <v>11705</v>
      </c>
      <c r="B2400" s="6" t="str">
        <f>IMAGE("https://storage.googleapis.com/acdb/housewares/FtrLampMount_Remake_3_0.png")</f>
        <v/>
      </c>
      <c r="C2400" s="5" t="s">
        <v>96</v>
      </c>
      <c r="D2400" s="5" t="s">
        <v>34</v>
      </c>
      <c r="E2400" s="5" t="s">
        <v>34</v>
      </c>
      <c r="F2400" s="5" t="s">
        <v>34</v>
      </c>
      <c r="G2400" s="5" t="s">
        <v>36</v>
      </c>
      <c r="H2400" s="5" t="s">
        <v>36</v>
      </c>
      <c r="I2400" s="5" t="s">
        <v>36</v>
      </c>
      <c r="J2400" s="6" t="s">
        <v>34</v>
      </c>
      <c r="K2400" s="6">
        <v>1700.0</v>
      </c>
      <c r="L2400" s="6">
        <v>425.0</v>
      </c>
      <c r="M2400" s="26" t="s">
        <v>96</v>
      </c>
      <c r="N2400" s="26" t="s">
        <v>95</v>
      </c>
      <c r="O2400" s="6" t="s">
        <v>40</v>
      </c>
      <c r="P2400" s="5" t="s">
        <v>59</v>
      </c>
      <c r="Q2400" s="5" t="s">
        <v>122</v>
      </c>
      <c r="R2400" s="6" t="s">
        <v>42</v>
      </c>
      <c r="S2400" s="5" t="s">
        <v>90</v>
      </c>
      <c r="T2400" s="5" t="s">
        <v>44</v>
      </c>
      <c r="U2400" s="5" t="s">
        <v>44</v>
      </c>
      <c r="V2400" s="5" t="s">
        <v>44</v>
      </c>
      <c r="W2400" s="5" t="s">
        <v>35</v>
      </c>
      <c r="X2400" s="8" t="s">
        <v>467</v>
      </c>
      <c r="Y2400" s="5" t="s">
        <v>46</v>
      </c>
      <c r="Z2400" s="5" t="s">
        <v>502</v>
      </c>
      <c r="AA2400" s="5" t="s">
        <v>64</v>
      </c>
      <c r="AB2400" s="5" t="s">
        <v>11729</v>
      </c>
      <c r="AC2400" s="6" t="s">
        <v>71</v>
      </c>
      <c r="AD2400" s="6">
        <v>4572.0</v>
      </c>
    </row>
    <row r="2401" ht="56.25" customHeight="1">
      <c r="A2401" s="5" t="s">
        <v>11705</v>
      </c>
      <c r="B2401" s="6" t="str">
        <f>IMAGE("https://storage.googleapis.com/acdb/housewares/FtrLampMount_Remake_4_0.png")</f>
        <v/>
      </c>
      <c r="C2401" s="5" t="s">
        <v>1458</v>
      </c>
      <c r="D2401" s="5" t="s">
        <v>34</v>
      </c>
      <c r="E2401" s="5" t="s">
        <v>34</v>
      </c>
      <c r="F2401" s="5" t="s">
        <v>34</v>
      </c>
      <c r="G2401" s="5" t="s">
        <v>36</v>
      </c>
      <c r="H2401" s="5" t="s">
        <v>36</v>
      </c>
      <c r="I2401" s="5" t="s">
        <v>36</v>
      </c>
      <c r="J2401" s="6" t="s">
        <v>34</v>
      </c>
      <c r="K2401" s="6">
        <v>1700.0</v>
      </c>
      <c r="L2401" s="6">
        <v>425.0</v>
      </c>
      <c r="M2401" s="26" t="s">
        <v>96</v>
      </c>
      <c r="N2401" s="26" t="s">
        <v>54</v>
      </c>
      <c r="O2401" s="6" t="s">
        <v>40</v>
      </c>
      <c r="P2401" s="5" t="s">
        <v>59</v>
      </c>
      <c r="Q2401" s="5" t="s">
        <v>122</v>
      </c>
      <c r="R2401" s="6" t="s">
        <v>42</v>
      </c>
      <c r="S2401" s="5" t="s">
        <v>90</v>
      </c>
      <c r="T2401" s="5" t="s">
        <v>44</v>
      </c>
      <c r="U2401" s="5" t="s">
        <v>44</v>
      </c>
      <c r="V2401" s="5" t="s">
        <v>44</v>
      </c>
      <c r="W2401" s="5" t="s">
        <v>35</v>
      </c>
      <c r="X2401" s="8" t="s">
        <v>467</v>
      </c>
      <c r="Y2401" s="5" t="s">
        <v>46</v>
      </c>
      <c r="Z2401" s="5" t="s">
        <v>502</v>
      </c>
      <c r="AA2401" s="5" t="s">
        <v>64</v>
      </c>
      <c r="AB2401" s="5" t="s">
        <v>11734</v>
      </c>
      <c r="AC2401" s="6" t="s">
        <v>75</v>
      </c>
      <c r="AD2401" s="6">
        <v>4572.0</v>
      </c>
    </row>
    <row r="2402" ht="56.25" customHeight="1">
      <c r="A2402" s="5" t="s">
        <v>11705</v>
      </c>
      <c r="B2402" s="6" t="str">
        <f>IMAGE("https://storage.googleapis.com/acdb/housewares/FtrLampMount_Remake_5_0.png")</f>
        <v/>
      </c>
      <c r="C2402" s="5" t="s">
        <v>69</v>
      </c>
      <c r="D2402" s="5" t="s">
        <v>34</v>
      </c>
      <c r="E2402" s="5" t="s">
        <v>34</v>
      </c>
      <c r="F2402" s="5" t="s">
        <v>34</v>
      </c>
      <c r="G2402" s="5" t="s">
        <v>36</v>
      </c>
      <c r="H2402" s="5" t="s">
        <v>36</v>
      </c>
      <c r="I2402" s="5" t="s">
        <v>36</v>
      </c>
      <c r="J2402" s="6" t="s">
        <v>34</v>
      </c>
      <c r="K2402" s="6">
        <v>1700.0</v>
      </c>
      <c r="L2402" s="6">
        <v>425.0</v>
      </c>
      <c r="M2402" s="26" t="s">
        <v>69</v>
      </c>
      <c r="N2402" s="26" t="s">
        <v>54</v>
      </c>
      <c r="O2402" s="6" t="s">
        <v>40</v>
      </c>
      <c r="P2402" s="5" t="s">
        <v>59</v>
      </c>
      <c r="Q2402" s="5" t="s">
        <v>122</v>
      </c>
      <c r="R2402" s="6" t="s">
        <v>42</v>
      </c>
      <c r="S2402" s="5" t="s">
        <v>90</v>
      </c>
      <c r="T2402" s="5" t="s">
        <v>44</v>
      </c>
      <c r="U2402" s="5" t="s">
        <v>44</v>
      </c>
      <c r="V2402" s="5" t="s">
        <v>44</v>
      </c>
      <c r="W2402" s="5" t="s">
        <v>35</v>
      </c>
      <c r="X2402" s="8" t="s">
        <v>467</v>
      </c>
      <c r="Y2402" s="5" t="s">
        <v>46</v>
      </c>
      <c r="Z2402" s="5" t="s">
        <v>502</v>
      </c>
      <c r="AA2402" s="5" t="s">
        <v>64</v>
      </c>
      <c r="AB2402" s="5" t="s">
        <v>11737</v>
      </c>
      <c r="AC2402" s="6" t="s">
        <v>79</v>
      </c>
      <c r="AD2402" s="6">
        <v>4572.0</v>
      </c>
    </row>
    <row r="2403" ht="56.25" customHeight="1">
      <c r="A2403" s="5" t="s">
        <v>11705</v>
      </c>
      <c r="B2403" s="6" t="str">
        <f>IMAGE("https://storage.googleapis.com/acdb/housewares/FtrLampMount_Remake_6_0.png")</f>
        <v/>
      </c>
      <c r="C2403" s="5" t="s">
        <v>106</v>
      </c>
      <c r="D2403" s="5" t="s">
        <v>34</v>
      </c>
      <c r="E2403" s="5" t="s">
        <v>34</v>
      </c>
      <c r="F2403" s="5" t="s">
        <v>34</v>
      </c>
      <c r="G2403" s="5" t="s">
        <v>36</v>
      </c>
      <c r="H2403" s="5" t="s">
        <v>36</v>
      </c>
      <c r="I2403" s="5" t="s">
        <v>36</v>
      </c>
      <c r="J2403" s="6" t="s">
        <v>34</v>
      </c>
      <c r="K2403" s="6">
        <v>1700.0</v>
      </c>
      <c r="L2403" s="6">
        <v>425.0</v>
      </c>
      <c r="M2403" s="26" t="s">
        <v>106</v>
      </c>
      <c r="N2403" s="26" t="s">
        <v>54</v>
      </c>
      <c r="O2403" s="6" t="s">
        <v>40</v>
      </c>
      <c r="P2403" s="5" t="s">
        <v>59</v>
      </c>
      <c r="Q2403" s="5" t="s">
        <v>122</v>
      </c>
      <c r="R2403" s="6" t="s">
        <v>42</v>
      </c>
      <c r="S2403" s="5" t="s">
        <v>90</v>
      </c>
      <c r="T2403" s="5" t="s">
        <v>44</v>
      </c>
      <c r="U2403" s="5" t="s">
        <v>44</v>
      </c>
      <c r="V2403" s="5" t="s">
        <v>44</v>
      </c>
      <c r="W2403" s="5" t="s">
        <v>35</v>
      </c>
      <c r="X2403" s="8" t="s">
        <v>467</v>
      </c>
      <c r="Y2403" s="5" t="s">
        <v>46</v>
      </c>
      <c r="Z2403" s="5" t="s">
        <v>502</v>
      </c>
      <c r="AA2403" s="5" t="s">
        <v>64</v>
      </c>
      <c r="AB2403" s="5" t="s">
        <v>11744</v>
      </c>
      <c r="AC2403" s="6" t="s">
        <v>86</v>
      </c>
      <c r="AD2403" s="6">
        <v>4572.0</v>
      </c>
    </row>
    <row r="2404" ht="56.25" customHeight="1">
      <c r="A2404" s="5" t="s">
        <v>11705</v>
      </c>
      <c r="B2404" s="6" t="str">
        <f>IMAGE("https://storage.googleapis.com/acdb/housewares/FtrLampMount_Remake_7_0.png")</f>
        <v/>
      </c>
      <c r="C2404" s="5" t="s">
        <v>57</v>
      </c>
      <c r="D2404" s="5" t="s">
        <v>34</v>
      </c>
      <c r="E2404" s="5" t="s">
        <v>34</v>
      </c>
      <c r="F2404" s="5" t="s">
        <v>34</v>
      </c>
      <c r="G2404" s="5" t="s">
        <v>36</v>
      </c>
      <c r="H2404" s="5" t="s">
        <v>36</v>
      </c>
      <c r="I2404" s="5" t="s">
        <v>36</v>
      </c>
      <c r="J2404" s="6" t="s">
        <v>34</v>
      </c>
      <c r="K2404" s="6">
        <v>1700.0</v>
      </c>
      <c r="L2404" s="6">
        <v>425.0</v>
      </c>
      <c r="M2404" s="26" t="s">
        <v>57</v>
      </c>
      <c r="N2404" s="26" t="s">
        <v>54</v>
      </c>
      <c r="O2404" s="6" t="s">
        <v>40</v>
      </c>
      <c r="P2404" s="5" t="s">
        <v>59</v>
      </c>
      <c r="Q2404" s="5" t="s">
        <v>122</v>
      </c>
      <c r="R2404" s="6" t="s">
        <v>42</v>
      </c>
      <c r="S2404" s="5" t="s">
        <v>90</v>
      </c>
      <c r="T2404" s="5" t="s">
        <v>44</v>
      </c>
      <c r="U2404" s="5" t="s">
        <v>44</v>
      </c>
      <c r="V2404" s="5" t="s">
        <v>44</v>
      </c>
      <c r="W2404" s="5" t="s">
        <v>35</v>
      </c>
      <c r="X2404" s="8" t="s">
        <v>467</v>
      </c>
      <c r="Y2404" s="5" t="s">
        <v>46</v>
      </c>
      <c r="Z2404" s="5" t="s">
        <v>502</v>
      </c>
      <c r="AA2404" s="5" t="s">
        <v>64</v>
      </c>
      <c r="AB2404" s="5" t="s">
        <v>11749</v>
      </c>
      <c r="AC2404" s="6" t="s">
        <v>208</v>
      </c>
      <c r="AD2404" s="6">
        <v>4572.0</v>
      </c>
    </row>
    <row r="2405" ht="56.25" customHeight="1">
      <c r="A2405" s="5" t="s">
        <v>11750</v>
      </c>
      <c r="B2405" s="6" t="str">
        <f>IMAGE("https://storage.googleapis.com/acdb/housewares/FtrShellArch_Remake_0_0.png")</f>
        <v/>
      </c>
      <c r="C2405" s="5" t="s">
        <v>57</v>
      </c>
      <c r="D2405" s="5" t="s">
        <v>5216</v>
      </c>
      <c r="E2405" s="5" t="s">
        <v>34</v>
      </c>
      <c r="F2405" s="5" t="s">
        <v>34</v>
      </c>
      <c r="G2405" s="5" t="s">
        <v>35</v>
      </c>
      <c r="H2405" s="5" t="s">
        <v>35</v>
      </c>
      <c r="I2405" s="5" t="s">
        <v>36</v>
      </c>
      <c r="J2405" s="6">
        <v>7.0</v>
      </c>
      <c r="K2405" s="6" t="s">
        <v>37</v>
      </c>
      <c r="L2405" s="6">
        <v>12360.0</v>
      </c>
      <c r="M2405" s="26" t="s">
        <v>57</v>
      </c>
      <c r="N2405" s="26" t="s">
        <v>58</v>
      </c>
      <c r="O2405" s="6" t="s">
        <v>707</v>
      </c>
      <c r="P2405" s="5" t="s">
        <v>41</v>
      </c>
      <c r="Q2405" s="5"/>
      <c r="R2405" s="6" t="s">
        <v>42</v>
      </c>
      <c r="S2405" s="5" t="s">
        <v>138</v>
      </c>
      <c r="T2405" s="5" t="s">
        <v>116</v>
      </c>
      <c r="U2405" s="5" t="s">
        <v>2112</v>
      </c>
      <c r="V2405" s="5" t="s">
        <v>44</v>
      </c>
      <c r="W2405" s="5" t="s">
        <v>36</v>
      </c>
      <c r="X2405" s="8" t="s">
        <v>1411</v>
      </c>
      <c r="Y2405" s="5" t="s">
        <v>46</v>
      </c>
      <c r="Z2405" s="5" t="s">
        <v>47</v>
      </c>
      <c r="AA2405" s="5" t="s">
        <v>48</v>
      </c>
      <c r="AB2405" s="5" t="s">
        <v>11755</v>
      </c>
      <c r="AC2405" s="6" t="s">
        <v>50</v>
      </c>
      <c r="AD2405" s="6">
        <v>3977.0</v>
      </c>
    </row>
    <row r="2406" ht="56.25" customHeight="1">
      <c r="A2406" s="5" t="s">
        <v>11750</v>
      </c>
      <c r="B2406" s="6" t="str">
        <f>IMAGE("https://storage.googleapis.com/acdb/housewares/FtrShellArch_Remake_1_0.png")</f>
        <v/>
      </c>
      <c r="C2406" s="5" t="s">
        <v>39</v>
      </c>
      <c r="D2406" s="5" t="s">
        <v>5216</v>
      </c>
      <c r="E2406" s="5" t="s">
        <v>34</v>
      </c>
      <c r="F2406" s="5" t="s">
        <v>34</v>
      </c>
      <c r="G2406" s="5" t="s">
        <v>35</v>
      </c>
      <c r="H2406" s="5" t="s">
        <v>35</v>
      </c>
      <c r="I2406" s="5" t="s">
        <v>36</v>
      </c>
      <c r="J2406" s="6">
        <v>7.0</v>
      </c>
      <c r="K2406" s="6" t="s">
        <v>37</v>
      </c>
      <c r="L2406" s="6">
        <v>12360.0</v>
      </c>
      <c r="M2406" s="26" t="s">
        <v>39</v>
      </c>
      <c r="N2406" s="26" t="s">
        <v>39</v>
      </c>
      <c r="O2406" s="6" t="s">
        <v>707</v>
      </c>
      <c r="P2406" s="5" t="s">
        <v>41</v>
      </c>
      <c r="Q2406" s="5"/>
      <c r="R2406" s="6" t="s">
        <v>42</v>
      </c>
      <c r="S2406" s="5" t="s">
        <v>138</v>
      </c>
      <c r="T2406" s="5" t="s">
        <v>116</v>
      </c>
      <c r="U2406" s="5" t="s">
        <v>2112</v>
      </c>
      <c r="V2406" s="5" t="s">
        <v>44</v>
      </c>
      <c r="W2406" s="5" t="s">
        <v>36</v>
      </c>
      <c r="X2406" s="8" t="s">
        <v>1411</v>
      </c>
      <c r="Y2406" s="5" t="s">
        <v>46</v>
      </c>
      <c r="Z2406" s="5" t="s">
        <v>47</v>
      </c>
      <c r="AA2406" s="5" t="s">
        <v>48</v>
      </c>
      <c r="AB2406" s="5" t="s">
        <v>11760</v>
      </c>
      <c r="AC2406" s="6" t="s">
        <v>56</v>
      </c>
      <c r="AD2406" s="6">
        <v>3977.0</v>
      </c>
    </row>
    <row r="2407" ht="56.25" customHeight="1">
      <c r="A2407" s="5" t="s">
        <v>11750</v>
      </c>
      <c r="B2407" s="6" t="str">
        <f>IMAGE("https://storage.googleapis.com/acdb/housewares/FtrShellArch_Remake_2_0.png")</f>
        <v/>
      </c>
      <c r="C2407" s="5" t="s">
        <v>69</v>
      </c>
      <c r="D2407" s="5" t="s">
        <v>5216</v>
      </c>
      <c r="E2407" s="5" t="s">
        <v>34</v>
      </c>
      <c r="F2407" s="5" t="s">
        <v>34</v>
      </c>
      <c r="G2407" s="5" t="s">
        <v>35</v>
      </c>
      <c r="H2407" s="5" t="s">
        <v>35</v>
      </c>
      <c r="I2407" s="5" t="s">
        <v>36</v>
      </c>
      <c r="J2407" s="6">
        <v>7.0</v>
      </c>
      <c r="K2407" s="6" t="s">
        <v>37</v>
      </c>
      <c r="L2407" s="6">
        <v>12360.0</v>
      </c>
      <c r="M2407" s="26" t="s">
        <v>69</v>
      </c>
      <c r="N2407" s="26" t="s">
        <v>69</v>
      </c>
      <c r="O2407" s="6" t="s">
        <v>707</v>
      </c>
      <c r="P2407" s="5" t="s">
        <v>41</v>
      </c>
      <c r="Q2407" s="5"/>
      <c r="R2407" s="6" t="s">
        <v>42</v>
      </c>
      <c r="S2407" s="5" t="s">
        <v>138</v>
      </c>
      <c r="T2407" s="5" t="s">
        <v>116</v>
      </c>
      <c r="U2407" s="5" t="s">
        <v>2112</v>
      </c>
      <c r="V2407" s="5" t="s">
        <v>44</v>
      </c>
      <c r="W2407" s="5" t="s">
        <v>36</v>
      </c>
      <c r="X2407" s="8" t="s">
        <v>1411</v>
      </c>
      <c r="Y2407" s="5" t="s">
        <v>46</v>
      </c>
      <c r="Z2407" s="5" t="s">
        <v>47</v>
      </c>
      <c r="AA2407" s="5" t="s">
        <v>48</v>
      </c>
      <c r="AB2407" s="5" t="s">
        <v>11768</v>
      </c>
      <c r="AC2407" s="6" t="s">
        <v>67</v>
      </c>
      <c r="AD2407" s="6">
        <v>3977.0</v>
      </c>
    </row>
    <row r="2408" ht="56.25" customHeight="1">
      <c r="A2408" s="5" t="s">
        <v>11750</v>
      </c>
      <c r="B2408" s="6" t="str">
        <f>IMAGE("https://storage.googleapis.com/acdb/housewares/FtrShellArch_Remake_3_0.png")</f>
        <v/>
      </c>
      <c r="C2408" s="5" t="s">
        <v>114</v>
      </c>
      <c r="D2408" s="5" t="s">
        <v>5216</v>
      </c>
      <c r="E2408" s="5" t="s">
        <v>34</v>
      </c>
      <c r="F2408" s="5" t="s">
        <v>34</v>
      </c>
      <c r="G2408" s="5" t="s">
        <v>35</v>
      </c>
      <c r="H2408" s="5" t="s">
        <v>35</v>
      </c>
      <c r="I2408" s="5" t="s">
        <v>36</v>
      </c>
      <c r="J2408" s="6">
        <v>7.0</v>
      </c>
      <c r="K2408" s="6" t="s">
        <v>37</v>
      </c>
      <c r="L2408" s="6">
        <v>12360.0</v>
      </c>
      <c r="M2408" s="26" t="s">
        <v>114</v>
      </c>
      <c r="N2408" s="26" t="s">
        <v>114</v>
      </c>
      <c r="O2408" s="6" t="s">
        <v>707</v>
      </c>
      <c r="P2408" s="5" t="s">
        <v>41</v>
      </c>
      <c r="Q2408" s="5"/>
      <c r="R2408" s="6" t="s">
        <v>42</v>
      </c>
      <c r="S2408" s="5" t="s">
        <v>138</v>
      </c>
      <c r="T2408" s="5" t="s">
        <v>116</v>
      </c>
      <c r="U2408" s="5" t="s">
        <v>2112</v>
      </c>
      <c r="V2408" s="5" t="s">
        <v>44</v>
      </c>
      <c r="W2408" s="5" t="s">
        <v>36</v>
      </c>
      <c r="X2408" s="8" t="s">
        <v>1411</v>
      </c>
      <c r="Y2408" s="5" t="s">
        <v>46</v>
      </c>
      <c r="Z2408" s="5" t="s">
        <v>47</v>
      </c>
      <c r="AA2408" s="5" t="s">
        <v>48</v>
      </c>
      <c r="AB2408" s="5" t="s">
        <v>11773</v>
      </c>
      <c r="AC2408" s="6" t="s">
        <v>71</v>
      </c>
      <c r="AD2408" s="6">
        <v>3977.0</v>
      </c>
    </row>
    <row r="2409" ht="56.25" customHeight="1">
      <c r="A2409" s="5" t="s">
        <v>11750</v>
      </c>
      <c r="B2409" s="6" t="str">
        <f>IMAGE("https://storage.googleapis.com/acdb/housewares/FtrShellArch_Remake_4_0.png")</f>
        <v/>
      </c>
      <c r="C2409" s="5" t="s">
        <v>106</v>
      </c>
      <c r="D2409" s="5" t="s">
        <v>5216</v>
      </c>
      <c r="E2409" s="5" t="s">
        <v>34</v>
      </c>
      <c r="F2409" s="5" t="s">
        <v>34</v>
      </c>
      <c r="G2409" s="5" t="s">
        <v>35</v>
      </c>
      <c r="H2409" s="5" t="s">
        <v>35</v>
      </c>
      <c r="I2409" s="5" t="s">
        <v>36</v>
      </c>
      <c r="J2409" s="6">
        <v>7.0</v>
      </c>
      <c r="K2409" s="6" t="s">
        <v>37</v>
      </c>
      <c r="L2409" s="6">
        <v>12360.0</v>
      </c>
      <c r="M2409" s="26" t="s">
        <v>106</v>
      </c>
      <c r="N2409" s="26" t="s">
        <v>106</v>
      </c>
      <c r="O2409" s="6" t="s">
        <v>707</v>
      </c>
      <c r="P2409" s="5" t="s">
        <v>41</v>
      </c>
      <c r="Q2409" s="5"/>
      <c r="R2409" s="6" t="s">
        <v>42</v>
      </c>
      <c r="S2409" s="5" t="s">
        <v>138</v>
      </c>
      <c r="T2409" s="5" t="s">
        <v>116</v>
      </c>
      <c r="U2409" s="5" t="s">
        <v>2112</v>
      </c>
      <c r="V2409" s="5" t="s">
        <v>44</v>
      </c>
      <c r="W2409" s="5" t="s">
        <v>36</v>
      </c>
      <c r="X2409" s="8" t="s">
        <v>1411</v>
      </c>
      <c r="Y2409" s="5" t="s">
        <v>46</v>
      </c>
      <c r="Z2409" s="5" t="s">
        <v>47</v>
      </c>
      <c r="AA2409" s="5" t="s">
        <v>48</v>
      </c>
      <c r="AB2409" s="5" t="s">
        <v>11778</v>
      </c>
      <c r="AC2409" s="6" t="s">
        <v>75</v>
      </c>
      <c r="AD2409" s="6">
        <v>3977.0</v>
      </c>
    </row>
    <row r="2410" ht="56.25" customHeight="1">
      <c r="A2410" s="5" t="s">
        <v>11750</v>
      </c>
      <c r="B2410" s="6" t="str">
        <f>IMAGE("https://storage.googleapis.com/acdb/housewares/FtrShellArch_Remake_5_0.png")</f>
        <v/>
      </c>
      <c r="C2410" s="5" t="s">
        <v>5239</v>
      </c>
      <c r="D2410" s="5" t="s">
        <v>5216</v>
      </c>
      <c r="E2410" s="5" t="s">
        <v>34</v>
      </c>
      <c r="F2410" s="5" t="s">
        <v>34</v>
      </c>
      <c r="G2410" s="5" t="s">
        <v>35</v>
      </c>
      <c r="H2410" s="5" t="s">
        <v>35</v>
      </c>
      <c r="I2410" s="5" t="s">
        <v>36</v>
      </c>
      <c r="J2410" s="6">
        <v>7.0</v>
      </c>
      <c r="K2410" s="6" t="s">
        <v>37</v>
      </c>
      <c r="L2410" s="6">
        <v>12360.0</v>
      </c>
      <c r="M2410" s="26" t="s">
        <v>57</v>
      </c>
      <c r="N2410" s="26" t="s">
        <v>57</v>
      </c>
      <c r="O2410" s="6" t="s">
        <v>707</v>
      </c>
      <c r="P2410" s="5" t="s">
        <v>41</v>
      </c>
      <c r="Q2410" s="5"/>
      <c r="R2410" s="6" t="s">
        <v>42</v>
      </c>
      <c r="S2410" s="5" t="s">
        <v>138</v>
      </c>
      <c r="T2410" s="5" t="s">
        <v>116</v>
      </c>
      <c r="U2410" s="5" t="s">
        <v>2112</v>
      </c>
      <c r="V2410" s="5" t="s">
        <v>44</v>
      </c>
      <c r="W2410" s="5" t="s">
        <v>36</v>
      </c>
      <c r="X2410" s="8" t="s">
        <v>1411</v>
      </c>
      <c r="Y2410" s="5" t="s">
        <v>46</v>
      </c>
      <c r="Z2410" s="5" t="s">
        <v>47</v>
      </c>
      <c r="AA2410" s="5" t="s">
        <v>48</v>
      </c>
      <c r="AB2410" s="5" t="s">
        <v>11782</v>
      </c>
      <c r="AC2410" s="6" t="s">
        <v>79</v>
      </c>
      <c r="AD2410" s="6">
        <v>3977.0</v>
      </c>
    </row>
    <row r="2411" ht="56.25" customHeight="1">
      <c r="A2411" s="5" t="s">
        <v>11783</v>
      </c>
      <c r="B2411" s="6" t="str">
        <f>IMAGE("https://storage.googleapis.com/acdb/housewares/FtrShellBedW_Remake_0_0.png")</f>
        <v/>
      </c>
      <c r="C2411" s="5" t="s">
        <v>57</v>
      </c>
      <c r="D2411" s="5" t="s">
        <v>5216</v>
      </c>
      <c r="E2411" s="5" t="s">
        <v>34</v>
      </c>
      <c r="F2411" s="5" t="s">
        <v>34</v>
      </c>
      <c r="G2411" s="5" t="s">
        <v>35</v>
      </c>
      <c r="H2411" s="5" t="s">
        <v>35</v>
      </c>
      <c r="I2411" s="5" t="s">
        <v>36</v>
      </c>
      <c r="J2411" s="6">
        <v>7.0</v>
      </c>
      <c r="K2411" s="6" t="s">
        <v>37</v>
      </c>
      <c r="L2411" s="6">
        <v>10200.0</v>
      </c>
      <c r="M2411" s="26" t="s">
        <v>57</v>
      </c>
      <c r="N2411" s="26" t="s">
        <v>57</v>
      </c>
      <c r="O2411" s="6" t="s">
        <v>214</v>
      </c>
      <c r="P2411" s="5" t="s">
        <v>41</v>
      </c>
      <c r="Q2411" s="5"/>
      <c r="R2411" s="6" t="s">
        <v>42</v>
      </c>
      <c r="S2411" s="5" t="s">
        <v>138</v>
      </c>
      <c r="T2411" s="5" t="s">
        <v>116</v>
      </c>
      <c r="U2411" s="5" t="s">
        <v>2112</v>
      </c>
      <c r="V2411" s="5" t="s">
        <v>44</v>
      </c>
      <c r="W2411" s="5" t="s">
        <v>35</v>
      </c>
      <c r="X2411" s="8" t="s">
        <v>218</v>
      </c>
      <c r="Y2411" s="5" t="s">
        <v>46</v>
      </c>
      <c r="Z2411" s="5" t="s">
        <v>47</v>
      </c>
      <c r="AA2411" s="5" t="s">
        <v>48</v>
      </c>
      <c r="AB2411" s="5" t="s">
        <v>11787</v>
      </c>
      <c r="AC2411" s="6" t="s">
        <v>50</v>
      </c>
      <c r="AD2411" s="6">
        <v>3983.0</v>
      </c>
    </row>
    <row r="2412" ht="56.25" customHeight="1">
      <c r="A2412" s="5" t="s">
        <v>11783</v>
      </c>
      <c r="B2412" s="6" t="str">
        <f>IMAGE("https://storage.googleapis.com/acdb/housewares/FtrShellBedW_Remake_1_0.png")</f>
        <v/>
      </c>
      <c r="C2412" s="5" t="s">
        <v>39</v>
      </c>
      <c r="D2412" s="5" t="s">
        <v>5216</v>
      </c>
      <c r="E2412" s="5" t="s">
        <v>34</v>
      </c>
      <c r="F2412" s="5" t="s">
        <v>34</v>
      </c>
      <c r="G2412" s="5" t="s">
        <v>35</v>
      </c>
      <c r="H2412" s="5" t="s">
        <v>35</v>
      </c>
      <c r="I2412" s="5" t="s">
        <v>36</v>
      </c>
      <c r="J2412" s="6">
        <v>7.0</v>
      </c>
      <c r="K2412" s="6" t="s">
        <v>37</v>
      </c>
      <c r="L2412" s="6">
        <v>10200.0</v>
      </c>
      <c r="M2412" s="26" t="s">
        <v>39</v>
      </c>
      <c r="N2412" s="26" t="s">
        <v>39</v>
      </c>
      <c r="O2412" s="6" t="s">
        <v>214</v>
      </c>
      <c r="P2412" s="5" t="s">
        <v>41</v>
      </c>
      <c r="Q2412" s="5"/>
      <c r="R2412" s="6" t="s">
        <v>42</v>
      </c>
      <c r="S2412" s="5" t="s">
        <v>138</v>
      </c>
      <c r="T2412" s="5" t="s">
        <v>116</v>
      </c>
      <c r="U2412" s="5" t="s">
        <v>2112</v>
      </c>
      <c r="V2412" s="5" t="s">
        <v>44</v>
      </c>
      <c r="W2412" s="5" t="s">
        <v>35</v>
      </c>
      <c r="X2412" s="8" t="s">
        <v>218</v>
      </c>
      <c r="Y2412" s="5" t="s">
        <v>46</v>
      </c>
      <c r="Z2412" s="5" t="s">
        <v>47</v>
      </c>
      <c r="AA2412" s="5" t="s">
        <v>48</v>
      </c>
      <c r="AB2412" s="5" t="s">
        <v>11792</v>
      </c>
      <c r="AC2412" s="6" t="s">
        <v>56</v>
      </c>
      <c r="AD2412" s="6">
        <v>3983.0</v>
      </c>
    </row>
    <row r="2413" ht="56.25" customHeight="1">
      <c r="A2413" s="5" t="s">
        <v>11783</v>
      </c>
      <c r="B2413" s="6" t="str">
        <f>IMAGE("https://storage.googleapis.com/acdb/housewares/FtrShellBedW_Remake_2_0.png")</f>
        <v/>
      </c>
      <c r="C2413" s="5" t="s">
        <v>69</v>
      </c>
      <c r="D2413" s="5" t="s">
        <v>5216</v>
      </c>
      <c r="E2413" s="5" t="s">
        <v>34</v>
      </c>
      <c r="F2413" s="5" t="s">
        <v>34</v>
      </c>
      <c r="G2413" s="5" t="s">
        <v>35</v>
      </c>
      <c r="H2413" s="5" t="s">
        <v>35</v>
      </c>
      <c r="I2413" s="5" t="s">
        <v>36</v>
      </c>
      <c r="J2413" s="6">
        <v>7.0</v>
      </c>
      <c r="K2413" s="6" t="s">
        <v>37</v>
      </c>
      <c r="L2413" s="6">
        <v>10200.0</v>
      </c>
      <c r="M2413" s="26" t="s">
        <v>69</v>
      </c>
      <c r="N2413" s="26" t="s">
        <v>69</v>
      </c>
      <c r="O2413" s="6" t="s">
        <v>214</v>
      </c>
      <c r="P2413" s="5" t="s">
        <v>41</v>
      </c>
      <c r="Q2413" s="5"/>
      <c r="R2413" s="6" t="s">
        <v>42</v>
      </c>
      <c r="S2413" s="5" t="s">
        <v>138</v>
      </c>
      <c r="T2413" s="5" t="s">
        <v>116</v>
      </c>
      <c r="U2413" s="5" t="s">
        <v>2112</v>
      </c>
      <c r="V2413" s="5" t="s">
        <v>44</v>
      </c>
      <c r="W2413" s="5" t="s">
        <v>35</v>
      </c>
      <c r="X2413" s="8" t="s">
        <v>218</v>
      </c>
      <c r="Y2413" s="5" t="s">
        <v>46</v>
      </c>
      <c r="Z2413" s="5" t="s">
        <v>47</v>
      </c>
      <c r="AA2413" s="5" t="s">
        <v>48</v>
      </c>
      <c r="AB2413" s="5" t="s">
        <v>11795</v>
      </c>
      <c r="AC2413" s="6" t="s">
        <v>67</v>
      </c>
      <c r="AD2413" s="6">
        <v>3983.0</v>
      </c>
    </row>
    <row r="2414" ht="56.25" customHeight="1">
      <c r="A2414" s="5" t="s">
        <v>11783</v>
      </c>
      <c r="B2414" s="6" t="str">
        <f>IMAGE("https://storage.googleapis.com/acdb/housewares/FtrShellBedW_Remake_3_0.png")</f>
        <v/>
      </c>
      <c r="C2414" s="5" t="s">
        <v>114</v>
      </c>
      <c r="D2414" s="5" t="s">
        <v>5216</v>
      </c>
      <c r="E2414" s="5" t="s">
        <v>34</v>
      </c>
      <c r="F2414" s="5" t="s">
        <v>34</v>
      </c>
      <c r="G2414" s="5" t="s">
        <v>35</v>
      </c>
      <c r="H2414" s="5" t="s">
        <v>35</v>
      </c>
      <c r="I2414" s="5" t="s">
        <v>36</v>
      </c>
      <c r="J2414" s="6">
        <v>7.0</v>
      </c>
      <c r="K2414" s="6" t="s">
        <v>37</v>
      </c>
      <c r="L2414" s="6">
        <v>10200.0</v>
      </c>
      <c r="M2414" s="26" t="s">
        <v>114</v>
      </c>
      <c r="N2414" s="26" t="s">
        <v>114</v>
      </c>
      <c r="O2414" s="6" t="s">
        <v>214</v>
      </c>
      <c r="P2414" s="5" t="s">
        <v>41</v>
      </c>
      <c r="Q2414" s="5"/>
      <c r="R2414" s="6" t="s">
        <v>42</v>
      </c>
      <c r="S2414" s="5" t="s">
        <v>138</v>
      </c>
      <c r="T2414" s="5" t="s">
        <v>116</v>
      </c>
      <c r="U2414" s="5" t="s">
        <v>2112</v>
      </c>
      <c r="V2414" s="5" t="s">
        <v>44</v>
      </c>
      <c r="W2414" s="5" t="s">
        <v>35</v>
      </c>
      <c r="X2414" s="8" t="s">
        <v>218</v>
      </c>
      <c r="Y2414" s="5" t="s">
        <v>46</v>
      </c>
      <c r="Z2414" s="5" t="s">
        <v>47</v>
      </c>
      <c r="AA2414" s="5" t="s">
        <v>48</v>
      </c>
      <c r="AB2414" s="5" t="s">
        <v>11799</v>
      </c>
      <c r="AC2414" s="6" t="s">
        <v>71</v>
      </c>
      <c r="AD2414" s="6">
        <v>3983.0</v>
      </c>
    </row>
    <row r="2415" ht="56.25" customHeight="1">
      <c r="A2415" s="5" t="s">
        <v>11783</v>
      </c>
      <c r="B2415" s="6" t="str">
        <f>IMAGE("https://storage.googleapis.com/acdb/housewares/FtrShellBedW_Remake_4_0.png")</f>
        <v/>
      </c>
      <c r="C2415" s="5" t="s">
        <v>106</v>
      </c>
      <c r="D2415" s="5" t="s">
        <v>5216</v>
      </c>
      <c r="E2415" s="5" t="s">
        <v>34</v>
      </c>
      <c r="F2415" s="5" t="s">
        <v>34</v>
      </c>
      <c r="G2415" s="5" t="s">
        <v>35</v>
      </c>
      <c r="H2415" s="5" t="s">
        <v>35</v>
      </c>
      <c r="I2415" s="5" t="s">
        <v>36</v>
      </c>
      <c r="J2415" s="6">
        <v>7.0</v>
      </c>
      <c r="K2415" s="6" t="s">
        <v>37</v>
      </c>
      <c r="L2415" s="6">
        <v>10200.0</v>
      </c>
      <c r="M2415" s="26" t="s">
        <v>106</v>
      </c>
      <c r="N2415" s="26" t="s">
        <v>106</v>
      </c>
      <c r="O2415" s="6" t="s">
        <v>214</v>
      </c>
      <c r="P2415" s="5" t="s">
        <v>41</v>
      </c>
      <c r="Q2415" s="5"/>
      <c r="R2415" s="6" t="s">
        <v>42</v>
      </c>
      <c r="S2415" s="5" t="s">
        <v>138</v>
      </c>
      <c r="T2415" s="5" t="s">
        <v>116</v>
      </c>
      <c r="U2415" s="5" t="s">
        <v>2112</v>
      </c>
      <c r="V2415" s="5" t="s">
        <v>44</v>
      </c>
      <c r="W2415" s="5" t="s">
        <v>35</v>
      </c>
      <c r="X2415" s="8" t="s">
        <v>218</v>
      </c>
      <c r="Y2415" s="5" t="s">
        <v>46</v>
      </c>
      <c r="Z2415" s="5" t="s">
        <v>47</v>
      </c>
      <c r="AA2415" s="5" t="s">
        <v>48</v>
      </c>
      <c r="AB2415" s="5" t="s">
        <v>11802</v>
      </c>
      <c r="AC2415" s="6" t="s">
        <v>75</v>
      </c>
      <c r="AD2415" s="6">
        <v>3983.0</v>
      </c>
    </row>
    <row r="2416" ht="56.25" customHeight="1">
      <c r="A2416" s="5" t="s">
        <v>11783</v>
      </c>
      <c r="B2416" s="6" t="str">
        <f>IMAGE("https://storage.googleapis.com/acdb/housewares/FtrShellBedW_Remake_5_0.png")</f>
        <v/>
      </c>
      <c r="C2416" s="5" t="s">
        <v>5239</v>
      </c>
      <c r="D2416" s="5" t="s">
        <v>5216</v>
      </c>
      <c r="E2416" s="5" t="s">
        <v>34</v>
      </c>
      <c r="F2416" s="5" t="s">
        <v>34</v>
      </c>
      <c r="G2416" s="5" t="s">
        <v>35</v>
      </c>
      <c r="H2416" s="5" t="s">
        <v>35</v>
      </c>
      <c r="I2416" s="5" t="s">
        <v>36</v>
      </c>
      <c r="J2416" s="6">
        <v>7.0</v>
      </c>
      <c r="K2416" s="6" t="s">
        <v>37</v>
      </c>
      <c r="L2416" s="6">
        <v>10200.0</v>
      </c>
      <c r="M2416" s="26" t="s">
        <v>57</v>
      </c>
      <c r="N2416" s="26" t="s">
        <v>57</v>
      </c>
      <c r="O2416" s="6" t="s">
        <v>214</v>
      </c>
      <c r="P2416" s="5" t="s">
        <v>41</v>
      </c>
      <c r="Q2416" s="5"/>
      <c r="R2416" s="6" t="s">
        <v>42</v>
      </c>
      <c r="S2416" s="5" t="s">
        <v>138</v>
      </c>
      <c r="T2416" s="5" t="s">
        <v>116</v>
      </c>
      <c r="U2416" s="5" t="s">
        <v>2112</v>
      </c>
      <c r="V2416" s="5" t="s">
        <v>44</v>
      </c>
      <c r="W2416" s="5" t="s">
        <v>35</v>
      </c>
      <c r="X2416" s="8" t="s">
        <v>218</v>
      </c>
      <c r="Y2416" s="5" t="s">
        <v>46</v>
      </c>
      <c r="Z2416" s="5" t="s">
        <v>47</v>
      </c>
      <c r="AA2416" s="5" t="s">
        <v>48</v>
      </c>
      <c r="AB2416" s="5" t="s">
        <v>11805</v>
      </c>
      <c r="AC2416" s="6" t="s">
        <v>79</v>
      </c>
      <c r="AD2416" s="6">
        <v>3983.0</v>
      </c>
    </row>
    <row r="2417" ht="56.25" customHeight="1">
      <c r="A2417" s="5" t="s">
        <v>11807</v>
      </c>
      <c r="B2417" s="6" t="str">
        <f>IMAGE("https://storage.googleapis.com/acdb/housewares/FtrShellFountain_Remake_0_0.png")</f>
        <v/>
      </c>
      <c r="C2417" s="5" t="s">
        <v>57</v>
      </c>
      <c r="D2417" s="5" t="s">
        <v>5216</v>
      </c>
      <c r="E2417" s="5" t="s">
        <v>34</v>
      </c>
      <c r="F2417" s="5" t="s">
        <v>34</v>
      </c>
      <c r="G2417" s="5" t="s">
        <v>35</v>
      </c>
      <c r="H2417" s="5" t="s">
        <v>35</v>
      </c>
      <c r="I2417" s="5" t="s">
        <v>36</v>
      </c>
      <c r="J2417" s="6">
        <v>7.0</v>
      </c>
      <c r="K2417" s="6" t="s">
        <v>37</v>
      </c>
      <c r="L2417" s="6">
        <v>9450.0</v>
      </c>
      <c r="M2417" s="26" t="s">
        <v>57</v>
      </c>
      <c r="N2417" s="26" t="s">
        <v>57</v>
      </c>
      <c r="O2417" s="6" t="s">
        <v>1243</v>
      </c>
      <c r="P2417" s="5" t="s">
        <v>41</v>
      </c>
      <c r="Q2417" s="5"/>
      <c r="R2417" s="6" t="s">
        <v>42</v>
      </c>
      <c r="S2417" s="5" t="s">
        <v>138</v>
      </c>
      <c r="T2417" s="5" t="s">
        <v>116</v>
      </c>
      <c r="U2417" s="5" t="s">
        <v>2112</v>
      </c>
      <c r="V2417" s="5" t="s">
        <v>44</v>
      </c>
      <c r="W2417" s="5" t="s">
        <v>35</v>
      </c>
      <c r="X2417" s="8" t="s">
        <v>3156</v>
      </c>
      <c r="Y2417" s="5" t="s">
        <v>46</v>
      </c>
      <c r="Z2417" s="5" t="s">
        <v>47</v>
      </c>
      <c r="AA2417" s="5" t="s">
        <v>48</v>
      </c>
      <c r="AB2417" s="5" t="s">
        <v>11811</v>
      </c>
      <c r="AC2417" s="6" t="s">
        <v>50</v>
      </c>
      <c r="AD2417" s="6">
        <v>3982.0</v>
      </c>
    </row>
    <row r="2418" ht="56.25" customHeight="1">
      <c r="A2418" s="5" t="s">
        <v>11807</v>
      </c>
      <c r="B2418" s="6" t="str">
        <f>IMAGE("https://storage.googleapis.com/acdb/housewares/FtrShellFountain_Remake_1_0.png")</f>
        <v/>
      </c>
      <c r="C2418" s="5" t="s">
        <v>39</v>
      </c>
      <c r="D2418" s="5" t="s">
        <v>5216</v>
      </c>
      <c r="E2418" s="5" t="s">
        <v>34</v>
      </c>
      <c r="F2418" s="5" t="s">
        <v>34</v>
      </c>
      <c r="G2418" s="5" t="s">
        <v>35</v>
      </c>
      <c r="H2418" s="5" t="s">
        <v>35</v>
      </c>
      <c r="I2418" s="5" t="s">
        <v>36</v>
      </c>
      <c r="J2418" s="6">
        <v>7.0</v>
      </c>
      <c r="K2418" s="6" t="s">
        <v>37</v>
      </c>
      <c r="L2418" s="6">
        <v>9450.0</v>
      </c>
      <c r="M2418" s="26" t="s">
        <v>39</v>
      </c>
      <c r="N2418" s="26" t="s">
        <v>39</v>
      </c>
      <c r="O2418" s="6" t="s">
        <v>1243</v>
      </c>
      <c r="P2418" s="5" t="s">
        <v>41</v>
      </c>
      <c r="Q2418" s="5"/>
      <c r="R2418" s="6" t="s">
        <v>42</v>
      </c>
      <c r="S2418" s="5" t="s">
        <v>138</v>
      </c>
      <c r="T2418" s="5" t="s">
        <v>116</v>
      </c>
      <c r="U2418" s="5" t="s">
        <v>2112</v>
      </c>
      <c r="V2418" s="5" t="s">
        <v>44</v>
      </c>
      <c r="W2418" s="5" t="s">
        <v>35</v>
      </c>
      <c r="X2418" s="8" t="s">
        <v>3156</v>
      </c>
      <c r="Y2418" s="5" t="s">
        <v>46</v>
      </c>
      <c r="Z2418" s="5" t="s">
        <v>47</v>
      </c>
      <c r="AA2418" s="5" t="s">
        <v>48</v>
      </c>
      <c r="AB2418" s="5" t="s">
        <v>11815</v>
      </c>
      <c r="AC2418" s="6" t="s">
        <v>56</v>
      </c>
      <c r="AD2418" s="6">
        <v>3982.0</v>
      </c>
    </row>
    <row r="2419" ht="56.25" customHeight="1">
      <c r="A2419" s="5" t="s">
        <v>11807</v>
      </c>
      <c r="B2419" s="6" t="str">
        <f>IMAGE("https://storage.googleapis.com/acdb/housewares/FtrShellFountain_Remake_2_0.png")</f>
        <v/>
      </c>
      <c r="C2419" s="5" t="s">
        <v>69</v>
      </c>
      <c r="D2419" s="5" t="s">
        <v>5216</v>
      </c>
      <c r="E2419" s="5" t="s">
        <v>34</v>
      </c>
      <c r="F2419" s="5" t="s">
        <v>34</v>
      </c>
      <c r="G2419" s="5" t="s">
        <v>35</v>
      </c>
      <c r="H2419" s="5" t="s">
        <v>35</v>
      </c>
      <c r="I2419" s="5" t="s">
        <v>36</v>
      </c>
      <c r="J2419" s="6">
        <v>7.0</v>
      </c>
      <c r="K2419" s="6" t="s">
        <v>37</v>
      </c>
      <c r="L2419" s="6">
        <v>9450.0</v>
      </c>
      <c r="M2419" s="26" t="s">
        <v>69</v>
      </c>
      <c r="N2419" s="26" t="s">
        <v>69</v>
      </c>
      <c r="O2419" s="6" t="s">
        <v>1243</v>
      </c>
      <c r="P2419" s="5" t="s">
        <v>41</v>
      </c>
      <c r="Q2419" s="5"/>
      <c r="R2419" s="6" t="s">
        <v>42</v>
      </c>
      <c r="S2419" s="5" t="s">
        <v>138</v>
      </c>
      <c r="T2419" s="5" t="s">
        <v>116</v>
      </c>
      <c r="U2419" s="5" t="s">
        <v>2112</v>
      </c>
      <c r="V2419" s="5" t="s">
        <v>44</v>
      </c>
      <c r="W2419" s="5" t="s">
        <v>35</v>
      </c>
      <c r="X2419" s="8" t="s">
        <v>3156</v>
      </c>
      <c r="Y2419" s="5" t="s">
        <v>46</v>
      </c>
      <c r="Z2419" s="5" t="s">
        <v>47</v>
      </c>
      <c r="AA2419" s="5" t="s">
        <v>48</v>
      </c>
      <c r="AB2419" s="5" t="s">
        <v>11819</v>
      </c>
      <c r="AC2419" s="6" t="s">
        <v>67</v>
      </c>
      <c r="AD2419" s="6">
        <v>3982.0</v>
      </c>
    </row>
    <row r="2420" ht="56.25" customHeight="1">
      <c r="A2420" s="5" t="s">
        <v>11807</v>
      </c>
      <c r="B2420" s="6" t="str">
        <f>IMAGE("https://storage.googleapis.com/acdb/housewares/FtrShellFountain_Remake_3_0.png")</f>
        <v/>
      </c>
      <c r="C2420" s="5" t="s">
        <v>114</v>
      </c>
      <c r="D2420" s="5" t="s">
        <v>5216</v>
      </c>
      <c r="E2420" s="5" t="s">
        <v>34</v>
      </c>
      <c r="F2420" s="5" t="s">
        <v>34</v>
      </c>
      <c r="G2420" s="5" t="s">
        <v>35</v>
      </c>
      <c r="H2420" s="5" t="s">
        <v>35</v>
      </c>
      <c r="I2420" s="5" t="s">
        <v>36</v>
      </c>
      <c r="J2420" s="6">
        <v>7.0</v>
      </c>
      <c r="K2420" s="6" t="s">
        <v>37</v>
      </c>
      <c r="L2420" s="6">
        <v>9450.0</v>
      </c>
      <c r="M2420" s="26" t="s">
        <v>114</v>
      </c>
      <c r="N2420" s="26" t="s">
        <v>114</v>
      </c>
      <c r="O2420" s="6" t="s">
        <v>1243</v>
      </c>
      <c r="P2420" s="5" t="s">
        <v>41</v>
      </c>
      <c r="Q2420" s="5"/>
      <c r="R2420" s="6" t="s">
        <v>42</v>
      </c>
      <c r="S2420" s="5" t="s">
        <v>138</v>
      </c>
      <c r="T2420" s="5" t="s">
        <v>116</v>
      </c>
      <c r="U2420" s="5" t="s">
        <v>2112</v>
      </c>
      <c r="V2420" s="5" t="s">
        <v>44</v>
      </c>
      <c r="W2420" s="5" t="s">
        <v>35</v>
      </c>
      <c r="X2420" s="8" t="s">
        <v>3156</v>
      </c>
      <c r="Y2420" s="5" t="s">
        <v>46</v>
      </c>
      <c r="Z2420" s="5" t="s">
        <v>47</v>
      </c>
      <c r="AA2420" s="5" t="s">
        <v>48</v>
      </c>
      <c r="AB2420" s="5" t="s">
        <v>11823</v>
      </c>
      <c r="AC2420" s="6" t="s">
        <v>71</v>
      </c>
      <c r="AD2420" s="6">
        <v>3982.0</v>
      </c>
    </row>
    <row r="2421" ht="56.25" customHeight="1">
      <c r="A2421" s="5" t="s">
        <v>11807</v>
      </c>
      <c r="B2421" s="6" t="str">
        <f>IMAGE("https://storage.googleapis.com/acdb/housewares/FtrShellFountain_Remake_4_0.png")</f>
        <v/>
      </c>
      <c r="C2421" s="5" t="s">
        <v>106</v>
      </c>
      <c r="D2421" s="5" t="s">
        <v>5216</v>
      </c>
      <c r="E2421" s="5" t="s">
        <v>34</v>
      </c>
      <c r="F2421" s="5" t="s">
        <v>34</v>
      </c>
      <c r="G2421" s="5" t="s">
        <v>35</v>
      </c>
      <c r="H2421" s="5" t="s">
        <v>35</v>
      </c>
      <c r="I2421" s="5" t="s">
        <v>36</v>
      </c>
      <c r="J2421" s="6">
        <v>7.0</v>
      </c>
      <c r="K2421" s="6" t="s">
        <v>37</v>
      </c>
      <c r="L2421" s="6">
        <v>9450.0</v>
      </c>
      <c r="M2421" s="26" t="s">
        <v>106</v>
      </c>
      <c r="N2421" s="26" t="s">
        <v>106</v>
      </c>
      <c r="O2421" s="6" t="s">
        <v>1243</v>
      </c>
      <c r="P2421" s="5" t="s">
        <v>41</v>
      </c>
      <c r="Q2421" s="5"/>
      <c r="R2421" s="6" t="s">
        <v>42</v>
      </c>
      <c r="S2421" s="5" t="s">
        <v>138</v>
      </c>
      <c r="T2421" s="5" t="s">
        <v>116</v>
      </c>
      <c r="U2421" s="5" t="s">
        <v>2112</v>
      </c>
      <c r="V2421" s="5" t="s">
        <v>44</v>
      </c>
      <c r="W2421" s="5" t="s">
        <v>35</v>
      </c>
      <c r="X2421" s="8" t="s">
        <v>3156</v>
      </c>
      <c r="Y2421" s="5" t="s">
        <v>46</v>
      </c>
      <c r="Z2421" s="5" t="s">
        <v>47</v>
      </c>
      <c r="AA2421" s="5" t="s">
        <v>48</v>
      </c>
      <c r="AB2421" s="5" t="s">
        <v>11829</v>
      </c>
      <c r="AC2421" s="6" t="s">
        <v>75</v>
      </c>
      <c r="AD2421" s="6">
        <v>3982.0</v>
      </c>
    </row>
    <row r="2422" ht="56.25" customHeight="1">
      <c r="A2422" s="5" t="s">
        <v>11807</v>
      </c>
      <c r="B2422" s="6" t="str">
        <f>IMAGE("https://storage.googleapis.com/acdb/housewares/FtrShellFountain_Remake_5_0.png")</f>
        <v/>
      </c>
      <c r="C2422" s="5" t="s">
        <v>5239</v>
      </c>
      <c r="D2422" s="5" t="s">
        <v>5216</v>
      </c>
      <c r="E2422" s="5" t="s">
        <v>34</v>
      </c>
      <c r="F2422" s="5" t="s">
        <v>34</v>
      </c>
      <c r="G2422" s="5" t="s">
        <v>35</v>
      </c>
      <c r="H2422" s="5" t="s">
        <v>35</v>
      </c>
      <c r="I2422" s="5" t="s">
        <v>36</v>
      </c>
      <c r="J2422" s="6">
        <v>7.0</v>
      </c>
      <c r="K2422" s="6" t="s">
        <v>37</v>
      </c>
      <c r="L2422" s="6">
        <v>9450.0</v>
      </c>
      <c r="M2422" s="26" t="s">
        <v>57</v>
      </c>
      <c r="N2422" s="26" t="s">
        <v>57</v>
      </c>
      <c r="O2422" s="6" t="s">
        <v>1243</v>
      </c>
      <c r="P2422" s="5" t="s">
        <v>41</v>
      </c>
      <c r="Q2422" s="5"/>
      <c r="R2422" s="6" t="s">
        <v>42</v>
      </c>
      <c r="S2422" s="5" t="s">
        <v>138</v>
      </c>
      <c r="T2422" s="5" t="s">
        <v>116</v>
      </c>
      <c r="U2422" s="5" t="s">
        <v>2112</v>
      </c>
      <c r="V2422" s="5" t="s">
        <v>44</v>
      </c>
      <c r="W2422" s="5" t="s">
        <v>35</v>
      </c>
      <c r="X2422" s="8" t="s">
        <v>3156</v>
      </c>
      <c r="Y2422" s="5" t="s">
        <v>46</v>
      </c>
      <c r="Z2422" s="5" t="s">
        <v>47</v>
      </c>
      <c r="AA2422" s="5" t="s">
        <v>48</v>
      </c>
      <c r="AB2422" s="5" t="s">
        <v>11834</v>
      </c>
      <c r="AC2422" s="6" t="s">
        <v>79</v>
      </c>
      <c r="AD2422" s="6">
        <v>3982.0</v>
      </c>
    </row>
    <row r="2423" ht="56.25" customHeight="1">
      <c r="A2423" s="5" t="s">
        <v>11835</v>
      </c>
      <c r="B2423" s="6" t="str">
        <f>IMAGE("https://storage.googleapis.com/acdb/housewares/FtrShellScreen_Remake_0_0.png")</f>
        <v/>
      </c>
      <c r="C2423" s="5" t="s">
        <v>57</v>
      </c>
      <c r="D2423" s="5" t="s">
        <v>5216</v>
      </c>
      <c r="E2423" s="5" t="s">
        <v>34</v>
      </c>
      <c r="F2423" s="5" t="s">
        <v>34</v>
      </c>
      <c r="G2423" s="5" t="s">
        <v>35</v>
      </c>
      <c r="H2423" s="5" t="s">
        <v>35</v>
      </c>
      <c r="I2423" s="5" t="s">
        <v>36</v>
      </c>
      <c r="J2423" s="6">
        <v>7.0</v>
      </c>
      <c r="K2423" s="6" t="s">
        <v>37</v>
      </c>
      <c r="L2423" s="6">
        <v>8000.0</v>
      </c>
      <c r="M2423" s="26" t="s">
        <v>57</v>
      </c>
      <c r="N2423" s="26" t="s">
        <v>38</v>
      </c>
      <c r="O2423" s="6" t="s">
        <v>276</v>
      </c>
      <c r="P2423" s="5" t="s">
        <v>41</v>
      </c>
      <c r="Q2423" s="5"/>
      <c r="R2423" s="6" t="s">
        <v>42</v>
      </c>
      <c r="S2423" s="5" t="s">
        <v>138</v>
      </c>
      <c r="T2423" s="5" t="s">
        <v>44</v>
      </c>
      <c r="U2423" s="5" t="s">
        <v>2112</v>
      </c>
      <c r="V2423" s="5" t="s">
        <v>44</v>
      </c>
      <c r="W2423" s="5" t="s">
        <v>36</v>
      </c>
      <c r="X2423" s="8" t="s">
        <v>715</v>
      </c>
      <c r="Y2423" s="5" t="s">
        <v>46</v>
      </c>
      <c r="Z2423" s="5" t="s">
        <v>47</v>
      </c>
      <c r="AA2423" s="5" t="s">
        <v>48</v>
      </c>
      <c r="AB2423" s="5" t="s">
        <v>11839</v>
      </c>
      <c r="AC2423" s="6" t="s">
        <v>50</v>
      </c>
      <c r="AD2423" s="6">
        <v>3978.0</v>
      </c>
    </row>
    <row r="2424" ht="56.25" customHeight="1">
      <c r="A2424" s="5" t="s">
        <v>11835</v>
      </c>
      <c r="B2424" s="6" t="str">
        <f>IMAGE("https://storage.googleapis.com/acdb/housewares/FtrShellScreen_Remake_1_0.png")</f>
        <v/>
      </c>
      <c r="C2424" s="5" t="s">
        <v>39</v>
      </c>
      <c r="D2424" s="5" t="s">
        <v>5216</v>
      </c>
      <c r="E2424" s="5" t="s">
        <v>34</v>
      </c>
      <c r="F2424" s="5" t="s">
        <v>34</v>
      </c>
      <c r="G2424" s="5" t="s">
        <v>35</v>
      </c>
      <c r="H2424" s="5" t="s">
        <v>35</v>
      </c>
      <c r="I2424" s="5" t="s">
        <v>36</v>
      </c>
      <c r="J2424" s="6">
        <v>7.0</v>
      </c>
      <c r="K2424" s="6" t="s">
        <v>37</v>
      </c>
      <c r="L2424" s="6">
        <v>8000.0</v>
      </c>
      <c r="M2424" s="26" t="s">
        <v>39</v>
      </c>
      <c r="N2424" s="26" t="s">
        <v>39</v>
      </c>
      <c r="O2424" s="6" t="s">
        <v>276</v>
      </c>
      <c r="P2424" s="5" t="s">
        <v>41</v>
      </c>
      <c r="Q2424" s="5"/>
      <c r="R2424" s="6" t="s">
        <v>42</v>
      </c>
      <c r="S2424" s="5" t="s">
        <v>138</v>
      </c>
      <c r="T2424" s="5" t="s">
        <v>44</v>
      </c>
      <c r="U2424" s="5" t="s">
        <v>2112</v>
      </c>
      <c r="V2424" s="5" t="s">
        <v>44</v>
      </c>
      <c r="W2424" s="5" t="s">
        <v>36</v>
      </c>
      <c r="X2424" s="8" t="s">
        <v>715</v>
      </c>
      <c r="Y2424" s="5" t="s">
        <v>46</v>
      </c>
      <c r="Z2424" s="5" t="s">
        <v>47</v>
      </c>
      <c r="AA2424" s="5" t="s">
        <v>48</v>
      </c>
      <c r="AB2424" s="5" t="s">
        <v>11843</v>
      </c>
      <c r="AC2424" s="6" t="s">
        <v>56</v>
      </c>
      <c r="AD2424" s="6">
        <v>3978.0</v>
      </c>
    </row>
    <row r="2425" ht="56.25" customHeight="1">
      <c r="A2425" s="5" t="s">
        <v>11835</v>
      </c>
      <c r="B2425" s="6" t="str">
        <f>IMAGE("https://storage.googleapis.com/acdb/housewares/FtrShellScreen_Remake_2_0.png")</f>
        <v/>
      </c>
      <c r="C2425" s="5" t="s">
        <v>69</v>
      </c>
      <c r="D2425" s="5" t="s">
        <v>5216</v>
      </c>
      <c r="E2425" s="5" t="s">
        <v>34</v>
      </c>
      <c r="F2425" s="5" t="s">
        <v>34</v>
      </c>
      <c r="G2425" s="5" t="s">
        <v>35</v>
      </c>
      <c r="H2425" s="5" t="s">
        <v>35</v>
      </c>
      <c r="I2425" s="5" t="s">
        <v>36</v>
      </c>
      <c r="J2425" s="6">
        <v>7.0</v>
      </c>
      <c r="K2425" s="6" t="s">
        <v>37</v>
      </c>
      <c r="L2425" s="6">
        <v>8000.0</v>
      </c>
      <c r="M2425" s="26" t="s">
        <v>69</v>
      </c>
      <c r="N2425" s="26" t="s">
        <v>69</v>
      </c>
      <c r="O2425" s="6" t="s">
        <v>276</v>
      </c>
      <c r="P2425" s="5" t="s">
        <v>41</v>
      </c>
      <c r="Q2425" s="5"/>
      <c r="R2425" s="6" t="s">
        <v>42</v>
      </c>
      <c r="S2425" s="5" t="s">
        <v>138</v>
      </c>
      <c r="T2425" s="5" t="s">
        <v>44</v>
      </c>
      <c r="U2425" s="5" t="s">
        <v>2112</v>
      </c>
      <c r="V2425" s="5" t="s">
        <v>44</v>
      </c>
      <c r="W2425" s="5" t="s">
        <v>36</v>
      </c>
      <c r="X2425" s="8" t="s">
        <v>715</v>
      </c>
      <c r="Y2425" s="5" t="s">
        <v>46</v>
      </c>
      <c r="Z2425" s="5" t="s">
        <v>47</v>
      </c>
      <c r="AA2425" s="5" t="s">
        <v>48</v>
      </c>
      <c r="AB2425" s="5" t="s">
        <v>11846</v>
      </c>
      <c r="AC2425" s="6" t="s">
        <v>67</v>
      </c>
      <c r="AD2425" s="6">
        <v>3978.0</v>
      </c>
    </row>
    <row r="2426" ht="56.25" customHeight="1">
      <c r="A2426" s="5" t="s">
        <v>11835</v>
      </c>
      <c r="B2426" s="6" t="str">
        <f>IMAGE("https://storage.googleapis.com/acdb/housewares/FtrShellScreen_Remake_3_0.png")</f>
        <v/>
      </c>
      <c r="C2426" s="5" t="s">
        <v>114</v>
      </c>
      <c r="D2426" s="5" t="s">
        <v>5216</v>
      </c>
      <c r="E2426" s="5" t="s">
        <v>34</v>
      </c>
      <c r="F2426" s="5" t="s">
        <v>34</v>
      </c>
      <c r="G2426" s="5" t="s">
        <v>35</v>
      </c>
      <c r="H2426" s="5" t="s">
        <v>35</v>
      </c>
      <c r="I2426" s="5" t="s">
        <v>36</v>
      </c>
      <c r="J2426" s="6">
        <v>7.0</v>
      </c>
      <c r="K2426" s="6" t="s">
        <v>37</v>
      </c>
      <c r="L2426" s="6">
        <v>8000.0</v>
      </c>
      <c r="M2426" s="26" t="s">
        <v>114</v>
      </c>
      <c r="N2426" s="26" t="s">
        <v>114</v>
      </c>
      <c r="O2426" s="6" t="s">
        <v>276</v>
      </c>
      <c r="P2426" s="5" t="s">
        <v>41</v>
      </c>
      <c r="Q2426" s="5"/>
      <c r="R2426" s="6" t="s">
        <v>42</v>
      </c>
      <c r="S2426" s="5" t="s">
        <v>138</v>
      </c>
      <c r="T2426" s="5" t="s">
        <v>44</v>
      </c>
      <c r="U2426" s="5" t="s">
        <v>2112</v>
      </c>
      <c r="V2426" s="5" t="s">
        <v>44</v>
      </c>
      <c r="W2426" s="5" t="s">
        <v>36</v>
      </c>
      <c r="X2426" s="8" t="s">
        <v>715</v>
      </c>
      <c r="Y2426" s="5" t="s">
        <v>46</v>
      </c>
      <c r="Z2426" s="5" t="s">
        <v>47</v>
      </c>
      <c r="AA2426" s="5" t="s">
        <v>48</v>
      </c>
      <c r="AB2426" s="5" t="s">
        <v>11849</v>
      </c>
      <c r="AC2426" s="6" t="s">
        <v>71</v>
      </c>
      <c r="AD2426" s="6">
        <v>3978.0</v>
      </c>
    </row>
    <row r="2427" ht="56.25" customHeight="1">
      <c r="A2427" s="5" t="s">
        <v>11835</v>
      </c>
      <c r="B2427" s="6" t="str">
        <f>IMAGE("https://storage.googleapis.com/acdb/housewares/FtrShellScreen_Remake_4_0.png")</f>
        <v/>
      </c>
      <c r="C2427" s="5" t="s">
        <v>106</v>
      </c>
      <c r="D2427" s="5" t="s">
        <v>5216</v>
      </c>
      <c r="E2427" s="5" t="s">
        <v>34</v>
      </c>
      <c r="F2427" s="5" t="s">
        <v>34</v>
      </c>
      <c r="G2427" s="5" t="s">
        <v>35</v>
      </c>
      <c r="H2427" s="5" t="s">
        <v>35</v>
      </c>
      <c r="I2427" s="5" t="s">
        <v>36</v>
      </c>
      <c r="J2427" s="6">
        <v>7.0</v>
      </c>
      <c r="K2427" s="6" t="s">
        <v>37</v>
      </c>
      <c r="L2427" s="6">
        <v>8000.0</v>
      </c>
      <c r="M2427" s="26" t="s">
        <v>106</v>
      </c>
      <c r="N2427" s="26" t="s">
        <v>106</v>
      </c>
      <c r="O2427" s="6" t="s">
        <v>276</v>
      </c>
      <c r="P2427" s="5" t="s">
        <v>41</v>
      </c>
      <c r="Q2427" s="5"/>
      <c r="R2427" s="6" t="s">
        <v>42</v>
      </c>
      <c r="S2427" s="5" t="s">
        <v>138</v>
      </c>
      <c r="T2427" s="5" t="s">
        <v>44</v>
      </c>
      <c r="U2427" s="5" t="s">
        <v>2112</v>
      </c>
      <c r="V2427" s="5" t="s">
        <v>44</v>
      </c>
      <c r="W2427" s="5" t="s">
        <v>36</v>
      </c>
      <c r="X2427" s="8" t="s">
        <v>715</v>
      </c>
      <c r="Y2427" s="5" t="s">
        <v>46</v>
      </c>
      <c r="Z2427" s="5" t="s">
        <v>47</v>
      </c>
      <c r="AA2427" s="5" t="s">
        <v>48</v>
      </c>
      <c r="AB2427" s="5" t="s">
        <v>11852</v>
      </c>
      <c r="AC2427" s="6" t="s">
        <v>75</v>
      </c>
      <c r="AD2427" s="6">
        <v>3978.0</v>
      </c>
    </row>
    <row r="2428" ht="56.25" customHeight="1">
      <c r="A2428" s="5" t="s">
        <v>11835</v>
      </c>
      <c r="B2428" s="6" t="str">
        <f>IMAGE("https://storage.googleapis.com/acdb/housewares/FtrShellScreen_Remake_5_0.png")</f>
        <v/>
      </c>
      <c r="C2428" s="5" t="s">
        <v>5239</v>
      </c>
      <c r="D2428" s="5" t="s">
        <v>5216</v>
      </c>
      <c r="E2428" s="5" t="s">
        <v>34</v>
      </c>
      <c r="F2428" s="5" t="s">
        <v>34</v>
      </c>
      <c r="G2428" s="5" t="s">
        <v>35</v>
      </c>
      <c r="H2428" s="5" t="s">
        <v>35</v>
      </c>
      <c r="I2428" s="5" t="s">
        <v>36</v>
      </c>
      <c r="J2428" s="6">
        <v>7.0</v>
      </c>
      <c r="K2428" s="6" t="s">
        <v>37</v>
      </c>
      <c r="L2428" s="6">
        <v>8000.0</v>
      </c>
      <c r="M2428" s="26" t="s">
        <v>57</v>
      </c>
      <c r="N2428" s="26" t="s">
        <v>57</v>
      </c>
      <c r="O2428" s="6" t="s">
        <v>276</v>
      </c>
      <c r="P2428" s="5" t="s">
        <v>41</v>
      </c>
      <c r="Q2428" s="5"/>
      <c r="R2428" s="6" t="s">
        <v>42</v>
      </c>
      <c r="S2428" s="5" t="s">
        <v>138</v>
      </c>
      <c r="T2428" s="5" t="s">
        <v>44</v>
      </c>
      <c r="U2428" s="5" t="s">
        <v>2112</v>
      </c>
      <c r="V2428" s="5" t="s">
        <v>44</v>
      </c>
      <c r="W2428" s="5" t="s">
        <v>36</v>
      </c>
      <c r="X2428" s="8" t="s">
        <v>715</v>
      </c>
      <c r="Y2428" s="5" t="s">
        <v>46</v>
      </c>
      <c r="Z2428" s="5" t="s">
        <v>47</v>
      </c>
      <c r="AA2428" s="5" t="s">
        <v>48</v>
      </c>
      <c r="AB2428" s="5" t="s">
        <v>11857</v>
      </c>
      <c r="AC2428" s="6" t="s">
        <v>79</v>
      </c>
      <c r="AD2428" s="6">
        <v>3978.0</v>
      </c>
    </row>
    <row r="2429" ht="56.25" customHeight="1">
      <c r="A2429" s="5" t="s">
        <v>11858</v>
      </c>
      <c r="B2429" s="6" t="str">
        <f>IMAGE("https://storage.googleapis.com/acdb/housewares/FtrShellStoolS_Remake_0_0.png")</f>
        <v/>
      </c>
      <c r="C2429" s="5" t="s">
        <v>57</v>
      </c>
      <c r="D2429" s="5" t="s">
        <v>5216</v>
      </c>
      <c r="E2429" s="5" t="s">
        <v>34</v>
      </c>
      <c r="F2429" s="5" t="s">
        <v>34</v>
      </c>
      <c r="G2429" s="5" t="s">
        <v>35</v>
      </c>
      <c r="H2429" s="5" t="s">
        <v>35</v>
      </c>
      <c r="I2429" s="5" t="s">
        <v>36</v>
      </c>
      <c r="J2429" s="6">
        <v>1.0</v>
      </c>
      <c r="K2429" s="6" t="s">
        <v>37</v>
      </c>
      <c r="L2429" s="6">
        <v>600.0</v>
      </c>
      <c r="M2429" s="26" t="s">
        <v>57</v>
      </c>
      <c r="N2429" s="26" t="s">
        <v>39</v>
      </c>
      <c r="O2429" s="6" t="s">
        <v>40</v>
      </c>
      <c r="P2429" s="5" t="s">
        <v>41</v>
      </c>
      <c r="Q2429" s="5"/>
      <c r="R2429" s="6" t="s">
        <v>42</v>
      </c>
      <c r="S2429" s="5" t="s">
        <v>138</v>
      </c>
      <c r="T2429" s="5" t="s">
        <v>44</v>
      </c>
      <c r="U2429" s="5" t="s">
        <v>2112</v>
      </c>
      <c r="V2429" s="5" t="s">
        <v>44</v>
      </c>
      <c r="W2429" s="5" t="s">
        <v>35</v>
      </c>
      <c r="X2429" s="8" t="s">
        <v>248</v>
      </c>
      <c r="Y2429" s="5" t="s">
        <v>46</v>
      </c>
      <c r="Z2429" s="5" t="s">
        <v>47</v>
      </c>
      <c r="AA2429" s="5" t="s">
        <v>48</v>
      </c>
      <c r="AB2429" s="5" t="s">
        <v>11862</v>
      </c>
      <c r="AC2429" s="6" t="s">
        <v>50</v>
      </c>
      <c r="AD2429" s="6">
        <v>3979.0</v>
      </c>
    </row>
    <row r="2430" ht="56.25" customHeight="1">
      <c r="A2430" s="5" t="s">
        <v>11858</v>
      </c>
      <c r="B2430" s="6" t="str">
        <f>IMAGE("https://storage.googleapis.com/acdb/housewares/FtrShellStoolS_Remake_1_0.png")</f>
        <v/>
      </c>
      <c r="C2430" s="5" t="s">
        <v>39</v>
      </c>
      <c r="D2430" s="5" t="s">
        <v>5216</v>
      </c>
      <c r="E2430" s="5" t="s">
        <v>34</v>
      </c>
      <c r="F2430" s="5" t="s">
        <v>34</v>
      </c>
      <c r="G2430" s="5" t="s">
        <v>35</v>
      </c>
      <c r="H2430" s="5" t="s">
        <v>35</v>
      </c>
      <c r="I2430" s="5" t="s">
        <v>36</v>
      </c>
      <c r="J2430" s="6">
        <v>1.0</v>
      </c>
      <c r="K2430" s="6" t="s">
        <v>37</v>
      </c>
      <c r="L2430" s="6">
        <v>600.0</v>
      </c>
      <c r="M2430" s="26" t="s">
        <v>39</v>
      </c>
      <c r="N2430" s="26" t="s">
        <v>142</v>
      </c>
      <c r="O2430" s="6" t="s">
        <v>40</v>
      </c>
      <c r="P2430" s="5" t="s">
        <v>41</v>
      </c>
      <c r="Q2430" s="5"/>
      <c r="R2430" s="6" t="s">
        <v>42</v>
      </c>
      <c r="S2430" s="5" t="s">
        <v>138</v>
      </c>
      <c r="T2430" s="5" t="s">
        <v>44</v>
      </c>
      <c r="U2430" s="5" t="s">
        <v>2112</v>
      </c>
      <c r="V2430" s="5" t="s">
        <v>44</v>
      </c>
      <c r="W2430" s="5" t="s">
        <v>35</v>
      </c>
      <c r="X2430" s="8" t="s">
        <v>248</v>
      </c>
      <c r="Y2430" s="5" t="s">
        <v>46</v>
      </c>
      <c r="Z2430" s="5" t="s">
        <v>47</v>
      </c>
      <c r="AA2430" s="5" t="s">
        <v>48</v>
      </c>
      <c r="AB2430" s="5" t="s">
        <v>11866</v>
      </c>
      <c r="AC2430" s="6" t="s">
        <v>56</v>
      </c>
      <c r="AD2430" s="6">
        <v>3979.0</v>
      </c>
    </row>
    <row r="2431" ht="56.25" customHeight="1">
      <c r="A2431" s="5" t="s">
        <v>11858</v>
      </c>
      <c r="B2431" s="6" t="str">
        <f>IMAGE("https://storage.googleapis.com/acdb/housewares/FtrShellStoolS_Remake_2_0.png")</f>
        <v/>
      </c>
      <c r="C2431" s="5" t="s">
        <v>69</v>
      </c>
      <c r="D2431" s="5" t="s">
        <v>5216</v>
      </c>
      <c r="E2431" s="5" t="s">
        <v>34</v>
      </c>
      <c r="F2431" s="5" t="s">
        <v>34</v>
      </c>
      <c r="G2431" s="5" t="s">
        <v>35</v>
      </c>
      <c r="H2431" s="5" t="s">
        <v>35</v>
      </c>
      <c r="I2431" s="5" t="s">
        <v>36</v>
      </c>
      <c r="J2431" s="6">
        <v>1.0</v>
      </c>
      <c r="K2431" s="6" t="s">
        <v>37</v>
      </c>
      <c r="L2431" s="6">
        <v>600.0</v>
      </c>
      <c r="M2431" s="26" t="s">
        <v>69</v>
      </c>
      <c r="N2431" s="26" t="s">
        <v>69</v>
      </c>
      <c r="O2431" s="6" t="s">
        <v>40</v>
      </c>
      <c r="P2431" s="5" t="s">
        <v>41</v>
      </c>
      <c r="Q2431" s="5"/>
      <c r="R2431" s="6" t="s">
        <v>42</v>
      </c>
      <c r="S2431" s="5" t="s">
        <v>138</v>
      </c>
      <c r="T2431" s="5" t="s">
        <v>44</v>
      </c>
      <c r="U2431" s="5" t="s">
        <v>2112</v>
      </c>
      <c r="V2431" s="5" t="s">
        <v>44</v>
      </c>
      <c r="W2431" s="5" t="s">
        <v>35</v>
      </c>
      <c r="X2431" s="8" t="s">
        <v>248</v>
      </c>
      <c r="Y2431" s="5" t="s">
        <v>46</v>
      </c>
      <c r="Z2431" s="5" t="s">
        <v>47</v>
      </c>
      <c r="AA2431" s="5" t="s">
        <v>48</v>
      </c>
      <c r="AB2431" s="5" t="s">
        <v>11869</v>
      </c>
      <c r="AC2431" s="6" t="s">
        <v>67</v>
      </c>
      <c r="AD2431" s="6">
        <v>3979.0</v>
      </c>
    </row>
    <row r="2432" ht="56.25" customHeight="1">
      <c r="A2432" s="5" t="s">
        <v>11858</v>
      </c>
      <c r="B2432" s="6" t="str">
        <f>IMAGE("https://storage.googleapis.com/acdb/housewares/FtrShellStoolS_Remake_3_0.png")</f>
        <v/>
      </c>
      <c r="C2432" s="5" t="s">
        <v>114</v>
      </c>
      <c r="D2432" s="5" t="s">
        <v>5216</v>
      </c>
      <c r="E2432" s="5" t="s">
        <v>34</v>
      </c>
      <c r="F2432" s="5" t="s">
        <v>34</v>
      </c>
      <c r="G2432" s="5" t="s">
        <v>35</v>
      </c>
      <c r="H2432" s="5" t="s">
        <v>35</v>
      </c>
      <c r="I2432" s="5" t="s">
        <v>36</v>
      </c>
      <c r="J2432" s="6">
        <v>1.0</v>
      </c>
      <c r="K2432" s="6" t="s">
        <v>37</v>
      </c>
      <c r="L2432" s="6">
        <v>600.0</v>
      </c>
      <c r="M2432" s="26" t="s">
        <v>114</v>
      </c>
      <c r="N2432" s="26" t="s">
        <v>114</v>
      </c>
      <c r="O2432" s="6" t="s">
        <v>40</v>
      </c>
      <c r="P2432" s="5" t="s">
        <v>41</v>
      </c>
      <c r="Q2432" s="5"/>
      <c r="R2432" s="6" t="s">
        <v>42</v>
      </c>
      <c r="S2432" s="5" t="s">
        <v>138</v>
      </c>
      <c r="T2432" s="5" t="s">
        <v>44</v>
      </c>
      <c r="U2432" s="5" t="s">
        <v>2112</v>
      </c>
      <c r="V2432" s="5" t="s">
        <v>44</v>
      </c>
      <c r="W2432" s="5" t="s">
        <v>35</v>
      </c>
      <c r="X2432" s="8" t="s">
        <v>248</v>
      </c>
      <c r="Y2432" s="5" t="s">
        <v>46</v>
      </c>
      <c r="Z2432" s="5" t="s">
        <v>47</v>
      </c>
      <c r="AA2432" s="5" t="s">
        <v>48</v>
      </c>
      <c r="AB2432" s="5" t="s">
        <v>11873</v>
      </c>
      <c r="AC2432" s="6" t="s">
        <v>71</v>
      </c>
      <c r="AD2432" s="6">
        <v>3979.0</v>
      </c>
    </row>
    <row r="2433" ht="56.25" customHeight="1">
      <c r="A2433" s="5" t="s">
        <v>11858</v>
      </c>
      <c r="B2433" s="6" t="str">
        <f>IMAGE("https://storage.googleapis.com/acdb/housewares/FtrShellStoolS_Remake_4_0.png")</f>
        <v/>
      </c>
      <c r="C2433" s="5" t="s">
        <v>106</v>
      </c>
      <c r="D2433" s="5" t="s">
        <v>5216</v>
      </c>
      <c r="E2433" s="5" t="s">
        <v>34</v>
      </c>
      <c r="F2433" s="5" t="s">
        <v>34</v>
      </c>
      <c r="G2433" s="5" t="s">
        <v>35</v>
      </c>
      <c r="H2433" s="5" t="s">
        <v>35</v>
      </c>
      <c r="I2433" s="5" t="s">
        <v>36</v>
      </c>
      <c r="J2433" s="6">
        <v>1.0</v>
      </c>
      <c r="K2433" s="6" t="s">
        <v>37</v>
      </c>
      <c r="L2433" s="6">
        <v>600.0</v>
      </c>
      <c r="M2433" s="26" t="s">
        <v>106</v>
      </c>
      <c r="N2433" s="26" t="s">
        <v>106</v>
      </c>
      <c r="O2433" s="6" t="s">
        <v>40</v>
      </c>
      <c r="P2433" s="5" t="s">
        <v>41</v>
      </c>
      <c r="Q2433" s="5"/>
      <c r="R2433" s="6" t="s">
        <v>42</v>
      </c>
      <c r="S2433" s="5" t="s">
        <v>138</v>
      </c>
      <c r="T2433" s="5" t="s">
        <v>44</v>
      </c>
      <c r="U2433" s="5" t="s">
        <v>2112</v>
      </c>
      <c r="V2433" s="5" t="s">
        <v>44</v>
      </c>
      <c r="W2433" s="5" t="s">
        <v>35</v>
      </c>
      <c r="X2433" s="8" t="s">
        <v>248</v>
      </c>
      <c r="Y2433" s="5" t="s">
        <v>46</v>
      </c>
      <c r="Z2433" s="5" t="s">
        <v>47</v>
      </c>
      <c r="AA2433" s="5" t="s">
        <v>48</v>
      </c>
      <c r="AB2433" s="5" t="s">
        <v>11876</v>
      </c>
      <c r="AC2433" s="6" t="s">
        <v>75</v>
      </c>
      <c r="AD2433" s="6">
        <v>3979.0</v>
      </c>
    </row>
    <row r="2434" ht="56.25" customHeight="1">
      <c r="A2434" s="5" t="s">
        <v>11858</v>
      </c>
      <c r="B2434" s="6" t="str">
        <f>IMAGE("https://storage.googleapis.com/acdb/housewares/FtrShellStoolS_Remake_5_0.png")</f>
        <v/>
      </c>
      <c r="C2434" s="5" t="s">
        <v>5239</v>
      </c>
      <c r="D2434" s="5" t="s">
        <v>5216</v>
      </c>
      <c r="E2434" s="5" t="s">
        <v>34</v>
      </c>
      <c r="F2434" s="5" t="s">
        <v>34</v>
      </c>
      <c r="G2434" s="5" t="s">
        <v>35</v>
      </c>
      <c r="H2434" s="5" t="s">
        <v>35</v>
      </c>
      <c r="I2434" s="5" t="s">
        <v>36</v>
      </c>
      <c r="J2434" s="6">
        <v>1.0</v>
      </c>
      <c r="K2434" s="6" t="s">
        <v>37</v>
      </c>
      <c r="L2434" s="6">
        <v>600.0</v>
      </c>
      <c r="M2434" s="26" t="s">
        <v>57</v>
      </c>
      <c r="N2434" s="26" t="s">
        <v>57</v>
      </c>
      <c r="O2434" s="6" t="s">
        <v>40</v>
      </c>
      <c r="P2434" s="5" t="s">
        <v>41</v>
      </c>
      <c r="Q2434" s="5"/>
      <c r="R2434" s="6" t="s">
        <v>42</v>
      </c>
      <c r="S2434" s="5" t="s">
        <v>138</v>
      </c>
      <c r="T2434" s="5" t="s">
        <v>44</v>
      </c>
      <c r="U2434" s="5" t="s">
        <v>2112</v>
      </c>
      <c r="V2434" s="5" t="s">
        <v>44</v>
      </c>
      <c r="W2434" s="5" t="s">
        <v>35</v>
      </c>
      <c r="X2434" s="8" t="s">
        <v>248</v>
      </c>
      <c r="Y2434" s="5" t="s">
        <v>46</v>
      </c>
      <c r="Z2434" s="5" t="s">
        <v>47</v>
      </c>
      <c r="AA2434" s="5" t="s">
        <v>48</v>
      </c>
      <c r="AB2434" s="5" t="s">
        <v>11884</v>
      </c>
      <c r="AC2434" s="6" t="s">
        <v>79</v>
      </c>
      <c r="AD2434" s="6">
        <v>3979.0</v>
      </c>
    </row>
    <row r="2435" ht="56.25" customHeight="1">
      <c r="A2435" s="5" t="s">
        <v>11885</v>
      </c>
      <c r="B2435" s="6" t="str">
        <f>IMAGE("https://storage.googleapis.com/acdb/housewares/FtrShellTableL_Remake_0_0.png")</f>
        <v/>
      </c>
      <c r="C2435" s="5" t="s">
        <v>57</v>
      </c>
      <c r="D2435" s="5" t="s">
        <v>5216</v>
      </c>
      <c r="E2435" s="5" t="s">
        <v>34</v>
      </c>
      <c r="F2435" s="5" t="s">
        <v>34</v>
      </c>
      <c r="G2435" s="5" t="s">
        <v>35</v>
      </c>
      <c r="H2435" s="5" t="s">
        <v>35</v>
      </c>
      <c r="I2435" s="5" t="s">
        <v>36</v>
      </c>
      <c r="J2435" s="6">
        <v>4.0</v>
      </c>
      <c r="K2435" s="6" t="s">
        <v>37</v>
      </c>
      <c r="L2435" s="6">
        <v>2280.0</v>
      </c>
      <c r="M2435" s="26" t="s">
        <v>57</v>
      </c>
      <c r="N2435" s="26" t="s">
        <v>57</v>
      </c>
      <c r="O2435" s="6" t="s">
        <v>214</v>
      </c>
      <c r="P2435" s="5" t="s">
        <v>41</v>
      </c>
      <c r="Q2435" s="5"/>
      <c r="R2435" s="6" t="s">
        <v>42</v>
      </c>
      <c r="S2435" s="5" t="s">
        <v>138</v>
      </c>
      <c r="T2435" s="5" t="s">
        <v>44</v>
      </c>
      <c r="U2435" s="5" t="s">
        <v>2112</v>
      </c>
      <c r="V2435" s="5" t="s">
        <v>44</v>
      </c>
      <c r="W2435" s="5" t="s">
        <v>36</v>
      </c>
      <c r="X2435" s="8" t="s">
        <v>278</v>
      </c>
      <c r="Y2435" s="5" t="s">
        <v>46</v>
      </c>
      <c r="Z2435" s="5" t="s">
        <v>47</v>
      </c>
      <c r="AA2435" s="5" t="s">
        <v>48</v>
      </c>
      <c r="AB2435" s="5" t="s">
        <v>11888</v>
      </c>
      <c r="AC2435" s="6" t="s">
        <v>50</v>
      </c>
      <c r="AD2435" s="6">
        <v>3980.0</v>
      </c>
    </row>
    <row r="2436" ht="56.25" customHeight="1">
      <c r="A2436" s="5" t="s">
        <v>11885</v>
      </c>
      <c r="B2436" s="6" t="str">
        <f>IMAGE("https://storage.googleapis.com/acdb/housewares/FtrShellTableL_Remake_1_0.png")</f>
        <v/>
      </c>
      <c r="C2436" s="5" t="s">
        <v>39</v>
      </c>
      <c r="D2436" s="5" t="s">
        <v>5216</v>
      </c>
      <c r="E2436" s="5" t="s">
        <v>34</v>
      </c>
      <c r="F2436" s="5" t="s">
        <v>34</v>
      </c>
      <c r="G2436" s="5" t="s">
        <v>35</v>
      </c>
      <c r="H2436" s="5" t="s">
        <v>35</v>
      </c>
      <c r="I2436" s="5" t="s">
        <v>36</v>
      </c>
      <c r="J2436" s="6">
        <v>4.0</v>
      </c>
      <c r="K2436" s="6" t="s">
        <v>37</v>
      </c>
      <c r="L2436" s="6">
        <v>2280.0</v>
      </c>
      <c r="M2436" s="26" t="s">
        <v>39</v>
      </c>
      <c r="N2436" s="26" t="s">
        <v>39</v>
      </c>
      <c r="O2436" s="6" t="s">
        <v>214</v>
      </c>
      <c r="P2436" s="5" t="s">
        <v>41</v>
      </c>
      <c r="Q2436" s="5"/>
      <c r="R2436" s="6" t="s">
        <v>42</v>
      </c>
      <c r="S2436" s="5" t="s">
        <v>138</v>
      </c>
      <c r="T2436" s="5" t="s">
        <v>44</v>
      </c>
      <c r="U2436" s="5" t="s">
        <v>2112</v>
      </c>
      <c r="V2436" s="5" t="s">
        <v>44</v>
      </c>
      <c r="W2436" s="5" t="s">
        <v>36</v>
      </c>
      <c r="X2436" s="8" t="s">
        <v>278</v>
      </c>
      <c r="Y2436" s="5" t="s">
        <v>46</v>
      </c>
      <c r="Z2436" s="5" t="s">
        <v>47</v>
      </c>
      <c r="AA2436" s="5" t="s">
        <v>48</v>
      </c>
      <c r="AB2436" s="5" t="s">
        <v>11892</v>
      </c>
      <c r="AC2436" s="6" t="s">
        <v>56</v>
      </c>
      <c r="AD2436" s="6">
        <v>3980.0</v>
      </c>
    </row>
    <row r="2437" ht="56.25" customHeight="1">
      <c r="A2437" s="5" t="s">
        <v>11885</v>
      </c>
      <c r="B2437" s="6" t="str">
        <f>IMAGE("https://storage.googleapis.com/acdb/housewares/FtrShellTableL_Remake_2_0.png")</f>
        <v/>
      </c>
      <c r="C2437" s="5" t="s">
        <v>69</v>
      </c>
      <c r="D2437" s="5" t="s">
        <v>5216</v>
      </c>
      <c r="E2437" s="5" t="s">
        <v>34</v>
      </c>
      <c r="F2437" s="5" t="s">
        <v>34</v>
      </c>
      <c r="G2437" s="5" t="s">
        <v>35</v>
      </c>
      <c r="H2437" s="5" t="s">
        <v>35</v>
      </c>
      <c r="I2437" s="5" t="s">
        <v>36</v>
      </c>
      <c r="J2437" s="6">
        <v>4.0</v>
      </c>
      <c r="K2437" s="6" t="s">
        <v>37</v>
      </c>
      <c r="L2437" s="6">
        <v>2280.0</v>
      </c>
      <c r="M2437" s="26" t="s">
        <v>69</v>
      </c>
      <c r="N2437" s="26" t="s">
        <v>69</v>
      </c>
      <c r="O2437" s="6" t="s">
        <v>214</v>
      </c>
      <c r="P2437" s="5" t="s">
        <v>41</v>
      </c>
      <c r="Q2437" s="5"/>
      <c r="R2437" s="6" t="s">
        <v>42</v>
      </c>
      <c r="S2437" s="5" t="s">
        <v>138</v>
      </c>
      <c r="T2437" s="5" t="s">
        <v>44</v>
      </c>
      <c r="U2437" s="5" t="s">
        <v>2112</v>
      </c>
      <c r="V2437" s="5" t="s">
        <v>44</v>
      </c>
      <c r="W2437" s="5" t="s">
        <v>36</v>
      </c>
      <c r="X2437" s="8" t="s">
        <v>278</v>
      </c>
      <c r="Y2437" s="5" t="s">
        <v>46</v>
      </c>
      <c r="Z2437" s="5" t="s">
        <v>47</v>
      </c>
      <c r="AA2437" s="5" t="s">
        <v>48</v>
      </c>
      <c r="AB2437" s="5" t="s">
        <v>11896</v>
      </c>
      <c r="AC2437" s="6" t="s">
        <v>67</v>
      </c>
      <c r="AD2437" s="6">
        <v>3980.0</v>
      </c>
    </row>
    <row r="2438" ht="56.25" customHeight="1">
      <c r="A2438" s="5" t="s">
        <v>11885</v>
      </c>
      <c r="B2438" s="6" t="str">
        <f>IMAGE("https://storage.googleapis.com/acdb/housewares/FtrShellTableL_Remake_3_0.png")</f>
        <v/>
      </c>
      <c r="C2438" s="5" t="s">
        <v>114</v>
      </c>
      <c r="D2438" s="5" t="s">
        <v>5216</v>
      </c>
      <c r="E2438" s="5" t="s">
        <v>34</v>
      </c>
      <c r="F2438" s="5" t="s">
        <v>34</v>
      </c>
      <c r="G2438" s="5" t="s">
        <v>35</v>
      </c>
      <c r="H2438" s="5" t="s">
        <v>35</v>
      </c>
      <c r="I2438" s="5" t="s">
        <v>36</v>
      </c>
      <c r="J2438" s="6">
        <v>4.0</v>
      </c>
      <c r="K2438" s="6" t="s">
        <v>37</v>
      </c>
      <c r="L2438" s="6">
        <v>2280.0</v>
      </c>
      <c r="M2438" s="26" t="s">
        <v>114</v>
      </c>
      <c r="N2438" s="26" t="s">
        <v>114</v>
      </c>
      <c r="O2438" s="6" t="s">
        <v>214</v>
      </c>
      <c r="P2438" s="5" t="s">
        <v>41</v>
      </c>
      <c r="Q2438" s="5"/>
      <c r="R2438" s="6" t="s">
        <v>42</v>
      </c>
      <c r="S2438" s="5" t="s">
        <v>138</v>
      </c>
      <c r="T2438" s="5" t="s">
        <v>44</v>
      </c>
      <c r="U2438" s="5" t="s">
        <v>2112</v>
      </c>
      <c r="V2438" s="5" t="s">
        <v>44</v>
      </c>
      <c r="W2438" s="5" t="s">
        <v>36</v>
      </c>
      <c r="X2438" s="8" t="s">
        <v>278</v>
      </c>
      <c r="Y2438" s="5" t="s">
        <v>46</v>
      </c>
      <c r="Z2438" s="5" t="s">
        <v>47</v>
      </c>
      <c r="AA2438" s="5" t="s">
        <v>48</v>
      </c>
      <c r="AB2438" s="5" t="s">
        <v>11902</v>
      </c>
      <c r="AC2438" s="6" t="s">
        <v>71</v>
      </c>
      <c r="AD2438" s="6">
        <v>3980.0</v>
      </c>
    </row>
    <row r="2439" ht="56.25" customHeight="1">
      <c r="A2439" s="5" t="s">
        <v>11885</v>
      </c>
      <c r="B2439" s="6" t="str">
        <f>IMAGE("https://storage.googleapis.com/acdb/housewares/FtrShellTableL_Remake_4_0.png")</f>
        <v/>
      </c>
      <c r="C2439" s="5" t="s">
        <v>106</v>
      </c>
      <c r="D2439" s="5" t="s">
        <v>5216</v>
      </c>
      <c r="E2439" s="5" t="s">
        <v>34</v>
      </c>
      <c r="F2439" s="5" t="s">
        <v>34</v>
      </c>
      <c r="G2439" s="5" t="s">
        <v>35</v>
      </c>
      <c r="H2439" s="5" t="s">
        <v>35</v>
      </c>
      <c r="I2439" s="5" t="s">
        <v>36</v>
      </c>
      <c r="J2439" s="6">
        <v>4.0</v>
      </c>
      <c r="K2439" s="6" t="s">
        <v>37</v>
      </c>
      <c r="L2439" s="6">
        <v>2280.0</v>
      </c>
      <c r="M2439" s="26" t="s">
        <v>106</v>
      </c>
      <c r="N2439" s="26" t="s">
        <v>106</v>
      </c>
      <c r="O2439" s="6" t="s">
        <v>214</v>
      </c>
      <c r="P2439" s="5" t="s">
        <v>41</v>
      </c>
      <c r="Q2439" s="5"/>
      <c r="R2439" s="6" t="s">
        <v>42</v>
      </c>
      <c r="S2439" s="5" t="s">
        <v>138</v>
      </c>
      <c r="T2439" s="5" t="s">
        <v>44</v>
      </c>
      <c r="U2439" s="5" t="s">
        <v>2112</v>
      </c>
      <c r="V2439" s="5" t="s">
        <v>44</v>
      </c>
      <c r="W2439" s="5" t="s">
        <v>36</v>
      </c>
      <c r="X2439" s="8" t="s">
        <v>278</v>
      </c>
      <c r="Y2439" s="5" t="s">
        <v>46</v>
      </c>
      <c r="Z2439" s="5" t="s">
        <v>47</v>
      </c>
      <c r="AA2439" s="5" t="s">
        <v>48</v>
      </c>
      <c r="AB2439" s="5" t="s">
        <v>11905</v>
      </c>
      <c r="AC2439" s="6" t="s">
        <v>75</v>
      </c>
      <c r="AD2439" s="6">
        <v>3980.0</v>
      </c>
    </row>
    <row r="2440" ht="56.25" customHeight="1">
      <c r="A2440" s="5" t="s">
        <v>11885</v>
      </c>
      <c r="B2440" s="6" t="str">
        <f>IMAGE("https://storage.googleapis.com/acdb/housewares/FtrShellTableL_Remake_5_0.png")</f>
        <v/>
      </c>
      <c r="C2440" s="5" t="s">
        <v>5239</v>
      </c>
      <c r="D2440" s="5" t="s">
        <v>5216</v>
      </c>
      <c r="E2440" s="5" t="s">
        <v>34</v>
      </c>
      <c r="F2440" s="5" t="s">
        <v>34</v>
      </c>
      <c r="G2440" s="5" t="s">
        <v>35</v>
      </c>
      <c r="H2440" s="5" t="s">
        <v>35</v>
      </c>
      <c r="I2440" s="5" t="s">
        <v>36</v>
      </c>
      <c r="J2440" s="6">
        <v>4.0</v>
      </c>
      <c r="K2440" s="6" t="s">
        <v>37</v>
      </c>
      <c r="L2440" s="6">
        <v>2280.0</v>
      </c>
      <c r="M2440" s="26" t="s">
        <v>57</v>
      </c>
      <c r="N2440" s="26" t="s">
        <v>57</v>
      </c>
      <c r="O2440" s="6" t="s">
        <v>214</v>
      </c>
      <c r="P2440" s="5" t="s">
        <v>41</v>
      </c>
      <c r="Q2440" s="5"/>
      <c r="R2440" s="6" t="s">
        <v>42</v>
      </c>
      <c r="S2440" s="5" t="s">
        <v>138</v>
      </c>
      <c r="T2440" s="5" t="s">
        <v>44</v>
      </c>
      <c r="U2440" s="5" t="s">
        <v>2112</v>
      </c>
      <c r="V2440" s="5" t="s">
        <v>44</v>
      </c>
      <c r="W2440" s="5" t="s">
        <v>36</v>
      </c>
      <c r="X2440" s="8" t="s">
        <v>278</v>
      </c>
      <c r="Y2440" s="5" t="s">
        <v>46</v>
      </c>
      <c r="Z2440" s="5" t="s">
        <v>47</v>
      </c>
      <c r="AA2440" s="5" t="s">
        <v>48</v>
      </c>
      <c r="AB2440" s="5" t="s">
        <v>11909</v>
      </c>
      <c r="AC2440" s="6" t="s">
        <v>79</v>
      </c>
      <c r="AD2440" s="6">
        <v>3980.0</v>
      </c>
    </row>
    <row r="2441" ht="56.25" customHeight="1">
      <c r="A2441" s="5" t="s">
        <v>11910</v>
      </c>
      <c r="B2441" s="6" t="str">
        <f>IMAGE("https://storage.googleapis.com/acdb/housewares/FtrShowerboothSquare_Remake_0_0.png")</f>
        <v/>
      </c>
      <c r="C2441" s="5" t="s">
        <v>57</v>
      </c>
      <c r="D2441" s="5" t="s">
        <v>34</v>
      </c>
      <c r="E2441" s="5" t="s">
        <v>34</v>
      </c>
      <c r="F2441" s="5" t="s">
        <v>34</v>
      </c>
      <c r="G2441" s="5" t="s">
        <v>36</v>
      </c>
      <c r="H2441" s="5" t="s">
        <v>36</v>
      </c>
      <c r="I2441" s="5" t="s">
        <v>36</v>
      </c>
      <c r="J2441" s="6" t="s">
        <v>34</v>
      </c>
      <c r="K2441" s="6">
        <v>110000.0</v>
      </c>
      <c r="L2441" s="6">
        <v>27500.0</v>
      </c>
      <c r="M2441" s="26" t="s">
        <v>57</v>
      </c>
      <c r="N2441" s="26" t="s">
        <v>57</v>
      </c>
      <c r="O2441" s="6" t="s">
        <v>1243</v>
      </c>
      <c r="P2441" s="5" t="s">
        <v>59</v>
      </c>
      <c r="Q2441" s="5" t="s">
        <v>115</v>
      </c>
      <c r="R2441" s="6" t="s">
        <v>42</v>
      </c>
      <c r="S2441" s="5" t="s">
        <v>288</v>
      </c>
      <c r="T2441" s="5" t="s">
        <v>44</v>
      </c>
      <c r="U2441" s="5" t="s">
        <v>44</v>
      </c>
      <c r="V2441" s="5" t="s">
        <v>44</v>
      </c>
      <c r="W2441" s="5" t="s">
        <v>36</v>
      </c>
      <c r="X2441" s="8" t="s">
        <v>1968</v>
      </c>
      <c r="Y2441" s="5" t="s">
        <v>46</v>
      </c>
      <c r="Z2441" s="5" t="s">
        <v>47</v>
      </c>
      <c r="AA2441" s="5" t="s">
        <v>64</v>
      </c>
      <c r="AB2441" s="5" t="s">
        <v>11913</v>
      </c>
      <c r="AC2441" s="6" t="s">
        <v>50</v>
      </c>
      <c r="AD2441" s="6">
        <v>4015.0</v>
      </c>
    </row>
    <row r="2442" ht="56.25" customHeight="1">
      <c r="A2442" s="5" t="s">
        <v>11910</v>
      </c>
      <c r="B2442" s="6" t="str">
        <f>IMAGE("https://storage.googleapis.com/acdb/housewares/FtrShowerboothSquare_Remake_1_0.png")</f>
        <v/>
      </c>
      <c r="C2442" s="5" t="s">
        <v>69</v>
      </c>
      <c r="D2442" s="5" t="s">
        <v>34</v>
      </c>
      <c r="E2442" s="5" t="s">
        <v>34</v>
      </c>
      <c r="F2442" s="5" t="s">
        <v>34</v>
      </c>
      <c r="G2442" s="5" t="s">
        <v>36</v>
      </c>
      <c r="H2442" s="5" t="s">
        <v>36</v>
      </c>
      <c r="I2442" s="5" t="s">
        <v>36</v>
      </c>
      <c r="J2442" s="6" t="s">
        <v>34</v>
      </c>
      <c r="K2442" s="6">
        <v>110000.0</v>
      </c>
      <c r="L2442" s="6">
        <v>27500.0</v>
      </c>
      <c r="M2442" s="26" t="s">
        <v>69</v>
      </c>
      <c r="N2442" s="26" t="s">
        <v>57</v>
      </c>
      <c r="O2442" s="6" t="s">
        <v>1243</v>
      </c>
      <c r="P2442" s="5" t="s">
        <v>59</v>
      </c>
      <c r="Q2442" s="5" t="s">
        <v>115</v>
      </c>
      <c r="R2442" s="6" t="s">
        <v>42</v>
      </c>
      <c r="S2442" s="5" t="s">
        <v>288</v>
      </c>
      <c r="T2442" s="5" t="s">
        <v>44</v>
      </c>
      <c r="U2442" s="5" t="s">
        <v>44</v>
      </c>
      <c r="V2442" s="5" t="s">
        <v>44</v>
      </c>
      <c r="W2442" s="5" t="s">
        <v>36</v>
      </c>
      <c r="X2442" s="8" t="s">
        <v>1968</v>
      </c>
      <c r="Y2442" s="5" t="s">
        <v>46</v>
      </c>
      <c r="Z2442" s="5" t="s">
        <v>47</v>
      </c>
      <c r="AA2442" s="5" t="s">
        <v>64</v>
      </c>
      <c r="AB2442" s="5" t="s">
        <v>11917</v>
      </c>
      <c r="AC2442" s="6" t="s">
        <v>56</v>
      </c>
      <c r="AD2442" s="6">
        <v>4015.0</v>
      </c>
    </row>
    <row r="2443" ht="56.25" customHeight="1">
      <c r="A2443" s="5" t="s">
        <v>11910</v>
      </c>
      <c r="B2443" s="6" t="str">
        <f>IMAGE("https://storage.googleapis.com/acdb/housewares/FtrShowerboothSquare_Remake_2_0.png")</f>
        <v/>
      </c>
      <c r="C2443" s="5" t="s">
        <v>68</v>
      </c>
      <c r="D2443" s="5" t="s">
        <v>34</v>
      </c>
      <c r="E2443" s="5" t="s">
        <v>34</v>
      </c>
      <c r="F2443" s="5" t="s">
        <v>34</v>
      </c>
      <c r="G2443" s="5" t="s">
        <v>36</v>
      </c>
      <c r="H2443" s="5" t="s">
        <v>36</v>
      </c>
      <c r="I2443" s="5" t="s">
        <v>36</v>
      </c>
      <c r="J2443" s="6" t="s">
        <v>34</v>
      </c>
      <c r="K2443" s="6">
        <v>110000.0</v>
      </c>
      <c r="L2443" s="6">
        <v>27500.0</v>
      </c>
      <c r="M2443" s="26" t="s">
        <v>1175</v>
      </c>
      <c r="N2443" s="26" t="s">
        <v>57</v>
      </c>
      <c r="O2443" s="6" t="s">
        <v>1243</v>
      </c>
      <c r="P2443" s="5" t="s">
        <v>59</v>
      </c>
      <c r="Q2443" s="5" t="s">
        <v>115</v>
      </c>
      <c r="R2443" s="6" t="s">
        <v>42</v>
      </c>
      <c r="S2443" s="5" t="s">
        <v>288</v>
      </c>
      <c r="T2443" s="5" t="s">
        <v>44</v>
      </c>
      <c r="U2443" s="5" t="s">
        <v>44</v>
      </c>
      <c r="V2443" s="5" t="s">
        <v>44</v>
      </c>
      <c r="W2443" s="5" t="s">
        <v>36</v>
      </c>
      <c r="X2443" s="8" t="s">
        <v>1968</v>
      </c>
      <c r="Y2443" s="5" t="s">
        <v>46</v>
      </c>
      <c r="Z2443" s="5" t="s">
        <v>47</v>
      </c>
      <c r="AA2443" s="5" t="s">
        <v>64</v>
      </c>
      <c r="AB2443" s="5" t="s">
        <v>11920</v>
      </c>
      <c r="AC2443" s="6" t="s">
        <v>67</v>
      </c>
      <c r="AD2443" s="6">
        <v>4015.0</v>
      </c>
    </row>
    <row r="2444" ht="56.25" customHeight="1">
      <c r="A2444" s="5" t="s">
        <v>11910</v>
      </c>
      <c r="B2444" s="6" t="str">
        <f>IMAGE("https://storage.googleapis.com/acdb/housewares/FtrShowerboothSquare_Remake_3_0.png")</f>
        <v/>
      </c>
      <c r="C2444" s="5" t="s">
        <v>54</v>
      </c>
      <c r="D2444" s="5" t="s">
        <v>34</v>
      </c>
      <c r="E2444" s="5" t="s">
        <v>34</v>
      </c>
      <c r="F2444" s="5" t="s">
        <v>34</v>
      </c>
      <c r="G2444" s="5" t="s">
        <v>36</v>
      </c>
      <c r="H2444" s="5" t="s">
        <v>36</v>
      </c>
      <c r="I2444" s="5" t="s">
        <v>36</v>
      </c>
      <c r="J2444" s="6" t="s">
        <v>34</v>
      </c>
      <c r="K2444" s="6">
        <v>110000.0</v>
      </c>
      <c r="L2444" s="6">
        <v>27500.0</v>
      </c>
      <c r="M2444" s="26" t="s">
        <v>95</v>
      </c>
      <c r="N2444" s="26" t="s">
        <v>57</v>
      </c>
      <c r="O2444" s="6" t="s">
        <v>1243</v>
      </c>
      <c r="P2444" s="5" t="s">
        <v>59</v>
      </c>
      <c r="Q2444" s="5" t="s">
        <v>115</v>
      </c>
      <c r="R2444" s="6" t="s">
        <v>42</v>
      </c>
      <c r="S2444" s="5" t="s">
        <v>288</v>
      </c>
      <c r="T2444" s="5" t="s">
        <v>44</v>
      </c>
      <c r="U2444" s="5" t="s">
        <v>44</v>
      </c>
      <c r="V2444" s="5" t="s">
        <v>44</v>
      </c>
      <c r="W2444" s="5" t="s">
        <v>36</v>
      </c>
      <c r="X2444" s="8" t="s">
        <v>1968</v>
      </c>
      <c r="Y2444" s="5" t="s">
        <v>46</v>
      </c>
      <c r="Z2444" s="5" t="s">
        <v>47</v>
      </c>
      <c r="AA2444" s="5" t="s">
        <v>64</v>
      </c>
      <c r="AB2444" s="5" t="s">
        <v>11925</v>
      </c>
      <c r="AC2444" s="6" t="s">
        <v>71</v>
      </c>
      <c r="AD2444" s="6">
        <v>4015.0</v>
      </c>
    </row>
    <row r="2445" ht="56.25" customHeight="1">
      <c r="A2445" s="5" t="s">
        <v>11926</v>
      </c>
      <c r="B2445" s="6" t="str">
        <f>IMAGE("https://storage.googleapis.com/acdb/housewares/FtrSignpost_Remake_0_0.png")</f>
        <v/>
      </c>
      <c r="C2445" s="5" t="s">
        <v>170</v>
      </c>
      <c r="D2445" s="5" t="s">
        <v>171</v>
      </c>
      <c r="E2445" s="5" t="s">
        <v>34</v>
      </c>
      <c r="F2445" s="5" t="s">
        <v>34</v>
      </c>
      <c r="G2445" s="5" t="s">
        <v>35</v>
      </c>
      <c r="H2445" s="5" t="s">
        <v>35</v>
      </c>
      <c r="I2445" s="5" t="s">
        <v>36</v>
      </c>
      <c r="J2445" s="6">
        <v>1.0</v>
      </c>
      <c r="K2445" s="6" t="s">
        <v>37</v>
      </c>
      <c r="L2445" s="6">
        <v>600.0</v>
      </c>
      <c r="M2445" s="26" t="s">
        <v>38</v>
      </c>
      <c r="N2445" s="26" t="s">
        <v>39</v>
      </c>
      <c r="O2445" s="6" t="s">
        <v>40</v>
      </c>
      <c r="P2445" s="5" t="s">
        <v>41</v>
      </c>
      <c r="Q2445" s="5"/>
      <c r="R2445" s="6" t="s">
        <v>42</v>
      </c>
      <c r="S2445" s="5" t="s">
        <v>172</v>
      </c>
      <c r="T2445" s="5" t="s">
        <v>44</v>
      </c>
      <c r="U2445" s="5" t="s">
        <v>44</v>
      </c>
      <c r="V2445" s="5" t="s">
        <v>44</v>
      </c>
      <c r="W2445" s="5" t="s">
        <v>36</v>
      </c>
      <c r="X2445" s="8" t="s">
        <v>395</v>
      </c>
      <c r="Y2445" s="5" t="s">
        <v>46</v>
      </c>
      <c r="Z2445" s="5" t="s">
        <v>47</v>
      </c>
      <c r="AA2445" s="5" t="s">
        <v>48</v>
      </c>
      <c r="AB2445" s="5" t="s">
        <v>11930</v>
      </c>
      <c r="AC2445" s="6" t="s">
        <v>50</v>
      </c>
      <c r="AD2445" s="6">
        <v>3588.0</v>
      </c>
    </row>
    <row r="2446" ht="56.25" customHeight="1">
      <c r="A2446" s="5" t="s">
        <v>11926</v>
      </c>
      <c r="B2446" s="6" t="str">
        <f>IMAGE("https://storage.googleapis.com/acdb/housewares/FtrSignpost_Remake_1_0.png")</f>
        <v/>
      </c>
      <c r="C2446" s="5" t="s">
        <v>178</v>
      </c>
      <c r="D2446" s="5" t="s">
        <v>171</v>
      </c>
      <c r="E2446" s="5" t="s">
        <v>34</v>
      </c>
      <c r="F2446" s="5" t="s">
        <v>34</v>
      </c>
      <c r="G2446" s="5" t="s">
        <v>35</v>
      </c>
      <c r="H2446" s="5" t="s">
        <v>35</v>
      </c>
      <c r="I2446" s="5" t="s">
        <v>36</v>
      </c>
      <c r="J2446" s="6">
        <v>1.0</v>
      </c>
      <c r="K2446" s="6" t="s">
        <v>37</v>
      </c>
      <c r="L2446" s="6">
        <v>600.0</v>
      </c>
      <c r="M2446" s="26" t="s">
        <v>38</v>
      </c>
      <c r="N2446" s="26" t="s">
        <v>39</v>
      </c>
      <c r="O2446" s="6" t="s">
        <v>40</v>
      </c>
      <c r="P2446" s="5" t="s">
        <v>41</v>
      </c>
      <c r="Q2446" s="5"/>
      <c r="R2446" s="6" t="s">
        <v>42</v>
      </c>
      <c r="S2446" s="5" t="s">
        <v>172</v>
      </c>
      <c r="T2446" s="5" t="s">
        <v>44</v>
      </c>
      <c r="U2446" s="5" t="s">
        <v>44</v>
      </c>
      <c r="V2446" s="5" t="s">
        <v>44</v>
      </c>
      <c r="W2446" s="5" t="s">
        <v>36</v>
      </c>
      <c r="X2446" s="8" t="s">
        <v>395</v>
      </c>
      <c r="Y2446" s="5" t="s">
        <v>46</v>
      </c>
      <c r="Z2446" s="5" t="s">
        <v>47</v>
      </c>
      <c r="AA2446" s="5" t="s">
        <v>48</v>
      </c>
      <c r="AB2446" s="5" t="s">
        <v>11934</v>
      </c>
      <c r="AC2446" s="6" t="s">
        <v>56</v>
      </c>
      <c r="AD2446" s="6">
        <v>3588.0</v>
      </c>
    </row>
    <row r="2447" ht="56.25" customHeight="1">
      <c r="A2447" s="5" t="s">
        <v>11926</v>
      </c>
      <c r="B2447" s="6" t="str">
        <f>IMAGE("https://storage.googleapis.com/acdb/housewares/FtrSignpost_Remake_2_0.png")</f>
        <v/>
      </c>
      <c r="C2447" s="5" t="s">
        <v>183</v>
      </c>
      <c r="D2447" s="5" t="s">
        <v>171</v>
      </c>
      <c r="E2447" s="5" t="s">
        <v>34</v>
      </c>
      <c r="F2447" s="5" t="s">
        <v>34</v>
      </c>
      <c r="G2447" s="5" t="s">
        <v>35</v>
      </c>
      <c r="H2447" s="5" t="s">
        <v>35</v>
      </c>
      <c r="I2447" s="5" t="s">
        <v>36</v>
      </c>
      <c r="J2447" s="6">
        <v>1.0</v>
      </c>
      <c r="K2447" s="6" t="s">
        <v>37</v>
      </c>
      <c r="L2447" s="6">
        <v>600.0</v>
      </c>
      <c r="M2447" s="26" t="s">
        <v>38</v>
      </c>
      <c r="N2447" s="26" t="s">
        <v>39</v>
      </c>
      <c r="O2447" s="6" t="s">
        <v>40</v>
      </c>
      <c r="P2447" s="5" t="s">
        <v>41</v>
      </c>
      <c r="Q2447" s="5"/>
      <c r="R2447" s="6" t="s">
        <v>42</v>
      </c>
      <c r="S2447" s="5" t="s">
        <v>172</v>
      </c>
      <c r="T2447" s="5" t="s">
        <v>44</v>
      </c>
      <c r="U2447" s="5" t="s">
        <v>44</v>
      </c>
      <c r="V2447" s="5" t="s">
        <v>44</v>
      </c>
      <c r="W2447" s="5" t="s">
        <v>36</v>
      </c>
      <c r="X2447" s="8" t="s">
        <v>395</v>
      </c>
      <c r="Y2447" s="5" t="s">
        <v>46</v>
      </c>
      <c r="Z2447" s="5" t="s">
        <v>47</v>
      </c>
      <c r="AA2447" s="5" t="s">
        <v>48</v>
      </c>
      <c r="AB2447" s="5" t="s">
        <v>11937</v>
      </c>
      <c r="AC2447" s="6" t="s">
        <v>67</v>
      </c>
      <c r="AD2447" s="6">
        <v>3588.0</v>
      </c>
    </row>
    <row r="2448" ht="56.25" customHeight="1">
      <c r="A2448" s="5" t="s">
        <v>11926</v>
      </c>
      <c r="B2448" s="6" t="str">
        <f>IMAGE("https://storage.googleapis.com/acdb/housewares/FtrSignpost_Remake_3_0.png")</f>
        <v/>
      </c>
      <c r="C2448" s="5" t="s">
        <v>188</v>
      </c>
      <c r="D2448" s="5" t="s">
        <v>171</v>
      </c>
      <c r="E2448" s="5" t="s">
        <v>34</v>
      </c>
      <c r="F2448" s="5" t="s">
        <v>34</v>
      </c>
      <c r="G2448" s="5" t="s">
        <v>35</v>
      </c>
      <c r="H2448" s="5" t="s">
        <v>35</v>
      </c>
      <c r="I2448" s="5" t="s">
        <v>36</v>
      </c>
      <c r="J2448" s="6">
        <v>1.0</v>
      </c>
      <c r="K2448" s="6" t="s">
        <v>37</v>
      </c>
      <c r="L2448" s="6">
        <v>600.0</v>
      </c>
      <c r="M2448" s="26" t="s">
        <v>38</v>
      </c>
      <c r="N2448" s="26" t="s">
        <v>39</v>
      </c>
      <c r="O2448" s="6" t="s">
        <v>40</v>
      </c>
      <c r="P2448" s="5" t="s">
        <v>41</v>
      </c>
      <c r="Q2448" s="5"/>
      <c r="R2448" s="6" t="s">
        <v>42</v>
      </c>
      <c r="S2448" s="5" t="s">
        <v>172</v>
      </c>
      <c r="T2448" s="5" t="s">
        <v>44</v>
      </c>
      <c r="U2448" s="5" t="s">
        <v>44</v>
      </c>
      <c r="V2448" s="5" t="s">
        <v>44</v>
      </c>
      <c r="W2448" s="5" t="s">
        <v>36</v>
      </c>
      <c r="X2448" s="8" t="s">
        <v>395</v>
      </c>
      <c r="Y2448" s="5" t="s">
        <v>46</v>
      </c>
      <c r="Z2448" s="5" t="s">
        <v>47</v>
      </c>
      <c r="AA2448" s="5" t="s">
        <v>48</v>
      </c>
      <c r="AB2448" s="5" t="s">
        <v>11941</v>
      </c>
      <c r="AC2448" s="6" t="s">
        <v>71</v>
      </c>
      <c r="AD2448" s="6">
        <v>3588.0</v>
      </c>
    </row>
    <row r="2449" ht="56.25" customHeight="1">
      <c r="A2449" s="5" t="s">
        <v>11926</v>
      </c>
      <c r="B2449" s="6" t="str">
        <f>IMAGE("https://storage.googleapis.com/acdb/housewares/FtrSignpost_Remake_4_0.png")</f>
        <v/>
      </c>
      <c r="C2449" s="5" t="s">
        <v>192</v>
      </c>
      <c r="D2449" s="5" t="s">
        <v>171</v>
      </c>
      <c r="E2449" s="5" t="s">
        <v>34</v>
      </c>
      <c r="F2449" s="5" t="s">
        <v>34</v>
      </c>
      <c r="G2449" s="5" t="s">
        <v>35</v>
      </c>
      <c r="H2449" s="5" t="s">
        <v>35</v>
      </c>
      <c r="I2449" s="5" t="s">
        <v>36</v>
      </c>
      <c r="J2449" s="6">
        <v>1.0</v>
      </c>
      <c r="K2449" s="6" t="s">
        <v>37</v>
      </c>
      <c r="L2449" s="6">
        <v>600.0</v>
      </c>
      <c r="M2449" s="26" t="s">
        <v>38</v>
      </c>
      <c r="N2449" s="26" t="s">
        <v>39</v>
      </c>
      <c r="O2449" s="6" t="s">
        <v>40</v>
      </c>
      <c r="P2449" s="5" t="s">
        <v>41</v>
      </c>
      <c r="Q2449" s="5"/>
      <c r="R2449" s="6" t="s">
        <v>42</v>
      </c>
      <c r="S2449" s="5" t="s">
        <v>172</v>
      </c>
      <c r="T2449" s="5" t="s">
        <v>44</v>
      </c>
      <c r="U2449" s="5" t="s">
        <v>44</v>
      </c>
      <c r="V2449" s="5" t="s">
        <v>44</v>
      </c>
      <c r="W2449" s="5" t="s">
        <v>36</v>
      </c>
      <c r="X2449" s="8" t="s">
        <v>395</v>
      </c>
      <c r="Y2449" s="5" t="s">
        <v>46</v>
      </c>
      <c r="Z2449" s="5" t="s">
        <v>47</v>
      </c>
      <c r="AA2449" s="5" t="s">
        <v>48</v>
      </c>
      <c r="AB2449" s="5" t="s">
        <v>11944</v>
      </c>
      <c r="AC2449" s="6" t="s">
        <v>75</v>
      </c>
      <c r="AD2449" s="6">
        <v>3588.0</v>
      </c>
    </row>
    <row r="2450" ht="56.25" customHeight="1">
      <c r="A2450" s="5" t="s">
        <v>11926</v>
      </c>
      <c r="B2450" s="6" t="str">
        <f>IMAGE("https://storage.googleapis.com/acdb/housewares/FtrSignpost_Remake_5_0.png")</f>
        <v/>
      </c>
      <c r="C2450" s="5" t="s">
        <v>194</v>
      </c>
      <c r="D2450" s="5" t="s">
        <v>171</v>
      </c>
      <c r="E2450" s="5" t="s">
        <v>34</v>
      </c>
      <c r="F2450" s="5" t="s">
        <v>34</v>
      </c>
      <c r="G2450" s="5" t="s">
        <v>35</v>
      </c>
      <c r="H2450" s="5" t="s">
        <v>35</v>
      </c>
      <c r="I2450" s="5" t="s">
        <v>36</v>
      </c>
      <c r="J2450" s="6">
        <v>1.0</v>
      </c>
      <c r="K2450" s="6" t="s">
        <v>37</v>
      </c>
      <c r="L2450" s="6">
        <v>600.0</v>
      </c>
      <c r="M2450" s="26" t="s">
        <v>38</v>
      </c>
      <c r="N2450" s="26" t="s">
        <v>39</v>
      </c>
      <c r="O2450" s="6" t="s">
        <v>40</v>
      </c>
      <c r="P2450" s="5" t="s">
        <v>41</v>
      </c>
      <c r="Q2450" s="5"/>
      <c r="R2450" s="6" t="s">
        <v>42</v>
      </c>
      <c r="S2450" s="5" t="s">
        <v>172</v>
      </c>
      <c r="T2450" s="5" t="s">
        <v>44</v>
      </c>
      <c r="U2450" s="5" t="s">
        <v>44</v>
      </c>
      <c r="V2450" s="5" t="s">
        <v>44</v>
      </c>
      <c r="W2450" s="5" t="s">
        <v>36</v>
      </c>
      <c r="X2450" s="8" t="s">
        <v>395</v>
      </c>
      <c r="Y2450" s="5" t="s">
        <v>46</v>
      </c>
      <c r="Z2450" s="5" t="s">
        <v>47</v>
      </c>
      <c r="AA2450" s="5" t="s">
        <v>48</v>
      </c>
      <c r="AB2450" s="5" t="s">
        <v>11949</v>
      </c>
      <c r="AC2450" s="6" t="s">
        <v>79</v>
      </c>
      <c r="AD2450" s="6">
        <v>3588.0</v>
      </c>
    </row>
    <row r="2451" ht="56.25" customHeight="1">
      <c r="A2451" s="5" t="s">
        <v>11926</v>
      </c>
      <c r="B2451" s="6" t="str">
        <f>IMAGE("https://storage.googleapis.com/acdb/housewares/FtrSignpost_Remake_6_0.png")</f>
        <v/>
      </c>
      <c r="C2451" s="5" t="s">
        <v>201</v>
      </c>
      <c r="D2451" s="5" t="s">
        <v>171</v>
      </c>
      <c r="E2451" s="5" t="s">
        <v>34</v>
      </c>
      <c r="F2451" s="5" t="s">
        <v>34</v>
      </c>
      <c r="G2451" s="5" t="s">
        <v>35</v>
      </c>
      <c r="H2451" s="5" t="s">
        <v>35</v>
      </c>
      <c r="I2451" s="5" t="s">
        <v>36</v>
      </c>
      <c r="J2451" s="6">
        <v>1.0</v>
      </c>
      <c r="K2451" s="6" t="s">
        <v>37</v>
      </c>
      <c r="L2451" s="6">
        <v>600.0</v>
      </c>
      <c r="M2451" s="26" t="s">
        <v>38</v>
      </c>
      <c r="N2451" s="26" t="s">
        <v>39</v>
      </c>
      <c r="O2451" s="6" t="s">
        <v>40</v>
      </c>
      <c r="P2451" s="5" t="s">
        <v>41</v>
      </c>
      <c r="Q2451" s="5"/>
      <c r="R2451" s="6" t="s">
        <v>42</v>
      </c>
      <c r="S2451" s="5" t="s">
        <v>172</v>
      </c>
      <c r="T2451" s="5" t="s">
        <v>44</v>
      </c>
      <c r="U2451" s="5" t="s">
        <v>44</v>
      </c>
      <c r="V2451" s="5" t="s">
        <v>44</v>
      </c>
      <c r="W2451" s="5" t="s">
        <v>36</v>
      </c>
      <c r="X2451" s="8" t="s">
        <v>395</v>
      </c>
      <c r="Y2451" s="5" t="s">
        <v>46</v>
      </c>
      <c r="Z2451" s="5" t="s">
        <v>47</v>
      </c>
      <c r="AA2451" s="5" t="s">
        <v>48</v>
      </c>
      <c r="AB2451" s="5" t="s">
        <v>11952</v>
      </c>
      <c r="AC2451" s="6" t="s">
        <v>86</v>
      </c>
      <c r="AD2451" s="6">
        <v>3588.0</v>
      </c>
    </row>
    <row r="2452" ht="56.25" customHeight="1">
      <c r="A2452" s="5" t="s">
        <v>11926</v>
      </c>
      <c r="B2452" s="6" t="str">
        <f>IMAGE("https://storage.googleapis.com/acdb/housewares/FtrSignpost_Remake_7_0.png")</f>
        <v/>
      </c>
      <c r="C2452" s="5" t="s">
        <v>206</v>
      </c>
      <c r="D2452" s="5" t="s">
        <v>171</v>
      </c>
      <c r="E2452" s="5" t="s">
        <v>34</v>
      </c>
      <c r="F2452" s="5" t="s">
        <v>34</v>
      </c>
      <c r="G2452" s="5" t="s">
        <v>35</v>
      </c>
      <c r="H2452" s="5" t="s">
        <v>35</v>
      </c>
      <c r="I2452" s="5" t="s">
        <v>36</v>
      </c>
      <c r="J2452" s="6">
        <v>1.0</v>
      </c>
      <c r="K2452" s="6" t="s">
        <v>37</v>
      </c>
      <c r="L2452" s="6">
        <v>600.0</v>
      </c>
      <c r="M2452" s="26" t="s">
        <v>38</v>
      </c>
      <c r="N2452" s="26" t="s">
        <v>39</v>
      </c>
      <c r="O2452" s="6" t="s">
        <v>40</v>
      </c>
      <c r="P2452" s="5" t="s">
        <v>41</v>
      </c>
      <c r="Q2452" s="5"/>
      <c r="R2452" s="6" t="s">
        <v>42</v>
      </c>
      <c r="S2452" s="5" t="s">
        <v>172</v>
      </c>
      <c r="T2452" s="5" t="s">
        <v>44</v>
      </c>
      <c r="U2452" s="5" t="s">
        <v>44</v>
      </c>
      <c r="V2452" s="5" t="s">
        <v>44</v>
      </c>
      <c r="W2452" s="5" t="s">
        <v>36</v>
      </c>
      <c r="X2452" s="8" t="s">
        <v>395</v>
      </c>
      <c r="Y2452" s="5" t="s">
        <v>46</v>
      </c>
      <c r="Z2452" s="5" t="s">
        <v>47</v>
      </c>
      <c r="AA2452" s="5" t="s">
        <v>48</v>
      </c>
      <c r="AB2452" s="5" t="s">
        <v>11955</v>
      </c>
      <c r="AC2452" s="6" t="s">
        <v>208</v>
      </c>
      <c r="AD2452" s="6">
        <v>3588.0</v>
      </c>
    </row>
    <row r="2453" ht="56.25" customHeight="1">
      <c r="A2453" s="5" t="s">
        <v>11956</v>
      </c>
      <c r="B2453" s="6" t="str">
        <f>IMAGE("https://storage.googleapis.com/acdb/housewares/FtrSilo_Remake_0_0.png")</f>
        <v/>
      </c>
      <c r="C2453" s="5" t="s">
        <v>11958</v>
      </c>
      <c r="D2453" s="5" t="s">
        <v>11959</v>
      </c>
      <c r="E2453" s="5" t="s">
        <v>34</v>
      </c>
      <c r="F2453" s="5" t="s">
        <v>34</v>
      </c>
      <c r="G2453" s="5" t="s">
        <v>35</v>
      </c>
      <c r="H2453" s="5" t="s">
        <v>35</v>
      </c>
      <c r="I2453" s="5" t="s">
        <v>36</v>
      </c>
      <c r="J2453" s="6">
        <v>7.0</v>
      </c>
      <c r="K2453" s="6" t="s">
        <v>37</v>
      </c>
      <c r="L2453" s="6">
        <v>13920.0</v>
      </c>
      <c r="M2453" s="26" t="s">
        <v>52</v>
      </c>
      <c r="N2453" s="26" t="s">
        <v>39</v>
      </c>
      <c r="O2453" s="6" t="s">
        <v>214</v>
      </c>
      <c r="P2453" s="5" t="s">
        <v>41</v>
      </c>
      <c r="Q2453" s="5"/>
      <c r="R2453" s="6" t="s">
        <v>42</v>
      </c>
      <c r="S2453" s="5" t="s">
        <v>172</v>
      </c>
      <c r="T2453" s="5" t="s">
        <v>44</v>
      </c>
      <c r="U2453" s="5" t="s">
        <v>44</v>
      </c>
      <c r="V2453" s="5" t="s">
        <v>44</v>
      </c>
      <c r="W2453" s="5" t="s">
        <v>36</v>
      </c>
      <c r="X2453" s="8" t="s">
        <v>395</v>
      </c>
      <c r="Y2453" s="5" t="s">
        <v>46</v>
      </c>
      <c r="Z2453" s="5" t="s">
        <v>47</v>
      </c>
      <c r="AA2453" s="5" t="s">
        <v>48</v>
      </c>
      <c r="AB2453" s="5" t="s">
        <v>11961</v>
      </c>
      <c r="AC2453" s="6" t="s">
        <v>50</v>
      </c>
      <c r="AD2453" s="6">
        <v>7247.0</v>
      </c>
    </row>
    <row r="2454" ht="56.25" customHeight="1">
      <c r="A2454" s="5" t="s">
        <v>11956</v>
      </c>
      <c r="B2454" s="6" t="str">
        <f>IMAGE("https://storage.googleapis.com/acdb/housewares/FtrSilo_Remake_1_0.png")</f>
        <v/>
      </c>
      <c r="C2454" s="5" t="s">
        <v>11963</v>
      </c>
      <c r="D2454" s="5" t="s">
        <v>11959</v>
      </c>
      <c r="E2454" s="5" t="s">
        <v>34</v>
      </c>
      <c r="F2454" s="5" t="s">
        <v>34</v>
      </c>
      <c r="G2454" s="5" t="s">
        <v>35</v>
      </c>
      <c r="H2454" s="5" t="s">
        <v>35</v>
      </c>
      <c r="I2454" s="5" t="s">
        <v>36</v>
      </c>
      <c r="J2454" s="6">
        <v>7.0</v>
      </c>
      <c r="K2454" s="6" t="s">
        <v>37</v>
      </c>
      <c r="L2454" s="6">
        <v>13920.0</v>
      </c>
      <c r="M2454" s="26" t="s">
        <v>96</v>
      </c>
      <c r="N2454" s="26" t="s">
        <v>39</v>
      </c>
      <c r="O2454" s="6" t="s">
        <v>214</v>
      </c>
      <c r="P2454" s="5" t="s">
        <v>41</v>
      </c>
      <c r="Q2454" s="5"/>
      <c r="R2454" s="6" t="s">
        <v>42</v>
      </c>
      <c r="S2454" s="5" t="s">
        <v>172</v>
      </c>
      <c r="T2454" s="5" t="s">
        <v>44</v>
      </c>
      <c r="U2454" s="5" t="s">
        <v>44</v>
      </c>
      <c r="V2454" s="5" t="s">
        <v>44</v>
      </c>
      <c r="W2454" s="5" t="s">
        <v>36</v>
      </c>
      <c r="X2454" s="8" t="s">
        <v>395</v>
      </c>
      <c r="Y2454" s="5" t="s">
        <v>46</v>
      </c>
      <c r="Z2454" s="5" t="s">
        <v>47</v>
      </c>
      <c r="AA2454" s="5" t="s">
        <v>48</v>
      </c>
      <c r="AB2454" s="5" t="s">
        <v>11965</v>
      </c>
      <c r="AC2454" s="6" t="s">
        <v>56</v>
      </c>
      <c r="AD2454" s="6">
        <v>7247.0</v>
      </c>
    </row>
    <row r="2455" ht="56.25" customHeight="1">
      <c r="A2455" s="5" t="s">
        <v>11956</v>
      </c>
      <c r="B2455" s="6" t="str">
        <f>IMAGE("https://storage.googleapis.com/acdb/housewares/FtrSilo_Remake_2_0.png")</f>
        <v/>
      </c>
      <c r="C2455" s="5" t="s">
        <v>11968</v>
      </c>
      <c r="D2455" s="5" t="s">
        <v>11959</v>
      </c>
      <c r="E2455" s="5" t="s">
        <v>34</v>
      </c>
      <c r="F2455" s="5" t="s">
        <v>34</v>
      </c>
      <c r="G2455" s="5" t="s">
        <v>35</v>
      </c>
      <c r="H2455" s="5" t="s">
        <v>35</v>
      </c>
      <c r="I2455" s="5" t="s">
        <v>36</v>
      </c>
      <c r="J2455" s="6">
        <v>7.0</v>
      </c>
      <c r="K2455" s="6" t="s">
        <v>37</v>
      </c>
      <c r="L2455" s="6">
        <v>13920.0</v>
      </c>
      <c r="M2455" s="26" t="s">
        <v>68</v>
      </c>
      <c r="N2455" s="26" t="s">
        <v>95</v>
      </c>
      <c r="O2455" s="6" t="s">
        <v>214</v>
      </c>
      <c r="P2455" s="5" t="s">
        <v>41</v>
      </c>
      <c r="Q2455" s="5"/>
      <c r="R2455" s="6" t="s">
        <v>42</v>
      </c>
      <c r="S2455" s="5" t="s">
        <v>172</v>
      </c>
      <c r="T2455" s="5" t="s">
        <v>44</v>
      </c>
      <c r="U2455" s="5" t="s">
        <v>44</v>
      </c>
      <c r="V2455" s="5" t="s">
        <v>44</v>
      </c>
      <c r="W2455" s="5" t="s">
        <v>36</v>
      </c>
      <c r="X2455" s="8" t="s">
        <v>395</v>
      </c>
      <c r="Y2455" s="5" t="s">
        <v>46</v>
      </c>
      <c r="Z2455" s="5" t="s">
        <v>47</v>
      </c>
      <c r="AA2455" s="5" t="s">
        <v>48</v>
      </c>
      <c r="AB2455" s="5" t="s">
        <v>11970</v>
      </c>
      <c r="AC2455" s="6" t="s">
        <v>67</v>
      </c>
      <c r="AD2455" s="6">
        <v>7247.0</v>
      </c>
    </row>
    <row r="2456" ht="56.25" customHeight="1">
      <c r="A2456" s="5" t="s">
        <v>11956</v>
      </c>
      <c r="B2456" s="6" t="str">
        <f>IMAGE("https://storage.googleapis.com/acdb/housewares/FtrSilo_Remake_3_0.png")</f>
        <v/>
      </c>
      <c r="C2456" s="5" t="s">
        <v>11972</v>
      </c>
      <c r="D2456" s="5" t="s">
        <v>11959</v>
      </c>
      <c r="E2456" s="5" t="s">
        <v>34</v>
      </c>
      <c r="F2456" s="5" t="s">
        <v>34</v>
      </c>
      <c r="G2456" s="5" t="s">
        <v>35</v>
      </c>
      <c r="H2456" s="5" t="s">
        <v>35</v>
      </c>
      <c r="I2456" s="5" t="s">
        <v>36</v>
      </c>
      <c r="J2456" s="6">
        <v>7.0</v>
      </c>
      <c r="K2456" s="6" t="s">
        <v>37</v>
      </c>
      <c r="L2456" s="6">
        <v>13920.0</v>
      </c>
      <c r="M2456" s="26" t="s">
        <v>54</v>
      </c>
      <c r="N2456" s="26" t="s">
        <v>57</v>
      </c>
      <c r="O2456" s="6" t="s">
        <v>214</v>
      </c>
      <c r="P2456" s="5" t="s">
        <v>41</v>
      </c>
      <c r="Q2456" s="5"/>
      <c r="R2456" s="6" t="s">
        <v>42</v>
      </c>
      <c r="S2456" s="5" t="s">
        <v>172</v>
      </c>
      <c r="T2456" s="5" t="s">
        <v>44</v>
      </c>
      <c r="U2456" s="5" t="s">
        <v>44</v>
      </c>
      <c r="V2456" s="5" t="s">
        <v>44</v>
      </c>
      <c r="W2456" s="5" t="s">
        <v>36</v>
      </c>
      <c r="X2456" s="8" t="s">
        <v>395</v>
      </c>
      <c r="Y2456" s="5" t="s">
        <v>46</v>
      </c>
      <c r="Z2456" s="5" t="s">
        <v>47</v>
      </c>
      <c r="AA2456" s="5" t="s">
        <v>48</v>
      </c>
      <c r="AB2456" s="5" t="s">
        <v>11974</v>
      </c>
      <c r="AC2456" s="6" t="s">
        <v>71</v>
      </c>
      <c r="AD2456" s="6">
        <v>7247.0</v>
      </c>
    </row>
    <row r="2457" ht="56.25" customHeight="1">
      <c r="A2457" s="5" t="s">
        <v>11956</v>
      </c>
      <c r="B2457" s="6" t="str">
        <f>IMAGE("https://storage.googleapis.com/acdb/housewares/FtrSilo_Remake_4_0.png")</f>
        <v/>
      </c>
      <c r="C2457" s="5" t="s">
        <v>11976</v>
      </c>
      <c r="D2457" s="5" t="s">
        <v>11959</v>
      </c>
      <c r="E2457" s="5" t="s">
        <v>34</v>
      </c>
      <c r="F2457" s="5" t="s">
        <v>34</v>
      </c>
      <c r="G2457" s="5" t="s">
        <v>35</v>
      </c>
      <c r="H2457" s="5" t="s">
        <v>35</v>
      </c>
      <c r="I2457" s="5" t="s">
        <v>36</v>
      </c>
      <c r="J2457" s="6">
        <v>7.0</v>
      </c>
      <c r="K2457" s="6" t="s">
        <v>37</v>
      </c>
      <c r="L2457" s="6">
        <v>13920.0</v>
      </c>
      <c r="M2457" s="26" t="s">
        <v>1175</v>
      </c>
      <c r="N2457" s="26" t="s">
        <v>38</v>
      </c>
      <c r="O2457" s="6" t="s">
        <v>214</v>
      </c>
      <c r="P2457" s="5" t="s">
        <v>41</v>
      </c>
      <c r="Q2457" s="5"/>
      <c r="R2457" s="6" t="s">
        <v>42</v>
      </c>
      <c r="S2457" s="5" t="s">
        <v>172</v>
      </c>
      <c r="T2457" s="5" t="s">
        <v>44</v>
      </c>
      <c r="U2457" s="5" t="s">
        <v>44</v>
      </c>
      <c r="V2457" s="5" t="s">
        <v>44</v>
      </c>
      <c r="W2457" s="5" t="s">
        <v>36</v>
      </c>
      <c r="X2457" s="8" t="s">
        <v>395</v>
      </c>
      <c r="Y2457" s="5" t="s">
        <v>46</v>
      </c>
      <c r="Z2457" s="5" t="s">
        <v>47</v>
      </c>
      <c r="AA2457" s="5" t="s">
        <v>48</v>
      </c>
      <c r="AB2457" s="5" t="s">
        <v>11977</v>
      </c>
      <c r="AC2457" s="6" t="s">
        <v>75</v>
      </c>
      <c r="AD2457" s="6">
        <v>7247.0</v>
      </c>
    </row>
    <row r="2458" ht="56.25" customHeight="1">
      <c r="A2458" s="5" t="s">
        <v>11980</v>
      </c>
      <c r="B2458" s="6" t="str">
        <f>IMAGE("https://storage.googleapis.com/acdb/housewares/FtrMikeBone.png")</f>
        <v/>
      </c>
      <c r="C2458" s="5" t="s">
        <v>34</v>
      </c>
      <c r="D2458" s="5" t="s">
        <v>34</v>
      </c>
      <c r="E2458" s="5" t="s">
        <v>34</v>
      </c>
      <c r="F2458" s="5" t="s">
        <v>34</v>
      </c>
      <c r="G2458" s="5" t="s">
        <v>36</v>
      </c>
      <c r="H2458" s="5" t="s">
        <v>36</v>
      </c>
      <c r="I2458" s="5" t="s">
        <v>36</v>
      </c>
      <c r="J2458" s="6" t="s">
        <v>34</v>
      </c>
      <c r="K2458" s="6">
        <v>1800.0</v>
      </c>
      <c r="L2458" s="6">
        <v>450.0</v>
      </c>
      <c r="M2458" s="5" t="s">
        <v>95</v>
      </c>
      <c r="N2458" s="5" t="s">
        <v>54</v>
      </c>
      <c r="O2458" s="6" t="s">
        <v>40</v>
      </c>
      <c r="P2458" s="5" t="s">
        <v>59</v>
      </c>
      <c r="Q2458" s="5" t="s">
        <v>89</v>
      </c>
      <c r="R2458" s="6" t="s">
        <v>42</v>
      </c>
      <c r="S2458" s="5" t="s">
        <v>129</v>
      </c>
      <c r="T2458" s="5" t="s">
        <v>465</v>
      </c>
      <c r="U2458" s="5" t="s">
        <v>44</v>
      </c>
      <c r="V2458" s="5" t="s">
        <v>44</v>
      </c>
      <c r="W2458" s="5" t="s">
        <v>36</v>
      </c>
      <c r="X2458" s="8" t="s">
        <v>45</v>
      </c>
      <c r="Y2458" s="5" t="s">
        <v>46</v>
      </c>
      <c r="Z2458" s="5" t="s">
        <v>47</v>
      </c>
      <c r="AA2458" s="5" t="s">
        <v>64</v>
      </c>
      <c r="AB2458" s="5" t="s">
        <v>11985</v>
      </c>
      <c r="AC2458" s="6" t="s">
        <v>34</v>
      </c>
      <c r="AD2458" s="6">
        <v>1045.0</v>
      </c>
    </row>
    <row r="2459" ht="56.25" customHeight="1">
      <c r="A2459" s="5" t="s">
        <v>11986</v>
      </c>
      <c r="B2459" s="6" t="str">
        <f>IMAGE("https://storage.googleapis.com/acdb/housewares/FtrWorkbenchStump.png")</f>
        <v/>
      </c>
      <c r="C2459" s="5" t="s">
        <v>34</v>
      </c>
      <c r="D2459" s="5" t="s">
        <v>34</v>
      </c>
      <c r="E2459" s="5" t="s">
        <v>34</v>
      </c>
      <c r="F2459" s="5" t="s">
        <v>34</v>
      </c>
      <c r="G2459" s="5" t="s">
        <v>35</v>
      </c>
      <c r="H2459" s="5" t="s">
        <v>36</v>
      </c>
      <c r="I2459" s="5" t="s">
        <v>36</v>
      </c>
      <c r="J2459" s="6" t="s">
        <v>34</v>
      </c>
      <c r="K2459" s="6" t="s">
        <v>37</v>
      </c>
      <c r="L2459" s="6">
        <v>1350.0</v>
      </c>
      <c r="M2459" s="5" t="s">
        <v>39</v>
      </c>
      <c r="N2459" s="5" t="s">
        <v>58</v>
      </c>
      <c r="O2459" s="6" t="s">
        <v>1243</v>
      </c>
      <c r="P2459" s="5" t="s">
        <v>41</v>
      </c>
      <c r="Q2459" s="5"/>
      <c r="R2459" s="6" t="s">
        <v>42</v>
      </c>
      <c r="S2459" s="5" t="s">
        <v>765</v>
      </c>
      <c r="T2459" s="5" t="s">
        <v>172</v>
      </c>
      <c r="U2459" s="5" t="s">
        <v>44</v>
      </c>
      <c r="V2459" s="5" t="s">
        <v>44</v>
      </c>
      <c r="W2459" s="5" t="s">
        <v>35</v>
      </c>
      <c r="X2459" s="8" t="s">
        <v>2261</v>
      </c>
      <c r="Y2459" s="5" t="s">
        <v>46</v>
      </c>
      <c r="Z2459" s="5" t="s">
        <v>47</v>
      </c>
      <c r="AA2459" s="5" t="s">
        <v>48</v>
      </c>
      <c r="AB2459" s="5" t="s">
        <v>11991</v>
      </c>
      <c r="AC2459" s="6" t="s">
        <v>34</v>
      </c>
      <c r="AD2459" s="6">
        <v>7142.0</v>
      </c>
    </row>
    <row r="2460" ht="56.25" customHeight="1">
      <c r="A2460" s="5" t="s">
        <v>11993</v>
      </c>
      <c r="B2460" s="6" t="str">
        <f>IMAGE("https://storage.googleapis.com/acdb/housewares/FtrScreenSimple_Remake_0_0.png")</f>
        <v/>
      </c>
      <c r="C2460" s="5" t="s">
        <v>11996</v>
      </c>
      <c r="D2460" s="5" t="s">
        <v>34</v>
      </c>
      <c r="E2460" s="5" t="s">
        <v>11997</v>
      </c>
      <c r="F2460" s="5" t="s">
        <v>11998</v>
      </c>
      <c r="G2460" s="5" t="s">
        <v>36</v>
      </c>
      <c r="H2460" s="5" t="s">
        <v>36</v>
      </c>
      <c r="I2460" s="5" t="s">
        <v>35</v>
      </c>
      <c r="J2460" s="6">
        <v>1.0</v>
      </c>
      <c r="K2460" s="6">
        <v>810.0</v>
      </c>
      <c r="L2460" s="6">
        <v>202.0</v>
      </c>
      <c r="M2460" s="26" t="s">
        <v>95</v>
      </c>
      <c r="N2460" s="26" t="s">
        <v>95</v>
      </c>
      <c r="O2460" s="6" t="s">
        <v>775</v>
      </c>
      <c r="P2460" s="5" t="s">
        <v>59</v>
      </c>
      <c r="Q2460" s="5" t="s">
        <v>89</v>
      </c>
      <c r="R2460" s="6" t="s">
        <v>42</v>
      </c>
      <c r="S2460" s="5" t="s">
        <v>141</v>
      </c>
      <c r="T2460" s="5" t="s">
        <v>44</v>
      </c>
      <c r="U2460" s="5" t="s">
        <v>44</v>
      </c>
      <c r="V2460" s="5" t="s">
        <v>44</v>
      </c>
      <c r="W2460" s="5" t="s">
        <v>36</v>
      </c>
      <c r="X2460" s="8" t="s">
        <v>715</v>
      </c>
      <c r="Y2460" s="5" t="s">
        <v>46</v>
      </c>
      <c r="Z2460" s="5" t="s">
        <v>47</v>
      </c>
      <c r="AA2460" s="5" t="s">
        <v>64</v>
      </c>
      <c r="AB2460" s="5" t="s">
        <v>12000</v>
      </c>
      <c r="AC2460" s="6" t="s">
        <v>50</v>
      </c>
      <c r="AD2460" s="6">
        <v>5338.0</v>
      </c>
    </row>
    <row r="2461" ht="56.25" customHeight="1">
      <c r="A2461" s="5" t="s">
        <v>11993</v>
      </c>
      <c r="B2461" s="6" t="str">
        <f>IMAGE("https://storage.googleapis.com/acdb/housewares/FtrScreenSimple_Remake_0_1.png")</f>
        <v/>
      </c>
      <c r="C2461" s="5" t="s">
        <v>11996</v>
      </c>
      <c r="D2461" s="5" t="s">
        <v>34</v>
      </c>
      <c r="E2461" s="5" t="s">
        <v>12003</v>
      </c>
      <c r="F2461" s="5" t="s">
        <v>11998</v>
      </c>
      <c r="G2461" s="5" t="s">
        <v>36</v>
      </c>
      <c r="H2461" s="5" t="s">
        <v>36</v>
      </c>
      <c r="I2461" s="5" t="s">
        <v>35</v>
      </c>
      <c r="J2461" s="6">
        <v>1.0</v>
      </c>
      <c r="K2461" s="6">
        <v>810.0</v>
      </c>
      <c r="L2461" s="6">
        <v>202.0</v>
      </c>
      <c r="M2461" s="26" t="s">
        <v>95</v>
      </c>
      <c r="N2461" s="26" t="s">
        <v>57</v>
      </c>
      <c r="O2461" s="6" t="s">
        <v>775</v>
      </c>
      <c r="P2461" s="5" t="s">
        <v>59</v>
      </c>
      <c r="Q2461" s="5" t="s">
        <v>89</v>
      </c>
      <c r="R2461" s="6" t="s">
        <v>42</v>
      </c>
      <c r="S2461" s="5" t="s">
        <v>141</v>
      </c>
      <c r="T2461" s="5" t="s">
        <v>44</v>
      </c>
      <c r="U2461" s="5" t="s">
        <v>44</v>
      </c>
      <c r="V2461" s="5" t="s">
        <v>44</v>
      </c>
      <c r="W2461" s="5" t="s">
        <v>36</v>
      </c>
      <c r="X2461" s="8" t="s">
        <v>715</v>
      </c>
      <c r="Y2461" s="5" t="s">
        <v>46</v>
      </c>
      <c r="Z2461" s="5" t="s">
        <v>47</v>
      </c>
      <c r="AA2461" s="5" t="s">
        <v>64</v>
      </c>
      <c r="AB2461" s="5" t="s">
        <v>12006</v>
      </c>
      <c r="AC2461" s="6" t="s">
        <v>217</v>
      </c>
      <c r="AD2461" s="6">
        <v>5338.0</v>
      </c>
    </row>
    <row r="2462" ht="56.25" customHeight="1">
      <c r="A2462" s="5" t="s">
        <v>11993</v>
      </c>
      <c r="B2462" s="6" t="str">
        <f>IMAGE("https://storage.googleapis.com/acdb/housewares/FtrScreenSimple_Remake_0_2.png")</f>
        <v/>
      </c>
      <c r="C2462" s="5" t="s">
        <v>11996</v>
      </c>
      <c r="D2462" s="5" t="s">
        <v>34</v>
      </c>
      <c r="E2462" s="5" t="s">
        <v>12009</v>
      </c>
      <c r="F2462" s="5" t="s">
        <v>11998</v>
      </c>
      <c r="G2462" s="5" t="s">
        <v>36</v>
      </c>
      <c r="H2462" s="5" t="s">
        <v>36</v>
      </c>
      <c r="I2462" s="5" t="s">
        <v>35</v>
      </c>
      <c r="J2462" s="6">
        <v>1.0</v>
      </c>
      <c r="K2462" s="6">
        <v>810.0</v>
      </c>
      <c r="L2462" s="6">
        <v>202.0</v>
      </c>
      <c r="M2462" s="26" t="s">
        <v>95</v>
      </c>
      <c r="N2462" s="26" t="s">
        <v>39</v>
      </c>
      <c r="O2462" s="6" t="s">
        <v>775</v>
      </c>
      <c r="P2462" s="5" t="s">
        <v>59</v>
      </c>
      <c r="Q2462" s="5" t="s">
        <v>89</v>
      </c>
      <c r="R2462" s="6" t="s">
        <v>42</v>
      </c>
      <c r="S2462" s="5" t="s">
        <v>141</v>
      </c>
      <c r="T2462" s="5" t="s">
        <v>44</v>
      </c>
      <c r="U2462" s="5" t="s">
        <v>44</v>
      </c>
      <c r="V2462" s="5" t="s">
        <v>44</v>
      </c>
      <c r="W2462" s="5" t="s">
        <v>36</v>
      </c>
      <c r="X2462" s="8" t="s">
        <v>715</v>
      </c>
      <c r="Y2462" s="5" t="s">
        <v>46</v>
      </c>
      <c r="Z2462" s="5" t="s">
        <v>47</v>
      </c>
      <c r="AA2462" s="5" t="s">
        <v>64</v>
      </c>
      <c r="AB2462" s="5" t="s">
        <v>12013</v>
      </c>
      <c r="AC2462" s="6" t="s">
        <v>347</v>
      </c>
      <c r="AD2462" s="6">
        <v>5338.0</v>
      </c>
    </row>
    <row r="2463" ht="56.25" customHeight="1">
      <c r="A2463" s="5" t="s">
        <v>11993</v>
      </c>
      <c r="B2463" s="6" t="str">
        <f>IMAGE("https://storage.googleapis.com/acdb/housewares/FtrScreenSimple_Remake_0_3.png")</f>
        <v/>
      </c>
      <c r="C2463" s="5" t="s">
        <v>11996</v>
      </c>
      <c r="D2463" s="5" t="s">
        <v>34</v>
      </c>
      <c r="E2463" s="5" t="s">
        <v>12016</v>
      </c>
      <c r="F2463" s="5" t="s">
        <v>11998</v>
      </c>
      <c r="G2463" s="5" t="s">
        <v>36</v>
      </c>
      <c r="H2463" s="5" t="s">
        <v>36</v>
      </c>
      <c r="I2463" s="5" t="s">
        <v>35</v>
      </c>
      <c r="J2463" s="6">
        <v>1.0</v>
      </c>
      <c r="K2463" s="6">
        <v>810.0</v>
      </c>
      <c r="L2463" s="6">
        <v>202.0</v>
      </c>
      <c r="M2463" s="26" t="s">
        <v>95</v>
      </c>
      <c r="N2463" s="26" t="s">
        <v>39</v>
      </c>
      <c r="O2463" s="6" t="s">
        <v>775</v>
      </c>
      <c r="P2463" s="5" t="s">
        <v>59</v>
      </c>
      <c r="Q2463" s="5" t="s">
        <v>89</v>
      </c>
      <c r="R2463" s="6" t="s">
        <v>42</v>
      </c>
      <c r="S2463" s="5" t="s">
        <v>141</v>
      </c>
      <c r="T2463" s="5" t="s">
        <v>44</v>
      </c>
      <c r="U2463" s="5" t="s">
        <v>44</v>
      </c>
      <c r="V2463" s="5" t="s">
        <v>44</v>
      </c>
      <c r="W2463" s="5" t="s">
        <v>36</v>
      </c>
      <c r="X2463" s="8" t="s">
        <v>715</v>
      </c>
      <c r="Y2463" s="5" t="s">
        <v>46</v>
      </c>
      <c r="Z2463" s="5" t="s">
        <v>47</v>
      </c>
      <c r="AA2463" s="5" t="s">
        <v>64</v>
      </c>
      <c r="AB2463" s="5" t="s">
        <v>12019</v>
      </c>
      <c r="AC2463" s="6" t="s">
        <v>354</v>
      </c>
      <c r="AD2463" s="6">
        <v>5338.0</v>
      </c>
    </row>
    <row r="2464" ht="56.25" customHeight="1">
      <c r="A2464" s="5" t="s">
        <v>11993</v>
      </c>
      <c r="B2464" s="6" t="str">
        <f>IMAGE("https://storage.googleapis.com/acdb/housewares/FtrScreenSimple_Remake_0_4.png")</f>
        <v/>
      </c>
      <c r="C2464" s="5" t="s">
        <v>11996</v>
      </c>
      <c r="D2464" s="5" t="s">
        <v>34</v>
      </c>
      <c r="E2464" s="5" t="s">
        <v>12023</v>
      </c>
      <c r="F2464" s="5" t="s">
        <v>11998</v>
      </c>
      <c r="G2464" s="5" t="s">
        <v>36</v>
      </c>
      <c r="H2464" s="5" t="s">
        <v>36</v>
      </c>
      <c r="I2464" s="5" t="s">
        <v>35</v>
      </c>
      <c r="J2464" s="6">
        <v>1.0</v>
      </c>
      <c r="K2464" s="6">
        <v>810.0</v>
      </c>
      <c r="L2464" s="6">
        <v>202.0</v>
      </c>
      <c r="M2464" s="26" t="s">
        <v>95</v>
      </c>
      <c r="N2464" s="26" t="s">
        <v>57</v>
      </c>
      <c r="O2464" s="6" t="s">
        <v>775</v>
      </c>
      <c r="P2464" s="5" t="s">
        <v>59</v>
      </c>
      <c r="Q2464" s="5" t="s">
        <v>89</v>
      </c>
      <c r="R2464" s="6" t="s">
        <v>42</v>
      </c>
      <c r="S2464" s="5" t="s">
        <v>141</v>
      </c>
      <c r="T2464" s="5" t="s">
        <v>44</v>
      </c>
      <c r="U2464" s="5" t="s">
        <v>44</v>
      </c>
      <c r="V2464" s="5" t="s">
        <v>44</v>
      </c>
      <c r="W2464" s="5" t="s">
        <v>36</v>
      </c>
      <c r="X2464" s="8" t="s">
        <v>715</v>
      </c>
      <c r="Y2464" s="5" t="s">
        <v>46</v>
      </c>
      <c r="Z2464" s="5" t="s">
        <v>47</v>
      </c>
      <c r="AA2464" s="5" t="s">
        <v>64</v>
      </c>
      <c r="AB2464" s="5" t="s">
        <v>12025</v>
      </c>
      <c r="AC2464" s="6" t="s">
        <v>486</v>
      </c>
      <c r="AD2464" s="6">
        <v>5338.0</v>
      </c>
    </row>
    <row r="2465" ht="56.25" customHeight="1">
      <c r="A2465" s="5" t="s">
        <v>11993</v>
      </c>
      <c r="B2465" s="6" t="str">
        <f>IMAGE("https://storage.googleapis.com/acdb/housewares/FtrScreenSimple_Remake_0_5.png")</f>
        <v/>
      </c>
      <c r="C2465" s="5" t="s">
        <v>11996</v>
      </c>
      <c r="D2465" s="5" t="s">
        <v>34</v>
      </c>
      <c r="E2465" s="5" t="s">
        <v>12028</v>
      </c>
      <c r="F2465" s="5" t="s">
        <v>11998</v>
      </c>
      <c r="G2465" s="5" t="s">
        <v>36</v>
      </c>
      <c r="H2465" s="5" t="s">
        <v>36</v>
      </c>
      <c r="I2465" s="5" t="s">
        <v>35</v>
      </c>
      <c r="J2465" s="6">
        <v>1.0</v>
      </c>
      <c r="K2465" s="6">
        <v>810.0</v>
      </c>
      <c r="L2465" s="6">
        <v>202.0</v>
      </c>
      <c r="M2465" s="26" t="s">
        <v>95</v>
      </c>
      <c r="N2465" s="26" t="s">
        <v>38</v>
      </c>
      <c r="O2465" s="6" t="s">
        <v>775</v>
      </c>
      <c r="P2465" s="5" t="s">
        <v>59</v>
      </c>
      <c r="Q2465" s="5" t="s">
        <v>89</v>
      </c>
      <c r="R2465" s="6" t="s">
        <v>42</v>
      </c>
      <c r="S2465" s="5" t="s">
        <v>141</v>
      </c>
      <c r="T2465" s="5" t="s">
        <v>44</v>
      </c>
      <c r="U2465" s="5" t="s">
        <v>44</v>
      </c>
      <c r="V2465" s="5" t="s">
        <v>44</v>
      </c>
      <c r="W2465" s="5" t="s">
        <v>36</v>
      </c>
      <c r="X2465" s="8" t="s">
        <v>715</v>
      </c>
      <c r="Y2465" s="5" t="s">
        <v>46</v>
      </c>
      <c r="Z2465" s="5" t="s">
        <v>47</v>
      </c>
      <c r="AA2465" s="5" t="s">
        <v>64</v>
      </c>
      <c r="AB2465" s="5" t="s">
        <v>12031</v>
      </c>
      <c r="AC2465" s="6" t="s">
        <v>934</v>
      </c>
      <c r="AD2465" s="6">
        <v>5338.0</v>
      </c>
    </row>
    <row r="2466" ht="56.25" customHeight="1">
      <c r="A2466" s="5" t="s">
        <v>11993</v>
      </c>
      <c r="B2466" s="6" t="str">
        <f>IMAGE("https://storage.googleapis.com/acdb/housewares/FtrScreenSimple_Remake_0_6.png")</f>
        <v/>
      </c>
      <c r="C2466" s="5" t="s">
        <v>11996</v>
      </c>
      <c r="D2466" s="5" t="s">
        <v>34</v>
      </c>
      <c r="E2466" s="5" t="s">
        <v>5310</v>
      </c>
      <c r="F2466" s="5" t="s">
        <v>11998</v>
      </c>
      <c r="G2466" s="5" t="s">
        <v>36</v>
      </c>
      <c r="H2466" s="5" t="s">
        <v>36</v>
      </c>
      <c r="I2466" s="5" t="s">
        <v>35</v>
      </c>
      <c r="J2466" s="6">
        <v>1.0</v>
      </c>
      <c r="K2466" s="6">
        <v>810.0</v>
      </c>
      <c r="L2466" s="6">
        <v>202.0</v>
      </c>
      <c r="M2466" s="26" t="s">
        <v>95</v>
      </c>
      <c r="N2466" s="26" t="s">
        <v>95</v>
      </c>
      <c r="O2466" s="6" t="s">
        <v>775</v>
      </c>
      <c r="P2466" s="5" t="s">
        <v>59</v>
      </c>
      <c r="Q2466" s="5" t="s">
        <v>89</v>
      </c>
      <c r="R2466" s="6" t="s">
        <v>42</v>
      </c>
      <c r="S2466" s="5" t="s">
        <v>141</v>
      </c>
      <c r="T2466" s="5" t="s">
        <v>44</v>
      </c>
      <c r="U2466" s="5" t="s">
        <v>44</v>
      </c>
      <c r="V2466" s="5" t="s">
        <v>44</v>
      </c>
      <c r="W2466" s="5" t="s">
        <v>36</v>
      </c>
      <c r="X2466" s="8" t="s">
        <v>715</v>
      </c>
      <c r="Y2466" s="5" t="s">
        <v>46</v>
      </c>
      <c r="Z2466" s="5" t="s">
        <v>47</v>
      </c>
      <c r="AA2466" s="5" t="s">
        <v>64</v>
      </c>
      <c r="AB2466" s="5" t="s">
        <v>12034</v>
      </c>
      <c r="AC2466" s="6" t="s">
        <v>938</v>
      </c>
      <c r="AD2466" s="6">
        <v>5338.0</v>
      </c>
    </row>
    <row r="2467" ht="56.25" customHeight="1">
      <c r="A2467" s="5" t="s">
        <v>11993</v>
      </c>
      <c r="B2467" s="6" t="str">
        <f>IMAGE("https://storage.googleapis.com/acdb/housewares/FtrScreenSimple_Remake_0_7.png")</f>
        <v/>
      </c>
      <c r="C2467" s="5" t="s">
        <v>11996</v>
      </c>
      <c r="D2467" s="5" t="s">
        <v>34</v>
      </c>
      <c r="E2467" s="5" t="s">
        <v>151</v>
      </c>
      <c r="F2467" s="5" t="s">
        <v>11998</v>
      </c>
      <c r="G2467" s="5" t="s">
        <v>36</v>
      </c>
      <c r="H2467" s="5" t="s">
        <v>36</v>
      </c>
      <c r="I2467" s="5" t="s">
        <v>35</v>
      </c>
      <c r="J2467" s="6">
        <v>1.0</v>
      </c>
      <c r="K2467" s="6">
        <v>810.0</v>
      </c>
      <c r="L2467" s="6">
        <v>202.0</v>
      </c>
      <c r="M2467" s="26" t="s">
        <v>95</v>
      </c>
      <c r="N2467" s="26" t="s">
        <v>114</v>
      </c>
      <c r="O2467" s="6" t="s">
        <v>775</v>
      </c>
      <c r="P2467" s="5" t="s">
        <v>59</v>
      </c>
      <c r="Q2467" s="5" t="s">
        <v>89</v>
      </c>
      <c r="R2467" s="6" t="s">
        <v>42</v>
      </c>
      <c r="S2467" s="5" t="s">
        <v>141</v>
      </c>
      <c r="T2467" s="5" t="s">
        <v>44</v>
      </c>
      <c r="U2467" s="5" t="s">
        <v>44</v>
      </c>
      <c r="V2467" s="5" t="s">
        <v>44</v>
      </c>
      <c r="W2467" s="5" t="s">
        <v>36</v>
      </c>
      <c r="X2467" s="8" t="s">
        <v>715</v>
      </c>
      <c r="Y2467" s="5" t="s">
        <v>46</v>
      </c>
      <c r="Z2467" s="5" t="s">
        <v>47</v>
      </c>
      <c r="AA2467" s="5" t="s">
        <v>64</v>
      </c>
      <c r="AB2467" s="5" t="s">
        <v>12039</v>
      </c>
      <c r="AC2467" s="6" t="s">
        <v>1700</v>
      </c>
      <c r="AD2467" s="6">
        <v>5338.0</v>
      </c>
    </row>
    <row r="2468" ht="56.25" customHeight="1">
      <c r="A2468" s="5" t="s">
        <v>11993</v>
      </c>
      <c r="B2468" s="6" t="str">
        <f>IMAGE("https://storage.googleapis.com/acdb/housewares/FtrScreenSimple_Remake_1_0.png")</f>
        <v/>
      </c>
      <c r="C2468" s="5" t="s">
        <v>54</v>
      </c>
      <c r="D2468" s="5" t="s">
        <v>34</v>
      </c>
      <c r="E2468" s="5" t="s">
        <v>11997</v>
      </c>
      <c r="F2468" s="5" t="s">
        <v>11998</v>
      </c>
      <c r="G2468" s="5" t="s">
        <v>36</v>
      </c>
      <c r="H2468" s="5" t="s">
        <v>36</v>
      </c>
      <c r="I2468" s="5" t="s">
        <v>35</v>
      </c>
      <c r="J2468" s="6">
        <v>1.0</v>
      </c>
      <c r="K2468" s="6">
        <v>810.0</v>
      </c>
      <c r="L2468" s="6">
        <v>202.0</v>
      </c>
      <c r="M2468" s="26" t="s">
        <v>54</v>
      </c>
      <c r="N2468" s="26" t="s">
        <v>95</v>
      </c>
      <c r="O2468" s="6" t="s">
        <v>775</v>
      </c>
      <c r="P2468" s="5" t="s">
        <v>59</v>
      </c>
      <c r="Q2468" s="5" t="s">
        <v>89</v>
      </c>
      <c r="R2468" s="6" t="s">
        <v>42</v>
      </c>
      <c r="S2468" s="5" t="s">
        <v>141</v>
      </c>
      <c r="T2468" s="5" t="s">
        <v>44</v>
      </c>
      <c r="U2468" s="5" t="s">
        <v>44</v>
      </c>
      <c r="V2468" s="5" t="s">
        <v>44</v>
      </c>
      <c r="W2468" s="5" t="s">
        <v>36</v>
      </c>
      <c r="X2468" s="8" t="s">
        <v>715</v>
      </c>
      <c r="Y2468" s="5" t="s">
        <v>46</v>
      </c>
      <c r="Z2468" s="5" t="s">
        <v>47</v>
      </c>
      <c r="AA2468" s="5" t="s">
        <v>64</v>
      </c>
      <c r="AB2468" s="5" t="s">
        <v>12043</v>
      </c>
      <c r="AC2468" s="6" t="s">
        <v>56</v>
      </c>
      <c r="AD2468" s="6">
        <v>5338.0</v>
      </c>
    </row>
    <row r="2469" ht="56.25" customHeight="1">
      <c r="A2469" s="5" t="s">
        <v>11993</v>
      </c>
      <c r="B2469" s="6" t="str">
        <f>IMAGE("https://storage.googleapis.com/acdb/housewares/FtrScreenSimple_Remake_1_1.png")</f>
        <v/>
      </c>
      <c r="C2469" s="5" t="s">
        <v>54</v>
      </c>
      <c r="D2469" s="5" t="s">
        <v>34</v>
      </c>
      <c r="E2469" s="5" t="s">
        <v>12003</v>
      </c>
      <c r="F2469" s="5" t="s">
        <v>11998</v>
      </c>
      <c r="G2469" s="5" t="s">
        <v>36</v>
      </c>
      <c r="H2469" s="5" t="s">
        <v>36</v>
      </c>
      <c r="I2469" s="5" t="s">
        <v>35</v>
      </c>
      <c r="J2469" s="6">
        <v>1.0</v>
      </c>
      <c r="K2469" s="6">
        <v>810.0</v>
      </c>
      <c r="L2469" s="6">
        <v>202.0</v>
      </c>
      <c r="M2469" s="26" t="s">
        <v>54</v>
      </c>
      <c r="N2469" s="26" t="s">
        <v>57</v>
      </c>
      <c r="O2469" s="6" t="s">
        <v>775</v>
      </c>
      <c r="P2469" s="5" t="s">
        <v>59</v>
      </c>
      <c r="Q2469" s="5" t="s">
        <v>89</v>
      </c>
      <c r="R2469" s="6" t="s">
        <v>42</v>
      </c>
      <c r="S2469" s="5" t="s">
        <v>141</v>
      </c>
      <c r="T2469" s="5" t="s">
        <v>44</v>
      </c>
      <c r="U2469" s="5" t="s">
        <v>44</v>
      </c>
      <c r="V2469" s="5" t="s">
        <v>44</v>
      </c>
      <c r="W2469" s="5" t="s">
        <v>36</v>
      </c>
      <c r="X2469" s="8" t="s">
        <v>715</v>
      </c>
      <c r="Y2469" s="5" t="s">
        <v>46</v>
      </c>
      <c r="Z2469" s="5" t="s">
        <v>47</v>
      </c>
      <c r="AA2469" s="5" t="s">
        <v>64</v>
      </c>
      <c r="AB2469" s="5" t="s">
        <v>12045</v>
      </c>
      <c r="AC2469" s="6" t="s">
        <v>234</v>
      </c>
      <c r="AD2469" s="6">
        <v>5338.0</v>
      </c>
    </row>
    <row r="2470" ht="56.25" customHeight="1">
      <c r="A2470" s="5" t="s">
        <v>11993</v>
      </c>
      <c r="B2470" s="6" t="str">
        <f>IMAGE("https://storage.googleapis.com/acdb/housewares/FtrScreenSimple_Remake_1_2.png")</f>
        <v/>
      </c>
      <c r="C2470" s="5" t="s">
        <v>54</v>
      </c>
      <c r="D2470" s="5" t="s">
        <v>34</v>
      </c>
      <c r="E2470" s="5" t="s">
        <v>12009</v>
      </c>
      <c r="F2470" s="5" t="s">
        <v>11998</v>
      </c>
      <c r="G2470" s="5" t="s">
        <v>36</v>
      </c>
      <c r="H2470" s="5" t="s">
        <v>36</v>
      </c>
      <c r="I2470" s="5" t="s">
        <v>35</v>
      </c>
      <c r="J2470" s="6">
        <v>1.0</v>
      </c>
      <c r="K2470" s="6">
        <v>810.0</v>
      </c>
      <c r="L2470" s="6">
        <v>202.0</v>
      </c>
      <c r="M2470" s="26" t="s">
        <v>54</v>
      </c>
      <c r="N2470" s="26" t="s">
        <v>39</v>
      </c>
      <c r="O2470" s="6" t="s">
        <v>775</v>
      </c>
      <c r="P2470" s="5" t="s">
        <v>59</v>
      </c>
      <c r="Q2470" s="5" t="s">
        <v>89</v>
      </c>
      <c r="R2470" s="6" t="s">
        <v>42</v>
      </c>
      <c r="S2470" s="5" t="s">
        <v>141</v>
      </c>
      <c r="T2470" s="5" t="s">
        <v>44</v>
      </c>
      <c r="U2470" s="5" t="s">
        <v>44</v>
      </c>
      <c r="V2470" s="5" t="s">
        <v>44</v>
      </c>
      <c r="W2470" s="5" t="s">
        <v>36</v>
      </c>
      <c r="X2470" s="8" t="s">
        <v>715</v>
      </c>
      <c r="Y2470" s="5" t="s">
        <v>46</v>
      </c>
      <c r="Z2470" s="5" t="s">
        <v>47</v>
      </c>
      <c r="AA2470" s="5" t="s">
        <v>64</v>
      </c>
      <c r="AB2470" s="5" t="s">
        <v>12048</v>
      </c>
      <c r="AC2470" s="6" t="s">
        <v>370</v>
      </c>
      <c r="AD2470" s="6">
        <v>5338.0</v>
      </c>
    </row>
    <row r="2471" ht="56.25" customHeight="1">
      <c r="A2471" s="5" t="s">
        <v>11993</v>
      </c>
      <c r="B2471" s="6" t="str">
        <f>IMAGE("https://storage.googleapis.com/acdb/housewares/FtrScreenSimple_Remake_1_3.png")</f>
        <v/>
      </c>
      <c r="C2471" s="5" t="s">
        <v>54</v>
      </c>
      <c r="D2471" s="5" t="s">
        <v>34</v>
      </c>
      <c r="E2471" s="5" t="s">
        <v>12016</v>
      </c>
      <c r="F2471" s="5" t="s">
        <v>11998</v>
      </c>
      <c r="G2471" s="5" t="s">
        <v>36</v>
      </c>
      <c r="H2471" s="5" t="s">
        <v>36</v>
      </c>
      <c r="I2471" s="5" t="s">
        <v>35</v>
      </c>
      <c r="J2471" s="6">
        <v>1.0</v>
      </c>
      <c r="K2471" s="6">
        <v>810.0</v>
      </c>
      <c r="L2471" s="6">
        <v>202.0</v>
      </c>
      <c r="M2471" s="26" t="s">
        <v>54</v>
      </c>
      <c r="N2471" s="26" t="s">
        <v>39</v>
      </c>
      <c r="O2471" s="6" t="s">
        <v>775</v>
      </c>
      <c r="P2471" s="5" t="s">
        <v>59</v>
      </c>
      <c r="Q2471" s="5" t="s">
        <v>89</v>
      </c>
      <c r="R2471" s="6" t="s">
        <v>42</v>
      </c>
      <c r="S2471" s="5" t="s">
        <v>141</v>
      </c>
      <c r="T2471" s="5" t="s">
        <v>44</v>
      </c>
      <c r="U2471" s="5" t="s">
        <v>44</v>
      </c>
      <c r="V2471" s="5" t="s">
        <v>44</v>
      </c>
      <c r="W2471" s="5" t="s">
        <v>36</v>
      </c>
      <c r="X2471" s="8" t="s">
        <v>715</v>
      </c>
      <c r="Y2471" s="5" t="s">
        <v>46</v>
      </c>
      <c r="Z2471" s="5" t="s">
        <v>47</v>
      </c>
      <c r="AA2471" s="5" t="s">
        <v>64</v>
      </c>
      <c r="AB2471" s="5" t="s">
        <v>12053</v>
      </c>
      <c r="AC2471" s="6" t="s">
        <v>377</v>
      </c>
      <c r="AD2471" s="6">
        <v>5338.0</v>
      </c>
    </row>
    <row r="2472" ht="56.25" customHeight="1">
      <c r="A2472" s="5" t="s">
        <v>11993</v>
      </c>
      <c r="B2472" s="6" t="str">
        <f>IMAGE("https://storage.googleapis.com/acdb/housewares/FtrScreenSimple_Remake_1_4.png")</f>
        <v/>
      </c>
      <c r="C2472" s="5" t="s">
        <v>54</v>
      </c>
      <c r="D2472" s="5" t="s">
        <v>34</v>
      </c>
      <c r="E2472" s="5" t="s">
        <v>12023</v>
      </c>
      <c r="F2472" s="5" t="s">
        <v>11998</v>
      </c>
      <c r="G2472" s="5" t="s">
        <v>36</v>
      </c>
      <c r="H2472" s="5" t="s">
        <v>36</v>
      </c>
      <c r="I2472" s="5" t="s">
        <v>35</v>
      </c>
      <c r="J2472" s="6">
        <v>1.0</v>
      </c>
      <c r="K2472" s="6">
        <v>810.0</v>
      </c>
      <c r="L2472" s="6">
        <v>202.0</v>
      </c>
      <c r="M2472" s="26" t="s">
        <v>54</v>
      </c>
      <c r="N2472" s="26" t="s">
        <v>57</v>
      </c>
      <c r="O2472" s="6" t="s">
        <v>775</v>
      </c>
      <c r="P2472" s="5" t="s">
        <v>59</v>
      </c>
      <c r="Q2472" s="5" t="s">
        <v>89</v>
      </c>
      <c r="R2472" s="6" t="s">
        <v>42</v>
      </c>
      <c r="S2472" s="5" t="s">
        <v>141</v>
      </c>
      <c r="T2472" s="5" t="s">
        <v>44</v>
      </c>
      <c r="U2472" s="5" t="s">
        <v>44</v>
      </c>
      <c r="V2472" s="5" t="s">
        <v>44</v>
      </c>
      <c r="W2472" s="5" t="s">
        <v>36</v>
      </c>
      <c r="X2472" s="8" t="s">
        <v>715</v>
      </c>
      <c r="Y2472" s="5" t="s">
        <v>46</v>
      </c>
      <c r="Z2472" s="5" t="s">
        <v>47</v>
      </c>
      <c r="AA2472" s="5" t="s">
        <v>64</v>
      </c>
      <c r="AB2472" s="5" t="s">
        <v>12056</v>
      </c>
      <c r="AC2472" s="6" t="s">
        <v>520</v>
      </c>
      <c r="AD2472" s="6">
        <v>5338.0</v>
      </c>
    </row>
    <row r="2473" ht="56.25" customHeight="1">
      <c r="A2473" s="5" t="s">
        <v>11993</v>
      </c>
      <c r="B2473" s="6" t="str">
        <f>IMAGE("https://storage.googleapis.com/acdb/housewares/FtrScreenSimple_Remake_1_5.png")</f>
        <v/>
      </c>
      <c r="C2473" s="5" t="s">
        <v>54</v>
      </c>
      <c r="D2473" s="5" t="s">
        <v>34</v>
      </c>
      <c r="E2473" s="5" t="s">
        <v>12028</v>
      </c>
      <c r="F2473" s="5" t="s">
        <v>11998</v>
      </c>
      <c r="G2473" s="5" t="s">
        <v>36</v>
      </c>
      <c r="H2473" s="5" t="s">
        <v>36</v>
      </c>
      <c r="I2473" s="5" t="s">
        <v>35</v>
      </c>
      <c r="J2473" s="6">
        <v>1.0</v>
      </c>
      <c r="K2473" s="6">
        <v>810.0</v>
      </c>
      <c r="L2473" s="6">
        <v>202.0</v>
      </c>
      <c r="M2473" s="26" t="s">
        <v>54</v>
      </c>
      <c r="N2473" s="26" t="s">
        <v>38</v>
      </c>
      <c r="O2473" s="6" t="s">
        <v>775</v>
      </c>
      <c r="P2473" s="5" t="s">
        <v>59</v>
      </c>
      <c r="Q2473" s="5" t="s">
        <v>89</v>
      </c>
      <c r="R2473" s="6" t="s">
        <v>42</v>
      </c>
      <c r="S2473" s="5" t="s">
        <v>141</v>
      </c>
      <c r="T2473" s="5" t="s">
        <v>44</v>
      </c>
      <c r="U2473" s="5" t="s">
        <v>44</v>
      </c>
      <c r="V2473" s="5" t="s">
        <v>44</v>
      </c>
      <c r="W2473" s="5" t="s">
        <v>36</v>
      </c>
      <c r="X2473" s="8" t="s">
        <v>715</v>
      </c>
      <c r="Y2473" s="5" t="s">
        <v>46</v>
      </c>
      <c r="Z2473" s="5" t="s">
        <v>47</v>
      </c>
      <c r="AA2473" s="5" t="s">
        <v>64</v>
      </c>
      <c r="AB2473" s="5" t="s">
        <v>12059</v>
      </c>
      <c r="AC2473" s="6" t="s">
        <v>1389</v>
      </c>
      <c r="AD2473" s="6">
        <v>5338.0</v>
      </c>
    </row>
    <row r="2474" ht="56.25" customHeight="1">
      <c r="A2474" s="5" t="s">
        <v>11993</v>
      </c>
      <c r="B2474" s="6" t="str">
        <f>IMAGE("https://storage.googleapis.com/acdb/housewares/FtrScreenSimple_Remake_1_6.png")</f>
        <v/>
      </c>
      <c r="C2474" s="5" t="s">
        <v>54</v>
      </c>
      <c r="D2474" s="5" t="s">
        <v>34</v>
      </c>
      <c r="E2474" s="5" t="s">
        <v>5310</v>
      </c>
      <c r="F2474" s="5" t="s">
        <v>11998</v>
      </c>
      <c r="G2474" s="5" t="s">
        <v>36</v>
      </c>
      <c r="H2474" s="5" t="s">
        <v>36</v>
      </c>
      <c r="I2474" s="5" t="s">
        <v>35</v>
      </c>
      <c r="J2474" s="6">
        <v>1.0</v>
      </c>
      <c r="K2474" s="6">
        <v>810.0</v>
      </c>
      <c r="L2474" s="6">
        <v>202.0</v>
      </c>
      <c r="M2474" s="26" t="s">
        <v>54</v>
      </c>
      <c r="N2474" s="26" t="s">
        <v>95</v>
      </c>
      <c r="O2474" s="6" t="s">
        <v>775</v>
      </c>
      <c r="P2474" s="5" t="s">
        <v>59</v>
      </c>
      <c r="Q2474" s="5" t="s">
        <v>89</v>
      </c>
      <c r="R2474" s="6" t="s">
        <v>42</v>
      </c>
      <c r="S2474" s="5" t="s">
        <v>141</v>
      </c>
      <c r="T2474" s="5" t="s">
        <v>44</v>
      </c>
      <c r="U2474" s="5" t="s">
        <v>44</v>
      </c>
      <c r="V2474" s="5" t="s">
        <v>44</v>
      </c>
      <c r="W2474" s="5" t="s">
        <v>36</v>
      </c>
      <c r="X2474" s="8" t="s">
        <v>715</v>
      </c>
      <c r="Y2474" s="5" t="s">
        <v>46</v>
      </c>
      <c r="Z2474" s="5" t="s">
        <v>47</v>
      </c>
      <c r="AA2474" s="5" t="s">
        <v>64</v>
      </c>
      <c r="AB2474" s="5" t="s">
        <v>12062</v>
      </c>
      <c r="AC2474" s="6" t="s">
        <v>1394</v>
      </c>
      <c r="AD2474" s="6">
        <v>5338.0</v>
      </c>
    </row>
    <row r="2475" ht="56.25" customHeight="1">
      <c r="A2475" s="5" t="s">
        <v>11993</v>
      </c>
      <c r="B2475" s="6" t="str">
        <f>IMAGE("https://storage.googleapis.com/acdb/housewares/FtrScreenSimple_Remake_1_7.png")</f>
        <v/>
      </c>
      <c r="C2475" s="5" t="s">
        <v>54</v>
      </c>
      <c r="D2475" s="5" t="s">
        <v>34</v>
      </c>
      <c r="E2475" s="5" t="s">
        <v>151</v>
      </c>
      <c r="F2475" s="5" t="s">
        <v>11998</v>
      </c>
      <c r="G2475" s="5" t="s">
        <v>36</v>
      </c>
      <c r="H2475" s="5" t="s">
        <v>36</v>
      </c>
      <c r="I2475" s="5" t="s">
        <v>35</v>
      </c>
      <c r="J2475" s="6">
        <v>1.0</v>
      </c>
      <c r="K2475" s="6">
        <v>810.0</v>
      </c>
      <c r="L2475" s="6">
        <v>202.0</v>
      </c>
      <c r="M2475" s="26" t="s">
        <v>54</v>
      </c>
      <c r="N2475" s="26" t="s">
        <v>114</v>
      </c>
      <c r="O2475" s="6" t="s">
        <v>775</v>
      </c>
      <c r="P2475" s="5" t="s">
        <v>59</v>
      </c>
      <c r="Q2475" s="5" t="s">
        <v>89</v>
      </c>
      <c r="R2475" s="6" t="s">
        <v>42</v>
      </c>
      <c r="S2475" s="5" t="s">
        <v>141</v>
      </c>
      <c r="T2475" s="5" t="s">
        <v>44</v>
      </c>
      <c r="U2475" s="5" t="s">
        <v>44</v>
      </c>
      <c r="V2475" s="5" t="s">
        <v>44</v>
      </c>
      <c r="W2475" s="5" t="s">
        <v>36</v>
      </c>
      <c r="X2475" s="8" t="s">
        <v>715</v>
      </c>
      <c r="Y2475" s="5" t="s">
        <v>46</v>
      </c>
      <c r="Z2475" s="5" t="s">
        <v>47</v>
      </c>
      <c r="AA2475" s="5" t="s">
        <v>64</v>
      </c>
      <c r="AB2475" s="5" t="s">
        <v>12064</v>
      </c>
      <c r="AC2475" s="6" t="s">
        <v>1729</v>
      </c>
      <c r="AD2475" s="6">
        <v>5338.0</v>
      </c>
    </row>
    <row r="2476" ht="56.25" customHeight="1">
      <c r="A2476" s="5" t="s">
        <v>11993</v>
      </c>
      <c r="B2476" s="6" t="str">
        <f>IMAGE("https://storage.googleapis.com/acdb/housewares/FtrScreenSimple_Remake_2_0.png")</f>
        <v/>
      </c>
      <c r="C2476" s="5" t="s">
        <v>57</v>
      </c>
      <c r="D2476" s="5" t="s">
        <v>34</v>
      </c>
      <c r="E2476" s="5" t="s">
        <v>11997</v>
      </c>
      <c r="F2476" s="5" t="s">
        <v>11998</v>
      </c>
      <c r="G2476" s="5" t="s">
        <v>36</v>
      </c>
      <c r="H2476" s="5" t="s">
        <v>36</v>
      </c>
      <c r="I2476" s="5" t="s">
        <v>35</v>
      </c>
      <c r="J2476" s="6">
        <v>1.0</v>
      </c>
      <c r="K2476" s="6">
        <v>810.0</v>
      </c>
      <c r="L2476" s="6">
        <v>202.0</v>
      </c>
      <c r="M2476" s="26" t="s">
        <v>57</v>
      </c>
      <c r="N2476" s="26" t="s">
        <v>95</v>
      </c>
      <c r="O2476" s="6" t="s">
        <v>775</v>
      </c>
      <c r="P2476" s="5" t="s">
        <v>59</v>
      </c>
      <c r="Q2476" s="5" t="s">
        <v>89</v>
      </c>
      <c r="R2476" s="6" t="s">
        <v>42</v>
      </c>
      <c r="S2476" s="5" t="s">
        <v>141</v>
      </c>
      <c r="T2476" s="5" t="s">
        <v>44</v>
      </c>
      <c r="U2476" s="5" t="s">
        <v>44</v>
      </c>
      <c r="V2476" s="5" t="s">
        <v>44</v>
      </c>
      <c r="W2476" s="5" t="s">
        <v>36</v>
      </c>
      <c r="X2476" s="8" t="s">
        <v>715</v>
      </c>
      <c r="Y2476" s="5" t="s">
        <v>46</v>
      </c>
      <c r="Z2476" s="5" t="s">
        <v>47</v>
      </c>
      <c r="AA2476" s="5" t="s">
        <v>64</v>
      </c>
      <c r="AB2476" s="5" t="s">
        <v>12068</v>
      </c>
      <c r="AC2476" s="6" t="s">
        <v>67</v>
      </c>
      <c r="AD2476" s="6">
        <v>5338.0</v>
      </c>
    </row>
    <row r="2477" ht="56.25" customHeight="1">
      <c r="A2477" s="5" t="s">
        <v>11993</v>
      </c>
      <c r="B2477" s="6" t="str">
        <f>IMAGE("https://storage.googleapis.com/acdb/housewares/FtrScreenSimple_Remake_2_1.png")</f>
        <v/>
      </c>
      <c r="C2477" s="5" t="s">
        <v>57</v>
      </c>
      <c r="D2477" s="5" t="s">
        <v>34</v>
      </c>
      <c r="E2477" s="5" t="s">
        <v>12003</v>
      </c>
      <c r="F2477" s="5" t="s">
        <v>11998</v>
      </c>
      <c r="G2477" s="5" t="s">
        <v>36</v>
      </c>
      <c r="H2477" s="5" t="s">
        <v>36</v>
      </c>
      <c r="I2477" s="5" t="s">
        <v>35</v>
      </c>
      <c r="J2477" s="6">
        <v>1.0</v>
      </c>
      <c r="K2477" s="6">
        <v>810.0</v>
      </c>
      <c r="L2477" s="6">
        <v>202.0</v>
      </c>
      <c r="M2477" s="26" t="s">
        <v>57</v>
      </c>
      <c r="N2477" s="26" t="s">
        <v>57</v>
      </c>
      <c r="O2477" s="6" t="s">
        <v>775</v>
      </c>
      <c r="P2477" s="5" t="s">
        <v>59</v>
      </c>
      <c r="Q2477" s="5" t="s">
        <v>89</v>
      </c>
      <c r="R2477" s="6" t="s">
        <v>42</v>
      </c>
      <c r="S2477" s="5" t="s">
        <v>141</v>
      </c>
      <c r="T2477" s="5" t="s">
        <v>44</v>
      </c>
      <c r="U2477" s="5" t="s">
        <v>44</v>
      </c>
      <c r="V2477" s="5" t="s">
        <v>44</v>
      </c>
      <c r="W2477" s="5" t="s">
        <v>36</v>
      </c>
      <c r="X2477" s="8" t="s">
        <v>715</v>
      </c>
      <c r="Y2477" s="5" t="s">
        <v>46</v>
      </c>
      <c r="Z2477" s="5" t="s">
        <v>47</v>
      </c>
      <c r="AA2477" s="5" t="s">
        <v>64</v>
      </c>
      <c r="AB2477" s="5" t="s">
        <v>12074</v>
      </c>
      <c r="AC2477" s="6" t="s">
        <v>247</v>
      </c>
      <c r="AD2477" s="6">
        <v>5338.0</v>
      </c>
    </row>
    <row r="2478" ht="56.25" customHeight="1">
      <c r="A2478" s="5" t="s">
        <v>11993</v>
      </c>
      <c r="B2478" s="6" t="str">
        <f>IMAGE("https://storage.googleapis.com/acdb/housewares/FtrScreenSimple_Remake_2_2.png")</f>
        <v/>
      </c>
      <c r="C2478" s="5" t="s">
        <v>57</v>
      </c>
      <c r="D2478" s="5" t="s">
        <v>34</v>
      </c>
      <c r="E2478" s="5" t="s">
        <v>12009</v>
      </c>
      <c r="F2478" s="5" t="s">
        <v>11998</v>
      </c>
      <c r="G2478" s="5" t="s">
        <v>36</v>
      </c>
      <c r="H2478" s="5" t="s">
        <v>36</v>
      </c>
      <c r="I2478" s="5" t="s">
        <v>35</v>
      </c>
      <c r="J2478" s="6">
        <v>1.0</v>
      </c>
      <c r="K2478" s="6">
        <v>810.0</v>
      </c>
      <c r="L2478" s="6">
        <v>202.0</v>
      </c>
      <c r="M2478" s="26" t="s">
        <v>57</v>
      </c>
      <c r="N2478" s="26" t="s">
        <v>39</v>
      </c>
      <c r="O2478" s="6" t="s">
        <v>775</v>
      </c>
      <c r="P2478" s="5" t="s">
        <v>59</v>
      </c>
      <c r="Q2478" s="5" t="s">
        <v>89</v>
      </c>
      <c r="R2478" s="6" t="s">
        <v>42</v>
      </c>
      <c r="S2478" s="5" t="s">
        <v>141</v>
      </c>
      <c r="T2478" s="5" t="s">
        <v>44</v>
      </c>
      <c r="U2478" s="5" t="s">
        <v>44</v>
      </c>
      <c r="V2478" s="5" t="s">
        <v>44</v>
      </c>
      <c r="W2478" s="5" t="s">
        <v>36</v>
      </c>
      <c r="X2478" s="8" t="s">
        <v>715</v>
      </c>
      <c r="Y2478" s="5" t="s">
        <v>46</v>
      </c>
      <c r="Z2478" s="5" t="s">
        <v>47</v>
      </c>
      <c r="AA2478" s="5" t="s">
        <v>64</v>
      </c>
      <c r="AB2478" s="5" t="s">
        <v>12077</v>
      </c>
      <c r="AC2478" s="6" t="s">
        <v>390</v>
      </c>
      <c r="AD2478" s="6">
        <v>5338.0</v>
      </c>
    </row>
    <row r="2479" ht="56.25" customHeight="1">
      <c r="A2479" s="5" t="s">
        <v>11993</v>
      </c>
      <c r="B2479" s="6" t="str">
        <f>IMAGE("https://storage.googleapis.com/acdb/housewares/FtrScreenSimple_Remake_2_3.png")</f>
        <v/>
      </c>
      <c r="C2479" s="5" t="s">
        <v>57</v>
      </c>
      <c r="D2479" s="5" t="s">
        <v>34</v>
      </c>
      <c r="E2479" s="5" t="s">
        <v>12016</v>
      </c>
      <c r="F2479" s="5" t="s">
        <v>11998</v>
      </c>
      <c r="G2479" s="5" t="s">
        <v>36</v>
      </c>
      <c r="H2479" s="5" t="s">
        <v>36</v>
      </c>
      <c r="I2479" s="5" t="s">
        <v>35</v>
      </c>
      <c r="J2479" s="6">
        <v>1.0</v>
      </c>
      <c r="K2479" s="6">
        <v>810.0</v>
      </c>
      <c r="L2479" s="6">
        <v>202.0</v>
      </c>
      <c r="M2479" s="26" t="s">
        <v>57</v>
      </c>
      <c r="N2479" s="26" t="s">
        <v>39</v>
      </c>
      <c r="O2479" s="6" t="s">
        <v>775</v>
      </c>
      <c r="P2479" s="5" t="s">
        <v>59</v>
      </c>
      <c r="Q2479" s="5" t="s">
        <v>89</v>
      </c>
      <c r="R2479" s="6" t="s">
        <v>42</v>
      </c>
      <c r="S2479" s="5" t="s">
        <v>141</v>
      </c>
      <c r="T2479" s="5" t="s">
        <v>44</v>
      </c>
      <c r="U2479" s="5" t="s">
        <v>44</v>
      </c>
      <c r="V2479" s="5" t="s">
        <v>44</v>
      </c>
      <c r="W2479" s="5" t="s">
        <v>36</v>
      </c>
      <c r="X2479" s="8" t="s">
        <v>715</v>
      </c>
      <c r="Y2479" s="5" t="s">
        <v>46</v>
      </c>
      <c r="Z2479" s="5" t="s">
        <v>47</v>
      </c>
      <c r="AA2479" s="5" t="s">
        <v>64</v>
      </c>
      <c r="AB2479" s="5" t="s">
        <v>12081</v>
      </c>
      <c r="AC2479" s="6" t="s">
        <v>396</v>
      </c>
      <c r="AD2479" s="6">
        <v>5338.0</v>
      </c>
    </row>
    <row r="2480" ht="56.25" customHeight="1">
      <c r="A2480" s="5" t="s">
        <v>11993</v>
      </c>
      <c r="B2480" s="6" t="str">
        <f>IMAGE("https://storage.googleapis.com/acdb/housewares/FtrScreenSimple_Remake_2_4.png")</f>
        <v/>
      </c>
      <c r="C2480" s="5" t="s">
        <v>57</v>
      </c>
      <c r="D2480" s="5" t="s">
        <v>34</v>
      </c>
      <c r="E2480" s="5" t="s">
        <v>12023</v>
      </c>
      <c r="F2480" s="5" t="s">
        <v>11998</v>
      </c>
      <c r="G2480" s="5" t="s">
        <v>36</v>
      </c>
      <c r="H2480" s="5" t="s">
        <v>36</v>
      </c>
      <c r="I2480" s="5" t="s">
        <v>35</v>
      </c>
      <c r="J2480" s="6">
        <v>1.0</v>
      </c>
      <c r="K2480" s="6">
        <v>810.0</v>
      </c>
      <c r="L2480" s="6">
        <v>202.0</v>
      </c>
      <c r="M2480" s="26" t="s">
        <v>57</v>
      </c>
      <c r="N2480" s="26" t="s">
        <v>57</v>
      </c>
      <c r="O2480" s="6" t="s">
        <v>775</v>
      </c>
      <c r="P2480" s="5" t="s">
        <v>59</v>
      </c>
      <c r="Q2480" s="5" t="s">
        <v>89</v>
      </c>
      <c r="R2480" s="6" t="s">
        <v>42</v>
      </c>
      <c r="S2480" s="5" t="s">
        <v>141</v>
      </c>
      <c r="T2480" s="5" t="s">
        <v>44</v>
      </c>
      <c r="U2480" s="5" t="s">
        <v>44</v>
      </c>
      <c r="V2480" s="5" t="s">
        <v>44</v>
      </c>
      <c r="W2480" s="5" t="s">
        <v>36</v>
      </c>
      <c r="X2480" s="8" t="s">
        <v>715</v>
      </c>
      <c r="Y2480" s="5" t="s">
        <v>46</v>
      </c>
      <c r="Z2480" s="5" t="s">
        <v>47</v>
      </c>
      <c r="AA2480" s="5" t="s">
        <v>64</v>
      </c>
      <c r="AB2480" s="5" t="s">
        <v>12087</v>
      </c>
      <c r="AC2480" s="6" t="s">
        <v>541</v>
      </c>
      <c r="AD2480" s="6">
        <v>5338.0</v>
      </c>
    </row>
    <row r="2481" ht="56.25" customHeight="1">
      <c r="A2481" s="5" t="s">
        <v>11993</v>
      </c>
      <c r="B2481" s="6" t="str">
        <f>IMAGE("https://storage.googleapis.com/acdb/housewares/FtrScreenSimple_Remake_2_5.png")</f>
        <v/>
      </c>
      <c r="C2481" s="5" t="s">
        <v>57</v>
      </c>
      <c r="D2481" s="5" t="s">
        <v>34</v>
      </c>
      <c r="E2481" s="5" t="s">
        <v>12028</v>
      </c>
      <c r="F2481" s="5" t="s">
        <v>11998</v>
      </c>
      <c r="G2481" s="5" t="s">
        <v>36</v>
      </c>
      <c r="H2481" s="5" t="s">
        <v>36</v>
      </c>
      <c r="I2481" s="5" t="s">
        <v>35</v>
      </c>
      <c r="J2481" s="6">
        <v>1.0</v>
      </c>
      <c r="K2481" s="6">
        <v>810.0</v>
      </c>
      <c r="L2481" s="6">
        <v>202.0</v>
      </c>
      <c r="M2481" s="26" t="s">
        <v>57</v>
      </c>
      <c r="N2481" s="26" t="s">
        <v>38</v>
      </c>
      <c r="O2481" s="6" t="s">
        <v>775</v>
      </c>
      <c r="P2481" s="5" t="s">
        <v>59</v>
      </c>
      <c r="Q2481" s="5" t="s">
        <v>89</v>
      </c>
      <c r="R2481" s="6" t="s">
        <v>42</v>
      </c>
      <c r="S2481" s="5" t="s">
        <v>141</v>
      </c>
      <c r="T2481" s="5" t="s">
        <v>44</v>
      </c>
      <c r="U2481" s="5" t="s">
        <v>44</v>
      </c>
      <c r="V2481" s="5" t="s">
        <v>44</v>
      </c>
      <c r="W2481" s="5" t="s">
        <v>36</v>
      </c>
      <c r="X2481" s="8" t="s">
        <v>715</v>
      </c>
      <c r="Y2481" s="5" t="s">
        <v>46</v>
      </c>
      <c r="Z2481" s="5" t="s">
        <v>47</v>
      </c>
      <c r="AA2481" s="5" t="s">
        <v>64</v>
      </c>
      <c r="AB2481" s="5" t="s">
        <v>12091</v>
      </c>
      <c r="AC2481" s="6" t="s">
        <v>1415</v>
      </c>
      <c r="AD2481" s="6">
        <v>5338.0</v>
      </c>
    </row>
    <row r="2482" ht="56.25" customHeight="1">
      <c r="A2482" s="5" t="s">
        <v>11993</v>
      </c>
      <c r="B2482" s="6" t="str">
        <f>IMAGE("https://storage.googleapis.com/acdb/housewares/FtrScreenSimple_Remake_2_6.png")</f>
        <v/>
      </c>
      <c r="C2482" s="5" t="s">
        <v>57</v>
      </c>
      <c r="D2482" s="5" t="s">
        <v>34</v>
      </c>
      <c r="E2482" s="5" t="s">
        <v>5310</v>
      </c>
      <c r="F2482" s="5" t="s">
        <v>11998</v>
      </c>
      <c r="G2482" s="5" t="s">
        <v>36</v>
      </c>
      <c r="H2482" s="5" t="s">
        <v>36</v>
      </c>
      <c r="I2482" s="5" t="s">
        <v>35</v>
      </c>
      <c r="J2482" s="6">
        <v>1.0</v>
      </c>
      <c r="K2482" s="6">
        <v>810.0</v>
      </c>
      <c r="L2482" s="6">
        <v>202.0</v>
      </c>
      <c r="M2482" s="26" t="s">
        <v>57</v>
      </c>
      <c r="N2482" s="26" t="s">
        <v>95</v>
      </c>
      <c r="O2482" s="6" t="s">
        <v>775</v>
      </c>
      <c r="P2482" s="5" t="s">
        <v>59</v>
      </c>
      <c r="Q2482" s="5" t="s">
        <v>89</v>
      </c>
      <c r="R2482" s="6" t="s">
        <v>42</v>
      </c>
      <c r="S2482" s="5" t="s">
        <v>141</v>
      </c>
      <c r="T2482" s="5" t="s">
        <v>44</v>
      </c>
      <c r="U2482" s="5" t="s">
        <v>44</v>
      </c>
      <c r="V2482" s="5" t="s">
        <v>44</v>
      </c>
      <c r="W2482" s="5" t="s">
        <v>36</v>
      </c>
      <c r="X2482" s="8" t="s">
        <v>715</v>
      </c>
      <c r="Y2482" s="5" t="s">
        <v>46</v>
      </c>
      <c r="Z2482" s="5" t="s">
        <v>47</v>
      </c>
      <c r="AA2482" s="5" t="s">
        <v>64</v>
      </c>
      <c r="AB2482" s="5" t="s">
        <v>12093</v>
      </c>
      <c r="AC2482" s="6" t="s">
        <v>1421</v>
      </c>
      <c r="AD2482" s="6">
        <v>5338.0</v>
      </c>
    </row>
    <row r="2483" ht="56.25" customHeight="1">
      <c r="A2483" s="5" t="s">
        <v>11993</v>
      </c>
      <c r="B2483" s="6" t="str">
        <f>IMAGE("https://storage.googleapis.com/acdb/housewares/FtrScreenSimple_Remake_2_7.png")</f>
        <v/>
      </c>
      <c r="C2483" s="5" t="s">
        <v>57</v>
      </c>
      <c r="D2483" s="5" t="s">
        <v>34</v>
      </c>
      <c r="E2483" s="5" t="s">
        <v>151</v>
      </c>
      <c r="F2483" s="5" t="s">
        <v>11998</v>
      </c>
      <c r="G2483" s="5" t="s">
        <v>36</v>
      </c>
      <c r="H2483" s="5" t="s">
        <v>36</v>
      </c>
      <c r="I2483" s="5" t="s">
        <v>35</v>
      </c>
      <c r="J2483" s="6">
        <v>1.0</v>
      </c>
      <c r="K2483" s="6">
        <v>810.0</v>
      </c>
      <c r="L2483" s="6">
        <v>202.0</v>
      </c>
      <c r="M2483" s="26" t="s">
        <v>57</v>
      </c>
      <c r="N2483" s="26" t="s">
        <v>114</v>
      </c>
      <c r="O2483" s="6" t="s">
        <v>775</v>
      </c>
      <c r="P2483" s="5" t="s">
        <v>59</v>
      </c>
      <c r="Q2483" s="5" t="s">
        <v>89</v>
      </c>
      <c r="R2483" s="6" t="s">
        <v>42</v>
      </c>
      <c r="S2483" s="5" t="s">
        <v>141</v>
      </c>
      <c r="T2483" s="5" t="s">
        <v>44</v>
      </c>
      <c r="U2483" s="5" t="s">
        <v>44</v>
      </c>
      <c r="V2483" s="5" t="s">
        <v>44</v>
      </c>
      <c r="W2483" s="5" t="s">
        <v>36</v>
      </c>
      <c r="X2483" s="8" t="s">
        <v>715</v>
      </c>
      <c r="Y2483" s="5" t="s">
        <v>46</v>
      </c>
      <c r="Z2483" s="5" t="s">
        <v>47</v>
      </c>
      <c r="AA2483" s="5" t="s">
        <v>64</v>
      </c>
      <c r="AB2483" s="5" t="s">
        <v>12096</v>
      </c>
      <c r="AC2483" s="6" t="s">
        <v>1759</v>
      </c>
      <c r="AD2483" s="6">
        <v>5338.0</v>
      </c>
    </row>
    <row r="2484" ht="56.25" customHeight="1">
      <c r="A2484" s="5" t="s">
        <v>11993</v>
      </c>
      <c r="B2484" s="6" t="str">
        <f>IMAGE("https://storage.googleapis.com/acdb/housewares/FtrScreenSimple_Remake_3_0.png")</f>
        <v/>
      </c>
      <c r="C2484" s="5" t="s">
        <v>39</v>
      </c>
      <c r="D2484" s="5" t="s">
        <v>34</v>
      </c>
      <c r="E2484" s="5" t="s">
        <v>11997</v>
      </c>
      <c r="F2484" s="5" t="s">
        <v>11998</v>
      </c>
      <c r="G2484" s="5" t="s">
        <v>36</v>
      </c>
      <c r="H2484" s="5" t="s">
        <v>36</v>
      </c>
      <c r="I2484" s="5" t="s">
        <v>35</v>
      </c>
      <c r="J2484" s="6">
        <v>1.0</v>
      </c>
      <c r="K2484" s="6">
        <v>810.0</v>
      </c>
      <c r="L2484" s="6">
        <v>202.0</v>
      </c>
      <c r="M2484" s="26" t="s">
        <v>142</v>
      </c>
      <c r="N2484" s="26" t="s">
        <v>95</v>
      </c>
      <c r="O2484" s="6" t="s">
        <v>775</v>
      </c>
      <c r="P2484" s="5" t="s">
        <v>59</v>
      </c>
      <c r="Q2484" s="5" t="s">
        <v>89</v>
      </c>
      <c r="R2484" s="6" t="s">
        <v>42</v>
      </c>
      <c r="S2484" s="5" t="s">
        <v>141</v>
      </c>
      <c r="T2484" s="5" t="s">
        <v>44</v>
      </c>
      <c r="U2484" s="5" t="s">
        <v>44</v>
      </c>
      <c r="V2484" s="5" t="s">
        <v>44</v>
      </c>
      <c r="W2484" s="5" t="s">
        <v>36</v>
      </c>
      <c r="X2484" s="8" t="s">
        <v>715</v>
      </c>
      <c r="Y2484" s="5" t="s">
        <v>46</v>
      </c>
      <c r="Z2484" s="5" t="s">
        <v>47</v>
      </c>
      <c r="AA2484" s="5" t="s">
        <v>64</v>
      </c>
      <c r="AB2484" s="5" t="s">
        <v>12099</v>
      </c>
      <c r="AC2484" s="6" t="s">
        <v>71</v>
      </c>
      <c r="AD2484" s="6">
        <v>5338.0</v>
      </c>
    </row>
    <row r="2485" ht="56.25" customHeight="1">
      <c r="A2485" s="5" t="s">
        <v>11993</v>
      </c>
      <c r="B2485" s="6" t="str">
        <f>IMAGE("https://storage.googleapis.com/acdb/housewares/FtrScreenSimple_Remake_3_1.png")</f>
        <v/>
      </c>
      <c r="C2485" s="5" t="s">
        <v>39</v>
      </c>
      <c r="D2485" s="5" t="s">
        <v>34</v>
      </c>
      <c r="E2485" s="5" t="s">
        <v>12003</v>
      </c>
      <c r="F2485" s="5" t="s">
        <v>11998</v>
      </c>
      <c r="G2485" s="5" t="s">
        <v>36</v>
      </c>
      <c r="H2485" s="5" t="s">
        <v>36</v>
      </c>
      <c r="I2485" s="5" t="s">
        <v>35</v>
      </c>
      <c r="J2485" s="6">
        <v>1.0</v>
      </c>
      <c r="K2485" s="6">
        <v>810.0</v>
      </c>
      <c r="L2485" s="6">
        <v>202.0</v>
      </c>
      <c r="M2485" s="26" t="s">
        <v>142</v>
      </c>
      <c r="N2485" s="26" t="s">
        <v>57</v>
      </c>
      <c r="O2485" s="6" t="s">
        <v>775</v>
      </c>
      <c r="P2485" s="5" t="s">
        <v>59</v>
      </c>
      <c r="Q2485" s="5" t="s">
        <v>89</v>
      </c>
      <c r="R2485" s="6" t="s">
        <v>42</v>
      </c>
      <c r="S2485" s="5" t="s">
        <v>141</v>
      </c>
      <c r="T2485" s="5" t="s">
        <v>44</v>
      </c>
      <c r="U2485" s="5" t="s">
        <v>44</v>
      </c>
      <c r="V2485" s="5" t="s">
        <v>44</v>
      </c>
      <c r="W2485" s="5" t="s">
        <v>36</v>
      </c>
      <c r="X2485" s="8" t="s">
        <v>715</v>
      </c>
      <c r="Y2485" s="5" t="s">
        <v>46</v>
      </c>
      <c r="Z2485" s="5" t="s">
        <v>47</v>
      </c>
      <c r="AA2485" s="5" t="s">
        <v>64</v>
      </c>
      <c r="AB2485" s="5" t="s">
        <v>12103</v>
      </c>
      <c r="AC2485" s="6" t="s">
        <v>257</v>
      </c>
      <c r="AD2485" s="6">
        <v>5338.0</v>
      </c>
    </row>
    <row r="2486" ht="56.25" customHeight="1">
      <c r="A2486" s="5" t="s">
        <v>11993</v>
      </c>
      <c r="B2486" s="6" t="str">
        <f>IMAGE("https://storage.googleapis.com/acdb/housewares/FtrScreenSimple_Remake_3_2.png")</f>
        <v/>
      </c>
      <c r="C2486" s="5" t="s">
        <v>39</v>
      </c>
      <c r="D2486" s="5" t="s">
        <v>34</v>
      </c>
      <c r="E2486" s="5" t="s">
        <v>12009</v>
      </c>
      <c r="F2486" s="5" t="s">
        <v>11998</v>
      </c>
      <c r="G2486" s="5" t="s">
        <v>36</v>
      </c>
      <c r="H2486" s="5" t="s">
        <v>36</v>
      </c>
      <c r="I2486" s="5" t="s">
        <v>35</v>
      </c>
      <c r="J2486" s="6">
        <v>1.0</v>
      </c>
      <c r="K2486" s="6">
        <v>810.0</v>
      </c>
      <c r="L2486" s="6">
        <v>202.0</v>
      </c>
      <c r="M2486" s="26" t="s">
        <v>142</v>
      </c>
      <c r="N2486" s="26" t="s">
        <v>39</v>
      </c>
      <c r="O2486" s="6" t="s">
        <v>775</v>
      </c>
      <c r="P2486" s="5" t="s">
        <v>59</v>
      </c>
      <c r="Q2486" s="5" t="s">
        <v>89</v>
      </c>
      <c r="R2486" s="6" t="s">
        <v>42</v>
      </c>
      <c r="S2486" s="5" t="s">
        <v>141</v>
      </c>
      <c r="T2486" s="5" t="s">
        <v>44</v>
      </c>
      <c r="U2486" s="5" t="s">
        <v>44</v>
      </c>
      <c r="V2486" s="5" t="s">
        <v>44</v>
      </c>
      <c r="W2486" s="5" t="s">
        <v>36</v>
      </c>
      <c r="X2486" s="8" t="s">
        <v>715</v>
      </c>
      <c r="Y2486" s="5" t="s">
        <v>46</v>
      </c>
      <c r="Z2486" s="5" t="s">
        <v>47</v>
      </c>
      <c r="AA2486" s="5" t="s">
        <v>64</v>
      </c>
      <c r="AB2486" s="5" t="s">
        <v>12107</v>
      </c>
      <c r="AC2486" s="6" t="s">
        <v>414</v>
      </c>
      <c r="AD2486" s="6">
        <v>5338.0</v>
      </c>
    </row>
    <row r="2487" ht="56.25" customHeight="1">
      <c r="A2487" s="5" t="s">
        <v>11993</v>
      </c>
      <c r="B2487" s="6" t="str">
        <f>IMAGE("https://storage.googleapis.com/acdb/housewares/FtrScreenSimple_Remake_3_3.png")</f>
        <v/>
      </c>
      <c r="C2487" s="5" t="s">
        <v>39</v>
      </c>
      <c r="D2487" s="5" t="s">
        <v>34</v>
      </c>
      <c r="E2487" s="5" t="s">
        <v>12016</v>
      </c>
      <c r="F2487" s="5" t="s">
        <v>11998</v>
      </c>
      <c r="G2487" s="5" t="s">
        <v>36</v>
      </c>
      <c r="H2487" s="5" t="s">
        <v>36</v>
      </c>
      <c r="I2487" s="5" t="s">
        <v>35</v>
      </c>
      <c r="J2487" s="6">
        <v>1.0</v>
      </c>
      <c r="K2487" s="6">
        <v>810.0</v>
      </c>
      <c r="L2487" s="6">
        <v>202.0</v>
      </c>
      <c r="M2487" s="26" t="s">
        <v>142</v>
      </c>
      <c r="N2487" s="26" t="s">
        <v>39</v>
      </c>
      <c r="O2487" s="6" t="s">
        <v>775</v>
      </c>
      <c r="P2487" s="5" t="s">
        <v>59</v>
      </c>
      <c r="Q2487" s="5" t="s">
        <v>89</v>
      </c>
      <c r="R2487" s="6" t="s">
        <v>42</v>
      </c>
      <c r="S2487" s="5" t="s">
        <v>141</v>
      </c>
      <c r="T2487" s="5" t="s">
        <v>44</v>
      </c>
      <c r="U2487" s="5" t="s">
        <v>44</v>
      </c>
      <c r="V2487" s="5" t="s">
        <v>44</v>
      </c>
      <c r="W2487" s="5" t="s">
        <v>36</v>
      </c>
      <c r="X2487" s="8" t="s">
        <v>715</v>
      </c>
      <c r="Y2487" s="5" t="s">
        <v>46</v>
      </c>
      <c r="Z2487" s="5" t="s">
        <v>47</v>
      </c>
      <c r="AA2487" s="5" t="s">
        <v>64</v>
      </c>
      <c r="AB2487" s="5" t="s">
        <v>12112</v>
      </c>
      <c r="AC2487" s="6" t="s">
        <v>418</v>
      </c>
      <c r="AD2487" s="6">
        <v>5338.0</v>
      </c>
    </row>
    <row r="2488" ht="56.25" customHeight="1">
      <c r="A2488" s="5" t="s">
        <v>11993</v>
      </c>
      <c r="B2488" s="6" t="str">
        <f>IMAGE("https://storage.googleapis.com/acdb/housewares/FtrScreenSimple_Remake_3_4.png")</f>
        <v/>
      </c>
      <c r="C2488" s="5" t="s">
        <v>39</v>
      </c>
      <c r="D2488" s="5" t="s">
        <v>34</v>
      </c>
      <c r="E2488" s="5" t="s">
        <v>12023</v>
      </c>
      <c r="F2488" s="5" t="s">
        <v>11998</v>
      </c>
      <c r="G2488" s="5" t="s">
        <v>36</v>
      </c>
      <c r="H2488" s="5" t="s">
        <v>36</v>
      </c>
      <c r="I2488" s="5" t="s">
        <v>35</v>
      </c>
      <c r="J2488" s="6">
        <v>1.0</v>
      </c>
      <c r="K2488" s="6">
        <v>810.0</v>
      </c>
      <c r="L2488" s="6">
        <v>202.0</v>
      </c>
      <c r="M2488" s="26" t="s">
        <v>142</v>
      </c>
      <c r="N2488" s="26" t="s">
        <v>57</v>
      </c>
      <c r="O2488" s="6" t="s">
        <v>775</v>
      </c>
      <c r="P2488" s="5" t="s">
        <v>59</v>
      </c>
      <c r="Q2488" s="5" t="s">
        <v>89</v>
      </c>
      <c r="R2488" s="6" t="s">
        <v>42</v>
      </c>
      <c r="S2488" s="5" t="s">
        <v>141</v>
      </c>
      <c r="T2488" s="5" t="s">
        <v>44</v>
      </c>
      <c r="U2488" s="5" t="s">
        <v>44</v>
      </c>
      <c r="V2488" s="5" t="s">
        <v>44</v>
      </c>
      <c r="W2488" s="5" t="s">
        <v>36</v>
      </c>
      <c r="X2488" s="8" t="s">
        <v>715</v>
      </c>
      <c r="Y2488" s="5" t="s">
        <v>46</v>
      </c>
      <c r="Z2488" s="5" t="s">
        <v>47</v>
      </c>
      <c r="AA2488" s="5" t="s">
        <v>64</v>
      </c>
      <c r="AB2488" s="5" t="s">
        <v>12117</v>
      </c>
      <c r="AC2488" s="6" t="s">
        <v>563</v>
      </c>
      <c r="AD2488" s="6">
        <v>5338.0</v>
      </c>
    </row>
    <row r="2489" ht="56.25" customHeight="1">
      <c r="A2489" s="5" t="s">
        <v>11993</v>
      </c>
      <c r="B2489" s="6" t="str">
        <f>IMAGE("https://storage.googleapis.com/acdb/housewares/FtrScreenSimple_Remake_3_5.png")</f>
        <v/>
      </c>
      <c r="C2489" s="5" t="s">
        <v>39</v>
      </c>
      <c r="D2489" s="5" t="s">
        <v>34</v>
      </c>
      <c r="E2489" s="5" t="s">
        <v>12028</v>
      </c>
      <c r="F2489" s="5" t="s">
        <v>11998</v>
      </c>
      <c r="G2489" s="5" t="s">
        <v>36</v>
      </c>
      <c r="H2489" s="5" t="s">
        <v>36</v>
      </c>
      <c r="I2489" s="5" t="s">
        <v>35</v>
      </c>
      <c r="J2489" s="6">
        <v>1.0</v>
      </c>
      <c r="K2489" s="6">
        <v>810.0</v>
      </c>
      <c r="L2489" s="6">
        <v>202.0</v>
      </c>
      <c r="M2489" s="26" t="s">
        <v>142</v>
      </c>
      <c r="N2489" s="26" t="s">
        <v>38</v>
      </c>
      <c r="O2489" s="6" t="s">
        <v>775</v>
      </c>
      <c r="P2489" s="5" t="s">
        <v>59</v>
      </c>
      <c r="Q2489" s="5" t="s">
        <v>89</v>
      </c>
      <c r="R2489" s="6" t="s">
        <v>42</v>
      </c>
      <c r="S2489" s="5" t="s">
        <v>141</v>
      </c>
      <c r="T2489" s="5" t="s">
        <v>44</v>
      </c>
      <c r="U2489" s="5" t="s">
        <v>44</v>
      </c>
      <c r="V2489" s="5" t="s">
        <v>44</v>
      </c>
      <c r="W2489" s="5" t="s">
        <v>36</v>
      </c>
      <c r="X2489" s="8" t="s">
        <v>715</v>
      </c>
      <c r="Y2489" s="5" t="s">
        <v>46</v>
      </c>
      <c r="Z2489" s="5" t="s">
        <v>47</v>
      </c>
      <c r="AA2489" s="5" t="s">
        <v>64</v>
      </c>
      <c r="AB2489" s="5" t="s">
        <v>12120</v>
      </c>
      <c r="AC2489" s="6" t="s">
        <v>1443</v>
      </c>
      <c r="AD2489" s="6">
        <v>5338.0</v>
      </c>
    </row>
    <row r="2490" ht="56.25" customHeight="1">
      <c r="A2490" s="5" t="s">
        <v>11993</v>
      </c>
      <c r="B2490" s="6" t="str">
        <f>IMAGE("https://storage.googleapis.com/acdb/housewares/FtrScreenSimple_Remake_3_6.png")</f>
        <v/>
      </c>
      <c r="C2490" s="5" t="s">
        <v>39</v>
      </c>
      <c r="D2490" s="5" t="s">
        <v>34</v>
      </c>
      <c r="E2490" s="5" t="s">
        <v>5310</v>
      </c>
      <c r="F2490" s="5" t="s">
        <v>11998</v>
      </c>
      <c r="G2490" s="5" t="s">
        <v>36</v>
      </c>
      <c r="H2490" s="5" t="s">
        <v>36</v>
      </c>
      <c r="I2490" s="5" t="s">
        <v>35</v>
      </c>
      <c r="J2490" s="6">
        <v>1.0</v>
      </c>
      <c r="K2490" s="6">
        <v>810.0</v>
      </c>
      <c r="L2490" s="6">
        <v>202.0</v>
      </c>
      <c r="M2490" s="26" t="s">
        <v>142</v>
      </c>
      <c r="N2490" s="26" t="s">
        <v>95</v>
      </c>
      <c r="O2490" s="6" t="s">
        <v>775</v>
      </c>
      <c r="P2490" s="5" t="s">
        <v>59</v>
      </c>
      <c r="Q2490" s="5" t="s">
        <v>89</v>
      </c>
      <c r="R2490" s="6" t="s">
        <v>42</v>
      </c>
      <c r="S2490" s="5" t="s">
        <v>141</v>
      </c>
      <c r="T2490" s="5" t="s">
        <v>44</v>
      </c>
      <c r="U2490" s="5" t="s">
        <v>44</v>
      </c>
      <c r="V2490" s="5" t="s">
        <v>44</v>
      </c>
      <c r="W2490" s="5" t="s">
        <v>36</v>
      </c>
      <c r="X2490" s="8" t="s">
        <v>715</v>
      </c>
      <c r="Y2490" s="5" t="s">
        <v>46</v>
      </c>
      <c r="Z2490" s="5" t="s">
        <v>47</v>
      </c>
      <c r="AA2490" s="5" t="s">
        <v>64</v>
      </c>
      <c r="AB2490" s="5" t="s">
        <v>12126</v>
      </c>
      <c r="AC2490" s="6" t="s">
        <v>1450</v>
      </c>
      <c r="AD2490" s="6">
        <v>5338.0</v>
      </c>
    </row>
    <row r="2491" ht="56.25" customHeight="1">
      <c r="A2491" s="5" t="s">
        <v>11993</v>
      </c>
      <c r="B2491" s="6" t="str">
        <f>IMAGE("https://storage.googleapis.com/acdb/housewares/FtrScreenSimple_Remake_3_7.png")</f>
        <v/>
      </c>
      <c r="C2491" s="5" t="s">
        <v>39</v>
      </c>
      <c r="D2491" s="5" t="s">
        <v>34</v>
      </c>
      <c r="E2491" s="5" t="s">
        <v>151</v>
      </c>
      <c r="F2491" s="5" t="s">
        <v>11998</v>
      </c>
      <c r="G2491" s="5" t="s">
        <v>36</v>
      </c>
      <c r="H2491" s="5" t="s">
        <v>36</v>
      </c>
      <c r="I2491" s="5" t="s">
        <v>35</v>
      </c>
      <c r="J2491" s="6">
        <v>1.0</v>
      </c>
      <c r="K2491" s="6">
        <v>810.0</v>
      </c>
      <c r="L2491" s="6">
        <v>202.0</v>
      </c>
      <c r="M2491" s="26" t="s">
        <v>142</v>
      </c>
      <c r="N2491" s="26" t="s">
        <v>114</v>
      </c>
      <c r="O2491" s="6" t="s">
        <v>775</v>
      </c>
      <c r="P2491" s="5" t="s">
        <v>59</v>
      </c>
      <c r="Q2491" s="5" t="s">
        <v>89</v>
      </c>
      <c r="R2491" s="6" t="s">
        <v>42</v>
      </c>
      <c r="S2491" s="5" t="s">
        <v>141</v>
      </c>
      <c r="T2491" s="5" t="s">
        <v>44</v>
      </c>
      <c r="U2491" s="5" t="s">
        <v>44</v>
      </c>
      <c r="V2491" s="5" t="s">
        <v>44</v>
      </c>
      <c r="W2491" s="5" t="s">
        <v>36</v>
      </c>
      <c r="X2491" s="8" t="s">
        <v>715</v>
      </c>
      <c r="Y2491" s="5" t="s">
        <v>46</v>
      </c>
      <c r="Z2491" s="5" t="s">
        <v>47</v>
      </c>
      <c r="AA2491" s="5" t="s">
        <v>64</v>
      </c>
      <c r="AB2491" s="5" t="s">
        <v>12131</v>
      </c>
      <c r="AC2491" s="6" t="s">
        <v>1792</v>
      </c>
      <c r="AD2491" s="6">
        <v>5338.0</v>
      </c>
    </row>
    <row r="2492" ht="56.25" customHeight="1">
      <c r="A2492" s="5" t="s">
        <v>11993</v>
      </c>
      <c r="B2492" s="6" t="str">
        <f>IMAGE("https://storage.googleapis.com/acdb/housewares/FtrScreenSimple_Remake_4_0.png")</f>
        <v/>
      </c>
      <c r="C2492" s="5" t="s">
        <v>935</v>
      </c>
      <c r="D2492" s="5" t="s">
        <v>34</v>
      </c>
      <c r="E2492" s="5" t="s">
        <v>11997</v>
      </c>
      <c r="F2492" s="5" t="s">
        <v>11998</v>
      </c>
      <c r="G2492" s="5" t="s">
        <v>36</v>
      </c>
      <c r="H2492" s="5" t="s">
        <v>36</v>
      </c>
      <c r="I2492" s="5" t="s">
        <v>35</v>
      </c>
      <c r="J2492" s="6">
        <v>1.0</v>
      </c>
      <c r="K2492" s="6">
        <v>810.0</v>
      </c>
      <c r="L2492" s="6">
        <v>202.0</v>
      </c>
      <c r="M2492" s="26" t="s">
        <v>38</v>
      </c>
      <c r="N2492" s="26" t="s">
        <v>95</v>
      </c>
      <c r="O2492" s="6" t="s">
        <v>775</v>
      </c>
      <c r="P2492" s="5" t="s">
        <v>59</v>
      </c>
      <c r="Q2492" s="5" t="s">
        <v>89</v>
      </c>
      <c r="R2492" s="6" t="s">
        <v>42</v>
      </c>
      <c r="S2492" s="5" t="s">
        <v>141</v>
      </c>
      <c r="T2492" s="5" t="s">
        <v>44</v>
      </c>
      <c r="U2492" s="5" t="s">
        <v>44</v>
      </c>
      <c r="V2492" s="5" t="s">
        <v>44</v>
      </c>
      <c r="W2492" s="5" t="s">
        <v>36</v>
      </c>
      <c r="X2492" s="8" t="s">
        <v>715</v>
      </c>
      <c r="Y2492" s="5" t="s">
        <v>46</v>
      </c>
      <c r="Z2492" s="5" t="s">
        <v>47</v>
      </c>
      <c r="AA2492" s="5" t="s">
        <v>64</v>
      </c>
      <c r="AB2492" s="5" t="s">
        <v>12137</v>
      </c>
      <c r="AC2492" s="6" t="s">
        <v>75</v>
      </c>
      <c r="AD2492" s="6">
        <v>5338.0</v>
      </c>
    </row>
    <row r="2493" ht="56.25" customHeight="1">
      <c r="A2493" s="5" t="s">
        <v>11993</v>
      </c>
      <c r="B2493" s="6" t="str">
        <f>IMAGE("https://storage.googleapis.com/acdb/housewares/FtrScreenSimple_Remake_4_1.png")</f>
        <v/>
      </c>
      <c r="C2493" s="5" t="s">
        <v>935</v>
      </c>
      <c r="D2493" s="5" t="s">
        <v>34</v>
      </c>
      <c r="E2493" s="5" t="s">
        <v>12003</v>
      </c>
      <c r="F2493" s="5" t="s">
        <v>11998</v>
      </c>
      <c r="G2493" s="5" t="s">
        <v>36</v>
      </c>
      <c r="H2493" s="5" t="s">
        <v>36</v>
      </c>
      <c r="I2493" s="5" t="s">
        <v>35</v>
      </c>
      <c r="J2493" s="6">
        <v>1.0</v>
      </c>
      <c r="K2493" s="6">
        <v>810.0</v>
      </c>
      <c r="L2493" s="6">
        <v>202.0</v>
      </c>
      <c r="M2493" s="26" t="s">
        <v>38</v>
      </c>
      <c r="N2493" s="26" t="s">
        <v>57</v>
      </c>
      <c r="O2493" s="6" t="s">
        <v>775</v>
      </c>
      <c r="P2493" s="5" t="s">
        <v>59</v>
      </c>
      <c r="Q2493" s="5" t="s">
        <v>89</v>
      </c>
      <c r="R2493" s="6" t="s">
        <v>42</v>
      </c>
      <c r="S2493" s="5" t="s">
        <v>141</v>
      </c>
      <c r="T2493" s="5" t="s">
        <v>44</v>
      </c>
      <c r="U2493" s="5" t="s">
        <v>44</v>
      </c>
      <c r="V2493" s="5" t="s">
        <v>44</v>
      </c>
      <c r="W2493" s="5" t="s">
        <v>36</v>
      </c>
      <c r="X2493" s="8" t="s">
        <v>715</v>
      </c>
      <c r="Y2493" s="5" t="s">
        <v>46</v>
      </c>
      <c r="Z2493" s="5" t="s">
        <v>47</v>
      </c>
      <c r="AA2493" s="5" t="s">
        <v>64</v>
      </c>
      <c r="AB2493" s="5" t="s">
        <v>12142</v>
      </c>
      <c r="AC2493" s="6" t="s">
        <v>429</v>
      </c>
      <c r="AD2493" s="6">
        <v>5338.0</v>
      </c>
    </row>
    <row r="2494" ht="56.25" customHeight="1">
      <c r="A2494" s="5" t="s">
        <v>11993</v>
      </c>
      <c r="B2494" s="6" t="str">
        <f>IMAGE("https://storage.googleapis.com/acdb/housewares/FtrScreenSimple_Remake_4_2.png")</f>
        <v/>
      </c>
      <c r="C2494" s="5" t="s">
        <v>935</v>
      </c>
      <c r="D2494" s="5" t="s">
        <v>34</v>
      </c>
      <c r="E2494" s="5" t="s">
        <v>12009</v>
      </c>
      <c r="F2494" s="5" t="s">
        <v>11998</v>
      </c>
      <c r="G2494" s="5" t="s">
        <v>36</v>
      </c>
      <c r="H2494" s="5" t="s">
        <v>36</v>
      </c>
      <c r="I2494" s="5" t="s">
        <v>35</v>
      </c>
      <c r="J2494" s="6">
        <v>1.0</v>
      </c>
      <c r="K2494" s="6">
        <v>810.0</v>
      </c>
      <c r="L2494" s="6">
        <v>202.0</v>
      </c>
      <c r="M2494" s="26" t="s">
        <v>38</v>
      </c>
      <c r="N2494" s="26" t="s">
        <v>39</v>
      </c>
      <c r="O2494" s="6" t="s">
        <v>775</v>
      </c>
      <c r="P2494" s="5" t="s">
        <v>59</v>
      </c>
      <c r="Q2494" s="5" t="s">
        <v>89</v>
      </c>
      <c r="R2494" s="6" t="s">
        <v>42</v>
      </c>
      <c r="S2494" s="5" t="s">
        <v>141</v>
      </c>
      <c r="T2494" s="5" t="s">
        <v>44</v>
      </c>
      <c r="U2494" s="5" t="s">
        <v>44</v>
      </c>
      <c r="V2494" s="5" t="s">
        <v>44</v>
      </c>
      <c r="W2494" s="5" t="s">
        <v>36</v>
      </c>
      <c r="X2494" s="8" t="s">
        <v>715</v>
      </c>
      <c r="Y2494" s="5" t="s">
        <v>46</v>
      </c>
      <c r="Z2494" s="5" t="s">
        <v>47</v>
      </c>
      <c r="AA2494" s="5" t="s">
        <v>64</v>
      </c>
      <c r="AB2494" s="5" t="s">
        <v>12147</v>
      </c>
      <c r="AC2494" s="6" t="s">
        <v>434</v>
      </c>
      <c r="AD2494" s="6">
        <v>5338.0</v>
      </c>
    </row>
    <row r="2495" ht="56.25" customHeight="1">
      <c r="A2495" s="5" t="s">
        <v>11993</v>
      </c>
      <c r="B2495" s="6" t="str">
        <f>IMAGE("https://storage.googleapis.com/acdb/housewares/FtrScreenSimple_Remake_4_3.png")</f>
        <v/>
      </c>
      <c r="C2495" s="5" t="s">
        <v>935</v>
      </c>
      <c r="D2495" s="5" t="s">
        <v>34</v>
      </c>
      <c r="E2495" s="5" t="s">
        <v>12016</v>
      </c>
      <c r="F2495" s="5" t="s">
        <v>11998</v>
      </c>
      <c r="G2495" s="5" t="s">
        <v>36</v>
      </c>
      <c r="H2495" s="5" t="s">
        <v>36</v>
      </c>
      <c r="I2495" s="5" t="s">
        <v>35</v>
      </c>
      <c r="J2495" s="6">
        <v>1.0</v>
      </c>
      <c r="K2495" s="6">
        <v>810.0</v>
      </c>
      <c r="L2495" s="6">
        <v>202.0</v>
      </c>
      <c r="M2495" s="26" t="s">
        <v>38</v>
      </c>
      <c r="N2495" s="26" t="s">
        <v>39</v>
      </c>
      <c r="O2495" s="6" t="s">
        <v>775</v>
      </c>
      <c r="P2495" s="5" t="s">
        <v>59</v>
      </c>
      <c r="Q2495" s="5" t="s">
        <v>89</v>
      </c>
      <c r="R2495" s="6" t="s">
        <v>42</v>
      </c>
      <c r="S2495" s="5" t="s">
        <v>141</v>
      </c>
      <c r="T2495" s="5" t="s">
        <v>44</v>
      </c>
      <c r="U2495" s="5" t="s">
        <v>44</v>
      </c>
      <c r="V2495" s="5" t="s">
        <v>44</v>
      </c>
      <c r="W2495" s="5" t="s">
        <v>36</v>
      </c>
      <c r="X2495" s="8" t="s">
        <v>715</v>
      </c>
      <c r="Y2495" s="5" t="s">
        <v>46</v>
      </c>
      <c r="Z2495" s="5" t="s">
        <v>47</v>
      </c>
      <c r="AA2495" s="5" t="s">
        <v>64</v>
      </c>
      <c r="AB2495" s="5" t="s">
        <v>12152</v>
      </c>
      <c r="AC2495" s="6" t="s">
        <v>438</v>
      </c>
      <c r="AD2495" s="6">
        <v>5338.0</v>
      </c>
    </row>
    <row r="2496" ht="56.25" customHeight="1">
      <c r="A2496" s="5" t="s">
        <v>11993</v>
      </c>
      <c r="B2496" s="6" t="str">
        <f>IMAGE("https://storage.googleapis.com/acdb/housewares/FtrScreenSimple_Remake_4_4.png")</f>
        <v/>
      </c>
      <c r="C2496" s="5" t="s">
        <v>935</v>
      </c>
      <c r="D2496" s="5" t="s">
        <v>34</v>
      </c>
      <c r="E2496" s="5" t="s">
        <v>12023</v>
      </c>
      <c r="F2496" s="5" t="s">
        <v>11998</v>
      </c>
      <c r="G2496" s="5" t="s">
        <v>36</v>
      </c>
      <c r="H2496" s="5" t="s">
        <v>36</v>
      </c>
      <c r="I2496" s="5" t="s">
        <v>35</v>
      </c>
      <c r="J2496" s="6">
        <v>1.0</v>
      </c>
      <c r="K2496" s="6">
        <v>810.0</v>
      </c>
      <c r="L2496" s="6">
        <v>202.0</v>
      </c>
      <c r="M2496" s="26" t="s">
        <v>38</v>
      </c>
      <c r="N2496" s="26" t="s">
        <v>57</v>
      </c>
      <c r="O2496" s="6" t="s">
        <v>775</v>
      </c>
      <c r="P2496" s="5" t="s">
        <v>59</v>
      </c>
      <c r="Q2496" s="5" t="s">
        <v>89</v>
      </c>
      <c r="R2496" s="6" t="s">
        <v>42</v>
      </c>
      <c r="S2496" s="5" t="s">
        <v>141</v>
      </c>
      <c r="T2496" s="5" t="s">
        <v>44</v>
      </c>
      <c r="U2496" s="5" t="s">
        <v>44</v>
      </c>
      <c r="V2496" s="5" t="s">
        <v>44</v>
      </c>
      <c r="W2496" s="5" t="s">
        <v>36</v>
      </c>
      <c r="X2496" s="8" t="s">
        <v>715</v>
      </c>
      <c r="Y2496" s="5" t="s">
        <v>46</v>
      </c>
      <c r="Z2496" s="5" t="s">
        <v>47</v>
      </c>
      <c r="AA2496" s="5" t="s">
        <v>64</v>
      </c>
      <c r="AB2496" s="5" t="s">
        <v>12157</v>
      </c>
      <c r="AC2496" s="6" t="s">
        <v>585</v>
      </c>
      <c r="AD2496" s="6">
        <v>5338.0</v>
      </c>
    </row>
    <row r="2497" ht="56.25" customHeight="1">
      <c r="A2497" s="5" t="s">
        <v>11993</v>
      </c>
      <c r="B2497" s="6" t="str">
        <f>IMAGE("https://storage.googleapis.com/acdb/housewares/FtrScreenSimple_Remake_4_5.png")</f>
        <v/>
      </c>
      <c r="C2497" s="5" t="s">
        <v>935</v>
      </c>
      <c r="D2497" s="5" t="s">
        <v>34</v>
      </c>
      <c r="E2497" s="5" t="s">
        <v>12028</v>
      </c>
      <c r="F2497" s="5" t="s">
        <v>11998</v>
      </c>
      <c r="G2497" s="5" t="s">
        <v>36</v>
      </c>
      <c r="H2497" s="5" t="s">
        <v>36</v>
      </c>
      <c r="I2497" s="5" t="s">
        <v>35</v>
      </c>
      <c r="J2497" s="6">
        <v>1.0</v>
      </c>
      <c r="K2497" s="6">
        <v>810.0</v>
      </c>
      <c r="L2497" s="6">
        <v>202.0</v>
      </c>
      <c r="M2497" s="26" t="s">
        <v>38</v>
      </c>
      <c r="N2497" s="26" t="s">
        <v>38</v>
      </c>
      <c r="O2497" s="6" t="s">
        <v>775</v>
      </c>
      <c r="P2497" s="5" t="s">
        <v>59</v>
      </c>
      <c r="Q2497" s="5" t="s">
        <v>89</v>
      </c>
      <c r="R2497" s="6" t="s">
        <v>42</v>
      </c>
      <c r="S2497" s="5" t="s">
        <v>141</v>
      </c>
      <c r="T2497" s="5" t="s">
        <v>44</v>
      </c>
      <c r="U2497" s="5" t="s">
        <v>44</v>
      </c>
      <c r="V2497" s="5" t="s">
        <v>44</v>
      </c>
      <c r="W2497" s="5" t="s">
        <v>36</v>
      </c>
      <c r="X2497" s="8" t="s">
        <v>715</v>
      </c>
      <c r="Y2497" s="5" t="s">
        <v>46</v>
      </c>
      <c r="Z2497" s="5" t="s">
        <v>47</v>
      </c>
      <c r="AA2497" s="5" t="s">
        <v>64</v>
      </c>
      <c r="AB2497" s="5" t="s">
        <v>12163</v>
      </c>
      <c r="AC2497" s="6" t="s">
        <v>1816</v>
      </c>
      <c r="AD2497" s="6">
        <v>5338.0</v>
      </c>
    </row>
    <row r="2498" ht="56.25" customHeight="1">
      <c r="A2498" s="5" t="s">
        <v>11993</v>
      </c>
      <c r="B2498" s="6" t="str">
        <f>IMAGE("https://storage.googleapis.com/acdb/housewares/FtrScreenSimple_Remake_4_6.png")</f>
        <v/>
      </c>
      <c r="C2498" s="5" t="s">
        <v>935</v>
      </c>
      <c r="D2498" s="5" t="s">
        <v>34</v>
      </c>
      <c r="E2498" s="5" t="s">
        <v>5310</v>
      </c>
      <c r="F2498" s="5" t="s">
        <v>11998</v>
      </c>
      <c r="G2498" s="5" t="s">
        <v>36</v>
      </c>
      <c r="H2498" s="5" t="s">
        <v>36</v>
      </c>
      <c r="I2498" s="5" t="s">
        <v>35</v>
      </c>
      <c r="J2498" s="6">
        <v>1.0</v>
      </c>
      <c r="K2498" s="6">
        <v>810.0</v>
      </c>
      <c r="L2498" s="6">
        <v>202.0</v>
      </c>
      <c r="M2498" s="26" t="s">
        <v>38</v>
      </c>
      <c r="N2498" s="26" t="s">
        <v>95</v>
      </c>
      <c r="O2498" s="6" t="s">
        <v>775</v>
      </c>
      <c r="P2498" s="5" t="s">
        <v>59</v>
      </c>
      <c r="Q2498" s="5" t="s">
        <v>89</v>
      </c>
      <c r="R2498" s="6" t="s">
        <v>42</v>
      </c>
      <c r="S2498" s="5" t="s">
        <v>141</v>
      </c>
      <c r="T2498" s="5" t="s">
        <v>44</v>
      </c>
      <c r="U2498" s="5" t="s">
        <v>44</v>
      </c>
      <c r="V2498" s="5" t="s">
        <v>44</v>
      </c>
      <c r="W2498" s="5" t="s">
        <v>36</v>
      </c>
      <c r="X2498" s="8" t="s">
        <v>715</v>
      </c>
      <c r="Y2498" s="5" t="s">
        <v>46</v>
      </c>
      <c r="Z2498" s="5" t="s">
        <v>47</v>
      </c>
      <c r="AA2498" s="5" t="s">
        <v>64</v>
      </c>
      <c r="AB2498" s="5" t="s">
        <v>12168</v>
      </c>
      <c r="AC2498" s="6" t="s">
        <v>1820</v>
      </c>
      <c r="AD2498" s="6">
        <v>5338.0</v>
      </c>
    </row>
    <row r="2499" ht="56.25" customHeight="1">
      <c r="A2499" s="5" t="s">
        <v>11993</v>
      </c>
      <c r="B2499" s="6" t="str">
        <f>IMAGE("https://storage.googleapis.com/acdb/housewares/FtrScreenSimple_Remake_4_7.png")</f>
        <v/>
      </c>
      <c r="C2499" s="5" t="s">
        <v>935</v>
      </c>
      <c r="D2499" s="5" t="s">
        <v>34</v>
      </c>
      <c r="E2499" s="5" t="s">
        <v>151</v>
      </c>
      <c r="F2499" s="5" t="s">
        <v>11998</v>
      </c>
      <c r="G2499" s="5" t="s">
        <v>36</v>
      </c>
      <c r="H2499" s="5" t="s">
        <v>36</v>
      </c>
      <c r="I2499" s="5" t="s">
        <v>35</v>
      </c>
      <c r="J2499" s="6">
        <v>1.0</v>
      </c>
      <c r="K2499" s="6">
        <v>810.0</v>
      </c>
      <c r="L2499" s="6">
        <v>202.0</v>
      </c>
      <c r="M2499" s="26" t="s">
        <v>38</v>
      </c>
      <c r="N2499" s="26" t="s">
        <v>114</v>
      </c>
      <c r="O2499" s="6" t="s">
        <v>775</v>
      </c>
      <c r="P2499" s="5" t="s">
        <v>59</v>
      </c>
      <c r="Q2499" s="5" t="s">
        <v>89</v>
      </c>
      <c r="R2499" s="6" t="s">
        <v>42</v>
      </c>
      <c r="S2499" s="5" t="s">
        <v>141</v>
      </c>
      <c r="T2499" s="5" t="s">
        <v>44</v>
      </c>
      <c r="U2499" s="5" t="s">
        <v>44</v>
      </c>
      <c r="V2499" s="5" t="s">
        <v>44</v>
      </c>
      <c r="W2499" s="5" t="s">
        <v>36</v>
      </c>
      <c r="X2499" s="8" t="s">
        <v>715</v>
      </c>
      <c r="Y2499" s="5" t="s">
        <v>46</v>
      </c>
      <c r="Z2499" s="5" t="s">
        <v>47</v>
      </c>
      <c r="AA2499" s="5" t="s">
        <v>64</v>
      </c>
      <c r="AB2499" s="5" t="s">
        <v>12174</v>
      </c>
      <c r="AC2499" s="6" t="s">
        <v>1825</v>
      </c>
      <c r="AD2499" s="6">
        <v>5338.0</v>
      </c>
    </row>
    <row r="2500" ht="56.25" customHeight="1">
      <c r="A2500" s="5" t="s">
        <v>11993</v>
      </c>
      <c r="B2500" s="6" t="str">
        <f>IMAGE("https://storage.googleapis.com/acdb/housewares/FtrScreenSimple_Remake_5_0.png")</f>
        <v/>
      </c>
      <c r="C2500" s="5" t="s">
        <v>296</v>
      </c>
      <c r="D2500" s="5" t="s">
        <v>34</v>
      </c>
      <c r="E2500" s="5" t="s">
        <v>11997</v>
      </c>
      <c r="F2500" s="5" t="s">
        <v>11998</v>
      </c>
      <c r="G2500" s="5" t="s">
        <v>36</v>
      </c>
      <c r="H2500" s="5" t="s">
        <v>36</v>
      </c>
      <c r="I2500" s="5" t="s">
        <v>35</v>
      </c>
      <c r="J2500" s="6">
        <v>1.0</v>
      </c>
      <c r="K2500" s="6">
        <v>810.0</v>
      </c>
      <c r="L2500" s="6">
        <v>202.0</v>
      </c>
      <c r="M2500" s="26" t="s">
        <v>39</v>
      </c>
      <c r="N2500" s="26" t="s">
        <v>95</v>
      </c>
      <c r="O2500" s="6" t="s">
        <v>775</v>
      </c>
      <c r="P2500" s="5" t="s">
        <v>59</v>
      </c>
      <c r="Q2500" s="5" t="s">
        <v>89</v>
      </c>
      <c r="R2500" s="6" t="s">
        <v>42</v>
      </c>
      <c r="S2500" s="5" t="s">
        <v>141</v>
      </c>
      <c r="T2500" s="5" t="s">
        <v>44</v>
      </c>
      <c r="U2500" s="5" t="s">
        <v>44</v>
      </c>
      <c r="V2500" s="5" t="s">
        <v>44</v>
      </c>
      <c r="W2500" s="5" t="s">
        <v>36</v>
      </c>
      <c r="X2500" s="8" t="s">
        <v>715</v>
      </c>
      <c r="Y2500" s="5" t="s">
        <v>46</v>
      </c>
      <c r="Z2500" s="5" t="s">
        <v>47</v>
      </c>
      <c r="AA2500" s="5" t="s">
        <v>64</v>
      </c>
      <c r="AB2500" s="5" t="s">
        <v>12177</v>
      </c>
      <c r="AC2500" s="6" t="s">
        <v>79</v>
      </c>
      <c r="AD2500" s="6">
        <v>5338.0</v>
      </c>
    </row>
    <row r="2501" ht="56.25" customHeight="1">
      <c r="A2501" s="5" t="s">
        <v>11993</v>
      </c>
      <c r="B2501" s="6" t="str">
        <f>IMAGE("https://storage.googleapis.com/acdb/housewares/FtrScreenSimple_Remake_5_1.png")</f>
        <v/>
      </c>
      <c r="C2501" s="5" t="s">
        <v>296</v>
      </c>
      <c r="D2501" s="5" t="s">
        <v>34</v>
      </c>
      <c r="E2501" s="5" t="s">
        <v>12003</v>
      </c>
      <c r="F2501" s="5" t="s">
        <v>11998</v>
      </c>
      <c r="G2501" s="5" t="s">
        <v>36</v>
      </c>
      <c r="H2501" s="5" t="s">
        <v>36</v>
      </c>
      <c r="I2501" s="5" t="s">
        <v>35</v>
      </c>
      <c r="J2501" s="6">
        <v>1.0</v>
      </c>
      <c r="K2501" s="6">
        <v>810.0</v>
      </c>
      <c r="L2501" s="6">
        <v>202.0</v>
      </c>
      <c r="M2501" s="26" t="s">
        <v>39</v>
      </c>
      <c r="N2501" s="26" t="s">
        <v>57</v>
      </c>
      <c r="O2501" s="6" t="s">
        <v>775</v>
      </c>
      <c r="P2501" s="5" t="s">
        <v>59</v>
      </c>
      <c r="Q2501" s="5" t="s">
        <v>89</v>
      </c>
      <c r="R2501" s="6" t="s">
        <v>42</v>
      </c>
      <c r="S2501" s="5" t="s">
        <v>141</v>
      </c>
      <c r="T2501" s="5" t="s">
        <v>44</v>
      </c>
      <c r="U2501" s="5" t="s">
        <v>44</v>
      </c>
      <c r="V2501" s="5" t="s">
        <v>44</v>
      </c>
      <c r="W2501" s="5" t="s">
        <v>36</v>
      </c>
      <c r="X2501" s="8" t="s">
        <v>715</v>
      </c>
      <c r="Y2501" s="5" t="s">
        <v>46</v>
      </c>
      <c r="Z2501" s="5" t="s">
        <v>47</v>
      </c>
      <c r="AA2501" s="5" t="s">
        <v>64</v>
      </c>
      <c r="AB2501" s="5" t="s">
        <v>12182</v>
      </c>
      <c r="AC2501" s="6" t="s">
        <v>448</v>
      </c>
      <c r="AD2501" s="6">
        <v>5338.0</v>
      </c>
    </row>
    <row r="2502" ht="56.25" customHeight="1">
      <c r="A2502" s="5" t="s">
        <v>11993</v>
      </c>
      <c r="B2502" s="6" t="str">
        <f>IMAGE("https://storage.googleapis.com/acdb/housewares/FtrScreenSimple_Remake_5_2.png")</f>
        <v/>
      </c>
      <c r="C2502" s="5" t="s">
        <v>296</v>
      </c>
      <c r="D2502" s="5" t="s">
        <v>34</v>
      </c>
      <c r="E2502" s="5" t="s">
        <v>12009</v>
      </c>
      <c r="F2502" s="5" t="s">
        <v>11998</v>
      </c>
      <c r="G2502" s="5" t="s">
        <v>36</v>
      </c>
      <c r="H2502" s="5" t="s">
        <v>36</v>
      </c>
      <c r="I2502" s="5" t="s">
        <v>35</v>
      </c>
      <c r="J2502" s="6">
        <v>1.0</v>
      </c>
      <c r="K2502" s="6">
        <v>810.0</v>
      </c>
      <c r="L2502" s="6">
        <v>202.0</v>
      </c>
      <c r="M2502" s="26" t="s">
        <v>39</v>
      </c>
      <c r="N2502" s="26" t="s">
        <v>39</v>
      </c>
      <c r="O2502" s="6" t="s">
        <v>775</v>
      </c>
      <c r="P2502" s="5" t="s">
        <v>59</v>
      </c>
      <c r="Q2502" s="5" t="s">
        <v>89</v>
      </c>
      <c r="R2502" s="6" t="s">
        <v>42</v>
      </c>
      <c r="S2502" s="5" t="s">
        <v>141</v>
      </c>
      <c r="T2502" s="5" t="s">
        <v>44</v>
      </c>
      <c r="U2502" s="5" t="s">
        <v>44</v>
      </c>
      <c r="V2502" s="5" t="s">
        <v>44</v>
      </c>
      <c r="W2502" s="5" t="s">
        <v>36</v>
      </c>
      <c r="X2502" s="8" t="s">
        <v>715</v>
      </c>
      <c r="Y2502" s="5" t="s">
        <v>46</v>
      </c>
      <c r="Z2502" s="5" t="s">
        <v>47</v>
      </c>
      <c r="AA2502" s="5" t="s">
        <v>64</v>
      </c>
      <c r="AB2502" s="5" t="s">
        <v>12185</v>
      </c>
      <c r="AC2502" s="6" t="s">
        <v>452</v>
      </c>
      <c r="AD2502" s="6">
        <v>5338.0</v>
      </c>
    </row>
    <row r="2503" ht="56.25" customHeight="1">
      <c r="A2503" s="5" t="s">
        <v>11993</v>
      </c>
      <c r="B2503" s="6" t="str">
        <f>IMAGE("https://storage.googleapis.com/acdb/housewares/FtrScreenSimple_Remake_5_3.png")</f>
        <v/>
      </c>
      <c r="C2503" s="5" t="s">
        <v>296</v>
      </c>
      <c r="D2503" s="5" t="s">
        <v>34</v>
      </c>
      <c r="E2503" s="5" t="s">
        <v>12016</v>
      </c>
      <c r="F2503" s="5" t="s">
        <v>11998</v>
      </c>
      <c r="G2503" s="5" t="s">
        <v>36</v>
      </c>
      <c r="H2503" s="5" t="s">
        <v>36</v>
      </c>
      <c r="I2503" s="5" t="s">
        <v>35</v>
      </c>
      <c r="J2503" s="6">
        <v>1.0</v>
      </c>
      <c r="K2503" s="6">
        <v>810.0</v>
      </c>
      <c r="L2503" s="6">
        <v>202.0</v>
      </c>
      <c r="M2503" s="26" t="s">
        <v>39</v>
      </c>
      <c r="N2503" s="26" t="s">
        <v>39</v>
      </c>
      <c r="O2503" s="6" t="s">
        <v>775</v>
      </c>
      <c r="P2503" s="5" t="s">
        <v>59</v>
      </c>
      <c r="Q2503" s="5" t="s">
        <v>89</v>
      </c>
      <c r="R2503" s="6" t="s">
        <v>42</v>
      </c>
      <c r="S2503" s="5" t="s">
        <v>141</v>
      </c>
      <c r="T2503" s="5" t="s">
        <v>44</v>
      </c>
      <c r="U2503" s="5" t="s">
        <v>44</v>
      </c>
      <c r="V2503" s="5" t="s">
        <v>44</v>
      </c>
      <c r="W2503" s="5" t="s">
        <v>36</v>
      </c>
      <c r="X2503" s="8" t="s">
        <v>715</v>
      </c>
      <c r="Y2503" s="5" t="s">
        <v>46</v>
      </c>
      <c r="Z2503" s="5" t="s">
        <v>47</v>
      </c>
      <c r="AA2503" s="5" t="s">
        <v>64</v>
      </c>
      <c r="AB2503" s="5" t="s">
        <v>12188</v>
      </c>
      <c r="AC2503" s="6" t="s">
        <v>455</v>
      </c>
      <c r="AD2503" s="6">
        <v>5338.0</v>
      </c>
    </row>
    <row r="2504" ht="56.25" customHeight="1">
      <c r="A2504" s="5" t="s">
        <v>11993</v>
      </c>
      <c r="B2504" s="6" t="str">
        <f>IMAGE("https://storage.googleapis.com/acdb/housewares/FtrScreenSimple_Remake_5_4.png")</f>
        <v/>
      </c>
      <c r="C2504" s="5" t="s">
        <v>296</v>
      </c>
      <c r="D2504" s="5" t="s">
        <v>34</v>
      </c>
      <c r="E2504" s="5" t="s">
        <v>12023</v>
      </c>
      <c r="F2504" s="5" t="s">
        <v>11998</v>
      </c>
      <c r="G2504" s="5" t="s">
        <v>36</v>
      </c>
      <c r="H2504" s="5" t="s">
        <v>36</v>
      </c>
      <c r="I2504" s="5" t="s">
        <v>35</v>
      </c>
      <c r="J2504" s="6">
        <v>1.0</v>
      </c>
      <c r="K2504" s="6">
        <v>810.0</v>
      </c>
      <c r="L2504" s="6">
        <v>202.0</v>
      </c>
      <c r="M2504" s="26" t="s">
        <v>39</v>
      </c>
      <c r="N2504" s="26" t="s">
        <v>57</v>
      </c>
      <c r="O2504" s="6" t="s">
        <v>775</v>
      </c>
      <c r="P2504" s="5" t="s">
        <v>59</v>
      </c>
      <c r="Q2504" s="5" t="s">
        <v>89</v>
      </c>
      <c r="R2504" s="6" t="s">
        <v>42</v>
      </c>
      <c r="S2504" s="5" t="s">
        <v>141</v>
      </c>
      <c r="T2504" s="5" t="s">
        <v>44</v>
      </c>
      <c r="U2504" s="5" t="s">
        <v>44</v>
      </c>
      <c r="V2504" s="5" t="s">
        <v>44</v>
      </c>
      <c r="W2504" s="5" t="s">
        <v>36</v>
      </c>
      <c r="X2504" s="8" t="s">
        <v>715</v>
      </c>
      <c r="Y2504" s="5" t="s">
        <v>46</v>
      </c>
      <c r="Z2504" s="5" t="s">
        <v>47</v>
      </c>
      <c r="AA2504" s="5" t="s">
        <v>64</v>
      </c>
      <c r="AB2504" s="5" t="s">
        <v>12191</v>
      </c>
      <c r="AC2504" s="6" t="s">
        <v>609</v>
      </c>
      <c r="AD2504" s="6">
        <v>5338.0</v>
      </c>
    </row>
    <row r="2505" ht="56.25" customHeight="1">
      <c r="A2505" s="5" t="s">
        <v>11993</v>
      </c>
      <c r="B2505" s="6" t="str">
        <f>IMAGE("https://storage.googleapis.com/acdb/housewares/FtrScreenSimple_Remake_5_5.png")</f>
        <v/>
      </c>
      <c r="C2505" s="5" t="s">
        <v>296</v>
      </c>
      <c r="D2505" s="5" t="s">
        <v>34</v>
      </c>
      <c r="E2505" s="5" t="s">
        <v>12028</v>
      </c>
      <c r="F2505" s="5" t="s">
        <v>11998</v>
      </c>
      <c r="G2505" s="5" t="s">
        <v>36</v>
      </c>
      <c r="H2505" s="5" t="s">
        <v>36</v>
      </c>
      <c r="I2505" s="5" t="s">
        <v>35</v>
      </c>
      <c r="J2505" s="6">
        <v>1.0</v>
      </c>
      <c r="K2505" s="6">
        <v>810.0</v>
      </c>
      <c r="L2505" s="6">
        <v>202.0</v>
      </c>
      <c r="M2505" s="26" t="s">
        <v>39</v>
      </c>
      <c r="N2505" s="26" t="s">
        <v>38</v>
      </c>
      <c r="O2505" s="6" t="s">
        <v>775</v>
      </c>
      <c r="P2505" s="5" t="s">
        <v>59</v>
      </c>
      <c r="Q2505" s="5" t="s">
        <v>89</v>
      </c>
      <c r="R2505" s="6" t="s">
        <v>42</v>
      </c>
      <c r="S2505" s="5" t="s">
        <v>141</v>
      </c>
      <c r="T2505" s="5" t="s">
        <v>44</v>
      </c>
      <c r="U2505" s="5" t="s">
        <v>44</v>
      </c>
      <c r="V2505" s="5" t="s">
        <v>44</v>
      </c>
      <c r="W2505" s="5" t="s">
        <v>36</v>
      </c>
      <c r="X2505" s="8" t="s">
        <v>715</v>
      </c>
      <c r="Y2505" s="5" t="s">
        <v>46</v>
      </c>
      <c r="Z2505" s="5" t="s">
        <v>47</v>
      </c>
      <c r="AA2505" s="5" t="s">
        <v>64</v>
      </c>
      <c r="AB2505" s="5" t="s">
        <v>12195</v>
      </c>
      <c r="AC2505" s="6" t="s">
        <v>1843</v>
      </c>
      <c r="AD2505" s="6">
        <v>5338.0</v>
      </c>
    </row>
    <row r="2506" ht="56.25" customHeight="1">
      <c r="A2506" s="5" t="s">
        <v>11993</v>
      </c>
      <c r="B2506" s="6" t="str">
        <f>IMAGE("https://storage.googleapis.com/acdb/housewares/FtrScreenSimple_Remake_5_6.png")</f>
        <v/>
      </c>
      <c r="C2506" s="5" t="s">
        <v>296</v>
      </c>
      <c r="D2506" s="5" t="s">
        <v>34</v>
      </c>
      <c r="E2506" s="5" t="s">
        <v>5310</v>
      </c>
      <c r="F2506" s="5" t="s">
        <v>11998</v>
      </c>
      <c r="G2506" s="5" t="s">
        <v>36</v>
      </c>
      <c r="H2506" s="5" t="s">
        <v>36</v>
      </c>
      <c r="I2506" s="5" t="s">
        <v>35</v>
      </c>
      <c r="J2506" s="6">
        <v>1.0</v>
      </c>
      <c r="K2506" s="6">
        <v>810.0</v>
      </c>
      <c r="L2506" s="6">
        <v>202.0</v>
      </c>
      <c r="M2506" s="26" t="s">
        <v>39</v>
      </c>
      <c r="N2506" s="26" t="s">
        <v>95</v>
      </c>
      <c r="O2506" s="6" t="s">
        <v>775</v>
      </c>
      <c r="P2506" s="5" t="s">
        <v>59</v>
      </c>
      <c r="Q2506" s="5" t="s">
        <v>89</v>
      </c>
      <c r="R2506" s="6" t="s">
        <v>42</v>
      </c>
      <c r="S2506" s="5" t="s">
        <v>141</v>
      </c>
      <c r="T2506" s="5" t="s">
        <v>44</v>
      </c>
      <c r="U2506" s="5" t="s">
        <v>44</v>
      </c>
      <c r="V2506" s="5" t="s">
        <v>44</v>
      </c>
      <c r="W2506" s="5" t="s">
        <v>36</v>
      </c>
      <c r="X2506" s="8" t="s">
        <v>715</v>
      </c>
      <c r="Y2506" s="5" t="s">
        <v>46</v>
      </c>
      <c r="Z2506" s="5" t="s">
        <v>47</v>
      </c>
      <c r="AA2506" s="5" t="s">
        <v>64</v>
      </c>
      <c r="AB2506" s="5" t="s">
        <v>12198</v>
      </c>
      <c r="AC2506" s="6" t="s">
        <v>1847</v>
      </c>
      <c r="AD2506" s="6">
        <v>5338.0</v>
      </c>
    </row>
    <row r="2507" ht="56.25" customHeight="1">
      <c r="A2507" s="5" t="s">
        <v>11993</v>
      </c>
      <c r="B2507" s="6" t="str">
        <f>IMAGE("https://storage.googleapis.com/acdb/housewares/FtrScreenSimple_Remake_5_7.png")</f>
        <v/>
      </c>
      <c r="C2507" s="5" t="s">
        <v>296</v>
      </c>
      <c r="D2507" s="5" t="s">
        <v>34</v>
      </c>
      <c r="E2507" s="5" t="s">
        <v>151</v>
      </c>
      <c r="F2507" s="5" t="s">
        <v>11998</v>
      </c>
      <c r="G2507" s="5" t="s">
        <v>36</v>
      </c>
      <c r="H2507" s="5" t="s">
        <v>36</v>
      </c>
      <c r="I2507" s="5" t="s">
        <v>35</v>
      </c>
      <c r="J2507" s="6">
        <v>1.0</v>
      </c>
      <c r="K2507" s="6">
        <v>810.0</v>
      </c>
      <c r="L2507" s="6">
        <v>202.0</v>
      </c>
      <c r="M2507" s="26" t="s">
        <v>39</v>
      </c>
      <c r="N2507" s="26" t="s">
        <v>114</v>
      </c>
      <c r="O2507" s="6" t="s">
        <v>775</v>
      </c>
      <c r="P2507" s="5" t="s">
        <v>59</v>
      </c>
      <c r="Q2507" s="5" t="s">
        <v>89</v>
      </c>
      <c r="R2507" s="6" t="s">
        <v>42</v>
      </c>
      <c r="S2507" s="5" t="s">
        <v>141</v>
      </c>
      <c r="T2507" s="5" t="s">
        <v>44</v>
      </c>
      <c r="U2507" s="5" t="s">
        <v>44</v>
      </c>
      <c r="V2507" s="5" t="s">
        <v>44</v>
      </c>
      <c r="W2507" s="5" t="s">
        <v>36</v>
      </c>
      <c r="X2507" s="8" t="s">
        <v>715</v>
      </c>
      <c r="Y2507" s="5" t="s">
        <v>46</v>
      </c>
      <c r="Z2507" s="5" t="s">
        <v>47</v>
      </c>
      <c r="AA2507" s="5" t="s">
        <v>64</v>
      </c>
      <c r="AB2507" s="5" t="s">
        <v>12204</v>
      </c>
      <c r="AC2507" s="6" t="s">
        <v>1850</v>
      </c>
      <c r="AD2507" s="6">
        <v>5338.0</v>
      </c>
    </row>
    <row r="2508" ht="56.25" customHeight="1">
      <c r="A2508" s="5" t="s">
        <v>11993</v>
      </c>
      <c r="B2508" s="6" t="str">
        <f>IMAGE("https://storage.googleapis.com/acdb/housewares/FtrScreenSimple_Remake_6_0.png")</f>
        <v/>
      </c>
      <c r="C2508" s="5" t="s">
        <v>146</v>
      </c>
      <c r="D2508" s="5" t="s">
        <v>34</v>
      </c>
      <c r="E2508" s="5" t="s">
        <v>11997</v>
      </c>
      <c r="F2508" s="5" t="s">
        <v>11998</v>
      </c>
      <c r="G2508" s="5" t="s">
        <v>36</v>
      </c>
      <c r="H2508" s="5" t="s">
        <v>36</v>
      </c>
      <c r="I2508" s="5" t="s">
        <v>35</v>
      </c>
      <c r="J2508" s="6">
        <v>1.0</v>
      </c>
      <c r="K2508" s="6">
        <v>810.0</v>
      </c>
      <c r="L2508" s="6">
        <v>202.0</v>
      </c>
      <c r="M2508" s="26" t="s">
        <v>95</v>
      </c>
      <c r="N2508" s="26" t="s">
        <v>95</v>
      </c>
      <c r="O2508" s="6" t="s">
        <v>775</v>
      </c>
      <c r="P2508" s="5" t="s">
        <v>59</v>
      </c>
      <c r="Q2508" s="5" t="s">
        <v>89</v>
      </c>
      <c r="R2508" s="6" t="s">
        <v>42</v>
      </c>
      <c r="S2508" s="5" t="s">
        <v>141</v>
      </c>
      <c r="T2508" s="5" t="s">
        <v>44</v>
      </c>
      <c r="U2508" s="5" t="s">
        <v>44</v>
      </c>
      <c r="V2508" s="5" t="s">
        <v>44</v>
      </c>
      <c r="W2508" s="5" t="s">
        <v>36</v>
      </c>
      <c r="X2508" s="8" t="s">
        <v>715</v>
      </c>
      <c r="Y2508" s="5" t="s">
        <v>46</v>
      </c>
      <c r="Z2508" s="5" t="s">
        <v>47</v>
      </c>
      <c r="AA2508" s="5" t="s">
        <v>64</v>
      </c>
      <c r="AB2508" s="5" t="s">
        <v>12210</v>
      </c>
      <c r="AC2508" s="6" t="s">
        <v>86</v>
      </c>
      <c r="AD2508" s="6">
        <v>5338.0</v>
      </c>
    </row>
    <row r="2509" ht="56.25" customHeight="1">
      <c r="A2509" s="5" t="s">
        <v>11993</v>
      </c>
      <c r="B2509" s="6" t="str">
        <f>IMAGE("https://storage.googleapis.com/acdb/housewares/FtrScreenSimple_Remake_6_1.png")</f>
        <v/>
      </c>
      <c r="C2509" s="5" t="s">
        <v>146</v>
      </c>
      <c r="D2509" s="5" t="s">
        <v>34</v>
      </c>
      <c r="E2509" s="5" t="s">
        <v>12003</v>
      </c>
      <c r="F2509" s="5" t="s">
        <v>11998</v>
      </c>
      <c r="G2509" s="5" t="s">
        <v>36</v>
      </c>
      <c r="H2509" s="5" t="s">
        <v>36</v>
      </c>
      <c r="I2509" s="5" t="s">
        <v>35</v>
      </c>
      <c r="J2509" s="6">
        <v>1.0</v>
      </c>
      <c r="K2509" s="6">
        <v>810.0</v>
      </c>
      <c r="L2509" s="6">
        <v>202.0</v>
      </c>
      <c r="M2509" s="26" t="s">
        <v>95</v>
      </c>
      <c r="N2509" s="26" t="s">
        <v>57</v>
      </c>
      <c r="O2509" s="6" t="s">
        <v>775</v>
      </c>
      <c r="P2509" s="5" t="s">
        <v>59</v>
      </c>
      <c r="Q2509" s="5" t="s">
        <v>89</v>
      </c>
      <c r="R2509" s="6" t="s">
        <v>42</v>
      </c>
      <c r="S2509" s="5" t="s">
        <v>141</v>
      </c>
      <c r="T2509" s="5" t="s">
        <v>44</v>
      </c>
      <c r="U2509" s="5" t="s">
        <v>44</v>
      </c>
      <c r="V2509" s="5" t="s">
        <v>44</v>
      </c>
      <c r="W2509" s="5" t="s">
        <v>36</v>
      </c>
      <c r="X2509" s="8" t="s">
        <v>715</v>
      </c>
      <c r="Y2509" s="5" t="s">
        <v>46</v>
      </c>
      <c r="Z2509" s="5" t="s">
        <v>47</v>
      </c>
      <c r="AA2509" s="5" t="s">
        <v>64</v>
      </c>
      <c r="AB2509" s="5" t="s">
        <v>12214</v>
      </c>
      <c r="AC2509" s="6" t="s">
        <v>620</v>
      </c>
      <c r="AD2509" s="6">
        <v>5338.0</v>
      </c>
    </row>
    <row r="2510" ht="56.25" customHeight="1">
      <c r="A2510" s="5" t="s">
        <v>11993</v>
      </c>
      <c r="B2510" s="6" t="str">
        <f>IMAGE("https://storage.googleapis.com/acdb/housewares/FtrScreenSimple_Remake_6_2.png")</f>
        <v/>
      </c>
      <c r="C2510" s="5" t="s">
        <v>146</v>
      </c>
      <c r="D2510" s="5" t="s">
        <v>34</v>
      </c>
      <c r="E2510" s="5" t="s">
        <v>12009</v>
      </c>
      <c r="F2510" s="5" t="s">
        <v>11998</v>
      </c>
      <c r="G2510" s="5" t="s">
        <v>36</v>
      </c>
      <c r="H2510" s="5" t="s">
        <v>36</v>
      </c>
      <c r="I2510" s="5" t="s">
        <v>35</v>
      </c>
      <c r="J2510" s="6">
        <v>1.0</v>
      </c>
      <c r="K2510" s="6">
        <v>810.0</v>
      </c>
      <c r="L2510" s="6">
        <v>202.0</v>
      </c>
      <c r="M2510" s="26" t="s">
        <v>95</v>
      </c>
      <c r="N2510" s="26" t="s">
        <v>39</v>
      </c>
      <c r="O2510" s="6" t="s">
        <v>775</v>
      </c>
      <c r="P2510" s="5" t="s">
        <v>59</v>
      </c>
      <c r="Q2510" s="5" t="s">
        <v>89</v>
      </c>
      <c r="R2510" s="6" t="s">
        <v>42</v>
      </c>
      <c r="S2510" s="5" t="s">
        <v>141</v>
      </c>
      <c r="T2510" s="5" t="s">
        <v>44</v>
      </c>
      <c r="U2510" s="5" t="s">
        <v>44</v>
      </c>
      <c r="V2510" s="5" t="s">
        <v>44</v>
      </c>
      <c r="W2510" s="5" t="s">
        <v>36</v>
      </c>
      <c r="X2510" s="8" t="s">
        <v>715</v>
      </c>
      <c r="Y2510" s="5" t="s">
        <v>46</v>
      </c>
      <c r="Z2510" s="5" t="s">
        <v>47</v>
      </c>
      <c r="AA2510" s="5" t="s">
        <v>64</v>
      </c>
      <c r="AB2510" s="5" t="s">
        <v>12220</v>
      </c>
      <c r="AC2510" s="6" t="s">
        <v>626</v>
      </c>
      <c r="AD2510" s="6">
        <v>5338.0</v>
      </c>
    </row>
    <row r="2511" ht="56.25" customHeight="1">
      <c r="A2511" s="5" t="s">
        <v>11993</v>
      </c>
      <c r="B2511" s="6" t="str">
        <f>IMAGE("https://storage.googleapis.com/acdb/housewares/FtrScreenSimple_Remake_6_3.png")</f>
        <v/>
      </c>
      <c r="C2511" s="5" t="s">
        <v>146</v>
      </c>
      <c r="D2511" s="5" t="s">
        <v>34</v>
      </c>
      <c r="E2511" s="5" t="s">
        <v>12016</v>
      </c>
      <c r="F2511" s="5" t="s">
        <v>11998</v>
      </c>
      <c r="G2511" s="5" t="s">
        <v>36</v>
      </c>
      <c r="H2511" s="5" t="s">
        <v>36</v>
      </c>
      <c r="I2511" s="5" t="s">
        <v>35</v>
      </c>
      <c r="J2511" s="6">
        <v>1.0</v>
      </c>
      <c r="K2511" s="6">
        <v>810.0</v>
      </c>
      <c r="L2511" s="6">
        <v>202.0</v>
      </c>
      <c r="M2511" s="26" t="s">
        <v>95</v>
      </c>
      <c r="N2511" s="26" t="s">
        <v>39</v>
      </c>
      <c r="O2511" s="6" t="s">
        <v>775</v>
      </c>
      <c r="P2511" s="5" t="s">
        <v>59</v>
      </c>
      <c r="Q2511" s="5" t="s">
        <v>89</v>
      </c>
      <c r="R2511" s="6" t="s">
        <v>42</v>
      </c>
      <c r="S2511" s="5" t="s">
        <v>141</v>
      </c>
      <c r="T2511" s="5" t="s">
        <v>44</v>
      </c>
      <c r="U2511" s="5" t="s">
        <v>44</v>
      </c>
      <c r="V2511" s="5" t="s">
        <v>44</v>
      </c>
      <c r="W2511" s="5" t="s">
        <v>36</v>
      </c>
      <c r="X2511" s="8" t="s">
        <v>715</v>
      </c>
      <c r="Y2511" s="5" t="s">
        <v>46</v>
      </c>
      <c r="Z2511" s="5" t="s">
        <v>47</v>
      </c>
      <c r="AA2511" s="5" t="s">
        <v>64</v>
      </c>
      <c r="AB2511" s="5" t="s">
        <v>12226</v>
      </c>
      <c r="AC2511" s="6" t="s">
        <v>634</v>
      </c>
      <c r="AD2511" s="6">
        <v>5338.0</v>
      </c>
    </row>
    <row r="2512" ht="56.25" customHeight="1">
      <c r="A2512" s="5" t="s">
        <v>11993</v>
      </c>
      <c r="B2512" s="6" t="str">
        <f>IMAGE("https://storage.googleapis.com/acdb/housewares/FtrScreenSimple_Remake_6_4.png")</f>
        <v/>
      </c>
      <c r="C2512" s="5" t="s">
        <v>146</v>
      </c>
      <c r="D2512" s="5" t="s">
        <v>34</v>
      </c>
      <c r="E2512" s="5" t="s">
        <v>12023</v>
      </c>
      <c r="F2512" s="5" t="s">
        <v>11998</v>
      </c>
      <c r="G2512" s="5" t="s">
        <v>36</v>
      </c>
      <c r="H2512" s="5" t="s">
        <v>36</v>
      </c>
      <c r="I2512" s="5" t="s">
        <v>35</v>
      </c>
      <c r="J2512" s="6">
        <v>1.0</v>
      </c>
      <c r="K2512" s="6">
        <v>810.0</v>
      </c>
      <c r="L2512" s="6">
        <v>202.0</v>
      </c>
      <c r="M2512" s="26" t="s">
        <v>95</v>
      </c>
      <c r="N2512" s="26" t="s">
        <v>57</v>
      </c>
      <c r="O2512" s="6" t="s">
        <v>775</v>
      </c>
      <c r="P2512" s="5" t="s">
        <v>59</v>
      </c>
      <c r="Q2512" s="5" t="s">
        <v>89</v>
      </c>
      <c r="R2512" s="6" t="s">
        <v>42</v>
      </c>
      <c r="S2512" s="5" t="s">
        <v>141</v>
      </c>
      <c r="T2512" s="5" t="s">
        <v>44</v>
      </c>
      <c r="U2512" s="5" t="s">
        <v>44</v>
      </c>
      <c r="V2512" s="5" t="s">
        <v>44</v>
      </c>
      <c r="W2512" s="5" t="s">
        <v>36</v>
      </c>
      <c r="X2512" s="8" t="s">
        <v>715</v>
      </c>
      <c r="Y2512" s="5" t="s">
        <v>46</v>
      </c>
      <c r="Z2512" s="5" t="s">
        <v>47</v>
      </c>
      <c r="AA2512" s="5" t="s">
        <v>64</v>
      </c>
      <c r="AB2512" s="5" t="s">
        <v>12230</v>
      </c>
      <c r="AC2512" s="6" t="s">
        <v>641</v>
      </c>
      <c r="AD2512" s="6">
        <v>5338.0</v>
      </c>
    </row>
    <row r="2513" ht="56.25" customHeight="1">
      <c r="A2513" s="5" t="s">
        <v>11993</v>
      </c>
      <c r="B2513" s="6" t="str">
        <f>IMAGE("https://storage.googleapis.com/acdb/housewares/FtrScreenSimple_Remake_6_5.png")</f>
        <v/>
      </c>
      <c r="C2513" s="5" t="s">
        <v>146</v>
      </c>
      <c r="D2513" s="5" t="s">
        <v>34</v>
      </c>
      <c r="E2513" s="5" t="s">
        <v>12028</v>
      </c>
      <c r="F2513" s="5" t="s">
        <v>11998</v>
      </c>
      <c r="G2513" s="5" t="s">
        <v>36</v>
      </c>
      <c r="H2513" s="5" t="s">
        <v>36</v>
      </c>
      <c r="I2513" s="5" t="s">
        <v>35</v>
      </c>
      <c r="J2513" s="6">
        <v>1.0</v>
      </c>
      <c r="K2513" s="6">
        <v>810.0</v>
      </c>
      <c r="L2513" s="6">
        <v>202.0</v>
      </c>
      <c r="M2513" s="26" t="s">
        <v>95</v>
      </c>
      <c r="N2513" s="26" t="s">
        <v>38</v>
      </c>
      <c r="O2513" s="6" t="s">
        <v>775</v>
      </c>
      <c r="P2513" s="5" t="s">
        <v>59</v>
      </c>
      <c r="Q2513" s="5" t="s">
        <v>89</v>
      </c>
      <c r="R2513" s="6" t="s">
        <v>42</v>
      </c>
      <c r="S2513" s="5" t="s">
        <v>141</v>
      </c>
      <c r="T2513" s="5" t="s">
        <v>44</v>
      </c>
      <c r="U2513" s="5" t="s">
        <v>44</v>
      </c>
      <c r="V2513" s="5" t="s">
        <v>44</v>
      </c>
      <c r="W2513" s="5" t="s">
        <v>36</v>
      </c>
      <c r="X2513" s="8" t="s">
        <v>715</v>
      </c>
      <c r="Y2513" s="5" t="s">
        <v>46</v>
      </c>
      <c r="Z2513" s="5" t="s">
        <v>47</v>
      </c>
      <c r="AA2513" s="5" t="s">
        <v>64</v>
      </c>
      <c r="AB2513" s="5" t="s">
        <v>12235</v>
      </c>
      <c r="AC2513" s="6" t="s">
        <v>1870</v>
      </c>
      <c r="AD2513" s="6">
        <v>5338.0</v>
      </c>
    </row>
    <row r="2514" ht="56.25" customHeight="1">
      <c r="A2514" s="5" t="s">
        <v>11993</v>
      </c>
      <c r="B2514" s="6" t="str">
        <f>IMAGE("https://storage.googleapis.com/acdb/housewares/FtrScreenSimple_Remake_6_6.png")</f>
        <v/>
      </c>
      <c r="C2514" s="5" t="s">
        <v>146</v>
      </c>
      <c r="D2514" s="5" t="s">
        <v>34</v>
      </c>
      <c r="E2514" s="5" t="s">
        <v>5310</v>
      </c>
      <c r="F2514" s="5" t="s">
        <v>11998</v>
      </c>
      <c r="G2514" s="5" t="s">
        <v>36</v>
      </c>
      <c r="H2514" s="5" t="s">
        <v>36</v>
      </c>
      <c r="I2514" s="5" t="s">
        <v>35</v>
      </c>
      <c r="J2514" s="6">
        <v>1.0</v>
      </c>
      <c r="K2514" s="6">
        <v>810.0</v>
      </c>
      <c r="L2514" s="6">
        <v>202.0</v>
      </c>
      <c r="M2514" s="26" t="s">
        <v>95</v>
      </c>
      <c r="N2514" s="26" t="s">
        <v>95</v>
      </c>
      <c r="O2514" s="6" t="s">
        <v>775</v>
      </c>
      <c r="P2514" s="5" t="s">
        <v>59</v>
      </c>
      <c r="Q2514" s="5" t="s">
        <v>89</v>
      </c>
      <c r="R2514" s="6" t="s">
        <v>42</v>
      </c>
      <c r="S2514" s="5" t="s">
        <v>141</v>
      </c>
      <c r="T2514" s="5" t="s">
        <v>44</v>
      </c>
      <c r="U2514" s="5" t="s">
        <v>44</v>
      </c>
      <c r="V2514" s="5" t="s">
        <v>44</v>
      </c>
      <c r="W2514" s="5" t="s">
        <v>36</v>
      </c>
      <c r="X2514" s="8" t="s">
        <v>715</v>
      </c>
      <c r="Y2514" s="5" t="s">
        <v>46</v>
      </c>
      <c r="Z2514" s="5" t="s">
        <v>47</v>
      </c>
      <c r="AA2514" s="5" t="s">
        <v>64</v>
      </c>
      <c r="AB2514" s="5" t="s">
        <v>12242</v>
      </c>
      <c r="AC2514" s="6" t="s">
        <v>1873</v>
      </c>
      <c r="AD2514" s="6">
        <v>5338.0</v>
      </c>
    </row>
    <row r="2515" ht="56.25" customHeight="1">
      <c r="A2515" s="5" t="s">
        <v>11993</v>
      </c>
      <c r="B2515" s="6" t="str">
        <f>IMAGE("https://storage.googleapis.com/acdb/housewares/FtrScreenSimple_Remake_6_7.png")</f>
        <v/>
      </c>
      <c r="C2515" s="5" t="s">
        <v>146</v>
      </c>
      <c r="D2515" s="5" t="s">
        <v>34</v>
      </c>
      <c r="E2515" s="5" t="s">
        <v>151</v>
      </c>
      <c r="F2515" s="5" t="s">
        <v>11998</v>
      </c>
      <c r="G2515" s="5" t="s">
        <v>36</v>
      </c>
      <c r="H2515" s="5" t="s">
        <v>36</v>
      </c>
      <c r="I2515" s="5" t="s">
        <v>35</v>
      </c>
      <c r="J2515" s="6">
        <v>1.0</v>
      </c>
      <c r="K2515" s="6">
        <v>810.0</v>
      </c>
      <c r="L2515" s="6">
        <v>202.0</v>
      </c>
      <c r="M2515" s="26" t="s">
        <v>95</v>
      </c>
      <c r="N2515" s="26" t="s">
        <v>114</v>
      </c>
      <c r="O2515" s="6" t="s">
        <v>775</v>
      </c>
      <c r="P2515" s="5" t="s">
        <v>59</v>
      </c>
      <c r="Q2515" s="5" t="s">
        <v>89</v>
      </c>
      <c r="R2515" s="6" t="s">
        <v>42</v>
      </c>
      <c r="S2515" s="5" t="s">
        <v>141</v>
      </c>
      <c r="T2515" s="5" t="s">
        <v>44</v>
      </c>
      <c r="U2515" s="5" t="s">
        <v>44</v>
      </c>
      <c r="V2515" s="5" t="s">
        <v>44</v>
      </c>
      <c r="W2515" s="5" t="s">
        <v>36</v>
      </c>
      <c r="X2515" s="8" t="s">
        <v>715</v>
      </c>
      <c r="Y2515" s="5" t="s">
        <v>46</v>
      </c>
      <c r="Z2515" s="5" t="s">
        <v>47</v>
      </c>
      <c r="AA2515" s="5" t="s">
        <v>64</v>
      </c>
      <c r="AB2515" s="5" t="s">
        <v>12247</v>
      </c>
      <c r="AC2515" s="6" t="s">
        <v>1879</v>
      </c>
      <c r="AD2515" s="6">
        <v>5338.0</v>
      </c>
    </row>
    <row r="2516" ht="56.25" customHeight="1">
      <c r="A2516" s="5" t="s">
        <v>11993</v>
      </c>
      <c r="B2516" s="6" t="str">
        <f>IMAGE("https://storage.googleapis.com/acdb/housewares/FtrScreenSimple_Remake_7_0.png")</f>
        <v/>
      </c>
      <c r="C2516" s="5" t="s">
        <v>151</v>
      </c>
      <c r="D2516" s="5" t="s">
        <v>34</v>
      </c>
      <c r="E2516" s="5" t="s">
        <v>11997</v>
      </c>
      <c r="F2516" s="5" t="s">
        <v>11998</v>
      </c>
      <c r="G2516" s="5" t="s">
        <v>36</v>
      </c>
      <c r="H2516" s="5" t="s">
        <v>36</v>
      </c>
      <c r="I2516" s="5" t="s">
        <v>35</v>
      </c>
      <c r="J2516" s="6">
        <v>1.0</v>
      </c>
      <c r="K2516" s="6">
        <v>810.0</v>
      </c>
      <c r="L2516" s="6">
        <v>202.0</v>
      </c>
      <c r="M2516" s="26" t="s">
        <v>114</v>
      </c>
      <c r="N2516" s="26" t="s">
        <v>95</v>
      </c>
      <c r="O2516" s="6" t="s">
        <v>775</v>
      </c>
      <c r="P2516" s="5" t="s">
        <v>59</v>
      </c>
      <c r="Q2516" s="5" t="s">
        <v>89</v>
      </c>
      <c r="R2516" s="6" t="s">
        <v>42</v>
      </c>
      <c r="S2516" s="5" t="s">
        <v>141</v>
      </c>
      <c r="T2516" s="5" t="s">
        <v>44</v>
      </c>
      <c r="U2516" s="5" t="s">
        <v>44</v>
      </c>
      <c r="V2516" s="5" t="s">
        <v>44</v>
      </c>
      <c r="W2516" s="5" t="s">
        <v>36</v>
      </c>
      <c r="X2516" s="8" t="s">
        <v>715</v>
      </c>
      <c r="Y2516" s="5" t="s">
        <v>46</v>
      </c>
      <c r="Z2516" s="5" t="s">
        <v>47</v>
      </c>
      <c r="AA2516" s="5" t="s">
        <v>64</v>
      </c>
      <c r="AB2516" s="5" t="s">
        <v>12253</v>
      </c>
      <c r="AC2516" s="6" t="s">
        <v>208</v>
      </c>
      <c r="AD2516" s="6">
        <v>5338.0</v>
      </c>
    </row>
    <row r="2517" ht="56.25" customHeight="1">
      <c r="A2517" s="5" t="s">
        <v>11993</v>
      </c>
      <c r="B2517" s="6" t="str">
        <f>IMAGE("https://storage.googleapis.com/acdb/housewares/FtrScreenSimple_Remake_7_1.png")</f>
        <v/>
      </c>
      <c r="C2517" s="5" t="s">
        <v>151</v>
      </c>
      <c r="D2517" s="5" t="s">
        <v>34</v>
      </c>
      <c r="E2517" s="5" t="s">
        <v>12003</v>
      </c>
      <c r="F2517" s="5" t="s">
        <v>11998</v>
      </c>
      <c r="G2517" s="5" t="s">
        <v>36</v>
      </c>
      <c r="H2517" s="5" t="s">
        <v>36</v>
      </c>
      <c r="I2517" s="5" t="s">
        <v>35</v>
      </c>
      <c r="J2517" s="6">
        <v>1.0</v>
      </c>
      <c r="K2517" s="6">
        <v>810.0</v>
      </c>
      <c r="L2517" s="6">
        <v>202.0</v>
      </c>
      <c r="M2517" s="26" t="s">
        <v>114</v>
      </c>
      <c r="N2517" s="26" t="s">
        <v>57</v>
      </c>
      <c r="O2517" s="6" t="s">
        <v>775</v>
      </c>
      <c r="P2517" s="5" t="s">
        <v>59</v>
      </c>
      <c r="Q2517" s="5" t="s">
        <v>89</v>
      </c>
      <c r="R2517" s="6" t="s">
        <v>42</v>
      </c>
      <c r="S2517" s="5" t="s">
        <v>141</v>
      </c>
      <c r="T2517" s="5" t="s">
        <v>44</v>
      </c>
      <c r="U2517" s="5" t="s">
        <v>44</v>
      </c>
      <c r="V2517" s="5" t="s">
        <v>44</v>
      </c>
      <c r="W2517" s="5" t="s">
        <v>36</v>
      </c>
      <c r="X2517" s="8" t="s">
        <v>715</v>
      </c>
      <c r="Y2517" s="5" t="s">
        <v>46</v>
      </c>
      <c r="Z2517" s="5" t="s">
        <v>47</v>
      </c>
      <c r="AA2517" s="5" t="s">
        <v>64</v>
      </c>
      <c r="AB2517" s="5" t="s">
        <v>12256</v>
      </c>
      <c r="AC2517" s="6" t="s">
        <v>1892</v>
      </c>
      <c r="AD2517" s="6">
        <v>5338.0</v>
      </c>
    </row>
    <row r="2518" ht="56.25" customHeight="1">
      <c r="A2518" s="5" t="s">
        <v>11993</v>
      </c>
      <c r="B2518" s="6" t="str">
        <f>IMAGE("https://storage.googleapis.com/acdb/housewares/FtrScreenSimple_Remake_7_2.png")</f>
        <v/>
      </c>
      <c r="C2518" s="5" t="s">
        <v>151</v>
      </c>
      <c r="D2518" s="5" t="s">
        <v>34</v>
      </c>
      <c r="E2518" s="5" t="s">
        <v>12009</v>
      </c>
      <c r="F2518" s="5" t="s">
        <v>11998</v>
      </c>
      <c r="G2518" s="5" t="s">
        <v>36</v>
      </c>
      <c r="H2518" s="5" t="s">
        <v>36</v>
      </c>
      <c r="I2518" s="5" t="s">
        <v>35</v>
      </c>
      <c r="J2518" s="6">
        <v>1.0</v>
      </c>
      <c r="K2518" s="6">
        <v>810.0</v>
      </c>
      <c r="L2518" s="6">
        <v>202.0</v>
      </c>
      <c r="M2518" s="26" t="s">
        <v>114</v>
      </c>
      <c r="N2518" s="26" t="s">
        <v>39</v>
      </c>
      <c r="O2518" s="6" t="s">
        <v>775</v>
      </c>
      <c r="P2518" s="5" t="s">
        <v>59</v>
      </c>
      <c r="Q2518" s="5" t="s">
        <v>89</v>
      </c>
      <c r="R2518" s="6" t="s">
        <v>42</v>
      </c>
      <c r="S2518" s="5" t="s">
        <v>141</v>
      </c>
      <c r="T2518" s="5" t="s">
        <v>44</v>
      </c>
      <c r="U2518" s="5" t="s">
        <v>44</v>
      </c>
      <c r="V2518" s="5" t="s">
        <v>44</v>
      </c>
      <c r="W2518" s="5" t="s">
        <v>36</v>
      </c>
      <c r="X2518" s="8" t="s">
        <v>715</v>
      </c>
      <c r="Y2518" s="5" t="s">
        <v>46</v>
      </c>
      <c r="Z2518" s="5" t="s">
        <v>47</v>
      </c>
      <c r="AA2518" s="5" t="s">
        <v>64</v>
      </c>
      <c r="AB2518" s="5" t="s">
        <v>12260</v>
      </c>
      <c r="AC2518" s="6" t="s">
        <v>1901</v>
      </c>
      <c r="AD2518" s="6">
        <v>5338.0</v>
      </c>
    </row>
    <row r="2519" ht="56.25" customHeight="1">
      <c r="A2519" s="5" t="s">
        <v>11993</v>
      </c>
      <c r="B2519" s="6" t="str">
        <f>IMAGE("https://storage.googleapis.com/acdb/housewares/FtrScreenSimple_Remake_7_3.png")</f>
        <v/>
      </c>
      <c r="C2519" s="5" t="s">
        <v>151</v>
      </c>
      <c r="D2519" s="5" t="s">
        <v>34</v>
      </c>
      <c r="E2519" s="5" t="s">
        <v>12016</v>
      </c>
      <c r="F2519" s="5" t="s">
        <v>11998</v>
      </c>
      <c r="G2519" s="5" t="s">
        <v>36</v>
      </c>
      <c r="H2519" s="5" t="s">
        <v>36</v>
      </c>
      <c r="I2519" s="5" t="s">
        <v>35</v>
      </c>
      <c r="J2519" s="6">
        <v>1.0</v>
      </c>
      <c r="K2519" s="6">
        <v>810.0</v>
      </c>
      <c r="L2519" s="6">
        <v>202.0</v>
      </c>
      <c r="M2519" s="26" t="s">
        <v>114</v>
      </c>
      <c r="N2519" s="26" t="s">
        <v>39</v>
      </c>
      <c r="O2519" s="6" t="s">
        <v>775</v>
      </c>
      <c r="P2519" s="5" t="s">
        <v>59</v>
      </c>
      <c r="Q2519" s="5" t="s">
        <v>89</v>
      </c>
      <c r="R2519" s="6" t="s">
        <v>42</v>
      </c>
      <c r="S2519" s="5" t="s">
        <v>141</v>
      </c>
      <c r="T2519" s="5" t="s">
        <v>44</v>
      </c>
      <c r="U2519" s="5" t="s">
        <v>44</v>
      </c>
      <c r="V2519" s="5" t="s">
        <v>44</v>
      </c>
      <c r="W2519" s="5" t="s">
        <v>36</v>
      </c>
      <c r="X2519" s="8" t="s">
        <v>715</v>
      </c>
      <c r="Y2519" s="5" t="s">
        <v>46</v>
      </c>
      <c r="Z2519" s="5" t="s">
        <v>47</v>
      </c>
      <c r="AA2519" s="5" t="s">
        <v>64</v>
      </c>
      <c r="AB2519" s="5" t="s">
        <v>12267</v>
      </c>
      <c r="AC2519" s="6" t="s">
        <v>1906</v>
      </c>
      <c r="AD2519" s="6">
        <v>5338.0</v>
      </c>
    </row>
    <row r="2520" ht="56.25" customHeight="1">
      <c r="A2520" s="5" t="s">
        <v>11993</v>
      </c>
      <c r="B2520" s="6" t="str">
        <f>IMAGE("https://storage.googleapis.com/acdb/housewares/FtrScreenSimple_Remake_7_4.png")</f>
        <v/>
      </c>
      <c r="C2520" s="5" t="s">
        <v>151</v>
      </c>
      <c r="D2520" s="5" t="s">
        <v>34</v>
      </c>
      <c r="E2520" s="5" t="s">
        <v>12023</v>
      </c>
      <c r="F2520" s="5" t="s">
        <v>11998</v>
      </c>
      <c r="G2520" s="5" t="s">
        <v>36</v>
      </c>
      <c r="H2520" s="5" t="s">
        <v>36</v>
      </c>
      <c r="I2520" s="5" t="s">
        <v>35</v>
      </c>
      <c r="J2520" s="6">
        <v>1.0</v>
      </c>
      <c r="K2520" s="6">
        <v>810.0</v>
      </c>
      <c r="L2520" s="6">
        <v>202.0</v>
      </c>
      <c r="M2520" s="26" t="s">
        <v>114</v>
      </c>
      <c r="N2520" s="26" t="s">
        <v>57</v>
      </c>
      <c r="O2520" s="6" t="s">
        <v>775</v>
      </c>
      <c r="P2520" s="5" t="s">
        <v>59</v>
      </c>
      <c r="Q2520" s="5" t="s">
        <v>89</v>
      </c>
      <c r="R2520" s="6" t="s">
        <v>42</v>
      </c>
      <c r="S2520" s="5" t="s">
        <v>141</v>
      </c>
      <c r="T2520" s="5" t="s">
        <v>44</v>
      </c>
      <c r="U2520" s="5" t="s">
        <v>44</v>
      </c>
      <c r="V2520" s="5" t="s">
        <v>44</v>
      </c>
      <c r="W2520" s="5" t="s">
        <v>36</v>
      </c>
      <c r="X2520" s="8" t="s">
        <v>715</v>
      </c>
      <c r="Y2520" s="5" t="s">
        <v>46</v>
      </c>
      <c r="Z2520" s="5" t="s">
        <v>47</v>
      </c>
      <c r="AA2520" s="5" t="s">
        <v>64</v>
      </c>
      <c r="AB2520" s="5" t="s">
        <v>12272</v>
      </c>
      <c r="AC2520" s="6" t="s">
        <v>1910</v>
      </c>
      <c r="AD2520" s="6">
        <v>5338.0</v>
      </c>
    </row>
    <row r="2521" ht="56.25" customHeight="1">
      <c r="A2521" s="5" t="s">
        <v>11993</v>
      </c>
      <c r="B2521" s="6" t="str">
        <f>IMAGE("https://storage.googleapis.com/acdb/housewares/FtrScreenSimple_Remake_7_5.png")</f>
        <v/>
      </c>
      <c r="C2521" s="5" t="s">
        <v>151</v>
      </c>
      <c r="D2521" s="5" t="s">
        <v>34</v>
      </c>
      <c r="E2521" s="5" t="s">
        <v>12028</v>
      </c>
      <c r="F2521" s="5" t="s">
        <v>11998</v>
      </c>
      <c r="G2521" s="5" t="s">
        <v>36</v>
      </c>
      <c r="H2521" s="5" t="s">
        <v>36</v>
      </c>
      <c r="I2521" s="5" t="s">
        <v>35</v>
      </c>
      <c r="J2521" s="6">
        <v>1.0</v>
      </c>
      <c r="K2521" s="6">
        <v>810.0</v>
      </c>
      <c r="L2521" s="6">
        <v>202.0</v>
      </c>
      <c r="M2521" s="26" t="s">
        <v>114</v>
      </c>
      <c r="N2521" s="26" t="s">
        <v>38</v>
      </c>
      <c r="O2521" s="6" t="s">
        <v>775</v>
      </c>
      <c r="P2521" s="5" t="s">
        <v>59</v>
      </c>
      <c r="Q2521" s="5" t="s">
        <v>89</v>
      </c>
      <c r="R2521" s="6" t="s">
        <v>42</v>
      </c>
      <c r="S2521" s="5" t="s">
        <v>141</v>
      </c>
      <c r="T2521" s="5" t="s">
        <v>44</v>
      </c>
      <c r="U2521" s="5" t="s">
        <v>44</v>
      </c>
      <c r="V2521" s="5" t="s">
        <v>44</v>
      </c>
      <c r="W2521" s="5" t="s">
        <v>36</v>
      </c>
      <c r="X2521" s="8" t="s">
        <v>715</v>
      </c>
      <c r="Y2521" s="5" t="s">
        <v>46</v>
      </c>
      <c r="Z2521" s="5" t="s">
        <v>47</v>
      </c>
      <c r="AA2521" s="5" t="s">
        <v>64</v>
      </c>
      <c r="AB2521" s="5" t="s">
        <v>12279</v>
      </c>
      <c r="AC2521" s="6" t="s">
        <v>1915</v>
      </c>
      <c r="AD2521" s="6">
        <v>5338.0</v>
      </c>
    </row>
    <row r="2522" ht="56.25" customHeight="1">
      <c r="A2522" s="5" t="s">
        <v>11993</v>
      </c>
      <c r="B2522" s="6" t="str">
        <f>IMAGE("https://storage.googleapis.com/acdb/housewares/FtrScreenSimple_Remake_7_6.png")</f>
        <v/>
      </c>
      <c r="C2522" s="5" t="s">
        <v>151</v>
      </c>
      <c r="D2522" s="5" t="s">
        <v>34</v>
      </c>
      <c r="E2522" s="5" t="s">
        <v>5310</v>
      </c>
      <c r="F2522" s="5" t="s">
        <v>11998</v>
      </c>
      <c r="G2522" s="5" t="s">
        <v>36</v>
      </c>
      <c r="H2522" s="5" t="s">
        <v>36</v>
      </c>
      <c r="I2522" s="5" t="s">
        <v>35</v>
      </c>
      <c r="J2522" s="6">
        <v>1.0</v>
      </c>
      <c r="K2522" s="6">
        <v>810.0</v>
      </c>
      <c r="L2522" s="6">
        <v>202.0</v>
      </c>
      <c r="M2522" s="26" t="s">
        <v>114</v>
      </c>
      <c r="N2522" s="26" t="s">
        <v>95</v>
      </c>
      <c r="O2522" s="6" t="s">
        <v>775</v>
      </c>
      <c r="P2522" s="5" t="s">
        <v>59</v>
      </c>
      <c r="Q2522" s="5" t="s">
        <v>89</v>
      </c>
      <c r="R2522" s="6" t="s">
        <v>42</v>
      </c>
      <c r="S2522" s="5" t="s">
        <v>141</v>
      </c>
      <c r="T2522" s="5" t="s">
        <v>44</v>
      </c>
      <c r="U2522" s="5" t="s">
        <v>44</v>
      </c>
      <c r="V2522" s="5" t="s">
        <v>44</v>
      </c>
      <c r="W2522" s="5" t="s">
        <v>36</v>
      </c>
      <c r="X2522" s="8" t="s">
        <v>715</v>
      </c>
      <c r="Y2522" s="5" t="s">
        <v>46</v>
      </c>
      <c r="Z2522" s="5" t="s">
        <v>47</v>
      </c>
      <c r="AA2522" s="5" t="s">
        <v>64</v>
      </c>
      <c r="AB2522" s="5" t="s">
        <v>12286</v>
      </c>
      <c r="AC2522" s="6" t="s">
        <v>1919</v>
      </c>
      <c r="AD2522" s="6">
        <v>5338.0</v>
      </c>
    </row>
    <row r="2523" ht="56.25" customHeight="1">
      <c r="A2523" s="5" t="s">
        <v>11993</v>
      </c>
      <c r="B2523" s="6" t="str">
        <f>IMAGE("https://storage.googleapis.com/acdb/housewares/FtrScreenSimple_Remake_7_7.png")</f>
        <v/>
      </c>
      <c r="C2523" s="5" t="s">
        <v>151</v>
      </c>
      <c r="D2523" s="5" t="s">
        <v>34</v>
      </c>
      <c r="E2523" s="5" t="s">
        <v>151</v>
      </c>
      <c r="F2523" s="5" t="s">
        <v>11998</v>
      </c>
      <c r="G2523" s="5" t="s">
        <v>36</v>
      </c>
      <c r="H2523" s="5" t="s">
        <v>36</v>
      </c>
      <c r="I2523" s="5" t="s">
        <v>35</v>
      </c>
      <c r="J2523" s="6">
        <v>1.0</v>
      </c>
      <c r="K2523" s="6">
        <v>810.0</v>
      </c>
      <c r="L2523" s="6">
        <v>202.0</v>
      </c>
      <c r="M2523" s="26" t="s">
        <v>114</v>
      </c>
      <c r="N2523" s="26" t="s">
        <v>114</v>
      </c>
      <c r="O2523" s="6" t="s">
        <v>775</v>
      </c>
      <c r="P2523" s="5" t="s">
        <v>59</v>
      </c>
      <c r="Q2523" s="5" t="s">
        <v>89</v>
      </c>
      <c r="R2523" s="6" t="s">
        <v>42</v>
      </c>
      <c r="S2523" s="5" t="s">
        <v>141</v>
      </c>
      <c r="T2523" s="5" t="s">
        <v>44</v>
      </c>
      <c r="U2523" s="5" t="s">
        <v>44</v>
      </c>
      <c r="V2523" s="5" t="s">
        <v>44</v>
      </c>
      <c r="W2523" s="5" t="s">
        <v>36</v>
      </c>
      <c r="X2523" s="8" t="s">
        <v>715</v>
      </c>
      <c r="Y2523" s="5" t="s">
        <v>46</v>
      </c>
      <c r="Z2523" s="5" t="s">
        <v>47</v>
      </c>
      <c r="AA2523" s="5" t="s">
        <v>64</v>
      </c>
      <c r="AB2523" s="5" t="s">
        <v>12293</v>
      </c>
      <c r="AC2523" s="6" t="s">
        <v>1925</v>
      </c>
      <c r="AD2523" s="6">
        <v>5338.0</v>
      </c>
    </row>
    <row r="2524" ht="56.25" customHeight="1">
      <c r="A2524" s="5" t="s">
        <v>12294</v>
      </c>
      <c r="B2524" s="6" t="str">
        <f>IMAGE("https://storage.googleapis.com/acdb/housewares/FtrWell.png")</f>
        <v/>
      </c>
      <c r="C2524" s="5" t="s">
        <v>34</v>
      </c>
      <c r="D2524" s="5" t="s">
        <v>34</v>
      </c>
      <c r="E2524" s="5" t="s">
        <v>34</v>
      </c>
      <c r="F2524" s="5" t="s">
        <v>34</v>
      </c>
      <c r="G2524" s="5" t="s">
        <v>35</v>
      </c>
      <c r="H2524" s="5" t="s">
        <v>36</v>
      </c>
      <c r="I2524" s="5" t="s">
        <v>36</v>
      </c>
      <c r="J2524" s="6" t="s">
        <v>34</v>
      </c>
      <c r="K2524" s="6" t="s">
        <v>37</v>
      </c>
      <c r="L2524" s="6">
        <v>2850.0</v>
      </c>
      <c r="M2524" s="5" t="s">
        <v>95</v>
      </c>
      <c r="N2524" s="5" t="s">
        <v>95</v>
      </c>
      <c r="O2524" s="6" t="s">
        <v>214</v>
      </c>
      <c r="P2524" s="5" t="s">
        <v>41</v>
      </c>
      <c r="Q2524" s="5"/>
      <c r="R2524" s="6" t="s">
        <v>42</v>
      </c>
      <c r="S2524" s="5" t="s">
        <v>172</v>
      </c>
      <c r="T2524" s="5" t="s">
        <v>732</v>
      </c>
      <c r="U2524" s="5" t="s">
        <v>44</v>
      </c>
      <c r="V2524" s="5" t="s">
        <v>44</v>
      </c>
      <c r="W2524" s="5" t="s">
        <v>36</v>
      </c>
      <c r="X2524" s="8" t="s">
        <v>1010</v>
      </c>
      <c r="Y2524" s="5" t="s">
        <v>46</v>
      </c>
      <c r="Z2524" s="5" t="s">
        <v>47</v>
      </c>
      <c r="AA2524" s="5" t="s">
        <v>48</v>
      </c>
      <c r="AB2524" s="5" t="s">
        <v>12299</v>
      </c>
      <c r="AC2524" s="6" t="s">
        <v>34</v>
      </c>
      <c r="AD2524" s="6">
        <v>2754.0</v>
      </c>
    </row>
    <row r="2525" ht="56.25" customHeight="1">
      <c r="A2525" s="5" t="s">
        <v>12301</v>
      </c>
      <c r="B2525" s="6" t="str">
        <f>IMAGE("https://storage.googleapis.com/acdb/housewares/FtrSchoolSkeleton.png")</f>
        <v/>
      </c>
      <c r="C2525" s="5" t="s">
        <v>34</v>
      </c>
      <c r="D2525" s="5" t="s">
        <v>34</v>
      </c>
      <c r="E2525" s="5" t="s">
        <v>34</v>
      </c>
      <c r="F2525" s="5" t="s">
        <v>34</v>
      </c>
      <c r="G2525" s="5" t="s">
        <v>36</v>
      </c>
      <c r="H2525" s="5" t="s">
        <v>36</v>
      </c>
      <c r="I2525" s="5" t="s">
        <v>36</v>
      </c>
      <c r="J2525" s="6" t="s">
        <v>34</v>
      </c>
      <c r="K2525" s="6">
        <v>3900.0</v>
      </c>
      <c r="L2525" s="6">
        <v>975.0</v>
      </c>
      <c r="M2525" s="5" t="s">
        <v>57</v>
      </c>
      <c r="N2525" s="5" t="s">
        <v>57</v>
      </c>
      <c r="O2525" s="6" t="s">
        <v>40</v>
      </c>
      <c r="P2525" s="5" t="s">
        <v>59</v>
      </c>
      <c r="Q2525" s="5" t="s">
        <v>89</v>
      </c>
      <c r="R2525" s="6" t="s">
        <v>42</v>
      </c>
      <c r="S2525" s="5" t="s">
        <v>130</v>
      </c>
      <c r="T2525" s="5" t="s">
        <v>732</v>
      </c>
      <c r="U2525" s="5" t="s">
        <v>44</v>
      </c>
      <c r="V2525" s="5" t="s">
        <v>44</v>
      </c>
      <c r="W2525" s="5" t="s">
        <v>35</v>
      </c>
      <c r="X2525" s="8" t="s">
        <v>131</v>
      </c>
      <c r="Y2525" s="5" t="s">
        <v>46</v>
      </c>
      <c r="Z2525" s="5" t="s">
        <v>47</v>
      </c>
      <c r="AA2525" s="5" t="s">
        <v>64</v>
      </c>
      <c r="AB2525" s="5" t="s">
        <v>12305</v>
      </c>
      <c r="AC2525" s="6" t="s">
        <v>34</v>
      </c>
      <c r="AD2525" s="6">
        <v>1326.0</v>
      </c>
    </row>
    <row r="2526" ht="56.25" customHeight="1">
      <c r="A2526" s="5" t="s">
        <v>12306</v>
      </c>
      <c r="B2526" s="6" t="str">
        <f>IMAGE("https://storage.googleapis.com/acdb/housewares/FtrSleepingbag_Remake_0_0.png")</f>
        <v/>
      </c>
      <c r="C2526" s="5" t="s">
        <v>96</v>
      </c>
      <c r="D2526" s="5" t="s">
        <v>34</v>
      </c>
      <c r="E2526" s="5" t="s">
        <v>34</v>
      </c>
      <c r="F2526" s="5" t="s">
        <v>34</v>
      </c>
      <c r="G2526" s="5" t="s">
        <v>36</v>
      </c>
      <c r="H2526" s="5" t="s">
        <v>36</v>
      </c>
      <c r="I2526" s="5" t="s">
        <v>36</v>
      </c>
      <c r="J2526" s="6" t="s">
        <v>34</v>
      </c>
      <c r="K2526" s="6">
        <v>1400.0</v>
      </c>
      <c r="L2526" s="6">
        <v>350.0</v>
      </c>
      <c r="M2526" s="26" t="s">
        <v>96</v>
      </c>
      <c r="N2526" s="26" t="s">
        <v>114</v>
      </c>
      <c r="O2526" s="6" t="s">
        <v>276</v>
      </c>
      <c r="P2526" s="5" t="s">
        <v>59</v>
      </c>
      <c r="Q2526" s="5" t="s">
        <v>554</v>
      </c>
      <c r="R2526" s="6" t="s">
        <v>42</v>
      </c>
      <c r="S2526" s="5" t="s">
        <v>765</v>
      </c>
      <c r="T2526" s="5" t="s">
        <v>44</v>
      </c>
      <c r="U2526" s="5" t="s">
        <v>44</v>
      </c>
      <c r="V2526" s="5" t="s">
        <v>44</v>
      </c>
      <c r="W2526" s="5" t="s">
        <v>35</v>
      </c>
      <c r="X2526" s="8" t="s">
        <v>218</v>
      </c>
      <c r="Y2526" s="5" t="s">
        <v>46</v>
      </c>
      <c r="Z2526" s="5" t="s">
        <v>47</v>
      </c>
      <c r="AA2526" s="5" t="s">
        <v>64</v>
      </c>
      <c r="AB2526" s="5" t="s">
        <v>12310</v>
      </c>
      <c r="AC2526" s="6" t="s">
        <v>50</v>
      </c>
      <c r="AD2526" s="6">
        <v>1434.0</v>
      </c>
    </row>
    <row r="2527" ht="56.25" customHeight="1">
      <c r="A2527" s="5" t="s">
        <v>12306</v>
      </c>
      <c r="B2527" s="6" t="str">
        <f>IMAGE("https://storage.googleapis.com/acdb/housewares/FtrSleepingbag_Remake_1_0.png")</f>
        <v/>
      </c>
      <c r="C2527" s="5" t="s">
        <v>54</v>
      </c>
      <c r="D2527" s="5" t="s">
        <v>34</v>
      </c>
      <c r="E2527" s="5" t="s">
        <v>34</v>
      </c>
      <c r="F2527" s="5" t="s">
        <v>34</v>
      </c>
      <c r="G2527" s="5" t="s">
        <v>36</v>
      </c>
      <c r="H2527" s="5" t="s">
        <v>36</v>
      </c>
      <c r="I2527" s="5" t="s">
        <v>36</v>
      </c>
      <c r="J2527" s="6" t="s">
        <v>34</v>
      </c>
      <c r="K2527" s="6">
        <v>1400.0</v>
      </c>
      <c r="L2527" s="6">
        <v>350.0</v>
      </c>
      <c r="M2527" s="26" t="s">
        <v>95</v>
      </c>
      <c r="N2527" s="26" t="s">
        <v>54</v>
      </c>
      <c r="O2527" s="6" t="s">
        <v>276</v>
      </c>
      <c r="P2527" s="5" t="s">
        <v>59</v>
      </c>
      <c r="Q2527" s="5" t="s">
        <v>554</v>
      </c>
      <c r="R2527" s="6" t="s">
        <v>42</v>
      </c>
      <c r="S2527" s="5" t="s">
        <v>765</v>
      </c>
      <c r="T2527" s="5" t="s">
        <v>44</v>
      </c>
      <c r="U2527" s="5" t="s">
        <v>44</v>
      </c>
      <c r="V2527" s="5" t="s">
        <v>44</v>
      </c>
      <c r="W2527" s="5" t="s">
        <v>35</v>
      </c>
      <c r="X2527" s="8" t="s">
        <v>218</v>
      </c>
      <c r="Y2527" s="5" t="s">
        <v>46</v>
      </c>
      <c r="Z2527" s="5" t="s">
        <v>47</v>
      </c>
      <c r="AA2527" s="5" t="s">
        <v>64</v>
      </c>
      <c r="AB2527" s="5" t="s">
        <v>12313</v>
      </c>
      <c r="AC2527" s="6" t="s">
        <v>56</v>
      </c>
      <c r="AD2527" s="6">
        <v>1434.0</v>
      </c>
    </row>
    <row r="2528" ht="56.25" customHeight="1">
      <c r="A2528" s="5" t="s">
        <v>12306</v>
      </c>
      <c r="B2528" s="6" t="str">
        <f>IMAGE("https://storage.googleapis.com/acdb/housewares/FtrSleepingbag_Remake_2_0.png")</f>
        <v/>
      </c>
      <c r="C2528" s="5" t="s">
        <v>68</v>
      </c>
      <c r="D2528" s="5" t="s">
        <v>34</v>
      </c>
      <c r="E2528" s="5" t="s">
        <v>34</v>
      </c>
      <c r="F2528" s="5" t="s">
        <v>34</v>
      </c>
      <c r="G2528" s="5" t="s">
        <v>36</v>
      </c>
      <c r="H2528" s="5" t="s">
        <v>36</v>
      </c>
      <c r="I2528" s="5" t="s">
        <v>36</v>
      </c>
      <c r="J2528" s="6" t="s">
        <v>34</v>
      </c>
      <c r="K2528" s="6">
        <v>1400.0</v>
      </c>
      <c r="L2528" s="6">
        <v>350.0</v>
      </c>
      <c r="M2528" s="26" t="s">
        <v>68</v>
      </c>
      <c r="N2528" s="26" t="s">
        <v>142</v>
      </c>
      <c r="O2528" s="6" t="s">
        <v>276</v>
      </c>
      <c r="P2528" s="5" t="s">
        <v>59</v>
      </c>
      <c r="Q2528" s="5" t="s">
        <v>554</v>
      </c>
      <c r="R2528" s="6" t="s">
        <v>42</v>
      </c>
      <c r="S2528" s="5" t="s">
        <v>765</v>
      </c>
      <c r="T2528" s="5" t="s">
        <v>44</v>
      </c>
      <c r="U2528" s="5" t="s">
        <v>44</v>
      </c>
      <c r="V2528" s="5" t="s">
        <v>44</v>
      </c>
      <c r="W2528" s="5" t="s">
        <v>35</v>
      </c>
      <c r="X2528" s="8" t="s">
        <v>218</v>
      </c>
      <c r="Y2528" s="5" t="s">
        <v>46</v>
      </c>
      <c r="Z2528" s="5" t="s">
        <v>47</v>
      </c>
      <c r="AA2528" s="5" t="s">
        <v>64</v>
      </c>
      <c r="AB2528" s="5" t="s">
        <v>12317</v>
      </c>
      <c r="AC2528" s="6" t="s">
        <v>67</v>
      </c>
      <c r="AD2528" s="6">
        <v>1434.0</v>
      </c>
    </row>
    <row r="2529" ht="56.25" customHeight="1">
      <c r="A2529" s="5" t="s">
        <v>12306</v>
      </c>
      <c r="B2529" s="6" t="str">
        <f>IMAGE("https://storage.googleapis.com/acdb/housewares/FtrSleepingbag_Remake_3_0.png")</f>
        <v/>
      </c>
      <c r="C2529" s="5" t="s">
        <v>142</v>
      </c>
      <c r="D2529" s="5" t="s">
        <v>34</v>
      </c>
      <c r="E2529" s="5" t="s">
        <v>34</v>
      </c>
      <c r="F2529" s="5" t="s">
        <v>34</v>
      </c>
      <c r="G2529" s="5" t="s">
        <v>36</v>
      </c>
      <c r="H2529" s="5" t="s">
        <v>36</v>
      </c>
      <c r="I2529" s="5" t="s">
        <v>36</v>
      </c>
      <c r="J2529" s="6" t="s">
        <v>34</v>
      </c>
      <c r="K2529" s="6">
        <v>1400.0</v>
      </c>
      <c r="L2529" s="6">
        <v>350.0</v>
      </c>
      <c r="M2529" s="26" t="s">
        <v>142</v>
      </c>
      <c r="N2529" s="26" t="s">
        <v>95</v>
      </c>
      <c r="O2529" s="6" t="s">
        <v>276</v>
      </c>
      <c r="P2529" s="5" t="s">
        <v>59</v>
      </c>
      <c r="Q2529" s="5" t="s">
        <v>554</v>
      </c>
      <c r="R2529" s="6" t="s">
        <v>42</v>
      </c>
      <c r="S2529" s="5" t="s">
        <v>765</v>
      </c>
      <c r="T2529" s="5" t="s">
        <v>44</v>
      </c>
      <c r="U2529" s="5" t="s">
        <v>44</v>
      </c>
      <c r="V2529" s="5" t="s">
        <v>44</v>
      </c>
      <c r="W2529" s="5" t="s">
        <v>35</v>
      </c>
      <c r="X2529" s="8" t="s">
        <v>218</v>
      </c>
      <c r="Y2529" s="5" t="s">
        <v>46</v>
      </c>
      <c r="Z2529" s="5" t="s">
        <v>47</v>
      </c>
      <c r="AA2529" s="5" t="s">
        <v>64</v>
      </c>
      <c r="AB2529" s="5" t="s">
        <v>12321</v>
      </c>
      <c r="AC2529" s="6" t="s">
        <v>71</v>
      </c>
      <c r="AD2529" s="6">
        <v>1434.0</v>
      </c>
    </row>
    <row r="2530" ht="56.25" customHeight="1">
      <c r="A2530" s="5" t="s">
        <v>12306</v>
      </c>
      <c r="B2530" s="6" t="str">
        <f>IMAGE("https://storage.googleapis.com/acdb/housewares/FtrSleepingbag_Remake_4_0.png")</f>
        <v/>
      </c>
      <c r="C2530" s="5" t="s">
        <v>114</v>
      </c>
      <c r="D2530" s="5" t="s">
        <v>34</v>
      </c>
      <c r="E2530" s="5" t="s">
        <v>34</v>
      </c>
      <c r="F2530" s="5" t="s">
        <v>34</v>
      </c>
      <c r="G2530" s="5" t="s">
        <v>36</v>
      </c>
      <c r="H2530" s="5" t="s">
        <v>36</v>
      </c>
      <c r="I2530" s="5" t="s">
        <v>36</v>
      </c>
      <c r="J2530" s="6" t="s">
        <v>34</v>
      </c>
      <c r="K2530" s="6">
        <v>1400.0</v>
      </c>
      <c r="L2530" s="6">
        <v>350.0</v>
      </c>
      <c r="M2530" s="26" t="s">
        <v>114</v>
      </c>
      <c r="N2530" s="26" t="s">
        <v>1175</v>
      </c>
      <c r="O2530" s="6" t="s">
        <v>276</v>
      </c>
      <c r="P2530" s="5" t="s">
        <v>59</v>
      </c>
      <c r="Q2530" s="5" t="s">
        <v>554</v>
      </c>
      <c r="R2530" s="6" t="s">
        <v>42</v>
      </c>
      <c r="S2530" s="5" t="s">
        <v>765</v>
      </c>
      <c r="T2530" s="5" t="s">
        <v>44</v>
      </c>
      <c r="U2530" s="5" t="s">
        <v>44</v>
      </c>
      <c r="V2530" s="5" t="s">
        <v>44</v>
      </c>
      <c r="W2530" s="5" t="s">
        <v>35</v>
      </c>
      <c r="X2530" s="8" t="s">
        <v>218</v>
      </c>
      <c r="Y2530" s="5" t="s">
        <v>46</v>
      </c>
      <c r="Z2530" s="5" t="s">
        <v>47</v>
      </c>
      <c r="AA2530" s="5" t="s">
        <v>64</v>
      </c>
      <c r="AB2530" s="5" t="s">
        <v>12325</v>
      </c>
      <c r="AC2530" s="6" t="s">
        <v>75</v>
      </c>
      <c r="AD2530" s="6">
        <v>1434.0</v>
      </c>
    </row>
    <row r="2531" ht="56.25" customHeight="1">
      <c r="A2531" s="5" t="s">
        <v>12306</v>
      </c>
      <c r="B2531" s="6" t="str">
        <f>IMAGE("https://storage.googleapis.com/acdb/housewares/FtrSleepingbag_Remake_5_0.png")</f>
        <v/>
      </c>
      <c r="C2531" s="5" t="s">
        <v>106</v>
      </c>
      <c r="D2531" s="5" t="s">
        <v>34</v>
      </c>
      <c r="E2531" s="5" t="s">
        <v>34</v>
      </c>
      <c r="F2531" s="5" t="s">
        <v>34</v>
      </c>
      <c r="G2531" s="5" t="s">
        <v>36</v>
      </c>
      <c r="H2531" s="5" t="s">
        <v>36</v>
      </c>
      <c r="I2531" s="5" t="s">
        <v>36</v>
      </c>
      <c r="J2531" s="6" t="s">
        <v>34</v>
      </c>
      <c r="K2531" s="6">
        <v>1400.0</v>
      </c>
      <c r="L2531" s="6">
        <v>350.0</v>
      </c>
      <c r="M2531" s="26" t="s">
        <v>69</v>
      </c>
      <c r="N2531" s="26" t="s">
        <v>106</v>
      </c>
      <c r="O2531" s="6" t="s">
        <v>276</v>
      </c>
      <c r="P2531" s="5" t="s">
        <v>59</v>
      </c>
      <c r="Q2531" s="5" t="s">
        <v>554</v>
      </c>
      <c r="R2531" s="6" t="s">
        <v>42</v>
      </c>
      <c r="S2531" s="5" t="s">
        <v>765</v>
      </c>
      <c r="T2531" s="5" t="s">
        <v>44</v>
      </c>
      <c r="U2531" s="5" t="s">
        <v>44</v>
      </c>
      <c r="V2531" s="5" t="s">
        <v>44</v>
      </c>
      <c r="W2531" s="5" t="s">
        <v>35</v>
      </c>
      <c r="X2531" s="8" t="s">
        <v>218</v>
      </c>
      <c r="Y2531" s="5" t="s">
        <v>46</v>
      </c>
      <c r="Z2531" s="5" t="s">
        <v>47</v>
      </c>
      <c r="AA2531" s="5" t="s">
        <v>64</v>
      </c>
      <c r="AB2531" s="5" t="s">
        <v>12330</v>
      </c>
      <c r="AC2531" s="6" t="s">
        <v>79</v>
      </c>
      <c r="AD2531" s="6">
        <v>1434.0</v>
      </c>
    </row>
    <row r="2532" ht="56.25" customHeight="1">
      <c r="A2532" s="5" t="s">
        <v>12306</v>
      </c>
      <c r="B2532" s="6" t="str">
        <f>IMAGE("https://storage.googleapis.com/acdb/housewares/FtrSleepingbag_Remake_6_0.png")</f>
        <v/>
      </c>
      <c r="C2532" s="5" t="s">
        <v>57</v>
      </c>
      <c r="D2532" s="5" t="s">
        <v>34</v>
      </c>
      <c r="E2532" s="5" t="s">
        <v>34</v>
      </c>
      <c r="F2532" s="5" t="s">
        <v>34</v>
      </c>
      <c r="G2532" s="5" t="s">
        <v>36</v>
      </c>
      <c r="H2532" s="5" t="s">
        <v>36</v>
      </c>
      <c r="I2532" s="5" t="s">
        <v>36</v>
      </c>
      <c r="J2532" s="6" t="s">
        <v>34</v>
      </c>
      <c r="K2532" s="6">
        <v>1400.0</v>
      </c>
      <c r="L2532" s="6">
        <v>350.0</v>
      </c>
      <c r="M2532" s="26" t="s">
        <v>57</v>
      </c>
      <c r="N2532" s="26" t="s">
        <v>114</v>
      </c>
      <c r="O2532" s="6" t="s">
        <v>276</v>
      </c>
      <c r="P2532" s="5" t="s">
        <v>59</v>
      </c>
      <c r="Q2532" s="5" t="s">
        <v>554</v>
      </c>
      <c r="R2532" s="6" t="s">
        <v>42</v>
      </c>
      <c r="S2532" s="5" t="s">
        <v>765</v>
      </c>
      <c r="T2532" s="5" t="s">
        <v>44</v>
      </c>
      <c r="U2532" s="5" t="s">
        <v>44</v>
      </c>
      <c r="V2532" s="5" t="s">
        <v>44</v>
      </c>
      <c r="W2532" s="5" t="s">
        <v>35</v>
      </c>
      <c r="X2532" s="8" t="s">
        <v>218</v>
      </c>
      <c r="Y2532" s="5" t="s">
        <v>46</v>
      </c>
      <c r="Z2532" s="5" t="s">
        <v>47</v>
      </c>
      <c r="AA2532" s="5" t="s">
        <v>64</v>
      </c>
      <c r="AB2532" s="5" t="s">
        <v>12335</v>
      </c>
      <c r="AC2532" s="6" t="s">
        <v>86</v>
      </c>
      <c r="AD2532" s="6">
        <v>1434.0</v>
      </c>
    </row>
    <row r="2533" ht="56.25" customHeight="1">
      <c r="A2533" s="5" t="s">
        <v>12306</v>
      </c>
      <c r="B2533" s="6" t="str">
        <f>IMAGE("https://storage.googleapis.com/acdb/housewares/FtrSleepingbag_Remake_7_0.png")</f>
        <v/>
      </c>
      <c r="C2533" s="5" t="s">
        <v>52</v>
      </c>
      <c r="D2533" s="5" t="s">
        <v>34</v>
      </c>
      <c r="E2533" s="5" t="s">
        <v>34</v>
      </c>
      <c r="F2533" s="5" t="s">
        <v>34</v>
      </c>
      <c r="G2533" s="5" t="s">
        <v>36</v>
      </c>
      <c r="H2533" s="5" t="s">
        <v>36</v>
      </c>
      <c r="I2533" s="5" t="s">
        <v>36</v>
      </c>
      <c r="J2533" s="6" t="s">
        <v>34</v>
      </c>
      <c r="K2533" s="6">
        <v>1400.0</v>
      </c>
      <c r="L2533" s="6">
        <v>350.0</v>
      </c>
      <c r="M2533" s="26" t="s">
        <v>52</v>
      </c>
      <c r="N2533" s="26" t="s">
        <v>68</v>
      </c>
      <c r="O2533" s="6" t="s">
        <v>276</v>
      </c>
      <c r="P2533" s="5" t="s">
        <v>59</v>
      </c>
      <c r="Q2533" s="5" t="s">
        <v>554</v>
      </c>
      <c r="R2533" s="6" t="s">
        <v>42</v>
      </c>
      <c r="S2533" s="5" t="s">
        <v>765</v>
      </c>
      <c r="T2533" s="5" t="s">
        <v>44</v>
      </c>
      <c r="U2533" s="5" t="s">
        <v>44</v>
      </c>
      <c r="V2533" s="5" t="s">
        <v>44</v>
      </c>
      <c r="W2533" s="5" t="s">
        <v>35</v>
      </c>
      <c r="X2533" s="8" t="s">
        <v>218</v>
      </c>
      <c r="Y2533" s="5" t="s">
        <v>46</v>
      </c>
      <c r="Z2533" s="5" t="s">
        <v>47</v>
      </c>
      <c r="AA2533" s="5" t="s">
        <v>64</v>
      </c>
      <c r="AB2533" s="5" t="s">
        <v>12338</v>
      </c>
      <c r="AC2533" s="6" t="s">
        <v>208</v>
      </c>
      <c r="AD2533" s="6">
        <v>1434.0</v>
      </c>
    </row>
    <row r="2534" ht="56.25" customHeight="1">
      <c r="A2534" s="5" t="s">
        <v>12340</v>
      </c>
      <c r="B2534" s="6" t="str">
        <f>IMAGE("https://storage.googleapis.com/acdb/housewares/FtrSled_Remake_0_0.png")</f>
        <v/>
      </c>
      <c r="C2534" s="5" t="s">
        <v>32</v>
      </c>
      <c r="D2534" s="5" t="s">
        <v>1008</v>
      </c>
      <c r="E2534" s="5" t="s">
        <v>34</v>
      </c>
      <c r="F2534" s="5" t="s">
        <v>34</v>
      </c>
      <c r="G2534" s="5" t="s">
        <v>35</v>
      </c>
      <c r="H2534" s="5" t="s">
        <v>35</v>
      </c>
      <c r="I2534" s="5" t="s">
        <v>36</v>
      </c>
      <c r="J2534" s="6">
        <v>2.0</v>
      </c>
      <c r="K2534" s="6" t="s">
        <v>37</v>
      </c>
      <c r="L2534" s="6">
        <v>960.0</v>
      </c>
      <c r="M2534" s="26" t="s">
        <v>142</v>
      </c>
      <c r="N2534" s="26" t="s">
        <v>52</v>
      </c>
      <c r="O2534" s="6" t="s">
        <v>276</v>
      </c>
      <c r="P2534" s="5" t="s">
        <v>41</v>
      </c>
      <c r="Q2534" s="5"/>
      <c r="R2534" s="6" t="s">
        <v>42</v>
      </c>
      <c r="S2534" s="5" t="s">
        <v>172</v>
      </c>
      <c r="T2534" s="5" t="s">
        <v>44</v>
      </c>
      <c r="U2534" s="5" t="s">
        <v>970</v>
      </c>
      <c r="V2534" s="5" t="s">
        <v>44</v>
      </c>
      <c r="W2534" s="5" t="s">
        <v>35</v>
      </c>
      <c r="X2534" s="8" t="s">
        <v>248</v>
      </c>
      <c r="Y2534" s="5" t="s">
        <v>46</v>
      </c>
      <c r="Z2534" s="5" t="s">
        <v>47</v>
      </c>
      <c r="AA2534" s="5" t="s">
        <v>48</v>
      </c>
      <c r="AB2534" s="5" t="s">
        <v>12346</v>
      </c>
      <c r="AC2534" s="6" t="s">
        <v>50</v>
      </c>
      <c r="AD2534" s="6">
        <v>7281.0</v>
      </c>
    </row>
    <row r="2535" ht="56.25" customHeight="1">
      <c r="A2535" s="5" t="s">
        <v>12340</v>
      </c>
      <c r="B2535" s="6" t="str">
        <f>IMAGE("https://storage.googleapis.com/acdb/housewares/FtrSled_Remake_1_0.png")</f>
        <v/>
      </c>
      <c r="C2535" s="5" t="s">
        <v>387</v>
      </c>
      <c r="D2535" s="5" t="s">
        <v>1008</v>
      </c>
      <c r="E2535" s="5" t="s">
        <v>34</v>
      </c>
      <c r="F2535" s="5" t="s">
        <v>34</v>
      </c>
      <c r="G2535" s="5" t="s">
        <v>35</v>
      </c>
      <c r="H2535" s="5" t="s">
        <v>35</v>
      </c>
      <c r="I2535" s="5" t="s">
        <v>36</v>
      </c>
      <c r="J2535" s="6">
        <v>2.0</v>
      </c>
      <c r="K2535" s="6" t="s">
        <v>37</v>
      </c>
      <c r="L2535" s="6">
        <v>960.0</v>
      </c>
      <c r="M2535" s="26" t="s">
        <v>39</v>
      </c>
      <c r="N2535" s="26" t="s">
        <v>68</v>
      </c>
      <c r="O2535" s="6" t="s">
        <v>276</v>
      </c>
      <c r="P2535" s="5" t="s">
        <v>41</v>
      </c>
      <c r="Q2535" s="5"/>
      <c r="R2535" s="6" t="s">
        <v>42</v>
      </c>
      <c r="S2535" s="5" t="s">
        <v>172</v>
      </c>
      <c r="T2535" s="5" t="s">
        <v>44</v>
      </c>
      <c r="U2535" s="5" t="s">
        <v>970</v>
      </c>
      <c r="V2535" s="5" t="s">
        <v>44</v>
      </c>
      <c r="W2535" s="5" t="s">
        <v>35</v>
      </c>
      <c r="X2535" s="8" t="s">
        <v>248</v>
      </c>
      <c r="Y2535" s="5" t="s">
        <v>46</v>
      </c>
      <c r="Z2535" s="5" t="s">
        <v>47</v>
      </c>
      <c r="AA2535" s="5" t="s">
        <v>48</v>
      </c>
      <c r="AB2535" s="5" t="s">
        <v>12350</v>
      </c>
      <c r="AC2535" s="6" t="s">
        <v>56</v>
      </c>
      <c r="AD2535" s="6">
        <v>7281.0</v>
      </c>
    </row>
    <row r="2536" ht="56.25" customHeight="1">
      <c r="A2536" s="5" t="s">
        <v>12340</v>
      </c>
      <c r="B2536" s="6" t="str">
        <f>IMAGE("https://storage.googleapis.com/acdb/housewares/FtrSled_Remake_2_0.png")</f>
        <v/>
      </c>
      <c r="C2536" s="5" t="s">
        <v>52</v>
      </c>
      <c r="D2536" s="5" t="s">
        <v>1008</v>
      </c>
      <c r="E2536" s="5" t="s">
        <v>34</v>
      </c>
      <c r="F2536" s="5" t="s">
        <v>34</v>
      </c>
      <c r="G2536" s="5" t="s">
        <v>35</v>
      </c>
      <c r="H2536" s="5" t="s">
        <v>35</v>
      </c>
      <c r="I2536" s="5" t="s">
        <v>36</v>
      </c>
      <c r="J2536" s="6">
        <v>2.0</v>
      </c>
      <c r="K2536" s="6" t="s">
        <v>37</v>
      </c>
      <c r="L2536" s="6">
        <v>960.0</v>
      </c>
      <c r="M2536" s="26" t="s">
        <v>52</v>
      </c>
      <c r="N2536" s="26" t="s">
        <v>68</v>
      </c>
      <c r="O2536" s="6" t="s">
        <v>276</v>
      </c>
      <c r="P2536" s="5" t="s">
        <v>41</v>
      </c>
      <c r="Q2536" s="5"/>
      <c r="R2536" s="6" t="s">
        <v>42</v>
      </c>
      <c r="S2536" s="5" t="s">
        <v>172</v>
      </c>
      <c r="T2536" s="5" t="s">
        <v>44</v>
      </c>
      <c r="U2536" s="5" t="s">
        <v>970</v>
      </c>
      <c r="V2536" s="5" t="s">
        <v>44</v>
      </c>
      <c r="W2536" s="5" t="s">
        <v>35</v>
      </c>
      <c r="X2536" s="8" t="s">
        <v>248</v>
      </c>
      <c r="Y2536" s="5" t="s">
        <v>46</v>
      </c>
      <c r="Z2536" s="5" t="s">
        <v>47</v>
      </c>
      <c r="AA2536" s="5" t="s">
        <v>48</v>
      </c>
      <c r="AB2536" s="5" t="s">
        <v>12354</v>
      </c>
      <c r="AC2536" s="6" t="s">
        <v>67</v>
      </c>
      <c r="AD2536" s="6">
        <v>7281.0</v>
      </c>
    </row>
    <row r="2537" ht="56.25" customHeight="1">
      <c r="A2537" s="5" t="s">
        <v>12340</v>
      </c>
      <c r="B2537" s="6" t="str">
        <f>IMAGE("https://storage.googleapis.com/acdb/housewares/FtrSled_Remake_3_0.png")</f>
        <v/>
      </c>
      <c r="C2537" s="5" t="s">
        <v>57</v>
      </c>
      <c r="D2537" s="5" t="s">
        <v>1008</v>
      </c>
      <c r="E2537" s="5" t="s">
        <v>34</v>
      </c>
      <c r="F2537" s="5" t="s">
        <v>34</v>
      </c>
      <c r="G2537" s="5" t="s">
        <v>35</v>
      </c>
      <c r="H2537" s="5" t="s">
        <v>35</v>
      </c>
      <c r="I2537" s="5" t="s">
        <v>36</v>
      </c>
      <c r="J2537" s="6">
        <v>2.0</v>
      </c>
      <c r="K2537" s="6" t="s">
        <v>37</v>
      </c>
      <c r="L2537" s="6">
        <v>960.0</v>
      </c>
      <c r="M2537" s="26" t="s">
        <v>57</v>
      </c>
      <c r="N2537" s="26" t="s">
        <v>52</v>
      </c>
      <c r="O2537" s="6" t="s">
        <v>276</v>
      </c>
      <c r="P2537" s="5" t="s">
        <v>41</v>
      </c>
      <c r="Q2537" s="5"/>
      <c r="R2537" s="6" t="s">
        <v>42</v>
      </c>
      <c r="S2537" s="5" t="s">
        <v>172</v>
      </c>
      <c r="T2537" s="5" t="s">
        <v>44</v>
      </c>
      <c r="U2537" s="5" t="s">
        <v>970</v>
      </c>
      <c r="V2537" s="5" t="s">
        <v>44</v>
      </c>
      <c r="W2537" s="5" t="s">
        <v>35</v>
      </c>
      <c r="X2537" s="8" t="s">
        <v>248</v>
      </c>
      <c r="Y2537" s="5" t="s">
        <v>46</v>
      </c>
      <c r="Z2537" s="5" t="s">
        <v>47</v>
      </c>
      <c r="AA2537" s="5" t="s">
        <v>48</v>
      </c>
      <c r="AB2537" s="5" t="s">
        <v>12358</v>
      </c>
      <c r="AC2537" s="6" t="s">
        <v>71</v>
      </c>
      <c r="AD2537" s="6">
        <v>7281.0</v>
      </c>
    </row>
    <row r="2538" ht="56.25" customHeight="1">
      <c r="A2538" s="5" t="s">
        <v>12360</v>
      </c>
      <c r="B2538" s="6" t="str">
        <f>IMAGE("https://storage.googleapis.com/acdb/housewares/FtrMovingboxS.png")</f>
        <v/>
      </c>
      <c r="C2538" s="5" t="s">
        <v>34</v>
      </c>
      <c r="D2538" s="5" t="s">
        <v>34</v>
      </c>
      <c r="E2538" s="5" t="s">
        <v>34</v>
      </c>
      <c r="F2538" s="5" t="s">
        <v>34</v>
      </c>
      <c r="G2538" s="5" t="s">
        <v>35</v>
      </c>
      <c r="H2538" s="5" t="s">
        <v>36</v>
      </c>
      <c r="I2538" s="5" t="s">
        <v>36</v>
      </c>
      <c r="J2538" s="6" t="s">
        <v>34</v>
      </c>
      <c r="K2538" s="6" t="s">
        <v>37</v>
      </c>
      <c r="L2538" s="6">
        <v>120.0</v>
      </c>
      <c r="M2538" s="5" t="s">
        <v>44</v>
      </c>
      <c r="N2538" s="5" t="s">
        <v>44</v>
      </c>
      <c r="O2538" s="6" t="s">
        <v>40</v>
      </c>
      <c r="P2538" s="5" t="s">
        <v>41</v>
      </c>
      <c r="Q2538" s="5"/>
      <c r="R2538" s="6" t="s">
        <v>42</v>
      </c>
      <c r="S2538" s="5" t="s">
        <v>416</v>
      </c>
      <c r="T2538" s="5" t="s">
        <v>44</v>
      </c>
      <c r="U2538" s="5" t="s">
        <v>814</v>
      </c>
      <c r="V2538" s="5" t="s">
        <v>44</v>
      </c>
      <c r="W2538" s="5" t="s">
        <v>36</v>
      </c>
      <c r="X2538" s="8" t="s">
        <v>432</v>
      </c>
      <c r="Y2538" s="5" t="s">
        <v>46</v>
      </c>
      <c r="Z2538" s="5" t="s">
        <v>47</v>
      </c>
      <c r="AA2538" s="5" t="s">
        <v>48</v>
      </c>
      <c r="AB2538" s="5" t="s">
        <v>12362</v>
      </c>
      <c r="AC2538" s="6" t="s">
        <v>34</v>
      </c>
      <c r="AD2538" s="6">
        <v>3410.0</v>
      </c>
    </row>
    <row r="2539" ht="56.25" customHeight="1">
      <c r="A2539" s="5" t="s">
        <v>12364</v>
      </c>
      <c r="B2539" s="6" t="str">
        <f>IMAGE("https://storage.googleapis.com/acdb/housewares/FtrSmoker_Remake_0_0.png")</f>
        <v/>
      </c>
      <c r="C2539" s="5" t="s">
        <v>54</v>
      </c>
      <c r="D2539" s="5" t="s">
        <v>34</v>
      </c>
      <c r="E2539" s="5" t="s">
        <v>34</v>
      </c>
      <c r="F2539" s="5" t="s">
        <v>34</v>
      </c>
      <c r="G2539" s="5" t="s">
        <v>36</v>
      </c>
      <c r="H2539" s="5" t="s">
        <v>36</v>
      </c>
      <c r="I2539" s="5" t="s">
        <v>36</v>
      </c>
      <c r="J2539" s="6" t="s">
        <v>34</v>
      </c>
      <c r="K2539" s="6">
        <v>5500.0</v>
      </c>
      <c r="L2539" s="6">
        <v>1375.0</v>
      </c>
      <c r="M2539" s="26" t="s">
        <v>54</v>
      </c>
      <c r="N2539" s="26" t="s">
        <v>38</v>
      </c>
      <c r="O2539" s="6" t="s">
        <v>40</v>
      </c>
      <c r="P2539" s="5" t="s">
        <v>59</v>
      </c>
      <c r="Q2539" s="5" t="s">
        <v>554</v>
      </c>
      <c r="R2539" s="6" t="s">
        <v>42</v>
      </c>
      <c r="S2539" s="5" t="s">
        <v>765</v>
      </c>
      <c r="T2539" s="5" t="s">
        <v>44</v>
      </c>
      <c r="U2539" s="5" t="s">
        <v>44</v>
      </c>
      <c r="V2539" s="5" t="s">
        <v>44</v>
      </c>
      <c r="W2539" s="5" t="s">
        <v>35</v>
      </c>
      <c r="X2539" s="8" t="s">
        <v>160</v>
      </c>
      <c r="Y2539" s="5" t="s">
        <v>46</v>
      </c>
      <c r="Z2539" s="5" t="s">
        <v>47</v>
      </c>
      <c r="AA2539" s="5" t="s">
        <v>64</v>
      </c>
      <c r="AB2539" s="5" t="s">
        <v>12367</v>
      </c>
      <c r="AC2539" s="6" t="s">
        <v>50</v>
      </c>
      <c r="AD2539" s="6">
        <v>1143.0</v>
      </c>
    </row>
    <row r="2540" ht="56.25" customHeight="1">
      <c r="A2540" s="5" t="s">
        <v>12364</v>
      </c>
      <c r="B2540" s="6" t="str">
        <f>IMAGE("https://storage.googleapis.com/acdb/housewares/FtrSmoker_Remake_1_0.png")</f>
        <v/>
      </c>
      <c r="C2540" s="5" t="s">
        <v>96</v>
      </c>
      <c r="D2540" s="5" t="s">
        <v>34</v>
      </c>
      <c r="E2540" s="5" t="s">
        <v>34</v>
      </c>
      <c r="F2540" s="5" t="s">
        <v>34</v>
      </c>
      <c r="G2540" s="5" t="s">
        <v>36</v>
      </c>
      <c r="H2540" s="5" t="s">
        <v>36</v>
      </c>
      <c r="I2540" s="5" t="s">
        <v>36</v>
      </c>
      <c r="J2540" s="6" t="s">
        <v>34</v>
      </c>
      <c r="K2540" s="6">
        <v>5500.0</v>
      </c>
      <c r="L2540" s="6">
        <v>1375.0</v>
      </c>
      <c r="M2540" s="26" t="s">
        <v>96</v>
      </c>
      <c r="N2540" s="26" t="s">
        <v>38</v>
      </c>
      <c r="O2540" s="6" t="s">
        <v>40</v>
      </c>
      <c r="P2540" s="5" t="s">
        <v>59</v>
      </c>
      <c r="Q2540" s="5" t="s">
        <v>554</v>
      </c>
      <c r="R2540" s="6" t="s">
        <v>42</v>
      </c>
      <c r="S2540" s="5" t="s">
        <v>765</v>
      </c>
      <c r="T2540" s="5" t="s">
        <v>44</v>
      </c>
      <c r="U2540" s="5" t="s">
        <v>44</v>
      </c>
      <c r="V2540" s="5" t="s">
        <v>44</v>
      </c>
      <c r="W2540" s="5" t="s">
        <v>35</v>
      </c>
      <c r="X2540" s="8" t="s">
        <v>160</v>
      </c>
      <c r="Y2540" s="5" t="s">
        <v>46</v>
      </c>
      <c r="Z2540" s="5" t="s">
        <v>47</v>
      </c>
      <c r="AA2540" s="5" t="s">
        <v>64</v>
      </c>
      <c r="AB2540" s="5" t="s">
        <v>12373</v>
      </c>
      <c r="AC2540" s="6" t="s">
        <v>56</v>
      </c>
      <c r="AD2540" s="6">
        <v>1143.0</v>
      </c>
    </row>
    <row r="2541" ht="56.25" customHeight="1">
      <c r="A2541" s="5" t="s">
        <v>12364</v>
      </c>
      <c r="B2541" s="6" t="str">
        <f>IMAGE("https://storage.googleapis.com/acdb/housewares/FtrSmoker_Remake_2_0.png")</f>
        <v/>
      </c>
      <c r="C2541" s="5" t="s">
        <v>146</v>
      </c>
      <c r="D2541" s="5" t="s">
        <v>34</v>
      </c>
      <c r="E2541" s="5" t="s">
        <v>34</v>
      </c>
      <c r="F2541" s="5" t="s">
        <v>34</v>
      </c>
      <c r="G2541" s="5" t="s">
        <v>36</v>
      </c>
      <c r="H2541" s="5" t="s">
        <v>36</v>
      </c>
      <c r="I2541" s="5" t="s">
        <v>36</v>
      </c>
      <c r="J2541" s="6" t="s">
        <v>34</v>
      </c>
      <c r="K2541" s="6">
        <v>5500.0</v>
      </c>
      <c r="L2541" s="6">
        <v>1375.0</v>
      </c>
      <c r="M2541" s="26" t="s">
        <v>95</v>
      </c>
      <c r="N2541" s="26" t="s">
        <v>95</v>
      </c>
      <c r="O2541" s="6" t="s">
        <v>40</v>
      </c>
      <c r="P2541" s="5" t="s">
        <v>59</v>
      </c>
      <c r="Q2541" s="5" t="s">
        <v>554</v>
      </c>
      <c r="R2541" s="6" t="s">
        <v>42</v>
      </c>
      <c r="S2541" s="5" t="s">
        <v>765</v>
      </c>
      <c r="T2541" s="5" t="s">
        <v>44</v>
      </c>
      <c r="U2541" s="5" t="s">
        <v>44</v>
      </c>
      <c r="V2541" s="5" t="s">
        <v>44</v>
      </c>
      <c r="W2541" s="5" t="s">
        <v>35</v>
      </c>
      <c r="X2541" s="8" t="s">
        <v>160</v>
      </c>
      <c r="Y2541" s="5" t="s">
        <v>46</v>
      </c>
      <c r="Z2541" s="5" t="s">
        <v>47</v>
      </c>
      <c r="AA2541" s="5" t="s">
        <v>64</v>
      </c>
      <c r="AB2541" s="5" t="s">
        <v>12379</v>
      </c>
      <c r="AC2541" s="6" t="s">
        <v>67</v>
      </c>
      <c r="AD2541" s="6">
        <v>1143.0</v>
      </c>
    </row>
    <row r="2542" ht="56.25" customHeight="1">
      <c r="A2542" s="5" t="s">
        <v>12380</v>
      </c>
      <c r="B2542" s="6" t="str">
        <f>IMAGE("https://storage.googleapis.com/acdb/housewares/FtrFoodmachine_Remake_0_0.png")</f>
        <v/>
      </c>
      <c r="C2542" s="5" t="s">
        <v>54</v>
      </c>
      <c r="D2542" s="5" t="s">
        <v>34</v>
      </c>
      <c r="E2542" s="5" t="s">
        <v>34</v>
      </c>
      <c r="F2542" s="5" t="s">
        <v>34</v>
      </c>
      <c r="G2542" s="5" t="s">
        <v>36</v>
      </c>
      <c r="H2542" s="5" t="s">
        <v>36</v>
      </c>
      <c r="I2542" s="5" t="s">
        <v>36</v>
      </c>
      <c r="J2542" s="6" t="s">
        <v>34</v>
      </c>
      <c r="K2542" s="6" t="s">
        <v>37</v>
      </c>
      <c r="L2542" s="6">
        <v>10000.0</v>
      </c>
      <c r="M2542" s="26" t="s">
        <v>54</v>
      </c>
      <c r="N2542" s="26" t="s">
        <v>58</v>
      </c>
      <c r="O2542" s="6" t="s">
        <v>276</v>
      </c>
      <c r="P2542" s="5" t="s">
        <v>2140</v>
      </c>
      <c r="Q2542" s="5"/>
      <c r="R2542" s="6" t="s">
        <v>42</v>
      </c>
      <c r="S2542" s="5" t="s">
        <v>141</v>
      </c>
      <c r="T2542" s="5" t="s">
        <v>62</v>
      </c>
      <c r="U2542" s="5" t="s">
        <v>44</v>
      </c>
      <c r="V2542" s="5" t="s">
        <v>44</v>
      </c>
      <c r="W2542" s="5" t="s">
        <v>35</v>
      </c>
      <c r="X2542" s="8" t="s">
        <v>921</v>
      </c>
      <c r="Y2542" s="5" t="s">
        <v>46</v>
      </c>
      <c r="Z2542" s="5" t="s">
        <v>357</v>
      </c>
      <c r="AA2542" s="5" t="s">
        <v>48</v>
      </c>
      <c r="AB2542" s="5" t="s">
        <v>12384</v>
      </c>
      <c r="AC2542" s="6" t="s">
        <v>50</v>
      </c>
      <c r="AD2542" s="6">
        <v>971.0</v>
      </c>
    </row>
    <row r="2543" ht="56.25" customHeight="1">
      <c r="A2543" s="5" t="s">
        <v>12380</v>
      </c>
      <c r="B2543" s="6" t="str">
        <f>IMAGE("https://storage.googleapis.com/acdb/housewares/FtrFoodmachine_Remake_1_0.png")</f>
        <v/>
      </c>
      <c r="C2543" s="5" t="s">
        <v>57</v>
      </c>
      <c r="D2543" s="5" t="s">
        <v>34</v>
      </c>
      <c r="E2543" s="5" t="s">
        <v>34</v>
      </c>
      <c r="F2543" s="5" t="s">
        <v>34</v>
      </c>
      <c r="G2543" s="5" t="s">
        <v>36</v>
      </c>
      <c r="H2543" s="5" t="s">
        <v>36</v>
      </c>
      <c r="I2543" s="5" t="s">
        <v>36</v>
      </c>
      <c r="J2543" s="6" t="s">
        <v>34</v>
      </c>
      <c r="K2543" s="6" t="s">
        <v>37</v>
      </c>
      <c r="L2543" s="6">
        <v>10000.0</v>
      </c>
      <c r="M2543" s="26" t="s">
        <v>57</v>
      </c>
      <c r="N2543" s="26" t="s">
        <v>58</v>
      </c>
      <c r="O2543" s="6" t="s">
        <v>276</v>
      </c>
      <c r="P2543" s="5" t="s">
        <v>2140</v>
      </c>
      <c r="Q2543" s="5"/>
      <c r="R2543" s="6" t="s">
        <v>42</v>
      </c>
      <c r="S2543" s="5" t="s">
        <v>141</v>
      </c>
      <c r="T2543" s="5" t="s">
        <v>62</v>
      </c>
      <c r="U2543" s="5" t="s">
        <v>44</v>
      </c>
      <c r="V2543" s="5" t="s">
        <v>44</v>
      </c>
      <c r="W2543" s="5" t="s">
        <v>35</v>
      </c>
      <c r="X2543" s="8" t="s">
        <v>921</v>
      </c>
      <c r="Y2543" s="5" t="s">
        <v>46</v>
      </c>
      <c r="Z2543" s="5" t="s">
        <v>357</v>
      </c>
      <c r="AA2543" s="5" t="s">
        <v>48</v>
      </c>
      <c r="AB2543" s="5" t="s">
        <v>12386</v>
      </c>
      <c r="AC2543" s="6" t="s">
        <v>56</v>
      </c>
      <c r="AD2543" s="6">
        <v>971.0</v>
      </c>
    </row>
    <row r="2544" ht="56.25" customHeight="1">
      <c r="A2544" s="5" t="s">
        <v>12380</v>
      </c>
      <c r="B2544" s="6" t="str">
        <f>IMAGE("https://storage.googleapis.com/acdb/housewares/FtrFoodmachine_Remake_2_0.png")</f>
        <v/>
      </c>
      <c r="C2544" s="5" t="s">
        <v>52</v>
      </c>
      <c r="D2544" s="5" t="s">
        <v>34</v>
      </c>
      <c r="E2544" s="5" t="s">
        <v>34</v>
      </c>
      <c r="F2544" s="5" t="s">
        <v>34</v>
      </c>
      <c r="G2544" s="5" t="s">
        <v>36</v>
      </c>
      <c r="H2544" s="5" t="s">
        <v>36</v>
      </c>
      <c r="I2544" s="5" t="s">
        <v>36</v>
      </c>
      <c r="J2544" s="6" t="s">
        <v>34</v>
      </c>
      <c r="K2544" s="6" t="s">
        <v>37</v>
      </c>
      <c r="L2544" s="6">
        <v>10000.0</v>
      </c>
      <c r="M2544" s="26" t="s">
        <v>52</v>
      </c>
      <c r="N2544" s="26" t="s">
        <v>58</v>
      </c>
      <c r="O2544" s="6" t="s">
        <v>276</v>
      </c>
      <c r="P2544" s="5" t="s">
        <v>2140</v>
      </c>
      <c r="Q2544" s="5"/>
      <c r="R2544" s="6" t="s">
        <v>42</v>
      </c>
      <c r="S2544" s="5" t="s">
        <v>141</v>
      </c>
      <c r="T2544" s="5" t="s">
        <v>62</v>
      </c>
      <c r="U2544" s="5" t="s">
        <v>44</v>
      </c>
      <c r="V2544" s="5" t="s">
        <v>44</v>
      </c>
      <c r="W2544" s="5" t="s">
        <v>35</v>
      </c>
      <c r="X2544" s="8" t="s">
        <v>921</v>
      </c>
      <c r="Y2544" s="5" t="s">
        <v>46</v>
      </c>
      <c r="Z2544" s="5" t="s">
        <v>357</v>
      </c>
      <c r="AA2544" s="5" t="s">
        <v>48</v>
      </c>
      <c r="AB2544" s="5" t="s">
        <v>12390</v>
      </c>
      <c r="AC2544" s="6" t="s">
        <v>67</v>
      </c>
      <c r="AD2544" s="6">
        <v>971.0</v>
      </c>
    </row>
    <row r="2545" ht="56.25" customHeight="1">
      <c r="A2545" s="5" t="s">
        <v>12380</v>
      </c>
      <c r="B2545" s="6" t="str">
        <f>IMAGE("https://storage.googleapis.com/acdb/housewares/FtrFoodmachine_Remake_3_0.png")</f>
        <v/>
      </c>
      <c r="C2545" s="5" t="s">
        <v>146</v>
      </c>
      <c r="D2545" s="5" t="s">
        <v>34</v>
      </c>
      <c r="E2545" s="5" t="s">
        <v>34</v>
      </c>
      <c r="F2545" s="5" t="s">
        <v>34</v>
      </c>
      <c r="G2545" s="5" t="s">
        <v>36</v>
      </c>
      <c r="H2545" s="5" t="s">
        <v>36</v>
      </c>
      <c r="I2545" s="5" t="s">
        <v>36</v>
      </c>
      <c r="J2545" s="6" t="s">
        <v>34</v>
      </c>
      <c r="K2545" s="6" t="s">
        <v>37</v>
      </c>
      <c r="L2545" s="6">
        <v>10000.0</v>
      </c>
      <c r="M2545" s="26" t="s">
        <v>95</v>
      </c>
      <c r="N2545" s="26" t="s">
        <v>58</v>
      </c>
      <c r="O2545" s="6" t="s">
        <v>276</v>
      </c>
      <c r="P2545" s="5" t="s">
        <v>2140</v>
      </c>
      <c r="Q2545" s="5"/>
      <c r="R2545" s="6" t="s">
        <v>42</v>
      </c>
      <c r="S2545" s="5" t="s">
        <v>141</v>
      </c>
      <c r="T2545" s="5" t="s">
        <v>62</v>
      </c>
      <c r="U2545" s="5" t="s">
        <v>44</v>
      </c>
      <c r="V2545" s="5" t="s">
        <v>44</v>
      </c>
      <c r="W2545" s="5" t="s">
        <v>35</v>
      </c>
      <c r="X2545" s="8" t="s">
        <v>921</v>
      </c>
      <c r="Y2545" s="5" t="s">
        <v>46</v>
      </c>
      <c r="Z2545" s="5" t="s">
        <v>357</v>
      </c>
      <c r="AA2545" s="5" t="s">
        <v>48</v>
      </c>
      <c r="AB2545" s="5" t="s">
        <v>12394</v>
      </c>
      <c r="AC2545" s="6" t="s">
        <v>71</v>
      </c>
      <c r="AD2545" s="6">
        <v>971.0</v>
      </c>
    </row>
    <row r="2546" ht="56.25" customHeight="1">
      <c r="A2546" s="5" t="s">
        <v>12395</v>
      </c>
      <c r="B2546" s="6" t="str">
        <f>IMAGE("https://storage.googleapis.com/acdb/housewares/FtrSoccergoal.png")</f>
        <v/>
      </c>
      <c r="C2546" s="5" t="s">
        <v>34</v>
      </c>
      <c r="D2546" s="5" t="s">
        <v>34</v>
      </c>
      <c r="E2546" s="5" t="s">
        <v>34</v>
      </c>
      <c r="F2546" s="5" t="s">
        <v>34</v>
      </c>
      <c r="G2546" s="5" t="s">
        <v>36</v>
      </c>
      <c r="H2546" s="5" t="s">
        <v>36</v>
      </c>
      <c r="I2546" s="5" t="s">
        <v>36</v>
      </c>
      <c r="J2546" s="6" t="s">
        <v>34</v>
      </c>
      <c r="K2546" s="6" t="s">
        <v>37</v>
      </c>
      <c r="L2546" s="6">
        <v>20000.0</v>
      </c>
      <c r="M2546" s="5" t="s">
        <v>57</v>
      </c>
      <c r="N2546" s="5" t="s">
        <v>57</v>
      </c>
      <c r="O2546" s="6" t="s">
        <v>11558</v>
      </c>
      <c r="P2546" s="5" t="s">
        <v>2140</v>
      </c>
      <c r="Q2546" s="5"/>
      <c r="R2546" s="6" t="s">
        <v>42</v>
      </c>
      <c r="S2546" s="5" t="s">
        <v>474</v>
      </c>
      <c r="T2546" s="5" t="s">
        <v>44</v>
      </c>
      <c r="U2546" s="5" t="s">
        <v>44</v>
      </c>
      <c r="V2546" s="5" t="s">
        <v>44</v>
      </c>
      <c r="W2546" s="5" t="s">
        <v>36</v>
      </c>
      <c r="X2546" s="8" t="s">
        <v>475</v>
      </c>
      <c r="Y2546" s="5" t="s">
        <v>46</v>
      </c>
      <c r="Z2546" s="5" t="s">
        <v>47</v>
      </c>
      <c r="AA2546" s="5" t="s">
        <v>48</v>
      </c>
      <c r="AB2546" s="5" t="s">
        <v>12401</v>
      </c>
      <c r="AC2546" s="6" t="s">
        <v>34</v>
      </c>
      <c r="AD2546" s="6">
        <v>1149.0</v>
      </c>
    </row>
    <row r="2547" ht="56.25" customHeight="1">
      <c r="A2547" s="5" t="s">
        <v>12402</v>
      </c>
      <c r="B2547" s="6" t="str">
        <f>IMAGE("https://storage.googleapis.com/acdb/housewares/FtrLampSoftcream_Remake_0_0.png")</f>
        <v/>
      </c>
      <c r="C2547" s="5" t="s">
        <v>12403</v>
      </c>
      <c r="D2547" s="5" t="s">
        <v>34</v>
      </c>
      <c r="E2547" s="5" t="s">
        <v>34</v>
      </c>
      <c r="F2547" s="5" t="s">
        <v>34</v>
      </c>
      <c r="G2547" s="5" t="s">
        <v>36</v>
      </c>
      <c r="H2547" s="5" t="s">
        <v>36</v>
      </c>
      <c r="I2547" s="5" t="s">
        <v>36</v>
      </c>
      <c r="J2547" s="6" t="s">
        <v>34</v>
      </c>
      <c r="K2547" s="6">
        <v>3000.0</v>
      </c>
      <c r="L2547" s="6">
        <v>750.0</v>
      </c>
      <c r="M2547" s="26" t="s">
        <v>57</v>
      </c>
      <c r="N2547" s="26" t="s">
        <v>38</v>
      </c>
      <c r="O2547" s="6" t="s">
        <v>40</v>
      </c>
      <c r="P2547" s="5" t="s">
        <v>59</v>
      </c>
      <c r="Q2547" s="5" t="s">
        <v>122</v>
      </c>
      <c r="R2547" s="6" t="s">
        <v>42</v>
      </c>
      <c r="S2547" s="5" t="s">
        <v>62</v>
      </c>
      <c r="T2547" s="5" t="s">
        <v>61</v>
      </c>
      <c r="U2547" s="5" t="s">
        <v>44</v>
      </c>
      <c r="V2547" s="5" t="s">
        <v>44</v>
      </c>
      <c r="W2547" s="5" t="s">
        <v>35</v>
      </c>
      <c r="X2547" s="8" t="s">
        <v>467</v>
      </c>
      <c r="Y2547" s="5" t="s">
        <v>46</v>
      </c>
      <c r="Z2547" s="5" t="s">
        <v>502</v>
      </c>
      <c r="AA2547" s="5" t="s">
        <v>64</v>
      </c>
      <c r="AB2547" s="5" t="s">
        <v>12406</v>
      </c>
      <c r="AC2547" s="6" t="s">
        <v>50</v>
      </c>
      <c r="AD2547" s="6">
        <v>3416.0</v>
      </c>
    </row>
    <row r="2548" ht="56.25" customHeight="1">
      <c r="A2548" s="5" t="s">
        <v>12402</v>
      </c>
      <c r="B2548" s="6" t="str">
        <f>IMAGE("https://storage.googleapis.com/acdb/housewares/FtrLampSoftcream_Remake_1_0.png")</f>
        <v/>
      </c>
      <c r="C2548" s="5" t="s">
        <v>12408</v>
      </c>
      <c r="D2548" s="5" t="s">
        <v>34</v>
      </c>
      <c r="E2548" s="5" t="s">
        <v>34</v>
      </c>
      <c r="F2548" s="5" t="s">
        <v>34</v>
      </c>
      <c r="G2548" s="5" t="s">
        <v>36</v>
      </c>
      <c r="H2548" s="5" t="s">
        <v>36</v>
      </c>
      <c r="I2548" s="5" t="s">
        <v>36</v>
      </c>
      <c r="J2548" s="6" t="s">
        <v>34</v>
      </c>
      <c r="K2548" s="6">
        <v>3000.0</v>
      </c>
      <c r="L2548" s="6">
        <v>750.0</v>
      </c>
      <c r="M2548" s="26" t="s">
        <v>106</v>
      </c>
      <c r="N2548" s="26" t="s">
        <v>38</v>
      </c>
      <c r="O2548" s="6" t="s">
        <v>40</v>
      </c>
      <c r="P2548" s="5" t="s">
        <v>59</v>
      </c>
      <c r="Q2548" s="5" t="s">
        <v>122</v>
      </c>
      <c r="R2548" s="6" t="s">
        <v>42</v>
      </c>
      <c r="S2548" s="5" t="s">
        <v>62</v>
      </c>
      <c r="T2548" s="5" t="s">
        <v>61</v>
      </c>
      <c r="U2548" s="5" t="s">
        <v>44</v>
      </c>
      <c r="V2548" s="5" t="s">
        <v>44</v>
      </c>
      <c r="W2548" s="5" t="s">
        <v>35</v>
      </c>
      <c r="X2548" s="8" t="s">
        <v>467</v>
      </c>
      <c r="Y2548" s="5" t="s">
        <v>46</v>
      </c>
      <c r="Z2548" s="5" t="s">
        <v>502</v>
      </c>
      <c r="AA2548" s="5" t="s">
        <v>64</v>
      </c>
      <c r="AB2548" s="5" t="s">
        <v>12411</v>
      </c>
      <c r="AC2548" s="6" t="s">
        <v>56</v>
      </c>
      <c r="AD2548" s="6">
        <v>3416.0</v>
      </c>
    </row>
    <row r="2549" ht="56.25" customHeight="1">
      <c r="A2549" s="5" t="s">
        <v>12402</v>
      </c>
      <c r="B2549" s="6" t="str">
        <f>IMAGE("https://storage.googleapis.com/acdb/housewares/FtrLampSoftcream_Remake_2_0.png")</f>
        <v/>
      </c>
      <c r="C2549" s="5" t="s">
        <v>12413</v>
      </c>
      <c r="D2549" s="5" t="s">
        <v>34</v>
      </c>
      <c r="E2549" s="5" t="s">
        <v>34</v>
      </c>
      <c r="F2549" s="5" t="s">
        <v>34</v>
      </c>
      <c r="G2549" s="5" t="s">
        <v>36</v>
      </c>
      <c r="H2549" s="5" t="s">
        <v>36</v>
      </c>
      <c r="I2549" s="5" t="s">
        <v>36</v>
      </c>
      <c r="J2549" s="6" t="s">
        <v>34</v>
      </c>
      <c r="K2549" s="6">
        <v>3000.0</v>
      </c>
      <c r="L2549" s="6">
        <v>750.0</v>
      </c>
      <c r="M2549" s="26" t="s">
        <v>142</v>
      </c>
      <c r="N2549" s="26" t="s">
        <v>38</v>
      </c>
      <c r="O2549" s="6" t="s">
        <v>40</v>
      </c>
      <c r="P2549" s="5" t="s">
        <v>59</v>
      </c>
      <c r="Q2549" s="5" t="s">
        <v>122</v>
      </c>
      <c r="R2549" s="6" t="s">
        <v>42</v>
      </c>
      <c r="S2549" s="5" t="s">
        <v>62</v>
      </c>
      <c r="T2549" s="5" t="s">
        <v>61</v>
      </c>
      <c r="U2549" s="5" t="s">
        <v>44</v>
      </c>
      <c r="V2549" s="5" t="s">
        <v>44</v>
      </c>
      <c r="W2549" s="5" t="s">
        <v>35</v>
      </c>
      <c r="X2549" s="8" t="s">
        <v>467</v>
      </c>
      <c r="Y2549" s="5" t="s">
        <v>46</v>
      </c>
      <c r="Z2549" s="5" t="s">
        <v>502</v>
      </c>
      <c r="AA2549" s="5" t="s">
        <v>64</v>
      </c>
      <c r="AB2549" s="5" t="s">
        <v>12416</v>
      </c>
      <c r="AC2549" s="6" t="s">
        <v>67</v>
      </c>
      <c r="AD2549" s="6">
        <v>3416.0</v>
      </c>
    </row>
    <row r="2550" ht="56.25" customHeight="1">
      <c r="A2550" s="5" t="s">
        <v>12402</v>
      </c>
      <c r="B2550" s="6" t="str">
        <f>IMAGE("https://storage.googleapis.com/acdb/housewares/FtrLampSoftcream_Remake_3_0.png")</f>
        <v/>
      </c>
      <c r="C2550" s="5" t="s">
        <v>12417</v>
      </c>
      <c r="D2550" s="5" t="s">
        <v>34</v>
      </c>
      <c r="E2550" s="5" t="s">
        <v>34</v>
      </c>
      <c r="F2550" s="5" t="s">
        <v>34</v>
      </c>
      <c r="G2550" s="5" t="s">
        <v>36</v>
      </c>
      <c r="H2550" s="5" t="s">
        <v>36</v>
      </c>
      <c r="I2550" s="5" t="s">
        <v>36</v>
      </c>
      <c r="J2550" s="6" t="s">
        <v>34</v>
      </c>
      <c r="K2550" s="6">
        <v>3000.0</v>
      </c>
      <c r="L2550" s="6">
        <v>750.0</v>
      </c>
      <c r="M2550" s="26" t="s">
        <v>1175</v>
      </c>
      <c r="N2550" s="26" t="s">
        <v>38</v>
      </c>
      <c r="O2550" s="6" t="s">
        <v>40</v>
      </c>
      <c r="P2550" s="5" t="s">
        <v>59</v>
      </c>
      <c r="Q2550" s="5" t="s">
        <v>122</v>
      </c>
      <c r="R2550" s="6" t="s">
        <v>42</v>
      </c>
      <c r="S2550" s="5" t="s">
        <v>62</v>
      </c>
      <c r="T2550" s="5" t="s">
        <v>61</v>
      </c>
      <c r="U2550" s="5" t="s">
        <v>44</v>
      </c>
      <c r="V2550" s="5" t="s">
        <v>44</v>
      </c>
      <c r="W2550" s="5" t="s">
        <v>35</v>
      </c>
      <c r="X2550" s="8" t="s">
        <v>467</v>
      </c>
      <c r="Y2550" s="5" t="s">
        <v>46</v>
      </c>
      <c r="Z2550" s="5" t="s">
        <v>502</v>
      </c>
      <c r="AA2550" s="5" t="s">
        <v>64</v>
      </c>
      <c r="AB2550" s="5" t="s">
        <v>12419</v>
      </c>
      <c r="AC2550" s="6" t="s">
        <v>71</v>
      </c>
      <c r="AD2550" s="6">
        <v>3416.0</v>
      </c>
    </row>
    <row r="2551" ht="56.25" customHeight="1">
      <c r="A2551" s="5" t="s">
        <v>12402</v>
      </c>
      <c r="B2551" s="6" t="str">
        <f>IMAGE("https://storage.googleapis.com/acdb/housewares/FtrLampSoftcream_Remake_4_0.png")</f>
        <v/>
      </c>
      <c r="C2551" s="5" t="s">
        <v>12421</v>
      </c>
      <c r="D2551" s="5" t="s">
        <v>34</v>
      </c>
      <c r="E2551" s="5" t="s">
        <v>34</v>
      </c>
      <c r="F2551" s="5" t="s">
        <v>34</v>
      </c>
      <c r="G2551" s="5" t="s">
        <v>36</v>
      </c>
      <c r="H2551" s="5" t="s">
        <v>36</v>
      </c>
      <c r="I2551" s="5" t="s">
        <v>36</v>
      </c>
      <c r="J2551" s="6" t="s">
        <v>34</v>
      </c>
      <c r="K2551" s="6">
        <v>3000.0</v>
      </c>
      <c r="L2551" s="6">
        <v>750.0</v>
      </c>
      <c r="M2551" s="26" t="s">
        <v>96</v>
      </c>
      <c r="N2551" s="26" t="s">
        <v>38</v>
      </c>
      <c r="O2551" s="6" t="s">
        <v>40</v>
      </c>
      <c r="P2551" s="5" t="s">
        <v>59</v>
      </c>
      <c r="Q2551" s="5" t="s">
        <v>122</v>
      </c>
      <c r="R2551" s="6" t="s">
        <v>42</v>
      </c>
      <c r="S2551" s="5" t="s">
        <v>62</v>
      </c>
      <c r="T2551" s="5" t="s">
        <v>61</v>
      </c>
      <c r="U2551" s="5" t="s">
        <v>44</v>
      </c>
      <c r="V2551" s="5" t="s">
        <v>44</v>
      </c>
      <c r="W2551" s="5" t="s">
        <v>35</v>
      </c>
      <c r="X2551" s="8" t="s">
        <v>467</v>
      </c>
      <c r="Y2551" s="5" t="s">
        <v>46</v>
      </c>
      <c r="Z2551" s="5" t="s">
        <v>502</v>
      </c>
      <c r="AA2551" s="5" t="s">
        <v>64</v>
      </c>
      <c r="AB2551" s="5" t="s">
        <v>12423</v>
      </c>
      <c r="AC2551" s="6" t="s">
        <v>75</v>
      </c>
      <c r="AD2551" s="6">
        <v>3416.0</v>
      </c>
    </row>
    <row r="2552" ht="56.25" customHeight="1">
      <c r="A2552" s="5" t="s">
        <v>12402</v>
      </c>
      <c r="B2552" s="6" t="str">
        <f>IMAGE("https://storage.googleapis.com/acdb/housewares/FtrLampSoftcream_Remake_5_0.png")</f>
        <v/>
      </c>
      <c r="C2552" s="5" t="s">
        <v>12426</v>
      </c>
      <c r="D2552" s="5" t="s">
        <v>34</v>
      </c>
      <c r="E2552" s="5" t="s">
        <v>34</v>
      </c>
      <c r="F2552" s="5" t="s">
        <v>34</v>
      </c>
      <c r="G2552" s="5" t="s">
        <v>36</v>
      </c>
      <c r="H2552" s="5" t="s">
        <v>36</v>
      </c>
      <c r="I2552" s="5" t="s">
        <v>36</v>
      </c>
      <c r="J2552" s="6" t="s">
        <v>34</v>
      </c>
      <c r="K2552" s="6">
        <v>3000.0</v>
      </c>
      <c r="L2552" s="6">
        <v>750.0</v>
      </c>
      <c r="M2552" s="26" t="s">
        <v>58</v>
      </c>
      <c r="N2552" s="26" t="s">
        <v>38</v>
      </c>
      <c r="O2552" s="6" t="s">
        <v>40</v>
      </c>
      <c r="P2552" s="5" t="s">
        <v>59</v>
      </c>
      <c r="Q2552" s="5" t="s">
        <v>122</v>
      </c>
      <c r="R2552" s="6" t="s">
        <v>42</v>
      </c>
      <c r="S2552" s="5" t="s">
        <v>62</v>
      </c>
      <c r="T2552" s="5" t="s">
        <v>61</v>
      </c>
      <c r="U2552" s="5" t="s">
        <v>44</v>
      </c>
      <c r="V2552" s="5" t="s">
        <v>44</v>
      </c>
      <c r="W2552" s="5" t="s">
        <v>35</v>
      </c>
      <c r="X2552" s="8" t="s">
        <v>467</v>
      </c>
      <c r="Y2552" s="5" t="s">
        <v>46</v>
      </c>
      <c r="Z2552" s="5" t="s">
        <v>502</v>
      </c>
      <c r="AA2552" s="5" t="s">
        <v>64</v>
      </c>
      <c r="AB2552" s="5" t="s">
        <v>12429</v>
      </c>
      <c r="AC2552" s="6" t="s">
        <v>79</v>
      </c>
      <c r="AD2552" s="6">
        <v>3416.0</v>
      </c>
    </row>
    <row r="2553" ht="56.25" customHeight="1">
      <c r="A2553" s="5" t="s">
        <v>12402</v>
      </c>
      <c r="B2553" s="6" t="str">
        <f>IMAGE("https://storage.googleapis.com/acdb/housewares/FtrLampSoftcream_Remake_6_0.png")</f>
        <v/>
      </c>
      <c r="C2553" s="5" t="s">
        <v>12431</v>
      </c>
      <c r="D2553" s="5" t="s">
        <v>34</v>
      </c>
      <c r="E2553" s="5" t="s">
        <v>34</v>
      </c>
      <c r="F2553" s="5" t="s">
        <v>34</v>
      </c>
      <c r="G2553" s="5" t="s">
        <v>36</v>
      </c>
      <c r="H2553" s="5" t="s">
        <v>36</v>
      </c>
      <c r="I2553" s="5" t="s">
        <v>36</v>
      </c>
      <c r="J2553" s="6" t="s">
        <v>34</v>
      </c>
      <c r="K2553" s="6">
        <v>3000.0</v>
      </c>
      <c r="L2553" s="6">
        <v>750.0</v>
      </c>
      <c r="M2553" s="26" t="s">
        <v>58</v>
      </c>
      <c r="N2553" s="26" t="s">
        <v>38</v>
      </c>
      <c r="O2553" s="6" t="s">
        <v>40</v>
      </c>
      <c r="P2553" s="5" t="s">
        <v>59</v>
      </c>
      <c r="Q2553" s="5" t="s">
        <v>122</v>
      </c>
      <c r="R2553" s="6" t="s">
        <v>42</v>
      </c>
      <c r="S2553" s="5" t="s">
        <v>62</v>
      </c>
      <c r="T2553" s="5" t="s">
        <v>61</v>
      </c>
      <c r="U2553" s="5" t="s">
        <v>44</v>
      </c>
      <c r="V2553" s="5" t="s">
        <v>44</v>
      </c>
      <c r="W2553" s="5" t="s">
        <v>35</v>
      </c>
      <c r="X2553" s="8" t="s">
        <v>467</v>
      </c>
      <c r="Y2553" s="5" t="s">
        <v>46</v>
      </c>
      <c r="Z2553" s="5" t="s">
        <v>502</v>
      </c>
      <c r="AA2553" s="5" t="s">
        <v>64</v>
      </c>
      <c r="AB2553" s="5" t="s">
        <v>12433</v>
      </c>
      <c r="AC2553" s="6" t="s">
        <v>86</v>
      </c>
      <c r="AD2553" s="6">
        <v>3416.0</v>
      </c>
    </row>
    <row r="2554" ht="56.25" customHeight="1">
      <c r="A2554" s="5" t="s">
        <v>12402</v>
      </c>
      <c r="B2554" s="6" t="str">
        <f>IMAGE("https://storage.googleapis.com/acdb/housewares/FtrLampSoftcream_Remake_7_0.png")</f>
        <v/>
      </c>
      <c r="C2554" s="5" t="s">
        <v>5876</v>
      </c>
      <c r="D2554" s="5" t="s">
        <v>34</v>
      </c>
      <c r="E2554" s="5" t="s">
        <v>34</v>
      </c>
      <c r="F2554" s="5" t="s">
        <v>34</v>
      </c>
      <c r="G2554" s="5" t="s">
        <v>36</v>
      </c>
      <c r="H2554" s="5" t="s">
        <v>36</v>
      </c>
      <c r="I2554" s="5" t="s">
        <v>36</v>
      </c>
      <c r="J2554" s="6" t="s">
        <v>34</v>
      </c>
      <c r="K2554" s="6">
        <v>3000.0</v>
      </c>
      <c r="L2554" s="6">
        <v>750.0</v>
      </c>
      <c r="M2554" s="26" t="s">
        <v>58</v>
      </c>
      <c r="N2554" s="26" t="s">
        <v>38</v>
      </c>
      <c r="O2554" s="6" t="s">
        <v>40</v>
      </c>
      <c r="P2554" s="5" t="s">
        <v>59</v>
      </c>
      <c r="Q2554" s="5" t="s">
        <v>122</v>
      </c>
      <c r="R2554" s="6" t="s">
        <v>42</v>
      </c>
      <c r="S2554" s="5" t="s">
        <v>62</v>
      </c>
      <c r="T2554" s="5" t="s">
        <v>61</v>
      </c>
      <c r="U2554" s="5" t="s">
        <v>44</v>
      </c>
      <c r="V2554" s="5" t="s">
        <v>44</v>
      </c>
      <c r="W2554" s="5" t="s">
        <v>35</v>
      </c>
      <c r="X2554" s="8" t="s">
        <v>467</v>
      </c>
      <c r="Y2554" s="5" t="s">
        <v>46</v>
      </c>
      <c r="Z2554" s="5" t="s">
        <v>502</v>
      </c>
      <c r="AA2554" s="5" t="s">
        <v>64</v>
      </c>
      <c r="AB2554" s="5" t="s">
        <v>12437</v>
      </c>
      <c r="AC2554" s="6" t="s">
        <v>208</v>
      </c>
      <c r="AD2554" s="6">
        <v>3416.0</v>
      </c>
    </row>
    <row r="2555" ht="56.25" customHeight="1">
      <c r="A2555" s="5" t="s">
        <v>12438</v>
      </c>
      <c r="B2555" s="6" t="str">
        <f>IMAGE("https://storage.googleapis.com/acdb/housewares/FtrSolarpanel_Remake_0_0.png")</f>
        <v/>
      </c>
      <c r="C2555" s="5" t="s">
        <v>68</v>
      </c>
      <c r="D2555" s="5" t="s">
        <v>34</v>
      </c>
      <c r="E2555" s="5" t="s">
        <v>34</v>
      </c>
      <c r="F2555" s="5" t="s">
        <v>34</v>
      </c>
      <c r="G2555" s="5" t="s">
        <v>36</v>
      </c>
      <c r="H2555" s="5" t="s">
        <v>36</v>
      </c>
      <c r="I2555" s="5" t="s">
        <v>36</v>
      </c>
      <c r="J2555" s="6" t="s">
        <v>34</v>
      </c>
      <c r="K2555" s="6" t="s">
        <v>37</v>
      </c>
      <c r="L2555" s="6">
        <v>20000.0</v>
      </c>
      <c r="M2555" s="26" t="s">
        <v>68</v>
      </c>
      <c r="N2555" s="26" t="s">
        <v>68</v>
      </c>
      <c r="O2555" s="6" t="s">
        <v>11558</v>
      </c>
      <c r="P2555" s="5" t="s">
        <v>2140</v>
      </c>
      <c r="Q2555" s="5"/>
      <c r="R2555" s="6" t="s">
        <v>42</v>
      </c>
      <c r="S2555" s="5" t="s">
        <v>401</v>
      </c>
      <c r="T2555" s="5" t="s">
        <v>44</v>
      </c>
      <c r="U2555" s="5" t="s">
        <v>44</v>
      </c>
      <c r="V2555" s="5" t="s">
        <v>44</v>
      </c>
      <c r="W2555" s="5" t="s">
        <v>36</v>
      </c>
      <c r="X2555" s="8" t="s">
        <v>403</v>
      </c>
      <c r="Y2555" s="5" t="s">
        <v>46</v>
      </c>
      <c r="Z2555" s="5" t="s">
        <v>47</v>
      </c>
      <c r="AA2555" s="5" t="s">
        <v>48</v>
      </c>
      <c r="AB2555" s="5" t="s">
        <v>12442</v>
      </c>
      <c r="AC2555" s="6" t="s">
        <v>50</v>
      </c>
      <c r="AD2555" s="6">
        <v>2333.0</v>
      </c>
    </row>
    <row r="2556" ht="56.25" customHeight="1">
      <c r="A2556" s="5" t="s">
        <v>12438</v>
      </c>
      <c r="B2556" s="6" t="str">
        <f>IMAGE("https://storage.googleapis.com/acdb/housewares/FtrSolarpanel_Remake_1_0.png")</f>
        <v/>
      </c>
      <c r="C2556" s="5" t="s">
        <v>54</v>
      </c>
      <c r="D2556" s="5" t="s">
        <v>34</v>
      </c>
      <c r="E2556" s="5" t="s">
        <v>34</v>
      </c>
      <c r="F2556" s="5" t="s">
        <v>34</v>
      </c>
      <c r="G2556" s="5" t="s">
        <v>36</v>
      </c>
      <c r="H2556" s="5" t="s">
        <v>36</v>
      </c>
      <c r="I2556" s="5" t="s">
        <v>36</v>
      </c>
      <c r="J2556" s="6" t="s">
        <v>34</v>
      </c>
      <c r="K2556" s="6" t="s">
        <v>37</v>
      </c>
      <c r="L2556" s="6">
        <v>20000.0</v>
      </c>
      <c r="M2556" s="26" t="s">
        <v>54</v>
      </c>
      <c r="N2556" s="26" t="s">
        <v>54</v>
      </c>
      <c r="O2556" s="6" t="s">
        <v>11558</v>
      </c>
      <c r="P2556" s="5" t="s">
        <v>2140</v>
      </c>
      <c r="Q2556" s="5"/>
      <c r="R2556" s="6" t="s">
        <v>42</v>
      </c>
      <c r="S2556" s="5" t="s">
        <v>401</v>
      </c>
      <c r="T2556" s="5" t="s">
        <v>44</v>
      </c>
      <c r="U2556" s="5" t="s">
        <v>44</v>
      </c>
      <c r="V2556" s="5" t="s">
        <v>44</v>
      </c>
      <c r="W2556" s="5" t="s">
        <v>36</v>
      </c>
      <c r="X2556" s="8" t="s">
        <v>403</v>
      </c>
      <c r="Y2556" s="5" t="s">
        <v>46</v>
      </c>
      <c r="Z2556" s="5" t="s">
        <v>47</v>
      </c>
      <c r="AA2556" s="5" t="s">
        <v>48</v>
      </c>
      <c r="AB2556" s="5" t="s">
        <v>12447</v>
      </c>
      <c r="AC2556" s="6" t="s">
        <v>56</v>
      </c>
      <c r="AD2556" s="6">
        <v>2333.0</v>
      </c>
    </row>
    <row r="2557" ht="56.25" customHeight="1">
      <c r="A2557" s="5" t="s">
        <v>12448</v>
      </c>
      <c r="B2557" s="6" t="str">
        <f>IMAGE("https://storage.googleapis.com/acdb/housewares/FtrSouthpole.png")</f>
        <v/>
      </c>
      <c r="C2557" s="5" t="s">
        <v>34</v>
      </c>
      <c r="D2557" s="5" t="s">
        <v>34</v>
      </c>
      <c r="E2557" s="5" t="s">
        <v>34</v>
      </c>
      <c r="F2557" s="5" t="s">
        <v>34</v>
      </c>
      <c r="G2557" s="5" t="s">
        <v>36</v>
      </c>
      <c r="H2557" s="5" t="s">
        <v>36</v>
      </c>
      <c r="I2557" s="5" t="s">
        <v>36</v>
      </c>
      <c r="J2557" s="6" t="s">
        <v>34</v>
      </c>
      <c r="K2557" s="6" t="s">
        <v>37</v>
      </c>
      <c r="L2557" s="6">
        <v>1050.0</v>
      </c>
      <c r="M2557" s="5" t="s">
        <v>58</v>
      </c>
      <c r="N2557" s="5" t="s">
        <v>57</v>
      </c>
      <c r="O2557" s="6" t="s">
        <v>40</v>
      </c>
      <c r="P2557" s="5" t="s">
        <v>1284</v>
      </c>
      <c r="Q2557" s="5"/>
      <c r="R2557" s="6" t="s">
        <v>42</v>
      </c>
      <c r="S2557" s="5" t="s">
        <v>696</v>
      </c>
      <c r="T2557" s="5" t="s">
        <v>172</v>
      </c>
      <c r="U2557" s="5" t="s">
        <v>44</v>
      </c>
      <c r="V2557" s="5" t="s">
        <v>44</v>
      </c>
      <c r="W2557" s="5" t="s">
        <v>36</v>
      </c>
      <c r="X2557" s="8" t="s">
        <v>767</v>
      </c>
      <c r="Y2557" s="5" t="s">
        <v>46</v>
      </c>
      <c r="Z2557" s="5" t="s">
        <v>47</v>
      </c>
      <c r="AA2557" s="5" t="s">
        <v>48</v>
      </c>
      <c r="AB2557" s="5" t="s">
        <v>12453</v>
      </c>
      <c r="AC2557" s="6" t="s">
        <v>34</v>
      </c>
      <c r="AD2557" s="6">
        <v>8150.0</v>
      </c>
    </row>
    <row r="2558" ht="56.25" customHeight="1">
      <c r="A2558" s="5" t="s">
        <v>12454</v>
      </c>
      <c r="B2558" s="6" t="str">
        <f>IMAGE("https://storage.googleapis.com/acdb/housewares/FtrShuttle.png")</f>
        <v/>
      </c>
      <c r="C2558" s="5" t="s">
        <v>34</v>
      </c>
      <c r="D2558" s="5" t="s">
        <v>34</v>
      </c>
      <c r="E2558" s="5" t="s">
        <v>34</v>
      </c>
      <c r="F2558" s="5" t="s">
        <v>34</v>
      </c>
      <c r="G2558" s="5" t="s">
        <v>35</v>
      </c>
      <c r="H2558" s="5" t="s">
        <v>36</v>
      </c>
      <c r="I2558" s="5" t="s">
        <v>36</v>
      </c>
      <c r="J2558" s="6" t="s">
        <v>34</v>
      </c>
      <c r="K2558" s="6" t="s">
        <v>37</v>
      </c>
      <c r="L2558" s="6">
        <v>10000.0</v>
      </c>
      <c r="M2558" s="5" t="s">
        <v>57</v>
      </c>
      <c r="N2558" s="5" t="s">
        <v>54</v>
      </c>
      <c r="O2558" s="6" t="s">
        <v>276</v>
      </c>
      <c r="P2558" s="5" t="s">
        <v>41</v>
      </c>
      <c r="Q2558" s="5"/>
      <c r="R2558" s="6" t="s">
        <v>42</v>
      </c>
      <c r="S2558" s="5" t="s">
        <v>401</v>
      </c>
      <c r="T2558" s="5" t="s">
        <v>44</v>
      </c>
      <c r="U2558" s="5" t="s">
        <v>44</v>
      </c>
      <c r="V2558" s="5" t="s">
        <v>44</v>
      </c>
      <c r="W2558" s="5" t="s">
        <v>35</v>
      </c>
      <c r="X2558" s="8" t="s">
        <v>403</v>
      </c>
      <c r="Y2558" s="5" t="s">
        <v>46</v>
      </c>
      <c r="Z2558" s="5" t="s">
        <v>47</v>
      </c>
      <c r="AA2558" s="5" t="s">
        <v>48</v>
      </c>
      <c r="AB2558" s="5" t="s">
        <v>12458</v>
      </c>
      <c r="AC2558" s="6" t="s">
        <v>34</v>
      </c>
      <c r="AD2558" s="6">
        <v>1444.0</v>
      </c>
    </row>
    <row r="2559" ht="56.25" customHeight="1">
      <c r="A2559" s="5" t="s">
        <v>12459</v>
      </c>
      <c r="B2559" s="6" t="str">
        <f>IMAGE("https://storage.googleapis.com/acdb/housewares/FtrSpeedbag_Remake_0_0.png")</f>
        <v/>
      </c>
      <c r="C2559" s="5" t="s">
        <v>52</v>
      </c>
      <c r="D2559" s="5" t="s">
        <v>34</v>
      </c>
      <c r="E2559" s="5" t="s">
        <v>34</v>
      </c>
      <c r="F2559" s="5" t="s">
        <v>34</v>
      </c>
      <c r="G2559" s="5" t="s">
        <v>36</v>
      </c>
      <c r="H2559" s="5" t="s">
        <v>36</v>
      </c>
      <c r="I2559" s="5" t="s">
        <v>36</v>
      </c>
      <c r="J2559" s="6" t="s">
        <v>34</v>
      </c>
      <c r="K2559" s="6">
        <v>3500.0</v>
      </c>
      <c r="L2559" s="6">
        <v>875.0</v>
      </c>
      <c r="M2559" s="26" t="s">
        <v>52</v>
      </c>
      <c r="N2559" s="26" t="s">
        <v>54</v>
      </c>
      <c r="O2559" s="6" t="s">
        <v>40</v>
      </c>
      <c r="P2559" s="5" t="s">
        <v>59</v>
      </c>
      <c r="Q2559" s="5" t="s">
        <v>89</v>
      </c>
      <c r="R2559" s="6" t="s">
        <v>42</v>
      </c>
      <c r="S2559" s="5" t="s">
        <v>474</v>
      </c>
      <c r="T2559" s="5" t="s">
        <v>44</v>
      </c>
      <c r="U2559" s="5" t="s">
        <v>44</v>
      </c>
      <c r="V2559" s="5" t="s">
        <v>44</v>
      </c>
      <c r="W2559" s="5" t="s">
        <v>35</v>
      </c>
      <c r="X2559" s="8" t="s">
        <v>475</v>
      </c>
      <c r="Y2559" s="5" t="s">
        <v>46</v>
      </c>
      <c r="Z2559" s="5" t="s">
        <v>47</v>
      </c>
      <c r="AA2559" s="5" t="s">
        <v>64</v>
      </c>
      <c r="AB2559" s="5" t="s">
        <v>12462</v>
      </c>
      <c r="AC2559" s="6" t="s">
        <v>50</v>
      </c>
      <c r="AD2559" s="6">
        <v>7653.0</v>
      </c>
    </row>
    <row r="2560" ht="56.25" customHeight="1">
      <c r="A2560" s="5" t="s">
        <v>12459</v>
      </c>
      <c r="B2560" s="6" t="str">
        <f>IMAGE("https://storage.googleapis.com/acdb/housewares/FtrSpeedbag_Remake_1_0.png")</f>
        <v/>
      </c>
      <c r="C2560" s="5" t="s">
        <v>68</v>
      </c>
      <c r="D2560" s="5" t="s">
        <v>34</v>
      </c>
      <c r="E2560" s="5" t="s">
        <v>34</v>
      </c>
      <c r="F2560" s="5" t="s">
        <v>34</v>
      </c>
      <c r="G2560" s="5" t="s">
        <v>36</v>
      </c>
      <c r="H2560" s="5" t="s">
        <v>36</v>
      </c>
      <c r="I2560" s="5" t="s">
        <v>36</v>
      </c>
      <c r="J2560" s="6" t="s">
        <v>34</v>
      </c>
      <c r="K2560" s="6">
        <v>3500.0</v>
      </c>
      <c r="L2560" s="6">
        <v>875.0</v>
      </c>
      <c r="M2560" s="26" t="s">
        <v>68</v>
      </c>
      <c r="N2560" s="26" t="s">
        <v>57</v>
      </c>
      <c r="O2560" s="6" t="s">
        <v>40</v>
      </c>
      <c r="P2560" s="5" t="s">
        <v>59</v>
      </c>
      <c r="Q2560" s="5" t="s">
        <v>89</v>
      </c>
      <c r="R2560" s="6" t="s">
        <v>42</v>
      </c>
      <c r="S2560" s="5" t="s">
        <v>474</v>
      </c>
      <c r="T2560" s="5" t="s">
        <v>44</v>
      </c>
      <c r="U2560" s="5" t="s">
        <v>44</v>
      </c>
      <c r="V2560" s="5" t="s">
        <v>44</v>
      </c>
      <c r="W2560" s="5" t="s">
        <v>35</v>
      </c>
      <c r="X2560" s="8" t="s">
        <v>475</v>
      </c>
      <c r="Y2560" s="5" t="s">
        <v>46</v>
      </c>
      <c r="Z2560" s="5" t="s">
        <v>47</v>
      </c>
      <c r="AA2560" s="5" t="s">
        <v>64</v>
      </c>
      <c r="AB2560" s="5" t="s">
        <v>12465</v>
      </c>
      <c r="AC2560" s="6" t="s">
        <v>56</v>
      </c>
      <c r="AD2560" s="6">
        <v>7653.0</v>
      </c>
    </row>
    <row r="2561" ht="56.25" customHeight="1">
      <c r="A2561" s="5" t="s">
        <v>12459</v>
      </c>
      <c r="B2561" s="6" t="str">
        <f>IMAGE("https://storage.googleapis.com/acdb/housewares/FtrSpeedbag_Remake_2_0.png")</f>
        <v/>
      </c>
      <c r="C2561" s="5" t="s">
        <v>54</v>
      </c>
      <c r="D2561" s="5" t="s">
        <v>34</v>
      </c>
      <c r="E2561" s="5" t="s">
        <v>34</v>
      </c>
      <c r="F2561" s="5" t="s">
        <v>34</v>
      </c>
      <c r="G2561" s="5" t="s">
        <v>36</v>
      </c>
      <c r="H2561" s="5" t="s">
        <v>36</v>
      </c>
      <c r="I2561" s="5" t="s">
        <v>36</v>
      </c>
      <c r="J2561" s="6" t="s">
        <v>34</v>
      </c>
      <c r="K2561" s="6">
        <v>3500.0</v>
      </c>
      <c r="L2561" s="6">
        <v>875.0</v>
      </c>
      <c r="M2561" s="26" t="s">
        <v>54</v>
      </c>
      <c r="N2561" s="26" t="s">
        <v>95</v>
      </c>
      <c r="O2561" s="6" t="s">
        <v>40</v>
      </c>
      <c r="P2561" s="5" t="s">
        <v>59</v>
      </c>
      <c r="Q2561" s="5" t="s">
        <v>89</v>
      </c>
      <c r="R2561" s="6" t="s">
        <v>42</v>
      </c>
      <c r="S2561" s="5" t="s">
        <v>474</v>
      </c>
      <c r="T2561" s="5" t="s">
        <v>44</v>
      </c>
      <c r="U2561" s="5" t="s">
        <v>44</v>
      </c>
      <c r="V2561" s="5" t="s">
        <v>44</v>
      </c>
      <c r="W2561" s="5" t="s">
        <v>35</v>
      </c>
      <c r="X2561" s="8" t="s">
        <v>475</v>
      </c>
      <c r="Y2561" s="5" t="s">
        <v>46</v>
      </c>
      <c r="Z2561" s="5" t="s">
        <v>47</v>
      </c>
      <c r="AA2561" s="5" t="s">
        <v>64</v>
      </c>
      <c r="AB2561" s="5" t="s">
        <v>12468</v>
      </c>
      <c r="AC2561" s="6" t="s">
        <v>67</v>
      </c>
      <c r="AD2561" s="6">
        <v>7653.0</v>
      </c>
    </row>
    <row r="2562" ht="56.25" customHeight="1">
      <c r="A2562" s="5" t="s">
        <v>12469</v>
      </c>
      <c r="B2562" s="6" t="str">
        <f>IMAGE("https://storage.googleapis.com/acdb/housewares/FtrSphinx.png")</f>
        <v/>
      </c>
      <c r="C2562" s="5" t="s">
        <v>34</v>
      </c>
      <c r="D2562" s="5" t="s">
        <v>34</v>
      </c>
      <c r="E2562" s="5" t="s">
        <v>34</v>
      </c>
      <c r="F2562" s="5" t="s">
        <v>34</v>
      </c>
      <c r="G2562" s="5" t="s">
        <v>36</v>
      </c>
      <c r="H2562" s="5" t="s">
        <v>36</v>
      </c>
      <c r="I2562" s="5" t="s">
        <v>36</v>
      </c>
      <c r="J2562" s="6" t="s">
        <v>34</v>
      </c>
      <c r="K2562" s="6" t="s">
        <v>37</v>
      </c>
      <c r="L2562" s="6">
        <v>2100.0</v>
      </c>
      <c r="M2562" s="5" t="s">
        <v>38</v>
      </c>
      <c r="N2562" s="5" t="s">
        <v>38</v>
      </c>
      <c r="O2562" s="6" t="s">
        <v>707</v>
      </c>
      <c r="P2562" s="5" t="s">
        <v>1284</v>
      </c>
      <c r="Q2562" s="5"/>
      <c r="R2562" s="6" t="s">
        <v>42</v>
      </c>
      <c r="S2562" s="5" t="s">
        <v>696</v>
      </c>
      <c r="T2562" s="5" t="s">
        <v>44</v>
      </c>
      <c r="U2562" s="5" t="s">
        <v>44</v>
      </c>
      <c r="V2562" s="5" t="s">
        <v>44</v>
      </c>
      <c r="W2562" s="5" t="s">
        <v>36</v>
      </c>
      <c r="X2562" s="8" t="s">
        <v>1285</v>
      </c>
      <c r="Y2562" s="5" t="s">
        <v>46</v>
      </c>
      <c r="Z2562" s="5" t="s">
        <v>47</v>
      </c>
      <c r="AA2562" s="5" t="s">
        <v>48</v>
      </c>
      <c r="AB2562" s="5" t="s">
        <v>12472</v>
      </c>
      <c r="AC2562" s="6" t="s">
        <v>34</v>
      </c>
      <c r="AD2562" s="6">
        <v>8702.0</v>
      </c>
    </row>
    <row r="2563" ht="56.25" customHeight="1">
      <c r="A2563" s="5" t="s">
        <v>12473</v>
      </c>
      <c r="B2563" s="6" t="str">
        <f>IMAGE("https://storage.googleapis.com/acdb/housewares/FtrSpinning.png")</f>
        <v/>
      </c>
      <c r="C2563" s="5" t="s">
        <v>34</v>
      </c>
      <c r="D2563" s="5" t="s">
        <v>34</v>
      </c>
      <c r="E2563" s="5" t="s">
        <v>34</v>
      </c>
      <c r="F2563" s="5" t="s">
        <v>34</v>
      </c>
      <c r="G2563" s="5" t="s">
        <v>36</v>
      </c>
      <c r="H2563" s="5" t="s">
        <v>36</v>
      </c>
      <c r="I2563" s="5" t="s">
        <v>36</v>
      </c>
      <c r="J2563" s="6" t="s">
        <v>34</v>
      </c>
      <c r="K2563" s="6">
        <v>970.0</v>
      </c>
      <c r="L2563" s="6">
        <v>242.0</v>
      </c>
      <c r="M2563" s="5" t="s">
        <v>39</v>
      </c>
      <c r="N2563" s="5" t="s">
        <v>39</v>
      </c>
      <c r="O2563" s="6" t="s">
        <v>40</v>
      </c>
      <c r="P2563" s="5" t="s">
        <v>59</v>
      </c>
      <c r="Q2563" s="5" t="s">
        <v>89</v>
      </c>
      <c r="R2563" s="6" t="s">
        <v>42</v>
      </c>
      <c r="S2563" s="5" t="s">
        <v>266</v>
      </c>
      <c r="T2563" s="5" t="s">
        <v>44</v>
      </c>
      <c r="U2563" s="5" t="s">
        <v>44</v>
      </c>
      <c r="V2563" s="5" t="s">
        <v>44</v>
      </c>
      <c r="W2563" s="5" t="s">
        <v>35</v>
      </c>
      <c r="X2563" s="8" t="s">
        <v>650</v>
      </c>
      <c r="Y2563" s="5" t="s">
        <v>46</v>
      </c>
      <c r="Z2563" s="5" t="s">
        <v>47</v>
      </c>
      <c r="AA2563" s="5" t="s">
        <v>64</v>
      </c>
      <c r="AB2563" s="5" t="s">
        <v>12478</v>
      </c>
      <c r="AC2563" s="6" t="s">
        <v>34</v>
      </c>
      <c r="AD2563" s="6">
        <v>1153.0</v>
      </c>
    </row>
    <row r="2564" ht="56.25" customHeight="1">
      <c r="A2564" s="5" t="s">
        <v>12480</v>
      </c>
      <c r="B2564" s="6" t="str">
        <f>IMAGE("https://storage.googleapis.com/acdb/housewares/FtrSpringrider_Remake_0_0.png")</f>
        <v/>
      </c>
      <c r="C2564" s="5" t="s">
        <v>57</v>
      </c>
      <c r="D2564" s="5" t="s">
        <v>34</v>
      </c>
      <c r="E2564" s="5" t="s">
        <v>34</v>
      </c>
      <c r="F2564" s="5" t="s">
        <v>34</v>
      </c>
      <c r="G2564" s="5" t="s">
        <v>36</v>
      </c>
      <c r="H2564" s="5" t="s">
        <v>36</v>
      </c>
      <c r="I2564" s="5" t="s">
        <v>36</v>
      </c>
      <c r="J2564" s="6" t="s">
        <v>34</v>
      </c>
      <c r="K2564" s="6" t="s">
        <v>37</v>
      </c>
      <c r="L2564" s="6">
        <v>10000.0</v>
      </c>
      <c r="M2564" s="26" t="s">
        <v>57</v>
      </c>
      <c r="N2564" s="26" t="s">
        <v>96</v>
      </c>
      <c r="O2564" s="6" t="s">
        <v>40</v>
      </c>
      <c r="P2564" s="5" t="s">
        <v>2140</v>
      </c>
      <c r="Q2564" s="5"/>
      <c r="R2564" s="6" t="s">
        <v>42</v>
      </c>
      <c r="S2564" s="5" t="s">
        <v>141</v>
      </c>
      <c r="T2564" s="5" t="s">
        <v>61</v>
      </c>
      <c r="U2564" s="5" t="s">
        <v>44</v>
      </c>
      <c r="V2564" s="5" t="s">
        <v>44</v>
      </c>
      <c r="W2564" s="5" t="s">
        <v>35</v>
      </c>
      <c r="X2564" s="8" t="s">
        <v>3156</v>
      </c>
      <c r="Y2564" s="5" t="s">
        <v>46</v>
      </c>
      <c r="Z2564" s="5" t="s">
        <v>47</v>
      </c>
      <c r="AA2564" s="5" t="s">
        <v>48</v>
      </c>
      <c r="AB2564" s="5" t="s">
        <v>12482</v>
      </c>
      <c r="AC2564" s="6" t="s">
        <v>50</v>
      </c>
      <c r="AD2564" s="6">
        <v>4379.0</v>
      </c>
    </row>
    <row r="2565" ht="56.25" customHeight="1">
      <c r="A2565" s="5" t="s">
        <v>12480</v>
      </c>
      <c r="B2565" s="6" t="str">
        <f>IMAGE("https://storage.googleapis.com/acdb/housewares/FtrSpringrider_Remake_1_0.png")</f>
        <v/>
      </c>
      <c r="C2565" s="5" t="s">
        <v>39</v>
      </c>
      <c r="D2565" s="5" t="s">
        <v>34</v>
      </c>
      <c r="E2565" s="5" t="s">
        <v>34</v>
      </c>
      <c r="F2565" s="5" t="s">
        <v>34</v>
      </c>
      <c r="G2565" s="5" t="s">
        <v>36</v>
      </c>
      <c r="H2565" s="5" t="s">
        <v>36</v>
      </c>
      <c r="I2565" s="5" t="s">
        <v>36</v>
      </c>
      <c r="J2565" s="6" t="s">
        <v>34</v>
      </c>
      <c r="K2565" s="6" t="s">
        <v>37</v>
      </c>
      <c r="L2565" s="6">
        <v>10000.0</v>
      </c>
      <c r="M2565" s="26" t="s">
        <v>38</v>
      </c>
      <c r="N2565" s="26" t="s">
        <v>114</v>
      </c>
      <c r="O2565" s="6" t="s">
        <v>40</v>
      </c>
      <c r="P2565" s="5" t="s">
        <v>2140</v>
      </c>
      <c r="Q2565" s="5"/>
      <c r="R2565" s="6" t="s">
        <v>42</v>
      </c>
      <c r="S2565" s="5" t="s">
        <v>141</v>
      </c>
      <c r="T2565" s="5" t="s">
        <v>61</v>
      </c>
      <c r="U2565" s="5" t="s">
        <v>44</v>
      </c>
      <c r="V2565" s="5" t="s">
        <v>44</v>
      </c>
      <c r="W2565" s="5" t="s">
        <v>35</v>
      </c>
      <c r="X2565" s="8" t="s">
        <v>3156</v>
      </c>
      <c r="Y2565" s="5" t="s">
        <v>46</v>
      </c>
      <c r="Z2565" s="5" t="s">
        <v>47</v>
      </c>
      <c r="AA2565" s="5" t="s">
        <v>48</v>
      </c>
      <c r="AB2565" s="5" t="s">
        <v>12485</v>
      </c>
      <c r="AC2565" s="6" t="s">
        <v>56</v>
      </c>
      <c r="AD2565" s="6">
        <v>4379.0</v>
      </c>
    </row>
    <row r="2566" ht="56.25" customHeight="1">
      <c r="A2566" s="5" t="s">
        <v>12480</v>
      </c>
      <c r="B2566" s="6" t="str">
        <f>IMAGE("https://storage.googleapis.com/acdb/housewares/FtrSpringrider_Remake_2_0.png")</f>
        <v/>
      </c>
      <c r="C2566" s="5" t="s">
        <v>387</v>
      </c>
      <c r="D2566" s="5" t="s">
        <v>34</v>
      </c>
      <c r="E2566" s="5" t="s">
        <v>34</v>
      </c>
      <c r="F2566" s="5" t="s">
        <v>34</v>
      </c>
      <c r="G2566" s="5" t="s">
        <v>36</v>
      </c>
      <c r="H2566" s="5" t="s">
        <v>36</v>
      </c>
      <c r="I2566" s="5" t="s">
        <v>36</v>
      </c>
      <c r="J2566" s="6" t="s">
        <v>34</v>
      </c>
      <c r="K2566" s="6" t="s">
        <v>37</v>
      </c>
      <c r="L2566" s="6">
        <v>10000.0</v>
      </c>
      <c r="M2566" s="26" t="s">
        <v>39</v>
      </c>
      <c r="N2566" s="26" t="s">
        <v>57</v>
      </c>
      <c r="O2566" s="6" t="s">
        <v>40</v>
      </c>
      <c r="P2566" s="5" t="s">
        <v>2140</v>
      </c>
      <c r="Q2566" s="5"/>
      <c r="R2566" s="6" t="s">
        <v>42</v>
      </c>
      <c r="S2566" s="5" t="s">
        <v>141</v>
      </c>
      <c r="T2566" s="5" t="s">
        <v>61</v>
      </c>
      <c r="U2566" s="5" t="s">
        <v>44</v>
      </c>
      <c r="V2566" s="5" t="s">
        <v>44</v>
      </c>
      <c r="W2566" s="5" t="s">
        <v>35</v>
      </c>
      <c r="X2566" s="8" t="s">
        <v>3156</v>
      </c>
      <c r="Y2566" s="5" t="s">
        <v>46</v>
      </c>
      <c r="Z2566" s="5" t="s">
        <v>47</v>
      </c>
      <c r="AA2566" s="5" t="s">
        <v>48</v>
      </c>
      <c r="AB2566" s="5" t="s">
        <v>12489</v>
      </c>
      <c r="AC2566" s="6" t="s">
        <v>67</v>
      </c>
      <c r="AD2566" s="6">
        <v>4379.0</v>
      </c>
    </row>
    <row r="2567" ht="56.25" customHeight="1">
      <c r="A2567" s="5" t="s">
        <v>12480</v>
      </c>
      <c r="B2567" s="6" t="str">
        <f>IMAGE("https://storage.googleapis.com/acdb/housewares/FtrSpringrider_Remake_3_0.png")</f>
        <v/>
      </c>
      <c r="C2567" s="5" t="s">
        <v>52</v>
      </c>
      <c r="D2567" s="5" t="s">
        <v>34</v>
      </c>
      <c r="E2567" s="5" t="s">
        <v>34</v>
      </c>
      <c r="F2567" s="5" t="s">
        <v>34</v>
      </c>
      <c r="G2567" s="5" t="s">
        <v>36</v>
      </c>
      <c r="H2567" s="5" t="s">
        <v>36</v>
      </c>
      <c r="I2567" s="5" t="s">
        <v>36</v>
      </c>
      <c r="J2567" s="6" t="s">
        <v>34</v>
      </c>
      <c r="K2567" s="6" t="s">
        <v>37</v>
      </c>
      <c r="L2567" s="6">
        <v>10000.0</v>
      </c>
      <c r="M2567" s="26" t="s">
        <v>52</v>
      </c>
      <c r="N2567" s="26" t="s">
        <v>142</v>
      </c>
      <c r="O2567" s="6" t="s">
        <v>40</v>
      </c>
      <c r="P2567" s="5" t="s">
        <v>2140</v>
      </c>
      <c r="Q2567" s="5"/>
      <c r="R2567" s="6" t="s">
        <v>42</v>
      </c>
      <c r="S2567" s="5" t="s">
        <v>141</v>
      </c>
      <c r="T2567" s="5" t="s">
        <v>61</v>
      </c>
      <c r="U2567" s="5" t="s">
        <v>44</v>
      </c>
      <c r="V2567" s="5" t="s">
        <v>44</v>
      </c>
      <c r="W2567" s="5" t="s">
        <v>35</v>
      </c>
      <c r="X2567" s="8" t="s">
        <v>3156</v>
      </c>
      <c r="Y2567" s="5" t="s">
        <v>46</v>
      </c>
      <c r="Z2567" s="5" t="s">
        <v>47</v>
      </c>
      <c r="AA2567" s="5" t="s">
        <v>48</v>
      </c>
      <c r="AB2567" s="5" t="s">
        <v>12492</v>
      </c>
      <c r="AC2567" s="6" t="s">
        <v>71</v>
      </c>
      <c r="AD2567" s="6">
        <v>4379.0</v>
      </c>
    </row>
    <row r="2568" ht="56.25" customHeight="1">
      <c r="A2568" s="5" t="s">
        <v>12480</v>
      </c>
      <c r="B2568" s="6" t="str">
        <f>IMAGE("https://storage.googleapis.com/acdb/housewares/FtrSpringrider_Remake_4_0.png")</f>
        <v/>
      </c>
      <c r="C2568" s="5" t="s">
        <v>114</v>
      </c>
      <c r="D2568" s="5" t="s">
        <v>34</v>
      </c>
      <c r="E2568" s="5" t="s">
        <v>34</v>
      </c>
      <c r="F2568" s="5" t="s">
        <v>34</v>
      </c>
      <c r="G2568" s="5" t="s">
        <v>36</v>
      </c>
      <c r="H2568" s="5" t="s">
        <v>36</v>
      </c>
      <c r="I2568" s="5" t="s">
        <v>36</v>
      </c>
      <c r="J2568" s="6" t="s">
        <v>34</v>
      </c>
      <c r="K2568" s="6" t="s">
        <v>37</v>
      </c>
      <c r="L2568" s="6">
        <v>10000.0</v>
      </c>
      <c r="M2568" s="26" t="s">
        <v>114</v>
      </c>
      <c r="N2568" s="26" t="s">
        <v>96</v>
      </c>
      <c r="O2568" s="6" t="s">
        <v>40</v>
      </c>
      <c r="P2568" s="5" t="s">
        <v>2140</v>
      </c>
      <c r="Q2568" s="5"/>
      <c r="R2568" s="6" t="s">
        <v>42</v>
      </c>
      <c r="S2568" s="5" t="s">
        <v>141</v>
      </c>
      <c r="T2568" s="5" t="s">
        <v>61</v>
      </c>
      <c r="U2568" s="5" t="s">
        <v>44</v>
      </c>
      <c r="V2568" s="5" t="s">
        <v>44</v>
      </c>
      <c r="W2568" s="5" t="s">
        <v>35</v>
      </c>
      <c r="X2568" s="8" t="s">
        <v>3156</v>
      </c>
      <c r="Y2568" s="5" t="s">
        <v>46</v>
      </c>
      <c r="Z2568" s="5" t="s">
        <v>47</v>
      </c>
      <c r="AA2568" s="5" t="s">
        <v>48</v>
      </c>
      <c r="AB2568" s="5" t="s">
        <v>12495</v>
      </c>
      <c r="AC2568" s="6" t="s">
        <v>75</v>
      </c>
      <c r="AD2568" s="6">
        <v>4379.0</v>
      </c>
    </row>
    <row r="2569" ht="56.25" customHeight="1">
      <c r="A2569" s="5" t="s">
        <v>12480</v>
      </c>
      <c r="B2569" s="6" t="str">
        <f>IMAGE("https://storage.googleapis.com/acdb/housewares/FtrSpringrider_Remake_5_0.png")</f>
        <v/>
      </c>
      <c r="C2569" s="5" t="s">
        <v>69</v>
      </c>
      <c r="D2569" s="5" t="s">
        <v>34</v>
      </c>
      <c r="E2569" s="5" t="s">
        <v>34</v>
      </c>
      <c r="F2569" s="5" t="s">
        <v>34</v>
      </c>
      <c r="G2569" s="5" t="s">
        <v>36</v>
      </c>
      <c r="H2569" s="5" t="s">
        <v>36</v>
      </c>
      <c r="I2569" s="5" t="s">
        <v>36</v>
      </c>
      <c r="J2569" s="6" t="s">
        <v>34</v>
      </c>
      <c r="K2569" s="6" t="s">
        <v>37</v>
      </c>
      <c r="L2569" s="6">
        <v>10000.0</v>
      </c>
      <c r="M2569" s="26" t="s">
        <v>69</v>
      </c>
      <c r="N2569" s="26" t="s">
        <v>57</v>
      </c>
      <c r="O2569" s="6" t="s">
        <v>40</v>
      </c>
      <c r="P2569" s="5" t="s">
        <v>2140</v>
      </c>
      <c r="Q2569" s="5"/>
      <c r="R2569" s="6" t="s">
        <v>42</v>
      </c>
      <c r="S2569" s="5" t="s">
        <v>141</v>
      </c>
      <c r="T2569" s="5" t="s">
        <v>61</v>
      </c>
      <c r="U2569" s="5" t="s">
        <v>44</v>
      </c>
      <c r="V2569" s="5" t="s">
        <v>44</v>
      </c>
      <c r="W2569" s="5" t="s">
        <v>35</v>
      </c>
      <c r="X2569" s="8" t="s">
        <v>3156</v>
      </c>
      <c r="Y2569" s="5" t="s">
        <v>46</v>
      </c>
      <c r="Z2569" s="5" t="s">
        <v>47</v>
      </c>
      <c r="AA2569" s="5" t="s">
        <v>48</v>
      </c>
      <c r="AB2569" s="5" t="s">
        <v>12500</v>
      </c>
      <c r="AC2569" s="6" t="s">
        <v>79</v>
      </c>
      <c r="AD2569" s="6">
        <v>4379.0</v>
      </c>
    </row>
    <row r="2570" ht="56.25" customHeight="1">
      <c r="A2570" s="5" t="s">
        <v>12480</v>
      </c>
      <c r="B2570" s="6" t="str">
        <f>IMAGE("https://storage.googleapis.com/acdb/housewares/FtrSpringrider_Remake_6_0.png")</f>
        <v/>
      </c>
      <c r="C2570" s="5" t="s">
        <v>8635</v>
      </c>
      <c r="D2570" s="5" t="s">
        <v>34</v>
      </c>
      <c r="E2570" s="5" t="s">
        <v>34</v>
      </c>
      <c r="F2570" s="5" t="s">
        <v>34</v>
      </c>
      <c r="G2570" s="5" t="s">
        <v>36</v>
      </c>
      <c r="H2570" s="5" t="s">
        <v>36</v>
      </c>
      <c r="I2570" s="5" t="s">
        <v>36</v>
      </c>
      <c r="J2570" s="6" t="s">
        <v>34</v>
      </c>
      <c r="K2570" s="6" t="s">
        <v>37</v>
      </c>
      <c r="L2570" s="6">
        <v>10000.0</v>
      </c>
      <c r="M2570" s="26" t="s">
        <v>57</v>
      </c>
      <c r="N2570" s="26" t="s">
        <v>54</v>
      </c>
      <c r="O2570" s="6" t="s">
        <v>40</v>
      </c>
      <c r="P2570" s="5" t="s">
        <v>2140</v>
      </c>
      <c r="Q2570" s="5"/>
      <c r="R2570" s="6" t="s">
        <v>42</v>
      </c>
      <c r="S2570" s="5" t="s">
        <v>141</v>
      </c>
      <c r="T2570" s="5" t="s">
        <v>61</v>
      </c>
      <c r="U2570" s="5" t="s">
        <v>44</v>
      </c>
      <c r="V2570" s="5" t="s">
        <v>44</v>
      </c>
      <c r="W2570" s="5" t="s">
        <v>35</v>
      </c>
      <c r="X2570" s="8" t="s">
        <v>3156</v>
      </c>
      <c r="Y2570" s="5" t="s">
        <v>46</v>
      </c>
      <c r="Z2570" s="5" t="s">
        <v>47</v>
      </c>
      <c r="AA2570" s="5" t="s">
        <v>48</v>
      </c>
      <c r="AB2570" s="5" t="s">
        <v>12503</v>
      </c>
      <c r="AC2570" s="6" t="s">
        <v>86</v>
      </c>
      <c r="AD2570" s="6">
        <v>4379.0</v>
      </c>
    </row>
    <row r="2571" ht="56.25" customHeight="1">
      <c r="A2571" s="5" t="s">
        <v>12505</v>
      </c>
      <c r="B2571" s="6" t="str">
        <f>IMAGE("https://storage.googleapis.com/acdb/housewares/FtrWCJapan.png")</f>
        <v/>
      </c>
      <c r="C2571" s="5" t="s">
        <v>34</v>
      </c>
      <c r="D2571" s="5" t="s">
        <v>34</v>
      </c>
      <c r="E2571" s="5" t="s">
        <v>34</v>
      </c>
      <c r="F2571" s="5" t="s">
        <v>34</v>
      </c>
      <c r="G2571" s="5" t="s">
        <v>36</v>
      </c>
      <c r="H2571" s="5" t="s">
        <v>36</v>
      </c>
      <c r="I2571" s="5" t="s">
        <v>36</v>
      </c>
      <c r="J2571" s="6" t="s">
        <v>34</v>
      </c>
      <c r="K2571" s="6">
        <v>1500.0</v>
      </c>
      <c r="L2571" s="6">
        <v>375.0</v>
      </c>
      <c r="M2571" s="5" t="s">
        <v>57</v>
      </c>
      <c r="N2571" s="5" t="s">
        <v>95</v>
      </c>
      <c r="O2571" s="6" t="s">
        <v>40</v>
      </c>
      <c r="P2571" s="5" t="s">
        <v>59</v>
      </c>
      <c r="Q2571" s="5" t="s">
        <v>89</v>
      </c>
      <c r="R2571" s="6" t="s">
        <v>42</v>
      </c>
      <c r="S2571" s="5" t="s">
        <v>266</v>
      </c>
      <c r="T2571" s="5" t="s">
        <v>288</v>
      </c>
      <c r="U2571" s="5" t="s">
        <v>44</v>
      </c>
      <c r="V2571" s="5" t="s">
        <v>44</v>
      </c>
      <c r="W2571" s="5" t="s">
        <v>35</v>
      </c>
      <c r="X2571" s="8" t="s">
        <v>5512</v>
      </c>
      <c r="Y2571" s="5" t="s">
        <v>46</v>
      </c>
      <c r="Z2571" s="5" t="s">
        <v>47</v>
      </c>
      <c r="AA2571" s="5" t="s">
        <v>64</v>
      </c>
      <c r="AB2571" s="5" t="s">
        <v>12508</v>
      </c>
      <c r="AC2571" s="6" t="s">
        <v>34</v>
      </c>
      <c r="AD2571" s="6">
        <v>2775.0</v>
      </c>
    </row>
    <row r="2572" ht="56.25" customHeight="1">
      <c r="A2572" s="5" t="s">
        <v>12509</v>
      </c>
      <c r="B2572" s="6" t="str">
        <f>IMAGE("https://storage.googleapis.com/acdb/housewares/FtrStadiometer_Remake_0_0.png")</f>
        <v/>
      </c>
      <c r="C2572" s="5" t="s">
        <v>95</v>
      </c>
      <c r="D2572" s="5" t="s">
        <v>34</v>
      </c>
      <c r="E2572" s="5" t="s">
        <v>34</v>
      </c>
      <c r="F2572" s="5" t="s">
        <v>34</v>
      </c>
      <c r="G2572" s="5" t="s">
        <v>36</v>
      </c>
      <c r="H2572" s="5" t="s">
        <v>36</v>
      </c>
      <c r="I2572" s="5" t="s">
        <v>36</v>
      </c>
      <c r="J2572" s="6" t="s">
        <v>34</v>
      </c>
      <c r="K2572" s="6">
        <v>2100.0</v>
      </c>
      <c r="L2572" s="6">
        <v>525.0</v>
      </c>
      <c r="M2572" s="26" t="s">
        <v>54</v>
      </c>
      <c r="N2572" s="26" t="s">
        <v>95</v>
      </c>
      <c r="O2572" s="6" t="s">
        <v>40</v>
      </c>
      <c r="P2572" s="5" t="s">
        <v>59</v>
      </c>
      <c r="Q2572" s="5" t="s">
        <v>89</v>
      </c>
      <c r="R2572" s="6" t="s">
        <v>42</v>
      </c>
      <c r="S2572" s="5" t="s">
        <v>130</v>
      </c>
      <c r="T2572" s="5" t="s">
        <v>141</v>
      </c>
      <c r="U2572" s="5" t="s">
        <v>44</v>
      </c>
      <c r="V2572" s="5" t="s">
        <v>44</v>
      </c>
      <c r="W2572" s="5" t="s">
        <v>36</v>
      </c>
      <c r="X2572" s="8" t="s">
        <v>1593</v>
      </c>
      <c r="Y2572" s="5" t="s">
        <v>46</v>
      </c>
      <c r="Z2572" s="5" t="s">
        <v>47</v>
      </c>
      <c r="AA2572" s="5" t="s">
        <v>64</v>
      </c>
      <c r="AB2572" s="5" t="s">
        <v>12512</v>
      </c>
      <c r="AC2572" s="6" t="s">
        <v>50</v>
      </c>
      <c r="AD2572" s="6">
        <v>546.0</v>
      </c>
    </row>
    <row r="2573" ht="56.25" customHeight="1">
      <c r="A2573" s="5" t="s">
        <v>12509</v>
      </c>
      <c r="B2573" s="6" t="str">
        <f>IMAGE("https://storage.googleapis.com/acdb/housewares/FtrStadiometer_Remake_1_0.png")</f>
        <v/>
      </c>
      <c r="C2573" s="5" t="s">
        <v>68</v>
      </c>
      <c r="D2573" s="5" t="s">
        <v>34</v>
      </c>
      <c r="E2573" s="5" t="s">
        <v>34</v>
      </c>
      <c r="F2573" s="5" t="s">
        <v>34</v>
      </c>
      <c r="G2573" s="5" t="s">
        <v>36</v>
      </c>
      <c r="H2573" s="5" t="s">
        <v>36</v>
      </c>
      <c r="I2573" s="5" t="s">
        <v>36</v>
      </c>
      <c r="J2573" s="6" t="s">
        <v>34</v>
      </c>
      <c r="K2573" s="6">
        <v>2100.0</v>
      </c>
      <c r="L2573" s="6">
        <v>525.0</v>
      </c>
      <c r="M2573" s="26" t="s">
        <v>68</v>
      </c>
      <c r="N2573" s="26" t="s">
        <v>95</v>
      </c>
      <c r="O2573" s="6" t="s">
        <v>40</v>
      </c>
      <c r="P2573" s="5" t="s">
        <v>59</v>
      </c>
      <c r="Q2573" s="5" t="s">
        <v>89</v>
      </c>
      <c r="R2573" s="6" t="s">
        <v>42</v>
      </c>
      <c r="S2573" s="5" t="s">
        <v>130</v>
      </c>
      <c r="T2573" s="5" t="s">
        <v>141</v>
      </c>
      <c r="U2573" s="5" t="s">
        <v>44</v>
      </c>
      <c r="V2573" s="5" t="s">
        <v>44</v>
      </c>
      <c r="W2573" s="5" t="s">
        <v>36</v>
      </c>
      <c r="X2573" s="8" t="s">
        <v>1593</v>
      </c>
      <c r="Y2573" s="5" t="s">
        <v>46</v>
      </c>
      <c r="Z2573" s="5" t="s">
        <v>47</v>
      </c>
      <c r="AA2573" s="5" t="s">
        <v>64</v>
      </c>
      <c r="AB2573" s="5" t="s">
        <v>12518</v>
      </c>
      <c r="AC2573" s="6" t="s">
        <v>56</v>
      </c>
      <c r="AD2573" s="6">
        <v>546.0</v>
      </c>
    </row>
    <row r="2574" ht="56.25" customHeight="1">
      <c r="A2574" s="5" t="s">
        <v>12509</v>
      </c>
      <c r="B2574" s="6" t="str">
        <f>IMAGE("https://storage.googleapis.com/acdb/housewares/FtrStadiometer_Remake_2_0.png")</f>
        <v/>
      </c>
      <c r="C2574" s="5" t="s">
        <v>69</v>
      </c>
      <c r="D2574" s="5" t="s">
        <v>34</v>
      </c>
      <c r="E2574" s="5" t="s">
        <v>34</v>
      </c>
      <c r="F2574" s="5" t="s">
        <v>34</v>
      </c>
      <c r="G2574" s="5" t="s">
        <v>36</v>
      </c>
      <c r="H2574" s="5" t="s">
        <v>36</v>
      </c>
      <c r="I2574" s="5" t="s">
        <v>36</v>
      </c>
      <c r="J2574" s="6" t="s">
        <v>34</v>
      </c>
      <c r="K2574" s="6">
        <v>2100.0</v>
      </c>
      <c r="L2574" s="6">
        <v>525.0</v>
      </c>
      <c r="M2574" s="26" t="s">
        <v>69</v>
      </c>
      <c r="N2574" s="26" t="s">
        <v>95</v>
      </c>
      <c r="O2574" s="6" t="s">
        <v>40</v>
      </c>
      <c r="P2574" s="5" t="s">
        <v>59</v>
      </c>
      <c r="Q2574" s="5" t="s">
        <v>89</v>
      </c>
      <c r="R2574" s="6" t="s">
        <v>42</v>
      </c>
      <c r="S2574" s="5" t="s">
        <v>130</v>
      </c>
      <c r="T2574" s="5" t="s">
        <v>141</v>
      </c>
      <c r="U2574" s="5" t="s">
        <v>44</v>
      </c>
      <c r="V2574" s="5" t="s">
        <v>44</v>
      </c>
      <c r="W2574" s="5" t="s">
        <v>36</v>
      </c>
      <c r="X2574" s="8" t="s">
        <v>1593</v>
      </c>
      <c r="Y2574" s="5" t="s">
        <v>46</v>
      </c>
      <c r="Z2574" s="5" t="s">
        <v>47</v>
      </c>
      <c r="AA2574" s="5" t="s">
        <v>64</v>
      </c>
      <c r="AB2574" s="5" t="s">
        <v>12521</v>
      </c>
      <c r="AC2574" s="6" t="s">
        <v>67</v>
      </c>
      <c r="AD2574" s="6">
        <v>546.0</v>
      </c>
    </row>
    <row r="2575" ht="56.25" customHeight="1">
      <c r="A2575" s="5" t="s">
        <v>12523</v>
      </c>
      <c r="B2575" s="6" t="str">
        <f>IMAGE("https://storage.googleapis.com/acdb/housewares/FtrFloat_Remake_0_0.png")</f>
        <v/>
      </c>
      <c r="C2575" s="5" t="s">
        <v>32</v>
      </c>
      <c r="D2575" s="5" t="s">
        <v>2</v>
      </c>
      <c r="E2575" s="5" t="s">
        <v>44</v>
      </c>
      <c r="F2575" s="5" t="s">
        <v>1667</v>
      </c>
      <c r="G2575" s="5" t="s">
        <v>35</v>
      </c>
      <c r="H2575" s="5" t="s">
        <v>35</v>
      </c>
      <c r="I2575" s="5" t="s">
        <v>35</v>
      </c>
      <c r="J2575" s="6">
        <v>3.0</v>
      </c>
      <c r="K2575" s="6" t="s">
        <v>37</v>
      </c>
      <c r="L2575" s="6">
        <v>1440.0</v>
      </c>
      <c r="M2575" s="26" t="s">
        <v>38</v>
      </c>
      <c r="N2575" s="26" t="s">
        <v>38</v>
      </c>
      <c r="O2575" s="6" t="s">
        <v>276</v>
      </c>
      <c r="P2575" s="5" t="s">
        <v>41</v>
      </c>
      <c r="Q2575" s="5"/>
      <c r="R2575" s="6" t="s">
        <v>42</v>
      </c>
      <c r="S2575" s="5" t="s">
        <v>62</v>
      </c>
      <c r="T2575" s="5" t="s">
        <v>465</v>
      </c>
      <c r="U2575" s="5" t="s">
        <v>44</v>
      </c>
      <c r="V2575" s="5" t="s">
        <v>44</v>
      </c>
      <c r="W2575" s="5" t="s">
        <v>36</v>
      </c>
      <c r="X2575" s="8" t="s">
        <v>194</v>
      </c>
      <c r="Y2575" s="5" t="s">
        <v>46</v>
      </c>
      <c r="Z2575" s="5" t="s">
        <v>47</v>
      </c>
      <c r="AA2575" s="5" t="s">
        <v>48</v>
      </c>
      <c r="AB2575" s="5" t="s">
        <v>12527</v>
      </c>
      <c r="AC2575" s="6" t="s">
        <v>50</v>
      </c>
      <c r="AD2575" s="6">
        <v>3617.0</v>
      </c>
    </row>
    <row r="2576" ht="56.25" customHeight="1">
      <c r="A2576" s="5" t="s">
        <v>12523</v>
      </c>
      <c r="B2576" s="6" t="str">
        <f>IMAGE("https://storage.googleapis.com/acdb/housewares/FtrFloat_Remake_0_1.png")</f>
        <v/>
      </c>
      <c r="C2576" s="5" t="s">
        <v>32</v>
      </c>
      <c r="D2576" s="5" t="s">
        <v>2</v>
      </c>
      <c r="E2576" s="5" t="s">
        <v>2123</v>
      </c>
      <c r="F2576" s="5" t="s">
        <v>1667</v>
      </c>
      <c r="G2576" s="5" t="s">
        <v>35</v>
      </c>
      <c r="H2576" s="5" t="s">
        <v>35</v>
      </c>
      <c r="I2576" s="5" t="s">
        <v>35</v>
      </c>
      <c r="J2576" s="6">
        <v>3.0</v>
      </c>
      <c r="K2576" s="6" t="s">
        <v>37</v>
      </c>
      <c r="L2576" s="6">
        <v>1440.0</v>
      </c>
      <c r="M2576" s="26" t="s">
        <v>38</v>
      </c>
      <c r="N2576" s="26" t="s">
        <v>96</v>
      </c>
      <c r="O2576" s="6" t="s">
        <v>276</v>
      </c>
      <c r="P2576" s="5" t="s">
        <v>41</v>
      </c>
      <c r="Q2576" s="5"/>
      <c r="R2576" s="6" t="s">
        <v>42</v>
      </c>
      <c r="S2576" s="5" t="s">
        <v>62</v>
      </c>
      <c r="T2576" s="5" t="s">
        <v>465</v>
      </c>
      <c r="U2576" s="5" t="s">
        <v>44</v>
      </c>
      <c r="V2576" s="5" t="s">
        <v>44</v>
      </c>
      <c r="W2576" s="5" t="s">
        <v>36</v>
      </c>
      <c r="X2576" s="8" t="s">
        <v>194</v>
      </c>
      <c r="Y2576" s="5" t="s">
        <v>46</v>
      </c>
      <c r="Z2576" s="5" t="s">
        <v>47</v>
      </c>
      <c r="AA2576" s="5" t="s">
        <v>48</v>
      </c>
      <c r="AB2576" s="5" t="s">
        <v>12531</v>
      </c>
      <c r="AC2576" s="6" t="s">
        <v>217</v>
      </c>
      <c r="AD2576" s="6">
        <v>3617.0</v>
      </c>
    </row>
    <row r="2577" ht="56.25" customHeight="1">
      <c r="A2577" s="5" t="s">
        <v>12523</v>
      </c>
      <c r="B2577" s="6" t="str">
        <f>IMAGE("https://storage.googleapis.com/acdb/housewares/FtrFloat_Remake_0_2.png")</f>
        <v/>
      </c>
      <c r="C2577" s="5" t="s">
        <v>32</v>
      </c>
      <c r="D2577" s="5" t="s">
        <v>2</v>
      </c>
      <c r="E2577" s="5" t="s">
        <v>906</v>
      </c>
      <c r="F2577" s="5" t="s">
        <v>1667</v>
      </c>
      <c r="G2577" s="5" t="s">
        <v>35</v>
      </c>
      <c r="H2577" s="5" t="s">
        <v>35</v>
      </c>
      <c r="I2577" s="5" t="s">
        <v>35</v>
      </c>
      <c r="J2577" s="6">
        <v>3.0</v>
      </c>
      <c r="K2577" s="6" t="s">
        <v>37</v>
      </c>
      <c r="L2577" s="6">
        <v>1440.0</v>
      </c>
      <c r="M2577" s="26" t="s">
        <v>38</v>
      </c>
      <c r="N2577" s="26" t="s">
        <v>52</v>
      </c>
      <c r="O2577" s="6" t="s">
        <v>276</v>
      </c>
      <c r="P2577" s="5" t="s">
        <v>41</v>
      </c>
      <c r="Q2577" s="5"/>
      <c r="R2577" s="6" t="s">
        <v>42</v>
      </c>
      <c r="S2577" s="5" t="s">
        <v>62</v>
      </c>
      <c r="T2577" s="5" t="s">
        <v>465</v>
      </c>
      <c r="U2577" s="5" t="s">
        <v>44</v>
      </c>
      <c r="V2577" s="5" t="s">
        <v>44</v>
      </c>
      <c r="W2577" s="5" t="s">
        <v>36</v>
      </c>
      <c r="X2577" s="8" t="s">
        <v>194</v>
      </c>
      <c r="Y2577" s="5" t="s">
        <v>46</v>
      </c>
      <c r="Z2577" s="5" t="s">
        <v>47</v>
      </c>
      <c r="AA2577" s="5" t="s">
        <v>48</v>
      </c>
      <c r="AB2577" s="5" t="s">
        <v>12536</v>
      </c>
      <c r="AC2577" s="6" t="s">
        <v>347</v>
      </c>
      <c r="AD2577" s="6">
        <v>3617.0</v>
      </c>
    </row>
    <row r="2578" ht="56.25" customHeight="1">
      <c r="A2578" s="5" t="s">
        <v>12523</v>
      </c>
      <c r="B2578" s="6" t="str">
        <f>IMAGE("https://storage.googleapis.com/acdb/housewares/FtrFloat_Remake_0_3.png")</f>
        <v/>
      </c>
      <c r="C2578" s="5" t="s">
        <v>32</v>
      </c>
      <c r="D2578" s="5" t="s">
        <v>2</v>
      </c>
      <c r="E2578" s="5" t="s">
        <v>58</v>
      </c>
      <c r="F2578" s="5" t="s">
        <v>1667</v>
      </c>
      <c r="G2578" s="5" t="s">
        <v>35</v>
      </c>
      <c r="H2578" s="5" t="s">
        <v>35</v>
      </c>
      <c r="I2578" s="5" t="s">
        <v>35</v>
      </c>
      <c r="J2578" s="6">
        <v>3.0</v>
      </c>
      <c r="K2578" s="6" t="s">
        <v>37</v>
      </c>
      <c r="L2578" s="6">
        <v>1440.0</v>
      </c>
      <c r="M2578" s="26" t="s">
        <v>38</v>
      </c>
      <c r="N2578" s="26" t="s">
        <v>58</v>
      </c>
      <c r="O2578" s="6" t="s">
        <v>276</v>
      </c>
      <c r="P2578" s="5" t="s">
        <v>41</v>
      </c>
      <c r="Q2578" s="5"/>
      <c r="R2578" s="6" t="s">
        <v>42</v>
      </c>
      <c r="S2578" s="5" t="s">
        <v>62</v>
      </c>
      <c r="T2578" s="5" t="s">
        <v>465</v>
      </c>
      <c r="U2578" s="5" t="s">
        <v>44</v>
      </c>
      <c r="V2578" s="5" t="s">
        <v>44</v>
      </c>
      <c r="W2578" s="5" t="s">
        <v>36</v>
      </c>
      <c r="X2578" s="8" t="s">
        <v>194</v>
      </c>
      <c r="Y2578" s="5" t="s">
        <v>46</v>
      </c>
      <c r="Z2578" s="5" t="s">
        <v>47</v>
      </c>
      <c r="AA2578" s="5" t="s">
        <v>48</v>
      </c>
      <c r="AB2578" s="5" t="s">
        <v>12539</v>
      </c>
      <c r="AC2578" s="6" t="s">
        <v>354</v>
      </c>
      <c r="AD2578" s="6">
        <v>3617.0</v>
      </c>
    </row>
    <row r="2579" ht="56.25" customHeight="1">
      <c r="A2579" s="5" t="s">
        <v>12523</v>
      </c>
      <c r="B2579" s="6" t="str">
        <f>IMAGE("https://storage.googleapis.com/acdb/housewares/FtrFloat_Remake_0_4.png")</f>
        <v/>
      </c>
      <c r="C2579" s="5" t="s">
        <v>32</v>
      </c>
      <c r="D2579" s="5" t="s">
        <v>2</v>
      </c>
      <c r="E2579" s="5" t="s">
        <v>12540</v>
      </c>
      <c r="F2579" s="5" t="s">
        <v>1667</v>
      </c>
      <c r="G2579" s="5" t="s">
        <v>35</v>
      </c>
      <c r="H2579" s="5" t="s">
        <v>35</v>
      </c>
      <c r="I2579" s="5" t="s">
        <v>35</v>
      </c>
      <c r="J2579" s="6">
        <v>3.0</v>
      </c>
      <c r="K2579" s="6" t="s">
        <v>37</v>
      </c>
      <c r="L2579" s="6">
        <v>1440.0</v>
      </c>
      <c r="M2579" s="26" t="s">
        <v>38</v>
      </c>
      <c r="N2579" s="26" t="s">
        <v>68</v>
      </c>
      <c r="O2579" s="6" t="s">
        <v>276</v>
      </c>
      <c r="P2579" s="5" t="s">
        <v>41</v>
      </c>
      <c r="Q2579" s="5"/>
      <c r="R2579" s="6" t="s">
        <v>42</v>
      </c>
      <c r="S2579" s="5" t="s">
        <v>62</v>
      </c>
      <c r="T2579" s="5" t="s">
        <v>465</v>
      </c>
      <c r="U2579" s="5" t="s">
        <v>44</v>
      </c>
      <c r="V2579" s="5" t="s">
        <v>44</v>
      </c>
      <c r="W2579" s="5" t="s">
        <v>36</v>
      </c>
      <c r="X2579" s="8" t="s">
        <v>194</v>
      </c>
      <c r="Y2579" s="5" t="s">
        <v>46</v>
      </c>
      <c r="Z2579" s="5" t="s">
        <v>47</v>
      </c>
      <c r="AA2579" s="5" t="s">
        <v>48</v>
      </c>
      <c r="AB2579" s="5" t="s">
        <v>12543</v>
      </c>
      <c r="AC2579" s="6" t="s">
        <v>486</v>
      </c>
      <c r="AD2579" s="6">
        <v>3617.0</v>
      </c>
    </row>
    <row r="2580" ht="56.25" customHeight="1">
      <c r="A2580" s="5" t="s">
        <v>12523</v>
      </c>
      <c r="B2580" s="6" t="str">
        <f>IMAGE("https://storage.googleapis.com/acdb/housewares/FtrFloat_Remake_1_0.png")</f>
        <v/>
      </c>
      <c r="C2580" s="5" t="s">
        <v>387</v>
      </c>
      <c r="D2580" s="5" t="s">
        <v>2</v>
      </c>
      <c r="E2580" s="5" t="s">
        <v>44</v>
      </c>
      <c r="F2580" s="5" t="s">
        <v>1667</v>
      </c>
      <c r="G2580" s="5" t="s">
        <v>35</v>
      </c>
      <c r="H2580" s="5" t="s">
        <v>35</v>
      </c>
      <c r="I2580" s="5" t="s">
        <v>35</v>
      </c>
      <c r="J2580" s="6">
        <v>3.0</v>
      </c>
      <c r="K2580" s="6" t="s">
        <v>37</v>
      </c>
      <c r="L2580" s="6">
        <v>1440.0</v>
      </c>
      <c r="M2580" s="26" t="s">
        <v>39</v>
      </c>
      <c r="N2580" s="26" t="s">
        <v>39</v>
      </c>
      <c r="O2580" s="6" t="s">
        <v>276</v>
      </c>
      <c r="P2580" s="5" t="s">
        <v>41</v>
      </c>
      <c r="Q2580" s="5"/>
      <c r="R2580" s="6" t="s">
        <v>42</v>
      </c>
      <c r="S2580" s="5" t="s">
        <v>62</v>
      </c>
      <c r="T2580" s="5" t="s">
        <v>465</v>
      </c>
      <c r="U2580" s="5" t="s">
        <v>44</v>
      </c>
      <c r="V2580" s="5" t="s">
        <v>44</v>
      </c>
      <c r="W2580" s="5" t="s">
        <v>36</v>
      </c>
      <c r="X2580" s="8" t="s">
        <v>194</v>
      </c>
      <c r="Y2580" s="5" t="s">
        <v>46</v>
      </c>
      <c r="Z2580" s="5" t="s">
        <v>47</v>
      </c>
      <c r="AA2580" s="5" t="s">
        <v>48</v>
      </c>
      <c r="AB2580" s="5" t="s">
        <v>12547</v>
      </c>
      <c r="AC2580" s="6" t="s">
        <v>56</v>
      </c>
      <c r="AD2580" s="6">
        <v>3617.0</v>
      </c>
    </row>
    <row r="2581" ht="56.25" customHeight="1">
      <c r="A2581" s="5" t="s">
        <v>12523</v>
      </c>
      <c r="B2581" s="6" t="str">
        <f>IMAGE("https://storage.googleapis.com/acdb/housewares/FtrFloat_Remake_1_1.png")</f>
        <v/>
      </c>
      <c r="C2581" s="5" t="s">
        <v>387</v>
      </c>
      <c r="D2581" s="5" t="s">
        <v>2</v>
      </c>
      <c r="E2581" s="5" t="s">
        <v>2123</v>
      </c>
      <c r="F2581" s="5" t="s">
        <v>1667</v>
      </c>
      <c r="G2581" s="5" t="s">
        <v>35</v>
      </c>
      <c r="H2581" s="5" t="s">
        <v>35</v>
      </c>
      <c r="I2581" s="5" t="s">
        <v>35</v>
      </c>
      <c r="J2581" s="6">
        <v>3.0</v>
      </c>
      <c r="K2581" s="6" t="s">
        <v>37</v>
      </c>
      <c r="L2581" s="6">
        <v>1440.0</v>
      </c>
      <c r="M2581" s="26" t="s">
        <v>39</v>
      </c>
      <c r="N2581" s="26" t="s">
        <v>96</v>
      </c>
      <c r="O2581" s="6" t="s">
        <v>276</v>
      </c>
      <c r="P2581" s="5" t="s">
        <v>41</v>
      </c>
      <c r="Q2581" s="5"/>
      <c r="R2581" s="6" t="s">
        <v>42</v>
      </c>
      <c r="S2581" s="5" t="s">
        <v>62</v>
      </c>
      <c r="T2581" s="5" t="s">
        <v>465</v>
      </c>
      <c r="U2581" s="5" t="s">
        <v>44</v>
      </c>
      <c r="V2581" s="5" t="s">
        <v>44</v>
      </c>
      <c r="W2581" s="5" t="s">
        <v>36</v>
      </c>
      <c r="X2581" s="8" t="s">
        <v>194</v>
      </c>
      <c r="Y2581" s="5" t="s">
        <v>46</v>
      </c>
      <c r="Z2581" s="5" t="s">
        <v>47</v>
      </c>
      <c r="AA2581" s="5" t="s">
        <v>48</v>
      </c>
      <c r="AB2581" s="5" t="s">
        <v>12551</v>
      </c>
      <c r="AC2581" s="6" t="s">
        <v>234</v>
      </c>
      <c r="AD2581" s="6">
        <v>3617.0</v>
      </c>
    </row>
    <row r="2582" ht="56.25" customHeight="1">
      <c r="A2582" s="5" t="s">
        <v>12523</v>
      </c>
      <c r="B2582" s="6" t="str">
        <f>IMAGE("https://storage.googleapis.com/acdb/housewares/FtrFloat_Remake_1_2.png")</f>
        <v/>
      </c>
      <c r="C2582" s="5" t="s">
        <v>387</v>
      </c>
      <c r="D2582" s="5" t="s">
        <v>2</v>
      </c>
      <c r="E2582" s="5" t="s">
        <v>906</v>
      </c>
      <c r="F2582" s="5" t="s">
        <v>1667</v>
      </c>
      <c r="G2582" s="5" t="s">
        <v>35</v>
      </c>
      <c r="H2582" s="5" t="s">
        <v>35</v>
      </c>
      <c r="I2582" s="5" t="s">
        <v>35</v>
      </c>
      <c r="J2582" s="6">
        <v>3.0</v>
      </c>
      <c r="K2582" s="6" t="s">
        <v>37</v>
      </c>
      <c r="L2582" s="6">
        <v>1440.0</v>
      </c>
      <c r="M2582" s="26" t="s">
        <v>39</v>
      </c>
      <c r="N2582" s="26" t="s">
        <v>52</v>
      </c>
      <c r="O2582" s="6" t="s">
        <v>276</v>
      </c>
      <c r="P2582" s="5" t="s">
        <v>41</v>
      </c>
      <c r="Q2582" s="5"/>
      <c r="R2582" s="6" t="s">
        <v>42</v>
      </c>
      <c r="S2582" s="5" t="s">
        <v>62</v>
      </c>
      <c r="T2582" s="5" t="s">
        <v>465</v>
      </c>
      <c r="U2582" s="5" t="s">
        <v>44</v>
      </c>
      <c r="V2582" s="5" t="s">
        <v>44</v>
      </c>
      <c r="W2582" s="5" t="s">
        <v>36</v>
      </c>
      <c r="X2582" s="8" t="s">
        <v>194</v>
      </c>
      <c r="Y2582" s="5" t="s">
        <v>46</v>
      </c>
      <c r="Z2582" s="5" t="s">
        <v>47</v>
      </c>
      <c r="AA2582" s="5" t="s">
        <v>48</v>
      </c>
      <c r="AB2582" s="5" t="s">
        <v>12555</v>
      </c>
      <c r="AC2582" s="6" t="s">
        <v>370</v>
      </c>
      <c r="AD2582" s="6">
        <v>3617.0</v>
      </c>
    </row>
    <row r="2583" ht="56.25" customHeight="1">
      <c r="A2583" s="5" t="s">
        <v>12523</v>
      </c>
      <c r="B2583" s="6" t="str">
        <f>IMAGE("https://storage.googleapis.com/acdb/housewares/FtrFloat_Remake_1_3.png")</f>
        <v/>
      </c>
      <c r="C2583" s="5" t="s">
        <v>387</v>
      </c>
      <c r="D2583" s="5" t="s">
        <v>2</v>
      </c>
      <c r="E2583" s="5" t="s">
        <v>58</v>
      </c>
      <c r="F2583" s="5" t="s">
        <v>1667</v>
      </c>
      <c r="G2583" s="5" t="s">
        <v>35</v>
      </c>
      <c r="H2583" s="5" t="s">
        <v>35</v>
      </c>
      <c r="I2583" s="5" t="s">
        <v>35</v>
      </c>
      <c r="J2583" s="6">
        <v>3.0</v>
      </c>
      <c r="K2583" s="6" t="s">
        <v>37</v>
      </c>
      <c r="L2583" s="6">
        <v>1440.0</v>
      </c>
      <c r="M2583" s="26" t="s">
        <v>39</v>
      </c>
      <c r="N2583" s="26" t="s">
        <v>58</v>
      </c>
      <c r="O2583" s="6" t="s">
        <v>276</v>
      </c>
      <c r="P2583" s="5" t="s">
        <v>41</v>
      </c>
      <c r="Q2583" s="5"/>
      <c r="R2583" s="6" t="s">
        <v>42</v>
      </c>
      <c r="S2583" s="5" t="s">
        <v>62</v>
      </c>
      <c r="T2583" s="5" t="s">
        <v>465</v>
      </c>
      <c r="U2583" s="5" t="s">
        <v>44</v>
      </c>
      <c r="V2583" s="5" t="s">
        <v>44</v>
      </c>
      <c r="W2583" s="5" t="s">
        <v>36</v>
      </c>
      <c r="X2583" s="8" t="s">
        <v>194</v>
      </c>
      <c r="Y2583" s="5" t="s">
        <v>46</v>
      </c>
      <c r="Z2583" s="5" t="s">
        <v>47</v>
      </c>
      <c r="AA2583" s="5" t="s">
        <v>48</v>
      </c>
      <c r="AB2583" s="5" t="s">
        <v>12558</v>
      </c>
      <c r="AC2583" s="6" t="s">
        <v>377</v>
      </c>
      <c r="AD2583" s="6">
        <v>3617.0</v>
      </c>
    </row>
    <row r="2584" ht="56.25" customHeight="1">
      <c r="A2584" s="5" t="s">
        <v>12523</v>
      </c>
      <c r="B2584" s="6" t="str">
        <f>IMAGE("https://storage.googleapis.com/acdb/housewares/FtrFloat_Remake_1_4.png")</f>
        <v/>
      </c>
      <c r="C2584" s="5" t="s">
        <v>387</v>
      </c>
      <c r="D2584" s="5" t="s">
        <v>2</v>
      </c>
      <c r="E2584" s="5" t="s">
        <v>12540</v>
      </c>
      <c r="F2584" s="5" t="s">
        <v>1667</v>
      </c>
      <c r="G2584" s="5" t="s">
        <v>35</v>
      </c>
      <c r="H2584" s="5" t="s">
        <v>35</v>
      </c>
      <c r="I2584" s="5" t="s">
        <v>35</v>
      </c>
      <c r="J2584" s="6">
        <v>3.0</v>
      </c>
      <c r="K2584" s="6" t="s">
        <v>37</v>
      </c>
      <c r="L2584" s="6">
        <v>1440.0</v>
      </c>
      <c r="M2584" s="26" t="s">
        <v>39</v>
      </c>
      <c r="N2584" s="26" t="s">
        <v>68</v>
      </c>
      <c r="O2584" s="6" t="s">
        <v>276</v>
      </c>
      <c r="P2584" s="5" t="s">
        <v>41</v>
      </c>
      <c r="Q2584" s="5"/>
      <c r="R2584" s="6" t="s">
        <v>42</v>
      </c>
      <c r="S2584" s="5" t="s">
        <v>62</v>
      </c>
      <c r="T2584" s="5" t="s">
        <v>465</v>
      </c>
      <c r="U2584" s="5" t="s">
        <v>44</v>
      </c>
      <c r="V2584" s="5" t="s">
        <v>44</v>
      </c>
      <c r="W2584" s="5" t="s">
        <v>36</v>
      </c>
      <c r="X2584" s="8" t="s">
        <v>194</v>
      </c>
      <c r="Y2584" s="5" t="s">
        <v>46</v>
      </c>
      <c r="Z2584" s="5" t="s">
        <v>47</v>
      </c>
      <c r="AA2584" s="5" t="s">
        <v>48</v>
      </c>
      <c r="AB2584" s="5" t="s">
        <v>12562</v>
      </c>
      <c r="AC2584" s="6" t="s">
        <v>520</v>
      </c>
      <c r="AD2584" s="6">
        <v>3617.0</v>
      </c>
    </row>
    <row r="2585" ht="56.25" customHeight="1">
      <c r="A2585" s="5" t="s">
        <v>12523</v>
      </c>
      <c r="B2585" s="6" t="str">
        <f>IMAGE("https://storage.googleapis.com/acdb/housewares/FtrFloat_Remake_2_0.png")</f>
        <v/>
      </c>
      <c r="C2585" s="5" t="s">
        <v>935</v>
      </c>
      <c r="D2585" s="5" t="s">
        <v>2</v>
      </c>
      <c r="E2585" s="5" t="s">
        <v>44</v>
      </c>
      <c r="F2585" s="5" t="s">
        <v>1667</v>
      </c>
      <c r="G2585" s="5" t="s">
        <v>35</v>
      </c>
      <c r="H2585" s="5" t="s">
        <v>35</v>
      </c>
      <c r="I2585" s="5" t="s">
        <v>35</v>
      </c>
      <c r="J2585" s="6">
        <v>3.0</v>
      </c>
      <c r="K2585" s="6" t="s">
        <v>37</v>
      </c>
      <c r="L2585" s="6">
        <v>1440.0</v>
      </c>
      <c r="M2585" s="26" t="s">
        <v>114</v>
      </c>
      <c r="N2585" s="26" t="s">
        <v>114</v>
      </c>
      <c r="O2585" s="6" t="s">
        <v>276</v>
      </c>
      <c r="P2585" s="5" t="s">
        <v>41</v>
      </c>
      <c r="Q2585" s="5"/>
      <c r="R2585" s="6" t="s">
        <v>42</v>
      </c>
      <c r="S2585" s="5" t="s">
        <v>62</v>
      </c>
      <c r="T2585" s="5" t="s">
        <v>465</v>
      </c>
      <c r="U2585" s="5" t="s">
        <v>44</v>
      </c>
      <c r="V2585" s="5" t="s">
        <v>44</v>
      </c>
      <c r="W2585" s="5" t="s">
        <v>36</v>
      </c>
      <c r="X2585" s="8" t="s">
        <v>194</v>
      </c>
      <c r="Y2585" s="5" t="s">
        <v>46</v>
      </c>
      <c r="Z2585" s="5" t="s">
        <v>47</v>
      </c>
      <c r="AA2585" s="5" t="s">
        <v>48</v>
      </c>
      <c r="AB2585" s="5" t="s">
        <v>12566</v>
      </c>
      <c r="AC2585" s="6" t="s">
        <v>67</v>
      </c>
      <c r="AD2585" s="6">
        <v>3617.0</v>
      </c>
    </row>
    <row r="2586" ht="56.25" customHeight="1">
      <c r="A2586" s="5" t="s">
        <v>12523</v>
      </c>
      <c r="B2586" s="6" t="str">
        <f>IMAGE("https://storage.googleapis.com/acdb/housewares/FtrFloat_Remake_2_1.png")</f>
        <v/>
      </c>
      <c r="C2586" s="5" t="s">
        <v>935</v>
      </c>
      <c r="D2586" s="5" t="s">
        <v>2</v>
      </c>
      <c r="E2586" s="5" t="s">
        <v>2123</v>
      </c>
      <c r="F2586" s="5" t="s">
        <v>1667</v>
      </c>
      <c r="G2586" s="5" t="s">
        <v>35</v>
      </c>
      <c r="H2586" s="5" t="s">
        <v>35</v>
      </c>
      <c r="I2586" s="5" t="s">
        <v>35</v>
      </c>
      <c r="J2586" s="6">
        <v>3.0</v>
      </c>
      <c r="K2586" s="6" t="s">
        <v>37</v>
      </c>
      <c r="L2586" s="6">
        <v>1440.0</v>
      </c>
      <c r="M2586" s="26" t="s">
        <v>114</v>
      </c>
      <c r="N2586" s="26" t="s">
        <v>96</v>
      </c>
      <c r="O2586" s="6" t="s">
        <v>276</v>
      </c>
      <c r="P2586" s="5" t="s">
        <v>41</v>
      </c>
      <c r="Q2586" s="5"/>
      <c r="R2586" s="6" t="s">
        <v>42</v>
      </c>
      <c r="S2586" s="5" t="s">
        <v>62</v>
      </c>
      <c r="T2586" s="5" t="s">
        <v>465</v>
      </c>
      <c r="U2586" s="5" t="s">
        <v>44</v>
      </c>
      <c r="V2586" s="5" t="s">
        <v>44</v>
      </c>
      <c r="W2586" s="5" t="s">
        <v>36</v>
      </c>
      <c r="X2586" s="8" t="s">
        <v>194</v>
      </c>
      <c r="Y2586" s="5" t="s">
        <v>46</v>
      </c>
      <c r="Z2586" s="5" t="s">
        <v>47</v>
      </c>
      <c r="AA2586" s="5" t="s">
        <v>48</v>
      </c>
      <c r="AB2586" s="5" t="s">
        <v>12569</v>
      </c>
      <c r="AC2586" s="6" t="s">
        <v>247</v>
      </c>
      <c r="AD2586" s="6">
        <v>3617.0</v>
      </c>
    </row>
    <row r="2587" ht="56.25" customHeight="1">
      <c r="A2587" s="5" t="s">
        <v>12523</v>
      </c>
      <c r="B2587" s="6" t="str">
        <f>IMAGE("https://storage.googleapis.com/acdb/housewares/FtrFloat_Remake_2_2.png")</f>
        <v/>
      </c>
      <c r="C2587" s="5" t="s">
        <v>935</v>
      </c>
      <c r="D2587" s="5" t="s">
        <v>2</v>
      </c>
      <c r="E2587" s="5" t="s">
        <v>906</v>
      </c>
      <c r="F2587" s="5" t="s">
        <v>1667</v>
      </c>
      <c r="G2587" s="5" t="s">
        <v>35</v>
      </c>
      <c r="H2587" s="5" t="s">
        <v>35</v>
      </c>
      <c r="I2587" s="5" t="s">
        <v>35</v>
      </c>
      <c r="J2587" s="6">
        <v>3.0</v>
      </c>
      <c r="K2587" s="6" t="s">
        <v>37</v>
      </c>
      <c r="L2587" s="6">
        <v>1440.0</v>
      </c>
      <c r="M2587" s="26" t="s">
        <v>114</v>
      </c>
      <c r="N2587" s="26" t="s">
        <v>52</v>
      </c>
      <c r="O2587" s="6" t="s">
        <v>276</v>
      </c>
      <c r="P2587" s="5" t="s">
        <v>41</v>
      </c>
      <c r="Q2587" s="5"/>
      <c r="R2587" s="6" t="s">
        <v>42</v>
      </c>
      <c r="S2587" s="5" t="s">
        <v>62</v>
      </c>
      <c r="T2587" s="5" t="s">
        <v>465</v>
      </c>
      <c r="U2587" s="5" t="s">
        <v>44</v>
      </c>
      <c r="V2587" s="5" t="s">
        <v>44</v>
      </c>
      <c r="W2587" s="5" t="s">
        <v>36</v>
      </c>
      <c r="X2587" s="8" t="s">
        <v>194</v>
      </c>
      <c r="Y2587" s="5" t="s">
        <v>46</v>
      </c>
      <c r="Z2587" s="5" t="s">
        <v>47</v>
      </c>
      <c r="AA2587" s="5" t="s">
        <v>48</v>
      </c>
      <c r="AB2587" s="5" t="s">
        <v>12574</v>
      </c>
      <c r="AC2587" s="6" t="s">
        <v>390</v>
      </c>
      <c r="AD2587" s="6">
        <v>3617.0</v>
      </c>
    </row>
    <row r="2588" ht="56.25" customHeight="1">
      <c r="A2588" s="5" t="s">
        <v>12523</v>
      </c>
      <c r="B2588" s="6" t="str">
        <f>IMAGE("https://storage.googleapis.com/acdb/housewares/FtrFloat_Remake_2_3.png")</f>
        <v/>
      </c>
      <c r="C2588" s="5" t="s">
        <v>935</v>
      </c>
      <c r="D2588" s="5" t="s">
        <v>2</v>
      </c>
      <c r="E2588" s="5" t="s">
        <v>58</v>
      </c>
      <c r="F2588" s="5" t="s">
        <v>1667</v>
      </c>
      <c r="G2588" s="5" t="s">
        <v>35</v>
      </c>
      <c r="H2588" s="5" t="s">
        <v>35</v>
      </c>
      <c r="I2588" s="5" t="s">
        <v>35</v>
      </c>
      <c r="J2588" s="6">
        <v>3.0</v>
      </c>
      <c r="K2588" s="6" t="s">
        <v>37</v>
      </c>
      <c r="L2588" s="6">
        <v>1440.0</v>
      </c>
      <c r="M2588" s="26" t="s">
        <v>114</v>
      </c>
      <c r="N2588" s="26" t="s">
        <v>58</v>
      </c>
      <c r="O2588" s="6" t="s">
        <v>276</v>
      </c>
      <c r="P2588" s="5" t="s">
        <v>41</v>
      </c>
      <c r="Q2588" s="5"/>
      <c r="R2588" s="6" t="s">
        <v>42</v>
      </c>
      <c r="S2588" s="5" t="s">
        <v>62</v>
      </c>
      <c r="T2588" s="5" t="s">
        <v>465</v>
      </c>
      <c r="U2588" s="5" t="s">
        <v>44</v>
      </c>
      <c r="V2588" s="5" t="s">
        <v>44</v>
      </c>
      <c r="W2588" s="5" t="s">
        <v>36</v>
      </c>
      <c r="X2588" s="8" t="s">
        <v>194</v>
      </c>
      <c r="Y2588" s="5" t="s">
        <v>46</v>
      </c>
      <c r="Z2588" s="5" t="s">
        <v>47</v>
      </c>
      <c r="AA2588" s="5" t="s">
        <v>48</v>
      </c>
      <c r="AB2588" s="5" t="s">
        <v>12577</v>
      </c>
      <c r="AC2588" s="6" t="s">
        <v>396</v>
      </c>
      <c r="AD2588" s="6">
        <v>3617.0</v>
      </c>
    </row>
    <row r="2589" ht="56.25" customHeight="1">
      <c r="A2589" s="5" t="s">
        <v>12523</v>
      </c>
      <c r="B2589" s="6" t="str">
        <f>IMAGE("https://storage.googleapis.com/acdb/housewares/FtrFloat_Remake_2_4.png")</f>
        <v/>
      </c>
      <c r="C2589" s="5" t="s">
        <v>935</v>
      </c>
      <c r="D2589" s="5" t="s">
        <v>2</v>
      </c>
      <c r="E2589" s="5" t="s">
        <v>12540</v>
      </c>
      <c r="F2589" s="5" t="s">
        <v>1667</v>
      </c>
      <c r="G2589" s="5" t="s">
        <v>35</v>
      </c>
      <c r="H2589" s="5" t="s">
        <v>35</v>
      </c>
      <c r="I2589" s="5" t="s">
        <v>35</v>
      </c>
      <c r="J2589" s="6">
        <v>3.0</v>
      </c>
      <c r="K2589" s="6" t="s">
        <v>37</v>
      </c>
      <c r="L2589" s="6">
        <v>1440.0</v>
      </c>
      <c r="M2589" s="26" t="s">
        <v>114</v>
      </c>
      <c r="N2589" s="26" t="s">
        <v>68</v>
      </c>
      <c r="O2589" s="6" t="s">
        <v>276</v>
      </c>
      <c r="P2589" s="5" t="s">
        <v>41</v>
      </c>
      <c r="Q2589" s="5"/>
      <c r="R2589" s="6" t="s">
        <v>42</v>
      </c>
      <c r="S2589" s="5" t="s">
        <v>62</v>
      </c>
      <c r="T2589" s="5" t="s">
        <v>465</v>
      </c>
      <c r="U2589" s="5" t="s">
        <v>44</v>
      </c>
      <c r="V2589" s="5" t="s">
        <v>44</v>
      </c>
      <c r="W2589" s="5" t="s">
        <v>36</v>
      </c>
      <c r="X2589" s="8" t="s">
        <v>194</v>
      </c>
      <c r="Y2589" s="5" t="s">
        <v>46</v>
      </c>
      <c r="Z2589" s="5" t="s">
        <v>47</v>
      </c>
      <c r="AA2589" s="5" t="s">
        <v>48</v>
      </c>
      <c r="AB2589" s="5" t="s">
        <v>12580</v>
      </c>
      <c r="AC2589" s="6" t="s">
        <v>541</v>
      </c>
      <c r="AD2589" s="6">
        <v>3617.0</v>
      </c>
    </row>
    <row r="2590" ht="56.25" customHeight="1">
      <c r="A2590" s="5" t="s">
        <v>12523</v>
      </c>
      <c r="B2590" s="6" t="str">
        <f>IMAGE("https://storage.googleapis.com/acdb/housewares/FtrFloat_Remake_3_0.png")</f>
        <v/>
      </c>
      <c r="C2590" s="5" t="s">
        <v>96</v>
      </c>
      <c r="D2590" s="5" t="s">
        <v>2</v>
      </c>
      <c r="E2590" s="5" t="s">
        <v>44</v>
      </c>
      <c r="F2590" s="5" t="s">
        <v>1667</v>
      </c>
      <c r="G2590" s="5" t="s">
        <v>35</v>
      </c>
      <c r="H2590" s="5" t="s">
        <v>35</v>
      </c>
      <c r="I2590" s="5" t="s">
        <v>35</v>
      </c>
      <c r="J2590" s="6">
        <v>3.0</v>
      </c>
      <c r="K2590" s="6" t="s">
        <v>37</v>
      </c>
      <c r="L2590" s="6">
        <v>1440.0</v>
      </c>
      <c r="M2590" s="26" t="s">
        <v>96</v>
      </c>
      <c r="N2590" s="26" t="s">
        <v>96</v>
      </c>
      <c r="O2590" s="6" t="s">
        <v>276</v>
      </c>
      <c r="P2590" s="5" t="s">
        <v>41</v>
      </c>
      <c r="Q2590" s="5"/>
      <c r="R2590" s="6" t="s">
        <v>42</v>
      </c>
      <c r="S2590" s="5" t="s">
        <v>62</v>
      </c>
      <c r="T2590" s="5" t="s">
        <v>465</v>
      </c>
      <c r="U2590" s="5" t="s">
        <v>44</v>
      </c>
      <c r="V2590" s="5" t="s">
        <v>44</v>
      </c>
      <c r="W2590" s="5" t="s">
        <v>36</v>
      </c>
      <c r="X2590" s="8" t="s">
        <v>194</v>
      </c>
      <c r="Y2590" s="5" t="s">
        <v>46</v>
      </c>
      <c r="Z2590" s="5" t="s">
        <v>47</v>
      </c>
      <c r="AA2590" s="5" t="s">
        <v>48</v>
      </c>
      <c r="AB2590" s="5" t="s">
        <v>12583</v>
      </c>
      <c r="AC2590" s="6" t="s">
        <v>71</v>
      </c>
      <c r="AD2590" s="6">
        <v>3617.0</v>
      </c>
    </row>
    <row r="2591" ht="56.25" customHeight="1">
      <c r="A2591" s="5" t="s">
        <v>12523</v>
      </c>
      <c r="B2591" s="6" t="str">
        <f>IMAGE("https://storage.googleapis.com/acdb/housewares/FtrFloat_Remake_3_1.png")</f>
        <v/>
      </c>
      <c r="C2591" s="5" t="s">
        <v>96</v>
      </c>
      <c r="D2591" s="5" t="s">
        <v>2</v>
      </c>
      <c r="E2591" s="5" t="s">
        <v>2123</v>
      </c>
      <c r="F2591" s="5" t="s">
        <v>1667</v>
      </c>
      <c r="G2591" s="5" t="s">
        <v>35</v>
      </c>
      <c r="H2591" s="5" t="s">
        <v>35</v>
      </c>
      <c r="I2591" s="5" t="s">
        <v>35</v>
      </c>
      <c r="J2591" s="6">
        <v>3.0</v>
      </c>
      <c r="K2591" s="6" t="s">
        <v>37</v>
      </c>
      <c r="L2591" s="6">
        <v>1440.0</v>
      </c>
      <c r="M2591" s="26" t="s">
        <v>96</v>
      </c>
      <c r="N2591" s="26" t="s">
        <v>96</v>
      </c>
      <c r="O2591" s="6" t="s">
        <v>276</v>
      </c>
      <c r="P2591" s="5" t="s">
        <v>41</v>
      </c>
      <c r="Q2591" s="5"/>
      <c r="R2591" s="6" t="s">
        <v>42</v>
      </c>
      <c r="S2591" s="5" t="s">
        <v>62</v>
      </c>
      <c r="T2591" s="5" t="s">
        <v>465</v>
      </c>
      <c r="U2591" s="5" t="s">
        <v>44</v>
      </c>
      <c r="V2591" s="5" t="s">
        <v>44</v>
      </c>
      <c r="W2591" s="5" t="s">
        <v>36</v>
      </c>
      <c r="X2591" s="8" t="s">
        <v>194</v>
      </c>
      <c r="Y2591" s="5" t="s">
        <v>46</v>
      </c>
      <c r="Z2591" s="5" t="s">
        <v>47</v>
      </c>
      <c r="AA2591" s="5" t="s">
        <v>48</v>
      </c>
      <c r="AB2591" s="5" t="s">
        <v>12587</v>
      </c>
      <c r="AC2591" s="6" t="s">
        <v>257</v>
      </c>
      <c r="AD2591" s="6">
        <v>3617.0</v>
      </c>
    </row>
    <row r="2592" ht="56.25" customHeight="1">
      <c r="A2592" s="5" t="s">
        <v>12523</v>
      </c>
      <c r="B2592" s="6" t="str">
        <f>IMAGE("https://storage.googleapis.com/acdb/housewares/FtrFloat_Remake_3_2.png")</f>
        <v/>
      </c>
      <c r="C2592" s="5" t="s">
        <v>96</v>
      </c>
      <c r="D2592" s="5" t="s">
        <v>2</v>
      </c>
      <c r="E2592" s="5" t="s">
        <v>906</v>
      </c>
      <c r="F2592" s="5" t="s">
        <v>1667</v>
      </c>
      <c r="G2592" s="5" t="s">
        <v>35</v>
      </c>
      <c r="H2592" s="5" t="s">
        <v>35</v>
      </c>
      <c r="I2592" s="5" t="s">
        <v>35</v>
      </c>
      <c r="J2592" s="6">
        <v>3.0</v>
      </c>
      <c r="K2592" s="6" t="s">
        <v>37</v>
      </c>
      <c r="L2592" s="6">
        <v>1440.0</v>
      </c>
      <c r="M2592" s="26" t="s">
        <v>96</v>
      </c>
      <c r="N2592" s="26" t="s">
        <v>52</v>
      </c>
      <c r="O2592" s="6" t="s">
        <v>276</v>
      </c>
      <c r="P2592" s="5" t="s">
        <v>41</v>
      </c>
      <c r="Q2592" s="5"/>
      <c r="R2592" s="6" t="s">
        <v>42</v>
      </c>
      <c r="S2592" s="5" t="s">
        <v>62</v>
      </c>
      <c r="T2592" s="5" t="s">
        <v>465</v>
      </c>
      <c r="U2592" s="5" t="s">
        <v>44</v>
      </c>
      <c r="V2592" s="5" t="s">
        <v>44</v>
      </c>
      <c r="W2592" s="5" t="s">
        <v>36</v>
      </c>
      <c r="X2592" s="8" t="s">
        <v>194</v>
      </c>
      <c r="Y2592" s="5" t="s">
        <v>46</v>
      </c>
      <c r="Z2592" s="5" t="s">
        <v>47</v>
      </c>
      <c r="AA2592" s="5" t="s">
        <v>48</v>
      </c>
      <c r="AB2592" s="5" t="s">
        <v>12590</v>
      </c>
      <c r="AC2592" s="6" t="s">
        <v>414</v>
      </c>
      <c r="AD2592" s="6">
        <v>3617.0</v>
      </c>
    </row>
    <row r="2593" ht="56.25" customHeight="1">
      <c r="A2593" s="5" t="s">
        <v>12523</v>
      </c>
      <c r="B2593" s="6" t="str">
        <f>IMAGE("https://storage.googleapis.com/acdb/housewares/FtrFloat_Remake_3_3.png")</f>
        <v/>
      </c>
      <c r="C2593" s="5" t="s">
        <v>96</v>
      </c>
      <c r="D2593" s="5" t="s">
        <v>2</v>
      </c>
      <c r="E2593" s="5" t="s">
        <v>58</v>
      </c>
      <c r="F2593" s="5" t="s">
        <v>1667</v>
      </c>
      <c r="G2593" s="5" t="s">
        <v>35</v>
      </c>
      <c r="H2593" s="5" t="s">
        <v>35</v>
      </c>
      <c r="I2593" s="5" t="s">
        <v>35</v>
      </c>
      <c r="J2593" s="6">
        <v>3.0</v>
      </c>
      <c r="K2593" s="6" t="s">
        <v>37</v>
      </c>
      <c r="L2593" s="6">
        <v>1440.0</v>
      </c>
      <c r="M2593" s="26" t="s">
        <v>96</v>
      </c>
      <c r="N2593" s="26" t="s">
        <v>58</v>
      </c>
      <c r="O2593" s="6" t="s">
        <v>276</v>
      </c>
      <c r="P2593" s="5" t="s">
        <v>41</v>
      </c>
      <c r="Q2593" s="5"/>
      <c r="R2593" s="6" t="s">
        <v>42</v>
      </c>
      <c r="S2593" s="5" t="s">
        <v>62</v>
      </c>
      <c r="T2593" s="5" t="s">
        <v>465</v>
      </c>
      <c r="U2593" s="5" t="s">
        <v>44</v>
      </c>
      <c r="V2593" s="5" t="s">
        <v>44</v>
      </c>
      <c r="W2593" s="5" t="s">
        <v>36</v>
      </c>
      <c r="X2593" s="8" t="s">
        <v>194</v>
      </c>
      <c r="Y2593" s="5" t="s">
        <v>46</v>
      </c>
      <c r="Z2593" s="5" t="s">
        <v>47</v>
      </c>
      <c r="AA2593" s="5" t="s">
        <v>48</v>
      </c>
      <c r="AB2593" s="5" t="s">
        <v>12595</v>
      </c>
      <c r="AC2593" s="6" t="s">
        <v>418</v>
      </c>
      <c r="AD2593" s="6">
        <v>3617.0</v>
      </c>
    </row>
    <row r="2594" ht="56.25" customHeight="1">
      <c r="A2594" s="5" t="s">
        <v>12523</v>
      </c>
      <c r="B2594" s="6" t="str">
        <f>IMAGE("https://storage.googleapis.com/acdb/housewares/FtrFloat_Remake_3_4.png")</f>
        <v/>
      </c>
      <c r="C2594" s="5" t="s">
        <v>96</v>
      </c>
      <c r="D2594" s="5" t="s">
        <v>2</v>
      </c>
      <c r="E2594" s="5" t="s">
        <v>12540</v>
      </c>
      <c r="F2594" s="5" t="s">
        <v>1667</v>
      </c>
      <c r="G2594" s="5" t="s">
        <v>35</v>
      </c>
      <c r="H2594" s="5" t="s">
        <v>35</v>
      </c>
      <c r="I2594" s="5" t="s">
        <v>35</v>
      </c>
      <c r="J2594" s="6">
        <v>3.0</v>
      </c>
      <c r="K2594" s="6" t="s">
        <v>37</v>
      </c>
      <c r="L2594" s="6">
        <v>1440.0</v>
      </c>
      <c r="M2594" s="26" t="s">
        <v>96</v>
      </c>
      <c r="N2594" s="26" t="s">
        <v>68</v>
      </c>
      <c r="O2594" s="6" t="s">
        <v>276</v>
      </c>
      <c r="P2594" s="5" t="s">
        <v>41</v>
      </c>
      <c r="Q2594" s="5"/>
      <c r="R2594" s="6" t="s">
        <v>42</v>
      </c>
      <c r="S2594" s="5" t="s">
        <v>62</v>
      </c>
      <c r="T2594" s="5" t="s">
        <v>465</v>
      </c>
      <c r="U2594" s="5" t="s">
        <v>44</v>
      </c>
      <c r="V2594" s="5" t="s">
        <v>44</v>
      </c>
      <c r="W2594" s="5" t="s">
        <v>36</v>
      </c>
      <c r="X2594" s="8" t="s">
        <v>194</v>
      </c>
      <c r="Y2594" s="5" t="s">
        <v>46</v>
      </c>
      <c r="Z2594" s="5" t="s">
        <v>47</v>
      </c>
      <c r="AA2594" s="5" t="s">
        <v>48</v>
      </c>
      <c r="AB2594" s="5" t="s">
        <v>12600</v>
      </c>
      <c r="AC2594" s="6" t="s">
        <v>563</v>
      </c>
      <c r="AD2594" s="6">
        <v>3617.0</v>
      </c>
    </row>
    <row r="2595" ht="56.25" customHeight="1">
      <c r="A2595" s="5" t="s">
        <v>12523</v>
      </c>
      <c r="B2595" s="6" t="str">
        <f>IMAGE("https://storage.googleapis.com/acdb/housewares/FtrFloat_Remake_4_0.png")</f>
        <v/>
      </c>
      <c r="C2595" s="5" t="s">
        <v>69</v>
      </c>
      <c r="D2595" s="5" t="s">
        <v>2</v>
      </c>
      <c r="E2595" s="5" t="s">
        <v>44</v>
      </c>
      <c r="F2595" s="5" t="s">
        <v>1667</v>
      </c>
      <c r="G2595" s="5" t="s">
        <v>35</v>
      </c>
      <c r="H2595" s="5" t="s">
        <v>35</v>
      </c>
      <c r="I2595" s="5" t="s">
        <v>35</v>
      </c>
      <c r="J2595" s="6">
        <v>3.0</v>
      </c>
      <c r="K2595" s="6" t="s">
        <v>37</v>
      </c>
      <c r="L2595" s="6">
        <v>1440.0</v>
      </c>
      <c r="M2595" s="26" t="s">
        <v>69</v>
      </c>
      <c r="N2595" s="26" t="s">
        <v>69</v>
      </c>
      <c r="O2595" s="6" t="s">
        <v>276</v>
      </c>
      <c r="P2595" s="5" t="s">
        <v>41</v>
      </c>
      <c r="Q2595" s="5"/>
      <c r="R2595" s="6" t="s">
        <v>42</v>
      </c>
      <c r="S2595" s="5" t="s">
        <v>62</v>
      </c>
      <c r="T2595" s="5" t="s">
        <v>465</v>
      </c>
      <c r="U2595" s="5" t="s">
        <v>44</v>
      </c>
      <c r="V2595" s="5" t="s">
        <v>44</v>
      </c>
      <c r="W2595" s="5" t="s">
        <v>36</v>
      </c>
      <c r="X2595" s="8" t="s">
        <v>194</v>
      </c>
      <c r="Y2595" s="5" t="s">
        <v>46</v>
      </c>
      <c r="Z2595" s="5" t="s">
        <v>47</v>
      </c>
      <c r="AA2595" s="5" t="s">
        <v>48</v>
      </c>
      <c r="AB2595" s="5" t="s">
        <v>12603</v>
      </c>
      <c r="AC2595" s="6" t="s">
        <v>75</v>
      </c>
      <c r="AD2595" s="6">
        <v>3617.0</v>
      </c>
    </row>
    <row r="2596" ht="56.25" customHeight="1">
      <c r="A2596" s="5" t="s">
        <v>12523</v>
      </c>
      <c r="B2596" s="6" t="str">
        <f>IMAGE("https://storage.googleapis.com/acdb/housewares/FtrFloat_Remake_4_1.png")</f>
        <v/>
      </c>
      <c r="C2596" s="5" t="s">
        <v>69</v>
      </c>
      <c r="D2596" s="5" t="s">
        <v>2</v>
      </c>
      <c r="E2596" s="5" t="s">
        <v>2123</v>
      </c>
      <c r="F2596" s="5" t="s">
        <v>1667</v>
      </c>
      <c r="G2596" s="5" t="s">
        <v>35</v>
      </c>
      <c r="H2596" s="5" t="s">
        <v>35</v>
      </c>
      <c r="I2596" s="5" t="s">
        <v>35</v>
      </c>
      <c r="J2596" s="6">
        <v>3.0</v>
      </c>
      <c r="K2596" s="6" t="s">
        <v>37</v>
      </c>
      <c r="L2596" s="6">
        <v>1440.0</v>
      </c>
      <c r="M2596" s="26" t="s">
        <v>69</v>
      </c>
      <c r="N2596" s="26" t="s">
        <v>96</v>
      </c>
      <c r="O2596" s="6" t="s">
        <v>276</v>
      </c>
      <c r="P2596" s="5" t="s">
        <v>41</v>
      </c>
      <c r="Q2596" s="5"/>
      <c r="R2596" s="6" t="s">
        <v>42</v>
      </c>
      <c r="S2596" s="5" t="s">
        <v>62</v>
      </c>
      <c r="T2596" s="5" t="s">
        <v>465</v>
      </c>
      <c r="U2596" s="5" t="s">
        <v>44</v>
      </c>
      <c r="V2596" s="5" t="s">
        <v>44</v>
      </c>
      <c r="W2596" s="5" t="s">
        <v>36</v>
      </c>
      <c r="X2596" s="8" t="s">
        <v>194</v>
      </c>
      <c r="Y2596" s="5" t="s">
        <v>46</v>
      </c>
      <c r="Z2596" s="5" t="s">
        <v>47</v>
      </c>
      <c r="AA2596" s="5" t="s">
        <v>48</v>
      </c>
      <c r="AB2596" s="5" t="s">
        <v>12606</v>
      </c>
      <c r="AC2596" s="6" t="s">
        <v>429</v>
      </c>
      <c r="AD2596" s="6">
        <v>3617.0</v>
      </c>
    </row>
    <row r="2597" ht="56.25" customHeight="1">
      <c r="A2597" s="5" t="s">
        <v>12523</v>
      </c>
      <c r="B2597" s="6" t="str">
        <f>IMAGE("https://storage.googleapis.com/acdb/housewares/FtrFloat_Remake_4_2.png")</f>
        <v/>
      </c>
      <c r="C2597" s="5" t="s">
        <v>69</v>
      </c>
      <c r="D2597" s="5" t="s">
        <v>2</v>
      </c>
      <c r="E2597" s="5" t="s">
        <v>906</v>
      </c>
      <c r="F2597" s="5" t="s">
        <v>1667</v>
      </c>
      <c r="G2597" s="5" t="s">
        <v>35</v>
      </c>
      <c r="H2597" s="5" t="s">
        <v>35</v>
      </c>
      <c r="I2597" s="5" t="s">
        <v>35</v>
      </c>
      <c r="J2597" s="6">
        <v>3.0</v>
      </c>
      <c r="K2597" s="6" t="s">
        <v>37</v>
      </c>
      <c r="L2597" s="6">
        <v>1440.0</v>
      </c>
      <c r="M2597" s="26" t="s">
        <v>69</v>
      </c>
      <c r="N2597" s="26" t="s">
        <v>52</v>
      </c>
      <c r="O2597" s="6" t="s">
        <v>276</v>
      </c>
      <c r="P2597" s="5" t="s">
        <v>41</v>
      </c>
      <c r="Q2597" s="5"/>
      <c r="R2597" s="6" t="s">
        <v>42</v>
      </c>
      <c r="S2597" s="5" t="s">
        <v>62</v>
      </c>
      <c r="T2597" s="5" t="s">
        <v>465</v>
      </c>
      <c r="U2597" s="5" t="s">
        <v>44</v>
      </c>
      <c r="V2597" s="5" t="s">
        <v>44</v>
      </c>
      <c r="W2597" s="5" t="s">
        <v>36</v>
      </c>
      <c r="X2597" s="8" t="s">
        <v>194</v>
      </c>
      <c r="Y2597" s="5" t="s">
        <v>46</v>
      </c>
      <c r="Z2597" s="5" t="s">
        <v>47</v>
      </c>
      <c r="AA2597" s="5" t="s">
        <v>48</v>
      </c>
      <c r="AB2597" s="5" t="s">
        <v>12610</v>
      </c>
      <c r="AC2597" s="6" t="s">
        <v>434</v>
      </c>
      <c r="AD2597" s="6">
        <v>3617.0</v>
      </c>
    </row>
    <row r="2598" ht="56.25" customHeight="1">
      <c r="A2598" s="5" t="s">
        <v>12523</v>
      </c>
      <c r="B2598" s="6" t="str">
        <f>IMAGE("https://storage.googleapis.com/acdb/housewares/FtrFloat_Remake_4_3.png")</f>
        <v/>
      </c>
      <c r="C2598" s="5" t="s">
        <v>69</v>
      </c>
      <c r="D2598" s="5" t="s">
        <v>2</v>
      </c>
      <c r="E2598" s="5" t="s">
        <v>58</v>
      </c>
      <c r="F2598" s="5" t="s">
        <v>1667</v>
      </c>
      <c r="G2598" s="5" t="s">
        <v>35</v>
      </c>
      <c r="H2598" s="5" t="s">
        <v>35</v>
      </c>
      <c r="I2598" s="5" t="s">
        <v>35</v>
      </c>
      <c r="J2598" s="6">
        <v>3.0</v>
      </c>
      <c r="K2598" s="6" t="s">
        <v>37</v>
      </c>
      <c r="L2598" s="6">
        <v>1440.0</v>
      </c>
      <c r="M2598" s="26" t="s">
        <v>69</v>
      </c>
      <c r="N2598" s="26" t="s">
        <v>58</v>
      </c>
      <c r="O2598" s="6" t="s">
        <v>276</v>
      </c>
      <c r="P2598" s="5" t="s">
        <v>41</v>
      </c>
      <c r="Q2598" s="5"/>
      <c r="R2598" s="6" t="s">
        <v>42</v>
      </c>
      <c r="S2598" s="5" t="s">
        <v>62</v>
      </c>
      <c r="T2598" s="5" t="s">
        <v>465</v>
      </c>
      <c r="U2598" s="5" t="s">
        <v>44</v>
      </c>
      <c r="V2598" s="5" t="s">
        <v>44</v>
      </c>
      <c r="W2598" s="5" t="s">
        <v>36</v>
      </c>
      <c r="X2598" s="8" t="s">
        <v>194</v>
      </c>
      <c r="Y2598" s="5" t="s">
        <v>46</v>
      </c>
      <c r="Z2598" s="5" t="s">
        <v>47</v>
      </c>
      <c r="AA2598" s="5" t="s">
        <v>48</v>
      </c>
      <c r="AB2598" s="5" t="s">
        <v>12615</v>
      </c>
      <c r="AC2598" s="6" t="s">
        <v>438</v>
      </c>
      <c r="AD2598" s="6">
        <v>3617.0</v>
      </c>
    </row>
    <row r="2599" ht="56.25" customHeight="1">
      <c r="A2599" s="5" t="s">
        <v>12523</v>
      </c>
      <c r="B2599" s="6" t="str">
        <f>IMAGE("https://storage.googleapis.com/acdb/housewares/FtrFloat_Remake_4_4.png")</f>
        <v/>
      </c>
      <c r="C2599" s="5" t="s">
        <v>69</v>
      </c>
      <c r="D2599" s="5" t="s">
        <v>2</v>
      </c>
      <c r="E2599" s="5" t="s">
        <v>12540</v>
      </c>
      <c r="F2599" s="5" t="s">
        <v>1667</v>
      </c>
      <c r="G2599" s="5" t="s">
        <v>35</v>
      </c>
      <c r="H2599" s="5" t="s">
        <v>35</v>
      </c>
      <c r="I2599" s="5" t="s">
        <v>35</v>
      </c>
      <c r="J2599" s="6">
        <v>3.0</v>
      </c>
      <c r="K2599" s="6" t="s">
        <v>37</v>
      </c>
      <c r="L2599" s="6">
        <v>1440.0</v>
      </c>
      <c r="M2599" s="26" t="s">
        <v>69</v>
      </c>
      <c r="N2599" s="26" t="s">
        <v>68</v>
      </c>
      <c r="O2599" s="6" t="s">
        <v>276</v>
      </c>
      <c r="P2599" s="5" t="s">
        <v>41</v>
      </c>
      <c r="Q2599" s="5"/>
      <c r="R2599" s="6" t="s">
        <v>42</v>
      </c>
      <c r="S2599" s="5" t="s">
        <v>62</v>
      </c>
      <c r="T2599" s="5" t="s">
        <v>465</v>
      </c>
      <c r="U2599" s="5" t="s">
        <v>44</v>
      </c>
      <c r="V2599" s="5" t="s">
        <v>44</v>
      </c>
      <c r="W2599" s="5" t="s">
        <v>36</v>
      </c>
      <c r="X2599" s="8" t="s">
        <v>194</v>
      </c>
      <c r="Y2599" s="5" t="s">
        <v>46</v>
      </c>
      <c r="Z2599" s="5" t="s">
        <v>47</v>
      </c>
      <c r="AA2599" s="5" t="s">
        <v>48</v>
      </c>
      <c r="AB2599" s="5" t="s">
        <v>12618</v>
      </c>
      <c r="AC2599" s="6" t="s">
        <v>585</v>
      </c>
      <c r="AD2599" s="6">
        <v>3617.0</v>
      </c>
    </row>
    <row r="2600" ht="56.25" customHeight="1">
      <c r="A2600" s="5" t="s">
        <v>12523</v>
      </c>
      <c r="B2600" s="6" t="str">
        <f>IMAGE("https://storage.googleapis.com/acdb/housewares/FtrFloat_Remake_5_0.png")</f>
        <v/>
      </c>
      <c r="C2600" s="5" t="s">
        <v>57</v>
      </c>
      <c r="D2600" s="5" t="s">
        <v>2</v>
      </c>
      <c r="E2600" s="5" t="s">
        <v>44</v>
      </c>
      <c r="F2600" s="5" t="s">
        <v>1667</v>
      </c>
      <c r="G2600" s="5" t="s">
        <v>35</v>
      </c>
      <c r="H2600" s="5" t="s">
        <v>35</v>
      </c>
      <c r="I2600" s="5" t="s">
        <v>35</v>
      </c>
      <c r="J2600" s="6">
        <v>3.0</v>
      </c>
      <c r="K2600" s="6" t="s">
        <v>37</v>
      </c>
      <c r="L2600" s="6">
        <v>1440.0</v>
      </c>
      <c r="M2600" s="26" t="s">
        <v>57</v>
      </c>
      <c r="N2600" s="26" t="s">
        <v>57</v>
      </c>
      <c r="O2600" s="6" t="s">
        <v>276</v>
      </c>
      <c r="P2600" s="5" t="s">
        <v>41</v>
      </c>
      <c r="Q2600" s="5"/>
      <c r="R2600" s="6" t="s">
        <v>42</v>
      </c>
      <c r="S2600" s="5" t="s">
        <v>62</v>
      </c>
      <c r="T2600" s="5" t="s">
        <v>465</v>
      </c>
      <c r="U2600" s="5" t="s">
        <v>44</v>
      </c>
      <c r="V2600" s="5" t="s">
        <v>44</v>
      </c>
      <c r="W2600" s="5" t="s">
        <v>36</v>
      </c>
      <c r="X2600" s="8" t="s">
        <v>194</v>
      </c>
      <c r="Y2600" s="5" t="s">
        <v>46</v>
      </c>
      <c r="Z2600" s="5" t="s">
        <v>47</v>
      </c>
      <c r="AA2600" s="5" t="s">
        <v>48</v>
      </c>
      <c r="AB2600" s="5" t="s">
        <v>12621</v>
      </c>
      <c r="AC2600" s="6" t="s">
        <v>79</v>
      </c>
      <c r="AD2600" s="6">
        <v>3617.0</v>
      </c>
    </row>
    <row r="2601" ht="56.25" customHeight="1">
      <c r="A2601" s="5" t="s">
        <v>12523</v>
      </c>
      <c r="B2601" s="6" t="str">
        <f>IMAGE("https://storage.googleapis.com/acdb/housewares/FtrFloat_Remake_5_1.png")</f>
        <v/>
      </c>
      <c r="C2601" s="5" t="s">
        <v>57</v>
      </c>
      <c r="D2601" s="5" t="s">
        <v>2</v>
      </c>
      <c r="E2601" s="5" t="s">
        <v>2123</v>
      </c>
      <c r="F2601" s="5" t="s">
        <v>1667</v>
      </c>
      <c r="G2601" s="5" t="s">
        <v>35</v>
      </c>
      <c r="H2601" s="5" t="s">
        <v>35</v>
      </c>
      <c r="I2601" s="5" t="s">
        <v>35</v>
      </c>
      <c r="J2601" s="6">
        <v>3.0</v>
      </c>
      <c r="K2601" s="6" t="s">
        <v>37</v>
      </c>
      <c r="L2601" s="6">
        <v>1440.0</v>
      </c>
      <c r="M2601" s="26" t="s">
        <v>57</v>
      </c>
      <c r="N2601" s="26" t="s">
        <v>96</v>
      </c>
      <c r="O2601" s="6" t="s">
        <v>276</v>
      </c>
      <c r="P2601" s="5" t="s">
        <v>41</v>
      </c>
      <c r="Q2601" s="5"/>
      <c r="R2601" s="6" t="s">
        <v>42</v>
      </c>
      <c r="S2601" s="5" t="s">
        <v>62</v>
      </c>
      <c r="T2601" s="5" t="s">
        <v>465</v>
      </c>
      <c r="U2601" s="5" t="s">
        <v>44</v>
      </c>
      <c r="V2601" s="5" t="s">
        <v>44</v>
      </c>
      <c r="W2601" s="5" t="s">
        <v>36</v>
      </c>
      <c r="X2601" s="8" t="s">
        <v>194</v>
      </c>
      <c r="Y2601" s="5" t="s">
        <v>46</v>
      </c>
      <c r="Z2601" s="5" t="s">
        <v>47</v>
      </c>
      <c r="AA2601" s="5" t="s">
        <v>48</v>
      </c>
      <c r="AB2601" s="5" t="s">
        <v>12623</v>
      </c>
      <c r="AC2601" s="6" t="s">
        <v>448</v>
      </c>
      <c r="AD2601" s="6">
        <v>3617.0</v>
      </c>
    </row>
    <row r="2602" ht="56.25" customHeight="1">
      <c r="A2602" s="5" t="s">
        <v>12523</v>
      </c>
      <c r="B2602" s="6" t="str">
        <f>IMAGE("https://storage.googleapis.com/acdb/housewares/FtrFloat_Remake_5_2.png")</f>
        <v/>
      </c>
      <c r="C2602" s="5" t="s">
        <v>57</v>
      </c>
      <c r="D2602" s="5" t="s">
        <v>2</v>
      </c>
      <c r="E2602" s="5" t="s">
        <v>906</v>
      </c>
      <c r="F2602" s="5" t="s">
        <v>1667</v>
      </c>
      <c r="G2602" s="5" t="s">
        <v>35</v>
      </c>
      <c r="H2602" s="5" t="s">
        <v>35</v>
      </c>
      <c r="I2602" s="5" t="s">
        <v>35</v>
      </c>
      <c r="J2602" s="6">
        <v>3.0</v>
      </c>
      <c r="K2602" s="6" t="s">
        <v>37</v>
      </c>
      <c r="L2602" s="6">
        <v>1440.0</v>
      </c>
      <c r="M2602" s="26" t="s">
        <v>57</v>
      </c>
      <c r="N2602" s="26" t="s">
        <v>52</v>
      </c>
      <c r="O2602" s="6" t="s">
        <v>276</v>
      </c>
      <c r="P2602" s="5" t="s">
        <v>41</v>
      </c>
      <c r="Q2602" s="5"/>
      <c r="R2602" s="6" t="s">
        <v>42</v>
      </c>
      <c r="S2602" s="5" t="s">
        <v>62</v>
      </c>
      <c r="T2602" s="5" t="s">
        <v>465</v>
      </c>
      <c r="U2602" s="5" t="s">
        <v>44</v>
      </c>
      <c r="V2602" s="5" t="s">
        <v>44</v>
      </c>
      <c r="W2602" s="5" t="s">
        <v>36</v>
      </c>
      <c r="X2602" s="8" t="s">
        <v>194</v>
      </c>
      <c r="Y2602" s="5" t="s">
        <v>46</v>
      </c>
      <c r="Z2602" s="5" t="s">
        <v>47</v>
      </c>
      <c r="AA2602" s="5" t="s">
        <v>48</v>
      </c>
      <c r="AB2602" s="5" t="s">
        <v>12627</v>
      </c>
      <c r="AC2602" s="6" t="s">
        <v>452</v>
      </c>
      <c r="AD2602" s="6">
        <v>3617.0</v>
      </c>
    </row>
    <row r="2603" ht="56.25" customHeight="1">
      <c r="A2603" s="5" t="s">
        <v>12523</v>
      </c>
      <c r="B2603" s="6" t="str">
        <f>IMAGE("https://storage.googleapis.com/acdb/housewares/FtrFloat_Remake_5_3.png")</f>
        <v/>
      </c>
      <c r="C2603" s="5" t="s">
        <v>57</v>
      </c>
      <c r="D2603" s="5" t="s">
        <v>2</v>
      </c>
      <c r="E2603" s="5" t="s">
        <v>58</v>
      </c>
      <c r="F2603" s="5" t="s">
        <v>1667</v>
      </c>
      <c r="G2603" s="5" t="s">
        <v>35</v>
      </c>
      <c r="H2603" s="5" t="s">
        <v>35</v>
      </c>
      <c r="I2603" s="5" t="s">
        <v>35</v>
      </c>
      <c r="J2603" s="6">
        <v>3.0</v>
      </c>
      <c r="K2603" s="6" t="s">
        <v>37</v>
      </c>
      <c r="L2603" s="6">
        <v>1440.0</v>
      </c>
      <c r="M2603" s="26" t="s">
        <v>57</v>
      </c>
      <c r="N2603" s="26" t="s">
        <v>58</v>
      </c>
      <c r="O2603" s="6" t="s">
        <v>276</v>
      </c>
      <c r="P2603" s="5" t="s">
        <v>41</v>
      </c>
      <c r="Q2603" s="5"/>
      <c r="R2603" s="6" t="s">
        <v>42</v>
      </c>
      <c r="S2603" s="5" t="s">
        <v>62</v>
      </c>
      <c r="T2603" s="5" t="s">
        <v>465</v>
      </c>
      <c r="U2603" s="5" t="s">
        <v>44</v>
      </c>
      <c r="V2603" s="5" t="s">
        <v>44</v>
      </c>
      <c r="W2603" s="5" t="s">
        <v>36</v>
      </c>
      <c r="X2603" s="8" t="s">
        <v>194</v>
      </c>
      <c r="Y2603" s="5" t="s">
        <v>46</v>
      </c>
      <c r="Z2603" s="5" t="s">
        <v>47</v>
      </c>
      <c r="AA2603" s="5" t="s">
        <v>48</v>
      </c>
      <c r="AB2603" s="5" t="s">
        <v>12630</v>
      </c>
      <c r="AC2603" s="6" t="s">
        <v>455</v>
      </c>
      <c r="AD2603" s="6">
        <v>3617.0</v>
      </c>
    </row>
    <row r="2604" ht="56.25" customHeight="1">
      <c r="A2604" s="5" t="s">
        <v>12523</v>
      </c>
      <c r="B2604" s="6" t="str">
        <f>IMAGE("https://storage.googleapis.com/acdb/housewares/FtrFloat_Remake_5_4.png")</f>
        <v/>
      </c>
      <c r="C2604" s="5" t="s">
        <v>57</v>
      </c>
      <c r="D2604" s="5" t="s">
        <v>2</v>
      </c>
      <c r="E2604" s="5" t="s">
        <v>12540</v>
      </c>
      <c r="F2604" s="5" t="s">
        <v>1667</v>
      </c>
      <c r="G2604" s="5" t="s">
        <v>35</v>
      </c>
      <c r="H2604" s="5" t="s">
        <v>35</v>
      </c>
      <c r="I2604" s="5" t="s">
        <v>35</v>
      </c>
      <c r="J2604" s="6">
        <v>3.0</v>
      </c>
      <c r="K2604" s="6" t="s">
        <v>37</v>
      </c>
      <c r="L2604" s="6">
        <v>1440.0</v>
      </c>
      <c r="M2604" s="26" t="s">
        <v>57</v>
      </c>
      <c r="N2604" s="26" t="s">
        <v>68</v>
      </c>
      <c r="O2604" s="6" t="s">
        <v>276</v>
      </c>
      <c r="P2604" s="5" t="s">
        <v>41</v>
      </c>
      <c r="Q2604" s="5"/>
      <c r="R2604" s="6" t="s">
        <v>42</v>
      </c>
      <c r="S2604" s="5" t="s">
        <v>62</v>
      </c>
      <c r="T2604" s="5" t="s">
        <v>465</v>
      </c>
      <c r="U2604" s="5" t="s">
        <v>44</v>
      </c>
      <c r="V2604" s="5" t="s">
        <v>44</v>
      </c>
      <c r="W2604" s="5" t="s">
        <v>36</v>
      </c>
      <c r="X2604" s="8" t="s">
        <v>194</v>
      </c>
      <c r="Y2604" s="5" t="s">
        <v>46</v>
      </c>
      <c r="Z2604" s="5" t="s">
        <v>47</v>
      </c>
      <c r="AA2604" s="5" t="s">
        <v>48</v>
      </c>
      <c r="AB2604" s="5" t="s">
        <v>12633</v>
      </c>
      <c r="AC2604" s="6" t="s">
        <v>609</v>
      </c>
      <c r="AD2604" s="6">
        <v>3617.0</v>
      </c>
    </row>
    <row r="2605" ht="56.25" customHeight="1">
      <c r="A2605" s="5" t="s">
        <v>12523</v>
      </c>
      <c r="B2605" s="6" t="str">
        <f>IMAGE("https://storage.googleapis.com/acdb/housewares/FtrFloat_Remake_6_0.png")</f>
        <v/>
      </c>
      <c r="C2605" s="5" t="s">
        <v>54</v>
      </c>
      <c r="D2605" s="5" t="s">
        <v>2</v>
      </c>
      <c r="E2605" s="5" t="s">
        <v>44</v>
      </c>
      <c r="F2605" s="5" t="s">
        <v>1667</v>
      </c>
      <c r="G2605" s="5" t="s">
        <v>35</v>
      </c>
      <c r="H2605" s="5" t="s">
        <v>35</v>
      </c>
      <c r="I2605" s="5" t="s">
        <v>35</v>
      </c>
      <c r="J2605" s="6">
        <v>3.0</v>
      </c>
      <c r="K2605" s="6" t="s">
        <v>37</v>
      </c>
      <c r="L2605" s="6">
        <v>1440.0</v>
      </c>
      <c r="M2605" s="26" t="s">
        <v>54</v>
      </c>
      <c r="N2605" s="26" t="s">
        <v>54</v>
      </c>
      <c r="O2605" s="6" t="s">
        <v>276</v>
      </c>
      <c r="P2605" s="5" t="s">
        <v>41</v>
      </c>
      <c r="Q2605" s="5"/>
      <c r="R2605" s="6" t="s">
        <v>42</v>
      </c>
      <c r="S2605" s="5" t="s">
        <v>62</v>
      </c>
      <c r="T2605" s="5" t="s">
        <v>465</v>
      </c>
      <c r="U2605" s="5" t="s">
        <v>44</v>
      </c>
      <c r="V2605" s="5" t="s">
        <v>44</v>
      </c>
      <c r="W2605" s="5" t="s">
        <v>36</v>
      </c>
      <c r="X2605" s="8" t="s">
        <v>194</v>
      </c>
      <c r="Y2605" s="5" t="s">
        <v>46</v>
      </c>
      <c r="Z2605" s="5" t="s">
        <v>47</v>
      </c>
      <c r="AA2605" s="5" t="s">
        <v>48</v>
      </c>
      <c r="AB2605" s="5" t="s">
        <v>12637</v>
      </c>
      <c r="AC2605" s="6" t="s">
        <v>86</v>
      </c>
      <c r="AD2605" s="6">
        <v>3617.0</v>
      </c>
    </row>
    <row r="2606" ht="56.25" customHeight="1">
      <c r="A2606" s="5" t="s">
        <v>12523</v>
      </c>
      <c r="B2606" s="6" t="str">
        <f>IMAGE("https://storage.googleapis.com/acdb/housewares/FtrFloat_Remake_6_1.png")</f>
        <v/>
      </c>
      <c r="C2606" s="5" t="s">
        <v>54</v>
      </c>
      <c r="D2606" s="5" t="s">
        <v>2</v>
      </c>
      <c r="E2606" s="5" t="s">
        <v>2123</v>
      </c>
      <c r="F2606" s="5" t="s">
        <v>1667</v>
      </c>
      <c r="G2606" s="5" t="s">
        <v>35</v>
      </c>
      <c r="H2606" s="5" t="s">
        <v>35</v>
      </c>
      <c r="I2606" s="5" t="s">
        <v>35</v>
      </c>
      <c r="J2606" s="6">
        <v>3.0</v>
      </c>
      <c r="K2606" s="6" t="s">
        <v>37</v>
      </c>
      <c r="L2606" s="6">
        <v>1440.0</v>
      </c>
      <c r="M2606" s="26" t="s">
        <v>54</v>
      </c>
      <c r="N2606" s="26" t="s">
        <v>96</v>
      </c>
      <c r="O2606" s="6" t="s">
        <v>276</v>
      </c>
      <c r="P2606" s="5" t="s">
        <v>41</v>
      </c>
      <c r="Q2606" s="5"/>
      <c r="R2606" s="6" t="s">
        <v>42</v>
      </c>
      <c r="S2606" s="5" t="s">
        <v>62</v>
      </c>
      <c r="T2606" s="5" t="s">
        <v>465</v>
      </c>
      <c r="U2606" s="5" t="s">
        <v>44</v>
      </c>
      <c r="V2606" s="5" t="s">
        <v>44</v>
      </c>
      <c r="W2606" s="5" t="s">
        <v>36</v>
      </c>
      <c r="X2606" s="8" t="s">
        <v>194</v>
      </c>
      <c r="Y2606" s="5" t="s">
        <v>46</v>
      </c>
      <c r="Z2606" s="5" t="s">
        <v>47</v>
      </c>
      <c r="AA2606" s="5" t="s">
        <v>48</v>
      </c>
      <c r="AB2606" s="5" t="s">
        <v>12640</v>
      </c>
      <c r="AC2606" s="6" t="s">
        <v>620</v>
      </c>
      <c r="AD2606" s="6">
        <v>3617.0</v>
      </c>
    </row>
    <row r="2607" ht="56.25" customHeight="1">
      <c r="A2607" s="5" t="s">
        <v>12523</v>
      </c>
      <c r="B2607" s="6" t="str">
        <f>IMAGE("https://storage.googleapis.com/acdb/housewares/FtrFloat_Remake_6_2.png")</f>
        <v/>
      </c>
      <c r="C2607" s="5" t="s">
        <v>54</v>
      </c>
      <c r="D2607" s="5" t="s">
        <v>2</v>
      </c>
      <c r="E2607" s="5" t="s">
        <v>906</v>
      </c>
      <c r="F2607" s="5" t="s">
        <v>1667</v>
      </c>
      <c r="G2607" s="5" t="s">
        <v>35</v>
      </c>
      <c r="H2607" s="5" t="s">
        <v>35</v>
      </c>
      <c r="I2607" s="5" t="s">
        <v>35</v>
      </c>
      <c r="J2607" s="6">
        <v>3.0</v>
      </c>
      <c r="K2607" s="6" t="s">
        <v>37</v>
      </c>
      <c r="L2607" s="6">
        <v>1440.0</v>
      </c>
      <c r="M2607" s="26" t="s">
        <v>54</v>
      </c>
      <c r="N2607" s="26" t="s">
        <v>52</v>
      </c>
      <c r="O2607" s="6" t="s">
        <v>276</v>
      </c>
      <c r="P2607" s="5" t="s">
        <v>41</v>
      </c>
      <c r="Q2607" s="5"/>
      <c r="R2607" s="6" t="s">
        <v>42</v>
      </c>
      <c r="S2607" s="5" t="s">
        <v>62</v>
      </c>
      <c r="T2607" s="5" t="s">
        <v>465</v>
      </c>
      <c r="U2607" s="5" t="s">
        <v>44</v>
      </c>
      <c r="V2607" s="5" t="s">
        <v>44</v>
      </c>
      <c r="W2607" s="5" t="s">
        <v>36</v>
      </c>
      <c r="X2607" s="8" t="s">
        <v>194</v>
      </c>
      <c r="Y2607" s="5" t="s">
        <v>46</v>
      </c>
      <c r="Z2607" s="5" t="s">
        <v>47</v>
      </c>
      <c r="AA2607" s="5" t="s">
        <v>48</v>
      </c>
      <c r="AB2607" s="5" t="s">
        <v>12644</v>
      </c>
      <c r="AC2607" s="6" t="s">
        <v>626</v>
      </c>
      <c r="AD2607" s="6">
        <v>3617.0</v>
      </c>
    </row>
    <row r="2608" ht="56.25" customHeight="1">
      <c r="A2608" s="5" t="s">
        <v>12523</v>
      </c>
      <c r="B2608" s="6" t="str">
        <f>IMAGE("https://storage.googleapis.com/acdb/housewares/FtrFloat_Remake_6_3.png")</f>
        <v/>
      </c>
      <c r="C2608" s="5" t="s">
        <v>54</v>
      </c>
      <c r="D2608" s="5" t="s">
        <v>2</v>
      </c>
      <c r="E2608" s="5" t="s">
        <v>58</v>
      </c>
      <c r="F2608" s="5" t="s">
        <v>1667</v>
      </c>
      <c r="G2608" s="5" t="s">
        <v>35</v>
      </c>
      <c r="H2608" s="5" t="s">
        <v>35</v>
      </c>
      <c r="I2608" s="5" t="s">
        <v>35</v>
      </c>
      <c r="J2608" s="6">
        <v>3.0</v>
      </c>
      <c r="K2608" s="6" t="s">
        <v>37</v>
      </c>
      <c r="L2608" s="6">
        <v>1440.0</v>
      </c>
      <c r="M2608" s="26" t="s">
        <v>54</v>
      </c>
      <c r="N2608" s="26" t="s">
        <v>58</v>
      </c>
      <c r="O2608" s="6" t="s">
        <v>276</v>
      </c>
      <c r="P2608" s="5" t="s">
        <v>41</v>
      </c>
      <c r="Q2608" s="5"/>
      <c r="R2608" s="6" t="s">
        <v>42</v>
      </c>
      <c r="S2608" s="5" t="s">
        <v>62</v>
      </c>
      <c r="T2608" s="5" t="s">
        <v>465</v>
      </c>
      <c r="U2608" s="5" t="s">
        <v>44</v>
      </c>
      <c r="V2608" s="5" t="s">
        <v>44</v>
      </c>
      <c r="W2608" s="5" t="s">
        <v>36</v>
      </c>
      <c r="X2608" s="8" t="s">
        <v>194</v>
      </c>
      <c r="Y2608" s="5" t="s">
        <v>46</v>
      </c>
      <c r="Z2608" s="5" t="s">
        <v>47</v>
      </c>
      <c r="AA2608" s="5" t="s">
        <v>48</v>
      </c>
      <c r="AB2608" s="5" t="s">
        <v>12647</v>
      </c>
      <c r="AC2608" s="6" t="s">
        <v>634</v>
      </c>
      <c r="AD2608" s="6">
        <v>3617.0</v>
      </c>
    </row>
    <row r="2609" ht="56.25" customHeight="1">
      <c r="A2609" s="5" t="s">
        <v>12523</v>
      </c>
      <c r="B2609" s="6" t="str">
        <f>IMAGE("https://storage.googleapis.com/acdb/housewares/FtrFloat_Remake_6_4.png")</f>
        <v/>
      </c>
      <c r="C2609" s="5" t="s">
        <v>54</v>
      </c>
      <c r="D2609" s="5" t="s">
        <v>2</v>
      </c>
      <c r="E2609" s="5" t="s">
        <v>12540</v>
      </c>
      <c r="F2609" s="5" t="s">
        <v>1667</v>
      </c>
      <c r="G2609" s="5" t="s">
        <v>35</v>
      </c>
      <c r="H2609" s="5" t="s">
        <v>35</v>
      </c>
      <c r="I2609" s="5" t="s">
        <v>35</v>
      </c>
      <c r="J2609" s="6">
        <v>3.0</v>
      </c>
      <c r="K2609" s="6" t="s">
        <v>37</v>
      </c>
      <c r="L2609" s="6">
        <v>1440.0</v>
      </c>
      <c r="M2609" s="26" t="s">
        <v>54</v>
      </c>
      <c r="N2609" s="26" t="s">
        <v>68</v>
      </c>
      <c r="O2609" s="6" t="s">
        <v>276</v>
      </c>
      <c r="P2609" s="5" t="s">
        <v>41</v>
      </c>
      <c r="Q2609" s="5"/>
      <c r="R2609" s="6" t="s">
        <v>42</v>
      </c>
      <c r="S2609" s="5" t="s">
        <v>62</v>
      </c>
      <c r="T2609" s="5" t="s">
        <v>465</v>
      </c>
      <c r="U2609" s="5" t="s">
        <v>44</v>
      </c>
      <c r="V2609" s="5" t="s">
        <v>44</v>
      </c>
      <c r="W2609" s="5" t="s">
        <v>36</v>
      </c>
      <c r="X2609" s="8" t="s">
        <v>194</v>
      </c>
      <c r="Y2609" s="5" t="s">
        <v>46</v>
      </c>
      <c r="Z2609" s="5" t="s">
        <v>47</v>
      </c>
      <c r="AA2609" s="5" t="s">
        <v>48</v>
      </c>
      <c r="AB2609" s="5" t="s">
        <v>12650</v>
      </c>
      <c r="AC2609" s="6" t="s">
        <v>641</v>
      </c>
      <c r="AD2609" s="6">
        <v>3617.0</v>
      </c>
    </row>
    <row r="2610" ht="56.25" customHeight="1">
      <c r="A2610" s="5" t="s">
        <v>12523</v>
      </c>
      <c r="B2610" s="6" t="str">
        <f>IMAGE("https://storage.googleapis.com/acdb/housewares/FtrFloat_Remake_7_0.png")</f>
        <v/>
      </c>
      <c r="C2610" s="5" t="s">
        <v>95</v>
      </c>
      <c r="D2610" s="5" t="s">
        <v>34</v>
      </c>
      <c r="E2610" s="5" t="s">
        <v>44</v>
      </c>
      <c r="F2610" s="5" t="s">
        <v>1667</v>
      </c>
      <c r="G2610" s="5" t="s">
        <v>35</v>
      </c>
      <c r="H2610" s="5" t="s">
        <v>36</v>
      </c>
      <c r="I2610" s="5" t="s">
        <v>35</v>
      </c>
      <c r="J2610" s="6">
        <v>3.0</v>
      </c>
      <c r="K2610" s="6" t="s">
        <v>37</v>
      </c>
      <c r="L2610" s="6">
        <v>1440.0</v>
      </c>
      <c r="M2610" s="26" t="s">
        <v>95</v>
      </c>
      <c r="N2610" s="26" t="s">
        <v>95</v>
      </c>
      <c r="O2610" s="6" t="s">
        <v>276</v>
      </c>
      <c r="P2610" s="5" t="s">
        <v>41</v>
      </c>
      <c r="Q2610" s="5"/>
      <c r="R2610" s="6" t="s">
        <v>42</v>
      </c>
      <c r="S2610" s="5" t="s">
        <v>62</v>
      </c>
      <c r="T2610" s="5" t="s">
        <v>465</v>
      </c>
      <c r="U2610" s="5" t="s">
        <v>44</v>
      </c>
      <c r="V2610" s="5" t="s">
        <v>44</v>
      </c>
      <c r="W2610" s="5" t="s">
        <v>36</v>
      </c>
      <c r="X2610" s="8" t="s">
        <v>194</v>
      </c>
      <c r="Y2610" s="5" t="s">
        <v>46</v>
      </c>
      <c r="Z2610" s="5" t="s">
        <v>47</v>
      </c>
      <c r="AA2610" s="5" t="s">
        <v>48</v>
      </c>
      <c r="AB2610" s="5" t="s">
        <v>12654</v>
      </c>
      <c r="AC2610" s="6" t="s">
        <v>208</v>
      </c>
      <c r="AD2610" s="6">
        <v>3617.0</v>
      </c>
    </row>
    <row r="2611" ht="56.25" customHeight="1">
      <c r="A2611" s="5" t="s">
        <v>12523</v>
      </c>
      <c r="B2611" s="6" t="str">
        <f>IMAGE("https://storage.googleapis.com/acdb/housewares/FtrFloat_Remake_7_1.png")</f>
        <v/>
      </c>
      <c r="C2611" s="5" t="s">
        <v>95</v>
      </c>
      <c r="D2611" s="5" t="s">
        <v>34</v>
      </c>
      <c r="E2611" s="5" t="s">
        <v>2123</v>
      </c>
      <c r="F2611" s="5" t="s">
        <v>1667</v>
      </c>
      <c r="G2611" s="5" t="s">
        <v>35</v>
      </c>
      <c r="H2611" s="5" t="s">
        <v>36</v>
      </c>
      <c r="I2611" s="5" t="s">
        <v>35</v>
      </c>
      <c r="J2611" s="6">
        <v>3.0</v>
      </c>
      <c r="K2611" s="6" t="s">
        <v>37</v>
      </c>
      <c r="L2611" s="6">
        <v>1440.0</v>
      </c>
      <c r="M2611" s="26" t="s">
        <v>95</v>
      </c>
      <c r="N2611" s="26" t="s">
        <v>96</v>
      </c>
      <c r="O2611" s="6" t="s">
        <v>276</v>
      </c>
      <c r="P2611" s="5" t="s">
        <v>41</v>
      </c>
      <c r="Q2611" s="5"/>
      <c r="R2611" s="6" t="s">
        <v>42</v>
      </c>
      <c r="S2611" s="5" t="s">
        <v>62</v>
      </c>
      <c r="T2611" s="5" t="s">
        <v>465</v>
      </c>
      <c r="U2611" s="5" t="s">
        <v>44</v>
      </c>
      <c r="V2611" s="5" t="s">
        <v>44</v>
      </c>
      <c r="W2611" s="5" t="s">
        <v>36</v>
      </c>
      <c r="X2611" s="8" t="s">
        <v>194</v>
      </c>
      <c r="Y2611" s="5" t="s">
        <v>46</v>
      </c>
      <c r="Z2611" s="5" t="s">
        <v>47</v>
      </c>
      <c r="AA2611" s="5" t="s">
        <v>48</v>
      </c>
      <c r="AB2611" s="5" t="s">
        <v>12657</v>
      </c>
      <c r="AC2611" s="6" t="s">
        <v>1892</v>
      </c>
      <c r="AD2611" s="6">
        <v>3617.0</v>
      </c>
    </row>
    <row r="2612" ht="56.25" customHeight="1">
      <c r="A2612" s="5" t="s">
        <v>12523</v>
      </c>
      <c r="B2612" s="6" t="str">
        <f>IMAGE("https://storage.googleapis.com/acdb/housewares/FtrFloat_Remake_7_2.png")</f>
        <v/>
      </c>
      <c r="C2612" s="5" t="s">
        <v>95</v>
      </c>
      <c r="D2612" s="5" t="s">
        <v>34</v>
      </c>
      <c r="E2612" s="5" t="s">
        <v>906</v>
      </c>
      <c r="F2612" s="5" t="s">
        <v>1667</v>
      </c>
      <c r="G2612" s="5" t="s">
        <v>35</v>
      </c>
      <c r="H2612" s="5" t="s">
        <v>36</v>
      </c>
      <c r="I2612" s="5" t="s">
        <v>35</v>
      </c>
      <c r="J2612" s="6">
        <v>3.0</v>
      </c>
      <c r="K2612" s="6" t="s">
        <v>37</v>
      </c>
      <c r="L2612" s="6">
        <v>1440.0</v>
      </c>
      <c r="M2612" s="26" t="s">
        <v>95</v>
      </c>
      <c r="N2612" s="26" t="s">
        <v>52</v>
      </c>
      <c r="O2612" s="6" t="s">
        <v>276</v>
      </c>
      <c r="P2612" s="5" t="s">
        <v>41</v>
      </c>
      <c r="Q2612" s="5"/>
      <c r="R2612" s="6" t="s">
        <v>42</v>
      </c>
      <c r="S2612" s="5" t="s">
        <v>62</v>
      </c>
      <c r="T2612" s="5" t="s">
        <v>465</v>
      </c>
      <c r="U2612" s="5" t="s">
        <v>44</v>
      </c>
      <c r="V2612" s="5" t="s">
        <v>44</v>
      </c>
      <c r="W2612" s="5" t="s">
        <v>36</v>
      </c>
      <c r="X2612" s="8" t="s">
        <v>194</v>
      </c>
      <c r="Y2612" s="5" t="s">
        <v>46</v>
      </c>
      <c r="Z2612" s="5" t="s">
        <v>47</v>
      </c>
      <c r="AA2612" s="5" t="s">
        <v>48</v>
      </c>
      <c r="AB2612" s="5" t="s">
        <v>12660</v>
      </c>
      <c r="AC2612" s="6" t="s">
        <v>1901</v>
      </c>
      <c r="AD2612" s="6">
        <v>3617.0</v>
      </c>
    </row>
    <row r="2613" ht="56.25" customHeight="1">
      <c r="A2613" s="5" t="s">
        <v>12523</v>
      </c>
      <c r="B2613" s="6" t="str">
        <f>IMAGE("https://storage.googleapis.com/acdb/housewares/FtrFloat_Remake_7_3.png")</f>
        <v/>
      </c>
      <c r="C2613" s="5" t="s">
        <v>95</v>
      </c>
      <c r="D2613" s="5" t="s">
        <v>34</v>
      </c>
      <c r="E2613" s="5" t="s">
        <v>58</v>
      </c>
      <c r="F2613" s="5" t="s">
        <v>1667</v>
      </c>
      <c r="G2613" s="5" t="s">
        <v>35</v>
      </c>
      <c r="H2613" s="5" t="s">
        <v>36</v>
      </c>
      <c r="I2613" s="5" t="s">
        <v>35</v>
      </c>
      <c r="J2613" s="6">
        <v>3.0</v>
      </c>
      <c r="K2613" s="6" t="s">
        <v>37</v>
      </c>
      <c r="L2613" s="6">
        <v>1440.0</v>
      </c>
      <c r="M2613" s="26" t="s">
        <v>95</v>
      </c>
      <c r="N2613" s="26" t="s">
        <v>58</v>
      </c>
      <c r="O2613" s="6" t="s">
        <v>276</v>
      </c>
      <c r="P2613" s="5" t="s">
        <v>41</v>
      </c>
      <c r="Q2613" s="5"/>
      <c r="R2613" s="6" t="s">
        <v>42</v>
      </c>
      <c r="S2613" s="5" t="s">
        <v>62</v>
      </c>
      <c r="T2613" s="5" t="s">
        <v>465</v>
      </c>
      <c r="U2613" s="5" t="s">
        <v>44</v>
      </c>
      <c r="V2613" s="5" t="s">
        <v>44</v>
      </c>
      <c r="W2613" s="5" t="s">
        <v>36</v>
      </c>
      <c r="X2613" s="8" t="s">
        <v>194</v>
      </c>
      <c r="Y2613" s="5" t="s">
        <v>46</v>
      </c>
      <c r="Z2613" s="5" t="s">
        <v>47</v>
      </c>
      <c r="AA2613" s="5" t="s">
        <v>48</v>
      </c>
      <c r="AB2613" s="5" t="s">
        <v>12666</v>
      </c>
      <c r="AC2613" s="6" t="s">
        <v>1906</v>
      </c>
      <c r="AD2613" s="6">
        <v>3617.0</v>
      </c>
    </row>
    <row r="2614" ht="56.25" customHeight="1">
      <c r="A2614" s="5" t="s">
        <v>12523</v>
      </c>
      <c r="B2614" s="6" t="str">
        <f>IMAGE("https://storage.googleapis.com/acdb/housewares/FtrFloat_Remake_7_4.png")</f>
        <v/>
      </c>
      <c r="C2614" s="5" t="s">
        <v>95</v>
      </c>
      <c r="D2614" s="5" t="s">
        <v>34</v>
      </c>
      <c r="E2614" s="5" t="s">
        <v>12540</v>
      </c>
      <c r="F2614" s="5" t="s">
        <v>1667</v>
      </c>
      <c r="G2614" s="5" t="s">
        <v>35</v>
      </c>
      <c r="H2614" s="5" t="s">
        <v>36</v>
      </c>
      <c r="I2614" s="5" t="s">
        <v>35</v>
      </c>
      <c r="J2614" s="6">
        <v>3.0</v>
      </c>
      <c r="K2614" s="6" t="s">
        <v>37</v>
      </c>
      <c r="L2614" s="6">
        <v>1440.0</v>
      </c>
      <c r="M2614" s="26" t="s">
        <v>95</v>
      </c>
      <c r="N2614" s="26" t="s">
        <v>68</v>
      </c>
      <c r="O2614" s="6" t="s">
        <v>276</v>
      </c>
      <c r="P2614" s="5" t="s">
        <v>41</v>
      </c>
      <c r="Q2614" s="5"/>
      <c r="R2614" s="6" t="s">
        <v>42</v>
      </c>
      <c r="S2614" s="5" t="s">
        <v>62</v>
      </c>
      <c r="T2614" s="5" t="s">
        <v>465</v>
      </c>
      <c r="U2614" s="5" t="s">
        <v>44</v>
      </c>
      <c r="V2614" s="5" t="s">
        <v>44</v>
      </c>
      <c r="W2614" s="5" t="s">
        <v>36</v>
      </c>
      <c r="X2614" s="8" t="s">
        <v>194</v>
      </c>
      <c r="Y2614" s="5" t="s">
        <v>46</v>
      </c>
      <c r="Z2614" s="5" t="s">
        <v>47</v>
      </c>
      <c r="AA2614" s="5" t="s">
        <v>48</v>
      </c>
      <c r="AB2614" s="5" t="s">
        <v>12669</v>
      </c>
      <c r="AC2614" s="6" t="s">
        <v>1910</v>
      </c>
      <c r="AD2614" s="6">
        <v>3617.0</v>
      </c>
    </row>
    <row r="2615" ht="56.25" customHeight="1">
      <c r="A2615" s="5" t="s">
        <v>12670</v>
      </c>
      <c r="B2615" s="6" t="str">
        <f>IMAGE("https://storage.googleapis.com/acdb/housewares/FtrUmbrellastand_Remake_0_0.png")</f>
        <v/>
      </c>
      <c r="C2615" s="5" t="s">
        <v>54</v>
      </c>
      <c r="D2615" s="5" t="s">
        <v>1008</v>
      </c>
      <c r="E2615" s="5" t="s">
        <v>6184</v>
      </c>
      <c r="F2615" s="5" t="s">
        <v>12672</v>
      </c>
      <c r="G2615" s="5" t="s">
        <v>35</v>
      </c>
      <c r="H2615" s="5" t="s">
        <v>35</v>
      </c>
      <c r="I2615" s="5" t="s">
        <v>35</v>
      </c>
      <c r="J2615" s="6">
        <v>4.0</v>
      </c>
      <c r="K2615" s="6" t="s">
        <v>37</v>
      </c>
      <c r="L2615" s="6">
        <v>2250.0</v>
      </c>
      <c r="M2615" s="26" t="s">
        <v>54</v>
      </c>
      <c r="N2615" s="26" t="s">
        <v>58</v>
      </c>
      <c r="O2615" s="6" t="s">
        <v>40</v>
      </c>
      <c r="P2615" s="5" t="s">
        <v>41</v>
      </c>
      <c r="Q2615" s="5"/>
      <c r="R2615" s="6" t="s">
        <v>42</v>
      </c>
      <c r="S2615" s="5" t="s">
        <v>130</v>
      </c>
      <c r="T2615" s="5" t="s">
        <v>91</v>
      </c>
      <c r="U2615" s="5" t="s">
        <v>44</v>
      </c>
      <c r="V2615" s="5" t="s">
        <v>44</v>
      </c>
      <c r="W2615" s="5" t="s">
        <v>36</v>
      </c>
      <c r="X2615" s="8" t="s">
        <v>432</v>
      </c>
      <c r="Y2615" s="5" t="s">
        <v>46</v>
      </c>
      <c r="Z2615" s="5" t="s">
        <v>47</v>
      </c>
      <c r="AA2615" s="5" t="s">
        <v>48</v>
      </c>
      <c r="AB2615" s="5" t="s">
        <v>12674</v>
      </c>
      <c r="AC2615" s="6" t="s">
        <v>50</v>
      </c>
      <c r="AD2615" s="6">
        <v>3445.0</v>
      </c>
    </row>
    <row r="2616" ht="56.25" customHeight="1">
      <c r="A2616" s="5" t="s">
        <v>12670</v>
      </c>
      <c r="B2616" s="6" t="str">
        <f>IMAGE("https://storage.googleapis.com/acdb/housewares/FtrUmbrellastand_Remake_0_1.png")</f>
        <v/>
      </c>
      <c r="C2616" s="5" t="s">
        <v>54</v>
      </c>
      <c r="D2616" s="5" t="s">
        <v>1008</v>
      </c>
      <c r="E2616" s="5" t="s">
        <v>6194</v>
      </c>
      <c r="F2616" s="5" t="s">
        <v>12672</v>
      </c>
      <c r="G2616" s="5" t="s">
        <v>35</v>
      </c>
      <c r="H2616" s="5" t="s">
        <v>35</v>
      </c>
      <c r="I2616" s="5" t="s">
        <v>35</v>
      </c>
      <c r="J2616" s="6">
        <v>4.0</v>
      </c>
      <c r="K2616" s="6" t="s">
        <v>37</v>
      </c>
      <c r="L2616" s="6">
        <v>2250.0</v>
      </c>
      <c r="M2616" s="26" t="s">
        <v>54</v>
      </c>
      <c r="N2616" s="26" t="s">
        <v>96</v>
      </c>
      <c r="O2616" s="6" t="s">
        <v>40</v>
      </c>
      <c r="P2616" s="5" t="s">
        <v>41</v>
      </c>
      <c r="Q2616" s="5"/>
      <c r="R2616" s="6" t="s">
        <v>42</v>
      </c>
      <c r="S2616" s="5" t="s">
        <v>130</v>
      </c>
      <c r="T2616" s="5" t="s">
        <v>91</v>
      </c>
      <c r="U2616" s="5" t="s">
        <v>44</v>
      </c>
      <c r="V2616" s="5" t="s">
        <v>44</v>
      </c>
      <c r="W2616" s="5" t="s">
        <v>36</v>
      </c>
      <c r="X2616" s="8" t="s">
        <v>432</v>
      </c>
      <c r="Y2616" s="5" t="s">
        <v>46</v>
      </c>
      <c r="Z2616" s="5" t="s">
        <v>47</v>
      </c>
      <c r="AA2616" s="5" t="s">
        <v>48</v>
      </c>
      <c r="AB2616" s="5" t="s">
        <v>12678</v>
      </c>
      <c r="AC2616" s="6" t="s">
        <v>217</v>
      </c>
      <c r="AD2616" s="6">
        <v>3445.0</v>
      </c>
    </row>
    <row r="2617" ht="56.25" customHeight="1">
      <c r="A2617" s="5" t="s">
        <v>12670</v>
      </c>
      <c r="B2617" s="6" t="str">
        <f>IMAGE("https://storage.googleapis.com/acdb/housewares/FtrUmbrellastand_Remake_0_2.png")</f>
        <v/>
      </c>
      <c r="C2617" s="5" t="s">
        <v>54</v>
      </c>
      <c r="D2617" s="5" t="s">
        <v>1008</v>
      </c>
      <c r="E2617" s="5" t="s">
        <v>6139</v>
      </c>
      <c r="F2617" s="5" t="s">
        <v>12672</v>
      </c>
      <c r="G2617" s="5" t="s">
        <v>35</v>
      </c>
      <c r="H2617" s="5" t="s">
        <v>35</v>
      </c>
      <c r="I2617" s="5" t="s">
        <v>35</v>
      </c>
      <c r="J2617" s="6">
        <v>4.0</v>
      </c>
      <c r="K2617" s="6" t="s">
        <v>37</v>
      </c>
      <c r="L2617" s="6">
        <v>2250.0</v>
      </c>
      <c r="M2617" s="26" t="s">
        <v>54</v>
      </c>
      <c r="N2617" s="26" t="s">
        <v>68</v>
      </c>
      <c r="O2617" s="6" t="s">
        <v>40</v>
      </c>
      <c r="P2617" s="5" t="s">
        <v>41</v>
      </c>
      <c r="Q2617" s="5"/>
      <c r="R2617" s="6" t="s">
        <v>42</v>
      </c>
      <c r="S2617" s="5" t="s">
        <v>130</v>
      </c>
      <c r="T2617" s="5" t="s">
        <v>91</v>
      </c>
      <c r="U2617" s="5" t="s">
        <v>44</v>
      </c>
      <c r="V2617" s="5" t="s">
        <v>44</v>
      </c>
      <c r="W2617" s="5" t="s">
        <v>36</v>
      </c>
      <c r="X2617" s="8" t="s">
        <v>432</v>
      </c>
      <c r="Y2617" s="5" t="s">
        <v>46</v>
      </c>
      <c r="Z2617" s="5" t="s">
        <v>47</v>
      </c>
      <c r="AA2617" s="5" t="s">
        <v>48</v>
      </c>
      <c r="AB2617" s="5" t="s">
        <v>12682</v>
      </c>
      <c r="AC2617" s="6" t="s">
        <v>347</v>
      </c>
      <c r="AD2617" s="6">
        <v>3445.0</v>
      </c>
    </row>
    <row r="2618" ht="56.25" customHeight="1">
      <c r="A2618" s="5" t="s">
        <v>12670</v>
      </c>
      <c r="B2618" s="6" t="str">
        <f>IMAGE("https://storage.googleapis.com/acdb/housewares/FtrUmbrellastand_Remake_0_3.png")</f>
        <v/>
      </c>
      <c r="C2618" s="5" t="s">
        <v>54</v>
      </c>
      <c r="D2618" s="5" t="s">
        <v>1008</v>
      </c>
      <c r="E2618" s="5" t="s">
        <v>6634</v>
      </c>
      <c r="F2618" s="5" t="s">
        <v>12672</v>
      </c>
      <c r="G2618" s="5" t="s">
        <v>35</v>
      </c>
      <c r="H2618" s="5" t="s">
        <v>35</v>
      </c>
      <c r="I2618" s="5" t="s">
        <v>35</v>
      </c>
      <c r="J2618" s="6">
        <v>4.0</v>
      </c>
      <c r="K2618" s="6" t="s">
        <v>37</v>
      </c>
      <c r="L2618" s="6">
        <v>2250.0</v>
      </c>
      <c r="M2618" s="26" t="s">
        <v>54</v>
      </c>
      <c r="N2618" s="26" t="s">
        <v>58</v>
      </c>
      <c r="O2618" s="6" t="s">
        <v>40</v>
      </c>
      <c r="P2618" s="5" t="s">
        <v>41</v>
      </c>
      <c r="Q2618" s="5"/>
      <c r="R2618" s="6" t="s">
        <v>42</v>
      </c>
      <c r="S2618" s="5" t="s">
        <v>130</v>
      </c>
      <c r="T2618" s="5" t="s">
        <v>91</v>
      </c>
      <c r="U2618" s="5" t="s">
        <v>44</v>
      </c>
      <c r="V2618" s="5" t="s">
        <v>44</v>
      </c>
      <c r="W2618" s="5" t="s">
        <v>36</v>
      </c>
      <c r="X2618" s="8" t="s">
        <v>432</v>
      </c>
      <c r="Y2618" s="5" t="s">
        <v>46</v>
      </c>
      <c r="Z2618" s="5" t="s">
        <v>47</v>
      </c>
      <c r="AA2618" s="5" t="s">
        <v>48</v>
      </c>
      <c r="AB2618" s="5" t="s">
        <v>12685</v>
      </c>
      <c r="AC2618" s="6" t="s">
        <v>354</v>
      </c>
      <c r="AD2618" s="6">
        <v>3445.0</v>
      </c>
    </row>
    <row r="2619" ht="56.25" customHeight="1">
      <c r="A2619" s="5" t="s">
        <v>12670</v>
      </c>
      <c r="B2619" s="6" t="str">
        <f>IMAGE("https://storage.googleapis.com/acdb/housewares/FtrUmbrellastand_Remake_1_0.png")</f>
        <v/>
      </c>
      <c r="C2619" s="5" t="s">
        <v>57</v>
      </c>
      <c r="D2619" s="5" t="s">
        <v>1008</v>
      </c>
      <c r="E2619" s="5" t="s">
        <v>6184</v>
      </c>
      <c r="F2619" s="5" t="s">
        <v>12672</v>
      </c>
      <c r="G2619" s="5" t="s">
        <v>35</v>
      </c>
      <c r="H2619" s="5" t="s">
        <v>35</v>
      </c>
      <c r="I2619" s="5" t="s">
        <v>35</v>
      </c>
      <c r="J2619" s="6">
        <v>4.0</v>
      </c>
      <c r="K2619" s="6" t="s">
        <v>37</v>
      </c>
      <c r="L2619" s="6">
        <v>2250.0</v>
      </c>
      <c r="M2619" s="26" t="s">
        <v>57</v>
      </c>
      <c r="N2619" s="26" t="s">
        <v>58</v>
      </c>
      <c r="O2619" s="6" t="s">
        <v>40</v>
      </c>
      <c r="P2619" s="5" t="s">
        <v>41</v>
      </c>
      <c r="Q2619" s="5"/>
      <c r="R2619" s="6" t="s">
        <v>42</v>
      </c>
      <c r="S2619" s="5" t="s">
        <v>130</v>
      </c>
      <c r="T2619" s="5" t="s">
        <v>91</v>
      </c>
      <c r="U2619" s="5" t="s">
        <v>44</v>
      </c>
      <c r="V2619" s="5" t="s">
        <v>44</v>
      </c>
      <c r="W2619" s="5" t="s">
        <v>36</v>
      </c>
      <c r="X2619" s="8" t="s">
        <v>432</v>
      </c>
      <c r="Y2619" s="5" t="s">
        <v>46</v>
      </c>
      <c r="Z2619" s="5" t="s">
        <v>47</v>
      </c>
      <c r="AA2619" s="5" t="s">
        <v>48</v>
      </c>
      <c r="AB2619" s="5" t="s">
        <v>12688</v>
      </c>
      <c r="AC2619" s="6" t="s">
        <v>56</v>
      </c>
      <c r="AD2619" s="6">
        <v>3445.0</v>
      </c>
    </row>
    <row r="2620" ht="56.25" customHeight="1">
      <c r="A2620" s="5" t="s">
        <v>12670</v>
      </c>
      <c r="B2620" s="6" t="str">
        <f>IMAGE("https://storage.googleapis.com/acdb/housewares/FtrUmbrellastand_Remake_1_1.png")</f>
        <v/>
      </c>
      <c r="C2620" s="5" t="s">
        <v>57</v>
      </c>
      <c r="D2620" s="5" t="s">
        <v>1008</v>
      </c>
      <c r="E2620" s="5" t="s">
        <v>6194</v>
      </c>
      <c r="F2620" s="5" t="s">
        <v>12672</v>
      </c>
      <c r="G2620" s="5" t="s">
        <v>35</v>
      </c>
      <c r="H2620" s="5" t="s">
        <v>35</v>
      </c>
      <c r="I2620" s="5" t="s">
        <v>35</v>
      </c>
      <c r="J2620" s="6">
        <v>4.0</v>
      </c>
      <c r="K2620" s="6" t="s">
        <v>37</v>
      </c>
      <c r="L2620" s="6">
        <v>2250.0</v>
      </c>
      <c r="M2620" s="26" t="s">
        <v>57</v>
      </c>
      <c r="N2620" s="26" t="s">
        <v>96</v>
      </c>
      <c r="O2620" s="6" t="s">
        <v>40</v>
      </c>
      <c r="P2620" s="5" t="s">
        <v>41</v>
      </c>
      <c r="Q2620" s="5"/>
      <c r="R2620" s="6" t="s">
        <v>42</v>
      </c>
      <c r="S2620" s="5" t="s">
        <v>130</v>
      </c>
      <c r="T2620" s="5" t="s">
        <v>91</v>
      </c>
      <c r="U2620" s="5" t="s">
        <v>44</v>
      </c>
      <c r="V2620" s="5" t="s">
        <v>44</v>
      </c>
      <c r="W2620" s="5" t="s">
        <v>36</v>
      </c>
      <c r="X2620" s="8" t="s">
        <v>432</v>
      </c>
      <c r="Y2620" s="5" t="s">
        <v>46</v>
      </c>
      <c r="Z2620" s="5" t="s">
        <v>47</v>
      </c>
      <c r="AA2620" s="5" t="s">
        <v>48</v>
      </c>
      <c r="AB2620" s="5" t="s">
        <v>12692</v>
      </c>
      <c r="AC2620" s="6" t="s">
        <v>234</v>
      </c>
      <c r="AD2620" s="6">
        <v>3445.0</v>
      </c>
    </row>
    <row r="2621" ht="56.25" customHeight="1">
      <c r="A2621" s="5" t="s">
        <v>12670</v>
      </c>
      <c r="B2621" s="6" t="str">
        <f>IMAGE("https://storage.googleapis.com/acdb/housewares/FtrUmbrellastand_Remake_1_2.png")</f>
        <v/>
      </c>
      <c r="C2621" s="5" t="s">
        <v>57</v>
      </c>
      <c r="D2621" s="5" t="s">
        <v>1008</v>
      </c>
      <c r="E2621" s="5" t="s">
        <v>6139</v>
      </c>
      <c r="F2621" s="5" t="s">
        <v>12672</v>
      </c>
      <c r="G2621" s="5" t="s">
        <v>35</v>
      </c>
      <c r="H2621" s="5" t="s">
        <v>35</v>
      </c>
      <c r="I2621" s="5" t="s">
        <v>35</v>
      </c>
      <c r="J2621" s="6">
        <v>4.0</v>
      </c>
      <c r="K2621" s="6" t="s">
        <v>37</v>
      </c>
      <c r="L2621" s="6">
        <v>2250.0</v>
      </c>
      <c r="M2621" s="26" t="s">
        <v>57</v>
      </c>
      <c r="N2621" s="26" t="s">
        <v>68</v>
      </c>
      <c r="O2621" s="6" t="s">
        <v>40</v>
      </c>
      <c r="P2621" s="5" t="s">
        <v>41</v>
      </c>
      <c r="Q2621" s="5"/>
      <c r="R2621" s="6" t="s">
        <v>42</v>
      </c>
      <c r="S2621" s="5" t="s">
        <v>130</v>
      </c>
      <c r="T2621" s="5" t="s">
        <v>91</v>
      </c>
      <c r="U2621" s="5" t="s">
        <v>44</v>
      </c>
      <c r="V2621" s="5" t="s">
        <v>44</v>
      </c>
      <c r="W2621" s="5" t="s">
        <v>36</v>
      </c>
      <c r="X2621" s="8" t="s">
        <v>432</v>
      </c>
      <c r="Y2621" s="5" t="s">
        <v>46</v>
      </c>
      <c r="Z2621" s="5" t="s">
        <v>47</v>
      </c>
      <c r="AA2621" s="5" t="s">
        <v>48</v>
      </c>
      <c r="AB2621" s="5" t="s">
        <v>12697</v>
      </c>
      <c r="AC2621" s="6" t="s">
        <v>370</v>
      </c>
      <c r="AD2621" s="6">
        <v>3445.0</v>
      </c>
    </row>
    <row r="2622" ht="56.25" customHeight="1">
      <c r="A2622" s="5" t="s">
        <v>12670</v>
      </c>
      <c r="B2622" s="6" t="str">
        <f>IMAGE("https://storage.googleapis.com/acdb/housewares/FtrUmbrellastand_Remake_1_3.png")</f>
        <v/>
      </c>
      <c r="C2622" s="5" t="s">
        <v>57</v>
      </c>
      <c r="D2622" s="5" t="s">
        <v>1008</v>
      </c>
      <c r="E2622" s="5" t="s">
        <v>6634</v>
      </c>
      <c r="F2622" s="5" t="s">
        <v>12672</v>
      </c>
      <c r="G2622" s="5" t="s">
        <v>35</v>
      </c>
      <c r="H2622" s="5" t="s">
        <v>35</v>
      </c>
      <c r="I2622" s="5" t="s">
        <v>35</v>
      </c>
      <c r="J2622" s="6">
        <v>4.0</v>
      </c>
      <c r="K2622" s="6" t="s">
        <v>37</v>
      </c>
      <c r="L2622" s="6">
        <v>2250.0</v>
      </c>
      <c r="M2622" s="26" t="s">
        <v>57</v>
      </c>
      <c r="N2622" s="26" t="s">
        <v>58</v>
      </c>
      <c r="O2622" s="6" t="s">
        <v>40</v>
      </c>
      <c r="P2622" s="5" t="s">
        <v>41</v>
      </c>
      <c r="Q2622" s="5"/>
      <c r="R2622" s="6" t="s">
        <v>42</v>
      </c>
      <c r="S2622" s="5" t="s">
        <v>130</v>
      </c>
      <c r="T2622" s="5" t="s">
        <v>91</v>
      </c>
      <c r="U2622" s="5" t="s">
        <v>44</v>
      </c>
      <c r="V2622" s="5" t="s">
        <v>44</v>
      </c>
      <c r="W2622" s="5" t="s">
        <v>36</v>
      </c>
      <c r="X2622" s="8" t="s">
        <v>432</v>
      </c>
      <c r="Y2622" s="5" t="s">
        <v>46</v>
      </c>
      <c r="Z2622" s="5" t="s">
        <v>47</v>
      </c>
      <c r="AA2622" s="5" t="s">
        <v>48</v>
      </c>
      <c r="AB2622" s="5" t="s">
        <v>12699</v>
      </c>
      <c r="AC2622" s="6" t="s">
        <v>377</v>
      </c>
      <c r="AD2622" s="6">
        <v>3445.0</v>
      </c>
    </row>
    <row r="2623" ht="56.25" customHeight="1">
      <c r="A2623" s="5" t="s">
        <v>12670</v>
      </c>
      <c r="B2623" s="6" t="str">
        <f>IMAGE("https://storage.googleapis.com/acdb/housewares/FtrUmbrellastand_Remake_2_0.png")</f>
        <v/>
      </c>
      <c r="C2623" s="5" t="s">
        <v>146</v>
      </c>
      <c r="D2623" s="5" t="s">
        <v>1008</v>
      </c>
      <c r="E2623" s="5" t="s">
        <v>6184</v>
      </c>
      <c r="F2623" s="5" t="s">
        <v>12672</v>
      </c>
      <c r="G2623" s="5" t="s">
        <v>35</v>
      </c>
      <c r="H2623" s="5" t="s">
        <v>35</v>
      </c>
      <c r="I2623" s="5" t="s">
        <v>35</v>
      </c>
      <c r="J2623" s="6">
        <v>4.0</v>
      </c>
      <c r="K2623" s="6" t="s">
        <v>37</v>
      </c>
      <c r="L2623" s="6">
        <v>2250.0</v>
      </c>
      <c r="M2623" s="26" t="s">
        <v>95</v>
      </c>
      <c r="N2623" s="26" t="s">
        <v>58</v>
      </c>
      <c r="O2623" s="6" t="s">
        <v>40</v>
      </c>
      <c r="P2623" s="5" t="s">
        <v>41</v>
      </c>
      <c r="Q2623" s="5"/>
      <c r="R2623" s="6" t="s">
        <v>42</v>
      </c>
      <c r="S2623" s="5" t="s">
        <v>130</v>
      </c>
      <c r="T2623" s="5" t="s">
        <v>91</v>
      </c>
      <c r="U2623" s="5" t="s">
        <v>44</v>
      </c>
      <c r="V2623" s="5" t="s">
        <v>44</v>
      </c>
      <c r="W2623" s="5" t="s">
        <v>36</v>
      </c>
      <c r="X2623" s="8" t="s">
        <v>432</v>
      </c>
      <c r="Y2623" s="5" t="s">
        <v>46</v>
      </c>
      <c r="Z2623" s="5" t="s">
        <v>47</v>
      </c>
      <c r="AA2623" s="5" t="s">
        <v>48</v>
      </c>
      <c r="AB2623" s="5" t="s">
        <v>12703</v>
      </c>
      <c r="AC2623" s="6" t="s">
        <v>67</v>
      </c>
      <c r="AD2623" s="6">
        <v>3445.0</v>
      </c>
    </row>
    <row r="2624" ht="56.25" customHeight="1">
      <c r="A2624" s="5" t="s">
        <v>12670</v>
      </c>
      <c r="B2624" s="6" t="str">
        <f>IMAGE("https://storage.googleapis.com/acdb/housewares/FtrUmbrellastand_Remake_2_1.png")</f>
        <v/>
      </c>
      <c r="C2624" s="5" t="s">
        <v>146</v>
      </c>
      <c r="D2624" s="5" t="s">
        <v>1008</v>
      </c>
      <c r="E2624" s="5" t="s">
        <v>6194</v>
      </c>
      <c r="F2624" s="5" t="s">
        <v>12672</v>
      </c>
      <c r="G2624" s="5" t="s">
        <v>35</v>
      </c>
      <c r="H2624" s="5" t="s">
        <v>35</v>
      </c>
      <c r="I2624" s="5" t="s">
        <v>35</v>
      </c>
      <c r="J2624" s="6">
        <v>4.0</v>
      </c>
      <c r="K2624" s="6" t="s">
        <v>37</v>
      </c>
      <c r="L2624" s="6">
        <v>2250.0</v>
      </c>
      <c r="M2624" s="26" t="s">
        <v>95</v>
      </c>
      <c r="N2624" s="26" t="s">
        <v>96</v>
      </c>
      <c r="O2624" s="6" t="s">
        <v>40</v>
      </c>
      <c r="P2624" s="5" t="s">
        <v>41</v>
      </c>
      <c r="Q2624" s="5"/>
      <c r="R2624" s="6" t="s">
        <v>42</v>
      </c>
      <c r="S2624" s="5" t="s">
        <v>130</v>
      </c>
      <c r="T2624" s="5" t="s">
        <v>91</v>
      </c>
      <c r="U2624" s="5" t="s">
        <v>44</v>
      </c>
      <c r="V2624" s="5" t="s">
        <v>44</v>
      </c>
      <c r="W2624" s="5" t="s">
        <v>36</v>
      </c>
      <c r="X2624" s="8" t="s">
        <v>432</v>
      </c>
      <c r="Y2624" s="5" t="s">
        <v>46</v>
      </c>
      <c r="Z2624" s="5" t="s">
        <v>47</v>
      </c>
      <c r="AA2624" s="5" t="s">
        <v>48</v>
      </c>
      <c r="AB2624" s="5" t="s">
        <v>12706</v>
      </c>
      <c r="AC2624" s="6" t="s">
        <v>247</v>
      </c>
      <c r="AD2624" s="6">
        <v>3445.0</v>
      </c>
    </row>
    <row r="2625" ht="56.25" customHeight="1">
      <c r="A2625" s="5" t="s">
        <v>12670</v>
      </c>
      <c r="B2625" s="6" t="str">
        <f>IMAGE("https://storage.googleapis.com/acdb/housewares/FtrUmbrellastand_Remake_2_2.png")</f>
        <v/>
      </c>
      <c r="C2625" s="5" t="s">
        <v>146</v>
      </c>
      <c r="D2625" s="5" t="s">
        <v>1008</v>
      </c>
      <c r="E2625" s="5" t="s">
        <v>6139</v>
      </c>
      <c r="F2625" s="5" t="s">
        <v>12672</v>
      </c>
      <c r="G2625" s="5" t="s">
        <v>35</v>
      </c>
      <c r="H2625" s="5" t="s">
        <v>35</v>
      </c>
      <c r="I2625" s="5" t="s">
        <v>35</v>
      </c>
      <c r="J2625" s="6">
        <v>4.0</v>
      </c>
      <c r="K2625" s="6" t="s">
        <v>37</v>
      </c>
      <c r="L2625" s="6">
        <v>2250.0</v>
      </c>
      <c r="M2625" s="26" t="s">
        <v>95</v>
      </c>
      <c r="N2625" s="26" t="s">
        <v>68</v>
      </c>
      <c r="O2625" s="6" t="s">
        <v>40</v>
      </c>
      <c r="P2625" s="5" t="s">
        <v>41</v>
      </c>
      <c r="Q2625" s="5"/>
      <c r="R2625" s="6" t="s">
        <v>42</v>
      </c>
      <c r="S2625" s="5" t="s">
        <v>130</v>
      </c>
      <c r="T2625" s="5" t="s">
        <v>91</v>
      </c>
      <c r="U2625" s="5" t="s">
        <v>44</v>
      </c>
      <c r="V2625" s="5" t="s">
        <v>44</v>
      </c>
      <c r="W2625" s="5" t="s">
        <v>36</v>
      </c>
      <c r="X2625" s="8" t="s">
        <v>432</v>
      </c>
      <c r="Y2625" s="5" t="s">
        <v>46</v>
      </c>
      <c r="Z2625" s="5" t="s">
        <v>47</v>
      </c>
      <c r="AA2625" s="5" t="s">
        <v>48</v>
      </c>
      <c r="AB2625" s="5" t="s">
        <v>12709</v>
      </c>
      <c r="AC2625" s="6" t="s">
        <v>390</v>
      </c>
      <c r="AD2625" s="6">
        <v>3445.0</v>
      </c>
    </row>
    <row r="2626" ht="56.25" customHeight="1">
      <c r="A2626" s="5" t="s">
        <v>12670</v>
      </c>
      <c r="B2626" s="6" t="str">
        <f>IMAGE("https://storage.googleapis.com/acdb/housewares/FtrUmbrellastand_Remake_2_3.png")</f>
        <v/>
      </c>
      <c r="C2626" s="5" t="s">
        <v>146</v>
      </c>
      <c r="D2626" s="5" t="s">
        <v>1008</v>
      </c>
      <c r="E2626" s="5" t="s">
        <v>6634</v>
      </c>
      <c r="F2626" s="5" t="s">
        <v>12672</v>
      </c>
      <c r="G2626" s="5" t="s">
        <v>35</v>
      </c>
      <c r="H2626" s="5" t="s">
        <v>35</v>
      </c>
      <c r="I2626" s="5" t="s">
        <v>35</v>
      </c>
      <c r="J2626" s="6">
        <v>4.0</v>
      </c>
      <c r="K2626" s="6" t="s">
        <v>37</v>
      </c>
      <c r="L2626" s="6">
        <v>2250.0</v>
      </c>
      <c r="M2626" s="26" t="s">
        <v>95</v>
      </c>
      <c r="N2626" s="26" t="s">
        <v>58</v>
      </c>
      <c r="O2626" s="6" t="s">
        <v>40</v>
      </c>
      <c r="P2626" s="5" t="s">
        <v>41</v>
      </c>
      <c r="Q2626" s="5"/>
      <c r="R2626" s="6" t="s">
        <v>42</v>
      </c>
      <c r="S2626" s="5" t="s">
        <v>130</v>
      </c>
      <c r="T2626" s="5" t="s">
        <v>91</v>
      </c>
      <c r="U2626" s="5" t="s">
        <v>44</v>
      </c>
      <c r="V2626" s="5" t="s">
        <v>44</v>
      </c>
      <c r="W2626" s="5" t="s">
        <v>36</v>
      </c>
      <c r="X2626" s="8" t="s">
        <v>432</v>
      </c>
      <c r="Y2626" s="5" t="s">
        <v>46</v>
      </c>
      <c r="Z2626" s="5" t="s">
        <v>47</v>
      </c>
      <c r="AA2626" s="5" t="s">
        <v>48</v>
      </c>
      <c r="AB2626" s="5" t="s">
        <v>12714</v>
      </c>
      <c r="AC2626" s="6" t="s">
        <v>396</v>
      </c>
      <c r="AD2626" s="6">
        <v>3445.0</v>
      </c>
    </row>
    <row r="2627" ht="56.25" customHeight="1">
      <c r="A2627" s="5" t="s">
        <v>12670</v>
      </c>
      <c r="B2627" s="6" t="str">
        <f>IMAGE("https://storage.googleapis.com/acdb/housewares/FtrUmbrellastand_Remake_3_0.png")</f>
        <v/>
      </c>
      <c r="C2627" s="5" t="s">
        <v>96</v>
      </c>
      <c r="D2627" s="5" t="s">
        <v>1008</v>
      </c>
      <c r="E2627" s="5" t="s">
        <v>6184</v>
      </c>
      <c r="F2627" s="5" t="s">
        <v>12672</v>
      </c>
      <c r="G2627" s="5" t="s">
        <v>35</v>
      </c>
      <c r="H2627" s="5" t="s">
        <v>35</v>
      </c>
      <c r="I2627" s="5" t="s">
        <v>35</v>
      </c>
      <c r="J2627" s="6">
        <v>4.0</v>
      </c>
      <c r="K2627" s="6" t="s">
        <v>37</v>
      </c>
      <c r="L2627" s="6">
        <v>2250.0</v>
      </c>
      <c r="M2627" s="26" t="s">
        <v>96</v>
      </c>
      <c r="N2627" s="26" t="s">
        <v>58</v>
      </c>
      <c r="O2627" s="6" t="s">
        <v>40</v>
      </c>
      <c r="P2627" s="5" t="s">
        <v>41</v>
      </c>
      <c r="Q2627" s="5"/>
      <c r="R2627" s="6" t="s">
        <v>42</v>
      </c>
      <c r="S2627" s="5" t="s">
        <v>130</v>
      </c>
      <c r="T2627" s="5" t="s">
        <v>91</v>
      </c>
      <c r="U2627" s="5" t="s">
        <v>44</v>
      </c>
      <c r="V2627" s="5" t="s">
        <v>44</v>
      </c>
      <c r="W2627" s="5" t="s">
        <v>36</v>
      </c>
      <c r="X2627" s="8" t="s">
        <v>432</v>
      </c>
      <c r="Y2627" s="5" t="s">
        <v>46</v>
      </c>
      <c r="Z2627" s="5" t="s">
        <v>47</v>
      </c>
      <c r="AA2627" s="5" t="s">
        <v>48</v>
      </c>
      <c r="AB2627" s="5" t="s">
        <v>12717</v>
      </c>
      <c r="AC2627" s="6" t="s">
        <v>71</v>
      </c>
      <c r="AD2627" s="6">
        <v>3445.0</v>
      </c>
    </row>
    <row r="2628" ht="56.25" customHeight="1">
      <c r="A2628" s="5" t="s">
        <v>12670</v>
      </c>
      <c r="B2628" s="6" t="str">
        <f>IMAGE("https://storage.googleapis.com/acdb/housewares/FtrUmbrellastand_Remake_3_1.png")</f>
        <v/>
      </c>
      <c r="C2628" s="5" t="s">
        <v>96</v>
      </c>
      <c r="D2628" s="5" t="s">
        <v>34</v>
      </c>
      <c r="E2628" s="5" t="s">
        <v>6194</v>
      </c>
      <c r="F2628" s="5" t="s">
        <v>12672</v>
      </c>
      <c r="G2628" s="5" t="s">
        <v>35</v>
      </c>
      <c r="H2628" s="5" t="s">
        <v>36</v>
      </c>
      <c r="I2628" s="5" t="s">
        <v>35</v>
      </c>
      <c r="J2628" s="6">
        <v>4.0</v>
      </c>
      <c r="K2628" s="6" t="s">
        <v>37</v>
      </c>
      <c r="L2628" s="6">
        <v>2250.0</v>
      </c>
      <c r="M2628" s="26" t="s">
        <v>96</v>
      </c>
      <c r="N2628" s="26" t="s">
        <v>96</v>
      </c>
      <c r="O2628" s="6" t="s">
        <v>40</v>
      </c>
      <c r="P2628" s="5" t="s">
        <v>41</v>
      </c>
      <c r="Q2628" s="5"/>
      <c r="R2628" s="6" t="s">
        <v>42</v>
      </c>
      <c r="S2628" s="5" t="s">
        <v>130</v>
      </c>
      <c r="T2628" s="5" t="s">
        <v>91</v>
      </c>
      <c r="U2628" s="5" t="s">
        <v>44</v>
      </c>
      <c r="V2628" s="5" t="s">
        <v>44</v>
      </c>
      <c r="W2628" s="5" t="s">
        <v>36</v>
      </c>
      <c r="X2628" s="8" t="s">
        <v>432</v>
      </c>
      <c r="Y2628" s="5" t="s">
        <v>46</v>
      </c>
      <c r="Z2628" s="5" t="s">
        <v>47</v>
      </c>
      <c r="AA2628" s="5" t="s">
        <v>48</v>
      </c>
      <c r="AB2628" s="5" t="s">
        <v>12720</v>
      </c>
      <c r="AC2628" s="6" t="s">
        <v>257</v>
      </c>
      <c r="AD2628" s="6">
        <v>3445.0</v>
      </c>
    </row>
    <row r="2629" ht="56.25" customHeight="1">
      <c r="A2629" s="5" t="s">
        <v>12670</v>
      </c>
      <c r="B2629" s="6" t="str">
        <f>IMAGE("https://storage.googleapis.com/acdb/housewares/FtrUmbrellastand_Remake_3_2.png")</f>
        <v/>
      </c>
      <c r="C2629" s="5" t="s">
        <v>96</v>
      </c>
      <c r="D2629" s="5" t="s">
        <v>34</v>
      </c>
      <c r="E2629" s="5" t="s">
        <v>6139</v>
      </c>
      <c r="F2629" s="5" t="s">
        <v>12672</v>
      </c>
      <c r="G2629" s="5" t="s">
        <v>35</v>
      </c>
      <c r="H2629" s="5" t="s">
        <v>36</v>
      </c>
      <c r="I2629" s="5" t="s">
        <v>35</v>
      </c>
      <c r="J2629" s="6">
        <v>4.0</v>
      </c>
      <c r="K2629" s="6" t="s">
        <v>37</v>
      </c>
      <c r="L2629" s="6">
        <v>2250.0</v>
      </c>
      <c r="M2629" s="26" t="s">
        <v>96</v>
      </c>
      <c r="N2629" s="26" t="s">
        <v>68</v>
      </c>
      <c r="O2629" s="6" t="s">
        <v>40</v>
      </c>
      <c r="P2629" s="5" t="s">
        <v>41</v>
      </c>
      <c r="Q2629" s="5"/>
      <c r="R2629" s="6" t="s">
        <v>42</v>
      </c>
      <c r="S2629" s="5" t="s">
        <v>130</v>
      </c>
      <c r="T2629" s="5" t="s">
        <v>91</v>
      </c>
      <c r="U2629" s="5" t="s">
        <v>44</v>
      </c>
      <c r="V2629" s="5" t="s">
        <v>44</v>
      </c>
      <c r="W2629" s="5" t="s">
        <v>36</v>
      </c>
      <c r="X2629" s="8" t="s">
        <v>432</v>
      </c>
      <c r="Y2629" s="5" t="s">
        <v>46</v>
      </c>
      <c r="Z2629" s="5" t="s">
        <v>47</v>
      </c>
      <c r="AA2629" s="5" t="s">
        <v>48</v>
      </c>
      <c r="AB2629" s="5" t="s">
        <v>12723</v>
      </c>
      <c r="AC2629" s="6" t="s">
        <v>414</v>
      </c>
      <c r="AD2629" s="6">
        <v>3445.0</v>
      </c>
    </row>
    <row r="2630" ht="56.25" customHeight="1">
      <c r="A2630" s="5" t="s">
        <v>12670</v>
      </c>
      <c r="B2630" s="6" t="str">
        <f>IMAGE("https://storage.googleapis.com/acdb/housewares/FtrUmbrellastand_Remake_3_3.png")</f>
        <v/>
      </c>
      <c r="C2630" s="5" t="s">
        <v>96</v>
      </c>
      <c r="D2630" s="5" t="s">
        <v>34</v>
      </c>
      <c r="E2630" s="5" t="s">
        <v>6634</v>
      </c>
      <c r="F2630" s="5" t="s">
        <v>12672</v>
      </c>
      <c r="G2630" s="5" t="s">
        <v>35</v>
      </c>
      <c r="H2630" s="5" t="s">
        <v>36</v>
      </c>
      <c r="I2630" s="5" t="s">
        <v>35</v>
      </c>
      <c r="J2630" s="6">
        <v>4.0</v>
      </c>
      <c r="K2630" s="6" t="s">
        <v>37</v>
      </c>
      <c r="L2630" s="6">
        <v>2250.0</v>
      </c>
      <c r="M2630" s="26" t="s">
        <v>96</v>
      </c>
      <c r="N2630" s="26" t="s">
        <v>58</v>
      </c>
      <c r="O2630" s="6" t="s">
        <v>40</v>
      </c>
      <c r="P2630" s="5" t="s">
        <v>41</v>
      </c>
      <c r="Q2630" s="5"/>
      <c r="R2630" s="6" t="s">
        <v>42</v>
      </c>
      <c r="S2630" s="5" t="s">
        <v>130</v>
      </c>
      <c r="T2630" s="5" t="s">
        <v>91</v>
      </c>
      <c r="U2630" s="5" t="s">
        <v>44</v>
      </c>
      <c r="V2630" s="5" t="s">
        <v>44</v>
      </c>
      <c r="W2630" s="5" t="s">
        <v>36</v>
      </c>
      <c r="X2630" s="8" t="s">
        <v>432</v>
      </c>
      <c r="Y2630" s="5" t="s">
        <v>46</v>
      </c>
      <c r="Z2630" s="5" t="s">
        <v>47</v>
      </c>
      <c r="AA2630" s="5" t="s">
        <v>48</v>
      </c>
      <c r="AB2630" s="5" t="s">
        <v>12728</v>
      </c>
      <c r="AC2630" s="6" t="s">
        <v>418</v>
      </c>
      <c r="AD2630" s="6">
        <v>3445.0</v>
      </c>
    </row>
    <row r="2631" ht="56.25" customHeight="1">
      <c r="A2631" s="5" t="s">
        <v>12730</v>
      </c>
      <c r="B2631" s="6" t="str">
        <f>IMAGE("https://storage.googleapis.com/acdb/housewares/FtrWCUrinal.png")</f>
        <v/>
      </c>
      <c r="C2631" s="5" t="s">
        <v>34</v>
      </c>
      <c r="D2631" s="5" t="s">
        <v>34</v>
      </c>
      <c r="E2631" s="5" t="s">
        <v>34</v>
      </c>
      <c r="F2631" s="5" t="s">
        <v>34</v>
      </c>
      <c r="G2631" s="5" t="s">
        <v>36</v>
      </c>
      <c r="H2631" s="5" t="s">
        <v>36</v>
      </c>
      <c r="I2631" s="5" t="s">
        <v>36</v>
      </c>
      <c r="J2631" s="6" t="s">
        <v>34</v>
      </c>
      <c r="K2631" s="6">
        <v>1900.0</v>
      </c>
      <c r="L2631" s="6">
        <v>475.0</v>
      </c>
      <c r="M2631" s="5" t="s">
        <v>57</v>
      </c>
      <c r="N2631" s="5" t="s">
        <v>57</v>
      </c>
      <c r="O2631" s="6" t="s">
        <v>40</v>
      </c>
      <c r="P2631" s="5" t="s">
        <v>59</v>
      </c>
      <c r="Q2631" s="5" t="s">
        <v>89</v>
      </c>
      <c r="R2631" s="6" t="s">
        <v>42</v>
      </c>
      <c r="S2631" s="5" t="s">
        <v>288</v>
      </c>
      <c r="T2631" s="5" t="s">
        <v>44</v>
      </c>
      <c r="U2631" s="5" t="s">
        <v>44</v>
      </c>
      <c r="V2631" s="5" t="s">
        <v>44</v>
      </c>
      <c r="W2631" s="5" t="s">
        <v>35</v>
      </c>
      <c r="X2631" s="8" t="s">
        <v>5512</v>
      </c>
      <c r="Y2631" s="5" t="s">
        <v>46</v>
      </c>
      <c r="Z2631" s="5" t="s">
        <v>47</v>
      </c>
      <c r="AA2631" s="5" t="s">
        <v>64</v>
      </c>
      <c r="AB2631" s="5" t="s">
        <v>12732</v>
      </c>
      <c r="AC2631" s="6" t="s">
        <v>34</v>
      </c>
      <c r="AD2631" s="6">
        <v>1217.0</v>
      </c>
    </row>
    <row r="2632" ht="56.25" customHeight="1">
      <c r="A2632" s="5" t="s">
        <v>12734</v>
      </c>
      <c r="B2632" s="6" t="str">
        <f>IMAGE("https://storage.googleapis.com/acdb/housewares/FtrLiberty.png")</f>
        <v/>
      </c>
      <c r="C2632" s="5" t="s">
        <v>34</v>
      </c>
      <c r="D2632" s="5" t="s">
        <v>34</v>
      </c>
      <c r="E2632" s="5" t="s">
        <v>34</v>
      </c>
      <c r="F2632" s="5" t="s">
        <v>34</v>
      </c>
      <c r="G2632" s="5" t="s">
        <v>36</v>
      </c>
      <c r="H2632" s="5" t="s">
        <v>36</v>
      </c>
      <c r="I2632" s="5" t="s">
        <v>36</v>
      </c>
      <c r="J2632" s="6" t="s">
        <v>34</v>
      </c>
      <c r="K2632" s="6" t="s">
        <v>37</v>
      </c>
      <c r="L2632" s="6">
        <v>2300.0</v>
      </c>
      <c r="M2632" s="5" t="s">
        <v>96</v>
      </c>
      <c r="N2632" s="5" t="s">
        <v>95</v>
      </c>
      <c r="O2632" s="6" t="s">
        <v>40</v>
      </c>
      <c r="P2632" s="5" t="s">
        <v>1284</v>
      </c>
      <c r="Q2632" s="5"/>
      <c r="R2632" s="6" t="s">
        <v>42</v>
      </c>
      <c r="S2632" s="5" t="s">
        <v>696</v>
      </c>
      <c r="T2632" s="5" t="s">
        <v>116</v>
      </c>
      <c r="U2632" s="5" t="s">
        <v>44</v>
      </c>
      <c r="V2632" s="5" t="s">
        <v>44</v>
      </c>
      <c r="W2632" s="5" t="s">
        <v>35</v>
      </c>
      <c r="X2632" s="8" t="s">
        <v>1285</v>
      </c>
      <c r="Y2632" s="5" t="s">
        <v>46</v>
      </c>
      <c r="Z2632" s="5" t="s">
        <v>102</v>
      </c>
      <c r="AA2632" s="5" t="s">
        <v>48</v>
      </c>
      <c r="AB2632" s="5" t="s">
        <v>12736</v>
      </c>
      <c r="AC2632" s="6" t="s">
        <v>34</v>
      </c>
      <c r="AD2632" s="6">
        <v>693.0</v>
      </c>
    </row>
    <row r="2633" ht="56.25" customHeight="1">
      <c r="A2633" s="5" t="s">
        <v>12737</v>
      </c>
      <c r="B2633" s="6" t="str">
        <f>IMAGE("https://storage.googleapis.com/acdb/housewares/FtrRockArch_Remake_0_0.png")</f>
        <v/>
      </c>
      <c r="C2633" s="5" t="s">
        <v>32</v>
      </c>
      <c r="D2633" s="5" t="s">
        <v>135</v>
      </c>
      <c r="E2633" s="5" t="s">
        <v>34</v>
      </c>
      <c r="F2633" s="5" t="s">
        <v>34</v>
      </c>
      <c r="G2633" s="5" t="s">
        <v>35</v>
      </c>
      <c r="H2633" s="5" t="s">
        <v>35</v>
      </c>
      <c r="I2633" s="5" t="s">
        <v>36</v>
      </c>
      <c r="J2633" s="6">
        <v>7.0</v>
      </c>
      <c r="K2633" s="6" t="s">
        <v>37</v>
      </c>
      <c r="L2633" s="6">
        <v>13500.0</v>
      </c>
      <c r="M2633" s="26" t="s">
        <v>95</v>
      </c>
      <c r="N2633" s="26" t="s">
        <v>95</v>
      </c>
      <c r="O2633" s="6" t="s">
        <v>707</v>
      </c>
      <c r="P2633" s="5" t="s">
        <v>41</v>
      </c>
      <c r="Q2633" s="5"/>
      <c r="R2633" s="6" t="s">
        <v>42</v>
      </c>
      <c r="S2633" s="5" t="s">
        <v>172</v>
      </c>
      <c r="T2633" s="5" t="s">
        <v>44</v>
      </c>
      <c r="U2633" s="5" t="s">
        <v>44</v>
      </c>
      <c r="V2633" s="5" t="s">
        <v>44</v>
      </c>
      <c r="W2633" s="5" t="s">
        <v>36</v>
      </c>
      <c r="X2633" s="8" t="s">
        <v>1411</v>
      </c>
      <c r="Y2633" s="5" t="s">
        <v>46</v>
      </c>
      <c r="Z2633" s="5" t="s">
        <v>47</v>
      </c>
      <c r="AA2633" s="5" t="s">
        <v>48</v>
      </c>
      <c r="AB2633" s="5" t="s">
        <v>12740</v>
      </c>
      <c r="AC2633" s="6" t="s">
        <v>50</v>
      </c>
      <c r="AD2633" s="6">
        <v>11941.0</v>
      </c>
    </row>
    <row r="2634" ht="56.25" customHeight="1">
      <c r="A2634" s="5" t="s">
        <v>12737</v>
      </c>
      <c r="B2634" s="6" t="str">
        <f>IMAGE("https://storage.googleapis.com/acdb/housewares/FtrRockArch_Remake_1_0.png")</f>
        <v/>
      </c>
      <c r="C2634" s="5" t="s">
        <v>10266</v>
      </c>
      <c r="D2634" s="5" t="s">
        <v>135</v>
      </c>
      <c r="E2634" s="5" t="s">
        <v>34</v>
      </c>
      <c r="F2634" s="5" t="s">
        <v>34</v>
      </c>
      <c r="G2634" s="5" t="s">
        <v>35</v>
      </c>
      <c r="H2634" s="5" t="s">
        <v>35</v>
      </c>
      <c r="I2634" s="5" t="s">
        <v>36</v>
      </c>
      <c r="J2634" s="6">
        <v>7.0</v>
      </c>
      <c r="K2634" s="6" t="s">
        <v>37</v>
      </c>
      <c r="L2634" s="6">
        <v>13500.0</v>
      </c>
      <c r="M2634" s="26" t="s">
        <v>95</v>
      </c>
      <c r="N2634" s="26" t="s">
        <v>96</v>
      </c>
      <c r="O2634" s="6" t="s">
        <v>707</v>
      </c>
      <c r="P2634" s="5" t="s">
        <v>41</v>
      </c>
      <c r="Q2634" s="5"/>
      <c r="R2634" s="6" t="s">
        <v>42</v>
      </c>
      <c r="S2634" s="5" t="s">
        <v>172</v>
      </c>
      <c r="T2634" s="5" t="s">
        <v>44</v>
      </c>
      <c r="U2634" s="5" t="s">
        <v>44</v>
      </c>
      <c r="V2634" s="5" t="s">
        <v>44</v>
      </c>
      <c r="W2634" s="5" t="s">
        <v>36</v>
      </c>
      <c r="X2634" s="8" t="s">
        <v>1411</v>
      </c>
      <c r="Y2634" s="5" t="s">
        <v>46</v>
      </c>
      <c r="Z2634" s="5" t="s">
        <v>47</v>
      </c>
      <c r="AA2634" s="5" t="s">
        <v>48</v>
      </c>
      <c r="AB2634" s="5" t="s">
        <v>12743</v>
      </c>
      <c r="AC2634" s="6" t="s">
        <v>56</v>
      </c>
      <c r="AD2634" s="6">
        <v>11941.0</v>
      </c>
    </row>
    <row r="2635" ht="56.25" customHeight="1">
      <c r="A2635" s="5" t="s">
        <v>12745</v>
      </c>
      <c r="B2635" s="6" t="str">
        <f>IMAGE("https://storage.googleapis.com/acdb/housewares/FtrSekishishi_Remake_0_0.png")</f>
        <v/>
      </c>
      <c r="C2635" s="5" t="s">
        <v>32</v>
      </c>
      <c r="D2635" s="5" t="s">
        <v>135</v>
      </c>
      <c r="E2635" s="5" t="s">
        <v>34</v>
      </c>
      <c r="F2635" s="5" t="s">
        <v>34</v>
      </c>
      <c r="G2635" s="5" t="s">
        <v>35</v>
      </c>
      <c r="H2635" s="5" t="s">
        <v>35</v>
      </c>
      <c r="I2635" s="5" t="s">
        <v>36</v>
      </c>
      <c r="J2635" s="6">
        <v>3.0</v>
      </c>
      <c r="K2635" s="6" t="s">
        <v>37</v>
      </c>
      <c r="L2635" s="6">
        <v>3600.0</v>
      </c>
      <c r="M2635" s="26" t="s">
        <v>95</v>
      </c>
      <c r="N2635" s="26" t="s">
        <v>95</v>
      </c>
      <c r="O2635" s="6" t="s">
        <v>40</v>
      </c>
      <c r="P2635" s="5" t="s">
        <v>41</v>
      </c>
      <c r="Q2635" s="5"/>
      <c r="R2635" s="6" t="s">
        <v>42</v>
      </c>
      <c r="S2635" s="5" t="s">
        <v>696</v>
      </c>
      <c r="T2635" s="5" t="s">
        <v>172</v>
      </c>
      <c r="U2635" s="5" t="s">
        <v>44</v>
      </c>
      <c r="V2635" s="5" t="s">
        <v>44</v>
      </c>
      <c r="W2635" s="5" t="s">
        <v>36</v>
      </c>
      <c r="X2635" s="8" t="s">
        <v>1285</v>
      </c>
      <c r="Y2635" s="5" t="s">
        <v>46</v>
      </c>
      <c r="Z2635" s="5" t="s">
        <v>47</v>
      </c>
      <c r="AA2635" s="5" t="s">
        <v>48</v>
      </c>
      <c r="AB2635" s="5" t="s">
        <v>12750</v>
      </c>
      <c r="AC2635" s="6" t="s">
        <v>50</v>
      </c>
      <c r="AD2635" s="6">
        <v>7795.0</v>
      </c>
    </row>
    <row r="2636" ht="56.25" customHeight="1">
      <c r="A2636" s="5" t="s">
        <v>12745</v>
      </c>
      <c r="B2636" s="6" t="str">
        <f>IMAGE("https://storage.googleapis.com/acdb/housewares/FtrSekishishi_Remake_1_0.png")</f>
        <v/>
      </c>
      <c r="C2636" s="5" t="s">
        <v>57</v>
      </c>
      <c r="D2636" s="5" t="s">
        <v>135</v>
      </c>
      <c r="E2636" s="5" t="s">
        <v>34</v>
      </c>
      <c r="F2636" s="5" t="s">
        <v>34</v>
      </c>
      <c r="G2636" s="5" t="s">
        <v>35</v>
      </c>
      <c r="H2636" s="5" t="s">
        <v>35</v>
      </c>
      <c r="I2636" s="5" t="s">
        <v>36</v>
      </c>
      <c r="J2636" s="6">
        <v>3.0</v>
      </c>
      <c r="K2636" s="6" t="s">
        <v>37</v>
      </c>
      <c r="L2636" s="6">
        <v>3600.0</v>
      </c>
      <c r="M2636" s="26" t="s">
        <v>57</v>
      </c>
      <c r="N2636" s="26" t="s">
        <v>57</v>
      </c>
      <c r="O2636" s="6" t="s">
        <v>40</v>
      </c>
      <c r="P2636" s="5" t="s">
        <v>41</v>
      </c>
      <c r="Q2636" s="5"/>
      <c r="R2636" s="6" t="s">
        <v>42</v>
      </c>
      <c r="S2636" s="5" t="s">
        <v>696</v>
      </c>
      <c r="T2636" s="5" t="s">
        <v>172</v>
      </c>
      <c r="U2636" s="5" t="s">
        <v>44</v>
      </c>
      <c r="V2636" s="5" t="s">
        <v>44</v>
      </c>
      <c r="W2636" s="5" t="s">
        <v>36</v>
      </c>
      <c r="X2636" s="8" t="s">
        <v>1285</v>
      </c>
      <c r="Y2636" s="5" t="s">
        <v>46</v>
      </c>
      <c r="Z2636" s="5" t="s">
        <v>47</v>
      </c>
      <c r="AA2636" s="5" t="s">
        <v>48</v>
      </c>
      <c r="AB2636" s="5" t="s">
        <v>12752</v>
      </c>
      <c r="AC2636" s="6" t="s">
        <v>56</v>
      </c>
      <c r="AD2636" s="6">
        <v>7795.0</v>
      </c>
    </row>
    <row r="2637" ht="56.25" customHeight="1">
      <c r="A2637" s="5" t="s">
        <v>12745</v>
      </c>
      <c r="B2637" s="6" t="str">
        <f>IMAGE("https://storage.googleapis.com/acdb/housewares/FtrSekishishi_Remake_2_0.png")</f>
        <v/>
      </c>
      <c r="C2637" s="5" t="s">
        <v>10266</v>
      </c>
      <c r="D2637" s="5" t="s">
        <v>135</v>
      </c>
      <c r="E2637" s="5" t="s">
        <v>34</v>
      </c>
      <c r="F2637" s="5" t="s">
        <v>34</v>
      </c>
      <c r="G2637" s="5" t="s">
        <v>35</v>
      </c>
      <c r="H2637" s="5" t="s">
        <v>35</v>
      </c>
      <c r="I2637" s="5" t="s">
        <v>36</v>
      </c>
      <c r="J2637" s="6">
        <v>3.0</v>
      </c>
      <c r="K2637" s="6" t="s">
        <v>37</v>
      </c>
      <c r="L2637" s="6">
        <v>3600.0</v>
      </c>
      <c r="M2637" s="26" t="s">
        <v>96</v>
      </c>
      <c r="N2637" s="26" t="s">
        <v>95</v>
      </c>
      <c r="O2637" s="6" t="s">
        <v>40</v>
      </c>
      <c r="P2637" s="5" t="s">
        <v>41</v>
      </c>
      <c r="Q2637" s="5"/>
      <c r="R2637" s="6" t="s">
        <v>42</v>
      </c>
      <c r="S2637" s="5" t="s">
        <v>696</v>
      </c>
      <c r="T2637" s="5" t="s">
        <v>172</v>
      </c>
      <c r="U2637" s="5" t="s">
        <v>44</v>
      </c>
      <c r="V2637" s="5" t="s">
        <v>44</v>
      </c>
      <c r="W2637" s="5" t="s">
        <v>36</v>
      </c>
      <c r="X2637" s="8" t="s">
        <v>1285</v>
      </c>
      <c r="Y2637" s="5" t="s">
        <v>46</v>
      </c>
      <c r="Z2637" s="5" t="s">
        <v>47</v>
      </c>
      <c r="AA2637" s="5" t="s">
        <v>48</v>
      </c>
      <c r="AB2637" s="5" t="s">
        <v>12757</v>
      </c>
      <c r="AC2637" s="6" t="s">
        <v>67</v>
      </c>
      <c r="AD2637" s="6">
        <v>7795.0</v>
      </c>
    </row>
    <row r="2638" ht="56.25" customHeight="1">
      <c r="A2638" s="5" t="s">
        <v>12758</v>
      </c>
      <c r="B2638" s="6" t="str">
        <f>IMAGE("https://storage.googleapis.com/acdb/housewares/FtrStoneChair.png")</f>
        <v/>
      </c>
      <c r="C2638" s="5" t="s">
        <v>34</v>
      </c>
      <c r="D2638" s="5" t="s">
        <v>34</v>
      </c>
      <c r="E2638" s="5" t="s">
        <v>34</v>
      </c>
      <c r="F2638" s="5" t="s">
        <v>34</v>
      </c>
      <c r="G2638" s="5" t="s">
        <v>35</v>
      </c>
      <c r="H2638" s="5" t="s">
        <v>36</v>
      </c>
      <c r="I2638" s="5" t="s">
        <v>36</v>
      </c>
      <c r="J2638" s="6" t="s">
        <v>34</v>
      </c>
      <c r="K2638" s="6" t="s">
        <v>37</v>
      </c>
      <c r="L2638" s="6">
        <v>450.0</v>
      </c>
      <c r="M2638" s="5" t="s">
        <v>95</v>
      </c>
      <c r="N2638" s="5" t="s">
        <v>95</v>
      </c>
      <c r="O2638" s="6" t="s">
        <v>40</v>
      </c>
      <c r="P2638" s="5" t="s">
        <v>41</v>
      </c>
      <c r="Q2638" s="5"/>
      <c r="R2638" s="6" t="s">
        <v>42</v>
      </c>
      <c r="S2638" s="5" t="s">
        <v>172</v>
      </c>
      <c r="T2638" s="5" t="s">
        <v>44</v>
      </c>
      <c r="U2638" s="5" t="s">
        <v>44</v>
      </c>
      <c r="V2638" s="5" t="s">
        <v>12762</v>
      </c>
      <c r="W2638" s="5" t="s">
        <v>36</v>
      </c>
      <c r="X2638" s="8" t="s">
        <v>248</v>
      </c>
      <c r="Y2638" s="5" t="s">
        <v>46</v>
      </c>
      <c r="Z2638" s="5" t="s">
        <v>47</v>
      </c>
      <c r="AA2638" s="5" t="s">
        <v>48</v>
      </c>
      <c r="AB2638" s="5" t="s">
        <v>12764</v>
      </c>
      <c r="AC2638" s="6" t="s">
        <v>34</v>
      </c>
      <c r="AD2638" s="6">
        <v>3398.0</v>
      </c>
    </row>
    <row r="2639" ht="56.25" customHeight="1">
      <c r="A2639" s="5" t="s">
        <v>12765</v>
      </c>
      <c r="B2639" s="6" t="str">
        <f>IMAGE("https://storage.googleapis.com/acdb/housewares/FtrStoneTable.png")</f>
        <v/>
      </c>
      <c r="C2639" s="5" t="s">
        <v>34</v>
      </c>
      <c r="D2639" s="5" t="s">
        <v>34</v>
      </c>
      <c r="E2639" s="5" t="s">
        <v>34</v>
      </c>
      <c r="F2639" s="5" t="s">
        <v>34</v>
      </c>
      <c r="G2639" s="5" t="s">
        <v>35</v>
      </c>
      <c r="H2639" s="5" t="s">
        <v>36</v>
      </c>
      <c r="I2639" s="5" t="s">
        <v>36</v>
      </c>
      <c r="J2639" s="6" t="s">
        <v>34</v>
      </c>
      <c r="K2639" s="6" t="s">
        <v>37</v>
      </c>
      <c r="L2639" s="6">
        <v>1200.0</v>
      </c>
      <c r="M2639" s="5" t="s">
        <v>95</v>
      </c>
      <c r="N2639" s="5" t="s">
        <v>95</v>
      </c>
      <c r="O2639" s="6" t="s">
        <v>40</v>
      </c>
      <c r="P2639" s="5" t="s">
        <v>41</v>
      </c>
      <c r="Q2639" s="5"/>
      <c r="R2639" s="6" t="s">
        <v>42</v>
      </c>
      <c r="S2639" s="5" t="s">
        <v>172</v>
      </c>
      <c r="T2639" s="5" t="s">
        <v>44</v>
      </c>
      <c r="U2639" s="5" t="s">
        <v>44</v>
      </c>
      <c r="V2639" s="5" t="s">
        <v>12762</v>
      </c>
      <c r="W2639" s="5" t="s">
        <v>35</v>
      </c>
      <c r="X2639" s="8" t="s">
        <v>278</v>
      </c>
      <c r="Y2639" s="5" t="s">
        <v>46</v>
      </c>
      <c r="Z2639" s="5" t="s">
        <v>47</v>
      </c>
      <c r="AA2639" s="5" t="s">
        <v>48</v>
      </c>
      <c r="AB2639" s="5" t="s">
        <v>12769</v>
      </c>
      <c r="AC2639" s="6" t="s">
        <v>34</v>
      </c>
      <c r="AD2639" s="6">
        <v>3397.0</v>
      </c>
    </row>
    <row r="2640" ht="56.25" customHeight="1">
      <c r="A2640" s="5" t="s">
        <v>12770</v>
      </c>
      <c r="B2640" s="6" t="str">
        <f>IMAGE("https://storage.googleapis.com/acdb/housewares/FtrRockMonument_Remake_0_0.png")</f>
        <v/>
      </c>
      <c r="C2640" s="5" t="s">
        <v>54</v>
      </c>
      <c r="D2640" s="5" t="s">
        <v>135</v>
      </c>
      <c r="E2640" s="5" t="s">
        <v>34</v>
      </c>
      <c r="F2640" s="5" t="s">
        <v>34</v>
      </c>
      <c r="G2640" s="5" t="s">
        <v>35</v>
      </c>
      <c r="H2640" s="5" t="s">
        <v>35</v>
      </c>
      <c r="I2640" s="5" t="s">
        <v>36</v>
      </c>
      <c r="J2640" s="6">
        <v>3.0</v>
      </c>
      <c r="K2640" s="6" t="s">
        <v>37</v>
      </c>
      <c r="L2640" s="6">
        <v>1800.0</v>
      </c>
      <c r="M2640" s="26" t="s">
        <v>54</v>
      </c>
      <c r="N2640" s="26" t="s">
        <v>54</v>
      </c>
      <c r="O2640" s="6" t="s">
        <v>214</v>
      </c>
      <c r="P2640" s="5" t="s">
        <v>41</v>
      </c>
      <c r="Q2640" s="5"/>
      <c r="R2640" s="6" t="s">
        <v>42</v>
      </c>
      <c r="S2640" s="5" t="s">
        <v>172</v>
      </c>
      <c r="T2640" s="5" t="s">
        <v>732</v>
      </c>
      <c r="U2640" s="5" t="s">
        <v>44</v>
      </c>
      <c r="V2640" s="5" t="s">
        <v>44</v>
      </c>
      <c r="W2640" s="5" t="s">
        <v>36</v>
      </c>
      <c r="X2640" s="8" t="s">
        <v>650</v>
      </c>
      <c r="Y2640" s="5" t="s">
        <v>46</v>
      </c>
      <c r="Z2640" s="5" t="s">
        <v>47</v>
      </c>
      <c r="AA2640" s="5" t="s">
        <v>48</v>
      </c>
      <c r="AB2640" s="5" t="s">
        <v>12777</v>
      </c>
      <c r="AC2640" s="6" t="s">
        <v>50</v>
      </c>
      <c r="AD2640" s="6">
        <v>11943.0</v>
      </c>
    </row>
    <row r="2641" ht="56.25" customHeight="1">
      <c r="A2641" s="5" t="s">
        <v>12770</v>
      </c>
      <c r="B2641" s="6" t="str">
        <f>IMAGE("https://storage.googleapis.com/acdb/housewares/FtrRockMonument_Remake_1_0.png")</f>
        <v/>
      </c>
      <c r="C2641" s="5" t="s">
        <v>10266</v>
      </c>
      <c r="D2641" s="5" t="s">
        <v>135</v>
      </c>
      <c r="E2641" s="5" t="s">
        <v>34</v>
      </c>
      <c r="F2641" s="5" t="s">
        <v>34</v>
      </c>
      <c r="G2641" s="5" t="s">
        <v>35</v>
      </c>
      <c r="H2641" s="5" t="s">
        <v>35</v>
      </c>
      <c r="I2641" s="5" t="s">
        <v>36</v>
      </c>
      <c r="J2641" s="6">
        <v>3.0</v>
      </c>
      <c r="K2641" s="6" t="s">
        <v>37</v>
      </c>
      <c r="L2641" s="6">
        <v>1800.0</v>
      </c>
      <c r="M2641" s="26" t="s">
        <v>95</v>
      </c>
      <c r="N2641" s="26" t="s">
        <v>96</v>
      </c>
      <c r="O2641" s="6" t="s">
        <v>214</v>
      </c>
      <c r="P2641" s="5" t="s">
        <v>41</v>
      </c>
      <c r="Q2641" s="5"/>
      <c r="R2641" s="6" t="s">
        <v>42</v>
      </c>
      <c r="S2641" s="5" t="s">
        <v>172</v>
      </c>
      <c r="T2641" s="5" t="s">
        <v>732</v>
      </c>
      <c r="U2641" s="5" t="s">
        <v>44</v>
      </c>
      <c r="V2641" s="5" t="s">
        <v>44</v>
      </c>
      <c r="W2641" s="5" t="s">
        <v>36</v>
      </c>
      <c r="X2641" s="8" t="s">
        <v>650</v>
      </c>
      <c r="Y2641" s="5" t="s">
        <v>46</v>
      </c>
      <c r="Z2641" s="5" t="s">
        <v>47</v>
      </c>
      <c r="AA2641" s="5" t="s">
        <v>48</v>
      </c>
      <c r="AB2641" s="5" t="s">
        <v>12781</v>
      </c>
      <c r="AC2641" s="6" t="s">
        <v>56</v>
      </c>
      <c r="AD2641" s="6">
        <v>11943.0</v>
      </c>
    </row>
    <row r="2642" ht="56.25" customHeight="1">
      <c r="A2642" s="5" t="s">
        <v>12783</v>
      </c>
      <c r="B2642" s="6" t="str">
        <f>IMAGE("https://storage.googleapis.com/acdb/housewares/FtrStonehenge.png")</f>
        <v/>
      </c>
      <c r="C2642" s="5" t="s">
        <v>34</v>
      </c>
      <c r="D2642" s="5" t="s">
        <v>34</v>
      </c>
      <c r="E2642" s="5" t="s">
        <v>34</v>
      </c>
      <c r="F2642" s="5" t="s">
        <v>34</v>
      </c>
      <c r="G2642" s="5" t="s">
        <v>36</v>
      </c>
      <c r="H2642" s="5" t="s">
        <v>36</v>
      </c>
      <c r="I2642" s="5" t="s">
        <v>36</v>
      </c>
      <c r="J2642" s="6" t="s">
        <v>34</v>
      </c>
      <c r="K2642" s="6" t="s">
        <v>37</v>
      </c>
      <c r="L2642" s="6">
        <v>2300.0</v>
      </c>
      <c r="M2642" s="5" t="s">
        <v>95</v>
      </c>
      <c r="N2642" s="5" t="s">
        <v>95</v>
      </c>
      <c r="O2642" s="6" t="s">
        <v>4708</v>
      </c>
      <c r="P2642" s="5" t="s">
        <v>1284</v>
      </c>
      <c r="Q2642" s="5"/>
      <c r="R2642" s="6" t="s">
        <v>42</v>
      </c>
      <c r="S2642" s="5" t="s">
        <v>696</v>
      </c>
      <c r="T2642" s="5" t="s">
        <v>172</v>
      </c>
      <c r="U2642" s="5" t="s">
        <v>44</v>
      </c>
      <c r="V2642" s="5" t="s">
        <v>44</v>
      </c>
      <c r="W2642" s="5" t="s">
        <v>36</v>
      </c>
      <c r="X2642" s="8" t="s">
        <v>1285</v>
      </c>
      <c r="Y2642" s="5" t="s">
        <v>46</v>
      </c>
      <c r="Z2642" s="5" t="s">
        <v>47</v>
      </c>
      <c r="AA2642" s="5" t="s">
        <v>48</v>
      </c>
      <c r="AB2642" s="5" t="s">
        <v>12787</v>
      </c>
      <c r="AC2642" s="6" t="s">
        <v>34</v>
      </c>
      <c r="AD2642" s="6">
        <v>7043.0</v>
      </c>
    </row>
    <row r="2643" ht="56.25" customHeight="1">
      <c r="A2643" s="5" t="s">
        <v>12788</v>
      </c>
      <c r="B2643" s="6" t="str">
        <f>IMAGE("https://storage.googleapis.com/acdb/housewares/FtrStreetorgan_Remake_0_0.png")</f>
        <v/>
      </c>
      <c r="C2643" s="5" t="s">
        <v>32</v>
      </c>
      <c r="D2643" s="5" t="s">
        <v>34</v>
      </c>
      <c r="E2643" s="5" t="s">
        <v>34</v>
      </c>
      <c r="F2643" s="5" t="s">
        <v>34</v>
      </c>
      <c r="G2643" s="5" t="s">
        <v>36</v>
      </c>
      <c r="H2643" s="5" t="s">
        <v>36</v>
      </c>
      <c r="I2643" s="5" t="s">
        <v>36</v>
      </c>
      <c r="J2643" s="6" t="s">
        <v>34</v>
      </c>
      <c r="K2643" s="6">
        <v>5000.0</v>
      </c>
      <c r="L2643" s="6">
        <v>1250.0</v>
      </c>
      <c r="M2643" s="26" t="s">
        <v>142</v>
      </c>
      <c r="N2643" s="26" t="s">
        <v>39</v>
      </c>
      <c r="O2643" s="6" t="s">
        <v>40</v>
      </c>
      <c r="P2643" s="5" t="s">
        <v>59</v>
      </c>
      <c r="Q2643" s="5" t="s">
        <v>122</v>
      </c>
      <c r="R2643" s="6" t="s">
        <v>42</v>
      </c>
      <c r="S2643" s="5" t="s">
        <v>99</v>
      </c>
      <c r="T2643" s="5" t="s">
        <v>61</v>
      </c>
      <c r="U2643" s="5" t="s">
        <v>44</v>
      </c>
      <c r="V2643" s="5" t="s">
        <v>44</v>
      </c>
      <c r="W2643" s="5" t="s">
        <v>35</v>
      </c>
      <c r="X2643" s="8" t="s">
        <v>45</v>
      </c>
      <c r="Y2643" s="5" t="s">
        <v>46</v>
      </c>
      <c r="Z2643" s="5" t="s">
        <v>47</v>
      </c>
      <c r="AA2643" s="5" t="s">
        <v>64</v>
      </c>
      <c r="AB2643" s="5" t="s">
        <v>12794</v>
      </c>
      <c r="AC2643" s="6" t="s">
        <v>50</v>
      </c>
      <c r="AD2643" s="6">
        <v>4070.0</v>
      </c>
    </row>
    <row r="2644" ht="56.25" customHeight="1">
      <c r="A2644" s="5" t="s">
        <v>12788</v>
      </c>
      <c r="B2644" s="6" t="str">
        <f>IMAGE("https://storage.googleapis.com/acdb/housewares/FtrStreetorgan_Remake_1_0.png")</f>
        <v/>
      </c>
      <c r="C2644" s="5" t="s">
        <v>68</v>
      </c>
      <c r="D2644" s="5" t="s">
        <v>34</v>
      </c>
      <c r="E2644" s="5" t="s">
        <v>34</v>
      </c>
      <c r="F2644" s="5" t="s">
        <v>34</v>
      </c>
      <c r="G2644" s="5" t="s">
        <v>36</v>
      </c>
      <c r="H2644" s="5" t="s">
        <v>36</v>
      </c>
      <c r="I2644" s="5" t="s">
        <v>36</v>
      </c>
      <c r="J2644" s="6" t="s">
        <v>34</v>
      </c>
      <c r="K2644" s="6">
        <v>5000.0</v>
      </c>
      <c r="L2644" s="6">
        <v>1250.0</v>
      </c>
      <c r="M2644" s="26" t="s">
        <v>68</v>
      </c>
      <c r="N2644" s="26" t="s">
        <v>39</v>
      </c>
      <c r="O2644" s="6" t="s">
        <v>40</v>
      </c>
      <c r="P2644" s="5" t="s">
        <v>59</v>
      </c>
      <c r="Q2644" s="5" t="s">
        <v>122</v>
      </c>
      <c r="R2644" s="6" t="s">
        <v>42</v>
      </c>
      <c r="S2644" s="5" t="s">
        <v>99</v>
      </c>
      <c r="T2644" s="5" t="s">
        <v>61</v>
      </c>
      <c r="U2644" s="5" t="s">
        <v>44</v>
      </c>
      <c r="V2644" s="5" t="s">
        <v>44</v>
      </c>
      <c r="W2644" s="5" t="s">
        <v>35</v>
      </c>
      <c r="X2644" s="8" t="s">
        <v>45</v>
      </c>
      <c r="Y2644" s="5" t="s">
        <v>46</v>
      </c>
      <c r="Z2644" s="5" t="s">
        <v>47</v>
      </c>
      <c r="AA2644" s="5" t="s">
        <v>64</v>
      </c>
      <c r="AB2644" s="5" t="s">
        <v>12801</v>
      </c>
      <c r="AC2644" s="6" t="s">
        <v>56</v>
      </c>
      <c r="AD2644" s="6">
        <v>4070.0</v>
      </c>
    </row>
    <row r="2645" ht="56.25" customHeight="1">
      <c r="A2645" s="5" t="s">
        <v>12788</v>
      </c>
      <c r="B2645" s="6" t="str">
        <f>IMAGE("https://storage.googleapis.com/acdb/housewares/FtrStreetorgan_Remake_2_0.png")</f>
        <v/>
      </c>
      <c r="C2645" s="5" t="s">
        <v>114</v>
      </c>
      <c r="D2645" s="5" t="s">
        <v>34</v>
      </c>
      <c r="E2645" s="5" t="s">
        <v>34</v>
      </c>
      <c r="F2645" s="5" t="s">
        <v>34</v>
      </c>
      <c r="G2645" s="5" t="s">
        <v>36</v>
      </c>
      <c r="H2645" s="5" t="s">
        <v>36</v>
      </c>
      <c r="I2645" s="5" t="s">
        <v>36</v>
      </c>
      <c r="J2645" s="6" t="s">
        <v>34</v>
      </c>
      <c r="K2645" s="6">
        <v>5000.0</v>
      </c>
      <c r="L2645" s="6">
        <v>1250.0</v>
      </c>
      <c r="M2645" s="26" t="s">
        <v>114</v>
      </c>
      <c r="N2645" s="26" t="s">
        <v>54</v>
      </c>
      <c r="O2645" s="6" t="s">
        <v>40</v>
      </c>
      <c r="P2645" s="5" t="s">
        <v>59</v>
      </c>
      <c r="Q2645" s="5" t="s">
        <v>122</v>
      </c>
      <c r="R2645" s="6" t="s">
        <v>42</v>
      </c>
      <c r="S2645" s="5" t="s">
        <v>99</v>
      </c>
      <c r="T2645" s="5" t="s">
        <v>61</v>
      </c>
      <c r="U2645" s="5" t="s">
        <v>44</v>
      </c>
      <c r="V2645" s="5" t="s">
        <v>44</v>
      </c>
      <c r="W2645" s="5" t="s">
        <v>35</v>
      </c>
      <c r="X2645" s="8" t="s">
        <v>45</v>
      </c>
      <c r="Y2645" s="5" t="s">
        <v>46</v>
      </c>
      <c r="Z2645" s="5" t="s">
        <v>47</v>
      </c>
      <c r="AA2645" s="5" t="s">
        <v>64</v>
      </c>
      <c r="AB2645" s="5" t="s">
        <v>12805</v>
      </c>
      <c r="AC2645" s="6" t="s">
        <v>67</v>
      </c>
      <c r="AD2645" s="6">
        <v>4070.0</v>
      </c>
    </row>
    <row r="2646" ht="56.25" customHeight="1">
      <c r="A2646" s="5" t="s">
        <v>12788</v>
      </c>
      <c r="B2646" s="6" t="str">
        <f>IMAGE("https://storage.googleapis.com/acdb/housewares/FtrStreetorgan_Remake_3_0.png")</f>
        <v/>
      </c>
      <c r="C2646" s="5" t="s">
        <v>387</v>
      </c>
      <c r="D2646" s="5" t="s">
        <v>34</v>
      </c>
      <c r="E2646" s="5" t="s">
        <v>34</v>
      </c>
      <c r="F2646" s="5" t="s">
        <v>34</v>
      </c>
      <c r="G2646" s="5" t="s">
        <v>36</v>
      </c>
      <c r="H2646" s="5" t="s">
        <v>36</v>
      </c>
      <c r="I2646" s="5" t="s">
        <v>36</v>
      </c>
      <c r="J2646" s="6" t="s">
        <v>34</v>
      </c>
      <c r="K2646" s="6">
        <v>5000.0</v>
      </c>
      <c r="L2646" s="6">
        <v>1250.0</v>
      </c>
      <c r="M2646" s="26" t="s">
        <v>39</v>
      </c>
      <c r="N2646" s="26" t="s">
        <v>54</v>
      </c>
      <c r="O2646" s="6" t="s">
        <v>40</v>
      </c>
      <c r="P2646" s="5" t="s">
        <v>59</v>
      </c>
      <c r="Q2646" s="5" t="s">
        <v>122</v>
      </c>
      <c r="R2646" s="6" t="s">
        <v>42</v>
      </c>
      <c r="S2646" s="5" t="s">
        <v>99</v>
      </c>
      <c r="T2646" s="5" t="s">
        <v>61</v>
      </c>
      <c r="U2646" s="5" t="s">
        <v>44</v>
      </c>
      <c r="V2646" s="5" t="s">
        <v>44</v>
      </c>
      <c r="W2646" s="5" t="s">
        <v>35</v>
      </c>
      <c r="X2646" s="8" t="s">
        <v>45</v>
      </c>
      <c r="Y2646" s="5" t="s">
        <v>46</v>
      </c>
      <c r="Z2646" s="5" t="s">
        <v>47</v>
      </c>
      <c r="AA2646" s="5" t="s">
        <v>64</v>
      </c>
      <c r="AB2646" s="5" t="s">
        <v>12811</v>
      </c>
      <c r="AC2646" s="6" t="s">
        <v>71</v>
      </c>
      <c r="AD2646" s="6">
        <v>4070.0</v>
      </c>
    </row>
    <row r="2647" ht="56.25" customHeight="1">
      <c r="A2647" s="5" t="s">
        <v>12812</v>
      </c>
      <c r="B2647" s="6" t="str">
        <f>IMAGE("https://storage.googleapis.com/acdb/housewares/FtrPianoStreet_Remake_0_0.png")</f>
        <v/>
      </c>
      <c r="C2647" s="5" t="s">
        <v>12814</v>
      </c>
      <c r="D2647" s="5" t="s">
        <v>748</v>
      </c>
      <c r="E2647" s="5" t="s">
        <v>34</v>
      </c>
      <c r="F2647" s="5" t="s">
        <v>34</v>
      </c>
      <c r="G2647" s="5" t="s">
        <v>35</v>
      </c>
      <c r="H2647" s="5" t="s">
        <v>35</v>
      </c>
      <c r="I2647" s="5" t="s">
        <v>36</v>
      </c>
      <c r="J2647" s="6">
        <v>7.0</v>
      </c>
      <c r="K2647" s="6" t="s">
        <v>37</v>
      </c>
      <c r="L2647" s="6">
        <v>26755.0</v>
      </c>
      <c r="M2647" s="26" t="s">
        <v>58</v>
      </c>
      <c r="N2647" s="26" t="s">
        <v>52</v>
      </c>
      <c r="O2647" s="6" t="s">
        <v>276</v>
      </c>
      <c r="P2647" s="5" t="s">
        <v>41</v>
      </c>
      <c r="Q2647" s="5"/>
      <c r="R2647" s="6" t="s">
        <v>42</v>
      </c>
      <c r="S2647" s="5" t="s">
        <v>129</v>
      </c>
      <c r="T2647" s="5" t="s">
        <v>44</v>
      </c>
      <c r="U2647" s="5" t="s">
        <v>44</v>
      </c>
      <c r="V2647" s="5" t="s">
        <v>44</v>
      </c>
      <c r="W2647" s="5" t="s">
        <v>35</v>
      </c>
      <c r="X2647" s="8" t="s">
        <v>45</v>
      </c>
      <c r="Y2647" s="5" t="s">
        <v>46</v>
      </c>
      <c r="Z2647" s="5" t="s">
        <v>47</v>
      </c>
      <c r="AA2647" s="5" t="s">
        <v>48</v>
      </c>
      <c r="AB2647" s="5" t="s">
        <v>12817</v>
      </c>
      <c r="AC2647" s="6" t="s">
        <v>50</v>
      </c>
      <c r="AD2647" s="6">
        <v>11942.0</v>
      </c>
    </row>
    <row r="2648" ht="56.25" customHeight="1">
      <c r="A2648" s="5" t="s">
        <v>12812</v>
      </c>
      <c r="B2648" s="6" t="str">
        <f>IMAGE("https://storage.googleapis.com/acdb/housewares/FtrPianoStreet_Remake_1_0.png")</f>
        <v/>
      </c>
      <c r="C2648" s="5" t="s">
        <v>1959</v>
      </c>
      <c r="D2648" s="5" t="s">
        <v>748</v>
      </c>
      <c r="E2648" s="5" t="s">
        <v>34</v>
      </c>
      <c r="F2648" s="5" t="s">
        <v>34</v>
      </c>
      <c r="G2648" s="5" t="s">
        <v>35</v>
      </c>
      <c r="H2648" s="5" t="s">
        <v>35</v>
      </c>
      <c r="I2648" s="5" t="s">
        <v>36</v>
      </c>
      <c r="J2648" s="6">
        <v>7.0</v>
      </c>
      <c r="K2648" s="6" t="s">
        <v>37</v>
      </c>
      <c r="L2648" s="6">
        <v>26755.0</v>
      </c>
      <c r="M2648" s="26" t="s">
        <v>58</v>
      </c>
      <c r="N2648" s="26" t="s">
        <v>57</v>
      </c>
      <c r="O2648" s="6" t="s">
        <v>276</v>
      </c>
      <c r="P2648" s="5" t="s">
        <v>41</v>
      </c>
      <c r="Q2648" s="5"/>
      <c r="R2648" s="6" t="s">
        <v>42</v>
      </c>
      <c r="S2648" s="5" t="s">
        <v>129</v>
      </c>
      <c r="T2648" s="5" t="s">
        <v>44</v>
      </c>
      <c r="U2648" s="5" t="s">
        <v>44</v>
      </c>
      <c r="V2648" s="5" t="s">
        <v>44</v>
      </c>
      <c r="W2648" s="5" t="s">
        <v>35</v>
      </c>
      <c r="X2648" s="8" t="s">
        <v>45</v>
      </c>
      <c r="Y2648" s="5" t="s">
        <v>46</v>
      </c>
      <c r="Z2648" s="5" t="s">
        <v>47</v>
      </c>
      <c r="AA2648" s="5" t="s">
        <v>48</v>
      </c>
      <c r="AB2648" s="5" t="s">
        <v>12823</v>
      </c>
      <c r="AC2648" s="6" t="s">
        <v>56</v>
      </c>
      <c r="AD2648" s="6">
        <v>11942.0</v>
      </c>
    </row>
    <row r="2649" ht="56.25" customHeight="1">
      <c r="A2649" s="5" t="s">
        <v>12824</v>
      </c>
      <c r="B2649" s="6" t="str">
        <f>IMAGE("https://storage.googleapis.com/acdb/housewares/FtrStreetlamp_Remake_0_0.png")</f>
        <v/>
      </c>
      <c r="C2649" s="5" t="s">
        <v>96</v>
      </c>
      <c r="D2649" s="5" t="s">
        <v>34</v>
      </c>
      <c r="E2649" s="5" t="s">
        <v>34</v>
      </c>
      <c r="F2649" s="5" t="s">
        <v>34</v>
      </c>
      <c r="G2649" s="5" t="s">
        <v>36</v>
      </c>
      <c r="H2649" s="5" t="s">
        <v>36</v>
      </c>
      <c r="I2649" s="5" t="s">
        <v>36</v>
      </c>
      <c r="J2649" s="6" t="s">
        <v>34</v>
      </c>
      <c r="K2649" s="6" t="s">
        <v>37</v>
      </c>
      <c r="L2649" s="6">
        <v>5000.0</v>
      </c>
      <c r="M2649" s="26" t="s">
        <v>96</v>
      </c>
      <c r="N2649" s="26" t="s">
        <v>96</v>
      </c>
      <c r="O2649" s="6" t="s">
        <v>40</v>
      </c>
      <c r="P2649" s="5" t="s">
        <v>2140</v>
      </c>
      <c r="Q2649" s="5"/>
      <c r="R2649" s="6" t="s">
        <v>42</v>
      </c>
      <c r="S2649" s="5" t="s">
        <v>172</v>
      </c>
      <c r="T2649" s="5" t="s">
        <v>44</v>
      </c>
      <c r="U2649" s="5" t="s">
        <v>44</v>
      </c>
      <c r="V2649" s="5" t="s">
        <v>44</v>
      </c>
      <c r="W2649" s="5" t="s">
        <v>35</v>
      </c>
      <c r="X2649" s="8" t="s">
        <v>467</v>
      </c>
      <c r="Y2649" s="5" t="s">
        <v>46</v>
      </c>
      <c r="Z2649" s="5" t="s">
        <v>502</v>
      </c>
      <c r="AA2649" s="5" t="s">
        <v>48</v>
      </c>
      <c r="AB2649" s="5" t="s">
        <v>12830</v>
      </c>
      <c r="AC2649" s="6" t="s">
        <v>50</v>
      </c>
      <c r="AD2649" s="6">
        <v>3816.0</v>
      </c>
    </row>
    <row r="2650" ht="56.25" customHeight="1">
      <c r="A2650" s="5" t="s">
        <v>12824</v>
      </c>
      <c r="B2650" s="6" t="str">
        <f>IMAGE("https://storage.googleapis.com/acdb/housewares/FtrStreetlamp_Remake_1_0.png")</f>
        <v/>
      </c>
      <c r="C2650" s="5" t="s">
        <v>39</v>
      </c>
      <c r="D2650" s="5" t="s">
        <v>34</v>
      </c>
      <c r="E2650" s="5" t="s">
        <v>34</v>
      </c>
      <c r="F2650" s="5" t="s">
        <v>34</v>
      </c>
      <c r="G2650" s="5" t="s">
        <v>36</v>
      </c>
      <c r="H2650" s="5" t="s">
        <v>36</v>
      </c>
      <c r="I2650" s="5" t="s">
        <v>36</v>
      </c>
      <c r="J2650" s="6" t="s">
        <v>34</v>
      </c>
      <c r="K2650" s="6" t="s">
        <v>37</v>
      </c>
      <c r="L2650" s="6">
        <v>5000.0</v>
      </c>
      <c r="M2650" s="26" t="s">
        <v>39</v>
      </c>
      <c r="N2650" s="26" t="s">
        <v>39</v>
      </c>
      <c r="O2650" s="6" t="s">
        <v>40</v>
      </c>
      <c r="P2650" s="5" t="s">
        <v>2140</v>
      </c>
      <c r="Q2650" s="5"/>
      <c r="R2650" s="6" t="s">
        <v>42</v>
      </c>
      <c r="S2650" s="5" t="s">
        <v>172</v>
      </c>
      <c r="T2650" s="5" t="s">
        <v>44</v>
      </c>
      <c r="U2650" s="5" t="s">
        <v>44</v>
      </c>
      <c r="V2650" s="5" t="s">
        <v>44</v>
      </c>
      <c r="W2650" s="5" t="s">
        <v>35</v>
      </c>
      <c r="X2650" s="8" t="s">
        <v>467</v>
      </c>
      <c r="Y2650" s="5" t="s">
        <v>46</v>
      </c>
      <c r="Z2650" s="5" t="s">
        <v>502</v>
      </c>
      <c r="AA2650" s="5" t="s">
        <v>48</v>
      </c>
      <c r="AB2650" s="5" t="s">
        <v>12835</v>
      </c>
      <c r="AC2650" s="6" t="s">
        <v>56</v>
      </c>
      <c r="AD2650" s="6">
        <v>3816.0</v>
      </c>
    </row>
    <row r="2651" ht="56.25" customHeight="1">
      <c r="A2651" s="5" t="s">
        <v>12824</v>
      </c>
      <c r="B2651" s="6" t="str">
        <f>IMAGE("https://storage.googleapis.com/acdb/housewares/FtrStreetlamp_Remake_2_0.png")</f>
        <v/>
      </c>
      <c r="C2651" s="5" t="s">
        <v>57</v>
      </c>
      <c r="D2651" s="5" t="s">
        <v>34</v>
      </c>
      <c r="E2651" s="5" t="s">
        <v>34</v>
      </c>
      <c r="F2651" s="5" t="s">
        <v>34</v>
      </c>
      <c r="G2651" s="5" t="s">
        <v>36</v>
      </c>
      <c r="H2651" s="5" t="s">
        <v>36</v>
      </c>
      <c r="I2651" s="5" t="s">
        <v>36</v>
      </c>
      <c r="J2651" s="6" t="s">
        <v>34</v>
      </c>
      <c r="K2651" s="6" t="s">
        <v>37</v>
      </c>
      <c r="L2651" s="6">
        <v>5000.0</v>
      </c>
      <c r="M2651" s="26" t="s">
        <v>57</v>
      </c>
      <c r="N2651" s="26" t="s">
        <v>57</v>
      </c>
      <c r="O2651" s="6" t="s">
        <v>40</v>
      </c>
      <c r="P2651" s="5" t="s">
        <v>2140</v>
      </c>
      <c r="Q2651" s="5"/>
      <c r="R2651" s="6" t="s">
        <v>42</v>
      </c>
      <c r="S2651" s="5" t="s">
        <v>172</v>
      </c>
      <c r="T2651" s="5" t="s">
        <v>44</v>
      </c>
      <c r="U2651" s="5" t="s">
        <v>44</v>
      </c>
      <c r="V2651" s="5" t="s">
        <v>44</v>
      </c>
      <c r="W2651" s="5" t="s">
        <v>35</v>
      </c>
      <c r="X2651" s="8" t="s">
        <v>467</v>
      </c>
      <c r="Y2651" s="5" t="s">
        <v>46</v>
      </c>
      <c r="Z2651" s="5" t="s">
        <v>502</v>
      </c>
      <c r="AA2651" s="5" t="s">
        <v>48</v>
      </c>
      <c r="AB2651" s="5" t="s">
        <v>12841</v>
      </c>
      <c r="AC2651" s="6" t="s">
        <v>67</v>
      </c>
      <c r="AD2651" s="6">
        <v>3816.0</v>
      </c>
    </row>
    <row r="2652" ht="56.25" customHeight="1">
      <c r="A2652" s="5" t="s">
        <v>12824</v>
      </c>
      <c r="B2652" s="6" t="str">
        <f>IMAGE("https://storage.googleapis.com/acdb/housewares/FtrStreetlamp_Remake_3_0.png")</f>
        <v/>
      </c>
      <c r="C2652" s="5" t="s">
        <v>54</v>
      </c>
      <c r="D2652" s="5" t="s">
        <v>34</v>
      </c>
      <c r="E2652" s="5" t="s">
        <v>34</v>
      </c>
      <c r="F2652" s="5" t="s">
        <v>34</v>
      </c>
      <c r="G2652" s="5" t="s">
        <v>36</v>
      </c>
      <c r="H2652" s="5" t="s">
        <v>36</v>
      </c>
      <c r="I2652" s="5" t="s">
        <v>36</v>
      </c>
      <c r="J2652" s="6" t="s">
        <v>34</v>
      </c>
      <c r="K2652" s="6" t="s">
        <v>37</v>
      </c>
      <c r="L2652" s="6">
        <v>5000.0</v>
      </c>
      <c r="M2652" s="26" t="s">
        <v>54</v>
      </c>
      <c r="N2652" s="26" t="s">
        <v>54</v>
      </c>
      <c r="O2652" s="6" t="s">
        <v>40</v>
      </c>
      <c r="P2652" s="5" t="s">
        <v>2140</v>
      </c>
      <c r="Q2652" s="5"/>
      <c r="R2652" s="6" t="s">
        <v>42</v>
      </c>
      <c r="S2652" s="5" t="s">
        <v>172</v>
      </c>
      <c r="T2652" s="5" t="s">
        <v>44</v>
      </c>
      <c r="U2652" s="5" t="s">
        <v>44</v>
      </c>
      <c r="V2652" s="5" t="s">
        <v>44</v>
      </c>
      <c r="W2652" s="5" t="s">
        <v>35</v>
      </c>
      <c r="X2652" s="8" t="s">
        <v>467</v>
      </c>
      <c r="Y2652" s="5" t="s">
        <v>46</v>
      </c>
      <c r="Z2652" s="5" t="s">
        <v>502</v>
      </c>
      <c r="AA2652" s="5" t="s">
        <v>48</v>
      </c>
      <c r="AB2652" s="5" t="s">
        <v>12846</v>
      </c>
      <c r="AC2652" s="6" t="s">
        <v>71</v>
      </c>
      <c r="AD2652" s="6">
        <v>3816.0</v>
      </c>
    </row>
    <row r="2653" ht="56.25" customHeight="1">
      <c r="A2653" s="5" t="s">
        <v>12848</v>
      </c>
      <c r="B2653" s="6" t="str">
        <f>IMAGE("https://storage.googleapis.com/acdb/housewares/FtrLampSpot_Remake_0_0.png")</f>
        <v/>
      </c>
      <c r="C2653" s="5" t="s">
        <v>57</v>
      </c>
      <c r="D2653" s="5" t="s">
        <v>34</v>
      </c>
      <c r="E2653" s="5" t="s">
        <v>34</v>
      </c>
      <c r="F2653" s="5" t="s">
        <v>34</v>
      </c>
      <c r="G2653" s="5" t="s">
        <v>36</v>
      </c>
      <c r="H2653" s="5" t="s">
        <v>36</v>
      </c>
      <c r="I2653" s="5" t="s">
        <v>36</v>
      </c>
      <c r="J2653" s="6" t="s">
        <v>34</v>
      </c>
      <c r="K2653" s="6">
        <v>2100.0</v>
      </c>
      <c r="L2653" s="6">
        <v>525.0</v>
      </c>
      <c r="M2653" s="26" t="s">
        <v>54</v>
      </c>
      <c r="N2653" s="26" t="s">
        <v>57</v>
      </c>
      <c r="O2653" s="6" t="s">
        <v>40</v>
      </c>
      <c r="P2653" s="5" t="s">
        <v>59</v>
      </c>
      <c r="Q2653" s="5" t="s">
        <v>89</v>
      </c>
      <c r="R2653" s="6" t="s">
        <v>42</v>
      </c>
      <c r="S2653" s="5" t="s">
        <v>141</v>
      </c>
      <c r="T2653" s="5" t="s">
        <v>129</v>
      </c>
      <c r="U2653" s="5" t="s">
        <v>44</v>
      </c>
      <c r="V2653" s="5" t="s">
        <v>44</v>
      </c>
      <c r="W2653" s="5" t="s">
        <v>35</v>
      </c>
      <c r="X2653" s="8" t="s">
        <v>467</v>
      </c>
      <c r="Y2653" s="5" t="s">
        <v>46</v>
      </c>
      <c r="Z2653" s="5" t="s">
        <v>1749</v>
      </c>
      <c r="AA2653" s="5" t="s">
        <v>64</v>
      </c>
      <c r="AB2653" s="5" t="s">
        <v>12853</v>
      </c>
      <c r="AC2653" s="6" t="s">
        <v>50</v>
      </c>
      <c r="AD2653" s="6">
        <v>7189.0</v>
      </c>
    </row>
    <row r="2654" ht="56.25" customHeight="1">
      <c r="A2654" s="5" t="s">
        <v>12848</v>
      </c>
      <c r="B2654" s="6" t="str">
        <f>IMAGE("https://storage.googleapis.com/acdb/housewares/FtrLampSpot_Remake_1_0.png")</f>
        <v/>
      </c>
      <c r="C2654" s="5" t="s">
        <v>114</v>
      </c>
      <c r="D2654" s="5" t="s">
        <v>34</v>
      </c>
      <c r="E2654" s="5" t="s">
        <v>34</v>
      </c>
      <c r="F2654" s="5" t="s">
        <v>34</v>
      </c>
      <c r="G2654" s="5" t="s">
        <v>36</v>
      </c>
      <c r="H2654" s="5" t="s">
        <v>36</v>
      </c>
      <c r="I2654" s="5" t="s">
        <v>36</v>
      </c>
      <c r="J2654" s="6" t="s">
        <v>34</v>
      </c>
      <c r="K2654" s="6">
        <v>2100.0</v>
      </c>
      <c r="L2654" s="6">
        <v>525.0</v>
      </c>
      <c r="M2654" s="26" t="s">
        <v>54</v>
      </c>
      <c r="N2654" s="26" t="s">
        <v>114</v>
      </c>
      <c r="O2654" s="6" t="s">
        <v>40</v>
      </c>
      <c r="P2654" s="5" t="s">
        <v>59</v>
      </c>
      <c r="Q2654" s="5" t="s">
        <v>89</v>
      </c>
      <c r="R2654" s="6" t="s">
        <v>42</v>
      </c>
      <c r="S2654" s="5" t="s">
        <v>141</v>
      </c>
      <c r="T2654" s="5" t="s">
        <v>129</v>
      </c>
      <c r="U2654" s="5" t="s">
        <v>44</v>
      </c>
      <c r="V2654" s="5" t="s">
        <v>44</v>
      </c>
      <c r="W2654" s="5" t="s">
        <v>35</v>
      </c>
      <c r="X2654" s="8" t="s">
        <v>467</v>
      </c>
      <c r="Y2654" s="5" t="s">
        <v>46</v>
      </c>
      <c r="Z2654" s="5" t="s">
        <v>1749</v>
      </c>
      <c r="AA2654" s="5" t="s">
        <v>64</v>
      </c>
      <c r="AB2654" s="5" t="s">
        <v>12856</v>
      </c>
      <c r="AC2654" s="6" t="s">
        <v>56</v>
      </c>
      <c r="AD2654" s="6">
        <v>7189.0</v>
      </c>
    </row>
    <row r="2655" ht="56.25" customHeight="1">
      <c r="A2655" s="5" t="s">
        <v>12848</v>
      </c>
      <c r="B2655" s="6" t="str">
        <f>IMAGE("https://storage.googleapis.com/acdb/housewares/FtrLampSpot_Remake_2_0.png")</f>
        <v/>
      </c>
      <c r="C2655" s="5" t="s">
        <v>142</v>
      </c>
      <c r="D2655" s="5" t="s">
        <v>34</v>
      </c>
      <c r="E2655" s="5" t="s">
        <v>34</v>
      </c>
      <c r="F2655" s="5" t="s">
        <v>34</v>
      </c>
      <c r="G2655" s="5" t="s">
        <v>36</v>
      </c>
      <c r="H2655" s="5" t="s">
        <v>36</v>
      </c>
      <c r="I2655" s="5" t="s">
        <v>36</v>
      </c>
      <c r="J2655" s="6" t="s">
        <v>34</v>
      </c>
      <c r="K2655" s="6">
        <v>2100.0</v>
      </c>
      <c r="L2655" s="6">
        <v>525.0</v>
      </c>
      <c r="M2655" s="26" t="s">
        <v>54</v>
      </c>
      <c r="N2655" s="5" t="s">
        <v>142</v>
      </c>
      <c r="O2655" s="6" t="s">
        <v>40</v>
      </c>
      <c r="P2655" s="5" t="s">
        <v>59</v>
      </c>
      <c r="Q2655" s="5" t="s">
        <v>89</v>
      </c>
      <c r="R2655" s="6" t="s">
        <v>42</v>
      </c>
      <c r="S2655" s="5" t="s">
        <v>141</v>
      </c>
      <c r="T2655" s="5" t="s">
        <v>129</v>
      </c>
      <c r="U2655" s="5" t="s">
        <v>44</v>
      </c>
      <c r="V2655" s="5" t="s">
        <v>44</v>
      </c>
      <c r="W2655" s="5" t="s">
        <v>35</v>
      </c>
      <c r="X2655" s="8" t="s">
        <v>467</v>
      </c>
      <c r="Y2655" s="5" t="s">
        <v>46</v>
      </c>
      <c r="Z2655" s="5" t="s">
        <v>1749</v>
      </c>
      <c r="AA2655" s="5" t="s">
        <v>64</v>
      </c>
      <c r="AB2655" s="5" t="s">
        <v>12859</v>
      </c>
      <c r="AC2655" s="6" t="s">
        <v>67</v>
      </c>
      <c r="AD2655" s="6">
        <v>7189.0</v>
      </c>
    </row>
    <row r="2656" ht="56.25" customHeight="1">
      <c r="A2656" s="5" t="s">
        <v>12848</v>
      </c>
      <c r="B2656" s="6" t="str">
        <f>IMAGE("https://storage.googleapis.com/acdb/housewares/FtrLampSpot_Remake_3_0.png")</f>
        <v/>
      </c>
      <c r="C2656" s="5" t="s">
        <v>52</v>
      </c>
      <c r="D2656" s="5" t="s">
        <v>34</v>
      </c>
      <c r="E2656" s="5" t="s">
        <v>34</v>
      </c>
      <c r="F2656" s="5" t="s">
        <v>34</v>
      </c>
      <c r="G2656" s="5" t="s">
        <v>36</v>
      </c>
      <c r="H2656" s="5" t="s">
        <v>36</v>
      </c>
      <c r="I2656" s="5" t="s">
        <v>36</v>
      </c>
      <c r="J2656" s="6" t="s">
        <v>34</v>
      </c>
      <c r="K2656" s="6">
        <v>2100.0</v>
      </c>
      <c r="L2656" s="6">
        <v>525.0</v>
      </c>
      <c r="M2656" s="26" t="s">
        <v>54</v>
      </c>
      <c r="N2656" s="26" t="s">
        <v>52</v>
      </c>
      <c r="O2656" s="6" t="s">
        <v>40</v>
      </c>
      <c r="P2656" s="5" t="s">
        <v>59</v>
      </c>
      <c r="Q2656" s="5" t="s">
        <v>89</v>
      </c>
      <c r="R2656" s="6" t="s">
        <v>42</v>
      </c>
      <c r="S2656" s="5" t="s">
        <v>141</v>
      </c>
      <c r="T2656" s="5" t="s">
        <v>129</v>
      </c>
      <c r="U2656" s="5" t="s">
        <v>44</v>
      </c>
      <c r="V2656" s="5" t="s">
        <v>44</v>
      </c>
      <c r="W2656" s="5" t="s">
        <v>35</v>
      </c>
      <c r="X2656" s="8" t="s">
        <v>467</v>
      </c>
      <c r="Y2656" s="5" t="s">
        <v>46</v>
      </c>
      <c r="Z2656" s="5" t="s">
        <v>1749</v>
      </c>
      <c r="AA2656" s="5" t="s">
        <v>64</v>
      </c>
      <c r="AB2656" s="5" t="s">
        <v>12862</v>
      </c>
      <c r="AC2656" s="6" t="s">
        <v>71</v>
      </c>
      <c r="AD2656" s="6">
        <v>7189.0</v>
      </c>
    </row>
    <row r="2657" ht="56.25" customHeight="1">
      <c r="A2657" s="5" t="s">
        <v>12848</v>
      </c>
      <c r="B2657" s="6" t="str">
        <f>IMAGE("https://storage.googleapis.com/acdb/housewares/FtrLampSpot_Remake_4_0.png")</f>
        <v/>
      </c>
      <c r="C2657" s="5" t="s">
        <v>69</v>
      </c>
      <c r="D2657" s="5" t="s">
        <v>34</v>
      </c>
      <c r="E2657" s="5" t="s">
        <v>34</v>
      </c>
      <c r="F2657" s="5" t="s">
        <v>34</v>
      </c>
      <c r="G2657" s="5" t="s">
        <v>36</v>
      </c>
      <c r="H2657" s="5" t="s">
        <v>36</v>
      </c>
      <c r="I2657" s="5" t="s">
        <v>36</v>
      </c>
      <c r="J2657" s="6" t="s">
        <v>34</v>
      </c>
      <c r="K2657" s="6">
        <v>2100.0</v>
      </c>
      <c r="L2657" s="6">
        <v>525.0</v>
      </c>
      <c r="M2657" s="26" t="s">
        <v>54</v>
      </c>
      <c r="N2657" s="26" t="s">
        <v>69</v>
      </c>
      <c r="O2657" s="6" t="s">
        <v>40</v>
      </c>
      <c r="P2657" s="5" t="s">
        <v>59</v>
      </c>
      <c r="Q2657" s="5" t="s">
        <v>89</v>
      </c>
      <c r="R2657" s="6" t="s">
        <v>42</v>
      </c>
      <c r="S2657" s="5" t="s">
        <v>141</v>
      </c>
      <c r="T2657" s="5" t="s">
        <v>129</v>
      </c>
      <c r="U2657" s="5" t="s">
        <v>44</v>
      </c>
      <c r="V2657" s="5" t="s">
        <v>44</v>
      </c>
      <c r="W2657" s="5" t="s">
        <v>35</v>
      </c>
      <c r="X2657" s="8" t="s">
        <v>467</v>
      </c>
      <c r="Y2657" s="5" t="s">
        <v>46</v>
      </c>
      <c r="Z2657" s="5" t="s">
        <v>1749</v>
      </c>
      <c r="AA2657" s="5" t="s">
        <v>64</v>
      </c>
      <c r="AB2657" s="5" t="s">
        <v>12867</v>
      </c>
      <c r="AC2657" s="6" t="s">
        <v>75</v>
      </c>
      <c r="AD2657" s="6">
        <v>7189.0</v>
      </c>
    </row>
    <row r="2658" ht="56.25" customHeight="1">
      <c r="A2658" s="5" t="s">
        <v>12848</v>
      </c>
      <c r="B2658" s="6" t="str">
        <f>IMAGE("https://storage.googleapis.com/acdb/housewares/FtrLampSpot_Remake_5_0.png")</f>
        <v/>
      </c>
      <c r="C2658" s="5" t="s">
        <v>106</v>
      </c>
      <c r="D2658" s="5" t="s">
        <v>34</v>
      </c>
      <c r="E2658" s="5" t="s">
        <v>34</v>
      </c>
      <c r="F2658" s="5" t="s">
        <v>34</v>
      </c>
      <c r="G2658" s="5" t="s">
        <v>36</v>
      </c>
      <c r="H2658" s="5" t="s">
        <v>36</v>
      </c>
      <c r="I2658" s="5" t="s">
        <v>36</v>
      </c>
      <c r="J2658" s="6" t="s">
        <v>34</v>
      </c>
      <c r="K2658" s="6">
        <v>2100.0</v>
      </c>
      <c r="L2658" s="6">
        <v>525.0</v>
      </c>
      <c r="M2658" s="26" t="s">
        <v>54</v>
      </c>
      <c r="N2658" s="26" t="s">
        <v>106</v>
      </c>
      <c r="O2658" s="6" t="s">
        <v>40</v>
      </c>
      <c r="P2658" s="5" t="s">
        <v>59</v>
      </c>
      <c r="Q2658" s="5" t="s">
        <v>89</v>
      </c>
      <c r="R2658" s="6" t="s">
        <v>42</v>
      </c>
      <c r="S2658" s="5" t="s">
        <v>141</v>
      </c>
      <c r="T2658" s="5" t="s">
        <v>129</v>
      </c>
      <c r="U2658" s="5" t="s">
        <v>44</v>
      </c>
      <c r="V2658" s="5" t="s">
        <v>44</v>
      </c>
      <c r="W2658" s="5" t="s">
        <v>35</v>
      </c>
      <c r="X2658" s="8" t="s">
        <v>467</v>
      </c>
      <c r="Y2658" s="5" t="s">
        <v>46</v>
      </c>
      <c r="Z2658" s="5" t="s">
        <v>1749</v>
      </c>
      <c r="AA2658" s="5" t="s">
        <v>64</v>
      </c>
      <c r="AB2658" s="5" t="s">
        <v>12870</v>
      </c>
      <c r="AC2658" s="6" t="s">
        <v>79</v>
      </c>
      <c r="AD2658" s="6">
        <v>7189.0</v>
      </c>
    </row>
    <row r="2659" ht="56.25" customHeight="1">
      <c r="A2659" s="5" t="s">
        <v>12848</v>
      </c>
      <c r="B2659" s="6" t="str">
        <f>IMAGE("https://storage.googleapis.com/acdb/housewares/FtrLampSpot_Remake_6_0.png")</f>
        <v/>
      </c>
      <c r="C2659" s="5" t="s">
        <v>68</v>
      </c>
      <c r="D2659" s="5" t="s">
        <v>34</v>
      </c>
      <c r="E2659" s="5" t="s">
        <v>34</v>
      </c>
      <c r="F2659" s="5" t="s">
        <v>34</v>
      </c>
      <c r="G2659" s="5" t="s">
        <v>36</v>
      </c>
      <c r="H2659" s="5" t="s">
        <v>36</v>
      </c>
      <c r="I2659" s="5" t="s">
        <v>36</v>
      </c>
      <c r="J2659" s="6" t="s">
        <v>34</v>
      </c>
      <c r="K2659" s="6">
        <v>2100.0</v>
      </c>
      <c r="L2659" s="6">
        <v>525.0</v>
      </c>
      <c r="M2659" s="26" t="s">
        <v>54</v>
      </c>
      <c r="N2659" s="26" t="s">
        <v>68</v>
      </c>
      <c r="O2659" s="6" t="s">
        <v>40</v>
      </c>
      <c r="P2659" s="5" t="s">
        <v>59</v>
      </c>
      <c r="Q2659" s="5" t="s">
        <v>89</v>
      </c>
      <c r="R2659" s="6" t="s">
        <v>42</v>
      </c>
      <c r="S2659" s="5" t="s">
        <v>141</v>
      </c>
      <c r="T2659" s="5" t="s">
        <v>129</v>
      </c>
      <c r="U2659" s="5" t="s">
        <v>44</v>
      </c>
      <c r="V2659" s="5" t="s">
        <v>44</v>
      </c>
      <c r="W2659" s="5" t="s">
        <v>35</v>
      </c>
      <c r="X2659" s="8" t="s">
        <v>467</v>
      </c>
      <c r="Y2659" s="5" t="s">
        <v>46</v>
      </c>
      <c r="Z2659" s="5" t="s">
        <v>1749</v>
      </c>
      <c r="AA2659" s="5" t="s">
        <v>64</v>
      </c>
      <c r="AB2659" s="5" t="s">
        <v>12873</v>
      </c>
      <c r="AC2659" s="6" t="s">
        <v>86</v>
      </c>
      <c r="AD2659" s="6">
        <v>7189.0</v>
      </c>
    </row>
    <row r="2660" ht="56.25" customHeight="1">
      <c r="A2660" s="5" t="s">
        <v>12848</v>
      </c>
      <c r="B2660" s="6" t="str">
        <f>IMAGE("https://storage.googleapis.com/acdb/housewares/FtrLampSpot_Remake_7_0.png")</f>
        <v/>
      </c>
      <c r="C2660" s="5" t="s">
        <v>96</v>
      </c>
      <c r="D2660" s="5" t="s">
        <v>34</v>
      </c>
      <c r="E2660" s="5" t="s">
        <v>34</v>
      </c>
      <c r="F2660" s="5" t="s">
        <v>34</v>
      </c>
      <c r="G2660" s="5" t="s">
        <v>36</v>
      </c>
      <c r="H2660" s="5" t="s">
        <v>36</v>
      </c>
      <c r="I2660" s="5" t="s">
        <v>36</v>
      </c>
      <c r="J2660" s="6" t="s">
        <v>34</v>
      </c>
      <c r="K2660" s="6">
        <v>2100.0</v>
      </c>
      <c r="L2660" s="6">
        <v>525.0</v>
      </c>
      <c r="M2660" s="26" t="s">
        <v>54</v>
      </c>
      <c r="N2660" s="26" t="s">
        <v>96</v>
      </c>
      <c r="O2660" s="6" t="s">
        <v>40</v>
      </c>
      <c r="P2660" s="5" t="s">
        <v>59</v>
      </c>
      <c r="Q2660" s="5" t="s">
        <v>89</v>
      </c>
      <c r="R2660" s="6" t="s">
        <v>42</v>
      </c>
      <c r="S2660" s="5" t="s">
        <v>141</v>
      </c>
      <c r="T2660" s="5" t="s">
        <v>129</v>
      </c>
      <c r="U2660" s="5" t="s">
        <v>44</v>
      </c>
      <c r="V2660" s="5" t="s">
        <v>44</v>
      </c>
      <c r="W2660" s="5" t="s">
        <v>35</v>
      </c>
      <c r="X2660" s="8" t="s">
        <v>467</v>
      </c>
      <c r="Y2660" s="5" t="s">
        <v>46</v>
      </c>
      <c r="Z2660" s="5" t="s">
        <v>1749</v>
      </c>
      <c r="AA2660" s="5" t="s">
        <v>64</v>
      </c>
      <c r="AB2660" s="5" t="s">
        <v>12876</v>
      </c>
      <c r="AC2660" s="6" t="s">
        <v>208</v>
      </c>
      <c r="AD2660" s="6">
        <v>7189.0</v>
      </c>
    </row>
    <row r="2661" ht="56.25" customHeight="1">
      <c r="A2661" s="5" t="s">
        <v>12877</v>
      </c>
      <c r="B2661" s="6" t="str">
        <f>IMAGE("https://storage.googleapis.com/acdb/housewares/FtrSurfboard_Remake_0_0.png")</f>
        <v/>
      </c>
      <c r="C2661" s="5" t="s">
        <v>57</v>
      </c>
      <c r="D2661" s="5" t="s">
        <v>34</v>
      </c>
      <c r="E2661" s="5" t="s">
        <v>34</v>
      </c>
      <c r="F2661" s="5" t="s">
        <v>34</v>
      </c>
      <c r="G2661" s="5" t="s">
        <v>36</v>
      </c>
      <c r="H2661" s="5" t="s">
        <v>36</v>
      </c>
      <c r="I2661" s="5" t="s">
        <v>36</v>
      </c>
      <c r="J2661" s="6" t="s">
        <v>34</v>
      </c>
      <c r="K2661" s="6">
        <v>4100.0</v>
      </c>
      <c r="L2661" s="6">
        <v>1025.0</v>
      </c>
      <c r="M2661" s="26" t="s">
        <v>57</v>
      </c>
      <c r="N2661" s="26" t="s">
        <v>57</v>
      </c>
      <c r="O2661" s="6" t="s">
        <v>40</v>
      </c>
      <c r="P2661" s="5" t="s">
        <v>59</v>
      </c>
      <c r="Q2661" s="5" t="s">
        <v>10976</v>
      </c>
      <c r="R2661" s="6" t="s">
        <v>42</v>
      </c>
      <c r="S2661" s="5" t="s">
        <v>138</v>
      </c>
      <c r="T2661" s="5" t="s">
        <v>44</v>
      </c>
      <c r="U2661" s="5" t="s">
        <v>44</v>
      </c>
      <c r="V2661" s="5" t="s">
        <v>44</v>
      </c>
      <c r="W2661" s="5" t="s">
        <v>36</v>
      </c>
      <c r="X2661" s="8" t="s">
        <v>140</v>
      </c>
      <c r="Y2661" s="5" t="s">
        <v>46</v>
      </c>
      <c r="Z2661" s="5" t="s">
        <v>47</v>
      </c>
      <c r="AA2661" s="5" t="s">
        <v>64</v>
      </c>
      <c r="AB2661" s="5" t="s">
        <v>12883</v>
      </c>
      <c r="AC2661" s="6" t="s">
        <v>50</v>
      </c>
      <c r="AD2661" s="6">
        <v>7868.0</v>
      </c>
    </row>
    <row r="2662" ht="56.25" customHeight="1">
      <c r="A2662" s="5" t="s">
        <v>12877</v>
      </c>
      <c r="B2662" s="6" t="str">
        <f>IMAGE("https://storage.googleapis.com/acdb/housewares/FtrSurfboard_Remake_1_0.png")</f>
        <v/>
      </c>
      <c r="C2662" s="5" t="s">
        <v>52</v>
      </c>
      <c r="D2662" s="5" t="s">
        <v>34</v>
      </c>
      <c r="E2662" s="5" t="s">
        <v>34</v>
      </c>
      <c r="F2662" s="5" t="s">
        <v>34</v>
      </c>
      <c r="G2662" s="5" t="s">
        <v>36</v>
      </c>
      <c r="H2662" s="5" t="s">
        <v>36</v>
      </c>
      <c r="I2662" s="5" t="s">
        <v>36</v>
      </c>
      <c r="J2662" s="6" t="s">
        <v>34</v>
      </c>
      <c r="K2662" s="6">
        <v>4100.0</v>
      </c>
      <c r="L2662" s="6">
        <v>1025.0</v>
      </c>
      <c r="M2662" s="26" t="s">
        <v>52</v>
      </c>
      <c r="N2662" s="26" t="s">
        <v>54</v>
      </c>
      <c r="O2662" s="6" t="s">
        <v>40</v>
      </c>
      <c r="P2662" s="5" t="s">
        <v>59</v>
      </c>
      <c r="Q2662" s="5" t="s">
        <v>10976</v>
      </c>
      <c r="R2662" s="6" t="s">
        <v>42</v>
      </c>
      <c r="S2662" s="5" t="s">
        <v>138</v>
      </c>
      <c r="T2662" s="5" t="s">
        <v>44</v>
      </c>
      <c r="U2662" s="5" t="s">
        <v>44</v>
      </c>
      <c r="V2662" s="5" t="s">
        <v>44</v>
      </c>
      <c r="W2662" s="5" t="s">
        <v>36</v>
      </c>
      <c r="X2662" s="8" t="s">
        <v>140</v>
      </c>
      <c r="Y2662" s="5" t="s">
        <v>46</v>
      </c>
      <c r="Z2662" s="5" t="s">
        <v>47</v>
      </c>
      <c r="AA2662" s="5" t="s">
        <v>64</v>
      </c>
      <c r="AB2662" s="5" t="s">
        <v>12888</v>
      </c>
      <c r="AC2662" s="6" t="s">
        <v>56</v>
      </c>
      <c r="AD2662" s="6">
        <v>7868.0</v>
      </c>
    </row>
    <row r="2663" ht="56.25" customHeight="1">
      <c r="A2663" s="5" t="s">
        <v>12877</v>
      </c>
      <c r="B2663" s="6" t="str">
        <f>IMAGE("https://storage.googleapis.com/acdb/housewares/FtrSurfboard_Remake_2_0.png")</f>
        <v/>
      </c>
      <c r="C2663" s="5" t="s">
        <v>5613</v>
      </c>
      <c r="D2663" s="5" t="s">
        <v>34</v>
      </c>
      <c r="E2663" s="5" t="s">
        <v>34</v>
      </c>
      <c r="F2663" s="5" t="s">
        <v>34</v>
      </c>
      <c r="G2663" s="5" t="s">
        <v>36</v>
      </c>
      <c r="H2663" s="5" t="s">
        <v>36</v>
      </c>
      <c r="I2663" s="5" t="s">
        <v>36</v>
      </c>
      <c r="J2663" s="6" t="s">
        <v>34</v>
      </c>
      <c r="K2663" s="6">
        <v>4100.0</v>
      </c>
      <c r="L2663" s="6">
        <v>1025.0</v>
      </c>
      <c r="M2663" s="26" t="s">
        <v>38</v>
      </c>
      <c r="N2663" s="26" t="s">
        <v>58</v>
      </c>
      <c r="O2663" s="6" t="s">
        <v>40</v>
      </c>
      <c r="P2663" s="5" t="s">
        <v>59</v>
      </c>
      <c r="Q2663" s="5" t="s">
        <v>10976</v>
      </c>
      <c r="R2663" s="6" t="s">
        <v>42</v>
      </c>
      <c r="S2663" s="5" t="s">
        <v>138</v>
      </c>
      <c r="T2663" s="5" t="s">
        <v>44</v>
      </c>
      <c r="U2663" s="5" t="s">
        <v>44</v>
      </c>
      <c r="V2663" s="5" t="s">
        <v>44</v>
      </c>
      <c r="W2663" s="5" t="s">
        <v>36</v>
      </c>
      <c r="X2663" s="8" t="s">
        <v>140</v>
      </c>
      <c r="Y2663" s="5" t="s">
        <v>46</v>
      </c>
      <c r="Z2663" s="5" t="s">
        <v>47</v>
      </c>
      <c r="AA2663" s="5" t="s">
        <v>64</v>
      </c>
      <c r="AB2663" s="5" t="s">
        <v>12892</v>
      </c>
      <c r="AC2663" s="6" t="s">
        <v>67</v>
      </c>
      <c r="AD2663" s="6">
        <v>7868.0</v>
      </c>
    </row>
    <row r="2664" ht="56.25" customHeight="1">
      <c r="A2664" s="5" t="s">
        <v>12877</v>
      </c>
      <c r="B2664" s="6" t="str">
        <f>IMAGE("https://storage.googleapis.com/acdb/housewares/FtrSurfboard_Remake_3_0.png")</f>
        <v/>
      </c>
      <c r="C2664" s="5" t="s">
        <v>1952</v>
      </c>
      <c r="D2664" s="5" t="s">
        <v>34</v>
      </c>
      <c r="E2664" s="5" t="s">
        <v>34</v>
      </c>
      <c r="F2664" s="5" t="s">
        <v>34</v>
      </c>
      <c r="G2664" s="5" t="s">
        <v>36</v>
      </c>
      <c r="H2664" s="5" t="s">
        <v>36</v>
      </c>
      <c r="I2664" s="5" t="s">
        <v>36</v>
      </c>
      <c r="J2664" s="6" t="s">
        <v>34</v>
      </c>
      <c r="K2664" s="6">
        <v>4100.0</v>
      </c>
      <c r="L2664" s="6">
        <v>1025.0</v>
      </c>
      <c r="M2664" s="26" t="s">
        <v>54</v>
      </c>
      <c r="N2664" s="26" t="s">
        <v>1175</v>
      </c>
      <c r="O2664" s="6" t="s">
        <v>40</v>
      </c>
      <c r="P2664" s="5" t="s">
        <v>59</v>
      </c>
      <c r="Q2664" s="5" t="s">
        <v>10976</v>
      </c>
      <c r="R2664" s="6" t="s">
        <v>42</v>
      </c>
      <c r="S2664" s="5" t="s">
        <v>138</v>
      </c>
      <c r="T2664" s="5" t="s">
        <v>44</v>
      </c>
      <c r="U2664" s="5" t="s">
        <v>44</v>
      </c>
      <c r="V2664" s="5" t="s">
        <v>44</v>
      </c>
      <c r="W2664" s="5" t="s">
        <v>36</v>
      </c>
      <c r="X2664" s="8" t="s">
        <v>140</v>
      </c>
      <c r="Y2664" s="5" t="s">
        <v>46</v>
      </c>
      <c r="Z2664" s="5" t="s">
        <v>47</v>
      </c>
      <c r="AA2664" s="5" t="s">
        <v>64</v>
      </c>
      <c r="AB2664" s="5" t="s">
        <v>12895</v>
      </c>
      <c r="AC2664" s="6" t="s">
        <v>71</v>
      </c>
      <c r="AD2664" s="6">
        <v>7868.0</v>
      </c>
    </row>
    <row r="2665" ht="56.25" customHeight="1">
      <c r="A2665" s="5" t="s">
        <v>12877</v>
      </c>
      <c r="B2665" s="6" t="str">
        <f>IMAGE("https://storage.googleapis.com/acdb/housewares/FtrSurfboard_Remake_4_0.png")</f>
        <v/>
      </c>
      <c r="C2665" s="5" t="s">
        <v>6184</v>
      </c>
      <c r="D2665" s="5" t="s">
        <v>34</v>
      </c>
      <c r="E2665" s="5" t="s">
        <v>34</v>
      </c>
      <c r="F2665" s="5" t="s">
        <v>34</v>
      </c>
      <c r="G2665" s="5" t="s">
        <v>36</v>
      </c>
      <c r="H2665" s="5" t="s">
        <v>36</v>
      </c>
      <c r="I2665" s="5" t="s">
        <v>36</v>
      </c>
      <c r="J2665" s="6" t="s">
        <v>34</v>
      </c>
      <c r="K2665" s="6">
        <v>4100.0</v>
      </c>
      <c r="L2665" s="6">
        <v>1025.0</v>
      </c>
      <c r="M2665" s="26" t="s">
        <v>68</v>
      </c>
      <c r="N2665" s="26" t="s">
        <v>57</v>
      </c>
      <c r="O2665" s="6" t="s">
        <v>40</v>
      </c>
      <c r="P2665" s="5" t="s">
        <v>59</v>
      </c>
      <c r="Q2665" s="5" t="s">
        <v>10976</v>
      </c>
      <c r="R2665" s="6" t="s">
        <v>42</v>
      </c>
      <c r="S2665" s="5" t="s">
        <v>138</v>
      </c>
      <c r="T2665" s="5" t="s">
        <v>44</v>
      </c>
      <c r="U2665" s="5" t="s">
        <v>44</v>
      </c>
      <c r="V2665" s="5" t="s">
        <v>44</v>
      </c>
      <c r="W2665" s="5" t="s">
        <v>36</v>
      </c>
      <c r="X2665" s="8" t="s">
        <v>140</v>
      </c>
      <c r="Y2665" s="5" t="s">
        <v>46</v>
      </c>
      <c r="Z2665" s="5" t="s">
        <v>47</v>
      </c>
      <c r="AA2665" s="5" t="s">
        <v>64</v>
      </c>
      <c r="AB2665" s="5" t="s">
        <v>12899</v>
      </c>
      <c r="AC2665" s="6" t="s">
        <v>75</v>
      </c>
      <c r="AD2665" s="6">
        <v>7868.0</v>
      </c>
    </row>
    <row r="2666" ht="56.25" customHeight="1">
      <c r="A2666" s="5" t="s">
        <v>12877</v>
      </c>
      <c r="B2666" s="6" t="str">
        <f>IMAGE("https://storage.googleapis.com/acdb/housewares/FtrSurfboard_Remake_5_0.png")</f>
        <v/>
      </c>
      <c r="C2666" s="5" t="s">
        <v>39</v>
      </c>
      <c r="D2666" s="5" t="s">
        <v>34</v>
      </c>
      <c r="E2666" s="5" t="s">
        <v>34</v>
      </c>
      <c r="F2666" s="5" t="s">
        <v>34</v>
      </c>
      <c r="G2666" s="5" t="s">
        <v>36</v>
      </c>
      <c r="H2666" s="5" t="s">
        <v>36</v>
      </c>
      <c r="I2666" s="5" t="s">
        <v>36</v>
      </c>
      <c r="J2666" s="6" t="s">
        <v>34</v>
      </c>
      <c r="K2666" s="6">
        <v>4100.0</v>
      </c>
      <c r="L2666" s="6">
        <v>1025.0</v>
      </c>
      <c r="M2666" s="26" t="s">
        <v>39</v>
      </c>
      <c r="N2666" s="26" t="s">
        <v>54</v>
      </c>
      <c r="O2666" s="6" t="s">
        <v>40</v>
      </c>
      <c r="P2666" s="5" t="s">
        <v>59</v>
      </c>
      <c r="Q2666" s="5" t="s">
        <v>10976</v>
      </c>
      <c r="R2666" s="6" t="s">
        <v>42</v>
      </c>
      <c r="S2666" s="5" t="s">
        <v>138</v>
      </c>
      <c r="T2666" s="5" t="s">
        <v>44</v>
      </c>
      <c r="U2666" s="5" t="s">
        <v>44</v>
      </c>
      <c r="V2666" s="5" t="s">
        <v>44</v>
      </c>
      <c r="W2666" s="5" t="s">
        <v>36</v>
      </c>
      <c r="X2666" s="8" t="s">
        <v>140</v>
      </c>
      <c r="Y2666" s="5" t="s">
        <v>46</v>
      </c>
      <c r="Z2666" s="5" t="s">
        <v>47</v>
      </c>
      <c r="AA2666" s="5" t="s">
        <v>64</v>
      </c>
      <c r="AB2666" s="5" t="s">
        <v>12902</v>
      </c>
      <c r="AC2666" s="6" t="s">
        <v>79</v>
      </c>
      <c r="AD2666" s="6">
        <v>7868.0</v>
      </c>
    </row>
    <row r="2667" ht="56.25" customHeight="1">
      <c r="A2667" s="5" t="s">
        <v>12903</v>
      </c>
      <c r="B2667" s="6" t="str">
        <f>IMAGE("https://storage.googleapis.com/acdb/housewares/FtrSwingWood_Remake_0_0.png")</f>
        <v/>
      </c>
      <c r="C2667" s="5" t="s">
        <v>1137</v>
      </c>
      <c r="D2667" s="5" t="s">
        <v>1455</v>
      </c>
      <c r="E2667" s="5" t="s">
        <v>34</v>
      </c>
      <c r="F2667" s="5" t="s">
        <v>34</v>
      </c>
      <c r="G2667" s="5" t="s">
        <v>35</v>
      </c>
      <c r="H2667" s="5" t="s">
        <v>35</v>
      </c>
      <c r="I2667" s="5" t="s">
        <v>36</v>
      </c>
      <c r="J2667" s="6">
        <v>2.0</v>
      </c>
      <c r="K2667" s="6" t="s">
        <v>37</v>
      </c>
      <c r="L2667" s="6">
        <v>1440.0</v>
      </c>
      <c r="M2667" s="26" t="s">
        <v>38</v>
      </c>
      <c r="N2667" s="26" t="s">
        <v>38</v>
      </c>
      <c r="O2667" s="6" t="s">
        <v>276</v>
      </c>
      <c r="P2667" s="5" t="s">
        <v>41</v>
      </c>
      <c r="Q2667" s="5"/>
      <c r="R2667" s="6" t="s">
        <v>42</v>
      </c>
      <c r="S2667" s="5" t="s">
        <v>172</v>
      </c>
      <c r="T2667" s="5" t="s">
        <v>44</v>
      </c>
      <c r="U2667" s="5" t="s">
        <v>44</v>
      </c>
      <c r="V2667" s="5" t="s">
        <v>44</v>
      </c>
      <c r="W2667" s="5" t="s">
        <v>35</v>
      </c>
      <c r="X2667" s="8" t="s">
        <v>671</v>
      </c>
      <c r="Y2667" s="5" t="s">
        <v>46</v>
      </c>
      <c r="Z2667" s="5" t="s">
        <v>47</v>
      </c>
      <c r="AA2667" s="5" t="s">
        <v>48</v>
      </c>
      <c r="AB2667" s="5" t="s">
        <v>12908</v>
      </c>
      <c r="AC2667" s="6" t="s">
        <v>50</v>
      </c>
      <c r="AD2667" s="6">
        <v>1170.0</v>
      </c>
    </row>
    <row r="2668" ht="56.25" customHeight="1">
      <c r="A2668" s="5" t="s">
        <v>12903</v>
      </c>
      <c r="B2668" s="6" t="str">
        <f>IMAGE("https://storage.googleapis.com/acdb/housewares/FtrSwingWood_Remake_1_0.png")</f>
        <v/>
      </c>
      <c r="C2668" s="5" t="s">
        <v>366</v>
      </c>
      <c r="D2668" s="5" t="s">
        <v>1455</v>
      </c>
      <c r="E2668" s="5" t="s">
        <v>34</v>
      </c>
      <c r="F2668" s="5" t="s">
        <v>34</v>
      </c>
      <c r="G2668" s="5" t="s">
        <v>35</v>
      </c>
      <c r="H2668" s="5" t="s">
        <v>35</v>
      </c>
      <c r="I2668" s="5" t="s">
        <v>36</v>
      </c>
      <c r="J2668" s="6">
        <v>2.0</v>
      </c>
      <c r="K2668" s="6" t="s">
        <v>37</v>
      </c>
      <c r="L2668" s="6">
        <v>1440.0</v>
      </c>
      <c r="M2668" s="26" t="s">
        <v>114</v>
      </c>
      <c r="N2668" s="26" t="s">
        <v>114</v>
      </c>
      <c r="O2668" s="6" t="s">
        <v>276</v>
      </c>
      <c r="P2668" s="5" t="s">
        <v>41</v>
      </c>
      <c r="Q2668" s="5"/>
      <c r="R2668" s="6" t="s">
        <v>42</v>
      </c>
      <c r="S2668" s="5" t="s">
        <v>172</v>
      </c>
      <c r="T2668" s="5" t="s">
        <v>44</v>
      </c>
      <c r="U2668" s="5" t="s">
        <v>44</v>
      </c>
      <c r="V2668" s="5" t="s">
        <v>44</v>
      </c>
      <c r="W2668" s="5" t="s">
        <v>35</v>
      </c>
      <c r="X2668" s="8" t="s">
        <v>671</v>
      </c>
      <c r="Y2668" s="5" t="s">
        <v>46</v>
      </c>
      <c r="Z2668" s="5" t="s">
        <v>47</v>
      </c>
      <c r="AA2668" s="5" t="s">
        <v>48</v>
      </c>
      <c r="AB2668" s="5" t="s">
        <v>12913</v>
      </c>
      <c r="AC2668" s="6" t="s">
        <v>56</v>
      </c>
      <c r="AD2668" s="6">
        <v>1170.0</v>
      </c>
    </row>
    <row r="2669" ht="56.25" customHeight="1">
      <c r="A2669" s="5" t="s">
        <v>12903</v>
      </c>
      <c r="B2669" s="6" t="str">
        <f>IMAGE("https://storage.googleapis.com/acdb/housewares/FtrSwingWood_Remake_2_0.png")</f>
        <v/>
      </c>
      <c r="C2669" s="5" t="s">
        <v>1595</v>
      </c>
      <c r="D2669" s="5" t="s">
        <v>1455</v>
      </c>
      <c r="E2669" s="5" t="s">
        <v>34</v>
      </c>
      <c r="F2669" s="5" t="s">
        <v>34</v>
      </c>
      <c r="G2669" s="5" t="s">
        <v>35</v>
      </c>
      <c r="H2669" s="5" t="s">
        <v>35</v>
      </c>
      <c r="I2669" s="5" t="s">
        <v>36</v>
      </c>
      <c r="J2669" s="6">
        <v>2.0</v>
      </c>
      <c r="K2669" s="6" t="s">
        <v>37</v>
      </c>
      <c r="L2669" s="6">
        <v>1440.0</v>
      </c>
      <c r="M2669" s="26" t="s">
        <v>57</v>
      </c>
      <c r="N2669" s="26" t="s">
        <v>57</v>
      </c>
      <c r="O2669" s="6" t="s">
        <v>276</v>
      </c>
      <c r="P2669" s="5" t="s">
        <v>41</v>
      </c>
      <c r="Q2669" s="5"/>
      <c r="R2669" s="6" t="s">
        <v>42</v>
      </c>
      <c r="S2669" s="5" t="s">
        <v>172</v>
      </c>
      <c r="T2669" s="5" t="s">
        <v>44</v>
      </c>
      <c r="U2669" s="5" t="s">
        <v>44</v>
      </c>
      <c r="V2669" s="5" t="s">
        <v>44</v>
      </c>
      <c r="W2669" s="5" t="s">
        <v>35</v>
      </c>
      <c r="X2669" s="8" t="s">
        <v>671</v>
      </c>
      <c r="Y2669" s="5" t="s">
        <v>46</v>
      </c>
      <c r="Z2669" s="5" t="s">
        <v>47</v>
      </c>
      <c r="AA2669" s="5" t="s">
        <v>48</v>
      </c>
      <c r="AB2669" s="5" t="s">
        <v>12917</v>
      </c>
      <c r="AC2669" s="6" t="s">
        <v>67</v>
      </c>
      <c r="AD2669" s="6">
        <v>1170.0</v>
      </c>
    </row>
    <row r="2670" ht="56.25" customHeight="1">
      <c r="A2670" s="5" t="s">
        <v>12903</v>
      </c>
      <c r="B2670" s="6" t="str">
        <f>IMAGE("https://storage.googleapis.com/acdb/housewares/FtrSwingWood_Remake_3_0.png")</f>
        <v/>
      </c>
      <c r="C2670" s="5" t="s">
        <v>2430</v>
      </c>
      <c r="D2670" s="5" t="s">
        <v>1455</v>
      </c>
      <c r="E2670" s="5" t="s">
        <v>34</v>
      </c>
      <c r="F2670" s="5" t="s">
        <v>34</v>
      </c>
      <c r="G2670" s="5" t="s">
        <v>35</v>
      </c>
      <c r="H2670" s="5" t="s">
        <v>35</v>
      </c>
      <c r="I2670" s="5" t="s">
        <v>36</v>
      </c>
      <c r="J2670" s="6">
        <v>2.0</v>
      </c>
      <c r="K2670" s="6" t="s">
        <v>37</v>
      </c>
      <c r="L2670" s="6">
        <v>1440.0</v>
      </c>
      <c r="M2670" s="26" t="s">
        <v>52</v>
      </c>
      <c r="N2670" s="26" t="s">
        <v>52</v>
      </c>
      <c r="O2670" s="6" t="s">
        <v>276</v>
      </c>
      <c r="P2670" s="5" t="s">
        <v>41</v>
      </c>
      <c r="Q2670" s="5"/>
      <c r="R2670" s="6" t="s">
        <v>42</v>
      </c>
      <c r="S2670" s="5" t="s">
        <v>172</v>
      </c>
      <c r="T2670" s="5" t="s">
        <v>44</v>
      </c>
      <c r="U2670" s="5" t="s">
        <v>44</v>
      </c>
      <c r="V2670" s="5" t="s">
        <v>44</v>
      </c>
      <c r="W2670" s="5" t="s">
        <v>35</v>
      </c>
      <c r="X2670" s="8" t="s">
        <v>671</v>
      </c>
      <c r="Y2670" s="5" t="s">
        <v>46</v>
      </c>
      <c r="Z2670" s="5" t="s">
        <v>47</v>
      </c>
      <c r="AA2670" s="5" t="s">
        <v>48</v>
      </c>
      <c r="AB2670" s="5" t="s">
        <v>12920</v>
      </c>
      <c r="AC2670" s="6" t="s">
        <v>71</v>
      </c>
      <c r="AD2670" s="6">
        <v>1170.0</v>
      </c>
    </row>
    <row r="2671" ht="56.25" customHeight="1">
      <c r="A2671" s="5" t="s">
        <v>12903</v>
      </c>
      <c r="B2671" s="6" t="str">
        <f>IMAGE("https://storage.googleapis.com/acdb/housewares/FtrSwingWood_Remake_4_0.png")</f>
        <v/>
      </c>
      <c r="C2671" s="5" t="s">
        <v>1132</v>
      </c>
      <c r="D2671" s="5" t="s">
        <v>1455</v>
      </c>
      <c r="E2671" s="5" t="s">
        <v>34</v>
      </c>
      <c r="F2671" s="5" t="s">
        <v>34</v>
      </c>
      <c r="G2671" s="5" t="s">
        <v>35</v>
      </c>
      <c r="H2671" s="5" t="s">
        <v>35</v>
      </c>
      <c r="I2671" s="5" t="s">
        <v>36</v>
      </c>
      <c r="J2671" s="6">
        <v>2.0</v>
      </c>
      <c r="K2671" s="6" t="s">
        <v>37</v>
      </c>
      <c r="L2671" s="6">
        <v>1440.0</v>
      </c>
      <c r="M2671" s="26" t="s">
        <v>39</v>
      </c>
      <c r="N2671" s="26" t="s">
        <v>39</v>
      </c>
      <c r="O2671" s="6" t="s">
        <v>276</v>
      </c>
      <c r="P2671" s="5" t="s">
        <v>41</v>
      </c>
      <c r="Q2671" s="5"/>
      <c r="R2671" s="6" t="s">
        <v>42</v>
      </c>
      <c r="S2671" s="5" t="s">
        <v>172</v>
      </c>
      <c r="T2671" s="5" t="s">
        <v>44</v>
      </c>
      <c r="U2671" s="5" t="s">
        <v>44</v>
      </c>
      <c r="V2671" s="5" t="s">
        <v>44</v>
      </c>
      <c r="W2671" s="5" t="s">
        <v>35</v>
      </c>
      <c r="X2671" s="8" t="s">
        <v>671</v>
      </c>
      <c r="Y2671" s="5" t="s">
        <v>46</v>
      </c>
      <c r="Z2671" s="5" t="s">
        <v>47</v>
      </c>
      <c r="AA2671" s="5" t="s">
        <v>48</v>
      </c>
      <c r="AB2671" s="5" t="s">
        <v>12924</v>
      </c>
      <c r="AC2671" s="6" t="s">
        <v>75</v>
      </c>
      <c r="AD2671" s="6">
        <v>1170.0</v>
      </c>
    </row>
    <row r="2672" ht="56.25" customHeight="1">
      <c r="A2672" s="5" t="s">
        <v>12925</v>
      </c>
      <c r="B2672" s="6" t="str">
        <f>IMAGE("https://storage.googleapis.com/acdb/housewares/FtrSynthesizer_Remake_0_0.png")</f>
        <v/>
      </c>
      <c r="C2672" s="5" t="s">
        <v>54</v>
      </c>
      <c r="D2672" s="5" t="s">
        <v>34</v>
      </c>
      <c r="E2672" s="5" t="s">
        <v>34</v>
      </c>
      <c r="F2672" s="5" t="s">
        <v>34</v>
      </c>
      <c r="G2672" s="5" t="s">
        <v>36</v>
      </c>
      <c r="H2672" s="5" t="s">
        <v>36</v>
      </c>
      <c r="I2672" s="5" t="s">
        <v>36</v>
      </c>
      <c r="J2672" s="6" t="s">
        <v>34</v>
      </c>
      <c r="K2672" s="6">
        <v>66000.0</v>
      </c>
      <c r="L2672" s="6">
        <v>16500.0</v>
      </c>
      <c r="M2672" s="26" t="s">
        <v>54</v>
      </c>
      <c r="N2672" s="26" t="s">
        <v>57</v>
      </c>
      <c r="O2672" s="6" t="s">
        <v>276</v>
      </c>
      <c r="P2672" s="5" t="s">
        <v>59</v>
      </c>
      <c r="Q2672" s="5" t="s">
        <v>115</v>
      </c>
      <c r="R2672" s="6" t="s">
        <v>42</v>
      </c>
      <c r="S2672" s="5" t="s">
        <v>129</v>
      </c>
      <c r="T2672" s="5" t="s">
        <v>44</v>
      </c>
      <c r="U2672" s="5" t="s">
        <v>44</v>
      </c>
      <c r="V2672" s="5" t="s">
        <v>44</v>
      </c>
      <c r="W2672" s="5" t="s">
        <v>35</v>
      </c>
      <c r="X2672" s="8" t="s">
        <v>45</v>
      </c>
      <c r="Y2672" s="5" t="s">
        <v>46</v>
      </c>
      <c r="Z2672" s="5" t="s">
        <v>47</v>
      </c>
      <c r="AA2672" s="5" t="s">
        <v>64</v>
      </c>
      <c r="AB2672" s="5" t="s">
        <v>12928</v>
      </c>
      <c r="AC2672" s="6" t="s">
        <v>50</v>
      </c>
      <c r="AD2672" s="6">
        <v>1171.0</v>
      </c>
    </row>
    <row r="2673" ht="56.25" customHeight="1">
      <c r="A2673" s="5" t="s">
        <v>12925</v>
      </c>
      <c r="B2673" s="6" t="str">
        <f>IMAGE("https://storage.googleapis.com/acdb/housewares/FtrSynthesizer_Remake_1_0.png")</f>
        <v/>
      </c>
      <c r="C2673" s="5" t="s">
        <v>52</v>
      </c>
      <c r="D2673" s="5" t="s">
        <v>34</v>
      </c>
      <c r="E2673" s="5" t="s">
        <v>34</v>
      </c>
      <c r="F2673" s="5" t="s">
        <v>34</v>
      </c>
      <c r="G2673" s="5" t="s">
        <v>36</v>
      </c>
      <c r="H2673" s="5" t="s">
        <v>36</v>
      </c>
      <c r="I2673" s="5" t="s">
        <v>36</v>
      </c>
      <c r="J2673" s="6" t="s">
        <v>34</v>
      </c>
      <c r="K2673" s="6">
        <v>66000.0</v>
      </c>
      <c r="L2673" s="6">
        <v>16500.0</v>
      </c>
      <c r="M2673" s="26" t="s">
        <v>52</v>
      </c>
      <c r="N2673" s="26" t="s">
        <v>57</v>
      </c>
      <c r="O2673" s="6" t="s">
        <v>276</v>
      </c>
      <c r="P2673" s="5" t="s">
        <v>59</v>
      </c>
      <c r="Q2673" s="5" t="s">
        <v>115</v>
      </c>
      <c r="R2673" s="6" t="s">
        <v>42</v>
      </c>
      <c r="S2673" s="5" t="s">
        <v>129</v>
      </c>
      <c r="T2673" s="5" t="s">
        <v>44</v>
      </c>
      <c r="U2673" s="5" t="s">
        <v>44</v>
      </c>
      <c r="V2673" s="5" t="s">
        <v>44</v>
      </c>
      <c r="W2673" s="5" t="s">
        <v>35</v>
      </c>
      <c r="X2673" s="8" t="s">
        <v>45</v>
      </c>
      <c r="Y2673" s="5" t="s">
        <v>46</v>
      </c>
      <c r="Z2673" s="5" t="s">
        <v>47</v>
      </c>
      <c r="AA2673" s="5" t="s">
        <v>64</v>
      </c>
      <c r="AB2673" s="5" t="s">
        <v>12932</v>
      </c>
      <c r="AC2673" s="6" t="s">
        <v>56</v>
      </c>
      <c r="AD2673" s="6">
        <v>1171.0</v>
      </c>
    </row>
    <row r="2674" ht="56.25" customHeight="1">
      <c r="A2674" s="5" t="s">
        <v>12925</v>
      </c>
      <c r="B2674" s="6" t="str">
        <f>IMAGE("https://storage.googleapis.com/acdb/housewares/FtrSynthesizer_Remake_2_0.png")</f>
        <v/>
      </c>
      <c r="C2674" s="5" t="s">
        <v>68</v>
      </c>
      <c r="D2674" s="5" t="s">
        <v>34</v>
      </c>
      <c r="E2674" s="5" t="s">
        <v>34</v>
      </c>
      <c r="F2674" s="5" t="s">
        <v>34</v>
      </c>
      <c r="G2674" s="5" t="s">
        <v>36</v>
      </c>
      <c r="H2674" s="5" t="s">
        <v>36</v>
      </c>
      <c r="I2674" s="5" t="s">
        <v>36</v>
      </c>
      <c r="J2674" s="6" t="s">
        <v>34</v>
      </c>
      <c r="K2674" s="6">
        <v>66000.0</v>
      </c>
      <c r="L2674" s="6">
        <v>16500.0</v>
      </c>
      <c r="M2674" s="26" t="s">
        <v>68</v>
      </c>
      <c r="N2674" s="26" t="s">
        <v>57</v>
      </c>
      <c r="O2674" s="6" t="s">
        <v>276</v>
      </c>
      <c r="P2674" s="5" t="s">
        <v>59</v>
      </c>
      <c r="Q2674" s="5" t="s">
        <v>115</v>
      </c>
      <c r="R2674" s="6" t="s">
        <v>42</v>
      </c>
      <c r="S2674" s="5" t="s">
        <v>129</v>
      </c>
      <c r="T2674" s="5" t="s">
        <v>44</v>
      </c>
      <c r="U2674" s="5" t="s">
        <v>44</v>
      </c>
      <c r="V2674" s="5" t="s">
        <v>44</v>
      </c>
      <c r="W2674" s="5" t="s">
        <v>35</v>
      </c>
      <c r="X2674" s="8" t="s">
        <v>45</v>
      </c>
      <c r="Y2674" s="5" t="s">
        <v>46</v>
      </c>
      <c r="Z2674" s="5" t="s">
        <v>47</v>
      </c>
      <c r="AA2674" s="5" t="s">
        <v>64</v>
      </c>
      <c r="AB2674" s="5" t="s">
        <v>12936</v>
      </c>
      <c r="AC2674" s="6" t="s">
        <v>67</v>
      </c>
      <c r="AD2674" s="6">
        <v>1171.0</v>
      </c>
    </row>
    <row r="2675" ht="56.25" customHeight="1">
      <c r="A2675" s="5" t="s">
        <v>12925</v>
      </c>
      <c r="B2675" s="6" t="str">
        <f>IMAGE("https://storage.googleapis.com/acdb/housewares/FtrSynthesizer_Remake_3_0.png")</f>
        <v/>
      </c>
      <c r="C2675" s="5" t="s">
        <v>114</v>
      </c>
      <c r="D2675" s="5" t="s">
        <v>34</v>
      </c>
      <c r="E2675" s="5" t="s">
        <v>34</v>
      </c>
      <c r="F2675" s="5" t="s">
        <v>34</v>
      </c>
      <c r="G2675" s="5" t="s">
        <v>36</v>
      </c>
      <c r="H2675" s="5" t="s">
        <v>36</v>
      </c>
      <c r="I2675" s="5" t="s">
        <v>36</v>
      </c>
      <c r="J2675" s="6" t="s">
        <v>34</v>
      </c>
      <c r="K2675" s="6">
        <v>66000.0</v>
      </c>
      <c r="L2675" s="6">
        <v>16500.0</v>
      </c>
      <c r="M2675" s="26" t="s">
        <v>114</v>
      </c>
      <c r="N2675" s="26" t="s">
        <v>57</v>
      </c>
      <c r="O2675" s="6" t="s">
        <v>276</v>
      </c>
      <c r="P2675" s="5" t="s">
        <v>59</v>
      </c>
      <c r="Q2675" s="5" t="s">
        <v>115</v>
      </c>
      <c r="R2675" s="6" t="s">
        <v>42</v>
      </c>
      <c r="S2675" s="5" t="s">
        <v>129</v>
      </c>
      <c r="T2675" s="5" t="s">
        <v>44</v>
      </c>
      <c r="U2675" s="5" t="s">
        <v>44</v>
      </c>
      <c r="V2675" s="5" t="s">
        <v>44</v>
      </c>
      <c r="W2675" s="5" t="s">
        <v>35</v>
      </c>
      <c r="X2675" s="8" t="s">
        <v>45</v>
      </c>
      <c r="Y2675" s="5" t="s">
        <v>46</v>
      </c>
      <c r="Z2675" s="5" t="s">
        <v>47</v>
      </c>
      <c r="AA2675" s="5" t="s">
        <v>64</v>
      </c>
      <c r="AB2675" s="5" t="s">
        <v>12940</v>
      </c>
      <c r="AC2675" s="6" t="s">
        <v>71</v>
      </c>
      <c r="AD2675" s="6">
        <v>1171.0</v>
      </c>
    </row>
    <row r="2676" ht="56.25" customHeight="1">
      <c r="A2676" s="5" t="s">
        <v>12925</v>
      </c>
      <c r="B2676" s="6" t="str">
        <f>IMAGE("https://storage.googleapis.com/acdb/housewares/FtrSynthesizer_Remake_4_0.png")</f>
        <v/>
      </c>
      <c r="C2676" s="5" t="s">
        <v>146</v>
      </c>
      <c r="D2676" s="5" t="s">
        <v>34</v>
      </c>
      <c r="E2676" s="5" t="s">
        <v>34</v>
      </c>
      <c r="F2676" s="5" t="s">
        <v>34</v>
      </c>
      <c r="G2676" s="5" t="s">
        <v>36</v>
      </c>
      <c r="H2676" s="5" t="s">
        <v>36</v>
      </c>
      <c r="I2676" s="5" t="s">
        <v>36</v>
      </c>
      <c r="J2676" s="6" t="s">
        <v>34</v>
      </c>
      <c r="K2676" s="6">
        <v>66000.0</v>
      </c>
      <c r="L2676" s="6">
        <v>16500.0</v>
      </c>
      <c r="M2676" s="26" t="s">
        <v>95</v>
      </c>
      <c r="N2676" s="26" t="s">
        <v>57</v>
      </c>
      <c r="O2676" s="6" t="s">
        <v>276</v>
      </c>
      <c r="P2676" s="5" t="s">
        <v>59</v>
      </c>
      <c r="Q2676" s="5" t="s">
        <v>115</v>
      </c>
      <c r="R2676" s="6" t="s">
        <v>42</v>
      </c>
      <c r="S2676" s="5" t="s">
        <v>129</v>
      </c>
      <c r="T2676" s="5" t="s">
        <v>44</v>
      </c>
      <c r="U2676" s="5" t="s">
        <v>44</v>
      </c>
      <c r="V2676" s="5" t="s">
        <v>44</v>
      </c>
      <c r="W2676" s="5" t="s">
        <v>35</v>
      </c>
      <c r="X2676" s="8" t="s">
        <v>45</v>
      </c>
      <c r="Y2676" s="5" t="s">
        <v>46</v>
      </c>
      <c r="Z2676" s="5" t="s">
        <v>47</v>
      </c>
      <c r="AA2676" s="5" t="s">
        <v>64</v>
      </c>
      <c r="AB2676" s="5" t="s">
        <v>12944</v>
      </c>
      <c r="AC2676" s="6" t="s">
        <v>75</v>
      </c>
      <c r="AD2676" s="6">
        <v>1171.0</v>
      </c>
    </row>
    <row r="2677" ht="56.25" customHeight="1">
      <c r="A2677" s="5" t="s">
        <v>12925</v>
      </c>
      <c r="B2677" s="6" t="str">
        <f>IMAGE("https://storage.googleapis.com/acdb/housewares/FtrSynthesizer_Remake_5_0.png")</f>
        <v/>
      </c>
      <c r="C2677" s="5" t="s">
        <v>39</v>
      </c>
      <c r="D2677" s="5" t="s">
        <v>34</v>
      </c>
      <c r="E2677" s="5" t="s">
        <v>34</v>
      </c>
      <c r="F2677" s="5" t="s">
        <v>34</v>
      </c>
      <c r="G2677" s="5" t="s">
        <v>36</v>
      </c>
      <c r="H2677" s="5" t="s">
        <v>36</v>
      </c>
      <c r="I2677" s="5" t="s">
        <v>36</v>
      </c>
      <c r="J2677" s="6" t="s">
        <v>34</v>
      </c>
      <c r="K2677" s="6">
        <v>66000.0</v>
      </c>
      <c r="L2677" s="6">
        <v>16500.0</v>
      </c>
      <c r="M2677" s="26" t="s">
        <v>39</v>
      </c>
      <c r="N2677" s="26" t="s">
        <v>57</v>
      </c>
      <c r="O2677" s="6" t="s">
        <v>276</v>
      </c>
      <c r="P2677" s="5" t="s">
        <v>59</v>
      </c>
      <c r="Q2677" s="5" t="s">
        <v>115</v>
      </c>
      <c r="R2677" s="6" t="s">
        <v>42</v>
      </c>
      <c r="S2677" s="5" t="s">
        <v>129</v>
      </c>
      <c r="T2677" s="5" t="s">
        <v>44</v>
      </c>
      <c r="U2677" s="5" t="s">
        <v>44</v>
      </c>
      <c r="V2677" s="5" t="s">
        <v>44</v>
      </c>
      <c r="W2677" s="5" t="s">
        <v>35</v>
      </c>
      <c r="X2677" s="8" t="s">
        <v>45</v>
      </c>
      <c r="Y2677" s="5" t="s">
        <v>46</v>
      </c>
      <c r="Z2677" s="5" t="s">
        <v>47</v>
      </c>
      <c r="AA2677" s="5" t="s">
        <v>64</v>
      </c>
      <c r="AB2677" s="5" t="s">
        <v>12948</v>
      </c>
      <c r="AC2677" s="6" t="s">
        <v>79</v>
      </c>
      <c r="AD2677" s="6">
        <v>1171.0</v>
      </c>
    </row>
    <row r="2678" ht="56.25" customHeight="1">
      <c r="A2678" s="5" t="s">
        <v>12949</v>
      </c>
      <c r="B2678" s="6" t="str">
        <f>IMAGE("https://storage.googleapis.com/acdb/housewares/FtrKitchenSystem_Remake_0_0.png")</f>
        <v/>
      </c>
      <c r="C2678" s="5" t="s">
        <v>12067</v>
      </c>
      <c r="D2678" s="5" t="s">
        <v>34</v>
      </c>
      <c r="E2678" s="5" t="s">
        <v>34</v>
      </c>
      <c r="F2678" s="5" t="s">
        <v>34</v>
      </c>
      <c r="G2678" s="5" t="s">
        <v>36</v>
      </c>
      <c r="H2678" s="5" t="s">
        <v>36</v>
      </c>
      <c r="I2678" s="5" t="s">
        <v>36</v>
      </c>
      <c r="J2678" s="6" t="s">
        <v>34</v>
      </c>
      <c r="K2678" s="6">
        <v>130000.0</v>
      </c>
      <c r="L2678" s="6">
        <v>32500.0</v>
      </c>
      <c r="M2678" s="5" t="s">
        <v>57</v>
      </c>
      <c r="N2678" s="5" t="s">
        <v>54</v>
      </c>
      <c r="O2678" s="6" t="s">
        <v>276</v>
      </c>
      <c r="P2678" s="5" t="s">
        <v>59</v>
      </c>
      <c r="Q2678" s="5" t="s">
        <v>115</v>
      </c>
      <c r="R2678" s="6" t="s">
        <v>42</v>
      </c>
      <c r="S2678" s="5" t="s">
        <v>159</v>
      </c>
      <c r="T2678" s="5" t="s">
        <v>116</v>
      </c>
      <c r="U2678" s="5" t="s">
        <v>44</v>
      </c>
      <c r="V2678" s="5" t="s">
        <v>44</v>
      </c>
      <c r="W2678" s="5" t="s">
        <v>36</v>
      </c>
      <c r="X2678" s="8" t="s">
        <v>1244</v>
      </c>
      <c r="Y2678" s="5" t="s">
        <v>46</v>
      </c>
      <c r="Z2678" s="5" t="s">
        <v>47</v>
      </c>
      <c r="AA2678" s="5" t="s">
        <v>64</v>
      </c>
      <c r="AB2678" s="5" t="s">
        <v>12953</v>
      </c>
      <c r="AC2678" s="6" t="s">
        <v>50</v>
      </c>
      <c r="AD2678" s="6">
        <v>3616.0</v>
      </c>
    </row>
    <row r="2679" ht="56.25" customHeight="1">
      <c r="A2679" s="5" t="s">
        <v>12949</v>
      </c>
      <c r="B2679" s="6" t="str">
        <f>IMAGE("https://storage.googleapis.com/acdb/housewares/FtrKitchenSystem_Remake_1_0.png")</f>
        <v/>
      </c>
      <c r="C2679" s="5" t="s">
        <v>52</v>
      </c>
      <c r="D2679" s="5" t="s">
        <v>34</v>
      </c>
      <c r="E2679" s="5" t="s">
        <v>34</v>
      </c>
      <c r="F2679" s="5" t="s">
        <v>34</v>
      </c>
      <c r="G2679" s="5" t="s">
        <v>36</v>
      </c>
      <c r="H2679" s="5" t="s">
        <v>36</v>
      </c>
      <c r="I2679" s="5" t="s">
        <v>36</v>
      </c>
      <c r="J2679" s="6" t="s">
        <v>34</v>
      </c>
      <c r="K2679" s="6">
        <v>130000.0</v>
      </c>
      <c r="L2679" s="6">
        <v>32500.0</v>
      </c>
      <c r="M2679" s="26" t="s">
        <v>52</v>
      </c>
      <c r="N2679" s="26" t="s">
        <v>54</v>
      </c>
      <c r="O2679" s="6" t="s">
        <v>276</v>
      </c>
      <c r="P2679" s="5" t="s">
        <v>59</v>
      </c>
      <c r="Q2679" s="5" t="s">
        <v>115</v>
      </c>
      <c r="R2679" s="6" t="s">
        <v>42</v>
      </c>
      <c r="S2679" s="5" t="s">
        <v>159</v>
      </c>
      <c r="T2679" s="5" t="s">
        <v>116</v>
      </c>
      <c r="U2679" s="5" t="s">
        <v>44</v>
      </c>
      <c r="V2679" s="5" t="s">
        <v>44</v>
      </c>
      <c r="W2679" s="5" t="s">
        <v>36</v>
      </c>
      <c r="X2679" s="8" t="s">
        <v>1244</v>
      </c>
      <c r="Y2679" s="5" t="s">
        <v>46</v>
      </c>
      <c r="Z2679" s="5" t="s">
        <v>47</v>
      </c>
      <c r="AA2679" s="5" t="s">
        <v>64</v>
      </c>
      <c r="AB2679" s="5" t="s">
        <v>12957</v>
      </c>
      <c r="AC2679" s="6" t="s">
        <v>56</v>
      </c>
      <c r="AD2679" s="6">
        <v>3616.0</v>
      </c>
    </row>
    <row r="2680" ht="56.25" customHeight="1">
      <c r="A2680" s="5" t="s">
        <v>12949</v>
      </c>
      <c r="B2680" s="6" t="str">
        <f>IMAGE("https://storage.googleapis.com/acdb/housewares/FtrKitchenSystem_Remake_2_0.png")</f>
        <v/>
      </c>
      <c r="C2680" s="5" t="s">
        <v>68</v>
      </c>
      <c r="D2680" s="5" t="s">
        <v>34</v>
      </c>
      <c r="E2680" s="5" t="s">
        <v>34</v>
      </c>
      <c r="F2680" s="5" t="s">
        <v>34</v>
      </c>
      <c r="G2680" s="5" t="s">
        <v>36</v>
      </c>
      <c r="H2680" s="5" t="s">
        <v>36</v>
      </c>
      <c r="I2680" s="5" t="s">
        <v>36</v>
      </c>
      <c r="J2680" s="6" t="s">
        <v>34</v>
      </c>
      <c r="K2680" s="6">
        <v>130000.0</v>
      </c>
      <c r="L2680" s="6">
        <v>32500.0</v>
      </c>
      <c r="M2680" s="26" t="s">
        <v>68</v>
      </c>
      <c r="N2680" s="26" t="s">
        <v>54</v>
      </c>
      <c r="O2680" s="6" t="s">
        <v>276</v>
      </c>
      <c r="P2680" s="5" t="s">
        <v>59</v>
      </c>
      <c r="Q2680" s="5" t="s">
        <v>115</v>
      </c>
      <c r="R2680" s="6" t="s">
        <v>42</v>
      </c>
      <c r="S2680" s="5" t="s">
        <v>159</v>
      </c>
      <c r="T2680" s="5" t="s">
        <v>116</v>
      </c>
      <c r="U2680" s="5" t="s">
        <v>44</v>
      </c>
      <c r="V2680" s="5" t="s">
        <v>44</v>
      </c>
      <c r="W2680" s="5" t="s">
        <v>36</v>
      </c>
      <c r="X2680" s="8" t="s">
        <v>1244</v>
      </c>
      <c r="Y2680" s="5" t="s">
        <v>46</v>
      </c>
      <c r="Z2680" s="5" t="s">
        <v>47</v>
      </c>
      <c r="AA2680" s="5" t="s">
        <v>64</v>
      </c>
      <c r="AB2680" s="5" t="s">
        <v>12961</v>
      </c>
      <c r="AC2680" s="6" t="s">
        <v>67</v>
      </c>
      <c r="AD2680" s="6">
        <v>3616.0</v>
      </c>
    </row>
    <row r="2681" ht="56.25" customHeight="1">
      <c r="A2681" s="5" t="s">
        <v>12949</v>
      </c>
      <c r="B2681" s="6" t="str">
        <f>IMAGE("https://storage.googleapis.com/acdb/housewares/FtrKitchenSystem_Remake_3_0.png")</f>
        <v/>
      </c>
      <c r="C2681" s="5" t="s">
        <v>114</v>
      </c>
      <c r="D2681" s="5" t="s">
        <v>34</v>
      </c>
      <c r="E2681" s="5" t="s">
        <v>34</v>
      </c>
      <c r="F2681" s="5" t="s">
        <v>34</v>
      </c>
      <c r="G2681" s="5" t="s">
        <v>36</v>
      </c>
      <c r="H2681" s="5" t="s">
        <v>36</v>
      </c>
      <c r="I2681" s="5" t="s">
        <v>36</v>
      </c>
      <c r="J2681" s="6" t="s">
        <v>34</v>
      </c>
      <c r="K2681" s="6">
        <v>130000.0</v>
      </c>
      <c r="L2681" s="6">
        <v>32500.0</v>
      </c>
      <c r="M2681" s="26" t="s">
        <v>114</v>
      </c>
      <c r="N2681" s="26" t="s">
        <v>54</v>
      </c>
      <c r="O2681" s="6" t="s">
        <v>276</v>
      </c>
      <c r="P2681" s="5" t="s">
        <v>59</v>
      </c>
      <c r="Q2681" s="5" t="s">
        <v>115</v>
      </c>
      <c r="R2681" s="6" t="s">
        <v>42</v>
      </c>
      <c r="S2681" s="5" t="s">
        <v>159</v>
      </c>
      <c r="T2681" s="5" t="s">
        <v>116</v>
      </c>
      <c r="U2681" s="5" t="s">
        <v>44</v>
      </c>
      <c r="V2681" s="5" t="s">
        <v>44</v>
      </c>
      <c r="W2681" s="5" t="s">
        <v>36</v>
      </c>
      <c r="X2681" s="8" t="s">
        <v>1244</v>
      </c>
      <c r="Y2681" s="5" t="s">
        <v>46</v>
      </c>
      <c r="Z2681" s="5" t="s">
        <v>47</v>
      </c>
      <c r="AA2681" s="5" t="s">
        <v>64</v>
      </c>
      <c r="AB2681" s="5" t="s">
        <v>12963</v>
      </c>
      <c r="AC2681" s="6" t="s">
        <v>71</v>
      </c>
      <c r="AD2681" s="6">
        <v>3616.0</v>
      </c>
    </row>
    <row r="2682" ht="56.25" customHeight="1">
      <c r="A2682" s="5" t="s">
        <v>12949</v>
      </c>
      <c r="B2682" s="6" t="str">
        <f>IMAGE("https://storage.googleapis.com/acdb/housewares/FtrKitchenSystem_Remake_4_0.png")</f>
        <v/>
      </c>
      <c r="C2682" s="5" t="s">
        <v>54</v>
      </c>
      <c r="D2682" s="5" t="s">
        <v>34</v>
      </c>
      <c r="E2682" s="5" t="s">
        <v>34</v>
      </c>
      <c r="F2682" s="5" t="s">
        <v>34</v>
      </c>
      <c r="G2682" s="5" t="s">
        <v>36</v>
      </c>
      <c r="H2682" s="5" t="s">
        <v>36</v>
      </c>
      <c r="I2682" s="5" t="s">
        <v>36</v>
      </c>
      <c r="J2682" s="6" t="s">
        <v>34</v>
      </c>
      <c r="K2682" s="6">
        <v>130000.0</v>
      </c>
      <c r="L2682" s="6">
        <v>32500.0</v>
      </c>
      <c r="M2682" s="26" t="s">
        <v>54</v>
      </c>
      <c r="N2682" s="26" t="s">
        <v>54</v>
      </c>
      <c r="O2682" s="6" t="s">
        <v>276</v>
      </c>
      <c r="P2682" s="5" t="s">
        <v>59</v>
      </c>
      <c r="Q2682" s="5" t="s">
        <v>115</v>
      </c>
      <c r="R2682" s="6" t="s">
        <v>42</v>
      </c>
      <c r="S2682" s="5" t="s">
        <v>159</v>
      </c>
      <c r="T2682" s="5" t="s">
        <v>116</v>
      </c>
      <c r="U2682" s="5" t="s">
        <v>44</v>
      </c>
      <c r="V2682" s="5" t="s">
        <v>44</v>
      </c>
      <c r="W2682" s="5" t="s">
        <v>36</v>
      </c>
      <c r="X2682" s="8" t="s">
        <v>1244</v>
      </c>
      <c r="Y2682" s="5" t="s">
        <v>46</v>
      </c>
      <c r="Z2682" s="5" t="s">
        <v>47</v>
      </c>
      <c r="AA2682" s="5" t="s">
        <v>64</v>
      </c>
      <c r="AB2682" s="5" t="s">
        <v>12967</v>
      </c>
      <c r="AC2682" s="6" t="s">
        <v>75</v>
      </c>
      <c r="AD2682" s="6">
        <v>3616.0</v>
      </c>
    </row>
    <row r="2683" ht="56.25" customHeight="1">
      <c r="A2683" s="5" t="s">
        <v>12949</v>
      </c>
      <c r="B2683" s="6" t="str">
        <f>IMAGE("https://storage.googleapis.com/acdb/housewares/FtrKitchenSystem_Remake_5_0.png")</f>
        <v/>
      </c>
      <c r="C2683" s="5" t="s">
        <v>39</v>
      </c>
      <c r="D2683" s="5" t="s">
        <v>34</v>
      </c>
      <c r="E2683" s="5" t="s">
        <v>34</v>
      </c>
      <c r="F2683" s="5" t="s">
        <v>34</v>
      </c>
      <c r="G2683" s="5" t="s">
        <v>36</v>
      </c>
      <c r="H2683" s="5" t="s">
        <v>36</v>
      </c>
      <c r="I2683" s="5" t="s">
        <v>36</v>
      </c>
      <c r="J2683" s="6" t="s">
        <v>34</v>
      </c>
      <c r="K2683" s="6">
        <v>130000.0</v>
      </c>
      <c r="L2683" s="6">
        <v>32500.0</v>
      </c>
      <c r="M2683" s="26" t="s">
        <v>39</v>
      </c>
      <c r="N2683" s="26" t="s">
        <v>54</v>
      </c>
      <c r="O2683" s="6" t="s">
        <v>276</v>
      </c>
      <c r="P2683" s="5" t="s">
        <v>59</v>
      </c>
      <c r="Q2683" s="5" t="s">
        <v>115</v>
      </c>
      <c r="R2683" s="6" t="s">
        <v>42</v>
      </c>
      <c r="S2683" s="5" t="s">
        <v>159</v>
      </c>
      <c r="T2683" s="5" t="s">
        <v>116</v>
      </c>
      <c r="U2683" s="5" t="s">
        <v>44</v>
      </c>
      <c r="V2683" s="5" t="s">
        <v>44</v>
      </c>
      <c r="W2683" s="5" t="s">
        <v>36</v>
      </c>
      <c r="X2683" s="8" t="s">
        <v>1244</v>
      </c>
      <c r="Y2683" s="5" t="s">
        <v>46</v>
      </c>
      <c r="Z2683" s="5" t="s">
        <v>47</v>
      </c>
      <c r="AA2683" s="5" t="s">
        <v>64</v>
      </c>
      <c r="AB2683" s="5" t="s">
        <v>12971</v>
      </c>
      <c r="AC2683" s="6" t="s">
        <v>79</v>
      </c>
      <c r="AD2683" s="6">
        <v>3616.0</v>
      </c>
    </row>
    <row r="2684" ht="56.25" customHeight="1">
      <c r="A2684" s="5" t="s">
        <v>12949</v>
      </c>
      <c r="B2684" s="6" t="str">
        <f>IMAGE("https://storage.googleapis.com/acdb/housewares/FtrKitchenSystem_Remake_6_0.png")</f>
        <v/>
      </c>
      <c r="C2684" s="5" t="s">
        <v>32</v>
      </c>
      <c r="D2684" s="5" t="s">
        <v>34</v>
      </c>
      <c r="E2684" s="5" t="s">
        <v>34</v>
      </c>
      <c r="F2684" s="5" t="s">
        <v>34</v>
      </c>
      <c r="G2684" s="5" t="s">
        <v>36</v>
      </c>
      <c r="H2684" s="5" t="s">
        <v>36</v>
      </c>
      <c r="I2684" s="5" t="s">
        <v>36</v>
      </c>
      <c r="J2684" s="6" t="s">
        <v>34</v>
      </c>
      <c r="K2684" s="6">
        <v>130000.0</v>
      </c>
      <c r="L2684" s="6">
        <v>32500.0</v>
      </c>
      <c r="M2684" s="26" t="s">
        <v>38</v>
      </c>
      <c r="N2684" s="26" t="s">
        <v>54</v>
      </c>
      <c r="O2684" s="6" t="s">
        <v>276</v>
      </c>
      <c r="P2684" s="5" t="s">
        <v>59</v>
      </c>
      <c r="Q2684" s="5" t="s">
        <v>115</v>
      </c>
      <c r="R2684" s="6" t="s">
        <v>42</v>
      </c>
      <c r="S2684" s="5" t="s">
        <v>159</v>
      </c>
      <c r="T2684" s="5" t="s">
        <v>116</v>
      </c>
      <c r="U2684" s="5" t="s">
        <v>44</v>
      </c>
      <c r="V2684" s="5" t="s">
        <v>44</v>
      </c>
      <c r="W2684" s="5" t="s">
        <v>36</v>
      </c>
      <c r="X2684" s="8" t="s">
        <v>1244</v>
      </c>
      <c r="Y2684" s="5" t="s">
        <v>46</v>
      </c>
      <c r="Z2684" s="5" t="s">
        <v>47</v>
      </c>
      <c r="AA2684" s="5" t="s">
        <v>64</v>
      </c>
      <c r="AB2684" s="5" t="s">
        <v>12976</v>
      </c>
      <c r="AC2684" s="6" t="s">
        <v>86</v>
      </c>
      <c r="AD2684" s="6">
        <v>3616.0</v>
      </c>
    </row>
    <row r="2685" ht="56.25" customHeight="1">
      <c r="A2685" s="5" t="s">
        <v>12949</v>
      </c>
      <c r="B2685" s="6" t="str">
        <f>IMAGE("https://storage.googleapis.com/acdb/housewares/FtrKitchenSystem_Remake_7_0.png")</f>
        <v/>
      </c>
      <c r="C2685" s="5" t="s">
        <v>57</v>
      </c>
      <c r="D2685" s="5" t="s">
        <v>34</v>
      </c>
      <c r="E2685" s="5" t="s">
        <v>34</v>
      </c>
      <c r="F2685" s="5" t="s">
        <v>34</v>
      </c>
      <c r="G2685" s="5" t="s">
        <v>36</v>
      </c>
      <c r="H2685" s="5" t="s">
        <v>36</v>
      </c>
      <c r="I2685" s="5" t="s">
        <v>36</v>
      </c>
      <c r="J2685" s="6" t="s">
        <v>34</v>
      </c>
      <c r="K2685" s="6">
        <v>130000.0</v>
      </c>
      <c r="L2685" s="6">
        <v>32500.0</v>
      </c>
      <c r="M2685" s="26" t="s">
        <v>57</v>
      </c>
      <c r="N2685" s="26" t="s">
        <v>54</v>
      </c>
      <c r="O2685" s="6" t="s">
        <v>276</v>
      </c>
      <c r="P2685" s="5" t="s">
        <v>59</v>
      </c>
      <c r="Q2685" s="5" t="s">
        <v>115</v>
      </c>
      <c r="R2685" s="6" t="s">
        <v>42</v>
      </c>
      <c r="S2685" s="5" t="s">
        <v>159</v>
      </c>
      <c r="T2685" s="5" t="s">
        <v>116</v>
      </c>
      <c r="U2685" s="5" t="s">
        <v>44</v>
      </c>
      <c r="V2685" s="5" t="s">
        <v>44</v>
      </c>
      <c r="W2685" s="5" t="s">
        <v>36</v>
      </c>
      <c r="X2685" s="8" t="s">
        <v>1244</v>
      </c>
      <c r="Y2685" s="5" t="s">
        <v>46</v>
      </c>
      <c r="Z2685" s="5" t="s">
        <v>47</v>
      </c>
      <c r="AA2685" s="5" t="s">
        <v>64</v>
      </c>
      <c r="AB2685" s="5" t="s">
        <v>12979</v>
      </c>
      <c r="AC2685" s="6" t="s">
        <v>208</v>
      </c>
      <c r="AD2685" s="6">
        <v>3616.0</v>
      </c>
    </row>
    <row r="2686" ht="56.25" customHeight="1">
      <c r="A2686" s="5" t="s">
        <v>12980</v>
      </c>
      <c r="B2686" s="6" t="str">
        <f>IMAGE("https://storage.googleapis.com/acdb/housewares/FtrTableCloth_Remake_0_0.png")</f>
        <v/>
      </c>
      <c r="C2686" s="5" t="s">
        <v>34</v>
      </c>
      <c r="D2686" s="5" t="s">
        <v>34</v>
      </c>
      <c r="E2686" s="5" t="s">
        <v>57</v>
      </c>
      <c r="F2686" s="5" t="s">
        <v>7853</v>
      </c>
      <c r="G2686" s="5" t="s">
        <v>36</v>
      </c>
      <c r="H2686" s="5" t="s">
        <v>36</v>
      </c>
      <c r="I2686" s="5" t="s">
        <v>35</v>
      </c>
      <c r="J2686" s="6">
        <v>2.0</v>
      </c>
      <c r="K2686" s="6">
        <v>5100.0</v>
      </c>
      <c r="L2686" s="6">
        <v>1275.0</v>
      </c>
      <c r="M2686" s="26" t="s">
        <v>57</v>
      </c>
      <c r="N2686" s="26" t="s">
        <v>57</v>
      </c>
      <c r="O2686" s="6" t="s">
        <v>214</v>
      </c>
      <c r="P2686" s="5" t="s">
        <v>59</v>
      </c>
      <c r="Q2686" s="5" t="s">
        <v>115</v>
      </c>
      <c r="R2686" s="6" t="s">
        <v>42</v>
      </c>
      <c r="S2686" s="5" t="s">
        <v>62</v>
      </c>
      <c r="T2686" s="5" t="s">
        <v>465</v>
      </c>
      <c r="U2686" s="5" t="s">
        <v>44</v>
      </c>
      <c r="V2686" s="5" t="s">
        <v>44</v>
      </c>
      <c r="W2686" s="5" t="s">
        <v>36</v>
      </c>
      <c r="X2686" s="8" t="s">
        <v>278</v>
      </c>
      <c r="Y2686" s="5" t="s">
        <v>46</v>
      </c>
      <c r="Z2686" s="5" t="s">
        <v>47</v>
      </c>
      <c r="AA2686" s="5" t="s">
        <v>64</v>
      </c>
      <c r="AB2686" s="5" t="s">
        <v>12985</v>
      </c>
      <c r="AC2686" s="6" t="s">
        <v>50</v>
      </c>
      <c r="AD2686" s="6">
        <v>1779.0</v>
      </c>
    </row>
    <row r="2687" ht="56.25" customHeight="1">
      <c r="A2687" s="5" t="s">
        <v>12980</v>
      </c>
      <c r="B2687" s="6" t="str">
        <f>image("https://storage.googleapis.com/acdb/housewares/FtrTableCloth_Remake_0_1.png")</f>
        <v/>
      </c>
      <c r="C2687" s="5" t="s">
        <v>34</v>
      </c>
      <c r="D2687" s="5" t="s">
        <v>34</v>
      </c>
      <c r="E2687" s="5" t="s">
        <v>39</v>
      </c>
      <c r="F2687" s="5" t="s">
        <v>7853</v>
      </c>
      <c r="G2687" s="5" t="s">
        <v>36</v>
      </c>
      <c r="H2687" s="5" t="s">
        <v>36</v>
      </c>
      <c r="I2687" s="5" t="s">
        <v>35</v>
      </c>
      <c r="J2687" s="6">
        <v>2.0</v>
      </c>
      <c r="K2687" s="6">
        <v>5100.0</v>
      </c>
      <c r="L2687" s="6">
        <v>1275.0</v>
      </c>
      <c r="M2687" s="26" t="s">
        <v>39</v>
      </c>
      <c r="N2687" s="26" t="s">
        <v>39</v>
      </c>
      <c r="O2687" s="6" t="s">
        <v>214</v>
      </c>
      <c r="P2687" s="5" t="s">
        <v>59</v>
      </c>
      <c r="Q2687" s="5" t="s">
        <v>115</v>
      </c>
      <c r="R2687" s="6" t="s">
        <v>42</v>
      </c>
      <c r="S2687" s="5" t="s">
        <v>62</v>
      </c>
      <c r="T2687" s="5" t="s">
        <v>465</v>
      </c>
      <c r="U2687" s="5" t="s">
        <v>44</v>
      </c>
      <c r="V2687" s="5" t="s">
        <v>44</v>
      </c>
      <c r="W2687" s="5" t="s">
        <v>36</v>
      </c>
      <c r="X2687" s="8" t="s">
        <v>278</v>
      </c>
      <c r="Y2687" s="5" t="s">
        <v>46</v>
      </c>
      <c r="Z2687" s="5" t="s">
        <v>47</v>
      </c>
      <c r="AA2687" s="5" t="s">
        <v>64</v>
      </c>
      <c r="AB2687" s="5" t="s">
        <v>12989</v>
      </c>
      <c r="AC2687" s="6" t="s">
        <v>217</v>
      </c>
      <c r="AD2687" s="6">
        <v>1779.0</v>
      </c>
    </row>
    <row r="2688" ht="56.25" customHeight="1">
      <c r="A2688" s="5" t="s">
        <v>12980</v>
      </c>
      <c r="B2688" s="6" t="str">
        <f>image("https://storage.googleapis.com/acdb/housewares/FtrTableCloth_Remake_0_2.png")</f>
        <v/>
      </c>
      <c r="C2688" s="5" t="s">
        <v>34</v>
      </c>
      <c r="D2688" s="5" t="s">
        <v>34</v>
      </c>
      <c r="E2688" s="5" t="s">
        <v>96</v>
      </c>
      <c r="F2688" s="5" t="s">
        <v>7853</v>
      </c>
      <c r="G2688" s="5" t="s">
        <v>36</v>
      </c>
      <c r="H2688" s="5" t="s">
        <v>36</v>
      </c>
      <c r="I2688" s="5" t="s">
        <v>35</v>
      </c>
      <c r="J2688" s="6">
        <v>2.0</v>
      </c>
      <c r="K2688" s="6">
        <v>5100.0</v>
      </c>
      <c r="L2688" s="6">
        <v>1275.0</v>
      </c>
      <c r="M2688" s="26" t="s">
        <v>54</v>
      </c>
      <c r="N2688" s="26" t="s">
        <v>54</v>
      </c>
      <c r="O2688" s="6" t="s">
        <v>214</v>
      </c>
      <c r="P2688" s="5" t="s">
        <v>59</v>
      </c>
      <c r="Q2688" s="5" t="s">
        <v>115</v>
      </c>
      <c r="R2688" s="6" t="s">
        <v>42</v>
      </c>
      <c r="S2688" s="5" t="s">
        <v>62</v>
      </c>
      <c r="T2688" s="5" t="s">
        <v>465</v>
      </c>
      <c r="U2688" s="5" t="s">
        <v>44</v>
      </c>
      <c r="V2688" s="5" t="s">
        <v>44</v>
      </c>
      <c r="W2688" s="5" t="s">
        <v>36</v>
      </c>
      <c r="X2688" s="8" t="s">
        <v>278</v>
      </c>
      <c r="Y2688" s="5" t="s">
        <v>46</v>
      </c>
      <c r="Z2688" s="5" t="s">
        <v>47</v>
      </c>
      <c r="AA2688" s="5" t="s">
        <v>64</v>
      </c>
      <c r="AB2688" s="5" t="s">
        <v>12993</v>
      </c>
      <c r="AC2688" s="6" t="s">
        <v>347</v>
      </c>
      <c r="AD2688" s="6">
        <v>1779.0</v>
      </c>
    </row>
    <row r="2689" ht="56.25" customHeight="1">
      <c r="A2689" s="5" t="s">
        <v>12980</v>
      </c>
      <c r="B2689" s="6" t="str">
        <f>image("https://storage.googleapis.com/acdb/housewares/FtrTableCloth_Remake_0_3.png")</f>
        <v/>
      </c>
      <c r="C2689" s="5" t="s">
        <v>34</v>
      </c>
      <c r="D2689" s="5" t="s">
        <v>34</v>
      </c>
      <c r="E2689" s="5" t="s">
        <v>52</v>
      </c>
      <c r="F2689" s="5" t="s">
        <v>7853</v>
      </c>
      <c r="G2689" s="5" t="s">
        <v>36</v>
      </c>
      <c r="H2689" s="5" t="s">
        <v>36</v>
      </c>
      <c r="I2689" s="5" t="s">
        <v>35</v>
      </c>
      <c r="J2689" s="6">
        <v>2.0</v>
      </c>
      <c r="K2689" s="6">
        <v>5100.0</v>
      </c>
      <c r="L2689" s="6">
        <v>1275.0</v>
      </c>
      <c r="M2689" s="26" t="s">
        <v>52</v>
      </c>
      <c r="N2689" s="26" t="s">
        <v>52</v>
      </c>
      <c r="O2689" s="6" t="s">
        <v>214</v>
      </c>
      <c r="P2689" s="5" t="s">
        <v>59</v>
      </c>
      <c r="Q2689" s="5" t="s">
        <v>115</v>
      </c>
      <c r="R2689" s="6" t="s">
        <v>42</v>
      </c>
      <c r="S2689" s="5" t="s">
        <v>62</v>
      </c>
      <c r="T2689" s="5" t="s">
        <v>465</v>
      </c>
      <c r="U2689" s="5" t="s">
        <v>44</v>
      </c>
      <c r="V2689" s="5" t="s">
        <v>44</v>
      </c>
      <c r="W2689" s="5" t="s">
        <v>36</v>
      </c>
      <c r="X2689" s="8" t="s">
        <v>278</v>
      </c>
      <c r="Y2689" s="5" t="s">
        <v>46</v>
      </c>
      <c r="Z2689" s="5" t="s">
        <v>47</v>
      </c>
      <c r="AA2689" s="5" t="s">
        <v>64</v>
      </c>
      <c r="AB2689" s="5" t="s">
        <v>12996</v>
      </c>
      <c r="AC2689" s="6" t="s">
        <v>354</v>
      </c>
      <c r="AD2689" s="6">
        <v>1779.0</v>
      </c>
    </row>
    <row r="2690" ht="56.25" customHeight="1">
      <c r="A2690" s="5" t="s">
        <v>12980</v>
      </c>
      <c r="B2690" s="6" t="str">
        <f>image("https://storage.googleapis.com/acdb/housewares/FtrTableCloth_Remake_0_4.png")</f>
        <v/>
      </c>
      <c r="C2690" s="5" t="s">
        <v>34</v>
      </c>
      <c r="D2690" s="5" t="s">
        <v>34</v>
      </c>
      <c r="E2690" s="5" t="s">
        <v>69</v>
      </c>
      <c r="F2690" s="5" t="s">
        <v>7853</v>
      </c>
      <c r="G2690" s="5" t="s">
        <v>36</v>
      </c>
      <c r="H2690" s="5" t="s">
        <v>36</v>
      </c>
      <c r="I2690" s="5" t="s">
        <v>35</v>
      </c>
      <c r="J2690" s="6">
        <v>2.0</v>
      </c>
      <c r="K2690" s="6">
        <v>5100.0</v>
      </c>
      <c r="L2690" s="6">
        <v>1275.0</v>
      </c>
      <c r="M2690" s="26" t="s">
        <v>69</v>
      </c>
      <c r="N2690" s="26" t="s">
        <v>69</v>
      </c>
      <c r="O2690" s="6" t="s">
        <v>214</v>
      </c>
      <c r="P2690" s="5" t="s">
        <v>59</v>
      </c>
      <c r="Q2690" s="5" t="s">
        <v>115</v>
      </c>
      <c r="R2690" s="6" t="s">
        <v>42</v>
      </c>
      <c r="S2690" s="5" t="s">
        <v>62</v>
      </c>
      <c r="T2690" s="5" t="s">
        <v>465</v>
      </c>
      <c r="U2690" s="5" t="s">
        <v>44</v>
      </c>
      <c r="V2690" s="5" t="s">
        <v>44</v>
      </c>
      <c r="W2690" s="5" t="s">
        <v>36</v>
      </c>
      <c r="X2690" s="8" t="s">
        <v>278</v>
      </c>
      <c r="Y2690" s="5" t="s">
        <v>46</v>
      </c>
      <c r="Z2690" s="5" t="s">
        <v>47</v>
      </c>
      <c r="AA2690" s="5" t="s">
        <v>64</v>
      </c>
      <c r="AB2690" s="5" t="s">
        <v>12998</v>
      </c>
      <c r="AC2690" s="6" t="s">
        <v>486</v>
      </c>
      <c r="AD2690" s="6">
        <v>1779.0</v>
      </c>
    </row>
    <row r="2691" ht="56.25" customHeight="1">
      <c r="A2691" s="5" t="s">
        <v>12980</v>
      </c>
      <c r="B2691" s="6" t="str">
        <f>image("https://storage.googleapis.com/acdb/housewares/FtrTableCloth_Remake_0_5.png")</f>
        <v/>
      </c>
      <c r="C2691" s="5" t="s">
        <v>34</v>
      </c>
      <c r="D2691" s="5" t="s">
        <v>34</v>
      </c>
      <c r="E2691" s="5" t="s">
        <v>114</v>
      </c>
      <c r="F2691" s="5" t="s">
        <v>7853</v>
      </c>
      <c r="G2691" s="5" t="s">
        <v>36</v>
      </c>
      <c r="H2691" s="5" t="s">
        <v>36</v>
      </c>
      <c r="I2691" s="5" t="s">
        <v>35</v>
      </c>
      <c r="J2691" s="6">
        <v>2.0</v>
      </c>
      <c r="K2691" s="6">
        <v>5100.0</v>
      </c>
      <c r="L2691" s="6">
        <v>1275.0</v>
      </c>
      <c r="M2691" s="26" t="s">
        <v>114</v>
      </c>
      <c r="N2691" s="26" t="s">
        <v>114</v>
      </c>
      <c r="O2691" s="6" t="s">
        <v>214</v>
      </c>
      <c r="P2691" s="5" t="s">
        <v>59</v>
      </c>
      <c r="Q2691" s="5" t="s">
        <v>115</v>
      </c>
      <c r="R2691" s="6" t="s">
        <v>42</v>
      </c>
      <c r="S2691" s="5" t="s">
        <v>62</v>
      </c>
      <c r="T2691" s="5" t="s">
        <v>465</v>
      </c>
      <c r="U2691" s="5" t="s">
        <v>44</v>
      </c>
      <c r="V2691" s="5" t="s">
        <v>44</v>
      </c>
      <c r="W2691" s="5" t="s">
        <v>36</v>
      </c>
      <c r="X2691" s="8" t="s">
        <v>278</v>
      </c>
      <c r="Y2691" s="5" t="s">
        <v>46</v>
      </c>
      <c r="Z2691" s="5" t="s">
        <v>47</v>
      </c>
      <c r="AA2691" s="5" t="s">
        <v>64</v>
      </c>
      <c r="AB2691" s="5" t="s">
        <v>13002</v>
      </c>
      <c r="AC2691" s="6" t="s">
        <v>934</v>
      </c>
      <c r="AD2691" s="6">
        <v>1779.0</v>
      </c>
    </row>
    <row r="2692" ht="56.25" customHeight="1">
      <c r="A2692" s="5" t="s">
        <v>12980</v>
      </c>
      <c r="B2692" s="6" t="str">
        <f>image("https://storage.googleapis.com/acdb/housewares/FtrTableCloth_Remake_0_6.png")</f>
        <v/>
      </c>
      <c r="C2692" s="5" t="s">
        <v>34</v>
      </c>
      <c r="D2692" s="5" t="s">
        <v>34</v>
      </c>
      <c r="E2692" s="5" t="s">
        <v>1857</v>
      </c>
      <c r="F2692" s="5" t="s">
        <v>7853</v>
      </c>
      <c r="G2692" s="5" t="s">
        <v>36</v>
      </c>
      <c r="H2692" s="5" t="s">
        <v>36</v>
      </c>
      <c r="I2692" s="5" t="s">
        <v>35</v>
      </c>
      <c r="J2692" s="6">
        <v>2.0</v>
      </c>
      <c r="K2692" s="6">
        <v>5100.0</v>
      </c>
      <c r="L2692" s="6">
        <v>1275.0</v>
      </c>
      <c r="M2692" s="26" t="s">
        <v>96</v>
      </c>
      <c r="N2692" s="26" t="s">
        <v>96</v>
      </c>
      <c r="O2692" s="6" t="s">
        <v>214</v>
      </c>
      <c r="P2692" s="5" t="s">
        <v>59</v>
      </c>
      <c r="Q2692" s="5" t="s">
        <v>115</v>
      </c>
      <c r="R2692" s="6" t="s">
        <v>42</v>
      </c>
      <c r="S2692" s="5" t="s">
        <v>62</v>
      </c>
      <c r="T2692" s="5" t="s">
        <v>465</v>
      </c>
      <c r="U2692" s="5" t="s">
        <v>44</v>
      </c>
      <c r="V2692" s="5" t="s">
        <v>44</v>
      </c>
      <c r="W2692" s="5" t="s">
        <v>36</v>
      </c>
      <c r="X2692" s="8" t="s">
        <v>278</v>
      </c>
      <c r="Y2692" s="5" t="s">
        <v>46</v>
      </c>
      <c r="Z2692" s="5" t="s">
        <v>47</v>
      </c>
      <c r="AA2692" s="5" t="s">
        <v>64</v>
      </c>
      <c r="AB2692" s="5" t="s">
        <v>13007</v>
      </c>
      <c r="AC2692" s="6" t="s">
        <v>938</v>
      </c>
      <c r="AD2692" s="6">
        <v>1779.0</v>
      </c>
    </row>
    <row r="2693" ht="56.25" customHeight="1">
      <c r="A2693" s="5" t="s">
        <v>12980</v>
      </c>
      <c r="B2693" s="6" t="str">
        <f>image("https://storage.googleapis.com/acdb/housewares/FtrTableCloth_Remake_0_7.png")</f>
        <v/>
      </c>
      <c r="C2693" s="5" t="s">
        <v>34</v>
      </c>
      <c r="D2693" s="5" t="s">
        <v>34</v>
      </c>
      <c r="E2693" s="5" t="s">
        <v>83</v>
      </c>
      <c r="F2693" s="5" t="s">
        <v>7853</v>
      </c>
      <c r="G2693" s="5" t="s">
        <v>36</v>
      </c>
      <c r="H2693" s="5" t="s">
        <v>36</v>
      </c>
      <c r="I2693" s="5" t="s">
        <v>35</v>
      </c>
      <c r="J2693" s="6">
        <v>2.0</v>
      </c>
      <c r="K2693" s="6">
        <v>5100.0</v>
      </c>
      <c r="L2693" s="6">
        <v>1275.0</v>
      </c>
      <c r="M2693" s="26" t="s">
        <v>1175</v>
      </c>
      <c r="N2693" s="26" t="s">
        <v>1175</v>
      </c>
      <c r="O2693" s="6" t="s">
        <v>214</v>
      </c>
      <c r="P2693" s="5" t="s">
        <v>59</v>
      </c>
      <c r="Q2693" s="5" t="s">
        <v>115</v>
      </c>
      <c r="R2693" s="6" t="s">
        <v>42</v>
      </c>
      <c r="S2693" s="5" t="s">
        <v>62</v>
      </c>
      <c r="T2693" s="5" t="s">
        <v>465</v>
      </c>
      <c r="U2693" s="5" t="s">
        <v>44</v>
      </c>
      <c r="V2693" s="5" t="s">
        <v>44</v>
      </c>
      <c r="W2693" s="5" t="s">
        <v>36</v>
      </c>
      <c r="X2693" s="8" t="s">
        <v>278</v>
      </c>
      <c r="Y2693" s="5" t="s">
        <v>46</v>
      </c>
      <c r="Z2693" s="5" t="s">
        <v>47</v>
      </c>
      <c r="AA2693" s="5" t="s">
        <v>64</v>
      </c>
      <c r="AB2693" s="5" t="s">
        <v>13011</v>
      </c>
      <c r="AC2693" s="6" t="s">
        <v>1700</v>
      </c>
      <c r="AD2693" s="6">
        <v>1779.0</v>
      </c>
    </row>
    <row r="2694" ht="56.25" customHeight="1">
      <c r="A2694" s="5" t="s">
        <v>13014</v>
      </c>
      <c r="B2694" s="6" t="str">
        <f>IMAGE("https://storage.googleapis.com/acdb/housewares/FtrGardenrockTall.png")</f>
        <v/>
      </c>
      <c r="C2694" s="5" t="s">
        <v>34</v>
      </c>
      <c r="D2694" s="5" t="s">
        <v>34</v>
      </c>
      <c r="E2694" s="5" t="s">
        <v>34</v>
      </c>
      <c r="F2694" s="5" t="s">
        <v>34</v>
      </c>
      <c r="G2694" s="5" t="s">
        <v>35</v>
      </c>
      <c r="H2694" s="5" t="s">
        <v>36</v>
      </c>
      <c r="I2694" s="5" t="s">
        <v>36</v>
      </c>
      <c r="J2694" s="6" t="s">
        <v>34</v>
      </c>
      <c r="K2694" s="6" t="s">
        <v>37</v>
      </c>
      <c r="L2694" s="6">
        <v>9000.0</v>
      </c>
      <c r="M2694" s="5" t="s">
        <v>95</v>
      </c>
      <c r="N2694" s="5" t="s">
        <v>95</v>
      </c>
      <c r="O2694" s="6" t="s">
        <v>40</v>
      </c>
      <c r="P2694" s="5" t="s">
        <v>41</v>
      </c>
      <c r="Q2694" s="5"/>
      <c r="R2694" s="6" t="s">
        <v>42</v>
      </c>
      <c r="S2694" s="5" t="s">
        <v>172</v>
      </c>
      <c r="T2694" s="5" t="s">
        <v>44</v>
      </c>
      <c r="U2694" s="5" t="s">
        <v>44</v>
      </c>
      <c r="V2694" s="5" t="s">
        <v>44</v>
      </c>
      <c r="W2694" s="5" t="s">
        <v>36</v>
      </c>
      <c r="X2694" s="8" t="s">
        <v>650</v>
      </c>
      <c r="Y2694" s="5" t="s">
        <v>46</v>
      </c>
      <c r="Z2694" s="5" t="s">
        <v>47</v>
      </c>
      <c r="AA2694" s="5" t="s">
        <v>48</v>
      </c>
      <c r="AB2694" s="5" t="s">
        <v>13019</v>
      </c>
      <c r="AC2694" s="6" t="s">
        <v>34</v>
      </c>
      <c r="AD2694" s="6">
        <v>730.0</v>
      </c>
    </row>
    <row r="2695" ht="56.25" customHeight="1">
      <c r="A2695" s="5" t="s">
        <v>13020</v>
      </c>
      <c r="B2695" s="6" t="str">
        <f>IMAGE("https://storage.googleapis.com/acdb/housewares/FtrStonelantern_Remake_0_0.png")</f>
        <v/>
      </c>
      <c r="C2695" s="5" t="s">
        <v>32</v>
      </c>
      <c r="D2695" s="5" t="s">
        <v>2801</v>
      </c>
      <c r="E2695" s="5" t="s">
        <v>34</v>
      </c>
      <c r="F2695" s="5" t="s">
        <v>34</v>
      </c>
      <c r="G2695" s="5" t="s">
        <v>35</v>
      </c>
      <c r="H2695" s="5" t="s">
        <v>35</v>
      </c>
      <c r="I2695" s="5" t="s">
        <v>36</v>
      </c>
      <c r="J2695" s="6">
        <v>4.0</v>
      </c>
      <c r="K2695" s="6" t="s">
        <v>37</v>
      </c>
      <c r="L2695" s="6">
        <v>2700.0</v>
      </c>
      <c r="M2695" s="26" t="s">
        <v>95</v>
      </c>
      <c r="N2695" s="26" t="s">
        <v>95</v>
      </c>
      <c r="O2695" s="6" t="s">
        <v>40</v>
      </c>
      <c r="P2695" s="5" t="s">
        <v>41</v>
      </c>
      <c r="Q2695" s="5"/>
      <c r="R2695" s="6" t="s">
        <v>42</v>
      </c>
      <c r="S2695" s="5" t="s">
        <v>266</v>
      </c>
      <c r="T2695" s="5" t="s">
        <v>44</v>
      </c>
      <c r="U2695" s="5" t="s">
        <v>44</v>
      </c>
      <c r="V2695" s="5" t="s">
        <v>44</v>
      </c>
      <c r="W2695" s="5" t="s">
        <v>35</v>
      </c>
      <c r="X2695" s="8" t="s">
        <v>650</v>
      </c>
      <c r="Y2695" s="5" t="s">
        <v>46</v>
      </c>
      <c r="Z2695" s="5" t="s">
        <v>495</v>
      </c>
      <c r="AA2695" s="5" t="s">
        <v>48</v>
      </c>
      <c r="AB2695" s="5" t="s">
        <v>13026</v>
      </c>
      <c r="AC2695" s="6" t="s">
        <v>50</v>
      </c>
      <c r="AD2695" s="6">
        <v>676.0</v>
      </c>
    </row>
    <row r="2696" ht="56.25" customHeight="1">
      <c r="A2696" s="5" t="s">
        <v>13020</v>
      </c>
      <c r="B2696" s="6" t="str">
        <f>IMAGE("https://storage.googleapis.com/acdb/housewares/FtrStonelantern_Remake_1_0.png")</f>
        <v/>
      </c>
      <c r="C2696" s="5" t="s">
        <v>57</v>
      </c>
      <c r="D2696" s="5" t="s">
        <v>2801</v>
      </c>
      <c r="E2696" s="5" t="s">
        <v>34</v>
      </c>
      <c r="F2696" s="5" t="s">
        <v>34</v>
      </c>
      <c r="G2696" s="5" t="s">
        <v>35</v>
      </c>
      <c r="H2696" s="5" t="s">
        <v>35</v>
      </c>
      <c r="I2696" s="5" t="s">
        <v>36</v>
      </c>
      <c r="J2696" s="6">
        <v>4.0</v>
      </c>
      <c r="K2696" s="6" t="s">
        <v>37</v>
      </c>
      <c r="L2696" s="6">
        <v>2700.0</v>
      </c>
      <c r="M2696" s="26" t="s">
        <v>57</v>
      </c>
      <c r="N2696" s="26" t="s">
        <v>57</v>
      </c>
      <c r="O2696" s="6" t="s">
        <v>40</v>
      </c>
      <c r="P2696" s="5" t="s">
        <v>41</v>
      </c>
      <c r="Q2696" s="5"/>
      <c r="R2696" s="6" t="s">
        <v>42</v>
      </c>
      <c r="S2696" s="5" t="s">
        <v>266</v>
      </c>
      <c r="T2696" s="5" t="s">
        <v>44</v>
      </c>
      <c r="U2696" s="5" t="s">
        <v>44</v>
      </c>
      <c r="V2696" s="5" t="s">
        <v>44</v>
      </c>
      <c r="W2696" s="5" t="s">
        <v>35</v>
      </c>
      <c r="X2696" s="8" t="s">
        <v>650</v>
      </c>
      <c r="Y2696" s="5" t="s">
        <v>46</v>
      </c>
      <c r="Z2696" s="5" t="s">
        <v>495</v>
      </c>
      <c r="AA2696" s="5" t="s">
        <v>48</v>
      </c>
      <c r="AB2696" s="5" t="s">
        <v>13031</v>
      </c>
      <c r="AC2696" s="6" t="s">
        <v>56</v>
      </c>
      <c r="AD2696" s="6">
        <v>676.0</v>
      </c>
    </row>
    <row r="2697" ht="56.25" customHeight="1">
      <c r="A2697" s="5" t="s">
        <v>13020</v>
      </c>
      <c r="B2697" s="6" t="str">
        <f>IMAGE("https://storage.googleapis.com/acdb/housewares/FtrStonelantern_Remake_2_0.png")</f>
        <v/>
      </c>
      <c r="C2697" s="5" t="s">
        <v>10266</v>
      </c>
      <c r="D2697" s="5" t="s">
        <v>2801</v>
      </c>
      <c r="E2697" s="5" t="s">
        <v>34</v>
      </c>
      <c r="F2697" s="5" t="s">
        <v>34</v>
      </c>
      <c r="G2697" s="5" t="s">
        <v>35</v>
      </c>
      <c r="H2697" s="5" t="s">
        <v>35</v>
      </c>
      <c r="I2697" s="5" t="s">
        <v>36</v>
      </c>
      <c r="J2697" s="6">
        <v>4.0</v>
      </c>
      <c r="K2697" s="6" t="s">
        <v>37</v>
      </c>
      <c r="L2697" s="6">
        <v>2700.0</v>
      </c>
      <c r="M2697" s="26" t="s">
        <v>95</v>
      </c>
      <c r="N2697" s="26" t="s">
        <v>96</v>
      </c>
      <c r="O2697" s="6" t="s">
        <v>40</v>
      </c>
      <c r="P2697" s="5" t="s">
        <v>41</v>
      </c>
      <c r="Q2697" s="5"/>
      <c r="R2697" s="6" t="s">
        <v>42</v>
      </c>
      <c r="S2697" s="5" t="s">
        <v>266</v>
      </c>
      <c r="T2697" s="5" t="s">
        <v>44</v>
      </c>
      <c r="U2697" s="5" t="s">
        <v>44</v>
      </c>
      <c r="V2697" s="5" t="s">
        <v>44</v>
      </c>
      <c r="W2697" s="5" t="s">
        <v>35</v>
      </c>
      <c r="X2697" s="8" t="s">
        <v>650</v>
      </c>
      <c r="Y2697" s="5" t="s">
        <v>46</v>
      </c>
      <c r="Z2697" s="5" t="s">
        <v>495</v>
      </c>
      <c r="AA2697" s="5" t="s">
        <v>48</v>
      </c>
      <c r="AB2697" s="5" t="s">
        <v>13035</v>
      </c>
      <c r="AC2697" s="6" t="s">
        <v>67</v>
      </c>
      <c r="AD2697" s="6">
        <v>676.0</v>
      </c>
    </row>
    <row r="2698" ht="56.25" customHeight="1">
      <c r="A2698" s="5" t="s">
        <v>13036</v>
      </c>
      <c r="B2698" s="6" t="str">
        <f>IMAGE("https://storage.googleapis.com/acdb/housewares/FtrWCTankless_Remake_0_0.png")</f>
        <v/>
      </c>
      <c r="C2698" s="5" t="s">
        <v>57</v>
      </c>
      <c r="D2698" s="5" t="s">
        <v>34</v>
      </c>
      <c r="E2698" s="5" t="s">
        <v>34</v>
      </c>
      <c r="F2698" s="5" t="s">
        <v>34</v>
      </c>
      <c r="G2698" s="5" t="s">
        <v>36</v>
      </c>
      <c r="H2698" s="5" t="s">
        <v>36</v>
      </c>
      <c r="I2698" s="5" t="s">
        <v>36</v>
      </c>
      <c r="J2698" s="6" t="s">
        <v>34</v>
      </c>
      <c r="K2698" s="6">
        <v>4100.0</v>
      </c>
      <c r="L2698" s="6">
        <v>1025.0</v>
      </c>
      <c r="M2698" s="26" t="s">
        <v>57</v>
      </c>
      <c r="N2698" s="26" t="s">
        <v>57</v>
      </c>
      <c r="O2698" s="6" t="s">
        <v>40</v>
      </c>
      <c r="P2698" s="5" t="s">
        <v>59</v>
      </c>
      <c r="Q2698" s="5" t="s">
        <v>122</v>
      </c>
      <c r="R2698" s="6" t="s">
        <v>42</v>
      </c>
      <c r="S2698" s="5" t="s">
        <v>288</v>
      </c>
      <c r="T2698" s="5" t="s">
        <v>44</v>
      </c>
      <c r="U2698" s="5" t="s">
        <v>44</v>
      </c>
      <c r="V2698" s="5" t="s">
        <v>44</v>
      </c>
      <c r="W2698" s="5" t="s">
        <v>35</v>
      </c>
      <c r="X2698" s="8" t="s">
        <v>5512</v>
      </c>
      <c r="Y2698" s="5" t="s">
        <v>46</v>
      </c>
      <c r="Z2698" s="5" t="s">
        <v>47</v>
      </c>
      <c r="AA2698" s="5" t="s">
        <v>64</v>
      </c>
      <c r="AB2698" s="5" t="s">
        <v>13040</v>
      </c>
      <c r="AC2698" s="6" t="s">
        <v>50</v>
      </c>
      <c r="AD2698" s="6">
        <v>2776.0</v>
      </c>
    </row>
    <row r="2699" ht="56.25" customHeight="1">
      <c r="A2699" s="5" t="s">
        <v>13036</v>
      </c>
      <c r="B2699" s="6" t="str">
        <f>IMAGE("https://storage.googleapis.com/acdb/housewares/FtrWCTankless_Remake_1_0.png")</f>
        <v/>
      </c>
      <c r="C2699" s="5" t="s">
        <v>186</v>
      </c>
      <c r="D2699" s="5" t="s">
        <v>34</v>
      </c>
      <c r="E2699" s="5" t="s">
        <v>34</v>
      </c>
      <c r="F2699" s="5" t="s">
        <v>34</v>
      </c>
      <c r="G2699" s="5" t="s">
        <v>36</v>
      </c>
      <c r="H2699" s="5" t="s">
        <v>36</v>
      </c>
      <c r="I2699" s="5" t="s">
        <v>36</v>
      </c>
      <c r="J2699" s="6" t="s">
        <v>34</v>
      </c>
      <c r="K2699" s="6">
        <v>4100.0</v>
      </c>
      <c r="L2699" s="6">
        <v>1025.0</v>
      </c>
      <c r="M2699" s="26" t="s">
        <v>114</v>
      </c>
      <c r="N2699" s="26" t="s">
        <v>114</v>
      </c>
      <c r="O2699" s="6" t="s">
        <v>40</v>
      </c>
      <c r="P2699" s="5" t="s">
        <v>59</v>
      </c>
      <c r="Q2699" s="5" t="s">
        <v>122</v>
      </c>
      <c r="R2699" s="6" t="s">
        <v>42</v>
      </c>
      <c r="S2699" s="5" t="s">
        <v>288</v>
      </c>
      <c r="T2699" s="5" t="s">
        <v>44</v>
      </c>
      <c r="U2699" s="5" t="s">
        <v>44</v>
      </c>
      <c r="V2699" s="5" t="s">
        <v>44</v>
      </c>
      <c r="W2699" s="5" t="s">
        <v>35</v>
      </c>
      <c r="X2699" s="8" t="s">
        <v>5512</v>
      </c>
      <c r="Y2699" s="5" t="s">
        <v>46</v>
      </c>
      <c r="Z2699" s="5" t="s">
        <v>47</v>
      </c>
      <c r="AA2699" s="5" t="s">
        <v>64</v>
      </c>
      <c r="AB2699" s="5" t="s">
        <v>13043</v>
      </c>
      <c r="AC2699" s="6" t="s">
        <v>56</v>
      </c>
      <c r="AD2699" s="6">
        <v>2776.0</v>
      </c>
    </row>
    <row r="2700" ht="56.25" customHeight="1">
      <c r="A2700" s="5" t="s">
        <v>13036</v>
      </c>
      <c r="B2700" s="6" t="str">
        <f>IMAGE("https://storage.googleapis.com/acdb/housewares/FtrWCTankless_Remake_2_0.png")</f>
        <v/>
      </c>
      <c r="C2700" s="5" t="s">
        <v>69</v>
      </c>
      <c r="D2700" s="5" t="s">
        <v>34</v>
      </c>
      <c r="E2700" s="5" t="s">
        <v>34</v>
      </c>
      <c r="F2700" s="5" t="s">
        <v>34</v>
      </c>
      <c r="G2700" s="5" t="s">
        <v>36</v>
      </c>
      <c r="H2700" s="5" t="s">
        <v>36</v>
      </c>
      <c r="I2700" s="5" t="s">
        <v>36</v>
      </c>
      <c r="J2700" s="6" t="s">
        <v>34</v>
      </c>
      <c r="K2700" s="6">
        <v>4100.0</v>
      </c>
      <c r="L2700" s="6">
        <v>1025.0</v>
      </c>
      <c r="M2700" s="26" t="s">
        <v>69</v>
      </c>
      <c r="N2700" s="26" t="s">
        <v>69</v>
      </c>
      <c r="O2700" s="6" t="s">
        <v>40</v>
      </c>
      <c r="P2700" s="5" t="s">
        <v>59</v>
      </c>
      <c r="Q2700" s="5" t="s">
        <v>122</v>
      </c>
      <c r="R2700" s="6" t="s">
        <v>42</v>
      </c>
      <c r="S2700" s="5" t="s">
        <v>288</v>
      </c>
      <c r="T2700" s="5" t="s">
        <v>44</v>
      </c>
      <c r="U2700" s="5" t="s">
        <v>44</v>
      </c>
      <c r="V2700" s="5" t="s">
        <v>44</v>
      </c>
      <c r="W2700" s="5" t="s">
        <v>35</v>
      </c>
      <c r="X2700" s="8" t="s">
        <v>5512</v>
      </c>
      <c r="Y2700" s="5" t="s">
        <v>46</v>
      </c>
      <c r="Z2700" s="5" t="s">
        <v>47</v>
      </c>
      <c r="AA2700" s="5" t="s">
        <v>64</v>
      </c>
      <c r="AB2700" s="5" t="s">
        <v>13048</v>
      </c>
      <c r="AC2700" s="6" t="s">
        <v>67</v>
      </c>
      <c r="AD2700" s="6">
        <v>2776.0</v>
      </c>
    </row>
    <row r="2701" ht="56.25" customHeight="1">
      <c r="A2701" s="5" t="s">
        <v>13036</v>
      </c>
      <c r="B2701" s="6" t="str">
        <f>IMAGE("https://storage.googleapis.com/acdb/housewares/FtrWCTankless_Remake_3_0.png")</f>
        <v/>
      </c>
      <c r="C2701" s="5" t="s">
        <v>83</v>
      </c>
      <c r="D2701" s="5" t="s">
        <v>34</v>
      </c>
      <c r="E2701" s="5" t="s">
        <v>34</v>
      </c>
      <c r="F2701" s="5" t="s">
        <v>34</v>
      </c>
      <c r="G2701" s="5" t="s">
        <v>36</v>
      </c>
      <c r="H2701" s="5" t="s">
        <v>36</v>
      </c>
      <c r="I2701" s="5" t="s">
        <v>36</v>
      </c>
      <c r="J2701" s="6" t="s">
        <v>34</v>
      </c>
      <c r="K2701" s="6">
        <v>4100.0</v>
      </c>
      <c r="L2701" s="6">
        <v>1025.0</v>
      </c>
      <c r="M2701" s="26" t="s">
        <v>1175</v>
      </c>
      <c r="N2701" s="26" t="s">
        <v>1175</v>
      </c>
      <c r="O2701" s="6" t="s">
        <v>40</v>
      </c>
      <c r="P2701" s="5" t="s">
        <v>59</v>
      </c>
      <c r="Q2701" s="5" t="s">
        <v>122</v>
      </c>
      <c r="R2701" s="6" t="s">
        <v>42</v>
      </c>
      <c r="S2701" s="5" t="s">
        <v>288</v>
      </c>
      <c r="T2701" s="5" t="s">
        <v>44</v>
      </c>
      <c r="U2701" s="5" t="s">
        <v>44</v>
      </c>
      <c r="V2701" s="5" t="s">
        <v>44</v>
      </c>
      <c r="W2701" s="5" t="s">
        <v>35</v>
      </c>
      <c r="X2701" s="8" t="s">
        <v>5512</v>
      </c>
      <c r="Y2701" s="5" t="s">
        <v>46</v>
      </c>
      <c r="Z2701" s="5" t="s">
        <v>47</v>
      </c>
      <c r="AA2701" s="5" t="s">
        <v>64</v>
      </c>
      <c r="AB2701" s="5" t="s">
        <v>13053</v>
      </c>
      <c r="AC2701" s="6" t="s">
        <v>71</v>
      </c>
      <c r="AD2701" s="6">
        <v>2776.0</v>
      </c>
    </row>
    <row r="2702" ht="56.25" customHeight="1">
      <c r="A2702" s="5" t="s">
        <v>13036</v>
      </c>
      <c r="B2702" s="6" t="str">
        <f>IMAGE("https://storage.googleapis.com/acdb/housewares/FtrWCTankless_Remake_4_0.png")</f>
        <v/>
      </c>
      <c r="C2702" s="5" t="s">
        <v>54</v>
      </c>
      <c r="D2702" s="5" t="s">
        <v>34</v>
      </c>
      <c r="E2702" s="5" t="s">
        <v>34</v>
      </c>
      <c r="F2702" s="5" t="s">
        <v>34</v>
      </c>
      <c r="G2702" s="5" t="s">
        <v>36</v>
      </c>
      <c r="H2702" s="5" t="s">
        <v>36</v>
      </c>
      <c r="I2702" s="5" t="s">
        <v>36</v>
      </c>
      <c r="J2702" s="6" t="s">
        <v>34</v>
      </c>
      <c r="K2702" s="6">
        <v>4100.0</v>
      </c>
      <c r="L2702" s="6">
        <v>1025.0</v>
      </c>
      <c r="M2702" s="26" t="s">
        <v>54</v>
      </c>
      <c r="N2702" s="26" t="s">
        <v>54</v>
      </c>
      <c r="O2702" s="6" t="s">
        <v>40</v>
      </c>
      <c r="P2702" s="5" t="s">
        <v>59</v>
      </c>
      <c r="Q2702" s="5" t="s">
        <v>122</v>
      </c>
      <c r="R2702" s="6" t="s">
        <v>42</v>
      </c>
      <c r="S2702" s="5" t="s">
        <v>288</v>
      </c>
      <c r="T2702" s="5" t="s">
        <v>44</v>
      </c>
      <c r="U2702" s="5" t="s">
        <v>44</v>
      </c>
      <c r="V2702" s="5" t="s">
        <v>44</v>
      </c>
      <c r="W2702" s="5" t="s">
        <v>35</v>
      </c>
      <c r="X2702" s="8" t="s">
        <v>5512</v>
      </c>
      <c r="Y2702" s="5" t="s">
        <v>46</v>
      </c>
      <c r="Z2702" s="5" t="s">
        <v>47</v>
      </c>
      <c r="AA2702" s="5" t="s">
        <v>64</v>
      </c>
      <c r="AB2702" s="5" t="s">
        <v>13059</v>
      </c>
      <c r="AC2702" s="6" t="s">
        <v>75</v>
      </c>
      <c r="AD2702" s="6">
        <v>2776.0</v>
      </c>
    </row>
    <row r="2703" ht="56.25" customHeight="1">
      <c r="A2703" s="5" t="s">
        <v>13061</v>
      </c>
      <c r="B2703" s="6" t="str">
        <f>IMAGE("https://storage.googleapis.com/acdb/housewares/FtrTatamiBedS_Remake_0_0.png")</f>
        <v/>
      </c>
      <c r="C2703" s="5" t="s">
        <v>387</v>
      </c>
      <c r="D2703" s="5" t="s">
        <v>34</v>
      </c>
      <c r="E2703" s="5" t="s">
        <v>34</v>
      </c>
      <c r="F2703" s="5" t="s">
        <v>34</v>
      </c>
      <c r="G2703" s="5" t="s">
        <v>36</v>
      </c>
      <c r="H2703" s="5" t="s">
        <v>36</v>
      </c>
      <c r="I2703" s="5" t="s">
        <v>36</v>
      </c>
      <c r="J2703" s="6" t="s">
        <v>34</v>
      </c>
      <c r="K2703" s="6">
        <v>2800.0</v>
      </c>
      <c r="L2703" s="6">
        <v>700.0</v>
      </c>
      <c r="M2703" s="26" t="s">
        <v>39</v>
      </c>
      <c r="N2703" s="26" t="s">
        <v>96</v>
      </c>
      <c r="O2703" s="6" t="s">
        <v>276</v>
      </c>
      <c r="P2703" s="5" t="s">
        <v>59</v>
      </c>
      <c r="Q2703" s="5" t="s">
        <v>89</v>
      </c>
      <c r="R2703" s="6" t="s">
        <v>42</v>
      </c>
      <c r="S2703" s="5" t="s">
        <v>266</v>
      </c>
      <c r="T2703" s="5" t="s">
        <v>44</v>
      </c>
      <c r="U2703" s="5" t="s">
        <v>44</v>
      </c>
      <c r="V2703" s="5" t="s">
        <v>44</v>
      </c>
      <c r="W2703" s="5" t="s">
        <v>35</v>
      </c>
      <c r="X2703" s="8" t="s">
        <v>218</v>
      </c>
      <c r="Y2703" s="5" t="s">
        <v>46</v>
      </c>
      <c r="Z2703" s="5" t="s">
        <v>47</v>
      </c>
      <c r="AA2703" s="5" t="s">
        <v>64</v>
      </c>
      <c r="AB2703" s="5" t="s">
        <v>13067</v>
      </c>
      <c r="AC2703" s="6" t="s">
        <v>50</v>
      </c>
      <c r="AD2703" s="6">
        <v>7391.0</v>
      </c>
    </row>
    <row r="2704" ht="56.25" customHeight="1">
      <c r="A2704" s="5" t="s">
        <v>13061</v>
      </c>
      <c r="B2704" s="6" t="str">
        <f>IMAGE("https://storage.googleapis.com/acdb/housewares/FtrTatamiBedS_Remake_1_0.png")</f>
        <v/>
      </c>
      <c r="C2704" s="5" t="s">
        <v>32</v>
      </c>
      <c r="D2704" s="5" t="s">
        <v>34</v>
      </c>
      <c r="E2704" s="5" t="s">
        <v>34</v>
      </c>
      <c r="F2704" s="5" t="s">
        <v>34</v>
      </c>
      <c r="G2704" s="5" t="s">
        <v>36</v>
      </c>
      <c r="H2704" s="5" t="s">
        <v>36</v>
      </c>
      <c r="I2704" s="5" t="s">
        <v>36</v>
      </c>
      <c r="J2704" s="6" t="s">
        <v>34</v>
      </c>
      <c r="K2704" s="6">
        <v>2800.0</v>
      </c>
      <c r="L2704" s="6">
        <v>700.0</v>
      </c>
      <c r="M2704" s="26" t="s">
        <v>114</v>
      </c>
      <c r="N2704" s="26" t="s">
        <v>96</v>
      </c>
      <c r="O2704" s="6" t="s">
        <v>276</v>
      </c>
      <c r="P2704" s="5" t="s">
        <v>59</v>
      </c>
      <c r="Q2704" s="5" t="s">
        <v>89</v>
      </c>
      <c r="R2704" s="6" t="s">
        <v>42</v>
      </c>
      <c r="S2704" s="5" t="s">
        <v>266</v>
      </c>
      <c r="T2704" s="5" t="s">
        <v>44</v>
      </c>
      <c r="U2704" s="5" t="s">
        <v>44</v>
      </c>
      <c r="V2704" s="5" t="s">
        <v>44</v>
      </c>
      <c r="W2704" s="5" t="s">
        <v>35</v>
      </c>
      <c r="X2704" s="8" t="s">
        <v>218</v>
      </c>
      <c r="Y2704" s="5" t="s">
        <v>46</v>
      </c>
      <c r="Z2704" s="5" t="s">
        <v>47</v>
      </c>
      <c r="AA2704" s="5" t="s">
        <v>64</v>
      </c>
      <c r="AB2704" s="5" t="s">
        <v>13072</v>
      </c>
      <c r="AC2704" s="6" t="s">
        <v>56</v>
      </c>
      <c r="AD2704" s="6">
        <v>7391.0</v>
      </c>
    </row>
    <row r="2705" ht="56.25" customHeight="1">
      <c r="A2705" s="5" t="s">
        <v>13061</v>
      </c>
      <c r="B2705" s="6" t="str">
        <f>IMAGE("https://storage.googleapis.com/acdb/housewares/FtrTatamiBedS_Remake_2_0.png")</f>
        <v/>
      </c>
      <c r="C2705" s="5" t="s">
        <v>54</v>
      </c>
      <c r="D2705" s="5" t="s">
        <v>34</v>
      </c>
      <c r="E2705" s="5" t="s">
        <v>34</v>
      </c>
      <c r="F2705" s="5" t="s">
        <v>34</v>
      </c>
      <c r="G2705" s="5" t="s">
        <v>36</v>
      </c>
      <c r="H2705" s="5" t="s">
        <v>36</v>
      </c>
      <c r="I2705" s="5" t="s">
        <v>36</v>
      </c>
      <c r="J2705" s="6" t="s">
        <v>34</v>
      </c>
      <c r="K2705" s="6">
        <v>2800.0</v>
      </c>
      <c r="L2705" s="6">
        <v>700.0</v>
      </c>
      <c r="M2705" s="26" t="s">
        <v>54</v>
      </c>
      <c r="N2705" s="26" t="s">
        <v>96</v>
      </c>
      <c r="O2705" s="6" t="s">
        <v>276</v>
      </c>
      <c r="P2705" s="5" t="s">
        <v>59</v>
      </c>
      <c r="Q2705" s="5" t="s">
        <v>89</v>
      </c>
      <c r="R2705" s="6" t="s">
        <v>42</v>
      </c>
      <c r="S2705" s="5" t="s">
        <v>266</v>
      </c>
      <c r="T2705" s="5" t="s">
        <v>44</v>
      </c>
      <c r="U2705" s="5" t="s">
        <v>44</v>
      </c>
      <c r="V2705" s="5" t="s">
        <v>44</v>
      </c>
      <c r="W2705" s="5" t="s">
        <v>35</v>
      </c>
      <c r="X2705" s="8" t="s">
        <v>218</v>
      </c>
      <c r="Y2705" s="5" t="s">
        <v>46</v>
      </c>
      <c r="Z2705" s="5" t="s">
        <v>47</v>
      </c>
      <c r="AA2705" s="5" t="s">
        <v>64</v>
      </c>
      <c r="AB2705" s="5" t="s">
        <v>13077</v>
      </c>
      <c r="AC2705" s="6" t="s">
        <v>67</v>
      </c>
      <c r="AD2705" s="6">
        <v>7391.0</v>
      </c>
    </row>
    <row r="2706" ht="56.25" customHeight="1">
      <c r="A2706" s="5" t="s">
        <v>13061</v>
      </c>
      <c r="B2706" s="6" t="str">
        <f>IMAGE("https://storage.googleapis.com/acdb/housewares/FtrTatamiBedS_Remake_3_0.png")</f>
        <v/>
      </c>
      <c r="C2706" s="5" t="s">
        <v>935</v>
      </c>
      <c r="D2706" s="5" t="s">
        <v>34</v>
      </c>
      <c r="E2706" s="5" t="s">
        <v>34</v>
      </c>
      <c r="F2706" s="5" t="s">
        <v>34</v>
      </c>
      <c r="G2706" s="5" t="s">
        <v>36</v>
      </c>
      <c r="H2706" s="5" t="s">
        <v>36</v>
      </c>
      <c r="I2706" s="5" t="s">
        <v>36</v>
      </c>
      <c r="J2706" s="6" t="s">
        <v>34</v>
      </c>
      <c r="K2706" s="6">
        <v>2800.0</v>
      </c>
      <c r="L2706" s="6">
        <v>700.0</v>
      </c>
      <c r="M2706" s="26" t="s">
        <v>57</v>
      </c>
      <c r="N2706" s="26" t="s">
        <v>96</v>
      </c>
      <c r="O2706" s="6" t="s">
        <v>276</v>
      </c>
      <c r="P2706" s="5" t="s">
        <v>59</v>
      </c>
      <c r="Q2706" s="5" t="s">
        <v>89</v>
      </c>
      <c r="R2706" s="6" t="s">
        <v>42</v>
      </c>
      <c r="S2706" s="5" t="s">
        <v>266</v>
      </c>
      <c r="T2706" s="5" t="s">
        <v>44</v>
      </c>
      <c r="U2706" s="5" t="s">
        <v>44</v>
      </c>
      <c r="V2706" s="5" t="s">
        <v>44</v>
      </c>
      <c r="W2706" s="5" t="s">
        <v>35</v>
      </c>
      <c r="X2706" s="8" t="s">
        <v>218</v>
      </c>
      <c r="Y2706" s="5" t="s">
        <v>46</v>
      </c>
      <c r="Z2706" s="5" t="s">
        <v>47</v>
      </c>
      <c r="AA2706" s="5" t="s">
        <v>64</v>
      </c>
      <c r="AB2706" s="5" t="s">
        <v>13083</v>
      </c>
      <c r="AC2706" s="6" t="s">
        <v>71</v>
      </c>
      <c r="AD2706" s="6">
        <v>7391.0</v>
      </c>
    </row>
    <row r="2707" ht="56.25" customHeight="1">
      <c r="A2707" s="5" t="s">
        <v>13084</v>
      </c>
      <c r="B2707" s="6" t="str">
        <f>IMAGE("https://storage.googleapis.com/acdb/housewares/FtrZodiacTaurus.png")</f>
        <v/>
      </c>
      <c r="C2707" s="5" t="s">
        <v>34</v>
      </c>
      <c r="D2707" s="5" t="s">
        <v>34</v>
      </c>
      <c r="E2707" s="5" t="s">
        <v>34</v>
      </c>
      <c r="F2707" s="5" t="s">
        <v>34</v>
      </c>
      <c r="G2707" s="5" t="s">
        <v>35</v>
      </c>
      <c r="H2707" s="5" t="s">
        <v>36</v>
      </c>
      <c r="I2707" s="5" t="s">
        <v>36</v>
      </c>
      <c r="J2707" s="6" t="s">
        <v>34</v>
      </c>
      <c r="K2707" s="6" t="s">
        <v>37</v>
      </c>
      <c r="L2707" s="6">
        <v>12350.0</v>
      </c>
      <c r="M2707" s="5" t="s">
        <v>57</v>
      </c>
      <c r="N2707" s="5" t="s">
        <v>114</v>
      </c>
      <c r="O2707" s="6" t="s">
        <v>276</v>
      </c>
      <c r="P2707" s="5" t="s">
        <v>41</v>
      </c>
      <c r="Q2707" s="5"/>
      <c r="R2707" s="6" t="s">
        <v>42</v>
      </c>
      <c r="S2707" s="5" t="s">
        <v>288</v>
      </c>
      <c r="T2707" s="5" t="s">
        <v>116</v>
      </c>
      <c r="U2707" s="5" t="s">
        <v>349</v>
      </c>
      <c r="V2707" s="5" t="s">
        <v>44</v>
      </c>
      <c r="W2707" s="5" t="s">
        <v>36</v>
      </c>
      <c r="X2707" s="8" t="s">
        <v>1968</v>
      </c>
      <c r="Y2707" s="5" t="s">
        <v>46</v>
      </c>
      <c r="Z2707" s="5" t="s">
        <v>47</v>
      </c>
      <c r="AA2707" s="5" t="s">
        <v>48</v>
      </c>
      <c r="AB2707" s="5" t="s">
        <v>13089</v>
      </c>
      <c r="AC2707" s="6" t="s">
        <v>34</v>
      </c>
      <c r="AD2707" s="6">
        <v>5961.0</v>
      </c>
    </row>
    <row r="2708" ht="56.25" customHeight="1">
      <c r="A2708" s="5" t="s">
        <v>13090</v>
      </c>
      <c r="B2708" s="6" t="str">
        <f>IMAGE("https://storage.googleapis.com/acdb/housewares/FtrDiningtableJapan_Remake_0_0.png")</f>
        <v/>
      </c>
      <c r="C2708" s="5" t="s">
        <v>366</v>
      </c>
      <c r="D2708" s="5" t="s">
        <v>1008</v>
      </c>
      <c r="E2708" s="5" t="s">
        <v>34</v>
      </c>
      <c r="F2708" s="5" t="s">
        <v>34</v>
      </c>
      <c r="G2708" s="5" t="s">
        <v>35</v>
      </c>
      <c r="H2708" s="5" t="s">
        <v>35</v>
      </c>
      <c r="I2708" s="5" t="s">
        <v>36</v>
      </c>
      <c r="J2708" s="6">
        <v>2.0</v>
      </c>
      <c r="K2708" s="6" t="s">
        <v>37</v>
      </c>
      <c r="L2708" s="6">
        <v>1440.0</v>
      </c>
      <c r="M2708" s="26" t="s">
        <v>39</v>
      </c>
      <c r="N2708" s="26" t="s">
        <v>39</v>
      </c>
      <c r="O2708" s="6" t="s">
        <v>214</v>
      </c>
      <c r="P2708" s="5" t="s">
        <v>41</v>
      </c>
      <c r="Q2708" s="5"/>
      <c r="R2708" s="6" t="s">
        <v>42</v>
      </c>
      <c r="S2708" s="5" t="s">
        <v>266</v>
      </c>
      <c r="T2708" s="5" t="s">
        <v>90</v>
      </c>
      <c r="U2708" s="5" t="s">
        <v>44</v>
      </c>
      <c r="V2708" s="5" t="s">
        <v>44</v>
      </c>
      <c r="W2708" s="5" t="s">
        <v>36</v>
      </c>
      <c r="X2708" s="8" t="s">
        <v>230</v>
      </c>
      <c r="Y2708" s="5" t="s">
        <v>46</v>
      </c>
      <c r="Z2708" s="5" t="s">
        <v>47</v>
      </c>
      <c r="AA2708" s="5" t="s">
        <v>48</v>
      </c>
      <c r="AB2708" s="5" t="s">
        <v>13095</v>
      </c>
      <c r="AC2708" s="6" t="s">
        <v>50</v>
      </c>
      <c r="AD2708" s="6">
        <v>739.0</v>
      </c>
    </row>
    <row r="2709" ht="56.25" customHeight="1">
      <c r="A2709" s="5" t="s">
        <v>13090</v>
      </c>
      <c r="B2709" s="6" t="str">
        <f>IMAGE("https://storage.googleapis.com/acdb/housewares/FtrDiningtableJapan_Remake_1_0.png")</f>
        <v/>
      </c>
      <c r="C2709" s="5" t="s">
        <v>1132</v>
      </c>
      <c r="D2709" s="5" t="s">
        <v>1008</v>
      </c>
      <c r="E2709" s="5" t="s">
        <v>34</v>
      </c>
      <c r="F2709" s="5" t="s">
        <v>34</v>
      </c>
      <c r="G2709" s="5" t="s">
        <v>35</v>
      </c>
      <c r="H2709" s="5" t="s">
        <v>35</v>
      </c>
      <c r="I2709" s="5" t="s">
        <v>36</v>
      </c>
      <c r="J2709" s="6">
        <v>2.0</v>
      </c>
      <c r="K2709" s="6" t="s">
        <v>37</v>
      </c>
      <c r="L2709" s="6">
        <v>1440.0</v>
      </c>
      <c r="M2709" s="26" t="s">
        <v>39</v>
      </c>
      <c r="N2709" s="26" t="s">
        <v>39</v>
      </c>
      <c r="O2709" s="6" t="s">
        <v>214</v>
      </c>
      <c r="P2709" s="5" t="s">
        <v>41</v>
      </c>
      <c r="Q2709" s="5"/>
      <c r="R2709" s="6" t="s">
        <v>42</v>
      </c>
      <c r="S2709" s="5" t="s">
        <v>266</v>
      </c>
      <c r="T2709" s="5" t="s">
        <v>90</v>
      </c>
      <c r="U2709" s="5" t="s">
        <v>44</v>
      </c>
      <c r="V2709" s="5" t="s">
        <v>44</v>
      </c>
      <c r="W2709" s="5" t="s">
        <v>36</v>
      </c>
      <c r="X2709" s="8" t="s">
        <v>230</v>
      </c>
      <c r="Y2709" s="5" t="s">
        <v>46</v>
      </c>
      <c r="Z2709" s="5" t="s">
        <v>47</v>
      </c>
      <c r="AA2709" s="5" t="s">
        <v>48</v>
      </c>
      <c r="AB2709" s="5" t="s">
        <v>13098</v>
      </c>
      <c r="AC2709" s="6" t="s">
        <v>56</v>
      </c>
      <c r="AD2709" s="6">
        <v>739.0</v>
      </c>
    </row>
    <row r="2710" ht="56.25" customHeight="1">
      <c r="A2710" s="5" t="s">
        <v>13090</v>
      </c>
      <c r="B2710" s="6" t="str">
        <f>IMAGE("https://storage.googleapis.com/acdb/housewares/FtrDiningtableJapan_Remake_2_0.png")</f>
        <v/>
      </c>
      <c r="C2710" s="5" t="s">
        <v>1588</v>
      </c>
      <c r="D2710" s="5" t="s">
        <v>1008</v>
      </c>
      <c r="E2710" s="5" t="s">
        <v>34</v>
      </c>
      <c r="F2710" s="5" t="s">
        <v>34</v>
      </c>
      <c r="G2710" s="5" t="s">
        <v>35</v>
      </c>
      <c r="H2710" s="5" t="s">
        <v>35</v>
      </c>
      <c r="I2710" s="5" t="s">
        <v>36</v>
      </c>
      <c r="J2710" s="6">
        <v>2.0</v>
      </c>
      <c r="K2710" s="6" t="s">
        <v>37</v>
      </c>
      <c r="L2710" s="6">
        <v>1440.0</v>
      </c>
      <c r="M2710" s="5" t="s">
        <v>142</v>
      </c>
      <c r="N2710" s="5" t="s">
        <v>142</v>
      </c>
      <c r="O2710" s="6" t="s">
        <v>214</v>
      </c>
      <c r="P2710" s="5" t="s">
        <v>41</v>
      </c>
      <c r="Q2710" s="5"/>
      <c r="R2710" s="6" t="s">
        <v>42</v>
      </c>
      <c r="S2710" s="5" t="s">
        <v>266</v>
      </c>
      <c r="T2710" s="5" t="s">
        <v>90</v>
      </c>
      <c r="U2710" s="5" t="s">
        <v>44</v>
      </c>
      <c r="V2710" s="5" t="s">
        <v>44</v>
      </c>
      <c r="W2710" s="5" t="s">
        <v>36</v>
      </c>
      <c r="X2710" s="8" t="s">
        <v>230</v>
      </c>
      <c r="Y2710" s="5" t="s">
        <v>46</v>
      </c>
      <c r="Z2710" s="5" t="s">
        <v>47</v>
      </c>
      <c r="AA2710" s="5" t="s">
        <v>48</v>
      </c>
      <c r="AB2710" s="5" t="s">
        <v>13103</v>
      </c>
      <c r="AC2710" s="6" t="s">
        <v>67</v>
      </c>
      <c r="AD2710" s="6">
        <v>739.0</v>
      </c>
    </row>
    <row r="2711" ht="56.25" customHeight="1">
      <c r="A2711" s="5" t="s">
        <v>13090</v>
      </c>
      <c r="B2711" s="6" t="str">
        <f>IMAGE("https://storage.googleapis.com/acdb/housewares/FtrDiningtableJapan_Remake_3_0.png")</f>
        <v/>
      </c>
      <c r="C2711" s="5" t="s">
        <v>1137</v>
      </c>
      <c r="D2711" s="5" t="s">
        <v>1008</v>
      </c>
      <c r="E2711" s="5" t="s">
        <v>34</v>
      </c>
      <c r="F2711" s="5" t="s">
        <v>34</v>
      </c>
      <c r="G2711" s="5" t="s">
        <v>35</v>
      </c>
      <c r="H2711" s="5" t="s">
        <v>35</v>
      </c>
      <c r="I2711" s="5" t="s">
        <v>36</v>
      </c>
      <c r="J2711" s="6">
        <v>2.0</v>
      </c>
      <c r="K2711" s="6" t="s">
        <v>37</v>
      </c>
      <c r="L2711" s="6">
        <v>1440.0</v>
      </c>
      <c r="M2711" s="26" t="s">
        <v>114</v>
      </c>
      <c r="N2711" s="26" t="s">
        <v>114</v>
      </c>
      <c r="O2711" s="6" t="s">
        <v>214</v>
      </c>
      <c r="P2711" s="5" t="s">
        <v>41</v>
      </c>
      <c r="Q2711" s="5"/>
      <c r="R2711" s="6" t="s">
        <v>42</v>
      </c>
      <c r="S2711" s="5" t="s">
        <v>266</v>
      </c>
      <c r="T2711" s="5" t="s">
        <v>90</v>
      </c>
      <c r="U2711" s="5" t="s">
        <v>44</v>
      </c>
      <c r="V2711" s="5" t="s">
        <v>44</v>
      </c>
      <c r="W2711" s="5" t="s">
        <v>36</v>
      </c>
      <c r="X2711" s="8" t="s">
        <v>230</v>
      </c>
      <c r="Y2711" s="5" t="s">
        <v>46</v>
      </c>
      <c r="Z2711" s="5" t="s">
        <v>47</v>
      </c>
      <c r="AA2711" s="5" t="s">
        <v>48</v>
      </c>
      <c r="AB2711" s="5" t="s">
        <v>13107</v>
      </c>
      <c r="AC2711" s="6" t="s">
        <v>71</v>
      </c>
      <c r="AD2711" s="6">
        <v>739.0</v>
      </c>
    </row>
    <row r="2712" ht="56.25" customHeight="1">
      <c r="A2712" s="5" t="s">
        <v>13090</v>
      </c>
      <c r="B2712" s="6" t="str">
        <f>IMAGE("https://storage.googleapis.com/acdb/housewares/FtrDiningtableJapan_Remake_4_0.png")</f>
        <v/>
      </c>
      <c r="C2712" s="5" t="s">
        <v>2430</v>
      </c>
      <c r="D2712" s="5" t="s">
        <v>1008</v>
      </c>
      <c r="E2712" s="5" t="s">
        <v>34</v>
      </c>
      <c r="F2712" s="5" t="s">
        <v>34</v>
      </c>
      <c r="G2712" s="5" t="s">
        <v>35</v>
      </c>
      <c r="H2712" s="5" t="s">
        <v>35</v>
      </c>
      <c r="I2712" s="5" t="s">
        <v>36</v>
      </c>
      <c r="J2712" s="6">
        <v>2.0</v>
      </c>
      <c r="K2712" s="6" t="s">
        <v>37</v>
      </c>
      <c r="L2712" s="6">
        <v>1440.0</v>
      </c>
      <c r="M2712" s="26" t="s">
        <v>39</v>
      </c>
      <c r="N2712" s="26" t="s">
        <v>39</v>
      </c>
      <c r="O2712" s="6" t="s">
        <v>214</v>
      </c>
      <c r="P2712" s="5" t="s">
        <v>41</v>
      </c>
      <c r="Q2712" s="5"/>
      <c r="R2712" s="6" t="s">
        <v>42</v>
      </c>
      <c r="S2712" s="5" t="s">
        <v>266</v>
      </c>
      <c r="T2712" s="5" t="s">
        <v>90</v>
      </c>
      <c r="U2712" s="5" t="s">
        <v>44</v>
      </c>
      <c r="V2712" s="5" t="s">
        <v>44</v>
      </c>
      <c r="W2712" s="5" t="s">
        <v>36</v>
      </c>
      <c r="X2712" s="8" t="s">
        <v>230</v>
      </c>
      <c r="Y2712" s="5" t="s">
        <v>46</v>
      </c>
      <c r="Z2712" s="5" t="s">
        <v>47</v>
      </c>
      <c r="AA2712" s="5" t="s">
        <v>48</v>
      </c>
      <c r="AB2712" s="5" t="s">
        <v>13111</v>
      </c>
      <c r="AC2712" s="6" t="s">
        <v>75</v>
      </c>
      <c r="AD2712" s="6">
        <v>739.0</v>
      </c>
    </row>
    <row r="2713" ht="56.25" customHeight="1">
      <c r="A2713" s="5" t="s">
        <v>13113</v>
      </c>
      <c r="B2713" s="6" t="str">
        <f>IMAGE("https://storage.googleapis.com/acdb/housewares/FtrTurncup_Remake_0_0.png")</f>
        <v/>
      </c>
      <c r="C2713" s="5" t="s">
        <v>58</v>
      </c>
      <c r="D2713" s="5" t="s">
        <v>34</v>
      </c>
      <c r="E2713" s="5" t="s">
        <v>34</v>
      </c>
      <c r="F2713" s="5" t="s">
        <v>34</v>
      </c>
      <c r="G2713" s="5" t="s">
        <v>36</v>
      </c>
      <c r="H2713" s="5" t="s">
        <v>36</v>
      </c>
      <c r="I2713" s="5" t="s">
        <v>36</v>
      </c>
      <c r="J2713" s="6" t="s">
        <v>34</v>
      </c>
      <c r="K2713" s="6" t="s">
        <v>37</v>
      </c>
      <c r="L2713" s="6">
        <v>25000.0</v>
      </c>
      <c r="M2713" s="26" t="s">
        <v>58</v>
      </c>
      <c r="N2713" s="26" t="s">
        <v>58</v>
      </c>
      <c r="O2713" s="6" t="s">
        <v>4708</v>
      </c>
      <c r="P2713" s="5" t="s">
        <v>2140</v>
      </c>
      <c r="Q2713" s="5"/>
      <c r="R2713" s="6" t="s">
        <v>42</v>
      </c>
      <c r="S2713" s="5" t="s">
        <v>141</v>
      </c>
      <c r="T2713" s="5" t="s">
        <v>61</v>
      </c>
      <c r="U2713" s="5" t="s">
        <v>44</v>
      </c>
      <c r="V2713" s="5" t="s">
        <v>44</v>
      </c>
      <c r="W2713" s="5" t="s">
        <v>35</v>
      </c>
      <c r="X2713" s="8" t="s">
        <v>3156</v>
      </c>
      <c r="Y2713" s="5" t="s">
        <v>46</v>
      </c>
      <c r="Z2713" s="5" t="s">
        <v>47</v>
      </c>
      <c r="AA2713" s="5" t="s">
        <v>48</v>
      </c>
      <c r="AB2713" s="5" t="s">
        <v>13118</v>
      </c>
      <c r="AC2713" s="6" t="s">
        <v>50</v>
      </c>
      <c r="AD2713" s="6">
        <v>1507.0</v>
      </c>
    </row>
    <row r="2714" ht="56.25" customHeight="1">
      <c r="A2714" s="5" t="s">
        <v>13113</v>
      </c>
      <c r="B2714" s="6" t="str">
        <f>IMAGE("https://storage.googleapis.com/acdb/housewares/FtrTurncup_Remake_1_0.png")</f>
        <v/>
      </c>
      <c r="C2714" s="5" t="s">
        <v>612</v>
      </c>
      <c r="D2714" s="5" t="s">
        <v>34</v>
      </c>
      <c r="E2714" s="5" t="s">
        <v>34</v>
      </c>
      <c r="F2714" s="5" t="s">
        <v>34</v>
      </c>
      <c r="G2714" s="5" t="s">
        <v>36</v>
      </c>
      <c r="H2714" s="5" t="s">
        <v>36</v>
      </c>
      <c r="I2714" s="5" t="s">
        <v>36</v>
      </c>
      <c r="J2714" s="6" t="s">
        <v>34</v>
      </c>
      <c r="K2714" s="6" t="s">
        <v>37</v>
      </c>
      <c r="L2714" s="6">
        <v>25000.0</v>
      </c>
      <c r="M2714" s="26" t="s">
        <v>58</v>
      </c>
      <c r="N2714" s="26" t="s">
        <v>114</v>
      </c>
      <c r="O2714" s="6" t="s">
        <v>4708</v>
      </c>
      <c r="P2714" s="5" t="s">
        <v>2140</v>
      </c>
      <c r="Q2714" s="5"/>
      <c r="R2714" s="6" t="s">
        <v>42</v>
      </c>
      <c r="S2714" s="5" t="s">
        <v>141</v>
      </c>
      <c r="T2714" s="5" t="s">
        <v>61</v>
      </c>
      <c r="U2714" s="5" t="s">
        <v>44</v>
      </c>
      <c r="V2714" s="5" t="s">
        <v>44</v>
      </c>
      <c r="W2714" s="5" t="s">
        <v>35</v>
      </c>
      <c r="X2714" s="8" t="s">
        <v>3156</v>
      </c>
      <c r="Y2714" s="5" t="s">
        <v>46</v>
      </c>
      <c r="Z2714" s="5" t="s">
        <v>47</v>
      </c>
      <c r="AA2714" s="5" t="s">
        <v>48</v>
      </c>
      <c r="AB2714" s="5" t="s">
        <v>13123</v>
      </c>
      <c r="AC2714" s="6" t="s">
        <v>56</v>
      </c>
      <c r="AD2714" s="6">
        <v>1507.0</v>
      </c>
    </row>
    <row r="2715" ht="56.25" customHeight="1">
      <c r="A2715" s="5" t="s">
        <v>13113</v>
      </c>
      <c r="B2715" s="6" t="str">
        <f>IMAGE("https://storage.googleapis.com/acdb/housewares/FtrTurncup_Remake_2_0.png")</f>
        <v/>
      </c>
      <c r="C2715" s="5" t="s">
        <v>688</v>
      </c>
      <c r="D2715" s="5" t="s">
        <v>34</v>
      </c>
      <c r="E2715" s="5" t="s">
        <v>34</v>
      </c>
      <c r="F2715" s="5" t="s">
        <v>34</v>
      </c>
      <c r="G2715" s="5" t="s">
        <v>36</v>
      </c>
      <c r="H2715" s="5" t="s">
        <v>36</v>
      </c>
      <c r="I2715" s="5" t="s">
        <v>36</v>
      </c>
      <c r="J2715" s="6" t="s">
        <v>34</v>
      </c>
      <c r="K2715" s="6" t="s">
        <v>37</v>
      </c>
      <c r="L2715" s="6">
        <v>25000.0</v>
      </c>
      <c r="M2715" s="26" t="s">
        <v>58</v>
      </c>
      <c r="N2715" s="26" t="s">
        <v>57</v>
      </c>
      <c r="O2715" s="6" t="s">
        <v>4708</v>
      </c>
      <c r="P2715" s="5" t="s">
        <v>2140</v>
      </c>
      <c r="Q2715" s="5"/>
      <c r="R2715" s="6" t="s">
        <v>42</v>
      </c>
      <c r="S2715" s="5" t="s">
        <v>141</v>
      </c>
      <c r="T2715" s="5" t="s">
        <v>61</v>
      </c>
      <c r="U2715" s="5" t="s">
        <v>44</v>
      </c>
      <c r="V2715" s="5" t="s">
        <v>44</v>
      </c>
      <c r="W2715" s="5" t="s">
        <v>35</v>
      </c>
      <c r="X2715" s="8" t="s">
        <v>3156</v>
      </c>
      <c r="Y2715" s="5" t="s">
        <v>46</v>
      </c>
      <c r="Z2715" s="5" t="s">
        <v>47</v>
      </c>
      <c r="AA2715" s="5" t="s">
        <v>48</v>
      </c>
      <c r="AB2715" s="5" t="s">
        <v>13127</v>
      </c>
      <c r="AC2715" s="6" t="s">
        <v>67</v>
      </c>
      <c r="AD2715" s="6">
        <v>1507.0</v>
      </c>
    </row>
    <row r="2716" ht="56.25" customHeight="1">
      <c r="A2716" s="5" t="s">
        <v>13113</v>
      </c>
      <c r="B2716" s="6" t="str">
        <f>IMAGE("https://storage.googleapis.com/acdb/housewares/FtrTurncup_Remake_3_0.png")</f>
        <v/>
      </c>
      <c r="C2716" s="5" t="s">
        <v>1952</v>
      </c>
      <c r="D2716" s="5" t="s">
        <v>34</v>
      </c>
      <c r="E2716" s="5" t="s">
        <v>34</v>
      </c>
      <c r="F2716" s="5" t="s">
        <v>34</v>
      </c>
      <c r="G2716" s="5" t="s">
        <v>36</v>
      </c>
      <c r="H2716" s="5" t="s">
        <v>36</v>
      </c>
      <c r="I2716" s="5" t="s">
        <v>36</v>
      </c>
      <c r="J2716" s="6" t="s">
        <v>34</v>
      </c>
      <c r="K2716" s="6" t="s">
        <v>37</v>
      </c>
      <c r="L2716" s="6">
        <v>25000.0</v>
      </c>
      <c r="M2716" s="26" t="s">
        <v>54</v>
      </c>
      <c r="N2716" s="26" t="s">
        <v>52</v>
      </c>
      <c r="O2716" s="6" t="s">
        <v>4708</v>
      </c>
      <c r="P2716" s="5" t="s">
        <v>2140</v>
      </c>
      <c r="Q2716" s="5"/>
      <c r="R2716" s="6" t="s">
        <v>42</v>
      </c>
      <c r="S2716" s="5" t="s">
        <v>141</v>
      </c>
      <c r="T2716" s="5" t="s">
        <v>61</v>
      </c>
      <c r="U2716" s="5" t="s">
        <v>44</v>
      </c>
      <c r="V2716" s="5" t="s">
        <v>44</v>
      </c>
      <c r="W2716" s="5" t="s">
        <v>35</v>
      </c>
      <c r="X2716" s="8" t="s">
        <v>3156</v>
      </c>
      <c r="Y2716" s="5" t="s">
        <v>46</v>
      </c>
      <c r="Z2716" s="5" t="s">
        <v>47</v>
      </c>
      <c r="AA2716" s="5" t="s">
        <v>48</v>
      </c>
      <c r="AB2716" s="5" t="s">
        <v>13131</v>
      </c>
      <c r="AC2716" s="6" t="s">
        <v>71</v>
      </c>
      <c r="AD2716" s="6">
        <v>1507.0</v>
      </c>
    </row>
    <row r="2717" ht="56.25" customHeight="1">
      <c r="A2717" s="5" t="s">
        <v>13133</v>
      </c>
      <c r="B2717" s="6" t="str">
        <f>IMAGE("https://storage.googleapis.com/acdb/housewares/FtrTelescope.png")</f>
        <v/>
      </c>
      <c r="C2717" s="5" t="s">
        <v>34</v>
      </c>
      <c r="D2717" s="5" t="s">
        <v>34</v>
      </c>
      <c r="E2717" s="5" t="s">
        <v>34</v>
      </c>
      <c r="F2717" s="5" t="s">
        <v>34</v>
      </c>
      <c r="G2717" s="5" t="s">
        <v>36</v>
      </c>
      <c r="H2717" s="5" t="s">
        <v>36</v>
      </c>
      <c r="I2717" s="5" t="s">
        <v>36</v>
      </c>
      <c r="J2717" s="6" t="s">
        <v>34</v>
      </c>
      <c r="K2717" s="6">
        <v>5600.0</v>
      </c>
      <c r="L2717" s="6">
        <v>1400.0</v>
      </c>
      <c r="M2717" s="5" t="s">
        <v>57</v>
      </c>
      <c r="N2717" s="5" t="s">
        <v>54</v>
      </c>
      <c r="O2717" s="6" t="s">
        <v>40</v>
      </c>
      <c r="P2717" s="5" t="s">
        <v>59</v>
      </c>
      <c r="Q2717" s="5" t="s">
        <v>89</v>
      </c>
      <c r="R2717" s="6" t="s">
        <v>42</v>
      </c>
      <c r="S2717" s="5" t="s">
        <v>401</v>
      </c>
      <c r="T2717" s="5" t="s">
        <v>44</v>
      </c>
      <c r="U2717" s="5" t="s">
        <v>44</v>
      </c>
      <c r="V2717" s="5" t="s">
        <v>44</v>
      </c>
      <c r="W2717" s="5" t="s">
        <v>36</v>
      </c>
      <c r="X2717" s="8" t="s">
        <v>403</v>
      </c>
      <c r="Y2717" s="5" t="s">
        <v>46</v>
      </c>
      <c r="Z2717" s="5" t="s">
        <v>47</v>
      </c>
      <c r="AA2717" s="5" t="s">
        <v>64</v>
      </c>
      <c r="AB2717" s="5" t="s">
        <v>13139</v>
      </c>
      <c r="AC2717" s="6" t="s">
        <v>34</v>
      </c>
      <c r="AD2717" s="6">
        <v>1186.0</v>
      </c>
    </row>
    <row r="2718" ht="56.25" customHeight="1">
      <c r="A2718" s="5" t="s">
        <v>13140</v>
      </c>
      <c r="B2718" s="6" t="str">
        <f>IMAGE("https://storage.googleapis.com/acdb/housewares/FtrTakkyu.png")</f>
        <v/>
      </c>
      <c r="C2718" s="5" t="s">
        <v>34</v>
      </c>
      <c r="D2718" s="5" t="s">
        <v>34</v>
      </c>
      <c r="E2718" s="5" t="s">
        <v>34</v>
      </c>
      <c r="F2718" s="5" t="s">
        <v>34</v>
      </c>
      <c r="G2718" s="5" t="s">
        <v>36</v>
      </c>
      <c r="H2718" s="5" t="s">
        <v>36</v>
      </c>
      <c r="I2718" s="5" t="s">
        <v>36</v>
      </c>
      <c r="J2718" s="6" t="s">
        <v>34</v>
      </c>
      <c r="K2718" s="6">
        <v>44000.0</v>
      </c>
      <c r="L2718" s="6">
        <v>11000.0</v>
      </c>
      <c r="M2718" s="5" t="s">
        <v>96</v>
      </c>
      <c r="N2718" s="5" t="s">
        <v>52</v>
      </c>
      <c r="O2718" s="6" t="s">
        <v>276</v>
      </c>
      <c r="P2718" s="5" t="s">
        <v>59</v>
      </c>
      <c r="Q2718" s="5" t="s">
        <v>115</v>
      </c>
      <c r="R2718" s="6" t="s">
        <v>42</v>
      </c>
      <c r="S2718" s="5" t="s">
        <v>62</v>
      </c>
      <c r="T2718" s="5" t="s">
        <v>130</v>
      </c>
      <c r="U2718" s="5" t="s">
        <v>44</v>
      </c>
      <c r="V2718" s="5" t="s">
        <v>44</v>
      </c>
      <c r="W2718" s="5" t="s">
        <v>36</v>
      </c>
      <c r="X2718" s="8" t="s">
        <v>475</v>
      </c>
      <c r="Y2718" s="5" t="s">
        <v>46</v>
      </c>
      <c r="Z2718" s="5" t="s">
        <v>47</v>
      </c>
      <c r="AA2718" s="5" t="s">
        <v>64</v>
      </c>
      <c r="AB2718" s="5" t="s">
        <v>13147</v>
      </c>
      <c r="AC2718" s="6" t="s">
        <v>34</v>
      </c>
      <c r="AD2718" s="6">
        <v>1181.0</v>
      </c>
    </row>
    <row r="2719" ht="56.25" customHeight="1">
      <c r="A2719" s="5" t="s">
        <v>13148</v>
      </c>
      <c r="B2719" s="6" t="str">
        <f>IMAGE("https://storage.googleapis.com/acdb/housewares/FtrAnthill.png")</f>
        <v/>
      </c>
      <c r="C2719" s="5" t="s">
        <v>34</v>
      </c>
      <c r="D2719" s="5" t="s">
        <v>34</v>
      </c>
      <c r="E2719" s="5" t="s">
        <v>34</v>
      </c>
      <c r="F2719" s="5" t="s">
        <v>34</v>
      </c>
      <c r="G2719" s="5" t="s">
        <v>36</v>
      </c>
      <c r="H2719" s="5" t="s">
        <v>36</v>
      </c>
      <c r="I2719" s="5" t="s">
        <v>36</v>
      </c>
      <c r="J2719" s="6" t="s">
        <v>34</v>
      </c>
      <c r="K2719" s="6" t="s">
        <v>37</v>
      </c>
      <c r="L2719" s="6">
        <v>550.0</v>
      </c>
      <c r="M2719" s="5" t="s">
        <v>38</v>
      </c>
      <c r="N2719" s="5" t="s">
        <v>38</v>
      </c>
      <c r="O2719" s="6" t="s">
        <v>40</v>
      </c>
      <c r="P2719" s="5" t="s">
        <v>393</v>
      </c>
      <c r="Q2719" s="5"/>
      <c r="R2719" s="6" t="s">
        <v>42</v>
      </c>
      <c r="S2719" s="5" t="s">
        <v>172</v>
      </c>
      <c r="T2719" s="5" t="s">
        <v>141</v>
      </c>
      <c r="U2719" s="5" t="s">
        <v>44</v>
      </c>
      <c r="V2719" s="5" t="s">
        <v>44</v>
      </c>
      <c r="W2719" s="5" t="s">
        <v>36</v>
      </c>
      <c r="X2719" s="8" t="s">
        <v>395</v>
      </c>
      <c r="Y2719" s="5" t="s">
        <v>46</v>
      </c>
      <c r="Z2719" s="5" t="s">
        <v>47</v>
      </c>
      <c r="AA2719" s="5" t="s">
        <v>48</v>
      </c>
      <c r="AB2719" s="5" t="s">
        <v>13153</v>
      </c>
      <c r="AC2719" s="6" t="s">
        <v>34</v>
      </c>
      <c r="AD2719" s="6">
        <v>3415.0</v>
      </c>
    </row>
    <row r="2720" ht="56.25" customHeight="1">
      <c r="A2720" s="5" t="s">
        <v>13156</v>
      </c>
      <c r="B2720" s="6" t="str">
        <f>IMAGE("https://storage.googleapis.com/acdb/housewares/FtrSnowman_Remake_0_0.png")</f>
        <v/>
      </c>
      <c r="C2720" s="5" t="s">
        <v>68</v>
      </c>
      <c r="D2720" s="5" t="s">
        <v>13158</v>
      </c>
      <c r="E2720" s="5" t="s">
        <v>34</v>
      </c>
      <c r="F2720" s="5" t="s">
        <v>34</v>
      </c>
      <c r="G2720" s="5" t="s">
        <v>35</v>
      </c>
      <c r="H2720" s="5" t="s">
        <v>35</v>
      </c>
      <c r="I2720" s="5" t="s">
        <v>36</v>
      </c>
      <c r="J2720" s="6">
        <v>7.0</v>
      </c>
      <c r="K2720" s="6" t="s">
        <v>37</v>
      </c>
      <c r="L2720" s="6">
        <v>7420.0</v>
      </c>
      <c r="M2720" s="26" t="s">
        <v>68</v>
      </c>
      <c r="N2720" s="26" t="s">
        <v>57</v>
      </c>
      <c r="O2720" s="6" t="s">
        <v>40</v>
      </c>
      <c r="P2720" s="5" t="s">
        <v>1891</v>
      </c>
      <c r="Q2720" s="5" t="s">
        <v>1893</v>
      </c>
      <c r="R2720" s="6" t="s">
        <v>42</v>
      </c>
      <c r="S2720" s="5" t="s">
        <v>1894</v>
      </c>
      <c r="T2720" s="5" t="s">
        <v>172</v>
      </c>
      <c r="U2720" s="5" t="s">
        <v>1895</v>
      </c>
      <c r="V2720" s="5" t="s">
        <v>44</v>
      </c>
      <c r="W2720" s="5" t="s">
        <v>36</v>
      </c>
      <c r="X2720" s="8" t="s">
        <v>590</v>
      </c>
      <c r="Y2720" s="5" t="s">
        <v>46</v>
      </c>
      <c r="Z2720" s="5" t="s">
        <v>47</v>
      </c>
      <c r="AA2720" s="5" t="s">
        <v>48</v>
      </c>
      <c r="AB2720" s="5" t="s">
        <v>13162</v>
      </c>
      <c r="AC2720" s="6" t="s">
        <v>50</v>
      </c>
      <c r="AD2720" s="6">
        <v>5337.0</v>
      </c>
    </row>
    <row r="2721" ht="56.25" customHeight="1">
      <c r="A2721" s="5" t="s">
        <v>13156</v>
      </c>
      <c r="B2721" s="6" t="str">
        <f>IMAGE("https://storage.googleapis.com/acdb/housewares/FtrSnowman_Remake_1_0.png")</f>
        <v/>
      </c>
      <c r="C2721" s="5" t="s">
        <v>69</v>
      </c>
      <c r="D2721" s="5" t="s">
        <v>13158</v>
      </c>
      <c r="E2721" s="5" t="s">
        <v>34</v>
      </c>
      <c r="F2721" s="5" t="s">
        <v>34</v>
      </c>
      <c r="G2721" s="5" t="s">
        <v>35</v>
      </c>
      <c r="H2721" s="5" t="s">
        <v>35</v>
      </c>
      <c r="I2721" s="5" t="s">
        <v>36</v>
      </c>
      <c r="J2721" s="6">
        <v>7.0</v>
      </c>
      <c r="K2721" s="6" t="s">
        <v>37</v>
      </c>
      <c r="L2721" s="6">
        <v>7420.0</v>
      </c>
      <c r="M2721" s="26" t="s">
        <v>69</v>
      </c>
      <c r="N2721" s="26" t="s">
        <v>57</v>
      </c>
      <c r="O2721" s="6" t="s">
        <v>40</v>
      </c>
      <c r="P2721" s="5" t="s">
        <v>1891</v>
      </c>
      <c r="Q2721" s="5" t="s">
        <v>1893</v>
      </c>
      <c r="R2721" s="6" t="s">
        <v>42</v>
      </c>
      <c r="S2721" s="5" t="s">
        <v>1894</v>
      </c>
      <c r="T2721" s="5" t="s">
        <v>172</v>
      </c>
      <c r="U2721" s="5" t="s">
        <v>1895</v>
      </c>
      <c r="V2721" s="5" t="s">
        <v>44</v>
      </c>
      <c r="W2721" s="5" t="s">
        <v>36</v>
      </c>
      <c r="X2721" s="8" t="s">
        <v>590</v>
      </c>
      <c r="Y2721" s="5" t="s">
        <v>46</v>
      </c>
      <c r="Z2721" s="5" t="s">
        <v>47</v>
      </c>
      <c r="AA2721" s="5" t="s">
        <v>48</v>
      </c>
      <c r="AB2721" s="5" t="s">
        <v>13170</v>
      </c>
      <c r="AC2721" s="6" t="s">
        <v>56</v>
      </c>
      <c r="AD2721" s="6">
        <v>5337.0</v>
      </c>
    </row>
    <row r="2722" ht="56.25" customHeight="1">
      <c r="A2722" s="5" t="s">
        <v>13156</v>
      </c>
      <c r="B2722" s="6" t="str">
        <f>IMAGE("https://storage.googleapis.com/acdb/housewares/FtrSnowman_Remake_2_0.png")</f>
        <v/>
      </c>
      <c r="C2722" s="5" t="s">
        <v>83</v>
      </c>
      <c r="D2722" s="5" t="s">
        <v>13158</v>
      </c>
      <c r="E2722" s="5" t="s">
        <v>34</v>
      </c>
      <c r="F2722" s="5" t="s">
        <v>34</v>
      </c>
      <c r="G2722" s="5" t="s">
        <v>35</v>
      </c>
      <c r="H2722" s="5" t="s">
        <v>35</v>
      </c>
      <c r="I2722" s="5" t="s">
        <v>36</v>
      </c>
      <c r="J2722" s="6">
        <v>7.0</v>
      </c>
      <c r="K2722" s="6" t="s">
        <v>37</v>
      </c>
      <c r="L2722" s="6">
        <v>7420.0</v>
      </c>
      <c r="M2722" s="26" t="s">
        <v>1175</v>
      </c>
      <c r="N2722" s="26" t="s">
        <v>57</v>
      </c>
      <c r="O2722" s="6" t="s">
        <v>40</v>
      </c>
      <c r="P2722" s="5" t="s">
        <v>1891</v>
      </c>
      <c r="Q2722" s="5" t="s">
        <v>1893</v>
      </c>
      <c r="R2722" s="6" t="s">
        <v>42</v>
      </c>
      <c r="S2722" s="5" t="s">
        <v>1894</v>
      </c>
      <c r="T2722" s="5" t="s">
        <v>172</v>
      </c>
      <c r="U2722" s="5" t="s">
        <v>1895</v>
      </c>
      <c r="V2722" s="5" t="s">
        <v>44</v>
      </c>
      <c r="W2722" s="5" t="s">
        <v>36</v>
      </c>
      <c r="X2722" s="8" t="s">
        <v>590</v>
      </c>
      <c r="Y2722" s="5" t="s">
        <v>46</v>
      </c>
      <c r="Z2722" s="5" t="s">
        <v>47</v>
      </c>
      <c r="AA2722" s="5" t="s">
        <v>48</v>
      </c>
      <c r="AB2722" s="5" t="s">
        <v>13177</v>
      </c>
      <c r="AC2722" s="6" t="s">
        <v>67</v>
      </c>
      <c r="AD2722" s="6">
        <v>5337.0</v>
      </c>
    </row>
    <row r="2723" ht="56.25" customHeight="1">
      <c r="A2723" s="5" t="s">
        <v>13156</v>
      </c>
      <c r="B2723" s="6" t="str">
        <f>IMAGE("https://storage.googleapis.com/acdb/housewares/FtrSnowman_Remake_3_0.png")</f>
        <v/>
      </c>
      <c r="C2723" s="5" t="s">
        <v>114</v>
      </c>
      <c r="D2723" s="5" t="s">
        <v>13158</v>
      </c>
      <c r="E2723" s="5" t="s">
        <v>34</v>
      </c>
      <c r="F2723" s="5" t="s">
        <v>34</v>
      </c>
      <c r="G2723" s="5" t="s">
        <v>35</v>
      </c>
      <c r="H2723" s="5" t="s">
        <v>35</v>
      </c>
      <c r="I2723" s="5" t="s">
        <v>36</v>
      </c>
      <c r="J2723" s="6">
        <v>7.0</v>
      </c>
      <c r="K2723" s="6" t="s">
        <v>37</v>
      </c>
      <c r="L2723" s="6">
        <v>7420.0</v>
      </c>
      <c r="M2723" s="26" t="s">
        <v>114</v>
      </c>
      <c r="N2723" s="26" t="s">
        <v>57</v>
      </c>
      <c r="O2723" s="6" t="s">
        <v>40</v>
      </c>
      <c r="P2723" s="5" t="s">
        <v>1891</v>
      </c>
      <c r="Q2723" s="5" t="s">
        <v>1893</v>
      </c>
      <c r="R2723" s="6" t="s">
        <v>42</v>
      </c>
      <c r="S2723" s="5" t="s">
        <v>1894</v>
      </c>
      <c r="T2723" s="5" t="s">
        <v>172</v>
      </c>
      <c r="U2723" s="5" t="s">
        <v>1895</v>
      </c>
      <c r="V2723" s="5" t="s">
        <v>44</v>
      </c>
      <c r="W2723" s="5" t="s">
        <v>36</v>
      </c>
      <c r="X2723" s="8" t="s">
        <v>590</v>
      </c>
      <c r="Y2723" s="5" t="s">
        <v>46</v>
      </c>
      <c r="Z2723" s="5" t="s">
        <v>47</v>
      </c>
      <c r="AA2723" s="5" t="s">
        <v>48</v>
      </c>
      <c r="AB2723" s="5" t="s">
        <v>13184</v>
      </c>
      <c r="AC2723" s="6" t="s">
        <v>71</v>
      </c>
      <c r="AD2723" s="6">
        <v>5337.0</v>
      </c>
    </row>
    <row r="2724" ht="56.25" customHeight="1">
      <c r="A2724" s="5" t="s">
        <v>13185</v>
      </c>
      <c r="B2724" s="6" t="str">
        <f>IMAGE("https://storage.googleapis.com/acdb/housewares/FtrBoyScreen.png")</f>
        <v/>
      </c>
      <c r="C2724" s="5" t="s">
        <v>34</v>
      </c>
      <c r="D2724" s="5" t="s">
        <v>34</v>
      </c>
      <c r="E2724" s="5" t="s">
        <v>34</v>
      </c>
      <c r="F2724" s="5" t="s">
        <v>34</v>
      </c>
      <c r="G2724" s="5" t="s">
        <v>36</v>
      </c>
      <c r="H2724" s="5" t="s">
        <v>36</v>
      </c>
      <c r="I2724" s="5" t="s">
        <v>36</v>
      </c>
      <c r="J2724" s="6" t="s">
        <v>34</v>
      </c>
      <c r="K2724" s="6">
        <v>3600.0</v>
      </c>
      <c r="L2724" s="6">
        <v>900.0</v>
      </c>
      <c r="M2724" s="5" t="s">
        <v>114</v>
      </c>
      <c r="N2724" s="5" t="s">
        <v>96</v>
      </c>
      <c r="O2724" s="6" t="s">
        <v>714</v>
      </c>
      <c r="P2724" s="5" t="s">
        <v>59</v>
      </c>
      <c r="Q2724" s="5" t="s">
        <v>122</v>
      </c>
      <c r="R2724" s="6" t="s">
        <v>42</v>
      </c>
      <c r="S2724" s="5" t="s">
        <v>99</v>
      </c>
      <c r="T2724" s="5" t="s">
        <v>44</v>
      </c>
      <c r="U2724" s="5" t="s">
        <v>2359</v>
      </c>
      <c r="V2724" s="5" t="s">
        <v>44</v>
      </c>
      <c r="W2724" s="5" t="s">
        <v>36</v>
      </c>
      <c r="X2724" s="8" t="s">
        <v>715</v>
      </c>
      <c r="Y2724" s="5" t="s">
        <v>46</v>
      </c>
      <c r="Z2724" s="5" t="s">
        <v>47</v>
      </c>
      <c r="AA2724" s="5" t="s">
        <v>64</v>
      </c>
      <c r="AB2724" s="5" t="s">
        <v>13193</v>
      </c>
      <c r="AC2724" s="6" t="s">
        <v>34</v>
      </c>
      <c r="AD2724" s="6">
        <v>4763.0</v>
      </c>
    </row>
    <row r="2725" ht="56.25" customHeight="1">
      <c r="A2725" s="5" t="s">
        <v>13194</v>
      </c>
      <c r="B2725" s="6" t="str">
        <f>IMAGE("https://storage.googleapis.com/acdb/housewares/FtrBoyTableL_Remake_0_0.png")</f>
        <v/>
      </c>
      <c r="C2725" s="5" t="s">
        <v>52</v>
      </c>
      <c r="D2725" s="5" t="s">
        <v>34</v>
      </c>
      <c r="E2725" s="5" t="s">
        <v>34</v>
      </c>
      <c r="F2725" s="5" t="s">
        <v>34</v>
      </c>
      <c r="G2725" s="5" t="s">
        <v>36</v>
      </c>
      <c r="H2725" s="5" t="s">
        <v>36</v>
      </c>
      <c r="I2725" s="5" t="s">
        <v>36</v>
      </c>
      <c r="J2725" s="6" t="s">
        <v>34</v>
      </c>
      <c r="K2725" s="6">
        <v>3800.0</v>
      </c>
      <c r="L2725" s="6">
        <v>950.0</v>
      </c>
      <c r="M2725" s="26" t="s">
        <v>52</v>
      </c>
      <c r="N2725" s="26" t="s">
        <v>52</v>
      </c>
      <c r="O2725" s="6" t="s">
        <v>214</v>
      </c>
      <c r="P2725" s="5" t="s">
        <v>59</v>
      </c>
      <c r="Q2725" s="5" t="s">
        <v>115</v>
      </c>
      <c r="R2725" s="6" t="s">
        <v>42</v>
      </c>
      <c r="S2725" s="5" t="s">
        <v>99</v>
      </c>
      <c r="T2725" s="5" t="s">
        <v>474</v>
      </c>
      <c r="U2725" s="5" t="s">
        <v>2359</v>
      </c>
      <c r="V2725" s="5" t="s">
        <v>44</v>
      </c>
      <c r="W2725" s="5" t="s">
        <v>36</v>
      </c>
      <c r="X2725" s="8" t="s">
        <v>278</v>
      </c>
      <c r="Y2725" s="5" t="s">
        <v>46</v>
      </c>
      <c r="Z2725" s="5" t="s">
        <v>47</v>
      </c>
      <c r="AA2725" s="5" t="s">
        <v>64</v>
      </c>
      <c r="AB2725" s="5" t="s">
        <v>13201</v>
      </c>
      <c r="AC2725" s="6" t="s">
        <v>50</v>
      </c>
      <c r="AD2725" s="6">
        <v>4760.0</v>
      </c>
    </row>
    <row r="2726" ht="56.25" customHeight="1">
      <c r="A2726" s="5" t="s">
        <v>13194</v>
      </c>
      <c r="B2726" s="6" t="str">
        <f>IMAGE("https://storage.googleapis.com/acdb/housewares/FtrBoyTableL_Remake_1_0.png")</f>
        <v/>
      </c>
      <c r="C2726" s="5" t="s">
        <v>68</v>
      </c>
      <c r="D2726" s="5" t="s">
        <v>34</v>
      </c>
      <c r="E2726" s="5" t="s">
        <v>34</v>
      </c>
      <c r="F2726" s="5" t="s">
        <v>34</v>
      </c>
      <c r="G2726" s="5" t="s">
        <v>36</v>
      </c>
      <c r="H2726" s="5" t="s">
        <v>36</v>
      </c>
      <c r="I2726" s="5" t="s">
        <v>36</v>
      </c>
      <c r="J2726" s="6" t="s">
        <v>34</v>
      </c>
      <c r="K2726" s="6">
        <v>3800.0</v>
      </c>
      <c r="L2726" s="6">
        <v>950.0</v>
      </c>
      <c r="M2726" s="26" t="s">
        <v>68</v>
      </c>
      <c r="N2726" s="26" t="s">
        <v>68</v>
      </c>
      <c r="O2726" s="6" t="s">
        <v>214</v>
      </c>
      <c r="P2726" s="5" t="s">
        <v>59</v>
      </c>
      <c r="Q2726" s="5" t="s">
        <v>115</v>
      </c>
      <c r="R2726" s="6" t="s">
        <v>42</v>
      </c>
      <c r="S2726" s="5" t="s">
        <v>99</v>
      </c>
      <c r="T2726" s="5" t="s">
        <v>474</v>
      </c>
      <c r="U2726" s="5" t="s">
        <v>2359</v>
      </c>
      <c r="V2726" s="5" t="s">
        <v>44</v>
      </c>
      <c r="W2726" s="5" t="s">
        <v>36</v>
      </c>
      <c r="X2726" s="8" t="s">
        <v>278</v>
      </c>
      <c r="Y2726" s="5" t="s">
        <v>46</v>
      </c>
      <c r="Z2726" s="5" t="s">
        <v>47</v>
      </c>
      <c r="AA2726" s="5" t="s">
        <v>64</v>
      </c>
      <c r="AB2726" s="5" t="s">
        <v>13206</v>
      </c>
      <c r="AC2726" s="6" t="s">
        <v>56</v>
      </c>
      <c r="AD2726" s="6">
        <v>4760.0</v>
      </c>
    </row>
    <row r="2727" ht="56.25" customHeight="1">
      <c r="A2727" s="5" t="s">
        <v>13194</v>
      </c>
      <c r="B2727" s="6" t="str">
        <f>IMAGE("https://storage.googleapis.com/acdb/housewares/FtrBoyTableL_Remake_2_0.png")</f>
        <v/>
      </c>
      <c r="C2727" s="5" t="s">
        <v>96</v>
      </c>
      <c r="D2727" s="5" t="s">
        <v>34</v>
      </c>
      <c r="E2727" s="5" t="s">
        <v>34</v>
      </c>
      <c r="F2727" s="5" t="s">
        <v>34</v>
      </c>
      <c r="G2727" s="5" t="s">
        <v>36</v>
      </c>
      <c r="H2727" s="5" t="s">
        <v>36</v>
      </c>
      <c r="I2727" s="5" t="s">
        <v>36</v>
      </c>
      <c r="J2727" s="6" t="s">
        <v>34</v>
      </c>
      <c r="K2727" s="6">
        <v>3800.0</v>
      </c>
      <c r="L2727" s="6">
        <v>950.0</v>
      </c>
      <c r="M2727" s="26" t="s">
        <v>96</v>
      </c>
      <c r="N2727" s="26" t="s">
        <v>96</v>
      </c>
      <c r="O2727" s="6" t="s">
        <v>214</v>
      </c>
      <c r="P2727" s="5" t="s">
        <v>59</v>
      </c>
      <c r="Q2727" s="5" t="s">
        <v>115</v>
      </c>
      <c r="R2727" s="6" t="s">
        <v>42</v>
      </c>
      <c r="S2727" s="5" t="s">
        <v>99</v>
      </c>
      <c r="T2727" s="5" t="s">
        <v>474</v>
      </c>
      <c r="U2727" s="5" t="s">
        <v>2359</v>
      </c>
      <c r="V2727" s="5" t="s">
        <v>44</v>
      </c>
      <c r="W2727" s="5" t="s">
        <v>36</v>
      </c>
      <c r="X2727" s="8" t="s">
        <v>278</v>
      </c>
      <c r="Y2727" s="5" t="s">
        <v>46</v>
      </c>
      <c r="Z2727" s="5" t="s">
        <v>47</v>
      </c>
      <c r="AA2727" s="5" t="s">
        <v>64</v>
      </c>
      <c r="AB2727" s="5" t="s">
        <v>13211</v>
      </c>
      <c r="AC2727" s="6" t="s">
        <v>67</v>
      </c>
      <c r="AD2727" s="6">
        <v>4760.0</v>
      </c>
    </row>
    <row r="2728" ht="56.25" customHeight="1">
      <c r="A2728" s="5" t="s">
        <v>13194</v>
      </c>
      <c r="B2728" s="6" t="str">
        <f>IMAGE("https://storage.googleapis.com/acdb/housewares/FtrBoyTableL_Remake_3_0.png")</f>
        <v/>
      </c>
      <c r="C2728" s="5" t="s">
        <v>13213</v>
      </c>
      <c r="D2728" s="5" t="s">
        <v>34</v>
      </c>
      <c r="E2728" s="5" t="s">
        <v>34</v>
      </c>
      <c r="F2728" s="5" t="s">
        <v>34</v>
      </c>
      <c r="G2728" s="5" t="s">
        <v>36</v>
      </c>
      <c r="H2728" s="5" t="s">
        <v>36</v>
      </c>
      <c r="I2728" s="5" t="s">
        <v>36</v>
      </c>
      <c r="J2728" s="6" t="s">
        <v>34</v>
      </c>
      <c r="K2728" s="6">
        <v>3800.0</v>
      </c>
      <c r="L2728" s="6">
        <v>950.0</v>
      </c>
      <c r="M2728" s="26" t="s">
        <v>54</v>
      </c>
      <c r="N2728" s="26" t="s">
        <v>142</v>
      </c>
      <c r="O2728" s="6" t="s">
        <v>214</v>
      </c>
      <c r="P2728" s="5" t="s">
        <v>59</v>
      </c>
      <c r="Q2728" s="5" t="s">
        <v>115</v>
      </c>
      <c r="R2728" s="6" t="s">
        <v>42</v>
      </c>
      <c r="S2728" s="5" t="s">
        <v>99</v>
      </c>
      <c r="T2728" s="5" t="s">
        <v>474</v>
      </c>
      <c r="U2728" s="5" t="s">
        <v>2359</v>
      </c>
      <c r="V2728" s="5" t="s">
        <v>44</v>
      </c>
      <c r="W2728" s="5" t="s">
        <v>36</v>
      </c>
      <c r="X2728" s="8" t="s">
        <v>278</v>
      </c>
      <c r="Y2728" s="5" t="s">
        <v>46</v>
      </c>
      <c r="Z2728" s="5" t="s">
        <v>47</v>
      </c>
      <c r="AA2728" s="5" t="s">
        <v>64</v>
      </c>
      <c r="AB2728" s="5" t="s">
        <v>13216</v>
      </c>
      <c r="AC2728" s="6" t="s">
        <v>71</v>
      </c>
      <c r="AD2728" s="6">
        <v>4760.0</v>
      </c>
    </row>
    <row r="2729" ht="56.25" customHeight="1">
      <c r="A2729" s="5" t="s">
        <v>13194</v>
      </c>
      <c r="B2729" s="6" t="str">
        <f>IMAGE("https://storage.googleapis.com/acdb/housewares/FtrBoyTableL_Remake_4_0.png")</f>
        <v/>
      </c>
      <c r="C2729" s="5" t="s">
        <v>12739</v>
      </c>
      <c r="D2729" s="5" t="s">
        <v>34</v>
      </c>
      <c r="E2729" s="5" t="s">
        <v>34</v>
      </c>
      <c r="F2729" s="5" t="s">
        <v>34</v>
      </c>
      <c r="G2729" s="5" t="s">
        <v>36</v>
      </c>
      <c r="H2729" s="5" t="s">
        <v>36</v>
      </c>
      <c r="I2729" s="5" t="s">
        <v>36</v>
      </c>
      <c r="J2729" s="6" t="s">
        <v>34</v>
      </c>
      <c r="K2729" s="6">
        <v>3800.0</v>
      </c>
      <c r="L2729" s="6">
        <v>950.0</v>
      </c>
      <c r="M2729" s="26" t="s">
        <v>54</v>
      </c>
      <c r="N2729" s="26" t="s">
        <v>114</v>
      </c>
      <c r="O2729" s="6" t="s">
        <v>214</v>
      </c>
      <c r="P2729" s="5" t="s">
        <v>59</v>
      </c>
      <c r="Q2729" s="5" t="s">
        <v>115</v>
      </c>
      <c r="R2729" s="6" t="s">
        <v>42</v>
      </c>
      <c r="S2729" s="5" t="s">
        <v>99</v>
      </c>
      <c r="T2729" s="5" t="s">
        <v>474</v>
      </c>
      <c r="U2729" s="5" t="s">
        <v>2359</v>
      </c>
      <c r="V2729" s="5" t="s">
        <v>44</v>
      </c>
      <c r="W2729" s="5" t="s">
        <v>36</v>
      </c>
      <c r="X2729" s="8" t="s">
        <v>278</v>
      </c>
      <c r="Y2729" s="5" t="s">
        <v>46</v>
      </c>
      <c r="Z2729" s="5" t="s">
        <v>47</v>
      </c>
      <c r="AA2729" s="5" t="s">
        <v>64</v>
      </c>
      <c r="AB2729" s="5" t="s">
        <v>13221</v>
      </c>
      <c r="AC2729" s="6" t="s">
        <v>75</v>
      </c>
      <c r="AD2729" s="6">
        <v>4760.0</v>
      </c>
    </row>
    <row r="2730" ht="56.25" customHeight="1">
      <c r="A2730" s="5" t="s">
        <v>13194</v>
      </c>
      <c r="B2730" s="6" t="str">
        <f>IMAGE("https://storage.googleapis.com/acdb/housewares/FtrBoyTableL_Remake_5_0.png")</f>
        <v/>
      </c>
      <c r="C2730" s="5" t="s">
        <v>407</v>
      </c>
      <c r="D2730" s="5" t="s">
        <v>34</v>
      </c>
      <c r="E2730" s="5" t="s">
        <v>34</v>
      </c>
      <c r="F2730" s="5" t="s">
        <v>34</v>
      </c>
      <c r="G2730" s="5" t="s">
        <v>36</v>
      </c>
      <c r="H2730" s="5" t="s">
        <v>36</v>
      </c>
      <c r="I2730" s="5" t="s">
        <v>36</v>
      </c>
      <c r="J2730" s="6" t="s">
        <v>34</v>
      </c>
      <c r="K2730" s="6">
        <v>3800.0</v>
      </c>
      <c r="L2730" s="6">
        <v>950.0</v>
      </c>
      <c r="M2730" s="26" t="s">
        <v>57</v>
      </c>
      <c r="N2730" s="26" t="s">
        <v>68</v>
      </c>
      <c r="O2730" s="6" t="s">
        <v>214</v>
      </c>
      <c r="P2730" s="5" t="s">
        <v>59</v>
      </c>
      <c r="Q2730" s="5" t="s">
        <v>115</v>
      </c>
      <c r="R2730" s="6" t="s">
        <v>42</v>
      </c>
      <c r="S2730" s="5" t="s">
        <v>99</v>
      </c>
      <c r="T2730" s="5" t="s">
        <v>474</v>
      </c>
      <c r="U2730" s="5" t="s">
        <v>2359</v>
      </c>
      <c r="V2730" s="5" t="s">
        <v>44</v>
      </c>
      <c r="W2730" s="5" t="s">
        <v>36</v>
      </c>
      <c r="X2730" s="8" t="s">
        <v>278</v>
      </c>
      <c r="Y2730" s="5" t="s">
        <v>46</v>
      </c>
      <c r="Z2730" s="5" t="s">
        <v>47</v>
      </c>
      <c r="AA2730" s="5" t="s">
        <v>64</v>
      </c>
      <c r="AB2730" s="5" t="s">
        <v>13225</v>
      </c>
      <c r="AC2730" s="6" t="s">
        <v>79</v>
      </c>
      <c r="AD2730" s="6">
        <v>4760.0</v>
      </c>
    </row>
    <row r="2731" ht="56.25" customHeight="1">
      <c r="A2731" s="5" t="s">
        <v>13194</v>
      </c>
      <c r="B2731" s="6" t="str">
        <f>IMAGE("https://storage.googleapis.com/acdb/housewares/FtrBoyTableL_Remake_6_0.png")</f>
        <v/>
      </c>
      <c r="C2731" s="5" t="s">
        <v>11612</v>
      </c>
      <c r="D2731" s="5" t="s">
        <v>34</v>
      </c>
      <c r="E2731" s="5" t="s">
        <v>34</v>
      </c>
      <c r="F2731" s="5" t="s">
        <v>34</v>
      </c>
      <c r="G2731" s="5" t="s">
        <v>36</v>
      </c>
      <c r="H2731" s="5" t="s">
        <v>36</v>
      </c>
      <c r="I2731" s="5" t="s">
        <v>36</v>
      </c>
      <c r="J2731" s="6" t="s">
        <v>34</v>
      </c>
      <c r="K2731" s="6">
        <v>3800.0</v>
      </c>
      <c r="L2731" s="6">
        <v>950.0</v>
      </c>
      <c r="M2731" s="26" t="s">
        <v>57</v>
      </c>
      <c r="N2731" s="26" t="s">
        <v>52</v>
      </c>
      <c r="O2731" s="6" t="s">
        <v>214</v>
      </c>
      <c r="P2731" s="5" t="s">
        <v>59</v>
      </c>
      <c r="Q2731" s="5" t="s">
        <v>115</v>
      </c>
      <c r="R2731" s="6" t="s">
        <v>42</v>
      </c>
      <c r="S2731" s="5" t="s">
        <v>99</v>
      </c>
      <c r="T2731" s="5" t="s">
        <v>474</v>
      </c>
      <c r="U2731" s="5" t="s">
        <v>2359</v>
      </c>
      <c r="V2731" s="5" t="s">
        <v>44</v>
      </c>
      <c r="W2731" s="5" t="s">
        <v>36</v>
      </c>
      <c r="X2731" s="8" t="s">
        <v>278</v>
      </c>
      <c r="Y2731" s="5" t="s">
        <v>46</v>
      </c>
      <c r="Z2731" s="5" t="s">
        <v>47</v>
      </c>
      <c r="AA2731" s="5" t="s">
        <v>64</v>
      </c>
      <c r="AB2731" s="5" t="s">
        <v>13230</v>
      </c>
      <c r="AC2731" s="6" t="s">
        <v>86</v>
      </c>
      <c r="AD2731" s="6">
        <v>4760.0</v>
      </c>
    </row>
    <row r="2732" ht="56.25" customHeight="1">
      <c r="A2732" s="5" t="s">
        <v>13194</v>
      </c>
      <c r="B2732" s="6" t="str">
        <f>IMAGE("https://storage.googleapis.com/acdb/housewares/FtrBoyTableL_Remake_7_0.png")</f>
        <v/>
      </c>
      <c r="C2732" s="5" t="s">
        <v>13232</v>
      </c>
      <c r="D2732" s="5" t="s">
        <v>34</v>
      </c>
      <c r="E2732" s="5" t="s">
        <v>34</v>
      </c>
      <c r="F2732" s="5" t="s">
        <v>34</v>
      </c>
      <c r="G2732" s="5" t="s">
        <v>36</v>
      </c>
      <c r="H2732" s="5" t="s">
        <v>36</v>
      </c>
      <c r="I2732" s="5" t="s">
        <v>36</v>
      </c>
      <c r="J2732" s="6" t="s">
        <v>34</v>
      </c>
      <c r="K2732" s="6">
        <v>3800.0</v>
      </c>
      <c r="L2732" s="6">
        <v>950.0</v>
      </c>
      <c r="M2732" s="26" t="s">
        <v>57</v>
      </c>
      <c r="N2732" s="26" t="s">
        <v>54</v>
      </c>
      <c r="O2732" s="6" t="s">
        <v>214</v>
      </c>
      <c r="P2732" s="5" t="s">
        <v>59</v>
      </c>
      <c r="Q2732" s="5" t="s">
        <v>115</v>
      </c>
      <c r="R2732" s="6" t="s">
        <v>42</v>
      </c>
      <c r="S2732" s="5" t="s">
        <v>99</v>
      </c>
      <c r="T2732" s="5" t="s">
        <v>474</v>
      </c>
      <c r="U2732" s="5" t="s">
        <v>2359</v>
      </c>
      <c r="V2732" s="5" t="s">
        <v>44</v>
      </c>
      <c r="W2732" s="5" t="s">
        <v>36</v>
      </c>
      <c r="X2732" s="8" t="s">
        <v>278</v>
      </c>
      <c r="Y2732" s="5" t="s">
        <v>46</v>
      </c>
      <c r="Z2732" s="5" t="s">
        <v>47</v>
      </c>
      <c r="AA2732" s="5" t="s">
        <v>64</v>
      </c>
      <c r="AB2732" s="5" t="s">
        <v>13235</v>
      </c>
      <c r="AC2732" s="6" t="s">
        <v>208</v>
      </c>
      <c r="AD2732" s="6">
        <v>4760.0</v>
      </c>
    </row>
    <row r="2733" ht="56.25" customHeight="1">
      <c r="A2733" s="5" t="s">
        <v>13236</v>
      </c>
      <c r="B2733" s="6" t="str">
        <f>IMAGE("https://storage.googleapis.com/acdb/housewares/FtrBoyChairS_Remake_0_0.png")</f>
        <v/>
      </c>
      <c r="C2733" s="5" t="s">
        <v>2408</v>
      </c>
      <c r="D2733" s="5" t="s">
        <v>34</v>
      </c>
      <c r="E2733" s="5" t="s">
        <v>34</v>
      </c>
      <c r="F2733" s="5" t="s">
        <v>34</v>
      </c>
      <c r="G2733" s="5" t="s">
        <v>36</v>
      </c>
      <c r="H2733" s="5" t="s">
        <v>36</v>
      </c>
      <c r="I2733" s="5" t="s">
        <v>36</v>
      </c>
      <c r="J2733" s="6" t="s">
        <v>34</v>
      </c>
      <c r="K2733" s="6">
        <v>1400.0</v>
      </c>
      <c r="L2733" s="6">
        <v>350.0</v>
      </c>
      <c r="M2733" s="26" t="s">
        <v>142</v>
      </c>
      <c r="N2733" s="26" t="s">
        <v>142</v>
      </c>
      <c r="O2733" s="6" t="s">
        <v>40</v>
      </c>
      <c r="P2733" s="5" t="s">
        <v>59</v>
      </c>
      <c r="Q2733" s="5" t="s">
        <v>122</v>
      </c>
      <c r="R2733" s="6" t="s">
        <v>42</v>
      </c>
      <c r="S2733" s="5" t="s">
        <v>99</v>
      </c>
      <c r="T2733" s="5" t="s">
        <v>474</v>
      </c>
      <c r="U2733" s="5" t="s">
        <v>2359</v>
      </c>
      <c r="V2733" s="5" t="s">
        <v>44</v>
      </c>
      <c r="W2733" s="5" t="s">
        <v>35</v>
      </c>
      <c r="X2733" s="8" t="s">
        <v>248</v>
      </c>
      <c r="Y2733" s="5" t="s">
        <v>46</v>
      </c>
      <c r="Z2733" s="5" t="s">
        <v>47</v>
      </c>
      <c r="AA2733" s="5" t="s">
        <v>64</v>
      </c>
      <c r="AB2733" s="5" t="s">
        <v>13241</v>
      </c>
      <c r="AC2733" s="6" t="s">
        <v>50</v>
      </c>
      <c r="AD2733" s="6">
        <v>4758.0</v>
      </c>
    </row>
    <row r="2734" ht="56.25" customHeight="1">
      <c r="A2734" s="5" t="s">
        <v>13236</v>
      </c>
      <c r="B2734" s="6" t="str">
        <f>IMAGE("https://storage.googleapis.com/acdb/housewares/FtrBoyChairS_Remake_1_0.png")</f>
        <v/>
      </c>
      <c r="C2734" s="5" t="s">
        <v>39</v>
      </c>
      <c r="D2734" s="5" t="s">
        <v>34</v>
      </c>
      <c r="E2734" s="5" t="s">
        <v>34</v>
      </c>
      <c r="F2734" s="5" t="s">
        <v>34</v>
      </c>
      <c r="G2734" s="5" t="s">
        <v>36</v>
      </c>
      <c r="H2734" s="5" t="s">
        <v>36</v>
      </c>
      <c r="I2734" s="5" t="s">
        <v>36</v>
      </c>
      <c r="J2734" s="6" t="s">
        <v>34</v>
      </c>
      <c r="K2734" s="6">
        <v>1400.0</v>
      </c>
      <c r="L2734" s="6">
        <v>350.0</v>
      </c>
      <c r="M2734" s="26" t="s">
        <v>39</v>
      </c>
      <c r="N2734" s="26" t="s">
        <v>39</v>
      </c>
      <c r="O2734" s="6" t="s">
        <v>40</v>
      </c>
      <c r="P2734" s="5" t="s">
        <v>59</v>
      </c>
      <c r="Q2734" s="5" t="s">
        <v>122</v>
      </c>
      <c r="R2734" s="6" t="s">
        <v>42</v>
      </c>
      <c r="S2734" s="5" t="s">
        <v>99</v>
      </c>
      <c r="T2734" s="5" t="s">
        <v>474</v>
      </c>
      <c r="U2734" s="5" t="s">
        <v>2359</v>
      </c>
      <c r="V2734" s="5" t="s">
        <v>44</v>
      </c>
      <c r="W2734" s="5" t="s">
        <v>35</v>
      </c>
      <c r="X2734" s="8" t="s">
        <v>248</v>
      </c>
      <c r="Y2734" s="5" t="s">
        <v>46</v>
      </c>
      <c r="Z2734" s="5" t="s">
        <v>47</v>
      </c>
      <c r="AA2734" s="5" t="s">
        <v>64</v>
      </c>
      <c r="AB2734" s="5" t="s">
        <v>13245</v>
      </c>
      <c r="AC2734" s="6" t="s">
        <v>56</v>
      </c>
      <c r="AD2734" s="6">
        <v>4758.0</v>
      </c>
    </row>
    <row r="2735" ht="56.25" customHeight="1">
      <c r="A2735" s="5" t="s">
        <v>13236</v>
      </c>
      <c r="B2735" s="6" t="str">
        <f>IMAGE("https://storage.googleapis.com/acdb/housewares/FtrBoyChairS_Remake_2_0.png")</f>
        <v/>
      </c>
      <c r="C2735" s="5" t="s">
        <v>52</v>
      </c>
      <c r="D2735" s="5" t="s">
        <v>34</v>
      </c>
      <c r="E2735" s="5" t="s">
        <v>34</v>
      </c>
      <c r="F2735" s="5" t="s">
        <v>34</v>
      </c>
      <c r="G2735" s="5" t="s">
        <v>36</v>
      </c>
      <c r="H2735" s="5" t="s">
        <v>36</v>
      </c>
      <c r="I2735" s="5" t="s">
        <v>36</v>
      </c>
      <c r="J2735" s="6" t="s">
        <v>34</v>
      </c>
      <c r="K2735" s="6">
        <v>1400.0</v>
      </c>
      <c r="L2735" s="6">
        <v>350.0</v>
      </c>
      <c r="M2735" s="26" t="s">
        <v>52</v>
      </c>
      <c r="N2735" s="26" t="s">
        <v>57</v>
      </c>
      <c r="O2735" s="6" t="s">
        <v>40</v>
      </c>
      <c r="P2735" s="5" t="s">
        <v>59</v>
      </c>
      <c r="Q2735" s="5" t="s">
        <v>122</v>
      </c>
      <c r="R2735" s="6" t="s">
        <v>42</v>
      </c>
      <c r="S2735" s="5" t="s">
        <v>99</v>
      </c>
      <c r="T2735" s="5" t="s">
        <v>474</v>
      </c>
      <c r="U2735" s="5" t="s">
        <v>2359</v>
      </c>
      <c r="V2735" s="5" t="s">
        <v>44</v>
      </c>
      <c r="W2735" s="5" t="s">
        <v>35</v>
      </c>
      <c r="X2735" s="8" t="s">
        <v>248</v>
      </c>
      <c r="Y2735" s="5" t="s">
        <v>46</v>
      </c>
      <c r="Z2735" s="5" t="s">
        <v>47</v>
      </c>
      <c r="AA2735" s="5" t="s">
        <v>64</v>
      </c>
      <c r="AB2735" s="5" t="s">
        <v>13252</v>
      </c>
      <c r="AC2735" s="6" t="s">
        <v>67</v>
      </c>
      <c r="AD2735" s="6">
        <v>4758.0</v>
      </c>
    </row>
    <row r="2736" ht="56.25" customHeight="1">
      <c r="A2736" s="5" t="s">
        <v>13236</v>
      </c>
      <c r="B2736" s="6" t="str">
        <f>IMAGE("https://storage.googleapis.com/acdb/housewares/FtrBoyChairS_Remake_3_0.png")</f>
        <v/>
      </c>
      <c r="C2736" s="5" t="s">
        <v>68</v>
      </c>
      <c r="D2736" s="5" t="s">
        <v>34</v>
      </c>
      <c r="E2736" s="5" t="s">
        <v>34</v>
      </c>
      <c r="F2736" s="5" t="s">
        <v>34</v>
      </c>
      <c r="G2736" s="5" t="s">
        <v>36</v>
      </c>
      <c r="H2736" s="5" t="s">
        <v>36</v>
      </c>
      <c r="I2736" s="5" t="s">
        <v>36</v>
      </c>
      <c r="J2736" s="6" t="s">
        <v>34</v>
      </c>
      <c r="K2736" s="6">
        <v>1400.0</v>
      </c>
      <c r="L2736" s="6">
        <v>350.0</v>
      </c>
      <c r="M2736" s="26" t="s">
        <v>68</v>
      </c>
      <c r="N2736" s="26" t="s">
        <v>57</v>
      </c>
      <c r="O2736" s="6" t="s">
        <v>40</v>
      </c>
      <c r="P2736" s="5" t="s">
        <v>59</v>
      </c>
      <c r="Q2736" s="5" t="s">
        <v>122</v>
      </c>
      <c r="R2736" s="6" t="s">
        <v>42</v>
      </c>
      <c r="S2736" s="5" t="s">
        <v>99</v>
      </c>
      <c r="T2736" s="5" t="s">
        <v>474</v>
      </c>
      <c r="U2736" s="5" t="s">
        <v>2359</v>
      </c>
      <c r="V2736" s="5" t="s">
        <v>44</v>
      </c>
      <c r="W2736" s="5" t="s">
        <v>35</v>
      </c>
      <c r="X2736" s="8" t="s">
        <v>248</v>
      </c>
      <c r="Y2736" s="5" t="s">
        <v>46</v>
      </c>
      <c r="Z2736" s="5" t="s">
        <v>47</v>
      </c>
      <c r="AA2736" s="5" t="s">
        <v>64</v>
      </c>
      <c r="AB2736" s="5" t="s">
        <v>13258</v>
      </c>
      <c r="AC2736" s="6" t="s">
        <v>71</v>
      </c>
      <c r="AD2736" s="6">
        <v>4758.0</v>
      </c>
    </row>
    <row r="2737" ht="56.25" customHeight="1">
      <c r="A2737" s="5" t="s">
        <v>13236</v>
      </c>
      <c r="B2737" s="6" t="str">
        <f>IMAGE("https://storage.googleapis.com/acdb/housewares/FtrBoyChairS_Remake_4_0.png")</f>
        <v/>
      </c>
      <c r="C2737" s="5" t="s">
        <v>96</v>
      </c>
      <c r="D2737" s="5" t="s">
        <v>34</v>
      </c>
      <c r="E2737" s="5" t="s">
        <v>34</v>
      </c>
      <c r="F2737" s="5" t="s">
        <v>34</v>
      </c>
      <c r="G2737" s="5" t="s">
        <v>36</v>
      </c>
      <c r="H2737" s="5" t="s">
        <v>36</v>
      </c>
      <c r="I2737" s="5" t="s">
        <v>36</v>
      </c>
      <c r="J2737" s="6" t="s">
        <v>34</v>
      </c>
      <c r="K2737" s="6">
        <v>1400.0</v>
      </c>
      <c r="L2737" s="6">
        <v>350.0</v>
      </c>
      <c r="M2737" s="26" t="s">
        <v>96</v>
      </c>
      <c r="N2737" s="26" t="s">
        <v>52</v>
      </c>
      <c r="O2737" s="6" t="s">
        <v>40</v>
      </c>
      <c r="P2737" s="5" t="s">
        <v>59</v>
      </c>
      <c r="Q2737" s="5" t="s">
        <v>122</v>
      </c>
      <c r="R2737" s="6" t="s">
        <v>42</v>
      </c>
      <c r="S2737" s="5" t="s">
        <v>99</v>
      </c>
      <c r="T2737" s="5" t="s">
        <v>474</v>
      </c>
      <c r="U2737" s="5" t="s">
        <v>2359</v>
      </c>
      <c r="V2737" s="5" t="s">
        <v>44</v>
      </c>
      <c r="W2737" s="5" t="s">
        <v>35</v>
      </c>
      <c r="X2737" s="8" t="s">
        <v>248</v>
      </c>
      <c r="Y2737" s="5" t="s">
        <v>46</v>
      </c>
      <c r="Z2737" s="5" t="s">
        <v>47</v>
      </c>
      <c r="AA2737" s="5" t="s">
        <v>64</v>
      </c>
      <c r="AB2737" s="5" t="s">
        <v>13265</v>
      </c>
      <c r="AC2737" s="6" t="s">
        <v>75</v>
      </c>
      <c r="AD2737" s="6">
        <v>4758.0</v>
      </c>
    </row>
    <row r="2738" ht="56.25" customHeight="1">
      <c r="A2738" s="5" t="s">
        <v>13236</v>
      </c>
      <c r="B2738" s="6" t="str">
        <f>IMAGE("https://storage.googleapis.com/acdb/housewares/FtrBoyChairS_Remake_5_0.png")</f>
        <v/>
      </c>
      <c r="C2738" s="5" t="s">
        <v>57</v>
      </c>
      <c r="D2738" s="5" t="s">
        <v>34</v>
      </c>
      <c r="E2738" s="5" t="s">
        <v>34</v>
      </c>
      <c r="F2738" s="5" t="s">
        <v>34</v>
      </c>
      <c r="G2738" s="5" t="s">
        <v>36</v>
      </c>
      <c r="H2738" s="5" t="s">
        <v>36</v>
      </c>
      <c r="I2738" s="5" t="s">
        <v>36</v>
      </c>
      <c r="J2738" s="6" t="s">
        <v>34</v>
      </c>
      <c r="K2738" s="6">
        <v>1400.0</v>
      </c>
      <c r="L2738" s="6">
        <v>350.0</v>
      </c>
      <c r="M2738" s="26" t="s">
        <v>57</v>
      </c>
      <c r="N2738" s="26" t="s">
        <v>54</v>
      </c>
      <c r="O2738" s="6" t="s">
        <v>40</v>
      </c>
      <c r="P2738" s="5" t="s">
        <v>59</v>
      </c>
      <c r="Q2738" s="5" t="s">
        <v>122</v>
      </c>
      <c r="R2738" s="6" t="s">
        <v>42</v>
      </c>
      <c r="S2738" s="5" t="s">
        <v>99</v>
      </c>
      <c r="T2738" s="5" t="s">
        <v>474</v>
      </c>
      <c r="U2738" s="5" t="s">
        <v>2359</v>
      </c>
      <c r="V2738" s="5" t="s">
        <v>44</v>
      </c>
      <c r="W2738" s="5" t="s">
        <v>35</v>
      </c>
      <c r="X2738" s="8" t="s">
        <v>248</v>
      </c>
      <c r="Y2738" s="5" t="s">
        <v>46</v>
      </c>
      <c r="Z2738" s="5" t="s">
        <v>47</v>
      </c>
      <c r="AA2738" s="5" t="s">
        <v>64</v>
      </c>
      <c r="AB2738" s="5" t="s">
        <v>13272</v>
      </c>
      <c r="AC2738" s="6" t="s">
        <v>79</v>
      </c>
      <c r="AD2738" s="6">
        <v>4758.0</v>
      </c>
    </row>
    <row r="2739" ht="56.25" customHeight="1">
      <c r="A2739" s="5" t="s">
        <v>13274</v>
      </c>
      <c r="B2739" s="6" t="str">
        <f>IMAGE("https://storage.googleapis.com/acdb/housewares/FtrBoyBedS_Remake_0_0.png")</f>
        <v/>
      </c>
      <c r="C2739" s="5" t="s">
        <v>52</v>
      </c>
      <c r="D2739" s="5" t="s">
        <v>34</v>
      </c>
      <c r="E2739" s="5" t="s">
        <v>34</v>
      </c>
      <c r="F2739" s="5" t="s">
        <v>34</v>
      </c>
      <c r="G2739" s="5" t="s">
        <v>36</v>
      </c>
      <c r="H2739" s="5" t="s">
        <v>36</v>
      </c>
      <c r="I2739" s="5" t="s">
        <v>36</v>
      </c>
      <c r="J2739" s="6" t="s">
        <v>34</v>
      </c>
      <c r="K2739" s="6">
        <v>3800.0</v>
      </c>
      <c r="L2739" s="6">
        <v>950.0</v>
      </c>
      <c r="M2739" s="26" t="s">
        <v>52</v>
      </c>
      <c r="N2739" s="26" t="s">
        <v>54</v>
      </c>
      <c r="O2739" s="6" t="s">
        <v>276</v>
      </c>
      <c r="P2739" s="5" t="s">
        <v>59</v>
      </c>
      <c r="Q2739" s="5" t="s">
        <v>122</v>
      </c>
      <c r="R2739" s="6" t="s">
        <v>42</v>
      </c>
      <c r="S2739" s="5" t="s">
        <v>99</v>
      </c>
      <c r="T2739" s="5" t="s">
        <v>44</v>
      </c>
      <c r="U2739" s="5" t="s">
        <v>2359</v>
      </c>
      <c r="V2739" s="5" t="s">
        <v>44</v>
      </c>
      <c r="W2739" s="5" t="s">
        <v>35</v>
      </c>
      <c r="X2739" s="8" t="s">
        <v>218</v>
      </c>
      <c r="Y2739" s="5" t="s">
        <v>46</v>
      </c>
      <c r="Z2739" s="5" t="s">
        <v>47</v>
      </c>
      <c r="AA2739" s="5" t="s">
        <v>64</v>
      </c>
      <c r="AB2739" s="5" t="s">
        <v>13278</v>
      </c>
      <c r="AC2739" s="6" t="s">
        <v>50</v>
      </c>
      <c r="AD2739" s="6">
        <v>4759.0</v>
      </c>
    </row>
    <row r="2740" ht="56.25" customHeight="1">
      <c r="A2740" s="5" t="s">
        <v>13274</v>
      </c>
      <c r="B2740" s="6" t="str">
        <f>IMAGE("https://storage.googleapis.com/acdb/housewares/FtrBoyBedS_Remake_1_0.png")</f>
        <v/>
      </c>
      <c r="C2740" s="5" t="s">
        <v>68</v>
      </c>
      <c r="D2740" s="5" t="s">
        <v>34</v>
      </c>
      <c r="E2740" s="5" t="s">
        <v>34</v>
      </c>
      <c r="F2740" s="5" t="s">
        <v>34</v>
      </c>
      <c r="G2740" s="5" t="s">
        <v>36</v>
      </c>
      <c r="H2740" s="5" t="s">
        <v>36</v>
      </c>
      <c r="I2740" s="5" t="s">
        <v>36</v>
      </c>
      <c r="J2740" s="6" t="s">
        <v>34</v>
      </c>
      <c r="K2740" s="6">
        <v>3800.0</v>
      </c>
      <c r="L2740" s="6">
        <v>950.0</v>
      </c>
      <c r="M2740" s="26" t="s">
        <v>68</v>
      </c>
      <c r="N2740" s="26" t="s">
        <v>54</v>
      </c>
      <c r="O2740" s="6" t="s">
        <v>276</v>
      </c>
      <c r="P2740" s="5" t="s">
        <v>59</v>
      </c>
      <c r="Q2740" s="5" t="s">
        <v>122</v>
      </c>
      <c r="R2740" s="6" t="s">
        <v>42</v>
      </c>
      <c r="S2740" s="5" t="s">
        <v>99</v>
      </c>
      <c r="T2740" s="5" t="s">
        <v>44</v>
      </c>
      <c r="U2740" s="5" t="s">
        <v>2359</v>
      </c>
      <c r="V2740" s="5" t="s">
        <v>44</v>
      </c>
      <c r="W2740" s="5" t="s">
        <v>35</v>
      </c>
      <c r="X2740" s="8" t="s">
        <v>218</v>
      </c>
      <c r="Y2740" s="5" t="s">
        <v>46</v>
      </c>
      <c r="Z2740" s="5" t="s">
        <v>47</v>
      </c>
      <c r="AA2740" s="5" t="s">
        <v>64</v>
      </c>
      <c r="AB2740" s="5" t="s">
        <v>13286</v>
      </c>
      <c r="AC2740" s="6" t="s">
        <v>56</v>
      </c>
      <c r="AD2740" s="6">
        <v>4759.0</v>
      </c>
    </row>
    <row r="2741" ht="56.25" customHeight="1">
      <c r="A2741" s="5" t="s">
        <v>13274</v>
      </c>
      <c r="B2741" s="6" t="str">
        <f>IMAGE("https://storage.googleapis.com/acdb/housewares/FtrBoyBedS_Remake_2_0.png")</f>
        <v/>
      </c>
      <c r="C2741" s="5" t="s">
        <v>114</v>
      </c>
      <c r="D2741" s="5" t="s">
        <v>34</v>
      </c>
      <c r="E2741" s="5" t="s">
        <v>34</v>
      </c>
      <c r="F2741" s="5" t="s">
        <v>34</v>
      </c>
      <c r="G2741" s="5" t="s">
        <v>36</v>
      </c>
      <c r="H2741" s="5" t="s">
        <v>36</v>
      </c>
      <c r="I2741" s="5" t="s">
        <v>36</v>
      </c>
      <c r="J2741" s="6" t="s">
        <v>34</v>
      </c>
      <c r="K2741" s="6">
        <v>3800.0</v>
      </c>
      <c r="L2741" s="6">
        <v>950.0</v>
      </c>
      <c r="M2741" s="5" t="s">
        <v>114</v>
      </c>
      <c r="N2741" s="26" t="s">
        <v>54</v>
      </c>
      <c r="O2741" s="6" t="s">
        <v>276</v>
      </c>
      <c r="P2741" s="5" t="s">
        <v>59</v>
      </c>
      <c r="Q2741" s="5" t="s">
        <v>122</v>
      </c>
      <c r="R2741" s="6" t="s">
        <v>42</v>
      </c>
      <c r="S2741" s="5" t="s">
        <v>99</v>
      </c>
      <c r="T2741" s="5" t="s">
        <v>44</v>
      </c>
      <c r="U2741" s="5" t="s">
        <v>2359</v>
      </c>
      <c r="V2741" s="5" t="s">
        <v>44</v>
      </c>
      <c r="W2741" s="5" t="s">
        <v>35</v>
      </c>
      <c r="X2741" s="8" t="s">
        <v>218</v>
      </c>
      <c r="Y2741" s="5" t="s">
        <v>46</v>
      </c>
      <c r="Z2741" s="5" t="s">
        <v>47</v>
      </c>
      <c r="AA2741" s="5" t="s">
        <v>64</v>
      </c>
      <c r="AB2741" s="5" t="s">
        <v>13293</v>
      </c>
      <c r="AC2741" s="6" t="s">
        <v>67</v>
      </c>
      <c r="AD2741" s="6">
        <v>4759.0</v>
      </c>
    </row>
    <row r="2742" ht="56.25" customHeight="1">
      <c r="A2742" s="5" t="s">
        <v>13274</v>
      </c>
      <c r="B2742" s="6" t="str">
        <f>IMAGE("https://storage.googleapis.com/acdb/housewares/FtrBoyBedS_Remake_3_0.png")</f>
        <v/>
      </c>
      <c r="C2742" s="5" t="s">
        <v>69</v>
      </c>
      <c r="D2742" s="5" t="s">
        <v>34</v>
      </c>
      <c r="E2742" s="5" t="s">
        <v>34</v>
      </c>
      <c r="F2742" s="5" t="s">
        <v>34</v>
      </c>
      <c r="G2742" s="5" t="s">
        <v>36</v>
      </c>
      <c r="H2742" s="5" t="s">
        <v>36</v>
      </c>
      <c r="I2742" s="5" t="s">
        <v>36</v>
      </c>
      <c r="J2742" s="6" t="s">
        <v>34</v>
      </c>
      <c r="K2742" s="6">
        <v>3800.0</v>
      </c>
      <c r="L2742" s="6">
        <v>950.0</v>
      </c>
      <c r="M2742" s="26" t="s">
        <v>69</v>
      </c>
      <c r="N2742" s="26" t="s">
        <v>54</v>
      </c>
      <c r="O2742" s="6" t="s">
        <v>276</v>
      </c>
      <c r="P2742" s="5" t="s">
        <v>59</v>
      </c>
      <c r="Q2742" s="5" t="s">
        <v>122</v>
      </c>
      <c r="R2742" s="6" t="s">
        <v>42</v>
      </c>
      <c r="S2742" s="5" t="s">
        <v>99</v>
      </c>
      <c r="T2742" s="5" t="s">
        <v>44</v>
      </c>
      <c r="U2742" s="5" t="s">
        <v>2359</v>
      </c>
      <c r="V2742" s="5" t="s">
        <v>44</v>
      </c>
      <c r="W2742" s="5" t="s">
        <v>35</v>
      </c>
      <c r="X2742" s="8" t="s">
        <v>218</v>
      </c>
      <c r="Y2742" s="5" t="s">
        <v>46</v>
      </c>
      <c r="Z2742" s="5" t="s">
        <v>47</v>
      </c>
      <c r="AA2742" s="5" t="s">
        <v>64</v>
      </c>
      <c r="AB2742" s="5" t="s">
        <v>13299</v>
      </c>
      <c r="AC2742" s="6" t="s">
        <v>71</v>
      </c>
      <c r="AD2742" s="6">
        <v>4759.0</v>
      </c>
    </row>
    <row r="2743" ht="56.25" customHeight="1">
      <c r="A2743" s="5" t="s">
        <v>13274</v>
      </c>
      <c r="B2743" s="6" t="str">
        <f>IMAGE("https://storage.googleapis.com/acdb/housewares/FtrBoyBedS_Remake_4_0.png")</f>
        <v/>
      </c>
      <c r="C2743" s="5" t="s">
        <v>96</v>
      </c>
      <c r="D2743" s="5" t="s">
        <v>34</v>
      </c>
      <c r="E2743" s="5" t="s">
        <v>34</v>
      </c>
      <c r="F2743" s="5" t="s">
        <v>34</v>
      </c>
      <c r="G2743" s="5" t="s">
        <v>36</v>
      </c>
      <c r="H2743" s="5" t="s">
        <v>36</v>
      </c>
      <c r="I2743" s="5" t="s">
        <v>36</v>
      </c>
      <c r="J2743" s="6" t="s">
        <v>34</v>
      </c>
      <c r="K2743" s="6">
        <v>3800.0</v>
      </c>
      <c r="L2743" s="6">
        <v>950.0</v>
      </c>
      <c r="M2743" s="26" t="s">
        <v>96</v>
      </c>
      <c r="N2743" s="26" t="s">
        <v>54</v>
      </c>
      <c r="O2743" s="6" t="s">
        <v>276</v>
      </c>
      <c r="P2743" s="5" t="s">
        <v>59</v>
      </c>
      <c r="Q2743" s="5" t="s">
        <v>122</v>
      </c>
      <c r="R2743" s="6" t="s">
        <v>42</v>
      </c>
      <c r="S2743" s="5" t="s">
        <v>99</v>
      </c>
      <c r="T2743" s="5" t="s">
        <v>44</v>
      </c>
      <c r="U2743" s="5" t="s">
        <v>2359</v>
      </c>
      <c r="V2743" s="5" t="s">
        <v>44</v>
      </c>
      <c r="W2743" s="5" t="s">
        <v>35</v>
      </c>
      <c r="X2743" s="8" t="s">
        <v>218</v>
      </c>
      <c r="Y2743" s="5" t="s">
        <v>46</v>
      </c>
      <c r="Z2743" s="5" t="s">
        <v>47</v>
      </c>
      <c r="AA2743" s="5" t="s">
        <v>64</v>
      </c>
      <c r="AB2743" s="5" t="s">
        <v>13306</v>
      </c>
      <c r="AC2743" s="6" t="s">
        <v>75</v>
      </c>
      <c r="AD2743" s="6">
        <v>4759.0</v>
      </c>
    </row>
    <row r="2744" ht="56.25" customHeight="1">
      <c r="A2744" s="5" t="s">
        <v>13274</v>
      </c>
      <c r="B2744" s="6" t="str">
        <f>IMAGE("https://storage.googleapis.com/acdb/housewares/FtrBoyBedS_Remake_5_0.png")</f>
        <v/>
      </c>
      <c r="C2744" s="5" t="s">
        <v>57</v>
      </c>
      <c r="D2744" s="5" t="s">
        <v>34</v>
      </c>
      <c r="E2744" s="5" t="s">
        <v>34</v>
      </c>
      <c r="F2744" s="5" t="s">
        <v>34</v>
      </c>
      <c r="G2744" s="5" t="s">
        <v>36</v>
      </c>
      <c r="H2744" s="5" t="s">
        <v>36</v>
      </c>
      <c r="I2744" s="5" t="s">
        <v>36</v>
      </c>
      <c r="J2744" s="6" t="s">
        <v>34</v>
      </c>
      <c r="K2744" s="6">
        <v>3800.0</v>
      </c>
      <c r="L2744" s="6">
        <v>950.0</v>
      </c>
      <c r="M2744" s="26" t="s">
        <v>57</v>
      </c>
      <c r="N2744" s="26" t="s">
        <v>54</v>
      </c>
      <c r="O2744" s="6" t="s">
        <v>276</v>
      </c>
      <c r="P2744" s="5" t="s">
        <v>59</v>
      </c>
      <c r="Q2744" s="5" t="s">
        <v>122</v>
      </c>
      <c r="R2744" s="6" t="s">
        <v>42</v>
      </c>
      <c r="S2744" s="5" t="s">
        <v>99</v>
      </c>
      <c r="T2744" s="5" t="s">
        <v>44</v>
      </c>
      <c r="U2744" s="5" t="s">
        <v>2359</v>
      </c>
      <c r="V2744" s="5" t="s">
        <v>44</v>
      </c>
      <c r="W2744" s="5" t="s">
        <v>35</v>
      </c>
      <c r="X2744" s="8" t="s">
        <v>218</v>
      </c>
      <c r="Y2744" s="5" t="s">
        <v>46</v>
      </c>
      <c r="Z2744" s="5" t="s">
        <v>47</v>
      </c>
      <c r="AA2744" s="5" t="s">
        <v>64</v>
      </c>
      <c r="AB2744" s="5" t="s">
        <v>13312</v>
      </c>
      <c r="AC2744" s="6" t="s">
        <v>79</v>
      </c>
      <c r="AD2744" s="6">
        <v>4759.0</v>
      </c>
    </row>
    <row r="2745" ht="56.25" customHeight="1">
      <c r="A2745" s="5" t="s">
        <v>13274</v>
      </c>
      <c r="B2745" s="6" t="str">
        <f>IMAGE("https://storage.googleapis.com/acdb/housewares/FtrBoyBedS_Remake_6_0.png")</f>
        <v/>
      </c>
      <c r="C2745" s="5" t="s">
        <v>54</v>
      </c>
      <c r="D2745" s="5" t="s">
        <v>34</v>
      </c>
      <c r="E2745" s="5" t="s">
        <v>34</v>
      </c>
      <c r="F2745" s="5" t="s">
        <v>34</v>
      </c>
      <c r="G2745" s="5" t="s">
        <v>36</v>
      </c>
      <c r="H2745" s="5" t="s">
        <v>36</v>
      </c>
      <c r="I2745" s="5" t="s">
        <v>36</v>
      </c>
      <c r="J2745" s="6" t="s">
        <v>34</v>
      </c>
      <c r="K2745" s="6">
        <v>3800.0</v>
      </c>
      <c r="L2745" s="6">
        <v>950.0</v>
      </c>
      <c r="M2745" s="26" t="s">
        <v>54</v>
      </c>
      <c r="N2745" s="26" t="s">
        <v>57</v>
      </c>
      <c r="O2745" s="6" t="s">
        <v>276</v>
      </c>
      <c r="P2745" s="5" t="s">
        <v>59</v>
      </c>
      <c r="Q2745" s="5" t="s">
        <v>122</v>
      </c>
      <c r="R2745" s="6" t="s">
        <v>42</v>
      </c>
      <c r="S2745" s="5" t="s">
        <v>99</v>
      </c>
      <c r="T2745" s="5" t="s">
        <v>44</v>
      </c>
      <c r="U2745" s="5" t="s">
        <v>2359</v>
      </c>
      <c r="V2745" s="5" t="s">
        <v>44</v>
      </c>
      <c r="W2745" s="5" t="s">
        <v>35</v>
      </c>
      <c r="X2745" s="8" t="s">
        <v>218</v>
      </c>
      <c r="Y2745" s="5" t="s">
        <v>46</v>
      </c>
      <c r="Z2745" s="5" t="s">
        <v>47</v>
      </c>
      <c r="AA2745" s="5" t="s">
        <v>64</v>
      </c>
      <c r="AB2745" s="5" t="s">
        <v>13317</v>
      </c>
      <c r="AC2745" s="6" t="s">
        <v>86</v>
      </c>
      <c r="AD2745" s="6">
        <v>4759.0</v>
      </c>
    </row>
    <row r="2746" ht="56.25" customHeight="1">
      <c r="A2746" s="5" t="s">
        <v>13319</v>
      </c>
      <c r="B2746" s="6" t="str">
        <f>IMAGE("https://storage.googleapis.com/acdb/housewares/FtrBoyClosetL_Remake_0_0.png")</f>
        <v/>
      </c>
      <c r="C2746" s="5" t="s">
        <v>146</v>
      </c>
      <c r="D2746" s="5" t="s">
        <v>34</v>
      </c>
      <c r="E2746" s="5" t="s">
        <v>34</v>
      </c>
      <c r="F2746" s="5" t="s">
        <v>34</v>
      </c>
      <c r="G2746" s="5" t="s">
        <v>36</v>
      </c>
      <c r="H2746" s="5" t="s">
        <v>36</v>
      </c>
      <c r="I2746" s="5" t="s">
        <v>36</v>
      </c>
      <c r="J2746" s="6" t="s">
        <v>34</v>
      </c>
      <c r="K2746" s="6">
        <v>5900.0</v>
      </c>
      <c r="L2746" s="6">
        <v>1475.0</v>
      </c>
      <c r="M2746" s="26" t="s">
        <v>95</v>
      </c>
      <c r="N2746" s="26" t="s">
        <v>142</v>
      </c>
      <c r="O2746" s="6" t="s">
        <v>40</v>
      </c>
      <c r="P2746" s="5" t="s">
        <v>59</v>
      </c>
      <c r="Q2746" s="5" t="s">
        <v>122</v>
      </c>
      <c r="R2746" s="6" t="s">
        <v>42</v>
      </c>
      <c r="S2746" s="5" t="s">
        <v>99</v>
      </c>
      <c r="T2746" s="5" t="s">
        <v>401</v>
      </c>
      <c r="U2746" s="5" t="s">
        <v>2359</v>
      </c>
      <c r="V2746" s="5" t="s">
        <v>44</v>
      </c>
      <c r="W2746" s="5" t="s">
        <v>35</v>
      </c>
      <c r="X2746" s="8" t="s">
        <v>322</v>
      </c>
      <c r="Y2746" s="5" t="s">
        <v>46</v>
      </c>
      <c r="Z2746" s="5" t="s">
        <v>47</v>
      </c>
      <c r="AA2746" s="5" t="s">
        <v>64</v>
      </c>
      <c r="AB2746" s="5" t="s">
        <v>13324</v>
      </c>
      <c r="AC2746" s="6" t="s">
        <v>50</v>
      </c>
      <c r="AD2746" s="6">
        <v>4761.0</v>
      </c>
    </row>
    <row r="2747" ht="56.25" customHeight="1">
      <c r="A2747" s="5" t="s">
        <v>13319</v>
      </c>
      <c r="B2747" s="6" t="str">
        <f>IMAGE("https://storage.googleapis.com/acdb/housewares/FtrBoyClosetL_Remake_1_0.png")</f>
        <v/>
      </c>
      <c r="C2747" s="5" t="s">
        <v>114</v>
      </c>
      <c r="D2747" s="5" t="s">
        <v>34</v>
      </c>
      <c r="E2747" s="5" t="s">
        <v>34</v>
      </c>
      <c r="F2747" s="5" t="s">
        <v>34</v>
      </c>
      <c r="G2747" s="5" t="s">
        <v>36</v>
      </c>
      <c r="H2747" s="5" t="s">
        <v>36</v>
      </c>
      <c r="I2747" s="5" t="s">
        <v>36</v>
      </c>
      <c r="J2747" s="6" t="s">
        <v>34</v>
      </c>
      <c r="K2747" s="6">
        <v>5900.0</v>
      </c>
      <c r="L2747" s="6">
        <v>1475.0</v>
      </c>
      <c r="M2747" s="5" t="s">
        <v>114</v>
      </c>
      <c r="N2747" s="26" t="s">
        <v>1175</v>
      </c>
      <c r="O2747" s="6" t="s">
        <v>40</v>
      </c>
      <c r="P2747" s="5" t="s">
        <v>59</v>
      </c>
      <c r="Q2747" s="5" t="s">
        <v>122</v>
      </c>
      <c r="R2747" s="6" t="s">
        <v>42</v>
      </c>
      <c r="S2747" s="5" t="s">
        <v>99</v>
      </c>
      <c r="T2747" s="5" t="s">
        <v>401</v>
      </c>
      <c r="U2747" s="5" t="s">
        <v>2359</v>
      </c>
      <c r="V2747" s="5" t="s">
        <v>44</v>
      </c>
      <c r="W2747" s="5" t="s">
        <v>35</v>
      </c>
      <c r="X2747" s="8" t="s">
        <v>322</v>
      </c>
      <c r="Y2747" s="5" t="s">
        <v>46</v>
      </c>
      <c r="Z2747" s="5" t="s">
        <v>47</v>
      </c>
      <c r="AA2747" s="5" t="s">
        <v>64</v>
      </c>
      <c r="AB2747" s="5" t="s">
        <v>13331</v>
      </c>
      <c r="AC2747" s="6" t="s">
        <v>56</v>
      </c>
      <c r="AD2747" s="6">
        <v>4761.0</v>
      </c>
    </row>
    <row r="2748" ht="56.25" customHeight="1">
      <c r="A2748" s="5" t="s">
        <v>13319</v>
      </c>
      <c r="B2748" s="6" t="str">
        <f>IMAGE("https://storage.googleapis.com/acdb/housewares/FtrBoyClosetL_Remake_2_0.png")</f>
        <v/>
      </c>
      <c r="C2748" s="5" t="s">
        <v>52</v>
      </c>
      <c r="D2748" s="5" t="s">
        <v>34</v>
      </c>
      <c r="E2748" s="5" t="s">
        <v>34</v>
      </c>
      <c r="F2748" s="5" t="s">
        <v>34</v>
      </c>
      <c r="G2748" s="5" t="s">
        <v>36</v>
      </c>
      <c r="H2748" s="5" t="s">
        <v>36</v>
      </c>
      <c r="I2748" s="5" t="s">
        <v>36</v>
      </c>
      <c r="J2748" s="6" t="s">
        <v>34</v>
      </c>
      <c r="K2748" s="6">
        <v>5900.0</v>
      </c>
      <c r="L2748" s="6">
        <v>1475.0</v>
      </c>
      <c r="M2748" s="26" t="s">
        <v>52</v>
      </c>
      <c r="N2748" s="26" t="s">
        <v>68</v>
      </c>
      <c r="O2748" s="6" t="s">
        <v>40</v>
      </c>
      <c r="P2748" s="5" t="s">
        <v>59</v>
      </c>
      <c r="Q2748" s="5" t="s">
        <v>122</v>
      </c>
      <c r="R2748" s="6" t="s">
        <v>42</v>
      </c>
      <c r="S2748" s="5" t="s">
        <v>99</v>
      </c>
      <c r="T2748" s="5" t="s">
        <v>401</v>
      </c>
      <c r="U2748" s="5" t="s">
        <v>2359</v>
      </c>
      <c r="V2748" s="5" t="s">
        <v>44</v>
      </c>
      <c r="W2748" s="5" t="s">
        <v>35</v>
      </c>
      <c r="X2748" s="8" t="s">
        <v>322</v>
      </c>
      <c r="Y2748" s="5" t="s">
        <v>46</v>
      </c>
      <c r="Z2748" s="5" t="s">
        <v>47</v>
      </c>
      <c r="AA2748" s="5" t="s">
        <v>64</v>
      </c>
      <c r="AB2748" s="5" t="s">
        <v>13336</v>
      </c>
      <c r="AC2748" s="6" t="s">
        <v>67</v>
      </c>
      <c r="AD2748" s="6">
        <v>4761.0</v>
      </c>
    </row>
    <row r="2749" ht="56.25" customHeight="1">
      <c r="A2749" s="5" t="s">
        <v>13319</v>
      </c>
      <c r="B2749" s="6" t="str">
        <f>IMAGE("https://storage.googleapis.com/acdb/housewares/FtrBoyClosetL_Remake_3_0.png")</f>
        <v/>
      </c>
      <c r="C2749" s="5" t="s">
        <v>96</v>
      </c>
      <c r="D2749" s="5" t="s">
        <v>34</v>
      </c>
      <c r="E2749" s="5" t="s">
        <v>34</v>
      </c>
      <c r="F2749" s="5" t="s">
        <v>34</v>
      </c>
      <c r="G2749" s="5" t="s">
        <v>36</v>
      </c>
      <c r="H2749" s="5" t="s">
        <v>36</v>
      </c>
      <c r="I2749" s="5" t="s">
        <v>36</v>
      </c>
      <c r="J2749" s="6" t="s">
        <v>34</v>
      </c>
      <c r="K2749" s="6">
        <v>5900.0</v>
      </c>
      <c r="L2749" s="6">
        <v>1475.0</v>
      </c>
      <c r="M2749" s="26" t="s">
        <v>96</v>
      </c>
      <c r="N2749" s="26" t="s">
        <v>52</v>
      </c>
      <c r="O2749" s="6" t="s">
        <v>40</v>
      </c>
      <c r="P2749" s="5" t="s">
        <v>59</v>
      </c>
      <c r="Q2749" s="5" t="s">
        <v>122</v>
      </c>
      <c r="R2749" s="6" t="s">
        <v>42</v>
      </c>
      <c r="S2749" s="5" t="s">
        <v>99</v>
      </c>
      <c r="T2749" s="5" t="s">
        <v>401</v>
      </c>
      <c r="U2749" s="5" t="s">
        <v>2359</v>
      </c>
      <c r="V2749" s="5" t="s">
        <v>44</v>
      </c>
      <c r="W2749" s="5" t="s">
        <v>35</v>
      </c>
      <c r="X2749" s="8" t="s">
        <v>322</v>
      </c>
      <c r="Y2749" s="5" t="s">
        <v>46</v>
      </c>
      <c r="Z2749" s="5" t="s">
        <v>47</v>
      </c>
      <c r="AA2749" s="5" t="s">
        <v>64</v>
      </c>
      <c r="AB2749" s="5" t="s">
        <v>13343</v>
      </c>
      <c r="AC2749" s="6" t="s">
        <v>71</v>
      </c>
      <c r="AD2749" s="6">
        <v>4761.0</v>
      </c>
    </row>
    <row r="2750" ht="56.25" customHeight="1">
      <c r="A2750" s="5" t="s">
        <v>13319</v>
      </c>
      <c r="B2750" s="6" t="str">
        <f>IMAGE("https://storage.googleapis.com/acdb/housewares/FtrBoyClosetL_Remake_4_0.png")</f>
        <v/>
      </c>
      <c r="C2750" s="5" t="s">
        <v>68</v>
      </c>
      <c r="D2750" s="5" t="s">
        <v>34</v>
      </c>
      <c r="E2750" s="5" t="s">
        <v>34</v>
      </c>
      <c r="F2750" s="5" t="s">
        <v>34</v>
      </c>
      <c r="G2750" s="5" t="s">
        <v>36</v>
      </c>
      <c r="H2750" s="5" t="s">
        <v>36</v>
      </c>
      <c r="I2750" s="5" t="s">
        <v>36</v>
      </c>
      <c r="J2750" s="6" t="s">
        <v>34</v>
      </c>
      <c r="K2750" s="6">
        <v>5900.0</v>
      </c>
      <c r="L2750" s="6">
        <v>1475.0</v>
      </c>
      <c r="M2750" s="26" t="s">
        <v>68</v>
      </c>
      <c r="N2750" s="26" t="s">
        <v>52</v>
      </c>
      <c r="O2750" s="6" t="s">
        <v>40</v>
      </c>
      <c r="P2750" s="5" t="s">
        <v>59</v>
      </c>
      <c r="Q2750" s="5" t="s">
        <v>122</v>
      </c>
      <c r="R2750" s="6" t="s">
        <v>42</v>
      </c>
      <c r="S2750" s="5" t="s">
        <v>99</v>
      </c>
      <c r="T2750" s="5" t="s">
        <v>401</v>
      </c>
      <c r="U2750" s="5" t="s">
        <v>2359</v>
      </c>
      <c r="V2750" s="5" t="s">
        <v>44</v>
      </c>
      <c r="W2750" s="5" t="s">
        <v>35</v>
      </c>
      <c r="X2750" s="8" t="s">
        <v>322</v>
      </c>
      <c r="Y2750" s="5" t="s">
        <v>46</v>
      </c>
      <c r="Z2750" s="5" t="s">
        <v>47</v>
      </c>
      <c r="AA2750" s="5" t="s">
        <v>64</v>
      </c>
      <c r="AB2750" s="5" t="s">
        <v>13349</v>
      </c>
      <c r="AC2750" s="6" t="s">
        <v>75</v>
      </c>
      <c r="AD2750" s="6">
        <v>4761.0</v>
      </c>
    </row>
    <row r="2751" ht="56.25" customHeight="1">
      <c r="A2751" s="5" t="s">
        <v>13319</v>
      </c>
      <c r="B2751" s="6" t="str">
        <f>IMAGE("https://storage.googleapis.com/acdb/housewares/FtrBoyClosetL_Remake_5_0.png")</f>
        <v/>
      </c>
      <c r="C2751" s="5" t="s">
        <v>54</v>
      </c>
      <c r="D2751" s="5" t="s">
        <v>34</v>
      </c>
      <c r="E2751" s="5" t="s">
        <v>34</v>
      </c>
      <c r="F2751" s="5" t="s">
        <v>34</v>
      </c>
      <c r="G2751" s="5" t="s">
        <v>36</v>
      </c>
      <c r="H2751" s="5" t="s">
        <v>36</v>
      </c>
      <c r="I2751" s="5" t="s">
        <v>36</v>
      </c>
      <c r="J2751" s="6" t="s">
        <v>34</v>
      </c>
      <c r="K2751" s="6">
        <v>5900.0</v>
      </c>
      <c r="L2751" s="6">
        <v>1475.0</v>
      </c>
      <c r="M2751" s="26" t="s">
        <v>54</v>
      </c>
      <c r="N2751" s="26" t="s">
        <v>52</v>
      </c>
      <c r="O2751" s="6" t="s">
        <v>40</v>
      </c>
      <c r="P2751" s="5" t="s">
        <v>59</v>
      </c>
      <c r="Q2751" s="5" t="s">
        <v>122</v>
      </c>
      <c r="R2751" s="6" t="s">
        <v>42</v>
      </c>
      <c r="S2751" s="5" t="s">
        <v>99</v>
      </c>
      <c r="T2751" s="5" t="s">
        <v>401</v>
      </c>
      <c r="U2751" s="5" t="s">
        <v>2359</v>
      </c>
      <c r="V2751" s="5" t="s">
        <v>44</v>
      </c>
      <c r="W2751" s="5" t="s">
        <v>35</v>
      </c>
      <c r="X2751" s="8" t="s">
        <v>322</v>
      </c>
      <c r="Y2751" s="5" t="s">
        <v>46</v>
      </c>
      <c r="Z2751" s="5" t="s">
        <v>47</v>
      </c>
      <c r="AA2751" s="5" t="s">
        <v>64</v>
      </c>
      <c r="AB2751" s="5" t="s">
        <v>13354</v>
      </c>
      <c r="AC2751" s="6" t="s">
        <v>79</v>
      </c>
      <c r="AD2751" s="6">
        <v>4761.0</v>
      </c>
    </row>
    <row r="2752" ht="56.25" customHeight="1">
      <c r="A2752" s="5" t="s">
        <v>13356</v>
      </c>
      <c r="B2752" s="6" t="str">
        <f>IMAGE("https://storage.googleapis.com/acdb/housewares/FtrTorch.png")</f>
        <v/>
      </c>
      <c r="C2752" s="5" t="s">
        <v>34</v>
      </c>
      <c r="D2752" s="5" t="s">
        <v>34</v>
      </c>
      <c r="E2752" s="5" t="s">
        <v>34</v>
      </c>
      <c r="F2752" s="5" t="s">
        <v>34</v>
      </c>
      <c r="G2752" s="5" t="s">
        <v>35</v>
      </c>
      <c r="H2752" s="5" t="s">
        <v>36</v>
      </c>
      <c r="I2752" s="5" t="s">
        <v>36</v>
      </c>
      <c r="J2752" s="6" t="s">
        <v>34</v>
      </c>
      <c r="K2752" s="6" t="s">
        <v>37</v>
      </c>
      <c r="L2752" s="6">
        <v>650.0</v>
      </c>
      <c r="M2752" s="5" t="s">
        <v>39</v>
      </c>
      <c r="N2752" s="5" t="s">
        <v>38</v>
      </c>
      <c r="O2752" s="6" t="s">
        <v>40</v>
      </c>
      <c r="P2752" s="5" t="s">
        <v>41</v>
      </c>
      <c r="Q2752" s="5"/>
      <c r="R2752" s="6" t="s">
        <v>42</v>
      </c>
      <c r="S2752" s="5" t="s">
        <v>765</v>
      </c>
      <c r="T2752" s="5" t="s">
        <v>172</v>
      </c>
      <c r="U2752" s="5" t="s">
        <v>44</v>
      </c>
      <c r="V2752" s="5" t="s">
        <v>44</v>
      </c>
      <c r="W2752" s="5" t="s">
        <v>35</v>
      </c>
      <c r="X2752" s="8" t="s">
        <v>467</v>
      </c>
      <c r="Y2752" s="5" t="s">
        <v>46</v>
      </c>
      <c r="Z2752" s="5" t="s">
        <v>495</v>
      </c>
      <c r="AA2752" s="5" t="s">
        <v>48</v>
      </c>
      <c r="AB2752" s="5" t="s">
        <v>13361</v>
      </c>
      <c r="AC2752" s="6" t="s">
        <v>34</v>
      </c>
      <c r="AD2752" s="6">
        <v>343.0</v>
      </c>
    </row>
    <row r="2753" ht="56.25" customHeight="1">
      <c r="A2753" s="5" t="s">
        <v>13363</v>
      </c>
      <c r="B2753" s="6" t="str">
        <f>IMAGE("https://storage.googleapis.com/acdb/housewares/FtrMicrolibrary_Remake_0_0.png")</f>
        <v/>
      </c>
      <c r="C2753" s="5" t="s">
        <v>32</v>
      </c>
      <c r="D2753" s="5" t="s">
        <v>748</v>
      </c>
      <c r="E2753" s="5" t="s">
        <v>34</v>
      </c>
      <c r="F2753" s="5" t="s">
        <v>34</v>
      </c>
      <c r="G2753" s="5" t="s">
        <v>35</v>
      </c>
      <c r="H2753" s="5" t="s">
        <v>35</v>
      </c>
      <c r="I2753" s="5" t="s">
        <v>36</v>
      </c>
      <c r="J2753" s="6">
        <v>2.0</v>
      </c>
      <c r="K2753" s="6" t="s">
        <v>37</v>
      </c>
      <c r="L2753" s="6">
        <v>1035.0</v>
      </c>
      <c r="M2753" s="26" t="s">
        <v>142</v>
      </c>
      <c r="N2753" s="26" t="s">
        <v>142</v>
      </c>
      <c r="O2753" s="6" t="s">
        <v>40</v>
      </c>
      <c r="P2753" s="5" t="s">
        <v>41</v>
      </c>
      <c r="Q2753" s="5"/>
      <c r="R2753" s="6" t="s">
        <v>42</v>
      </c>
      <c r="S2753" s="5" t="s">
        <v>172</v>
      </c>
      <c r="T2753" s="5" t="s">
        <v>44</v>
      </c>
      <c r="U2753" s="5" t="s">
        <v>44</v>
      </c>
      <c r="V2753" s="5" t="s">
        <v>44</v>
      </c>
      <c r="W2753" s="5" t="s">
        <v>36</v>
      </c>
      <c r="X2753" s="8" t="s">
        <v>1010</v>
      </c>
      <c r="Y2753" s="5" t="s">
        <v>46</v>
      </c>
      <c r="Z2753" s="5" t="s">
        <v>47</v>
      </c>
      <c r="AA2753" s="5" t="s">
        <v>48</v>
      </c>
      <c r="AB2753" s="5" t="s">
        <v>13366</v>
      </c>
      <c r="AC2753" s="6" t="s">
        <v>50</v>
      </c>
      <c r="AD2753" s="6">
        <v>5635.0</v>
      </c>
    </row>
    <row r="2754" ht="56.25" customHeight="1">
      <c r="A2754" s="5" t="s">
        <v>13363</v>
      </c>
      <c r="B2754" s="6" t="str">
        <f>IMAGE("https://storage.googleapis.com/acdb/housewares/FtrMicrolibrary_Remake_1_0.png")</f>
        <v/>
      </c>
      <c r="C2754" s="5" t="s">
        <v>52</v>
      </c>
      <c r="D2754" s="5" t="s">
        <v>748</v>
      </c>
      <c r="E2754" s="5" t="s">
        <v>34</v>
      </c>
      <c r="F2754" s="5" t="s">
        <v>34</v>
      </c>
      <c r="G2754" s="5" t="s">
        <v>35</v>
      </c>
      <c r="H2754" s="5" t="s">
        <v>35</v>
      </c>
      <c r="I2754" s="5" t="s">
        <v>36</v>
      </c>
      <c r="J2754" s="6">
        <v>2.0</v>
      </c>
      <c r="K2754" s="6" t="s">
        <v>37</v>
      </c>
      <c r="L2754" s="6">
        <v>1035.0</v>
      </c>
      <c r="M2754" s="26" t="s">
        <v>52</v>
      </c>
      <c r="N2754" s="26" t="s">
        <v>57</v>
      </c>
      <c r="O2754" s="6" t="s">
        <v>40</v>
      </c>
      <c r="P2754" s="5" t="s">
        <v>41</v>
      </c>
      <c r="Q2754" s="5"/>
      <c r="R2754" s="6" t="s">
        <v>42</v>
      </c>
      <c r="S2754" s="5" t="s">
        <v>172</v>
      </c>
      <c r="T2754" s="5" t="s">
        <v>44</v>
      </c>
      <c r="U2754" s="5" t="s">
        <v>44</v>
      </c>
      <c r="V2754" s="5" t="s">
        <v>44</v>
      </c>
      <c r="W2754" s="5" t="s">
        <v>36</v>
      </c>
      <c r="X2754" s="8" t="s">
        <v>1010</v>
      </c>
      <c r="Y2754" s="5" t="s">
        <v>46</v>
      </c>
      <c r="Z2754" s="5" t="s">
        <v>47</v>
      </c>
      <c r="AA2754" s="5" t="s">
        <v>48</v>
      </c>
      <c r="AB2754" s="5" t="s">
        <v>13374</v>
      </c>
      <c r="AC2754" s="6" t="s">
        <v>56</v>
      </c>
      <c r="AD2754" s="6">
        <v>5635.0</v>
      </c>
    </row>
    <row r="2755" ht="56.25" customHeight="1">
      <c r="A2755" s="5" t="s">
        <v>13363</v>
      </c>
      <c r="B2755" s="6" t="str">
        <f>IMAGE("https://storage.googleapis.com/acdb/housewares/FtrMicrolibrary_Remake_2_0.png")</f>
        <v/>
      </c>
      <c r="C2755" s="5" t="s">
        <v>688</v>
      </c>
      <c r="D2755" s="5" t="s">
        <v>748</v>
      </c>
      <c r="E2755" s="5" t="s">
        <v>34</v>
      </c>
      <c r="F2755" s="5" t="s">
        <v>34</v>
      </c>
      <c r="G2755" s="5" t="s">
        <v>35</v>
      </c>
      <c r="H2755" s="5" t="s">
        <v>35</v>
      </c>
      <c r="I2755" s="5" t="s">
        <v>36</v>
      </c>
      <c r="J2755" s="6">
        <v>2.0</v>
      </c>
      <c r="K2755" s="6" t="s">
        <v>37</v>
      </c>
      <c r="L2755" s="6">
        <v>1035.0</v>
      </c>
      <c r="M2755" s="26" t="s">
        <v>1175</v>
      </c>
      <c r="N2755" s="26" t="s">
        <v>58</v>
      </c>
      <c r="O2755" s="6" t="s">
        <v>40</v>
      </c>
      <c r="P2755" s="5" t="s">
        <v>41</v>
      </c>
      <c r="Q2755" s="5"/>
      <c r="R2755" s="6" t="s">
        <v>42</v>
      </c>
      <c r="S2755" s="5" t="s">
        <v>172</v>
      </c>
      <c r="T2755" s="5" t="s">
        <v>44</v>
      </c>
      <c r="U2755" s="5" t="s">
        <v>44</v>
      </c>
      <c r="V2755" s="5" t="s">
        <v>44</v>
      </c>
      <c r="W2755" s="5" t="s">
        <v>36</v>
      </c>
      <c r="X2755" s="8" t="s">
        <v>1010</v>
      </c>
      <c r="Y2755" s="5" t="s">
        <v>46</v>
      </c>
      <c r="Z2755" s="5" t="s">
        <v>47</v>
      </c>
      <c r="AA2755" s="5" t="s">
        <v>48</v>
      </c>
      <c r="AB2755" s="5" t="s">
        <v>13381</v>
      </c>
      <c r="AC2755" s="6" t="s">
        <v>67</v>
      </c>
      <c r="AD2755" s="6">
        <v>5635.0</v>
      </c>
    </row>
    <row r="2756" ht="56.25" customHeight="1">
      <c r="A2756" s="5" t="s">
        <v>13363</v>
      </c>
      <c r="B2756" s="6" t="str">
        <f>IMAGE("https://storage.googleapis.com/acdb/housewares/FtrMicrolibrary_Remake_3_0.png")</f>
        <v/>
      </c>
      <c r="C2756" s="5" t="s">
        <v>1952</v>
      </c>
      <c r="D2756" s="5" t="s">
        <v>748</v>
      </c>
      <c r="E2756" s="5" t="s">
        <v>34</v>
      </c>
      <c r="F2756" s="5" t="s">
        <v>34</v>
      </c>
      <c r="G2756" s="5" t="s">
        <v>35</v>
      </c>
      <c r="H2756" s="5" t="s">
        <v>35</v>
      </c>
      <c r="I2756" s="5" t="s">
        <v>36</v>
      </c>
      <c r="J2756" s="6">
        <v>2.0</v>
      </c>
      <c r="K2756" s="6" t="s">
        <v>37</v>
      </c>
      <c r="L2756" s="6">
        <v>1035.0</v>
      </c>
      <c r="M2756" s="26" t="s">
        <v>54</v>
      </c>
      <c r="N2756" s="26" t="s">
        <v>96</v>
      </c>
      <c r="O2756" s="6" t="s">
        <v>40</v>
      </c>
      <c r="P2756" s="5" t="s">
        <v>41</v>
      </c>
      <c r="Q2756" s="5"/>
      <c r="R2756" s="6" t="s">
        <v>42</v>
      </c>
      <c r="S2756" s="5" t="s">
        <v>172</v>
      </c>
      <c r="T2756" s="5" t="s">
        <v>44</v>
      </c>
      <c r="U2756" s="5" t="s">
        <v>44</v>
      </c>
      <c r="V2756" s="5" t="s">
        <v>44</v>
      </c>
      <c r="W2756" s="5" t="s">
        <v>36</v>
      </c>
      <c r="X2756" s="8" t="s">
        <v>1010</v>
      </c>
      <c r="Y2756" s="5" t="s">
        <v>46</v>
      </c>
      <c r="Z2756" s="5" t="s">
        <v>47</v>
      </c>
      <c r="AA2756" s="5" t="s">
        <v>48</v>
      </c>
      <c r="AB2756" s="5" t="s">
        <v>13389</v>
      </c>
      <c r="AC2756" s="6" t="s">
        <v>71</v>
      </c>
      <c r="AD2756" s="6">
        <v>5635.0</v>
      </c>
    </row>
    <row r="2757" ht="56.25" customHeight="1">
      <c r="A2757" s="5" t="s">
        <v>13363</v>
      </c>
      <c r="B2757" s="6" t="str">
        <f>IMAGE("https://storage.googleapis.com/acdb/housewares/FtrMicrolibrary_Remake_4_0.png")</f>
        <v/>
      </c>
      <c r="C2757" s="5" t="s">
        <v>13392</v>
      </c>
      <c r="D2757" s="5" t="s">
        <v>748</v>
      </c>
      <c r="E2757" s="5" t="s">
        <v>34</v>
      </c>
      <c r="F2757" s="5" t="s">
        <v>34</v>
      </c>
      <c r="G2757" s="5" t="s">
        <v>35</v>
      </c>
      <c r="H2757" s="5" t="s">
        <v>35</v>
      </c>
      <c r="I2757" s="5" t="s">
        <v>36</v>
      </c>
      <c r="J2757" s="6">
        <v>2.0</v>
      </c>
      <c r="K2757" s="6" t="s">
        <v>37</v>
      </c>
      <c r="L2757" s="6">
        <v>1035.0</v>
      </c>
      <c r="M2757" s="26" t="s">
        <v>39</v>
      </c>
      <c r="N2757" s="26" t="s">
        <v>38</v>
      </c>
      <c r="O2757" s="6" t="s">
        <v>40</v>
      </c>
      <c r="P2757" s="5" t="s">
        <v>41</v>
      </c>
      <c r="Q2757" s="5"/>
      <c r="R2757" s="6" t="s">
        <v>42</v>
      </c>
      <c r="S2757" s="5" t="s">
        <v>172</v>
      </c>
      <c r="T2757" s="5" t="s">
        <v>44</v>
      </c>
      <c r="U2757" s="5" t="s">
        <v>44</v>
      </c>
      <c r="V2757" s="5" t="s">
        <v>44</v>
      </c>
      <c r="W2757" s="5" t="s">
        <v>36</v>
      </c>
      <c r="X2757" s="8" t="s">
        <v>1010</v>
      </c>
      <c r="Y2757" s="5" t="s">
        <v>46</v>
      </c>
      <c r="Z2757" s="5" t="s">
        <v>47</v>
      </c>
      <c r="AA2757" s="5" t="s">
        <v>48</v>
      </c>
      <c r="AB2757" s="5" t="s">
        <v>13395</v>
      </c>
      <c r="AC2757" s="6" t="s">
        <v>75</v>
      </c>
      <c r="AD2757" s="6">
        <v>5635.0</v>
      </c>
    </row>
    <row r="2758" ht="56.25" customHeight="1">
      <c r="A2758" s="5" t="s">
        <v>13363</v>
      </c>
      <c r="B2758" s="6" t="str">
        <f>IMAGE("https://storage.googleapis.com/acdb/housewares/FtrMicrolibrary_Remake_5_0.png")</f>
        <v/>
      </c>
      <c r="C2758" s="5" t="s">
        <v>1748</v>
      </c>
      <c r="D2758" s="5" t="s">
        <v>748</v>
      </c>
      <c r="E2758" s="5" t="s">
        <v>34</v>
      </c>
      <c r="F2758" s="5" t="s">
        <v>34</v>
      </c>
      <c r="G2758" s="5" t="s">
        <v>35</v>
      </c>
      <c r="H2758" s="5" t="s">
        <v>35</v>
      </c>
      <c r="I2758" s="5" t="s">
        <v>36</v>
      </c>
      <c r="J2758" s="6">
        <v>2.0</v>
      </c>
      <c r="K2758" s="6" t="s">
        <v>37</v>
      </c>
      <c r="L2758" s="6">
        <v>1035.0</v>
      </c>
      <c r="M2758" s="26" t="s">
        <v>96</v>
      </c>
      <c r="N2758" s="26" t="s">
        <v>57</v>
      </c>
      <c r="O2758" s="6" t="s">
        <v>40</v>
      </c>
      <c r="P2758" s="5" t="s">
        <v>41</v>
      </c>
      <c r="Q2758" s="5"/>
      <c r="R2758" s="6" t="s">
        <v>42</v>
      </c>
      <c r="S2758" s="5" t="s">
        <v>172</v>
      </c>
      <c r="T2758" s="5" t="s">
        <v>44</v>
      </c>
      <c r="U2758" s="5" t="s">
        <v>44</v>
      </c>
      <c r="V2758" s="5" t="s">
        <v>44</v>
      </c>
      <c r="W2758" s="5" t="s">
        <v>36</v>
      </c>
      <c r="X2758" s="8" t="s">
        <v>1010</v>
      </c>
      <c r="Y2758" s="5" t="s">
        <v>46</v>
      </c>
      <c r="Z2758" s="5" t="s">
        <v>47</v>
      </c>
      <c r="AA2758" s="5" t="s">
        <v>48</v>
      </c>
      <c r="AB2758" s="5" t="s">
        <v>13401</v>
      </c>
      <c r="AC2758" s="6" t="s">
        <v>79</v>
      </c>
      <c r="AD2758" s="6">
        <v>5635.0</v>
      </c>
    </row>
    <row r="2759" ht="56.25" customHeight="1">
      <c r="A2759" s="5" t="s">
        <v>13404</v>
      </c>
      <c r="B2759" s="6" t="str">
        <f>IMAGE("https://storage.googleapis.com/acdb/housewares/FtrTyres_Remake_0_0.png")</f>
        <v/>
      </c>
      <c r="C2759" s="5" t="s">
        <v>54</v>
      </c>
      <c r="D2759" s="5" t="s">
        <v>13405</v>
      </c>
      <c r="E2759" s="5" t="s">
        <v>34</v>
      </c>
      <c r="F2759" s="5" t="s">
        <v>34</v>
      </c>
      <c r="G2759" s="5" t="s">
        <v>35</v>
      </c>
      <c r="H2759" s="5" t="s">
        <v>35</v>
      </c>
      <c r="I2759" s="5" t="s">
        <v>36</v>
      </c>
      <c r="J2759" s="6">
        <v>1.0</v>
      </c>
      <c r="K2759" s="6" t="s">
        <v>37</v>
      </c>
      <c r="L2759" s="6">
        <v>60.0</v>
      </c>
      <c r="M2759" s="26" t="s">
        <v>54</v>
      </c>
      <c r="N2759" s="26" t="s">
        <v>54</v>
      </c>
      <c r="O2759" s="6" t="s">
        <v>40</v>
      </c>
      <c r="P2759" s="5" t="s">
        <v>41</v>
      </c>
      <c r="Q2759" s="5"/>
      <c r="R2759" s="6" t="s">
        <v>42</v>
      </c>
      <c r="S2759" s="5" t="s">
        <v>416</v>
      </c>
      <c r="T2759" s="5" t="s">
        <v>172</v>
      </c>
      <c r="U2759" s="5" t="s">
        <v>44</v>
      </c>
      <c r="V2759" s="5" t="s">
        <v>44</v>
      </c>
      <c r="W2759" s="5" t="s">
        <v>36</v>
      </c>
      <c r="X2759" s="8" t="s">
        <v>173</v>
      </c>
      <c r="Y2759" s="5" t="s">
        <v>46</v>
      </c>
      <c r="Z2759" s="5" t="s">
        <v>47</v>
      </c>
      <c r="AA2759" s="5" t="s">
        <v>48</v>
      </c>
      <c r="AB2759" s="5" t="s">
        <v>13409</v>
      </c>
      <c r="AC2759" s="6" t="s">
        <v>50</v>
      </c>
      <c r="AD2759" s="6">
        <v>1189.0</v>
      </c>
    </row>
    <row r="2760" ht="56.25" customHeight="1">
      <c r="A2760" s="5" t="s">
        <v>13404</v>
      </c>
      <c r="B2760" s="6" t="str">
        <f>IMAGE("https://storage.googleapis.com/acdb/housewares/FtrTyres_Remake_1_0.png")</f>
        <v/>
      </c>
      <c r="C2760" s="5" t="s">
        <v>96</v>
      </c>
      <c r="D2760" s="5" t="s">
        <v>13405</v>
      </c>
      <c r="E2760" s="5" t="s">
        <v>34</v>
      </c>
      <c r="F2760" s="5" t="s">
        <v>34</v>
      </c>
      <c r="G2760" s="5" t="s">
        <v>35</v>
      </c>
      <c r="H2760" s="5" t="s">
        <v>35</v>
      </c>
      <c r="I2760" s="5" t="s">
        <v>36</v>
      </c>
      <c r="J2760" s="6">
        <v>1.0</v>
      </c>
      <c r="K2760" s="6" t="s">
        <v>37</v>
      </c>
      <c r="L2760" s="6">
        <v>60.0</v>
      </c>
      <c r="M2760" s="26" t="s">
        <v>96</v>
      </c>
      <c r="N2760" s="26" t="s">
        <v>39</v>
      </c>
      <c r="O2760" s="6" t="s">
        <v>40</v>
      </c>
      <c r="P2760" s="5" t="s">
        <v>41</v>
      </c>
      <c r="Q2760" s="5"/>
      <c r="R2760" s="6" t="s">
        <v>42</v>
      </c>
      <c r="S2760" s="5" t="s">
        <v>416</v>
      </c>
      <c r="T2760" s="5" t="s">
        <v>172</v>
      </c>
      <c r="U2760" s="5" t="s">
        <v>44</v>
      </c>
      <c r="V2760" s="5" t="s">
        <v>44</v>
      </c>
      <c r="W2760" s="5" t="s">
        <v>36</v>
      </c>
      <c r="X2760" s="8" t="s">
        <v>173</v>
      </c>
      <c r="Y2760" s="5" t="s">
        <v>46</v>
      </c>
      <c r="Z2760" s="5" t="s">
        <v>47</v>
      </c>
      <c r="AA2760" s="5" t="s">
        <v>48</v>
      </c>
      <c r="AB2760" s="5" t="s">
        <v>13417</v>
      </c>
      <c r="AC2760" s="6" t="s">
        <v>56</v>
      </c>
      <c r="AD2760" s="6">
        <v>1189.0</v>
      </c>
    </row>
    <row r="2761" ht="56.25" customHeight="1">
      <c r="A2761" s="5" t="s">
        <v>13404</v>
      </c>
      <c r="B2761" s="6" t="str">
        <f>IMAGE("https://storage.googleapis.com/acdb/housewares/FtrTyres_Remake_2_0.png")</f>
        <v/>
      </c>
      <c r="C2761" s="5" t="s">
        <v>58</v>
      </c>
      <c r="D2761" s="5" t="s">
        <v>13405</v>
      </c>
      <c r="E2761" s="5" t="s">
        <v>34</v>
      </c>
      <c r="F2761" s="5" t="s">
        <v>34</v>
      </c>
      <c r="G2761" s="5" t="s">
        <v>35</v>
      </c>
      <c r="H2761" s="5" t="s">
        <v>35</v>
      </c>
      <c r="I2761" s="5" t="s">
        <v>36</v>
      </c>
      <c r="J2761" s="6">
        <v>1.0</v>
      </c>
      <c r="K2761" s="6" t="s">
        <v>37</v>
      </c>
      <c r="L2761" s="6">
        <v>60.0</v>
      </c>
      <c r="M2761" s="26" t="s">
        <v>58</v>
      </c>
      <c r="N2761" s="26" t="s">
        <v>58</v>
      </c>
      <c r="O2761" s="6" t="s">
        <v>40</v>
      </c>
      <c r="P2761" s="5" t="s">
        <v>41</v>
      </c>
      <c r="Q2761" s="5"/>
      <c r="R2761" s="6" t="s">
        <v>42</v>
      </c>
      <c r="S2761" s="5" t="s">
        <v>416</v>
      </c>
      <c r="T2761" s="5" t="s">
        <v>172</v>
      </c>
      <c r="U2761" s="5" t="s">
        <v>44</v>
      </c>
      <c r="V2761" s="5" t="s">
        <v>44</v>
      </c>
      <c r="W2761" s="5" t="s">
        <v>36</v>
      </c>
      <c r="X2761" s="8" t="s">
        <v>173</v>
      </c>
      <c r="Y2761" s="5" t="s">
        <v>46</v>
      </c>
      <c r="Z2761" s="5" t="s">
        <v>47</v>
      </c>
      <c r="AA2761" s="5" t="s">
        <v>48</v>
      </c>
      <c r="AB2761" s="5" t="s">
        <v>13424</v>
      </c>
      <c r="AC2761" s="6" t="s">
        <v>67</v>
      </c>
      <c r="AD2761" s="6">
        <v>1189.0</v>
      </c>
    </row>
    <row r="2762" ht="56.25" customHeight="1">
      <c r="A2762" s="5" t="s">
        <v>13404</v>
      </c>
      <c r="B2762" s="6" t="str">
        <f>IMAGE("https://storage.googleapis.com/acdb/housewares/FtrTyres_Remake_3_0.png")</f>
        <v/>
      </c>
      <c r="C2762" s="5" t="s">
        <v>1531</v>
      </c>
      <c r="D2762" s="5" t="s">
        <v>13405</v>
      </c>
      <c r="E2762" s="5" t="s">
        <v>34</v>
      </c>
      <c r="F2762" s="5" t="s">
        <v>34</v>
      </c>
      <c r="G2762" s="5" t="s">
        <v>35</v>
      </c>
      <c r="H2762" s="5" t="s">
        <v>35</v>
      </c>
      <c r="I2762" s="5" t="s">
        <v>36</v>
      </c>
      <c r="J2762" s="6">
        <v>1.0</v>
      </c>
      <c r="K2762" s="6" t="s">
        <v>37</v>
      </c>
      <c r="L2762" s="6">
        <v>60.0</v>
      </c>
      <c r="M2762" s="26" t="s">
        <v>54</v>
      </c>
      <c r="N2762" s="26" t="s">
        <v>38</v>
      </c>
      <c r="O2762" s="6" t="s">
        <v>40</v>
      </c>
      <c r="P2762" s="5" t="s">
        <v>41</v>
      </c>
      <c r="Q2762" s="5"/>
      <c r="R2762" s="6" t="s">
        <v>42</v>
      </c>
      <c r="S2762" s="5" t="s">
        <v>416</v>
      </c>
      <c r="T2762" s="5" t="s">
        <v>172</v>
      </c>
      <c r="U2762" s="5" t="s">
        <v>44</v>
      </c>
      <c r="V2762" s="5" t="s">
        <v>44</v>
      </c>
      <c r="W2762" s="5" t="s">
        <v>36</v>
      </c>
      <c r="X2762" s="8" t="s">
        <v>173</v>
      </c>
      <c r="Y2762" s="5" t="s">
        <v>46</v>
      </c>
      <c r="Z2762" s="5" t="s">
        <v>47</v>
      </c>
      <c r="AA2762" s="5" t="s">
        <v>48</v>
      </c>
      <c r="AB2762" s="5" t="s">
        <v>13431</v>
      </c>
      <c r="AC2762" s="6" t="s">
        <v>71</v>
      </c>
      <c r="AD2762" s="6">
        <v>1189.0</v>
      </c>
    </row>
    <row r="2763" ht="56.25" customHeight="1">
      <c r="A2763" s="5" t="s">
        <v>13432</v>
      </c>
      <c r="B2763" s="6" t="str">
        <f>IMAGE("https://storage.googleapis.com/acdb/housewares/FtrPlayingtire_Remake_0_0.png")</f>
        <v/>
      </c>
      <c r="C2763" s="5" t="s">
        <v>54</v>
      </c>
      <c r="D2763" s="5" t="s">
        <v>13405</v>
      </c>
      <c r="E2763" s="5" t="s">
        <v>34</v>
      </c>
      <c r="F2763" s="5" t="s">
        <v>34</v>
      </c>
      <c r="G2763" s="5" t="s">
        <v>35</v>
      </c>
      <c r="H2763" s="5" t="s">
        <v>35</v>
      </c>
      <c r="I2763" s="5" t="s">
        <v>36</v>
      </c>
      <c r="J2763" s="6">
        <v>1.0</v>
      </c>
      <c r="K2763" s="6" t="s">
        <v>37</v>
      </c>
      <c r="L2763" s="6">
        <v>20.0</v>
      </c>
      <c r="M2763" s="26" t="s">
        <v>54</v>
      </c>
      <c r="N2763" s="26" t="s">
        <v>54</v>
      </c>
      <c r="O2763" s="6" t="s">
        <v>40</v>
      </c>
      <c r="P2763" s="5" t="s">
        <v>41</v>
      </c>
      <c r="Q2763" s="5"/>
      <c r="R2763" s="6" t="s">
        <v>42</v>
      </c>
      <c r="S2763" s="5" t="s">
        <v>172</v>
      </c>
      <c r="T2763" s="5" t="s">
        <v>44</v>
      </c>
      <c r="U2763" s="5" t="s">
        <v>44</v>
      </c>
      <c r="V2763" s="5" t="s">
        <v>44</v>
      </c>
      <c r="W2763" s="5" t="s">
        <v>35</v>
      </c>
      <c r="X2763" s="8" t="s">
        <v>3156</v>
      </c>
      <c r="Y2763" s="5" t="s">
        <v>46</v>
      </c>
      <c r="Z2763" s="5" t="s">
        <v>47</v>
      </c>
      <c r="AA2763" s="5" t="s">
        <v>48</v>
      </c>
      <c r="AB2763" s="5" t="s">
        <v>13441</v>
      </c>
      <c r="AC2763" s="6" t="s">
        <v>50</v>
      </c>
      <c r="AD2763" s="6">
        <v>2329.0</v>
      </c>
    </row>
    <row r="2764" ht="56.25" customHeight="1">
      <c r="A2764" s="5" t="s">
        <v>13432</v>
      </c>
      <c r="B2764" s="6" t="str">
        <f>IMAGE("https://storage.googleapis.com/acdb/housewares/FtrPlayingtire_Remake_1_0.png")</f>
        <v/>
      </c>
      <c r="C2764" s="5" t="s">
        <v>52</v>
      </c>
      <c r="D2764" s="5" t="s">
        <v>13405</v>
      </c>
      <c r="E2764" s="5" t="s">
        <v>34</v>
      </c>
      <c r="F2764" s="5" t="s">
        <v>34</v>
      </c>
      <c r="G2764" s="5" t="s">
        <v>35</v>
      </c>
      <c r="H2764" s="5" t="s">
        <v>35</v>
      </c>
      <c r="I2764" s="5" t="s">
        <v>36</v>
      </c>
      <c r="J2764" s="6">
        <v>1.0</v>
      </c>
      <c r="K2764" s="6" t="s">
        <v>37</v>
      </c>
      <c r="L2764" s="6">
        <v>20.0</v>
      </c>
      <c r="M2764" s="26" t="s">
        <v>52</v>
      </c>
      <c r="N2764" s="26" t="s">
        <v>52</v>
      </c>
      <c r="O2764" s="6" t="s">
        <v>40</v>
      </c>
      <c r="P2764" s="5" t="s">
        <v>41</v>
      </c>
      <c r="Q2764" s="5"/>
      <c r="R2764" s="6" t="s">
        <v>42</v>
      </c>
      <c r="S2764" s="5" t="s">
        <v>172</v>
      </c>
      <c r="T2764" s="5" t="s">
        <v>44</v>
      </c>
      <c r="U2764" s="5" t="s">
        <v>44</v>
      </c>
      <c r="V2764" s="5" t="s">
        <v>44</v>
      </c>
      <c r="W2764" s="5" t="s">
        <v>35</v>
      </c>
      <c r="X2764" s="8" t="s">
        <v>3156</v>
      </c>
      <c r="Y2764" s="5" t="s">
        <v>46</v>
      </c>
      <c r="Z2764" s="5" t="s">
        <v>47</v>
      </c>
      <c r="AA2764" s="5" t="s">
        <v>48</v>
      </c>
      <c r="AB2764" s="5" t="s">
        <v>13447</v>
      </c>
      <c r="AC2764" s="6" t="s">
        <v>56</v>
      </c>
      <c r="AD2764" s="6">
        <v>2329.0</v>
      </c>
    </row>
    <row r="2765" ht="56.25" customHeight="1">
      <c r="A2765" s="5" t="s">
        <v>13432</v>
      </c>
      <c r="B2765" s="6" t="str">
        <f>IMAGE("https://storage.googleapis.com/acdb/housewares/FtrPlayingtire_Remake_2_0.png")</f>
        <v/>
      </c>
      <c r="C2765" s="5" t="s">
        <v>114</v>
      </c>
      <c r="D2765" s="5" t="s">
        <v>13405</v>
      </c>
      <c r="E2765" s="5" t="s">
        <v>34</v>
      </c>
      <c r="F2765" s="5" t="s">
        <v>34</v>
      </c>
      <c r="G2765" s="5" t="s">
        <v>35</v>
      </c>
      <c r="H2765" s="5" t="s">
        <v>35</v>
      </c>
      <c r="I2765" s="5" t="s">
        <v>36</v>
      </c>
      <c r="J2765" s="6">
        <v>1.0</v>
      </c>
      <c r="K2765" s="6" t="s">
        <v>37</v>
      </c>
      <c r="L2765" s="6">
        <v>20.0</v>
      </c>
      <c r="M2765" s="26" t="s">
        <v>114</v>
      </c>
      <c r="N2765" s="26" t="s">
        <v>114</v>
      </c>
      <c r="O2765" s="6" t="s">
        <v>40</v>
      </c>
      <c r="P2765" s="5" t="s">
        <v>41</v>
      </c>
      <c r="Q2765" s="5"/>
      <c r="R2765" s="6" t="s">
        <v>42</v>
      </c>
      <c r="S2765" s="5" t="s">
        <v>172</v>
      </c>
      <c r="T2765" s="5" t="s">
        <v>44</v>
      </c>
      <c r="U2765" s="5" t="s">
        <v>44</v>
      </c>
      <c r="V2765" s="5" t="s">
        <v>44</v>
      </c>
      <c r="W2765" s="5" t="s">
        <v>35</v>
      </c>
      <c r="X2765" s="8" t="s">
        <v>3156</v>
      </c>
      <c r="Y2765" s="5" t="s">
        <v>46</v>
      </c>
      <c r="Z2765" s="5" t="s">
        <v>47</v>
      </c>
      <c r="AA2765" s="5" t="s">
        <v>48</v>
      </c>
      <c r="AB2765" s="5" t="s">
        <v>13452</v>
      </c>
      <c r="AC2765" s="6" t="s">
        <v>67</v>
      </c>
      <c r="AD2765" s="6">
        <v>2329.0</v>
      </c>
    </row>
    <row r="2766" ht="56.25" customHeight="1">
      <c r="A2766" s="5" t="s">
        <v>13432</v>
      </c>
      <c r="B2766" s="6" t="str">
        <f>IMAGE("https://storage.googleapis.com/acdb/housewares/FtrPlayingtire_Remake_3_0.png")</f>
        <v/>
      </c>
      <c r="C2766" s="5" t="s">
        <v>1174</v>
      </c>
      <c r="D2766" s="5" t="s">
        <v>13405</v>
      </c>
      <c r="E2766" s="5" t="s">
        <v>34</v>
      </c>
      <c r="F2766" s="5" t="s">
        <v>34</v>
      </c>
      <c r="G2766" s="5" t="s">
        <v>35</v>
      </c>
      <c r="H2766" s="5" t="s">
        <v>35</v>
      </c>
      <c r="I2766" s="5" t="s">
        <v>36</v>
      </c>
      <c r="J2766" s="6">
        <v>1.0</v>
      </c>
      <c r="K2766" s="6" t="s">
        <v>37</v>
      </c>
      <c r="L2766" s="6">
        <v>20.0</v>
      </c>
      <c r="M2766" s="26" t="s">
        <v>96</v>
      </c>
      <c r="N2766" s="26" t="s">
        <v>96</v>
      </c>
      <c r="O2766" s="6" t="s">
        <v>40</v>
      </c>
      <c r="P2766" s="5" t="s">
        <v>41</v>
      </c>
      <c r="Q2766" s="5"/>
      <c r="R2766" s="6" t="s">
        <v>42</v>
      </c>
      <c r="S2766" s="5" t="s">
        <v>172</v>
      </c>
      <c r="T2766" s="5" t="s">
        <v>44</v>
      </c>
      <c r="U2766" s="5" t="s">
        <v>44</v>
      </c>
      <c r="V2766" s="5" t="s">
        <v>44</v>
      </c>
      <c r="W2766" s="5" t="s">
        <v>35</v>
      </c>
      <c r="X2766" s="8" t="s">
        <v>3156</v>
      </c>
      <c r="Y2766" s="5" t="s">
        <v>46</v>
      </c>
      <c r="Z2766" s="5" t="s">
        <v>47</v>
      </c>
      <c r="AA2766" s="5" t="s">
        <v>48</v>
      </c>
      <c r="AB2766" s="5" t="s">
        <v>13456</v>
      </c>
      <c r="AC2766" s="6" t="s">
        <v>71</v>
      </c>
      <c r="AD2766" s="6">
        <v>2329.0</v>
      </c>
    </row>
    <row r="2767" ht="56.25" customHeight="1">
      <c r="A2767" s="5" t="s">
        <v>13432</v>
      </c>
      <c r="B2767" s="6" t="str">
        <f>IMAGE("https://storage.googleapis.com/acdb/housewares/FtrPlayingtire_Remake_4_0.png")</f>
        <v/>
      </c>
      <c r="C2767" s="5" t="s">
        <v>68</v>
      </c>
      <c r="D2767" s="5" t="s">
        <v>13405</v>
      </c>
      <c r="E2767" s="5" t="s">
        <v>34</v>
      </c>
      <c r="F2767" s="5" t="s">
        <v>34</v>
      </c>
      <c r="G2767" s="5" t="s">
        <v>35</v>
      </c>
      <c r="H2767" s="5" t="s">
        <v>35</v>
      </c>
      <c r="I2767" s="5" t="s">
        <v>36</v>
      </c>
      <c r="J2767" s="6">
        <v>1.0</v>
      </c>
      <c r="K2767" s="6" t="s">
        <v>37</v>
      </c>
      <c r="L2767" s="6">
        <v>20.0</v>
      </c>
      <c r="M2767" s="26" t="s">
        <v>68</v>
      </c>
      <c r="N2767" s="26" t="s">
        <v>68</v>
      </c>
      <c r="O2767" s="6" t="s">
        <v>40</v>
      </c>
      <c r="P2767" s="5" t="s">
        <v>41</v>
      </c>
      <c r="Q2767" s="5"/>
      <c r="R2767" s="6" t="s">
        <v>42</v>
      </c>
      <c r="S2767" s="5" t="s">
        <v>172</v>
      </c>
      <c r="T2767" s="5" t="s">
        <v>44</v>
      </c>
      <c r="U2767" s="5" t="s">
        <v>44</v>
      </c>
      <c r="V2767" s="5" t="s">
        <v>44</v>
      </c>
      <c r="W2767" s="5" t="s">
        <v>35</v>
      </c>
      <c r="X2767" s="8" t="s">
        <v>3156</v>
      </c>
      <c r="Y2767" s="5" t="s">
        <v>46</v>
      </c>
      <c r="Z2767" s="5" t="s">
        <v>47</v>
      </c>
      <c r="AA2767" s="5" t="s">
        <v>48</v>
      </c>
      <c r="AB2767" s="5" t="s">
        <v>13461</v>
      </c>
      <c r="AC2767" s="6" t="s">
        <v>75</v>
      </c>
      <c r="AD2767" s="6">
        <v>2329.0</v>
      </c>
    </row>
    <row r="2768" ht="56.25" customHeight="1">
      <c r="A2768" s="5" t="s">
        <v>13432</v>
      </c>
      <c r="B2768" s="6" t="str">
        <f>IMAGE("https://storage.googleapis.com/acdb/housewares/FtrPlayingtire_Remake_5_0.png")</f>
        <v/>
      </c>
      <c r="C2768" s="5" t="s">
        <v>57</v>
      </c>
      <c r="D2768" s="5" t="s">
        <v>13405</v>
      </c>
      <c r="E2768" s="5" t="s">
        <v>34</v>
      </c>
      <c r="F2768" s="5" t="s">
        <v>34</v>
      </c>
      <c r="G2768" s="5" t="s">
        <v>35</v>
      </c>
      <c r="H2768" s="5" t="s">
        <v>35</v>
      </c>
      <c r="I2768" s="5" t="s">
        <v>36</v>
      </c>
      <c r="J2768" s="6">
        <v>1.0</v>
      </c>
      <c r="K2768" s="6" t="s">
        <v>37</v>
      </c>
      <c r="L2768" s="6">
        <v>20.0</v>
      </c>
      <c r="M2768" s="26" t="s">
        <v>57</v>
      </c>
      <c r="N2768" s="26" t="s">
        <v>57</v>
      </c>
      <c r="O2768" s="6" t="s">
        <v>40</v>
      </c>
      <c r="P2768" s="5" t="s">
        <v>41</v>
      </c>
      <c r="Q2768" s="5"/>
      <c r="R2768" s="6" t="s">
        <v>42</v>
      </c>
      <c r="S2768" s="5" t="s">
        <v>172</v>
      </c>
      <c r="T2768" s="5" t="s">
        <v>44</v>
      </c>
      <c r="U2768" s="5" t="s">
        <v>44</v>
      </c>
      <c r="V2768" s="5" t="s">
        <v>44</v>
      </c>
      <c r="W2768" s="5" t="s">
        <v>35</v>
      </c>
      <c r="X2768" s="8" t="s">
        <v>3156</v>
      </c>
      <c r="Y2768" s="5" t="s">
        <v>46</v>
      </c>
      <c r="Z2768" s="5" t="s">
        <v>47</v>
      </c>
      <c r="AA2768" s="5" t="s">
        <v>48</v>
      </c>
      <c r="AB2768" s="5" t="s">
        <v>13467</v>
      </c>
      <c r="AC2768" s="6" t="s">
        <v>79</v>
      </c>
      <c r="AD2768" s="6">
        <v>2329.0</v>
      </c>
    </row>
    <row r="2769" ht="56.25" customHeight="1">
      <c r="A2769" s="5" t="s">
        <v>13469</v>
      </c>
      <c r="B2769" s="6" t="str">
        <f>IMAGE("https://storage.googleapis.com/acdb/housewares/FtrWC_Remake_0_0.png")</f>
        <v/>
      </c>
      <c r="C2769" s="5" t="s">
        <v>57</v>
      </c>
      <c r="D2769" s="5" t="s">
        <v>34</v>
      </c>
      <c r="E2769" s="5" t="s">
        <v>34</v>
      </c>
      <c r="F2769" s="5" t="s">
        <v>34</v>
      </c>
      <c r="G2769" s="5" t="s">
        <v>36</v>
      </c>
      <c r="H2769" s="5" t="s">
        <v>36</v>
      </c>
      <c r="I2769" s="5" t="s">
        <v>36</v>
      </c>
      <c r="J2769" s="6" t="s">
        <v>34</v>
      </c>
      <c r="K2769" s="6">
        <v>4400.0</v>
      </c>
      <c r="L2769" s="6">
        <v>1100.0</v>
      </c>
      <c r="M2769" s="26" t="s">
        <v>57</v>
      </c>
      <c r="N2769" s="26" t="s">
        <v>57</v>
      </c>
      <c r="O2769" s="6" t="s">
        <v>40</v>
      </c>
      <c r="P2769" s="5" t="s">
        <v>59</v>
      </c>
      <c r="Q2769" s="5" t="s">
        <v>122</v>
      </c>
      <c r="R2769" s="6" t="s">
        <v>42</v>
      </c>
      <c r="S2769" s="5" t="s">
        <v>288</v>
      </c>
      <c r="T2769" s="5" t="s">
        <v>44</v>
      </c>
      <c r="U2769" s="5" t="s">
        <v>44</v>
      </c>
      <c r="V2769" s="5" t="s">
        <v>44</v>
      </c>
      <c r="W2769" s="5" t="s">
        <v>35</v>
      </c>
      <c r="X2769" s="8" t="s">
        <v>5512</v>
      </c>
      <c r="Y2769" s="5" t="s">
        <v>46</v>
      </c>
      <c r="Z2769" s="5" t="s">
        <v>47</v>
      </c>
      <c r="AA2769" s="5" t="s">
        <v>64</v>
      </c>
      <c r="AB2769" s="5" t="s">
        <v>13475</v>
      </c>
      <c r="AC2769" s="6" t="s">
        <v>50</v>
      </c>
      <c r="AD2769" s="6">
        <v>1929.0</v>
      </c>
    </row>
    <row r="2770" ht="56.25" customHeight="1">
      <c r="A2770" s="5" t="s">
        <v>13469</v>
      </c>
      <c r="B2770" s="6" t="str">
        <f>IMAGE("https://storage.googleapis.com/acdb/housewares/FtrWC_Remake_1_0.png")</f>
        <v/>
      </c>
      <c r="C2770" s="5" t="s">
        <v>366</v>
      </c>
      <c r="D2770" s="5" t="s">
        <v>34</v>
      </c>
      <c r="E2770" s="5" t="s">
        <v>34</v>
      </c>
      <c r="F2770" s="5" t="s">
        <v>34</v>
      </c>
      <c r="G2770" s="5" t="s">
        <v>36</v>
      </c>
      <c r="H2770" s="5" t="s">
        <v>36</v>
      </c>
      <c r="I2770" s="5" t="s">
        <v>36</v>
      </c>
      <c r="J2770" s="6" t="s">
        <v>34</v>
      </c>
      <c r="K2770" s="6">
        <v>4400.0</v>
      </c>
      <c r="L2770" s="6">
        <v>1100.0</v>
      </c>
      <c r="M2770" s="26" t="s">
        <v>142</v>
      </c>
      <c r="N2770" s="26" t="s">
        <v>57</v>
      </c>
      <c r="O2770" s="6" t="s">
        <v>40</v>
      </c>
      <c r="P2770" s="5" t="s">
        <v>59</v>
      </c>
      <c r="Q2770" s="5" t="s">
        <v>122</v>
      </c>
      <c r="R2770" s="6" t="s">
        <v>42</v>
      </c>
      <c r="S2770" s="5" t="s">
        <v>288</v>
      </c>
      <c r="T2770" s="5" t="s">
        <v>44</v>
      </c>
      <c r="U2770" s="5" t="s">
        <v>44</v>
      </c>
      <c r="V2770" s="5" t="s">
        <v>44</v>
      </c>
      <c r="W2770" s="5" t="s">
        <v>35</v>
      </c>
      <c r="X2770" s="8" t="s">
        <v>5512</v>
      </c>
      <c r="Y2770" s="5" t="s">
        <v>46</v>
      </c>
      <c r="Z2770" s="5" t="s">
        <v>47</v>
      </c>
      <c r="AA2770" s="5" t="s">
        <v>64</v>
      </c>
      <c r="AB2770" s="5" t="s">
        <v>13482</v>
      </c>
      <c r="AC2770" s="6" t="s">
        <v>56</v>
      </c>
      <c r="AD2770" s="6">
        <v>1929.0</v>
      </c>
    </row>
    <row r="2771" ht="56.25" customHeight="1">
      <c r="A2771" s="5" t="s">
        <v>13469</v>
      </c>
      <c r="B2771" s="6" t="str">
        <f>IMAGE("https://storage.googleapis.com/acdb/housewares/FtrWC_Remake_2_0.png")</f>
        <v/>
      </c>
      <c r="C2771" s="5" t="s">
        <v>1132</v>
      </c>
      <c r="D2771" s="5" t="s">
        <v>34</v>
      </c>
      <c r="E2771" s="5" t="s">
        <v>34</v>
      </c>
      <c r="F2771" s="5" t="s">
        <v>34</v>
      </c>
      <c r="G2771" s="5" t="s">
        <v>36</v>
      </c>
      <c r="H2771" s="5" t="s">
        <v>36</v>
      </c>
      <c r="I2771" s="5" t="s">
        <v>36</v>
      </c>
      <c r="J2771" s="6" t="s">
        <v>34</v>
      </c>
      <c r="K2771" s="6">
        <v>4400.0</v>
      </c>
      <c r="L2771" s="6">
        <v>1100.0</v>
      </c>
      <c r="M2771" s="26" t="s">
        <v>39</v>
      </c>
      <c r="N2771" s="26" t="s">
        <v>57</v>
      </c>
      <c r="O2771" s="6" t="s">
        <v>40</v>
      </c>
      <c r="P2771" s="5" t="s">
        <v>59</v>
      </c>
      <c r="Q2771" s="5" t="s">
        <v>122</v>
      </c>
      <c r="R2771" s="6" t="s">
        <v>42</v>
      </c>
      <c r="S2771" s="5" t="s">
        <v>288</v>
      </c>
      <c r="T2771" s="5" t="s">
        <v>44</v>
      </c>
      <c r="U2771" s="5" t="s">
        <v>44</v>
      </c>
      <c r="V2771" s="5" t="s">
        <v>44</v>
      </c>
      <c r="W2771" s="5" t="s">
        <v>35</v>
      </c>
      <c r="X2771" s="8" t="s">
        <v>5512</v>
      </c>
      <c r="Y2771" s="5" t="s">
        <v>46</v>
      </c>
      <c r="Z2771" s="5" t="s">
        <v>47</v>
      </c>
      <c r="AA2771" s="5" t="s">
        <v>64</v>
      </c>
      <c r="AB2771" s="5" t="s">
        <v>13490</v>
      </c>
      <c r="AC2771" s="6" t="s">
        <v>67</v>
      </c>
      <c r="AD2771" s="6">
        <v>1929.0</v>
      </c>
    </row>
    <row r="2772" ht="56.25" customHeight="1">
      <c r="A2772" s="5" t="s">
        <v>13493</v>
      </c>
      <c r="B2772" s="6" t="str">
        <f>IMAGE("https://storage.googleapis.com/acdb/housewares/FtrCleaningsetWC_Remake_0_0.png")</f>
        <v/>
      </c>
      <c r="C2772" s="5" t="s">
        <v>843</v>
      </c>
      <c r="D2772" s="5" t="s">
        <v>34</v>
      </c>
      <c r="E2772" s="5" t="s">
        <v>34</v>
      </c>
      <c r="F2772" s="5" t="s">
        <v>34</v>
      </c>
      <c r="G2772" s="5" t="s">
        <v>36</v>
      </c>
      <c r="H2772" s="5" t="s">
        <v>36</v>
      </c>
      <c r="I2772" s="5" t="s">
        <v>36</v>
      </c>
      <c r="J2772" s="6" t="s">
        <v>34</v>
      </c>
      <c r="K2772" s="6">
        <v>670.0</v>
      </c>
      <c r="L2772" s="6">
        <v>167.0</v>
      </c>
      <c r="M2772" s="26" t="s">
        <v>54</v>
      </c>
      <c r="N2772" s="26" t="s">
        <v>57</v>
      </c>
      <c r="O2772" s="6" t="s">
        <v>40</v>
      </c>
      <c r="P2772" s="5" t="s">
        <v>59</v>
      </c>
      <c r="Q2772" s="5" t="s">
        <v>89</v>
      </c>
      <c r="R2772" s="6" t="s">
        <v>42</v>
      </c>
      <c r="S2772" s="5" t="s">
        <v>288</v>
      </c>
      <c r="T2772" s="5" t="s">
        <v>44</v>
      </c>
      <c r="U2772" s="5" t="s">
        <v>44</v>
      </c>
      <c r="V2772" s="5" t="s">
        <v>44</v>
      </c>
      <c r="W2772" s="5" t="s">
        <v>36</v>
      </c>
      <c r="X2772" s="8" t="s">
        <v>289</v>
      </c>
      <c r="Y2772" s="5" t="s">
        <v>46</v>
      </c>
      <c r="Z2772" s="5" t="s">
        <v>47</v>
      </c>
      <c r="AA2772" s="5" t="s">
        <v>64</v>
      </c>
      <c r="AB2772" s="5" t="s">
        <v>13498</v>
      </c>
      <c r="AC2772" s="6" t="s">
        <v>50</v>
      </c>
      <c r="AD2772" s="6">
        <v>4072.0</v>
      </c>
    </row>
    <row r="2773" ht="56.25" customHeight="1">
      <c r="A2773" s="5" t="s">
        <v>13493</v>
      </c>
      <c r="B2773" s="6" t="str">
        <f>IMAGE("https://storage.googleapis.com/acdb/housewares/FtrCleaningsetWC_Remake_1_0.png")</f>
        <v/>
      </c>
      <c r="C2773" s="5" t="s">
        <v>58</v>
      </c>
      <c r="D2773" s="5" t="s">
        <v>34</v>
      </c>
      <c r="E2773" s="5" t="s">
        <v>34</v>
      </c>
      <c r="F2773" s="5" t="s">
        <v>34</v>
      </c>
      <c r="G2773" s="5" t="s">
        <v>36</v>
      </c>
      <c r="H2773" s="5" t="s">
        <v>36</v>
      </c>
      <c r="I2773" s="5" t="s">
        <v>36</v>
      </c>
      <c r="J2773" s="6" t="s">
        <v>34</v>
      </c>
      <c r="K2773" s="6">
        <v>670.0</v>
      </c>
      <c r="L2773" s="6">
        <v>167.0</v>
      </c>
      <c r="M2773" s="26" t="s">
        <v>52</v>
      </c>
      <c r="N2773" s="26" t="s">
        <v>1175</v>
      </c>
      <c r="O2773" s="6" t="s">
        <v>40</v>
      </c>
      <c r="P2773" s="5" t="s">
        <v>59</v>
      </c>
      <c r="Q2773" s="5" t="s">
        <v>89</v>
      </c>
      <c r="R2773" s="6" t="s">
        <v>42</v>
      </c>
      <c r="S2773" s="5" t="s">
        <v>288</v>
      </c>
      <c r="T2773" s="5" t="s">
        <v>44</v>
      </c>
      <c r="U2773" s="5" t="s">
        <v>44</v>
      </c>
      <c r="V2773" s="5" t="s">
        <v>44</v>
      </c>
      <c r="W2773" s="5" t="s">
        <v>36</v>
      </c>
      <c r="X2773" s="8" t="s">
        <v>289</v>
      </c>
      <c r="Y2773" s="5" t="s">
        <v>46</v>
      </c>
      <c r="Z2773" s="5" t="s">
        <v>47</v>
      </c>
      <c r="AA2773" s="5" t="s">
        <v>64</v>
      </c>
      <c r="AB2773" s="5" t="s">
        <v>13503</v>
      </c>
      <c r="AC2773" s="6" t="s">
        <v>56</v>
      </c>
      <c r="AD2773" s="6">
        <v>4072.0</v>
      </c>
    </row>
    <row r="2774" ht="56.25" customHeight="1">
      <c r="A2774" s="5" t="s">
        <v>13504</v>
      </c>
      <c r="B2774" s="6" t="str">
        <f>IMAGE("https://storage.googleapis.com/acdb/housewares/FtrToolcart_Remake_0_0.png")</f>
        <v/>
      </c>
      <c r="C2774" s="5" t="s">
        <v>52</v>
      </c>
      <c r="D2774" s="5" t="s">
        <v>34</v>
      </c>
      <c r="E2774" s="5" t="s">
        <v>34</v>
      </c>
      <c r="F2774" s="5" t="s">
        <v>34</v>
      </c>
      <c r="G2774" s="5" t="s">
        <v>36</v>
      </c>
      <c r="H2774" s="5" t="s">
        <v>36</v>
      </c>
      <c r="I2774" s="5" t="s">
        <v>36</v>
      </c>
      <c r="J2774" s="6" t="s">
        <v>34</v>
      </c>
      <c r="K2774" s="6">
        <v>2400.0</v>
      </c>
      <c r="L2774" s="6">
        <v>600.0</v>
      </c>
      <c r="M2774" s="26" t="s">
        <v>52</v>
      </c>
      <c r="N2774" s="26" t="s">
        <v>54</v>
      </c>
      <c r="O2774" s="6" t="s">
        <v>40</v>
      </c>
      <c r="P2774" s="5" t="s">
        <v>59</v>
      </c>
      <c r="Q2774" s="5" t="s">
        <v>89</v>
      </c>
      <c r="R2774" s="6" t="s">
        <v>42</v>
      </c>
      <c r="S2774" s="5" t="s">
        <v>416</v>
      </c>
      <c r="T2774" s="5" t="s">
        <v>44</v>
      </c>
      <c r="U2774" s="5" t="s">
        <v>44</v>
      </c>
      <c r="V2774" s="5" t="s">
        <v>44</v>
      </c>
      <c r="W2774" s="5" t="s">
        <v>36</v>
      </c>
      <c r="X2774" s="8" t="s">
        <v>278</v>
      </c>
      <c r="Y2774" s="5" t="s">
        <v>46</v>
      </c>
      <c r="Z2774" s="5" t="s">
        <v>47</v>
      </c>
      <c r="AA2774" s="5" t="s">
        <v>64</v>
      </c>
      <c r="AB2774" s="5" t="s">
        <v>13510</v>
      </c>
      <c r="AC2774" s="6" t="s">
        <v>50</v>
      </c>
      <c r="AD2774" s="6">
        <v>7528.0</v>
      </c>
    </row>
    <row r="2775" ht="56.25" customHeight="1">
      <c r="A2775" s="5" t="s">
        <v>13504</v>
      </c>
      <c r="B2775" s="6" t="str">
        <f>IMAGE("https://storage.googleapis.com/acdb/housewares/FtrToolcart_Remake_1_0.png")</f>
        <v/>
      </c>
      <c r="C2775" s="5" t="s">
        <v>142</v>
      </c>
      <c r="D2775" s="5" t="s">
        <v>34</v>
      </c>
      <c r="E2775" s="5" t="s">
        <v>34</v>
      </c>
      <c r="F2775" s="5" t="s">
        <v>34</v>
      </c>
      <c r="G2775" s="5" t="s">
        <v>36</v>
      </c>
      <c r="H2775" s="5" t="s">
        <v>36</v>
      </c>
      <c r="I2775" s="5" t="s">
        <v>36</v>
      </c>
      <c r="J2775" s="6" t="s">
        <v>34</v>
      </c>
      <c r="K2775" s="6">
        <v>2400.0</v>
      </c>
      <c r="L2775" s="6">
        <v>600.0</v>
      </c>
      <c r="M2775" s="26" t="s">
        <v>142</v>
      </c>
      <c r="N2775" s="26" t="s">
        <v>54</v>
      </c>
      <c r="O2775" s="6" t="s">
        <v>40</v>
      </c>
      <c r="P2775" s="5" t="s">
        <v>59</v>
      </c>
      <c r="Q2775" s="5" t="s">
        <v>89</v>
      </c>
      <c r="R2775" s="6" t="s">
        <v>42</v>
      </c>
      <c r="S2775" s="5" t="s">
        <v>416</v>
      </c>
      <c r="T2775" s="5" t="s">
        <v>44</v>
      </c>
      <c r="U2775" s="5" t="s">
        <v>44</v>
      </c>
      <c r="V2775" s="5" t="s">
        <v>44</v>
      </c>
      <c r="W2775" s="5" t="s">
        <v>36</v>
      </c>
      <c r="X2775" s="8" t="s">
        <v>278</v>
      </c>
      <c r="Y2775" s="5" t="s">
        <v>46</v>
      </c>
      <c r="Z2775" s="5" t="s">
        <v>47</v>
      </c>
      <c r="AA2775" s="5" t="s">
        <v>64</v>
      </c>
      <c r="AB2775" s="5" t="s">
        <v>13519</v>
      </c>
      <c r="AC2775" s="6" t="s">
        <v>56</v>
      </c>
      <c r="AD2775" s="6">
        <v>7528.0</v>
      </c>
    </row>
    <row r="2776" ht="56.25" customHeight="1">
      <c r="A2776" s="5" t="s">
        <v>13504</v>
      </c>
      <c r="B2776" s="6" t="str">
        <f>IMAGE("https://storage.googleapis.com/acdb/housewares/FtrToolcart_Remake_2_0.png")</f>
        <v/>
      </c>
      <c r="C2776" s="5" t="s">
        <v>114</v>
      </c>
      <c r="D2776" s="5" t="s">
        <v>34</v>
      </c>
      <c r="E2776" s="5" t="s">
        <v>34</v>
      </c>
      <c r="F2776" s="5" t="s">
        <v>34</v>
      </c>
      <c r="G2776" s="5" t="s">
        <v>36</v>
      </c>
      <c r="H2776" s="5" t="s">
        <v>36</v>
      </c>
      <c r="I2776" s="5" t="s">
        <v>36</v>
      </c>
      <c r="J2776" s="6" t="s">
        <v>34</v>
      </c>
      <c r="K2776" s="6">
        <v>2400.0</v>
      </c>
      <c r="L2776" s="6">
        <v>600.0</v>
      </c>
      <c r="M2776" s="26" t="s">
        <v>114</v>
      </c>
      <c r="N2776" s="26" t="s">
        <v>54</v>
      </c>
      <c r="O2776" s="6" t="s">
        <v>40</v>
      </c>
      <c r="P2776" s="5" t="s">
        <v>59</v>
      </c>
      <c r="Q2776" s="5" t="s">
        <v>89</v>
      </c>
      <c r="R2776" s="6" t="s">
        <v>42</v>
      </c>
      <c r="S2776" s="5" t="s">
        <v>416</v>
      </c>
      <c r="T2776" s="5" t="s">
        <v>44</v>
      </c>
      <c r="U2776" s="5" t="s">
        <v>44</v>
      </c>
      <c r="V2776" s="5" t="s">
        <v>44</v>
      </c>
      <c r="W2776" s="5" t="s">
        <v>36</v>
      </c>
      <c r="X2776" s="8" t="s">
        <v>278</v>
      </c>
      <c r="Y2776" s="5" t="s">
        <v>46</v>
      </c>
      <c r="Z2776" s="5" t="s">
        <v>47</v>
      </c>
      <c r="AA2776" s="5" t="s">
        <v>64</v>
      </c>
      <c r="AB2776" s="5" t="s">
        <v>13524</v>
      </c>
      <c r="AC2776" s="6" t="s">
        <v>67</v>
      </c>
      <c r="AD2776" s="6">
        <v>7528.0</v>
      </c>
    </row>
    <row r="2777" ht="56.25" customHeight="1">
      <c r="A2777" s="5" t="s">
        <v>13504</v>
      </c>
      <c r="B2777" s="6" t="str">
        <f>IMAGE("https://storage.googleapis.com/acdb/housewares/FtrToolcart_Remake_3_0.png")</f>
        <v/>
      </c>
      <c r="C2777" s="5" t="s">
        <v>96</v>
      </c>
      <c r="D2777" s="5" t="s">
        <v>34</v>
      </c>
      <c r="E2777" s="5" t="s">
        <v>34</v>
      </c>
      <c r="F2777" s="5" t="s">
        <v>34</v>
      </c>
      <c r="G2777" s="5" t="s">
        <v>36</v>
      </c>
      <c r="H2777" s="5" t="s">
        <v>36</v>
      </c>
      <c r="I2777" s="5" t="s">
        <v>36</v>
      </c>
      <c r="J2777" s="6" t="s">
        <v>34</v>
      </c>
      <c r="K2777" s="6">
        <v>2400.0</v>
      </c>
      <c r="L2777" s="6">
        <v>600.0</v>
      </c>
      <c r="M2777" s="26" t="s">
        <v>96</v>
      </c>
      <c r="N2777" s="26" t="s">
        <v>54</v>
      </c>
      <c r="O2777" s="6" t="s">
        <v>40</v>
      </c>
      <c r="P2777" s="5" t="s">
        <v>59</v>
      </c>
      <c r="Q2777" s="5" t="s">
        <v>89</v>
      </c>
      <c r="R2777" s="6" t="s">
        <v>42</v>
      </c>
      <c r="S2777" s="5" t="s">
        <v>416</v>
      </c>
      <c r="T2777" s="5" t="s">
        <v>44</v>
      </c>
      <c r="U2777" s="5" t="s">
        <v>44</v>
      </c>
      <c r="V2777" s="5" t="s">
        <v>44</v>
      </c>
      <c r="W2777" s="5" t="s">
        <v>36</v>
      </c>
      <c r="X2777" s="8" t="s">
        <v>278</v>
      </c>
      <c r="Y2777" s="5" t="s">
        <v>46</v>
      </c>
      <c r="Z2777" s="5" t="s">
        <v>47</v>
      </c>
      <c r="AA2777" s="5" t="s">
        <v>64</v>
      </c>
      <c r="AB2777" s="5" t="s">
        <v>13532</v>
      </c>
      <c r="AC2777" s="6" t="s">
        <v>71</v>
      </c>
      <c r="AD2777" s="6">
        <v>7528.0</v>
      </c>
    </row>
    <row r="2778" ht="56.25" customHeight="1">
      <c r="A2778" s="5" t="s">
        <v>13504</v>
      </c>
      <c r="B2778" s="6" t="str">
        <f>IMAGE("https://storage.googleapis.com/acdb/housewares/FtrToolcart_Remake_4_0.png")</f>
        <v/>
      </c>
      <c r="C2778" s="5" t="s">
        <v>68</v>
      </c>
      <c r="D2778" s="5" t="s">
        <v>34</v>
      </c>
      <c r="E2778" s="5" t="s">
        <v>34</v>
      </c>
      <c r="F2778" s="5" t="s">
        <v>34</v>
      </c>
      <c r="G2778" s="5" t="s">
        <v>36</v>
      </c>
      <c r="H2778" s="5" t="s">
        <v>36</v>
      </c>
      <c r="I2778" s="5" t="s">
        <v>36</v>
      </c>
      <c r="J2778" s="6" t="s">
        <v>34</v>
      </c>
      <c r="K2778" s="6">
        <v>2400.0</v>
      </c>
      <c r="L2778" s="6">
        <v>600.0</v>
      </c>
      <c r="M2778" s="26" t="s">
        <v>68</v>
      </c>
      <c r="N2778" s="26" t="s">
        <v>54</v>
      </c>
      <c r="O2778" s="6" t="s">
        <v>40</v>
      </c>
      <c r="P2778" s="5" t="s">
        <v>59</v>
      </c>
      <c r="Q2778" s="5" t="s">
        <v>89</v>
      </c>
      <c r="R2778" s="6" t="s">
        <v>42</v>
      </c>
      <c r="S2778" s="5" t="s">
        <v>416</v>
      </c>
      <c r="T2778" s="5" t="s">
        <v>44</v>
      </c>
      <c r="U2778" s="5" t="s">
        <v>44</v>
      </c>
      <c r="V2778" s="5" t="s">
        <v>44</v>
      </c>
      <c r="W2778" s="5" t="s">
        <v>36</v>
      </c>
      <c r="X2778" s="8" t="s">
        <v>278</v>
      </c>
      <c r="Y2778" s="5" t="s">
        <v>46</v>
      </c>
      <c r="Z2778" s="5" t="s">
        <v>47</v>
      </c>
      <c r="AA2778" s="5" t="s">
        <v>64</v>
      </c>
      <c r="AB2778" s="5" t="s">
        <v>13539</v>
      </c>
      <c r="AC2778" s="6" t="s">
        <v>75</v>
      </c>
      <c r="AD2778" s="6">
        <v>7528.0</v>
      </c>
    </row>
    <row r="2779" ht="56.25" customHeight="1">
      <c r="A2779" s="5" t="s">
        <v>13504</v>
      </c>
      <c r="B2779" s="6" t="str">
        <f>IMAGE("https://storage.googleapis.com/acdb/housewares/FtrToolcart_Remake_5_0.png")</f>
        <v/>
      </c>
      <c r="C2779" s="5" t="s">
        <v>69</v>
      </c>
      <c r="D2779" s="5" t="s">
        <v>34</v>
      </c>
      <c r="E2779" s="5" t="s">
        <v>34</v>
      </c>
      <c r="F2779" s="5" t="s">
        <v>34</v>
      </c>
      <c r="G2779" s="5" t="s">
        <v>36</v>
      </c>
      <c r="H2779" s="5" t="s">
        <v>36</v>
      </c>
      <c r="I2779" s="5" t="s">
        <v>36</v>
      </c>
      <c r="J2779" s="6" t="s">
        <v>34</v>
      </c>
      <c r="K2779" s="6">
        <v>2400.0</v>
      </c>
      <c r="L2779" s="6">
        <v>600.0</v>
      </c>
      <c r="M2779" s="26" t="s">
        <v>69</v>
      </c>
      <c r="N2779" s="26" t="s">
        <v>54</v>
      </c>
      <c r="O2779" s="6" t="s">
        <v>40</v>
      </c>
      <c r="P2779" s="5" t="s">
        <v>59</v>
      </c>
      <c r="Q2779" s="5" t="s">
        <v>89</v>
      </c>
      <c r="R2779" s="6" t="s">
        <v>42</v>
      </c>
      <c r="S2779" s="5" t="s">
        <v>416</v>
      </c>
      <c r="T2779" s="5" t="s">
        <v>44</v>
      </c>
      <c r="U2779" s="5" t="s">
        <v>44</v>
      </c>
      <c r="V2779" s="5" t="s">
        <v>44</v>
      </c>
      <c r="W2779" s="5" t="s">
        <v>36</v>
      </c>
      <c r="X2779" s="8" t="s">
        <v>278</v>
      </c>
      <c r="Y2779" s="5" t="s">
        <v>46</v>
      </c>
      <c r="Z2779" s="5" t="s">
        <v>47</v>
      </c>
      <c r="AA2779" s="5" t="s">
        <v>64</v>
      </c>
      <c r="AB2779" s="5" t="s">
        <v>13545</v>
      </c>
      <c r="AC2779" s="6" t="s">
        <v>79</v>
      </c>
      <c r="AD2779" s="6">
        <v>7528.0</v>
      </c>
    </row>
    <row r="2780" ht="56.25" customHeight="1">
      <c r="A2780" s="5" t="s">
        <v>13504</v>
      </c>
      <c r="B2780" s="6" t="str">
        <f>IMAGE("https://storage.googleapis.com/acdb/housewares/FtrToolcart_Remake_6_0.png")</f>
        <v/>
      </c>
      <c r="C2780" s="5" t="s">
        <v>54</v>
      </c>
      <c r="D2780" s="5" t="s">
        <v>34</v>
      </c>
      <c r="E2780" s="5" t="s">
        <v>34</v>
      </c>
      <c r="F2780" s="5" t="s">
        <v>34</v>
      </c>
      <c r="G2780" s="5" t="s">
        <v>36</v>
      </c>
      <c r="H2780" s="5" t="s">
        <v>36</v>
      </c>
      <c r="I2780" s="5" t="s">
        <v>36</v>
      </c>
      <c r="J2780" s="6" t="s">
        <v>34</v>
      </c>
      <c r="K2780" s="6">
        <v>2400.0</v>
      </c>
      <c r="L2780" s="6">
        <v>600.0</v>
      </c>
      <c r="M2780" s="26" t="s">
        <v>54</v>
      </c>
      <c r="N2780" s="26" t="s">
        <v>54</v>
      </c>
      <c r="O2780" s="6" t="s">
        <v>40</v>
      </c>
      <c r="P2780" s="5" t="s">
        <v>59</v>
      </c>
      <c r="Q2780" s="5" t="s">
        <v>89</v>
      </c>
      <c r="R2780" s="6" t="s">
        <v>42</v>
      </c>
      <c r="S2780" s="5" t="s">
        <v>416</v>
      </c>
      <c r="T2780" s="5" t="s">
        <v>44</v>
      </c>
      <c r="U2780" s="5" t="s">
        <v>44</v>
      </c>
      <c r="V2780" s="5" t="s">
        <v>44</v>
      </c>
      <c r="W2780" s="5" t="s">
        <v>36</v>
      </c>
      <c r="X2780" s="8" t="s">
        <v>278</v>
      </c>
      <c r="Y2780" s="5" t="s">
        <v>46</v>
      </c>
      <c r="Z2780" s="5" t="s">
        <v>47</v>
      </c>
      <c r="AA2780" s="5" t="s">
        <v>64</v>
      </c>
      <c r="AB2780" s="5" t="s">
        <v>13552</v>
      </c>
      <c r="AC2780" s="6" t="s">
        <v>86</v>
      </c>
      <c r="AD2780" s="6">
        <v>7528.0</v>
      </c>
    </row>
    <row r="2781" ht="56.25" customHeight="1">
      <c r="A2781" s="5" t="s">
        <v>13504</v>
      </c>
      <c r="B2781" s="6" t="str">
        <f>IMAGE("https://storage.googleapis.com/acdb/housewares/FtrToolcart_Remake_7_0.png")</f>
        <v/>
      </c>
      <c r="C2781" s="5" t="s">
        <v>146</v>
      </c>
      <c r="D2781" s="5" t="s">
        <v>34</v>
      </c>
      <c r="E2781" s="5" t="s">
        <v>34</v>
      </c>
      <c r="F2781" s="5" t="s">
        <v>34</v>
      </c>
      <c r="G2781" s="5" t="s">
        <v>36</v>
      </c>
      <c r="H2781" s="5" t="s">
        <v>36</v>
      </c>
      <c r="I2781" s="5" t="s">
        <v>36</v>
      </c>
      <c r="J2781" s="6" t="s">
        <v>34</v>
      </c>
      <c r="K2781" s="6">
        <v>2400.0</v>
      </c>
      <c r="L2781" s="6">
        <v>600.0</v>
      </c>
      <c r="M2781" s="26" t="s">
        <v>95</v>
      </c>
      <c r="N2781" s="26" t="s">
        <v>54</v>
      </c>
      <c r="O2781" s="6" t="s">
        <v>40</v>
      </c>
      <c r="P2781" s="5" t="s">
        <v>59</v>
      </c>
      <c r="Q2781" s="5" t="s">
        <v>89</v>
      </c>
      <c r="R2781" s="6" t="s">
        <v>42</v>
      </c>
      <c r="S2781" s="5" t="s">
        <v>416</v>
      </c>
      <c r="T2781" s="5" t="s">
        <v>44</v>
      </c>
      <c r="U2781" s="5" t="s">
        <v>44</v>
      </c>
      <c r="V2781" s="5" t="s">
        <v>44</v>
      </c>
      <c r="W2781" s="5" t="s">
        <v>36</v>
      </c>
      <c r="X2781" s="8" t="s">
        <v>278</v>
      </c>
      <c r="Y2781" s="5" t="s">
        <v>46</v>
      </c>
      <c r="Z2781" s="5" t="s">
        <v>47</v>
      </c>
      <c r="AA2781" s="5" t="s">
        <v>64</v>
      </c>
      <c r="AB2781" s="5" t="s">
        <v>13557</v>
      </c>
      <c r="AC2781" s="6" t="s">
        <v>208</v>
      </c>
      <c r="AD2781" s="6">
        <v>7528.0</v>
      </c>
    </row>
    <row r="2782" ht="56.25" customHeight="1">
      <c r="A2782" s="5" t="s">
        <v>13558</v>
      </c>
      <c r="B2782" s="6" t="str">
        <f>IMAGE("https://storage.googleapis.com/acdb/housewares/FtrToolshelf_Remake_0_0.png")</f>
        <v/>
      </c>
      <c r="C2782" s="5" t="s">
        <v>57</v>
      </c>
      <c r="D2782" s="5" t="s">
        <v>34</v>
      </c>
      <c r="E2782" s="5" t="s">
        <v>34</v>
      </c>
      <c r="F2782" s="5" t="s">
        <v>34</v>
      </c>
      <c r="G2782" s="5" t="s">
        <v>36</v>
      </c>
      <c r="H2782" s="5" t="s">
        <v>36</v>
      </c>
      <c r="I2782" s="5" t="s">
        <v>36</v>
      </c>
      <c r="J2782" s="6" t="s">
        <v>34</v>
      </c>
      <c r="K2782" s="6">
        <v>7300.0</v>
      </c>
      <c r="L2782" s="6">
        <v>1825.0</v>
      </c>
      <c r="M2782" s="26" t="s">
        <v>57</v>
      </c>
      <c r="N2782" s="26" t="s">
        <v>58</v>
      </c>
      <c r="O2782" s="6" t="s">
        <v>276</v>
      </c>
      <c r="P2782" s="5" t="s">
        <v>59</v>
      </c>
      <c r="Q2782" s="5" t="s">
        <v>89</v>
      </c>
      <c r="R2782" s="6" t="s">
        <v>42</v>
      </c>
      <c r="S2782" s="5" t="s">
        <v>416</v>
      </c>
      <c r="T2782" s="5" t="s">
        <v>141</v>
      </c>
      <c r="U2782" s="5" t="s">
        <v>44</v>
      </c>
      <c r="V2782" s="5" t="s">
        <v>44</v>
      </c>
      <c r="W2782" s="5" t="s">
        <v>36</v>
      </c>
      <c r="X2782" s="8" t="s">
        <v>278</v>
      </c>
      <c r="Y2782" s="5" t="s">
        <v>46</v>
      </c>
      <c r="Z2782" s="5" t="s">
        <v>47</v>
      </c>
      <c r="AA2782" s="5" t="s">
        <v>64</v>
      </c>
      <c r="AB2782" s="5" t="s">
        <v>13567</v>
      </c>
      <c r="AC2782" s="6" t="s">
        <v>50</v>
      </c>
      <c r="AD2782" s="6">
        <v>7525.0</v>
      </c>
    </row>
    <row r="2783" ht="56.25" customHeight="1">
      <c r="A2783" s="5" t="s">
        <v>13558</v>
      </c>
      <c r="B2783" s="6" t="str">
        <f>IMAGE("https://storage.googleapis.com/acdb/housewares/FtrToolshelf_Remake_1_0.png")</f>
        <v/>
      </c>
      <c r="C2783" s="5" t="s">
        <v>96</v>
      </c>
      <c r="D2783" s="5" t="s">
        <v>34</v>
      </c>
      <c r="E2783" s="5" t="s">
        <v>34</v>
      </c>
      <c r="F2783" s="5" t="s">
        <v>34</v>
      </c>
      <c r="G2783" s="5" t="s">
        <v>36</v>
      </c>
      <c r="H2783" s="5" t="s">
        <v>36</v>
      </c>
      <c r="I2783" s="5" t="s">
        <v>36</v>
      </c>
      <c r="J2783" s="6" t="s">
        <v>34</v>
      </c>
      <c r="K2783" s="6">
        <v>7300.0</v>
      </c>
      <c r="L2783" s="6">
        <v>1825.0</v>
      </c>
      <c r="M2783" s="26" t="s">
        <v>96</v>
      </c>
      <c r="N2783" s="26" t="s">
        <v>58</v>
      </c>
      <c r="O2783" s="6" t="s">
        <v>276</v>
      </c>
      <c r="P2783" s="5" t="s">
        <v>59</v>
      </c>
      <c r="Q2783" s="5" t="s">
        <v>89</v>
      </c>
      <c r="R2783" s="6" t="s">
        <v>42</v>
      </c>
      <c r="S2783" s="5" t="s">
        <v>416</v>
      </c>
      <c r="T2783" s="5" t="s">
        <v>141</v>
      </c>
      <c r="U2783" s="5" t="s">
        <v>44</v>
      </c>
      <c r="V2783" s="5" t="s">
        <v>44</v>
      </c>
      <c r="W2783" s="5" t="s">
        <v>36</v>
      </c>
      <c r="X2783" s="8" t="s">
        <v>278</v>
      </c>
      <c r="Y2783" s="5" t="s">
        <v>46</v>
      </c>
      <c r="Z2783" s="5" t="s">
        <v>47</v>
      </c>
      <c r="AA2783" s="5" t="s">
        <v>64</v>
      </c>
      <c r="AB2783" s="5" t="s">
        <v>13572</v>
      </c>
      <c r="AC2783" s="6" t="s">
        <v>56</v>
      </c>
      <c r="AD2783" s="6">
        <v>7525.0</v>
      </c>
    </row>
    <row r="2784" ht="56.25" customHeight="1">
      <c r="A2784" s="5" t="s">
        <v>13558</v>
      </c>
      <c r="B2784" s="6" t="str">
        <f>IMAGE("https://storage.googleapis.com/acdb/housewares/FtrToolshelf_Remake_2_0.png")</f>
        <v/>
      </c>
      <c r="C2784" s="5" t="s">
        <v>68</v>
      </c>
      <c r="D2784" s="5" t="s">
        <v>34</v>
      </c>
      <c r="E2784" s="5" t="s">
        <v>34</v>
      </c>
      <c r="F2784" s="5" t="s">
        <v>34</v>
      </c>
      <c r="G2784" s="5" t="s">
        <v>36</v>
      </c>
      <c r="H2784" s="5" t="s">
        <v>36</v>
      </c>
      <c r="I2784" s="5" t="s">
        <v>36</v>
      </c>
      <c r="J2784" s="6" t="s">
        <v>34</v>
      </c>
      <c r="K2784" s="6">
        <v>7300.0</v>
      </c>
      <c r="L2784" s="6">
        <v>1825.0</v>
      </c>
      <c r="M2784" s="26" t="s">
        <v>68</v>
      </c>
      <c r="N2784" s="26" t="s">
        <v>58</v>
      </c>
      <c r="O2784" s="6" t="s">
        <v>276</v>
      </c>
      <c r="P2784" s="5" t="s">
        <v>59</v>
      </c>
      <c r="Q2784" s="5" t="s">
        <v>89</v>
      </c>
      <c r="R2784" s="6" t="s">
        <v>42</v>
      </c>
      <c r="S2784" s="5" t="s">
        <v>416</v>
      </c>
      <c r="T2784" s="5" t="s">
        <v>141</v>
      </c>
      <c r="U2784" s="5" t="s">
        <v>44</v>
      </c>
      <c r="V2784" s="5" t="s">
        <v>44</v>
      </c>
      <c r="W2784" s="5" t="s">
        <v>36</v>
      </c>
      <c r="X2784" s="8" t="s">
        <v>278</v>
      </c>
      <c r="Y2784" s="5" t="s">
        <v>46</v>
      </c>
      <c r="Z2784" s="5" t="s">
        <v>47</v>
      </c>
      <c r="AA2784" s="5" t="s">
        <v>64</v>
      </c>
      <c r="AB2784" s="5" t="s">
        <v>13577</v>
      </c>
      <c r="AC2784" s="6" t="s">
        <v>67</v>
      </c>
      <c r="AD2784" s="6">
        <v>7525.0</v>
      </c>
    </row>
    <row r="2785" ht="56.25" customHeight="1">
      <c r="A2785" s="5" t="s">
        <v>13558</v>
      </c>
      <c r="B2785" s="6" t="str">
        <f>IMAGE("https://storage.googleapis.com/acdb/housewares/FtrToolshelf_Remake_3_0.png")</f>
        <v/>
      </c>
      <c r="C2785" s="5" t="s">
        <v>54</v>
      </c>
      <c r="D2785" s="5" t="s">
        <v>34</v>
      </c>
      <c r="E2785" s="5" t="s">
        <v>34</v>
      </c>
      <c r="F2785" s="5" t="s">
        <v>34</v>
      </c>
      <c r="G2785" s="5" t="s">
        <v>36</v>
      </c>
      <c r="H2785" s="5" t="s">
        <v>36</v>
      </c>
      <c r="I2785" s="5" t="s">
        <v>36</v>
      </c>
      <c r="J2785" s="6" t="s">
        <v>34</v>
      </c>
      <c r="K2785" s="6">
        <v>7300.0</v>
      </c>
      <c r="L2785" s="6">
        <v>1825.0</v>
      </c>
      <c r="M2785" s="26" t="s">
        <v>54</v>
      </c>
      <c r="N2785" s="26" t="s">
        <v>58</v>
      </c>
      <c r="O2785" s="6" t="s">
        <v>276</v>
      </c>
      <c r="P2785" s="5" t="s">
        <v>59</v>
      </c>
      <c r="Q2785" s="5" t="s">
        <v>89</v>
      </c>
      <c r="R2785" s="6" t="s">
        <v>42</v>
      </c>
      <c r="S2785" s="5" t="s">
        <v>416</v>
      </c>
      <c r="T2785" s="5" t="s">
        <v>141</v>
      </c>
      <c r="U2785" s="5" t="s">
        <v>44</v>
      </c>
      <c r="V2785" s="5" t="s">
        <v>44</v>
      </c>
      <c r="W2785" s="5" t="s">
        <v>36</v>
      </c>
      <c r="X2785" s="8" t="s">
        <v>278</v>
      </c>
      <c r="Y2785" s="5" t="s">
        <v>46</v>
      </c>
      <c r="Z2785" s="5" t="s">
        <v>47</v>
      </c>
      <c r="AA2785" s="5" t="s">
        <v>64</v>
      </c>
      <c r="AB2785" s="5" t="s">
        <v>13582</v>
      </c>
      <c r="AC2785" s="6" t="s">
        <v>71</v>
      </c>
      <c r="AD2785" s="6">
        <v>7525.0</v>
      </c>
    </row>
    <row r="2786" ht="56.25" customHeight="1">
      <c r="A2786" s="5" t="s">
        <v>13583</v>
      </c>
      <c r="B2786" s="6" t="str">
        <f>IMAGE("https://storage.googleapis.com/acdb/housewares/FtrTelescopeSightseeing_Remake_0_0.png")</f>
        <v/>
      </c>
      <c r="C2786" s="5" t="s">
        <v>96</v>
      </c>
      <c r="D2786" s="5" t="s">
        <v>34</v>
      </c>
      <c r="E2786" s="5" t="s">
        <v>34</v>
      </c>
      <c r="F2786" s="5" t="s">
        <v>34</v>
      </c>
      <c r="G2786" s="5" t="s">
        <v>36</v>
      </c>
      <c r="H2786" s="5" t="s">
        <v>36</v>
      </c>
      <c r="I2786" s="5" t="s">
        <v>36</v>
      </c>
      <c r="J2786" s="6" t="s">
        <v>34</v>
      </c>
      <c r="K2786" s="6" t="s">
        <v>37</v>
      </c>
      <c r="L2786" s="6">
        <v>10000.0</v>
      </c>
      <c r="M2786" s="26" t="s">
        <v>96</v>
      </c>
      <c r="N2786" s="26" t="s">
        <v>96</v>
      </c>
      <c r="O2786" s="6" t="s">
        <v>40</v>
      </c>
      <c r="P2786" s="5" t="s">
        <v>2140</v>
      </c>
      <c r="Q2786" s="5"/>
      <c r="R2786" s="6" t="s">
        <v>42</v>
      </c>
      <c r="S2786" s="5" t="s">
        <v>401</v>
      </c>
      <c r="T2786" s="5" t="s">
        <v>141</v>
      </c>
      <c r="U2786" s="5" t="s">
        <v>44</v>
      </c>
      <c r="V2786" s="5" t="s">
        <v>44</v>
      </c>
      <c r="W2786" s="5" t="s">
        <v>36</v>
      </c>
      <c r="X2786" s="8" t="s">
        <v>403</v>
      </c>
      <c r="Y2786" s="5" t="s">
        <v>46</v>
      </c>
      <c r="Z2786" s="5" t="s">
        <v>47</v>
      </c>
      <c r="AA2786" s="5" t="s">
        <v>48</v>
      </c>
      <c r="AB2786" s="5" t="s">
        <v>13587</v>
      </c>
      <c r="AC2786" s="6" t="s">
        <v>50</v>
      </c>
      <c r="AD2786" s="6">
        <v>3078.0</v>
      </c>
    </row>
    <row r="2787" ht="56.25" customHeight="1">
      <c r="A2787" s="5" t="s">
        <v>13583</v>
      </c>
      <c r="B2787" s="6" t="str">
        <f>IMAGE("https://storage.googleapis.com/acdb/housewares/FtrTelescopeSightseeing_Remake_1_0.png")</f>
        <v/>
      </c>
      <c r="C2787" s="5" t="s">
        <v>68</v>
      </c>
      <c r="D2787" s="5" t="s">
        <v>34</v>
      </c>
      <c r="E2787" s="5" t="s">
        <v>34</v>
      </c>
      <c r="F2787" s="5" t="s">
        <v>34</v>
      </c>
      <c r="G2787" s="5" t="s">
        <v>36</v>
      </c>
      <c r="H2787" s="5" t="s">
        <v>36</v>
      </c>
      <c r="I2787" s="5" t="s">
        <v>36</v>
      </c>
      <c r="J2787" s="6" t="s">
        <v>34</v>
      </c>
      <c r="K2787" s="6" t="s">
        <v>37</v>
      </c>
      <c r="L2787" s="6">
        <v>10000.0</v>
      </c>
      <c r="M2787" s="26" t="s">
        <v>68</v>
      </c>
      <c r="N2787" s="26" t="s">
        <v>68</v>
      </c>
      <c r="O2787" s="6" t="s">
        <v>40</v>
      </c>
      <c r="P2787" s="5" t="s">
        <v>2140</v>
      </c>
      <c r="Q2787" s="5"/>
      <c r="R2787" s="6" t="s">
        <v>42</v>
      </c>
      <c r="S2787" s="5" t="s">
        <v>401</v>
      </c>
      <c r="T2787" s="5" t="s">
        <v>141</v>
      </c>
      <c r="U2787" s="5" t="s">
        <v>44</v>
      </c>
      <c r="V2787" s="5" t="s">
        <v>44</v>
      </c>
      <c r="W2787" s="5" t="s">
        <v>36</v>
      </c>
      <c r="X2787" s="8" t="s">
        <v>403</v>
      </c>
      <c r="Y2787" s="5" t="s">
        <v>46</v>
      </c>
      <c r="Z2787" s="5" t="s">
        <v>47</v>
      </c>
      <c r="AA2787" s="5" t="s">
        <v>48</v>
      </c>
      <c r="AB2787" s="5" t="s">
        <v>13591</v>
      </c>
      <c r="AC2787" s="6" t="s">
        <v>56</v>
      </c>
      <c r="AD2787" s="6">
        <v>3078.0</v>
      </c>
    </row>
    <row r="2788" ht="56.25" customHeight="1">
      <c r="A2788" s="5" t="s">
        <v>13583</v>
      </c>
      <c r="B2788" s="6" t="str">
        <f>IMAGE("https://storage.googleapis.com/acdb/housewares/FtrTelescopeSightseeing_Remake_2_0.png")</f>
        <v/>
      </c>
      <c r="C2788" s="5" t="s">
        <v>57</v>
      </c>
      <c r="D2788" s="5" t="s">
        <v>34</v>
      </c>
      <c r="E2788" s="5" t="s">
        <v>34</v>
      </c>
      <c r="F2788" s="5" t="s">
        <v>34</v>
      </c>
      <c r="G2788" s="5" t="s">
        <v>36</v>
      </c>
      <c r="H2788" s="5" t="s">
        <v>36</v>
      </c>
      <c r="I2788" s="5" t="s">
        <v>36</v>
      </c>
      <c r="J2788" s="6" t="s">
        <v>34</v>
      </c>
      <c r="K2788" s="6" t="s">
        <v>37</v>
      </c>
      <c r="L2788" s="6">
        <v>10000.0</v>
      </c>
      <c r="M2788" s="26" t="s">
        <v>57</v>
      </c>
      <c r="N2788" s="26" t="s">
        <v>57</v>
      </c>
      <c r="O2788" s="6" t="s">
        <v>40</v>
      </c>
      <c r="P2788" s="5" t="s">
        <v>2140</v>
      </c>
      <c r="Q2788" s="5"/>
      <c r="R2788" s="6" t="s">
        <v>42</v>
      </c>
      <c r="S2788" s="5" t="s">
        <v>401</v>
      </c>
      <c r="T2788" s="5" t="s">
        <v>141</v>
      </c>
      <c r="U2788" s="5" t="s">
        <v>44</v>
      </c>
      <c r="V2788" s="5" t="s">
        <v>44</v>
      </c>
      <c r="W2788" s="5" t="s">
        <v>36</v>
      </c>
      <c r="X2788" s="8" t="s">
        <v>403</v>
      </c>
      <c r="Y2788" s="5" t="s">
        <v>46</v>
      </c>
      <c r="Z2788" s="5" t="s">
        <v>47</v>
      </c>
      <c r="AA2788" s="5" t="s">
        <v>48</v>
      </c>
      <c r="AB2788" s="5" t="s">
        <v>13596</v>
      </c>
      <c r="AC2788" s="6" t="s">
        <v>67</v>
      </c>
      <c r="AD2788" s="6">
        <v>3078.0</v>
      </c>
    </row>
    <row r="2789" ht="56.25" customHeight="1">
      <c r="A2789" s="5" t="s">
        <v>13583</v>
      </c>
      <c r="B2789" s="6" t="str">
        <f>IMAGE("https://storage.googleapis.com/acdb/housewares/FtrTelescopeSightseeing_Remake_3_0.png")</f>
        <v/>
      </c>
      <c r="C2789" s="5" t="s">
        <v>95</v>
      </c>
      <c r="D2789" s="5" t="s">
        <v>34</v>
      </c>
      <c r="E2789" s="5" t="s">
        <v>34</v>
      </c>
      <c r="F2789" s="5" t="s">
        <v>34</v>
      </c>
      <c r="G2789" s="5" t="s">
        <v>36</v>
      </c>
      <c r="H2789" s="5" t="s">
        <v>36</v>
      </c>
      <c r="I2789" s="5" t="s">
        <v>36</v>
      </c>
      <c r="J2789" s="6" t="s">
        <v>34</v>
      </c>
      <c r="K2789" s="6" t="s">
        <v>37</v>
      </c>
      <c r="L2789" s="6">
        <v>10000.0</v>
      </c>
      <c r="M2789" s="26" t="s">
        <v>95</v>
      </c>
      <c r="N2789" s="26" t="s">
        <v>95</v>
      </c>
      <c r="O2789" s="6" t="s">
        <v>40</v>
      </c>
      <c r="P2789" s="5" t="s">
        <v>2140</v>
      </c>
      <c r="Q2789" s="5"/>
      <c r="R2789" s="6" t="s">
        <v>42</v>
      </c>
      <c r="S2789" s="5" t="s">
        <v>401</v>
      </c>
      <c r="T2789" s="5" t="s">
        <v>141</v>
      </c>
      <c r="U2789" s="5" t="s">
        <v>44</v>
      </c>
      <c r="V2789" s="5" t="s">
        <v>44</v>
      </c>
      <c r="W2789" s="5" t="s">
        <v>36</v>
      </c>
      <c r="X2789" s="8" t="s">
        <v>403</v>
      </c>
      <c r="Y2789" s="5" t="s">
        <v>46</v>
      </c>
      <c r="Z2789" s="5" t="s">
        <v>47</v>
      </c>
      <c r="AA2789" s="5" t="s">
        <v>48</v>
      </c>
      <c r="AB2789" s="5" t="s">
        <v>13600</v>
      </c>
      <c r="AC2789" s="6" t="s">
        <v>71</v>
      </c>
      <c r="AD2789" s="6">
        <v>3078.0</v>
      </c>
    </row>
    <row r="2790" ht="56.25" customHeight="1">
      <c r="A2790" s="5" t="s">
        <v>13583</v>
      </c>
      <c r="B2790" s="6" t="str">
        <f>IMAGE("https://storage.googleapis.com/acdb/housewares/FtrTelescopeSightseeing_Remake_4_0.png")</f>
        <v/>
      </c>
      <c r="C2790" s="5" t="s">
        <v>54</v>
      </c>
      <c r="D2790" s="5" t="s">
        <v>34</v>
      </c>
      <c r="E2790" s="5" t="s">
        <v>34</v>
      </c>
      <c r="F2790" s="5" t="s">
        <v>34</v>
      </c>
      <c r="G2790" s="5" t="s">
        <v>36</v>
      </c>
      <c r="H2790" s="5" t="s">
        <v>36</v>
      </c>
      <c r="I2790" s="5" t="s">
        <v>36</v>
      </c>
      <c r="J2790" s="6" t="s">
        <v>34</v>
      </c>
      <c r="K2790" s="6" t="s">
        <v>37</v>
      </c>
      <c r="L2790" s="6">
        <v>10000.0</v>
      </c>
      <c r="M2790" s="26" t="s">
        <v>54</v>
      </c>
      <c r="N2790" s="26" t="s">
        <v>54</v>
      </c>
      <c r="O2790" s="6" t="s">
        <v>40</v>
      </c>
      <c r="P2790" s="5" t="s">
        <v>2140</v>
      </c>
      <c r="Q2790" s="5"/>
      <c r="R2790" s="6" t="s">
        <v>42</v>
      </c>
      <c r="S2790" s="5" t="s">
        <v>401</v>
      </c>
      <c r="T2790" s="5" t="s">
        <v>141</v>
      </c>
      <c r="U2790" s="5" t="s">
        <v>44</v>
      </c>
      <c r="V2790" s="5" t="s">
        <v>44</v>
      </c>
      <c r="W2790" s="5" t="s">
        <v>36</v>
      </c>
      <c r="X2790" s="8" t="s">
        <v>403</v>
      </c>
      <c r="Y2790" s="5" t="s">
        <v>46</v>
      </c>
      <c r="Z2790" s="5" t="s">
        <v>47</v>
      </c>
      <c r="AA2790" s="5" t="s">
        <v>48</v>
      </c>
      <c r="AB2790" s="5" t="s">
        <v>13605</v>
      </c>
      <c r="AC2790" s="6" t="s">
        <v>75</v>
      </c>
      <c r="AD2790" s="6">
        <v>3078.0</v>
      </c>
    </row>
    <row r="2791" ht="56.25" customHeight="1">
      <c r="A2791" s="5" t="s">
        <v>13606</v>
      </c>
      <c r="B2791" s="6" t="str">
        <f>IMAGE("https://storage.googleapis.com/acdb/housewares/FtrPisa.png")</f>
        <v/>
      </c>
      <c r="C2791" s="5" t="s">
        <v>34</v>
      </c>
      <c r="D2791" s="5" t="s">
        <v>34</v>
      </c>
      <c r="E2791" s="5" t="s">
        <v>34</v>
      </c>
      <c r="F2791" s="5" t="s">
        <v>34</v>
      </c>
      <c r="G2791" s="5" t="s">
        <v>36</v>
      </c>
      <c r="H2791" s="5" t="s">
        <v>36</v>
      </c>
      <c r="I2791" s="5" t="s">
        <v>36</v>
      </c>
      <c r="J2791" s="6" t="s">
        <v>34</v>
      </c>
      <c r="K2791" s="6" t="s">
        <v>37</v>
      </c>
      <c r="L2791" s="6">
        <v>2300.0</v>
      </c>
      <c r="M2791" s="5" t="s">
        <v>38</v>
      </c>
      <c r="N2791" s="5" t="s">
        <v>38</v>
      </c>
      <c r="O2791" s="6" t="s">
        <v>40</v>
      </c>
      <c r="P2791" s="5" t="s">
        <v>1284</v>
      </c>
      <c r="Q2791" s="5"/>
      <c r="R2791" s="6" t="s">
        <v>42</v>
      </c>
      <c r="S2791" s="5" t="s">
        <v>696</v>
      </c>
      <c r="T2791" s="5" t="s">
        <v>44</v>
      </c>
      <c r="U2791" s="5" t="s">
        <v>44</v>
      </c>
      <c r="V2791" s="5" t="s">
        <v>44</v>
      </c>
      <c r="W2791" s="5" t="s">
        <v>36</v>
      </c>
      <c r="X2791" s="8" t="s">
        <v>1285</v>
      </c>
      <c r="Y2791" s="5" t="s">
        <v>46</v>
      </c>
      <c r="Z2791" s="5" t="s">
        <v>47</v>
      </c>
      <c r="AA2791" s="5" t="s">
        <v>48</v>
      </c>
      <c r="AB2791" s="5" t="s">
        <v>13610</v>
      </c>
      <c r="AC2791" s="6" t="s">
        <v>34</v>
      </c>
      <c r="AD2791" s="6">
        <v>700.0</v>
      </c>
    </row>
    <row r="2792" ht="56.25" customHeight="1">
      <c r="A2792" s="5" t="s">
        <v>13611</v>
      </c>
      <c r="B2792" s="6" t="str">
        <f>IMAGE("https://storage.googleapis.com/acdb/housewares/FtrRailroad_Remake_0_0.png")</f>
        <v/>
      </c>
      <c r="C2792" s="5" t="s">
        <v>5574</v>
      </c>
      <c r="D2792" s="5" t="s">
        <v>34</v>
      </c>
      <c r="E2792" s="5" t="s">
        <v>34</v>
      </c>
      <c r="F2792" s="5" t="s">
        <v>34</v>
      </c>
      <c r="G2792" s="5" t="s">
        <v>36</v>
      </c>
      <c r="H2792" s="5" t="s">
        <v>36</v>
      </c>
      <c r="I2792" s="5" t="s">
        <v>36</v>
      </c>
      <c r="J2792" s="6" t="s">
        <v>34</v>
      </c>
      <c r="K2792" s="6">
        <v>7900.0</v>
      </c>
      <c r="L2792" s="6">
        <v>1975.0</v>
      </c>
      <c r="M2792" s="26" t="s">
        <v>96</v>
      </c>
      <c r="N2792" s="26" t="s">
        <v>39</v>
      </c>
      <c r="O2792" s="6" t="s">
        <v>214</v>
      </c>
      <c r="P2792" s="5" t="s">
        <v>59</v>
      </c>
      <c r="Q2792" s="5" t="s">
        <v>115</v>
      </c>
      <c r="R2792" s="6" t="s">
        <v>42</v>
      </c>
      <c r="S2792" s="5" t="s">
        <v>99</v>
      </c>
      <c r="T2792" s="5" t="s">
        <v>44</v>
      </c>
      <c r="U2792" s="5" t="s">
        <v>44</v>
      </c>
      <c r="V2792" s="5" t="s">
        <v>44</v>
      </c>
      <c r="W2792" s="5" t="s">
        <v>35</v>
      </c>
      <c r="X2792" s="8" t="s">
        <v>356</v>
      </c>
      <c r="Y2792" s="5" t="s">
        <v>46</v>
      </c>
      <c r="Z2792" s="5" t="s">
        <v>47</v>
      </c>
      <c r="AA2792" s="5" t="s">
        <v>64</v>
      </c>
      <c r="AB2792" s="5" t="s">
        <v>13618</v>
      </c>
      <c r="AC2792" s="6" t="s">
        <v>50</v>
      </c>
      <c r="AD2792" s="6">
        <v>85.0</v>
      </c>
    </row>
    <row r="2793" ht="56.25" customHeight="1">
      <c r="A2793" s="5" t="s">
        <v>13611</v>
      </c>
      <c r="B2793" s="6" t="str">
        <f>IMAGE("https://storage.googleapis.com/acdb/housewares/FtrRailroad_Remake_1_0.png")</f>
        <v/>
      </c>
      <c r="C2793" s="5" t="s">
        <v>5581</v>
      </c>
      <c r="D2793" s="5" t="s">
        <v>34</v>
      </c>
      <c r="E2793" s="5" t="s">
        <v>34</v>
      </c>
      <c r="F2793" s="5" t="s">
        <v>34</v>
      </c>
      <c r="G2793" s="5" t="s">
        <v>36</v>
      </c>
      <c r="H2793" s="5" t="s">
        <v>36</v>
      </c>
      <c r="I2793" s="5" t="s">
        <v>36</v>
      </c>
      <c r="J2793" s="6" t="s">
        <v>34</v>
      </c>
      <c r="K2793" s="6">
        <v>7900.0</v>
      </c>
      <c r="L2793" s="6">
        <v>1975.0</v>
      </c>
      <c r="M2793" s="26" t="s">
        <v>96</v>
      </c>
      <c r="N2793" s="26" t="s">
        <v>39</v>
      </c>
      <c r="O2793" s="6" t="s">
        <v>214</v>
      </c>
      <c r="P2793" s="5" t="s">
        <v>59</v>
      </c>
      <c r="Q2793" s="5" t="s">
        <v>115</v>
      </c>
      <c r="R2793" s="6" t="s">
        <v>42</v>
      </c>
      <c r="S2793" s="5" t="s">
        <v>99</v>
      </c>
      <c r="T2793" s="5" t="s">
        <v>44</v>
      </c>
      <c r="U2793" s="5" t="s">
        <v>44</v>
      </c>
      <c r="V2793" s="5" t="s">
        <v>44</v>
      </c>
      <c r="W2793" s="5" t="s">
        <v>35</v>
      </c>
      <c r="X2793" s="8" t="s">
        <v>356</v>
      </c>
      <c r="Y2793" s="5" t="s">
        <v>46</v>
      </c>
      <c r="Z2793" s="5" t="s">
        <v>47</v>
      </c>
      <c r="AA2793" s="5" t="s">
        <v>64</v>
      </c>
      <c r="AB2793" s="5" t="s">
        <v>13621</v>
      </c>
      <c r="AC2793" s="6" t="s">
        <v>56</v>
      </c>
      <c r="AD2793" s="6">
        <v>85.0</v>
      </c>
    </row>
    <row r="2794" ht="56.25" customHeight="1">
      <c r="A2794" s="5" t="s">
        <v>13611</v>
      </c>
      <c r="B2794" s="6" t="str">
        <f>IMAGE("https://storage.googleapis.com/acdb/housewares/FtrRailroad_Remake_2_0.png")</f>
        <v/>
      </c>
      <c r="C2794" s="5" t="s">
        <v>5587</v>
      </c>
      <c r="D2794" s="5" t="s">
        <v>34</v>
      </c>
      <c r="E2794" s="5" t="s">
        <v>34</v>
      </c>
      <c r="F2794" s="5" t="s">
        <v>34</v>
      </c>
      <c r="G2794" s="5" t="s">
        <v>36</v>
      </c>
      <c r="H2794" s="5" t="s">
        <v>36</v>
      </c>
      <c r="I2794" s="5" t="s">
        <v>36</v>
      </c>
      <c r="J2794" s="6" t="s">
        <v>34</v>
      </c>
      <c r="K2794" s="6">
        <v>7900.0</v>
      </c>
      <c r="L2794" s="6">
        <v>1975.0</v>
      </c>
      <c r="M2794" s="26" t="s">
        <v>142</v>
      </c>
      <c r="N2794" s="26" t="s">
        <v>39</v>
      </c>
      <c r="O2794" s="6" t="s">
        <v>214</v>
      </c>
      <c r="P2794" s="5" t="s">
        <v>59</v>
      </c>
      <c r="Q2794" s="5" t="s">
        <v>115</v>
      </c>
      <c r="R2794" s="6" t="s">
        <v>42</v>
      </c>
      <c r="S2794" s="5" t="s">
        <v>99</v>
      </c>
      <c r="T2794" s="5" t="s">
        <v>44</v>
      </c>
      <c r="U2794" s="5" t="s">
        <v>44</v>
      </c>
      <c r="V2794" s="5" t="s">
        <v>44</v>
      </c>
      <c r="W2794" s="5" t="s">
        <v>35</v>
      </c>
      <c r="X2794" s="8" t="s">
        <v>356</v>
      </c>
      <c r="Y2794" s="5" t="s">
        <v>46</v>
      </c>
      <c r="Z2794" s="5" t="s">
        <v>47</v>
      </c>
      <c r="AA2794" s="5" t="s">
        <v>64</v>
      </c>
      <c r="AB2794" s="5" t="s">
        <v>13626</v>
      </c>
      <c r="AC2794" s="6" t="s">
        <v>67</v>
      </c>
      <c r="AD2794" s="6">
        <v>85.0</v>
      </c>
    </row>
    <row r="2795" ht="56.25" customHeight="1">
      <c r="A2795" s="5" t="s">
        <v>13611</v>
      </c>
      <c r="B2795" s="6" t="str">
        <f>IMAGE("https://storage.googleapis.com/acdb/housewares/FtrRailroad_Remake_3_0.png")</f>
        <v/>
      </c>
      <c r="C2795" s="5" t="s">
        <v>5592</v>
      </c>
      <c r="D2795" s="5" t="s">
        <v>34</v>
      </c>
      <c r="E2795" s="5" t="s">
        <v>34</v>
      </c>
      <c r="F2795" s="5" t="s">
        <v>34</v>
      </c>
      <c r="G2795" s="5" t="s">
        <v>36</v>
      </c>
      <c r="H2795" s="5" t="s">
        <v>36</v>
      </c>
      <c r="I2795" s="5" t="s">
        <v>36</v>
      </c>
      <c r="J2795" s="6" t="s">
        <v>34</v>
      </c>
      <c r="K2795" s="6">
        <v>7900.0</v>
      </c>
      <c r="L2795" s="6">
        <v>1975.0</v>
      </c>
      <c r="M2795" s="26" t="s">
        <v>57</v>
      </c>
      <c r="N2795" s="26" t="s">
        <v>39</v>
      </c>
      <c r="O2795" s="6" t="s">
        <v>214</v>
      </c>
      <c r="P2795" s="5" t="s">
        <v>59</v>
      </c>
      <c r="Q2795" s="5" t="s">
        <v>115</v>
      </c>
      <c r="R2795" s="6" t="s">
        <v>42</v>
      </c>
      <c r="S2795" s="5" t="s">
        <v>99</v>
      </c>
      <c r="T2795" s="5" t="s">
        <v>44</v>
      </c>
      <c r="U2795" s="5" t="s">
        <v>44</v>
      </c>
      <c r="V2795" s="5" t="s">
        <v>44</v>
      </c>
      <c r="W2795" s="5" t="s">
        <v>35</v>
      </c>
      <c r="X2795" s="8" t="s">
        <v>356</v>
      </c>
      <c r="Y2795" s="5" t="s">
        <v>46</v>
      </c>
      <c r="Z2795" s="5" t="s">
        <v>47</v>
      </c>
      <c r="AA2795" s="5" t="s">
        <v>64</v>
      </c>
      <c r="AB2795" s="5" t="s">
        <v>13632</v>
      </c>
      <c r="AC2795" s="6" t="s">
        <v>71</v>
      </c>
      <c r="AD2795" s="6">
        <v>85.0</v>
      </c>
    </row>
    <row r="2796" ht="56.25" customHeight="1">
      <c r="A2796" s="5" t="s">
        <v>13633</v>
      </c>
      <c r="B2796" s="6" t="str">
        <f>IMAGE("https://storage.googleapis.com/acdb/housewares/FtrRunningmachine_Remake_0_0.png")</f>
        <v/>
      </c>
      <c r="C2796" s="5" t="s">
        <v>54</v>
      </c>
      <c r="D2796" s="5" t="s">
        <v>34</v>
      </c>
      <c r="E2796" s="5" t="s">
        <v>34</v>
      </c>
      <c r="F2796" s="5" t="s">
        <v>34</v>
      </c>
      <c r="G2796" s="5" t="s">
        <v>36</v>
      </c>
      <c r="H2796" s="5" t="s">
        <v>36</v>
      </c>
      <c r="I2796" s="5" t="s">
        <v>36</v>
      </c>
      <c r="J2796" s="6" t="s">
        <v>34</v>
      </c>
      <c r="K2796" s="6">
        <v>64000.0</v>
      </c>
      <c r="L2796" s="6">
        <v>16000.0</v>
      </c>
      <c r="M2796" s="26" t="s">
        <v>54</v>
      </c>
      <c r="N2796" s="5" t="s">
        <v>95</v>
      </c>
      <c r="O2796" s="6" t="s">
        <v>276</v>
      </c>
      <c r="P2796" s="5" t="s">
        <v>59</v>
      </c>
      <c r="Q2796" s="5" t="s">
        <v>115</v>
      </c>
      <c r="R2796" s="6" t="s">
        <v>42</v>
      </c>
      <c r="S2796" s="5" t="s">
        <v>474</v>
      </c>
      <c r="T2796" s="5" t="s">
        <v>44</v>
      </c>
      <c r="U2796" s="5" t="s">
        <v>44</v>
      </c>
      <c r="V2796" s="5" t="s">
        <v>44</v>
      </c>
      <c r="W2796" s="5" t="s">
        <v>35</v>
      </c>
      <c r="X2796" s="8" t="s">
        <v>475</v>
      </c>
      <c r="Y2796" s="5" t="s">
        <v>46</v>
      </c>
      <c r="Z2796" s="5" t="s">
        <v>47</v>
      </c>
      <c r="AA2796" s="5" t="s">
        <v>64</v>
      </c>
      <c r="AB2796" s="5" t="s">
        <v>13637</v>
      </c>
      <c r="AC2796" s="6" t="s">
        <v>50</v>
      </c>
      <c r="AD2796" s="6">
        <v>290.0</v>
      </c>
    </row>
    <row r="2797" ht="56.25" customHeight="1">
      <c r="A2797" s="5" t="s">
        <v>13633</v>
      </c>
      <c r="B2797" s="6" t="str">
        <f>IMAGE("https://storage.googleapis.com/acdb/housewares/FtrRunningmachine_Remake_1_0.png")</f>
        <v/>
      </c>
      <c r="C2797" s="5" t="s">
        <v>52</v>
      </c>
      <c r="D2797" s="5" t="s">
        <v>34</v>
      </c>
      <c r="E2797" s="5" t="s">
        <v>34</v>
      </c>
      <c r="F2797" s="5" t="s">
        <v>34</v>
      </c>
      <c r="G2797" s="5" t="s">
        <v>36</v>
      </c>
      <c r="H2797" s="5" t="s">
        <v>36</v>
      </c>
      <c r="I2797" s="5" t="s">
        <v>36</v>
      </c>
      <c r="J2797" s="6" t="s">
        <v>34</v>
      </c>
      <c r="K2797" s="6">
        <v>64000.0</v>
      </c>
      <c r="L2797" s="6">
        <v>16000.0</v>
      </c>
      <c r="M2797" s="26" t="s">
        <v>52</v>
      </c>
      <c r="N2797" s="26" t="s">
        <v>54</v>
      </c>
      <c r="O2797" s="6" t="s">
        <v>276</v>
      </c>
      <c r="P2797" s="5" t="s">
        <v>59</v>
      </c>
      <c r="Q2797" s="5" t="s">
        <v>115</v>
      </c>
      <c r="R2797" s="6" t="s">
        <v>42</v>
      </c>
      <c r="S2797" s="5" t="s">
        <v>474</v>
      </c>
      <c r="T2797" s="5" t="s">
        <v>44</v>
      </c>
      <c r="U2797" s="5" t="s">
        <v>44</v>
      </c>
      <c r="V2797" s="5" t="s">
        <v>44</v>
      </c>
      <c r="W2797" s="5" t="s">
        <v>35</v>
      </c>
      <c r="X2797" s="8" t="s">
        <v>475</v>
      </c>
      <c r="Y2797" s="5" t="s">
        <v>46</v>
      </c>
      <c r="Z2797" s="5" t="s">
        <v>47</v>
      </c>
      <c r="AA2797" s="5" t="s">
        <v>64</v>
      </c>
      <c r="AB2797" s="5" t="s">
        <v>13643</v>
      </c>
      <c r="AC2797" s="6" t="s">
        <v>56</v>
      </c>
      <c r="AD2797" s="6">
        <v>290.0</v>
      </c>
    </row>
    <row r="2798" ht="56.25" customHeight="1">
      <c r="A2798" s="5" t="s">
        <v>13633</v>
      </c>
      <c r="B2798" s="6" t="str">
        <f>IMAGE("https://storage.googleapis.com/acdb/housewares/FtrRunningmachine_Remake_2_0.png")</f>
        <v/>
      </c>
      <c r="C2798" s="5" t="s">
        <v>68</v>
      </c>
      <c r="D2798" s="5" t="s">
        <v>34</v>
      </c>
      <c r="E2798" s="5" t="s">
        <v>34</v>
      </c>
      <c r="F2798" s="5" t="s">
        <v>34</v>
      </c>
      <c r="G2798" s="5" t="s">
        <v>36</v>
      </c>
      <c r="H2798" s="5" t="s">
        <v>36</v>
      </c>
      <c r="I2798" s="5" t="s">
        <v>36</v>
      </c>
      <c r="J2798" s="6" t="s">
        <v>34</v>
      </c>
      <c r="K2798" s="6">
        <v>64000.0</v>
      </c>
      <c r="L2798" s="6">
        <v>16000.0</v>
      </c>
      <c r="M2798" s="26" t="s">
        <v>68</v>
      </c>
      <c r="N2798" s="26" t="s">
        <v>54</v>
      </c>
      <c r="O2798" s="6" t="s">
        <v>276</v>
      </c>
      <c r="P2798" s="5" t="s">
        <v>59</v>
      </c>
      <c r="Q2798" s="5" t="s">
        <v>115</v>
      </c>
      <c r="R2798" s="6" t="s">
        <v>42</v>
      </c>
      <c r="S2798" s="5" t="s">
        <v>474</v>
      </c>
      <c r="T2798" s="5" t="s">
        <v>44</v>
      </c>
      <c r="U2798" s="5" t="s">
        <v>44</v>
      </c>
      <c r="V2798" s="5" t="s">
        <v>44</v>
      </c>
      <c r="W2798" s="5" t="s">
        <v>35</v>
      </c>
      <c r="X2798" s="8" t="s">
        <v>475</v>
      </c>
      <c r="Y2798" s="5" t="s">
        <v>46</v>
      </c>
      <c r="Z2798" s="5" t="s">
        <v>47</v>
      </c>
      <c r="AA2798" s="5" t="s">
        <v>64</v>
      </c>
      <c r="AB2798" s="5" t="s">
        <v>13648</v>
      </c>
      <c r="AC2798" s="6" t="s">
        <v>67</v>
      </c>
      <c r="AD2798" s="6">
        <v>290.0</v>
      </c>
    </row>
    <row r="2799" ht="56.25" customHeight="1">
      <c r="A2799" s="5" t="s">
        <v>13633</v>
      </c>
      <c r="B2799" s="6" t="str">
        <f>IMAGE("https://storage.googleapis.com/acdb/housewares/FtrRunningmachine_Remake_3_0.png")</f>
        <v/>
      </c>
      <c r="C2799" s="5" t="s">
        <v>57</v>
      </c>
      <c r="D2799" s="5" t="s">
        <v>34</v>
      </c>
      <c r="E2799" s="5" t="s">
        <v>34</v>
      </c>
      <c r="F2799" s="5" t="s">
        <v>34</v>
      </c>
      <c r="G2799" s="5" t="s">
        <v>36</v>
      </c>
      <c r="H2799" s="5" t="s">
        <v>36</v>
      </c>
      <c r="I2799" s="5" t="s">
        <v>36</v>
      </c>
      <c r="J2799" s="6" t="s">
        <v>34</v>
      </c>
      <c r="K2799" s="6">
        <v>64000.0</v>
      </c>
      <c r="L2799" s="6">
        <v>16000.0</v>
      </c>
      <c r="M2799" s="26" t="s">
        <v>57</v>
      </c>
      <c r="N2799" s="26" t="s">
        <v>54</v>
      </c>
      <c r="O2799" s="6" t="s">
        <v>276</v>
      </c>
      <c r="P2799" s="5" t="s">
        <v>59</v>
      </c>
      <c r="Q2799" s="5" t="s">
        <v>115</v>
      </c>
      <c r="R2799" s="6" t="s">
        <v>42</v>
      </c>
      <c r="S2799" s="5" t="s">
        <v>474</v>
      </c>
      <c r="T2799" s="5" t="s">
        <v>44</v>
      </c>
      <c r="U2799" s="5" t="s">
        <v>44</v>
      </c>
      <c r="V2799" s="5" t="s">
        <v>44</v>
      </c>
      <c r="W2799" s="5" t="s">
        <v>35</v>
      </c>
      <c r="X2799" s="8" t="s">
        <v>475</v>
      </c>
      <c r="Y2799" s="5" t="s">
        <v>46</v>
      </c>
      <c r="Z2799" s="5" t="s">
        <v>47</v>
      </c>
      <c r="AA2799" s="5" t="s">
        <v>64</v>
      </c>
      <c r="AB2799" s="5" t="s">
        <v>13652</v>
      </c>
      <c r="AC2799" s="6" t="s">
        <v>71</v>
      </c>
      <c r="AD2799" s="6">
        <v>290.0</v>
      </c>
    </row>
    <row r="2800" ht="56.25" customHeight="1">
      <c r="A2800" s="5" t="s">
        <v>13653</v>
      </c>
      <c r="B2800" s="6" t="str">
        <f>IMAGE("https://storage.googleapis.com/acdb/housewares/FtrHariboteTree_Remake_0_0.png")</f>
        <v/>
      </c>
      <c r="C2800" s="5" t="s">
        <v>5574</v>
      </c>
      <c r="D2800" s="5" t="s">
        <v>5575</v>
      </c>
      <c r="E2800" s="5" t="s">
        <v>34</v>
      </c>
      <c r="F2800" s="5" t="s">
        <v>34</v>
      </c>
      <c r="G2800" s="5" t="s">
        <v>35</v>
      </c>
      <c r="H2800" s="5" t="s">
        <v>35</v>
      </c>
      <c r="I2800" s="5" t="s">
        <v>36</v>
      </c>
      <c r="J2800" s="6">
        <v>3.0</v>
      </c>
      <c r="K2800" s="6" t="s">
        <v>37</v>
      </c>
      <c r="L2800" s="6">
        <v>1560.0</v>
      </c>
      <c r="M2800" s="26" t="s">
        <v>96</v>
      </c>
      <c r="N2800" s="26" t="s">
        <v>39</v>
      </c>
      <c r="O2800" s="6" t="s">
        <v>276</v>
      </c>
      <c r="P2800" s="5" t="s">
        <v>41</v>
      </c>
      <c r="Q2800" s="5"/>
      <c r="R2800" s="6" t="s">
        <v>42</v>
      </c>
      <c r="S2800" s="5" t="s">
        <v>130</v>
      </c>
      <c r="T2800" s="5" t="s">
        <v>44</v>
      </c>
      <c r="U2800" s="5" t="s">
        <v>44</v>
      </c>
      <c r="V2800" s="5" t="s">
        <v>5576</v>
      </c>
      <c r="W2800" s="5" t="s">
        <v>36</v>
      </c>
      <c r="X2800" s="8" t="s">
        <v>1593</v>
      </c>
      <c r="Y2800" s="5" t="s">
        <v>46</v>
      </c>
      <c r="Z2800" s="5" t="s">
        <v>47</v>
      </c>
      <c r="AA2800" s="5" t="s">
        <v>48</v>
      </c>
      <c r="AB2800" s="5" t="s">
        <v>13657</v>
      </c>
      <c r="AC2800" s="6" t="s">
        <v>50</v>
      </c>
      <c r="AD2800" s="6">
        <v>533.0</v>
      </c>
    </row>
    <row r="2801" ht="56.25" customHeight="1">
      <c r="A2801" s="5" t="s">
        <v>13653</v>
      </c>
      <c r="B2801" s="6" t="str">
        <f>IMAGE("https://storage.googleapis.com/acdb/housewares/FtrHariboteTree_Remake_1_0.png")</f>
        <v/>
      </c>
      <c r="C2801" s="5" t="s">
        <v>2387</v>
      </c>
      <c r="D2801" s="5" t="s">
        <v>5575</v>
      </c>
      <c r="E2801" s="5" t="s">
        <v>34</v>
      </c>
      <c r="F2801" s="5" t="s">
        <v>34</v>
      </c>
      <c r="G2801" s="5" t="s">
        <v>35</v>
      </c>
      <c r="H2801" s="5" t="s">
        <v>35</v>
      </c>
      <c r="I2801" s="5" t="s">
        <v>36</v>
      </c>
      <c r="J2801" s="6">
        <v>3.0</v>
      </c>
      <c r="K2801" s="6" t="s">
        <v>37</v>
      </c>
      <c r="L2801" s="6">
        <v>1560.0</v>
      </c>
      <c r="M2801" s="26" t="s">
        <v>69</v>
      </c>
      <c r="N2801" s="26" t="s">
        <v>39</v>
      </c>
      <c r="O2801" s="6" t="s">
        <v>276</v>
      </c>
      <c r="P2801" s="5" t="s">
        <v>41</v>
      </c>
      <c r="Q2801" s="5"/>
      <c r="R2801" s="6" t="s">
        <v>42</v>
      </c>
      <c r="S2801" s="5" t="s">
        <v>130</v>
      </c>
      <c r="T2801" s="5" t="s">
        <v>44</v>
      </c>
      <c r="U2801" s="5" t="s">
        <v>44</v>
      </c>
      <c r="V2801" s="5" t="s">
        <v>5576</v>
      </c>
      <c r="W2801" s="5" t="s">
        <v>36</v>
      </c>
      <c r="X2801" s="8" t="s">
        <v>1593</v>
      </c>
      <c r="Y2801" s="5" t="s">
        <v>46</v>
      </c>
      <c r="Z2801" s="5" t="s">
        <v>47</v>
      </c>
      <c r="AA2801" s="5" t="s">
        <v>48</v>
      </c>
      <c r="AB2801" s="5" t="s">
        <v>13663</v>
      </c>
      <c r="AC2801" s="6" t="s">
        <v>56</v>
      </c>
      <c r="AD2801" s="6">
        <v>533.0</v>
      </c>
    </row>
    <row r="2802" ht="56.25" customHeight="1">
      <c r="A2802" s="5" t="s">
        <v>13653</v>
      </c>
      <c r="B2802" s="6" t="str">
        <f>IMAGE("https://storage.googleapis.com/acdb/housewares/FtrHariboteTree_Remake_2_0.png")</f>
        <v/>
      </c>
      <c r="C2802" s="5" t="s">
        <v>5581</v>
      </c>
      <c r="D2802" s="5" t="s">
        <v>5575</v>
      </c>
      <c r="E2802" s="5" t="s">
        <v>34</v>
      </c>
      <c r="F2802" s="5" t="s">
        <v>34</v>
      </c>
      <c r="G2802" s="5" t="s">
        <v>35</v>
      </c>
      <c r="H2802" s="5" t="s">
        <v>35</v>
      </c>
      <c r="I2802" s="5" t="s">
        <v>36</v>
      </c>
      <c r="J2802" s="6">
        <v>3.0</v>
      </c>
      <c r="K2802" s="6" t="s">
        <v>37</v>
      </c>
      <c r="L2802" s="6">
        <v>1560.0</v>
      </c>
      <c r="M2802" s="26" t="s">
        <v>96</v>
      </c>
      <c r="N2802" s="26" t="s">
        <v>39</v>
      </c>
      <c r="O2802" s="6" t="s">
        <v>276</v>
      </c>
      <c r="P2802" s="5" t="s">
        <v>41</v>
      </c>
      <c r="Q2802" s="5"/>
      <c r="R2802" s="6" t="s">
        <v>42</v>
      </c>
      <c r="S2802" s="5" t="s">
        <v>130</v>
      </c>
      <c r="T2802" s="5" t="s">
        <v>44</v>
      </c>
      <c r="U2802" s="5" t="s">
        <v>44</v>
      </c>
      <c r="V2802" s="5" t="s">
        <v>5576</v>
      </c>
      <c r="W2802" s="5" t="s">
        <v>36</v>
      </c>
      <c r="X2802" s="8" t="s">
        <v>1593</v>
      </c>
      <c r="Y2802" s="5" t="s">
        <v>46</v>
      </c>
      <c r="Z2802" s="5" t="s">
        <v>47</v>
      </c>
      <c r="AA2802" s="5" t="s">
        <v>48</v>
      </c>
      <c r="AB2802" s="5" t="s">
        <v>13667</v>
      </c>
      <c r="AC2802" s="6" t="s">
        <v>67</v>
      </c>
      <c r="AD2802" s="6">
        <v>533.0</v>
      </c>
    </row>
    <row r="2803" ht="56.25" customHeight="1">
      <c r="A2803" s="5" t="s">
        <v>13653</v>
      </c>
      <c r="B2803" s="6" t="str">
        <f>IMAGE("https://storage.googleapis.com/acdb/housewares/FtrHariboteTree_Remake_3_0.png")</f>
        <v/>
      </c>
      <c r="C2803" s="5" t="s">
        <v>5587</v>
      </c>
      <c r="D2803" s="5" t="s">
        <v>5575</v>
      </c>
      <c r="E2803" s="5" t="s">
        <v>34</v>
      </c>
      <c r="F2803" s="5" t="s">
        <v>34</v>
      </c>
      <c r="G2803" s="5" t="s">
        <v>35</v>
      </c>
      <c r="H2803" s="5" t="s">
        <v>35</v>
      </c>
      <c r="I2803" s="5" t="s">
        <v>36</v>
      </c>
      <c r="J2803" s="6">
        <v>3.0</v>
      </c>
      <c r="K2803" s="6" t="s">
        <v>37</v>
      </c>
      <c r="L2803" s="6">
        <v>1560.0</v>
      </c>
      <c r="M2803" s="26" t="s">
        <v>142</v>
      </c>
      <c r="N2803" s="26" t="s">
        <v>39</v>
      </c>
      <c r="O2803" s="6" t="s">
        <v>276</v>
      </c>
      <c r="P2803" s="5" t="s">
        <v>41</v>
      </c>
      <c r="Q2803" s="5"/>
      <c r="R2803" s="6" t="s">
        <v>42</v>
      </c>
      <c r="S2803" s="5" t="s">
        <v>130</v>
      </c>
      <c r="T2803" s="5" t="s">
        <v>44</v>
      </c>
      <c r="U2803" s="5" t="s">
        <v>44</v>
      </c>
      <c r="V2803" s="5" t="s">
        <v>5576</v>
      </c>
      <c r="W2803" s="5" t="s">
        <v>36</v>
      </c>
      <c r="X2803" s="8" t="s">
        <v>1593</v>
      </c>
      <c r="Y2803" s="5" t="s">
        <v>46</v>
      </c>
      <c r="Z2803" s="5" t="s">
        <v>47</v>
      </c>
      <c r="AA2803" s="5" t="s">
        <v>48</v>
      </c>
      <c r="AB2803" s="5" t="s">
        <v>13672</v>
      </c>
      <c r="AC2803" s="6" t="s">
        <v>71</v>
      </c>
      <c r="AD2803" s="6">
        <v>533.0</v>
      </c>
    </row>
    <row r="2804" ht="56.25" customHeight="1">
      <c r="A2804" s="5" t="s">
        <v>13653</v>
      </c>
      <c r="B2804" s="6" t="str">
        <f>IMAGE("https://storage.googleapis.com/acdb/housewares/FtrHariboteTree_Remake_4_0.png")</f>
        <v/>
      </c>
      <c r="C2804" s="5" t="s">
        <v>5592</v>
      </c>
      <c r="D2804" s="5" t="s">
        <v>5575</v>
      </c>
      <c r="E2804" s="5" t="s">
        <v>34</v>
      </c>
      <c r="F2804" s="5" t="s">
        <v>34</v>
      </c>
      <c r="G2804" s="5" t="s">
        <v>35</v>
      </c>
      <c r="H2804" s="5" t="s">
        <v>35</v>
      </c>
      <c r="I2804" s="5" t="s">
        <v>36</v>
      </c>
      <c r="J2804" s="6">
        <v>3.0</v>
      </c>
      <c r="K2804" s="6" t="s">
        <v>37</v>
      </c>
      <c r="L2804" s="6">
        <v>1560.0</v>
      </c>
      <c r="M2804" s="26" t="s">
        <v>57</v>
      </c>
      <c r="N2804" s="26" t="s">
        <v>39</v>
      </c>
      <c r="O2804" s="6" t="s">
        <v>276</v>
      </c>
      <c r="P2804" s="5" t="s">
        <v>41</v>
      </c>
      <c r="Q2804" s="5"/>
      <c r="R2804" s="6" t="s">
        <v>42</v>
      </c>
      <c r="S2804" s="5" t="s">
        <v>130</v>
      </c>
      <c r="T2804" s="5" t="s">
        <v>44</v>
      </c>
      <c r="U2804" s="5" t="s">
        <v>44</v>
      </c>
      <c r="V2804" s="5" t="s">
        <v>5576</v>
      </c>
      <c r="W2804" s="5" t="s">
        <v>36</v>
      </c>
      <c r="X2804" s="8" t="s">
        <v>1593</v>
      </c>
      <c r="Y2804" s="5" t="s">
        <v>46</v>
      </c>
      <c r="Z2804" s="5" t="s">
        <v>47</v>
      </c>
      <c r="AA2804" s="5" t="s">
        <v>48</v>
      </c>
      <c r="AB2804" s="5" t="s">
        <v>13677</v>
      </c>
      <c r="AC2804" s="6" t="s">
        <v>75</v>
      </c>
      <c r="AD2804" s="6">
        <v>533.0</v>
      </c>
    </row>
    <row r="2805" ht="56.25" customHeight="1">
      <c r="A2805" s="5" t="s">
        <v>13678</v>
      </c>
      <c r="B2805" s="6" t="str">
        <f>IMAGE("https://storage.googleapis.com/acdb/housewares/FtrNutArch_Remake_0_0.png")</f>
        <v/>
      </c>
      <c r="C2805" s="5" t="s">
        <v>39</v>
      </c>
      <c r="D2805" s="5" t="s">
        <v>2444</v>
      </c>
      <c r="E2805" s="5" t="s">
        <v>34</v>
      </c>
      <c r="F2805" s="5" t="s">
        <v>34</v>
      </c>
      <c r="G2805" s="5" t="s">
        <v>35</v>
      </c>
      <c r="H2805" s="5" t="s">
        <v>35</v>
      </c>
      <c r="I2805" s="5" t="s">
        <v>36</v>
      </c>
      <c r="J2805" s="6">
        <v>7.0</v>
      </c>
      <c r="K2805" s="6" t="s">
        <v>37</v>
      </c>
      <c r="L2805" s="6">
        <v>5750.0</v>
      </c>
      <c r="M2805" s="26" t="s">
        <v>39</v>
      </c>
      <c r="N2805" s="26" t="s">
        <v>58</v>
      </c>
      <c r="O2805" s="6" t="s">
        <v>707</v>
      </c>
      <c r="P2805" s="5" t="s">
        <v>41</v>
      </c>
      <c r="Q2805" s="5" t="s">
        <v>2840</v>
      </c>
      <c r="R2805" s="6" t="s">
        <v>42</v>
      </c>
      <c r="S2805" s="5" t="s">
        <v>61</v>
      </c>
      <c r="T2805" s="5" t="s">
        <v>172</v>
      </c>
      <c r="U2805" s="5" t="s">
        <v>2448</v>
      </c>
      <c r="V2805" s="5" t="s">
        <v>44</v>
      </c>
      <c r="W2805" s="5" t="s">
        <v>36</v>
      </c>
      <c r="X2805" s="8" t="s">
        <v>1411</v>
      </c>
      <c r="Y2805" s="5" t="s">
        <v>46</v>
      </c>
      <c r="Z2805" s="5" t="s">
        <v>47</v>
      </c>
      <c r="AA2805" s="5" t="s">
        <v>48</v>
      </c>
      <c r="AB2805" s="5" t="s">
        <v>13682</v>
      </c>
      <c r="AC2805" s="6" t="s">
        <v>50</v>
      </c>
      <c r="AD2805" s="6">
        <v>6081.0</v>
      </c>
    </row>
    <row r="2806" ht="56.25" customHeight="1">
      <c r="A2806" s="5" t="s">
        <v>13678</v>
      </c>
      <c r="B2806" s="6" t="str">
        <f>IMAGE("https://storage.googleapis.com/acdb/housewares/FtrNutArch_Remake_1_0.png")</f>
        <v/>
      </c>
      <c r="C2806" s="5" t="s">
        <v>57</v>
      </c>
      <c r="D2806" s="5" t="s">
        <v>2444</v>
      </c>
      <c r="E2806" s="5" t="s">
        <v>34</v>
      </c>
      <c r="F2806" s="5" t="s">
        <v>34</v>
      </c>
      <c r="G2806" s="5" t="s">
        <v>35</v>
      </c>
      <c r="H2806" s="5" t="s">
        <v>35</v>
      </c>
      <c r="I2806" s="5" t="s">
        <v>36</v>
      </c>
      <c r="J2806" s="6">
        <v>7.0</v>
      </c>
      <c r="K2806" s="6" t="s">
        <v>37</v>
      </c>
      <c r="L2806" s="6">
        <v>5750.0</v>
      </c>
      <c r="M2806" s="5" t="s">
        <v>57</v>
      </c>
      <c r="N2806" s="26" t="s">
        <v>58</v>
      </c>
      <c r="O2806" s="6" t="s">
        <v>707</v>
      </c>
      <c r="P2806" s="5" t="s">
        <v>41</v>
      </c>
      <c r="Q2806" s="5" t="s">
        <v>2840</v>
      </c>
      <c r="R2806" s="6" t="s">
        <v>42</v>
      </c>
      <c r="S2806" s="5" t="s">
        <v>61</v>
      </c>
      <c r="T2806" s="5" t="s">
        <v>172</v>
      </c>
      <c r="U2806" s="5" t="s">
        <v>2448</v>
      </c>
      <c r="V2806" s="5" t="s">
        <v>44</v>
      </c>
      <c r="W2806" s="5" t="s">
        <v>36</v>
      </c>
      <c r="X2806" s="8" t="s">
        <v>1411</v>
      </c>
      <c r="Y2806" s="5" t="s">
        <v>46</v>
      </c>
      <c r="Z2806" s="5" t="s">
        <v>47</v>
      </c>
      <c r="AA2806" s="5" t="s">
        <v>48</v>
      </c>
      <c r="AB2806" s="5" t="s">
        <v>13685</v>
      </c>
      <c r="AC2806" s="6" t="s">
        <v>56</v>
      </c>
      <c r="AD2806" s="6">
        <v>6081.0</v>
      </c>
    </row>
    <row r="2807" ht="56.25" customHeight="1">
      <c r="A2807" s="5" t="s">
        <v>13687</v>
      </c>
      <c r="B2807" s="6" t="str">
        <f>IMAGE("https://storage.googleapis.com/acdb/housewares/FtrNutTreeL_Remake_0_0.png")</f>
        <v/>
      </c>
      <c r="C2807" s="5" t="s">
        <v>39</v>
      </c>
      <c r="D2807" s="5" t="s">
        <v>2444</v>
      </c>
      <c r="E2807" s="5" t="s">
        <v>34</v>
      </c>
      <c r="F2807" s="5" t="s">
        <v>34</v>
      </c>
      <c r="G2807" s="5" t="s">
        <v>35</v>
      </c>
      <c r="H2807" s="5" t="s">
        <v>35</v>
      </c>
      <c r="I2807" s="5" t="s">
        <v>36</v>
      </c>
      <c r="J2807" s="6">
        <v>7.0</v>
      </c>
      <c r="K2807" s="6" t="s">
        <v>37</v>
      </c>
      <c r="L2807" s="6">
        <v>6080.0</v>
      </c>
      <c r="M2807" s="26" t="s">
        <v>39</v>
      </c>
      <c r="N2807" s="26" t="s">
        <v>58</v>
      </c>
      <c r="O2807" s="6" t="s">
        <v>40</v>
      </c>
      <c r="P2807" s="5" t="s">
        <v>41</v>
      </c>
      <c r="Q2807" s="5" t="s">
        <v>2840</v>
      </c>
      <c r="R2807" s="6" t="s">
        <v>42</v>
      </c>
      <c r="S2807" s="5" t="s">
        <v>465</v>
      </c>
      <c r="T2807" s="5" t="s">
        <v>61</v>
      </c>
      <c r="U2807" s="5" t="s">
        <v>2448</v>
      </c>
      <c r="V2807" s="5" t="s">
        <v>44</v>
      </c>
      <c r="W2807" s="5" t="s">
        <v>36</v>
      </c>
      <c r="X2807" s="8" t="s">
        <v>590</v>
      </c>
      <c r="Y2807" s="5" t="s">
        <v>46</v>
      </c>
      <c r="Z2807" s="5" t="s">
        <v>47</v>
      </c>
      <c r="AA2807" s="5" t="s">
        <v>48</v>
      </c>
      <c r="AB2807" s="5" t="s">
        <v>13691</v>
      </c>
      <c r="AC2807" s="6" t="s">
        <v>50</v>
      </c>
      <c r="AD2807" s="6">
        <v>6080.0</v>
      </c>
    </row>
    <row r="2808" ht="56.25" customHeight="1">
      <c r="A2808" s="5" t="s">
        <v>13687</v>
      </c>
      <c r="B2808" s="6" t="str">
        <f>IMAGE("https://storage.googleapis.com/acdb/housewares/FtrNutTreeL_Remake_1_0.png")</f>
        <v/>
      </c>
      <c r="C2808" s="5" t="s">
        <v>57</v>
      </c>
      <c r="D2808" s="5" t="s">
        <v>2444</v>
      </c>
      <c r="E2808" s="5" t="s">
        <v>34</v>
      </c>
      <c r="F2808" s="5" t="s">
        <v>34</v>
      </c>
      <c r="G2808" s="5" t="s">
        <v>35</v>
      </c>
      <c r="H2808" s="5" t="s">
        <v>35</v>
      </c>
      <c r="I2808" s="5" t="s">
        <v>36</v>
      </c>
      <c r="J2808" s="6">
        <v>7.0</v>
      </c>
      <c r="K2808" s="6" t="s">
        <v>37</v>
      </c>
      <c r="L2808" s="6">
        <v>6080.0</v>
      </c>
      <c r="M2808" s="5" t="s">
        <v>57</v>
      </c>
      <c r="N2808" s="26" t="s">
        <v>58</v>
      </c>
      <c r="O2808" s="6" t="s">
        <v>40</v>
      </c>
      <c r="P2808" s="5" t="s">
        <v>41</v>
      </c>
      <c r="Q2808" s="5" t="s">
        <v>2840</v>
      </c>
      <c r="R2808" s="6" t="s">
        <v>42</v>
      </c>
      <c r="S2808" s="5" t="s">
        <v>465</v>
      </c>
      <c r="T2808" s="5" t="s">
        <v>61</v>
      </c>
      <c r="U2808" s="5" t="s">
        <v>2448</v>
      </c>
      <c r="V2808" s="5" t="s">
        <v>44</v>
      </c>
      <c r="W2808" s="5" t="s">
        <v>36</v>
      </c>
      <c r="X2808" s="8" t="s">
        <v>590</v>
      </c>
      <c r="Y2808" s="5" t="s">
        <v>46</v>
      </c>
      <c r="Z2808" s="5" t="s">
        <v>47</v>
      </c>
      <c r="AA2808" s="5" t="s">
        <v>48</v>
      </c>
      <c r="AB2808" s="5" t="s">
        <v>13694</v>
      </c>
      <c r="AC2808" s="6" t="s">
        <v>56</v>
      </c>
      <c r="AD2808" s="6">
        <v>6080.0</v>
      </c>
    </row>
    <row r="2809" ht="56.25" customHeight="1">
      <c r="A2809" s="5" t="s">
        <v>13695</v>
      </c>
      <c r="B2809" s="6" t="str">
        <f>IMAGE("https://storage.googleapis.com/acdb/housewares/FtrTricycle_Remake_0_0.png")</f>
        <v/>
      </c>
      <c r="C2809" s="5" t="s">
        <v>52</v>
      </c>
      <c r="D2809" s="5" t="s">
        <v>34</v>
      </c>
      <c r="E2809" s="5" t="s">
        <v>34</v>
      </c>
      <c r="F2809" s="5" t="s">
        <v>34</v>
      </c>
      <c r="G2809" s="5" t="s">
        <v>36</v>
      </c>
      <c r="H2809" s="5" t="s">
        <v>36</v>
      </c>
      <c r="I2809" s="5" t="s">
        <v>36</v>
      </c>
      <c r="J2809" s="6" t="s">
        <v>34</v>
      </c>
      <c r="K2809" s="6">
        <v>1600.0</v>
      </c>
      <c r="L2809" s="6">
        <v>400.0</v>
      </c>
      <c r="M2809" s="26" t="s">
        <v>142</v>
      </c>
      <c r="N2809" s="26" t="s">
        <v>52</v>
      </c>
      <c r="O2809" s="6" t="s">
        <v>40</v>
      </c>
      <c r="P2809" s="5" t="s">
        <v>59</v>
      </c>
      <c r="Q2809" s="5" t="s">
        <v>89</v>
      </c>
      <c r="R2809" s="6" t="s">
        <v>42</v>
      </c>
      <c r="S2809" s="5" t="s">
        <v>172</v>
      </c>
      <c r="T2809" s="5" t="s">
        <v>99</v>
      </c>
      <c r="U2809" s="5" t="s">
        <v>44</v>
      </c>
      <c r="V2809" s="5" t="s">
        <v>44</v>
      </c>
      <c r="W2809" s="5" t="s">
        <v>36</v>
      </c>
      <c r="X2809" s="8" t="s">
        <v>3156</v>
      </c>
      <c r="Y2809" s="5" t="s">
        <v>46</v>
      </c>
      <c r="Z2809" s="5" t="s">
        <v>47</v>
      </c>
      <c r="AA2809" s="5" t="s">
        <v>64</v>
      </c>
      <c r="AB2809" s="5" t="s">
        <v>13699</v>
      </c>
      <c r="AC2809" s="6" t="s">
        <v>50</v>
      </c>
      <c r="AD2809" s="6">
        <v>1199.0</v>
      </c>
    </row>
    <row r="2810" ht="56.25" customHeight="1">
      <c r="A2810" s="5" t="s">
        <v>13695</v>
      </c>
      <c r="B2810" s="6" t="str">
        <f>IMAGE("https://storage.googleapis.com/acdb/housewares/FtrTricycle_Remake_1_0.png")</f>
        <v/>
      </c>
      <c r="C2810" s="5" t="s">
        <v>69</v>
      </c>
      <c r="D2810" s="5" t="s">
        <v>34</v>
      </c>
      <c r="E2810" s="5" t="s">
        <v>34</v>
      </c>
      <c r="F2810" s="5" t="s">
        <v>34</v>
      </c>
      <c r="G2810" s="5" t="s">
        <v>36</v>
      </c>
      <c r="H2810" s="5" t="s">
        <v>36</v>
      </c>
      <c r="I2810" s="5" t="s">
        <v>36</v>
      </c>
      <c r="J2810" s="6" t="s">
        <v>34</v>
      </c>
      <c r="K2810" s="6">
        <v>1600.0</v>
      </c>
      <c r="L2810" s="6">
        <v>400.0</v>
      </c>
      <c r="M2810" s="26" t="s">
        <v>52</v>
      </c>
      <c r="N2810" s="26" t="s">
        <v>69</v>
      </c>
      <c r="O2810" s="6" t="s">
        <v>40</v>
      </c>
      <c r="P2810" s="5" t="s">
        <v>59</v>
      </c>
      <c r="Q2810" s="5" t="s">
        <v>89</v>
      </c>
      <c r="R2810" s="6" t="s">
        <v>42</v>
      </c>
      <c r="S2810" s="5" t="s">
        <v>172</v>
      </c>
      <c r="T2810" s="5" t="s">
        <v>99</v>
      </c>
      <c r="U2810" s="5" t="s">
        <v>44</v>
      </c>
      <c r="V2810" s="5" t="s">
        <v>44</v>
      </c>
      <c r="W2810" s="5" t="s">
        <v>36</v>
      </c>
      <c r="X2810" s="8" t="s">
        <v>3156</v>
      </c>
      <c r="Y2810" s="5" t="s">
        <v>46</v>
      </c>
      <c r="Z2810" s="5" t="s">
        <v>47</v>
      </c>
      <c r="AA2810" s="5" t="s">
        <v>64</v>
      </c>
      <c r="AB2810" s="5" t="s">
        <v>13705</v>
      </c>
      <c r="AC2810" s="6" t="s">
        <v>56</v>
      </c>
      <c r="AD2810" s="6">
        <v>1199.0</v>
      </c>
    </row>
    <row r="2811" ht="56.25" customHeight="1">
      <c r="A2811" s="5" t="s">
        <v>13695</v>
      </c>
      <c r="B2811" s="6" t="str">
        <f>IMAGE("https://storage.googleapis.com/acdb/housewares/FtrTricycle_Remake_2_0.png")</f>
        <v/>
      </c>
      <c r="C2811" s="5" t="s">
        <v>68</v>
      </c>
      <c r="D2811" s="5" t="s">
        <v>34</v>
      </c>
      <c r="E2811" s="5" t="s">
        <v>34</v>
      </c>
      <c r="F2811" s="5" t="s">
        <v>34</v>
      </c>
      <c r="G2811" s="5" t="s">
        <v>36</v>
      </c>
      <c r="H2811" s="5" t="s">
        <v>36</v>
      </c>
      <c r="I2811" s="5" t="s">
        <v>36</v>
      </c>
      <c r="J2811" s="6" t="s">
        <v>34</v>
      </c>
      <c r="K2811" s="6">
        <v>1600.0</v>
      </c>
      <c r="L2811" s="6">
        <v>400.0</v>
      </c>
      <c r="M2811" s="26" t="s">
        <v>68</v>
      </c>
      <c r="N2811" s="26" t="s">
        <v>96</v>
      </c>
      <c r="O2811" s="6" t="s">
        <v>40</v>
      </c>
      <c r="P2811" s="5" t="s">
        <v>59</v>
      </c>
      <c r="Q2811" s="5" t="s">
        <v>89</v>
      </c>
      <c r="R2811" s="6" t="s">
        <v>42</v>
      </c>
      <c r="S2811" s="5" t="s">
        <v>172</v>
      </c>
      <c r="T2811" s="5" t="s">
        <v>99</v>
      </c>
      <c r="U2811" s="5" t="s">
        <v>44</v>
      </c>
      <c r="V2811" s="5" t="s">
        <v>44</v>
      </c>
      <c r="W2811" s="5" t="s">
        <v>36</v>
      </c>
      <c r="X2811" s="8" t="s">
        <v>3156</v>
      </c>
      <c r="Y2811" s="5" t="s">
        <v>46</v>
      </c>
      <c r="Z2811" s="5" t="s">
        <v>47</v>
      </c>
      <c r="AA2811" s="5" t="s">
        <v>64</v>
      </c>
      <c r="AB2811" s="5" t="s">
        <v>13708</v>
      </c>
      <c r="AC2811" s="6" t="s">
        <v>67</v>
      </c>
      <c r="AD2811" s="6">
        <v>1199.0</v>
      </c>
    </row>
    <row r="2812" ht="56.25" customHeight="1">
      <c r="A2812" s="5" t="s">
        <v>13695</v>
      </c>
      <c r="B2812" s="6" t="str">
        <f>IMAGE("https://storage.googleapis.com/acdb/housewares/FtrTricycle_Remake_3_0.png")</f>
        <v/>
      </c>
      <c r="C2812" s="5" t="s">
        <v>114</v>
      </c>
      <c r="D2812" s="5" t="s">
        <v>34</v>
      </c>
      <c r="E2812" s="5" t="s">
        <v>34</v>
      </c>
      <c r="F2812" s="5" t="s">
        <v>34</v>
      </c>
      <c r="G2812" s="5" t="s">
        <v>36</v>
      </c>
      <c r="H2812" s="5" t="s">
        <v>36</v>
      </c>
      <c r="I2812" s="5" t="s">
        <v>36</v>
      </c>
      <c r="J2812" s="6" t="s">
        <v>34</v>
      </c>
      <c r="K2812" s="6">
        <v>1600.0</v>
      </c>
      <c r="L2812" s="6">
        <v>400.0</v>
      </c>
      <c r="M2812" s="26" t="s">
        <v>96</v>
      </c>
      <c r="N2812" s="26" t="s">
        <v>114</v>
      </c>
      <c r="O2812" s="6" t="s">
        <v>40</v>
      </c>
      <c r="P2812" s="5" t="s">
        <v>59</v>
      </c>
      <c r="Q2812" s="5" t="s">
        <v>89</v>
      </c>
      <c r="R2812" s="6" t="s">
        <v>42</v>
      </c>
      <c r="S2812" s="5" t="s">
        <v>172</v>
      </c>
      <c r="T2812" s="5" t="s">
        <v>99</v>
      </c>
      <c r="U2812" s="5" t="s">
        <v>44</v>
      </c>
      <c r="V2812" s="5" t="s">
        <v>44</v>
      </c>
      <c r="W2812" s="5" t="s">
        <v>36</v>
      </c>
      <c r="X2812" s="8" t="s">
        <v>3156</v>
      </c>
      <c r="Y2812" s="5" t="s">
        <v>46</v>
      </c>
      <c r="Z2812" s="5" t="s">
        <v>47</v>
      </c>
      <c r="AA2812" s="5" t="s">
        <v>64</v>
      </c>
      <c r="AB2812" s="5" t="s">
        <v>13713</v>
      </c>
      <c r="AC2812" s="6" t="s">
        <v>71</v>
      </c>
      <c r="AD2812" s="6">
        <v>1199.0</v>
      </c>
    </row>
    <row r="2813" ht="56.25" customHeight="1">
      <c r="A2813" s="5" t="s">
        <v>13695</v>
      </c>
      <c r="B2813" s="6" t="str">
        <f>IMAGE("https://storage.googleapis.com/acdb/housewares/FtrTricycle_Remake_4_0.png")</f>
        <v/>
      </c>
      <c r="C2813" s="5" t="s">
        <v>54</v>
      </c>
      <c r="D2813" s="5" t="s">
        <v>34</v>
      </c>
      <c r="E2813" s="5" t="s">
        <v>34</v>
      </c>
      <c r="F2813" s="5" t="s">
        <v>34</v>
      </c>
      <c r="G2813" s="5" t="s">
        <v>36</v>
      </c>
      <c r="H2813" s="5" t="s">
        <v>36</v>
      </c>
      <c r="I2813" s="5" t="s">
        <v>36</v>
      </c>
      <c r="J2813" s="6" t="s">
        <v>34</v>
      </c>
      <c r="K2813" s="6">
        <v>1600.0</v>
      </c>
      <c r="L2813" s="6">
        <v>400.0</v>
      </c>
      <c r="M2813" s="26" t="s">
        <v>57</v>
      </c>
      <c r="N2813" s="26" t="s">
        <v>54</v>
      </c>
      <c r="O2813" s="6" t="s">
        <v>40</v>
      </c>
      <c r="P2813" s="5" t="s">
        <v>59</v>
      </c>
      <c r="Q2813" s="5" t="s">
        <v>89</v>
      </c>
      <c r="R2813" s="6" t="s">
        <v>42</v>
      </c>
      <c r="S2813" s="5" t="s">
        <v>172</v>
      </c>
      <c r="T2813" s="5" t="s">
        <v>99</v>
      </c>
      <c r="U2813" s="5" t="s">
        <v>44</v>
      </c>
      <c r="V2813" s="5" t="s">
        <v>44</v>
      </c>
      <c r="W2813" s="5" t="s">
        <v>36</v>
      </c>
      <c r="X2813" s="8" t="s">
        <v>3156</v>
      </c>
      <c r="Y2813" s="5" t="s">
        <v>46</v>
      </c>
      <c r="Z2813" s="5" t="s">
        <v>47</v>
      </c>
      <c r="AA2813" s="5" t="s">
        <v>64</v>
      </c>
      <c r="AB2813" s="5" t="s">
        <v>13718</v>
      </c>
      <c r="AC2813" s="6" t="s">
        <v>75</v>
      </c>
      <c r="AD2813" s="6">
        <v>1199.0</v>
      </c>
    </row>
    <row r="2814" ht="56.25" customHeight="1">
      <c r="A2814" s="5" t="s">
        <v>13719</v>
      </c>
      <c r="B2814" s="6" t="str">
        <f>IMAGE("https://storage.googleapis.com/acdb/housewares/FtrTrophycase.png")</f>
        <v/>
      </c>
      <c r="C2814" s="5" t="s">
        <v>34</v>
      </c>
      <c r="D2814" s="5" t="s">
        <v>34</v>
      </c>
      <c r="E2814" s="5" t="s">
        <v>34</v>
      </c>
      <c r="F2814" s="5" t="s">
        <v>34</v>
      </c>
      <c r="G2814" s="5" t="s">
        <v>35</v>
      </c>
      <c r="H2814" s="5" t="s">
        <v>36</v>
      </c>
      <c r="I2814" s="5" t="s">
        <v>36</v>
      </c>
      <c r="J2814" s="6" t="s">
        <v>34</v>
      </c>
      <c r="K2814" s="6" t="s">
        <v>37</v>
      </c>
      <c r="L2814" s="6">
        <v>33690.0</v>
      </c>
      <c r="M2814" s="5" t="s">
        <v>39</v>
      </c>
      <c r="N2814" s="5" t="s">
        <v>58</v>
      </c>
      <c r="O2814" s="6" t="s">
        <v>276</v>
      </c>
      <c r="P2814" s="5" t="s">
        <v>41</v>
      </c>
      <c r="Q2814" s="5"/>
      <c r="R2814" s="6" t="s">
        <v>42</v>
      </c>
      <c r="S2814" s="5" t="s">
        <v>116</v>
      </c>
      <c r="T2814" s="5" t="s">
        <v>90</v>
      </c>
      <c r="U2814" s="5" t="s">
        <v>44</v>
      </c>
      <c r="V2814" s="5" t="s">
        <v>44</v>
      </c>
      <c r="W2814" s="5" t="s">
        <v>36</v>
      </c>
      <c r="X2814" s="8" t="s">
        <v>206</v>
      </c>
      <c r="Y2814" s="5" t="s">
        <v>46</v>
      </c>
      <c r="Z2814" s="5" t="s">
        <v>47</v>
      </c>
      <c r="AA2814" s="5" t="s">
        <v>48</v>
      </c>
      <c r="AB2814" s="5" t="s">
        <v>13725</v>
      </c>
      <c r="AC2814" s="6" t="s">
        <v>34</v>
      </c>
      <c r="AD2814" s="6">
        <v>7261.0</v>
      </c>
    </row>
    <row r="2815" ht="56.25" customHeight="1">
      <c r="A2815" s="5" t="s">
        <v>13726</v>
      </c>
      <c r="B2815" s="6" t="str">
        <f>IMAGE("https://storage.googleapis.com/acdb/housewares/FtrFlowerSurprisedbox_Remake_0_0.png")</f>
        <v/>
      </c>
      <c r="C2815" s="5" t="s">
        <v>52</v>
      </c>
      <c r="D2815" s="5" t="s">
        <v>2163</v>
      </c>
      <c r="E2815" s="5" t="s">
        <v>34</v>
      </c>
      <c r="F2815" s="5" t="s">
        <v>34</v>
      </c>
      <c r="G2815" s="5" t="s">
        <v>35</v>
      </c>
      <c r="H2815" s="5" t="s">
        <v>35</v>
      </c>
      <c r="I2815" s="5" t="s">
        <v>36</v>
      </c>
      <c r="J2815" s="6">
        <v>2.0</v>
      </c>
      <c r="K2815" s="6" t="s">
        <v>37</v>
      </c>
      <c r="L2815" s="6">
        <v>760.0</v>
      </c>
      <c r="M2815" s="26" t="s">
        <v>52</v>
      </c>
      <c r="N2815" s="26" t="s">
        <v>96</v>
      </c>
      <c r="O2815" s="6" t="s">
        <v>40</v>
      </c>
      <c r="P2815" s="5" t="s">
        <v>41</v>
      </c>
      <c r="Q2815" s="5"/>
      <c r="R2815" s="6" t="s">
        <v>42</v>
      </c>
      <c r="S2815" s="5" t="s">
        <v>99</v>
      </c>
      <c r="T2815" s="5" t="s">
        <v>61</v>
      </c>
      <c r="U2815" s="5" t="s">
        <v>311</v>
      </c>
      <c r="V2815" s="5" t="s">
        <v>44</v>
      </c>
      <c r="W2815" s="5" t="s">
        <v>35</v>
      </c>
      <c r="X2815" s="8" t="s">
        <v>356</v>
      </c>
      <c r="Y2815" s="5" t="s">
        <v>46</v>
      </c>
      <c r="Z2815" s="5" t="s">
        <v>47</v>
      </c>
      <c r="AA2815" s="5" t="s">
        <v>48</v>
      </c>
      <c r="AB2815" s="5" t="s">
        <v>13731</v>
      </c>
      <c r="AC2815" s="6" t="s">
        <v>50</v>
      </c>
      <c r="AD2815" s="6">
        <v>7231.0</v>
      </c>
    </row>
    <row r="2816" ht="56.25" customHeight="1">
      <c r="A2816" s="5" t="s">
        <v>13726</v>
      </c>
      <c r="B2816" s="6" t="str">
        <f>IMAGE("https://storage.googleapis.com/acdb/housewares/FtrFlowerSurprisedbox_Remake_1_0.png")</f>
        <v/>
      </c>
      <c r="C2816" s="5" t="s">
        <v>57</v>
      </c>
      <c r="D2816" s="5" t="s">
        <v>2163</v>
      </c>
      <c r="E2816" s="5" t="s">
        <v>34</v>
      </c>
      <c r="F2816" s="5" t="s">
        <v>34</v>
      </c>
      <c r="G2816" s="5" t="s">
        <v>35</v>
      </c>
      <c r="H2816" s="5" t="s">
        <v>35</v>
      </c>
      <c r="I2816" s="5" t="s">
        <v>36</v>
      </c>
      <c r="J2816" s="6">
        <v>2.0</v>
      </c>
      <c r="K2816" s="6" t="s">
        <v>37</v>
      </c>
      <c r="L2816" s="6">
        <v>760.0</v>
      </c>
      <c r="M2816" s="5" t="s">
        <v>57</v>
      </c>
      <c r="N2816" s="26" t="s">
        <v>96</v>
      </c>
      <c r="O2816" s="6" t="s">
        <v>40</v>
      </c>
      <c r="P2816" s="5" t="s">
        <v>41</v>
      </c>
      <c r="Q2816" s="5"/>
      <c r="R2816" s="6" t="s">
        <v>42</v>
      </c>
      <c r="S2816" s="5" t="s">
        <v>99</v>
      </c>
      <c r="T2816" s="5" t="s">
        <v>61</v>
      </c>
      <c r="U2816" s="5" t="s">
        <v>311</v>
      </c>
      <c r="V2816" s="5" t="s">
        <v>44</v>
      </c>
      <c r="W2816" s="5" t="s">
        <v>35</v>
      </c>
      <c r="X2816" s="8" t="s">
        <v>356</v>
      </c>
      <c r="Y2816" s="5" t="s">
        <v>46</v>
      </c>
      <c r="Z2816" s="5" t="s">
        <v>47</v>
      </c>
      <c r="AA2816" s="5" t="s">
        <v>48</v>
      </c>
      <c r="AB2816" s="5" t="s">
        <v>13735</v>
      </c>
      <c r="AC2816" s="6" t="s">
        <v>56</v>
      </c>
      <c r="AD2816" s="6">
        <v>7231.0</v>
      </c>
    </row>
    <row r="2817" ht="56.25" customHeight="1">
      <c r="A2817" s="5" t="s">
        <v>13726</v>
      </c>
      <c r="B2817" s="6" t="str">
        <f>IMAGE("https://storage.googleapis.com/acdb/housewares/FtrFlowerSurprisedbox_Remake_2_0.png")</f>
        <v/>
      </c>
      <c r="C2817" s="5" t="s">
        <v>114</v>
      </c>
      <c r="D2817" s="5" t="s">
        <v>2163</v>
      </c>
      <c r="E2817" s="5" t="s">
        <v>34</v>
      </c>
      <c r="F2817" s="5" t="s">
        <v>34</v>
      </c>
      <c r="G2817" s="5" t="s">
        <v>35</v>
      </c>
      <c r="H2817" s="5" t="s">
        <v>35</v>
      </c>
      <c r="I2817" s="5" t="s">
        <v>36</v>
      </c>
      <c r="J2817" s="6">
        <v>2.0</v>
      </c>
      <c r="K2817" s="6" t="s">
        <v>37</v>
      </c>
      <c r="L2817" s="6">
        <v>760.0</v>
      </c>
      <c r="M2817" s="26" t="s">
        <v>114</v>
      </c>
      <c r="N2817" s="26" t="s">
        <v>96</v>
      </c>
      <c r="O2817" s="6" t="s">
        <v>40</v>
      </c>
      <c r="P2817" s="5" t="s">
        <v>41</v>
      </c>
      <c r="Q2817" s="5"/>
      <c r="R2817" s="6" t="s">
        <v>42</v>
      </c>
      <c r="S2817" s="5" t="s">
        <v>99</v>
      </c>
      <c r="T2817" s="5" t="s">
        <v>61</v>
      </c>
      <c r="U2817" s="5" t="s">
        <v>311</v>
      </c>
      <c r="V2817" s="5" t="s">
        <v>44</v>
      </c>
      <c r="W2817" s="5" t="s">
        <v>35</v>
      </c>
      <c r="X2817" s="8" t="s">
        <v>356</v>
      </c>
      <c r="Y2817" s="5" t="s">
        <v>46</v>
      </c>
      <c r="Z2817" s="5" t="s">
        <v>47</v>
      </c>
      <c r="AA2817" s="5" t="s">
        <v>48</v>
      </c>
      <c r="AB2817" s="5" t="s">
        <v>13740</v>
      </c>
      <c r="AC2817" s="6" t="s">
        <v>67</v>
      </c>
      <c r="AD2817" s="6">
        <v>7231.0</v>
      </c>
    </row>
    <row r="2818" ht="56.25" customHeight="1">
      <c r="A2818" s="5" t="s">
        <v>13741</v>
      </c>
      <c r="B2818" s="6" t="str">
        <f>IMAGE("https://storage.googleapis.com/acdb/housewares/FtrCameraTV_Remake_0_0.png")</f>
        <v/>
      </c>
      <c r="C2818" s="5" t="s">
        <v>54</v>
      </c>
      <c r="D2818" s="5" t="s">
        <v>34</v>
      </c>
      <c r="E2818" s="5" t="s">
        <v>34</v>
      </c>
      <c r="F2818" s="5" t="s">
        <v>34</v>
      </c>
      <c r="G2818" s="5" t="s">
        <v>36</v>
      </c>
      <c r="H2818" s="5" t="s">
        <v>36</v>
      </c>
      <c r="I2818" s="5" t="s">
        <v>36</v>
      </c>
      <c r="J2818" s="6" t="s">
        <v>34</v>
      </c>
      <c r="K2818" s="6">
        <v>14000.0</v>
      </c>
      <c r="L2818" s="6">
        <v>3500.0</v>
      </c>
      <c r="M2818" s="26" t="s">
        <v>54</v>
      </c>
      <c r="N2818" s="26" t="s">
        <v>54</v>
      </c>
      <c r="O2818" s="6" t="s">
        <v>40</v>
      </c>
      <c r="P2818" s="5" t="s">
        <v>59</v>
      </c>
      <c r="Q2818" s="5" t="s">
        <v>115</v>
      </c>
      <c r="R2818" s="6" t="s">
        <v>42</v>
      </c>
      <c r="S2818" s="5" t="s">
        <v>141</v>
      </c>
      <c r="T2818" s="5" t="s">
        <v>129</v>
      </c>
      <c r="U2818" s="5" t="s">
        <v>44</v>
      </c>
      <c r="V2818" s="5" t="s">
        <v>44</v>
      </c>
      <c r="W2818" s="5" t="s">
        <v>35</v>
      </c>
      <c r="X2818" s="8" t="s">
        <v>921</v>
      </c>
      <c r="Y2818" s="5" t="s">
        <v>46</v>
      </c>
      <c r="Z2818" s="5" t="s">
        <v>47</v>
      </c>
      <c r="AA2818" s="5" t="s">
        <v>64</v>
      </c>
      <c r="AB2818" s="5" t="s">
        <v>13744</v>
      </c>
      <c r="AC2818" s="6" t="s">
        <v>50</v>
      </c>
      <c r="AD2818" s="6">
        <v>1412.0</v>
      </c>
    </row>
    <row r="2819" ht="56.25" customHeight="1">
      <c r="A2819" s="5" t="s">
        <v>13741</v>
      </c>
      <c r="B2819" s="6" t="str">
        <f>IMAGE("https://storage.googleapis.com/acdb/housewares/FtrCameraTV_Remake_1_0.png")</f>
        <v/>
      </c>
      <c r="C2819" s="5" t="s">
        <v>57</v>
      </c>
      <c r="D2819" s="5" t="s">
        <v>34</v>
      </c>
      <c r="E2819" s="5" t="s">
        <v>34</v>
      </c>
      <c r="F2819" s="5" t="s">
        <v>34</v>
      </c>
      <c r="G2819" s="5" t="s">
        <v>36</v>
      </c>
      <c r="H2819" s="5" t="s">
        <v>36</v>
      </c>
      <c r="I2819" s="5" t="s">
        <v>36</v>
      </c>
      <c r="J2819" s="6" t="s">
        <v>34</v>
      </c>
      <c r="K2819" s="6">
        <v>14000.0</v>
      </c>
      <c r="L2819" s="6">
        <v>3500.0</v>
      </c>
      <c r="M2819" s="26" t="s">
        <v>57</v>
      </c>
      <c r="N2819" s="26" t="s">
        <v>54</v>
      </c>
      <c r="O2819" s="6" t="s">
        <v>40</v>
      </c>
      <c r="P2819" s="5" t="s">
        <v>59</v>
      </c>
      <c r="Q2819" s="5" t="s">
        <v>115</v>
      </c>
      <c r="R2819" s="6" t="s">
        <v>42</v>
      </c>
      <c r="S2819" s="5" t="s">
        <v>141</v>
      </c>
      <c r="T2819" s="5" t="s">
        <v>129</v>
      </c>
      <c r="U2819" s="5" t="s">
        <v>44</v>
      </c>
      <c r="V2819" s="5" t="s">
        <v>44</v>
      </c>
      <c r="W2819" s="5" t="s">
        <v>35</v>
      </c>
      <c r="X2819" s="8" t="s">
        <v>921</v>
      </c>
      <c r="Y2819" s="5" t="s">
        <v>46</v>
      </c>
      <c r="Z2819" s="5" t="s">
        <v>47</v>
      </c>
      <c r="AA2819" s="5" t="s">
        <v>64</v>
      </c>
      <c r="AB2819" s="5" t="s">
        <v>13749</v>
      </c>
      <c r="AC2819" s="6" t="s">
        <v>56</v>
      </c>
      <c r="AD2819" s="6">
        <v>1412.0</v>
      </c>
    </row>
    <row r="2820" ht="56.25" customHeight="1">
      <c r="A2820" s="5" t="s">
        <v>13750</v>
      </c>
      <c r="B2820" s="6" t="str">
        <f>IMAGE("https://storage.googleapis.com/acdb/housewares/FtrLocker_Remake_0_0.png")</f>
        <v/>
      </c>
      <c r="C2820" s="5" t="s">
        <v>146</v>
      </c>
      <c r="D2820" s="5" t="s">
        <v>34</v>
      </c>
      <c r="E2820" s="5" t="s">
        <v>44</v>
      </c>
      <c r="F2820" s="5" t="s">
        <v>3454</v>
      </c>
      <c r="G2820" s="5" t="s">
        <v>36</v>
      </c>
      <c r="H2820" s="5" t="s">
        <v>36</v>
      </c>
      <c r="I2820" s="5" t="s">
        <v>35</v>
      </c>
      <c r="J2820" s="6">
        <v>2.0</v>
      </c>
      <c r="K2820" s="6">
        <v>3700.0</v>
      </c>
      <c r="L2820" s="6">
        <v>925.0</v>
      </c>
      <c r="M2820" s="26" t="s">
        <v>95</v>
      </c>
      <c r="N2820" s="26" t="s">
        <v>95</v>
      </c>
      <c r="O2820" s="6" t="s">
        <v>40</v>
      </c>
      <c r="P2820" s="5" t="s">
        <v>59</v>
      </c>
      <c r="Q2820" s="5" t="s">
        <v>89</v>
      </c>
      <c r="R2820" s="6" t="s">
        <v>42</v>
      </c>
      <c r="S2820" s="5" t="s">
        <v>130</v>
      </c>
      <c r="T2820" s="5" t="s">
        <v>141</v>
      </c>
      <c r="U2820" s="5" t="s">
        <v>44</v>
      </c>
      <c r="V2820" s="5" t="s">
        <v>44</v>
      </c>
      <c r="W2820" s="5" t="s">
        <v>35</v>
      </c>
      <c r="X2820" s="8" t="s">
        <v>322</v>
      </c>
      <c r="Y2820" s="5" t="s">
        <v>46</v>
      </c>
      <c r="Z2820" s="5" t="s">
        <v>47</v>
      </c>
      <c r="AA2820" s="5" t="s">
        <v>64</v>
      </c>
      <c r="AB2820" s="5" t="s">
        <v>13754</v>
      </c>
      <c r="AC2820" s="6" t="s">
        <v>50</v>
      </c>
      <c r="AD2820" s="6">
        <v>833.0</v>
      </c>
    </row>
    <row r="2821" ht="56.25" customHeight="1">
      <c r="A2821" s="5" t="s">
        <v>13750</v>
      </c>
      <c r="B2821" s="6" t="str">
        <f>IMAGE("https://storage.googleapis.com/acdb/housewares/FtrLocker_Remake_0_1.png")</f>
        <v/>
      </c>
      <c r="C2821" s="5" t="s">
        <v>146</v>
      </c>
      <c r="D2821" s="5" t="s">
        <v>34</v>
      </c>
      <c r="E2821" s="5" t="s">
        <v>1952</v>
      </c>
      <c r="F2821" s="5" t="s">
        <v>3454</v>
      </c>
      <c r="G2821" s="5" t="s">
        <v>36</v>
      </c>
      <c r="H2821" s="5" t="s">
        <v>36</v>
      </c>
      <c r="I2821" s="5" t="s">
        <v>35</v>
      </c>
      <c r="J2821" s="6">
        <v>2.0</v>
      </c>
      <c r="K2821" s="6">
        <v>3700.0</v>
      </c>
      <c r="L2821" s="6">
        <v>925.0</v>
      </c>
      <c r="M2821" s="26" t="s">
        <v>95</v>
      </c>
      <c r="N2821" s="26" t="s">
        <v>54</v>
      </c>
      <c r="O2821" s="6" t="s">
        <v>40</v>
      </c>
      <c r="P2821" s="5" t="s">
        <v>59</v>
      </c>
      <c r="Q2821" s="5" t="s">
        <v>89</v>
      </c>
      <c r="R2821" s="6" t="s">
        <v>42</v>
      </c>
      <c r="S2821" s="5" t="s">
        <v>130</v>
      </c>
      <c r="T2821" s="5" t="s">
        <v>141</v>
      </c>
      <c r="U2821" s="5" t="s">
        <v>44</v>
      </c>
      <c r="V2821" s="5" t="s">
        <v>44</v>
      </c>
      <c r="W2821" s="5" t="s">
        <v>35</v>
      </c>
      <c r="X2821" s="8" t="s">
        <v>322</v>
      </c>
      <c r="Y2821" s="5" t="s">
        <v>46</v>
      </c>
      <c r="Z2821" s="5" t="s">
        <v>47</v>
      </c>
      <c r="AA2821" s="5" t="s">
        <v>64</v>
      </c>
      <c r="AB2821" s="5" t="s">
        <v>13759</v>
      </c>
      <c r="AC2821" s="6" t="s">
        <v>217</v>
      </c>
      <c r="AD2821" s="6">
        <v>833.0</v>
      </c>
    </row>
    <row r="2822" ht="56.25" customHeight="1">
      <c r="A2822" s="5" t="s">
        <v>13750</v>
      </c>
      <c r="B2822" s="6" t="str">
        <f>IMAGE("https://storage.googleapis.com/acdb/housewares/FtrLocker_Remake_0_2.png")</f>
        <v/>
      </c>
      <c r="C2822" s="5" t="s">
        <v>146</v>
      </c>
      <c r="D2822" s="5" t="s">
        <v>34</v>
      </c>
      <c r="E2822" s="5" t="s">
        <v>1959</v>
      </c>
      <c r="F2822" s="5" t="s">
        <v>3454</v>
      </c>
      <c r="G2822" s="5" t="s">
        <v>36</v>
      </c>
      <c r="H2822" s="5" t="s">
        <v>36</v>
      </c>
      <c r="I2822" s="5" t="s">
        <v>35</v>
      </c>
      <c r="J2822" s="6">
        <v>2.0</v>
      </c>
      <c r="K2822" s="6">
        <v>3700.0</v>
      </c>
      <c r="L2822" s="6">
        <v>925.0</v>
      </c>
      <c r="M2822" s="26" t="s">
        <v>95</v>
      </c>
      <c r="N2822" s="26" t="s">
        <v>69</v>
      </c>
      <c r="O2822" s="6" t="s">
        <v>40</v>
      </c>
      <c r="P2822" s="5" t="s">
        <v>59</v>
      </c>
      <c r="Q2822" s="5" t="s">
        <v>89</v>
      </c>
      <c r="R2822" s="6" t="s">
        <v>42</v>
      </c>
      <c r="S2822" s="5" t="s">
        <v>130</v>
      </c>
      <c r="T2822" s="5" t="s">
        <v>141</v>
      </c>
      <c r="U2822" s="5" t="s">
        <v>44</v>
      </c>
      <c r="V2822" s="5" t="s">
        <v>44</v>
      </c>
      <c r="W2822" s="5" t="s">
        <v>35</v>
      </c>
      <c r="X2822" s="8" t="s">
        <v>322</v>
      </c>
      <c r="Y2822" s="5" t="s">
        <v>46</v>
      </c>
      <c r="Z2822" s="5" t="s">
        <v>47</v>
      </c>
      <c r="AA2822" s="5" t="s">
        <v>64</v>
      </c>
      <c r="AB2822" s="5" t="s">
        <v>13765</v>
      </c>
      <c r="AC2822" s="6" t="s">
        <v>347</v>
      </c>
      <c r="AD2822" s="6">
        <v>833.0</v>
      </c>
    </row>
    <row r="2823" ht="56.25" customHeight="1">
      <c r="A2823" s="5" t="s">
        <v>13750</v>
      </c>
      <c r="B2823" s="6" t="str">
        <f>IMAGE("https://storage.googleapis.com/acdb/housewares/FtrLocker_Remake_0_3.png")</f>
        <v/>
      </c>
      <c r="C2823" s="5" t="s">
        <v>146</v>
      </c>
      <c r="D2823" s="5" t="s">
        <v>34</v>
      </c>
      <c r="E2823" s="5" t="s">
        <v>1167</v>
      </c>
      <c r="F2823" s="5" t="s">
        <v>3454</v>
      </c>
      <c r="G2823" s="5" t="s">
        <v>36</v>
      </c>
      <c r="H2823" s="5" t="s">
        <v>36</v>
      </c>
      <c r="I2823" s="5" t="s">
        <v>35</v>
      </c>
      <c r="J2823" s="6">
        <v>2.0</v>
      </c>
      <c r="K2823" s="6">
        <v>3700.0</v>
      </c>
      <c r="L2823" s="6">
        <v>925.0</v>
      </c>
      <c r="M2823" s="26" t="s">
        <v>95</v>
      </c>
      <c r="N2823" s="26" t="s">
        <v>58</v>
      </c>
      <c r="O2823" s="6" t="s">
        <v>40</v>
      </c>
      <c r="P2823" s="5" t="s">
        <v>59</v>
      </c>
      <c r="Q2823" s="5" t="s">
        <v>89</v>
      </c>
      <c r="R2823" s="6" t="s">
        <v>42</v>
      </c>
      <c r="S2823" s="5" t="s">
        <v>130</v>
      </c>
      <c r="T2823" s="5" t="s">
        <v>141</v>
      </c>
      <c r="U2823" s="5" t="s">
        <v>44</v>
      </c>
      <c r="V2823" s="5" t="s">
        <v>44</v>
      </c>
      <c r="W2823" s="5" t="s">
        <v>35</v>
      </c>
      <c r="X2823" s="8" t="s">
        <v>322</v>
      </c>
      <c r="Y2823" s="5" t="s">
        <v>46</v>
      </c>
      <c r="Z2823" s="5" t="s">
        <v>47</v>
      </c>
      <c r="AA2823" s="5" t="s">
        <v>64</v>
      </c>
      <c r="AB2823" s="5" t="s">
        <v>13769</v>
      </c>
      <c r="AC2823" s="6" t="s">
        <v>354</v>
      </c>
      <c r="AD2823" s="6">
        <v>833.0</v>
      </c>
    </row>
    <row r="2824" ht="56.25" customHeight="1">
      <c r="A2824" s="5" t="s">
        <v>13750</v>
      </c>
      <c r="B2824" s="6" t="str">
        <f>IMAGE("https://storage.googleapis.com/acdb/housewares/FtrLocker_Remake_0_4.png")</f>
        <v/>
      </c>
      <c r="C2824" s="5" t="s">
        <v>146</v>
      </c>
      <c r="D2824" s="5" t="s">
        <v>34</v>
      </c>
      <c r="E2824" s="5" t="s">
        <v>13771</v>
      </c>
      <c r="F2824" s="5" t="s">
        <v>3454</v>
      </c>
      <c r="G2824" s="5" t="s">
        <v>36</v>
      </c>
      <c r="H2824" s="5" t="s">
        <v>36</v>
      </c>
      <c r="I2824" s="5" t="s">
        <v>35</v>
      </c>
      <c r="J2824" s="6">
        <v>2.0</v>
      </c>
      <c r="K2824" s="6">
        <v>3700.0</v>
      </c>
      <c r="L2824" s="6">
        <v>925.0</v>
      </c>
      <c r="M2824" s="26" t="s">
        <v>95</v>
      </c>
      <c r="N2824" s="26" t="s">
        <v>69</v>
      </c>
      <c r="O2824" s="6" t="s">
        <v>40</v>
      </c>
      <c r="P2824" s="5" t="s">
        <v>59</v>
      </c>
      <c r="Q2824" s="5" t="s">
        <v>89</v>
      </c>
      <c r="R2824" s="6" t="s">
        <v>42</v>
      </c>
      <c r="S2824" s="5" t="s">
        <v>130</v>
      </c>
      <c r="T2824" s="5" t="s">
        <v>141</v>
      </c>
      <c r="U2824" s="5" t="s">
        <v>44</v>
      </c>
      <c r="V2824" s="5" t="s">
        <v>44</v>
      </c>
      <c r="W2824" s="5" t="s">
        <v>35</v>
      </c>
      <c r="X2824" s="8" t="s">
        <v>322</v>
      </c>
      <c r="Y2824" s="5" t="s">
        <v>46</v>
      </c>
      <c r="Z2824" s="5" t="s">
        <v>47</v>
      </c>
      <c r="AA2824" s="5" t="s">
        <v>64</v>
      </c>
      <c r="AB2824" s="5" t="s">
        <v>13775</v>
      </c>
      <c r="AC2824" s="6" t="s">
        <v>486</v>
      </c>
      <c r="AD2824" s="6">
        <v>833.0</v>
      </c>
    </row>
    <row r="2825" ht="56.25" customHeight="1">
      <c r="A2825" s="5" t="s">
        <v>13750</v>
      </c>
      <c r="B2825" s="6" t="str">
        <f>IMAGE("https://storage.googleapis.com/acdb/housewares/FtrLocker_Remake_1_0.png")</f>
        <v/>
      </c>
      <c r="C2825" s="5" t="s">
        <v>57</v>
      </c>
      <c r="D2825" s="5" t="s">
        <v>34</v>
      </c>
      <c r="E2825" s="5" t="s">
        <v>44</v>
      </c>
      <c r="F2825" s="5" t="s">
        <v>3454</v>
      </c>
      <c r="G2825" s="5" t="s">
        <v>36</v>
      </c>
      <c r="H2825" s="5" t="s">
        <v>36</v>
      </c>
      <c r="I2825" s="5" t="s">
        <v>35</v>
      </c>
      <c r="J2825" s="6">
        <v>2.0</v>
      </c>
      <c r="K2825" s="6">
        <v>3700.0</v>
      </c>
      <c r="L2825" s="6">
        <v>925.0</v>
      </c>
      <c r="M2825" s="26" t="s">
        <v>57</v>
      </c>
      <c r="N2825" s="26" t="s">
        <v>57</v>
      </c>
      <c r="O2825" s="6" t="s">
        <v>40</v>
      </c>
      <c r="P2825" s="5" t="s">
        <v>59</v>
      </c>
      <c r="Q2825" s="5" t="s">
        <v>89</v>
      </c>
      <c r="R2825" s="6" t="s">
        <v>42</v>
      </c>
      <c r="S2825" s="5" t="s">
        <v>130</v>
      </c>
      <c r="T2825" s="5" t="s">
        <v>141</v>
      </c>
      <c r="U2825" s="5" t="s">
        <v>44</v>
      </c>
      <c r="V2825" s="5" t="s">
        <v>44</v>
      </c>
      <c r="W2825" s="5" t="s">
        <v>35</v>
      </c>
      <c r="X2825" s="8" t="s">
        <v>322</v>
      </c>
      <c r="Y2825" s="5" t="s">
        <v>46</v>
      </c>
      <c r="Z2825" s="5" t="s">
        <v>47</v>
      </c>
      <c r="AA2825" s="5" t="s">
        <v>64</v>
      </c>
      <c r="AB2825" s="5" t="s">
        <v>13780</v>
      </c>
      <c r="AC2825" s="6" t="s">
        <v>56</v>
      </c>
      <c r="AD2825" s="6">
        <v>833.0</v>
      </c>
    </row>
    <row r="2826" ht="56.25" customHeight="1">
      <c r="A2826" s="5" t="s">
        <v>13750</v>
      </c>
      <c r="B2826" s="6" t="str">
        <f>IMAGE("https://storage.googleapis.com/acdb/housewares/FtrLocker_Remake_1_1.png")</f>
        <v/>
      </c>
      <c r="C2826" s="5" t="s">
        <v>57</v>
      </c>
      <c r="D2826" s="5" t="s">
        <v>34</v>
      </c>
      <c r="E2826" s="5" t="s">
        <v>1952</v>
      </c>
      <c r="F2826" s="5" t="s">
        <v>3454</v>
      </c>
      <c r="G2826" s="5" t="s">
        <v>36</v>
      </c>
      <c r="H2826" s="5" t="s">
        <v>36</v>
      </c>
      <c r="I2826" s="5" t="s">
        <v>35</v>
      </c>
      <c r="J2826" s="6">
        <v>2.0</v>
      </c>
      <c r="K2826" s="6">
        <v>3700.0</v>
      </c>
      <c r="L2826" s="6">
        <v>925.0</v>
      </c>
      <c r="M2826" s="26" t="s">
        <v>57</v>
      </c>
      <c r="N2826" s="26" t="s">
        <v>54</v>
      </c>
      <c r="O2826" s="6" t="s">
        <v>40</v>
      </c>
      <c r="P2826" s="5" t="s">
        <v>59</v>
      </c>
      <c r="Q2826" s="5" t="s">
        <v>89</v>
      </c>
      <c r="R2826" s="6" t="s">
        <v>42</v>
      </c>
      <c r="S2826" s="5" t="s">
        <v>130</v>
      </c>
      <c r="T2826" s="5" t="s">
        <v>141</v>
      </c>
      <c r="U2826" s="5" t="s">
        <v>44</v>
      </c>
      <c r="V2826" s="5" t="s">
        <v>44</v>
      </c>
      <c r="W2826" s="5" t="s">
        <v>35</v>
      </c>
      <c r="X2826" s="8" t="s">
        <v>322</v>
      </c>
      <c r="Y2826" s="5" t="s">
        <v>46</v>
      </c>
      <c r="Z2826" s="5" t="s">
        <v>47</v>
      </c>
      <c r="AA2826" s="5" t="s">
        <v>64</v>
      </c>
      <c r="AB2826" s="5" t="s">
        <v>13786</v>
      </c>
      <c r="AC2826" s="6" t="s">
        <v>234</v>
      </c>
      <c r="AD2826" s="6">
        <v>833.0</v>
      </c>
    </row>
    <row r="2827" ht="56.25" customHeight="1">
      <c r="A2827" s="5" t="s">
        <v>13750</v>
      </c>
      <c r="B2827" s="6" t="str">
        <f>IMAGE("https://storage.googleapis.com/acdb/housewares/FtrLocker_Remake_1_2.png")</f>
        <v/>
      </c>
      <c r="C2827" s="5" t="s">
        <v>57</v>
      </c>
      <c r="D2827" s="5" t="s">
        <v>34</v>
      </c>
      <c r="E2827" s="5" t="s">
        <v>1959</v>
      </c>
      <c r="F2827" s="5" t="s">
        <v>3454</v>
      </c>
      <c r="G2827" s="5" t="s">
        <v>36</v>
      </c>
      <c r="H2827" s="5" t="s">
        <v>36</v>
      </c>
      <c r="I2827" s="5" t="s">
        <v>35</v>
      </c>
      <c r="J2827" s="6">
        <v>2.0</v>
      </c>
      <c r="K2827" s="6">
        <v>3700.0</v>
      </c>
      <c r="L2827" s="6">
        <v>925.0</v>
      </c>
      <c r="M2827" s="26" t="s">
        <v>57</v>
      </c>
      <c r="N2827" s="26" t="s">
        <v>69</v>
      </c>
      <c r="O2827" s="6" t="s">
        <v>40</v>
      </c>
      <c r="P2827" s="5" t="s">
        <v>59</v>
      </c>
      <c r="Q2827" s="5" t="s">
        <v>89</v>
      </c>
      <c r="R2827" s="6" t="s">
        <v>42</v>
      </c>
      <c r="S2827" s="5" t="s">
        <v>130</v>
      </c>
      <c r="T2827" s="5" t="s">
        <v>141</v>
      </c>
      <c r="U2827" s="5" t="s">
        <v>44</v>
      </c>
      <c r="V2827" s="5" t="s">
        <v>44</v>
      </c>
      <c r="W2827" s="5" t="s">
        <v>35</v>
      </c>
      <c r="X2827" s="8" t="s">
        <v>322</v>
      </c>
      <c r="Y2827" s="5" t="s">
        <v>46</v>
      </c>
      <c r="Z2827" s="5" t="s">
        <v>47</v>
      </c>
      <c r="AA2827" s="5" t="s">
        <v>64</v>
      </c>
      <c r="AB2827" s="5" t="s">
        <v>13791</v>
      </c>
      <c r="AC2827" s="6" t="s">
        <v>370</v>
      </c>
      <c r="AD2827" s="6">
        <v>833.0</v>
      </c>
    </row>
    <row r="2828" ht="56.25" customHeight="1">
      <c r="A2828" s="5" t="s">
        <v>13750</v>
      </c>
      <c r="B2828" s="6" t="str">
        <f>IMAGE("https://storage.googleapis.com/acdb/housewares/FtrLocker_Remake_1_3.png")</f>
        <v/>
      </c>
      <c r="C2828" s="5" t="s">
        <v>57</v>
      </c>
      <c r="D2828" s="5" t="s">
        <v>34</v>
      </c>
      <c r="E2828" s="5" t="s">
        <v>1167</v>
      </c>
      <c r="F2828" s="5" t="s">
        <v>3454</v>
      </c>
      <c r="G2828" s="5" t="s">
        <v>36</v>
      </c>
      <c r="H2828" s="5" t="s">
        <v>36</v>
      </c>
      <c r="I2828" s="5" t="s">
        <v>35</v>
      </c>
      <c r="J2828" s="6">
        <v>2.0</v>
      </c>
      <c r="K2828" s="6">
        <v>3700.0</v>
      </c>
      <c r="L2828" s="6">
        <v>925.0</v>
      </c>
      <c r="M2828" s="26" t="s">
        <v>57</v>
      </c>
      <c r="N2828" s="26" t="s">
        <v>58</v>
      </c>
      <c r="O2828" s="6" t="s">
        <v>40</v>
      </c>
      <c r="P2828" s="5" t="s">
        <v>59</v>
      </c>
      <c r="Q2828" s="5" t="s">
        <v>89</v>
      </c>
      <c r="R2828" s="6" t="s">
        <v>42</v>
      </c>
      <c r="S2828" s="5" t="s">
        <v>130</v>
      </c>
      <c r="T2828" s="5" t="s">
        <v>141</v>
      </c>
      <c r="U2828" s="5" t="s">
        <v>44</v>
      </c>
      <c r="V2828" s="5" t="s">
        <v>44</v>
      </c>
      <c r="W2828" s="5" t="s">
        <v>35</v>
      </c>
      <c r="X2828" s="8" t="s">
        <v>322</v>
      </c>
      <c r="Y2828" s="5" t="s">
        <v>46</v>
      </c>
      <c r="Z2828" s="5" t="s">
        <v>47</v>
      </c>
      <c r="AA2828" s="5" t="s">
        <v>64</v>
      </c>
      <c r="AB2828" s="5" t="s">
        <v>13796</v>
      </c>
      <c r="AC2828" s="6" t="s">
        <v>377</v>
      </c>
      <c r="AD2828" s="6">
        <v>833.0</v>
      </c>
    </row>
    <row r="2829" ht="56.25" customHeight="1">
      <c r="A2829" s="5" t="s">
        <v>13750</v>
      </c>
      <c r="B2829" s="6" t="str">
        <f>IMAGE("https://storage.googleapis.com/acdb/housewares/FtrLocker_Remake_1_4.png")</f>
        <v/>
      </c>
      <c r="C2829" s="5" t="s">
        <v>57</v>
      </c>
      <c r="D2829" s="5" t="s">
        <v>34</v>
      </c>
      <c r="E2829" s="5" t="s">
        <v>13771</v>
      </c>
      <c r="F2829" s="5" t="s">
        <v>3454</v>
      </c>
      <c r="G2829" s="5" t="s">
        <v>36</v>
      </c>
      <c r="H2829" s="5" t="s">
        <v>36</v>
      </c>
      <c r="I2829" s="5" t="s">
        <v>35</v>
      </c>
      <c r="J2829" s="6">
        <v>2.0</v>
      </c>
      <c r="K2829" s="6">
        <v>3700.0</v>
      </c>
      <c r="L2829" s="6">
        <v>925.0</v>
      </c>
      <c r="M2829" s="26" t="s">
        <v>57</v>
      </c>
      <c r="N2829" s="26" t="s">
        <v>69</v>
      </c>
      <c r="O2829" s="6" t="s">
        <v>40</v>
      </c>
      <c r="P2829" s="5" t="s">
        <v>59</v>
      </c>
      <c r="Q2829" s="5" t="s">
        <v>89</v>
      </c>
      <c r="R2829" s="6" t="s">
        <v>42</v>
      </c>
      <c r="S2829" s="5" t="s">
        <v>130</v>
      </c>
      <c r="T2829" s="5" t="s">
        <v>141</v>
      </c>
      <c r="U2829" s="5" t="s">
        <v>44</v>
      </c>
      <c r="V2829" s="5" t="s">
        <v>44</v>
      </c>
      <c r="W2829" s="5" t="s">
        <v>35</v>
      </c>
      <c r="X2829" s="8" t="s">
        <v>322</v>
      </c>
      <c r="Y2829" s="5" t="s">
        <v>46</v>
      </c>
      <c r="Z2829" s="5" t="s">
        <v>47</v>
      </c>
      <c r="AA2829" s="5" t="s">
        <v>64</v>
      </c>
      <c r="AB2829" s="5" t="s">
        <v>13799</v>
      </c>
      <c r="AC2829" s="6" t="s">
        <v>520</v>
      </c>
      <c r="AD2829" s="6">
        <v>833.0</v>
      </c>
    </row>
    <row r="2830" ht="56.25" customHeight="1">
      <c r="A2830" s="5" t="s">
        <v>13750</v>
      </c>
      <c r="B2830" s="6" t="str">
        <f>IMAGE("https://storage.googleapis.com/acdb/housewares/FtrLocker_Remake_2_0.png")</f>
        <v/>
      </c>
      <c r="C2830" s="5" t="s">
        <v>54</v>
      </c>
      <c r="D2830" s="5" t="s">
        <v>34</v>
      </c>
      <c r="E2830" s="5" t="s">
        <v>44</v>
      </c>
      <c r="F2830" s="5" t="s">
        <v>3454</v>
      </c>
      <c r="G2830" s="5" t="s">
        <v>36</v>
      </c>
      <c r="H2830" s="5" t="s">
        <v>36</v>
      </c>
      <c r="I2830" s="5" t="s">
        <v>35</v>
      </c>
      <c r="J2830" s="6">
        <v>2.0</v>
      </c>
      <c r="K2830" s="6">
        <v>3700.0</v>
      </c>
      <c r="L2830" s="6">
        <v>925.0</v>
      </c>
      <c r="M2830" s="26" t="s">
        <v>54</v>
      </c>
      <c r="N2830" s="26" t="s">
        <v>54</v>
      </c>
      <c r="O2830" s="6" t="s">
        <v>40</v>
      </c>
      <c r="P2830" s="5" t="s">
        <v>59</v>
      </c>
      <c r="Q2830" s="5" t="s">
        <v>89</v>
      </c>
      <c r="R2830" s="6" t="s">
        <v>42</v>
      </c>
      <c r="S2830" s="5" t="s">
        <v>130</v>
      </c>
      <c r="T2830" s="5" t="s">
        <v>141</v>
      </c>
      <c r="U2830" s="5" t="s">
        <v>44</v>
      </c>
      <c r="V2830" s="5" t="s">
        <v>44</v>
      </c>
      <c r="W2830" s="5" t="s">
        <v>35</v>
      </c>
      <c r="X2830" s="8" t="s">
        <v>322</v>
      </c>
      <c r="Y2830" s="5" t="s">
        <v>46</v>
      </c>
      <c r="Z2830" s="5" t="s">
        <v>47</v>
      </c>
      <c r="AA2830" s="5" t="s">
        <v>64</v>
      </c>
      <c r="AB2830" s="5" t="s">
        <v>13804</v>
      </c>
      <c r="AC2830" s="6" t="s">
        <v>67</v>
      </c>
      <c r="AD2830" s="6">
        <v>833.0</v>
      </c>
    </row>
    <row r="2831" ht="56.25" customHeight="1">
      <c r="A2831" s="5" t="s">
        <v>13750</v>
      </c>
      <c r="B2831" s="6" t="str">
        <f>IMAGE("https://storage.googleapis.com/acdb/housewares/FtrLocker_Remake_2_1.png")</f>
        <v/>
      </c>
      <c r="C2831" s="5" t="s">
        <v>54</v>
      </c>
      <c r="D2831" s="5" t="s">
        <v>34</v>
      </c>
      <c r="E2831" s="5" t="s">
        <v>1952</v>
      </c>
      <c r="F2831" s="5" t="s">
        <v>3454</v>
      </c>
      <c r="G2831" s="5" t="s">
        <v>36</v>
      </c>
      <c r="H2831" s="5" t="s">
        <v>36</v>
      </c>
      <c r="I2831" s="5" t="s">
        <v>35</v>
      </c>
      <c r="J2831" s="6">
        <v>2.0</v>
      </c>
      <c r="K2831" s="6">
        <v>3700.0</v>
      </c>
      <c r="L2831" s="6">
        <v>925.0</v>
      </c>
      <c r="M2831" s="26" t="s">
        <v>54</v>
      </c>
      <c r="N2831" s="26" t="s">
        <v>54</v>
      </c>
      <c r="O2831" s="6" t="s">
        <v>40</v>
      </c>
      <c r="P2831" s="5" t="s">
        <v>59</v>
      </c>
      <c r="Q2831" s="5" t="s">
        <v>89</v>
      </c>
      <c r="R2831" s="6" t="s">
        <v>42</v>
      </c>
      <c r="S2831" s="5" t="s">
        <v>130</v>
      </c>
      <c r="T2831" s="5" t="s">
        <v>141</v>
      </c>
      <c r="U2831" s="5" t="s">
        <v>44</v>
      </c>
      <c r="V2831" s="5" t="s">
        <v>44</v>
      </c>
      <c r="W2831" s="5" t="s">
        <v>35</v>
      </c>
      <c r="X2831" s="8" t="s">
        <v>322</v>
      </c>
      <c r="Y2831" s="5" t="s">
        <v>46</v>
      </c>
      <c r="Z2831" s="5" t="s">
        <v>47</v>
      </c>
      <c r="AA2831" s="5" t="s">
        <v>64</v>
      </c>
      <c r="AB2831" s="5" t="s">
        <v>13809</v>
      </c>
      <c r="AC2831" s="6" t="s">
        <v>247</v>
      </c>
      <c r="AD2831" s="6">
        <v>833.0</v>
      </c>
    </row>
    <row r="2832" ht="56.25" customHeight="1">
      <c r="A2832" s="5" t="s">
        <v>13750</v>
      </c>
      <c r="B2832" s="6" t="str">
        <f>IMAGE("https://storage.googleapis.com/acdb/housewares/FtrLocker_Remake_2_2.png")</f>
        <v/>
      </c>
      <c r="C2832" s="5" t="s">
        <v>54</v>
      </c>
      <c r="D2832" s="5" t="s">
        <v>34</v>
      </c>
      <c r="E2832" s="5" t="s">
        <v>1959</v>
      </c>
      <c r="F2832" s="5" t="s">
        <v>3454</v>
      </c>
      <c r="G2832" s="5" t="s">
        <v>36</v>
      </c>
      <c r="H2832" s="5" t="s">
        <v>36</v>
      </c>
      <c r="I2832" s="5" t="s">
        <v>35</v>
      </c>
      <c r="J2832" s="6">
        <v>2.0</v>
      </c>
      <c r="K2832" s="6">
        <v>3700.0</v>
      </c>
      <c r="L2832" s="6">
        <v>925.0</v>
      </c>
      <c r="M2832" s="26" t="s">
        <v>54</v>
      </c>
      <c r="N2832" s="26" t="s">
        <v>69</v>
      </c>
      <c r="O2832" s="6" t="s">
        <v>40</v>
      </c>
      <c r="P2832" s="5" t="s">
        <v>59</v>
      </c>
      <c r="Q2832" s="5" t="s">
        <v>89</v>
      </c>
      <c r="R2832" s="6" t="s">
        <v>42</v>
      </c>
      <c r="S2832" s="5" t="s">
        <v>130</v>
      </c>
      <c r="T2832" s="5" t="s">
        <v>141</v>
      </c>
      <c r="U2832" s="5" t="s">
        <v>44</v>
      </c>
      <c r="V2832" s="5" t="s">
        <v>44</v>
      </c>
      <c r="W2832" s="5" t="s">
        <v>35</v>
      </c>
      <c r="X2832" s="8" t="s">
        <v>322</v>
      </c>
      <c r="Y2832" s="5" t="s">
        <v>46</v>
      </c>
      <c r="Z2832" s="5" t="s">
        <v>47</v>
      </c>
      <c r="AA2832" s="5" t="s">
        <v>64</v>
      </c>
      <c r="AB2832" s="5" t="s">
        <v>13814</v>
      </c>
      <c r="AC2832" s="6" t="s">
        <v>390</v>
      </c>
      <c r="AD2832" s="6">
        <v>833.0</v>
      </c>
    </row>
    <row r="2833" ht="56.25" customHeight="1">
      <c r="A2833" s="5" t="s">
        <v>13750</v>
      </c>
      <c r="B2833" s="6" t="str">
        <f>IMAGE("https://storage.googleapis.com/acdb/housewares/FtrLocker_Remake_2_3.png")</f>
        <v/>
      </c>
      <c r="C2833" s="5" t="s">
        <v>54</v>
      </c>
      <c r="D2833" s="5" t="s">
        <v>34</v>
      </c>
      <c r="E2833" s="5" t="s">
        <v>1167</v>
      </c>
      <c r="F2833" s="5" t="s">
        <v>3454</v>
      </c>
      <c r="G2833" s="5" t="s">
        <v>36</v>
      </c>
      <c r="H2833" s="5" t="s">
        <v>36</v>
      </c>
      <c r="I2833" s="5" t="s">
        <v>35</v>
      </c>
      <c r="J2833" s="6">
        <v>2.0</v>
      </c>
      <c r="K2833" s="6">
        <v>3700.0</v>
      </c>
      <c r="L2833" s="6">
        <v>925.0</v>
      </c>
      <c r="M2833" s="26" t="s">
        <v>54</v>
      </c>
      <c r="N2833" s="26" t="s">
        <v>58</v>
      </c>
      <c r="O2833" s="6" t="s">
        <v>40</v>
      </c>
      <c r="P2833" s="5" t="s">
        <v>59</v>
      </c>
      <c r="Q2833" s="5" t="s">
        <v>89</v>
      </c>
      <c r="R2833" s="6" t="s">
        <v>42</v>
      </c>
      <c r="S2833" s="5" t="s">
        <v>130</v>
      </c>
      <c r="T2833" s="5" t="s">
        <v>141</v>
      </c>
      <c r="U2833" s="5" t="s">
        <v>44</v>
      </c>
      <c r="V2833" s="5" t="s">
        <v>44</v>
      </c>
      <c r="W2833" s="5" t="s">
        <v>35</v>
      </c>
      <c r="X2833" s="8" t="s">
        <v>322</v>
      </c>
      <c r="Y2833" s="5" t="s">
        <v>46</v>
      </c>
      <c r="Z2833" s="5" t="s">
        <v>47</v>
      </c>
      <c r="AA2833" s="5" t="s">
        <v>64</v>
      </c>
      <c r="AB2833" s="5" t="s">
        <v>13818</v>
      </c>
      <c r="AC2833" s="6" t="s">
        <v>396</v>
      </c>
      <c r="AD2833" s="6">
        <v>833.0</v>
      </c>
    </row>
    <row r="2834" ht="56.25" customHeight="1">
      <c r="A2834" s="5" t="s">
        <v>13750</v>
      </c>
      <c r="B2834" s="6" t="str">
        <f>IMAGE("https://storage.googleapis.com/acdb/housewares/FtrLocker_Remake_2_4.png")</f>
        <v/>
      </c>
      <c r="C2834" s="5" t="s">
        <v>54</v>
      </c>
      <c r="D2834" s="5" t="s">
        <v>34</v>
      </c>
      <c r="E2834" s="5" t="s">
        <v>13771</v>
      </c>
      <c r="F2834" s="5" t="s">
        <v>3454</v>
      </c>
      <c r="G2834" s="5" t="s">
        <v>36</v>
      </c>
      <c r="H2834" s="5" t="s">
        <v>36</v>
      </c>
      <c r="I2834" s="5" t="s">
        <v>35</v>
      </c>
      <c r="J2834" s="6">
        <v>2.0</v>
      </c>
      <c r="K2834" s="6">
        <v>3700.0</v>
      </c>
      <c r="L2834" s="6">
        <v>925.0</v>
      </c>
      <c r="M2834" s="26" t="s">
        <v>54</v>
      </c>
      <c r="N2834" s="26" t="s">
        <v>69</v>
      </c>
      <c r="O2834" s="6" t="s">
        <v>40</v>
      </c>
      <c r="P2834" s="5" t="s">
        <v>59</v>
      </c>
      <c r="Q2834" s="5" t="s">
        <v>89</v>
      </c>
      <c r="R2834" s="6" t="s">
        <v>42</v>
      </c>
      <c r="S2834" s="5" t="s">
        <v>130</v>
      </c>
      <c r="T2834" s="5" t="s">
        <v>141</v>
      </c>
      <c r="U2834" s="5" t="s">
        <v>44</v>
      </c>
      <c r="V2834" s="5" t="s">
        <v>44</v>
      </c>
      <c r="W2834" s="5" t="s">
        <v>35</v>
      </c>
      <c r="X2834" s="8" t="s">
        <v>322</v>
      </c>
      <c r="Y2834" s="5" t="s">
        <v>46</v>
      </c>
      <c r="Z2834" s="5" t="s">
        <v>47</v>
      </c>
      <c r="AA2834" s="5" t="s">
        <v>64</v>
      </c>
      <c r="AB2834" s="5" t="s">
        <v>13821</v>
      </c>
      <c r="AC2834" s="6" t="s">
        <v>541</v>
      </c>
      <c r="AD2834" s="6">
        <v>833.0</v>
      </c>
    </row>
    <row r="2835" ht="56.25" customHeight="1">
      <c r="A2835" s="5" t="s">
        <v>13750</v>
      </c>
      <c r="B2835" s="6" t="str">
        <f>IMAGE("https://storage.googleapis.com/acdb/housewares/FtrLocker_Remake_3_0.png")</f>
        <v/>
      </c>
      <c r="C2835" s="5" t="s">
        <v>52</v>
      </c>
      <c r="D2835" s="5" t="s">
        <v>34</v>
      </c>
      <c r="E2835" s="5" t="s">
        <v>44</v>
      </c>
      <c r="F2835" s="5" t="s">
        <v>3454</v>
      </c>
      <c r="G2835" s="5" t="s">
        <v>36</v>
      </c>
      <c r="H2835" s="5" t="s">
        <v>36</v>
      </c>
      <c r="I2835" s="5" t="s">
        <v>35</v>
      </c>
      <c r="J2835" s="6">
        <v>2.0</v>
      </c>
      <c r="K2835" s="6">
        <v>3700.0</v>
      </c>
      <c r="L2835" s="6">
        <v>925.0</v>
      </c>
      <c r="M2835" s="26" t="s">
        <v>52</v>
      </c>
      <c r="N2835" s="26" t="s">
        <v>52</v>
      </c>
      <c r="O2835" s="6" t="s">
        <v>40</v>
      </c>
      <c r="P2835" s="5" t="s">
        <v>59</v>
      </c>
      <c r="Q2835" s="5" t="s">
        <v>89</v>
      </c>
      <c r="R2835" s="6" t="s">
        <v>42</v>
      </c>
      <c r="S2835" s="5" t="s">
        <v>130</v>
      </c>
      <c r="T2835" s="5" t="s">
        <v>141</v>
      </c>
      <c r="U2835" s="5" t="s">
        <v>44</v>
      </c>
      <c r="V2835" s="5" t="s">
        <v>44</v>
      </c>
      <c r="W2835" s="5" t="s">
        <v>35</v>
      </c>
      <c r="X2835" s="8" t="s">
        <v>322</v>
      </c>
      <c r="Y2835" s="5" t="s">
        <v>46</v>
      </c>
      <c r="Z2835" s="5" t="s">
        <v>47</v>
      </c>
      <c r="AA2835" s="5" t="s">
        <v>64</v>
      </c>
      <c r="AB2835" s="5" t="s">
        <v>13826</v>
      </c>
      <c r="AC2835" s="6" t="s">
        <v>71</v>
      </c>
      <c r="AD2835" s="6">
        <v>833.0</v>
      </c>
    </row>
    <row r="2836" ht="56.25" customHeight="1">
      <c r="A2836" s="5" t="s">
        <v>13750</v>
      </c>
      <c r="B2836" s="6" t="str">
        <f>IMAGE("https://storage.googleapis.com/acdb/housewares/FtrLocker_Remake_3_1.png")</f>
        <v/>
      </c>
      <c r="C2836" s="5" t="s">
        <v>52</v>
      </c>
      <c r="D2836" s="5" t="s">
        <v>34</v>
      </c>
      <c r="E2836" s="5" t="s">
        <v>1952</v>
      </c>
      <c r="F2836" s="5" t="s">
        <v>3454</v>
      </c>
      <c r="G2836" s="5" t="s">
        <v>36</v>
      </c>
      <c r="H2836" s="5" t="s">
        <v>36</v>
      </c>
      <c r="I2836" s="5" t="s">
        <v>35</v>
      </c>
      <c r="J2836" s="6">
        <v>2.0</v>
      </c>
      <c r="K2836" s="6">
        <v>3700.0</v>
      </c>
      <c r="L2836" s="6">
        <v>925.0</v>
      </c>
      <c r="M2836" s="26" t="s">
        <v>52</v>
      </c>
      <c r="N2836" s="26" t="s">
        <v>54</v>
      </c>
      <c r="O2836" s="6" t="s">
        <v>40</v>
      </c>
      <c r="P2836" s="5" t="s">
        <v>59</v>
      </c>
      <c r="Q2836" s="5" t="s">
        <v>89</v>
      </c>
      <c r="R2836" s="6" t="s">
        <v>42</v>
      </c>
      <c r="S2836" s="5" t="s">
        <v>130</v>
      </c>
      <c r="T2836" s="5" t="s">
        <v>141</v>
      </c>
      <c r="U2836" s="5" t="s">
        <v>44</v>
      </c>
      <c r="V2836" s="5" t="s">
        <v>44</v>
      </c>
      <c r="W2836" s="5" t="s">
        <v>35</v>
      </c>
      <c r="X2836" s="8" t="s">
        <v>322</v>
      </c>
      <c r="Y2836" s="5" t="s">
        <v>46</v>
      </c>
      <c r="Z2836" s="5" t="s">
        <v>47</v>
      </c>
      <c r="AA2836" s="5" t="s">
        <v>64</v>
      </c>
      <c r="AB2836" s="5" t="s">
        <v>13831</v>
      </c>
      <c r="AC2836" s="6" t="s">
        <v>257</v>
      </c>
      <c r="AD2836" s="6">
        <v>833.0</v>
      </c>
    </row>
    <row r="2837" ht="56.25" customHeight="1">
      <c r="A2837" s="5" t="s">
        <v>13750</v>
      </c>
      <c r="B2837" s="6" t="str">
        <f>IMAGE("https://storage.googleapis.com/acdb/housewares/FtrLocker_Remake_3_2.png")</f>
        <v/>
      </c>
      <c r="C2837" s="5" t="s">
        <v>52</v>
      </c>
      <c r="D2837" s="5" t="s">
        <v>34</v>
      </c>
      <c r="E2837" s="5" t="s">
        <v>1959</v>
      </c>
      <c r="F2837" s="5" t="s">
        <v>3454</v>
      </c>
      <c r="G2837" s="5" t="s">
        <v>36</v>
      </c>
      <c r="H2837" s="5" t="s">
        <v>36</v>
      </c>
      <c r="I2837" s="5" t="s">
        <v>35</v>
      </c>
      <c r="J2837" s="6">
        <v>2.0</v>
      </c>
      <c r="K2837" s="6">
        <v>3700.0</v>
      </c>
      <c r="L2837" s="6">
        <v>925.0</v>
      </c>
      <c r="M2837" s="26" t="s">
        <v>52</v>
      </c>
      <c r="N2837" s="26" t="s">
        <v>69</v>
      </c>
      <c r="O2837" s="6" t="s">
        <v>40</v>
      </c>
      <c r="P2837" s="5" t="s">
        <v>59</v>
      </c>
      <c r="Q2837" s="5" t="s">
        <v>89</v>
      </c>
      <c r="R2837" s="6" t="s">
        <v>42</v>
      </c>
      <c r="S2837" s="5" t="s">
        <v>130</v>
      </c>
      <c r="T2837" s="5" t="s">
        <v>141</v>
      </c>
      <c r="U2837" s="5" t="s">
        <v>44</v>
      </c>
      <c r="V2837" s="5" t="s">
        <v>44</v>
      </c>
      <c r="W2837" s="5" t="s">
        <v>35</v>
      </c>
      <c r="X2837" s="8" t="s">
        <v>322</v>
      </c>
      <c r="Y2837" s="5" t="s">
        <v>46</v>
      </c>
      <c r="Z2837" s="5" t="s">
        <v>47</v>
      </c>
      <c r="AA2837" s="5" t="s">
        <v>64</v>
      </c>
      <c r="AB2837" s="5" t="s">
        <v>13838</v>
      </c>
      <c r="AC2837" s="6" t="s">
        <v>414</v>
      </c>
      <c r="AD2837" s="6">
        <v>833.0</v>
      </c>
    </row>
    <row r="2838" ht="56.25" customHeight="1">
      <c r="A2838" s="5" t="s">
        <v>13750</v>
      </c>
      <c r="B2838" s="6" t="str">
        <f>IMAGE("https://storage.googleapis.com/acdb/housewares/FtrLocker_Remake_3_3.png")</f>
        <v/>
      </c>
      <c r="C2838" s="5" t="s">
        <v>52</v>
      </c>
      <c r="D2838" s="5" t="s">
        <v>34</v>
      </c>
      <c r="E2838" s="5" t="s">
        <v>1167</v>
      </c>
      <c r="F2838" s="5" t="s">
        <v>3454</v>
      </c>
      <c r="G2838" s="5" t="s">
        <v>36</v>
      </c>
      <c r="H2838" s="5" t="s">
        <v>36</v>
      </c>
      <c r="I2838" s="5" t="s">
        <v>35</v>
      </c>
      <c r="J2838" s="6">
        <v>2.0</v>
      </c>
      <c r="K2838" s="6">
        <v>3700.0</v>
      </c>
      <c r="L2838" s="6">
        <v>925.0</v>
      </c>
      <c r="M2838" s="26" t="s">
        <v>52</v>
      </c>
      <c r="N2838" s="26" t="s">
        <v>58</v>
      </c>
      <c r="O2838" s="6" t="s">
        <v>40</v>
      </c>
      <c r="P2838" s="5" t="s">
        <v>59</v>
      </c>
      <c r="Q2838" s="5" t="s">
        <v>89</v>
      </c>
      <c r="R2838" s="6" t="s">
        <v>42</v>
      </c>
      <c r="S2838" s="5" t="s">
        <v>130</v>
      </c>
      <c r="T2838" s="5" t="s">
        <v>141</v>
      </c>
      <c r="U2838" s="5" t="s">
        <v>44</v>
      </c>
      <c r="V2838" s="5" t="s">
        <v>44</v>
      </c>
      <c r="W2838" s="5" t="s">
        <v>35</v>
      </c>
      <c r="X2838" s="8" t="s">
        <v>322</v>
      </c>
      <c r="Y2838" s="5" t="s">
        <v>46</v>
      </c>
      <c r="Z2838" s="5" t="s">
        <v>47</v>
      </c>
      <c r="AA2838" s="5" t="s">
        <v>64</v>
      </c>
      <c r="AB2838" s="5" t="s">
        <v>13843</v>
      </c>
      <c r="AC2838" s="6" t="s">
        <v>418</v>
      </c>
      <c r="AD2838" s="6">
        <v>833.0</v>
      </c>
    </row>
    <row r="2839" ht="56.25" customHeight="1">
      <c r="A2839" s="5" t="s">
        <v>13750</v>
      </c>
      <c r="B2839" s="6" t="str">
        <f>IMAGE("https://storage.googleapis.com/acdb/housewares/FtrLocker_Remake_3_4.png")</f>
        <v/>
      </c>
      <c r="C2839" s="5" t="s">
        <v>52</v>
      </c>
      <c r="D2839" s="5" t="s">
        <v>34</v>
      </c>
      <c r="E2839" s="5" t="s">
        <v>13771</v>
      </c>
      <c r="F2839" s="5" t="s">
        <v>3454</v>
      </c>
      <c r="G2839" s="5" t="s">
        <v>36</v>
      </c>
      <c r="H2839" s="5" t="s">
        <v>36</v>
      </c>
      <c r="I2839" s="5" t="s">
        <v>35</v>
      </c>
      <c r="J2839" s="6">
        <v>2.0</v>
      </c>
      <c r="K2839" s="6">
        <v>3700.0</v>
      </c>
      <c r="L2839" s="6">
        <v>925.0</v>
      </c>
      <c r="M2839" s="26" t="s">
        <v>52</v>
      </c>
      <c r="N2839" s="26" t="s">
        <v>69</v>
      </c>
      <c r="O2839" s="6" t="s">
        <v>40</v>
      </c>
      <c r="P2839" s="5" t="s">
        <v>59</v>
      </c>
      <c r="Q2839" s="5" t="s">
        <v>89</v>
      </c>
      <c r="R2839" s="6" t="s">
        <v>42</v>
      </c>
      <c r="S2839" s="5" t="s">
        <v>130</v>
      </c>
      <c r="T2839" s="5" t="s">
        <v>141</v>
      </c>
      <c r="U2839" s="5" t="s">
        <v>44</v>
      </c>
      <c r="V2839" s="5" t="s">
        <v>44</v>
      </c>
      <c r="W2839" s="5" t="s">
        <v>35</v>
      </c>
      <c r="X2839" s="8" t="s">
        <v>322</v>
      </c>
      <c r="Y2839" s="5" t="s">
        <v>46</v>
      </c>
      <c r="Z2839" s="5" t="s">
        <v>47</v>
      </c>
      <c r="AA2839" s="5" t="s">
        <v>64</v>
      </c>
      <c r="AB2839" s="5" t="s">
        <v>13849</v>
      </c>
      <c r="AC2839" s="6" t="s">
        <v>563</v>
      </c>
      <c r="AD2839" s="6">
        <v>833.0</v>
      </c>
    </row>
    <row r="2840" ht="56.25" customHeight="1">
      <c r="A2840" s="5" t="s">
        <v>13750</v>
      </c>
      <c r="B2840" s="6" t="str">
        <f>IMAGE("https://storage.googleapis.com/acdb/housewares/FtrLocker_Remake_4_0.png")</f>
        <v/>
      </c>
      <c r="C2840" s="5" t="s">
        <v>68</v>
      </c>
      <c r="D2840" s="5" t="s">
        <v>34</v>
      </c>
      <c r="E2840" s="5" t="s">
        <v>44</v>
      </c>
      <c r="F2840" s="5" t="s">
        <v>3454</v>
      </c>
      <c r="G2840" s="5" t="s">
        <v>36</v>
      </c>
      <c r="H2840" s="5" t="s">
        <v>36</v>
      </c>
      <c r="I2840" s="5" t="s">
        <v>35</v>
      </c>
      <c r="J2840" s="6">
        <v>2.0</v>
      </c>
      <c r="K2840" s="6">
        <v>3700.0</v>
      </c>
      <c r="L2840" s="6">
        <v>925.0</v>
      </c>
      <c r="M2840" s="26" t="s">
        <v>68</v>
      </c>
      <c r="N2840" s="26" t="s">
        <v>68</v>
      </c>
      <c r="O2840" s="6" t="s">
        <v>40</v>
      </c>
      <c r="P2840" s="5" t="s">
        <v>59</v>
      </c>
      <c r="Q2840" s="5" t="s">
        <v>89</v>
      </c>
      <c r="R2840" s="6" t="s">
        <v>42</v>
      </c>
      <c r="S2840" s="5" t="s">
        <v>130</v>
      </c>
      <c r="T2840" s="5" t="s">
        <v>141</v>
      </c>
      <c r="U2840" s="5" t="s">
        <v>44</v>
      </c>
      <c r="V2840" s="5" t="s">
        <v>44</v>
      </c>
      <c r="W2840" s="5" t="s">
        <v>35</v>
      </c>
      <c r="X2840" s="8" t="s">
        <v>322</v>
      </c>
      <c r="Y2840" s="5" t="s">
        <v>46</v>
      </c>
      <c r="Z2840" s="5" t="s">
        <v>47</v>
      </c>
      <c r="AA2840" s="5" t="s">
        <v>64</v>
      </c>
      <c r="AB2840" s="5" t="s">
        <v>13853</v>
      </c>
      <c r="AC2840" s="6" t="s">
        <v>75</v>
      </c>
      <c r="AD2840" s="6">
        <v>833.0</v>
      </c>
    </row>
    <row r="2841" ht="56.25" customHeight="1">
      <c r="A2841" s="5" t="s">
        <v>13750</v>
      </c>
      <c r="B2841" s="6" t="str">
        <f>IMAGE("https://storage.googleapis.com/acdb/housewares/FtrLocker_Remake_4_1.png")</f>
        <v/>
      </c>
      <c r="C2841" s="5" t="s">
        <v>68</v>
      </c>
      <c r="D2841" s="5" t="s">
        <v>34</v>
      </c>
      <c r="E2841" s="5" t="s">
        <v>1952</v>
      </c>
      <c r="F2841" s="5" t="s">
        <v>3454</v>
      </c>
      <c r="G2841" s="5" t="s">
        <v>36</v>
      </c>
      <c r="H2841" s="5" t="s">
        <v>36</v>
      </c>
      <c r="I2841" s="5" t="s">
        <v>35</v>
      </c>
      <c r="J2841" s="6">
        <v>2.0</v>
      </c>
      <c r="K2841" s="6">
        <v>3700.0</v>
      </c>
      <c r="L2841" s="6">
        <v>925.0</v>
      </c>
      <c r="M2841" s="26" t="s">
        <v>68</v>
      </c>
      <c r="N2841" s="26" t="s">
        <v>54</v>
      </c>
      <c r="O2841" s="6" t="s">
        <v>40</v>
      </c>
      <c r="P2841" s="5" t="s">
        <v>59</v>
      </c>
      <c r="Q2841" s="5" t="s">
        <v>89</v>
      </c>
      <c r="R2841" s="6" t="s">
        <v>42</v>
      </c>
      <c r="S2841" s="5" t="s">
        <v>130</v>
      </c>
      <c r="T2841" s="5" t="s">
        <v>141</v>
      </c>
      <c r="U2841" s="5" t="s">
        <v>44</v>
      </c>
      <c r="V2841" s="5" t="s">
        <v>44</v>
      </c>
      <c r="W2841" s="5" t="s">
        <v>35</v>
      </c>
      <c r="X2841" s="8" t="s">
        <v>322</v>
      </c>
      <c r="Y2841" s="5" t="s">
        <v>46</v>
      </c>
      <c r="Z2841" s="5" t="s">
        <v>47</v>
      </c>
      <c r="AA2841" s="5" t="s">
        <v>64</v>
      </c>
      <c r="AB2841" s="5" t="s">
        <v>13859</v>
      </c>
      <c r="AC2841" s="6" t="s">
        <v>429</v>
      </c>
      <c r="AD2841" s="6">
        <v>833.0</v>
      </c>
    </row>
    <row r="2842" ht="56.25" customHeight="1">
      <c r="A2842" s="5" t="s">
        <v>13750</v>
      </c>
      <c r="B2842" s="6" t="str">
        <f>IMAGE("https://storage.googleapis.com/acdb/housewares/FtrLocker_Remake_4_2.png")</f>
        <v/>
      </c>
      <c r="C2842" s="5" t="s">
        <v>68</v>
      </c>
      <c r="D2842" s="5" t="s">
        <v>34</v>
      </c>
      <c r="E2842" s="5" t="s">
        <v>1959</v>
      </c>
      <c r="F2842" s="5" t="s">
        <v>3454</v>
      </c>
      <c r="G2842" s="5" t="s">
        <v>36</v>
      </c>
      <c r="H2842" s="5" t="s">
        <v>36</v>
      </c>
      <c r="I2842" s="5" t="s">
        <v>35</v>
      </c>
      <c r="J2842" s="6">
        <v>2.0</v>
      </c>
      <c r="K2842" s="6">
        <v>3700.0</v>
      </c>
      <c r="L2842" s="6">
        <v>925.0</v>
      </c>
      <c r="M2842" s="26" t="s">
        <v>68</v>
      </c>
      <c r="N2842" s="26" t="s">
        <v>69</v>
      </c>
      <c r="O2842" s="6" t="s">
        <v>40</v>
      </c>
      <c r="P2842" s="5" t="s">
        <v>59</v>
      </c>
      <c r="Q2842" s="5" t="s">
        <v>89</v>
      </c>
      <c r="R2842" s="6" t="s">
        <v>42</v>
      </c>
      <c r="S2842" s="5" t="s">
        <v>130</v>
      </c>
      <c r="T2842" s="5" t="s">
        <v>141</v>
      </c>
      <c r="U2842" s="5" t="s">
        <v>44</v>
      </c>
      <c r="V2842" s="5" t="s">
        <v>44</v>
      </c>
      <c r="W2842" s="5" t="s">
        <v>35</v>
      </c>
      <c r="X2842" s="8" t="s">
        <v>322</v>
      </c>
      <c r="Y2842" s="5" t="s">
        <v>46</v>
      </c>
      <c r="Z2842" s="5" t="s">
        <v>47</v>
      </c>
      <c r="AA2842" s="5" t="s">
        <v>64</v>
      </c>
      <c r="AB2842" s="5" t="s">
        <v>13863</v>
      </c>
      <c r="AC2842" s="6" t="s">
        <v>434</v>
      </c>
      <c r="AD2842" s="6">
        <v>833.0</v>
      </c>
    </row>
    <row r="2843" ht="56.25" customHeight="1">
      <c r="A2843" s="5" t="s">
        <v>13750</v>
      </c>
      <c r="B2843" s="6" t="str">
        <f>IMAGE("https://storage.googleapis.com/acdb/housewares/FtrLocker_Remake_4_3.png")</f>
        <v/>
      </c>
      <c r="C2843" s="5" t="s">
        <v>68</v>
      </c>
      <c r="D2843" s="5" t="s">
        <v>34</v>
      </c>
      <c r="E2843" s="5" t="s">
        <v>1167</v>
      </c>
      <c r="F2843" s="5" t="s">
        <v>3454</v>
      </c>
      <c r="G2843" s="5" t="s">
        <v>36</v>
      </c>
      <c r="H2843" s="5" t="s">
        <v>36</v>
      </c>
      <c r="I2843" s="5" t="s">
        <v>35</v>
      </c>
      <c r="J2843" s="6">
        <v>2.0</v>
      </c>
      <c r="K2843" s="6">
        <v>3700.0</v>
      </c>
      <c r="L2843" s="6">
        <v>925.0</v>
      </c>
      <c r="M2843" s="26" t="s">
        <v>68</v>
      </c>
      <c r="N2843" s="26" t="s">
        <v>58</v>
      </c>
      <c r="O2843" s="6" t="s">
        <v>40</v>
      </c>
      <c r="P2843" s="5" t="s">
        <v>59</v>
      </c>
      <c r="Q2843" s="5" t="s">
        <v>89</v>
      </c>
      <c r="R2843" s="6" t="s">
        <v>42</v>
      </c>
      <c r="S2843" s="5" t="s">
        <v>130</v>
      </c>
      <c r="T2843" s="5" t="s">
        <v>141</v>
      </c>
      <c r="U2843" s="5" t="s">
        <v>44</v>
      </c>
      <c r="V2843" s="5" t="s">
        <v>44</v>
      </c>
      <c r="W2843" s="5" t="s">
        <v>35</v>
      </c>
      <c r="X2843" s="8" t="s">
        <v>322</v>
      </c>
      <c r="Y2843" s="5" t="s">
        <v>46</v>
      </c>
      <c r="Z2843" s="5" t="s">
        <v>47</v>
      </c>
      <c r="AA2843" s="5" t="s">
        <v>64</v>
      </c>
      <c r="AB2843" s="5" t="s">
        <v>13867</v>
      </c>
      <c r="AC2843" s="6" t="s">
        <v>438</v>
      </c>
      <c r="AD2843" s="6">
        <v>833.0</v>
      </c>
    </row>
    <row r="2844" ht="56.25" customHeight="1">
      <c r="A2844" s="5" t="s">
        <v>13750</v>
      </c>
      <c r="B2844" s="6" t="str">
        <f>IMAGE("https://storage.googleapis.com/acdb/housewares/FtrLocker_Remake_4_4.png")</f>
        <v/>
      </c>
      <c r="C2844" s="5" t="s">
        <v>68</v>
      </c>
      <c r="D2844" s="5" t="s">
        <v>34</v>
      </c>
      <c r="E2844" s="5" t="s">
        <v>13771</v>
      </c>
      <c r="F2844" s="5" t="s">
        <v>3454</v>
      </c>
      <c r="G2844" s="5" t="s">
        <v>36</v>
      </c>
      <c r="H2844" s="5" t="s">
        <v>36</v>
      </c>
      <c r="I2844" s="5" t="s">
        <v>35</v>
      </c>
      <c r="J2844" s="6">
        <v>2.0</v>
      </c>
      <c r="K2844" s="6">
        <v>3700.0</v>
      </c>
      <c r="L2844" s="6">
        <v>925.0</v>
      </c>
      <c r="M2844" s="26" t="s">
        <v>68</v>
      </c>
      <c r="N2844" s="26" t="s">
        <v>69</v>
      </c>
      <c r="O2844" s="6" t="s">
        <v>40</v>
      </c>
      <c r="P2844" s="5" t="s">
        <v>59</v>
      </c>
      <c r="Q2844" s="5" t="s">
        <v>89</v>
      </c>
      <c r="R2844" s="6" t="s">
        <v>42</v>
      </c>
      <c r="S2844" s="5" t="s">
        <v>130</v>
      </c>
      <c r="T2844" s="5" t="s">
        <v>141</v>
      </c>
      <c r="U2844" s="5" t="s">
        <v>44</v>
      </c>
      <c r="V2844" s="5" t="s">
        <v>44</v>
      </c>
      <c r="W2844" s="5" t="s">
        <v>35</v>
      </c>
      <c r="X2844" s="8" t="s">
        <v>322</v>
      </c>
      <c r="Y2844" s="5" t="s">
        <v>46</v>
      </c>
      <c r="Z2844" s="5" t="s">
        <v>47</v>
      </c>
      <c r="AA2844" s="5" t="s">
        <v>64</v>
      </c>
      <c r="AB2844" s="5" t="s">
        <v>13871</v>
      </c>
      <c r="AC2844" s="6" t="s">
        <v>585</v>
      </c>
      <c r="AD2844" s="6">
        <v>833.0</v>
      </c>
    </row>
    <row r="2845" ht="56.25" customHeight="1">
      <c r="A2845" s="5" t="s">
        <v>13750</v>
      </c>
      <c r="B2845" s="6" t="str">
        <f>IMAGE("https://storage.googleapis.com/acdb/housewares/FtrLocker_Remake_5_0.png")</f>
        <v/>
      </c>
      <c r="C2845" s="5" t="s">
        <v>96</v>
      </c>
      <c r="D2845" s="5" t="s">
        <v>34</v>
      </c>
      <c r="E2845" s="5" t="s">
        <v>44</v>
      </c>
      <c r="F2845" s="5" t="s">
        <v>3454</v>
      </c>
      <c r="G2845" s="5" t="s">
        <v>36</v>
      </c>
      <c r="H2845" s="5" t="s">
        <v>36</v>
      </c>
      <c r="I2845" s="5" t="s">
        <v>35</v>
      </c>
      <c r="J2845" s="6">
        <v>2.0</v>
      </c>
      <c r="K2845" s="6">
        <v>3700.0</v>
      </c>
      <c r="L2845" s="6">
        <v>925.0</v>
      </c>
      <c r="M2845" s="26" t="s">
        <v>96</v>
      </c>
      <c r="N2845" s="26" t="s">
        <v>96</v>
      </c>
      <c r="O2845" s="6" t="s">
        <v>40</v>
      </c>
      <c r="P2845" s="5" t="s">
        <v>59</v>
      </c>
      <c r="Q2845" s="5" t="s">
        <v>89</v>
      </c>
      <c r="R2845" s="6" t="s">
        <v>42</v>
      </c>
      <c r="S2845" s="5" t="s">
        <v>130</v>
      </c>
      <c r="T2845" s="5" t="s">
        <v>141</v>
      </c>
      <c r="U2845" s="5" t="s">
        <v>44</v>
      </c>
      <c r="V2845" s="5" t="s">
        <v>44</v>
      </c>
      <c r="W2845" s="5" t="s">
        <v>35</v>
      </c>
      <c r="X2845" s="8" t="s">
        <v>322</v>
      </c>
      <c r="Y2845" s="5" t="s">
        <v>46</v>
      </c>
      <c r="Z2845" s="5" t="s">
        <v>47</v>
      </c>
      <c r="AA2845" s="5" t="s">
        <v>64</v>
      </c>
      <c r="AB2845" s="5" t="s">
        <v>13876</v>
      </c>
      <c r="AC2845" s="6" t="s">
        <v>79</v>
      </c>
      <c r="AD2845" s="6">
        <v>833.0</v>
      </c>
    </row>
    <row r="2846" ht="56.25" customHeight="1">
      <c r="A2846" s="5" t="s">
        <v>13750</v>
      </c>
      <c r="B2846" s="6" t="str">
        <f>IMAGE("https://storage.googleapis.com/acdb/housewares/FtrLocker_Remake_5_1.png")</f>
        <v/>
      </c>
      <c r="C2846" s="5" t="s">
        <v>96</v>
      </c>
      <c r="D2846" s="5" t="s">
        <v>34</v>
      </c>
      <c r="E2846" s="5" t="s">
        <v>1952</v>
      </c>
      <c r="F2846" s="5" t="s">
        <v>3454</v>
      </c>
      <c r="G2846" s="5" t="s">
        <v>36</v>
      </c>
      <c r="H2846" s="5" t="s">
        <v>36</v>
      </c>
      <c r="I2846" s="5" t="s">
        <v>35</v>
      </c>
      <c r="J2846" s="6">
        <v>2.0</v>
      </c>
      <c r="K2846" s="6">
        <v>3700.0</v>
      </c>
      <c r="L2846" s="6">
        <v>925.0</v>
      </c>
      <c r="M2846" s="26" t="s">
        <v>96</v>
      </c>
      <c r="N2846" s="26" t="s">
        <v>54</v>
      </c>
      <c r="O2846" s="6" t="s">
        <v>40</v>
      </c>
      <c r="P2846" s="5" t="s">
        <v>59</v>
      </c>
      <c r="Q2846" s="5" t="s">
        <v>89</v>
      </c>
      <c r="R2846" s="6" t="s">
        <v>42</v>
      </c>
      <c r="S2846" s="5" t="s">
        <v>130</v>
      </c>
      <c r="T2846" s="5" t="s">
        <v>141</v>
      </c>
      <c r="U2846" s="5" t="s">
        <v>44</v>
      </c>
      <c r="V2846" s="5" t="s">
        <v>44</v>
      </c>
      <c r="W2846" s="5" t="s">
        <v>35</v>
      </c>
      <c r="X2846" s="8" t="s">
        <v>322</v>
      </c>
      <c r="Y2846" s="5" t="s">
        <v>46</v>
      </c>
      <c r="Z2846" s="5" t="s">
        <v>47</v>
      </c>
      <c r="AA2846" s="5" t="s">
        <v>64</v>
      </c>
      <c r="AB2846" s="5" t="s">
        <v>13880</v>
      </c>
      <c r="AC2846" s="6" t="s">
        <v>448</v>
      </c>
      <c r="AD2846" s="6">
        <v>833.0</v>
      </c>
    </row>
    <row r="2847" ht="56.25" customHeight="1">
      <c r="A2847" s="5" t="s">
        <v>13750</v>
      </c>
      <c r="B2847" s="6" t="str">
        <f>IMAGE("https://storage.googleapis.com/acdb/housewares/FtrLocker_Remake_5_2.png")</f>
        <v/>
      </c>
      <c r="C2847" s="5" t="s">
        <v>96</v>
      </c>
      <c r="D2847" s="5" t="s">
        <v>34</v>
      </c>
      <c r="E2847" s="5" t="s">
        <v>1959</v>
      </c>
      <c r="F2847" s="5" t="s">
        <v>3454</v>
      </c>
      <c r="G2847" s="5" t="s">
        <v>36</v>
      </c>
      <c r="H2847" s="5" t="s">
        <v>36</v>
      </c>
      <c r="I2847" s="5" t="s">
        <v>35</v>
      </c>
      <c r="J2847" s="6">
        <v>2.0</v>
      </c>
      <c r="K2847" s="6">
        <v>3700.0</v>
      </c>
      <c r="L2847" s="6">
        <v>925.0</v>
      </c>
      <c r="M2847" s="26" t="s">
        <v>96</v>
      </c>
      <c r="N2847" s="26" t="s">
        <v>69</v>
      </c>
      <c r="O2847" s="6" t="s">
        <v>40</v>
      </c>
      <c r="P2847" s="5" t="s">
        <v>59</v>
      </c>
      <c r="Q2847" s="5" t="s">
        <v>89</v>
      </c>
      <c r="R2847" s="6" t="s">
        <v>42</v>
      </c>
      <c r="S2847" s="5" t="s">
        <v>130</v>
      </c>
      <c r="T2847" s="5" t="s">
        <v>141</v>
      </c>
      <c r="U2847" s="5" t="s">
        <v>44</v>
      </c>
      <c r="V2847" s="5" t="s">
        <v>44</v>
      </c>
      <c r="W2847" s="5" t="s">
        <v>35</v>
      </c>
      <c r="X2847" s="8" t="s">
        <v>322</v>
      </c>
      <c r="Y2847" s="5" t="s">
        <v>46</v>
      </c>
      <c r="Z2847" s="5" t="s">
        <v>47</v>
      </c>
      <c r="AA2847" s="5" t="s">
        <v>64</v>
      </c>
      <c r="AB2847" s="5" t="s">
        <v>13884</v>
      </c>
      <c r="AC2847" s="6" t="s">
        <v>452</v>
      </c>
      <c r="AD2847" s="6">
        <v>833.0</v>
      </c>
    </row>
    <row r="2848" ht="56.25" customHeight="1">
      <c r="A2848" s="5" t="s">
        <v>13750</v>
      </c>
      <c r="B2848" s="6" t="str">
        <f>IMAGE("https://storage.googleapis.com/acdb/housewares/FtrLocker_Remake_5_3.png")</f>
        <v/>
      </c>
      <c r="C2848" s="5" t="s">
        <v>96</v>
      </c>
      <c r="D2848" s="5" t="s">
        <v>34</v>
      </c>
      <c r="E2848" s="5" t="s">
        <v>1167</v>
      </c>
      <c r="F2848" s="5" t="s">
        <v>3454</v>
      </c>
      <c r="G2848" s="5" t="s">
        <v>36</v>
      </c>
      <c r="H2848" s="5" t="s">
        <v>36</v>
      </c>
      <c r="I2848" s="5" t="s">
        <v>35</v>
      </c>
      <c r="J2848" s="6">
        <v>2.0</v>
      </c>
      <c r="K2848" s="6">
        <v>3700.0</v>
      </c>
      <c r="L2848" s="6">
        <v>925.0</v>
      </c>
      <c r="M2848" s="26" t="s">
        <v>96</v>
      </c>
      <c r="N2848" s="26" t="s">
        <v>58</v>
      </c>
      <c r="O2848" s="6" t="s">
        <v>40</v>
      </c>
      <c r="P2848" s="5" t="s">
        <v>59</v>
      </c>
      <c r="Q2848" s="5" t="s">
        <v>89</v>
      </c>
      <c r="R2848" s="6" t="s">
        <v>42</v>
      </c>
      <c r="S2848" s="5" t="s">
        <v>130</v>
      </c>
      <c r="T2848" s="5" t="s">
        <v>141</v>
      </c>
      <c r="U2848" s="5" t="s">
        <v>44</v>
      </c>
      <c r="V2848" s="5" t="s">
        <v>44</v>
      </c>
      <c r="W2848" s="5" t="s">
        <v>35</v>
      </c>
      <c r="X2848" s="8" t="s">
        <v>322</v>
      </c>
      <c r="Y2848" s="5" t="s">
        <v>46</v>
      </c>
      <c r="Z2848" s="5" t="s">
        <v>47</v>
      </c>
      <c r="AA2848" s="5" t="s">
        <v>64</v>
      </c>
      <c r="AB2848" s="5" t="s">
        <v>13888</v>
      </c>
      <c r="AC2848" s="6" t="s">
        <v>455</v>
      </c>
      <c r="AD2848" s="6">
        <v>833.0</v>
      </c>
    </row>
    <row r="2849" ht="56.25" customHeight="1">
      <c r="A2849" s="5" t="s">
        <v>13750</v>
      </c>
      <c r="B2849" s="6" t="str">
        <f>IMAGE("https://storage.googleapis.com/acdb/housewares/FtrLocker_Remake_5_4.png")</f>
        <v/>
      </c>
      <c r="C2849" s="5" t="s">
        <v>96</v>
      </c>
      <c r="D2849" s="5" t="s">
        <v>34</v>
      </c>
      <c r="E2849" s="5" t="s">
        <v>13771</v>
      </c>
      <c r="F2849" s="5" t="s">
        <v>3454</v>
      </c>
      <c r="G2849" s="5" t="s">
        <v>36</v>
      </c>
      <c r="H2849" s="5" t="s">
        <v>36</v>
      </c>
      <c r="I2849" s="5" t="s">
        <v>35</v>
      </c>
      <c r="J2849" s="6">
        <v>2.0</v>
      </c>
      <c r="K2849" s="6">
        <v>3700.0</v>
      </c>
      <c r="L2849" s="6">
        <v>925.0</v>
      </c>
      <c r="M2849" s="26" t="s">
        <v>96</v>
      </c>
      <c r="N2849" s="26" t="s">
        <v>69</v>
      </c>
      <c r="O2849" s="6" t="s">
        <v>40</v>
      </c>
      <c r="P2849" s="5" t="s">
        <v>59</v>
      </c>
      <c r="Q2849" s="5" t="s">
        <v>89</v>
      </c>
      <c r="R2849" s="6" t="s">
        <v>42</v>
      </c>
      <c r="S2849" s="5" t="s">
        <v>130</v>
      </c>
      <c r="T2849" s="5" t="s">
        <v>141</v>
      </c>
      <c r="U2849" s="5" t="s">
        <v>44</v>
      </c>
      <c r="V2849" s="5" t="s">
        <v>44</v>
      </c>
      <c r="W2849" s="5" t="s">
        <v>35</v>
      </c>
      <c r="X2849" s="8" t="s">
        <v>322</v>
      </c>
      <c r="Y2849" s="5" t="s">
        <v>46</v>
      </c>
      <c r="Z2849" s="5" t="s">
        <v>47</v>
      </c>
      <c r="AA2849" s="5" t="s">
        <v>64</v>
      </c>
      <c r="AB2849" s="5" t="s">
        <v>13892</v>
      </c>
      <c r="AC2849" s="6" t="s">
        <v>609</v>
      </c>
      <c r="AD2849" s="6">
        <v>833.0</v>
      </c>
    </row>
    <row r="2850" ht="56.25" customHeight="1">
      <c r="A2850" s="5" t="s">
        <v>13750</v>
      </c>
      <c r="B2850" s="6" t="str">
        <f>IMAGE("https://storage.googleapis.com/acdb/housewares/FtrLocker_Remake_6_0.png")</f>
        <v/>
      </c>
      <c r="C2850" s="5" t="s">
        <v>114</v>
      </c>
      <c r="D2850" s="5" t="s">
        <v>34</v>
      </c>
      <c r="E2850" s="5" t="s">
        <v>44</v>
      </c>
      <c r="F2850" s="5" t="s">
        <v>3454</v>
      </c>
      <c r="G2850" s="5" t="s">
        <v>36</v>
      </c>
      <c r="H2850" s="5" t="s">
        <v>36</v>
      </c>
      <c r="I2850" s="5" t="s">
        <v>35</v>
      </c>
      <c r="J2850" s="6">
        <v>2.0</v>
      </c>
      <c r="K2850" s="6">
        <v>3700.0</v>
      </c>
      <c r="L2850" s="6">
        <v>925.0</v>
      </c>
      <c r="M2850" s="26" t="s">
        <v>114</v>
      </c>
      <c r="N2850" s="26" t="s">
        <v>114</v>
      </c>
      <c r="O2850" s="6" t="s">
        <v>40</v>
      </c>
      <c r="P2850" s="5" t="s">
        <v>59</v>
      </c>
      <c r="Q2850" s="5" t="s">
        <v>89</v>
      </c>
      <c r="R2850" s="6" t="s">
        <v>42</v>
      </c>
      <c r="S2850" s="5" t="s">
        <v>130</v>
      </c>
      <c r="T2850" s="5" t="s">
        <v>141</v>
      </c>
      <c r="U2850" s="5" t="s">
        <v>44</v>
      </c>
      <c r="V2850" s="5" t="s">
        <v>44</v>
      </c>
      <c r="W2850" s="5" t="s">
        <v>35</v>
      </c>
      <c r="X2850" s="8" t="s">
        <v>322</v>
      </c>
      <c r="Y2850" s="5" t="s">
        <v>46</v>
      </c>
      <c r="Z2850" s="5" t="s">
        <v>47</v>
      </c>
      <c r="AA2850" s="5" t="s">
        <v>64</v>
      </c>
      <c r="AB2850" s="5" t="s">
        <v>13896</v>
      </c>
      <c r="AC2850" s="6" t="s">
        <v>86</v>
      </c>
      <c r="AD2850" s="6">
        <v>833.0</v>
      </c>
    </row>
    <row r="2851" ht="56.25" customHeight="1">
      <c r="A2851" s="5" t="s">
        <v>13750</v>
      </c>
      <c r="B2851" s="6" t="str">
        <f>IMAGE("https://storage.googleapis.com/acdb/housewares/FtrLocker_Remake_6_1.png")</f>
        <v/>
      </c>
      <c r="C2851" s="5" t="s">
        <v>114</v>
      </c>
      <c r="D2851" s="5" t="s">
        <v>34</v>
      </c>
      <c r="E2851" s="5" t="s">
        <v>1952</v>
      </c>
      <c r="F2851" s="5" t="s">
        <v>3454</v>
      </c>
      <c r="G2851" s="5" t="s">
        <v>36</v>
      </c>
      <c r="H2851" s="5" t="s">
        <v>36</v>
      </c>
      <c r="I2851" s="5" t="s">
        <v>35</v>
      </c>
      <c r="J2851" s="6">
        <v>2.0</v>
      </c>
      <c r="K2851" s="6">
        <v>3700.0</v>
      </c>
      <c r="L2851" s="6">
        <v>925.0</v>
      </c>
      <c r="M2851" s="26" t="s">
        <v>114</v>
      </c>
      <c r="N2851" s="26" t="s">
        <v>54</v>
      </c>
      <c r="O2851" s="6" t="s">
        <v>40</v>
      </c>
      <c r="P2851" s="5" t="s">
        <v>59</v>
      </c>
      <c r="Q2851" s="5" t="s">
        <v>89</v>
      </c>
      <c r="R2851" s="6" t="s">
        <v>42</v>
      </c>
      <c r="S2851" s="5" t="s">
        <v>130</v>
      </c>
      <c r="T2851" s="5" t="s">
        <v>141</v>
      </c>
      <c r="U2851" s="5" t="s">
        <v>44</v>
      </c>
      <c r="V2851" s="5" t="s">
        <v>44</v>
      </c>
      <c r="W2851" s="5" t="s">
        <v>35</v>
      </c>
      <c r="X2851" s="8" t="s">
        <v>322</v>
      </c>
      <c r="Y2851" s="5" t="s">
        <v>46</v>
      </c>
      <c r="Z2851" s="5" t="s">
        <v>47</v>
      </c>
      <c r="AA2851" s="5" t="s">
        <v>64</v>
      </c>
      <c r="AB2851" s="5" t="s">
        <v>13899</v>
      </c>
      <c r="AC2851" s="6" t="s">
        <v>620</v>
      </c>
      <c r="AD2851" s="6">
        <v>833.0</v>
      </c>
    </row>
    <row r="2852" ht="56.25" customHeight="1">
      <c r="A2852" s="5" t="s">
        <v>13750</v>
      </c>
      <c r="B2852" s="6" t="str">
        <f>IMAGE("https://storage.googleapis.com/acdb/housewares/FtrLocker_Remake_6_2.png")</f>
        <v/>
      </c>
      <c r="C2852" s="5" t="s">
        <v>114</v>
      </c>
      <c r="D2852" s="5" t="s">
        <v>34</v>
      </c>
      <c r="E2852" s="5" t="s">
        <v>1959</v>
      </c>
      <c r="F2852" s="5" t="s">
        <v>3454</v>
      </c>
      <c r="G2852" s="5" t="s">
        <v>36</v>
      </c>
      <c r="H2852" s="5" t="s">
        <v>36</v>
      </c>
      <c r="I2852" s="5" t="s">
        <v>35</v>
      </c>
      <c r="J2852" s="6">
        <v>2.0</v>
      </c>
      <c r="K2852" s="6">
        <v>3700.0</v>
      </c>
      <c r="L2852" s="6">
        <v>925.0</v>
      </c>
      <c r="M2852" s="26" t="s">
        <v>114</v>
      </c>
      <c r="N2852" s="26" t="s">
        <v>69</v>
      </c>
      <c r="O2852" s="6" t="s">
        <v>40</v>
      </c>
      <c r="P2852" s="5" t="s">
        <v>59</v>
      </c>
      <c r="Q2852" s="5" t="s">
        <v>89</v>
      </c>
      <c r="R2852" s="6" t="s">
        <v>42</v>
      </c>
      <c r="S2852" s="5" t="s">
        <v>130</v>
      </c>
      <c r="T2852" s="5" t="s">
        <v>141</v>
      </c>
      <c r="U2852" s="5" t="s">
        <v>44</v>
      </c>
      <c r="V2852" s="5" t="s">
        <v>44</v>
      </c>
      <c r="W2852" s="5" t="s">
        <v>35</v>
      </c>
      <c r="X2852" s="8" t="s">
        <v>322</v>
      </c>
      <c r="Y2852" s="5" t="s">
        <v>46</v>
      </c>
      <c r="Z2852" s="5" t="s">
        <v>47</v>
      </c>
      <c r="AA2852" s="5" t="s">
        <v>64</v>
      </c>
      <c r="AB2852" s="5" t="s">
        <v>13902</v>
      </c>
      <c r="AC2852" s="6" t="s">
        <v>626</v>
      </c>
      <c r="AD2852" s="6">
        <v>833.0</v>
      </c>
    </row>
    <row r="2853" ht="56.25" customHeight="1">
      <c r="A2853" s="5" t="s">
        <v>13750</v>
      </c>
      <c r="B2853" s="6" t="str">
        <f>IMAGE("https://storage.googleapis.com/acdb/housewares/FtrLocker_Remake_6_3.png")</f>
        <v/>
      </c>
      <c r="C2853" s="5" t="s">
        <v>114</v>
      </c>
      <c r="D2853" s="5" t="s">
        <v>34</v>
      </c>
      <c r="E2853" s="5" t="s">
        <v>1167</v>
      </c>
      <c r="F2853" s="5" t="s">
        <v>3454</v>
      </c>
      <c r="G2853" s="5" t="s">
        <v>36</v>
      </c>
      <c r="H2853" s="5" t="s">
        <v>36</v>
      </c>
      <c r="I2853" s="5" t="s">
        <v>35</v>
      </c>
      <c r="J2853" s="6">
        <v>2.0</v>
      </c>
      <c r="K2853" s="6">
        <v>3700.0</v>
      </c>
      <c r="L2853" s="6">
        <v>925.0</v>
      </c>
      <c r="M2853" s="26" t="s">
        <v>114</v>
      </c>
      <c r="N2853" s="26" t="s">
        <v>58</v>
      </c>
      <c r="O2853" s="6" t="s">
        <v>40</v>
      </c>
      <c r="P2853" s="5" t="s">
        <v>59</v>
      </c>
      <c r="Q2853" s="5" t="s">
        <v>89</v>
      </c>
      <c r="R2853" s="6" t="s">
        <v>42</v>
      </c>
      <c r="S2853" s="5" t="s">
        <v>130</v>
      </c>
      <c r="T2853" s="5" t="s">
        <v>141</v>
      </c>
      <c r="U2853" s="5" t="s">
        <v>44</v>
      </c>
      <c r="V2853" s="5" t="s">
        <v>44</v>
      </c>
      <c r="W2853" s="5" t="s">
        <v>35</v>
      </c>
      <c r="X2853" s="8" t="s">
        <v>322</v>
      </c>
      <c r="Y2853" s="5" t="s">
        <v>46</v>
      </c>
      <c r="Z2853" s="5" t="s">
        <v>47</v>
      </c>
      <c r="AA2853" s="5" t="s">
        <v>64</v>
      </c>
      <c r="AB2853" s="5" t="s">
        <v>13905</v>
      </c>
      <c r="AC2853" s="6" t="s">
        <v>634</v>
      </c>
      <c r="AD2853" s="6">
        <v>833.0</v>
      </c>
    </row>
    <row r="2854" ht="56.25" customHeight="1">
      <c r="A2854" s="5" t="s">
        <v>13750</v>
      </c>
      <c r="B2854" s="6" t="str">
        <f>IMAGE("https://storage.googleapis.com/acdb/housewares/FtrLocker_Remake_6_4.png")</f>
        <v/>
      </c>
      <c r="C2854" s="5" t="s">
        <v>114</v>
      </c>
      <c r="D2854" s="5" t="s">
        <v>34</v>
      </c>
      <c r="E2854" s="5" t="s">
        <v>13771</v>
      </c>
      <c r="F2854" s="5" t="s">
        <v>3454</v>
      </c>
      <c r="G2854" s="5" t="s">
        <v>36</v>
      </c>
      <c r="H2854" s="5" t="s">
        <v>36</v>
      </c>
      <c r="I2854" s="5" t="s">
        <v>35</v>
      </c>
      <c r="J2854" s="6">
        <v>2.0</v>
      </c>
      <c r="K2854" s="6">
        <v>3700.0</v>
      </c>
      <c r="L2854" s="6">
        <v>925.0</v>
      </c>
      <c r="M2854" s="26" t="s">
        <v>114</v>
      </c>
      <c r="N2854" s="26" t="s">
        <v>69</v>
      </c>
      <c r="O2854" s="6" t="s">
        <v>40</v>
      </c>
      <c r="P2854" s="5" t="s">
        <v>59</v>
      </c>
      <c r="Q2854" s="5" t="s">
        <v>89</v>
      </c>
      <c r="R2854" s="6" t="s">
        <v>42</v>
      </c>
      <c r="S2854" s="5" t="s">
        <v>130</v>
      </c>
      <c r="T2854" s="5" t="s">
        <v>141</v>
      </c>
      <c r="U2854" s="5" t="s">
        <v>44</v>
      </c>
      <c r="V2854" s="5" t="s">
        <v>44</v>
      </c>
      <c r="W2854" s="5" t="s">
        <v>35</v>
      </c>
      <c r="X2854" s="8" t="s">
        <v>322</v>
      </c>
      <c r="Y2854" s="5" t="s">
        <v>46</v>
      </c>
      <c r="Z2854" s="5" t="s">
        <v>47</v>
      </c>
      <c r="AA2854" s="5" t="s">
        <v>64</v>
      </c>
      <c r="AB2854" s="5" t="s">
        <v>13908</v>
      </c>
      <c r="AC2854" s="6" t="s">
        <v>641</v>
      </c>
      <c r="AD2854" s="6">
        <v>833.0</v>
      </c>
    </row>
    <row r="2855" ht="56.25" customHeight="1">
      <c r="A2855" s="5" t="s">
        <v>13909</v>
      </c>
      <c r="B2855" s="6" t="str">
        <f>IMAGE("https://storage.googleapis.com/acdb/housewares/FtrPianoUpright_Remake_0_0.png")</f>
        <v/>
      </c>
      <c r="C2855" s="5" t="s">
        <v>54</v>
      </c>
      <c r="D2855" s="5" t="s">
        <v>34</v>
      </c>
      <c r="E2855" s="5" t="s">
        <v>34</v>
      </c>
      <c r="F2855" s="5" t="s">
        <v>34</v>
      </c>
      <c r="G2855" s="5" t="s">
        <v>36</v>
      </c>
      <c r="H2855" s="5" t="s">
        <v>36</v>
      </c>
      <c r="I2855" s="5" t="s">
        <v>36</v>
      </c>
      <c r="J2855" s="6" t="s">
        <v>34</v>
      </c>
      <c r="K2855" s="6">
        <v>53000.0</v>
      </c>
      <c r="L2855" s="6">
        <v>13250.0</v>
      </c>
      <c r="M2855" s="26" t="s">
        <v>54</v>
      </c>
      <c r="N2855" s="26" t="s">
        <v>57</v>
      </c>
      <c r="O2855" s="6" t="s">
        <v>276</v>
      </c>
      <c r="P2855" s="5" t="s">
        <v>59</v>
      </c>
      <c r="Q2855" s="5" t="s">
        <v>115</v>
      </c>
      <c r="R2855" s="6" t="s">
        <v>42</v>
      </c>
      <c r="S2855" s="5" t="s">
        <v>43</v>
      </c>
      <c r="T2855" s="5" t="s">
        <v>116</v>
      </c>
      <c r="U2855" s="5" t="s">
        <v>44</v>
      </c>
      <c r="V2855" s="5" t="s">
        <v>44</v>
      </c>
      <c r="W2855" s="5" t="s">
        <v>35</v>
      </c>
      <c r="X2855" s="8" t="s">
        <v>45</v>
      </c>
      <c r="Y2855" s="5" t="s">
        <v>46</v>
      </c>
      <c r="Z2855" s="5" t="s">
        <v>47</v>
      </c>
      <c r="AA2855" s="5" t="s">
        <v>64</v>
      </c>
      <c r="AB2855" s="5" t="s">
        <v>13912</v>
      </c>
      <c r="AC2855" s="6" t="s">
        <v>50</v>
      </c>
      <c r="AD2855" s="6">
        <v>1081.0</v>
      </c>
    </row>
    <row r="2856" ht="56.25" customHeight="1">
      <c r="A2856" s="5" t="s">
        <v>13909</v>
      </c>
      <c r="B2856" s="6" t="str">
        <f>IMAGE("https://storage.googleapis.com/acdb/housewares/FtrPianoUpright_Remake_1_0.png")</f>
        <v/>
      </c>
      <c r="C2856" s="5" t="s">
        <v>57</v>
      </c>
      <c r="D2856" s="5" t="s">
        <v>34</v>
      </c>
      <c r="E2856" s="5" t="s">
        <v>34</v>
      </c>
      <c r="F2856" s="5" t="s">
        <v>34</v>
      </c>
      <c r="G2856" s="5" t="s">
        <v>36</v>
      </c>
      <c r="H2856" s="5" t="s">
        <v>36</v>
      </c>
      <c r="I2856" s="5" t="s">
        <v>36</v>
      </c>
      <c r="J2856" s="6" t="s">
        <v>34</v>
      </c>
      <c r="K2856" s="6">
        <v>53000.0</v>
      </c>
      <c r="L2856" s="6">
        <v>13250.0</v>
      </c>
      <c r="M2856" s="26" t="s">
        <v>57</v>
      </c>
      <c r="N2856" s="26" t="s">
        <v>54</v>
      </c>
      <c r="O2856" s="6" t="s">
        <v>276</v>
      </c>
      <c r="P2856" s="5" t="s">
        <v>59</v>
      </c>
      <c r="Q2856" s="5" t="s">
        <v>115</v>
      </c>
      <c r="R2856" s="6" t="s">
        <v>42</v>
      </c>
      <c r="S2856" s="5" t="s">
        <v>43</v>
      </c>
      <c r="T2856" s="5" t="s">
        <v>116</v>
      </c>
      <c r="U2856" s="5" t="s">
        <v>44</v>
      </c>
      <c r="V2856" s="5" t="s">
        <v>44</v>
      </c>
      <c r="W2856" s="5" t="s">
        <v>35</v>
      </c>
      <c r="X2856" s="8" t="s">
        <v>45</v>
      </c>
      <c r="Y2856" s="5" t="s">
        <v>46</v>
      </c>
      <c r="Z2856" s="5" t="s">
        <v>47</v>
      </c>
      <c r="AA2856" s="5" t="s">
        <v>64</v>
      </c>
      <c r="AB2856" s="5" t="s">
        <v>13916</v>
      </c>
      <c r="AC2856" s="6" t="s">
        <v>56</v>
      </c>
      <c r="AD2856" s="6">
        <v>1081.0</v>
      </c>
    </row>
    <row r="2857" ht="56.25" customHeight="1">
      <c r="A2857" s="5" t="s">
        <v>13909</v>
      </c>
      <c r="B2857" s="6" t="str">
        <f>IMAGE("https://storage.googleapis.com/acdb/housewares/FtrPianoUpright_Remake_2_0.png")</f>
        <v/>
      </c>
      <c r="C2857" s="5" t="s">
        <v>1524</v>
      </c>
      <c r="D2857" s="5" t="s">
        <v>34</v>
      </c>
      <c r="E2857" s="5" t="s">
        <v>34</v>
      </c>
      <c r="F2857" s="5" t="s">
        <v>34</v>
      </c>
      <c r="G2857" s="5" t="s">
        <v>36</v>
      </c>
      <c r="H2857" s="5" t="s">
        <v>36</v>
      </c>
      <c r="I2857" s="5" t="s">
        <v>36</v>
      </c>
      <c r="J2857" s="6" t="s">
        <v>34</v>
      </c>
      <c r="K2857" s="6">
        <v>53000.0</v>
      </c>
      <c r="L2857" s="6">
        <v>13250.0</v>
      </c>
      <c r="M2857" s="26" t="s">
        <v>39</v>
      </c>
      <c r="N2857" s="26" t="s">
        <v>57</v>
      </c>
      <c r="O2857" s="6" t="s">
        <v>276</v>
      </c>
      <c r="P2857" s="5" t="s">
        <v>59</v>
      </c>
      <c r="Q2857" s="5" t="s">
        <v>115</v>
      </c>
      <c r="R2857" s="6" t="s">
        <v>42</v>
      </c>
      <c r="S2857" s="5" t="s">
        <v>43</v>
      </c>
      <c r="T2857" s="5" t="s">
        <v>116</v>
      </c>
      <c r="U2857" s="5" t="s">
        <v>44</v>
      </c>
      <c r="V2857" s="5" t="s">
        <v>44</v>
      </c>
      <c r="W2857" s="5" t="s">
        <v>35</v>
      </c>
      <c r="X2857" s="8" t="s">
        <v>45</v>
      </c>
      <c r="Y2857" s="5" t="s">
        <v>46</v>
      </c>
      <c r="Z2857" s="5" t="s">
        <v>47</v>
      </c>
      <c r="AA2857" s="5" t="s">
        <v>64</v>
      </c>
      <c r="AB2857" s="5" t="s">
        <v>13921</v>
      </c>
      <c r="AC2857" s="6" t="s">
        <v>67</v>
      </c>
      <c r="AD2857" s="6">
        <v>1081.0</v>
      </c>
    </row>
    <row r="2858" ht="56.25" customHeight="1">
      <c r="A2858" s="5" t="s">
        <v>13909</v>
      </c>
      <c r="B2858" s="6" t="str">
        <f>IMAGE("https://storage.googleapis.com/acdb/housewares/FtrPianoUpright_Remake_3_0.png")</f>
        <v/>
      </c>
      <c r="C2858" s="5" t="s">
        <v>13923</v>
      </c>
      <c r="D2858" s="5" t="s">
        <v>34</v>
      </c>
      <c r="E2858" s="5" t="s">
        <v>34</v>
      </c>
      <c r="F2858" s="5" t="s">
        <v>34</v>
      </c>
      <c r="G2858" s="5" t="s">
        <v>36</v>
      </c>
      <c r="H2858" s="5" t="s">
        <v>36</v>
      </c>
      <c r="I2858" s="5" t="s">
        <v>36</v>
      </c>
      <c r="J2858" s="6" t="s">
        <v>34</v>
      </c>
      <c r="K2858" s="6">
        <v>53000.0</v>
      </c>
      <c r="L2858" s="6">
        <v>13250.0</v>
      </c>
      <c r="M2858" s="26" t="s">
        <v>38</v>
      </c>
      <c r="N2858" s="26" t="s">
        <v>57</v>
      </c>
      <c r="O2858" s="6" t="s">
        <v>276</v>
      </c>
      <c r="P2858" s="5" t="s">
        <v>59</v>
      </c>
      <c r="Q2858" s="5" t="s">
        <v>115</v>
      </c>
      <c r="R2858" s="6" t="s">
        <v>42</v>
      </c>
      <c r="S2858" s="5" t="s">
        <v>43</v>
      </c>
      <c r="T2858" s="5" t="s">
        <v>116</v>
      </c>
      <c r="U2858" s="5" t="s">
        <v>44</v>
      </c>
      <c r="V2858" s="5" t="s">
        <v>44</v>
      </c>
      <c r="W2858" s="5" t="s">
        <v>35</v>
      </c>
      <c r="X2858" s="8" t="s">
        <v>45</v>
      </c>
      <c r="Y2858" s="5" t="s">
        <v>46</v>
      </c>
      <c r="Z2858" s="5" t="s">
        <v>47</v>
      </c>
      <c r="AA2858" s="5" t="s">
        <v>64</v>
      </c>
      <c r="AB2858" s="5" t="s">
        <v>13925</v>
      </c>
      <c r="AC2858" s="6" t="s">
        <v>71</v>
      </c>
      <c r="AD2858" s="6">
        <v>1081.0</v>
      </c>
    </row>
    <row r="2859" ht="56.25" customHeight="1">
      <c r="A2859" s="5" t="s">
        <v>13926</v>
      </c>
      <c r="B2859" s="6" t="str">
        <f>IMAGE("https://storage.googleapis.com/acdb/housewares/FtrCleanerStick_Remake_0_0.png")</f>
        <v/>
      </c>
      <c r="C2859" s="5" t="s">
        <v>146</v>
      </c>
      <c r="D2859" s="5" t="s">
        <v>34</v>
      </c>
      <c r="E2859" s="5" t="s">
        <v>34</v>
      </c>
      <c r="F2859" s="5" t="s">
        <v>34</v>
      </c>
      <c r="G2859" s="5" t="s">
        <v>36</v>
      </c>
      <c r="H2859" s="5" t="s">
        <v>36</v>
      </c>
      <c r="I2859" s="5" t="s">
        <v>36</v>
      </c>
      <c r="J2859" s="6" t="s">
        <v>34</v>
      </c>
      <c r="K2859" s="6">
        <v>2500.0</v>
      </c>
      <c r="L2859" s="6">
        <v>625.0</v>
      </c>
      <c r="M2859" s="26" t="s">
        <v>95</v>
      </c>
      <c r="N2859" s="26" t="s">
        <v>54</v>
      </c>
      <c r="O2859" s="6" t="s">
        <v>40</v>
      </c>
      <c r="P2859" s="5" t="s">
        <v>59</v>
      </c>
      <c r="Q2859" s="5" t="s">
        <v>122</v>
      </c>
      <c r="R2859" s="6" t="s">
        <v>42</v>
      </c>
      <c r="S2859" s="5" t="s">
        <v>90</v>
      </c>
      <c r="T2859" s="5" t="s">
        <v>44</v>
      </c>
      <c r="U2859" s="5" t="s">
        <v>44</v>
      </c>
      <c r="V2859" s="5" t="s">
        <v>44</v>
      </c>
      <c r="W2859" s="5" t="s">
        <v>35</v>
      </c>
      <c r="X2859" s="8" t="s">
        <v>182</v>
      </c>
      <c r="Y2859" s="5" t="s">
        <v>46</v>
      </c>
      <c r="Z2859" s="5" t="s">
        <v>47</v>
      </c>
      <c r="AA2859" s="5" t="s">
        <v>64</v>
      </c>
      <c r="AB2859" s="5" t="s">
        <v>13929</v>
      </c>
      <c r="AC2859" s="6" t="s">
        <v>50</v>
      </c>
      <c r="AD2859" s="6">
        <v>908.0</v>
      </c>
    </row>
    <row r="2860" ht="56.25" customHeight="1">
      <c r="A2860" s="5" t="s">
        <v>13926</v>
      </c>
      <c r="B2860" s="6" t="str">
        <f>IMAGE("https://storage.googleapis.com/acdb/housewares/FtrCleanerStick_Remake_1_0.png")</f>
        <v/>
      </c>
      <c r="C2860" s="5" t="s">
        <v>57</v>
      </c>
      <c r="D2860" s="5" t="s">
        <v>34</v>
      </c>
      <c r="E2860" s="5" t="s">
        <v>34</v>
      </c>
      <c r="F2860" s="5" t="s">
        <v>34</v>
      </c>
      <c r="G2860" s="5" t="s">
        <v>36</v>
      </c>
      <c r="H2860" s="5" t="s">
        <v>36</v>
      </c>
      <c r="I2860" s="5" t="s">
        <v>36</v>
      </c>
      <c r="J2860" s="6" t="s">
        <v>34</v>
      </c>
      <c r="K2860" s="6">
        <v>2500.0</v>
      </c>
      <c r="L2860" s="6">
        <v>625.0</v>
      </c>
      <c r="M2860" s="26" t="s">
        <v>57</v>
      </c>
      <c r="N2860" s="26" t="s">
        <v>54</v>
      </c>
      <c r="O2860" s="6" t="s">
        <v>40</v>
      </c>
      <c r="P2860" s="5" t="s">
        <v>59</v>
      </c>
      <c r="Q2860" s="5" t="s">
        <v>122</v>
      </c>
      <c r="R2860" s="6" t="s">
        <v>42</v>
      </c>
      <c r="S2860" s="5" t="s">
        <v>90</v>
      </c>
      <c r="T2860" s="5" t="s">
        <v>44</v>
      </c>
      <c r="U2860" s="5" t="s">
        <v>44</v>
      </c>
      <c r="V2860" s="5" t="s">
        <v>44</v>
      </c>
      <c r="W2860" s="5" t="s">
        <v>35</v>
      </c>
      <c r="X2860" s="8" t="s">
        <v>182</v>
      </c>
      <c r="Y2860" s="5" t="s">
        <v>46</v>
      </c>
      <c r="Z2860" s="5" t="s">
        <v>47</v>
      </c>
      <c r="AA2860" s="5" t="s">
        <v>64</v>
      </c>
      <c r="AB2860" s="5" t="s">
        <v>13932</v>
      </c>
      <c r="AC2860" s="6" t="s">
        <v>56</v>
      </c>
      <c r="AD2860" s="6">
        <v>908.0</v>
      </c>
    </row>
    <row r="2861" ht="56.25" customHeight="1">
      <c r="A2861" s="5" t="s">
        <v>13926</v>
      </c>
      <c r="B2861" s="6" t="str">
        <f>IMAGE("https://storage.googleapis.com/acdb/housewares/FtrCleanerStick_Remake_2_0.png")</f>
        <v/>
      </c>
      <c r="C2861" s="5" t="s">
        <v>54</v>
      </c>
      <c r="D2861" s="5" t="s">
        <v>34</v>
      </c>
      <c r="E2861" s="5" t="s">
        <v>34</v>
      </c>
      <c r="F2861" s="5" t="s">
        <v>34</v>
      </c>
      <c r="G2861" s="5" t="s">
        <v>36</v>
      </c>
      <c r="H2861" s="5" t="s">
        <v>36</v>
      </c>
      <c r="I2861" s="5" t="s">
        <v>36</v>
      </c>
      <c r="J2861" s="6" t="s">
        <v>34</v>
      </c>
      <c r="K2861" s="6">
        <v>2500.0</v>
      </c>
      <c r="L2861" s="6">
        <v>625.0</v>
      </c>
      <c r="M2861" s="26" t="s">
        <v>54</v>
      </c>
      <c r="N2861" s="26" t="s">
        <v>54</v>
      </c>
      <c r="O2861" s="6" t="s">
        <v>40</v>
      </c>
      <c r="P2861" s="5" t="s">
        <v>59</v>
      </c>
      <c r="Q2861" s="5" t="s">
        <v>122</v>
      </c>
      <c r="R2861" s="6" t="s">
        <v>42</v>
      </c>
      <c r="S2861" s="5" t="s">
        <v>90</v>
      </c>
      <c r="T2861" s="5" t="s">
        <v>44</v>
      </c>
      <c r="U2861" s="5" t="s">
        <v>44</v>
      </c>
      <c r="V2861" s="5" t="s">
        <v>44</v>
      </c>
      <c r="W2861" s="5" t="s">
        <v>35</v>
      </c>
      <c r="X2861" s="8" t="s">
        <v>182</v>
      </c>
      <c r="Y2861" s="5" t="s">
        <v>46</v>
      </c>
      <c r="Z2861" s="5" t="s">
        <v>47</v>
      </c>
      <c r="AA2861" s="5" t="s">
        <v>64</v>
      </c>
      <c r="AB2861" s="5" t="s">
        <v>13935</v>
      </c>
      <c r="AC2861" s="6" t="s">
        <v>67</v>
      </c>
      <c r="AD2861" s="6">
        <v>908.0</v>
      </c>
    </row>
    <row r="2862" ht="56.25" customHeight="1">
      <c r="A2862" s="5" t="s">
        <v>13926</v>
      </c>
      <c r="B2862" s="6" t="str">
        <f>IMAGE("https://storage.googleapis.com/acdb/housewares/FtrCleanerStick_Remake_3_0.png")</f>
        <v/>
      </c>
      <c r="C2862" s="5" t="s">
        <v>52</v>
      </c>
      <c r="D2862" s="5" t="s">
        <v>34</v>
      </c>
      <c r="E2862" s="5" t="s">
        <v>34</v>
      </c>
      <c r="F2862" s="5" t="s">
        <v>34</v>
      </c>
      <c r="G2862" s="5" t="s">
        <v>36</v>
      </c>
      <c r="H2862" s="5" t="s">
        <v>36</v>
      </c>
      <c r="I2862" s="5" t="s">
        <v>36</v>
      </c>
      <c r="J2862" s="6" t="s">
        <v>34</v>
      </c>
      <c r="K2862" s="6">
        <v>2500.0</v>
      </c>
      <c r="L2862" s="6">
        <v>625.0</v>
      </c>
      <c r="M2862" s="26" t="s">
        <v>52</v>
      </c>
      <c r="N2862" s="26" t="s">
        <v>54</v>
      </c>
      <c r="O2862" s="6" t="s">
        <v>40</v>
      </c>
      <c r="P2862" s="5" t="s">
        <v>59</v>
      </c>
      <c r="Q2862" s="5" t="s">
        <v>122</v>
      </c>
      <c r="R2862" s="6" t="s">
        <v>42</v>
      </c>
      <c r="S2862" s="5" t="s">
        <v>90</v>
      </c>
      <c r="T2862" s="5" t="s">
        <v>44</v>
      </c>
      <c r="U2862" s="5" t="s">
        <v>44</v>
      </c>
      <c r="V2862" s="5" t="s">
        <v>44</v>
      </c>
      <c r="W2862" s="5" t="s">
        <v>35</v>
      </c>
      <c r="X2862" s="8" t="s">
        <v>182</v>
      </c>
      <c r="Y2862" s="5" t="s">
        <v>46</v>
      </c>
      <c r="Z2862" s="5" t="s">
        <v>47</v>
      </c>
      <c r="AA2862" s="5" t="s">
        <v>64</v>
      </c>
      <c r="AB2862" s="5" t="s">
        <v>13938</v>
      </c>
      <c r="AC2862" s="6" t="s">
        <v>71</v>
      </c>
      <c r="AD2862" s="6">
        <v>908.0</v>
      </c>
    </row>
    <row r="2863" ht="56.25" customHeight="1">
      <c r="A2863" s="5" t="s">
        <v>13926</v>
      </c>
      <c r="B2863" s="6" t="str">
        <f>IMAGE("https://storage.googleapis.com/acdb/housewares/FtrCleanerStick_Remake_4_0.png")</f>
        <v/>
      </c>
      <c r="C2863" s="5" t="s">
        <v>142</v>
      </c>
      <c r="D2863" s="5" t="s">
        <v>34</v>
      </c>
      <c r="E2863" s="5" t="s">
        <v>34</v>
      </c>
      <c r="F2863" s="5" t="s">
        <v>34</v>
      </c>
      <c r="G2863" s="5" t="s">
        <v>36</v>
      </c>
      <c r="H2863" s="5" t="s">
        <v>36</v>
      </c>
      <c r="I2863" s="5" t="s">
        <v>36</v>
      </c>
      <c r="J2863" s="6" t="s">
        <v>34</v>
      </c>
      <c r="K2863" s="6">
        <v>2500.0</v>
      </c>
      <c r="L2863" s="6">
        <v>625.0</v>
      </c>
      <c r="M2863" s="26" t="s">
        <v>142</v>
      </c>
      <c r="N2863" s="26" t="s">
        <v>54</v>
      </c>
      <c r="O2863" s="6" t="s">
        <v>40</v>
      </c>
      <c r="P2863" s="5" t="s">
        <v>59</v>
      </c>
      <c r="Q2863" s="5" t="s">
        <v>122</v>
      </c>
      <c r="R2863" s="6" t="s">
        <v>42</v>
      </c>
      <c r="S2863" s="5" t="s">
        <v>90</v>
      </c>
      <c r="T2863" s="5" t="s">
        <v>44</v>
      </c>
      <c r="U2863" s="5" t="s">
        <v>44</v>
      </c>
      <c r="V2863" s="5" t="s">
        <v>44</v>
      </c>
      <c r="W2863" s="5" t="s">
        <v>35</v>
      </c>
      <c r="X2863" s="8" t="s">
        <v>182</v>
      </c>
      <c r="Y2863" s="5" t="s">
        <v>46</v>
      </c>
      <c r="Z2863" s="5" t="s">
        <v>47</v>
      </c>
      <c r="AA2863" s="5" t="s">
        <v>64</v>
      </c>
      <c r="AB2863" s="5" t="s">
        <v>13943</v>
      </c>
      <c r="AC2863" s="6" t="s">
        <v>75</v>
      </c>
      <c r="AD2863" s="6">
        <v>908.0</v>
      </c>
    </row>
    <row r="2864" ht="56.25" customHeight="1">
      <c r="A2864" s="5" t="s">
        <v>13926</v>
      </c>
      <c r="B2864" s="6" t="str">
        <f>IMAGE("https://storage.googleapis.com/acdb/housewares/FtrCleanerStick_Remake_5_0.png")</f>
        <v/>
      </c>
      <c r="C2864" s="5" t="s">
        <v>96</v>
      </c>
      <c r="D2864" s="5" t="s">
        <v>34</v>
      </c>
      <c r="E2864" s="5" t="s">
        <v>34</v>
      </c>
      <c r="F2864" s="5" t="s">
        <v>34</v>
      </c>
      <c r="G2864" s="5" t="s">
        <v>36</v>
      </c>
      <c r="H2864" s="5" t="s">
        <v>36</v>
      </c>
      <c r="I2864" s="5" t="s">
        <v>36</v>
      </c>
      <c r="J2864" s="6" t="s">
        <v>34</v>
      </c>
      <c r="K2864" s="6">
        <v>2500.0</v>
      </c>
      <c r="L2864" s="6">
        <v>625.0</v>
      </c>
      <c r="M2864" s="26" t="s">
        <v>96</v>
      </c>
      <c r="N2864" s="26" t="s">
        <v>54</v>
      </c>
      <c r="O2864" s="6" t="s">
        <v>40</v>
      </c>
      <c r="P2864" s="5" t="s">
        <v>59</v>
      </c>
      <c r="Q2864" s="5" t="s">
        <v>122</v>
      </c>
      <c r="R2864" s="6" t="s">
        <v>42</v>
      </c>
      <c r="S2864" s="5" t="s">
        <v>90</v>
      </c>
      <c r="T2864" s="5" t="s">
        <v>44</v>
      </c>
      <c r="U2864" s="5" t="s">
        <v>44</v>
      </c>
      <c r="V2864" s="5" t="s">
        <v>44</v>
      </c>
      <c r="W2864" s="5" t="s">
        <v>35</v>
      </c>
      <c r="X2864" s="8" t="s">
        <v>182</v>
      </c>
      <c r="Y2864" s="5" t="s">
        <v>46</v>
      </c>
      <c r="Z2864" s="5" t="s">
        <v>47</v>
      </c>
      <c r="AA2864" s="5" t="s">
        <v>64</v>
      </c>
      <c r="AB2864" s="5" t="s">
        <v>13947</v>
      </c>
      <c r="AC2864" s="6" t="s">
        <v>79</v>
      </c>
      <c r="AD2864" s="6">
        <v>908.0</v>
      </c>
    </row>
    <row r="2865" ht="56.25" customHeight="1">
      <c r="A2865" s="5" t="s">
        <v>13926</v>
      </c>
      <c r="B2865" s="6" t="str">
        <f>IMAGE("https://storage.googleapis.com/acdb/housewares/FtrCleanerStick_Remake_6_0.png")</f>
        <v/>
      </c>
      <c r="C2865" s="5" t="s">
        <v>69</v>
      </c>
      <c r="D2865" s="5" t="s">
        <v>34</v>
      </c>
      <c r="E2865" s="5" t="s">
        <v>34</v>
      </c>
      <c r="F2865" s="5" t="s">
        <v>34</v>
      </c>
      <c r="G2865" s="5" t="s">
        <v>36</v>
      </c>
      <c r="H2865" s="5" t="s">
        <v>36</v>
      </c>
      <c r="I2865" s="5" t="s">
        <v>36</v>
      </c>
      <c r="J2865" s="6" t="s">
        <v>34</v>
      </c>
      <c r="K2865" s="6">
        <v>2500.0</v>
      </c>
      <c r="L2865" s="6">
        <v>625.0</v>
      </c>
      <c r="M2865" s="26" t="s">
        <v>69</v>
      </c>
      <c r="N2865" s="26" t="s">
        <v>54</v>
      </c>
      <c r="O2865" s="6" t="s">
        <v>40</v>
      </c>
      <c r="P2865" s="5" t="s">
        <v>59</v>
      </c>
      <c r="Q2865" s="5" t="s">
        <v>122</v>
      </c>
      <c r="R2865" s="6" t="s">
        <v>42</v>
      </c>
      <c r="S2865" s="5" t="s">
        <v>90</v>
      </c>
      <c r="T2865" s="5" t="s">
        <v>44</v>
      </c>
      <c r="U2865" s="5" t="s">
        <v>44</v>
      </c>
      <c r="V2865" s="5" t="s">
        <v>44</v>
      </c>
      <c r="W2865" s="5" t="s">
        <v>35</v>
      </c>
      <c r="X2865" s="8" t="s">
        <v>182</v>
      </c>
      <c r="Y2865" s="5" t="s">
        <v>46</v>
      </c>
      <c r="Z2865" s="5" t="s">
        <v>47</v>
      </c>
      <c r="AA2865" s="5" t="s">
        <v>64</v>
      </c>
      <c r="AB2865" s="5" t="s">
        <v>13952</v>
      </c>
      <c r="AC2865" s="6" t="s">
        <v>86</v>
      </c>
      <c r="AD2865" s="6">
        <v>908.0</v>
      </c>
    </row>
    <row r="2866" ht="56.25" customHeight="1">
      <c r="A2866" s="5" t="s">
        <v>13953</v>
      </c>
      <c r="B2866" s="6" t="str">
        <f>IMAGE("https://storage.googleapis.com/acdb/housewares/FtrTelephonepole_Remake_0_0.png")</f>
        <v/>
      </c>
      <c r="C2866" s="5" t="s">
        <v>13955</v>
      </c>
      <c r="D2866" s="5" t="s">
        <v>34</v>
      </c>
      <c r="E2866" s="5" t="s">
        <v>34</v>
      </c>
      <c r="F2866" s="5" t="s">
        <v>34</v>
      </c>
      <c r="G2866" s="5" t="s">
        <v>36</v>
      </c>
      <c r="H2866" s="5" t="s">
        <v>36</v>
      </c>
      <c r="I2866" s="5" t="s">
        <v>36</v>
      </c>
      <c r="J2866" s="6" t="s">
        <v>34</v>
      </c>
      <c r="K2866" s="6" t="s">
        <v>37</v>
      </c>
      <c r="L2866" s="6">
        <v>5000.0</v>
      </c>
      <c r="M2866" s="26" t="s">
        <v>95</v>
      </c>
      <c r="N2866" s="26" t="s">
        <v>95</v>
      </c>
      <c r="O2866" s="6" t="s">
        <v>40</v>
      </c>
      <c r="P2866" s="5" t="s">
        <v>2140</v>
      </c>
      <c r="Q2866" s="5"/>
      <c r="R2866" s="6" t="s">
        <v>42</v>
      </c>
      <c r="S2866" s="5" t="s">
        <v>172</v>
      </c>
      <c r="T2866" s="5" t="s">
        <v>44</v>
      </c>
      <c r="U2866" s="5" t="s">
        <v>44</v>
      </c>
      <c r="V2866" s="5" t="s">
        <v>44</v>
      </c>
      <c r="W2866" s="5" t="s">
        <v>36</v>
      </c>
      <c r="X2866" s="8" t="s">
        <v>173</v>
      </c>
      <c r="Y2866" s="5" t="s">
        <v>46</v>
      </c>
      <c r="Z2866" s="5" t="s">
        <v>47</v>
      </c>
      <c r="AA2866" s="5" t="s">
        <v>48</v>
      </c>
      <c r="AB2866" s="5" t="s">
        <v>13958</v>
      </c>
      <c r="AC2866" s="6" t="s">
        <v>50</v>
      </c>
      <c r="AD2866" s="6">
        <v>9619.0</v>
      </c>
    </row>
    <row r="2867" ht="56.25" customHeight="1">
      <c r="A2867" s="5" t="s">
        <v>13953</v>
      </c>
      <c r="B2867" s="6" t="str">
        <f>IMAGE("https://storage.googleapis.com/acdb/housewares/FtrTelephonepole_Remake_1_0.png")</f>
        <v/>
      </c>
      <c r="C2867" s="5" t="s">
        <v>13961</v>
      </c>
      <c r="D2867" s="5" t="s">
        <v>34</v>
      </c>
      <c r="E2867" s="5" t="s">
        <v>34</v>
      </c>
      <c r="F2867" s="5" t="s">
        <v>34</v>
      </c>
      <c r="G2867" s="5" t="s">
        <v>36</v>
      </c>
      <c r="H2867" s="5" t="s">
        <v>36</v>
      </c>
      <c r="I2867" s="5" t="s">
        <v>36</v>
      </c>
      <c r="J2867" s="6" t="s">
        <v>34</v>
      </c>
      <c r="K2867" s="6" t="s">
        <v>37</v>
      </c>
      <c r="L2867" s="6">
        <v>5000.0</v>
      </c>
      <c r="M2867" s="26" t="s">
        <v>95</v>
      </c>
      <c r="N2867" s="26" t="s">
        <v>95</v>
      </c>
      <c r="O2867" s="6" t="s">
        <v>40</v>
      </c>
      <c r="P2867" s="5" t="s">
        <v>2140</v>
      </c>
      <c r="Q2867" s="5"/>
      <c r="R2867" s="6" t="s">
        <v>42</v>
      </c>
      <c r="S2867" s="5" t="s">
        <v>172</v>
      </c>
      <c r="T2867" s="5" t="s">
        <v>44</v>
      </c>
      <c r="U2867" s="5" t="s">
        <v>44</v>
      </c>
      <c r="V2867" s="5" t="s">
        <v>44</v>
      </c>
      <c r="W2867" s="5" t="s">
        <v>36</v>
      </c>
      <c r="X2867" s="8" t="s">
        <v>173</v>
      </c>
      <c r="Y2867" s="5" t="s">
        <v>46</v>
      </c>
      <c r="Z2867" s="5" t="s">
        <v>47</v>
      </c>
      <c r="AA2867" s="5" t="s">
        <v>48</v>
      </c>
      <c r="AB2867" s="5" t="s">
        <v>13964</v>
      </c>
      <c r="AC2867" s="6" t="s">
        <v>56</v>
      </c>
      <c r="AD2867" s="6">
        <v>9619.0</v>
      </c>
    </row>
    <row r="2868" ht="56.25" customHeight="1">
      <c r="A2868" s="5" t="s">
        <v>13965</v>
      </c>
      <c r="B2868" s="6" t="str">
        <f>IMAGE("https://storage.googleapis.com/acdb/housewares/FtrSlopsink.png")</f>
        <v/>
      </c>
      <c r="C2868" s="5" t="s">
        <v>34</v>
      </c>
      <c r="D2868" s="5" t="s">
        <v>34</v>
      </c>
      <c r="E2868" s="5" t="s">
        <v>34</v>
      </c>
      <c r="F2868" s="5" t="s">
        <v>34</v>
      </c>
      <c r="G2868" s="5" t="s">
        <v>36</v>
      </c>
      <c r="H2868" s="5" t="s">
        <v>36</v>
      </c>
      <c r="I2868" s="5" t="s">
        <v>36</v>
      </c>
      <c r="J2868" s="6" t="s">
        <v>34</v>
      </c>
      <c r="K2868" s="6">
        <v>3500.0</v>
      </c>
      <c r="L2868" s="6">
        <v>875.0</v>
      </c>
      <c r="M2868" s="5" t="s">
        <v>95</v>
      </c>
      <c r="N2868" s="5" t="s">
        <v>95</v>
      </c>
      <c r="O2868" s="6" t="s">
        <v>40</v>
      </c>
      <c r="P2868" s="5" t="s">
        <v>59</v>
      </c>
      <c r="Q2868" s="5" t="s">
        <v>89</v>
      </c>
      <c r="R2868" s="6" t="s">
        <v>42</v>
      </c>
      <c r="S2868" s="5" t="s">
        <v>130</v>
      </c>
      <c r="T2868" s="5" t="s">
        <v>62</v>
      </c>
      <c r="U2868" s="5" t="s">
        <v>44</v>
      </c>
      <c r="V2868" s="5" t="s">
        <v>44</v>
      </c>
      <c r="W2868" s="5" t="s">
        <v>35</v>
      </c>
      <c r="X2868" s="8" t="s">
        <v>289</v>
      </c>
      <c r="Y2868" s="5" t="s">
        <v>46</v>
      </c>
      <c r="Z2868" s="5" t="s">
        <v>47</v>
      </c>
      <c r="AA2868" s="5" t="s">
        <v>64</v>
      </c>
      <c r="AB2868" s="5" t="s">
        <v>13968</v>
      </c>
      <c r="AC2868" s="6" t="s">
        <v>34</v>
      </c>
      <c r="AD2868" s="6">
        <v>4026.0</v>
      </c>
    </row>
    <row r="2869" ht="56.25" customHeight="1">
      <c r="A2869" s="5" t="s">
        <v>13970</v>
      </c>
      <c r="B2869" s="6" t="str">
        <f>IMAGE("https://storage.googleapis.com/acdb/housewares/FtrCleaner_Remake_0_0.png")</f>
        <v/>
      </c>
      <c r="C2869" s="5" t="s">
        <v>52</v>
      </c>
      <c r="D2869" s="5" t="s">
        <v>34</v>
      </c>
      <c r="E2869" s="5" t="s">
        <v>34</v>
      </c>
      <c r="F2869" s="5" t="s">
        <v>34</v>
      </c>
      <c r="G2869" s="5" t="s">
        <v>36</v>
      </c>
      <c r="H2869" s="5" t="s">
        <v>36</v>
      </c>
      <c r="I2869" s="5" t="s">
        <v>36</v>
      </c>
      <c r="J2869" s="6" t="s">
        <v>34</v>
      </c>
      <c r="K2869" s="6">
        <v>3800.0</v>
      </c>
      <c r="L2869" s="6">
        <v>950.0</v>
      </c>
      <c r="M2869" s="26" t="s">
        <v>52</v>
      </c>
      <c r="N2869" s="5" t="s">
        <v>95</v>
      </c>
      <c r="O2869" s="6" t="s">
        <v>40</v>
      </c>
      <c r="P2869" s="5" t="s">
        <v>59</v>
      </c>
      <c r="Q2869" s="5" t="s">
        <v>89</v>
      </c>
      <c r="R2869" s="6" t="s">
        <v>42</v>
      </c>
      <c r="S2869" s="5" t="s">
        <v>90</v>
      </c>
      <c r="T2869" s="5" t="s">
        <v>44</v>
      </c>
      <c r="U2869" s="5" t="s">
        <v>44</v>
      </c>
      <c r="V2869" s="5" t="s">
        <v>44</v>
      </c>
      <c r="W2869" s="5" t="s">
        <v>35</v>
      </c>
      <c r="X2869" s="8" t="s">
        <v>182</v>
      </c>
      <c r="Y2869" s="5" t="s">
        <v>46</v>
      </c>
      <c r="Z2869" s="5" t="s">
        <v>47</v>
      </c>
      <c r="AA2869" s="5" t="s">
        <v>64</v>
      </c>
      <c r="AB2869" s="5" t="s">
        <v>13975</v>
      </c>
      <c r="AC2869" s="6" t="s">
        <v>50</v>
      </c>
      <c r="AD2869" s="6">
        <v>907.0</v>
      </c>
    </row>
    <row r="2870" ht="56.25" customHeight="1">
      <c r="A2870" s="5" t="s">
        <v>13970</v>
      </c>
      <c r="B2870" s="6" t="str">
        <f>IMAGE("https://storage.googleapis.com/acdb/housewares/FtrCleaner_Remake_1_0.png")</f>
        <v/>
      </c>
      <c r="C2870" s="5" t="s">
        <v>114</v>
      </c>
      <c r="D2870" s="5" t="s">
        <v>34</v>
      </c>
      <c r="E2870" s="5" t="s">
        <v>34</v>
      </c>
      <c r="F2870" s="5" t="s">
        <v>34</v>
      </c>
      <c r="G2870" s="5" t="s">
        <v>36</v>
      </c>
      <c r="H2870" s="5" t="s">
        <v>36</v>
      </c>
      <c r="I2870" s="5" t="s">
        <v>36</v>
      </c>
      <c r="J2870" s="6" t="s">
        <v>34</v>
      </c>
      <c r="K2870" s="6">
        <v>3800.0</v>
      </c>
      <c r="L2870" s="6">
        <v>950.0</v>
      </c>
      <c r="M2870" s="26" t="s">
        <v>114</v>
      </c>
      <c r="N2870" s="26" t="s">
        <v>54</v>
      </c>
      <c r="O2870" s="6" t="s">
        <v>40</v>
      </c>
      <c r="P2870" s="5" t="s">
        <v>59</v>
      </c>
      <c r="Q2870" s="5" t="s">
        <v>89</v>
      </c>
      <c r="R2870" s="6" t="s">
        <v>42</v>
      </c>
      <c r="S2870" s="5" t="s">
        <v>90</v>
      </c>
      <c r="T2870" s="5" t="s">
        <v>44</v>
      </c>
      <c r="U2870" s="5" t="s">
        <v>44</v>
      </c>
      <c r="V2870" s="5" t="s">
        <v>44</v>
      </c>
      <c r="W2870" s="5" t="s">
        <v>35</v>
      </c>
      <c r="X2870" s="8" t="s">
        <v>182</v>
      </c>
      <c r="Y2870" s="5" t="s">
        <v>46</v>
      </c>
      <c r="Z2870" s="5" t="s">
        <v>47</v>
      </c>
      <c r="AA2870" s="5" t="s">
        <v>64</v>
      </c>
      <c r="AB2870" s="5" t="s">
        <v>13978</v>
      </c>
      <c r="AC2870" s="6" t="s">
        <v>56</v>
      </c>
      <c r="AD2870" s="6">
        <v>907.0</v>
      </c>
    </row>
    <row r="2871" ht="56.25" customHeight="1">
      <c r="A2871" s="5" t="s">
        <v>13970</v>
      </c>
      <c r="B2871" s="6" t="str">
        <f>IMAGE("https://storage.googleapis.com/acdb/housewares/FtrCleaner_Remake_2_0.png")</f>
        <v/>
      </c>
      <c r="C2871" s="5" t="s">
        <v>96</v>
      </c>
      <c r="D2871" s="5" t="s">
        <v>34</v>
      </c>
      <c r="E2871" s="5" t="s">
        <v>34</v>
      </c>
      <c r="F2871" s="5" t="s">
        <v>34</v>
      </c>
      <c r="G2871" s="5" t="s">
        <v>36</v>
      </c>
      <c r="H2871" s="5" t="s">
        <v>36</v>
      </c>
      <c r="I2871" s="5" t="s">
        <v>36</v>
      </c>
      <c r="J2871" s="6" t="s">
        <v>34</v>
      </c>
      <c r="K2871" s="6">
        <v>3800.0</v>
      </c>
      <c r="L2871" s="6">
        <v>950.0</v>
      </c>
      <c r="M2871" s="26" t="s">
        <v>96</v>
      </c>
      <c r="N2871" s="26" t="s">
        <v>96</v>
      </c>
      <c r="O2871" s="6" t="s">
        <v>40</v>
      </c>
      <c r="P2871" s="5" t="s">
        <v>59</v>
      </c>
      <c r="Q2871" s="5" t="s">
        <v>89</v>
      </c>
      <c r="R2871" s="6" t="s">
        <v>42</v>
      </c>
      <c r="S2871" s="5" t="s">
        <v>90</v>
      </c>
      <c r="T2871" s="5" t="s">
        <v>44</v>
      </c>
      <c r="U2871" s="5" t="s">
        <v>44</v>
      </c>
      <c r="V2871" s="5" t="s">
        <v>44</v>
      </c>
      <c r="W2871" s="5" t="s">
        <v>35</v>
      </c>
      <c r="X2871" s="8" t="s">
        <v>182</v>
      </c>
      <c r="Y2871" s="5" t="s">
        <v>46</v>
      </c>
      <c r="Z2871" s="5" t="s">
        <v>47</v>
      </c>
      <c r="AA2871" s="5" t="s">
        <v>64</v>
      </c>
      <c r="AB2871" s="5" t="s">
        <v>13984</v>
      </c>
      <c r="AC2871" s="6" t="s">
        <v>67</v>
      </c>
      <c r="AD2871" s="6">
        <v>907.0</v>
      </c>
    </row>
    <row r="2872" ht="56.25" customHeight="1">
      <c r="A2872" s="5" t="s">
        <v>13970</v>
      </c>
      <c r="B2872" s="6" t="str">
        <f>IMAGE("https://storage.googleapis.com/acdb/housewares/FtrCleaner_Remake_3_0.png")</f>
        <v/>
      </c>
      <c r="C2872" s="5" t="s">
        <v>95</v>
      </c>
      <c r="D2872" s="5" t="s">
        <v>34</v>
      </c>
      <c r="E2872" s="5" t="s">
        <v>34</v>
      </c>
      <c r="F2872" s="5" t="s">
        <v>34</v>
      </c>
      <c r="G2872" s="5" t="s">
        <v>36</v>
      </c>
      <c r="H2872" s="5" t="s">
        <v>36</v>
      </c>
      <c r="I2872" s="5" t="s">
        <v>36</v>
      </c>
      <c r="J2872" s="6" t="s">
        <v>34</v>
      </c>
      <c r="K2872" s="6">
        <v>3800.0</v>
      </c>
      <c r="L2872" s="6">
        <v>950.0</v>
      </c>
      <c r="M2872" s="5" t="s">
        <v>95</v>
      </c>
      <c r="N2872" s="5" t="s">
        <v>95</v>
      </c>
      <c r="O2872" s="6" t="s">
        <v>40</v>
      </c>
      <c r="P2872" s="5" t="s">
        <v>59</v>
      </c>
      <c r="Q2872" s="5" t="s">
        <v>89</v>
      </c>
      <c r="R2872" s="6" t="s">
        <v>42</v>
      </c>
      <c r="S2872" s="5" t="s">
        <v>90</v>
      </c>
      <c r="T2872" s="5" t="s">
        <v>44</v>
      </c>
      <c r="U2872" s="5" t="s">
        <v>44</v>
      </c>
      <c r="V2872" s="5" t="s">
        <v>44</v>
      </c>
      <c r="W2872" s="5" t="s">
        <v>35</v>
      </c>
      <c r="X2872" s="8" t="s">
        <v>182</v>
      </c>
      <c r="Y2872" s="5" t="s">
        <v>46</v>
      </c>
      <c r="Z2872" s="5" t="s">
        <v>47</v>
      </c>
      <c r="AA2872" s="5" t="s">
        <v>64</v>
      </c>
      <c r="AB2872" s="5" t="s">
        <v>13989</v>
      </c>
      <c r="AC2872" s="6" t="s">
        <v>71</v>
      </c>
      <c r="AD2872" s="6">
        <v>907.0</v>
      </c>
    </row>
    <row r="2873" ht="56.25" customHeight="1">
      <c r="A2873" s="5" t="s">
        <v>13970</v>
      </c>
      <c r="B2873" s="6" t="str">
        <f>IMAGE("https://storage.googleapis.com/acdb/housewares/FtrCleaner_Remake_4_0.png")</f>
        <v/>
      </c>
      <c r="C2873" s="5" t="s">
        <v>54</v>
      </c>
      <c r="D2873" s="5" t="s">
        <v>34</v>
      </c>
      <c r="E2873" s="5" t="s">
        <v>34</v>
      </c>
      <c r="F2873" s="5" t="s">
        <v>34</v>
      </c>
      <c r="G2873" s="5" t="s">
        <v>36</v>
      </c>
      <c r="H2873" s="5" t="s">
        <v>36</v>
      </c>
      <c r="I2873" s="5" t="s">
        <v>36</v>
      </c>
      <c r="J2873" s="6" t="s">
        <v>34</v>
      </c>
      <c r="K2873" s="6">
        <v>3800.0</v>
      </c>
      <c r="L2873" s="6">
        <v>950.0</v>
      </c>
      <c r="M2873" s="26" t="s">
        <v>54</v>
      </c>
      <c r="N2873" s="26" t="s">
        <v>54</v>
      </c>
      <c r="O2873" s="6" t="s">
        <v>40</v>
      </c>
      <c r="P2873" s="5" t="s">
        <v>59</v>
      </c>
      <c r="Q2873" s="5" t="s">
        <v>89</v>
      </c>
      <c r="R2873" s="6" t="s">
        <v>42</v>
      </c>
      <c r="S2873" s="5" t="s">
        <v>90</v>
      </c>
      <c r="T2873" s="5" t="s">
        <v>44</v>
      </c>
      <c r="U2873" s="5" t="s">
        <v>44</v>
      </c>
      <c r="V2873" s="5" t="s">
        <v>44</v>
      </c>
      <c r="W2873" s="5" t="s">
        <v>35</v>
      </c>
      <c r="X2873" s="8" t="s">
        <v>182</v>
      </c>
      <c r="Y2873" s="5" t="s">
        <v>46</v>
      </c>
      <c r="Z2873" s="5" t="s">
        <v>47</v>
      </c>
      <c r="AA2873" s="5" t="s">
        <v>64</v>
      </c>
      <c r="AB2873" s="5" t="s">
        <v>13996</v>
      </c>
      <c r="AC2873" s="6" t="s">
        <v>75</v>
      </c>
      <c r="AD2873" s="6">
        <v>907.0</v>
      </c>
    </row>
    <row r="2874" ht="56.25" customHeight="1">
      <c r="A2874" s="5" t="s">
        <v>13998</v>
      </c>
      <c r="B2874" s="6" t="str">
        <f>IMAGE("https://storage.googleapis.com/acdb/housewares/FtrPianoStool.png")</f>
        <v/>
      </c>
      <c r="C2874" s="5" t="s">
        <v>34</v>
      </c>
      <c r="D2874" s="5" t="s">
        <v>34</v>
      </c>
      <c r="E2874" s="5" t="s">
        <v>34</v>
      </c>
      <c r="F2874" s="5" t="s">
        <v>34</v>
      </c>
      <c r="G2874" s="5" t="s">
        <v>36</v>
      </c>
      <c r="H2874" s="5" t="s">
        <v>36</v>
      </c>
      <c r="I2874" s="5" t="s">
        <v>36</v>
      </c>
      <c r="J2874" s="6" t="s">
        <v>34</v>
      </c>
      <c r="K2874" s="6">
        <v>1000.0</v>
      </c>
      <c r="L2874" s="6">
        <v>250.0</v>
      </c>
      <c r="M2874" s="5" t="s">
        <v>52</v>
      </c>
      <c r="N2874" s="5" t="s">
        <v>114</v>
      </c>
      <c r="O2874" s="6" t="s">
        <v>40</v>
      </c>
      <c r="P2874" s="5" t="s">
        <v>59</v>
      </c>
      <c r="Q2874" s="5" t="s">
        <v>89</v>
      </c>
      <c r="R2874" s="6" t="s">
        <v>42</v>
      </c>
      <c r="S2874" s="5" t="s">
        <v>43</v>
      </c>
      <c r="T2874" s="5" t="s">
        <v>44</v>
      </c>
      <c r="U2874" s="5" t="s">
        <v>44</v>
      </c>
      <c r="V2874" s="5" t="s">
        <v>44</v>
      </c>
      <c r="W2874" s="5" t="s">
        <v>35</v>
      </c>
      <c r="X2874" s="8" t="s">
        <v>248</v>
      </c>
      <c r="Y2874" s="5" t="s">
        <v>46</v>
      </c>
      <c r="Z2874" s="5" t="s">
        <v>47</v>
      </c>
      <c r="AA2874" s="5" t="s">
        <v>64</v>
      </c>
      <c r="AB2874" s="5" t="s">
        <v>14001</v>
      </c>
      <c r="AC2874" s="6" t="s">
        <v>34</v>
      </c>
      <c r="AD2874" s="6">
        <v>8465.0</v>
      </c>
    </row>
    <row r="2875" ht="56.25" customHeight="1">
      <c r="A2875" s="5" t="s">
        <v>14002</v>
      </c>
      <c r="B2875" s="6" t="str">
        <f>IMAGE("https://storage.googleapis.com/acdb/housewares/FtrVideocamera_Remake_0_0.png")</f>
        <v/>
      </c>
      <c r="C2875" s="5" t="s">
        <v>54</v>
      </c>
      <c r="D2875" s="5" t="s">
        <v>34</v>
      </c>
      <c r="E2875" s="5" t="s">
        <v>34</v>
      </c>
      <c r="F2875" s="5" t="s">
        <v>34</v>
      </c>
      <c r="G2875" s="5" t="s">
        <v>36</v>
      </c>
      <c r="H2875" s="5" t="s">
        <v>36</v>
      </c>
      <c r="I2875" s="5" t="s">
        <v>36</v>
      </c>
      <c r="J2875" s="6" t="s">
        <v>34</v>
      </c>
      <c r="K2875" s="6">
        <v>32000.0</v>
      </c>
      <c r="L2875" s="6">
        <v>8000.0</v>
      </c>
      <c r="M2875" s="26" t="s">
        <v>54</v>
      </c>
      <c r="N2875" s="26" t="s">
        <v>54</v>
      </c>
      <c r="O2875" s="6" t="s">
        <v>40</v>
      </c>
      <c r="P2875" s="5" t="s">
        <v>59</v>
      </c>
      <c r="Q2875" s="5" t="s">
        <v>115</v>
      </c>
      <c r="R2875" s="6" t="s">
        <v>42</v>
      </c>
      <c r="S2875" s="5" t="s">
        <v>141</v>
      </c>
      <c r="T2875" s="5" t="s">
        <v>44</v>
      </c>
      <c r="U2875" s="5" t="s">
        <v>44</v>
      </c>
      <c r="V2875" s="5" t="s">
        <v>44</v>
      </c>
      <c r="W2875" s="5" t="s">
        <v>35</v>
      </c>
      <c r="X2875" s="8" t="s">
        <v>182</v>
      </c>
      <c r="Y2875" s="5" t="s">
        <v>46</v>
      </c>
      <c r="Z2875" s="5" t="s">
        <v>47</v>
      </c>
      <c r="AA2875" s="5" t="s">
        <v>64</v>
      </c>
      <c r="AB2875" s="5" t="s">
        <v>14006</v>
      </c>
      <c r="AC2875" s="6" t="s">
        <v>50</v>
      </c>
      <c r="AD2875" s="6">
        <v>1221.0</v>
      </c>
    </row>
    <row r="2876" ht="56.25" customHeight="1">
      <c r="A2876" s="5" t="s">
        <v>14002</v>
      </c>
      <c r="B2876" s="6" t="str">
        <f>IMAGE("https://storage.googleapis.com/acdb/housewares/FtrVideocamera_Remake_1_0.png")</f>
        <v/>
      </c>
      <c r="C2876" s="5" t="s">
        <v>146</v>
      </c>
      <c r="D2876" s="5" t="s">
        <v>34</v>
      </c>
      <c r="E2876" s="5" t="s">
        <v>34</v>
      </c>
      <c r="F2876" s="5" t="s">
        <v>34</v>
      </c>
      <c r="G2876" s="5" t="s">
        <v>36</v>
      </c>
      <c r="H2876" s="5" t="s">
        <v>36</v>
      </c>
      <c r="I2876" s="5" t="s">
        <v>36</v>
      </c>
      <c r="J2876" s="6" t="s">
        <v>34</v>
      </c>
      <c r="K2876" s="6">
        <v>32000.0</v>
      </c>
      <c r="L2876" s="6">
        <v>8000.0</v>
      </c>
      <c r="M2876" s="5" t="s">
        <v>95</v>
      </c>
      <c r="N2876" s="26" t="s">
        <v>57</v>
      </c>
      <c r="O2876" s="6" t="s">
        <v>40</v>
      </c>
      <c r="P2876" s="5" t="s">
        <v>59</v>
      </c>
      <c r="Q2876" s="5" t="s">
        <v>115</v>
      </c>
      <c r="R2876" s="6" t="s">
        <v>42</v>
      </c>
      <c r="S2876" s="5" t="s">
        <v>141</v>
      </c>
      <c r="T2876" s="5" t="s">
        <v>44</v>
      </c>
      <c r="U2876" s="5" t="s">
        <v>44</v>
      </c>
      <c r="V2876" s="5" t="s">
        <v>44</v>
      </c>
      <c r="W2876" s="5" t="s">
        <v>35</v>
      </c>
      <c r="X2876" s="8" t="s">
        <v>182</v>
      </c>
      <c r="Y2876" s="5" t="s">
        <v>46</v>
      </c>
      <c r="Z2876" s="5" t="s">
        <v>47</v>
      </c>
      <c r="AA2876" s="5" t="s">
        <v>64</v>
      </c>
      <c r="AB2876" s="5" t="s">
        <v>14013</v>
      </c>
      <c r="AC2876" s="6" t="s">
        <v>56</v>
      </c>
      <c r="AD2876" s="6">
        <v>1221.0</v>
      </c>
    </row>
    <row r="2877" ht="56.25" customHeight="1">
      <c r="A2877" s="5" t="s">
        <v>14002</v>
      </c>
      <c r="B2877" s="6" t="str">
        <f>IMAGE("https://storage.googleapis.com/acdb/housewares/FtrVideocamera_Remake_2_0.png")</f>
        <v/>
      </c>
      <c r="C2877" s="5" t="s">
        <v>52</v>
      </c>
      <c r="D2877" s="5" t="s">
        <v>34</v>
      </c>
      <c r="E2877" s="5" t="s">
        <v>34</v>
      </c>
      <c r="F2877" s="5" t="s">
        <v>34</v>
      </c>
      <c r="G2877" s="5" t="s">
        <v>36</v>
      </c>
      <c r="H2877" s="5" t="s">
        <v>36</v>
      </c>
      <c r="I2877" s="5" t="s">
        <v>36</v>
      </c>
      <c r="J2877" s="6" t="s">
        <v>34</v>
      </c>
      <c r="K2877" s="6">
        <v>32000.0</v>
      </c>
      <c r="L2877" s="6">
        <v>8000.0</v>
      </c>
      <c r="M2877" s="26" t="s">
        <v>52</v>
      </c>
      <c r="N2877" s="26" t="s">
        <v>52</v>
      </c>
      <c r="O2877" s="6" t="s">
        <v>40</v>
      </c>
      <c r="P2877" s="5" t="s">
        <v>59</v>
      </c>
      <c r="Q2877" s="5" t="s">
        <v>115</v>
      </c>
      <c r="R2877" s="6" t="s">
        <v>42</v>
      </c>
      <c r="S2877" s="5" t="s">
        <v>141</v>
      </c>
      <c r="T2877" s="5" t="s">
        <v>44</v>
      </c>
      <c r="U2877" s="5" t="s">
        <v>44</v>
      </c>
      <c r="V2877" s="5" t="s">
        <v>44</v>
      </c>
      <c r="W2877" s="5" t="s">
        <v>35</v>
      </c>
      <c r="X2877" s="8" t="s">
        <v>182</v>
      </c>
      <c r="Y2877" s="5" t="s">
        <v>46</v>
      </c>
      <c r="Z2877" s="5" t="s">
        <v>47</v>
      </c>
      <c r="AA2877" s="5" t="s">
        <v>64</v>
      </c>
      <c r="AB2877" s="5" t="s">
        <v>14019</v>
      </c>
      <c r="AC2877" s="6" t="s">
        <v>67</v>
      </c>
      <c r="AD2877" s="6">
        <v>1221.0</v>
      </c>
    </row>
    <row r="2878" ht="56.25" customHeight="1">
      <c r="A2878" s="5" t="s">
        <v>14021</v>
      </c>
      <c r="B2878" s="6" t="str">
        <f>IMAGE("https://storage.googleapis.com/acdb/housewares/FtrTVtray_Remake_0_0.png")</f>
        <v/>
      </c>
      <c r="C2878" s="5" t="s">
        <v>151</v>
      </c>
      <c r="D2878" s="5" t="s">
        <v>34</v>
      </c>
      <c r="E2878" s="5" t="s">
        <v>96</v>
      </c>
      <c r="F2878" s="5" t="s">
        <v>14023</v>
      </c>
      <c r="G2878" s="5" t="s">
        <v>36</v>
      </c>
      <c r="H2878" s="5" t="s">
        <v>36</v>
      </c>
      <c r="I2878" s="5" t="s">
        <v>35</v>
      </c>
      <c r="J2878" s="6">
        <v>1.0</v>
      </c>
      <c r="K2878" s="6">
        <v>1200.0</v>
      </c>
      <c r="L2878" s="6">
        <v>300.0</v>
      </c>
      <c r="M2878" s="26" t="s">
        <v>38</v>
      </c>
      <c r="N2878" s="26" t="s">
        <v>96</v>
      </c>
      <c r="O2878" s="6" t="s">
        <v>40</v>
      </c>
      <c r="P2878" s="5" t="s">
        <v>59</v>
      </c>
      <c r="Q2878" s="5" t="s">
        <v>89</v>
      </c>
      <c r="R2878" s="6" t="s">
        <v>42</v>
      </c>
      <c r="S2878" s="5" t="s">
        <v>90</v>
      </c>
      <c r="T2878" s="5" t="s">
        <v>44</v>
      </c>
      <c r="U2878" s="5" t="s">
        <v>44</v>
      </c>
      <c r="V2878" s="5" t="s">
        <v>44</v>
      </c>
      <c r="W2878" s="5" t="s">
        <v>36</v>
      </c>
      <c r="X2878" s="8" t="s">
        <v>278</v>
      </c>
      <c r="Y2878" s="5" t="s">
        <v>46</v>
      </c>
      <c r="Z2878" s="5" t="s">
        <v>47</v>
      </c>
      <c r="AA2878" s="5" t="s">
        <v>64</v>
      </c>
      <c r="AB2878" s="5" t="s">
        <v>14028</v>
      </c>
      <c r="AC2878" s="6" t="s">
        <v>50</v>
      </c>
      <c r="AD2878" s="6">
        <v>4445.0</v>
      </c>
    </row>
    <row r="2879" ht="56.25" customHeight="1">
      <c r="A2879" s="5" t="s">
        <v>14021</v>
      </c>
      <c r="B2879" s="6" t="str">
        <f>IMAGE("https://storage.googleapis.com/acdb/housewares/FtrTVtray_Remake_0_1.png")</f>
        <v/>
      </c>
      <c r="C2879" s="5" t="s">
        <v>151</v>
      </c>
      <c r="D2879" s="5" t="s">
        <v>34</v>
      </c>
      <c r="E2879" s="5" t="s">
        <v>54</v>
      </c>
      <c r="F2879" s="5" t="s">
        <v>14023</v>
      </c>
      <c r="G2879" s="5" t="s">
        <v>36</v>
      </c>
      <c r="H2879" s="5" t="s">
        <v>36</v>
      </c>
      <c r="I2879" s="5" t="s">
        <v>35</v>
      </c>
      <c r="J2879" s="6">
        <v>1.0</v>
      </c>
      <c r="K2879" s="6">
        <v>1200.0</v>
      </c>
      <c r="L2879" s="6">
        <v>300.0</v>
      </c>
      <c r="M2879" s="26" t="s">
        <v>38</v>
      </c>
      <c r="N2879" s="26" t="s">
        <v>54</v>
      </c>
      <c r="O2879" s="6" t="s">
        <v>40</v>
      </c>
      <c r="P2879" s="5" t="s">
        <v>59</v>
      </c>
      <c r="Q2879" s="5" t="s">
        <v>89</v>
      </c>
      <c r="R2879" s="6" t="s">
        <v>42</v>
      </c>
      <c r="S2879" s="5" t="s">
        <v>90</v>
      </c>
      <c r="T2879" s="5" t="s">
        <v>44</v>
      </c>
      <c r="U2879" s="5" t="s">
        <v>44</v>
      </c>
      <c r="V2879" s="5" t="s">
        <v>44</v>
      </c>
      <c r="W2879" s="5" t="s">
        <v>36</v>
      </c>
      <c r="X2879" s="8" t="s">
        <v>278</v>
      </c>
      <c r="Y2879" s="5" t="s">
        <v>46</v>
      </c>
      <c r="Z2879" s="5" t="s">
        <v>47</v>
      </c>
      <c r="AA2879" s="5" t="s">
        <v>64</v>
      </c>
      <c r="AB2879" s="5" t="s">
        <v>14035</v>
      </c>
      <c r="AC2879" s="6" t="s">
        <v>217</v>
      </c>
      <c r="AD2879" s="6">
        <v>4445.0</v>
      </c>
    </row>
    <row r="2880" ht="56.25" customHeight="1">
      <c r="A2880" s="5" t="s">
        <v>14021</v>
      </c>
      <c r="B2880" s="6" t="str">
        <f>IMAGE("https://storage.googleapis.com/acdb/housewares/FtrTVtray_Remake_0_2.png")</f>
        <v/>
      </c>
      <c r="C2880" s="5" t="s">
        <v>151</v>
      </c>
      <c r="D2880" s="5" t="s">
        <v>34</v>
      </c>
      <c r="E2880" s="5" t="s">
        <v>57</v>
      </c>
      <c r="F2880" s="5" t="s">
        <v>14023</v>
      </c>
      <c r="G2880" s="5" t="s">
        <v>36</v>
      </c>
      <c r="H2880" s="5" t="s">
        <v>36</v>
      </c>
      <c r="I2880" s="5" t="s">
        <v>35</v>
      </c>
      <c r="J2880" s="6">
        <v>1.0</v>
      </c>
      <c r="K2880" s="6">
        <v>1200.0</v>
      </c>
      <c r="L2880" s="6">
        <v>300.0</v>
      </c>
      <c r="M2880" s="26" t="s">
        <v>38</v>
      </c>
      <c r="N2880" s="26" t="s">
        <v>57</v>
      </c>
      <c r="O2880" s="6" t="s">
        <v>40</v>
      </c>
      <c r="P2880" s="5" t="s">
        <v>59</v>
      </c>
      <c r="Q2880" s="5" t="s">
        <v>89</v>
      </c>
      <c r="R2880" s="6" t="s">
        <v>42</v>
      </c>
      <c r="S2880" s="5" t="s">
        <v>90</v>
      </c>
      <c r="T2880" s="5" t="s">
        <v>44</v>
      </c>
      <c r="U2880" s="5" t="s">
        <v>44</v>
      </c>
      <c r="V2880" s="5" t="s">
        <v>44</v>
      </c>
      <c r="W2880" s="5" t="s">
        <v>36</v>
      </c>
      <c r="X2880" s="8" t="s">
        <v>278</v>
      </c>
      <c r="Y2880" s="5" t="s">
        <v>46</v>
      </c>
      <c r="Z2880" s="5" t="s">
        <v>47</v>
      </c>
      <c r="AA2880" s="5" t="s">
        <v>64</v>
      </c>
      <c r="AB2880" s="5" t="s">
        <v>14041</v>
      </c>
      <c r="AC2880" s="6" t="s">
        <v>347</v>
      </c>
      <c r="AD2880" s="6">
        <v>4445.0</v>
      </c>
    </row>
    <row r="2881" ht="56.25" customHeight="1">
      <c r="A2881" s="5" t="s">
        <v>14021</v>
      </c>
      <c r="B2881" s="6" t="str">
        <f>IMAGE("https://storage.googleapis.com/acdb/housewares/FtrTVtray_Remake_0_3.png")</f>
        <v/>
      </c>
      <c r="C2881" s="5" t="s">
        <v>151</v>
      </c>
      <c r="D2881" s="5" t="s">
        <v>34</v>
      </c>
      <c r="E2881" s="5" t="s">
        <v>366</v>
      </c>
      <c r="F2881" s="5" t="s">
        <v>14023</v>
      </c>
      <c r="G2881" s="5" t="s">
        <v>36</v>
      </c>
      <c r="H2881" s="5" t="s">
        <v>36</v>
      </c>
      <c r="I2881" s="5" t="s">
        <v>35</v>
      </c>
      <c r="J2881" s="6">
        <v>1.0</v>
      </c>
      <c r="K2881" s="6">
        <v>1200.0</v>
      </c>
      <c r="L2881" s="6">
        <v>300.0</v>
      </c>
      <c r="M2881" s="26" t="s">
        <v>38</v>
      </c>
      <c r="N2881" s="26" t="s">
        <v>39</v>
      </c>
      <c r="O2881" s="6" t="s">
        <v>40</v>
      </c>
      <c r="P2881" s="5" t="s">
        <v>59</v>
      </c>
      <c r="Q2881" s="5" t="s">
        <v>89</v>
      </c>
      <c r="R2881" s="6" t="s">
        <v>42</v>
      </c>
      <c r="S2881" s="5" t="s">
        <v>90</v>
      </c>
      <c r="T2881" s="5" t="s">
        <v>44</v>
      </c>
      <c r="U2881" s="5" t="s">
        <v>44</v>
      </c>
      <c r="V2881" s="5" t="s">
        <v>44</v>
      </c>
      <c r="W2881" s="5" t="s">
        <v>36</v>
      </c>
      <c r="X2881" s="8" t="s">
        <v>278</v>
      </c>
      <c r="Y2881" s="5" t="s">
        <v>46</v>
      </c>
      <c r="Z2881" s="5" t="s">
        <v>47</v>
      </c>
      <c r="AA2881" s="5" t="s">
        <v>64</v>
      </c>
      <c r="AB2881" s="5" t="s">
        <v>14046</v>
      </c>
      <c r="AC2881" s="6" t="s">
        <v>354</v>
      </c>
      <c r="AD2881" s="6">
        <v>4445.0</v>
      </c>
    </row>
    <row r="2882" ht="56.25" customHeight="1">
      <c r="A2882" s="5" t="s">
        <v>14021</v>
      </c>
      <c r="B2882" s="6" t="str">
        <f>IMAGE("https://storage.googleapis.com/acdb/housewares/FtrTVtray_Remake_1_0.png")</f>
        <v/>
      </c>
      <c r="C2882" s="5" t="s">
        <v>146</v>
      </c>
      <c r="D2882" s="5" t="s">
        <v>34</v>
      </c>
      <c r="E2882" s="5" t="s">
        <v>96</v>
      </c>
      <c r="F2882" s="5" t="s">
        <v>14023</v>
      </c>
      <c r="G2882" s="5" t="s">
        <v>36</v>
      </c>
      <c r="H2882" s="5" t="s">
        <v>36</v>
      </c>
      <c r="I2882" s="5" t="s">
        <v>35</v>
      </c>
      <c r="J2882" s="6">
        <v>1.0</v>
      </c>
      <c r="K2882" s="6">
        <v>1200.0</v>
      </c>
      <c r="L2882" s="6">
        <v>300.0</v>
      </c>
      <c r="M2882" s="5" t="s">
        <v>95</v>
      </c>
      <c r="N2882" s="26" t="s">
        <v>96</v>
      </c>
      <c r="O2882" s="6" t="s">
        <v>40</v>
      </c>
      <c r="P2882" s="5" t="s">
        <v>59</v>
      </c>
      <c r="Q2882" s="5" t="s">
        <v>89</v>
      </c>
      <c r="R2882" s="6" t="s">
        <v>42</v>
      </c>
      <c r="S2882" s="5" t="s">
        <v>90</v>
      </c>
      <c r="T2882" s="5" t="s">
        <v>44</v>
      </c>
      <c r="U2882" s="5" t="s">
        <v>44</v>
      </c>
      <c r="V2882" s="5" t="s">
        <v>44</v>
      </c>
      <c r="W2882" s="5" t="s">
        <v>36</v>
      </c>
      <c r="X2882" s="8" t="s">
        <v>278</v>
      </c>
      <c r="Y2882" s="5" t="s">
        <v>46</v>
      </c>
      <c r="Z2882" s="5" t="s">
        <v>47</v>
      </c>
      <c r="AA2882" s="5" t="s">
        <v>64</v>
      </c>
      <c r="AB2882" s="5" t="s">
        <v>14054</v>
      </c>
      <c r="AC2882" s="6" t="s">
        <v>56</v>
      </c>
      <c r="AD2882" s="6">
        <v>4445.0</v>
      </c>
    </row>
    <row r="2883" ht="56.25" customHeight="1">
      <c r="A2883" s="5" t="s">
        <v>14021</v>
      </c>
      <c r="B2883" s="6" t="str">
        <f>IMAGE("https://storage.googleapis.com/acdb/housewares/FtrTVtray_Remake_1_1.png")</f>
        <v/>
      </c>
      <c r="C2883" s="5" t="s">
        <v>146</v>
      </c>
      <c r="D2883" s="5" t="s">
        <v>34</v>
      </c>
      <c r="E2883" s="5" t="s">
        <v>54</v>
      </c>
      <c r="F2883" s="5" t="s">
        <v>14023</v>
      </c>
      <c r="G2883" s="5" t="s">
        <v>36</v>
      </c>
      <c r="H2883" s="5" t="s">
        <v>36</v>
      </c>
      <c r="I2883" s="5" t="s">
        <v>35</v>
      </c>
      <c r="J2883" s="6">
        <v>1.0</v>
      </c>
      <c r="K2883" s="6">
        <v>1200.0</v>
      </c>
      <c r="L2883" s="6">
        <v>300.0</v>
      </c>
      <c r="M2883" s="5" t="s">
        <v>95</v>
      </c>
      <c r="N2883" s="26" t="s">
        <v>54</v>
      </c>
      <c r="O2883" s="6" t="s">
        <v>40</v>
      </c>
      <c r="P2883" s="5" t="s">
        <v>59</v>
      </c>
      <c r="Q2883" s="5" t="s">
        <v>89</v>
      </c>
      <c r="R2883" s="6" t="s">
        <v>42</v>
      </c>
      <c r="S2883" s="5" t="s">
        <v>90</v>
      </c>
      <c r="T2883" s="5" t="s">
        <v>44</v>
      </c>
      <c r="U2883" s="5" t="s">
        <v>44</v>
      </c>
      <c r="V2883" s="5" t="s">
        <v>44</v>
      </c>
      <c r="W2883" s="5" t="s">
        <v>36</v>
      </c>
      <c r="X2883" s="8" t="s">
        <v>278</v>
      </c>
      <c r="Y2883" s="5" t="s">
        <v>46</v>
      </c>
      <c r="Z2883" s="5" t="s">
        <v>47</v>
      </c>
      <c r="AA2883" s="5" t="s">
        <v>64</v>
      </c>
      <c r="AB2883" s="5" t="s">
        <v>14060</v>
      </c>
      <c r="AC2883" s="6" t="s">
        <v>234</v>
      </c>
      <c r="AD2883" s="6">
        <v>4445.0</v>
      </c>
    </row>
    <row r="2884" ht="56.25" customHeight="1">
      <c r="A2884" s="5" t="s">
        <v>14021</v>
      </c>
      <c r="B2884" s="6" t="str">
        <f>IMAGE("https://storage.googleapis.com/acdb/housewares/FtrTVtray_Remake_1_2.png")</f>
        <v/>
      </c>
      <c r="C2884" s="5" t="s">
        <v>146</v>
      </c>
      <c r="D2884" s="5" t="s">
        <v>34</v>
      </c>
      <c r="E2884" s="5" t="s">
        <v>57</v>
      </c>
      <c r="F2884" s="5" t="s">
        <v>14023</v>
      </c>
      <c r="G2884" s="5" t="s">
        <v>36</v>
      </c>
      <c r="H2884" s="5" t="s">
        <v>36</v>
      </c>
      <c r="I2884" s="5" t="s">
        <v>35</v>
      </c>
      <c r="J2884" s="6">
        <v>1.0</v>
      </c>
      <c r="K2884" s="6">
        <v>1200.0</v>
      </c>
      <c r="L2884" s="6">
        <v>300.0</v>
      </c>
      <c r="M2884" s="5" t="s">
        <v>95</v>
      </c>
      <c r="N2884" s="26" t="s">
        <v>57</v>
      </c>
      <c r="O2884" s="6" t="s">
        <v>40</v>
      </c>
      <c r="P2884" s="5" t="s">
        <v>59</v>
      </c>
      <c r="Q2884" s="5" t="s">
        <v>89</v>
      </c>
      <c r="R2884" s="6" t="s">
        <v>42</v>
      </c>
      <c r="S2884" s="5" t="s">
        <v>90</v>
      </c>
      <c r="T2884" s="5" t="s">
        <v>44</v>
      </c>
      <c r="U2884" s="5" t="s">
        <v>44</v>
      </c>
      <c r="V2884" s="5" t="s">
        <v>44</v>
      </c>
      <c r="W2884" s="5" t="s">
        <v>36</v>
      </c>
      <c r="X2884" s="8" t="s">
        <v>278</v>
      </c>
      <c r="Y2884" s="5" t="s">
        <v>46</v>
      </c>
      <c r="Z2884" s="5" t="s">
        <v>47</v>
      </c>
      <c r="AA2884" s="5" t="s">
        <v>64</v>
      </c>
      <c r="AB2884" s="5" t="s">
        <v>14071</v>
      </c>
      <c r="AC2884" s="6" t="s">
        <v>370</v>
      </c>
      <c r="AD2884" s="6">
        <v>4445.0</v>
      </c>
    </row>
    <row r="2885" ht="56.25" customHeight="1">
      <c r="A2885" s="5" t="s">
        <v>14021</v>
      </c>
      <c r="B2885" s="6" t="str">
        <f>IMAGE("https://storage.googleapis.com/acdb/housewares/FtrTVtray_Remake_1_3.png")</f>
        <v/>
      </c>
      <c r="C2885" s="5" t="s">
        <v>146</v>
      </c>
      <c r="D2885" s="5" t="s">
        <v>34</v>
      </c>
      <c r="E2885" s="5" t="s">
        <v>366</v>
      </c>
      <c r="F2885" s="5" t="s">
        <v>14023</v>
      </c>
      <c r="G2885" s="5" t="s">
        <v>36</v>
      </c>
      <c r="H2885" s="5" t="s">
        <v>36</v>
      </c>
      <c r="I2885" s="5" t="s">
        <v>35</v>
      </c>
      <c r="J2885" s="6">
        <v>1.0</v>
      </c>
      <c r="K2885" s="6">
        <v>1200.0</v>
      </c>
      <c r="L2885" s="6">
        <v>300.0</v>
      </c>
      <c r="M2885" s="5" t="s">
        <v>95</v>
      </c>
      <c r="N2885" s="26" t="s">
        <v>39</v>
      </c>
      <c r="O2885" s="6" t="s">
        <v>40</v>
      </c>
      <c r="P2885" s="5" t="s">
        <v>59</v>
      </c>
      <c r="Q2885" s="5" t="s">
        <v>89</v>
      </c>
      <c r="R2885" s="6" t="s">
        <v>42</v>
      </c>
      <c r="S2885" s="5" t="s">
        <v>90</v>
      </c>
      <c r="T2885" s="5" t="s">
        <v>44</v>
      </c>
      <c r="U2885" s="5" t="s">
        <v>44</v>
      </c>
      <c r="V2885" s="5" t="s">
        <v>44</v>
      </c>
      <c r="W2885" s="5" t="s">
        <v>36</v>
      </c>
      <c r="X2885" s="8" t="s">
        <v>278</v>
      </c>
      <c r="Y2885" s="5" t="s">
        <v>46</v>
      </c>
      <c r="Z2885" s="5" t="s">
        <v>47</v>
      </c>
      <c r="AA2885" s="5" t="s">
        <v>64</v>
      </c>
      <c r="AB2885" s="5" t="s">
        <v>14078</v>
      </c>
      <c r="AC2885" s="6" t="s">
        <v>377</v>
      </c>
      <c r="AD2885" s="6">
        <v>4445.0</v>
      </c>
    </row>
    <row r="2886" ht="56.25" customHeight="1">
      <c r="A2886" s="5" t="s">
        <v>14021</v>
      </c>
      <c r="B2886" s="6" t="str">
        <f>IMAGE("https://storage.googleapis.com/acdb/housewares/FtrTVtray_Remake_2_0.png")</f>
        <v/>
      </c>
      <c r="C2886" s="5" t="s">
        <v>296</v>
      </c>
      <c r="D2886" s="5" t="s">
        <v>34</v>
      </c>
      <c r="E2886" s="5" t="s">
        <v>96</v>
      </c>
      <c r="F2886" s="5" t="s">
        <v>14023</v>
      </c>
      <c r="G2886" s="5" t="s">
        <v>36</v>
      </c>
      <c r="H2886" s="5" t="s">
        <v>36</v>
      </c>
      <c r="I2886" s="5" t="s">
        <v>35</v>
      </c>
      <c r="J2886" s="6">
        <v>1.0</v>
      </c>
      <c r="K2886" s="6">
        <v>1200.0</v>
      </c>
      <c r="L2886" s="6">
        <v>300.0</v>
      </c>
      <c r="M2886" s="26" t="s">
        <v>39</v>
      </c>
      <c r="N2886" s="26" t="s">
        <v>96</v>
      </c>
      <c r="O2886" s="6" t="s">
        <v>40</v>
      </c>
      <c r="P2886" s="5" t="s">
        <v>59</v>
      </c>
      <c r="Q2886" s="5" t="s">
        <v>89</v>
      </c>
      <c r="R2886" s="6" t="s">
        <v>42</v>
      </c>
      <c r="S2886" s="5" t="s">
        <v>90</v>
      </c>
      <c r="T2886" s="5" t="s">
        <v>44</v>
      </c>
      <c r="U2886" s="5" t="s">
        <v>44</v>
      </c>
      <c r="V2886" s="5" t="s">
        <v>44</v>
      </c>
      <c r="W2886" s="5" t="s">
        <v>36</v>
      </c>
      <c r="X2886" s="8" t="s">
        <v>278</v>
      </c>
      <c r="Y2886" s="5" t="s">
        <v>46</v>
      </c>
      <c r="Z2886" s="5" t="s">
        <v>47</v>
      </c>
      <c r="AA2886" s="5" t="s">
        <v>64</v>
      </c>
      <c r="AB2886" s="5" t="s">
        <v>14085</v>
      </c>
      <c r="AC2886" s="6" t="s">
        <v>67</v>
      </c>
      <c r="AD2886" s="6">
        <v>4445.0</v>
      </c>
    </row>
    <row r="2887" ht="56.25" customHeight="1">
      <c r="A2887" s="5" t="s">
        <v>14021</v>
      </c>
      <c r="B2887" s="6" t="str">
        <f>IMAGE("https://storage.googleapis.com/acdb/housewares/FtrTVtray_Remake_2_1.png")</f>
        <v/>
      </c>
      <c r="C2887" s="5" t="s">
        <v>296</v>
      </c>
      <c r="D2887" s="5" t="s">
        <v>34</v>
      </c>
      <c r="E2887" s="5" t="s">
        <v>54</v>
      </c>
      <c r="F2887" s="5" t="s">
        <v>14023</v>
      </c>
      <c r="G2887" s="5" t="s">
        <v>36</v>
      </c>
      <c r="H2887" s="5" t="s">
        <v>36</v>
      </c>
      <c r="I2887" s="5" t="s">
        <v>35</v>
      </c>
      <c r="J2887" s="6">
        <v>1.0</v>
      </c>
      <c r="K2887" s="6">
        <v>1200.0</v>
      </c>
      <c r="L2887" s="6">
        <v>300.0</v>
      </c>
      <c r="M2887" s="26" t="s">
        <v>39</v>
      </c>
      <c r="N2887" s="26" t="s">
        <v>54</v>
      </c>
      <c r="O2887" s="6" t="s">
        <v>40</v>
      </c>
      <c r="P2887" s="5" t="s">
        <v>59</v>
      </c>
      <c r="Q2887" s="5" t="s">
        <v>89</v>
      </c>
      <c r="R2887" s="6" t="s">
        <v>42</v>
      </c>
      <c r="S2887" s="5" t="s">
        <v>90</v>
      </c>
      <c r="T2887" s="5" t="s">
        <v>44</v>
      </c>
      <c r="U2887" s="5" t="s">
        <v>44</v>
      </c>
      <c r="V2887" s="5" t="s">
        <v>44</v>
      </c>
      <c r="W2887" s="5" t="s">
        <v>36</v>
      </c>
      <c r="X2887" s="8" t="s">
        <v>278</v>
      </c>
      <c r="Y2887" s="5" t="s">
        <v>46</v>
      </c>
      <c r="Z2887" s="5" t="s">
        <v>47</v>
      </c>
      <c r="AA2887" s="5" t="s">
        <v>64</v>
      </c>
      <c r="AB2887" s="5" t="s">
        <v>14092</v>
      </c>
      <c r="AC2887" s="6" t="s">
        <v>247</v>
      </c>
      <c r="AD2887" s="6">
        <v>4445.0</v>
      </c>
    </row>
    <row r="2888" ht="56.25" customHeight="1">
      <c r="A2888" s="5" t="s">
        <v>14021</v>
      </c>
      <c r="B2888" s="6" t="str">
        <f>IMAGE("https://storage.googleapis.com/acdb/housewares/FtrTVtray_Remake_2_2.png")</f>
        <v/>
      </c>
      <c r="C2888" s="5" t="s">
        <v>296</v>
      </c>
      <c r="D2888" s="5" t="s">
        <v>34</v>
      </c>
      <c r="E2888" s="5" t="s">
        <v>57</v>
      </c>
      <c r="F2888" s="5" t="s">
        <v>14023</v>
      </c>
      <c r="G2888" s="5" t="s">
        <v>36</v>
      </c>
      <c r="H2888" s="5" t="s">
        <v>36</v>
      </c>
      <c r="I2888" s="5" t="s">
        <v>35</v>
      </c>
      <c r="J2888" s="6">
        <v>1.0</v>
      </c>
      <c r="K2888" s="6">
        <v>1200.0</v>
      </c>
      <c r="L2888" s="6">
        <v>300.0</v>
      </c>
      <c r="M2888" s="26" t="s">
        <v>39</v>
      </c>
      <c r="N2888" s="26" t="s">
        <v>57</v>
      </c>
      <c r="O2888" s="6" t="s">
        <v>40</v>
      </c>
      <c r="P2888" s="5" t="s">
        <v>59</v>
      </c>
      <c r="Q2888" s="5" t="s">
        <v>89</v>
      </c>
      <c r="R2888" s="6" t="s">
        <v>42</v>
      </c>
      <c r="S2888" s="5" t="s">
        <v>90</v>
      </c>
      <c r="T2888" s="5" t="s">
        <v>44</v>
      </c>
      <c r="U2888" s="5" t="s">
        <v>44</v>
      </c>
      <c r="V2888" s="5" t="s">
        <v>44</v>
      </c>
      <c r="W2888" s="5" t="s">
        <v>36</v>
      </c>
      <c r="X2888" s="8" t="s">
        <v>278</v>
      </c>
      <c r="Y2888" s="5" t="s">
        <v>46</v>
      </c>
      <c r="Z2888" s="5" t="s">
        <v>47</v>
      </c>
      <c r="AA2888" s="5" t="s">
        <v>64</v>
      </c>
      <c r="AB2888" s="5" t="s">
        <v>14097</v>
      </c>
      <c r="AC2888" s="6" t="s">
        <v>390</v>
      </c>
      <c r="AD2888" s="6">
        <v>4445.0</v>
      </c>
    </row>
    <row r="2889" ht="56.25" customHeight="1">
      <c r="A2889" s="5" t="s">
        <v>14021</v>
      </c>
      <c r="B2889" s="6" t="str">
        <f>IMAGE("https://storage.googleapis.com/acdb/housewares/FtrTVtray_Remake_2_3.png")</f>
        <v/>
      </c>
      <c r="C2889" s="5" t="s">
        <v>296</v>
      </c>
      <c r="D2889" s="5" t="s">
        <v>34</v>
      </c>
      <c r="E2889" s="5" t="s">
        <v>366</v>
      </c>
      <c r="F2889" s="5" t="s">
        <v>14023</v>
      </c>
      <c r="G2889" s="5" t="s">
        <v>36</v>
      </c>
      <c r="H2889" s="5" t="s">
        <v>36</v>
      </c>
      <c r="I2889" s="5" t="s">
        <v>35</v>
      </c>
      <c r="J2889" s="6">
        <v>1.0</v>
      </c>
      <c r="K2889" s="6">
        <v>1200.0</v>
      </c>
      <c r="L2889" s="6">
        <v>300.0</v>
      </c>
      <c r="M2889" s="26" t="s">
        <v>39</v>
      </c>
      <c r="N2889" s="26" t="s">
        <v>39</v>
      </c>
      <c r="O2889" s="6" t="s">
        <v>40</v>
      </c>
      <c r="P2889" s="5" t="s">
        <v>59</v>
      </c>
      <c r="Q2889" s="5" t="s">
        <v>89</v>
      </c>
      <c r="R2889" s="6" t="s">
        <v>42</v>
      </c>
      <c r="S2889" s="5" t="s">
        <v>90</v>
      </c>
      <c r="T2889" s="5" t="s">
        <v>44</v>
      </c>
      <c r="U2889" s="5" t="s">
        <v>44</v>
      </c>
      <c r="V2889" s="5" t="s">
        <v>44</v>
      </c>
      <c r="W2889" s="5" t="s">
        <v>36</v>
      </c>
      <c r="X2889" s="8" t="s">
        <v>278</v>
      </c>
      <c r="Y2889" s="5" t="s">
        <v>46</v>
      </c>
      <c r="Z2889" s="5" t="s">
        <v>47</v>
      </c>
      <c r="AA2889" s="5" t="s">
        <v>64</v>
      </c>
      <c r="AB2889" s="5" t="s">
        <v>14104</v>
      </c>
      <c r="AC2889" s="6" t="s">
        <v>396</v>
      </c>
      <c r="AD2889" s="6">
        <v>4445.0</v>
      </c>
    </row>
    <row r="2890" ht="56.25" customHeight="1">
      <c r="A2890" s="5" t="s">
        <v>14021</v>
      </c>
      <c r="B2890" s="6" t="str">
        <f>IMAGE("https://storage.googleapis.com/acdb/housewares/FtrTVtray_Remake_3_0.png")</f>
        <v/>
      </c>
      <c r="C2890" s="5" t="s">
        <v>54</v>
      </c>
      <c r="D2890" s="5" t="s">
        <v>34</v>
      </c>
      <c r="E2890" s="5" t="s">
        <v>96</v>
      </c>
      <c r="F2890" s="5" t="s">
        <v>14023</v>
      </c>
      <c r="G2890" s="5" t="s">
        <v>36</v>
      </c>
      <c r="H2890" s="5" t="s">
        <v>36</v>
      </c>
      <c r="I2890" s="5" t="s">
        <v>35</v>
      </c>
      <c r="J2890" s="6">
        <v>1.0</v>
      </c>
      <c r="K2890" s="6">
        <v>1200.0</v>
      </c>
      <c r="L2890" s="6">
        <v>300.0</v>
      </c>
      <c r="M2890" s="26" t="s">
        <v>54</v>
      </c>
      <c r="N2890" s="26" t="s">
        <v>96</v>
      </c>
      <c r="O2890" s="6" t="s">
        <v>40</v>
      </c>
      <c r="P2890" s="5" t="s">
        <v>59</v>
      </c>
      <c r="Q2890" s="5" t="s">
        <v>89</v>
      </c>
      <c r="R2890" s="6" t="s">
        <v>42</v>
      </c>
      <c r="S2890" s="5" t="s">
        <v>90</v>
      </c>
      <c r="T2890" s="5" t="s">
        <v>44</v>
      </c>
      <c r="U2890" s="5" t="s">
        <v>44</v>
      </c>
      <c r="V2890" s="5" t="s">
        <v>44</v>
      </c>
      <c r="W2890" s="5" t="s">
        <v>36</v>
      </c>
      <c r="X2890" s="8" t="s">
        <v>278</v>
      </c>
      <c r="Y2890" s="5" t="s">
        <v>46</v>
      </c>
      <c r="Z2890" s="5" t="s">
        <v>47</v>
      </c>
      <c r="AA2890" s="5" t="s">
        <v>64</v>
      </c>
      <c r="AB2890" s="5" t="s">
        <v>14112</v>
      </c>
      <c r="AC2890" s="6" t="s">
        <v>71</v>
      </c>
      <c r="AD2890" s="6">
        <v>4445.0</v>
      </c>
    </row>
    <row r="2891" ht="56.25" customHeight="1">
      <c r="A2891" s="5" t="s">
        <v>14021</v>
      </c>
      <c r="B2891" s="6" t="str">
        <f>IMAGE("https://storage.googleapis.com/acdb/housewares/FtrTVtray_Remake_3_1.png")</f>
        <v/>
      </c>
      <c r="C2891" s="5" t="s">
        <v>54</v>
      </c>
      <c r="D2891" s="5" t="s">
        <v>34</v>
      </c>
      <c r="E2891" s="5" t="s">
        <v>54</v>
      </c>
      <c r="F2891" s="5" t="s">
        <v>14023</v>
      </c>
      <c r="G2891" s="5" t="s">
        <v>36</v>
      </c>
      <c r="H2891" s="5" t="s">
        <v>36</v>
      </c>
      <c r="I2891" s="5" t="s">
        <v>35</v>
      </c>
      <c r="J2891" s="6">
        <v>1.0</v>
      </c>
      <c r="K2891" s="6">
        <v>1200.0</v>
      </c>
      <c r="L2891" s="6">
        <v>300.0</v>
      </c>
      <c r="M2891" s="26" t="s">
        <v>54</v>
      </c>
      <c r="N2891" s="26" t="s">
        <v>54</v>
      </c>
      <c r="O2891" s="6" t="s">
        <v>40</v>
      </c>
      <c r="P2891" s="5" t="s">
        <v>59</v>
      </c>
      <c r="Q2891" s="5" t="s">
        <v>89</v>
      </c>
      <c r="R2891" s="6" t="s">
        <v>42</v>
      </c>
      <c r="S2891" s="5" t="s">
        <v>90</v>
      </c>
      <c r="T2891" s="5" t="s">
        <v>44</v>
      </c>
      <c r="U2891" s="5" t="s">
        <v>44</v>
      </c>
      <c r="V2891" s="5" t="s">
        <v>44</v>
      </c>
      <c r="W2891" s="5" t="s">
        <v>36</v>
      </c>
      <c r="X2891" s="8" t="s">
        <v>278</v>
      </c>
      <c r="Y2891" s="5" t="s">
        <v>46</v>
      </c>
      <c r="Z2891" s="5" t="s">
        <v>47</v>
      </c>
      <c r="AA2891" s="5" t="s">
        <v>64</v>
      </c>
      <c r="AB2891" s="5" t="s">
        <v>14118</v>
      </c>
      <c r="AC2891" s="6" t="s">
        <v>257</v>
      </c>
      <c r="AD2891" s="6">
        <v>4445.0</v>
      </c>
    </row>
    <row r="2892" ht="56.25" customHeight="1">
      <c r="A2892" s="5" t="s">
        <v>14021</v>
      </c>
      <c r="B2892" s="6" t="str">
        <f>IMAGE("https://storage.googleapis.com/acdb/housewares/FtrTVtray_Remake_3_2.png")</f>
        <v/>
      </c>
      <c r="C2892" s="5" t="s">
        <v>54</v>
      </c>
      <c r="D2892" s="5" t="s">
        <v>34</v>
      </c>
      <c r="E2892" s="5" t="s">
        <v>57</v>
      </c>
      <c r="F2892" s="5" t="s">
        <v>14023</v>
      </c>
      <c r="G2892" s="5" t="s">
        <v>36</v>
      </c>
      <c r="H2892" s="5" t="s">
        <v>36</v>
      </c>
      <c r="I2892" s="5" t="s">
        <v>35</v>
      </c>
      <c r="J2892" s="6">
        <v>1.0</v>
      </c>
      <c r="K2892" s="6">
        <v>1200.0</v>
      </c>
      <c r="L2892" s="6">
        <v>300.0</v>
      </c>
      <c r="M2892" s="26" t="s">
        <v>54</v>
      </c>
      <c r="N2892" s="26" t="s">
        <v>57</v>
      </c>
      <c r="O2892" s="6" t="s">
        <v>40</v>
      </c>
      <c r="P2892" s="5" t="s">
        <v>59</v>
      </c>
      <c r="Q2892" s="5" t="s">
        <v>89</v>
      </c>
      <c r="R2892" s="6" t="s">
        <v>42</v>
      </c>
      <c r="S2892" s="5" t="s">
        <v>90</v>
      </c>
      <c r="T2892" s="5" t="s">
        <v>44</v>
      </c>
      <c r="U2892" s="5" t="s">
        <v>44</v>
      </c>
      <c r="V2892" s="5" t="s">
        <v>44</v>
      </c>
      <c r="W2892" s="5" t="s">
        <v>36</v>
      </c>
      <c r="X2892" s="8" t="s">
        <v>278</v>
      </c>
      <c r="Y2892" s="5" t="s">
        <v>46</v>
      </c>
      <c r="Z2892" s="5" t="s">
        <v>47</v>
      </c>
      <c r="AA2892" s="5" t="s">
        <v>64</v>
      </c>
      <c r="AB2892" s="5" t="s">
        <v>14126</v>
      </c>
      <c r="AC2892" s="6" t="s">
        <v>414</v>
      </c>
      <c r="AD2892" s="6">
        <v>4445.0</v>
      </c>
    </row>
    <row r="2893" ht="56.25" customHeight="1">
      <c r="A2893" s="5" t="s">
        <v>14021</v>
      </c>
      <c r="B2893" s="6" t="str">
        <f>IMAGE("https://storage.googleapis.com/acdb/housewares/FtrTVtray_Remake_3_3.png")</f>
        <v/>
      </c>
      <c r="C2893" s="5" t="s">
        <v>54</v>
      </c>
      <c r="D2893" s="5" t="s">
        <v>34</v>
      </c>
      <c r="E2893" s="5" t="s">
        <v>366</v>
      </c>
      <c r="F2893" s="5" t="s">
        <v>14023</v>
      </c>
      <c r="G2893" s="5" t="s">
        <v>36</v>
      </c>
      <c r="H2893" s="5" t="s">
        <v>36</v>
      </c>
      <c r="I2893" s="5" t="s">
        <v>35</v>
      </c>
      <c r="J2893" s="6">
        <v>1.0</v>
      </c>
      <c r="K2893" s="6">
        <v>1200.0</v>
      </c>
      <c r="L2893" s="6">
        <v>300.0</v>
      </c>
      <c r="M2893" s="26" t="s">
        <v>54</v>
      </c>
      <c r="N2893" s="26" t="s">
        <v>39</v>
      </c>
      <c r="O2893" s="6" t="s">
        <v>40</v>
      </c>
      <c r="P2893" s="5" t="s">
        <v>59</v>
      </c>
      <c r="Q2893" s="5" t="s">
        <v>89</v>
      </c>
      <c r="R2893" s="6" t="s">
        <v>42</v>
      </c>
      <c r="S2893" s="5" t="s">
        <v>90</v>
      </c>
      <c r="T2893" s="5" t="s">
        <v>44</v>
      </c>
      <c r="U2893" s="5" t="s">
        <v>44</v>
      </c>
      <c r="V2893" s="5" t="s">
        <v>44</v>
      </c>
      <c r="W2893" s="5" t="s">
        <v>36</v>
      </c>
      <c r="X2893" s="8" t="s">
        <v>278</v>
      </c>
      <c r="Y2893" s="5" t="s">
        <v>46</v>
      </c>
      <c r="Z2893" s="5" t="s">
        <v>47</v>
      </c>
      <c r="AA2893" s="5" t="s">
        <v>64</v>
      </c>
      <c r="AB2893" s="5" t="s">
        <v>14133</v>
      </c>
      <c r="AC2893" s="6" t="s">
        <v>418</v>
      </c>
      <c r="AD2893" s="6">
        <v>4445.0</v>
      </c>
    </row>
    <row r="2894" ht="56.25" customHeight="1">
      <c r="A2894" s="5" t="s">
        <v>14135</v>
      </c>
      <c r="B2894" s="6" t="str">
        <f>IMAGE("https://storage.googleapis.com/acdb/housewares/FtrZodiacVirgo.png")</f>
        <v/>
      </c>
      <c r="C2894" s="5" t="s">
        <v>34</v>
      </c>
      <c r="D2894" s="5" t="s">
        <v>34</v>
      </c>
      <c r="E2894" s="5" t="s">
        <v>34</v>
      </c>
      <c r="F2894" s="5" t="s">
        <v>34</v>
      </c>
      <c r="G2894" s="5" t="s">
        <v>35</v>
      </c>
      <c r="H2894" s="5" t="s">
        <v>36</v>
      </c>
      <c r="I2894" s="5" t="s">
        <v>36</v>
      </c>
      <c r="J2894" s="6" t="s">
        <v>34</v>
      </c>
      <c r="K2894" s="6" t="s">
        <v>37</v>
      </c>
      <c r="L2894" s="6">
        <v>22050.0</v>
      </c>
      <c r="M2894" s="5" t="s">
        <v>57</v>
      </c>
      <c r="N2894" s="5" t="s">
        <v>114</v>
      </c>
      <c r="O2894" s="6" t="s">
        <v>40</v>
      </c>
      <c r="P2894" s="5" t="s">
        <v>41</v>
      </c>
      <c r="Q2894" s="5"/>
      <c r="R2894" s="6" t="s">
        <v>42</v>
      </c>
      <c r="S2894" s="5" t="s">
        <v>116</v>
      </c>
      <c r="T2894" s="5" t="s">
        <v>43</v>
      </c>
      <c r="U2894" s="5" t="s">
        <v>349</v>
      </c>
      <c r="V2894" s="5" t="s">
        <v>44</v>
      </c>
      <c r="W2894" s="5" t="s">
        <v>35</v>
      </c>
      <c r="X2894" s="8" t="s">
        <v>45</v>
      </c>
      <c r="Y2894" s="5" t="s">
        <v>46</v>
      </c>
      <c r="Z2894" s="5" t="s">
        <v>47</v>
      </c>
      <c r="AA2894" s="5" t="s">
        <v>48</v>
      </c>
      <c r="AB2894" s="5" t="s">
        <v>14139</v>
      </c>
      <c r="AC2894" s="6" t="s">
        <v>34</v>
      </c>
      <c r="AD2894" s="6">
        <v>5955.0</v>
      </c>
    </row>
    <row r="2895" ht="56.25" customHeight="1">
      <c r="A2895" s="5" t="s">
        <v>14143</v>
      </c>
      <c r="B2895" s="6" t="str">
        <f>IMAGE("https://storage.googleapis.com/acdb/housewares/FtrWaterserver_Remake_0_0.png")</f>
        <v/>
      </c>
      <c r="C2895" s="5" t="s">
        <v>57</v>
      </c>
      <c r="D2895" s="5" t="s">
        <v>34</v>
      </c>
      <c r="E2895" s="5" t="s">
        <v>34</v>
      </c>
      <c r="F2895" s="5" t="s">
        <v>34</v>
      </c>
      <c r="G2895" s="5" t="s">
        <v>36</v>
      </c>
      <c r="H2895" s="5" t="s">
        <v>36</v>
      </c>
      <c r="I2895" s="5" t="s">
        <v>36</v>
      </c>
      <c r="J2895" s="6" t="s">
        <v>34</v>
      </c>
      <c r="K2895" s="6">
        <v>3400.0</v>
      </c>
      <c r="L2895" s="6">
        <v>850.0</v>
      </c>
      <c r="M2895" s="26" t="s">
        <v>57</v>
      </c>
      <c r="N2895" s="26" t="s">
        <v>68</v>
      </c>
      <c r="O2895" s="6" t="s">
        <v>40</v>
      </c>
      <c r="P2895" s="5" t="s">
        <v>59</v>
      </c>
      <c r="Q2895" s="5" t="s">
        <v>89</v>
      </c>
      <c r="R2895" s="6" t="s">
        <v>42</v>
      </c>
      <c r="S2895" s="5" t="s">
        <v>90</v>
      </c>
      <c r="T2895" s="5" t="s">
        <v>91</v>
      </c>
      <c r="U2895" s="5" t="s">
        <v>44</v>
      </c>
      <c r="V2895" s="5" t="s">
        <v>44</v>
      </c>
      <c r="W2895" s="5" t="s">
        <v>35</v>
      </c>
      <c r="X2895" s="8" t="s">
        <v>921</v>
      </c>
      <c r="Y2895" s="5" t="s">
        <v>46</v>
      </c>
      <c r="Z2895" s="5" t="s">
        <v>47</v>
      </c>
      <c r="AA2895" s="5" t="s">
        <v>64</v>
      </c>
      <c r="AB2895" s="5" t="s">
        <v>14148</v>
      </c>
      <c r="AC2895" s="6" t="s">
        <v>50</v>
      </c>
      <c r="AD2895" s="6">
        <v>1232.0</v>
      </c>
    </row>
    <row r="2896" ht="56.25" customHeight="1">
      <c r="A2896" s="5" t="s">
        <v>14143</v>
      </c>
      <c r="B2896" s="6" t="str">
        <f>IMAGE("https://storage.googleapis.com/acdb/housewares/FtrWaterserver_Remake_1_0.png")</f>
        <v/>
      </c>
      <c r="C2896" s="5" t="s">
        <v>54</v>
      </c>
      <c r="D2896" s="5" t="s">
        <v>34</v>
      </c>
      <c r="E2896" s="5" t="s">
        <v>34</v>
      </c>
      <c r="F2896" s="5" t="s">
        <v>34</v>
      </c>
      <c r="G2896" s="5" t="s">
        <v>36</v>
      </c>
      <c r="H2896" s="5" t="s">
        <v>36</v>
      </c>
      <c r="I2896" s="5" t="s">
        <v>36</v>
      </c>
      <c r="J2896" s="6" t="s">
        <v>34</v>
      </c>
      <c r="K2896" s="6">
        <v>3400.0</v>
      </c>
      <c r="L2896" s="6">
        <v>850.0</v>
      </c>
      <c r="M2896" s="26" t="s">
        <v>54</v>
      </c>
      <c r="N2896" s="26" t="s">
        <v>68</v>
      </c>
      <c r="O2896" s="6" t="s">
        <v>40</v>
      </c>
      <c r="P2896" s="5" t="s">
        <v>59</v>
      </c>
      <c r="Q2896" s="5" t="s">
        <v>89</v>
      </c>
      <c r="R2896" s="6" t="s">
        <v>42</v>
      </c>
      <c r="S2896" s="5" t="s">
        <v>90</v>
      </c>
      <c r="T2896" s="5" t="s">
        <v>91</v>
      </c>
      <c r="U2896" s="5" t="s">
        <v>44</v>
      </c>
      <c r="V2896" s="5" t="s">
        <v>44</v>
      </c>
      <c r="W2896" s="5" t="s">
        <v>35</v>
      </c>
      <c r="X2896" s="8" t="s">
        <v>921</v>
      </c>
      <c r="Y2896" s="5" t="s">
        <v>46</v>
      </c>
      <c r="Z2896" s="5" t="s">
        <v>47</v>
      </c>
      <c r="AA2896" s="5" t="s">
        <v>64</v>
      </c>
      <c r="AB2896" s="5" t="s">
        <v>14154</v>
      </c>
      <c r="AC2896" s="6" t="s">
        <v>56</v>
      </c>
      <c r="AD2896" s="6">
        <v>1232.0</v>
      </c>
    </row>
    <row r="2897" ht="56.25" customHeight="1">
      <c r="A2897" s="5" t="s">
        <v>14156</v>
      </c>
      <c r="B2897" s="6" t="str">
        <f>IMAGE("https://storage.googleapis.com/acdb/housewares/FtrHandpump_Remake_0_0.png")</f>
        <v/>
      </c>
      <c r="C2897" s="5" t="s">
        <v>96</v>
      </c>
      <c r="D2897" s="5" t="s">
        <v>1008</v>
      </c>
      <c r="E2897" s="5" t="s">
        <v>34</v>
      </c>
      <c r="F2897" s="5" t="s">
        <v>34</v>
      </c>
      <c r="G2897" s="5" t="s">
        <v>35</v>
      </c>
      <c r="H2897" s="5" t="s">
        <v>35</v>
      </c>
      <c r="I2897" s="5" t="s">
        <v>36</v>
      </c>
      <c r="J2897" s="6">
        <v>4.0</v>
      </c>
      <c r="K2897" s="6" t="s">
        <v>37</v>
      </c>
      <c r="L2897" s="6">
        <v>2700.0</v>
      </c>
      <c r="M2897" s="26" t="s">
        <v>96</v>
      </c>
      <c r="N2897" s="26" t="s">
        <v>95</v>
      </c>
      <c r="O2897" s="6" t="s">
        <v>40</v>
      </c>
      <c r="P2897" s="5" t="s">
        <v>41</v>
      </c>
      <c r="Q2897" s="5"/>
      <c r="R2897" s="6" t="s">
        <v>42</v>
      </c>
      <c r="S2897" s="5" t="s">
        <v>172</v>
      </c>
      <c r="T2897" s="5" t="s">
        <v>44</v>
      </c>
      <c r="U2897" s="5" t="s">
        <v>44</v>
      </c>
      <c r="V2897" s="5" t="s">
        <v>44</v>
      </c>
      <c r="W2897" s="5" t="s">
        <v>35</v>
      </c>
      <c r="X2897" s="8" t="s">
        <v>1010</v>
      </c>
      <c r="Y2897" s="5" t="s">
        <v>46</v>
      </c>
      <c r="Z2897" s="5" t="s">
        <v>47</v>
      </c>
      <c r="AA2897" s="5" t="s">
        <v>48</v>
      </c>
      <c r="AB2897" s="5" t="s">
        <v>14161</v>
      </c>
      <c r="AC2897" s="6" t="s">
        <v>50</v>
      </c>
      <c r="AD2897" s="6">
        <v>2326.0</v>
      </c>
    </row>
    <row r="2898" ht="56.25" customHeight="1">
      <c r="A2898" s="5" t="s">
        <v>14156</v>
      </c>
      <c r="B2898" s="6" t="str">
        <f>IMAGE("https://storage.googleapis.com/acdb/housewares/FtrHandpump_Remake_1_0.png")</f>
        <v/>
      </c>
      <c r="C2898" s="5" t="s">
        <v>54</v>
      </c>
      <c r="D2898" s="5" t="s">
        <v>1008</v>
      </c>
      <c r="E2898" s="5" t="s">
        <v>34</v>
      </c>
      <c r="F2898" s="5" t="s">
        <v>34</v>
      </c>
      <c r="G2898" s="5" t="s">
        <v>35</v>
      </c>
      <c r="H2898" s="5" t="s">
        <v>35</v>
      </c>
      <c r="I2898" s="5" t="s">
        <v>36</v>
      </c>
      <c r="J2898" s="6">
        <v>4.0</v>
      </c>
      <c r="K2898" s="6" t="s">
        <v>37</v>
      </c>
      <c r="L2898" s="6">
        <v>2700.0</v>
      </c>
      <c r="M2898" s="26" t="s">
        <v>54</v>
      </c>
      <c r="N2898" s="26" t="s">
        <v>38</v>
      </c>
      <c r="O2898" s="6" t="s">
        <v>40</v>
      </c>
      <c r="P2898" s="5" t="s">
        <v>41</v>
      </c>
      <c r="Q2898" s="5"/>
      <c r="R2898" s="6" t="s">
        <v>42</v>
      </c>
      <c r="S2898" s="5" t="s">
        <v>172</v>
      </c>
      <c r="T2898" s="5" t="s">
        <v>44</v>
      </c>
      <c r="U2898" s="5" t="s">
        <v>44</v>
      </c>
      <c r="V2898" s="5" t="s">
        <v>44</v>
      </c>
      <c r="W2898" s="5" t="s">
        <v>35</v>
      </c>
      <c r="X2898" s="8" t="s">
        <v>1010</v>
      </c>
      <c r="Y2898" s="5" t="s">
        <v>46</v>
      </c>
      <c r="Z2898" s="5" t="s">
        <v>47</v>
      </c>
      <c r="AA2898" s="5" t="s">
        <v>48</v>
      </c>
      <c r="AB2898" s="5" t="s">
        <v>14168</v>
      </c>
      <c r="AC2898" s="6" t="s">
        <v>56</v>
      </c>
      <c r="AD2898" s="6">
        <v>2326.0</v>
      </c>
    </row>
    <row r="2899" ht="56.25" customHeight="1">
      <c r="A2899" s="5" t="s">
        <v>14156</v>
      </c>
      <c r="B2899" s="6" t="str">
        <f>IMAGE("https://storage.googleapis.com/acdb/housewares/FtrHandpump_Remake_2_0.png")</f>
        <v/>
      </c>
      <c r="C2899" s="5" t="s">
        <v>146</v>
      </c>
      <c r="D2899" s="5" t="s">
        <v>1008</v>
      </c>
      <c r="E2899" s="5" t="s">
        <v>34</v>
      </c>
      <c r="F2899" s="5" t="s">
        <v>34</v>
      </c>
      <c r="G2899" s="5" t="s">
        <v>35</v>
      </c>
      <c r="H2899" s="5" t="s">
        <v>35</v>
      </c>
      <c r="I2899" s="5" t="s">
        <v>36</v>
      </c>
      <c r="J2899" s="6">
        <v>4.0</v>
      </c>
      <c r="K2899" s="6" t="s">
        <v>37</v>
      </c>
      <c r="L2899" s="6">
        <v>2700.0</v>
      </c>
      <c r="M2899" s="26" t="s">
        <v>57</v>
      </c>
      <c r="N2899" s="26" t="s">
        <v>95</v>
      </c>
      <c r="O2899" s="6" t="s">
        <v>40</v>
      </c>
      <c r="P2899" s="5" t="s">
        <v>41</v>
      </c>
      <c r="Q2899" s="5"/>
      <c r="R2899" s="6" t="s">
        <v>42</v>
      </c>
      <c r="S2899" s="5" t="s">
        <v>172</v>
      </c>
      <c r="T2899" s="5" t="s">
        <v>44</v>
      </c>
      <c r="U2899" s="5" t="s">
        <v>44</v>
      </c>
      <c r="V2899" s="5" t="s">
        <v>44</v>
      </c>
      <c r="W2899" s="5" t="s">
        <v>35</v>
      </c>
      <c r="X2899" s="8" t="s">
        <v>1010</v>
      </c>
      <c r="Y2899" s="5" t="s">
        <v>46</v>
      </c>
      <c r="Z2899" s="5" t="s">
        <v>47</v>
      </c>
      <c r="AA2899" s="5" t="s">
        <v>48</v>
      </c>
      <c r="AB2899" s="5" t="s">
        <v>14174</v>
      </c>
      <c r="AC2899" s="6" t="s">
        <v>67</v>
      </c>
      <c r="AD2899" s="6">
        <v>2326.0</v>
      </c>
    </row>
    <row r="2900" ht="56.25" customHeight="1">
      <c r="A2900" s="5" t="s">
        <v>14156</v>
      </c>
      <c r="B2900" s="6" t="str">
        <f>IMAGE("https://storage.googleapis.com/acdb/housewares/FtrHandpump_Remake_3_0.png")</f>
        <v/>
      </c>
      <c r="C2900" s="5" t="s">
        <v>39</v>
      </c>
      <c r="D2900" s="5" t="s">
        <v>1008</v>
      </c>
      <c r="E2900" s="5" t="s">
        <v>34</v>
      </c>
      <c r="F2900" s="5" t="s">
        <v>34</v>
      </c>
      <c r="G2900" s="5" t="s">
        <v>35</v>
      </c>
      <c r="H2900" s="5" t="s">
        <v>35</v>
      </c>
      <c r="I2900" s="5" t="s">
        <v>36</v>
      </c>
      <c r="J2900" s="6">
        <v>4.0</v>
      </c>
      <c r="K2900" s="6" t="s">
        <v>37</v>
      </c>
      <c r="L2900" s="6">
        <v>2700.0</v>
      </c>
      <c r="M2900" s="26" t="s">
        <v>39</v>
      </c>
      <c r="N2900" s="26" t="s">
        <v>95</v>
      </c>
      <c r="O2900" s="6" t="s">
        <v>40</v>
      </c>
      <c r="P2900" s="5" t="s">
        <v>41</v>
      </c>
      <c r="Q2900" s="5"/>
      <c r="R2900" s="6" t="s">
        <v>42</v>
      </c>
      <c r="S2900" s="5" t="s">
        <v>172</v>
      </c>
      <c r="T2900" s="5" t="s">
        <v>44</v>
      </c>
      <c r="U2900" s="5" t="s">
        <v>44</v>
      </c>
      <c r="V2900" s="5" t="s">
        <v>44</v>
      </c>
      <c r="W2900" s="5" t="s">
        <v>35</v>
      </c>
      <c r="X2900" s="8" t="s">
        <v>1010</v>
      </c>
      <c r="Y2900" s="5" t="s">
        <v>46</v>
      </c>
      <c r="Z2900" s="5" t="s">
        <v>47</v>
      </c>
      <c r="AA2900" s="5" t="s">
        <v>48</v>
      </c>
      <c r="AB2900" s="5" t="s">
        <v>14182</v>
      </c>
      <c r="AC2900" s="6" t="s">
        <v>71</v>
      </c>
      <c r="AD2900" s="6">
        <v>2326.0</v>
      </c>
    </row>
    <row r="2901" ht="56.25" customHeight="1">
      <c r="A2901" s="5" t="s">
        <v>14183</v>
      </c>
      <c r="B2901" s="6" t="str">
        <f>IMAGE("https://storage.googleapis.com/acdb/housewares/FtrTetrapod.png")</f>
        <v/>
      </c>
      <c r="C2901" s="5" t="s">
        <v>34</v>
      </c>
      <c r="D2901" s="5" t="s">
        <v>34</v>
      </c>
      <c r="E2901" s="5" t="s">
        <v>34</v>
      </c>
      <c r="F2901" s="5" t="s">
        <v>34</v>
      </c>
      <c r="G2901" s="5" t="s">
        <v>35</v>
      </c>
      <c r="H2901" s="5" t="s">
        <v>36</v>
      </c>
      <c r="I2901" s="5" t="s">
        <v>36</v>
      </c>
      <c r="J2901" s="6" t="s">
        <v>34</v>
      </c>
      <c r="K2901" s="6" t="s">
        <v>37</v>
      </c>
      <c r="L2901" s="6">
        <v>3500.0</v>
      </c>
      <c r="M2901" s="5" t="s">
        <v>95</v>
      </c>
      <c r="N2901" s="5" t="s">
        <v>95</v>
      </c>
      <c r="O2901" s="6" t="s">
        <v>214</v>
      </c>
      <c r="P2901" s="5" t="s">
        <v>41</v>
      </c>
      <c r="Q2901" s="5"/>
      <c r="R2901" s="6" t="s">
        <v>42</v>
      </c>
      <c r="S2901" s="5" t="s">
        <v>138</v>
      </c>
      <c r="T2901" s="5" t="s">
        <v>44</v>
      </c>
      <c r="U2901" s="5" t="s">
        <v>44</v>
      </c>
      <c r="V2901" s="5" t="s">
        <v>44</v>
      </c>
      <c r="W2901" s="5" t="s">
        <v>36</v>
      </c>
      <c r="X2901" s="8" t="s">
        <v>140</v>
      </c>
      <c r="Y2901" s="5" t="s">
        <v>46</v>
      </c>
      <c r="Z2901" s="5" t="s">
        <v>47</v>
      </c>
      <c r="AA2901" s="5" t="s">
        <v>48</v>
      </c>
      <c r="AB2901" s="5" t="s">
        <v>14190</v>
      </c>
      <c r="AC2901" s="6" t="s">
        <v>34</v>
      </c>
      <c r="AD2901" s="6">
        <v>665.0</v>
      </c>
    </row>
    <row r="2902" ht="56.25" customHeight="1">
      <c r="A2902" s="5" t="s">
        <v>14192</v>
      </c>
      <c r="B2902" s="6" t="str">
        <f>IMAGE("https://storage.googleapis.com/acdb/housewares/FtrPressbench.png")</f>
        <v/>
      </c>
      <c r="C2902" s="5" t="s">
        <v>34</v>
      </c>
      <c r="D2902" s="5" t="s">
        <v>34</v>
      </c>
      <c r="E2902" s="5" t="s">
        <v>34</v>
      </c>
      <c r="F2902" s="5" t="s">
        <v>34</v>
      </c>
      <c r="G2902" s="5" t="s">
        <v>36</v>
      </c>
      <c r="H2902" s="5" t="s">
        <v>36</v>
      </c>
      <c r="I2902" s="5" t="s">
        <v>36</v>
      </c>
      <c r="J2902" s="6" t="s">
        <v>34</v>
      </c>
      <c r="K2902" s="6">
        <v>5400.0</v>
      </c>
      <c r="L2902" s="6">
        <v>1350.0</v>
      </c>
      <c r="M2902" s="5" t="s">
        <v>54</v>
      </c>
      <c r="N2902" s="5" t="s">
        <v>95</v>
      </c>
      <c r="O2902" s="6" t="s">
        <v>276</v>
      </c>
      <c r="P2902" s="5" t="s">
        <v>59</v>
      </c>
      <c r="Q2902" s="5" t="s">
        <v>122</v>
      </c>
      <c r="R2902" s="6" t="s">
        <v>42</v>
      </c>
      <c r="S2902" s="5" t="s">
        <v>474</v>
      </c>
      <c r="T2902" s="5" t="s">
        <v>44</v>
      </c>
      <c r="U2902" s="5" t="s">
        <v>44</v>
      </c>
      <c r="V2902" s="5" t="s">
        <v>44</v>
      </c>
      <c r="W2902" s="5" t="s">
        <v>35</v>
      </c>
      <c r="X2902" s="8" t="s">
        <v>475</v>
      </c>
      <c r="Y2902" s="5" t="s">
        <v>46</v>
      </c>
      <c r="Z2902" s="5" t="s">
        <v>47</v>
      </c>
      <c r="AA2902" s="5" t="s">
        <v>64</v>
      </c>
      <c r="AB2902" s="5" t="s">
        <v>14196</v>
      </c>
      <c r="AC2902" s="6" t="s">
        <v>34</v>
      </c>
      <c r="AD2902" s="6">
        <v>1452.0</v>
      </c>
    </row>
    <row r="2903" ht="56.25" customHeight="1">
      <c r="A2903" s="5" t="s">
        <v>14200</v>
      </c>
      <c r="B2903" s="6" t="str">
        <f>IMAGE("https://storage.googleapis.com/acdb/housewares/FtrGravestoneEuropean_Remake_0_0.png")</f>
        <v/>
      </c>
      <c r="C2903" s="5" t="s">
        <v>57</v>
      </c>
      <c r="D2903" s="5" t="s">
        <v>2801</v>
      </c>
      <c r="E2903" s="5" t="s">
        <v>34</v>
      </c>
      <c r="F2903" s="5" t="s">
        <v>34</v>
      </c>
      <c r="G2903" s="5" t="s">
        <v>35</v>
      </c>
      <c r="H2903" s="5" t="s">
        <v>35</v>
      </c>
      <c r="I2903" s="5" t="s">
        <v>36</v>
      </c>
      <c r="J2903" s="6">
        <v>6.0</v>
      </c>
      <c r="K2903" s="6" t="s">
        <v>37</v>
      </c>
      <c r="L2903" s="6">
        <v>4500.0</v>
      </c>
      <c r="M2903" s="26" t="s">
        <v>57</v>
      </c>
      <c r="N2903" s="26" t="s">
        <v>106</v>
      </c>
      <c r="O2903" s="6" t="s">
        <v>276</v>
      </c>
      <c r="P2903" s="5" t="s">
        <v>41</v>
      </c>
      <c r="Q2903" s="5"/>
      <c r="R2903" s="6" t="s">
        <v>42</v>
      </c>
      <c r="S2903" s="5" t="s">
        <v>172</v>
      </c>
      <c r="T2903" s="5" t="s">
        <v>732</v>
      </c>
      <c r="U2903" s="5" t="s">
        <v>44</v>
      </c>
      <c r="V2903" s="5" t="s">
        <v>44</v>
      </c>
      <c r="W2903" s="5" t="s">
        <v>36</v>
      </c>
      <c r="X2903" s="8" t="s">
        <v>1010</v>
      </c>
      <c r="Y2903" s="5" t="s">
        <v>46</v>
      </c>
      <c r="Z2903" s="5" t="s">
        <v>47</v>
      </c>
      <c r="AA2903" s="5" t="s">
        <v>48</v>
      </c>
      <c r="AB2903" s="5" t="s">
        <v>14205</v>
      </c>
      <c r="AC2903" s="6" t="s">
        <v>50</v>
      </c>
      <c r="AD2903" s="6">
        <v>3446.0</v>
      </c>
    </row>
    <row r="2904" ht="56.25" customHeight="1">
      <c r="A2904" s="5" t="s">
        <v>14200</v>
      </c>
      <c r="B2904" s="6" t="str">
        <f>IMAGE("https://storage.googleapis.com/acdb/housewares/FtrGravestoneEuropean_Remake_1_0.png")</f>
        <v/>
      </c>
      <c r="C2904" s="5" t="s">
        <v>95</v>
      </c>
      <c r="D2904" s="5" t="s">
        <v>2801</v>
      </c>
      <c r="E2904" s="5" t="s">
        <v>34</v>
      </c>
      <c r="F2904" s="5" t="s">
        <v>34</v>
      </c>
      <c r="G2904" s="5" t="s">
        <v>35</v>
      </c>
      <c r="H2904" s="5" t="s">
        <v>35</v>
      </c>
      <c r="I2904" s="5" t="s">
        <v>36</v>
      </c>
      <c r="J2904" s="6">
        <v>6.0</v>
      </c>
      <c r="K2904" s="6" t="s">
        <v>37</v>
      </c>
      <c r="L2904" s="6">
        <v>4500.0</v>
      </c>
      <c r="M2904" s="26" t="s">
        <v>95</v>
      </c>
      <c r="N2904" s="26" t="s">
        <v>142</v>
      </c>
      <c r="O2904" s="6" t="s">
        <v>276</v>
      </c>
      <c r="P2904" s="5" t="s">
        <v>41</v>
      </c>
      <c r="Q2904" s="5"/>
      <c r="R2904" s="6" t="s">
        <v>42</v>
      </c>
      <c r="S2904" s="5" t="s">
        <v>172</v>
      </c>
      <c r="T2904" s="5" t="s">
        <v>732</v>
      </c>
      <c r="U2904" s="5" t="s">
        <v>44</v>
      </c>
      <c r="V2904" s="5" t="s">
        <v>44</v>
      </c>
      <c r="W2904" s="5" t="s">
        <v>36</v>
      </c>
      <c r="X2904" s="8" t="s">
        <v>1010</v>
      </c>
      <c r="Y2904" s="5" t="s">
        <v>46</v>
      </c>
      <c r="Z2904" s="5" t="s">
        <v>47</v>
      </c>
      <c r="AA2904" s="5" t="s">
        <v>48</v>
      </c>
      <c r="AB2904" s="5" t="s">
        <v>14212</v>
      </c>
      <c r="AC2904" s="6" t="s">
        <v>56</v>
      </c>
      <c r="AD2904" s="6">
        <v>3446.0</v>
      </c>
    </row>
    <row r="2905" ht="56.25" customHeight="1">
      <c r="A2905" s="5" t="s">
        <v>14200</v>
      </c>
      <c r="B2905" s="6" t="str">
        <f>IMAGE("https://storage.googleapis.com/acdb/housewares/FtrGravestoneEuropean_Remake_2_0.png")</f>
        <v/>
      </c>
      <c r="C2905" s="5" t="s">
        <v>54</v>
      </c>
      <c r="D2905" s="5" t="s">
        <v>2801</v>
      </c>
      <c r="E2905" s="5" t="s">
        <v>34</v>
      </c>
      <c r="F2905" s="5" t="s">
        <v>34</v>
      </c>
      <c r="G2905" s="5" t="s">
        <v>35</v>
      </c>
      <c r="H2905" s="5" t="s">
        <v>35</v>
      </c>
      <c r="I2905" s="5" t="s">
        <v>36</v>
      </c>
      <c r="J2905" s="6">
        <v>6.0</v>
      </c>
      <c r="K2905" s="6" t="s">
        <v>37</v>
      </c>
      <c r="L2905" s="6">
        <v>4500.0</v>
      </c>
      <c r="M2905" s="26" t="s">
        <v>54</v>
      </c>
      <c r="N2905" s="26" t="s">
        <v>52</v>
      </c>
      <c r="O2905" s="6" t="s">
        <v>276</v>
      </c>
      <c r="P2905" s="5" t="s">
        <v>41</v>
      </c>
      <c r="Q2905" s="5"/>
      <c r="R2905" s="6" t="s">
        <v>42</v>
      </c>
      <c r="S2905" s="5" t="s">
        <v>172</v>
      </c>
      <c r="T2905" s="5" t="s">
        <v>732</v>
      </c>
      <c r="U2905" s="5" t="s">
        <v>44</v>
      </c>
      <c r="V2905" s="5" t="s">
        <v>44</v>
      </c>
      <c r="W2905" s="5" t="s">
        <v>36</v>
      </c>
      <c r="X2905" s="8" t="s">
        <v>1010</v>
      </c>
      <c r="Y2905" s="5" t="s">
        <v>46</v>
      </c>
      <c r="Z2905" s="5" t="s">
        <v>47</v>
      </c>
      <c r="AA2905" s="5" t="s">
        <v>48</v>
      </c>
      <c r="AB2905" s="5" t="s">
        <v>14218</v>
      </c>
      <c r="AC2905" s="6" t="s">
        <v>67</v>
      </c>
      <c r="AD2905" s="6">
        <v>3446.0</v>
      </c>
    </row>
    <row r="2906" ht="56.25" customHeight="1">
      <c r="A2906" s="5" t="s">
        <v>14200</v>
      </c>
      <c r="B2906" s="6" t="str">
        <f>IMAGE("https://storage.googleapis.com/acdb/housewares/FtrGravestoneEuropean_Remake_3_0.png")</f>
        <v/>
      </c>
      <c r="C2906" s="5" t="s">
        <v>39</v>
      </c>
      <c r="D2906" s="5" t="s">
        <v>2801</v>
      </c>
      <c r="E2906" s="5" t="s">
        <v>34</v>
      </c>
      <c r="F2906" s="5" t="s">
        <v>34</v>
      </c>
      <c r="G2906" s="5" t="s">
        <v>35</v>
      </c>
      <c r="H2906" s="5" t="s">
        <v>35</v>
      </c>
      <c r="I2906" s="5" t="s">
        <v>36</v>
      </c>
      <c r="J2906" s="6">
        <v>6.0</v>
      </c>
      <c r="K2906" s="6" t="s">
        <v>37</v>
      </c>
      <c r="L2906" s="6">
        <v>4500.0</v>
      </c>
      <c r="M2906" s="26" t="s">
        <v>39</v>
      </c>
      <c r="N2906" s="26" t="s">
        <v>114</v>
      </c>
      <c r="O2906" s="6" t="s">
        <v>276</v>
      </c>
      <c r="P2906" s="5" t="s">
        <v>41</v>
      </c>
      <c r="Q2906" s="5"/>
      <c r="R2906" s="6" t="s">
        <v>42</v>
      </c>
      <c r="S2906" s="5" t="s">
        <v>172</v>
      </c>
      <c r="T2906" s="5" t="s">
        <v>732</v>
      </c>
      <c r="U2906" s="5" t="s">
        <v>44</v>
      </c>
      <c r="V2906" s="5" t="s">
        <v>44</v>
      </c>
      <c r="W2906" s="5" t="s">
        <v>36</v>
      </c>
      <c r="X2906" s="8" t="s">
        <v>1010</v>
      </c>
      <c r="Y2906" s="5" t="s">
        <v>46</v>
      </c>
      <c r="Z2906" s="5" t="s">
        <v>47</v>
      </c>
      <c r="AA2906" s="5" t="s">
        <v>48</v>
      </c>
      <c r="AB2906" s="5" t="s">
        <v>14224</v>
      </c>
      <c r="AC2906" s="6" t="s">
        <v>71</v>
      </c>
      <c r="AD2906" s="6">
        <v>3446.0</v>
      </c>
    </row>
    <row r="2907" ht="56.25" customHeight="1">
      <c r="A2907" s="5" t="s">
        <v>14200</v>
      </c>
      <c r="B2907" s="6" t="str">
        <f>IMAGE("https://storage.googleapis.com/acdb/housewares/FtrGravestoneEuropean_Remake_4_0.png")</f>
        <v/>
      </c>
      <c r="C2907" s="5" t="s">
        <v>10266</v>
      </c>
      <c r="D2907" s="5" t="s">
        <v>2801</v>
      </c>
      <c r="E2907" s="5" t="s">
        <v>34</v>
      </c>
      <c r="F2907" s="5" t="s">
        <v>34</v>
      </c>
      <c r="G2907" s="5" t="s">
        <v>35</v>
      </c>
      <c r="H2907" s="5" t="s">
        <v>35</v>
      </c>
      <c r="I2907" s="5" t="s">
        <v>36</v>
      </c>
      <c r="J2907" s="6">
        <v>6.0</v>
      </c>
      <c r="K2907" s="6" t="s">
        <v>37</v>
      </c>
      <c r="L2907" s="6">
        <v>4500.0</v>
      </c>
      <c r="M2907" s="26" t="s">
        <v>96</v>
      </c>
      <c r="N2907" s="26" t="s">
        <v>114</v>
      </c>
      <c r="O2907" s="6" t="s">
        <v>276</v>
      </c>
      <c r="P2907" s="5" t="s">
        <v>41</v>
      </c>
      <c r="Q2907" s="5"/>
      <c r="R2907" s="6" t="s">
        <v>42</v>
      </c>
      <c r="S2907" s="5" t="s">
        <v>172</v>
      </c>
      <c r="T2907" s="5" t="s">
        <v>732</v>
      </c>
      <c r="U2907" s="5" t="s">
        <v>44</v>
      </c>
      <c r="V2907" s="5" t="s">
        <v>44</v>
      </c>
      <c r="W2907" s="5" t="s">
        <v>36</v>
      </c>
      <c r="X2907" s="8" t="s">
        <v>1010</v>
      </c>
      <c r="Y2907" s="5" t="s">
        <v>46</v>
      </c>
      <c r="Z2907" s="5" t="s">
        <v>47</v>
      </c>
      <c r="AA2907" s="5" t="s">
        <v>48</v>
      </c>
      <c r="AB2907" s="5" t="s">
        <v>14228</v>
      </c>
      <c r="AC2907" s="6" t="s">
        <v>75</v>
      </c>
      <c r="AD2907" s="6">
        <v>3446.0</v>
      </c>
    </row>
    <row r="2908" ht="56.25" customHeight="1">
      <c r="A2908" s="5" t="s">
        <v>14229</v>
      </c>
      <c r="B2908" s="6" t="str">
        <f>image("https://storage.googleapis.com/acdb/housewares/FtrWheelchair_Remake_0_0.png")</f>
        <v/>
      </c>
      <c r="C2908" s="5" t="s">
        <v>34</v>
      </c>
      <c r="D2908" s="5" t="s">
        <v>34</v>
      </c>
      <c r="E2908" s="5" t="s">
        <v>68</v>
      </c>
      <c r="F2908" s="5" t="s">
        <v>9107</v>
      </c>
      <c r="G2908" s="5" t="s">
        <v>36</v>
      </c>
      <c r="H2908" s="5" t="s">
        <v>36</v>
      </c>
      <c r="I2908" s="5" t="s">
        <v>35</v>
      </c>
      <c r="J2908" s="6">
        <v>1.0</v>
      </c>
      <c r="K2908" s="6">
        <v>2700.0</v>
      </c>
      <c r="L2908" s="6">
        <v>675.0</v>
      </c>
      <c r="M2908" s="5" t="s">
        <v>54</v>
      </c>
      <c r="N2908" s="26" t="s">
        <v>68</v>
      </c>
      <c r="O2908" s="6" t="s">
        <v>40</v>
      </c>
      <c r="P2908" s="5" t="s">
        <v>59</v>
      </c>
      <c r="Q2908" s="5" t="s">
        <v>89</v>
      </c>
      <c r="R2908" s="6" t="s">
        <v>42</v>
      </c>
      <c r="S2908" s="5" t="s">
        <v>141</v>
      </c>
      <c r="T2908" s="5" t="s">
        <v>44</v>
      </c>
      <c r="U2908" s="5" t="s">
        <v>44</v>
      </c>
      <c r="V2908" s="5" t="s">
        <v>44</v>
      </c>
      <c r="W2908" s="5" t="s">
        <v>35</v>
      </c>
      <c r="X2908" s="8" t="s">
        <v>248</v>
      </c>
      <c r="Y2908" s="5" t="s">
        <v>46</v>
      </c>
      <c r="Z2908" s="5" t="s">
        <v>47</v>
      </c>
      <c r="AA2908" s="5" t="s">
        <v>64</v>
      </c>
      <c r="AB2908" s="5" t="s">
        <v>14237</v>
      </c>
      <c r="AC2908" s="6" t="s">
        <v>50</v>
      </c>
      <c r="AD2908" s="6">
        <v>3444.0</v>
      </c>
    </row>
    <row r="2909" ht="56.25" customHeight="1">
      <c r="A2909" s="5" t="s">
        <v>14229</v>
      </c>
      <c r="B2909" s="6" t="str">
        <f>image("https://storage.googleapis.com/acdb/housewares/FtrWheelchair_Remake_0_1.png")</f>
        <v/>
      </c>
      <c r="C2909" s="5" t="s">
        <v>34</v>
      </c>
      <c r="D2909" s="5" t="s">
        <v>34</v>
      </c>
      <c r="E2909" s="5" t="s">
        <v>2039</v>
      </c>
      <c r="F2909" s="5" t="s">
        <v>9107</v>
      </c>
      <c r="G2909" s="5" t="s">
        <v>36</v>
      </c>
      <c r="H2909" s="5" t="s">
        <v>36</v>
      </c>
      <c r="I2909" s="5" t="s">
        <v>35</v>
      </c>
      <c r="J2909" s="6">
        <v>1.0</v>
      </c>
      <c r="K2909" s="6">
        <v>2700.0</v>
      </c>
      <c r="L2909" s="6">
        <v>675.0</v>
      </c>
      <c r="M2909" s="5" t="s">
        <v>54</v>
      </c>
      <c r="N2909" s="26" t="s">
        <v>52</v>
      </c>
      <c r="O2909" s="6" t="s">
        <v>40</v>
      </c>
      <c r="P2909" s="5" t="s">
        <v>59</v>
      </c>
      <c r="Q2909" s="5" t="s">
        <v>89</v>
      </c>
      <c r="R2909" s="6" t="s">
        <v>42</v>
      </c>
      <c r="S2909" s="5" t="s">
        <v>141</v>
      </c>
      <c r="T2909" s="5" t="s">
        <v>44</v>
      </c>
      <c r="U2909" s="5" t="s">
        <v>44</v>
      </c>
      <c r="V2909" s="5" t="s">
        <v>44</v>
      </c>
      <c r="W2909" s="5" t="s">
        <v>35</v>
      </c>
      <c r="X2909" s="8" t="s">
        <v>248</v>
      </c>
      <c r="Y2909" s="5" t="s">
        <v>46</v>
      </c>
      <c r="Z2909" s="5" t="s">
        <v>47</v>
      </c>
      <c r="AA2909" s="5" t="s">
        <v>64</v>
      </c>
      <c r="AB2909" s="5" t="s">
        <v>14244</v>
      </c>
      <c r="AC2909" s="6" t="s">
        <v>217</v>
      </c>
      <c r="AD2909" s="6">
        <v>3444.0</v>
      </c>
    </row>
    <row r="2910" ht="56.25" customHeight="1">
      <c r="A2910" s="5" t="s">
        <v>14229</v>
      </c>
      <c r="B2910" s="6" t="str">
        <f>image("https://storage.googleapis.com/acdb/housewares/FtrWheelchair_Remake_0_2.png")</f>
        <v/>
      </c>
      <c r="C2910" s="5" t="s">
        <v>34</v>
      </c>
      <c r="D2910" s="5" t="s">
        <v>34</v>
      </c>
      <c r="E2910" s="5" t="s">
        <v>2042</v>
      </c>
      <c r="F2910" s="5" t="s">
        <v>9107</v>
      </c>
      <c r="G2910" s="5" t="s">
        <v>36</v>
      </c>
      <c r="H2910" s="5" t="s">
        <v>36</v>
      </c>
      <c r="I2910" s="5" t="s">
        <v>35</v>
      </c>
      <c r="J2910" s="6">
        <v>1.0</v>
      </c>
      <c r="K2910" s="6">
        <v>2700.0</v>
      </c>
      <c r="L2910" s="6">
        <v>675.0</v>
      </c>
      <c r="M2910" s="5" t="s">
        <v>54</v>
      </c>
      <c r="N2910" s="26" t="s">
        <v>96</v>
      </c>
      <c r="O2910" s="6" t="s">
        <v>40</v>
      </c>
      <c r="P2910" s="5" t="s">
        <v>59</v>
      </c>
      <c r="Q2910" s="5" t="s">
        <v>89</v>
      </c>
      <c r="R2910" s="6" t="s">
        <v>42</v>
      </c>
      <c r="S2910" s="5" t="s">
        <v>141</v>
      </c>
      <c r="T2910" s="5" t="s">
        <v>44</v>
      </c>
      <c r="U2910" s="5" t="s">
        <v>44</v>
      </c>
      <c r="V2910" s="5" t="s">
        <v>44</v>
      </c>
      <c r="W2910" s="5" t="s">
        <v>35</v>
      </c>
      <c r="X2910" s="8" t="s">
        <v>248</v>
      </c>
      <c r="Y2910" s="5" t="s">
        <v>46</v>
      </c>
      <c r="Z2910" s="5" t="s">
        <v>47</v>
      </c>
      <c r="AA2910" s="5" t="s">
        <v>64</v>
      </c>
      <c r="AB2910" s="5" t="s">
        <v>14249</v>
      </c>
      <c r="AC2910" s="6" t="s">
        <v>347</v>
      </c>
      <c r="AD2910" s="6">
        <v>3444.0</v>
      </c>
    </row>
    <row r="2911" ht="56.25" customHeight="1">
      <c r="A2911" s="5" t="s">
        <v>14229</v>
      </c>
      <c r="B2911" s="6" t="str">
        <f>image("https://storage.googleapis.com/acdb/housewares/FtrWheelchair_Remake_0_3.png")</f>
        <v/>
      </c>
      <c r="C2911" s="5" t="s">
        <v>34</v>
      </c>
      <c r="D2911" s="5" t="s">
        <v>34</v>
      </c>
      <c r="E2911" s="5" t="s">
        <v>38</v>
      </c>
      <c r="F2911" s="5" t="s">
        <v>9107</v>
      </c>
      <c r="G2911" s="5" t="s">
        <v>36</v>
      </c>
      <c r="H2911" s="5" t="s">
        <v>36</v>
      </c>
      <c r="I2911" s="5" t="s">
        <v>35</v>
      </c>
      <c r="J2911" s="6">
        <v>1.0</v>
      </c>
      <c r="K2911" s="6">
        <v>2700.0</v>
      </c>
      <c r="L2911" s="6">
        <v>675.0</v>
      </c>
      <c r="M2911" s="5" t="s">
        <v>54</v>
      </c>
      <c r="N2911" s="26" t="s">
        <v>38</v>
      </c>
      <c r="O2911" s="6" t="s">
        <v>40</v>
      </c>
      <c r="P2911" s="5" t="s">
        <v>59</v>
      </c>
      <c r="Q2911" s="5" t="s">
        <v>89</v>
      </c>
      <c r="R2911" s="6" t="s">
        <v>42</v>
      </c>
      <c r="S2911" s="5" t="s">
        <v>141</v>
      </c>
      <c r="T2911" s="5" t="s">
        <v>44</v>
      </c>
      <c r="U2911" s="5" t="s">
        <v>44</v>
      </c>
      <c r="V2911" s="5" t="s">
        <v>44</v>
      </c>
      <c r="W2911" s="5" t="s">
        <v>35</v>
      </c>
      <c r="X2911" s="8" t="s">
        <v>248</v>
      </c>
      <c r="Y2911" s="5" t="s">
        <v>46</v>
      </c>
      <c r="Z2911" s="5" t="s">
        <v>47</v>
      </c>
      <c r="AA2911" s="5" t="s">
        <v>64</v>
      </c>
      <c r="AB2911" s="5" t="s">
        <v>14256</v>
      </c>
      <c r="AC2911" s="6" t="s">
        <v>354</v>
      </c>
      <c r="AD2911" s="6">
        <v>3444.0</v>
      </c>
    </row>
    <row r="2912" ht="56.25" customHeight="1">
      <c r="A2912" s="5" t="s">
        <v>14229</v>
      </c>
      <c r="B2912" s="6" t="str">
        <f>image("https://storage.googleapis.com/acdb/housewares/FtrWheelchair_Remake_0_4.png")</f>
        <v/>
      </c>
      <c r="C2912" s="5" t="s">
        <v>34</v>
      </c>
      <c r="D2912" s="5" t="s">
        <v>34</v>
      </c>
      <c r="E2912" s="5" t="s">
        <v>58</v>
      </c>
      <c r="F2912" s="5" t="s">
        <v>9107</v>
      </c>
      <c r="G2912" s="5" t="s">
        <v>36</v>
      </c>
      <c r="H2912" s="5" t="s">
        <v>36</v>
      </c>
      <c r="I2912" s="5" t="s">
        <v>35</v>
      </c>
      <c r="J2912" s="6">
        <v>1.0</v>
      </c>
      <c r="K2912" s="6">
        <v>2700.0</v>
      </c>
      <c r="L2912" s="6">
        <v>675.0</v>
      </c>
      <c r="M2912" s="5" t="s">
        <v>54</v>
      </c>
      <c r="N2912" s="26" t="s">
        <v>58</v>
      </c>
      <c r="O2912" s="6" t="s">
        <v>40</v>
      </c>
      <c r="P2912" s="5" t="s">
        <v>59</v>
      </c>
      <c r="Q2912" s="5" t="s">
        <v>89</v>
      </c>
      <c r="R2912" s="6" t="s">
        <v>42</v>
      </c>
      <c r="S2912" s="5" t="s">
        <v>141</v>
      </c>
      <c r="T2912" s="5" t="s">
        <v>44</v>
      </c>
      <c r="U2912" s="5" t="s">
        <v>44</v>
      </c>
      <c r="V2912" s="5" t="s">
        <v>44</v>
      </c>
      <c r="W2912" s="5" t="s">
        <v>35</v>
      </c>
      <c r="X2912" s="8" t="s">
        <v>248</v>
      </c>
      <c r="Y2912" s="5" t="s">
        <v>46</v>
      </c>
      <c r="Z2912" s="5" t="s">
        <v>47</v>
      </c>
      <c r="AA2912" s="5" t="s">
        <v>64</v>
      </c>
      <c r="AB2912" s="5" t="s">
        <v>14264</v>
      </c>
      <c r="AC2912" s="6" t="s">
        <v>486</v>
      </c>
      <c r="AD2912" s="6">
        <v>3444.0</v>
      </c>
    </row>
    <row r="2913" ht="56.25" customHeight="1">
      <c r="A2913" s="5" t="s">
        <v>14265</v>
      </c>
      <c r="B2913" s="6" t="str">
        <f>IMAGE("https://storage.googleapis.com/acdb/housewares/FtrJacuzzi_Remake_0_0.png")</f>
        <v/>
      </c>
      <c r="C2913" s="5" t="s">
        <v>57</v>
      </c>
      <c r="D2913" s="5" t="s">
        <v>34</v>
      </c>
      <c r="E2913" s="5" t="s">
        <v>34</v>
      </c>
      <c r="F2913" s="5" t="s">
        <v>34</v>
      </c>
      <c r="G2913" s="5" t="s">
        <v>36</v>
      </c>
      <c r="H2913" s="5" t="s">
        <v>36</v>
      </c>
      <c r="I2913" s="5" t="s">
        <v>36</v>
      </c>
      <c r="J2913" s="6" t="s">
        <v>34</v>
      </c>
      <c r="K2913" s="6">
        <v>130000.0</v>
      </c>
      <c r="L2913" s="6">
        <v>32500.0</v>
      </c>
      <c r="M2913" s="26" t="s">
        <v>57</v>
      </c>
      <c r="N2913" s="26" t="s">
        <v>57</v>
      </c>
      <c r="O2913" s="6" t="s">
        <v>214</v>
      </c>
      <c r="P2913" s="5" t="s">
        <v>59</v>
      </c>
      <c r="Q2913" s="5" t="s">
        <v>115</v>
      </c>
      <c r="R2913" s="6" t="s">
        <v>42</v>
      </c>
      <c r="S2913" s="5" t="s">
        <v>288</v>
      </c>
      <c r="T2913" s="5" t="s">
        <v>116</v>
      </c>
      <c r="U2913" s="5" t="s">
        <v>44</v>
      </c>
      <c r="V2913" s="5" t="s">
        <v>44</v>
      </c>
      <c r="W2913" s="5" t="s">
        <v>35</v>
      </c>
      <c r="X2913" s="8" t="s">
        <v>1968</v>
      </c>
      <c r="Y2913" s="5" t="s">
        <v>46</v>
      </c>
      <c r="Z2913" s="5" t="s">
        <v>47</v>
      </c>
      <c r="AA2913" s="5" t="s">
        <v>64</v>
      </c>
      <c r="AB2913" s="5" t="s">
        <v>14271</v>
      </c>
      <c r="AC2913" s="6" t="s">
        <v>50</v>
      </c>
      <c r="AD2913" s="6">
        <v>1840.0</v>
      </c>
    </row>
    <row r="2914" ht="56.25" customHeight="1">
      <c r="A2914" s="5" t="s">
        <v>14265</v>
      </c>
      <c r="B2914" s="6" t="str">
        <f>IMAGE("https://storage.googleapis.com/acdb/housewares/FtrJacuzzi_Remake_1_0.png")</f>
        <v/>
      </c>
      <c r="C2914" s="5" t="s">
        <v>54</v>
      </c>
      <c r="D2914" s="5" t="s">
        <v>34</v>
      </c>
      <c r="E2914" s="5" t="s">
        <v>34</v>
      </c>
      <c r="F2914" s="5" t="s">
        <v>34</v>
      </c>
      <c r="G2914" s="5" t="s">
        <v>36</v>
      </c>
      <c r="H2914" s="5" t="s">
        <v>36</v>
      </c>
      <c r="I2914" s="5" t="s">
        <v>36</v>
      </c>
      <c r="J2914" s="6" t="s">
        <v>34</v>
      </c>
      <c r="K2914" s="6">
        <v>130000.0</v>
      </c>
      <c r="L2914" s="6">
        <v>32500.0</v>
      </c>
      <c r="M2914" s="26" t="s">
        <v>54</v>
      </c>
      <c r="N2914" s="26" t="s">
        <v>54</v>
      </c>
      <c r="O2914" s="6" t="s">
        <v>214</v>
      </c>
      <c r="P2914" s="5" t="s">
        <v>59</v>
      </c>
      <c r="Q2914" s="5" t="s">
        <v>115</v>
      </c>
      <c r="R2914" s="6" t="s">
        <v>42</v>
      </c>
      <c r="S2914" s="5" t="s">
        <v>288</v>
      </c>
      <c r="T2914" s="5" t="s">
        <v>116</v>
      </c>
      <c r="U2914" s="5" t="s">
        <v>44</v>
      </c>
      <c r="V2914" s="5" t="s">
        <v>44</v>
      </c>
      <c r="W2914" s="5" t="s">
        <v>35</v>
      </c>
      <c r="X2914" s="8" t="s">
        <v>1968</v>
      </c>
      <c r="Y2914" s="5" t="s">
        <v>46</v>
      </c>
      <c r="Z2914" s="5" t="s">
        <v>47</v>
      </c>
      <c r="AA2914" s="5" t="s">
        <v>64</v>
      </c>
      <c r="AB2914" s="5" t="s">
        <v>14276</v>
      </c>
      <c r="AC2914" s="6" t="s">
        <v>56</v>
      </c>
      <c r="AD2914" s="6">
        <v>1840.0</v>
      </c>
    </row>
    <row r="2915" ht="56.25" customHeight="1">
      <c r="A2915" s="5" t="s">
        <v>14278</v>
      </c>
      <c r="B2915" s="6" t="str">
        <f>IMAGE("https://storage.googleapis.com/acdb/housewares/FtrWhiteboard_Remake_0_0.png")</f>
        <v/>
      </c>
      <c r="C2915" s="5" t="s">
        <v>849</v>
      </c>
      <c r="D2915" s="5" t="s">
        <v>34</v>
      </c>
      <c r="E2915" s="5" t="s">
        <v>34</v>
      </c>
      <c r="F2915" s="5" t="s">
        <v>34</v>
      </c>
      <c r="G2915" s="5" t="s">
        <v>36</v>
      </c>
      <c r="H2915" s="5" t="s">
        <v>36</v>
      </c>
      <c r="I2915" s="5" t="s">
        <v>36</v>
      </c>
      <c r="J2915" s="6" t="s">
        <v>34</v>
      </c>
      <c r="K2915" s="6">
        <v>2600.0</v>
      </c>
      <c r="L2915" s="6">
        <v>650.0</v>
      </c>
      <c r="M2915" s="26" t="s">
        <v>57</v>
      </c>
      <c r="N2915" s="26" t="s">
        <v>95</v>
      </c>
      <c r="O2915" s="6" t="s">
        <v>276</v>
      </c>
      <c r="P2915" s="5" t="s">
        <v>59</v>
      </c>
      <c r="Q2915" s="5" t="s">
        <v>122</v>
      </c>
      <c r="R2915" s="6" t="s">
        <v>42</v>
      </c>
      <c r="S2915" s="5" t="s">
        <v>91</v>
      </c>
      <c r="T2915" s="5" t="s">
        <v>44</v>
      </c>
      <c r="U2915" s="5" t="s">
        <v>44</v>
      </c>
      <c r="V2915" s="5" t="s">
        <v>44</v>
      </c>
      <c r="W2915" s="5" t="s">
        <v>36</v>
      </c>
      <c r="X2915" s="8" t="s">
        <v>117</v>
      </c>
      <c r="Y2915" s="5" t="s">
        <v>46</v>
      </c>
      <c r="Z2915" s="5" t="s">
        <v>47</v>
      </c>
      <c r="AA2915" s="5" t="s">
        <v>64</v>
      </c>
      <c r="AB2915" s="5" t="s">
        <v>14283</v>
      </c>
      <c r="AC2915" s="6" t="s">
        <v>50</v>
      </c>
      <c r="AD2915" s="6">
        <v>4116.0</v>
      </c>
    </row>
    <row r="2916" ht="56.25" customHeight="1">
      <c r="A2916" s="5" t="s">
        <v>14278</v>
      </c>
      <c r="B2916" s="6" t="str">
        <f>IMAGE("https://storage.googleapis.com/acdb/housewares/FtrWhiteboard_Remake_1_0.png")</f>
        <v/>
      </c>
      <c r="C2916" s="5" t="s">
        <v>14285</v>
      </c>
      <c r="D2916" s="5" t="s">
        <v>34</v>
      </c>
      <c r="E2916" s="5" t="s">
        <v>34</v>
      </c>
      <c r="F2916" s="5" t="s">
        <v>34</v>
      </c>
      <c r="G2916" s="5" t="s">
        <v>36</v>
      </c>
      <c r="H2916" s="5" t="s">
        <v>36</v>
      </c>
      <c r="I2916" s="5" t="s">
        <v>36</v>
      </c>
      <c r="J2916" s="6" t="s">
        <v>34</v>
      </c>
      <c r="K2916" s="6">
        <v>2600.0</v>
      </c>
      <c r="L2916" s="6">
        <v>650.0</v>
      </c>
      <c r="M2916" s="26" t="s">
        <v>57</v>
      </c>
      <c r="N2916" s="26" t="s">
        <v>95</v>
      </c>
      <c r="O2916" s="6" t="s">
        <v>276</v>
      </c>
      <c r="P2916" s="5" t="s">
        <v>59</v>
      </c>
      <c r="Q2916" s="5" t="s">
        <v>122</v>
      </c>
      <c r="R2916" s="6" t="s">
        <v>42</v>
      </c>
      <c r="S2916" s="5" t="s">
        <v>91</v>
      </c>
      <c r="T2916" s="5" t="s">
        <v>44</v>
      </c>
      <c r="U2916" s="5" t="s">
        <v>44</v>
      </c>
      <c r="V2916" s="5" t="s">
        <v>44</v>
      </c>
      <c r="W2916" s="5" t="s">
        <v>36</v>
      </c>
      <c r="X2916" s="8" t="s">
        <v>117</v>
      </c>
      <c r="Y2916" s="5" t="s">
        <v>46</v>
      </c>
      <c r="Z2916" s="5" t="s">
        <v>47</v>
      </c>
      <c r="AA2916" s="5" t="s">
        <v>64</v>
      </c>
      <c r="AB2916" s="5" t="s">
        <v>14293</v>
      </c>
      <c r="AC2916" s="6" t="s">
        <v>56</v>
      </c>
      <c r="AD2916" s="6">
        <v>4116.0</v>
      </c>
    </row>
    <row r="2917" ht="56.25" customHeight="1">
      <c r="A2917" s="5" t="s">
        <v>14278</v>
      </c>
      <c r="B2917" s="6" t="str">
        <f>IMAGE("https://storage.googleapis.com/acdb/housewares/FtrWhiteboard_Remake_2_0.png")</f>
        <v/>
      </c>
      <c r="C2917" s="5" t="s">
        <v>14296</v>
      </c>
      <c r="D2917" s="5" t="s">
        <v>34</v>
      </c>
      <c r="E2917" s="5" t="s">
        <v>34</v>
      </c>
      <c r="F2917" s="5" t="s">
        <v>34</v>
      </c>
      <c r="G2917" s="5" t="s">
        <v>36</v>
      </c>
      <c r="H2917" s="5" t="s">
        <v>36</v>
      </c>
      <c r="I2917" s="5" t="s">
        <v>36</v>
      </c>
      <c r="J2917" s="6" t="s">
        <v>34</v>
      </c>
      <c r="K2917" s="6">
        <v>2600.0</v>
      </c>
      <c r="L2917" s="6">
        <v>650.0</v>
      </c>
      <c r="M2917" s="26" t="s">
        <v>57</v>
      </c>
      <c r="N2917" s="26" t="s">
        <v>95</v>
      </c>
      <c r="O2917" s="6" t="s">
        <v>276</v>
      </c>
      <c r="P2917" s="5" t="s">
        <v>59</v>
      </c>
      <c r="Q2917" s="5" t="s">
        <v>122</v>
      </c>
      <c r="R2917" s="6" t="s">
        <v>42</v>
      </c>
      <c r="S2917" s="5" t="s">
        <v>91</v>
      </c>
      <c r="T2917" s="5" t="s">
        <v>44</v>
      </c>
      <c r="U2917" s="5" t="s">
        <v>44</v>
      </c>
      <c r="V2917" s="5" t="s">
        <v>44</v>
      </c>
      <c r="W2917" s="5" t="s">
        <v>36</v>
      </c>
      <c r="X2917" s="8" t="s">
        <v>117</v>
      </c>
      <c r="Y2917" s="5" t="s">
        <v>46</v>
      </c>
      <c r="Z2917" s="5" t="s">
        <v>47</v>
      </c>
      <c r="AA2917" s="5" t="s">
        <v>64</v>
      </c>
      <c r="AB2917" s="5" t="s">
        <v>14299</v>
      </c>
      <c r="AC2917" s="6" t="s">
        <v>67</v>
      </c>
      <c r="AD2917" s="6">
        <v>4116.0</v>
      </c>
    </row>
    <row r="2918" ht="56.25" customHeight="1">
      <c r="A2918" s="5" t="s">
        <v>14278</v>
      </c>
      <c r="B2918" s="6" t="str">
        <f>IMAGE("https://storage.googleapis.com/acdb/housewares/FtrWhiteboard_Remake_3_0.png")</f>
        <v/>
      </c>
      <c r="C2918" s="5" t="s">
        <v>14302</v>
      </c>
      <c r="D2918" s="5" t="s">
        <v>34</v>
      </c>
      <c r="E2918" s="5" t="s">
        <v>34</v>
      </c>
      <c r="F2918" s="5" t="s">
        <v>34</v>
      </c>
      <c r="G2918" s="5" t="s">
        <v>36</v>
      </c>
      <c r="H2918" s="5" t="s">
        <v>36</v>
      </c>
      <c r="I2918" s="5" t="s">
        <v>36</v>
      </c>
      <c r="J2918" s="6" t="s">
        <v>34</v>
      </c>
      <c r="K2918" s="6">
        <v>2600.0</v>
      </c>
      <c r="L2918" s="6">
        <v>650.0</v>
      </c>
      <c r="M2918" s="26" t="s">
        <v>57</v>
      </c>
      <c r="N2918" s="26" t="s">
        <v>95</v>
      </c>
      <c r="O2918" s="6" t="s">
        <v>276</v>
      </c>
      <c r="P2918" s="5" t="s">
        <v>59</v>
      </c>
      <c r="Q2918" s="5" t="s">
        <v>122</v>
      </c>
      <c r="R2918" s="6" t="s">
        <v>42</v>
      </c>
      <c r="S2918" s="5" t="s">
        <v>91</v>
      </c>
      <c r="T2918" s="5" t="s">
        <v>44</v>
      </c>
      <c r="U2918" s="5" t="s">
        <v>44</v>
      </c>
      <c r="V2918" s="5" t="s">
        <v>44</v>
      </c>
      <c r="W2918" s="5" t="s">
        <v>36</v>
      </c>
      <c r="X2918" s="8" t="s">
        <v>117</v>
      </c>
      <c r="Y2918" s="5" t="s">
        <v>46</v>
      </c>
      <c r="Z2918" s="5" t="s">
        <v>47</v>
      </c>
      <c r="AA2918" s="5" t="s">
        <v>64</v>
      </c>
      <c r="AB2918" s="5" t="s">
        <v>14304</v>
      </c>
      <c r="AC2918" s="6" t="s">
        <v>71</v>
      </c>
      <c r="AD2918" s="6">
        <v>4116.0</v>
      </c>
    </row>
    <row r="2919" ht="56.25" customHeight="1">
      <c r="A2919" s="5" t="s">
        <v>14278</v>
      </c>
      <c r="B2919" s="6" t="str">
        <f>IMAGE("https://storage.googleapis.com/acdb/housewares/FtrWhiteboard_Remake_4_0.png")</f>
        <v/>
      </c>
      <c r="C2919" s="5" t="s">
        <v>14307</v>
      </c>
      <c r="D2919" s="5" t="s">
        <v>34</v>
      </c>
      <c r="E2919" s="5" t="s">
        <v>34</v>
      </c>
      <c r="F2919" s="5" t="s">
        <v>34</v>
      </c>
      <c r="G2919" s="5" t="s">
        <v>36</v>
      </c>
      <c r="H2919" s="5" t="s">
        <v>36</v>
      </c>
      <c r="I2919" s="5" t="s">
        <v>36</v>
      </c>
      <c r="J2919" s="6" t="s">
        <v>34</v>
      </c>
      <c r="K2919" s="6">
        <v>2600.0</v>
      </c>
      <c r="L2919" s="6">
        <v>650.0</v>
      </c>
      <c r="M2919" s="26" t="s">
        <v>57</v>
      </c>
      <c r="N2919" s="26" t="s">
        <v>95</v>
      </c>
      <c r="O2919" s="6" t="s">
        <v>276</v>
      </c>
      <c r="P2919" s="5" t="s">
        <v>59</v>
      </c>
      <c r="Q2919" s="5" t="s">
        <v>122</v>
      </c>
      <c r="R2919" s="6" t="s">
        <v>42</v>
      </c>
      <c r="S2919" s="5" t="s">
        <v>91</v>
      </c>
      <c r="T2919" s="5" t="s">
        <v>44</v>
      </c>
      <c r="U2919" s="5" t="s">
        <v>44</v>
      </c>
      <c r="V2919" s="5" t="s">
        <v>44</v>
      </c>
      <c r="W2919" s="5" t="s">
        <v>36</v>
      </c>
      <c r="X2919" s="8" t="s">
        <v>117</v>
      </c>
      <c r="Y2919" s="5" t="s">
        <v>46</v>
      </c>
      <c r="Z2919" s="5" t="s">
        <v>47</v>
      </c>
      <c r="AA2919" s="5" t="s">
        <v>64</v>
      </c>
      <c r="AB2919" s="5" t="s">
        <v>14310</v>
      </c>
      <c r="AC2919" s="6" t="s">
        <v>75</v>
      </c>
      <c r="AD2919" s="6">
        <v>4116.0</v>
      </c>
    </row>
    <row r="2920" ht="56.25" customHeight="1">
      <c r="A2920" s="5" t="s">
        <v>14278</v>
      </c>
      <c r="B2920" s="6" t="str">
        <f>IMAGE("https://storage.googleapis.com/acdb/housewares/FtrWhiteboard_Remake_5_0.png")</f>
        <v/>
      </c>
      <c r="C2920" s="5" t="s">
        <v>14311</v>
      </c>
      <c r="D2920" s="5" t="s">
        <v>34</v>
      </c>
      <c r="E2920" s="5" t="s">
        <v>34</v>
      </c>
      <c r="F2920" s="5" t="s">
        <v>34</v>
      </c>
      <c r="G2920" s="5" t="s">
        <v>36</v>
      </c>
      <c r="H2920" s="5" t="s">
        <v>36</v>
      </c>
      <c r="I2920" s="5" t="s">
        <v>36</v>
      </c>
      <c r="J2920" s="6" t="s">
        <v>34</v>
      </c>
      <c r="K2920" s="6">
        <v>2600.0</v>
      </c>
      <c r="L2920" s="6">
        <v>650.0</v>
      </c>
      <c r="M2920" s="26" t="s">
        <v>57</v>
      </c>
      <c r="N2920" s="26" t="s">
        <v>95</v>
      </c>
      <c r="O2920" s="6" t="s">
        <v>276</v>
      </c>
      <c r="P2920" s="5" t="s">
        <v>59</v>
      </c>
      <c r="Q2920" s="5" t="s">
        <v>122</v>
      </c>
      <c r="R2920" s="6" t="s">
        <v>42</v>
      </c>
      <c r="S2920" s="5" t="s">
        <v>91</v>
      </c>
      <c r="T2920" s="5" t="s">
        <v>44</v>
      </c>
      <c r="U2920" s="5" t="s">
        <v>44</v>
      </c>
      <c r="V2920" s="5" t="s">
        <v>44</v>
      </c>
      <c r="W2920" s="5" t="s">
        <v>36</v>
      </c>
      <c r="X2920" s="8" t="s">
        <v>117</v>
      </c>
      <c r="Y2920" s="5" t="s">
        <v>46</v>
      </c>
      <c r="Z2920" s="5" t="s">
        <v>47</v>
      </c>
      <c r="AA2920" s="5" t="s">
        <v>64</v>
      </c>
      <c r="AB2920" s="5" t="s">
        <v>14313</v>
      </c>
      <c r="AC2920" s="6" t="s">
        <v>79</v>
      </c>
      <c r="AD2920" s="6">
        <v>4116.0</v>
      </c>
    </row>
    <row r="2921" ht="56.25" customHeight="1">
      <c r="A2921" s="5" t="s">
        <v>14278</v>
      </c>
      <c r="B2921" s="6" t="str">
        <f>IMAGE("https://storage.googleapis.com/acdb/housewares/FtrWhiteboard_Remake_6_0.png")</f>
        <v/>
      </c>
      <c r="C2921" s="5" t="s">
        <v>14314</v>
      </c>
      <c r="D2921" s="5" t="s">
        <v>34</v>
      </c>
      <c r="E2921" s="5" t="s">
        <v>34</v>
      </c>
      <c r="F2921" s="5" t="s">
        <v>34</v>
      </c>
      <c r="G2921" s="5" t="s">
        <v>36</v>
      </c>
      <c r="H2921" s="5" t="s">
        <v>36</v>
      </c>
      <c r="I2921" s="5" t="s">
        <v>36</v>
      </c>
      <c r="J2921" s="6" t="s">
        <v>34</v>
      </c>
      <c r="K2921" s="6">
        <v>2600.0</v>
      </c>
      <c r="L2921" s="6">
        <v>650.0</v>
      </c>
      <c r="M2921" s="26" t="s">
        <v>57</v>
      </c>
      <c r="N2921" s="26" t="s">
        <v>95</v>
      </c>
      <c r="O2921" s="6" t="s">
        <v>276</v>
      </c>
      <c r="P2921" s="5" t="s">
        <v>59</v>
      </c>
      <c r="Q2921" s="5" t="s">
        <v>122</v>
      </c>
      <c r="R2921" s="6" t="s">
        <v>42</v>
      </c>
      <c r="S2921" s="5" t="s">
        <v>91</v>
      </c>
      <c r="T2921" s="5" t="s">
        <v>44</v>
      </c>
      <c r="U2921" s="5" t="s">
        <v>44</v>
      </c>
      <c r="V2921" s="5" t="s">
        <v>44</v>
      </c>
      <c r="W2921" s="5" t="s">
        <v>36</v>
      </c>
      <c r="X2921" s="8" t="s">
        <v>117</v>
      </c>
      <c r="Y2921" s="5" t="s">
        <v>46</v>
      </c>
      <c r="Z2921" s="5" t="s">
        <v>47</v>
      </c>
      <c r="AA2921" s="5" t="s">
        <v>64</v>
      </c>
      <c r="AB2921" s="5" t="s">
        <v>14316</v>
      </c>
      <c r="AC2921" s="6" t="s">
        <v>86</v>
      </c>
      <c r="AD2921" s="6">
        <v>4116.0</v>
      </c>
    </row>
    <row r="2922" ht="56.25" customHeight="1">
      <c r="A2922" s="5" t="s">
        <v>14318</v>
      </c>
      <c r="B2922" s="6" t="str">
        <f>IMAGE("https://storage.googleapis.com/acdb/housewares/FtrWoodBench_Remake_0_0.png")</f>
        <v/>
      </c>
      <c r="C2922" s="5" t="s">
        <v>1132</v>
      </c>
      <c r="D2922" s="5" t="s">
        <v>1455</v>
      </c>
      <c r="E2922" s="5" t="s">
        <v>34</v>
      </c>
      <c r="F2922" s="5" t="s">
        <v>34</v>
      </c>
      <c r="G2922" s="5" t="s">
        <v>35</v>
      </c>
      <c r="H2922" s="5" t="s">
        <v>35</v>
      </c>
      <c r="I2922" s="5" t="s">
        <v>36</v>
      </c>
      <c r="J2922" s="6">
        <v>2.0</v>
      </c>
      <c r="K2922" s="6" t="s">
        <v>37</v>
      </c>
      <c r="L2922" s="6">
        <v>960.0</v>
      </c>
      <c r="M2922" s="26" t="s">
        <v>39</v>
      </c>
      <c r="N2922" s="26" t="s">
        <v>38</v>
      </c>
      <c r="O2922" s="6" t="s">
        <v>276</v>
      </c>
      <c r="P2922" s="5" t="s">
        <v>41</v>
      </c>
      <c r="Q2922" s="5"/>
      <c r="R2922" s="6" t="s">
        <v>42</v>
      </c>
      <c r="S2922" s="5" t="s">
        <v>172</v>
      </c>
      <c r="T2922" s="5" t="s">
        <v>44</v>
      </c>
      <c r="U2922" s="5" t="s">
        <v>1583</v>
      </c>
      <c r="V2922" s="5" t="s">
        <v>44</v>
      </c>
      <c r="W2922" s="5" t="s">
        <v>35</v>
      </c>
      <c r="X2922" s="8" t="s">
        <v>248</v>
      </c>
      <c r="Y2922" s="5" t="s">
        <v>46</v>
      </c>
      <c r="Z2922" s="5" t="s">
        <v>47</v>
      </c>
      <c r="AA2922" s="5" t="s">
        <v>48</v>
      </c>
      <c r="AB2922" s="5" t="s">
        <v>14322</v>
      </c>
      <c r="AC2922" s="6" t="s">
        <v>50</v>
      </c>
      <c r="AD2922" s="6">
        <v>5972.0</v>
      </c>
    </row>
    <row r="2923" ht="56.25" customHeight="1">
      <c r="A2923" s="5" t="s">
        <v>14318</v>
      </c>
      <c r="B2923" s="6" t="str">
        <f>IMAGE("https://storage.googleapis.com/acdb/housewares/FtrWoodBench_Remake_1_0.png")</f>
        <v/>
      </c>
      <c r="C2923" s="5" t="s">
        <v>1588</v>
      </c>
      <c r="D2923" s="5" t="s">
        <v>1455</v>
      </c>
      <c r="E2923" s="5" t="s">
        <v>34</v>
      </c>
      <c r="F2923" s="5" t="s">
        <v>34</v>
      </c>
      <c r="G2923" s="5" t="s">
        <v>35</v>
      </c>
      <c r="H2923" s="5" t="s">
        <v>35</v>
      </c>
      <c r="I2923" s="5" t="s">
        <v>36</v>
      </c>
      <c r="J2923" s="6">
        <v>2.0</v>
      </c>
      <c r="K2923" s="6" t="s">
        <v>37</v>
      </c>
      <c r="L2923" s="6">
        <v>960.0</v>
      </c>
      <c r="M2923" s="26" t="s">
        <v>142</v>
      </c>
      <c r="N2923" s="26" t="s">
        <v>38</v>
      </c>
      <c r="O2923" s="6" t="s">
        <v>276</v>
      </c>
      <c r="P2923" s="5" t="s">
        <v>41</v>
      </c>
      <c r="Q2923" s="5"/>
      <c r="R2923" s="6" t="s">
        <v>42</v>
      </c>
      <c r="S2923" s="5" t="s">
        <v>172</v>
      </c>
      <c r="T2923" s="5" t="s">
        <v>44</v>
      </c>
      <c r="U2923" s="5" t="s">
        <v>1583</v>
      </c>
      <c r="V2923" s="5" t="s">
        <v>44</v>
      </c>
      <c r="W2923" s="5" t="s">
        <v>35</v>
      </c>
      <c r="X2923" s="8" t="s">
        <v>248</v>
      </c>
      <c r="Y2923" s="5" t="s">
        <v>46</v>
      </c>
      <c r="Z2923" s="5" t="s">
        <v>47</v>
      </c>
      <c r="AA2923" s="5" t="s">
        <v>48</v>
      </c>
      <c r="AB2923" s="5" t="s">
        <v>14324</v>
      </c>
      <c r="AC2923" s="6" t="s">
        <v>56</v>
      </c>
      <c r="AD2923" s="6">
        <v>5972.0</v>
      </c>
    </row>
    <row r="2924" ht="56.25" customHeight="1">
      <c r="A2924" s="5" t="s">
        <v>14318</v>
      </c>
      <c r="B2924" s="6" t="str">
        <f>IMAGE("https://storage.googleapis.com/acdb/housewares/FtrWoodBench_Remake_2_0.png")</f>
        <v/>
      </c>
      <c r="C2924" s="5" t="s">
        <v>1595</v>
      </c>
      <c r="D2924" s="5" t="s">
        <v>1455</v>
      </c>
      <c r="E2924" s="5" t="s">
        <v>34</v>
      </c>
      <c r="F2924" s="5" t="s">
        <v>34</v>
      </c>
      <c r="G2924" s="5" t="s">
        <v>35</v>
      </c>
      <c r="H2924" s="5" t="s">
        <v>35</v>
      </c>
      <c r="I2924" s="5" t="s">
        <v>36</v>
      </c>
      <c r="J2924" s="6">
        <v>2.0</v>
      </c>
      <c r="K2924" s="6" t="s">
        <v>37</v>
      </c>
      <c r="L2924" s="6">
        <v>960.0</v>
      </c>
      <c r="M2924" s="26" t="s">
        <v>38</v>
      </c>
      <c r="N2924" s="26" t="s">
        <v>38</v>
      </c>
      <c r="O2924" s="6" t="s">
        <v>276</v>
      </c>
      <c r="P2924" s="5" t="s">
        <v>41</v>
      </c>
      <c r="Q2924" s="5"/>
      <c r="R2924" s="6" t="s">
        <v>42</v>
      </c>
      <c r="S2924" s="5" t="s">
        <v>172</v>
      </c>
      <c r="T2924" s="5" t="s">
        <v>44</v>
      </c>
      <c r="U2924" s="5" t="s">
        <v>1583</v>
      </c>
      <c r="V2924" s="5" t="s">
        <v>44</v>
      </c>
      <c r="W2924" s="5" t="s">
        <v>35</v>
      </c>
      <c r="X2924" s="8" t="s">
        <v>248</v>
      </c>
      <c r="Y2924" s="5" t="s">
        <v>46</v>
      </c>
      <c r="Z2924" s="5" t="s">
        <v>47</v>
      </c>
      <c r="AA2924" s="5" t="s">
        <v>48</v>
      </c>
      <c r="AB2924" s="5" t="s">
        <v>14330</v>
      </c>
      <c r="AC2924" s="6" t="s">
        <v>67</v>
      </c>
      <c r="AD2924" s="6">
        <v>5972.0</v>
      </c>
    </row>
    <row r="2925" ht="56.25" customHeight="1">
      <c r="A2925" s="5" t="s">
        <v>14318</v>
      </c>
      <c r="B2925" s="6" t="str">
        <f>IMAGE("https://storage.googleapis.com/acdb/housewares/FtrWoodBench_Remake_3_0.png")</f>
        <v/>
      </c>
      <c r="C2925" s="5" t="s">
        <v>1600</v>
      </c>
      <c r="D2925" s="5" t="s">
        <v>1455</v>
      </c>
      <c r="E2925" s="5" t="s">
        <v>34</v>
      </c>
      <c r="F2925" s="5" t="s">
        <v>34</v>
      </c>
      <c r="G2925" s="5" t="s">
        <v>35</v>
      </c>
      <c r="H2925" s="5" t="s">
        <v>35</v>
      </c>
      <c r="I2925" s="5" t="s">
        <v>36</v>
      </c>
      <c r="J2925" s="6">
        <v>2.0</v>
      </c>
      <c r="K2925" s="6" t="s">
        <v>37</v>
      </c>
      <c r="L2925" s="6">
        <v>960.0</v>
      </c>
      <c r="M2925" s="26" t="s">
        <v>57</v>
      </c>
      <c r="N2925" s="26" t="s">
        <v>38</v>
      </c>
      <c r="O2925" s="6" t="s">
        <v>276</v>
      </c>
      <c r="P2925" s="5" t="s">
        <v>41</v>
      </c>
      <c r="Q2925" s="5"/>
      <c r="R2925" s="6" t="s">
        <v>42</v>
      </c>
      <c r="S2925" s="5" t="s">
        <v>172</v>
      </c>
      <c r="T2925" s="5" t="s">
        <v>44</v>
      </c>
      <c r="U2925" s="5" t="s">
        <v>1583</v>
      </c>
      <c r="V2925" s="5" t="s">
        <v>44</v>
      </c>
      <c r="W2925" s="5" t="s">
        <v>35</v>
      </c>
      <c r="X2925" s="8" t="s">
        <v>248</v>
      </c>
      <c r="Y2925" s="5" t="s">
        <v>46</v>
      </c>
      <c r="Z2925" s="5" t="s">
        <v>47</v>
      </c>
      <c r="AA2925" s="5" t="s">
        <v>48</v>
      </c>
      <c r="AB2925" s="5" t="s">
        <v>14337</v>
      </c>
      <c r="AC2925" s="6" t="s">
        <v>71</v>
      </c>
      <c r="AD2925" s="6">
        <v>5972.0</v>
      </c>
    </row>
    <row r="2926" ht="56.25" customHeight="1">
      <c r="A2926" s="5" t="s">
        <v>14339</v>
      </c>
      <c r="B2926" s="6" t="str">
        <f>IMAGE("https://storage.googleapis.com/acdb/housewares/FtrWindturbine_Remake_0_0.png")</f>
        <v/>
      </c>
      <c r="C2926" s="5" t="s">
        <v>68</v>
      </c>
      <c r="D2926" s="5" t="s">
        <v>34</v>
      </c>
      <c r="E2926" s="5" t="s">
        <v>34</v>
      </c>
      <c r="F2926" s="5" t="s">
        <v>34</v>
      </c>
      <c r="G2926" s="5" t="s">
        <v>36</v>
      </c>
      <c r="H2926" s="5" t="s">
        <v>36</v>
      </c>
      <c r="I2926" s="5" t="s">
        <v>36</v>
      </c>
      <c r="J2926" s="6" t="s">
        <v>34</v>
      </c>
      <c r="K2926" s="6" t="s">
        <v>37</v>
      </c>
      <c r="L2926" s="6">
        <v>20000.0</v>
      </c>
      <c r="M2926" s="26" t="s">
        <v>57</v>
      </c>
      <c r="N2926" s="26" t="s">
        <v>68</v>
      </c>
      <c r="O2926" s="6" t="s">
        <v>276</v>
      </c>
      <c r="P2926" s="5" t="s">
        <v>2140</v>
      </c>
      <c r="Q2926" s="5"/>
      <c r="R2926" s="6" t="s">
        <v>42</v>
      </c>
      <c r="S2926" s="5" t="s">
        <v>172</v>
      </c>
      <c r="T2926" s="5" t="s">
        <v>44</v>
      </c>
      <c r="U2926" s="5" t="s">
        <v>44</v>
      </c>
      <c r="V2926" s="5" t="s">
        <v>44</v>
      </c>
      <c r="W2926" s="5" t="s">
        <v>36</v>
      </c>
      <c r="X2926" s="8" t="s">
        <v>395</v>
      </c>
      <c r="Y2926" s="5" t="s">
        <v>46</v>
      </c>
      <c r="Z2926" s="5" t="s">
        <v>47</v>
      </c>
      <c r="AA2926" s="5" t="s">
        <v>48</v>
      </c>
      <c r="AB2926" s="5" t="s">
        <v>14349</v>
      </c>
      <c r="AC2926" s="6" t="s">
        <v>50</v>
      </c>
      <c r="AD2926" s="6">
        <v>7379.0</v>
      </c>
    </row>
    <row r="2927" ht="56.25" customHeight="1">
      <c r="A2927" s="5" t="s">
        <v>14339</v>
      </c>
      <c r="B2927" s="6" t="str">
        <f>IMAGE("https://storage.googleapis.com/acdb/housewares/FtrWindturbine_Remake_1_0.png")</f>
        <v/>
      </c>
      <c r="C2927" s="5" t="s">
        <v>52</v>
      </c>
      <c r="D2927" s="5" t="s">
        <v>34</v>
      </c>
      <c r="E2927" s="5" t="s">
        <v>34</v>
      </c>
      <c r="F2927" s="5" t="s">
        <v>34</v>
      </c>
      <c r="G2927" s="5" t="s">
        <v>36</v>
      </c>
      <c r="H2927" s="5" t="s">
        <v>36</v>
      </c>
      <c r="I2927" s="5" t="s">
        <v>36</v>
      </c>
      <c r="J2927" s="6" t="s">
        <v>34</v>
      </c>
      <c r="K2927" s="6" t="s">
        <v>37</v>
      </c>
      <c r="L2927" s="6">
        <v>20000.0</v>
      </c>
      <c r="M2927" s="26" t="s">
        <v>57</v>
      </c>
      <c r="N2927" s="26" t="s">
        <v>52</v>
      </c>
      <c r="O2927" s="6" t="s">
        <v>276</v>
      </c>
      <c r="P2927" s="5" t="s">
        <v>2140</v>
      </c>
      <c r="Q2927" s="5"/>
      <c r="R2927" s="6" t="s">
        <v>42</v>
      </c>
      <c r="S2927" s="5" t="s">
        <v>172</v>
      </c>
      <c r="T2927" s="5" t="s">
        <v>44</v>
      </c>
      <c r="U2927" s="5" t="s">
        <v>44</v>
      </c>
      <c r="V2927" s="5" t="s">
        <v>44</v>
      </c>
      <c r="W2927" s="5" t="s">
        <v>36</v>
      </c>
      <c r="X2927" s="8" t="s">
        <v>395</v>
      </c>
      <c r="Y2927" s="5" t="s">
        <v>46</v>
      </c>
      <c r="Z2927" s="5" t="s">
        <v>47</v>
      </c>
      <c r="AA2927" s="5" t="s">
        <v>48</v>
      </c>
      <c r="AB2927" s="5" t="s">
        <v>14355</v>
      </c>
      <c r="AC2927" s="6" t="s">
        <v>56</v>
      </c>
      <c r="AD2927" s="6">
        <v>7379.0</v>
      </c>
    </row>
    <row r="2928" ht="56.25" customHeight="1">
      <c r="A2928" s="5" t="s">
        <v>14356</v>
      </c>
      <c r="B2928" s="6" t="str">
        <f>IMAGE("https://storage.googleapis.com/acdb/housewares/FtrStoveWood.png")</f>
        <v/>
      </c>
      <c r="C2928" s="5" t="s">
        <v>34</v>
      </c>
      <c r="D2928" s="5" t="s">
        <v>34</v>
      </c>
      <c r="E2928" s="5" t="s">
        <v>34</v>
      </c>
      <c r="F2928" s="5" t="s">
        <v>34</v>
      </c>
      <c r="G2928" s="5" t="s">
        <v>36</v>
      </c>
      <c r="H2928" s="5" t="s">
        <v>36</v>
      </c>
      <c r="I2928" s="5" t="s">
        <v>36</v>
      </c>
      <c r="J2928" s="6" t="s">
        <v>34</v>
      </c>
      <c r="K2928" s="6">
        <v>2100.0</v>
      </c>
      <c r="L2928" s="6">
        <v>525.0</v>
      </c>
      <c r="M2928" s="5" t="s">
        <v>54</v>
      </c>
      <c r="N2928" s="5" t="s">
        <v>54</v>
      </c>
      <c r="O2928" s="6" t="s">
        <v>40</v>
      </c>
      <c r="P2928" s="5" t="s">
        <v>59</v>
      </c>
      <c r="Q2928" s="5" t="s">
        <v>122</v>
      </c>
      <c r="R2928" s="6" t="s">
        <v>42</v>
      </c>
      <c r="S2928" s="5" t="s">
        <v>62</v>
      </c>
      <c r="T2928" s="5" t="s">
        <v>44</v>
      </c>
      <c r="U2928" s="5" t="s">
        <v>44</v>
      </c>
      <c r="V2928" s="5" t="s">
        <v>44</v>
      </c>
      <c r="W2928" s="5" t="s">
        <v>35</v>
      </c>
      <c r="X2928" s="8" t="s">
        <v>1164</v>
      </c>
      <c r="Y2928" s="5" t="s">
        <v>46</v>
      </c>
      <c r="Z2928" s="5" t="s">
        <v>47</v>
      </c>
      <c r="AA2928" s="5" t="s">
        <v>64</v>
      </c>
      <c r="AB2928" s="5" t="s">
        <v>14362</v>
      </c>
      <c r="AC2928" s="6" t="s">
        <v>34</v>
      </c>
      <c r="AD2928" s="6">
        <v>4117.0</v>
      </c>
    </row>
    <row r="2929" ht="56.25" customHeight="1">
      <c r="A2929" s="5" t="s">
        <v>14364</v>
      </c>
      <c r="B2929" s="6" t="str">
        <f>IMAGE("https://storage.googleapis.com/acdb/housewares/FtrBookshelf_Remake_0_0.png")</f>
        <v/>
      </c>
      <c r="C2929" s="5" t="s">
        <v>935</v>
      </c>
      <c r="D2929" s="5" t="s">
        <v>748</v>
      </c>
      <c r="E2929" s="5" t="s">
        <v>34</v>
      </c>
      <c r="F2929" s="5" t="s">
        <v>34</v>
      </c>
      <c r="G2929" s="5" t="s">
        <v>35</v>
      </c>
      <c r="H2929" s="5" t="s">
        <v>35</v>
      </c>
      <c r="I2929" s="5" t="s">
        <v>36</v>
      </c>
      <c r="J2929" s="6">
        <v>3.0</v>
      </c>
      <c r="K2929" s="6" t="s">
        <v>37</v>
      </c>
      <c r="L2929" s="6">
        <v>1925.0</v>
      </c>
      <c r="M2929" s="26" t="s">
        <v>114</v>
      </c>
      <c r="N2929" s="26" t="s">
        <v>58</v>
      </c>
      <c r="O2929" s="6" t="s">
        <v>714</v>
      </c>
      <c r="P2929" s="5" t="s">
        <v>41</v>
      </c>
      <c r="Q2929" s="5"/>
      <c r="R2929" s="6" t="s">
        <v>42</v>
      </c>
      <c r="S2929" s="5" t="s">
        <v>99</v>
      </c>
      <c r="T2929" s="5" t="s">
        <v>90</v>
      </c>
      <c r="U2929" s="5" t="s">
        <v>6186</v>
      </c>
      <c r="V2929" s="5" t="s">
        <v>44</v>
      </c>
      <c r="W2929" s="5" t="s">
        <v>36</v>
      </c>
      <c r="X2929" s="8" t="s">
        <v>730</v>
      </c>
      <c r="Y2929" s="5" t="s">
        <v>46</v>
      </c>
      <c r="Z2929" s="5" t="s">
        <v>47</v>
      </c>
      <c r="AA2929" s="5" t="s">
        <v>48</v>
      </c>
      <c r="AB2929" s="5" t="s">
        <v>14369</v>
      </c>
      <c r="AC2929" s="6" t="s">
        <v>50</v>
      </c>
      <c r="AD2929" s="6">
        <v>4125.0</v>
      </c>
    </row>
    <row r="2930" ht="56.25" customHeight="1">
      <c r="A2930" s="5" t="s">
        <v>14364</v>
      </c>
      <c r="B2930" s="6" t="str">
        <f>IMAGE("https://storage.googleapis.com/acdb/housewares/FtrBookshelf_Remake_1_0.png")</f>
        <v/>
      </c>
      <c r="C2930" s="5" t="s">
        <v>39</v>
      </c>
      <c r="D2930" s="5" t="s">
        <v>748</v>
      </c>
      <c r="E2930" s="5" t="s">
        <v>34</v>
      </c>
      <c r="F2930" s="5" t="s">
        <v>34</v>
      </c>
      <c r="G2930" s="5" t="s">
        <v>35</v>
      </c>
      <c r="H2930" s="5" t="s">
        <v>35</v>
      </c>
      <c r="I2930" s="5" t="s">
        <v>36</v>
      </c>
      <c r="J2930" s="6">
        <v>3.0</v>
      </c>
      <c r="K2930" s="6" t="s">
        <v>37</v>
      </c>
      <c r="L2930" s="6">
        <v>1925.0</v>
      </c>
      <c r="M2930" s="26" t="s">
        <v>142</v>
      </c>
      <c r="N2930" s="26" t="s">
        <v>58</v>
      </c>
      <c r="O2930" s="6" t="s">
        <v>714</v>
      </c>
      <c r="P2930" s="5" t="s">
        <v>41</v>
      </c>
      <c r="Q2930" s="5"/>
      <c r="R2930" s="6" t="s">
        <v>42</v>
      </c>
      <c r="S2930" s="5" t="s">
        <v>99</v>
      </c>
      <c r="T2930" s="5" t="s">
        <v>90</v>
      </c>
      <c r="U2930" s="5" t="s">
        <v>6186</v>
      </c>
      <c r="V2930" s="5" t="s">
        <v>44</v>
      </c>
      <c r="W2930" s="5" t="s">
        <v>36</v>
      </c>
      <c r="X2930" s="8" t="s">
        <v>730</v>
      </c>
      <c r="Y2930" s="5" t="s">
        <v>46</v>
      </c>
      <c r="Z2930" s="5" t="s">
        <v>47</v>
      </c>
      <c r="AA2930" s="5" t="s">
        <v>48</v>
      </c>
      <c r="AB2930" s="5" t="s">
        <v>14376</v>
      </c>
      <c r="AC2930" s="6" t="s">
        <v>56</v>
      </c>
      <c r="AD2930" s="6">
        <v>4125.0</v>
      </c>
    </row>
    <row r="2931" ht="56.25" customHeight="1">
      <c r="A2931" s="5" t="s">
        <v>14364</v>
      </c>
      <c r="B2931" s="6" t="str">
        <f>IMAGE("https://storage.googleapis.com/acdb/housewares/FtrBookshelf_Remake_2_0.png")</f>
        <v/>
      </c>
      <c r="C2931" s="5" t="s">
        <v>387</v>
      </c>
      <c r="D2931" s="5" t="s">
        <v>748</v>
      </c>
      <c r="E2931" s="5" t="s">
        <v>34</v>
      </c>
      <c r="F2931" s="5" t="s">
        <v>34</v>
      </c>
      <c r="G2931" s="5" t="s">
        <v>35</v>
      </c>
      <c r="H2931" s="5" t="s">
        <v>35</v>
      </c>
      <c r="I2931" s="5" t="s">
        <v>36</v>
      </c>
      <c r="J2931" s="6">
        <v>3.0</v>
      </c>
      <c r="K2931" s="6" t="s">
        <v>37</v>
      </c>
      <c r="L2931" s="6">
        <v>1925.0</v>
      </c>
      <c r="M2931" s="26" t="s">
        <v>39</v>
      </c>
      <c r="N2931" s="26" t="s">
        <v>58</v>
      </c>
      <c r="O2931" s="6" t="s">
        <v>714</v>
      </c>
      <c r="P2931" s="5" t="s">
        <v>41</v>
      </c>
      <c r="Q2931" s="5"/>
      <c r="R2931" s="6" t="s">
        <v>42</v>
      </c>
      <c r="S2931" s="5" t="s">
        <v>99</v>
      </c>
      <c r="T2931" s="5" t="s">
        <v>90</v>
      </c>
      <c r="U2931" s="5" t="s">
        <v>6186</v>
      </c>
      <c r="V2931" s="5" t="s">
        <v>44</v>
      </c>
      <c r="W2931" s="5" t="s">
        <v>36</v>
      </c>
      <c r="X2931" s="8" t="s">
        <v>730</v>
      </c>
      <c r="Y2931" s="5" t="s">
        <v>46</v>
      </c>
      <c r="Z2931" s="5" t="s">
        <v>47</v>
      </c>
      <c r="AA2931" s="5" t="s">
        <v>48</v>
      </c>
      <c r="AB2931" s="5" t="s">
        <v>14382</v>
      </c>
      <c r="AC2931" s="6" t="s">
        <v>67</v>
      </c>
      <c r="AD2931" s="6">
        <v>4125.0</v>
      </c>
    </row>
    <row r="2932" ht="56.25" customHeight="1">
      <c r="A2932" s="5" t="s">
        <v>14364</v>
      </c>
      <c r="B2932" s="6" t="str">
        <f>IMAGE("https://storage.googleapis.com/acdb/housewares/FtrBookshelf_Remake_3_0.png")</f>
        <v/>
      </c>
      <c r="C2932" s="5" t="s">
        <v>57</v>
      </c>
      <c r="D2932" s="5" t="s">
        <v>748</v>
      </c>
      <c r="E2932" s="5" t="s">
        <v>34</v>
      </c>
      <c r="F2932" s="5" t="s">
        <v>34</v>
      </c>
      <c r="G2932" s="5" t="s">
        <v>35</v>
      </c>
      <c r="H2932" s="5" t="s">
        <v>35</v>
      </c>
      <c r="I2932" s="5" t="s">
        <v>36</v>
      </c>
      <c r="J2932" s="6">
        <v>3.0</v>
      </c>
      <c r="K2932" s="6" t="s">
        <v>37</v>
      </c>
      <c r="L2932" s="6">
        <v>1925.0</v>
      </c>
      <c r="M2932" s="26" t="s">
        <v>57</v>
      </c>
      <c r="N2932" s="26" t="s">
        <v>58</v>
      </c>
      <c r="O2932" s="6" t="s">
        <v>714</v>
      </c>
      <c r="P2932" s="5" t="s">
        <v>41</v>
      </c>
      <c r="Q2932" s="5"/>
      <c r="R2932" s="6" t="s">
        <v>42</v>
      </c>
      <c r="S2932" s="5" t="s">
        <v>99</v>
      </c>
      <c r="T2932" s="5" t="s">
        <v>90</v>
      </c>
      <c r="U2932" s="5" t="s">
        <v>6186</v>
      </c>
      <c r="V2932" s="5" t="s">
        <v>44</v>
      </c>
      <c r="W2932" s="5" t="s">
        <v>36</v>
      </c>
      <c r="X2932" s="8" t="s">
        <v>730</v>
      </c>
      <c r="Y2932" s="5" t="s">
        <v>46</v>
      </c>
      <c r="Z2932" s="5" t="s">
        <v>47</v>
      </c>
      <c r="AA2932" s="5" t="s">
        <v>48</v>
      </c>
      <c r="AB2932" s="5" t="s">
        <v>14385</v>
      </c>
      <c r="AC2932" s="6" t="s">
        <v>71</v>
      </c>
      <c r="AD2932" s="6">
        <v>4125.0</v>
      </c>
    </row>
    <row r="2933" ht="56.25" customHeight="1">
      <c r="A2933" s="5" t="s">
        <v>14387</v>
      </c>
      <c r="B2933" s="6" t="str">
        <f>IMAGE("https://storage.googleapis.com/acdb/housewares/FtrBucketWood.png")</f>
        <v/>
      </c>
      <c r="C2933" s="5" t="s">
        <v>34</v>
      </c>
      <c r="D2933" s="5" t="s">
        <v>34</v>
      </c>
      <c r="E2933" s="5" t="s">
        <v>34</v>
      </c>
      <c r="F2933" s="5" t="s">
        <v>34</v>
      </c>
      <c r="G2933" s="5" t="s">
        <v>35</v>
      </c>
      <c r="H2933" s="5" t="s">
        <v>36</v>
      </c>
      <c r="I2933" s="5" t="s">
        <v>36</v>
      </c>
      <c r="J2933" s="6" t="s">
        <v>34</v>
      </c>
      <c r="K2933" s="6" t="s">
        <v>37</v>
      </c>
      <c r="L2933" s="6">
        <v>1110.0</v>
      </c>
      <c r="M2933" s="5" t="s">
        <v>39</v>
      </c>
      <c r="N2933" s="5" t="s">
        <v>54</v>
      </c>
      <c r="O2933" s="6" t="s">
        <v>40</v>
      </c>
      <c r="P2933" s="5" t="s">
        <v>41</v>
      </c>
      <c r="Q2933" s="5"/>
      <c r="R2933" s="6" t="s">
        <v>42</v>
      </c>
      <c r="S2933" s="5" t="s">
        <v>172</v>
      </c>
      <c r="T2933" s="5" t="s">
        <v>44</v>
      </c>
      <c r="U2933" s="5" t="s">
        <v>6186</v>
      </c>
      <c r="V2933" s="5" t="s">
        <v>44</v>
      </c>
      <c r="W2933" s="5" t="s">
        <v>36</v>
      </c>
      <c r="X2933" s="8" t="s">
        <v>1010</v>
      </c>
      <c r="Y2933" s="5" t="s">
        <v>46</v>
      </c>
      <c r="Z2933" s="5" t="s">
        <v>47</v>
      </c>
      <c r="AA2933" s="5" t="s">
        <v>48</v>
      </c>
      <c r="AB2933" s="5" t="s">
        <v>14390</v>
      </c>
      <c r="AC2933" s="6" t="s">
        <v>34</v>
      </c>
      <c r="AD2933" s="6">
        <v>880.0</v>
      </c>
    </row>
    <row r="2934" ht="56.25" customHeight="1">
      <c r="A2934" s="5" t="s">
        <v>14391</v>
      </c>
      <c r="B2934" s="6" t="str">
        <f>IMAGE("https://storage.googleapis.com/acdb/housewares/FtrWoodenChairS_Remake_0_0.png")</f>
        <v/>
      </c>
      <c r="C2934" s="5" t="s">
        <v>1137</v>
      </c>
      <c r="D2934" s="5" t="s">
        <v>748</v>
      </c>
      <c r="E2934" s="5" t="s">
        <v>34</v>
      </c>
      <c r="F2934" s="5" t="s">
        <v>34</v>
      </c>
      <c r="G2934" s="5" t="s">
        <v>35</v>
      </c>
      <c r="H2934" s="5" t="s">
        <v>35</v>
      </c>
      <c r="I2934" s="5" t="s">
        <v>36</v>
      </c>
      <c r="J2934" s="6">
        <v>1.0</v>
      </c>
      <c r="K2934" s="6" t="s">
        <v>37</v>
      </c>
      <c r="L2934" s="6">
        <v>720.0</v>
      </c>
      <c r="M2934" s="26" t="s">
        <v>114</v>
      </c>
      <c r="N2934" s="26" t="s">
        <v>114</v>
      </c>
      <c r="O2934" s="6" t="s">
        <v>40</v>
      </c>
      <c r="P2934" s="5" t="s">
        <v>41</v>
      </c>
      <c r="Q2934" s="5"/>
      <c r="R2934" s="6" t="s">
        <v>42</v>
      </c>
      <c r="S2934" s="5" t="s">
        <v>99</v>
      </c>
      <c r="T2934" s="5" t="s">
        <v>90</v>
      </c>
      <c r="U2934" s="5" t="s">
        <v>6186</v>
      </c>
      <c r="V2934" s="5" t="s">
        <v>44</v>
      </c>
      <c r="W2934" s="5" t="s">
        <v>35</v>
      </c>
      <c r="X2934" s="8" t="s">
        <v>248</v>
      </c>
      <c r="Y2934" s="5" t="s">
        <v>46</v>
      </c>
      <c r="Z2934" s="5" t="s">
        <v>47</v>
      </c>
      <c r="AA2934" s="5" t="s">
        <v>48</v>
      </c>
      <c r="AB2934" s="5" t="s">
        <v>14395</v>
      </c>
      <c r="AC2934" s="6" t="s">
        <v>50</v>
      </c>
      <c r="AD2934" s="6">
        <v>1913.0</v>
      </c>
    </row>
    <row r="2935" ht="56.25" customHeight="1">
      <c r="A2935" s="5" t="s">
        <v>14391</v>
      </c>
      <c r="B2935" s="6" t="str">
        <f>IMAGE("https://storage.googleapis.com/acdb/housewares/FtrWoodenChairS_Remake_1_0.png")</f>
        <v/>
      </c>
      <c r="C2935" s="5" t="s">
        <v>1595</v>
      </c>
      <c r="D2935" s="5" t="s">
        <v>748</v>
      </c>
      <c r="E2935" s="5" t="s">
        <v>34</v>
      </c>
      <c r="F2935" s="5" t="s">
        <v>34</v>
      </c>
      <c r="G2935" s="5" t="s">
        <v>35</v>
      </c>
      <c r="H2935" s="5" t="s">
        <v>35</v>
      </c>
      <c r="I2935" s="5" t="s">
        <v>36</v>
      </c>
      <c r="J2935" s="6">
        <v>1.0</v>
      </c>
      <c r="K2935" s="6" t="s">
        <v>37</v>
      </c>
      <c r="L2935" s="6">
        <v>720.0</v>
      </c>
      <c r="M2935" s="26" t="s">
        <v>38</v>
      </c>
      <c r="N2935" s="26" t="s">
        <v>38</v>
      </c>
      <c r="O2935" s="6" t="s">
        <v>40</v>
      </c>
      <c r="P2935" s="5" t="s">
        <v>41</v>
      </c>
      <c r="Q2935" s="5"/>
      <c r="R2935" s="6" t="s">
        <v>42</v>
      </c>
      <c r="S2935" s="5" t="s">
        <v>99</v>
      </c>
      <c r="T2935" s="5" t="s">
        <v>90</v>
      </c>
      <c r="U2935" s="5" t="s">
        <v>6186</v>
      </c>
      <c r="V2935" s="5" t="s">
        <v>44</v>
      </c>
      <c r="W2935" s="5" t="s">
        <v>35</v>
      </c>
      <c r="X2935" s="8" t="s">
        <v>248</v>
      </c>
      <c r="Y2935" s="5" t="s">
        <v>46</v>
      </c>
      <c r="Z2935" s="5" t="s">
        <v>47</v>
      </c>
      <c r="AA2935" s="5" t="s">
        <v>48</v>
      </c>
      <c r="AB2935" s="5" t="s">
        <v>14401</v>
      </c>
      <c r="AC2935" s="6" t="s">
        <v>56</v>
      </c>
      <c r="AD2935" s="6">
        <v>1913.0</v>
      </c>
    </row>
    <row r="2936" ht="56.25" customHeight="1">
      <c r="A2936" s="5" t="s">
        <v>14391</v>
      </c>
      <c r="B2936" s="6" t="str">
        <f>IMAGE("https://storage.googleapis.com/acdb/housewares/FtrWoodenChairS_Remake_2_0.png")</f>
        <v/>
      </c>
      <c r="C2936" s="5" t="s">
        <v>6192</v>
      </c>
      <c r="D2936" s="5" t="s">
        <v>748</v>
      </c>
      <c r="E2936" s="5" t="s">
        <v>34</v>
      </c>
      <c r="F2936" s="5" t="s">
        <v>34</v>
      </c>
      <c r="G2936" s="5" t="s">
        <v>35</v>
      </c>
      <c r="H2936" s="5" t="s">
        <v>35</v>
      </c>
      <c r="I2936" s="5" t="s">
        <v>36</v>
      </c>
      <c r="J2936" s="6">
        <v>1.0</v>
      </c>
      <c r="K2936" s="6" t="s">
        <v>37</v>
      </c>
      <c r="L2936" s="6">
        <v>720.0</v>
      </c>
      <c r="M2936" s="26" t="s">
        <v>142</v>
      </c>
      <c r="N2936" s="26" t="s">
        <v>142</v>
      </c>
      <c r="O2936" s="6" t="s">
        <v>40</v>
      </c>
      <c r="P2936" s="5" t="s">
        <v>41</v>
      </c>
      <c r="Q2936" s="5"/>
      <c r="R2936" s="6" t="s">
        <v>42</v>
      </c>
      <c r="S2936" s="5" t="s">
        <v>99</v>
      </c>
      <c r="T2936" s="5" t="s">
        <v>90</v>
      </c>
      <c r="U2936" s="5" t="s">
        <v>6186</v>
      </c>
      <c r="V2936" s="5" t="s">
        <v>44</v>
      </c>
      <c r="W2936" s="5" t="s">
        <v>35</v>
      </c>
      <c r="X2936" s="8" t="s">
        <v>248</v>
      </c>
      <c r="Y2936" s="5" t="s">
        <v>46</v>
      </c>
      <c r="Z2936" s="5" t="s">
        <v>47</v>
      </c>
      <c r="AA2936" s="5" t="s">
        <v>48</v>
      </c>
      <c r="AB2936" s="5" t="s">
        <v>14407</v>
      </c>
      <c r="AC2936" s="6" t="s">
        <v>67</v>
      </c>
      <c r="AD2936" s="6">
        <v>1913.0</v>
      </c>
    </row>
    <row r="2937" ht="56.25" customHeight="1">
      <c r="A2937" s="5" t="s">
        <v>14391</v>
      </c>
      <c r="B2937" s="6" t="str">
        <f>IMAGE("https://storage.googleapis.com/acdb/housewares/FtrWoodenChairS_Remake_3_0.png")</f>
        <v/>
      </c>
      <c r="C2937" s="5" t="s">
        <v>1132</v>
      </c>
      <c r="D2937" s="5" t="s">
        <v>748</v>
      </c>
      <c r="E2937" s="5" t="s">
        <v>34</v>
      </c>
      <c r="F2937" s="5" t="s">
        <v>34</v>
      </c>
      <c r="G2937" s="5" t="s">
        <v>35</v>
      </c>
      <c r="H2937" s="5" t="s">
        <v>35</v>
      </c>
      <c r="I2937" s="5" t="s">
        <v>36</v>
      </c>
      <c r="J2937" s="6">
        <v>1.0</v>
      </c>
      <c r="K2937" s="6" t="s">
        <v>37</v>
      </c>
      <c r="L2937" s="6">
        <v>720.0</v>
      </c>
      <c r="M2937" s="26" t="s">
        <v>39</v>
      </c>
      <c r="N2937" s="26" t="s">
        <v>39</v>
      </c>
      <c r="O2937" s="6" t="s">
        <v>40</v>
      </c>
      <c r="P2937" s="5" t="s">
        <v>41</v>
      </c>
      <c r="Q2937" s="5"/>
      <c r="R2937" s="6" t="s">
        <v>42</v>
      </c>
      <c r="S2937" s="5" t="s">
        <v>99</v>
      </c>
      <c r="T2937" s="5" t="s">
        <v>90</v>
      </c>
      <c r="U2937" s="5" t="s">
        <v>6186</v>
      </c>
      <c r="V2937" s="5" t="s">
        <v>44</v>
      </c>
      <c r="W2937" s="5" t="s">
        <v>35</v>
      </c>
      <c r="X2937" s="8" t="s">
        <v>248</v>
      </c>
      <c r="Y2937" s="5" t="s">
        <v>46</v>
      </c>
      <c r="Z2937" s="5" t="s">
        <v>47</v>
      </c>
      <c r="AA2937" s="5" t="s">
        <v>48</v>
      </c>
      <c r="AB2937" s="5" t="s">
        <v>14417</v>
      </c>
      <c r="AC2937" s="6" t="s">
        <v>71</v>
      </c>
      <c r="AD2937" s="6">
        <v>1913.0</v>
      </c>
    </row>
    <row r="2938" ht="56.25" customHeight="1">
      <c r="A2938" s="5" t="s">
        <v>14391</v>
      </c>
      <c r="B2938" s="6" t="str">
        <f>IMAGE("https://storage.googleapis.com/acdb/housewares/FtrWoodenChairS_Remake_4_0.png")</f>
        <v/>
      </c>
      <c r="C2938" s="5" t="s">
        <v>54</v>
      </c>
      <c r="D2938" s="5" t="s">
        <v>748</v>
      </c>
      <c r="E2938" s="5" t="s">
        <v>34</v>
      </c>
      <c r="F2938" s="5" t="s">
        <v>34</v>
      </c>
      <c r="G2938" s="5" t="s">
        <v>35</v>
      </c>
      <c r="H2938" s="5" t="s">
        <v>35</v>
      </c>
      <c r="I2938" s="5" t="s">
        <v>36</v>
      </c>
      <c r="J2938" s="6">
        <v>1.0</v>
      </c>
      <c r="K2938" s="6" t="s">
        <v>37</v>
      </c>
      <c r="L2938" s="6">
        <v>720.0</v>
      </c>
      <c r="M2938" s="26" t="s">
        <v>54</v>
      </c>
      <c r="N2938" s="26" t="s">
        <v>54</v>
      </c>
      <c r="O2938" s="6" t="s">
        <v>40</v>
      </c>
      <c r="P2938" s="5" t="s">
        <v>41</v>
      </c>
      <c r="Q2938" s="5"/>
      <c r="R2938" s="6" t="s">
        <v>42</v>
      </c>
      <c r="S2938" s="5" t="s">
        <v>99</v>
      </c>
      <c r="T2938" s="5" t="s">
        <v>90</v>
      </c>
      <c r="U2938" s="5" t="s">
        <v>6186</v>
      </c>
      <c r="V2938" s="5" t="s">
        <v>44</v>
      </c>
      <c r="W2938" s="5" t="s">
        <v>35</v>
      </c>
      <c r="X2938" s="8" t="s">
        <v>248</v>
      </c>
      <c r="Y2938" s="5" t="s">
        <v>46</v>
      </c>
      <c r="Z2938" s="5" t="s">
        <v>47</v>
      </c>
      <c r="AA2938" s="5" t="s">
        <v>48</v>
      </c>
      <c r="AB2938" s="5" t="s">
        <v>14425</v>
      </c>
      <c r="AC2938" s="6" t="s">
        <v>75</v>
      </c>
      <c r="AD2938" s="6">
        <v>1913.0</v>
      </c>
    </row>
    <row r="2939" ht="56.25" customHeight="1">
      <c r="A2939" s="5" t="s">
        <v>14391</v>
      </c>
      <c r="B2939" s="6" t="str">
        <f>IMAGE("https://storage.googleapis.com/acdb/housewares/FtrWoodenChairS_Remake_5_0.png")</f>
        <v/>
      </c>
      <c r="C2939" s="5" t="s">
        <v>96</v>
      </c>
      <c r="D2939" s="5" t="s">
        <v>748</v>
      </c>
      <c r="E2939" s="5" t="s">
        <v>34</v>
      </c>
      <c r="F2939" s="5" t="s">
        <v>34</v>
      </c>
      <c r="G2939" s="5" t="s">
        <v>35</v>
      </c>
      <c r="H2939" s="5" t="s">
        <v>35</v>
      </c>
      <c r="I2939" s="5" t="s">
        <v>36</v>
      </c>
      <c r="J2939" s="6">
        <v>1.0</v>
      </c>
      <c r="K2939" s="6" t="s">
        <v>37</v>
      </c>
      <c r="L2939" s="6">
        <v>720.0</v>
      </c>
      <c r="M2939" s="26" t="s">
        <v>96</v>
      </c>
      <c r="N2939" s="26" t="s">
        <v>96</v>
      </c>
      <c r="O2939" s="6" t="s">
        <v>40</v>
      </c>
      <c r="P2939" s="5" t="s">
        <v>41</v>
      </c>
      <c r="Q2939" s="5"/>
      <c r="R2939" s="6" t="s">
        <v>42</v>
      </c>
      <c r="S2939" s="5" t="s">
        <v>99</v>
      </c>
      <c r="T2939" s="5" t="s">
        <v>90</v>
      </c>
      <c r="U2939" s="5" t="s">
        <v>6186</v>
      </c>
      <c r="V2939" s="5" t="s">
        <v>44</v>
      </c>
      <c r="W2939" s="5" t="s">
        <v>35</v>
      </c>
      <c r="X2939" s="8" t="s">
        <v>248</v>
      </c>
      <c r="Y2939" s="5" t="s">
        <v>46</v>
      </c>
      <c r="Z2939" s="5" t="s">
        <v>47</v>
      </c>
      <c r="AA2939" s="5" t="s">
        <v>48</v>
      </c>
      <c r="AB2939" s="5" t="s">
        <v>14435</v>
      </c>
      <c r="AC2939" s="6" t="s">
        <v>79</v>
      </c>
      <c r="AD2939" s="6">
        <v>1913.0</v>
      </c>
    </row>
    <row r="2940" ht="56.25" customHeight="1">
      <c r="A2940" s="5" t="s">
        <v>14391</v>
      </c>
      <c r="B2940" s="6" t="str">
        <f>IMAGE("https://storage.googleapis.com/acdb/housewares/FtrWoodenChairS_Remake_6_0.png")</f>
        <v/>
      </c>
      <c r="C2940" s="5" t="s">
        <v>68</v>
      </c>
      <c r="D2940" s="5" t="s">
        <v>748</v>
      </c>
      <c r="E2940" s="5" t="s">
        <v>34</v>
      </c>
      <c r="F2940" s="5" t="s">
        <v>34</v>
      </c>
      <c r="G2940" s="5" t="s">
        <v>35</v>
      </c>
      <c r="H2940" s="5" t="s">
        <v>35</v>
      </c>
      <c r="I2940" s="5" t="s">
        <v>36</v>
      </c>
      <c r="J2940" s="6">
        <v>1.0</v>
      </c>
      <c r="K2940" s="6" t="s">
        <v>37</v>
      </c>
      <c r="L2940" s="6">
        <v>720.0</v>
      </c>
      <c r="M2940" s="26" t="s">
        <v>68</v>
      </c>
      <c r="N2940" s="26" t="s">
        <v>68</v>
      </c>
      <c r="O2940" s="6" t="s">
        <v>40</v>
      </c>
      <c r="P2940" s="5" t="s">
        <v>41</v>
      </c>
      <c r="Q2940" s="5"/>
      <c r="R2940" s="6" t="s">
        <v>42</v>
      </c>
      <c r="S2940" s="5" t="s">
        <v>99</v>
      </c>
      <c r="T2940" s="5" t="s">
        <v>90</v>
      </c>
      <c r="U2940" s="5" t="s">
        <v>6186</v>
      </c>
      <c r="V2940" s="5" t="s">
        <v>44</v>
      </c>
      <c r="W2940" s="5" t="s">
        <v>35</v>
      </c>
      <c r="X2940" s="8" t="s">
        <v>248</v>
      </c>
      <c r="Y2940" s="5" t="s">
        <v>46</v>
      </c>
      <c r="Z2940" s="5" t="s">
        <v>47</v>
      </c>
      <c r="AA2940" s="5" t="s">
        <v>48</v>
      </c>
      <c r="AB2940" s="5" t="s">
        <v>14441</v>
      </c>
      <c r="AC2940" s="6" t="s">
        <v>86</v>
      </c>
      <c r="AD2940" s="6">
        <v>1913.0</v>
      </c>
    </row>
    <row r="2941" ht="56.25" customHeight="1">
      <c r="A2941" s="5" t="s">
        <v>14391</v>
      </c>
      <c r="B2941" s="6" t="str">
        <f>IMAGE("https://storage.googleapis.com/acdb/housewares/FtrWoodenChairS_Remake_7_0.png")</f>
        <v/>
      </c>
      <c r="C2941" s="5" t="s">
        <v>6214</v>
      </c>
      <c r="D2941" s="5" t="s">
        <v>748</v>
      </c>
      <c r="E2941" s="5" t="s">
        <v>34</v>
      </c>
      <c r="F2941" s="5" t="s">
        <v>34</v>
      </c>
      <c r="G2941" s="5" t="s">
        <v>35</v>
      </c>
      <c r="H2941" s="5" t="s">
        <v>35</v>
      </c>
      <c r="I2941" s="5" t="s">
        <v>36</v>
      </c>
      <c r="J2941" s="6">
        <v>1.0</v>
      </c>
      <c r="K2941" s="6" t="s">
        <v>37</v>
      </c>
      <c r="L2941" s="6">
        <v>720.0</v>
      </c>
      <c r="M2941" s="26" t="s">
        <v>69</v>
      </c>
      <c r="N2941" s="26" t="s">
        <v>69</v>
      </c>
      <c r="O2941" s="6" t="s">
        <v>40</v>
      </c>
      <c r="P2941" s="5" t="s">
        <v>41</v>
      </c>
      <c r="Q2941" s="5"/>
      <c r="R2941" s="6" t="s">
        <v>42</v>
      </c>
      <c r="S2941" s="5" t="s">
        <v>99</v>
      </c>
      <c r="T2941" s="5" t="s">
        <v>90</v>
      </c>
      <c r="U2941" s="5" t="s">
        <v>6186</v>
      </c>
      <c r="V2941" s="5" t="s">
        <v>44</v>
      </c>
      <c r="W2941" s="5" t="s">
        <v>35</v>
      </c>
      <c r="X2941" s="8" t="s">
        <v>248</v>
      </c>
      <c r="Y2941" s="5" t="s">
        <v>46</v>
      </c>
      <c r="Z2941" s="5" t="s">
        <v>47</v>
      </c>
      <c r="AA2941" s="5" t="s">
        <v>48</v>
      </c>
      <c r="AB2941" s="5" t="s">
        <v>14450</v>
      </c>
      <c r="AC2941" s="6" t="s">
        <v>208</v>
      </c>
      <c r="AD2941" s="6">
        <v>1913.0</v>
      </c>
    </row>
    <row r="2942" ht="56.25" customHeight="1">
      <c r="A2942" s="5" t="s">
        <v>14452</v>
      </c>
      <c r="B2942" s="6" t="str">
        <f>IMAGE("https://storage.googleapis.com/acdb/housewares/FtrWoodenChest_Remake_0_0.png")</f>
        <v/>
      </c>
      <c r="C2942" s="5" t="s">
        <v>1137</v>
      </c>
      <c r="D2942" s="5" t="s">
        <v>748</v>
      </c>
      <c r="E2942" s="5" t="s">
        <v>34</v>
      </c>
      <c r="F2942" s="5" t="s">
        <v>34</v>
      </c>
      <c r="G2942" s="5" t="s">
        <v>35</v>
      </c>
      <c r="H2942" s="5" t="s">
        <v>35</v>
      </c>
      <c r="I2942" s="5" t="s">
        <v>36</v>
      </c>
      <c r="J2942" s="6">
        <v>3.0</v>
      </c>
      <c r="K2942" s="6" t="s">
        <v>37</v>
      </c>
      <c r="L2942" s="6">
        <v>1920.0</v>
      </c>
      <c r="M2942" s="26" t="s">
        <v>114</v>
      </c>
      <c r="N2942" s="26" t="s">
        <v>114</v>
      </c>
      <c r="O2942" s="6" t="s">
        <v>276</v>
      </c>
      <c r="P2942" s="5" t="s">
        <v>41</v>
      </c>
      <c r="Q2942" s="5"/>
      <c r="R2942" s="6" t="s">
        <v>42</v>
      </c>
      <c r="S2942" s="5" t="s">
        <v>99</v>
      </c>
      <c r="T2942" s="5" t="s">
        <v>90</v>
      </c>
      <c r="U2942" s="5" t="s">
        <v>6186</v>
      </c>
      <c r="V2942" s="5" t="s">
        <v>44</v>
      </c>
      <c r="W2942" s="5" t="s">
        <v>35</v>
      </c>
      <c r="X2942" s="8" t="s">
        <v>322</v>
      </c>
      <c r="Y2942" s="5" t="s">
        <v>46</v>
      </c>
      <c r="Z2942" s="5" t="s">
        <v>47</v>
      </c>
      <c r="AA2942" s="5" t="s">
        <v>48</v>
      </c>
      <c r="AB2942" s="5" t="s">
        <v>14458</v>
      </c>
      <c r="AC2942" s="6" t="s">
        <v>50</v>
      </c>
      <c r="AD2942" s="6">
        <v>2560.0</v>
      </c>
    </row>
    <row r="2943" ht="56.25" customHeight="1">
      <c r="A2943" s="5" t="s">
        <v>14452</v>
      </c>
      <c r="B2943" s="6" t="str">
        <f>IMAGE("https://storage.googleapis.com/acdb/housewares/FtrWoodenChest_Remake_1_0.png")</f>
        <v/>
      </c>
      <c r="C2943" s="5" t="s">
        <v>1595</v>
      </c>
      <c r="D2943" s="5" t="s">
        <v>748</v>
      </c>
      <c r="E2943" s="5" t="s">
        <v>34</v>
      </c>
      <c r="F2943" s="5" t="s">
        <v>34</v>
      </c>
      <c r="G2943" s="5" t="s">
        <v>35</v>
      </c>
      <c r="H2943" s="5" t="s">
        <v>35</v>
      </c>
      <c r="I2943" s="5" t="s">
        <v>36</v>
      </c>
      <c r="J2943" s="6">
        <v>3.0</v>
      </c>
      <c r="K2943" s="6" t="s">
        <v>37</v>
      </c>
      <c r="L2943" s="6">
        <v>1920.0</v>
      </c>
      <c r="M2943" s="26" t="s">
        <v>38</v>
      </c>
      <c r="N2943" s="26" t="s">
        <v>38</v>
      </c>
      <c r="O2943" s="6" t="s">
        <v>276</v>
      </c>
      <c r="P2943" s="5" t="s">
        <v>41</v>
      </c>
      <c r="Q2943" s="5"/>
      <c r="R2943" s="6" t="s">
        <v>42</v>
      </c>
      <c r="S2943" s="5" t="s">
        <v>99</v>
      </c>
      <c r="T2943" s="5" t="s">
        <v>90</v>
      </c>
      <c r="U2943" s="5" t="s">
        <v>6186</v>
      </c>
      <c r="V2943" s="5" t="s">
        <v>44</v>
      </c>
      <c r="W2943" s="5" t="s">
        <v>35</v>
      </c>
      <c r="X2943" s="8" t="s">
        <v>322</v>
      </c>
      <c r="Y2943" s="5" t="s">
        <v>46</v>
      </c>
      <c r="Z2943" s="5" t="s">
        <v>47</v>
      </c>
      <c r="AA2943" s="5" t="s">
        <v>48</v>
      </c>
      <c r="AB2943" s="5" t="s">
        <v>14467</v>
      </c>
      <c r="AC2943" s="6" t="s">
        <v>56</v>
      </c>
      <c r="AD2943" s="6">
        <v>2560.0</v>
      </c>
    </row>
    <row r="2944" ht="56.25" customHeight="1">
      <c r="A2944" s="5" t="s">
        <v>14452</v>
      </c>
      <c r="B2944" s="6" t="str">
        <f>IMAGE("https://storage.googleapis.com/acdb/housewares/FtrWoodenChest_Remake_2_0.png")</f>
        <v/>
      </c>
      <c r="C2944" s="5" t="s">
        <v>6192</v>
      </c>
      <c r="D2944" s="5" t="s">
        <v>748</v>
      </c>
      <c r="E2944" s="5" t="s">
        <v>34</v>
      </c>
      <c r="F2944" s="5" t="s">
        <v>34</v>
      </c>
      <c r="G2944" s="5" t="s">
        <v>35</v>
      </c>
      <c r="H2944" s="5" t="s">
        <v>35</v>
      </c>
      <c r="I2944" s="5" t="s">
        <v>36</v>
      </c>
      <c r="J2944" s="6">
        <v>3.0</v>
      </c>
      <c r="K2944" s="6" t="s">
        <v>37</v>
      </c>
      <c r="L2944" s="6">
        <v>1920.0</v>
      </c>
      <c r="M2944" s="26" t="s">
        <v>142</v>
      </c>
      <c r="N2944" s="26" t="s">
        <v>142</v>
      </c>
      <c r="O2944" s="6" t="s">
        <v>276</v>
      </c>
      <c r="P2944" s="5" t="s">
        <v>41</v>
      </c>
      <c r="Q2944" s="5"/>
      <c r="R2944" s="6" t="s">
        <v>42</v>
      </c>
      <c r="S2944" s="5" t="s">
        <v>99</v>
      </c>
      <c r="T2944" s="5" t="s">
        <v>90</v>
      </c>
      <c r="U2944" s="5" t="s">
        <v>6186</v>
      </c>
      <c r="V2944" s="5" t="s">
        <v>44</v>
      </c>
      <c r="W2944" s="5" t="s">
        <v>35</v>
      </c>
      <c r="X2944" s="8" t="s">
        <v>322</v>
      </c>
      <c r="Y2944" s="5" t="s">
        <v>46</v>
      </c>
      <c r="Z2944" s="5" t="s">
        <v>47</v>
      </c>
      <c r="AA2944" s="5" t="s">
        <v>48</v>
      </c>
      <c r="AB2944" s="5" t="s">
        <v>14472</v>
      </c>
      <c r="AC2944" s="6" t="s">
        <v>67</v>
      </c>
      <c r="AD2944" s="6">
        <v>2560.0</v>
      </c>
    </row>
    <row r="2945" ht="56.25" customHeight="1">
      <c r="A2945" s="5" t="s">
        <v>14452</v>
      </c>
      <c r="B2945" s="6" t="str">
        <f>IMAGE("https://storage.googleapis.com/acdb/housewares/FtrWoodenChest_Remake_3_0.png")</f>
        <v/>
      </c>
      <c r="C2945" s="5" t="s">
        <v>1132</v>
      </c>
      <c r="D2945" s="5" t="s">
        <v>748</v>
      </c>
      <c r="E2945" s="5" t="s">
        <v>34</v>
      </c>
      <c r="F2945" s="5" t="s">
        <v>34</v>
      </c>
      <c r="G2945" s="5" t="s">
        <v>35</v>
      </c>
      <c r="H2945" s="5" t="s">
        <v>35</v>
      </c>
      <c r="I2945" s="5" t="s">
        <v>36</v>
      </c>
      <c r="J2945" s="6">
        <v>3.0</v>
      </c>
      <c r="K2945" s="6" t="s">
        <v>37</v>
      </c>
      <c r="L2945" s="6">
        <v>1920.0</v>
      </c>
      <c r="M2945" s="26" t="s">
        <v>39</v>
      </c>
      <c r="N2945" s="26" t="s">
        <v>39</v>
      </c>
      <c r="O2945" s="6" t="s">
        <v>276</v>
      </c>
      <c r="P2945" s="5" t="s">
        <v>41</v>
      </c>
      <c r="Q2945" s="5"/>
      <c r="R2945" s="6" t="s">
        <v>42</v>
      </c>
      <c r="S2945" s="5" t="s">
        <v>99</v>
      </c>
      <c r="T2945" s="5" t="s">
        <v>90</v>
      </c>
      <c r="U2945" s="5" t="s">
        <v>6186</v>
      </c>
      <c r="V2945" s="5" t="s">
        <v>44</v>
      </c>
      <c r="W2945" s="5" t="s">
        <v>35</v>
      </c>
      <c r="X2945" s="8" t="s">
        <v>322</v>
      </c>
      <c r="Y2945" s="5" t="s">
        <v>46</v>
      </c>
      <c r="Z2945" s="5" t="s">
        <v>47</v>
      </c>
      <c r="AA2945" s="5" t="s">
        <v>48</v>
      </c>
      <c r="AB2945" s="5" t="s">
        <v>14480</v>
      </c>
      <c r="AC2945" s="6" t="s">
        <v>71</v>
      </c>
      <c r="AD2945" s="6">
        <v>2560.0</v>
      </c>
    </row>
    <row r="2946" ht="56.25" customHeight="1">
      <c r="A2946" s="5" t="s">
        <v>14452</v>
      </c>
      <c r="B2946" s="6" t="str">
        <f>IMAGE("https://storage.googleapis.com/acdb/housewares/FtrWoodenChest_Remake_4_0.png")</f>
        <v/>
      </c>
      <c r="C2946" s="5" t="s">
        <v>54</v>
      </c>
      <c r="D2946" s="5" t="s">
        <v>748</v>
      </c>
      <c r="E2946" s="5" t="s">
        <v>34</v>
      </c>
      <c r="F2946" s="5" t="s">
        <v>34</v>
      </c>
      <c r="G2946" s="5" t="s">
        <v>35</v>
      </c>
      <c r="H2946" s="5" t="s">
        <v>35</v>
      </c>
      <c r="I2946" s="5" t="s">
        <v>36</v>
      </c>
      <c r="J2946" s="6">
        <v>3.0</v>
      </c>
      <c r="K2946" s="6" t="s">
        <v>37</v>
      </c>
      <c r="L2946" s="6">
        <v>1920.0</v>
      </c>
      <c r="M2946" s="26" t="s">
        <v>54</v>
      </c>
      <c r="N2946" s="26" t="s">
        <v>54</v>
      </c>
      <c r="O2946" s="6" t="s">
        <v>276</v>
      </c>
      <c r="P2946" s="5" t="s">
        <v>41</v>
      </c>
      <c r="Q2946" s="5"/>
      <c r="R2946" s="6" t="s">
        <v>42</v>
      </c>
      <c r="S2946" s="5" t="s">
        <v>99</v>
      </c>
      <c r="T2946" s="5" t="s">
        <v>90</v>
      </c>
      <c r="U2946" s="5" t="s">
        <v>6186</v>
      </c>
      <c r="V2946" s="5" t="s">
        <v>44</v>
      </c>
      <c r="W2946" s="5" t="s">
        <v>35</v>
      </c>
      <c r="X2946" s="8" t="s">
        <v>322</v>
      </c>
      <c r="Y2946" s="5" t="s">
        <v>46</v>
      </c>
      <c r="Z2946" s="5" t="s">
        <v>47</v>
      </c>
      <c r="AA2946" s="5" t="s">
        <v>48</v>
      </c>
      <c r="AB2946" s="5" t="s">
        <v>14486</v>
      </c>
      <c r="AC2946" s="6" t="s">
        <v>75</v>
      </c>
      <c r="AD2946" s="6">
        <v>2560.0</v>
      </c>
    </row>
    <row r="2947" ht="56.25" customHeight="1">
      <c r="A2947" s="5" t="s">
        <v>14452</v>
      </c>
      <c r="B2947" s="6" t="str">
        <f>IMAGE("https://storage.googleapis.com/acdb/housewares/FtrWoodenChest_Remake_5_0.png")</f>
        <v/>
      </c>
      <c r="C2947" s="5" t="s">
        <v>96</v>
      </c>
      <c r="D2947" s="5" t="s">
        <v>748</v>
      </c>
      <c r="E2947" s="5" t="s">
        <v>34</v>
      </c>
      <c r="F2947" s="5" t="s">
        <v>34</v>
      </c>
      <c r="G2947" s="5" t="s">
        <v>35</v>
      </c>
      <c r="H2947" s="5" t="s">
        <v>35</v>
      </c>
      <c r="I2947" s="5" t="s">
        <v>36</v>
      </c>
      <c r="J2947" s="6">
        <v>3.0</v>
      </c>
      <c r="K2947" s="6" t="s">
        <v>37</v>
      </c>
      <c r="L2947" s="6">
        <v>1920.0</v>
      </c>
      <c r="M2947" s="26" t="s">
        <v>96</v>
      </c>
      <c r="N2947" s="26" t="s">
        <v>96</v>
      </c>
      <c r="O2947" s="6" t="s">
        <v>276</v>
      </c>
      <c r="P2947" s="5" t="s">
        <v>41</v>
      </c>
      <c r="Q2947" s="5"/>
      <c r="R2947" s="6" t="s">
        <v>42</v>
      </c>
      <c r="S2947" s="5" t="s">
        <v>99</v>
      </c>
      <c r="T2947" s="5" t="s">
        <v>90</v>
      </c>
      <c r="U2947" s="5" t="s">
        <v>6186</v>
      </c>
      <c r="V2947" s="5" t="s">
        <v>44</v>
      </c>
      <c r="W2947" s="5" t="s">
        <v>35</v>
      </c>
      <c r="X2947" s="8" t="s">
        <v>322</v>
      </c>
      <c r="Y2947" s="5" t="s">
        <v>46</v>
      </c>
      <c r="Z2947" s="5" t="s">
        <v>47</v>
      </c>
      <c r="AA2947" s="5" t="s">
        <v>48</v>
      </c>
      <c r="AB2947" s="5" t="s">
        <v>14492</v>
      </c>
      <c r="AC2947" s="6" t="s">
        <v>79</v>
      </c>
      <c r="AD2947" s="6">
        <v>2560.0</v>
      </c>
    </row>
    <row r="2948" ht="56.25" customHeight="1">
      <c r="A2948" s="5" t="s">
        <v>14452</v>
      </c>
      <c r="B2948" s="6" t="str">
        <f>IMAGE("https://storage.googleapis.com/acdb/housewares/FtrWoodenChest_Remake_6_0.png")</f>
        <v/>
      </c>
      <c r="C2948" s="5" t="s">
        <v>68</v>
      </c>
      <c r="D2948" s="5" t="s">
        <v>748</v>
      </c>
      <c r="E2948" s="5" t="s">
        <v>34</v>
      </c>
      <c r="F2948" s="5" t="s">
        <v>34</v>
      </c>
      <c r="G2948" s="5" t="s">
        <v>35</v>
      </c>
      <c r="H2948" s="5" t="s">
        <v>35</v>
      </c>
      <c r="I2948" s="5" t="s">
        <v>36</v>
      </c>
      <c r="J2948" s="6">
        <v>3.0</v>
      </c>
      <c r="K2948" s="6" t="s">
        <v>37</v>
      </c>
      <c r="L2948" s="6">
        <v>1920.0</v>
      </c>
      <c r="M2948" s="26" t="s">
        <v>68</v>
      </c>
      <c r="N2948" s="26" t="s">
        <v>68</v>
      </c>
      <c r="O2948" s="6" t="s">
        <v>276</v>
      </c>
      <c r="P2948" s="5" t="s">
        <v>41</v>
      </c>
      <c r="Q2948" s="5"/>
      <c r="R2948" s="6" t="s">
        <v>42</v>
      </c>
      <c r="S2948" s="5" t="s">
        <v>99</v>
      </c>
      <c r="T2948" s="5" t="s">
        <v>90</v>
      </c>
      <c r="U2948" s="5" t="s">
        <v>6186</v>
      </c>
      <c r="V2948" s="5" t="s">
        <v>44</v>
      </c>
      <c r="W2948" s="5" t="s">
        <v>35</v>
      </c>
      <c r="X2948" s="8" t="s">
        <v>322</v>
      </c>
      <c r="Y2948" s="5" t="s">
        <v>46</v>
      </c>
      <c r="Z2948" s="5" t="s">
        <v>47</v>
      </c>
      <c r="AA2948" s="5" t="s">
        <v>48</v>
      </c>
      <c r="AB2948" s="5" t="s">
        <v>14497</v>
      </c>
      <c r="AC2948" s="6" t="s">
        <v>86</v>
      </c>
      <c r="AD2948" s="6">
        <v>2560.0</v>
      </c>
    </row>
    <row r="2949" ht="56.25" customHeight="1">
      <c r="A2949" s="5" t="s">
        <v>14452</v>
      </c>
      <c r="B2949" s="6" t="str">
        <f>IMAGE("https://storage.googleapis.com/acdb/housewares/FtrWoodenChest_Remake_7_0.png")</f>
        <v/>
      </c>
      <c r="C2949" s="5" t="s">
        <v>6214</v>
      </c>
      <c r="D2949" s="5" t="s">
        <v>748</v>
      </c>
      <c r="E2949" s="5" t="s">
        <v>34</v>
      </c>
      <c r="F2949" s="5" t="s">
        <v>34</v>
      </c>
      <c r="G2949" s="5" t="s">
        <v>35</v>
      </c>
      <c r="H2949" s="5" t="s">
        <v>35</v>
      </c>
      <c r="I2949" s="5" t="s">
        <v>36</v>
      </c>
      <c r="J2949" s="6">
        <v>3.0</v>
      </c>
      <c r="K2949" s="6" t="s">
        <v>37</v>
      </c>
      <c r="L2949" s="6">
        <v>1920.0</v>
      </c>
      <c r="M2949" s="26" t="s">
        <v>69</v>
      </c>
      <c r="N2949" s="26" t="s">
        <v>69</v>
      </c>
      <c r="O2949" s="6" t="s">
        <v>276</v>
      </c>
      <c r="P2949" s="5" t="s">
        <v>41</v>
      </c>
      <c r="Q2949" s="5"/>
      <c r="R2949" s="6" t="s">
        <v>42</v>
      </c>
      <c r="S2949" s="5" t="s">
        <v>99</v>
      </c>
      <c r="T2949" s="5" t="s">
        <v>90</v>
      </c>
      <c r="U2949" s="5" t="s">
        <v>6186</v>
      </c>
      <c r="V2949" s="5" t="s">
        <v>44</v>
      </c>
      <c r="W2949" s="5" t="s">
        <v>35</v>
      </c>
      <c r="X2949" s="8" t="s">
        <v>322</v>
      </c>
      <c r="Y2949" s="5" t="s">
        <v>46</v>
      </c>
      <c r="Z2949" s="5" t="s">
        <v>47</v>
      </c>
      <c r="AA2949" s="5" t="s">
        <v>48</v>
      </c>
      <c r="AB2949" s="5" t="s">
        <v>14504</v>
      </c>
      <c r="AC2949" s="6" t="s">
        <v>208</v>
      </c>
      <c r="AD2949" s="6">
        <v>2560.0</v>
      </c>
    </row>
    <row r="2950" ht="56.25" customHeight="1">
      <c r="A2950" s="5" t="s">
        <v>14505</v>
      </c>
      <c r="B2950" s="6" t="str">
        <f>IMAGE("https://storage.googleapis.com/acdb/housewares/FtrWoodenBedW_Remake_0_0.png")</f>
        <v/>
      </c>
      <c r="C2950" s="5" t="s">
        <v>1137</v>
      </c>
      <c r="D2950" s="5" t="s">
        <v>748</v>
      </c>
      <c r="E2950" s="5" t="s">
        <v>142</v>
      </c>
      <c r="F2950" s="5" t="s">
        <v>1271</v>
      </c>
      <c r="G2950" s="5" t="s">
        <v>35</v>
      </c>
      <c r="H2950" s="5" t="s">
        <v>35</v>
      </c>
      <c r="I2950" s="5" t="s">
        <v>35</v>
      </c>
      <c r="J2950" s="6">
        <v>6.0</v>
      </c>
      <c r="K2950" s="6" t="s">
        <v>37</v>
      </c>
      <c r="L2950" s="6">
        <v>3600.0</v>
      </c>
      <c r="M2950" s="26" t="s">
        <v>38</v>
      </c>
      <c r="N2950" s="26" t="s">
        <v>142</v>
      </c>
      <c r="O2950" s="6" t="s">
        <v>214</v>
      </c>
      <c r="P2950" s="5" t="s">
        <v>41</v>
      </c>
      <c r="Q2950" s="5"/>
      <c r="R2950" s="6" t="s">
        <v>42</v>
      </c>
      <c r="S2950" s="5" t="s">
        <v>99</v>
      </c>
      <c r="T2950" s="5" t="s">
        <v>90</v>
      </c>
      <c r="U2950" s="5" t="s">
        <v>6186</v>
      </c>
      <c r="V2950" s="5" t="s">
        <v>44</v>
      </c>
      <c r="W2950" s="5" t="s">
        <v>35</v>
      </c>
      <c r="X2950" s="8" t="s">
        <v>218</v>
      </c>
      <c r="Y2950" s="5" t="s">
        <v>46</v>
      </c>
      <c r="Z2950" s="5" t="s">
        <v>47</v>
      </c>
      <c r="AA2950" s="5" t="s">
        <v>48</v>
      </c>
      <c r="AB2950" s="5" t="s">
        <v>14511</v>
      </c>
      <c r="AC2950" s="6" t="s">
        <v>50</v>
      </c>
      <c r="AD2950" s="6">
        <v>7132.0</v>
      </c>
    </row>
    <row r="2951" ht="56.25" customHeight="1">
      <c r="A2951" s="5" t="s">
        <v>14505</v>
      </c>
      <c r="B2951" s="6" t="str">
        <f>IMAGE("https://storage.googleapis.com/acdb/housewares/FtrWoodenBedW_Remake_0_1.png")</f>
        <v/>
      </c>
      <c r="C2951" s="5" t="s">
        <v>1137</v>
      </c>
      <c r="D2951" s="5" t="s">
        <v>748</v>
      </c>
      <c r="E2951" s="5" t="s">
        <v>69</v>
      </c>
      <c r="F2951" s="5" t="s">
        <v>1271</v>
      </c>
      <c r="G2951" s="5" t="s">
        <v>35</v>
      </c>
      <c r="H2951" s="5" t="s">
        <v>35</v>
      </c>
      <c r="I2951" s="5" t="s">
        <v>35</v>
      </c>
      <c r="J2951" s="6">
        <v>6.0</v>
      </c>
      <c r="K2951" s="6" t="s">
        <v>37</v>
      </c>
      <c r="L2951" s="6">
        <v>3600.0</v>
      </c>
      <c r="M2951" s="26" t="s">
        <v>38</v>
      </c>
      <c r="N2951" s="26" t="s">
        <v>69</v>
      </c>
      <c r="O2951" s="6" t="s">
        <v>214</v>
      </c>
      <c r="P2951" s="5" t="s">
        <v>41</v>
      </c>
      <c r="Q2951" s="5"/>
      <c r="R2951" s="6" t="s">
        <v>42</v>
      </c>
      <c r="S2951" s="5" t="s">
        <v>99</v>
      </c>
      <c r="T2951" s="5" t="s">
        <v>90</v>
      </c>
      <c r="U2951" s="5" t="s">
        <v>6186</v>
      </c>
      <c r="V2951" s="5" t="s">
        <v>44</v>
      </c>
      <c r="W2951" s="5" t="s">
        <v>35</v>
      </c>
      <c r="X2951" s="8" t="s">
        <v>218</v>
      </c>
      <c r="Y2951" s="5" t="s">
        <v>46</v>
      </c>
      <c r="Z2951" s="5" t="s">
        <v>47</v>
      </c>
      <c r="AA2951" s="5" t="s">
        <v>48</v>
      </c>
      <c r="AB2951" s="5" t="s">
        <v>14517</v>
      </c>
      <c r="AC2951" s="6" t="s">
        <v>217</v>
      </c>
      <c r="AD2951" s="6">
        <v>7132.0</v>
      </c>
    </row>
    <row r="2952" ht="56.25" customHeight="1">
      <c r="A2952" s="5" t="s">
        <v>14505</v>
      </c>
      <c r="B2952" s="6" t="str">
        <f>IMAGE("https://storage.googleapis.com/acdb/housewares/FtrWoodenBedW_Remake_0_2.png")</f>
        <v/>
      </c>
      <c r="C2952" s="5" t="s">
        <v>1137</v>
      </c>
      <c r="D2952" s="5" t="s">
        <v>748</v>
      </c>
      <c r="E2952" s="5" t="s">
        <v>68</v>
      </c>
      <c r="F2952" s="5" t="s">
        <v>1271</v>
      </c>
      <c r="G2952" s="5" t="s">
        <v>35</v>
      </c>
      <c r="H2952" s="5" t="s">
        <v>35</v>
      </c>
      <c r="I2952" s="5" t="s">
        <v>35</v>
      </c>
      <c r="J2952" s="6">
        <v>6.0</v>
      </c>
      <c r="K2952" s="6" t="s">
        <v>37</v>
      </c>
      <c r="L2952" s="6">
        <v>3600.0</v>
      </c>
      <c r="M2952" s="26" t="s">
        <v>38</v>
      </c>
      <c r="N2952" s="26" t="s">
        <v>1175</v>
      </c>
      <c r="O2952" s="6" t="s">
        <v>214</v>
      </c>
      <c r="P2952" s="5" t="s">
        <v>41</v>
      </c>
      <c r="Q2952" s="5"/>
      <c r="R2952" s="6" t="s">
        <v>42</v>
      </c>
      <c r="S2952" s="5" t="s">
        <v>99</v>
      </c>
      <c r="T2952" s="5" t="s">
        <v>90</v>
      </c>
      <c r="U2952" s="5" t="s">
        <v>6186</v>
      </c>
      <c r="V2952" s="5" t="s">
        <v>44</v>
      </c>
      <c r="W2952" s="5" t="s">
        <v>35</v>
      </c>
      <c r="X2952" s="8" t="s">
        <v>218</v>
      </c>
      <c r="Y2952" s="5" t="s">
        <v>46</v>
      </c>
      <c r="Z2952" s="5" t="s">
        <v>47</v>
      </c>
      <c r="AA2952" s="5" t="s">
        <v>48</v>
      </c>
      <c r="AB2952" s="5" t="s">
        <v>14524</v>
      </c>
      <c r="AC2952" s="6" t="s">
        <v>347</v>
      </c>
      <c r="AD2952" s="6">
        <v>7132.0</v>
      </c>
    </row>
    <row r="2953" ht="56.25" customHeight="1">
      <c r="A2953" s="5" t="s">
        <v>14505</v>
      </c>
      <c r="B2953" s="6" t="str">
        <f>IMAGE("https://storage.googleapis.com/acdb/housewares/FtrWoodenBedW_Remake_0_3.png")</f>
        <v/>
      </c>
      <c r="C2953" s="5" t="s">
        <v>1137</v>
      </c>
      <c r="D2953" s="5" t="s">
        <v>748</v>
      </c>
      <c r="E2953" s="5" t="s">
        <v>96</v>
      </c>
      <c r="F2953" s="5" t="s">
        <v>1271</v>
      </c>
      <c r="G2953" s="5" t="s">
        <v>35</v>
      </c>
      <c r="H2953" s="5" t="s">
        <v>35</v>
      </c>
      <c r="I2953" s="5" t="s">
        <v>35</v>
      </c>
      <c r="J2953" s="6">
        <v>6.0</v>
      </c>
      <c r="K2953" s="6" t="s">
        <v>37</v>
      </c>
      <c r="L2953" s="6">
        <v>3600.0</v>
      </c>
      <c r="M2953" s="26" t="s">
        <v>38</v>
      </c>
      <c r="N2953" s="26" t="s">
        <v>96</v>
      </c>
      <c r="O2953" s="6" t="s">
        <v>214</v>
      </c>
      <c r="P2953" s="5" t="s">
        <v>41</v>
      </c>
      <c r="Q2953" s="5"/>
      <c r="R2953" s="6" t="s">
        <v>42</v>
      </c>
      <c r="S2953" s="5" t="s">
        <v>99</v>
      </c>
      <c r="T2953" s="5" t="s">
        <v>90</v>
      </c>
      <c r="U2953" s="5" t="s">
        <v>6186</v>
      </c>
      <c r="V2953" s="5" t="s">
        <v>44</v>
      </c>
      <c r="W2953" s="5" t="s">
        <v>35</v>
      </c>
      <c r="X2953" s="8" t="s">
        <v>218</v>
      </c>
      <c r="Y2953" s="5" t="s">
        <v>46</v>
      </c>
      <c r="Z2953" s="5" t="s">
        <v>47</v>
      </c>
      <c r="AA2953" s="5" t="s">
        <v>48</v>
      </c>
      <c r="AB2953" s="5" t="s">
        <v>14529</v>
      </c>
      <c r="AC2953" s="6" t="s">
        <v>354</v>
      </c>
      <c r="AD2953" s="6">
        <v>7132.0</v>
      </c>
    </row>
    <row r="2954" ht="56.25" customHeight="1">
      <c r="A2954" s="5" t="s">
        <v>14505</v>
      </c>
      <c r="B2954" s="6" t="str">
        <f>IMAGE("https://storage.googleapis.com/acdb/housewares/FtrWoodenBedW_Remake_1_0.png")</f>
        <v/>
      </c>
      <c r="C2954" s="5" t="s">
        <v>1595</v>
      </c>
      <c r="D2954" s="5" t="s">
        <v>748</v>
      </c>
      <c r="E2954" s="5" t="s">
        <v>142</v>
      </c>
      <c r="F2954" s="5" t="s">
        <v>1271</v>
      </c>
      <c r="G2954" s="5" t="s">
        <v>35</v>
      </c>
      <c r="H2954" s="5" t="s">
        <v>35</v>
      </c>
      <c r="I2954" s="5" t="s">
        <v>35</v>
      </c>
      <c r="J2954" s="6">
        <v>6.0</v>
      </c>
      <c r="K2954" s="6" t="s">
        <v>37</v>
      </c>
      <c r="L2954" s="6">
        <v>3600.0</v>
      </c>
      <c r="M2954" s="26" t="s">
        <v>57</v>
      </c>
      <c r="N2954" s="26" t="s">
        <v>142</v>
      </c>
      <c r="O2954" s="6" t="s">
        <v>214</v>
      </c>
      <c r="P2954" s="5" t="s">
        <v>41</v>
      </c>
      <c r="Q2954" s="5"/>
      <c r="R2954" s="6" t="s">
        <v>42</v>
      </c>
      <c r="S2954" s="5" t="s">
        <v>99</v>
      </c>
      <c r="T2954" s="5" t="s">
        <v>90</v>
      </c>
      <c r="U2954" s="5" t="s">
        <v>6186</v>
      </c>
      <c r="V2954" s="5" t="s">
        <v>44</v>
      </c>
      <c r="W2954" s="5" t="s">
        <v>35</v>
      </c>
      <c r="X2954" s="8" t="s">
        <v>218</v>
      </c>
      <c r="Y2954" s="5" t="s">
        <v>46</v>
      </c>
      <c r="Z2954" s="5" t="s">
        <v>47</v>
      </c>
      <c r="AA2954" s="5" t="s">
        <v>48</v>
      </c>
      <c r="AB2954" s="5" t="s">
        <v>14533</v>
      </c>
      <c r="AC2954" s="6" t="s">
        <v>56</v>
      </c>
      <c r="AD2954" s="6">
        <v>7132.0</v>
      </c>
    </row>
    <row r="2955" ht="56.25" customHeight="1">
      <c r="A2955" s="5" t="s">
        <v>14505</v>
      </c>
      <c r="B2955" s="6" t="str">
        <f>IMAGE("https://storage.googleapis.com/acdb/housewares/FtrWoodenBedW_Remake_1_1.png")</f>
        <v/>
      </c>
      <c r="C2955" s="5" t="s">
        <v>1595</v>
      </c>
      <c r="D2955" s="5" t="s">
        <v>748</v>
      </c>
      <c r="E2955" s="5" t="s">
        <v>69</v>
      </c>
      <c r="F2955" s="5" t="s">
        <v>1271</v>
      </c>
      <c r="G2955" s="5" t="s">
        <v>35</v>
      </c>
      <c r="H2955" s="5" t="s">
        <v>35</v>
      </c>
      <c r="I2955" s="5" t="s">
        <v>35</v>
      </c>
      <c r="J2955" s="6">
        <v>6.0</v>
      </c>
      <c r="K2955" s="6" t="s">
        <v>37</v>
      </c>
      <c r="L2955" s="6">
        <v>3600.0</v>
      </c>
      <c r="M2955" s="26" t="s">
        <v>57</v>
      </c>
      <c r="N2955" s="26" t="s">
        <v>69</v>
      </c>
      <c r="O2955" s="6" t="s">
        <v>214</v>
      </c>
      <c r="P2955" s="5" t="s">
        <v>41</v>
      </c>
      <c r="Q2955" s="5"/>
      <c r="R2955" s="6" t="s">
        <v>42</v>
      </c>
      <c r="S2955" s="5" t="s">
        <v>99</v>
      </c>
      <c r="T2955" s="5" t="s">
        <v>90</v>
      </c>
      <c r="U2955" s="5" t="s">
        <v>6186</v>
      </c>
      <c r="V2955" s="5" t="s">
        <v>44</v>
      </c>
      <c r="W2955" s="5" t="s">
        <v>35</v>
      </c>
      <c r="X2955" s="8" t="s">
        <v>218</v>
      </c>
      <c r="Y2955" s="5" t="s">
        <v>46</v>
      </c>
      <c r="Z2955" s="5" t="s">
        <v>47</v>
      </c>
      <c r="AA2955" s="5" t="s">
        <v>48</v>
      </c>
      <c r="AB2955" s="5" t="s">
        <v>14540</v>
      </c>
      <c r="AC2955" s="6" t="s">
        <v>234</v>
      </c>
      <c r="AD2955" s="6">
        <v>7132.0</v>
      </c>
    </row>
    <row r="2956" ht="56.25" customHeight="1">
      <c r="A2956" s="5" t="s">
        <v>14505</v>
      </c>
      <c r="B2956" s="6" t="str">
        <f>IMAGE("https://storage.googleapis.com/acdb/housewares/FtrWoodenBedW_Remake_1_2.png")</f>
        <v/>
      </c>
      <c r="C2956" s="5" t="s">
        <v>1595</v>
      </c>
      <c r="D2956" s="5" t="s">
        <v>748</v>
      </c>
      <c r="E2956" s="5" t="s">
        <v>68</v>
      </c>
      <c r="F2956" s="5" t="s">
        <v>1271</v>
      </c>
      <c r="G2956" s="5" t="s">
        <v>35</v>
      </c>
      <c r="H2956" s="5" t="s">
        <v>35</v>
      </c>
      <c r="I2956" s="5" t="s">
        <v>35</v>
      </c>
      <c r="J2956" s="6">
        <v>6.0</v>
      </c>
      <c r="K2956" s="6" t="s">
        <v>37</v>
      </c>
      <c r="L2956" s="6">
        <v>3600.0</v>
      </c>
      <c r="M2956" s="26" t="s">
        <v>57</v>
      </c>
      <c r="N2956" s="26" t="s">
        <v>1175</v>
      </c>
      <c r="O2956" s="6" t="s">
        <v>214</v>
      </c>
      <c r="P2956" s="5" t="s">
        <v>41</v>
      </c>
      <c r="Q2956" s="5"/>
      <c r="R2956" s="6" t="s">
        <v>42</v>
      </c>
      <c r="S2956" s="5" t="s">
        <v>99</v>
      </c>
      <c r="T2956" s="5" t="s">
        <v>90</v>
      </c>
      <c r="U2956" s="5" t="s">
        <v>6186</v>
      </c>
      <c r="V2956" s="5" t="s">
        <v>44</v>
      </c>
      <c r="W2956" s="5" t="s">
        <v>35</v>
      </c>
      <c r="X2956" s="8" t="s">
        <v>218</v>
      </c>
      <c r="Y2956" s="5" t="s">
        <v>46</v>
      </c>
      <c r="Z2956" s="5" t="s">
        <v>47</v>
      </c>
      <c r="AA2956" s="5" t="s">
        <v>48</v>
      </c>
      <c r="AB2956" s="5" t="s">
        <v>14545</v>
      </c>
      <c r="AC2956" s="6" t="s">
        <v>370</v>
      </c>
      <c r="AD2956" s="6">
        <v>7132.0</v>
      </c>
    </row>
    <row r="2957" ht="56.25" customHeight="1">
      <c r="A2957" s="5" t="s">
        <v>14505</v>
      </c>
      <c r="B2957" s="6" t="str">
        <f>IMAGE("https://storage.googleapis.com/acdb/housewares/FtrWoodenBedW_Remake_1_3.png")</f>
        <v/>
      </c>
      <c r="C2957" s="5" t="s">
        <v>1595</v>
      </c>
      <c r="D2957" s="5" t="s">
        <v>748</v>
      </c>
      <c r="E2957" s="5" t="s">
        <v>96</v>
      </c>
      <c r="F2957" s="5" t="s">
        <v>1271</v>
      </c>
      <c r="G2957" s="5" t="s">
        <v>35</v>
      </c>
      <c r="H2957" s="5" t="s">
        <v>35</v>
      </c>
      <c r="I2957" s="5" t="s">
        <v>35</v>
      </c>
      <c r="J2957" s="6">
        <v>6.0</v>
      </c>
      <c r="K2957" s="6" t="s">
        <v>37</v>
      </c>
      <c r="L2957" s="6">
        <v>3600.0</v>
      </c>
      <c r="M2957" s="26" t="s">
        <v>57</v>
      </c>
      <c r="N2957" s="26" t="s">
        <v>96</v>
      </c>
      <c r="O2957" s="6" t="s">
        <v>214</v>
      </c>
      <c r="P2957" s="5" t="s">
        <v>41</v>
      </c>
      <c r="Q2957" s="5"/>
      <c r="R2957" s="6" t="s">
        <v>42</v>
      </c>
      <c r="S2957" s="5" t="s">
        <v>99</v>
      </c>
      <c r="T2957" s="5" t="s">
        <v>90</v>
      </c>
      <c r="U2957" s="5" t="s">
        <v>6186</v>
      </c>
      <c r="V2957" s="5" t="s">
        <v>44</v>
      </c>
      <c r="W2957" s="5" t="s">
        <v>35</v>
      </c>
      <c r="X2957" s="8" t="s">
        <v>218</v>
      </c>
      <c r="Y2957" s="5" t="s">
        <v>46</v>
      </c>
      <c r="Z2957" s="5" t="s">
        <v>47</v>
      </c>
      <c r="AA2957" s="5" t="s">
        <v>48</v>
      </c>
      <c r="AB2957" s="5" t="s">
        <v>14549</v>
      </c>
      <c r="AC2957" s="6" t="s">
        <v>377</v>
      </c>
      <c r="AD2957" s="6">
        <v>7132.0</v>
      </c>
    </row>
    <row r="2958" ht="56.25" customHeight="1">
      <c r="A2958" s="5" t="s">
        <v>14505</v>
      </c>
      <c r="B2958" s="6" t="str">
        <f>IMAGE("https://storage.googleapis.com/acdb/housewares/FtrWoodenBedW_Remake_2_0.png")</f>
        <v/>
      </c>
      <c r="C2958" s="5" t="s">
        <v>6192</v>
      </c>
      <c r="D2958" s="5" t="s">
        <v>748</v>
      </c>
      <c r="E2958" s="5" t="s">
        <v>142</v>
      </c>
      <c r="F2958" s="5" t="s">
        <v>1271</v>
      </c>
      <c r="G2958" s="5" t="s">
        <v>35</v>
      </c>
      <c r="H2958" s="5" t="s">
        <v>35</v>
      </c>
      <c r="I2958" s="5" t="s">
        <v>35</v>
      </c>
      <c r="J2958" s="6">
        <v>6.0</v>
      </c>
      <c r="K2958" s="6" t="s">
        <v>37</v>
      </c>
      <c r="L2958" s="6">
        <v>3600.0</v>
      </c>
      <c r="M2958" s="26" t="s">
        <v>142</v>
      </c>
      <c r="N2958" s="26" t="s">
        <v>142</v>
      </c>
      <c r="O2958" s="6" t="s">
        <v>214</v>
      </c>
      <c r="P2958" s="5" t="s">
        <v>41</v>
      </c>
      <c r="Q2958" s="5"/>
      <c r="R2958" s="6" t="s">
        <v>42</v>
      </c>
      <c r="S2958" s="5" t="s">
        <v>99</v>
      </c>
      <c r="T2958" s="5" t="s">
        <v>90</v>
      </c>
      <c r="U2958" s="5" t="s">
        <v>6186</v>
      </c>
      <c r="V2958" s="5" t="s">
        <v>44</v>
      </c>
      <c r="W2958" s="5" t="s">
        <v>35</v>
      </c>
      <c r="X2958" s="8" t="s">
        <v>218</v>
      </c>
      <c r="Y2958" s="5" t="s">
        <v>46</v>
      </c>
      <c r="Z2958" s="5" t="s">
        <v>47</v>
      </c>
      <c r="AA2958" s="5" t="s">
        <v>48</v>
      </c>
      <c r="AB2958" s="5" t="s">
        <v>14553</v>
      </c>
      <c r="AC2958" s="6" t="s">
        <v>67</v>
      </c>
      <c r="AD2958" s="6">
        <v>7132.0</v>
      </c>
    </row>
    <row r="2959" ht="56.25" customHeight="1">
      <c r="A2959" s="5" t="s">
        <v>14505</v>
      </c>
      <c r="B2959" s="6" t="str">
        <f>IMAGE("https://storage.googleapis.com/acdb/housewares/FtrWoodenBedW_Remake_2_1.png")</f>
        <v/>
      </c>
      <c r="C2959" s="5" t="s">
        <v>6192</v>
      </c>
      <c r="D2959" s="5" t="s">
        <v>748</v>
      </c>
      <c r="E2959" s="5" t="s">
        <v>69</v>
      </c>
      <c r="F2959" s="5" t="s">
        <v>1271</v>
      </c>
      <c r="G2959" s="5" t="s">
        <v>35</v>
      </c>
      <c r="H2959" s="5" t="s">
        <v>35</v>
      </c>
      <c r="I2959" s="5" t="s">
        <v>35</v>
      </c>
      <c r="J2959" s="6">
        <v>6.0</v>
      </c>
      <c r="K2959" s="6" t="s">
        <v>37</v>
      </c>
      <c r="L2959" s="6">
        <v>3600.0</v>
      </c>
      <c r="M2959" s="26" t="s">
        <v>142</v>
      </c>
      <c r="N2959" s="26" t="s">
        <v>69</v>
      </c>
      <c r="O2959" s="6" t="s">
        <v>214</v>
      </c>
      <c r="P2959" s="5" t="s">
        <v>41</v>
      </c>
      <c r="Q2959" s="5"/>
      <c r="R2959" s="6" t="s">
        <v>42</v>
      </c>
      <c r="S2959" s="5" t="s">
        <v>99</v>
      </c>
      <c r="T2959" s="5" t="s">
        <v>90</v>
      </c>
      <c r="U2959" s="5" t="s">
        <v>6186</v>
      </c>
      <c r="V2959" s="5" t="s">
        <v>44</v>
      </c>
      <c r="W2959" s="5" t="s">
        <v>35</v>
      </c>
      <c r="X2959" s="8" t="s">
        <v>218</v>
      </c>
      <c r="Y2959" s="5" t="s">
        <v>46</v>
      </c>
      <c r="Z2959" s="5" t="s">
        <v>47</v>
      </c>
      <c r="AA2959" s="5" t="s">
        <v>48</v>
      </c>
      <c r="AB2959" s="5" t="s">
        <v>14559</v>
      </c>
      <c r="AC2959" s="6" t="s">
        <v>247</v>
      </c>
      <c r="AD2959" s="6">
        <v>7132.0</v>
      </c>
    </row>
    <row r="2960" ht="56.25" customHeight="1">
      <c r="A2960" s="5" t="s">
        <v>14505</v>
      </c>
      <c r="B2960" s="6" t="str">
        <f>IMAGE("https://storage.googleapis.com/acdb/housewares/FtrWoodenBedW_Remake_2_2.png")</f>
        <v/>
      </c>
      <c r="C2960" s="5" t="s">
        <v>6192</v>
      </c>
      <c r="D2960" s="5" t="s">
        <v>748</v>
      </c>
      <c r="E2960" s="5" t="s">
        <v>68</v>
      </c>
      <c r="F2960" s="5" t="s">
        <v>1271</v>
      </c>
      <c r="G2960" s="5" t="s">
        <v>35</v>
      </c>
      <c r="H2960" s="5" t="s">
        <v>35</v>
      </c>
      <c r="I2960" s="5" t="s">
        <v>35</v>
      </c>
      <c r="J2960" s="6">
        <v>6.0</v>
      </c>
      <c r="K2960" s="6" t="s">
        <v>37</v>
      </c>
      <c r="L2960" s="6">
        <v>3600.0</v>
      </c>
      <c r="M2960" s="26" t="s">
        <v>142</v>
      </c>
      <c r="N2960" s="26" t="s">
        <v>1175</v>
      </c>
      <c r="O2960" s="6" t="s">
        <v>214</v>
      </c>
      <c r="P2960" s="5" t="s">
        <v>41</v>
      </c>
      <c r="Q2960" s="5"/>
      <c r="R2960" s="6" t="s">
        <v>42</v>
      </c>
      <c r="S2960" s="5" t="s">
        <v>99</v>
      </c>
      <c r="T2960" s="5" t="s">
        <v>90</v>
      </c>
      <c r="U2960" s="5" t="s">
        <v>6186</v>
      </c>
      <c r="V2960" s="5" t="s">
        <v>44</v>
      </c>
      <c r="W2960" s="5" t="s">
        <v>35</v>
      </c>
      <c r="X2960" s="8" t="s">
        <v>218</v>
      </c>
      <c r="Y2960" s="5" t="s">
        <v>46</v>
      </c>
      <c r="Z2960" s="5" t="s">
        <v>47</v>
      </c>
      <c r="AA2960" s="5" t="s">
        <v>48</v>
      </c>
      <c r="AB2960" s="5" t="s">
        <v>14565</v>
      </c>
      <c r="AC2960" s="6" t="s">
        <v>390</v>
      </c>
      <c r="AD2960" s="6">
        <v>7132.0</v>
      </c>
    </row>
    <row r="2961" ht="56.25" customHeight="1">
      <c r="A2961" s="5" t="s">
        <v>14505</v>
      </c>
      <c r="B2961" s="6" t="str">
        <f>IMAGE("https://storage.googleapis.com/acdb/housewares/FtrWoodenBedW_Remake_2_3.png")</f>
        <v/>
      </c>
      <c r="C2961" s="5" t="s">
        <v>6192</v>
      </c>
      <c r="D2961" s="5" t="s">
        <v>748</v>
      </c>
      <c r="E2961" s="5" t="s">
        <v>96</v>
      </c>
      <c r="F2961" s="5" t="s">
        <v>1271</v>
      </c>
      <c r="G2961" s="5" t="s">
        <v>35</v>
      </c>
      <c r="H2961" s="5" t="s">
        <v>35</v>
      </c>
      <c r="I2961" s="5" t="s">
        <v>35</v>
      </c>
      <c r="J2961" s="6">
        <v>6.0</v>
      </c>
      <c r="K2961" s="6" t="s">
        <v>37</v>
      </c>
      <c r="L2961" s="6">
        <v>3600.0</v>
      </c>
      <c r="M2961" s="26" t="s">
        <v>142</v>
      </c>
      <c r="N2961" s="26" t="s">
        <v>96</v>
      </c>
      <c r="O2961" s="6" t="s">
        <v>214</v>
      </c>
      <c r="P2961" s="5" t="s">
        <v>41</v>
      </c>
      <c r="Q2961" s="5"/>
      <c r="R2961" s="6" t="s">
        <v>42</v>
      </c>
      <c r="S2961" s="5" t="s">
        <v>99</v>
      </c>
      <c r="T2961" s="5" t="s">
        <v>90</v>
      </c>
      <c r="U2961" s="5" t="s">
        <v>6186</v>
      </c>
      <c r="V2961" s="5" t="s">
        <v>44</v>
      </c>
      <c r="W2961" s="5" t="s">
        <v>35</v>
      </c>
      <c r="X2961" s="8" t="s">
        <v>218</v>
      </c>
      <c r="Y2961" s="5" t="s">
        <v>46</v>
      </c>
      <c r="Z2961" s="5" t="s">
        <v>47</v>
      </c>
      <c r="AA2961" s="5" t="s">
        <v>48</v>
      </c>
      <c r="AB2961" s="5" t="s">
        <v>14570</v>
      </c>
      <c r="AC2961" s="6" t="s">
        <v>396</v>
      </c>
      <c r="AD2961" s="6">
        <v>7132.0</v>
      </c>
    </row>
    <row r="2962" ht="56.25" customHeight="1">
      <c r="A2962" s="5" t="s">
        <v>14505</v>
      </c>
      <c r="B2962" s="6" t="str">
        <f>IMAGE("https://storage.googleapis.com/acdb/housewares/FtrWoodenBedW_Remake_3_0.png")</f>
        <v/>
      </c>
      <c r="C2962" s="5" t="s">
        <v>1132</v>
      </c>
      <c r="D2962" s="5" t="s">
        <v>748</v>
      </c>
      <c r="E2962" s="5" t="s">
        <v>142</v>
      </c>
      <c r="F2962" s="5" t="s">
        <v>1271</v>
      </c>
      <c r="G2962" s="5" t="s">
        <v>35</v>
      </c>
      <c r="H2962" s="5" t="s">
        <v>35</v>
      </c>
      <c r="I2962" s="5" t="s">
        <v>35</v>
      </c>
      <c r="J2962" s="6">
        <v>6.0</v>
      </c>
      <c r="K2962" s="6" t="s">
        <v>37</v>
      </c>
      <c r="L2962" s="6">
        <v>3600.0</v>
      </c>
      <c r="M2962" s="26" t="s">
        <v>39</v>
      </c>
      <c r="N2962" s="26" t="s">
        <v>142</v>
      </c>
      <c r="O2962" s="6" t="s">
        <v>214</v>
      </c>
      <c r="P2962" s="5" t="s">
        <v>41</v>
      </c>
      <c r="Q2962" s="5"/>
      <c r="R2962" s="6" t="s">
        <v>42</v>
      </c>
      <c r="S2962" s="5" t="s">
        <v>99</v>
      </c>
      <c r="T2962" s="5" t="s">
        <v>90</v>
      </c>
      <c r="U2962" s="5" t="s">
        <v>6186</v>
      </c>
      <c r="V2962" s="5" t="s">
        <v>44</v>
      </c>
      <c r="W2962" s="5" t="s">
        <v>35</v>
      </c>
      <c r="X2962" s="8" t="s">
        <v>218</v>
      </c>
      <c r="Y2962" s="5" t="s">
        <v>46</v>
      </c>
      <c r="Z2962" s="5" t="s">
        <v>47</v>
      </c>
      <c r="AA2962" s="5" t="s">
        <v>48</v>
      </c>
      <c r="AB2962" s="5" t="s">
        <v>14577</v>
      </c>
      <c r="AC2962" s="6" t="s">
        <v>71</v>
      </c>
      <c r="AD2962" s="6">
        <v>7132.0</v>
      </c>
    </row>
    <row r="2963" ht="56.25" customHeight="1">
      <c r="A2963" s="5" t="s">
        <v>14505</v>
      </c>
      <c r="B2963" s="6" t="str">
        <f>IMAGE("https://storage.googleapis.com/acdb/housewares/FtrWoodenBedW_Remake_3_1.png")</f>
        <v/>
      </c>
      <c r="C2963" s="5" t="s">
        <v>1132</v>
      </c>
      <c r="D2963" s="5" t="s">
        <v>748</v>
      </c>
      <c r="E2963" s="5" t="s">
        <v>69</v>
      </c>
      <c r="F2963" s="5" t="s">
        <v>1271</v>
      </c>
      <c r="G2963" s="5" t="s">
        <v>35</v>
      </c>
      <c r="H2963" s="5" t="s">
        <v>35</v>
      </c>
      <c r="I2963" s="5" t="s">
        <v>35</v>
      </c>
      <c r="J2963" s="6">
        <v>6.0</v>
      </c>
      <c r="K2963" s="6" t="s">
        <v>37</v>
      </c>
      <c r="L2963" s="6">
        <v>3600.0</v>
      </c>
      <c r="M2963" s="26" t="s">
        <v>39</v>
      </c>
      <c r="N2963" s="26" t="s">
        <v>69</v>
      </c>
      <c r="O2963" s="6" t="s">
        <v>214</v>
      </c>
      <c r="P2963" s="5" t="s">
        <v>41</v>
      </c>
      <c r="Q2963" s="5"/>
      <c r="R2963" s="6" t="s">
        <v>42</v>
      </c>
      <c r="S2963" s="5" t="s">
        <v>99</v>
      </c>
      <c r="T2963" s="5" t="s">
        <v>90</v>
      </c>
      <c r="U2963" s="5" t="s">
        <v>6186</v>
      </c>
      <c r="V2963" s="5" t="s">
        <v>44</v>
      </c>
      <c r="W2963" s="5" t="s">
        <v>35</v>
      </c>
      <c r="X2963" s="8" t="s">
        <v>218</v>
      </c>
      <c r="Y2963" s="5" t="s">
        <v>46</v>
      </c>
      <c r="Z2963" s="5" t="s">
        <v>47</v>
      </c>
      <c r="AA2963" s="5" t="s">
        <v>48</v>
      </c>
      <c r="AB2963" s="5" t="s">
        <v>14584</v>
      </c>
      <c r="AC2963" s="6" t="s">
        <v>257</v>
      </c>
      <c r="AD2963" s="6">
        <v>7132.0</v>
      </c>
    </row>
    <row r="2964" ht="56.25" customHeight="1">
      <c r="A2964" s="5" t="s">
        <v>14505</v>
      </c>
      <c r="B2964" s="6" t="str">
        <f>IMAGE("https://storage.googleapis.com/acdb/housewares/FtrWoodenBedW_Remake_3_2.png")</f>
        <v/>
      </c>
      <c r="C2964" s="5" t="s">
        <v>1132</v>
      </c>
      <c r="D2964" s="5" t="s">
        <v>748</v>
      </c>
      <c r="E2964" s="5" t="s">
        <v>68</v>
      </c>
      <c r="F2964" s="5" t="s">
        <v>1271</v>
      </c>
      <c r="G2964" s="5" t="s">
        <v>35</v>
      </c>
      <c r="H2964" s="5" t="s">
        <v>35</v>
      </c>
      <c r="I2964" s="5" t="s">
        <v>35</v>
      </c>
      <c r="J2964" s="6">
        <v>6.0</v>
      </c>
      <c r="K2964" s="6" t="s">
        <v>37</v>
      </c>
      <c r="L2964" s="6">
        <v>3600.0</v>
      </c>
      <c r="M2964" s="26" t="s">
        <v>39</v>
      </c>
      <c r="N2964" s="26" t="s">
        <v>1175</v>
      </c>
      <c r="O2964" s="6" t="s">
        <v>214</v>
      </c>
      <c r="P2964" s="5" t="s">
        <v>41</v>
      </c>
      <c r="Q2964" s="5"/>
      <c r="R2964" s="6" t="s">
        <v>42</v>
      </c>
      <c r="S2964" s="5" t="s">
        <v>99</v>
      </c>
      <c r="T2964" s="5" t="s">
        <v>90</v>
      </c>
      <c r="U2964" s="5" t="s">
        <v>6186</v>
      </c>
      <c r="V2964" s="5" t="s">
        <v>44</v>
      </c>
      <c r="W2964" s="5" t="s">
        <v>35</v>
      </c>
      <c r="X2964" s="8" t="s">
        <v>218</v>
      </c>
      <c r="Y2964" s="5" t="s">
        <v>46</v>
      </c>
      <c r="Z2964" s="5" t="s">
        <v>47</v>
      </c>
      <c r="AA2964" s="5" t="s">
        <v>48</v>
      </c>
      <c r="AB2964" s="5" t="s">
        <v>14590</v>
      </c>
      <c r="AC2964" s="6" t="s">
        <v>414</v>
      </c>
      <c r="AD2964" s="6">
        <v>7132.0</v>
      </c>
    </row>
    <row r="2965" ht="56.25" customHeight="1">
      <c r="A2965" s="5" t="s">
        <v>14505</v>
      </c>
      <c r="B2965" s="6" t="str">
        <f>IMAGE("https://storage.googleapis.com/acdb/housewares/FtrWoodenBedW_Remake_3_3.png")</f>
        <v/>
      </c>
      <c r="C2965" s="5" t="s">
        <v>1132</v>
      </c>
      <c r="D2965" s="5" t="s">
        <v>748</v>
      </c>
      <c r="E2965" s="5" t="s">
        <v>96</v>
      </c>
      <c r="F2965" s="5" t="s">
        <v>1271</v>
      </c>
      <c r="G2965" s="5" t="s">
        <v>35</v>
      </c>
      <c r="H2965" s="5" t="s">
        <v>35</v>
      </c>
      <c r="I2965" s="5" t="s">
        <v>35</v>
      </c>
      <c r="J2965" s="6">
        <v>6.0</v>
      </c>
      <c r="K2965" s="6" t="s">
        <v>37</v>
      </c>
      <c r="L2965" s="6">
        <v>3600.0</v>
      </c>
      <c r="M2965" s="26" t="s">
        <v>39</v>
      </c>
      <c r="N2965" s="26" t="s">
        <v>96</v>
      </c>
      <c r="O2965" s="6" t="s">
        <v>214</v>
      </c>
      <c r="P2965" s="5" t="s">
        <v>41</v>
      </c>
      <c r="Q2965" s="5"/>
      <c r="R2965" s="6" t="s">
        <v>42</v>
      </c>
      <c r="S2965" s="5" t="s">
        <v>99</v>
      </c>
      <c r="T2965" s="5" t="s">
        <v>90</v>
      </c>
      <c r="U2965" s="5" t="s">
        <v>6186</v>
      </c>
      <c r="V2965" s="5" t="s">
        <v>44</v>
      </c>
      <c r="W2965" s="5" t="s">
        <v>35</v>
      </c>
      <c r="X2965" s="8" t="s">
        <v>218</v>
      </c>
      <c r="Y2965" s="5" t="s">
        <v>46</v>
      </c>
      <c r="Z2965" s="5" t="s">
        <v>47</v>
      </c>
      <c r="AA2965" s="5" t="s">
        <v>48</v>
      </c>
      <c r="AB2965" s="5" t="s">
        <v>14595</v>
      </c>
      <c r="AC2965" s="6" t="s">
        <v>418</v>
      </c>
      <c r="AD2965" s="6">
        <v>7132.0</v>
      </c>
    </row>
    <row r="2966" ht="56.25" customHeight="1">
      <c r="A2966" s="5" t="s">
        <v>14505</v>
      </c>
      <c r="B2966" s="6" t="str">
        <f>IMAGE("https://storage.googleapis.com/acdb/housewares/FtrWoodenBedW_Remake_4_0.png")</f>
        <v/>
      </c>
      <c r="C2966" s="5" t="s">
        <v>54</v>
      </c>
      <c r="D2966" s="5" t="s">
        <v>748</v>
      </c>
      <c r="E2966" s="5" t="s">
        <v>142</v>
      </c>
      <c r="F2966" s="5" t="s">
        <v>1271</v>
      </c>
      <c r="G2966" s="5" t="s">
        <v>35</v>
      </c>
      <c r="H2966" s="5" t="s">
        <v>35</v>
      </c>
      <c r="I2966" s="5" t="s">
        <v>35</v>
      </c>
      <c r="J2966" s="6">
        <v>6.0</v>
      </c>
      <c r="K2966" s="6" t="s">
        <v>37</v>
      </c>
      <c r="L2966" s="6">
        <v>3600.0</v>
      </c>
      <c r="M2966" s="26" t="s">
        <v>54</v>
      </c>
      <c r="N2966" s="26" t="s">
        <v>142</v>
      </c>
      <c r="O2966" s="6" t="s">
        <v>214</v>
      </c>
      <c r="P2966" s="5" t="s">
        <v>41</v>
      </c>
      <c r="Q2966" s="5"/>
      <c r="R2966" s="6" t="s">
        <v>42</v>
      </c>
      <c r="S2966" s="5" t="s">
        <v>99</v>
      </c>
      <c r="T2966" s="5" t="s">
        <v>90</v>
      </c>
      <c r="U2966" s="5" t="s">
        <v>6186</v>
      </c>
      <c r="V2966" s="5" t="s">
        <v>44</v>
      </c>
      <c r="W2966" s="5" t="s">
        <v>35</v>
      </c>
      <c r="X2966" s="8" t="s">
        <v>218</v>
      </c>
      <c r="Y2966" s="5" t="s">
        <v>46</v>
      </c>
      <c r="Z2966" s="5" t="s">
        <v>47</v>
      </c>
      <c r="AA2966" s="5" t="s">
        <v>48</v>
      </c>
      <c r="AB2966" s="5" t="s">
        <v>14599</v>
      </c>
      <c r="AC2966" s="6" t="s">
        <v>75</v>
      </c>
      <c r="AD2966" s="6">
        <v>7132.0</v>
      </c>
    </row>
    <row r="2967" ht="56.25" customHeight="1">
      <c r="A2967" s="5" t="s">
        <v>14505</v>
      </c>
      <c r="B2967" s="6" t="str">
        <f>IMAGE("https://storage.googleapis.com/acdb/housewares/FtrWoodenBedW_Remake_4_1.png")</f>
        <v/>
      </c>
      <c r="C2967" s="5" t="s">
        <v>54</v>
      </c>
      <c r="D2967" s="5" t="s">
        <v>748</v>
      </c>
      <c r="E2967" s="5" t="s">
        <v>69</v>
      </c>
      <c r="F2967" s="5" t="s">
        <v>1271</v>
      </c>
      <c r="G2967" s="5" t="s">
        <v>35</v>
      </c>
      <c r="H2967" s="5" t="s">
        <v>35</v>
      </c>
      <c r="I2967" s="5" t="s">
        <v>35</v>
      </c>
      <c r="J2967" s="6">
        <v>6.0</v>
      </c>
      <c r="K2967" s="6" t="s">
        <v>37</v>
      </c>
      <c r="L2967" s="6">
        <v>3600.0</v>
      </c>
      <c r="M2967" s="26" t="s">
        <v>54</v>
      </c>
      <c r="N2967" s="26" t="s">
        <v>69</v>
      </c>
      <c r="O2967" s="6" t="s">
        <v>214</v>
      </c>
      <c r="P2967" s="5" t="s">
        <v>41</v>
      </c>
      <c r="Q2967" s="5"/>
      <c r="R2967" s="6" t="s">
        <v>42</v>
      </c>
      <c r="S2967" s="5" t="s">
        <v>99</v>
      </c>
      <c r="T2967" s="5" t="s">
        <v>90</v>
      </c>
      <c r="U2967" s="5" t="s">
        <v>6186</v>
      </c>
      <c r="V2967" s="5" t="s">
        <v>44</v>
      </c>
      <c r="W2967" s="5" t="s">
        <v>35</v>
      </c>
      <c r="X2967" s="8" t="s">
        <v>218</v>
      </c>
      <c r="Y2967" s="5" t="s">
        <v>46</v>
      </c>
      <c r="Z2967" s="5" t="s">
        <v>47</v>
      </c>
      <c r="AA2967" s="5" t="s">
        <v>48</v>
      </c>
      <c r="AB2967" s="5" t="s">
        <v>14604</v>
      </c>
      <c r="AC2967" s="6" t="s">
        <v>429</v>
      </c>
      <c r="AD2967" s="6">
        <v>7132.0</v>
      </c>
    </row>
    <row r="2968" ht="56.25" customHeight="1">
      <c r="A2968" s="5" t="s">
        <v>14505</v>
      </c>
      <c r="B2968" s="6" t="str">
        <f>IMAGE("https://storage.googleapis.com/acdb/housewares/FtrWoodenBedW_Remake_4_2.png")</f>
        <v/>
      </c>
      <c r="C2968" s="5" t="s">
        <v>54</v>
      </c>
      <c r="D2968" s="5" t="s">
        <v>748</v>
      </c>
      <c r="E2968" s="5" t="s">
        <v>68</v>
      </c>
      <c r="F2968" s="5" t="s">
        <v>1271</v>
      </c>
      <c r="G2968" s="5" t="s">
        <v>35</v>
      </c>
      <c r="H2968" s="5" t="s">
        <v>35</v>
      </c>
      <c r="I2968" s="5" t="s">
        <v>35</v>
      </c>
      <c r="J2968" s="6">
        <v>6.0</v>
      </c>
      <c r="K2968" s="6" t="s">
        <v>37</v>
      </c>
      <c r="L2968" s="6">
        <v>3600.0</v>
      </c>
      <c r="M2968" s="26" t="s">
        <v>54</v>
      </c>
      <c r="N2968" s="26" t="s">
        <v>1175</v>
      </c>
      <c r="O2968" s="6" t="s">
        <v>214</v>
      </c>
      <c r="P2968" s="5" t="s">
        <v>41</v>
      </c>
      <c r="Q2968" s="5"/>
      <c r="R2968" s="6" t="s">
        <v>42</v>
      </c>
      <c r="S2968" s="5" t="s">
        <v>99</v>
      </c>
      <c r="T2968" s="5" t="s">
        <v>90</v>
      </c>
      <c r="U2968" s="5" t="s">
        <v>6186</v>
      </c>
      <c r="V2968" s="5" t="s">
        <v>44</v>
      </c>
      <c r="W2968" s="5" t="s">
        <v>35</v>
      </c>
      <c r="X2968" s="8" t="s">
        <v>218</v>
      </c>
      <c r="Y2968" s="5" t="s">
        <v>46</v>
      </c>
      <c r="Z2968" s="5" t="s">
        <v>47</v>
      </c>
      <c r="AA2968" s="5" t="s">
        <v>48</v>
      </c>
      <c r="AB2968" s="5" t="s">
        <v>14607</v>
      </c>
      <c r="AC2968" s="6" t="s">
        <v>434</v>
      </c>
      <c r="AD2968" s="6">
        <v>7132.0</v>
      </c>
    </row>
    <row r="2969" ht="56.25" customHeight="1">
      <c r="A2969" s="5" t="s">
        <v>14505</v>
      </c>
      <c r="B2969" s="6" t="str">
        <f>IMAGE("https://storage.googleapis.com/acdb/housewares/FtrWoodenBedW_Remake_4_3.png")</f>
        <v/>
      </c>
      <c r="C2969" s="5" t="s">
        <v>54</v>
      </c>
      <c r="D2969" s="5" t="s">
        <v>748</v>
      </c>
      <c r="E2969" s="5" t="s">
        <v>96</v>
      </c>
      <c r="F2969" s="5" t="s">
        <v>1271</v>
      </c>
      <c r="G2969" s="5" t="s">
        <v>35</v>
      </c>
      <c r="H2969" s="5" t="s">
        <v>35</v>
      </c>
      <c r="I2969" s="5" t="s">
        <v>35</v>
      </c>
      <c r="J2969" s="6">
        <v>6.0</v>
      </c>
      <c r="K2969" s="6" t="s">
        <v>37</v>
      </c>
      <c r="L2969" s="6">
        <v>3600.0</v>
      </c>
      <c r="M2969" s="26" t="s">
        <v>54</v>
      </c>
      <c r="N2969" s="26" t="s">
        <v>96</v>
      </c>
      <c r="O2969" s="6" t="s">
        <v>214</v>
      </c>
      <c r="P2969" s="5" t="s">
        <v>41</v>
      </c>
      <c r="Q2969" s="5"/>
      <c r="R2969" s="6" t="s">
        <v>42</v>
      </c>
      <c r="S2969" s="5" t="s">
        <v>99</v>
      </c>
      <c r="T2969" s="5" t="s">
        <v>90</v>
      </c>
      <c r="U2969" s="5" t="s">
        <v>6186</v>
      </c>
      <c r="V2969" s="5" t="s">
        <v>44</v>
      </c>
      <c r="W2969" s="5" t="s">
        <v>35</v>
      </c>
      <c r="X2969" s="8" t="s">
        <v>218</v>
      </c>
      <c r="Y2969" s="5" t="s">
        <v>46</v>
      </c>
      <c r="Z2969" s="5" t="s">
        <v>47</v>
      </c>
      <c r="AA2969" s="5" t="s">
        <v>48</v>
      </c>
      <c r="AB2969" s="5" t="s">
        <v>14612</v>
      </c>
      <c r="AC2969" s="6" t="s">
        <v>438</v>
      </c>
      <c r="AD2969" s="6">
        <v>7132.0</v>
      </c>
    </row>
    <row r="2970" ht="56.25" customHeight="1">
      <c r="A2970" s="5" t="s">
        <v>14505</v>
      </c>
      <c r="B2970" s="6" t="str">
        <f>IMAGE("https://storage.googleapis.com/acdb/housewares/FtrWoodenBedW_Remake_5_0.png")</f>
        <v/>
      </c>
      <c r="C2970" s="5" t="s">
        <v>96</v>
      </c>
      <c r="D2970" s="5" t="s">
        <v>748</v>
      </c>
      <c r="E2970" s="5" t="s">
        <v>142</v>
      </c>
      <c r="F2970" s="5" t="s">
        <v>1271</v>
      </c>
      <c r="G2970" s="5" t="s">
        <v>35</v>
      </c>
      <c r="H2970" s="5" t="s">
        <v>35</v>
      </c>
      <c r="I2970" s="5" t="s">
        <v>35</v>
      </c>
      <c r="J2970" s="6">
        <v>6.0</v>
      </c>
      <c r="K2970" s="6" t="s">
        <v>37</v>
      </c>
      <c r="L2970" s="6">
        <v>3600.0</v>
      </c>
      <c r="M2970" s="26" t="s">
        <v>96</v>
      </c>
      <c r="N2970" s="26" t="s">
        <v>142</v>
      </c>
      <c r="O2970" s="6" t="s">
        <v>214</v>
      </c>
      <c r="P2970" s="5" t="s">
        <v>41</v>
      </c>
      <c r="Q2970" s="5"/>
      <c r="R2970" s="6" t="s">
        <v>42</v>
      </c>
      <c r="S2970" s="5" t="s">
        <v>99</v>
      </c>
      <c r="T2970" s="5" t="s">
        <v>90</v>
      </c>
      <c r="U2970" s="5" t="s">
        <v>6186</v>
      </c>
      <c r="V2970" s="5" t="s">
        <v>44</v>
      </c>
      <c r="W2970" s="5" t="s">
        <v>35</v>
      </c>
      <c r="X2970" s="8" t="s">
        <v>218</v>
      </c>
      <c r="Y2970" s="5" t="s">
        <v>46</v>
      </c>
      <c r="Z2970" s="5" t="s">
        <v>47</v>
      </c>
      <c r="AA2970" s="5" t="s">
        <v>48</v>
      </c>
      <c r="AB2970" s="5" t="s">
        <v>14617</v>
      </c>
      <c r="AC2970" s="6" t="s">
        <v>79</v>
      </c>
      <c r="AD2970" s="6">
        <v>7132.0</v>
      </c>
    </row>
    <row r="2971" ht="56.25" customHeight="1">
      <c r="A2971" s="5" t="s">
        <v>14505</v>
      </c>
      <c r="B2971" s="6" t="str">
        <f>IMAGE("https://storage.googleapis.com/acdb/housewares/FtrWoodenBedW_Remake_5_1.png")</f>
        <v/>
      </c>
      <c r="C2971" s="5" t="s">
        <v>96</v>
      </c>
      <c r="D2971" s="5" t="s">
        <v>748</v>
      </c>
      <c r="E2971" s="5" t="s">
        <v>69</v>
      </c>
      <c r="F2971" s="5" t="s">
        <v>1271</v>
      </c>
      <c r="G2971" s="5" t="s">
        <v>35</v>
      </c>
      <c r="H2971" s="5" t="s">
        <v>35</v>
      </c>
      <c r="I2971" s="5" t="s">
        <v>35</v>
      </c>
      <c r="J2971" s="6">
        <v>6.0</v>
      </c>
      <c r="K2971" s="6" t="s">
        <v>37</v>
      </c>
      <c r="L2971" s="6">
        <v>3600.0</v>
      </c>
      <c r="M2971" s="26" t="s">
        <v>96</v>
      </c>
      <c r="N2971" s="26" t="s">
        <v>69</v>
      </c>
      <c r="O2971" s="6" t="s">
        <v>214</v>
      </c>
      <c r="P2971" s="5" t="s">
        <v>41</v>
      </c>
      <c r="Q2971" s="5"/>
      <c r="R2971" s="6" t="s">
        <v>42</v>
      </c>
      <c r="S2971" s="5" t="s">
        <v>99</v>
      </c>
      <c r="T2971" s="5" t="s">
        <v>90</v>
      </c>
      <c r="U2971" s="5" t="s">
        <v>6186</v>
      </c>
      <c r="V2971" s="5" t="s">
        <v>44</v>
      </c>
      <c r="W2971" s="5" t="s">
        <v>35</v>
      </c>
      <c r="X2971" s="8" t="s">
        <v>218</v>
      </c>
      <c r="Y2971" s="5" t="s">
        <v>46</v>
      </c>
      <c r="Z2971" s="5" t="s">
        <v>47</v>
      </c>
      <c r="AA2971" s="5" t="s">
        <v>48</v>
      </c>
      <c r="AB2971" s="5" t="s">
        <v>14621</v>
      </c>
      <c r="AC2971" s="6" t="s">
        <v>448</v>
      </c>
      <c r="AD2971" s="6">
        <v>7132.0</v>
      </c>
    </row>
    <row r="2972" ht="56.25" customHeight="1">
      <c r="A2972" s="5" t="s">
        <v>14505</v>
      </c>
      <c r="B2972" s="6" t="str">
        <f>IMAGE("https://storage.googleapis.com/acdb/housewares/FtrWoodenBedW_Remake_5_2.png")</f>
        <v/>
      </c>
      <c r="C2972" s="5" t="s">
        <v>96</v>
      </c>
      <c r="D2972" s="5" t="s">
        <v>748</v>
      </c>
      <c r="E2972" s="5" t="s">
        <v>68</v>
      </c>
      <c r="F2972" s="5" t="s">
        <v>1271</v>
      </c>
      <c r="G2972" s="5" t="s">
        <v>35</v>
      </c>
      <c r="H2972" s="5" t="s">
        <v>35</v>
      </c>
      <c r="I2972" s="5" t="s">
        <v>35</v>
      </c>
      <c r="J2972" s="6">
        <v>6.0</v>
      </c>
      <c r="K2972" s="6" t="s">
        <v>37</v>
      </c>
      <c r="L2972" s="6">
        <v>3600.0</v>
      </c>
      <c r="M2972" s="26" t="s">
        <v>96</v>
      </c>
      <c r="N2972" s="26" t="s">
        <v>1175</v>
      </c>
      <c r="O2972" s="6" t="s">
        <v>214</v>
      </c>
      <c r="P2972" s="5" t="s">
        <v>41</v>
      </c>
      <c r="Q2972" s="5"/>
      <c r="R2972" s="6" t="s">
        <v>42</v>
      </c>
      <c r="S2972" s="5" t="s">
        <v>99</v>
      </c>
      <c r="T2972" s="5" t="s">
        <v>90</v>
      </c>
      <c r="U2972" s="5" t="s">
        <v>6186</v>
      </c>
      <c r="V2972" s="5" t="s">
        <v>44</v>
      </c>
      <c r="W2972" s="5" t="s">
        <v>35</v>
      </c>
      <c r="X2972" s="8" t="s">
        <v>218</v>
      </c>
      <c r="Y2972" s="5" t="s">
        <v>46</v>
      </c>
      <c r="Z2972" s="5" t="s">
        <v>47</v>
      </c>
      <c r="AA2972" s="5" t="s">
        <v>48</v>
      </c>
      <c r="AB2972" s="5" t="s">
        <v>14626</v>
      </c>
      <c r="AC2972" s="6" t="s">
        <v>452</v>
      </c>
      <c r="AD2972" s="6">
        <v>7132.0</v>
      </c>
    </row>
    <row r="2973" ht="56.25" customHeight="1">
      <c r="A2973" s="5" t="s">
        <v>14505</v>
      </c>
      <c r="B2973" s="6" t="str">
        <f>IMAGE("https://storage.googleapis.com/acdb/housewares/FtrWoodenBedW_Remake_5_3.png")</f>
        <v/>
      </c>
      <c r="C2973" s="5" t="s">
        <v>96</v>
      </c>
      <c r="D2973" s="5" t="s">
        <v>748</v>
      </c>
      <c r="E2973" s="5" t="s">
        <v>96</v>
      </c>
      <c r="F2973" s="5" t="s">
        <v>1271</v>
      </c>
      <c r="G2973" s="5" t="s">
        <v>35</v>
      </c>
      <c r="H2973" s="5" t="s">
        <v>35</v>
      </c>
      <c r="I2973" s="5" t="s">
        <v>35</v>
      </c>
      <c r="J2973" s="6">
        <v>6.0</v>
      </c>
      <c r="K2973" s="6" t="s">
        <v>37</v>
      </c>
      <c r="L2973" s="6">
        <v>3600.0</v>
      </c>
      <c r="M2973" s="26" t="s">
        <v>96</v>
      </c>
      <c r="N2973" s="26" t="s">
        <v>96</v>
      </c>
      <c r="O2973" s="6" t="s">
        <v>214</v>
      </c>
      <c r="P2973" s="5" t="s">
        <v>41</v>
      </c>
      <c r="Q2973" s="5"/>
      <c r="R2973" s="6" t="s">
        <v>42</v>
      </c>
      <c r="S2973" s="5" t="s">
        <v>99</v>
      </c>
      <c r="T2973" s="5" t="s">
        <v>90</v>
      </c>
      <c r="U2973" s="5" t="s">
        <v>6186</v>
      </c>
      <c r="V2973" s="5" t="s">
        <v>44</v>
      </c>
      <c r="W2973" s="5" t="s">
        <v>35</v>
      </c>
      <c r="X2973" s="8" t="s">
        <v>218</v>
      </c>
      <c r="Y2973" s="5" t="s">
        <v>46</v>
      </c>
      <c r="Z2973" s="5" t="s">
        <v>47</v>
      </c>
      <c r="AA2973" s="5" t="s">
        <v>48</v>
      </c>
      <c r="AB2973" s="5" t="s">
        <v>14629</v>
      </c>
      <c r="AC2973" s="6" t="s">
        <v>455</v>
      </c>
      <c r="AD2973" s="6">
        <v>7132.0</v>
      </c>
    </row>
    <row r="2974" ht="56.25" customHeight="1">
      <c r="A2974" s="5" t="s">
        <v>14505</v>
      </c>
      <c r="B2974" s="6" t="str">
        <f>IMAGE("https://storage.googleapis.com/acdb/housewares/FtrWoodenBedW_Remake_6_0.png")</f>
        <v/>
      </c>
      <c r="C2974" s="5" t="s">
        <v>68</v>
      </c>
      <c r="D2974" s="5" t="s">
        <v>748</v>
      </c>
      <c r="E2974" s="5" t="s">
        <v>142</v>
      </c>
      <c r="F2974" s="5" t="s">
        <v>1271</v>
      </c>
      <c r="G2974" s="5" t="s">
        <v>35</v>
      </c>
      <c r="H2974" s="5" t="s">
        <v>35</v>
      </c>
      <c r="I2974" s="5" t="s">
        <v>35</v>
      </c>
      <c r="J2974" s="6">
        <v>6.0</v>
      </c>
      <c r="K2974" s="6" t="s">
        <v>37</v>
      </c>
      <c r="L2974" s="6">
        <v>3600.0</v>
      </c>
      <c r="M2974" s="26" t="s">
        <v>68</v>
      </c>
      <c r="N2974" s="26" t="s">
        <v>142</v>
      </c>
      <c r="O2974" s="6" t="s">
        <v>214</v>
      </c>
      <c r="P2974" s="5" t="s">
        <v>41</v>
      </c>
      <c r="Q2974" s="5"/>
      <c r="R2974" s="6" t="s">
        <v>42</v>
      </c>
      <c r="S2974" s="5" t="s">
        <v>99</v>
      </c>
      <c r="T2974" s="5" t="s">
        <v>90</v>
      </c>
      <c r="U2974" s="5" t="s">
        <v>6186</v>
      </c>
      <c r="V2974" s="5" t="s">
        <v>44</v>
      </c>
      <c r="W2974" s="5" t="s">
        <v>35</v>
      </c>
      <c r="X2974" s="8" t="s">
        <v>218</v>
      </c>
      <c r="Y2974" s="5" t="s">
        <v>46</v>
      </c>
      <c r="Z2974" s="5" t="s">
        <v>47</v>
      </c>
      <c r="AA2974" s="5" t="s">
        <v>48</v>
      </c>
      <c r="AB2974" s="5" t="s">
        <v>14634</v>
      </c>
      <c r="AC2974" s="6" t="s">
        <v>86</v>
      </c>
      <c r="AD2974" s="6">
        <v>7132.0</v>
      </c>
    </row>
    <row r="2975" ht="56.25" customHeight="1">
      <c r="A2975" s="5" t="s">
        <v>14505</v>
      </c>
      <c r="B2975" s="6" t="str">
        <f>IMAGE("https://storage.googleapis.com/acdb/housewares/FtrWoodenBedW_Remake_6_1.png")</f>
        <v/>
      </c>
      <c r="C2975" s="5" t="s">
        <v>68</v>
      </c>
      <c r="D2975" s="5" t="s">
        <v>748</v>
      </c>
      <c r="E2975" s="5" t="s">
        <v>69</v>
      </c>
      <c r="F2975" s="5" t="s">
        <v>1271</v>
      </c>
      <c r="G2975" s="5" t="s">
        <v>35</v>
      </c>
      <c r="H2975" s="5" t="s">
        <v>35</v>
      </c>
      <c r="I2975" s="5" t="s">
        <v>35</v>
      </c>
      <c r="J2975" s="6">
        <v>6.0</v>
      </c>
      <c r="K2975" s="6" t="s">
        <v>37</v>
      </c>
      <c r="L2975" s="6">
        <v>3600.0</v>
      </c>
      <c r="M2975" s="26" t="s">
        <v>68</v>
      </c>
      <c r="N2975" s="26" t="s">
        <v>69</v>
      </c>
      <c r="O2975" s="6" t="s">
        <v>214</v>
      </c>
      <c r="P2975" s="5" t="s">
        <v>41</v>
      </c>
      <c r="Q2975" s="5"/>
      <c r="R2975" s="6" t="s">
        <v>42</v>
      </c>
      <c r="S2975" s="5" t="s">
        <v>99</v>
      </c>
      <c r="T2975" s="5" t="s">
        <v>90</v>
      </c>
      <c r="U2975" s="5" t="s">
        <v>6186</v>
      </c>
      <c r="V2975" s="5" t="s">
        <v>44</v>
      </c>
      <c r="W2975" s="5" t="s">
        <v>35</v>
      </c>
      <c r="X2975" s="8" t="s">
        <v>218</v>
      </c>
      <c r="Y2975" s="5" t="s">
        <v>46</v>
      </c>
      <c r="Z2975" s="5" t="s">
        <v>47</v>
      </c>
      <c r="AA2975" s="5" t="s">
        <v>48</v>
      </c>
      <c r="AB2975" s="5" t="s">
        <v>14639</v>
      </c>
      <c r="AC2975" s="6" t="s">
        <v>620</v>
      </c>
      <c r="AD2975" s="6">
        <v>7132.0</v>
      </c>
    </row>
    <row r="2976" ht="56.25" customHeight="1">
      <c r="A2976" s="5" t="s">
        <v>14505</v>
      </c>
      <c r="B2976" s="6" t="str">
        <f>IMAGE("https://storage.googleapis.com/acdb/housewares/FtrWoodenBedW_Remake_6_2.png")</f>
        <v/>
      </c>
      <c r="C2976" s="5" t="s">
        <v>68</v>
      </c>
      <c r="D2976" s="5" t="s">
        <v>748</v>
      </c>
      <c r="E2976" s="5" t="s">
        <v>68</v>
      </c>
      <c r="F2976" s="5" t="s">
        <v>1271</v>
      </c>
      <c r="G2976" s="5" t="s">
        <v>35</v>
      </c>
      <c r="H2976" s="5" t="s">
        <v>35</v>
      </c>
      <c r="I2976" s="5" t="s">
        <v>35</v>
      </c>
      <c r="J2976" s="6">
        <v>6.0</v>
      </c>
      <c r="K2976" s="6" t="s">
        <v>37</v>
      </c>
      <c r="L2976" s="6">
        <v>3600.0</v>
      </c>
      <c r="M2976" s="26" t="s">
        <v>68</v>
      </c>
      <c r="N2976" s="26" t="s">
        <v>1175</v>
      </c>
      <c r="O2976" s="6" t="s">
        <v>214</v>
      </c>
      <c r="P2976" s="5" t="s">
        <v>41</v>
      </c>
      <c r="Q2976" s="5"/>
      <c r="R2976" s="6" t="s">
        <v>42</v>
      </c>
      <c r="S2976" s="5" t="s">
        <v>99</v>
      </c>
      <c r="T2976" s="5" t="s">
        <v>90</v>
      </c>
      <c r="U2976" s="5" t="s">
        <v>6186</v>
      </c>
      <c r="V2976" s="5" t="s">
        <v>44</v>
      </c>
      <c r="W2976" s="5" t="s">
        <v>35</v>
      </c>
      <c r="X2976" s="8" t="s">
        <v>218</v>
      </c>
      <c r="Y2976" s="5" t="s">
        <v>46</v>
      </c>
      <c r="Z2976" s="5" t="s">
        <v>47</v>
      </c>
      <c r="AA2976" s="5" t="s">
        <v>48</v>
      </c>
      <c r="AB2976" s="5" t="s">
        <v>14644</v>
      </c>
      <c r="AC2976" s="6" t="s">
        <v>626</v>
      </c>
      <c r="AD2976" s="6">
        <v>7132.0</v>
      </c>
    </row>
    <row r="2977" ht="56.25" customHeight="1">
      <c r="A2977" s="5" t="s">
        <v>14505</v>
      </c>
      <c r="B2977" s="6" t="str">
        <f>IMAGE("https://storage.googleapis.com/acdb/housewares/FtrWoodenBedW_Remake_6_3.png")</f>
        <v/>
      </c>
      <c r="C2977" s="5" t="s">
        <v>68</v>
      </c>
      <c r="D2977" s="5" t="s">
        <v>748</v>
      </c>
      <c r="E2977" s="5" t="s">
        <v>96</v>
      </c>
      <c r="F2977" s="5" t="s">
        <v>1271</v>
      </c>
      <c r="G2977" s="5" t="s">
        <v>35</v>
      </c>
      <c r="H2977" s="5" t="s">
        <v>35</v>
      </c>
      <c r="I2977" s="5" t="s">
        <v>35</v>
      </c>
      <c r="J2977" s="6">
        <v>6.0</v>
      </c>
      <c r="K2977" s="6" t="s">
        <v>37</v>
      </c>
      <c r="L2977" s="6">
        <v>3600.0</v>
      </c>
      <c r="M2977" s="26" t="s">
        <v>68</v>
      </c>
      <c r="N2977" s="26" t="s">
        <v>96</v>
      </c>
      <c r="O2977" s="6" t="s">
        <v>214</v>
      </c>
      <c r="P2977" s="5" t="s">
        <v>41</v>
      </c>
      <c r="Q2977" s="5"/>
      <c r="R2977" s="6" t="s">
        <v>42</v>
      </c>
      <c r="S2977" s="5" t="s">
        <v>99</v>
      </c>
      <c r="T2977" s="5" t="s">
        <v>90</v>
      </c>
      <c r="U2977" s="5" t="s">
        <v>6186</v>
      </c>
      <c r="V2977" s="5" t="s">
        <v>44</v>
      </c>
      <c r="W2977" s="5" t="s">
        <v>35</v>
      </c>
      <c r="X2977" s="8" t="s">
        <v>218</v>
      </c>
      <c r="Y2977" s="5" t="s">
        <v>46</v>
      </c>
      <c r="Z2977" s="5" t="s">
        <v>47</v>
      </c>
      <c r="AA2977" s="5" t="s">
        <v>48</v>
      </c>
      <c r="AB2977" s="5" t="s">
        <v>14648</v>
      </c>
      <c r="AC2977" s="6" t="s">
        <v>634</v>
      </c>
      <c r="AD2977" s="6">
        <v>7132.0</v>
      </c>
    </row>
    <row r="2978" ht="56.25" customHeight="1">
      <c r="A2978" s="5" t="s">
        <v>14505</v>
      </c>
      <c r="B2978" s="6" t="str">
        <f>IMAGE("https://storage.googleapis.com/acdb/housewares/FtrWoodenBedW_Remake_7_0.png")</f>
        <v/>
      </c>
      <c r="C2978" s="5" t="s">
        <v>6214</v>
      </c>
      <c r="D2978" s="5" t="s">
        <v>34</v>
      </c>
      <c r="E2978" s="5" t="s">
        <v>142</v>
      </c>
      <c r="F2978" s="5" t="s">
        <v>1271</v>
      </c>
      <c r="G2978" s="5" t="s">
        <v>35</v>
      </c>
      <c r="H2978" s="5" t="s">
        <v>36</v>
      </c>
      <c r="I2978" s="5" t="s">
        <v>35</v>
      </c>
      <c r="J2978" s="6">
        <v>6.0</v>
      </c>
      <c r="K2978" s="6" t="s">
        <v>37</v>
      </c>
      <c r="L2978" s="6">
        <v>3600.0</v>
      </c>
      <c r="M2978" s="26" t="s">
        <v>69</v>
      </c>
      <c r="N2978" s="26" t="s">
        <v>142</v>
      </c>
      <c r="O2978" s="6" t="s">
        <v>214</v>
      </c>
      <c r="P2978" s="5" t="s">
        <v>41</v>
      </c>
      <c r="Q2978" s="5"/>
      <c r="R2978" s="6" t="s">
        <v>42</v>
      </c>
      <c r="S2978" s="5" t="s">
        <v>99</v>
      </c>
      <c r="T2978" s="5" t="s">
        <v>90</v>
      </c>
      <c r="U2978" s="5" t="s">
        <v>6186</v>
      </c>
      <c r="V2978" s="5" t="s">
        <v>44</v>
      </c>
      <c r="W2978" s="5" t="s">
        <v>35</v>
      </c>
      <c r="X2978" s="8" t="s">
        <v>218</v>
      </c>
      <c r="Y2978" s="5" t="s">
        <v>46</v>
      </c>
      <c r="Z2978" s="5" t="s">
        <v>47</v>
      </c>
      <c r="AA2978" s="5" t="s">
        <v>48</v>
      </c>
      <c r="AB2978" s="5" t="s">
        <v>14652</v>
      </c>
      <c r="AC2978" s="6" t="s">
        <v>208</v>
      </c>
      <c r="AD2978" s="6">
        <v>7132.0</v>
      </c>
    </row>
    <row r="2979" ht="56.25" customHeight="1">
      <c r="A2979" s="5" t="s">
        <v>14505</v>
      </c>
      <c r="B2979" s="6" t="str">
        <f>IMAGE("https://storage.googleapis.com/acdb/housewares/FtrWoodenBedW_Remake_7_1.png")</f>
        <v/>
      </c>
      <c r="C2979" s="5" t="s">
        <v>6214</v>
      </c>
      <c r="D2979" s="5" t="s">
        <v>34</v>
      </c>
      <c r="E2979" s="5" t="s">
        <v>69</v>
      </c>
      <c r="F2979" s="5" t="s">
        <v>1271</v>
      </c>
      <c r="G2979" s="5" t="s">
        <v>35</v>
      </c>
      <c r="H2979" s="5" t="s">
        <v>36</v>
      </c>
      <c r="I2979" s="5" t="s">
        <v>35</v>
      </c>
      <c r="J2979" s="6">
        <v>6.0</v>
      </c>
      <c r="K2979" s="6" t="s">
        <v>37</v>
      </c>
      <c r="L2979" s="6">
        <v>3600.0</v>
      </c>
      <c r="M2979" s="26" t="s">
        <v>69</v>
      </c>
      <c r="N2979" s="26" t="s">
        <v>69</v>
      </c>
      <c r="O2979" s="6" t="s">
        <v>214</v>
      </c>
      <c r="P2979" s="5" t="s">
        <v>41</v>
      </c>
      <c r="Q2979" s="5"/>
      <c r="R2979" s="6" t="s">
        <v>42</v>
      </c>
      <c r="S2979" s="5" t="s">
        <v>99</v>
      </c>
      <c r="T2979" s="5" t="s">
        <v>90</v>
      </c>
      <c r="U2979" s="5" t="s">
        <v>6186</v>
      </c>
      <c r="V2979" s="5" t="s">
        <v>44</v>
      </c>
      <c r="W2979" s="5" t="s">
        <v>35</v>
      </c>
      <c r="X2979" s="8" t="s">
        <v>218</v>
      </c>
      <c r="Y2979" s="5" t="s">
        <v>46</v>
      </c>
      <c r="Z2979" s="5" t="s">
        <v>47</v>
      </c>
      <c r="AA2979" s="5" t="s">
        <v>48</v>
      </c>
      <c r="AB2979" s="5" t="s">
        <v>14655</v>
      </c>
      <c r="AC2979" s="6" t="s">
        <v>1892</v>
      </c>
      <c r="AD2979" s="6">
        <v>7132.0</v>
      </c>
    </row>
    <row r="2980" ht="56.25" customHeight="1">
      <c r="A2980" s="5" t="s">
        <v>14505</v>
      </c>
      <c r="B2980" s="6" t="str">
        <f>IMAGE("https://storage.googleapis.com/acdb/housewares/FtrWoodenBedW_Remake_7_2.png")</f>
        <v/>
      </c>
      <c r="C2980" s="5" t="s">
        <v>6214</v>
      </c>
      <c r="D2980" s="5" t="s">
        <v>34</v>
      </c>
      <c r="E2980" s="5" t="s">
        <v>68</v>
      </c>
      <c r="F2980" s="5" t="s">
        <v>1271</v>
      </c>
      <c r="G2980" s="5" t="s">
        <v>35</v>
      </c>
      <c r="H2980" s="5" t="s">
        <v>36</v>
      </c>
      <c r="I2980" s="5" t="s">
        <v>35</v>
      </c>
      <c r="J2980" s="6">
        <v>6.0</v>
      </c>
      <c r="K2980" s="6" t="s">
        <v>37</v>
      </c>
      <c r="L2980" s="6">
        <v>3600.0</v>
      </c>
      <c r="M2980" s="26" t="s">
        <v>69</v>
      </c>
      <c r="N2980" s="26" t="s">
        <v>1175</v>
      </c>
      <c r="O2980" s="6" t="s">
        <v>214</v>
      </c>
      <c r="P2980" s="5" t="s">
        <v>41</v>
      </c>
      <c r="Q2980" s="5"/>
      <c r="R2980" s="6" t="s">
        <v>42</v>
      </c>
      <c r="S2980" s="5" t="s">
        <v>99</v>
      </c>
      <c r="T2980" s="5" t="s">
        <v>90</v>
      </c>
      <c r="U2980" s="5" t="s">
        <v>6186</v>
      </c>
      <c r="V2980" s="5" t="s">
        <v>44</v>
      </c>
      <c r="W2980" s="5" t="s">
        <v>35</v>
      </c>
      <c r="X2980" s="8" t="s">
        <v>218</v>
      </c>
      <c r="Y2980" s="5" t="s">
        <v>46</v>
      </c>
      <c r="Z2980" s="5" t="s">
        <v>47</v>
      </c>
      <c r="AA2980" s="5" t="s">
        <v>48</v>
      </c>
      <c r="AB2980" s="5" t="s">
        <v>14660</v>
      </c>
      <c r="AC2980" s="6" t="s">
        <v>1901</v>
      </c>
      <c r="AD2980" s="6">
        <v>7132.0</v>
      </c>
    </row>
    <row r="2981" ht="56.25" customHeight="1">
      <c r="A2981" s="5" t="s">
        <v>14505</v>
      </c>
      <c r="B2981" s="6" t="str">
        <f>IMAGE("https://storage.googleapis.com/acdb/housewares/FtrWoodenBedW_Remake_7_3.png")</f>
        <v/>
      </c>
      <c r="C2981" s="5" t="s">
        <v>6214</v>
      </c>
      <c r="D2981" s="5" t="s">
        <v>34</v>
      </c>
      <c r="E2981" s="5" t="s">
        <v>96</v>
      </c>
      <c r="F2981" s="5" t="s">
        <v>1271</v>
      </c>
      <c r="G2981" s="5" t="s">
        <v>35</v>
      </c>
      <c r="H2981" s="5" t="s">
        <v>36</v>
      </c>
      <c r="I2981" s="5" t="s">
        <v>35</v>
      </c>
      <c r="J2981" s="6">
        <v>6.0</v>
      </c>
      <c r="K2981" s="6" t="s">
        <v>37</v>
      </c>
      <c r="L2981" s="6">
        <v>3600.0</v>
      </c>
      <c r="M2981" s="26" t="s">
        <v>69</v>
      </c>
      <c r="N2981" s="26" t="s">
        <v>96</v>
      </c>
      <c r="O2981" s="6" t="s">
        <v>214</v>
      </c>
      <c r="P2981" s="5" t="s">
        <v>41</v>
      </c>
      <c r="Q2981" s="5"/>
      <c r="R2981" s="6" t="s">
        <v>42</v>
      </c>
      <c r="S2981" s="5" t="s">
        <v>99</v>
      </c>
      <c r="T2981" s="5" t="s">
        <v>90</v>
      </c>
      <c r="U2981" s="5" t="s">
        <v>6186</v>
      </c>
      <c r="V2981" s="5" t="s">
        <v>44</v>
      </c>
      <c r="W2981" s="5" t="s">
        <v>35</v>
      </c>
      <c r="X2981" s="8" t="s">
        <v>218</v>
      </c>
      <c r="Y2981" s="5" t="s">
        <v>46</v>
      </c>
      <c r="Z2981" s="5" t="s">
        <v>47</v>
      </c>
      <c r="AA2981" s="5" t="s">
        <v>48</v>
      </c>
      <c r="AB2981" s="5" t="s">
        <v>14664</v>
      </c>
      <c r="AC2981" s="6" t="s">
        <v>1906</v>
      </c>
      <c r="AD2981" s="6">
        <v>7132.0</v>
      </c>
    </row>
    <row r="2982" ht="56.25" customHeight="1">
      <c r="A2982" s="5" t="s">
        <v>14665</v>
      </c>
      <c r="B2982" s="6" t="str">
        <f>IMAGE("https://storage.googleapis.com/acdb/housewares/FtrWoodenTableS_Remake_0_0.png")</f>
        <v/>
      </c>
      <c r="C2982" s="5" t="s">
        <v>1137</v>
      </c>
      <c r="D2982" s="5" t="s">
        <v>748</v>
      </c>
      <c r="E2982" s="5" t="s">
        <v>34</v>
      </c>
      <c r="F2982" s="5" t="s">
        <v>34</v>
      </c>
      <c r="G2982" s="5" t="s">
        <v>35</v>
      </c>
      <c r="H2982" s="5" t="s">
        <v>35</v>
      </c>
      <c r="I2982" s="5" t="s">
        <v>36</v>
      </c>
      <c r="J2982" s="6">
        <v>2.0</v>
      </c>
      <c r="K2982" s="6" t="s">
        <v>37</v>
      </c>
      <c r="L2982" s="6">
        <v>960.0</v>
      </c>
      <c r="M2982" s="26" t="s">
        <v>114</v>
      </c>
      <c r="N2982" s="26" t="s">
        <v>58</v>
      </c>
      <c r="O2982" s="6" t="s">
        <v>40</v>
      </c>
      <c r="P2982" s="5" t="s">
        <v>41</v>
      </c>
      <c r="Q2982" s="5"/>
      <c r="R2982" s="6" t="s">
        <v>42</v>
      </c>
      <c r="S2982" s="5" t="s">
        <v>99</v>
      </c>
      <c r="T2982" s="5" t="s">
        <v>90</v>
      </c>
      <c r="U2982" s="5" t="s">
        <v>6186</v>
      </c>
      <c r="V2982" s="5" t="s">
        <v>44</v>
      </c>
      <c r="W2982" s="5" t="s">
        <v>36</v>
      </c>
      <c r="X2982" s="8" t="s">
        <v>278</v>
      </c>
      <c r="Y2982" s="5" t="s">
        <v>46</v>
      </c>
      <c r="Z2982" s="5" t="s">
        <v>47</v>
      </c>
      <c r="AA2982" s="5" t="s">
        <v>48</v>
      </c>
      <c r="AB2982" s="5" t="s">
        <v>14670</v>
      </c>
      <c r="AC2982" s="6" t="s">
        <v>50</v>
      </c>
      <c r="AD2982" s="6">
        <v>3438.0</v>
      </c>
    </row>
    <row r="2983" ht="56.25" customHeight="1">
      <c r="A2983" s="5" t="s">
        <v>14665</v>
      </c>
      <c r="B2983" s="6" t="str">
        <f>IMAGE("https://storage.googleapis.com/acdb/housewares/FtrWoodenTableS_Remake_1_0.png")</f>
        <v/>
      </c>
      <c r="C2983" s="5" t="s">
        <v>1595</v>
      </c>
      <c r="D2983" s="5" t="s">
        <v>748</v>
      </c>
      <c r="E2983" s="5" t="s">
        <v>34</v>
      </c>
      <c r="F2983" s="5" t="s">
        <v>34</v>
      </c>
      <c r="G2983" s="5" t="s">
        <v>35</v>
      </c>
      <c r="H2983" s="5" t="s">
        <v>35</v>
      </c>
      <c r="I2983" s="5" t="s">
        <v>36</v>
      </c>
      <c r="J2983" s="6">
        <v>2.0</v>
      </c>
      <c r="K2983" s="6" t="s">
        <v>37</v>
      </c>
      <c r="L2983" s="6">
        <v>960.0</v>
      </c>
      <c r="M2983" s="26" t="s">
        <v>38</v>
      </c>
      <c r="N2983" s="26" t="s">
        <v>58</v>
      </c>
      <c r="O2983" s="6" t="s">
        <v>40</v>
      </c>
      <c r="P2983" s="5" t="s">
        <v>41</v>
      </c>
      <c r="Q2983" s="5"/>
      <c r="R2983" s="6" t="s">
        <v>42</v>
      </c>
      <c r="S2983" s="5" t="s">
        <v>99</v>
      </c>
      <c r="T2983" s="5" t="s">
        <v>90</v>
      </c>
      <c r="U2983" s="5" t="s">
        <v>6186</v>
      </c>
      <c r="V2983" s="5" t="s">
        <v>44</v>
      </c>
      <c r="W2983" s="5" t="s">
        <v>36</v>
      </c>
      <c r="X2983" s="8" t="s">
        <v>278</v>
      </c>
      <c r="Y2983" s="5" t="s">
        <v>46</v>
      </c>
      <c r="Z2983" s="5" t="s">
        <v>47</v>
      </c>
      <c r="AA2983" s="5" t="s">
        <v>48</v>
      </c>
      <c r="AB2983" s="5" t="s">
        <v>14674</v>
      </c>
      <c r="AC2983" s="6" t="s">
        <v>56</v>
      </c>
      <c r="AD2983" s="6">
        <v>3438.0</v>
      </c>
    </row>
    <row r="2984" ht="56.25" customHeight="1">
      <c r="A2984" s="5" t="s">
        <v>14665</v>
      </c>
      <c r="B2984" s="6" t="str">
        <f>IMAGE("https://storage.googleapis.com/acdb/housewares/FtrWoodenTableS_Remake_2_0.png")</f>
        <v/>
      </c>
      <c r="C2984" s="5" t="s">
        <v>6192</v>
      </c>
      <c r="D2984" s="5" t="s">
        <v>748</v>
      </c>
      <c r="E2984" s="5" t="s">
        <v>34</v>
      </c>
      <c r="F2984" s="5" t="s">
        <v>34</v>
      </c>
      <c r="G2984" s="5" t="s">
        <v>35</v>
      </c>
      <c r="H2984" s="5" t="s">
        <v>35</v>
      </c>
      <c r="I2984" s="5" t="s">
        <v>36</v>
      </c>
      <c r="J2984" s="6">
        <v>2.0</v>
      </c>
      <c r="K2984" s="6" t="s">
        <v>37</v>
      </c>
      <c r="L2984" s="6">
        <v>960.0</v>
      </c>
      <c r="M2984" s="26" t="s">
        <v>142</v>
      </c>
      <c r="N2984" s="26" t="s">
        <v>58</v>
      </c>
      <c r="O2984" s="6" t="s">
        <v>40</v>
      </c>
      <c r="P2984" s="5" t="s">
        <v>41</v>
      </c>
      <c r="Q2984" s="5"/>
      <c r="R2984" s="6" t="s">
        <v>42</v>
      </c>
      <c r="S2984" s="5" t="s">
        <v>99</v>
      </c>
      <c r="T2984" s="5" t="s">
        <v>90</v>
      </c>
      <c r="U2984" s="5" t="s">
        <v>6186</v>
      </c>
      <c r="V2984" s="5" t="s">
        <v>44</v>
      </c>
      <c r="W2984" s="5" t="s">
        <v>36</v>
      </c>
      <c r="X2984" s="8" t="s">
        <v>278</v>
      </c>
      <c r="Y2984" s="5" t="s">
        <v>46</v>
      </c>
      <c r="Z2984" s="5" t="s">
        <v>47</v>
      </c>
      <c r="AA2984" s="5" t="s">
        <v>48</v>
      </c>
      <c r="AB2984" s="5" t="s">
        <v>14680</v>
      </c>
      <c r="AC2984" s="6" t="s">
        <v>67</v>
      </c>
      <c r="AD2984" s="6">
        <v>3438.0</v>
      </c>
    </row>
    <row r="2985" ht="56.25" customHeight="1">
      <c r="A2985" s="5" t="s">
        <v>14665</v>
      </c>
      <c r="B2985" s="6" t="str">
        <f>IMAGE("https://storage.googleapis.com/acdb/housewares/FtrWoodenTableS_Remake_3_0.png")</f>
        <v/>
      </c>
      <c r="C2985" s="5" t="s">
        <v>1132</v>
      </c>
      <c r="D2985" s="5" t="s">
        <v>748</v>
      </c>
      <c r="E2985" s="5" t="s">
        <v>34</v>
      </c>
      <c r="F2985" s="5" t="s">
        <v>34</v>
      </c>
      <c r="G2985" s="5" t="s">
        <v>35</v>
      </c>
      <c r="H2985" s="5" t="s">
        <v>35</v>
      </c>
      <c r="I2985" s="5" t="s">
        <v>36</v>
      </c>
      <c r="J2985" s="6">
        <v>2.0</v>
      </c>
      <c r="K2985" s="6" t="s">
        <v>37</v>
      </c>
      <c r="L2985" s="6">
        <v>960.0</v>
      </c>
      <c r="M2985" s="26" t="s">
        <v>39</v>
      </c>
      <c r="N2985" s="26" t="s">
        <v>58</v>
      </c>
      <c r="O2985" s="6" t="s">
        <v>40</v>
      </c>
      <c r="P2985" s="5" t="s">
        <v>41</v>
      </c>
      <c r="Q2985" s="5"/>
      <c r="R2985" s="6" t="s">
        <v>42</v>
      </c>
      <c r="S2985" s="5" t="s">
        <v>99</v>
      </c>
      <c r="T2985" s="5" t="s">
        <v>90</v>
      </c>
      <c r="U2985" s="5" t="s">
        <v>6186</v>
      </c>
      <c r="V2985" s="5" t="s">
        <v>44</v>
      </c>
      <c r="W2985" s="5" t="s">
        <v>36</v>
      </c>
      <c r="X2985" s="8" t="s">
        <v>278</v>
      </c>
      <c r="Y2985" s="5" t="s">
        <v>46</v>
      </c>
      <c r="Z2985" s="5" t="s">
        <v>47</v>
      </c>
      <c r="AA2985" s="5" t="s">
        <v>48</v>
      </c>
      <c r="AB2985" s="5" t="s">
        <v>14685</v>
      </c>
      <c r="AC2985" s="6" t="s">
        <v>71</v>
      </c>
      <c r="AD2985" s="6">
        <v>3438.0</v>
      </c>
    </row>
    <row r="2986" ht="56.25" customHeight="1">
      <c r="A2986" s="5" t="s">
        <v>14665</v>
      </c>
      <c r="B2986" s="6" t="str">
        <f>IMAGE("https://storage.googleapis.com/acdb/housewares/FtrWoodenTableS_Remake_4_0.png")</f>
        <v/>
      </c>
      <c r="C2986" s="5" t="s">
        <v>54</v>
      </c>
      <c r="D2986" s="5" t="s">
        <v>748</v>
      </c>
      <c r="E2986" s="5" t="s">
        <v>34</v>
      </c>
      <c r="F2986" s="5" t="s">
        <v>34</v>
      </c>
      <c r="G2986" s="5" t="s">
        <v>35</v>
      </c>
      <c r="H2986" s="5" t="s">
        <v>35</v>
      </c>
      <c r="I2986" s="5" t="s">
        <v>36</v>
      </c>
      <c r="J2986" s="6">
        <v>2.0</v>
      </c>
      <c r="K2986" s="6" t="s">
        <v>37</v>
      </c>
      <c r="L2986" s="6">
        <v>960.0</v>
      </c>
      <c r="M2986" s="26" t="s">
        <v>54</v>
      </c>
      <c r="N2986" s="26" t="s">
        <v>58</v>
      </c>
      <c r="O2986" s="6" t="s">
        <v>40</v>
      </c>
      <c r="P2986" s="5" t="s">
        <v>41</v>
      </c>
      <c r="Q2986" s="5"/>
      <c r="R2986" s="6" t="s">
        <v>42</v>
      </c>
      <c r="S2986" s="5" t="s">
        <v>99</v>
      </c>
      <c r="T2986" s="5" t="s">
        <v>90</v>
      </c>
      <c r="U2986" s="5" t="s">
        <v>6186</v>
      </c>
      <c r="V2986" s="5" t="s">
        <v>44</v>
      </c>
      <c r="W2986" s="5" t="s">
        <v>36</v>
      </c>
      <c r="X2986" s="8" t="s">
        <v>278</v>
      </c>
      <c r="Y2986" s="5" t="s">
        <v>46</v>
      </c>
      <c r="Z2986" s="5" t="s">
        <v>47</v>
      </c>
      <c r="AA2986" s="5" t="s">
        <v>48</v>
      </c>
      <c r="AB2986" s="5" t="s">
        <v>14692</v>
      </c>
      <c r="AC2986" s="6" t="s">
        <v>75</v>
      </c>
      <c r="AD2986" s="6">
        <v>3438.0</v>
      </c>
    </row>
    <row r="2987" ht="56.25" customHeight="1">
      <c r="A2987" s="5" t="s">
        <v>14665</v>
      </c>
      <c r="B2987" s="6" t="str">
        <f>IMAGE("https://storage.googleapis.com/acdb/housewares/FtrWoodenTableS_Remake_5_0.png")</f>
        <v/>
      </c>
      <c r="C2987" s="5" t="s">
        <v>96</v>
      </c>
      <c r="D2987" s="5" t="s">
        <v>748</v>
      </c>
      <c r="E2987" s="5" t="s">
        <v>34</v>
      </c>
      <c r="F2987" s="5" t="s">
        <v>34</v>
      </c>
      <c r="G2987" s="5" t="s">
        <v>35</v>
      </c>
      <c r="H2987" s="5" t="s">
        <v>35</v>
      </c>
      <c r="I2987" s="5" t="s">
        <v>36</v>
      </c>
      <c r="J2987" s="6">
        <v>2.0</v>
      </c>
      <c r="K2987" s="6" t="s">
        <v>37</v>
      </c>
      <c r="L2987" s="6">
        <v>960.0</v>
      </c>
      <c r="M2987" s="26" t="s">
        <v>96</v>
      </c>
      <c r="N2987" s="26" t="s">
        <v>58</v>
      </c>
      <c r="O2987" s="6" t="s">
        <v>40</v>
      </c>
      <c r="P2987" s="5" t="s">
        <v>41</v>
      </c>
      <c r="Q2987" s="5"/>
      <c r="R2987" s="6" t="s">
        <v>42</v>
      </c>
      <c r="S2987" s="5" t="s">
        <v>99</v>
      </c>
      <c r="T2987" s="5" t="s">
        <v>90</v>
      </c>
      <c r="U2987" s="5" t="s">
        <v>6186</v>
      </c>
      <c r="V2987" s="5" t="s">
        <v>44</v>
      </c>
      <c r="W2987" s="5" t="s">
        <v>36</v>
      </c>
      <c r="X2987" s="8" t="s">
        <v>278</v>
      </c>
      <c r="Y2987" s="5" t="s">
        <v>46</v>
      </c>
      <c r="Z2987" s="5" t="s">
        <v>47</v>
      </c>
      <c r="AA2987" s="5" t="s">
        <v>48</v>
      </c>
      <c r="AB2987" s="5" t="s">
        <v>14697</v>
      </c>
      <c r="AC2987" s="6" t="s">
        <v>79</v>
      </c>
      <c r="AD2987" s="6">
        <v>3438.0</v>
      </c>
    </row>
    <row r="2988" ht="56.25" customHeight="1">
      <c r="A2988" s="5" t="s">
        <v>14665</v>
      </c>
      <c r="B2988" s="6" t="str">
        <f>IMAGE("https://storage.googleapis.com/acdb/housewares/FtrWoodenTableS_Remake_6_0.png")</f>
        <v/>
      </c>
      <c r="C2988" s="5" t="s">
        <v>68</v>
      </c>
      <c r="D2988" s="5" t="s">
        <v>748</v>
      </c>
      <c r="E2988" s="5" t="s">
        <v>34</v>
      </c>
      <c r="F2988" s="5" t="s">
        <v>34</v>
      </c>
      <c r="G2988" s="5" t="s">
        <v>35</v>
      </c>
      <c r="H2988" s="5" t="s">
        <v>35</v>
      </c>
      <c r="I2988" s="5" t="s">
        <v>36</v>
      </c>
      <c r="J2988" s="6">
        <v>2.0</v>
      </c>
      <c r="K2988" s="6" t="s">
        <v>37</v>
      </c>
      <c r="L2988" s="6">
        <v>960.0</v>
      </c>
      <c r="M2988" s="26" t="s">
        <v>68</v>
      </c>
      <c r="N2988" s="26" t="s">
        <v>58</v>
      </c>
      <c r="O2988" s="6" t="s">
        <v>40</v>
      </c>
      <c r="P2988" s="5" t="s">
        <v>41</v>
      </c>
      <c r="Q2988" s="5"/>
      <c r="R2988" s="6" t="s">
        <v>42</v>
      </c>
      <c r="S2988" s="5" t="s">
        <v>99</v>
      </c>
      <c r="T2988" s="5" t="s">
        <v>90</v>
      </c>
      <c r="U2988" s="5" t="s">
        <v>6186</v>
      </c>
      <c r="V2988" s="5" t="s">
        <v>44</v>
      </c>
      <c r="W2988" s="5" t="s">
        <v>36</v>
      </c>
      <c r="X2988" s="8" t="s">
        <v>278</v>
      </c>
      <c r="Y2988" s="5" t="s">
        <v>46</v>
      </c>
      <c r="Z2988" s="5" t="s">
        <v>47</v>
      </c>
      <c r="AA2988" s="5" t="s">
        <v>48</v>
      </c>
      <c r="AB2988" s="5" t="s">
        <v>14702</v>
      </c>
      <c r="AC2988" s="6" t="s">
        <v>86</v>
      </c>
      <c r="AD2988" s="6">
        <v>3438.0</v>
      </c>
    </row>
    <row r="2989" ht="56.25" customHeight="1">
      <c r="A2989" s="5" t="s">
        <v>14665</v>
      </c>
      <c r="B2989" s="6" t="str">
        <f>IMAGE("https://storage.googleapis.com/acdb/housewares/FtrWoodenTableS_Remake_7_0.png")</f>
        <v/>
      </c>
      <c r="C2989" s="5" t="s">
        <v>6214</v>
      </c>
      <c r="D2989" s="5" t="s">
        <v>748</v>
      </c>
      <c r="E2989" s="5" t="s">
        <v>34</v>
      </c>
      <c r="F2989" s="5" t="s">
        <v>34</v>
      </c>
      <c r="G2989" s="5" t="s">
        <v>35</v>
      </c>
      <c r="H2989" s="5" t="s">
        <v>35</v>
      </c>
      <c r="I2989" s="5" t="s">
        <v>36</v>
      </c>
      <c r="J2989" s="6">
        <v>2.0</v>
      </c>
      <c r="K2989" s="6" t="s">
        <v>37</v>
      </c>
      <c r="L2989" s="6">
        <v>960.0</v>
      </c>
      <c r="M2989" s="26" t="s">
        <v>69</v>
      </c>
      <c r="N2989" s="26" t="s">
        <v>58</v>
      </c>
      <c r="O2989" s="6" t="s">
        <v>40</v>
      </c>
      <c r="P2989" s="5" t="s">
        <v>41</v>
      </c>
      <c r="Q2989" s="5"/>
      <c r="R2989" s="6" t="s">
        <v>42</v>
      </c>
      <c r="S2989" s="5" t="s">
        <v>99</v>
      </c>
      <c r="T2989" s="5" t="s">
        <v>90</v>
      </c>
      <c r="U2989" s="5" t="s">
        <v>6186</v>
      </c>
      <c r="V2989" s="5" t="s">
        <v>44</v>
      </c>
      <c r="W2989" s="5" t="s">
        <v>36</v>
      </c>
      <c r="X2989" s="8" t="s">
        <v>278</v>
      </c>
      <c r="Y2989" s="5" t="s">
        <v>46</v>
      </c>
      <c r="Z2989" s="5" t="s">
        <v>47</v>
      </c>
      <c r="AA2989" s="5" t="s">
        <v>48</v>
      </c>
      <c r="AB2989" s="5" t="s">
        <v>14708</v>
      </c>
      <c r="AC2989" s="6" t="s">
        <v>208</v>
      </c>
      <c r="AD2989" s="6">
        <v>3438.0</v>
      </c>
    </row>
    <row r="2990" ht="56.25" customHeight="1">
      <c r="A2990" s="5" t="s">
        <v>14709</v>
      </c>
      <c r="B2990" s="6" t="str">
        <f>IMAGE("https://storage.googleapis.com/acdb/housewares/FtrWoodenMirror_Remake_0_0.png")</f>
        <v/>
      </c>
      <c r="C2990" s="5" t="s">
        <v>1137</v>
      </c>
      <c r="D2990" s="5" t="s">
        <v>748</v>
      </c>
      <c r="E2990" s="5" t="s">
        <v>34</v>
      </c>
      <c r="F2990" s="5" t="s">
        <v>34</v>
      </c>
      <c r="G2990" s="5" t="s">
        <v>35</v>
      </c>
      <c r="H2990" s="5" t="s">
        <v>35</v>
      </c>
      <c r="I2990" s="5" t="s">
        <v>36</v>
      </c>
      <c r="J2990" s="6">
        <v>2.0</v>
      </c>
      <c r="K2990" s="6" t="s">
        <v>37</v>
      </c>
      <c r="L2990" s="6">
        <v>1350.0</v>
      </c>
      <c r="M2990" s="26" t="s">
        <v>114</v>
      </c>
      <c r="N2990" s="26" t="s">
        <v>114</v>
      </c>
      <c r="O2990" s="6" t="s">
        <v>40</v>
      </c>
      <c r="P2990" s="5" t="s">
        <v>41</v>
      </c>
      <c r="Q2990" s="5"/>
      <c r="R2990" s="6" t="s">
        <v>42</v>
      </c>
      <c r="S2990" s="5" t="s">
        <v>99</v>
      </c>
      <c r="T2990" s="5" t="s">
        <v>90</v>
      </c>
      <c r="U2990" s="5" t="s">
        <v>6186</v>
      </c>
      <c r="V2990" s="5" t="s">
        <v>44</v>
      </c>
      <c r="W2990" s="5" t="s">
        <v>35</v>
      </c>
      <c r="X2990" s="8" t="s">
        <v>309</v>
      </c>
      <c r="Y2990" s="5" t="s">
        <v>46</v>
      </c>
      <c r="Z2990" s="5" t="s">
        <v>47</v>
      </c>
      <c r="AA2990" s="5" t="s">
        <v>48</v>
      </c>
      <c r="AB2990" s="5" t="s">
        <v>14714</v>
      </c>
      <c r="AC2990" s="6" t="s">
        <v>50</v>
      </c>
      <c r="AD2990" s="6">
        <v>7137.0</v>
      </c>
    </row>
    <row r="2991" ht="56.25" customHeight="1">
      <c r="A2991" s="5" t="s">
        <v>14709</v>
      </c>
      <c r="B2991" s="6" t="str">
        <f>IMAGE("https://storage.googleapis.com/acdb/housewares/FtrWoodenMirror_Remake_1_0.png")</f>
        <v/>
      </c>
      <c r="C2991" s="5" t="s">
        <v>1595</v>
      </c>
      <c r="D2991" s="5" t="s">
        <v>748</v>
      </c>
      <c r="E2991" s="5" t="s">
        <v>34</v>
      </c>
      <c r="F2991" s="5" t="s">
        <v>34</v>
      </c>
      <c r="G2991" s="5" t="s">
        <v>35</v>
      </c>
      <c r="H2991" s="5" t="s">
        <v>35</v>
      </c>
      <c r="I2991" s="5" t="s">
        <v>36</v>
      </c>
      <c r="J2991" s="6">
        <v>2.0</v>
      </c>
      <c r="K2991" s="6" t="s">
        <v>37</v>
      </c>
      <c r="L2991" s="6">
        <v>1350.0</v>
      </c>
      <c r="M2991" s="26" t="s">
        <v>38</v>
      </c>
      <c r="N2991" s="26" t="s">
        <v>38</v>
      </c>
      <c r="O2991" s="6" t="s">
        <v>40</v>
      </c>
      <c r="P2991" s="5" t="s">
        <v>41</v>
      </c>
      <c r="Q2991" s="5"/>
      <c r="R2991" s="6" t="s">
        <v>42</v>
      </c>
      <c r="S2991" s="5" t="s">
        <v>99</v>
      </c>
      <c r="T2991" s="5" t="s">
        <v>90</v>
      </c>
      <c r="U2991" s="5" t="s">
        <v>6186</v>
      </c>
      <c r="V2991" s="5" t="s">
        <v>44</v>
      </c>
      <c r="W2991" s="5" t="s">
        <v>35</v>
      </c>
      <c r="X2991" s="8" t="s">
        <v>309</v>
      </c>
      <c r="Y2991" s="5" t="s">
        <v>46</v>
      </c>
      <c r="Z2991" s="5" t="s">
        <v>47</v>
      </c>
      <c r="AA2991" s="5" t="s">
        <v>48</v>
      </c>
      <c r="AB2991" s="5" t="s">
        <v>14719</v>
      </c>
      <c r="AC2991" s="6" t="s">
        <v>56</v>
      </c>
      <c r="AD2991" s="6">
        <v>7137.0</v>
      </c>
    </row>
    <row r="2992" ht="56.25" customHeight="1">
      <c r="A2992" s="5" t="s">
        <v>14709</v>
      </c>
      <c r="B2992" s="6" t="str">
        <f>IMAGE("https://storage.googleapis.com/acdb/housewares/FtrWoodenMirror_Remake_2_0.png")</f>
        <v/>
      </c>
      <c r="C2992" s="5" t="s">
        <v>6192</v>
      </c>
      <c r="D2992" s="5" t="s">
        <v>748</v>
      </c>
      <c r="E2992" s="5" t="s">
        <v>34</v>
      </c>
      <c r="F2992" s="5" t="s">
        <v>34</v>
      </c>
      <c r="G2992" s="5" t="s">
        <v>35</v>
      </c>
      <c r="H2992" s="5" t="s">
        <v>35</v>
      </c>
      <c r="I2992" s="5" t="s">
        <v>36</v>
      </c>
      <c r="J2992" s="6">
        <v>2.0</v>
      </c>
      <c r="K2992" s="6" t="s">
        <v>37</v>
      </c>
      <c r="L2992" s="6">
        <v>1350.0</v>
      </c>
      <c r="M2992" s="26" t="s">
        <v>142</v>
      </c>
      <c r="N2992" s="26" t="s">
        <v>142</v>
      </c>
      <c r="O2992" s="6" t="s">
        <v>40</v>
      </c>
      <c r="P2992" s="5" t="s">
        <v>41</v>
      </c>
      <c r="Q2992" s="5"/>
      <c r="R2992" s="6" t="s">
        <v>42</v>
      </c>
      <c r="S2992" s="5" t="s">
        <v>99</v>
      </c>
      <c r="T2992" s="5" t="s">
        <v>90</v>
      </c>
      <c r="U2992" s="5" t="s">
        <v>6186</v>
      </c>
      <c r="V2992" s="5" t="s">
        <v>44</v>
      </c>
      <c r="W2992" s="5" t="s">
        <v>35</v>
      </c>
      <c r="X2992" s="8" t="s">
        <v>309</v>
      </c>
      <c r="Y2992" s="5" t="s">
        <v>46</v>
      </c>
      <c r="Z2992" s="5" t="s">
        <v>47</v>
      </c>
      <c r="AA2992" s="5" t="s">
        <v>48</v>
      </c>
      <c r="AB2992" s="5" t="s">
        <v>14723</v>
      </c>
      <c r="AC2992" s="6" t="s">
        <v>67</v>
      </c>
      <c r="AD2992" s="6">
        <v>7137.0</v>
      </c>
    </row>
    <row r="2993" ht="56.25" customHeight="1">
      <c r="A2993" s="5" t="s">
        <v>14709</v>
      </c>
      <c r="B2993" s="6" t="str">
        <f>IMAGE("https://storage.googleapis.com/acdb/housewares/FtrWoodenMirror_Remake_3_0.png")</f>
        <v/>
      </c>
      <c r="C2993" s="5" t="s">
        <v>1132</v>
      </c>
      <c r="D2993" s="5" t="s">
        <v>748</v>
      </c>
      <c r="E2993" s="5" t="s">
        <v>34</v>
      </c>
      <c r="F2993" s="5" t="s">
        <v>34</v>
      </c>
      <c r="G2993" s="5" t="s">
        <v>35</v>
      </c>
      <c r="H2993" s="5" t="s">
        <v>35</v>
      </c>
      <c r="I2993" s="5" t="s">
        <v>36</v>
      </c>
      <c r="J2993" s="6">
        <v>2.0</v>
      </c>
      <c r="K2993" s="6" t="s">
        <v>37</v>
      </c>
      <c r="L2993" s="6">
        <v>1350.0</v>
      </c>
      <c r="M2993" s="26" t="s">
        <v>39</v>
      </c>
      <c r="N2993" s="26" t="s">
        <v>39</v>
      </c>
      <c r="O2993" s="6" t="s">
        <v>40</v>
      </c>
      <c r="P2993" s="5" t="s">
        <v>41</v>
      </c>
      <c r="Q2993" s="5"/>
      <c r="R2993" s="6" t="s">
        <v>42</v>
      </c>
      <c r="S2993" s="5" t="s">
        <v>99</v>
      </c>
      <c r="T2993" s="5" t="s">
        <v>90</v>
      </c>
      <c r="U2993" s="5" t="s">
        <v>6186</v>
      </c>
      <c r="V2993" s="5" t="s">
        <v>44</v>
      </c>
      <c r="W2993" s="5" t="s">
        <v>35</v>
      </c>
      <c r="X2993" s="8" t="s">
        <v>309</v>
      </c>
      <c r="Y2993" s="5" t="s">
        <v>46</v>
      </c>
      <c r="Z2993" s="5" t="s">
        <v>47</v>
      </c>
      <c r="AA2993" s="5" t="s">
        <v>48</v>
      </c>
      <c r="AB2993" s="5" t="s">
        <v>14726</v>
      </c>
      <c r="AC2993" s="6" t="s">
        <v>71</v>
      </c>
      <c r="AD2993" s="6">
        <v>7137.0</v>
      </c>
    </row>
    <row r="2994" ht="56.25" customHeight="1">
      <c r="A2994" s="5" t="s">
        <v>14709</v>
      </c>
      <c r="B2994" s="6" t="str">
        <f>IMAGE("https://storage.googleapis.com/acdb/housewares/FtrWoodenMirror_Remake_4_0.png")</f>
        <v/>
      </c>
      <c r="C2994" s="5" t="s">
        <v>54</v>
      </c>
      <c r="D2994" s="5" t="s">
        <v>748</v>
      </c>
      <c r="E2994" s="5" t="s">
        <v>34</v>
      </c>
      <c r="F2994" s="5" t="s">
        <v>34</v>
      </c>
      <c r="G2994" s="5" t="s">
        <v>35</v>
      </c>
      <c r="H2994" s="5" t="s">
        <v>35</v>
      </c>
      <c r="I2994" s="5" t="s">
        <v>36</v>
      </c>
      <c r="J2994" s="6">
        <v>2.0</v>
      </c>
      <c r="K2994" s="6" t="s">
        <v>37</v>
      </c>
      <c r="L2994" s="6">
        <v>1350.0</v>
      </c>
      <c r="M2994" s="26" t="s">
        <v>54</v>
      </c>
      <c r="N2994" s="26" t="s">
        <v>54</v>
      </c>
      <c r="O2994" s="6" t="s">
        <v>40</v>
      </c>
      <c r="P2994" s="5" t="s">
        <v>41</v>
      </c>
      <c r="Q2994" s="5"/>
      <c r="R2994" s="6" t="s">
        <v>42</v>
      </c>
      <c r="S2994" s="5" t="s">
        <v>99</v>
      </c>
      <c r="T2994" s="5" t="s">
        <v>90</v>
      </c>
      <c r="U2994" s="5" t="s">
        <v>6186</v>
      </c>
      <c r="V2994" s="5" t="s">
        <v>44</v>
      </c>
      <c r="W2994" s="5" t="s">
        <v>35</v>
      </c>
      <c r="X2994" s="8" t="s">
        <v>309</v>
      </c>
      <c r="Y2994" s="5" t="s">
        <v>46</v>
      </c>
      <c r="Z2994" s="5" t="s">
        <v>47</v>
      </c>
      <c r="AA2994" s="5" t="s">
        <v>48</v>
      </c>
      <c r="AB2994" s="5" t="s">
        <v>14731</v>
      </c>
      <c r="AC2994" s="6" t="s">
        <v>75</v>
      </c>
      <c r="AD2994" s="6">
        <v>7137.0</v>
      </c>
    </row>
    <row r="2995" ht="56.25" customHeight="1">
      <c r="A2995" s="5" t="s">
        <v>14709</v>
      </c>
      <c r="B2995" s="6" t="str">
        <f>IMAGE("https://storage.googleapis.com/acdb/housewares/FtrWoodenMirror_Remake_5_0.png")</f>
        <v/>
      </c>
      <c r="C2995" s="5" t="s">
        <v>96</v>
      </c>
      <c r="D2995" s="5" t="s">
        <v>748</v>
      </c>
      <c r="E2995" s="5" t="s">
        <v>34</v>
      </c>
      <c r="F2995" s="5" t="s">
        <v>34</v>
      </c>
      <c r="G2995" s="5" t="s">
        <v>35</v>
      </c>
      <c r="H2995" s="5" t="s">
        <v>35</v>
      </c>
      <c r="I2995" s="5" t="s">
        <v>36</v>
      </c>
      <c r="J2995" s="6">
        <v>2.0</v>
      </c>
      <c r="K2995" s="6" t="s">
        <v>37</v>
      </c>
      <c r="L2995" s="6">
        <v>1350.0</v>
      </c>
      <c r="M2995" s="26" t="s">
        <v>96</v>
      </c>
      <c r="N2995" s="26" t="s">
        <v>96</v>
      </c>
      <c r="O2995" s="6" t="s">
        <v>40</v>
      </c>
      <c r="P2995" s="5" t="s">
        <v>41</v>
      </c>
      <c r="Q2995" s="5"/>
      <c r="R2995" s="6" t="s">
        <v>42</v>
      </c>
      <c r="S2995" s="5" t="s">
        <v>99</v>
      </c>
      <c r="T2995" s="5" t="s">
        <v>90</v>
      </c>
      <c r="U2995" s="5" t="s">
        <v>6186</v>
      </c>
      <c r="V2995" s="5" t="s">
        <v>44</v>
      </c>
      <c r="W2995" s="5" t="s">
        <v>35</v>
      </c>
      <c r="X2995" s="8" t="s">
        <v>309</v>
      </c>
      <c r="Y2995" s="5" t="s">
        <v>46</v>
      </c>
      <c r="Z2995" s="5" t="s">
        <v>47</v>
      </c>
      <c r="AA2995" s="5" t="s">
        <v>48</v>
      </c>
      <c r="AB2995" s="5" t="s">
        <v>14735</v>
      </c>
      <c r="AC2995" s="6" t="s">
        <v>79</v>
      </c>
      <c r="AD2995" s="6">
        <v>7137.0</v>
      </c>
    </row>
    <row r="2996" ht="56.25" customHeight="1">
      <c r="A2996" s="5" t="s">
        <v>14709</v>
      </c>
      <c r="B2996" s="6" t="str">
        <f>IMAGE("https://storage.googleapis.com/acdb/housewares/FtrWoodenMirror_Remake_6_0.png")</f>
        <v/>
      </c>
      <c r="C2996" s="5" t="s">
        <v>68</v>
      </c>
      <c r="D2996" s="5" t="s">
        <v>748</v>
      </c>
      <c r="E2996" s="5" t="s">
        <v>34</v>
      </c>
      <c r="F2996" s="5" t="s">
        <v>34</v>
      </c>
      <c r="G2996" s="5" t="s">
        <v>35</v>
      </c>
      <c r="H2996" s="5" t="s">
        <v>35</v>
      </c>
      <c r="I2996" s="5" t="s">
        <v>36</v>
      </c>
      <c r="J2996" s="6">
        <v>2.0</v>
      </c>
      <c r="K2996" s="6" t="s">
        <v>37</v>
      </c>
      <c r="L2996" s="6">
        <v>1350.0</v>
      </c>
      <c r="M2996" s="26" t="s">
        <v>68</v>
      </c>
      <c r="N2996" s="26" t="s">
        <v>68</v>
      </c>
      <c r="O2996" s="6" t="s">
        <v>40</v>
      </c>
      <c r="P2996" s="5" t="s">
        <v>41</v>
      </c>
      <c r="Q2996" s="5"/>
      <c r="R2996" s="6" t="s">
        <v>42</v>
      </c>
      <c r="S2996" s="5" t="s">
        <v>99</v>
      </c>
      <c r="T2996" s="5" t="s">
        <v>90</v>
      </c>
      <c r="U2996" s="5" t="s">
        <v>6186</v>
      </c>
      <c r="V2996" s="5" t="s">
        <v>44</v>
      </c>
      <c r="W2996" s="5" t="s">
        <v>35</v>
      </c>
      <c r="X2996" s="8" t="s">
        <v>309</v>
      </c>
      <c r="Y2996" s="5" t="s">
        <v>46</v>
      </c>
      <c r="Z2996" s="5" t="s">
        <v>47</v>
      </c>
      <c r="AA2996" s="5" t="s">
        <v>48</v>
      </c>
      <c r="AB2996" s="5" t="s">
        <v>14742</v>
      </c>
      <c r="AC2996" s="6" t="s">
        <v>86</v>
      </c>
      <c r="AD2996" s="6">
        <v>7137.0</v>
      </c>
    </row>
    <row r="2997" ht="56.25" customHeight="1">
      <c r="A2997" s="5" t="s">
        <v>14709</v>
      </c>
      <c r="B2997" s="6" t="str">
        <f>IMAGE("https://storage.googleapis.com/acdb/housewares/FtrWoodenMirror_Remake_7_0.png")</f>
        <v/>
      </c>
      <c r="C2997" s="5" t="s">
        <v>6214</v>
      </c>
      <c r="D2997" s="5" t="s">
        <v>748</v>
      </c>
      <c r="E2997" s="5" t="s">
        <v>34</v>
      </c>
      <c r="F2997" s="5" t="s">
        <v>34</v>
      </c>
      <c r="G2997" s="5" t="s">
        <v>35</v>
      </c>
      <c r="H2997" s="5" t="s">
        <v>35</v>
      </c>
      <c r="I2997" s="5" t="s">
        <v>36</v>
      </c>
      <c r="J2997" s="6">
        <v>2.0</v>
      </c>
      <c r="K2997" s="6" t="s">
        <v>37</v>
      </c>
      <c r="L2997" s="6">
        <v>1350.0</v>
      </c>
      <c r="M2997" s="26" t="s">
        <v>69</v>
      </c>
      <c r="N2997" s="26" t="s">
        <v>69</v>
      </c>
      <c r="O2997" s="6" t="s">
        <v>40</v>
      </c>
      <c r="P2997" s="5" t="s">
        <v>41</v>
      </c>
      <c r="Q2997" s="5"/>
      <c r="R2997" s="6" t="s">
        <v>42</v>
      </c>
      <c r="S2997" s="5" t="s">
        <v>99</v>
      </c>
      <c r="T2997" s="5" t="s">
        <v>90</v>
      </c>
      <c r="U2997" s="5" t="s">
        <v>6186</v>
      </c>
      <c r="V2997" s="5" t="s">
        <v>44</v>
      </c>
      <c r="W2997" s="5" t="s">
        <v>35</v>
      </c>
      <c r="X2997" s="8" t="s">
        <v>309</v>
      </c>
      <c r="Y2997" s="5" t="s">
        <v>46</v>
      </c>
      <c r="Z2997" s="5" t="s">
        <v>47</v>
      </c>
      <c r="AA2997" s="5" t="s">
        <v>48</v>
      </c>
      <c r="AB2997" s="5" t="s">
        <v>14748</v>
      </c>
      <c r="AC2997" s="6" t="s">
        <v>208</v>
      </c>
      <c r="AD2997" s="6">
        <v>7137.0</v>
      </c>
    </row>
    <row r="2998" ht="56.25" customHeight="1">
      <c r="A2998" s="5" t="s">
        <v>14750</v>
      </c>
      <c r="B2998" s="6" t="str">
        <f>IMAGE("https://storage.googleapis.com/acdb/housewares/FtrWoodenTableM_Remake_0_0.png")</f>
        <v/>
      </c>
      <c r="C2998" s="5" t="s">
        <v>1137</v>
      </c>
      <c r="D2998" s="5" t="s">
        <v>748</v>
      </c>
      <c r="E2998" s="5" t="s">
        <v>34</v>
      </c>
      <c r="F2998" s="5" t="s">
        <v>34</v>
      </c>
      <c r="G2998" s="5" t="s">
        <v>35</v>
      </c>
      <c r="H2998" s="5" t="s">
        <v>35</v>
      </c>
      <c r="I2998" s="5" t="s">
        <v>36</v>
      </c>
      <c r="J2998" s="6">
        <v>2.0</v>
      </c>
      <c r="K2998" s="6" t="s">
        <v>37</v>
      </c>
      <c r="L2998" s="6">
        <v>1200.0</v>
      </c>
      <c r="M2998" s="26" t="s">
        <v>114</v>
      </c>
      <c r="N2998" s="26" t="s">
        <v>114</v>
      </c>
      <c r="O2998" s="6" t="s">
        <v>276</v>
      </c>
      <c r="P2998" s="5" t="s">
        <v>41</v>
      </c>
      <c r="Q2998" s="5"/>
      <c r="R2998" s="6" t="s">
        <v>42</v>
      </c>
      <c r="S2998" s="5" t="s">
        <v>99</v>
      </c>
      <c r="T2998" s="5" t="s">
        <v>90</v>
      </c>
      <c r="U2998" s="5" t="s">
        <v>6186</v>
      </c>
      <c r="V2998" s="5" t="s">
        <v>44</v>
      </c>
      <c r="W2998" s="5" t="s">
        <v>36</v>
      </c>
      <c r="X2998" s="8" t="s">
        <v>278</v>
      </c>
      <c r="Y2998" s="5" t="s">
        <v>46</v>
      </c>
      <c r="Z2998" s="5" t="s">
        <v>47</v>
      </c>
      <c r="AA2998" s="5" t="s">
        <v>48</v>
      </c>
      <c r="AB2998" s="5" t="s">
        <v>14757</v>
      </c>
      <c r="AC2998" s="6" t="s">
        <v>50</v>
      </c>
      <c r="AD2998" s="6">
        <v>7134.0</v>
      </c>
    </row>
    <row r="2999" ht="56.25" customHeight="1">
      <c r="A2999" s="5" t="s">
        <v>14750</v>
      </c>
      <c r="B2999" s="6" t="str">
        <f>IMAGE("https://storage.googleapis.com/acdb/housewares/FtrWoodenTableM_Remake_1_0.png")</f>
        <v/>
      </c>
      <c r="C2999" s="5" t="s">
        <v>1595</v>
      </c>
      <c r="D2999" s="5" t="s">
        <v>748</v>
      </c>
      <c r="E2999" s="5" t="s">
        <v>34</v>
      </c>
      <c r="F2999" s="5" t="s">
        <v>34</v>
      </c>
      <c r="G2999" s="5" t="s">
        <v>35</v>
      </c>
      <c r="H2999" s="5" t="s">
        <v>35</v>
      </c>
      <c r="I2999" s="5" t="s">
        <v>36</v>
      </c>
      <c r="J2999" s="6">
        <v>2.0</v>
      </c>
      <c r="K2999" s="6" t="s">
        <v>37</v>
      </c>
      <c r="L2999" s="6">
        <v>1200.0</v>
      </c>
      <c r="M2999" s="26" t="s">
        <v>38</v>
      </c>
      <c r="N2999" s="26" t="s">
        <v>38</v>
      </c>
      <c r="O2999" s="6" t="s">
        <v>276</v>
      </c>
      <c r="P2999" s="5" t="s">
        <v>41</v>
      </c>
      <c r="Q2999" s="5"/>
      <c r="R2999" s="6" t="s">
        <v>42</v>
      </c>
      <c r="S2999" s="5" t="s">
        <v>99</v>
      </c>
      <c r="T2999" s="5" t="s">
        <v>90</v>
      </c>
      <c r="U2999" s="5" t="s">
        <v>6186</v>
      </c>
      <c r="V2999" s="5" t="s">
        <v>44</v>
      </c>
      <c r="W2999" s="5" t="s">
        <v>36</v>
      </c>
      <c r="X2999" s="8" t="s">
        <v>278</v>
      </c>
      <c r="Y2999" s="5" t="s">
        <v>46</v>
      </c>
      <c r="Z2999" s="5" t="s">
        <v>47</v>
      </c>
      <c r="AA2999" s="5" t="s">
        <v>48</v>
      </c>
      <c r="AB2999" s="5" t="s">
        <v>14765</v>
      </c>
      <c r="AC2999" s="6" t="s">
        <v>56</v>
      </c>
      <c r="AD2999" s="6">
        <v>7134.0</v>
      </c>
    </row>
    <row r="3000" ht="56.25" customHeight="1">
      <c r="A3000" s="5" t="s">
        <v>14750</v>
      </c>
      <c r="B3000" s="6" t="str">
        <f>IMAGE("https://storage.googleapis.com/acdb/housewares/FtrWoodenTableM_Remake_2_0.png")</f>
        <v/>
      </c>
      <c r="C3000" s="5" t="s">
        <v>6192</v>
      </c>
      <c r="D3000" s="5" t="s">
        <v>748</v>
      </c>
      <c r="E3000" s="5" t="s">
        <v>34</v>
      </c>
      <c r="F3000" s="5" t="s">
        <v>34</v>
      </c>
      <c r="G3000" s="5" t="s">
        <v>35</v>
      </c>
      <c r="H3000" s="5" t="s">
        <v>35</v>
      </c>
      <c r="I3000" s="5" t="s">
        <v>36</v>
      </c>
      <c r="J3000" s="6">
        <v>2.0</v>
      </c>
      <c r="K3000" s="6" t="s">
        <v>37</v>
      </c>
      <c r="L3000" s="6">
        <v>1200.0</v>
      </c>
      <c r="M3000" s="26" t="s">
        <v>142</v>
      </c>
      <c r="N3000" s="26" t="s">
        <v>142</v>
      </c>
      <c r="O3000" s="6" t="s">
        <v>276</v>
      </c>
      <c r="P3000" s="5" t="s">
        <v>41</v>
      </c>
      <c r="Q3000" s="5"/>
      <c r="R3000" s="6" t="s">
        <v>42</v>
      </c>
      <c r="S3000" s="5" t="s">
        <v>99</v>
      </c>
      <c r="T3000" s="5" t="s">
        <v>90</v>
      </c>
      <c r="U3000" s="5" t="s">
        <v>6186</v>
      </c>
      <c r="V3000" s="5" t="s">
        <v>44</v>
      </c>
      <c r="W3000" s="5" t="s">
        <v>36</v>
      </c>
      <c r="X3000" s="8" t="s">
        <v>278</v>
      </c>
      <c r="Y3000" s="5" t="s">
        <v>46</v>
      </c>
      <c r="Z3000" s="5" t="s">
        <v>47</v>
      </c>
      <c r="AA3000" s="5" t="s">
        <v>48</v>
      </c>
      <c r="AB3000" s="5" t="s">
        <v>14771</v>
      </c>
      <c r="AC3000" s="6" t="s">
        <v>67</v>
      </c>
      <c r="AD3000" s="6">
        <v>7134.0</v>
      </c>
    </row>
    <row r="3001" ht="56.25" customHeight="1">
      <c r="A3001" s="5" t="s">
        <v>14750</v>
      </c>
      <c r="B3001" s="6" t="str">
        <f>IMAGE("https://storage.googleapis.com/acdb/housewares/FtrWoodenTableM_Remake_3_0.png")</f>
        <v/>
      </c>
      <c r="C3001" s="5" t="s">
        <v>1132</v>
      </c>
      <c r="D3001" s="5" t="s">
        <v>748</v>
      </c>
      <c r="E3001" s="5" t="s">
        <v>34</v>
      </c>
      <c r="F3001" s="5" t="s">
        <v>34</v>
      </c>
      <c r="G3001" s="5" t="s">
        <v>35</v>
      </c>
      <c r="H3001" s="5" t="s">
        <v>35</v>
      </c>
      <c r="I3001" s="5" t="s">
        <v>36</v>
      </c>
      <c r="J3001" s="6">
        <v>2.0</v>
      </c>
      <c r="K3001" s="6" t="s">
        <v>37</v>
      </c>
      <c r="L3001" s="6">
        <v>1200.0</v>
      </c>
      <c r="M3001" s="26" t="s">
        <v>39</v>
      </c>
      <c r="N3001" s="26" t="s">
        <v>39</v>
      </c>
      <c r="O3001" s="6" t="s">
        <v>276</v>
      </c>
      <c r="P3001" s="5" t="s">
        <v>41</v>
      </c>
      <c r="Q3001" s="5"/>
      <c r="R3001" s="6" t="s">
        <v>42</v>
      </c>
      <c r="S3001" s="5" t="s">
        <v>99</v>
      </c>
      <c r="T3001" s="5" t="s">
        <v>90</v>
      </c>
      <c r="U3001" s="5" t="s">
        <v>6186</v>
      </c>
      <c r="V3001" s="5" t="s">
        <v>44</v>
      </c>
      <c r="W3001" s="5" t="s">
        <v>36</v>
      </c>
      <c r="X3001" s="8" t="s">
        <v>278</v>
      </c>
      <c r="Y3001" s="5" t="s">
        <v>46</v>
      </c>
      <c r="Z3001" s="5" t="s">
        <v>47</v>
      </c>
      <c r="AA3001" s="5" t="s">
        <v>48</v>
      </c>
      <c r="AB3001" s="5" t="s">
        <v>14778</v>
      </c>
      <c r="AC3001" s="6" t="s">
        <v>71</v>
      </c>
      <c r="AD3001" s="6">
        <v>7134.0</v>
      </c>
    </row>
    <row r="3002" ht="56.25" customHeight="1">
      <c r="A3002" s="5" t="s">
        <v>14750</v>
      </c>
      <c r="B3002" s="6" t="str">
        <f>IMAGE("https://storage.googleapis.com/acdb/housewares/FtrWoodenTableM_Remake_4_0.png")</f>
        <v/>
      </c>
      <c r="C3002" s="5" t="s">
        <v>54</v>
      </c>
      <c r="D3002" s="5" t="s">
        <v>748</v>
      </c>
      <c r="E3002" s="5" t="s">
        <v>34</v>
      </c>
      <c r="F3002" s="5" t="s">
        <v>34</v>
      </c>
      <c r="G3002" s="5" t="s">
        <v>35</v>
      </c>
      <c r="H3002" s="5" t="s">
        <v>35</v>
      </c>
      <c r="I3002" s="5" t="s">
        <v>36</v>
      </c>
      <c r="J3002" s="6">
        <v>2.0</v>
      </c>
      <c r="K3002" s="6" t="s">
        <v>37</v>
      </c>
      <c r="L3002" s="6">
        <v>1200.0</v>
      </c>
      <c r="M3002" s="26" t="s">
        <v>54</v>
      </c>
      <c r="N3002" s="26" t="s">
        <v>54</v>
      </c>
      <c r="O3002" s="6" t="s">
        <v>276</v>
      </c>
      <c r="P3002" s="5" t="s">
        <v>41</v>
      </c>
      <c r="Q3002" s="5"/>
      <c r="R3002" s="6" t="s">
        <v>42</v>
      </c>
      <c r="S3002" s="5" t="s">
        <v>99</v>
      </c>
      <c r="T3002" s="5" t="s">
        <v>90</v>
      </c>
      <c r="U3002" s="5" t="s">
        <v>6186</v>
      </c>
      <c r="V3002" s="5" t="s">
        <v>44</v>
      </c>
      <c r="W3002" s="5" t="s">
        <v>36</v>
      </c>
      <c r="X3002" s="8" t="s">
        <v>278</v>
      </c>
      <c r="Y3002" s="5" t="s">
        <v>46</v>
      </c>
      <c r="Z3002" s="5" t="s">
        <v>47</v>
      </c>
      <c r="AA3002" s="5" t="s">
        <v>48</v>
      </c>
      <c r="AB3002" s="5" t="s">
        <v>14784</v>
      </c>
      <c r="AC3002" s="6" t="s">
        <v>75</v>
      </c>
      <c r="AD3002" s="6">
        <v>7134.0</v>
      </c>
    </row>
    <row r="3003" ht="56.25" customHeight="1">
      <c r="A3003" s="5" t="s">
        <v>14750</v>
      </c>
      <c r="B3003" s="6" t="str">
        <f>IMAGE("https://storage.googleapis.com/acdb/housewares/FtrWoodenTableM_Remake_5_0.png")</f>
        <v/>
      </c>
      <c r="C3003" s="5" t="s">
        <v>96</v>
      </c>
      <c r="D3003" s="5" t="s">
        <v>748</v>
      </c>
      <c r="E3003" s="5" t="s">
        <v>34</v>
      </c>
      <c r="F3003" s="5" t="s">
        <v>34</v>
      </c>
      <c r="G3003" s="5" t="s">
        <v>35</v>
      </c>
      <c r="H3003" s="5" t="s">
        <v>35</v>
      </c>
      <c r="I3003" s="5" t="s">
        <v>36</v>
      </c>
      <c r="J3003" s="6">
        <v>2.0</v>
      </c>
      <c r="K3003" s="6" t="s">
        <v>37</v>
      </c>
      <c r="L3003" s="6">
        <v>1200.0</v>
      </c>
      <c r="M3003" s="26" t="s">
        <v>96</v>
      </c>
      <c r="N3003" s="26" t="s">
        <v>96</v>
      </c>
      <c r="O3003" s="6" t="s">
        <v>276</v>
      </c>
      <c r="P3003" s="5" t="s">
        <v>41</v>
      </c>
      <c r="Q3003" s="5"/>
      <c r="R3003" s="6" t="s">
        <v>42</v>
      </c>
      <c r="S3003" s="5" t="s">
        <v>99</v>
      </c>
      <c r="T3003" s="5" t="s">
        <v>90</v>
      </c>
      <c r="U3003" s="5" t="s">
        <v>6186</v>
      </c>
      <c r="V3003" s="5" t="s">
        <v>44</v>
      </c>
      <c r="W3003" s="5" t="s">
        <v>36</v>
      </c>
      <c r="X3003" s="8" t="s">
        <v>278</v>
      </c>
      <c r="Y3003" s="5" t="s">
        <v>46</v>
      </c>
      <c r="Z3003" s="5" t="s">
        <v>47</v>
      </c>
      <c r="AA3003" s="5" t="s">
        <v>48</v>
      </c>
      <c r="AB3003" s="5" t="s">
        <v>14788</v>
      </c>
      <c r="AC3003" s="6" t="s">
        <v>79</v>
      </c>
      <c r="AD3003" s="6">
        <v>7134.0</v>
      </c>
    </row>
    <row r="3004" ht="56.25" customHeight="1">
      <c r="A3004" s="5" t="s">
        <v>14750</v>
      </c>
      <c r="B3004" s="6" t="str">
        <f>IMAGE("https://storage.googleapis.com/acdb/housewares/FtrWoodenTableM_Remake_6_0.png")</f>
        <v/>
      </c>
      <c r="C3004" s="5" t="s">
        <v>68</v>
      </c>
      <c r="D3004" s="5" t="s">
        <v>748</v>
      </c>
      <c r="E3004" s="5" t="s">
        <v>34</v>
      </c>
      <c r="F3004" s="5" t="s">
        <v>34</v>
      </c>
      <c r="G3004" s="5" t="s">
        <v>35</v>
      </c>
      <c r="H3004" s="5" t="s">
        <v>35</v>
      </c>
      <c r="I3004" s="5" t="s">
        <v>36</v>
      </c>
      <c r="J3004" s="6">
        <v>2.0</v>
      </c>
      <c r="K3004" s="6" t="s">
        <v>37</v>
      </c>
      <c r="L3004" s="6">
        <v>1200.0</v>
      </c>
      <c r="M3004" s="26" t="s">
        <v>68</v>
      </c>
      <c r="N3004" s="26" t="s">
        <v>68</v>
      </c>
      <c r="O3004" s="6" t="s">
        <v>276</v>
      </c>
      <c r="P3004" s="5" t="s">
        <v>41</v>
      </c>
      <c r="Q3004" s="5"/>
      <c r="R3004" s="6" t="s">
        <v>42</v>
      </c>
      <c r="S3004" s="5" t="s">
        <v>99</v>
      </c>
      <c r="T3004" s="5" t="s">
        <v>90</v>
      </c>
      <c r="U3004" s="5" t="s">
        <v>6186</v>
      </c>
      <c r="V3004" s="5" t="s">
        <v>44</v>
      </c>
      <c r="W3004" s="5" t="s">
        <v>36</v>
      </c>
      <c r="X3004" s="8" t="s">
        <v>278</v>
      </c>
      <c r="Y3004" s="5" t="s">
        <v>46</v>
      </c>
      <c r="Z3004" s="5" t="s">
        <v>47</v>
      </c>
      <c r="AA3004" s="5" t="s">
        <v>48</v>
      </c>
      <c r="AB3004" s="5" t="s">
        <v>14793</v>
      </c>
      <c r="AC3004" s="6" t="s">
        <v>86</v>
      </c>
      <c r="AD3004" s="6">
        <v>7134.0</v>
      </c>
    </row>
    <row r="3005" ht="56.25" customHeight="1">
      <c r="A3005" s="5" t="s">
        <v>14750</v>
      </c>
      <c r="B3005" s="6" t="str">
        <f>IMAGE("https://storage.googleapis.com/acdb/housewares/FtrWoodenTableM_Remake_7_0.png")</f>
        <v/>
      </c>
      <c r="C3005" s="5" t="s">
        <v>6214</v>
      </c>
      <c r="D3005" s="5" t="s">
        <v>748</v>
      </c>
      <c r="E3005" s="5" t="s">
        <v>34</v>
      </c>
      <c r="F3005" s="5" t="s">
        <v>34</v>
      </c>
      <c r="G3005" s="5" t="s">
        <v>35</v>
      </c>
      <c r="H3005" s="5" t="s">
        <v>35</v>
      </c>
      <c r="I3005" s="5" t="s">
        <v>36</v>
      </c>
      <c r="J3005" s="6">
        <v>2.0</v>
      </c>
      <c r="K3005" s="6" t="s">
        <v>37</v>
      </c>
      <c r="L3005" s="6">
        <v>1200.0</v>
      </c>
      <c r="M3005" s="26" t="s">
        <v>69</v>
      </c>
      <c r="N3005" s="26" t="s">
        <v>69</v>
      </c>
      <c r="O3005" s="6" t="s">
        <v>276</v>
      </c>
      <c r="P3005" s="5" t="s">
        <v>41</v>
      </c>
      <c r="Q3005" s="5"/>
      <c r="R3005" s="6" t="s">
        <v>42</v>
      </c>
      <c r="S3005" s="5" t="s">
        <v>99</v>
      </c>
      <c r="T3005" s="5" t="s">
        <v>90</v>
      </c>
      <c r="U3005" s="5" t="s">
        <v>6186</v>
      </c>
      <c r="V3005" s="5" t="s">
        <v>44</v>
      </c>
      <c r="W3005" s="5" t="s">
        <v>36</v>
      </c>
      <c r="X3005" s="8" t="s">
        <v>278</v>
      </c>
      <c r="Y3005" s="5" t="s">
        <v>46</v>
      </c>
      <c r="Z3005" s="5" t="s">
        <v>47</v>
      </c>
      <c r="AA3005" s="5" t="s">
        <v>48</v>
      </c>
      <c r="AB3005" s="5" t="s">
        <v>14798</v>
      </c>
      <c r="AC3005" s="6" t="s">
        <v>208</v>
      </c>
      <c r="AD3005" s="6">
        <v>7134.0</v>
      </c>
    </row>
    <row r="3006" ht="56.25" customHeight="1">
      <c r="A3006" s="5" t="s">
        <v>14800</v>
      </c>
      <c r="B3006" s="6" t="str">
        <f>IMAGE("https://storage.googleapis.com/acdb/housewares/FtrWoodenTableMini_Remake_0_0.png")</f>
        <v/>
      </c>
      <c r="C3006" s="5" t="s">
        <v>1137</v>
      </c>
      <c r="D3006" s="5" t="s">
        <v>748</v>
      </c>
      <c r="E3006" s="5" t="s">
        <v>44</v>
      </c>
      <c r="F3006" s="5" t="s">
        <v>7853</v>
      </c>
      <c r="G3006" s="5" t="s">
        <v>35</v>
      </c>
      <c r="H3006" s="5" t="s">
        <v>35</v>
      </c>
      <c r="I3006" s="5" t="s">
        <v>35</v>
      </c>
      <c r="J3006" s="6">
        <v>2.0</v>
      </c>
      <c r="K3006" s="6" t="s">
        <v>37</v>
      </c>
      <c r="L3006" s="6">
        <v>720.0</v>
      </c>
      <c r="M3006" s="26" t="s">
        <v>38</v>
      </c>
      <c r="N3006" s="26" t="s">
        <v>38</v>
      </c>
      <c r="O3006" s="6" t="s">
        <v>40</v>
      </c>
      <c r="P3006" s="5" t="s">
        <v>41</v>
      </c>
      <c r="Q3006" s="5"/>
      <c r="R3006" s="6" t="s">
        <v>42</v>
      </c>
      <c r="S3006" s="5" t="s">
        <v>99</v>
      </c>
      <c r="T3006" s="5" t="s">
        <v>90</v>
      </c>
      <c r="U3006" s="5" t="s">
        <v>6186</v>
      </c>
      <c r="V3006" s="5" t="s">
        <v>44</v>
      </c>
      <c r="W3006" s="5" t="s">
        <v>36</v>
      </c>
      <c r="X3006" s="8" t="s">
        <v>278</v>
      </c>
      <c r="Y3006" s="5" t="s">
        <v>46</v>
      </c>
      <c r="Z3006" s="5" t="s">
        <v>47</v>
      </c>
      <c r="AA3006" s="5" t="s">
        <v>48</v>
      </c>
      <c r="AB3006" s="5" t="s">
        <v>14805</v>
      </c>
      <c r="AC3006" s="6" t="s">
        <v>50</v>
      </c>
      <c r="AD3006" s="6">
        <v>7133.0</v>
      </c>
    </row>
    <row r="3007" ht="56.25" customHeight="1">
      <c r="A3007" s="5" t="s">
        <v>14800</v>
      </c>
      <c r="B3007" s="6" t="str">
        <f>IMAGE("https://storage.googleapis.com/acdb/housewares/FtrWoodenTableMini_Remake_0_1.png")</f>
        <v/>
      </c>
      <c r="C3007" s="5" t="s">
        <v>1137</v>
      </c>
      <c r="D3007" s="5" t="s">
        <v>748</v>
      </c>
      <c r="E3007" s="5" t="s">
        <v>142</v>
      </c>
      <c r="F3007" s="5" t="s">
        <v>7853</v>
      </c>
      <c r="G3007" s="5" t="s">
        <v>35</v>
      </c>
      <c r="H3007" s="5" t="s">
        <v>35</v>
      </c>
      <c r="I3007" s="5" t="s">
        <v>35</v>
      </c>
      <c r="J3007" s="6">
        <v>2.0</v>
      </c>
      <c r="K3007" s="6" t="s">
        <v>37</v>
      </c>
      <c r="L3007" s="6">
        <v>720.0</v>
      </c>
      <c r="M3007" s="26" t="s">
        <v>38</v>
      </c>
      <c r="N3007" s="26" t="s">
        <v>142</v>
      </c>
      <c r="O3007" s="6" t="s">
        <v>40</v>
      </c>
      <c r="P3007" s="5" t="s">
        <v>41</v>
      </c>
      <c r="Q3007" s="5"/>
      <c r="R3007" s="6" t="s">
        <v>42</v>
      </c>
      <c r="S3007" s="5" t="s">
        <v>99</v>
      </c>
      <c r="T3007" s="5" t="s">
        <v>90</v>
      </c>
      <c r="U3007" s="5" t="s">
        <v>6186</v>
      </c>
      <c r="V3007" s="5" t="s">
        <v>44</v>
      </c>
      <c r="W3007" s="5" t="s">
        <v>36</v>
      </c>
      <c r="X3007" s="8" t="s">
        <v>278</v>
      </c>
      <c r="Y3007" s="5" t="s">
        <v>46</v>
      </c>
      <c r="Z3007" s="5" t="s">
        <v>47</v>
      </c>
      <c r="AA3007" s="5" t="s">
        <v>48</v>
      </c>
      <c r="AB3007" s="5" t="s">
        <v>14810</v>
      </c>
      <c r="AC3007" s="6" t="s">
        <v>217</v>
      </c>
      <c r="AD3007" s="6">
        <v>7133.0</v>
      </c>
    </row>
    <row r="3008" ht="56.25" customHeight="1">
      <c r="A3008" s="5" t="s">
        <v>14800</v>
      </c>
      <c r="B3008" s="6" t="str">
        <f>IMAGE("https://storage.googleapis.com/acdb/housewares/FtrWoodenTableMini_Remake_0_2.png")</f>
        <v/>
      </c>
      <c r="C3008" s="5" t="s">
        <v>1137</v>
      </c>
      <c r="D3008" s="5" t="s">
        <v>748</v>
      </c>
      <c r="E3008" s="5" t="s">
        <v>69</v>
      </c>
      <c r="F3008" s="5" t="s">
        <v>7853</v>
      </c>
      <c r="G3008" s="5" t="s">
        <v>35</v>
      </c>
      <c r="H3008" s="5" t="s">
        <v>35</v>
      </c>
      <c r="I3008" s="5" t="s">
        <v>35</v>
      </c>
      <c r="J3008" s="6">
        <v>2.0</v>
      </c>
      <c r="K3008" s="6" t="s">
        <v>37</v>
      </c>
      <c r="L3008" s="6">
        <v>720.0</v>
      </c>
      <c r="M3008" s="26" t="s">
        <v>38</v>
      </c>
      <c r="N3008" s="26" t="s">
        <v>69</v>
      </c>
      <c r="O3008" s="6" t="s">
        <v>40</v>
      </c>
      <c r="P3008" s="5" t="s">
        <v>41</v>
      </c>
      <c r="Q3008" s="5"/>
      <c r="R3008" s="6" t="s">
        <v>42</v>
      </c>
      <c r="S3008" s="5" t="s">
        <v>99</v>
      </c>
      <c r="T3008" s="5" t="s">
        <v>90</v>
      </c>
      <c r="U3008" s="5" t="s">
        <v>6186</v>
      </c>
      <c r="V3008" s="5" t="s">
        <v>44</v>
      </c>
      <c r="W3008" s="5" t="s">
        <v>36</v>
      </c>
      <c r="X3008" s="8" t="s">
        <v>278</v>
      </c>
      <c r="Y3008" s="5" t="s">
        <v>46</v>
      </c>
      <c r="Z3008" s="5" t="s">
        <v>47</v>
      </c>
      <c r="AA3008" s="5" t="s">
        <v>48</v>
      </c>
      <c r="AB3008" s="5" t="s">
        <v>14813</v>
      </c>
      <c r="AC3008" s="6" t="s">
        <v>347</v>
      </c>
      <c r="AD3008" s="6">
        <v>7133.0</v>
      </c>
    </row>
    <row r="3009" ht="56.25" customHeight="1">
      <c r="A3009" s="5" t="s">
        <v>14800</v>
      </c>
      <c r="B3009" s="6" t="str">
        <f>IMAGE("https://storage.googleapis.com/acdb/housewares/FtrWoodenTableMini_Remake_0_3.png")</f>
        <v/>
      </c>
      <c r="C3009" s="5" t="s">
        <v>1137</v>
      </c>
      <c r="D3009" s="5" t="s">
        <v>748</v>
      </c>
      <c r="E3009" s="5" t="s">
        <v>68</v>
      </c>
      <c r="F3009" s="5" t="s">
        <v>7853</v>
      </c>
      <c r="G3009" s="5" t="s">
        <v>35</v>
      </c>
      <c r="H3009" s="5" t="s">
        <v>35</v>
      </c>
      <c r="I3009" s="5" t="s">
        <v>35</v>
      </c>
      <c r="J3009" s="6">
        <v>2.0</v>
      </c>
      <c r="K3009" s="6" t="s">
        <v>37</v>
      </c>
      <c r="L3009" s="6">
        <v>720.0</v>
      </c>
      <c r="M3009" s="26" t="s">
        <v>38</v>
      </c>
      <c r="N3009" s="26" t="s">
        <v>68</v>
      </c>
      <c r="O3009" s="6" t="s">
        <v>40</v>
      </c>
      <c r="P3009" s="5" t="s">
        <v>41</v>
      </c>
      <c r="Q3009" s="5"/>
      <c r="R3009" s="6" t="s">
        <v>42</v>
      </c>
      <c r="S3009" s="5" t="s">
        <v>99</v>
      </c>
      <c r="T3009" s="5" t="s">
        <v>90</v>
      </c>
      <c r="U3009" s="5" t="s">
        <v>6186</v>
      </c>
      <c r="V3009" s="5" t="s">
        <v>44</v>
      </c>
      <c r="W3009" s="5" t="s">
        <v>36</v>
      </c>
      <c r="X3009" s="8" t="s">
        <v>278</v>
      </c>
      <c r="Y3009" s="5" t="s">
        <v>46</v>
      </c>
      <c r="Z3009" s="5" t="s">
        <v>47</v>
      </c>
      <c r="AA3009" s="5" t="s">
        <v>48</v>
      </c>
      <c r="AB3009" s="5" t="s">
        <v>14818</v>
      </c>
      <c r="AC3009" s="6" t="s">
        <v>354</v>
      </c>
      <c r="AD3009" s="6">
        <v>7133.0</v>
      </c>
    </row>
    <row r="3010" ht="56.25" customHeight="1">
      <c r="A3010" s="5" t="s">
        <v>14800</v>
      </c>
      <c r="B3010" s="6" t="str">
        <f>IMAGE("https://storage.googleapis.com/acdb/housewares/FtrWoodenTableMini_Remake_0_4.png")</f>
        <v/>
      </c>
      <c r="C3010" s="5" t="s">
        <v>1137</v>
      </c>
      <c r="D3010" s="5" t="s">
        <v>748</v>
      </c>
      <c r="E3010" s="5" t="s">
        <v>96</v>
      </c>
      <c r="F3010" s="5" t="s">
        <v>7853</v>
      </c>
      <c r="G3010" s="5" t="s">
        <v>35</v>
      </c>
      <c r="H3010" s="5" t="s">
        <v>35</v>
      </c>
      <c r="I3010" s="5" t="s">
        <v>35</v>
      </c>
      <c r="J3010" s="6">
        <v>2.0</v>
      </c>
      <c r="K3010" s="6" t="s">
        <v>37</v>
      </c>
      <c r="L3010" s="6">
        <v>720.0</v>
      </c>
      <c r="M3010" s="26" t="s">
        <v>38</v>
      </c>
      <c r="N3010" s="26" t="s">
        <v>96</v>
      </c>
      <c r="O3010" s="6" t="s">
        <v>40</v>
      </c>
      <c r="P3010" s="5" t="s">
        <v>41</v>
      </c>
      <c r="Q3010" s="5"/>
      <c r="R3010" s="6" t="s">
        <v>42</v>
      </c>
      <c r="S3010" s="5" t="s">
        <v>99</v>
      </c>
      <c r="T3010" s="5" t="s">
        <v>90</v>
      </c>
      <c r="U3010" s="5" t="s">
        <v>6186</v>
      </c>
      <c r="V3010" s="5" t="s">
        <v>44</v>
      </c>
      <c r="W3010" s="5" t="s">
        <v>36</v>
      </c>
      <c r="X3010" s="8" t="s">
        <v>278</v>
      </c>
      <c r="Y3010" s="5" t="s">
        <v>46</v>
      </c>
      <c r="Z3010" s="5" t="s">
        <v>47</v>
      </c>
      <c r="AA3010" s="5" t="s">
        <v>48</v>
      </c>
      <c r="AB3010" s="5" t="s">
        <v>14826</v>
      </c>
      <c r="AC3010" s="6" t="s">
        <v>486</v>
      </c>
      <c r="AD3010" s="6">
        <v>7133.0</v>
      </c>
    </row>
    <row r="3011" ht="56.25" customHeight="1">
      <c r="A3011" s="5" t="s">
        <v>14800</v>
      </c>
      <c r="B3011" s="6" t="str">
        <f>IMAGE("https://storage.googleapis.com/acdb/housewares/FtrWoodenTableMini_Remake_1_0.png")</f>
        <v/>
      </c>
      <c r="C3011" s="5" t="s">
        <v>1595</v>
      </c>
      <c r="D3011" s="5" t="s">
        <v>748</v>
      </c>
      <c r="E3011" s="5" t="s">
        <v>44</v>
      </c>
      <c r="F3011" s="5" t="s">
        <v>7853</v>
      </c>
      <c r="G3011" s="5" t="s">
        <v>35</v>
      </c>
      <c r="H3011" s="5" t="s">
        <v>35</v>
      </c>
      <c r="I3011" s="5" t="s">
        <v>35</v>
      </c>
      <c r="J3011" s="6">
        <v>2.0</v>
      </c>
      <c r="K3011" s="6" t="s">
        <v>37</v>
      </c>
      <c r="L3011" s="6">
        <v>720.0</v>
      </c>
      <c r="M3011" s="26" t="s">
        <v>57</v>
      </c>
      <c r="N3011" s="26" t="s">
        <v>57</v>
      </c>
      <c r="O3011" s="6" t="s">
        <v>40</v>
      </c>
      <c r="P3011" s="5" t="s">
        <v>41</v>
      </c>
      <c r="Q3011" s="5"/>
      <c r="R3011" s="6" t="s">
        <v>42</v>
      </c>
      <c r="S3011" s="5" t="s">
        <v>99</v>
      </c>
      <c r="T3011" s="5" t="s">
        <v>90</v>
      </c>
      <c r="U3011" s="5" t="s">
        <v>6186</v>
      </c>
      <c r="V3011" s="5" t="s">
        <v>44</v>
      </c>
      <c r="W3011" s="5" t="s">
        <v>36</v>
      </c>
      <c r="X3011" s="8" t="s">
        <v>278</v>
      </c>
      <c r="Y3011" s="5" t="s">
        <v>46</v>
      </c>
      <c r="Z3011" s="5" t="s">
        <v>47</v>
      </c>
      <c r="AA3011" s="5" t="s">
        <v>48</v>
      </c>
      <c r="AB3011" s="5" t="s">
        <v>14831</v>
      </c>
      <c r="AC3011" s="6" t="s">
        <v>56</v>
      </c>
      <c r="AD3011" s="6">
        <v>7133.0</v>
      </c>
    </row>
    <row r="3012" ht="56.25" customHeight="1">
      <c r="A3012" s="5" t="s">
        <v>14800</v>
      </c>
      <c r="B3012" s="6" t="str">
        <f>IMAGE("https://storage.googleapis.com/acdb/housewares/FtrWoodenTableMini_Remake_1_1.png")</f>
        <v/>
      </c>
      <c r="C3012" s="5" t="s">
        <v>1595</v>
      </c>
      <c r="D3012" s="5" t="s">
        <v>748</v>
      </c>
      <c r="E3012" s="5" t="s">
        <v>142</v>
      </c>
      <c r="F3012" s="5" t="s">
        <v>7853</v>
      </c>
      <c r="G3012" s="5" t="s">
        <v>35</v>
      </c>
      <c r="H3012" s="5" t="s">
        <v>35</v>
      </c>
      <c r="I3012" s="5" t="s">
        <v>35</v>
      </c>
      <c r="J3012" s="6">
        <v>2.0</v>
      </c>
      <c r="K3012" s="6" t="s">
        <v>37</v>
      </c>
      <c r="L3012" s="6">
        <v>720.0</v>
      </c>
      <c r="M3012" s="26" t="s">
        <v>57</v>
      </c>
      <c r="N3012" s="26" t="s">
        <v>142</v>
      </c>
      <c r="O3012" s="6" t="s">
        <v>40</v>
      </c>
      <c r="P3012" s="5" t="s">
        <v>41</v>
      </c>
      <c r="Q3012" s="5"/>
      <c r="R3012" s="6" t="s">
        <v>42</v>
      </c>
      <c r="S3012" s="5" t="s">
        <v>99</v>
      </c>
      <c r="T3012" s="5" t="s">
        <v>90</v>
      </c>
      <c r="U3012" s="5" t="s">
        <v>6186</v>
      </c>
      <c r="V3012" s="5" t="s">
        <v>44</v>
      </c>
      <c r="W3012" s="5" t="s">
        <v>36</v>
      </c>
      <c r="X3012" s="8" t="s">
        <v>278</v>
      </c>
      <c r="Y3012" s="5" t="s">
        <v>46</v>
      </c>
      <c r="Z3012" s="5" t="s">
        <v>47</v>
      </c>
      <c r="AA3012" s="5" t="s">
        <v>48</v>
      </c>
      <c r="AB3012" s="5" t="s">
        <v>14834</v>
      </c>
      <c r="AC3012" s="6" t="s">
        <v>234</v>
      </c>
      <c r="AD3012" s="6">
        <v>7133.0</v>
      </c>
    </row>
    <row r="3013" ht="56.25" customHeight="1">
      <c r="A3013" s="5" t="s">
        <v>14800</v>
      </c>
      <c r="B3013" s="6" t="str">
        <f>IMAGE("https://storage.googleapis.com/acdb/housewares/FtrWoodenTableMini_Remake_1_2.png")</f>
        <v/>
      </c>
      <c r="C3013" s="5" t="s">
        <v>1595</v>
      </c>
      <c r="D3013" s="5" t="s">
        <v>748</v>
      </c>
      <c r="E3013" s="5" t="s">
        <v>69</v>
      </c>
      <c r="F3013" s="5" t="s">
        <v>7853</v>
      </c>
      <c r="G3013" s="5" t="s">
        <v>35</v>
      </c>
      <c r="H3013" s="5" t="s">
        <v>35</v>
      </c>
      <c r="I3013" s="5" t="s">
        <v>35</v>
      </c>
      <c r="J3013" s="6">
        <v>2.0</v>
      </c>
      <c r="K3013" s="6" t="s">
        <v>37</v>
      </c>
      <c r="L3013" s="6">
        <v>720.0</v>
      </c>
      <c r="M3013" s="26" t="s">
        <v>57</v>
      </c>
      <c r="N3013" s="26" t="s">
        <v>69</v>
      </c>
      <c r="O3013" s="6" t="s">
        <v>40</v>
      </c>
      <c r="P3013" s="5" t="s">
        <v>41</v>
      </c>
      <c r="Q3013" s="5"/>
      <c r="R3013" s="6" t="s">
        <v>42</v>
      </c>
      <c r="S3013" s="5" t="s">
        <v>99</v>
      </c>
      <c r="T3013" s="5" t="s">
        <v>90</v>
      </c>
      <c r="U3013" s="5" t="s">
        <v>6186</v>
      </c>
      <c r="V3013" s="5" t="s">
        <v>44</v>
      </c>
      <c r="W3013" s="5" t="s">
        <v>36</v>
      </c>
      <c r="X3013" s="8" t="s">
        <v>278</v>
      </c>
      <c r="Y3013" s="5" t="s">
        <v>46</v>
      </c>
      <c r="Z3013" s="5" t="s">
        <v>47</v>
      </c>
      <c r="AA3013" s="5" t="s">
        <v>48</v>
      </c>
      <c r="AB3013" s="5" t="s">
        <v>14840</v>
      </c>
      <c r="AC3013" s="6" t="s">
        <v>370</v>
      </c>
      <c r="AD3013" s="6">
        <v>7133.0</v>
      </c>
    </row>
    <row r="3014" ht="56.25" customHeight="1">
      <c r="A3014" s="5" t="s">
        <v>14800</v>
      </c>
      <c r="B3014" s="6" t="str">
        <f>IMAGE("https://storage.googleapis.com/acdb/housewares/FtrWoodenTableMini_Remake_1_3.png")</f>
        <v/>
      </c>
      <c r="C3014" s="5" t="s">
        <v>1595</v>
      </c>
      <c r="D3014" s="5" t="s">
        <v>748</v>
      </c>
      <c r="E3014" s="5" t="s">
        <v>68</v>
      </c>
      <c r="F3014" s="5" t="s">
        <v>7853</v>
      </c>
      <c r="G3014" s="5" t="s">
        <v>35</v>
      </c>
      <c r="H3014" s="5" t="s">
        <v>35</v>
      </c>
      <c r="I3014" s="5" t="s">
        <v>35</v>
      </c>
      <c r="J3014" s="6">
        <v>2.0</v>
      </c>
      <c r="K3014" s="6" t="s">
        <v>37</v>
      </c>
      <c r="L3014" s="6">
        <v>720.0</v>
      </c>
      <c r="M3014" s="26" t="s">
        <v>57</v>
      </c>
      <c r="N3014" s="26" t="s">
        <v>68</v>
      </c>
      <c r="O3014" s="6" t="s">
        <v>40</v>
      </c>
      <c r="P3014" s="5" t="s">
        <v>41</v>
      </c>
      <c r="Q3014" s="5"/>
      <c r="R3014" s="6" t="s">
        <v>42</v>
      </c>
      <c r="S3014" s="5" t="s">
        <v>99</v>
      </c>
      <c r="T3014" s="5" t="s">
        <v>90</v>
      </c>
      <c r="U3014" s="5" t="s">
        <v>6186</v>
      </c>
      <c r="V3014" s="5" t="s">
        <v>44</v>
      </c>
      <c r="W3014" s="5" t="s">
        <v>36</v>
      </c>
      <c r="X3014" s="8" t="s">
        <v>278</v>
      </c>
      <c r="Y3014" s="5" t="s">
        <v>46</v>
      </c>
      <c r="Z3014" s="5" t="s">
        <v>47</v>
      </c>
      <c r="AA3014" s="5" t="s">
        <v>48</v>
      </c>
      <c r="AB3014" s="5" t="s">
        <v>14844</v>
      </c>
      <c r="AC3014" s="6" t="s">
        <v>377</v>
      </c>
      <c r="AD3014" s="6">
        <v>7133.0</v>
      </c>
    </row>
    <row r="3015" ht="56.25" customHeight="1">
      <c r="A3015" s="5" t="s">
        <v>14800</v>
      </c>
      <c r="B3015" s="6" t="str">
        <f>IMAGE("https://storage.googleapis.com/acdb/housewares/FtrWoodenTableMini_Remake_1_4.png")</f>
        <v/>
      </c>
      <c r="C3015" s="5" t="s">
        <v>1595</v>
      </c>
      <c r="D3015" s="5" t="s">
        <v>748</v>
      </c>
      <c r="E3015" s="5" t="s">
        <v>96</v>
      </c>
      <c r="F3015" s="5" t="s">
        <v>7853</v>
      </c>
      <c r="G3015" s="5" t="s">
        <v>35</v>
      </c>
      <c r="H3015" s="5" t="s">
        <v>35</v>
      </c>
      <c r="I3015" s="5" t="s">
        <v>35</v>
      </c>
      <c r="J3015" s="6">
        <v>2.0</v>
      </c>
      <c r="K3015" s="6" t="s">
        <v>37</v>
      </c>
      <c r="L3015" s="6">
        <v>720.0</v>
      </c>
      <c r="M3015" s="26" t="s">
        <v>57</v>
      </c>
      <c r="N3015" s="26" t="s">
        <v>96</v>
      </c>
      <c r="O3015" s="6" t="s">
        <v>40</v>
      </c>
      <c r="P3015" s="5" t="s">
        <v>41</v>
      </c>
      <c r="Q3015" s="5"/>
      <c r="R3015" s="6" t="s">
        <v>42</v>
      </c>
      <c r="S3015" s="5" t="s">
        <v>99</v>
      </c>
      <c r="T3015" s="5" t="s">
        <v>90</v>
      </c>
      <c r="U3015" s="5" t="s">
        <v>6186</v>
      </c>
      <c r="V3015" s="5" t="s">
        <v>44</v>
      </c>
      <c r="W3015" s="5" t="s">
        <v>36</v>
      </c>
      <c r="X3015" s="8" t="s">
        <v>278</v>
      </c>
      <c r="Y3015" s="5" t="s">
        <v>46</v>
      </c>
      <c r="Z3015" s="5" t="s">
        <v>47</v>
      </c>
      <c r="AA3015" s="5" t="s">
        <v>48</v>
      </c>
      <c r="AB3015" s="5" t="s">
        <v>14850</v>
      </c>
      <c r="AC3015" s="6" t="s">
        <v>520</v>
      </c>
      <c r="AD3015" s="6">
        <v>7133.0</v>
      </c>
    </row>
    <row r="3016" ht="56.25" customHeight="1">
      <c r="A3016" s="5" t="s">
        <v>14800</v>
      </c>
      <c r="B3016" s="6" t="str">
        <f>IMAGE("https://storage.googleapis.com/acdb/housewares/FtrWoodenTableMini_Remake_2_0.png")</f>
        <v/>
      </c>
      <c r="C3016" s="5" t="s">
        <v>6192</v>
      </c>
      <c r="D3016" s="5" t="s">
        <v>748</v>
      </c>
      <c r="E3016" s="5" t="s">
        <v>44</v>
      </c>
      <c r="F3016" s="5" t="s">
        <v>7853</v>
      </c>
      <c r="G3016" s="5" t="s">
        <v>35</v>
      </c>
      <c r="H3016" s="5" t="s">
        <v>35</v>
      </c>
      <c r="I3016" s="5" t="s">
        <v>35</v>
      </c>
      <c r="J3016" s="6">
        <v>2.0</v>
      </c>
      <c r="K3016" s="6" t="s">
        <v>37</v>
      </c>
      <c r="L3016" s="6">
        <v>720.0</v>
      </c>
      <c r="M3016" s="26" t="s">
        <v>142</v>
      </c>
      <c r="N3016" s="26" t="s">
        <v>142</v>
      </c>
      <c r="O3016" s="6" t="s">
        <v>40</v>
      </c>
      <c r="P3016" s="5" t="s">
        <v>41</v>
      </c>
      <c r="Q3016" s="5"/>
      <c r="R3016" s="6" t="s">
        <v>42</v>
      </c>
      <c r="S3016" s="5" t="s">
        <v>99</v>
      </c>
      <c r="T3016" s="5" t="s">
        <v>90</v>
      </c>
      <c r="U3016" s="5" t="s">
        <v>6186</v>
      </c>
      <c r="V3016" s="5" t="s">
        <v>44</v>
      </c>
      <c r="W3016" s="5" t="s">
        <v>36</v>
      </c>
      <c r="X3016" s="8" t="s">
        <v>278</v>
      </c>
      <c r="Y3016" s="5" t="s">
        <v>46</v>
      </c>
      <c r="Z3016" s="5" t="s">
        <v>47</v>
      </c>
      <c r="AA3016" s="5" t="s">
        <v>48</v>
      </c>
      <c r="AB3016" s="5" t="s">
        <v>14857</v>
      </c>
      <c r="AC3016" s="6" t="s">
        <v>67</v>
      </c>
      <c r="AD3016" s="6">
        <v>7133.0</v>
      </c>
    </row>
    <row r="3017" ht="56.25" customHeight="1">
      <c r="A3017" s="5" t="s">
        <v>14800</v>
      </c>
      <c r="B3017" s="6" t="str">
        <f>IMAGE("https://storage.googleapis.com/acdb/housewares/FtrWoodenTableMini_Remake_2_1.png")</f>
        <v/>
      </c>
      <c r="C3017" s="5" t="s">
        <v>6192</v>
      </c>
      <c r="D3017" s="5" t="s">
        <v>748</v>
      </c>
      <c r="E3017" s="5" t="s">
        <v>142</v>
      </c>
      <c r="F3017" s="5" t="s">
        <v>7853</v>
      </c>
      <c r="G3017" s="5" t="s">
        <v>35</v>
      </c>
      <c r="H3017" s="5" t="s">
        <v>35</v>
      </c>
      <c r="I3017" s="5" t="s">
        <v>35</v>
      </c>
      <c r="J3017" s="6">
        <v>2.0</v>
      </c>
      <c r="K3017" s="6" t="s">
        <v>37</v>
      </c>
      <c r="L3017" s="6">
        <v>720.0</v>
      </c>
      <c r="M3017" s="26" t="s">
        <v>142</v>
      </c>
      <c r="N3017" s="26" t="s">
        <v>142</v>
      </c>
      <c r="O3017" s="6" t="s">
        <v>40</v>
      </c>
      <c r="P3017" s="5" t="s">
        <v>41</v>
      </c>
      <c r="Q3017" s="5"/>
      <c r="R3017" s="6" t="s">
        <v>42</v>
      </c>
      <c r="S3017" s="5" t="s">
        <v>99</v>
      </c>
      <c r="T3017" s="5" t="s">
        <v>90</v>
      </c>
      <c r="U3017" s="5" t="s">
        <v>6186</v>
      </c>
      <c r="V3017" s="5" t="s">
        <v>44</v>
      </c>
      <c r="W3017" s="5" t="s">
        <v>36</v>
      </c>
      <c r="X3017" s="8" t="s">
        <v>278</v>
      </c>
      <c r="Y3017" s="5" t="s">
        <v>46</v>
      </c>
      <c r="Z3017" s="5" t="s">
        <v>47</v>
      </c>
      <c r="AA3017" s="5" t="s">
        <v>48</v>
      </c>
      <c r="AB3017" s="5" t="s">
        <v>14864</v>
      </c>
      <c r="AC3017" s="6" t="s">
        <v>247</v>
      </c>
      <c r="AD3017" s="6">
        <v>7133.0</v>
      </c>
    </row>
    <row r="3018" ht="56.25" customHeight="1">
      <c r="A3018" s="5" t="s">
        <v>14800</v>
      </c>
      <c r="B3018" s="6" t="str">
        <f>IMAGE("https://storage.googleapis.com/acdb/housewares/FtrWoodenTableMini_Remake_2_2.png")</f>
        <v/>
      </c>
      <c r="C3018" s="5" t="s">
        <v>6192</v>
      </c>
      <c r="D3018" s="5" t="s">
        <v>748</v>
      </c>
      <c r="E3018" s="5" t="s">
        <v>69</v>
      </c>
      <c r="F3018" s="5" t="s">
        <v>7853</v>
      </c>
      <c r="G3018" s="5" t="s">
        <v>35</v>
      </c>
      <c r="H3018" s="5" t="s">
        <v>35</v>
      </c>
      <c r="I3018" s="5" t="s">
        <v>35</v>
      </c>
      <c r="J3018" s="6">
        <v>2.0</v>
      </c>
      <c r="K3018" s="6" t="s">
        <v>37</v>
      </c>
      <c r="L3018" s="6">
        <v>720.0</v>
      </c>
      <c r="M3018" s="26" t="s">
        <v>142</v>
      </c>
      <c r="N3018" s="26" t="s">
        <v>69</v>
      </c>
      <c r="O3018" s="6" t="s">
        <v>40</v>
      </c>
      <c r="P3018" s="5" t="s">
        <v>41</v>
      </c>
      <c r="Q3018" s="5"/>
      <c r="R3018" s="6" t="s">
        <v>42</v>
      </c>
      <c r="S3018" s="5" t="s">
        <v>99</v>
      </c>
      <c r="T3018" s="5" t="s">
        <v>90</v>
      </c>
      <c r="U3018" s="5" t="s">
        <v>6186</v>
      </c>
      <c r="V3018" s="5" t="s">
        <v>44</v>
      </c>
      <c r="W3018" s="5" t="s">
        <v>36</v>
      </c>
      <c r="X3018" s="8" t="s">
        <v>278</v>
      </c>
      <c r="Y3018" s="5" t="s">
        <v>46</v>
      </c>
      <c r="Z3018" s="5" t="s">
        <v>47</v>
      </c>
      <c r="AA3018" s="5" t="s">
        <v>48</v>
      </c>
      <c r="AB3018" s="5" t="s">
        <v>14869</v>
      </c>
      <c r="AC3018" s="6" t="s">
        <v>390</v>
      </c>
      <c r="AD3018" s="6">
        <v>7133.0</v>
      </c>
    </row>
    <row r="3019" ht="56.25" customHeight="1">
      <c r="A3019" s="5" t="s">
        <v>14800</v>
      </c>
      <c r="B3019" s="6" t="str">
        <f>IMAGE("https://storage.googleapis.com/acdb/housewares/FtrWoodenTableMini_Remake_2_3.png")</f>
        <v/>
      </c>
      <c r="C3019" s="5" t="s">
        <v>6192</v>
      </c>
      <c r="D3019" s="5" t="s">
        <v>748</v>
      </c>
      <c r="E3019" s="5" t="s">
        <v>68</v>
      </c>
      <c r="F3019" s="5" t="s">
        <v>7853</v>
      </c>
      <c r="G3019" s="5" t="s">
        <v>35</v>
      </c>
      <c r="H3019" s="5" t="s">
        <v>35</v>
      </c>
      <c r="I3019" s="5" t="s">
        <v>35</v>
      </c>
      <c r="J3019" s="6">
        <v>2.0</v>
      </c>
      <c r="K3019" s="6" t="s">
        <v>37</v>
      </c>
      <c r="L3019" s="6">
        <v>720.0</v>
      </c>
      <c r="M3019" s="26" t="s">
        <v>142</v>
      </c>
      <c r="N3019" s="26" t="s">
        <v>68</v>
      </c>
      <c r="O3019" s="6" t="s">
        <v>40</v>
      </c>
      <c r="P3019" s="5" t="s">
        <v>41</v>
      </c>
      <c r="Q3019" s="5"/>
      <c r="R3019" s="6" t="s">
        <v>42</v>
      </c>
      <c r="S3019" s="5" t="s">
        <v>99</v>
      </c>
      <c r="T3019" s="5" t="s">
        <v>90</v>
      </c>
      <c r="U3019" s="5" t="s">
        <v>6186</v>
      </c>
      <c r="V3019" s="5" t="s">
        <v>44</v>
      </c>
      <c r="W3019" s="5" t="s">
        <v>36</v>
      </c>
      <c r="X3019" s="8" t="s">
        <v>278</v>
      </c>
      <c r="Y3019" s="5" t="s">
        <v>46</v>
      </c>
      <c r="Z3019" s="5" t="s">
        <v>47</v>
      </c>
      <c r="AA3019" s="5" t="s">
        <v>48</v>
      </c>
      <c r="AB3019" s="5" t="s">
        <v>14873</v>
      </c>
      <c r="AC3019" s="6" t="s">
        <v>396</v>
      </c>
      <c r="AD3019" s="6">
        <v>7133.0</v>
      </c>
    </row>
    <row r="3020" ht="56.25" customHeight="1">
      <c r="A3020" s="5" t="s">
        <v>14800</v>
      </c>
      <c r="B3020" s="6" t="str">
        <f>IMAGE("https://storage.googleapis.com/acdb/housewares/FtrWoodenTableMini_Remake_2_4.png")</f>
        <v/>
      </c>
      <c r="C3020" s="5" t="s">
        <v>6192</v>
      </c>
      <c r="D3020" s="5" t="s">
        <v>748</v>
      </c>
      <c r="E3020" s="5" t="s">
        <v>96</v>
      </c>
      <c r="F3020" s="5" t="s">
        <v>7853</v>
      </c>
      <c r="G3020" s="5" t="s">
        <v>35</v>
      </c>
      <c r="H3020" s="5" t="s">
        <v>35</v>
      </c>
      <c r="I3020" s="5" t="s">
        <v>35</v>
      </c>
      <c r="J3020" s="6">
        <v>2.0</v>
      </c>
      <c r="K3020" s="6" t="s">
        <v>37</v>
      </c>
      <c r="L3020" s="6">
        <v>720.0</v>
      </c>
      <c r="M3020" s="26" t="s">
        <v>142</v>
      </c>
      <c r="N3020" s="26" t="s">
        <v>96</v>
      </c>
      <c r="O3020" s="6" t="s">
        <v>40</v>
      </c>
      <c r="P3020" s="5" t="s">
        <v>41</v>
      </c>
      <c r="Q3020" s="5"/>
      <c r="R3020" s="6" t="s">
        <v>42</v>
      </c>
      <c r="S3020" s="5" t="s">
        <v>99</v>
      </c>
      <c r="T3020" s="5" t="s">
        <v>90</v>
      </c>
      <c r="U3020" s="5" t="s">
        <v>6186</v>
      </c>
      <c r="V3020" s="5" t="s">
        <v>44</v>
      </c>
      <c r="W3020" s="5" t="s">
        <v>36</v>
      </c>
      <c r="X3020" s="8" t="s">
        <v>278</v>
      </c>
      <c r="Y3020" s="5" t="s">
        <v>46</v>
      </c>
      <c r="Z3020" s="5" t="s">
        <v>47</v>
      </c>
      <c r="AA3020" s="5" t="s">
        <v>48</v>
      </c>
      <c r="AB3020" s="5" t="s">
        <v>14876</v>
      </c>
      <c r="AC3020" s="6" t="s">
        <v>541</v>
      </c>
      <c r="AD3020" s="6">
        <v>7133.0</v>
      </c>
    </row>
    <row r="3021" ht="56.25" customHeight="1">
      <c r="A3021" s="5" t="s">
        <v>14800</v>
      </c>
      <c r="B3021" s="6" t="str">
        <f>IMAGE("https://storage.googleapis.com/acdb/housewares/FtrWoodenTableMini_Remake_3_0.png")</f>
        <v/>
      </c>
      <c r="C3021" s="5" t="s">
        <v>1132</v>
      </c>
      <c r="D3021" s="5" t="s">
        <v>748</v>
      </c>
      <c r="E3021" s="5" t="s">
        <v>44</v>
      </c>
      <c r="F3021" s="5" t="s">
        <v>7853</v>
      </c>
      <c r="G3021" s="5" t="s">
        <v>35</v>
      </c>
      <c r="H3021" s="5" t="s">
        <v>35</v>
      </c>
      <c r="I3021" s="5" t="s">
        <v>35</v>
      </c>
      <c r="J3021" s="6">
        <v>2.0</v>
      </c>
      <c r="K3021" s="6" t="s">
        <v>37</v>
      </c>
      <c r="L3021" s="6">
        <v>720.0</v>
      </c>
      <c r="M3021" s="26" t="s">
        <v>39</v>
      </c>
      <c r="N3021" s="26" t="s">
        <v>39</v>
      </c>
      <c r="O3021" s="6" t="s">
        <v>40</v>
      </c>
      <c r="P3021" s="5" t="s">
        <v>41</v>
      </c>
      <c r="Q3021" s="5"/>
      <c r="R3021" s="6" t="s">
        <v>42</v>
      </c>
      <c r="S3021" s="5" t="s">
        <v>99</v>
      </c>
      <c r="T3021" s="5" t="s">
        <v>90</v>
      </c>
      <c r="U3021" s="5" t="s">
        <v>6186</v>
      </c>
      <c r="V3021" s="5" t="s">
        <v>44</v>
      </c>
      <c r="W3021" s="5" t="s">
        <v>36</v>
      </c>
      <c r="X3021" s="8" t="s">
        <v>278</v>
      </c>
      <c r="Y3021" s="5" t="s">
        <v>46</v>
      </c>
      <c r="Z3021" s="5" t="s">
        <v>47</v>
      </c>
      <c r="AA3021" s="5" t="s">
        <v>48</v>
      </c>
      <c r="AB3021" s="5" t="s">
        <v>14879</v>
      </c>
      <c r="AC3021" s="6" t="s">
        <v>71</v>
      </c>
      <c r="AD3021" s="6">
        <v>7133.0</v>
      </c>
    </row>
    <row r="3022" ht="56.25" customHeight="1">
      <c r="A3022" s="5" t="s">
        <v>14800</v>
      </c>
      <c r="B3022" s="6" t="str">
        <f>IMAGE("https://storage.googleapis.com/acdb/housewares/FtrWoodenTableMini_Remake_3_1.png")</f>
        <v/>
      </c>
      <c r="C3022" s="5" t="s">
        <v>1132</v>
      </c>
      <c r="D3022" s="5" t="s">
        <v>748</v>
      </c>
      <c r="E3022" s="5" t="s">
        <v>142</v>
      </c>
      <c r="F3022" s="5" t="s">
        <v>7853</v>
      </c>
      <c r="G3022" s="5" t="s">
        <v>35</v>
      </c>
      <c r="H3022" s="5" t="s">
        <v>35</v>
      </c>
      <c r="I3022" s="5" t="s">
        <v>35</v>
      </c>
      <c r="J3022" s="6">
        <v>2.0</v>
      </c>
      <c r="K3022" s="6" t="s">
        <v>37</v>
      </c>
      <c r="L3022" s="6">
        <v>720.0</v>
      </c>
      <c r="M3022" s="26" t="s">
        <v>39</v>
      </c>
      <c r="N3022" s="26" t="s">
        <v>142</v>
      </c>
      <c r="O3022" s="6" t="s">
        <v>40</v>
      </c>
      <c r="P3022" s="5" t="s">
        <v>41</v>
      </c>
      <c r="Q3022" s="5"/>
      <c r="R3022" s="6" t="s">
        <v>42</v>
      </c>
      <c r="S3022" s="5" t="s">
        <v>99</v>
      </c>
      <c r="T3022" s="5" t="s">
        <v>90</v>
      </c>
      <c r="U3022" s="5" t="s">
        <v>6186</v>
      </c>
      <c r="V3022" s="5" t="s">
        <v>44</v>
      </c>
      <c r="W3022" s="5" t="s">
        <v>36</v>
      </c>
      <c r="X3022" s="8" t="s">
        <v>278</v>
      </c>
      <c r="Y3022" s="5" t="s">
        <v>46</v>
      </c>
      <c r="Z3022" s="5" t="s">
        <v>47</v>
      </c>
      <c r="AA3022" s="5" t="s">
        <v>48</v>
      </c>
      <c r="AB3022" s="5" t="s">
        <v>14884</v>
      </c>
      <c r="AC3022" s="6" t="s">
        <v>257</v>
      </c>
      <c r="AD3022" s="6">
        <v>7133.0</v>
      </c>
    </row>
    <row r="3023" ht="56.25" customHeight="1">
      <c r="A3023" s="5" t="s">
        <v>14800</v>
      </c>
      <c r="B3023" s="6" t="str">
        <f>IMAGE("https://storage.googleapis.com/acdb/housewares/FtrWoodenTableMini_Remake_3_2.png")</f>
        <v/>
      </c>
      <c r="C3023" s="5" t="s">
        <v>1132</v>
      </c>
      <c r="D3023" s="5" t="s">
        <v>748</v>
      </c>
      <c r="E3023" s="5" t="s">
        <v>69</v>
      </c>
      <c r="F3023" s="5" t="s">
        <v>7853</v>
      </c>
      <c r="G3023" s="5" t="s">
        <v>35</v>
      </c>
      <c r="H3023" s="5" t="s">
        <v>35</v>
      </c>
      <c r="I3023" s="5" t="s">
        <v>35</v>
      </c>
      <c r="J3023" s="6">
        <v>2.0</v>
      </c>
      <c r="K3023" s="6" t="s">
        <v>37</v>
      </c>
      <c r="L3023" s="6">
        <v>720.0</v>
      </c>
      <c r="M3023" s="26" t="s">
        <v>39</v>
      </c>
      <c r="N3023" s="26" t="s">
        <v>69</v>
      </c>
      <c r="O3023" s="6" t="s">
        <v>40</v>
      </c>
      <c r="P3023" s="5" t="s">
        <v>41</v>
      </c>
      <c r="Q3023" s="5"/>
      <c r="R3023" s="6" t="s">
        <v>42</v>
      </c>
      <c r="S3023" s="5" t="s">
        <v>99</v>
      </c>
      <c r="T3023" s="5" t="s">
        <v>90</v>
      </c>
      <c r="U3023" s="5" t="s">
        <v>6186</v>
      </c>
      <c r="V3023" s="5" t="s">
        <v>44</v>
      </c>
      <c r="W3023" s="5" t="s">
        <v>36</v>
      </c>
      <c r="X3023" s="8" t="s">
        <v>278</v>
      </c>
      <c r="Y3023" s="5" t="s">
        <v>46</v>
      </c>
      <c r="Z3023" s="5" t="s">
        <v>47</v>
      </c>
      <c r="AA3023" s="5" t="s">
        <v>48</v>
      </c>
      <c r="AB3023" s="5" t="s">
        <v>14887</v>
      </c>
      <c r="AC3023" s="6" t="s">
        <v>414</v>
      </c>
      <c r="AD3023" s="6">
        <v>7133.0</v>
      </c>
    </row>
    <row r="3024" ht="56.25" customHeight="1">
      <c r="A3024" s="5" t="s">
        <v>14800</v>
      </c>
      <c r="B3024" s="6" t="str">
        <f>IMAGE("https://storage.googleapis.com/acdb/housewares/FtrWoodenTableMini_Remake_3_3.png")</f>
        <v/>
      </c>
      <c r="C3024" s="5" t="s">
        <v>1132</v>
      </c>
      <c r="D3024" s="5" t="s">
        <v>748</v>
      </c>
      <c r="E3024" s="5" t="s">
        <v>68</v>
      </c>
      <c r="F3024" s="5" t="s">
        <v>7853</v>
      </c>
      <c r="G3024" s="5" t="s">
        <v>35</v>
      </c>
      <c r="H3024" s="5" t="s">
        <v>35</v>
      </c>
      <c r="I3024" s="5" t="s">
        <v>35</v>
      </c>
      <c r="J3024" s="6">
        <v>2.0</v>
      </c>
      <c r="K3024" s="6" t="s">
        <v>37</v>
      </c>
      <c r="L3024" s="6">
        <v>720.0</v>
      </c>
      <c r="M3024" s="26" t="s">
        <v>39</v>
      </c>
      <c r="N3024" s="26" t="s">
        <v>68</v>
      </c>
      <c r="O3024" s="6" t="s">
        <v>40</v>
      </c>
      <c r="P3024" s="5" t="s">
        <v>41</v>
      </c>
      <c r="Q3024" s="5"/>
      <c r="R3024" s="6" t="s">
        <v>42</v>
      </c>
      <c r="S3024" s="5" t="s">
        <v>99</v>
      </c>
      <c r="T3024" s="5" t="s">
        <v>90</v>
      </c>
      <c r="U3024" s="5" t="s">
        <v>6186</v>
      </c>
      <c r="V3024" s="5" t="s">
        <v>44</v>
      </c>
      <c r="W3024" s="5" t="s">
        <v>36</v>
      </c>
      <c r="X3024" s="8" t="s">
        <v>278</v>
      </c>
      <c r="Y3024" s="5" t="s">
        <v>46</v>
      </c>
      <c r="Z3024" s="5" t="s">
        <v>47</v>
      </c>
      <c r="AA3024" s="5" t="s">
        <v>48</v>
      </c>
      <c r="AB3024" s="5" t="s">
        <v>14891</v>
      </c>
      <c r="AC3024" s="6" t="s">
        <v>418</v>
      </c>
      <c r="AD3024" s="6">
        <v>7133.0</v>
      </c>
    </row>
    <row r="3025" ht="56.25" customHeight="1">
      <c r="A3025" s="5" t="s">
        <v>14800</v>
      </c>
      <c r="B3025" s="6" t="str">
        <f>IMAGE("https://storage.googleapis.com/acdb/housewares/FtrWoodenTableMini_Remake_3_4.png")</f>
        <v/>
      </c>
      <c r="C3025" s="5" t="s">
        <v>1132</v>
      </c>
      <c r="D3025" s="5" t="s">
        <v>748</v>
      </c>
      <c r="E3025" s="5" t="s">
        <v>96</v>
      </c>
      <c r="F3025" s="5" t="s">
        <v>7853</v>
      </c>
      <c r="G3025" s="5" t="s">
        <v>35</v>
      </c>
      <c r="H3025" s="5" t="s">
        <v>35</v>
      </c>
      <c r="I3025" s="5" t="s">
        <v>35</v>
      </c>
      <c r="J3025" s="6">
        <v>2.0</v>
      </c>
      <c r="K3025" s="6" t="s">
        <v>37</v>
      </c>
      <c r="L3025" s="6">
        <v>720.0</v>
      </c>
      <c r="M3025" s="26" t="s">
        <v>39</v>
      </c>
      <c r="N3025" s="26" t="s">
        <v>96</v>
      </c>
      <c r="O3025" s="6" t="s">
        <v>40</v>
      </c>
      <c r="P3025" s="5" t="s">
        <v>41</v>
      </c>
      <c r="Q3025" s="5"/>
      <c r="R3025" s="6" t="s">
        <v>42</v>
      </c>
      <c r="S3025" s="5" t="s">
        <v>99</v>
      </c>
      <c r="T3025" s="5" t="s">
        <v>90</v>
      </c>
      <c r="U3025" s="5" t="s">
        <v>6186</v>
      </c>
      <c r="V3025" s="5" t="s">
        <v>44</v>
      </c>
      <c r="W3025" s="5" t="s">
        <v>36</v>
      </c>
      <c r="X3025" s="8" t="s">
        <v>278</v>
      </c>
      <c r="Y3025" s="5" t="s">
        <v>46</v>
      </c>
      <c r="Z3025" s="5" t="s">
        <v>47</v>
      </c>
      <c r="AA3025" s="5" t="s">
        <v>48</v>
      </c>
      <c r="AB3025" s="5" t="s">
        <v>14897</v>
      </c>
      <c r="AC3025" s="6" t="s">
        <v>563</v>
      </c>
      <c r="AD3025" s="6">
        <v>7133.0</v>
      </c>
    </row>
    <row r="3026" ht="56.25" customHeight="1">
      <c r="A3026" s="5" t="s">
        <v>14800</v>
      </c>
      <c r="B3026" s="6" t="str">
        <f>IMAGE("https://storage.googleapis.com/acdb/housewares/FtrWoodenTableMini_Remake_4_0.png")</f>
        <v/>
      </c>
      <c r="C3026" s="5" t="s">
        <v>54</v>
      </c>
      <c r="D3026" s="5" t="s">
        <v>748</v>
      </c>
      <c r="E3026" s="5" t="s">
        <v>44</v>
      </c>
      <c r="F3026" s="5" t="s">
        <v>7853</v>
      </c>
      <c r="G3026" s="5" t="s">
        <v>35</v>
      </c>
      <c r="H3026" s="5" t="s">
        <v>35</v>
      </c>
      <c r="I3026" s="5" t="s">
        <v>35</v>
      </c>
      <c r="J3026" s="6">
        <v>2.0</v>
      </c>
      <c r="K3026" s="6" t="s">
        <v>37</v>
      </c>
      <c r="L3026" s="6">
        <v>720.0</v>
      </c>
      <c r="M3026" s="26" t="s">
        <v>54</v>
      </c>
      <c r="N3026" s="26" t="s">
        <v>54</v>
      </c>
      <c r="O3026" s="6" t="s">
        <v>40</v>
      </c>
      <c r="P3026" s="5" t="s">
        <v>41</v>
      </c>
      <c r="Q3026" s="5"/>
      <c r="R3026" s="6" t="s">
        <v>42</v>
      </c>
      <c r="S3026" s="5" t="s">
        <v>99</v>
      </c>
      <c r="T3026" s="5" t="s">
        <v>90</v>
      </c>
      <c r="U3026" s="5" t="s">
        <v>6186</v>
      </c>
      <c r="V3026" s="5" t="s">
        <v>44</v>
      </c>
      <c r="W3026" s="5" t="s">
        <v>36</v>
      </c>
      <c r="X3026" s="8" t="s">
        <v>278</v>
      </c>
      <c r="Y3026" s="5" t="s">
        <v>46</v>
      </c>
      <c r="Z3026" s="5" t="s">
        <v>47</v>
      </c>
      <c r="AA3026" s="5" t="s">
        <v>48</v>
      </c>
      <c r="AB3026" s="5" t="s">
        <v>14902</v>
      </c>
      <c r="AC3026" s="6" t="s">
        <v>75</v>
      </c>
      <c r="AD3026" s="6">
        <v>7133.0</v>
      </c>
    </row>
    <row r="3027" ht="56.25" customHeight="1">
      <c r="A3027" s="5" t="s">
        <v>14800</v>
      </c>
      <c r="B3027" s="6" t="str">
        <f>IMAGE("https://storage.googleapis.com/acdb/housewares/FtrWoodenTableMini_Remake_4_1.png")</f>
        <v/>
      </c>
      <c r="C3027" s="5" t="s">
        <v>54</v>
      </c>
      <c r="D3027" s="5" t="s">
        <v>748</v>
      </c>
      <c r="E3027" s="5" t="s">
        <v>142</v>
      </c>
      <c r="F3027" s="5" t="s">
        <v>7853</v>
      </c>
      <c r="G3027" s="5" t="s">
        <v>35</v>
      </c>
      <c r="H3027" s="5" t="s">
        <v>35</v>
      </c>
      <c r="I3027" s="5" t="s">
        <v>35</v>
      </c>
      <c r="J3027" s="6">
        <v>2.0</v>
      </c>
      <c r="K3027" s="6" t="s">
        <v>37</v>
      </c>
      <c r="L3027" s="6">
        <v>720.0</v>
      </c>
      <c r="M3027" s="26" t="s">
        <v>54</v>
      </c>
      <c r="N3027" s="26" t="s">
        <v>142</v>
      </c>
      <c r="O3027" s="6" t="s">
        <v>40</v>
      </c>
      <c r="P3027" s="5" t="s">
        <v>41</v>
      </c>
      <c r="Q3027" s="5"/>
      <c r="R3027" s="6" t="s">
        <v>42</v>
      </c>
      <c r="S3027" s="5" t="s">
        <v>99</v>
      </c>
      <c r="T3027" s="5" t="s">
        <v>90</v>
      </c>
      <c r="U3027" s="5" t="s">
        <v>6186</v>
      </c>
      <c r="V3027" s="5" t="s">
        <v>44</v>
      </c>
      <c r="W3027" s="5" t="s">
        <v>36</v>
      </c>
      <c r="X3027" s="8" t="s">
        <v>278</v>
      </c>
      <c r="Y3027" s="5" t="s">
        <v>46</v>
      </c>
      <c r="Z3027" s="5" t="s">
        <v>47</v>
      </c>
      <c r="AA3027" s="5" t="s">
        <v>48</v>
      </c>
      <c r="AB3027" s="5" t="s">
        <v>14906</v>
      </c>
      <c r="AC3027" s="6" t="s">
        <v>429</v>
      </c>
      <c r="AD3027" s="6">
        <v>7133.0</v>
      </c>
    </row>
    <row r="3028" ht="56.25" customHeight="1">
      <c r="A3028" s="5" t="s">
        <v>14800</v>
      </c>
      <c r="B3028" s="6" t="str">
        <f>IMAGE("https://storage.googleapis.com/acdb/housewares/FtrWoodenTableMini_Remake_4_2.png")</f>
        <v/>
      </c>
      <c r="C3028" s="5" t="s">
        <v>54</v>
      </c>
      <c r="D3028" s="5" t="s">
        <v>748</v>
      </c>
      <c r="E3028" s="5" t="s">
        <v>69</v>
      </c>
      <c r="F3028" s="5" t="s">
        <v>7853</v>
      </c>
      <c r="G3028" s="5" t="s">
        <v>35</v>
      </c>
      <c r="H3028" s="5" t="s">
        <v>35</v>
      </c>
      <c r="I3028" s="5" t="s">
        <v>35</v>
      </c>
      <c r="J3028" s="6">
        <v>2.0</v>
      </c>
      <c r="K3028" s="6" t="s">
        <v>37</v>
      </c>
      <c r="L3028" s="6">
        <v>720.0</v>
      </c>
      <c r="M3028" s="26" t="s">
        <v>54</v>
      </c>
      <c r="N3028" s="26" t="s">
        <v>69</v>
      </c>
      <c r="O3028" s="6" t="s">
        <v>40</v>
      </c>
      <c r="P3028" s="5" t="s">
        <v>41</v>
      </c>
      <c r="Q3028" s="5"/>
      <c r="R3028" s="6" t="s">
        <v>42</v>
      </c>
      <c r="S3028" s="5" t="s">
        <v>99</v>
      </c>
      <c r="T3028" s="5" t="s">
        <v>90</v>
      </c>
      <c r="U3028" s="5" t="s">
        <v>6186</v>
      </c>
      <c r="V3028" s="5" t="s">
        <v>44</v>
      </c>
      <c r="W3028" s="5" t="s">
        <v>36</v>
      </c>
      <c r="X3028" s="8" t="s">
        <v>278</v>
      </c>
      <c r="Y3028" s="5" t="s">
        <v>46</v>
      </c>
      <c r="Z3028" s="5" t="s">
        <v>47</v>
      </c>
      <c r="AA3028" s="5" t="s">
        <v>48</v>
      </c>
      <c r="AB3028" s="5" t="s">
        <v>14910</v>
      </c>
      <c r="AC3028" s="6" t="s">
        <v>434</v>
      </c>
      <c r="AD3028" s="6">
        <v>7133.0</v>
      </c>
    </row>
    <row r="3029" ht="56.25" customHeight="1">
      <c r="A3029" s="5" t="s">
        <v>14800</v>
      </c>
      <c r="B3029" s="6" t="str">
        <f>IMAGE("https://storage.googleapis.com/acdb/housewares/FtrWoodenTableMini_Remake_4_3.png")</f>
        <v/>
      </c>
      <c r="C3029" s="5" t="s">
        <v>54</v>
      </c>
      <c r="D3029" s="5" t="s">
        <v>748</v>
      </c>
      <c r="E3029" s="5" t="s">
        <v>68</v>
      </c>
      <c r="F3029" s="5" t="s">
        <v>7853</v>
      </c>
      <c r="G3029" s="5" t="s">
        <v>35</v>
      </c>
      <c r="H3029" s="5" t="s">
        <v>35</v>
      </c>
      <c r="I3029" s="5" t="s">
        <v>35</v>
      </c>
      <c r="J3029" s="6">
        <v>2.0</v>
      </c>
      <c r="K3029" s="6" t="s">
        <v>37</v>
      </c>
      <c r="L3029" s="6">
        <v>720.0</v>
      </c>
      <c r="M3029" s="26" t="s">
        <v>54</v>
      </c>
      <c r="N3029" s="26" t="s">
        <v>68</v>
      </c>
      <c r="O3029" s="6" t="s">
        <v>40</v>
      </c>
      <c r="P3029" s="5" t="s">
        <v>41</v>
      </c>
      <c r="Q3029" s="5"/>
      <c r="R3029" s="6" t="s">
        <v>42</v>
      </c>
      <c r="S3029" s="5" t="s">
        <v>99</v>
      </c>
      <c r="T3029" s="5" t="s">
        <v>90</v>
      </c>
      <c r="U3029" s="5" t="s">
        <v>6186</v>
      </c>
      <c r="V3029" s="5" t="s">
        <v>44</v>
      </c>
      <c r="W3029" s="5" t="s">
        <v>36</v>
      </c>
      <c r="X3029" s="8" t="s">
        <v>278</v>
      </c>
      <c r="Y3029" s="5" t="s">
        <v>46</v>
      </c>
      <c r="Z3029" s="5" t="s">
        <v>47</v>
      </c>
      <c r="AA3029" s="5" t="s">
        <v>48</v>
      </c>
      <c r="AB3029" s="5" t="s">
        <v>14913</v>
      </c>
      <c r="AC3029" s="6" t="s">
        <v>438</v>
      </c>
      <c r="AD3029" s="6">
        <v>7133.0</v>
      </c>
    </row>
    <row r="3030" ht="56.25" customHeight="1">
      <c r="A3030" s="5" t="s">
        <v>14800</v>
      </c>
      <c r="B3030" s="6" t="str">
        <f>IMAGE("https://storage.googleapis.com/acdb/housewares/FtrWoodenTableMini_Remake_4_4.png")</f>
        <v/>
      </c>
      <c r="C3030" s="5" t="s">
        <v>54</v>
      </c>
      <c r="D3030" s="5" t="s">
        <v>748</v>
      </c>
      <c r="E3030" s="5" t="s">
        <v>96</v>
      </c>
      <c r="F3030" s="5" t="s">
        <v>7853</v>
      </c>
      <c r="G3030" s="5" t="s">
        <v>35</v>
      </c>
      <c r="H3030" s="5" t="s">
        <v>35</v>
      </c>
      <c r="I3030" s="5" t="s">
        <v>35</v>
      </c>
      <c r="J3030" s="6">
        <v>2.0</v>
      </c>
      <c r="K3030" s="6" t="s">
        <v>37</v>
      </c>
      <c r="L3030" s="6">
        <v>720.0</v>
      </c>
      <c r="M3030" s="26" t="s">
        <v>54</v>
      </c>
      <c r="N3030" s="26" t="s">
        <v>96</v>
      </c>
      <c r="O3030" s="6" t="s">
        <v>40</v>
      </c>
      <c r="P3030" s="5" t="s">
        <v>41</v>
      </c>
      <c r="Q3030" s="5"/>
      <c r="R3030" s="6" t="s">
        <v>42</v>
      </c>
      <c r="S3030" s="5" t="s">
        <v>99</v>
      </c>
      <c r="T3030" s="5" t="s">
        <v>90</v>
      </c>
      <c r="U3030" s="5" t="s">
        <v>6186</v>
      </c>
      <c r="V3030" s="5" t="s">
        <v>44</v>
      </c>
      <c r="W3030" s="5" t="s">
        <v>36</v>
      </c>
      <c r="X3030" s="8" t="s">
        <v>278</v>
      </c>
      <c r="Y3030" s="5" t="s">
        <v>46</v>
      </c>
      <c r="Z3030" s="5" t="s">
        <v>47</v>
      </c>
      <c r="AA3030" s="5" t="s">
        <v>48</v>
      </c>
      <c r="AB3030" s="5" t="s">
        <v>14916</v>
      </c>
      <c r="AC3030" s="6" t="s">
        <v>585</v>
      </c>
      <c r="AD3030" s="6">
        <v>7133.0</v>
      </c>
    </row>
    <row r="3031" ht="56.25" customHeight="1">
      <c r="A3031" s="5" t="s">
        <v>14800</v>
      </c>
      <c r="B3031" s="6" t="str">
        <f>IMAGE("https://storage.googleapis.com/acdb/housewares/FtrWoodenTableMini_Remake_5_0.png")</f>
        <v/>
      </c>
      <c r="C3031" s="5" t="s">
        <v>96</v>
      </c>
      <c r="D3031" s="5" t="s">
        <v>748</v>
      </c>
      <c r="E3031" s="5" t="s">
        <v>44</v>
      </c>
      <c r="F3031" s="5" t="s">
        <v>7853</v>
      </c>
      <c r="G3031" s="5" t="s">
        <v>35</v>
      </c>
      <c r="H3031" s="5" t="s">
        <v>35</v>
      </c>
      <c r="I3031" s="5" t="s">
        <v>35</v>
      </c>
      <c r="J3031" s="6">
        <v>2.0</v>
      </c>
      <c r="K3031" s="6" t="s">
        <v>37</v>
      </c>
      <c r="L3031" s="6">
        <v>720.0</v>
      </c>
      <c r="M3031" s="26" t="s">
        <v>96</v>
      </c>
      <c r="N3031" s="26" t="s">
        <v>96</v>
      </c>
      <c r="O3031" s="6" t="s">
        <v>40</v>
      </c>
      <c r="P3031" s="5" t="s">
        <v>41</v>
      </c>
      <c r="Q3031" s="5"/>
      <c r="R3031" s="6" t="s">
        <v>42</v>
      </c>
      <c r="S3031" s="5" t="s">
        <v>99</v>
      </c>
      <c r="T3031" s="5" t="s">
        <v>90</v>
      </c>
      <c r="U3031" s="5" t="s">
        <v>6186</v>
      </c>
      <c r="V3031" s="5" t="s">
        <v>44</v>
      </c>
      <c r="W3031" s="5" t="s">
        <v>36</v>
      </c>
      <c r="X3031" s="8" t="s">
        <v>278</v>
      </c>
      <c r="Y3031" s="5" t="s">
        <v>46</v>
      </c>
      <c r="Z3031" s="5" t="s">
        <v>47</v>
      </c>
      <c r="AA3031" s="5" t="s">
        <v>48</v>
      </c>
      <c r="AB3031" s="5" t="s">
        <v>14920</v>
      </c>
      <c r="AC3031" s="6" t="s">
        <v>79</v>
      </c>
      <c r="AD3031" s="6">
        <v>7133.0</v>
      </c>
    </row>
    <row r="3032" ht="56.25" customHeight="1">
      <c r="A3032" s="5" t="s">
        <v>14800</v>
      </c>
      <c r="B3032" s="6" t="str">
        <f>IMAGE("https://storage.googleapis.com/acdb/housewares/FtrWoodenTableMini_Remake_5_1.png")</f>
        <v/>
      </c>
      <c r="C3032" s="5" t="s">
        <v>96</v>
      </c>
      <c r="D3032" s="5" t="s">
        <v>748</v>
      </c>
      <c r="E3032" s="5" t="s">
        <v>142</v>
      </c>
      <c r="F3032" s="5" t="s">
        <v>7853</v>
      </c>
      <c r="G3032" s="5" t="s">
        <v>35</v>
      </c>
      <c r="H3032" s="5" t="s">
        <v>35</v>
      </c>
      <c r="I3032" s="5" t="s">
        <v>35</v>
      </c>
      <c r="J3032" s="6">
        <v>2.0</v>
      </c>
      <c r="K3032" s="6" t="s">
        <v>37</v>
      </c>
      <c r="L3032" s="6">
        <v>720.0</v>
      </c>
      <c r="M3032" s="26" t="s">
        <v>96</v>
      </c>
      <c r="N3032" s="26" t="s">
        <v>142</v>
      </c>
      <c r="O3032" s="6" t="s">
        <v>40</v>
      </c>
      <c r="P3032" s="5" t="s">
        <v>41</v>
      </c>
      <c r="Q3032" s="5"/>
      <c r="R3032" s="6" t="s">
        <v>42</v>
      </c>
      <c r="S3032" s="5" t="s">
        <v>99</v>
      </c>
      <c r="T3032" s="5" t="s">
        <v>90</v>
      </c>
      <c r="U3032" s="5" t="s">
        <v>6186</v>
      </c>
      <c r="V3032" s="5" t="s">
        <v>44</v>
      </c>
      <c r="W3032" s="5" t="s">
        <v>36</v>
      </c>
      <c r="X3032" s="8" t="s">
        <v>278</v>
      </c>
      <c r="Y3032" s="5" t="s">
        <v>46</v>
      </c>
      <c r="Z3032" s="5" t="s">
        <v>47</v>
      </c>
      <c r="AA3032" s="5" t="s">
        <v>48</v>
      </c>
      <c r="AB3032" s="5" t="s">
        <v>14922</v>
      </c>
      <c r="AC3032" s="6" t="s">
        <v>448</v>
      </c>
      <c r="AD3032" s="6">
        <v>7133.0</v>
      </c>
    </row>
    <row r="3033" ht="56.25" customHeight="1">
      <c r="A3033" s="5" t="s">
        <v>14800</v>
      </c>
      <c r="B3033" s="6" t="str">
        <f>IMAGE("https://storage.googleapis.com/acdb/housewares/FtrWoodenTableMini_Remake_5_2.png")</f>
        <v/>
      </c>
      <c r="C3033" s="5" t="s">
        <v>96</v>
      </c>
      <c r="D3033" s="5" t="s">
        <v>748</v>
      </c>
      <c r="E3033" s="5" t="s">
        <v>69</v>
      </c>
      <c r="F3033" s="5" t="s">
        <v>7853</v>
      </c>
      <c r="G3033" s="5" t="s">
        <v>35</v>
      </c>
      <c r="H3033" s="5" t="s">
        <v>35</v>
      </c>
      <c r="I3033" s="5" t="s">
        <v>35</v>
      </c>
      <c r="J3033" s="6">
        <v>2.0</v>
      </c>
      <c r="K3033" s="6" t="s">
        <v>37</v>
      </c>
      <c r="L3033" s="6">
        <v>720.0</v>
      </c>
      <c r="M3033" s="26" t="s">
        <v>96</v>
      </c>
      <c r="N3033" s="26" t="s">
        <v>69</v>
      </c>
      <c r="O3033" s="6" t="s">
        <v>40</v>
      </c>
      <c r="P3033" s="5" t="s">
        <v>41</v>
      </c>
      <c r="Q3033" s="5"/>
      <c r="R3033" s="6" t="s">
        <v>42</v>
      </c>
      <c r="S3033" s="5" t="s">
        <v>99</v>
      </c>
      <c r="T3033" s="5" t="s">
        <v>90</v>
      </c>
      <c r="U3033" s="5" t="s">
        <v>6186</v>
      </c>
      <c r="V3033" s="5" t="s">
        <v>44</v>
      </c>
      <c r="W3033" s="5" t="s">
        <v>36</v>
      </c>
      <c r="X3033" s="8" t="s">
        <v>278</v>
      </c>
      <c r="Y3033" s="5" t="s">
        <v>46</v>
      </c>
      <c r="Z3033" s="5" t="s">
        <v>47</v>
      </c>
      <c r="AA3033" s="5" t="s">
        <v>48</v>
      </c>
      <c r="AB3033" s="5" t="s">
        <v>14925</v>
      </c>
      <c r="AC3033" s="6" t="s">
        <v>452</v>
      </c>
      <c r="AD3033" s="6">
        <v>7133.0</v>
      </c>
    </row>
    <row r="3034" ht="56.25" customHeight="1">
      <c r="A3034" s="5" t="s">
        <v>14800</v>
      </c>
      <c r="B3034" s="6" t="str">
        <f>IMAGE("https://storage.googleapis.com/acdb/housewares/FtrWoodenTableMini_Remake_5_3.png")</f>
        <v/>
      </c>
      <c r="C3034" s="5" t="s">
        <v>96</v>
      </c>
      <c r="D3034" s="5" t="s">
        <v>748</v>
      </c>
      <c r="E3034" s="5" t="s">
        <v>68</v>
      </c>
      <c r="F3034" s="5" t="s">
        <v>7853</v>
      </c>
      <c r="G3034" s="5" t="s">
        <v>35</v>
      </c>
      <c r="H3034" s="5" t="s">
        <v>35</v>
      </c>
      <c r="I3034" s="5" t="s">
        <v>35</v>
      </c>
      <c r="J3034" s="6">
        <v>2.0</v>
      </c>
      <c r="K3034" s="6" t="s">
        <v>37</v>
      </c>
      <c r="L3034" s="6">
        <v>720.0</v>
      </c>
      <c r="M3034" s="26" t="s">
        <v>96</v>
      </c>
      <c r="N3034" s="26" t="s">
        <v>68</v>
      </c>
      <c r="O3034" s="6" t="s">
        <v>40</v>
      </c>
      <c r="P3034" s="5" t="s">
        <v>41</v>
      </c>
      <c r="Q3034" s="5"/>
      <c r="R3034" s="6" t="s">
        <v>42</v>
      </c>
      <c r="S3034" s="5" t="s">
        <v>99</v>
      </c>
      <c r="T3034" s="5" t="s">
        <v>90</v>
      </c>
      <c r="U3034" s="5" t="s">
        <v>6186</v>
      </c>
      <c r="V3034" s="5" t="s">
        <v>44</v>
      </c>
      <c r="W3034" s="5" t="s">
        <v>36</v>
      </c>
      <c r="X3034" s="8" t="s">
        <v>278</v>
      </c>
      <c r="Y3034" s="5" t="s">
        <v>46</v>
      </c>
      <c r="Z3034" s="5" t="s">
        <v>47</v>
      </c>
      <c r="AA3034" s="5" t="s">
        <v>48</v>
      </c>
      <c r="AB3034" s="5" t="s">
        <v>14929</v>
      </c>
      <c r="AC3034" s="6" t="s">
        <v>455</v>
      </c>
      <c r="AD3034" s="6">
        <v>7133.0</v>
      </c>
    </row>
    <row r="3035" ht="56.25" customHeight="1">
      <c r="A3035" s="5" t="s">
        <v>14800</v>
      </c>
      <c r="B3035" s="6" t="str">
        <f>IMAGE("https://storage.googleapis.com/acdb/housewares/FtrWoodenTableMini_Remake_5_4.png")</f>
        <v/>
      </c>
      <c r="C3035" s="5" t="s">
        <v>96</v>
      </c>
      <c r="D3035" s="5" t="s">
        <v>748</v>
      </c>
      <c r="E3035" s="5" t="s">
        <v>96</v>
      </c>
      <c r="F3035" s="5" t="s">
        <v>7853</v>
      </c>
      <c r="G3035" s="5" t="s">
        <v>35</v>
      </c>
      <c r="H3035" s="5" t="s">
        <v>35</v>
      </c>
      <c r="I3035" s="5" t="s">
        <v>35</v>
      </c>
      <c r="J3035" s="6">
        <v>2.0</v>
      </c>
      <c r="K3035" s="6" t="s">
        <v>37</v>
      </c>
      <c r="L3035" s="6">
        <v>720.0</v>
      </c>
      <c r="M3035" s="26" t="s">
        <v>96</v>
      </c>
      <c r="N3035" s="26" t="s">
        <v>96</v>
      </c>
      <c r="O3035" s="6" t="s">
        <v>40</v>
      </c>
      <c r="P3035" s="5" t="s">
        <v>41</v>
      </c>
      <c r="Q3035" s="5"/>
      <c r="R3035" s="6" t="s">
        <v>42</v>
      </c>
      <c r="S3035" s="5" t="s">
        <v>99</v>
      </c>
      <c r="T3035" s="5" t="s">
        <v>90</v>
      </c>
      <c r="U3035" s="5" t="s">
        <v>6186</v>
      </c>
      <c r="V3035" s="5" t="s">
        <v>44</v>
      </c>
      <c r="W3035" s="5" t="s">
        <v>36</v>
      </c>
      <c r="X3035" s="8" t="s">
        <v>278</v>
      </c>
      <c r="Y3035" s="5" t="s">
        <v>46</v>
      </c>
      <c r="Z3035" s="5" t="s">
        <v>47</v>
      </c>
      <c r="AA3035" s="5" t="s">
        <v>48</v>
      </c>
      <c r="AB3035" s="5" t="s">
        <v>14932</v>
      </c>
      <c r="AC3035" s="6" t="s">
        <v>609</v>
      </c>
      <c r="AD3035" s="6">
        <v>7133.0</v>
      </c>
    </row>
    <row r="3036" ht="56.25" customHeight="1">
      <c r="A3036" s="5" t="s">
        <v>14800</v>
      </c>
      <c r="B3036" s="6" t="str">
        <f>IMAGE("https://storage.googleapis.com/acdb/housewares/FtrWoodenTableMini_Remake_6_0.png")</f>
        <v/>
      </c>
      <c r="C3036" s="5" t="s">
        <v>68</v>
      </c>
      <c r="D3036" s="5" t="s">
        <v>748</v>
      </c>
      <c r="E3036" s="5" t="s">
        <v>44</v>
      </c>
      <c r="F3036" s="5" t="s">
        <v>7853</v>
      </c>
      <c r="G3036" s="5" t="s">
        <v>35</v>
      </c>
      <c r="H3036" s="5" t="s">
        <v>35</v>
      </c>
      <c r="I3036" s="5" t="s">
        <v>35</v>
      </c>
      <c r="J3036" s="6">
        <v>2.0</v>
      </c>
      <c r="K3036" s="6" t="s">
        <v>37</v>
      </c>
      <c r="L3036" s="6">
        <v>720.0</v>
      </c>
      <c r="M3036" s="26" t="s">
        <v>68</v>
      </c>
      <c r="N3036" s="26" t="s">
        <v>68</v>
      </c>
      <c r="O3036" s="6" t="s">
        <v>40</v>
      </c>
      <c r="P3036" s="5" t="s">
        <v>41</v>
      </c>
      <c r="Q3036" s="5"/>
      <c r="R3036" s="6" t="s">
        <v>42</v>
      </c>
      <c r="S3036" s="5" t="s">
        <v>99</v>
      </c>
      <c r="T3036" s="5" t="s">
        <v>90</v>
      </c>
      <c r="U3036" s="5" t="s">
        <v>6186</v>
      </c>
      <c r="V3036" s="5" t="s">
        <v>44</v>
      </c>
      <c r="W3036" s="5" t="s">
        <v>36</v>
      </c>
      <c r="X3036" s="8" t="s">
        <v>278</v>
      </c>
      <c r="Y3036" s="5" t="s">
        <v>46</v>
      </c>
      <c r="Z3036" s="5" t="s">
        <v>47</v>
      </c>
      <c r="AA3036" s="5" t="s">
        <v>48</v>
      </c>
      <c r="AB3036" s="5" t="s">
        <v>14936</v>
      </c>
      <c r="AC3036" s="6" t="s">
        <v>86</v>
      </c>
      <c r="AD3036" s="6">
        <v>7133.0</v>
      </c>
    </row>
    <row r="3037" ht="56.25" customHeight="1">
      <c r="A3037" s="5" t="s">
        <v>14800</v>
      </c>
      <c r="B3037" s="6" t="str">
        <f>IMAGE("https://storage.googleapis.com/acdb/housewares/FtrWoodenTableMini_Remake_6_1.png")</f>
        <v/>
      </c>
      <c r="C3037" s="5" t="s">
        <v>68</v>
      </c>
      <c r="D3037" s="5" t="s">
        <v>748</v>
      </c>
      <c r="E3037" s="5" t="s">
        <v>142</v>
      </c>
      <c r="F3037" s="5" t="s">
        <v>7853</v>
      </c>
      <c r="G3037" s="5" t="s">
        <v>35</v>
      </c>
      <c r="H3037" s="5" t="s">
        <v>35</v>
      </c>
      <c r="I3037" s="5" t="s">
        <v>35</v>
      </c>
      <c r="J3037" s="6">
        <v>2.0</v>
      </c>
      <c r="K3037" s="6" t="s">
        <v>37</v>
      </c>
      <c r="L3037" s="6">
        <v>720.0</v>
      </c>
      <c r="M3037" s="26" t="s">
        <v>68</v>
      </c>
      <c r="N3037" s="26" t="s">
        <v>142</v>
      </c>
      <c r="O3037" s="6" t="s">
        <v>40</v>
      </c>
      <c r="P3037" s="5" t="s">
        <v>41</v>
      </c>
      <c r="Q3037" s="5"/>
      <c r="R3037" s="6" t="s">
        <v>42</v>
      </c>
      <c r="S3037" s="5" t="s">
        <v>99</v>
      </c>
      <c r="T3037" s="5" t="s">
        <v>90</v>
      </c>
      <c r="U3037" s="5" t="s">
        <v>6186</v>
      </c>
      <c r="V3037" s="5" t="s">
        <v>44</v>
      </c>
      <c r="W3037" s="5" t="s">
        <v>36</v>
      </c>
      <c r="X3037" s="8" t="s">
        <v>278</v>
      </c>
      <c r="Y3037" s="5" t="s">
        <v>46</v>
      </c>
      <c r="Z3037" s="5" t="s">
        <v>47</v>
      </c>
      <c r="AA3037" s="5" t="s">
        <v>48</v>
      </c>
      <c r="AB3037" s="5" t="s">
        <v>14940</v>
      </c>
      <c r="AC3037" s="6" t="s">
        <v>620</v>
      </c>
      <c r="AD3037" s="6">
        <v>7133.0</v>
      </c>
    </row>
    <row r="3038" ht="56.25" customHeight="1">
      <c r="A3038" s="5" t="s">
        <v>14800</v>
      </c>
      <c r="B3038" s="6" t="str">
        <f>IMAGE("https://storage.googleapis.com/acdb/housewares/FtrWoodenTableMini_Remake_6_2.png")</f>
        <v/>
      </c>
      <c r="C3038" s="5" t="s">
        <v>68</v>
      </c>
      <c r="D3038" s="5" t="s">
        <v>748</v>
      </c>
      <c r="E3038" s="5" t="s">
        <v>69</v>
      </c>
      <c r="F3038" s="5" t="s">
        <v>7853</v>
      </c>
      <c r="G3038" s="5" t="s">
        <v>35</v>
      </c>
      <c r="H3038" s="5" t="s">
        <v>35</v>
      </c>
      <c r="I3038" s="5" t="s">
        <v>35</v>
      </c>
      <c r="J3038" s="6">
        <v>2.0</v>
      </c>
      <c r="K3038" s="6" t="s">
        <v>37</v>
      </c>
      <c r="L3038" s="6">
        <v>720.0</v>
      </c>
      <c r="M3038" s="26" t="s">
        <v>68</v>
      </c>
      <c r="N3038" s="26" t="s">
        <v>69</v>
      </c>
      <c r="O3038" s="6" t="s">
        <v>40</v>
      </c>
      <c r="P3038" s="5" t="s">
        <v>41</v>
      </c>
      <c r="Q3038" s="5"/>
      <c r="R3038" s="6" t="s">
        <v>42</v>
      </c>
      <c r="S3038" s="5" t="s">
        <v>99</v>
      </c>
      <c r="T3038" s="5" t="s">
        <v>90</v>
      </c>
      <c r="U3038" s="5" t="s">
        <v>6186</v>
      </c>
      <c r="V3038" s="5" t="s">
        <v>44</v>
      </c>
      <c r="W3038" s="5" t="s">
        <v>36</v>
      </c>
      <c r="X3038" s="8" t="s">
        <v>278</v>
      </c>
      <c r="Y3038" s="5" t="s">
        <v>46</v>
      </c>
      <c r="Z3038" s="5" t="s">
        <v>47</v>
      </c>
      <c r="AA3038" s="5" t="s">
        <v>48</v>
      </c>
      <c r="AB3038" s="5" t="s">
        <v>14946</v>
      </c>
      <c r="AC3038" s="6" t="s">
        <v>626</v>
      </c>
      <c r="AD3038" s="6">
        <v>7133.0</v>
      </c>
    </row>
    <row r="3039" ht="56.25" customHeight="1">
      <c r="A3039" s="5" t="s">
        <v>14800</v>
      </c>
      <c r="B3039" s="6" t="str">
        <f>IMAGE("https://storage.googleapis.com/acdb/housewares/FtrWoodenTableMini_Remake_6_3.png")</f>
        <v/>
      </c>
      <c r="C3039" s="5" t="s">
        <v>68</v>
      </c>
      <c r="D3039" s="5" t="s">
        <v>748</v>
      </c>
      <c r="E3039" s="5" t="s">
        <v>68</v>
      </c>
      <c r="F3039" s="5" t="s">
        <v>7853</v>
      </c>
      <c r="G3039" s="5" t="s">
        <v>35</v>
      </c>
      <c r="H3039" s="5" t="s">
        <v>35</v>
      </c>
      <c r="I3039" s="5" t="s">
        <v>35</v>
      </c>
      <c r="J3039" s="6">
        <v>2.0</v>
      </c>
      <c r="K3039" s="6" t="s">
        <v>37</v>
      </c>
      <c r="L3039" s="6">
        <v>720.0</v>
      </c>
      <c r="M3039" s="26" t="s">
        <v>68</v>
      </c>
      <c r="N3039" s="26" t="s">
        <v>68</v>
      </c>
      <c r="O3039" s="6" t="s">
        <v>40</v>
      </c>
      <c r="P3039" s="5" t="s">
        <v>41</v>
      </c>
      <c r="Q3039" s="5"/>
      <c r="R3039" s="6" t="s">
        <v>42</v>
      </c>
      <c r="S3039" s="5" t="s">
        <v>99</v>
      </c>
      <c r="T3039" s="5" t="s">
        <v>90</v>
      </c>
      <c r="U3039" s="5" t="s">
        <v>6186</v>
      </c>
      <c r="V3039" s="5" t="s">
        <v>44</v>
      </c>
      <c r="W3039" s="5" t="s">
        <v>36</v>
      </c>
      <c r="X3039" s="8" t="s">
        <v>278</v>
      </c>
      <c r="Y3039" s="5" t="s">
        <v>46</v>
      </c>
      <c r="Z3039" s="5" t="s">
        <v>47</v>
      </c>
      <c r="AA3039" s="5" t="s">
        <v>48</v>
      </c>
      <c r="AB3039" s="5" t="s">
        <v>14951</v>
      </c>
      <c r="AC3039" s="6" t="s">
        <v>634</v>
      </c>
      <c r="AD3039" s="6">
        <v>7133.0</v>
      </c>
    </row>
    <row r="3040" ht="56.25" customHeight="1">
      <c r="A3040" s="5" t="s">
        <v>14800</v>
      </c>
      <c r="B3040" s="6" t="str">
        <f>IMAGE("https://storage.googleapis.com/acdb/housewares/FtrWoodenTableMini_Remake_6_4.png")</f>
        <v/>
      </c>
      <c r="C3040" s="5" t="s">
        <v>68</v>
      </c>
      <c r="D3040" s="5" t="s">
        <v>748</v>
      </c>
      <c r="E3040" s="5" t="s">
        <v>96</v>
      </c>
      <c r="F3040" s="5" t="s">
        <v>7853</v>
      </c>
      <c r="G3040" s="5" t="s">
        <v>35</v>
      </c>
      <c r="H3040" s="5" t="s">
        <v>35</v>
      </c>
      <c r="I3040" s="5" t="s">
        <v>35</v>
      </c>
      <c r="J3040" s="6">
        <v>2.0</v>
      </c>
      <c r="K3040" s="6" t="s">
        <v>37</v>
      </c>
      <c r="L3040" s="6">
        <v>720.0</v>
      </c>
      <c r="M3040" s="26" t="s">
        <v>68</v>
      </c>
      <c r="N3040" s="26" t="s">
        <v>96</v>
      </c>
      <c r="O3040" s="6" t="s">
        <v>40</v>
      </c>
      <c r="P3040" s="5" t="s">
        <v>41</v>
      </c>
      <c r="Q3040" s="5"/>
      <c r="R3040" s="6" t="s">
        <v>42</v>
      </c>
      <c r="S3040" s="5" t="s">
        <v>99</v>
      </c>
      <c r="T3040" s="5" t="s">
        <v>90</v>
      </c>
      <c r="U3040" s="5" t="s">
        <v>6186</v>
      </c>
      <c r="V3040" s="5" t="s">
        <v>44</v>
      </c>
      <c r="W3040" s="5" t="s">
        <v>36</v>
      </c>
      <c r="X3040" s="8" t="s">
        <v>278</v>
      </c>
      <c r="Y3040" s="5" t="s">
        <v>46</v>
      </c>
      <c r="Z3040" s="5" t="s">
        <v>47</v>
      </c>
      <c r="AA3040" s="5" t="s">
        <v>48</v>
      </c>
      <c r="AB3040" s="5" t="s">
        <v>14956</v>
      </c>
      <c r="AC3040" s="6" t="s">
        <v>641</v>
      </c>
      <c r="AD3040" s="6">
        <v>7133.0</v>
      </c>
    </row>
    <row r="3041" ht="56.25" customHeight="1">
      <c r="A3041" s="5" t="s">
        <v>14800</v>
      </c>
      <c r="B3041" s="6" t="str">
        <f>IMAGE("https://storage.googleapis.com/acdb/housewares/FtrWoodenTableMini_Remake_7_0.png")</f>
        <v/>
      </c>
      <c r="C3041" s="5" t="s">
        <v>6214</v>
      </c>
      <c r="D3041" s="5" t="s">
        <v>34</v>
      </c>
      <c r="E3041" s="5" t="s">
        <v>44</v>
      </c>
      <c r="F3041" s="5" t="s">
        <v>7853</v>
      </c>
      <c r="G3041" s="5" t="s">
        <v>35</v>
      </c>
      <c r="H3041" s="5" t="s">
        <v>36</v>
      </c>
      <c r="I3041" s="5" t="s">
        <v>35</v>
      </c>
      <c r="J3041" s="6">
        <v>2.0</v>
      </c>
      <c r="K3041" s="6" t="s">
        <v>37</v>
      </c>
      <c r="L3041" s="6">
        <v>720.0</v>
      </c>
      <c r="M3041" s="26" t="s">
        <v>69</v>
      </c>
      <c r="N3041" s="26" t="s">
        <v>69</v>
      </c>
      <c r="O3041" s="6" t="s">
        <v>40</v>
      </c>
      <c r="P3041" s="5" t="s">
        <v>41</v>
      </c>
      <c r="Q3041" s="5"/>
      <c r="R3041" s="6" t="s">
        <v>42</v>
      </c>
      <c r="S3041" s="5" t="s">
        <v>99</v>
      </c>
      <c r="T3041" s="5" t="s">
        <v>90</v>
      </c>
      <c r="U3041" s="5" t="s">
        <v>6186</v>
      </c>
      <c r="V3041" s="5" t="s">
        <v>44</v>
      </c>
      <c r="W3041" s="5" t="s">
        <v>36</v>
      </c>
      <c r="X3041" s="8" t="s">
        <v>278</v>
      </c>
      <c r="Y3041" s="5" t="s">
        <v>46</v>
      </c>
      <c r="Z3041" s="5" t="s">
        <v>47</v>
      </c>
      <c r="AA3041" s="5" t="s">
        <v>48</v>
      </c>
      <c r="AB3041" s="5" t="s">
        <v>14959</v>
      </c>
      <c r="AC3041" s="6" t="s">
        <v>208</v>
      </c>
      <c r="AD3041" s="6">
        <v>7133.0</v>
      </c>
    </row>
    <row r="3042" ht="56.25" customHeight="1">
      <c r="A3042" s="5" t="s">
        <v>14800</v>
      </c>
      <c r="B3042" s="6" t="str">
        <f>IMAGE("https://storage.googleapis.com/acdb/housewares/FtrWoodenTableMini_Remake_7_1.png")</f>
        <v/>
      </c>
      <c r="C3042" s="5" t="s">
        <v>6214</v>
      </c>
      <c r="D3042" s="5" t="s">
        <v>34</v>
      </c>
      <c r="E3042" s="5" t="s">
        <v>142</v>
      </c>
      <c r="F3042" s="5" t="s">
        <v>7853</v>
      </c>
      <c r="G3042" s="5" t="s">
        <v>35</v>
      </c>
      <c r="H3042" s="5" t="s">
        <v>36</v>
      </c>
      <c r="I3042" s="5" t="s">
        <v>35</v>
      </c>
      <c r="J3042" s="6">
        <v>2.0</v>
      </c>
      <c r="K3042" s="6" t="s">
        <v>37</v>
      </c>
      <c r="L3042" s="6">
        <v>720.0</v>
      </c>
      <c r="M3042" s="26" t="s">
        <v>69</v>
      </c>
      <c r="N3042" s="26" t="s">
        <v>142</v>
      </c>
      <c r="O3042" s="6" t="s">
        <v>40</v>
      </c>
      <c r="P3042" s="5" t="s">
        <v>41</v>
      </c>
      <c r="Q3042" s="5"/>
      <c r="R3042" s="6" t="s">
        <v>42</v>
      </c>
      <c r="S3042" s="5" t="s">
        <v>99</v>
      </c>
      <c r="T3042" s="5" t="s">
        <v>90</v>
      </c>
      <c r="U3042" s="5" t="s">
        <v>6186</v>
      </c>
      <c r="V3042" s="5" t="s">
        <v>44</v>
      </c>
      <c r="W3042" s="5" t="s">
        <v>36</v>
      </c>
      <c r="X3042" s="8" t="s">
        <v>278</v>
      </c>
      <c r="Y3042" s="5" t="s">
        <v>46</v>
      </c>
      <c r="Z3042" s="5" t="s">
        <v>47</v>
      </c>
      <c r="AA3042" s="5" t="s">
        <v>48</v>
      </c>
      <c r="AB3042" s="5" t="s">
        <v>14967</v>
      </c>
      <c r="AC3042" s="6" t="s">
        <v>1892</v>
      </c>
      <c r="AD3042" s="6">
        <v>7133.0</v>
      </c>
    </row>
    <row r="3043" ht="56.25" customHeight="1">
      <c r="A3043" s="5" t="s">
        <v>14800</v>
      </c>
      <c r="B3043" s="6" t="str">
        <f>IMAGE("https://storage.googleapis.com/acdb/housewares/FtrWoodenTableMini_Remake_7_2.png")</f>
        <v/>
      </c>
      <c r="C3043" s="5" t="s">
        <v>6214</v>
      </c>
      <c r="D3043" s="5" t="s">
        <v>34</v>
      </c>
      <c r="E3043" s="5" t="s">
        <v>69</v>
      </c>
      <c r="F3043" s="5" t="s">
        <v>7853</v>
      </c>
      <c r="G3043" s="5" t="s">
        <v>35</v>
      </c>
      <c r="H3043" s="5" t="s">
        <v>36</v>
      </c>
      <c r="I3043" s="5" t="s">
        <v>35</v>
      </c>
      <c r="J3043" s="6">
        <v>2.0</v>
      </c>
      <c r="K3043" s="6" t="s">
        <v>37</v>
      </c>
      <c r="L3043" s="6">
        <v>720.0</v>
      </c>
      <c r="M3043" s="26" t="s">
        <v>69</v>
      </c>
      <c r="N3043" s="26" t="s">
        <v>69</v>
      </c>
      <c r="O3043" s="6" t="s">
        <v>40</v>
      </c>
      <c r="P3043" s="5" t="s">
        <v>41</v>
      </c>
      <c r="Q3043" s="5"/>
      <c r="R3043" s="6" t="s">
        <v>42</v>
      </c>
      <c r="S3043" s="5" t="s">
        <v>99</v>
      </c>
      <c r="T3043" s="5" t="s">
        <v>90</v>
      </c>
      <c r="U3043" s="5" t="s">
        <v>6186</v>
      </c>
      <c r="V3043" s="5" t="s">
        <v>44</v>
      </c>
      <c r="W3043" s="5" t="s">
        <v>36</v>
      </c>
      <c r="X3043" s="8" t="s">
        <v>278</v>
      </c>
      <c r="Y3043" s="5" t="s">
        <v>46</v>
      </c>
      <c r="Z3043" s="5" t="s">
        <v>47</v>
      </c>
      <c r="AA3043" s="5" t="s">
        <v>48</v>
      </c>
      <c r="AB3043" s="5" t="s">
        <v>14971</v>
      </c>
      <c r="AC3043" s="6" t="s">
        <v>1901</v>
      </c>
      <c r="AD3043" s="6">
        <v>7133.0</v>
      </c>
    </row>
    <row r="3044" ht="56.25" customHeight="1">
      <c r="A3044" s="5" t="s">
        <v>14800</v>
      </c>
      <c r="B3044" s="6" t="str">
        <f>IMAGE("https://storage.googleapis.com/acdb/housewares/FtrWoodenTableMini_Remake_7_3.png")</f>
        <v/>
      </c>
      <c r="C3044" s="5" t="s">
        <v>6214</v>
      </c>
      <c r="D3044" s="5" t="s">
        <v>34</v>
      </c>
      <c r="E3044" s="5" t="s">
        <v>68</v>
      </c>
      <c r="F3044" s="5" t="s">
        <v>7853</v>
      </c>
      <c r="G3044" s="5" t="s">
        <v>35</v>
      </c>
      <c r="H3044" s="5" t="s">
        <v>36</v>
      </c>
      <c r="I3044" s="5" t="s">
        <v>35</v>
      </c>
      <c r="J3044" s="6">
        <v>2.0</v>
      </c>
      <c r="K3044" s="6" t="s">
        <v>37</v>
      </c>
      <c r="L3044" s="6">
        <v>720.0</v>
      </c>
      <c r="M3044" s="26" t="s">
        <v>69</v>
      </c>
      <c r="N3044" s="26" t="s">
        <v>68</v>
      </c>
      <c r="O3044" s="6" t="s">
        <v>40</v>
      </c>
      <c r="P3044" s="5" t="s">
        <v>41</v>
      </c>
      <c r="Q3044" s="5"/>
      <c r="R3044" s="6" t="s">
        <v>42</v>
      </c>
      <c r="S3044" s="5" t="s">
        <v>99</v>
      </c>
      <c r="T3044" s="5" t="s">
        <v>90</v>
      </c>
      <c r="U3044" s="5" t="s">
        <v>6186</v>
      </c>
      <c r="V3044" s="5" t="s">
        <v>44</v>
      </c>
      <c r="W3044" s="5" t="s">
        <v>36</v>
      </c>
      <c r="X3044" s="8" t="s">
        <v>278</v>
      </c>
      <c r="Y3044" s="5" t="s">
        <v>46</v>
      </c>
      <c r="Z3044" s="5" t="s">
        <v>47</v>
      </c>
      <c r="AA3044" s="5" t="s">
        <v>48</v>
      </c>
      <c r="AB3044" s="5" t="s">
        <v>14975</v>
      </c>
      <c r="AC3044" s="6" t="s">
        <v>1906</v>
      </c>
      <c r="AD3044" s="6">
        <v>7133.0</v>
      </c>
    </row>
    <row r="3045" ht="56.25" customHeight="1">
      <c r="A3045" s="5" t="s">
        <v>14800</v>
      </c>
      <c r="B3045" s="6" t="str">
        <f>IMAGE("https://storage.googleapis.com/acdb/housewares/FtrWoodenTableMini_Remake_7_4.png")</f>
        <v/>
      </c>
      <c r="C3045" s="5" t="s">
        <v>6214</v>
      </c>
      <c r="D3045" s="5" t="s">
        <v>34</v>
      </c>
      <c r="E3045" s="5" t="s">
        <v>96</v>
      </c>
      <c r="F3045" s="5" t="s">
        <v>7853</v>
      </c>
      <c r="G3045" s="5" t="s">
        <v>35</v>
      </c>
      <c r="H3045" s="5" t="s">
        <v>36</v>
      </c>
      <c r="I3045" s="5" t="s">
        <v>35</v>
      </c>
      <c r="J3045" s="6">
        <v>2.0</v>
      </c>
      <c r="K3045" s="6" t="s">
        <v>37</v>
      </c>
      <c r="L3045" s="6">
        <v>720.0</v>
      </c>
      <c r="M3045" s="26" t="s">
        <v>69</v>
      </c>
      <c r="N3045" s="26" t="s">
        <v>96</v>
      </c>
      <c r="O3045" s="6" t="s">
        <v>40</v>
      </c>
      <c r="P3045" s="5" t="s">
        <v>41</v>
      </c>
      <c r="Q3045" s="5"/>
      <c r="R3045" s="6" t="s">
        <v>42</v>
      </c>
      <c r="S3045" s="5" t="s">
        <v>99</v>
      </c>
      <c r="T3045" s="5" t="s">
        <v>90</v>
      </c>
      <c r="U3045" s="5" t="s">
        <v>6186</v>
      </c>
      <c r="V3045" s="5" t="s">
        <v>44</v>
      </c>
      <c r="W3045" s="5" t="s">
        <v>36</v>
      </c>
      <c r="X3045" s="8" t="s">
        <v>278</v>
      </c>
      <c r="Y3045" s="5" t="s">
        <v>46</v>
      </c>
      <c r="Z3045" s="5" t="s">
        <v>47</v>
      </c>
      <c r="AA3045" s="5" t="s">
        <v>48</v>
      </c>
      <c r="AB3045" s="5" t="s">
        <v>14979</v>
      </c>
      <c r="AC3045" s="6" t="s">
        <v>1910</v>
      </c>
      <c r="AD3045" s="6">
        <v>7133.0</v>
      </c>
    </row>
    <row r="3046" ht="56.25" customHeight="1">
      <c r="A3046" s="5" t="s">
        <v>14982</v>
      </c>
      <c r="B3046" s="6" t="str">
        <f>IMAGE("https://storage.googleapis.com/acdb/housewares/FtrWoodenBedS_Remake_0_0.png")</f>
        <v/>
      </c>
      <c r="C3046" s="5" t="s">
        <v>1137</v>
      </c>
      <c r="D3046" s="5" t="s">
        <v>748</v>
      </c>
      <c r="E3046" s="5" t="s">
        <v>142</v>
      </c>
      <c r="F3046" s="5" t="s">
        <v>1271</v>
      </c>
      <c r="G3046" s="5" t="s">
        <v>35</v>
      </c>
      <c r="H3046" s="5" t="s">
        <v>35</v>
      </c>
      <c r="I3046" s="5" t="s">
        <v>35</v>
      </c>
      <c r="J3046" s="6">
        <v>4.0</v>
      </c>
      <c r="K3046" s="6" t="s">
        <v>37</v>
      </c>
      <c r="L3046" s="6">
        <v>2160.0</v>
      </c>
      <c r="M3046" s="26" t="s">
        <v>38</v>
      </c>
      <c r="N3046" s="26" t="s">
        <v>142</v>
      </c>
      <c r="O3046" s="6" t="s">
        <v>276</v>
      </c>
      <c r="P3046" s="5" t="s">
        <v>41</v>
      </c>
      <c r="Q3046" s="5"/>
      <c r="R3046" s="6" t="s">
        <v>42</v>
      </c>
      <c r="S3046" s="5" t="s">
        <v>99</v>
      </c>
      <c r="T3046" s="5" t="s">
        <v>90</v>
      </c>
      <c r="U3046" s="5" t="s">
        <v>6186</v>
      </c>
      <c r="V3046" s="5" t="s">
        <v>44</v>
      </c>
      <c r="W3046" s="5" t="s">
        <v>35</v>
      </c>
      <c r="X3046" s="8" t="s">
        <v>218</v>
      </c>
      <c r="Y3046" s="5" t="s">
        <v>46</v>
      </c>
      <c r="Z3046" s="5" t="s">
        <v>47</v>
      </c>
      <c r="AA3046" s="5" t="s">
        <v>48</v>
      </c>
      <c r="AB3046" s="5" t="s">
        <v>14988</v>
      </c>
      <c r="AC3046" s="6" t="s">
        <v>50</v>
      </c>
      <c r="AD3046" s="6">
        <v>2605.0</v>
      </c>
    </row>
    <row r="3047" ht="56.25" customHeight="1">
      <c r="A3047" s="5" t="s">
        <v>14982</v>
      </c>
      <c r="B3047" s="6" t="str">
        <f>IMAGE("https://storage.googleapis.com/acdb/housewares/FtrWoodenBedS_Remake_0_1.png")</f>
        <v/>
      </c>
      <c r="C3047" s="5" t="s">
        <v>1137</v>
      </c>
      <c r="D3047" s="5" t="s">
        <v>748</v>
      </c>
      <c r="E3047" s="5" t="s">
        <v>69</v>
      </c>
      <c r="F3047" s="5" t="s">
        <v>1271</v>
      </c>
      <c r="G3047" s="5" t="s">
        <v>35</v>
      </c>
      <c r="H3047" s="5" t="s">
        <v>35</v>
      </c>
      <c r="I3047" s="5" t="s">
        <v>35</v>
      </c>
      <c r="J3047" s="6">
        <v>4.0</v>
      </c>
      <c r="K3047" s="6" t="s">
        <v>37</v>
      </c>
      <c r="L3047" s="6">
        <v>2160.0</v>
      </c>
      <c r="M3047" s="26" t="s">
        <v>38</v>
      </c>
      <c r="N3047" s="26" t="s">
        <v>69</v>
      </c>
      <c r="O3047" s="6" t="s">
        <v>276</v>
      </c>
      <c r="P3047" s="5" t="s">
        <v>41</v>
      </c>
      <c r="Q3047" s="5"/>
      <c r="R3047" s="6" t="s">
        <v>42</v>
      </c>
      <c r="S3047" s="5" t="s">
        <v>99</v>
      </c>
      <c r="T3047" s="5" t="s">
        <v>90</v>
      </c>
      <c r="U3047" s="5" t="s">
        <v>6186</v>
      </c>
      <c r="V3047" s="5" t="s">
        <v>44</v>
      </c>
      <c r="W3047" s="5" t="s">
        <v>35</v>
      </c>
      <c r="X3047" s="8" t="s">
        <v>218</v>
      </c>
      <c r="Y3047" s="5" t="s">
        <v>46</v>
      </c>
      <c r="Z3047" s="5" t="s">
        <v>47</v>
      </c>
      <c r="AA3047" s="5" t="s">
        <v>48</v>
      </c>
      <c r="AB3047" s="5" t="s">
        <v>14993</v>
      </c>
      <c r="AC3047" s="6" t="s">
        <v>217</v>
      </c>
      <c r="AD3047" s="6">
        <v>2605.0</v>
      </c>
    </row>
    <row r="3048" ht="56.25" customHeight="1">
      <c r="A3048" s="5" t="s">
        <v>14982</v>
      </c>
      <c r="B3048" s="6" t="str">
        <f>IMAGE("https://storage.googleapis.com/acdb/housewares/FtrWoodenBedS_Remake_0_2.png")</f>
        <v/>
      </c>
      <c r="C3048" s="5" t="s">
        <v>1137</v>
      </c>
      <c r="D3048" s="5" t="s">
        <v>748</v>
      </c>
      <c r="E3048" s="5" t="s">
        <v>68</v>
      </c>
      <c r="F3048" s="5" t="s">
        <v>1271</v>
      </c>
      <c r="G3048" s="5" t="s">
        <v>35</v>
      </c>
      <c r="H3048" s="5" t="s">
        <v>35</v>
      </c>
      <c r="I3048" s="5" t="s">
        <v>35</v>
      </c>
      <c r="J3048" s="6">
        <v>4.0</v>
      </c>
      <c r="K3048" s="6" t="s">
        <v>37</v>
      </c>
      <c r="L3048" s="6">
        <v>2160.0</v>
      </c>
      <c r="M3048" s="26" t="s">
        <v>38</v>
      </c>
      <c r="N3048" s="26" t="s">
        <v>1175</v>
      </c>
      <c r="O3048" s="6" t="s">
        <v>276</v>
      </c>
      <c r="P3048" s="5" t="s">
        <v>41</v>
      </c>
      <c r="Q3048" s="5"/>
      <c r="R3048" s="6" t="s">
        <v>42</v>
      </c>
      <c r="S3048" s="5" t="s">
        <v>99</v>
      </c>
      <c r="T3048" s="5" t="s">
        <v>90</v>
      </c>
      <c r="U3048" s="5" t="s">
        <v>6186</v>
      </c>
      <c r="V3048" s="5" t="s">
        <v>44</v>
      </c>
      <c r="W3048" s="5" t="s">
        <v>35</v>
      </c>
      <c r="X3048" s="8" t="s">
        <v>218</v>
      </c>
      <c r="Y3048" s="5" t="s">
        <v>46</v>
      </c>
      <c r="Z3048" s="5" t="s">
        <v>47</v>
      </c>
      <c r="AA3048" s="5" t="s">
        <v>48</v>
      </c>
      <c r="AB3048" s="5" t="s">
        <v>14996</v>
      </c>
      <c r="AC3048" s="6" t="s">
        <v>347</v>
      </c>
      <c r="AD3048" s="6">
        <v>2605.0</v>
      </c>
    </row>
    <row r="3049" ht="56.25" customHeight="1">
      <c r="A3049" s="5" t="s">
        <v>14982</v>
      </c>
      <c r="B3049" s="6" t="str">
        <f>IMAGE("https://storage.googleapis.com/acdb/housewares/FtrWoodenBedS_Remake_0_3.png")</f>
        <v/>
      </c>
      <c r="C3049" s="5" t="s">
        <v>1137</v>
      </c>
      <c r="D3049" s="5" t="s">
        <v>748</v>
      </c>
      <c r="E3049" s="5" t="s">
        <v>96</v>
      </c>
      <c r="F3049" s="5" t="s">
        <v>1271</v>
      </c>
      <c r="G3049" s="5" t="s">
        <v>35</v>
      </c>
      <c r="H3049" s="5" t="s">
        <v>35</v>
      </c>
      <c r="I3049" s="5" t="s">
        <v>35</v>
      </c>
      <c r="J3049" s="6">
        <v>4.0</v>
      </c>
      <c r="K3049" s="6" t="s">
        <v>37</v>
      </c>
      <c r="L3049" s="6">
        <v>2160.0</v>
      </c>
      <c r="M3049" s="26" t="s">
        <v>38</v>
      </c>
      <c r="N3049" s="26" t="s">
        <v>96</v>
      </c>
      <c r="O3049" s="6" t="s">
        <v>276</v>
      </c>
      <c r="P3049" s="5" t="s">
        <v>41</v>
      </c>
      <c r="Q3049" s="5"/>
      <c r="R3049" s="6" t="s">
        <v>42</v>
      </c>
      <c r="S3049" s="5" t="s">
        <v>99</v>
      </c>
      <c r="T3049" s="5" t="s">
        <v>90</v>
      </c>
      <c r="U3049" s="5" t="s">
        <v>6186</v>
      </c>
      <c r="V3049" s="5" t="s">
        <v>44</v>
      </c>
      <c r="W3049" s="5" t="s">
        <v>35</v>
      </c>
      <c r="X3049" s="8" t="s">
        <v>218</v>
      </c>
      <c r="Y3049" s="5" t="s">
        <v>46</v>
      </c>
      <c r="Z3049" s="5" t="s">
        <v>47</v>
      </c>
      <c r="AA3049" s="5" t="s">
        <v>48</v>
      </c>
      <c r="AB3049" s="5" t="s">
        <v>14999</v>
      </c>
      <c r="AC3049" s="6" t="s">
        <v>354</v>
      </c>
      <c r="AD3049" s="6">
        <v>2605.0</v>
      </c>
    </row>
    <row r="3050" ht="56.25" customHeight="1">
      <c r="A3050" s="5" t="s">
        <v>14982</v>
      </c>
      <c r="B3050" s="6" t="str">
        <f>IMAGE("https://storage.googleapis.com/acdb/housewares/FtrWoodenBedS_Remake_1_0.png")</f>
        <v/>
      </c>
      <c r="C3050" s="5" t="s">
        <v>1595</v>
      </c>
      <c r="D3050" s="5" t="s">
        <v>748</v>
      </c>
      <c r="E3050" s="5" t="s">
        <v>142</v>
      </c>
      <c r="F3050" s="5" t="s">
        <v>1271</v>
      </c>
      <c r="G3050" s="5" t="s">
        <v>35</v>
      </c>
      <c r="H3050" s="5" t="s">
        <v>35</v>
      </c>
      <c r="I3050" s="5" t="s">
        <v>35</v>
      </c>
      <c r="J3050" s="6">
        <v>4.0</v>
      </c>
      <c r="K3050" s="6" t="s">
        <v>37</v>
      </c>
      <c r="L3050" s="6">
        <v>2160.0</v>
      </c>
      <c r="M3050" s="26" t="s">
        <v>57</v>
      </c>
      <c r="N3050" s="26" t="s">
        <v>142</v>
      </c>
      <c r="O3050" s="6" t="s">
        <v>276</v>
      </c>
      <c r="P3050" s="5" t="s">
        <v>41</v>
      </c>
      <c r="Q3050" s="5"/>
      <c r="R3050" s="6" t="s">
        <v>42</v>
      </c>
      <c r="S3050" s="5" t="s">
        <v>99</v>
      </c>
      <c r="T3050" s="5" t="s">
        <v>90</v>
      </c>
      <c r="U3050" s="5" t="s">
        <v>6186</v>
      </c>
      <c r="V3050" s="5" t="s">
        <v>44</v>
      </c>
      <c r="W3050" s="5" t="s">
        <v>35</v>
      </c>
      <c r="X3050" s="8" t="s">
        <v>218</v>
      </c>
      <c r="Y3050" s="5" t="s">
        <v>46</v>
      </c>
      <c r="Z3050" s="5" t="s">
        <v>47</v>
      </c>
      <c r="AA3050" s="5" t="s">
        <v>48</v>
      </c>
      <c r="AB3050" s="5" t="s">
        <v>15008</v>
      </c>
      <c r="AC3050" s="6" t="s">
        <v>56</v>
      </c>
      <c r="AD3050" s="6">
        <v>2605.0</v>
      </c>
    </row>
    <row r="3051" ht="56.25" customHeight="1">
      <c r="A3051" s="5" t="s">
        <v>14982</v>
      </c>
      <c r="B3051" s="6" t="str">
        <f>IMAGE("https://storage.googleapis.com/acdb/housewares/FtrWoodenBedS_Remake_1_1.png")</f>
        <v/>
      </c>
      <c r="C3051" s="5" t="s">
        <v>1595</v>
      </c>
      <c r="D3051" s="5" t="s">
        <v>748</v>
      </c>
      <c r="E3051" s="5" t="s">
        <v>69</v>
      </c>
      <c r="F3051" s="5" t="s">
        <v>1271</v>
      </c>
      <c r="G3051" s="5" t="s">
        <v>35</v>
      </c>
      <c r="H3051" s="5" t="s">
        <v>35</v>
      </c>
      <c r="I3051" s="5" t="s">
        <v>35</v>
      </c>
      <c r="J3051" s="6">
        <v>4.0</v>
      </c>
      <c r="K3051" s="6" t="s">
        <v>37</v>
      </c>
      <c r="L3051" s="6">
        <v>2160.0</v>
      </c>
      <c r="M3051" s="26" t="s">
        <v>57</v>
      </c>
      <c r="N3051" s="26" t="s">
        <v>69</v>
      </c>
      <c r="O3051" s="6" t="s">
        <v>276</v>
      </c>
      <c r="P3051" s="5" t="s">
        <v>41</v>
      </c>
      <c r="Q3051" s="5"/>
      <c r="R3051" s="6" t="s">
        <v>42</v>
      </c>
      <c r="S3051" s="5" t="s">
        <v>99</v>
      </c>
      <c r="T3051" s="5" t="s">
        <v>90</v>
      </c>
      <c r="U3051" s="5" t="s">
        <v>6186</v>
      </c>
      <c r="V3051" s="5" t="s">
        <v>44</v>
      </c>
      <c r="W3051" s="5" t="s">
        <v>35</v>
      </c>
      <c r="X3051" s="8" t="s">
        <v>218</v>
      </c>
      <c r="Y3051" s="5" t="s">
        <v>46</v>
      </c>
      <c r="Z3051" s="5" t="s">
        <v>47</v>
      </c>
      <c r="AA3051" s="5" t="s">
        <v>48</v>
      </c>
      <c r="AB3051" s="5" t="s">
        <v>15015</v>
      </c>
      <c r="AC3051" s="6" t="s">
        <v>234</v>
      </c>
      <c r="AD3051" s="6">
        <v>2605.0</v>
      </c>
    </row>
    <row r="3052" ht="56.25" customHeight="1">
      <c r="A3052" s="5" t="s">
        <v>14982</v>
      </c>
      <c r="B3052" s="6" t="str">
        <f>IMAGE("https://storage.googleapis.com/acdb/housewares/FtrWoodenBedS_Remake_1_2.png")</f>
        <v/>
      </c>
      <c r="C3052" s="5" t="s">
        <v>1595</v>
      </c>
      <c r="D3052" s="5" t="s">
        <v>748</v>
      </c>
      <c r="E3052" s="5" t="s">
        <v>68</v>
      </c>
      <c r="F3052" s="5" t="s">
        <v>1271</v>
      </c>
      <c r="G3052" s="5" t="s">
        <v>35</v>
      </c>
      <c r="H3052" s="5" t="s">
        <v>35</v>
      </c>
      <c r="I3052" s="5" t="s">
        <v>35</v>
      </c>
      <c r="J3052" s="6">
        <v>4.0</v>
      </c>
      <c r="K3052" s="6" t="s">
        <v>37</v>
      </c>
      <c r="L3052" s="6">
        <v>2160.0</v>
      </c>
      <c r="M3052" s="26" t="s">
        <v>57</v>
      </c>
      <c r="N3052" s="26" t="s">
        <v>1175</v>
      </c>
      <c r="O3052" s="6" t="s">
        <v>276</v>
      </c>
      <c r="P3052" s="5" t="s">
        <v>41</v>
      </c>
      <c r="Q3052" s="5"/>
      <c r="R3052" s="6" t="s">
        <v>42</v>
      </c>
      <c r="S3052" s="5" t="s">
        <v>99</v>
      </c>
      <c r="T3052" s="5" t="s">
        <v>90</v>
      </c>
      <c r="U3052" s="5" t="s">
        <v>6186</v>
      </c>
      <c r="V3052" s="5" t="s">
        <v>44</v>
      </c>
      <c r="W3052" s="5" t="s">
        <v>35</v>
      </c>
      <c r="X3052" s="8" t="s">
        <v>218</v>
      </c>
      <c r="Y3052" s="5" t="s">
        <v>46</v>
      </c>
      <c r="Z3052" s="5" t="s">
        <v>47</v>
      </c>
      <c r="AA3052" s="5" t="s">
        <v>48</v>
      </c>
      <c r="AB3052" s="5" t="s">
        <v>15021</v>
      </c>
      <c r="AC3052" s="6" t="s">
        <v>370</v>
      </c>
      <c r="AD3052" s="6">
        <v>2605.0</v>
      </c>
    </row>
    <row r="3053" ht="56.25" customHeight="1">
      <c r="A3053" s="5" t="s">
        <v>14982</v>
      </c>
      <c r="B3053" s="6" t="str">
        <f>IMAGE("https://storage.googleapis.com/acdb/housewares/FtrWoodenBedS_Remake_1_3.png")</f>
        <v/>
      </c>
      <c r="C3053" s="5" t="s">
        <v>1595</v>
      </c>
      <c r="D3053" s="5" t="s">
        <v>748</v>
      </c>
      <c r="E3053" s="5" t="s">
        <v>96</v>
      </c>
      <c r="F3053" s="5" t="s">
        <v>1271</v>
      </c>
      <c r="G3053" s="5" t="s">
        <v>35</v>
      </c>
      <c r="H3053" s="5" t="s">
        <v>35</v>
      </c>
      <c r="I3053" s="5" t="s">
        <v>35</v>
      </c>
      <c r="J3053" s="6">
        <v>4.0</v>
      </c>
      <c r="K3053" s="6" t="s">
        <v>37</v>
      </c>
      <c r="L3053" s="6">
        <v>2160.0</v>
      </c>
      <c r="M3053" s="26" t="s">
        <v>57</v>
      </c>
      <c r="N3053" s="26" t="s">
        <v>96</v>
      </c>
      <c r="O3053" s="6" t="s">
        <v>276</v>
      </c>
      <c r="P3053" s="5" t="s">
        <v>41</v>
      </c>
      <c r="Q3053" s="5"/>
      <c r="R3053" s="6" t="s">
        <v>42</v>
      </c>
      <c r="S3053" s="5" t="s">
        <v>99</v>
      </c>
      <c r="T3053" s="5" t="s">
        <v>90</v>
      </c>
      <c r="U3053" s="5" t="s">
        <v>6186</v>
      </c>
      <c r="V3053" s="5" t="s">
        <v>44</v>
      </c>
      <c r="W3053" s="5" t="s">
        <v>35</v>
      </c>
      <c r="X3053" s="8" t="s">
        <v>218</v>
      </c>
      <c r="Y3053" s="5" t="s">
        <v>46</v>
      </c>
      <c r="Z3053" s="5" t="s">
        <v>47</v>
      </c>
      <c r="AA3053" s="5" t="s">
        <v>48</v>
      </c>
      <c r="AB3053" s="5" t="s">
        <v>15028</v>
      </c>
      <c r="AC3053" s="6" t="s">
        <v>377</v>
      </c>
      <c r="AD3053" s="6">
        <v>2605.0</v>
      </c>
    </row>
    <row r="3054" ht="56.25" customHeight="1">
      <c r="A3054" s="5" t="s">
        <v>14982</v>
      </c>
      <c r="B3054" s="6" t="str">
        <f>IMAGE("https://storage.googleapis.com/acdb/housewares/FtrWoodenBedS_Remake_2_0.png")</f>
        <v/>
      </c>
      <c r="C3054" s="5" t="s">
        <v>6192</v>
      </c>
      <c r="D3054" s="5" t="s">
        <v>748</v>
      </c>
      <c r="E3054" s="5" t="s">
        <v>142</v>
      </c>
      <c r="F3054" s="5" t="s">
        <v>1271</v>
      </c>
      <c r="G3054" s="5" t="s">
        <v>35</v>
      </c>
      <c r="H3054" s="5" t="s">
        <v>35</v>
      </c>
      <c r="I3054" s="5" t="s">
        <v>35</v>
      </c>
      <c r="J3054" s="6">
        <v>4.0</v>
      </c>
      <c r="K3054" s="6" t="s">
        <v>37</v>
      </c>
      <c r="L3054" s="6">
        <v>2160.0</v>
      </c>
      <c r="M3054" s="26" t="s">
        <v>142</v>
      </c>
      <c r="N3054" s="26" t="s">
        <v>142</v>
      </c>
      <c r="O3054" s="6" t="s">
        <v>276</v>
      </c>
      <c r="P3054" s="5" t="s">
        <v>41</v>
      </c>
      <c r="Q3054" s="5"/>
      <c r="R3054" s="6" t="s">
        <v>42</v>
      </c>
      <c r="S3054" s="5" t="s">
        <v>99</v>
      </c>
      <c r="T3054" s="5" t="s">
        <v>90</v>
      </c>
      <c r="U3054" s="5" t="s">
        <v>6186</v>
      </c>
      <c r="V3054" s="5" t="s">
        <v>44</v>
      </c>
      <c r="W3054" s="5" t="s">
        <v>35</v>
      </c>
      <c r="X3054" s="8" t="s">
        <v>218</v>
      </c>
      <c r="Y3054" s="5" t="s">
        <v>46</v>
      </c>
      <c r="Z3054" s="5" t="s">
        <v>47</v>
      </c>
      <c r="AA3054" s="5" t="s">
        <v>48</v>
      </c>
      <c r="AB3054" s="5" t="s">
        <v>15033</v>
      </c>
      <c r="AC3054" s="6" t="s">
        <v>67</v>
      </c>
      <c r="AD3054" s="6">
        <v>2605.0</v>
      </c>
    </row>
    <row r="3055" ht="56.25" customHeight="1">
      <c r="A3055" s="5" t="s">
        <v>14982</v>
      </c>
      <c r="B3055" s="6" t="str">
        <f>IMAGE("https://storage.googleapis.com/acdb/housewares/FtrWoodenBedS_Remake_2_1.png")</f>
        <v/>
      </c>
      <c r="C3055" s="5" t="s">
        <v>6192</v>
      </c>
      <c r="D3055" s="5" t="s">
        <v>748</v>
      </c>
      <c r="E3055" s="5" t="s">
        <v>69</v>
      </c>
      <c r="F3055" s="5" t="s">
        <v>1271</v>
      </c>
      <c r="G3055" s="5" t="s">
        <v>35</v>
      </c>
      <c r="H3055" s="5" t="s">
        <v>35</v>
      </c>
      <c r="I3055" s="5" t="s">
        <v>35</v>
      </c>
      <c r="J3055" s="6">
        <v>4.0</v>
      </c>
      <c r="K3055" s="6" t="s">
        <v>37</v>
      </c>
      <c r="L3055" s="6">
        <v>2160.0</v>
      </c>
      <c r="M3055" s="26" t="s">
        <v>142</v>
      </c>
      <c r="N3055" s="26" t="s">
        <v>69</v>
      </c>
      <c r="O3055" s="6" t="s">
        <v>276</v>
      </c>
      <c r="P3055" s="5" t="s">
        <v>41</v>
      </c>
      <c r="Q3055" s="5"/>
      <c r="R3055" s="6" t="s">
        <v>42</v>
      </c>
      <c r="S3055" s="5" t="s">
        <v>99</v>
      </c>
      <c r="T3055" s="5" t="s">
        <v>90</v>
      </c>
      <c r="U3055" s="5" t="s">
        <v>6186</v>
      </c>
      <c r="V3055" s="5" t="s">
        <v>44</v>
      </c>
      <c r="W3055" s="5" t="s">
        <v>35</v>
      </c>
      <c r="X3055" s="8" t="s">
        <v>218</v>
      </c>
      <c r="Y3055" s="5" t="s">
        <v>46</v>
      </c>
      <c r="Z3055" s="5" t="s">
        <v>47</v>
      </c>
      <c r="AA3055" s="5" t="s">
        <v>48</v>
      </c>
      <c r="AB3055" s="5" t="s">
        <v>15039</v>
      </c>
      <c r="AC3055" s="6" t="s">
        <v>247</v>
      </c>
      <c r="AD3055" s="6">
        <v>2605.0</v>
      </c>
    </row>
    <row r="3056" ht="56.25" customHeight="1">
      <c r="A3056" s="5" t="s">
        <v>14982</v>
      </c>
      <c r="B3056" s="6" t="str">
        <f>IMAGE("https://storage.googleapis.com/acdb/housewares/FtrWoodenBedS_Remake_2_2.png")</f>
        <v/>
      </c>
      <c r="C3056" s="5" t="s">
        <v>6192</v>
      </c>
      <c r="D3056" s="5" t="s">
        <v>748</v>
      </c>
      <c r="E3056" s="5" t="s">
        <v>68</v>
      </c>
      <c r="F3056" s="5" t="s">
        <v>1271</v>
      </c>
      <c r="G3056" s="5" t="s">
        <v>35</v>
      </c>
      <c r="H3056" s="5" t="s">
        <v>35</v>
      </c>
      <c r="I3056" s="5" t="s">
        <v>35</v>
      </c>
      <c r="J3056" s="6">
        <v>4.0</v>
      </c>
      <c r="K3056" s="6" t="s">
        <v>37</v>
      </c>
      <c r="L3056" s="6">
        <v>2160.0</v>
      </c>
      <c r="M3056" s="26" t="s">
        <v>142</v>
      </c>
      <c r="N3056" s="26" t="s">
        <v>1175</v>
      </c>
      <c r="O3056" s="6" t="s">
        <v>276</v>
      </c>
      <c r="P3056" s="5" t="s">
        <v>41</v>
      </c>
      <c r="Q3056" s="5"/>
      <c r="R3056" s="6" t="s">
        <v>42</v>
      </c>
      <c r="S3056" s="5" t="s">
        <v>99</v>
      </c>
      <c r="T3056" s="5" t="s">
        <v>90</v>
      </c>
      <c r="U3056" s="5" t="s">
        <v>6186</v>
      </c>
      <c r="V3056" s="5" t="s">
        <v>44</v>
      </c>
      <c r="W3056" s="5" t="s">
        <v>35</v>
      </c>
      <c r="X3056" s="8" t="s">
        <v>218</v>
      </c>
      <c r="Y3056" s="5" t="s">
        <v>46</v>
      </c>
      <c r="Z3056" s="5" t="s">
        <v>47</v>
      </c>
      <c r="AA3056" s="5" t="s">
        <v>48</v>
      </c>
      <c r="AB3056" s="5" t="s">
        <v>15042</v>
      </c>
      <c r="AC3056" s="6" t="s">
        <v>390</v>
      </c>
      <c r="AD3056" s="6">
        <v>2605.0</v>
      </c>
    </row>
    <row r="3057" ht="56.25" customHeight="1">
      <c r="A3057" s="5" t="s">
        <v>14982</v>
      </c>
      <c r="B3057" s="6" t="str">
        <f>IMAGE("https://storage.googleapis.com/acdb/housewares/FtrWoodenBedS_Remake_2_3.png")</f>
        <v/>
      </c>
      <c r="C3057" s="5" t="s">
        <v>6192</v>
      </c>
      <c r="D3057" s="5" t="s">
        <v>748</v>
      </c>
      <c r="E3057" s="5" t="s">
        <v>96</v>
      </c>
      <c r="F3057" s="5" t="s">
        <v>1271</v>
      </c>
      <c r="G3057" s="5" t="s">
        <v>35</v>
      </c>
      <c r="H3057" s="5" t="s">
        <v>35</v>
      </c>
      <c r="I3057" s="5" t="s">
        <v>35</v>
      </c>
      <c r="J3057" s="6">
        <v>4.0</v>
      </c>
      <c r="K3057" s="6" t="s">
        <v>37</v>
      </c>
      <c r="L3057" s="6">
        <v>2160.0</v>
      </c>
      <c r="M3057" s="26" t="s">
        <v>142</v>
      </c>
      <c r="N3057" s="26" t="s">
        <v>96</v>
      </c>
      <c r="O3057" s="6" t="s">
        <v>276</v>
      </c>
      <c r="P3057" s="5" t="s">
        <v>41</v>
      </c>
      <c r="Q3057" s="5"/>
      <c r="R3057" s="6" t="s">
        <v>42</v>
      </c>
      <c r="S3057" s="5" t="s">
        <v>99</v>
      </c>
      <c r="T3057" s="5" t="s">
        <v>90</v>
      </c>
      <c r="U3057" s="5" t="s">
        <v>6186</v>
      </c>
      <c r="V3057" s="5" t="s">
        <v>44</v>
      </c>
      <c r="W3057" s="5" t="s">
        <v>35</v>
      </c>
      <c r="X3057" s="8" t="s">
        <v>218</v>
      </c>
      <c r="Y3057" s="5" t="s">
        <v>46</v>
      </c>
      <c r="Z3057" s="5" t="s">
        <v>47</v>
      </c>
      <c r="AA3057" s="5" t="s">
        <v>48</v>
      </c>
      <c r="AB3057" s="5" t="s">
        <v>15046</v>
      </c>
      <c r="AC3057" s="6" t="s">
        <v>396</v>
      </c>
      <c r="AD3057" s="6">
        <v>2605.0</v>
      </c>
    </row>
    <row r="3058" ht="56.25" customHeight="1">
      <c r="A3058" s="5" t="s">
        <v>14982</v>
      </c>
      <c r="B3058" s="6" t="str">
        <f>IMAGE("https://storage.googleapis.com/acdb/housewares/FtrWoodenBedS_Remake_3_0.png")</f>
        <v/>
      </c>
      <c r="C3058" s="5" t="s">
        <v>1132</v>
      </c>
      <c r="D3058" s="5" t="s">
        <v>748</v>
      </c>
      <c r="E3058" s="5" t="s">
        <v>142</v>
      </c>
      <c r="F3058" s="5" t="s">
        <v>1271</v>
      </c>
      <c r="G3058" s="5" t="s">
        <v>35</v>
      </c>
      <c r="H3058" s="5" t="s">
        <v>35</v>
      </c>
      <c r="I3058" s="5" t="s">
        <v>35</v>
      </c>
      <c r="J3058" s="6">
        <v>4.0</v>
      </c>
      <c r="K3058" s="6" t="s">
        <v>37</v>
      </c>
      <c r="L3058" s="6">
        <v>2160.0</v>
      </c>
      <c r="M3058" s="26" t="s">
        <v>39</v>
      </c>
      <c r="N3058" s="26" t="s">
        <v>142</v>
      </c>
      <c r="O3058" s="6" t="s">
        <v>276</v>
      </c>
      <c r="P3058" s="5" t="s">
        <v>41</v>
      </c>
      <c r="Q3058" s="5"/>
      <c r="R3058" s="6" t="s">
        <v>42</v>
      </c>
      <c r="S3058" s="5" t="s">
        <v>99</v>
      </c>
      <c r="T3058" s="5" t="s">
        <v>90</v>
      </c>
      <c r="U3058" s="5" t="s">
        <v>6186</v>
      </c>
      <c r="V3058" s="5" t="s">
        <v>44</v>
      </c>
      <c r="W3058" s="5" t="s">
        <v>35</v>
      </c>
      <c r="X3058" s="8" t="s">
        <v>218</v>
      </c>
      <c r="Y3058" s="5" t="s">
        <v>46</v>
      </c>
      <c r="Z3058" s="5" t="s">
        <v>47</v>
      </c>
      <c r="AA3058" s="5" t="s">
        <v>48</v>
      </c>
      <c r="AB3058" s="5" t="s">
        <v>15051</v>
      </c>
      <c r="AC3058" s="6" t="s">
        <v>71</v>
      </c>
      <c r="AD3058" s="6">
        <v>2605.0</v>
      </c>
    </row>
    <row r="3059" ht="56.25" customHeight="1">
      <c r="A3059" s="5" t="s">
        <v>14982</v>
      </c>
      <c r="B3059" s="6" t="str">
        <f>IMAGE("https://storage.googleapis.com/acdb/housewares/FtrWoodenBedS_Remake_3_1.png")</f>
        <v/>
      </c>
      <c r="C3059" s="5" t="s">
        <v>1132</v>
      </c>
      <c r="D3059" s="5" t="s">
        <v>748</v>
      </c>
      <c r="E3059" s="5" t="s">
        <v>69</v>
      </c>
      <c r="F3059" s="5" t="s">
        <v>1271</v>
      </c>
      <c r="G3059" s="5" t="s">
        <v>35</v>
      </c>
      <c r="H3059" s="5" t="s">
        <v>35</v>
      </c>
      <c r="I3059" s="5" t="s">
        <v>35</v>
      </c>
      <c r="J3059" s="6">
        <v>4.0</v>
      </c>
      <c r="K3059" s="6" t="s">
        <v>37</v>
      </c>
      <c r="L3059" s="6">
        <v>2160.0</v>
      </c>
      <c r="M3059" s="26" t="s">
        <v>39</v>
      </c>
      <c r="N3059" s="26" t="s">
        <v>69</v>
      </c>
      <c r="O3059" s="6" t="s">
        <v>276</v>
      </c>
      <c r="P3059" s="5" t="s">
        <v>41</v>
      </c>
      <c r="Q3059" s="5"/>
      <c r="R3059" s="6" t="s">
        <v>42</v>
      </c>
      <c r="S3059" s="5" t="s">
        <v>99</v>
      </c>
      <c r="T3059" s="5" t="s">
        <v>90</v>
      </c>
      <c r="U3059" s="5" t="s">
        <v>6186</v>
      </c>
      <c r="V3059" s="5" t="s">
        <v>44</v>
      </c>
      <c r="W3059" s="5" t="s">
        <v>35</v>
      </c>
      <c r="X3059" s="8" t="s">
        <v>218</v>
      </c>
      <c r="Y3059" s="5" t="s">
        <v>46</v>
      </c>
      <c r="Z3059" s="5" t="s">
        <v>47</v>
      </c>
      <c r="AA3059" s="5" t="s">
        <v>48</v>
      </c>
      <c r="AB3059" s="5" t="s">
        <v>15054</v>
      </c>
      <c r="AC3059" s="6" t="s">
        <v>257</v>
      </c>
      <c r="AD3059" s="6">
        <v>2605.0</v>
      </c>
    </row>
    <row r="3060" ht="56.25" customHeight="1">
      <c r="A3060" s="5" t="s">
        <v>14982</v>
      </c>
      <c r="B3060" s="6" t="str">
        <f>IMAGE("https://storage.googleapis.com/acdb/housewares/FtrWoodenBedS_Remake_3_2.png")</f>
        <v/>
      </c>
      <c r="C3060" s="5" t="s">
        <v>1132</v>
      </c>
      <c r="D3060" s="5" t="s">
        <v>748</v>
      </c>
      <c r="E3060" s="5" t="s">
        <v>68</v>
      </c>
      <c r="F3060" s="5" t="s">
        <v>1271</v>
      </c>
      <c r="G3060" s="5" t="s">
        <v>35</v>
      </c>
      <c r="H3060" s="5" t="s">
        <v>35</v>
      </c>
      <c r="I3060" s="5" t="s">
        <v>35</v>
      </c>
      <c r="J3060" s="6">
        <v>4.0</v>
      </c>
      <c r="K3060" s="6" t="s">
        <v>37</v>
      </c>
      <c r="L3060" s="6">
        <v>2160.0</v>
      </c>
      <c r="M3060" s="26" t="s">
        <v>39</v>
      </c>
      <c r="N3060" s="26" t="s">
        <v>1175</v>
      </c>
      <c r="O3060" s="6" t="s">
        <v>276</v>
      </c>
      <c r="P3060" s="5" t="s">
        <v>41</v>
      </c>
      <c r="Q3060" s="5"/>
      <c r="R3060" s="6" t="s">
        <v>42</v>
      </c>
      <c r="S3060" s="5" t="s">
        <v>99</v>
      </c>
      <c r="T3060" s="5" t="s">
        <v>90</v>
      </c>
      <c r="U3060" s="5" t="s">
        <v>6186</v>
      </c>
      <c r="V3060" s="5" t="s">
        <v>44</v>
      </c>
      <c r="W3060" s="5" t="s">
        <v>35</v>
      </c>
      <c r="X3060" s="8" t="s">
        <v>218</v>
      </c>
      <c r="Y3060" s="5" t="s">
        <v>46</v>
      </c>
      <c r="Z3060" s="5" t="s">
        <v>47</v>
      </c>
      <c r="AA3060" s="5" t="s">
        <v>48</v>
      </c>
      <c r="AB3060" s="5" t="s">
        <v>15058</v>
      </c>
      <c r="AC3060" s="6" t="s">
        <v>414</v>
      </c>
      <c r="AD3060" s="6">
        <v>2605.0</v>
      </c>
    </row>
    <row r="3061" ht="56.25" customHeight="1">
      <c r="A3061" s="5" t="s">
        <v>14982</v>
      </c>
      <c r="B3061" s="6" t="str">
        <f>IMAGE("https://storage.googleapis.com/acdb/housewares/FtrWoodenBedS_Remake_3_3.png")</f>
        <v/>
      </c>
      <c r="C3061" s="5" t="s">
        <v>1132</v>
      </c>
      <c r="D3061" s="5" t="s">
        <v>748</v>
      </c>
      <c r="E3061" s="5" t="s">
        <v>96</v>
      </c>
      <c r="F3061" s="5" t="s">
        <v>1271</v>
      </c>
      <c r="G3061" s="5" t="s">
        <v>35</v>
      </c>
      <c r="H3061" s="5" t="s">
        <v>35</v>
      </c>
      <c r="I3061" s="5" t="s">
        <v>35</v>
      </c>
      <c r="J3061" s="6">
        <v>4.0</v>
      </c>
      <c r="K3061" s="6" t="s">
        <v>37</v>
      </c>
      <c r="L3061" s="6">
        <v>2160.0</v>
      </c>
      <c r="M3061" s="26" t="s">
        <v>39</v>
      </c>
      <c r="N3061" s="26" t="s">
        <v>96</v>
      </c>
      <c r="O3061" s="6" t="s">
        <v>276</v>
      </c>
      <c r="P3061" s="5" t="s">
        <v>41</v>
      </c>
      <c r="Q3061" s="5"/>
      <c r="R3061" s="6" t="s">
        <v>42</v>
      </c>
      <c r="S3061" s="5" t="s">
        <v>99</v>
      </c>
      <c r="T3061" s="5" t="s">
        <v>90</v>
      </c>
      <c r="U3061" s="5" t="s">
        <v>6186</v>
      </c>
      <c r="V3061" s="5" t="s">
        <v>44</v>
      </c>
      <c r="W3061" s="5" t="s">
        <v>35</v>
      </c>
      <c r="X3061" s="8" t="s">
        <v>218</v>
      </c>
      <c r="Y3061" s="5" t="s">
        <v>46</v>
      </c>
      <c r="Z3061" s="5" t="s">
        <v>47</v>
      </c>
      <c r="AA3061" s="5" t="s">
        <v>48</v>
      </c>
      <c r="AB3061" s="5" t="s">
        <v>15063</v>
      </c>
      <c r="AC3061" s="6" t="s">
        <v>418</v>
      </c>
      <c r="AD3061" s="6">
        <v>2605.0</v>
      </c>
    </row>
    <row r="3062" ht="56.25" customHeight="1">
      <c r="A3062" s="5" t="s">
        <v>14982</v>
      </c>
      <c r="B3062" s="6" t="str">
        <f>IMAGE("https://storage.googleapis.com/acdb/housewares/FtrWoodenBedS_Remake_4_0.png")</f>
        <v/>
      </c>
      <c r="C3062" s="5" t="s">
        <v>54</v>
      </c>
      <c r="D3062" s="5" t="s">
        <v>748</v>
      </c>
      <c r="E3062" s="5" t="s">
        <v>142</v>
      </c>
      <c r="F3062" s="5" t="s">
        <v>1271</v>
      </c>
      <c r="G3062" s="5" t="s">
        <v>35</v>
      </c>
      <c r="H3062" s="5" t="s">
        <v>35</v>
      </c>
      <c r="I3062" s="5" t="s">
        <v>35</v>
      </c>
      <c r="J3062" s="6">
        <v>4.0</v>
      </c>
      <c r="K3062" s="6" t="s">
        <v>37</v>
      </c>
      <c r="L3062" s="6">
        <v>2160.0</v>
      </c>
      <c r="M3062" s="26" t="s">
        <v>54</v>
      </c>
      <c r="N3062" s="26" t="s">
        <v>142</v>
      </c>
      <c r="O3062" s="6" t="s">
        <v>276</v>
      </c>
      <c r="P3062" s="5" t="s">
        <v>41</v>
      </c>
      <c r="Q3062" s="5"/>
      <c r="R3062" s="6" t="s">
        <v>42</v>
      </c>
      <c r="S3062" s="5" t="s">
        <v>99</v>
      </c>
      <c r="T3062" s="5" t="s">
        <v>90</v>
      </c>
      <c r="U3062" s="5" t="s">
        <v>6186</v>
      </c>
      <c r="V3062" s="5" t="s">
        <v>44</v>
      </c>
      <c r="W3062" s="5" t="s">
        <v>35</v>
      </c>
      <c r="X3062" s="8" t="s">
        <v>218</v>
      </c>
      <c r="Y3062" s="5" t="s">
        <v>46</v>
      </c>
      <c r="Z3062" s="5" t="s">
        <v>47</v>
      </c>
      <c r="AA3062" s="5" t="s">
        <v>48</v>
      </c>
      <c r="AB3062" s="5" t="s">
        <v>15067</v>
      </c>
      <c r="AC3062" s="6" t="s">
        <v>75</v>
      </c>
      <c r="AD3062" s="6">
        <v>2605.0</v>
      </c>
    </row>
    <row r="3063" ht="56.25" customHeight="1">
      <c r="A3063" s="5" t="s">
        <v>14982</v>
      </c>
      <c r="B3063" s="6" t="str">
        <f>IMAGE("https://storage.googleapis.com/acdb/housewares/FtrWoodenBedS_Remake_4_1.png")</f>
        <v/>
      </c>
      <c r="C3063" s="5" t="s">
        <v>54</v>
      </c>
      <c r="D3063" s="5" t="s">
        <v>748</v>
      </c>
      <c r="E3063" s="5" t="s">
        <v>69</v>
      </c>
      <c r="F3063" s="5" t="s">
        <v>1271</v>
      </c>
      <c r="G3063" s="5" t="s">
        <v>35</v>
      </c>
      <c r="H3063" s="5" t="s">
        <v>35</v>
      </c>
      <c r="I3063" s="5" t="s">
        <v>35</v>
      </c>
      <c r="J3063" s="6">
        <v>4.0</v>
      </c>
      <c r="K3063" s="6" t="s">
        <v>37</v>
      </c>
      <c r="L3063" s="6">
        <v>2160.0</v>
      </c>
      <c r="M3063" s="26" t="s">
        <v>54</v>
      </c>
      <c r="N3063" s="26" t="s">
        <v>69</v>
      </c>
      <c r="O3063" s="6" t="s">
        <v>276</v>
      </c>
      <c r="P3063" s="5" t="s">
        <v>41</v>
      </c>
      <c r="Q3063" s="5"/>
      <c r="R3063" s="6" t="s">
        <v>42</v>
      </c>
      <c r="S3063" s="5" t="s">
        <v>99</v>
      </c>
      <c r="T3063" s="5" t="s">
        <v>90</v>
      </c>
      <c r="U3063" s="5" t="s">
        <v>6186</v>
      </c>
      <c r="V3063" s="5" t="s">
        <v>44</v>
      </c>
      <c r="W3063" s="5" t="s">
        <v>35</v>
      </c>
      <c r="X3063" s="8" t="s">
        <v>218</v>
      </c>
      <c r="Y3063" s="5" t="s">
        <v>46</v>
      </c>
      <c r="Z3063" s="5" t="s">
        <v>47</v>
      </c>
      <c r="AA3063" s="5" t="s">
        <v>48</v>
      </c>
      <c r="AB3063" s="5" t="s">
        <v>15071</v>
      </c>
      <c r="AC3063" s="6" t="s">
        <v>429</v>
      </c>
      <c r="AD3063" s="6">
        <v>2605.0</v>
      </c>
    </row>
    <row r="3064" ht="56.25" customHeight="1">
      <c r="A3064" s="5" t="s">
        <v>14982</v>
      </c>
      <c r="B3064" s="6" t="str">
        <f>IMAGE("https://storage.googleapis.com/acdb/housewares/FtrWoodenBedS_Remake_4_2.png")</f>
        <v/>
      </c>
      <c r="C3064" s="5" t="s">
        <v>54</v>
      </c>
      <c r="D3064" s="5" t="s">
        <v>748</v>
      </c>
      <c r="E3064" s="5" t="s">
        <v>68</v>
      </c>
      <c r="F3064" s="5" t="s">
        <v>1271</v>
      </c>
      <c r="G3064" s="5" t="s">
        <v>35</v>
      </c>
      <c r="H3064" s="5" t="s">
        <v>35</v>
      </c>
      <c r="I3064" s="5" t="s">
        <v>35</v>
      </c>
      <c r="J3064" s="6">
        <v>4.0</v>
      </c>
      <c r="K3064" s="6" t="s">
        <v>37</v>
      </c>
      <c r="L3064" s="6">
        <v>2160.0</v>
      </c>
      <c r="M3064" s="26" t="s">
        <v>54</v>
      </c>
      <c r="N3064" s="26" t="s">
        <v>1175</v>
      </c>
      <c r="O3064" s="6" t="s">
        <v>276</v>
      </c>
      <c r="P3064" s="5" t="s">
        <v>41</v>
      </c>
      <c r="Q3064" s="5"/>
      <c r="R3064" s="6" t="s">
        <v>42</v>
      </c>
      <c r="S3064" s="5" t="s">
        <v>99</v>
      </c>
      <c r="T3064" s="5" t="s">
        <v>90</v>
      </c>
      <c r="U3064" s="5" t="s">
        <v>6186</v>
      </c>
      <c r="V3064" s="5" t="s">
        <v>44</v>
      </c>
      <c r="W3064" s="5" t="s">
        <v>35</v>
      </c>
      <c r="X3064" s="8" t="s">
        <v>218</v>
      </c>
      <c r="Y3064" s="5" t="s">
        <v>46</v>
      </c>
      <c r="Z3064" s="5" t="s">
        <v>47</v>
      </c>
      <c r="AA3064" s="5" t="s">
        <v>48</v>
      </c>
      <c r="AB3064" s="5" t="s">
        <v>15074</v>
      </c>
      <c r="AC3064" s="6" t="s">
        <v>434</v>
      </c>
      <c r="AD3064" s="6">
        <v>2605.0</v>
      </c>
    </row>
    <row r="3065" ht="56.25" customHeight="1">
      <c r="A3065" s="5" t="s">
        <v>14982</v>
      </c>
      <c r="B3065" s="6" t="str">
        <f>IMAGE("https://storage.googleapis.com/acdb/housewares/FtrWoodenBedS_Remake_4_3.png")</f>
        <v/>
      </c>
      <c r="C3065" s="5" t="s">
        <v>54</v>
      </c>
      <c r="D3065" s="5" t="s">
        <v>748</v>
      </c>
      <c r="E3065" s="5" t="s">
        <v>96</v>
      </c>
      <c r="F3065" s="5" t="s">
        <v>1271</v>
      </c>
      <c r="G3065" s="5" t="s">
        <v>35</v>
      </c>
      <c r="H3065" s="5" t="s">
        <v>35</v>
      </c>
      <c r="I3065" s="5" t="s">
        <v>35</v>
      </c>
      <c r="J3065" s="6">
        <v>4.0</v>
      </c>
      <c r="K3065" s="6" t="s">
        <v>37</v>
      </c>
      <c r="L3065" s="6">
        <v>2160.0</v>
      </c>
      <c r="M3065" s="26" t="s">
        <v>54</v>
      </c>
      <c r="N3065" s="26" t="s">
        <v>96</v>
      </c>
      <c r="O3065" s="6" t="s">
        <v>276</v>
      </c>
      <c r="P3065" s="5" t="s">
        <v>41</v>
      </c>
      <c r="Q3065" s="5"/>
      <c r="R3065" s="6" t="s">
        <v>42</v>
      </c>
      <c r="S3065" s="5" t="s">
        <v>99</v>
      </c>
      <c r="T3065" s="5" t="s">
        <v>90</v>
      </c>
      <c r="U3065" s="5" t="s">
        <v>6186</v>
      </c>
      <c r="V3065" s="5" t="s">
        <v>44</v>
      </c>
      <c r="W3065" s="5" t="s">
        <v>35</v>
      </c>
      <c r="X3065" s="8" t="s">
        <v>218</v>
      </c>
      <c r="Y3065" s="5" t="s">
        <v>46</v>
      </c>
      <c r="Z3065" s="5" t="s">
        <v>47</v>
      </c>
      <c r="AA3065" s="5" t="s">
        <v>48</v>
      </c>
      <c r="AB3065" s="5" t="s">
        <v>15078</v>
      </c>
      <c r="AC3065" s="6" t="s">
        <v>438</v>
      </c>
      <c r="AD3065" s="6">
        <v>2605.0</v>
      </c>
    </row>
    <row r="3066" ht="56.25" customHeight="1">
      <c r="A3066" s="5" t="s">
        <v>14982</v>
      </c>
      <c r="B3066" s="6" t="str">
        <f>IMAGE("https://storage.googleapis.com/acdb/housewares/FtrWoodenBedS_Remake_5_0.png")</f>
        <v/>
      </c>
      <c r="C3066" s="5" t="s">
        <v>96</v>
      </c>
      <c r="D3066" s="5" t="s">
        <v>748</v>
      </c>
      <c r="E3066" s="5" t="s">
        <v>142</v>
      </c>
      <c r="F3066" s="5" t="s">
        <v>1271</v>
      </c>
      <c r="G3066" s="5" t="s">
        <v>35</v>
      </c>
      <c r="H3066" s="5" t="s">
        <v>35</v>
      </c>
      <c r="I3066" s="5" t="s">
        <v>35</v>
      </c>
      <c r="J3066" s="6">
        <v>4.0</v>
      </c>
      <c r="K3066" s="6" t="s">
        <v>37</v>
      </c>
      <c r="L3066" s="6">
        <v>2160.0</v>
      </c>
      <c r="M3066" s="26" t="s">
        <v>96</v>
      </c>
      <c r="N3066" s="26" t="s">
        <v>142</v>
      </c>
      <c r="O3066" s="6" t="s">
        <v>276</v>
      </c>
      <c r="P3066" s="5" t="s">
        <v>41</v>
      </c>
      <c r="Q3066" s="5"/>
      <c r="R3066" s="6" t="s">
        <v>42</v>
      </c>
      <c r="S3066" s="5" t="s">
        <v>99</v>
      </c>
      <c r="T3066" s="5" t="s">
        <v>90</v>
      </c>
      <c r="U3066" s="5" t="s">
        <v>6186</v>
      </c>
      <c r="V3066" s="5" t="s">
        <v>44</v>
      </c>
      <c r="W3066" s="5" t="s">
        <v>35</v>
      </c>
      <c r="X3066" s="8" t="s">
        <v>218</v>
      </c>
      <c r="Y3066" s="5" t="s">
        <v>46</v>
      </c>
      <c r="Z3066" s="5" t="s">
        <v>47</v>
      </c>
      <c r="AA3066" s="5" t="s">
        <v>48</v>
      </c>
      <c r="AB3066" s="5" t="s">
        <v>15081</v>
      </c>
      <c r="AC3066" s="6" t="s">
        <v>79</v>
      </c>
      <c r="AD3066" s="6">
        <v>2605.0</v>
      </c>
    </row>
    <row r="3067" ht="56.25" customHeight="1">
      <c r="A3067" s="5" t="s">
        <v>14982</v>
      </c>
      <c r="B3067" s="6" t="str">
        <f>IMAGE("https://storage.googleapis.com/acdb/housewares/FtrWoodenBedS_Remake_5_1.png")</f>
        <v/>
      </c>
      <c r="C3067" s="5" t="s">
        <v>96</v>
      </c>
      <c r="D3067" s="5" t="s">
        <v>748</v>
      </c>
      <c r="E3067" s="5" t="s">
        <v>69</v>
      </c>
      <c r="F3067" s="5" t="s">
        <v>1271</v>
      </c>
      <c r="G3067" s="5" t="s">
        <v>35</v>
      </c>
      <c r="H3067" s="5" t="s">
        <v>35</v>
      </c>
      <c r="I3067" s="5" t="s">
        <v>35</v>
      </c>
      <c r="J3067" s="6">
        <v>4.0</v>
      </c>
      <c r="K3067" s="6" t="s">
        <v>37</v>
      </c>
      <c r="L3067" s="6">
        <v>2160.0</v>
      </c>
      <c r="M3067" s="26" t="s">
        <v>96</v>
      </c>
      <c r="N3067" s="26" t="s">
        <v>69</v>
      </c>
      <c r="O3067" s="6" t="s">
        <v>276</v>
      </c>
      <c r="P3067" s="5" t="s">
        <v>41</v>
      </c>
      <c r="Q3067" s="5"/>
      <c r="R3067" s="6" t="s">
        <v>42</v>
      </c>
      <c r="S3067" s="5" t="s">
        <v>99</v>
      </c>
      <c r="T3067" s="5" t="s">
        <v>90</v>
      </c>
      <c r="U3067" s="5" t="s">
        <v>6186</v>
      </c>
      <c r="V3067" s="5" t="s">
        <v>44</v>
      </c>
      <c r="W3067" s="5" t="s">
        <v>35</v>
      </c>
      <c r="X3067" s="8" t="s">
        <v>218</v>
      </c>
      <c r="Y3067" s="5" t="s">
        <v>46</v>
      </c>
      <c r="Z3067" s="5" t="s">
        <v>47</v>
      </c>
      <c r="AA3067" s="5" t="s">
        <v>48</v>
      </c>
      <c r="AB3067" s="5" t="s">
        <v>15085</v>
      </c>
      <c r="AC3067" s="6" t="s">
        <v>448</v>
      </c>
      <c r="AD3067" s="6">
        <v>2605.0</v>
      </c>
    </row>
    <row r="3068" ht="56.25" customHeight="1">
      <c r="A3068" s="5" t="s">
        <v>14982</v>
      </c>
      <c r="B3068" s="6" t="str">
        <f>IMAGE("https://storage.googleapis.com/acdb/housewares/FtrWoodenBedS_Remake_5_2.png")</f>
        <v/>
      </c>
      <c r="C3068" s="5" t="s">
        <v>96</v>
      </c>
      <c r="D3068" s="5" t="s">
        <v>748</v>
      </c>
      <c r="E3068" s="5" t="s">
        <v>68</v>
      </c>
      <c r="F3068" s="5" t="s">
        <v>1271</v>
      </c>
      <c r="G3068" s="5" t="s">
        <v>35</v>
      </c>
      <c r="H3068" s="5" t="s">
        <v>35</v>
      </c>
      <c r="I3068" s="5" t="s">
        <v>35</v>
      </c>
      <c r="J3068" s="6">
        <v>4.0</v>
      </c>
      <c r="K3068" s="6" t="s">
        <v>37</v>
      </c>
      <c r="L3068" s="6">
        <v>2160.0</v>
      </c>
      <c r="M3068" s="26" t="s">
        <v>96</v>
      </c>
      <c r="N3068" s="26" t="s">
        <v>1175</v>
      </c>
      <c r="O3068" s="6" t="s">
        <v>276</v>
      </c>
      <c r="P3068" s="5" t="s">
        <v>41</v>
      </c>
      <c r="Q3068" s="5"/>
      <c r="R3068" s="6" t="s">
        <v>42</v>
      </c>
      <c r="S3068" s="5" t="s">
        <v>99</v>
      </c>
      <c r="T3068" s="5" t="s">
        <v>90</v>
      </c>
      <c r="U3068" s="5" t="s">
        <v>6186</v>
      </c>
      <c r="V3068" s="5" t="s">
        <v>44</v>
      </c>
      <c r="W3068" s="5" t="s">
        <v>35</v>
      </c>
      <c r="X3068" s="8" t="s">
        <v>218</v>
      </c>
      <c r="Y3068" s="5" t="s">
        <v>46</v>
      </c>
      <c r="Z3068" s="5" t="s">
        <v>47</v>
      </c>
      <c r="AA3068" s="5" t="s">
        <v>48</v>
      </c>
      <c r="AB3068" s="5" t="s">
        <v>15090</v>
      </c>
      <c r="AC3068" s="6" t="s">
        <v>452</v>
      </c>
      <c r="AD3068" s="6">
        <v>2605.0</v>
      </c>
    </row>
    <row r="3069" ht="56.25" customHeight="1">
      <c r="A3069" s="5" t="s">
        <v>14982</v>
      </c>
      <c r="B3069" s="6" t="str">
        <f>IMAGE("https://storage.googleapis.com/acdb/housewares/FtrWoodenBedS_Remake_5_3.png")</f>
        <v/>
      </c>
      <c r="C3069" s="5" t="s">
        <v>96</v>
      </c>
      <c r="D3069" s="5" t="s">
        <v>748</v>
      </c>
      <c r="E3069" s="5" t="s">
        <v>96</v>
      </c>
      <c r="F3069" s="5" t="s">
        <v>1271</v>
      </c>
      <c r="G3069" s="5" t="s">
        <v>35</v>
      </c>
      <c r="H3069" s="5" t="s">
        <v>35</v>
      </c>
      <c r="I3069" s="5" t="s">
        <v>35</v>
      </c>
      <c r="J3069" s="6">
        <v>4.0</v>
      </c>
      <c r="K3069" s="6" t="s">
        <v>37</v>
      </c>
      <c r="L3069" s="6">
        <v>2160.0</v>
      </c>
      <c r="M3069" s="26" t="s">
        <v>96</v>
      </c>
      <c r="N3069" s="26" t="s">
        <v>96</v>
      </c>
      <c r="O3069" s="6" t="s">
        <v>276</v>
      </c>
      <c r="P3069" s="5" t="s">
        <v>41</v>
      </c>
      <c r="Q3069" s="5"/>
      <c r="R3069" s="6" t="s">
        <v>42</v>
      </c>
      <c r="S3069" s="5" t="s">
        <v>99</v>
      </c>
      <c r="T3069" s="5" t="s">
        <v>90</v>
      </c>
      <c r="U3069" s="5" t="s">
        <v>6186</v>
      </c>
      <c r="V3069" s="5" t="s">
        <v>44</v>
      </c>
      <c r="W3069" s="5" t="s">
        <v>35</v>
      </c>
      <c r="X3069" s="8" t="s">
        <v>218</v>
      </c>
      <c r="Y3069" s="5" t="s">
        <v>46</v>
      </c>
      <c r="Z3069" s="5" t="s">
        <v>47</v>
      </c>
      <c r="AA3069" s="5" t="s">
        <v>48</v>
      </c>
      <c r="AB3069" s="5" t="s">
        <v>15094</v>
      </c>
      <c r="AC3069" s="6" t="s">
        <v>455</v>
      </c>
      <c r="AD3069" s="6">
        <v>2605.0</v>
      </c>
    </row>
    <row r="3070" ht="56.25" customHeight="1">
      <c r="A3070" s="5" t="s">
        <v>14982</v>
      </c>
      <c r="B3070" s="6" t="str">
        <f>IMAGE("https://storage.googleapis.com/acdb/housewares/FtrWoodenBedS_Remake_6_0.png")</f>
        <v/>
      </c>
      <c r="C3070" s="5" t="s">
        <v>68</v>
      </c>
      <c r="D3070" s="5" t="s">
        <v>748</v>
      </c>
      <c r="E3070" s="5" t="s">
        <v>142</v>
      </c>
      <c r="F3070" s="5" t="s">
        <v>1271</v>
      </c>
      <c r="G3070" s="5" t="s">
        <v>35</v>
      </c>
      <c r="H3070" s="5" t="s">
        <v>35</v>
      </c>
      <c r="I3070" s="5" t="s">
        <v>35</v>
      </c>
      <c r="J3070" s="6">
        <v>4.0</v>
      </c>
      <c r="K3070" s="6" t="s">
        <v>37</v>
      </c>
      <c r="L3070" s="6">
        <v>2160.0</v>
      </c>
      <c r="M3070" s="26" t="s">
        <v>68</v>
      </c>
      <c r="N3070" s="26" t="s">
        <v>142</v>
      </c>
      <c r="O3070" s="6" t="s">
        <v>276</v>
      </c>
      <c r="P3070" s="5" t="s">
        <v>41</v>
      </c>
      <c r="Q3070" s="5"/>
      <c r="R3070" s="6" t="s">
        <v>42</v>
      </c>
      <c r="S3070" s="5" t="s">
        <v>99</v>
      </c>
      <c r="T3070" s="5" t="s">
        <v>90</v>
      </c>
      <c r="U3070" s="5" t="s">
        <v>6186</v>
      </c>
      <c r="V3070" s="5" t="s">
        <v>44</v>
      </c>
      <c r="W3070" s="5" t="s">
        <v>35</v>
      </c>
      <c r="X3070" s="8" t="s">
        <v>218</v>
      </c>
      <c r="Y3070" s="5" t="s">
        <v>46</v>
      </c>
      <c r="Z3070" s="5" t="s">
        <v>47</v>
      </c>
      <c r="AA3070" s="5" t="s">
        <v>48</v>
      </c>
      <c r="AB3070" s="5" t="s">
        <v>15098</v>
      </c>
      <c r="AC3070" s="6" t="s">
        <v>86</v>
      </c>
      <c r="AD3070" s="6">
        <v>2605.0</v>
      </c>
    </row>
    <row r="3071" ht="56.25" customHeight="1">
      <c r="A3071" s="5" t="s">
        <v>14982</v>
      </c>
      <c r="B3071" s="6" t="str">
        <f>IMAGE("https://storage.googleapis.com/acdb/housewares/FtrWoodenBedS_Remake_6_1.png")</f>
        <v/>
      </c>
      <c r="C3071" s="5" t="s">
        <v>68</v>
      </c>
      <c r="D3071" s="5" t="s">
        <v>748</v>
      </c>
      <c r="E3071" s="5" t="s">
        <v>69</v>
      </c>
      <c r="F3071" s="5" t="s">
        <v>1271</v>
      </c>
      <c r="G3071" s="5" t="s">
        <v>35</v>
      </c>
      <c r="H3071" s="5" t="s">
        <v>35</v>
      </c>
      <c r="I3071" s="5" t="s">
        <v>35</v>
      </c>
      <c r="J3071" s="6">
        <v>4.0</v>
      </c>
      <c r="K3071" s="6" t="s">
        <v>37</v>
      </c>
      <c r="L3071" s="6">
        <v>2160.0</v>
      </c>
      <c r="M3071" s="26" t="s">
        <v>68</v>
      </c>
      <c r="N3071" s="26" t="s">
        <v>69</v>
      </c>
      <c r="O3071" s="6" t="s">
        <v>276</v>
      </c>
      <c r="P3071" s="5" t="s">
        <v>41</v>
      </c>
      <c r="Q3071" s="5"/>
      <c r="R3071" s="6" t="s">
        <v>42</v>
      </c>
      <c r="S3071" s="5" t="s">
        <v>99</v>
      </c>
      <c r="T3071" s="5" t="s">
        <v>90</v>
      </c>
      <c r="U3071" s="5" t="s">
        <v>6186</v>
      </c>
      <c r="V3071" s="5" t="s">
        <v>44</v>
      </c>
      <c r="W3071" s="5" t="s">
        <v>35</v>
      </c>
      <c r="X3071" s="8" t="s">
        <v>218</v>
      </c>
      <c r="Y3071" s="5" t="s">
        <v>46</v>
      </c>
      <c r="Z3071" s="5" t="s">
        <v>47</v>
      </c>
      <c r="AA3071" s="5" t="s">
        <v>48</v>
      </c>
      <c r="AB3071" s="5" t="s">
        <v>15103</v>
      </c>
      <c r="AC3071" s="6" t="s">
        <v>620</v>
      </c>
      <c r="AD3071" s="6">
        <v>2605.0</v>
      </c>
    </row>
    <row r="3072" ht="56.25" customHeight="1">
      <c r="A3072" s="5" t="s">
        <v>14982</v>
      </c>
      <c r="B3072" s="6" t="str">
        <f>IMAGE("https://storage.googleapis.com/acdb/housewares/FtrWoodenBedS_Remake_6_2.png")</f>
        <v/>
      </c>
      <c r="C3072" s="5" t="s">
        <v>68</v>
      </c>
      <c r="D3072" s="5" t="s">
        <v>748</v>
      </c>
      <c r="E3072" s="5" t="s">
        <v>68</v>
      </c>
      <c r="F3072" s="5" t="s">
        <v>1271</v>
      </c>
      <c r="G3072" s="5" t="s">
        <v>35</v>
      </c>
      <c r="H3072" s="5" t="s">
        <v>35</v>
      </c>
      <c r="I3072" s="5" t="s">
        <v>35</v>
      </c>
      <c r="J3072" s="6">
        <v>4.0</v>
      </c>
      <c r="K3072" s="6" t="s">
        <v>37</v>
      </c>
      <c r="L3072" s="6">
        <v>2160.0</v>
      </c>
      <c r="M3072" s="26" t="s">
        <v>68</v>
      </c>
      <c r="N3072" s="26" t="s">
        <v>1175</v>
      </c>
      <c r="O3072" s="6" t="s">
        <v>276</v>
      </c>
      <c r="P3072" s="5" t="s">
        <v>41</v>
      </c>
      <c r="Q3072" s="5"/>
      <c r="R3072" s="6" t="s">
        <v>42</v>
      </c>
      <c r="S3072" s="5" t="s">
        <v>99</v>
      </c>
      <c r="T3072" s="5" t="s">
        <v>90</v>
      </c>
      <c r="U3072" s="5" t="s">
        <v>6186</v>
      </c>
      <c r="V3072" s="5" t="s">
        <v>44</v>
      </c>
      <c r="W3072" s="5" t="s">
        <v>35</v>
      </c>
      <c r="X3072" s="8" t="s">
        <v>218</v>
      </c>
      <c r="Y3072" s="5" t="s">
        <v>46</v>
      </c>
      <c r="Z3072" s="5" t="s">
        <v>47</v>
      </c>
      <c r="AA3072" s="5" t="s">
        <v>48</v>
      </c>
      <c r="AB3072" s="5" t="s">
        <v>15108</v>
      </c>
      <c r="AC3072" s="6" t="s">
        <v>626</v>
      </c>
      <c r="AD3072" s="6">
        <v>2605.0</v>
      </c>
    </row>
    <row r="3073" ht="56.25" customHeight="1">
      <c r="A3073" s="5" t="s">
        <v>14982</v>
      </c>
      <c r="B3073" s="6" t="str">
        <f>IMAGE("https://storage.googleapis.com/acdb/housewares/FtrWoodenBedS_Remake_6_3.png")</f>
        <v/>
      </c>
      <c r="C3073" s="5" t="s">
        <v>68</v>
      </c>
      <c r="D3073" s="5" t="s">
        <v>748</v>
      </c>
      <c r="E3073" s="5" t="s">
        <v>96</v>
      </c>
      <c r="F3073" s="5" t="s">
        <v>1271</v>
      </c>
      <c r="G3073" s="5" t="s">
        <v>35</v>
      </c>
      <c r="H3073" s="5" t="s">
        <v>35</v>
      </c>
      <c r="I3073" s="5" t="s">
        <v>35</v>
      </c>
      <c r="J3073" s="6">
        <v>4.0</v>
      </c>
      <c r="K3073" s="6" t="s">
        <v>37</v>
      </c>
      <c r="L3073" s="6">
        <v>2160.0</v>
      </c>
      <c r="M3073" s="26" t="s">
        <v>68</v>
      </c>
      <c r="N3073" s="26" t="s">
        <v>96</v>
      </c>
      <c r="O3073" s="6" t="s">
        <v>276</v>
      </c>
      <c r="P3073" s="5" t="s">
        <v>41</v>
      </c>
      <c r="Q3073" s="5"/>
      <c r="R3073" s="6" t="s">
        <v>42</v>
      </c>
      <c r="S3073" s="5" t="s">
        <v>99</v>
      </c>
      <c r="T3073" s="5" t="s">
        <v>90</v>
      </c>
      <c r="U3073" s="5" t="s">
        <v>6186</v>
      </c>
      <c r="V3073" s="5" t="s">
        <v>44</v>
      </c>
      <c r="W3073" s="5" t="s">
        <v>35</v>
      </c>
      <c r="X3073" s="8" t="s">
        <v>218</v>
      </c>
      <c r="Y3073" s="5" t="s">
        <v>46</v>
      </c>
      <c r="Z3073" s="5" t="s">
        <v>47</v>
      </c>
      <c r="AA3073" s="5" t="s">
        <v>48</v>
      </c>
      <c r="AB3073" s="5" t="s">
        <v>15111</v>
      </c>
      <c r="AC3073" s="6" t="s">
        <v>634</v>
      </c>
      <c r="AD3073" s="6">
        <v>2605.0</v>
      </c>
    </row>
    <row r="3074" ht="56.25" customHeight="1">
      <c r="A3074" s="5" t="s">
        <v>14982</v>
      </c>
      <c r="B3074" s="6" t="str">
        <f>IMAGE("https://storage.googleapis.com/acdb/housewares/FtrWoodenBedS_Remake_7_0.png")</f>
        <v/>
      </c>
      <c r="C3074" s="5" t="s">
        <v>6214</v>
      </c>
      <c r="D3074" s="5" t="s">
        <v>34</v>
      </c>
      <c r="E3074" s="5" t="s">
        <v>142</v>
      </c>
      <c r="F3074" s="5" t="s">
        <v>1271</v>
      </c>
      <c r="G3074" s="5" t="s">
        <v>35</v>
      </c>
      <c r="H3074" s="5" t="s">
        <v>36</v>
      </c>
      <c r="I3074" s="5" t="s">
        <v>35</v>
      </c>
      <c r="J3074" s="6">
        <v>4.0</v>
      </c>
      <c r="K3074" s="6" t="s">
        <v>37</v>
      </c>
      <c r="L3074" s="6">
        <v>2160.0</v>
      </c>
      <c r="M3074" s="26" t="s">
        <v>69</v>
      </c>
      <c r="N3074" s="26" t="s">
        <v>142</v>
      </c>
      <c r="O3074" s="6" t="s">
        <v>276</v>
      </c>
      <c r="P3074" s="5" t="s">
        <v>41</v>
      </c>
      <c r="Q3074" s="5"/>
      <c r="R3074" s="6" t="s">
        <v>42</v>
      </c>
      <c r="S3074" s="5" t="s">
        <v>99</v>
      </c>
      <c r="T3074" s="5" t="s">
        <v>90</v>
      </c>
      <c r="U3074" s="5" t="s">
        <v>6186</v>
      </c>
      <c r="V3074" s="5" t="s">
        <v>44</v>
      </c>
      <c r="W3074" s="5" t="s">
        <v>35</v>
      </c>
      <c r="X3074" s="8" t="s">
        <v>218</v>
      </c>
      <c r="Y3074" s="5" t="s">
        <v>46</v>
      </c>
      <c r="Z3074" s="5" t="s">
        <v>47</v>
      </c>
      <c r="AA3074" s="5" t="s">
        <v>48</v>
      </c>
      <c r="AB3074" s="5" t="s">
        <v>15121</v>
      </c>
      <c r="AC3074" s="6" t="s">
        <v>208</v>
      </c>
      <c r="AD3074" s="6">
        <v>2605.0</v>
      </c>
    </row>
    <row r="3075" ht="56.25" customHeight="1">
      <c r="A3075" s="5" t="s">
        <v>14982</v>
      </c>
      <c r="B3075" s="6" t="str">
        <f>IMAGE("https://storage.googleapis.com/acdb/housewares/FtrWoodenBedS_Remake_7_1.png")</f>
        <v/>
      </c>
      <c r="C3075" s="5" t="s">
        <v>6214</v>
      </c>
      <c r="D3075" s="5" t="s">
        <v>34</v>
      </c>
      <c r="E3075" s="5" t="s">
        <v>69</v>
      </c>
      <c r="F3075" s="5" t="s">
        <v>1271</v>
      </c>
      <c r="G3075" s="5" t="s">
        <v>35</v>
      </c>
      <c r="H3075" s="5" t="s">
        <v>36</v>
      </c>
      <c r="I3075" s="5" t="s">
        <v>35</v>
      </c>
      <c r="J3075" s="6">
        <v>4.0</v>
      </c>
      <c r="K3075" s="6" t="s">
        <v>37</v>
      </c>
      <c r="L3075" s="6">
        <v>2160.0</v>
      </c>
      <c r="M3075" s="26" t="s">
        <v>69</v>
      </c>
      <c r="N3075" s="26" t="s">
        <v>69</v>
      </c>
      <c r="O3075" s="6" t="s">
        <v>276</v>
      </c>
      <c r="P3075" s="5" t="s">
        <v>41</v>
      </c>
      <c r="Q3075" s="5"/>
      <c r="R3075" s="6" t="s">
        <v>42</v>
      </c>
      <c r="S3075" s="5" t="s">
        <v>99</v>
      </c>
      <c r="T3075" s="5" t="s">
        <v>90</v>
      </c>
      <c r="U3075" s="5" t="s">
        <v>6186</v>
      </c>
      <c r="V3075" s="5" t="s">
        <v>44</v>
      </c>
      <c r="W3075" s="5" t="s">
        <v>35</v>
      </c>
      <c r="X3075" s="8" t="s">
        <v>218</v>
      </c>
      <c r="Y3075" s="5" t="s">
        <v>46</v>
      </c>
      <c r="Z3075" s="5" t="s">
        <v>47</v>
      </c>
      <c r="AA3075" s="5" t="s">
        <v>48</v>
      </c>
      <c r="AB3075" s="5" t="s">
        <v>15127</v>
      </c>
      <c r="AC3075" s="6" t="s">
        <v>1892</v>
      </c>
      <c r="AD3075" s="6">
        <v>2605.0</v>
      </c>
    </row>
    <row r="3076" ht="56.25" customHeight="1">
      <c r="A3076" s="5" t="s">
        <v>14982</v>
      </c>
      <c r="B3076" s="6" t="str">
        <f>IMAGE("https://storage.googleapis.com/acdb/housewares/FtrWoodenBedS_Remake_7_2.png")</f>
        <v/>
      </c>
      <c r="C3076" s="5" t="s">
        <v>6214</v>
      </c>
      <c r="D3076" s="5" t="s">
        <v>34</v>
      </c>
      <c r="E3076" s="5" t="s">
        <v>68</v>
      </c>
      <c r="F3076" s="5" t="s">
        <v>1271</v>
      </c>
      <c r="G3076" s="5" t="s">
        <v>35</v>
      </c>
      <c r="H3076" s="5" t="s">
        <v>36</v>
      </c>
      <c r="I3076" s="5" t="s">
        <v>35</v>
      </c>
      <c r="J3076" s="6">
        <v>4.0</v>
      </c>
      <c r="K3076" s="6" t="s">
        <v>37</v>
      </c>
      <c r="L3076" s="6">
        <v>2160.0</v>
      </c>
      <c r="M3076" s="26" t="s">
        <v>69</v>
      </c>
      <c r="N3076" s="26" t="s">
        <v>1175</v>
      </c>
      <c r="O3076" s="6" t="s">
        <v>276</v>
      </c>
      <c r="P3076" s="5" t="s">
        <v>41</v>
      </c>
      <c r="Q3076" s="5"/>
      <c r="R3076" s="6" t="s">
        <v>42</v>
      </c>
      <c r="S3076" s="5" t="s">
        <v>99</v>
      </c>
      <c r="T3076" s="5" t="s">
        <v>90</v>
      </c>
      <c r="U3076" s="5" t="s">
        <v>6186</v>
      </c>
      <c r="V3076" s="5" t="s">
        <v>44</v>
      </c>
      <c r="W3076" s="5" t="s">
        <v>35</v>
      </c>
      <c r="X3076" s="8" t="s">
        <v>218</v>
      </c>
      <c r="Y3076" s="5" t="s">
        <v>46</v>
      </c>
      <c r="Z3076" s="5" t="s">
        <v>47</v>
      </c>
      <c r="AA3076" s="5" t="s">
        <v>48</v>
      </c>
      <c r="AB3076" s="5" t="s">
        <v>15131</v>
      </c>
      <c r="AC3076" s="6" t="s">
        <v>1901</v>
      </c>
      <c r="AD3076" s="6">
        <v>2605.0</v>
      </c>
    </row>
    <row r="3077" ht="56.25" customHeight="1">
      <c r="A3077" s="5" t="s">
        <v>14982</v>
      </c>
      <c r="B3077" s="6" t="str">
        <f>IMAGE("https://storage.googleapis.com/acdb/housewares/FtrWoodenBedS_Remake_7_3.png")</f>
        <v/>
      </c>
      <c r="C3077" s="5" t="s">
        <v>6214</v>
      </c>
      <c r="D3077" s="5" t="s">
        <v>34</v>
      </c>
      <c r="E3077" s="5" t="s">
        <v>96</v>
      </c>
      <c r="F3077" s="5" t="s">
        <v>1271</v>
      </c>
      <c r="G3077" s="5" t="s">
        <v>35</v>
      </c>
      <c r="H3077" s="5" t="s">
        <v>36</v>
      </c>
      <c r="I3077" s="5" t="s">
        <v>35</v>
      </c>
      <c r="J3077" s="6">
        <v>4.0</v>
      </c>
      <c r="K3077" s="6" t="s">
        <v>37</v>
      </c>
      <c r="L3077" s="6">
        <v>2160.0</v>
      </c>
      <c r="M3077" s="26" t="s">
        <v>69</v>
      </c>
      <c r="N3077" s="26" t="s">
        <v>96</v>
      </c>
      <c r="O3077" s="6" t="s">
        <v>276</v>
      </c>
      <c r="P3077" s="5" t="s">
        <v>41</v>
      </c>
      <c r="Q3077" s="5"/>
      <c r="R3077" s="6" t="s">
        <v>42</v>
      </c>
      <c r="S3077" s="5" t="s">
        <v>99</v>
      </c>
      <c r="T3077" s="5" t="s">
        <v>90</v>
      </c>
      <c r="U3077" s="5" t="s">
        <v>6186</v>
      </c>
      <c r="V3077" s="5" t="s">
        <v>44</v>
      </c>
      <c r="W3077" s="5" t="s">
        <v>35</v>
      </c>
      <c r="X3077" s="8" t="s">
        <v>218</v>
      </c>
      <c r="Y3077" s="5" t="s">
        <v>46</v>
      </c>
      <c r="Z3077" s="5" t="s">
        <v>47</v>
      </c>
      <c r="AA3077" s="5" t="s">
        <v>48</v>
      </c>
      <c r="AB3077" s="5" t="s">
        <v>15135</v>
      </c>
      <c r="AC3077" s="6" t="s">
        <v>1906</v>
      </c>
      <c r="AD3077" s="6">
        <v>2605.0</v>
      </c>
    </row>
    <row r="3078" ht="56.25" customHeight="1">
      <c r="A3078" s="5" t="s">
        <v>15137</v>
      </c>
      <c r="B3078" s="6" t="str">
        <f>IMAGE("https://storage.googleapis.com/acdb/housewares/FtrWoodenStoolS_Remake_0_0.png")</f>
        <v/>
      </c>
      <c r="C3078" s="5" t="s">
        <v>1137</v>
      </c>
      <c r="D3078" s="5" t="s">
        <v>748</v>
      </c>
      <c r="E3078" s="5" t="s">
        <v>44</v>
      </c>
      <c r="F3078" s="5" t="s">
        <v>9107</v>
      </c>
      <c r="G3078" s="5" t="s">
        <v>35</v>
      </c>
      <c r="H3078" s="5" t="s">
        <v>35</v>
      </c>
      <c r="I3078" s="5" t="s">
        <v>35</v>
      </c>
      <c r="J3078" s="6">
        <v>2.0</v>
      </c>
      <c r="K3078" s="6" t="s">
        <v>37</v>
      </c>
      <c r="L3078" s="6">
        <v>480.0</v>
      </c>
      <c r="M3078" s="26" t="s">
        <v>38</v>
      </c>
      <c r="N3078" s="26" t="s">
        <v>38</v>
      </c>
      <c r="O3078" s="6" t="s">
        <v>40</v>
      </c>
      <c r="P3078" s="5" t="s">
        <v>41</v>
      </c>
      <c r="Q3078" s="5"/>
      <c r="R3078" s="6" t="s">
        <v>42</v>
      </c>
      <c r="S3078" s="5" t="s">
        <v>99</v>
      </c>
      <c r="T3078" s="5" t="s">
        <v>90</v>
      </c>
      <c r="U3078" s="5" t="s">
        <v>6186</v>
      </c>
      <c r="V3078" s="5" t="s">
        <v>44</v>
      </c>
      <c r="W3078" s="5" t="s">
        <v>35</v>
      </c>
      <c r="X3078" s="8" t="s">
        <v>248</v>
      </c>
      <c r="Y3078" s="5" t="s">
        <v>46</v>
      </c>
      <c r="Z3078" s="5" t="s">
        <v>47</v>
      </c>
      <c r="AA3078" s="5" t="s">
        <v>48</v>
      </c>
      <c r="AB3078" s="5" t="s">
        <v>15141</v>
      </c>
      <c r="AC3078" s="6" t="s">
        <v>50</v>
      </c>
      <c r="AD3078" s="6">
        <v>3449.0</v>
      </c>
    </row>
    <row r="3079" ht="56.25" customHeight="1">
      <c r="A3079" s="5" t="s">
        <v>15137</v>
      </c>
      <c r="B3079" s="6" t="str">
        <f>IMAGE("https://storage.googleapis.com/acdb/housewares/FtrWoodenStoolS_Remake_0_1.png")</f>
        <v/>
      </c>
      <c r="C3079" s="5" t="s">
        <v>1137</v>
      </c>
      <c r="D3079" s="5" t="s">
        <v>748</v>
      </c>
      <c r="E3079" s="5" t="s">
        <v>142</v>
      </c>
      <c r="F3079" s="5" t="s">
        <v>9107</v>
      </c>
      <c r="G3079" s="5" t="s">
        <v>35</v>
      </c>
      <c r="H3079" s="5" t="s">
        <v>35</v>
      </c>
      <c r="I3079" s="5" t="s">
        <v>35</v>
      </c>
      <c r="J3079" s="6">
        <v>2.0</v>
      </c>
      <c r="K3079" s="6" t="s">
        <v>37</v>
      </c>
      <c r="L3079" s="6">
        <v>480.0</v>
      </c>
      <c r="M3079" s="26" t="s">
        <v>38</v>
      </c>
      <c r="N3079" s="26" t="s">
        <v>142</v>
      </c>
      <c r="O3079" s="6" t="s">
        <v>40</v>
      </c>
      <c r="P3079" s="5" t="s">
        <v>41</v>
      </c>
      <c r="Q3079" s="5"/>
      <c r="R3079" s="6" t="s">
        <v>42</v>
      </c>
      <c r="S3079" s="5" t="s">
        <v>99</v>
      </c>
      <c r="T3079" s="5" t="s">
        <v>90</v>
      </c>
      <c r="U3079" s="5" t="s">
        <v>6186</v>
      </c>
      <c r="V3079" s="5" t="s">
        <v>44</v>
      </c>
      <c r="W3079" s="5" t="s">
        <v>35</v>
      </c>
      <c r="X3079" s="8" t="s">
        <v>248</v>
      </c>
      <c r="Y3079" s="5" t="s">
        <v>46</v>
      </c>
      <c r="Z3079" s="5" t="s">
        <v>47</v>
      </c>
      <c r="AA3079" s="5" t="s">
        <v>48</v>
      </c>
      <c r="AB3079" s="5" t="s">
        <v>15144</v>
      </c>
      <c r="AC3079" s="6" t="s">
        <v>217</v>
      </c>
      <c r="AD3079" s="6">
        <v>3449.0</v>
      </c>
    </row>
    <row r="3080" ht="56.25" customHeight="1">
      <c r="A3080" s="5" t="s">
        <v>15137</v>
      </c>
      <c r="B3080" s="6" t="str">
        <f>IMAGE("https://storage.googleapis.com/acdb/housewares/FtrWoodenStoolS_Remake_0_2.png")</f>
        <v/>
      </c>
      <c r="C3080" s="5" t="s">
        <v>1137</v>
      </c>
      <c r="D3080" s="5" t="s">
        <v>748</v>
      </c>
      <c r="E3080" s="5" t="s">
        <v>69</v>
      </c>
      <c r="F3080" s="5" t="s">
        <v>9107</v>
      </c>
      <c r="G3080" s="5" t="s">
        <v>35</v>
      </c>
      <c r="H3080" s="5" t="s">
        <v>35</v>
      </c>
      <c r="I3080" s="5" t="s">
        <v>35</v>
      </c>
      <c r="J3080" s="6">
        <v>2.0</v>
      </c>
      <c r="K3080" s="6" t="s">
        <v>37</v>
      </c>
      <c r="L3080" s="6">
        <v>480.0</v>
      </c>
      <c r="M3080" s="26" t="s">
        <v>38</v>
      </c>
      <c r="N3080" s="26" t="s">
        <v>69</v>
      </c>
      <c r="O3080" s="6" t="s">
        <v>40</v>
      </c>
      <c r="P3080" s="5" t="s">
        <v>41</v>
      </c>
      <c r="Q3080" s="5"/>
      <c r="R3080" s="6" t="s">
        <v>42</v>
      </c>
      <c r="S3080" s="5" t="s">
        <v>99</v>
      </c>
      <c r="T3080" s="5" t="s">
        <v>90</v>
      </c>
      <c r="U3080" s="5" t="s">
        <v>6186</v>
      </c>
      <c r="V3080" s="5" t="s">
        <v>44</v>
      </c>
      <c r="W3080" s="5" t="s">
        <v>35</v>
      </c>
      <c r="X3080" s="8" t="s">
        <v>248</v>
      </c>
      <c r="Y3080" s="5" t="s">
        <v>46</v>
      </c>
      <c r="Z3080" s="5" t="s">
        <v>47</v>
      </c>
      <c r="AA3080" s="5" t="s">
        <v>48</v>
      </c>
      <c r="AB3080" s="5" t="s">
        <v>15148</v>
      </c>
      <c r="AC3080" s="6" t="s">
        <v>347</v>
      </c>
      <c r="AD3080" s="6">
        <v>3449.0</v>
      </c>
    </row>
    <row r="3081" ht="56.25" customHeight="1">
      <c r="A3081" s="5" t="s">
        <v>15137</v>
      </c>
      <c r="B3081" s="6" t="str">
        <f>IMAGE("https://storage.googleapis.com/acdb/housewares/FtrWoodenStoolS_Remake_0_3.png")</f>
        <v/>
      </c>
      <c r="C3081" s="5" t="s">
        <v>1137</v>
      </c>
      <c r="D3081" s="5" t="s">
        <v>748</v>
      </c>
      <c r="E3081" s="5" t="s">
        <v>68</v>
      </c>
      <c r="F3081" s="5" t="s">
        <v>9107</v>
      </c>
      <c r="G3081" s="5" t="s">
        <v>35</v>
      </c>
      <c r="H3081" s="5" t="s">
        <v>35</v>
      </c>
      <c r="I3081" s="5" t="s">
        <v>35</v>
      </c>
      <c r="J3081" s="6">
        <v>2.0</v>
      </c>
      <c r="K3081" s="6" t="s">
        <v>37</v>
      </c>
      <c r="L3081" s="6">
        <v>480.0</v>
      </c>
      <c r="M3081" s="26" t="s">
        <v>38</v>
      </c>
      <c r="N3081" s="26" t="s">
        <v>1175</v>
      </c>
      <c r="O3081" s="6" t="s">
        <v>40</v>
      </c>
      <c r="P3081" s="5" t="s">
        <v>41</v>
      </c>
      <c r="Q3081" s="5"/>
      <c r="R3081" s="6" t="s">
        <v>42</v>
      </c>
      <c r="S3081" s="5" t="s">
        <v>99</v>
      </c>
      <c r="T3081" s="5" t="s">
        <v>90</v>
      </c>
      <c r="U3081" s="5" t="s">
        <v>6186</v>
      </c>
      <c r="V3081" s="5" t="s">
        <v>44</v>
      </c>
      <c r="W3081" s="5" t="s">
        <v>35</v>
      </c>
      <c r="X3081" s="8" t="s">
        <v>248</v>
      </c>
      <c r="Y3081" s="5" t="s">
        <v>46</v>
      </c>
      <c r="Z3081" s="5" t="s">
        <v>47</v>
      </c>
      <c r="AA3081" s="5" t="s">
        <v>48</v>
      </c>
      <c r="AB3081" s="5" t="s">
        <v>15151</v>
      </c>
      <c r="AC3081" s="6" t="s">
        <v>354</v>
      </c>
      <c r="AD3081" s="6">
        <v>3449.0</v>
      </c>
    </row>
    <row r="3082" ht="56.25" customHeight="1">
      <c r="A3082" s="5" t="s">
        <v>15137</v>
      </c>
      <c r="B3082" s="6" t="str">
        <f>IMAGE("https://storage.googleapis.com/acdb/housewares/FtrWoodenStoolS_Remake_0_4.png")</f>
        <v/>
      </c>
      <c r="C3082" s="5" t="s">
        <v>1137</v>
      </c>
      <c r="D3082" s="5" t="s">
        <v>748</v>
      </c>
      <c r="E3082" s="5" t="s">
        <v>96</v>
      </c>
      <c r="F3082" s="5" t="s">
        <v>9107</v>
      </c>
      <c r="G3082" s="5" t="s">
        <v>35</v>
      </c>
      <c r="H3082" s="5" t="s">
        <v>35</v>
      </c>
      <c r="I3082" s="5" t="s">
        <v>35</v>
      </c>
      <c r="J3082" s="6">
        <v>2.0</v>
      </c>
      <c r="K3082" s="6" t="s">
        <v>37</v>
      </c>
      <c r="L3082" s="6">
        <v>480.0</v>
      </c>
      <c r="M3082" s="26" t="s">
        <v>38</v>
      </c>
      <c r="N3082" s="26" t="s">
        <v>96</v>
      </c>
      <c r="O3082" s="6" t="s">
        <v>40</v>
      </c>
      <c r="P3082" s="5" t="s">
        <v>41</v>
      </c>
      <c r="Q3082" s="5"/>
      <c r="R3082" s="6" t="s">
        <v>42</v>
      </c>
      <c r="S3082" s="5" t="s">
        <v>99</v>
      </c>
      <c r="T3082" s="5" t="s">
        <v>90</v>
      </c>
      <c r="U3082" s="5" t="s">
        <v>6186</v>
      </c>
      <c r="V3082" s="5" t="s">
        <v>44</v>
      </c>
      <c r="W3082" s="5" t="s">
        <v>35</v>
      </c>
      <c r="X3082" s="8" t="s">
        <v>248</v>
      </c>
      <c r="Y3082" s="5" t="s">
        <v>46</v>
      </c>
      <c r="Z3082" s="5" t="s">
        <v>47</v>
      </c>
      <c r="AA3082" s="5" t="s">
        <v>48</v>
      </c>
      <c r="AB3082" s="5" t="s">
        <v>15154</v>
      </c>
      <c r="AC3082" s="6" t="s">
        <v>486</v>
      </c>
      <c r="AD3082" s="6">
        <v>3449.0</v>
      </c>
    </row>
    <row r="3083" ht="56.25" customHeight="1">
      <c r="A3083" s="5" t="s">
        <v>15137</v>
      </c>
      <c r="B3083" s="6" t="str">
        <f>IMAGE("https://storage.googleapis.com/acdb/housewares/FtrWoodenStoolS_Remake_1_0.png")</f>
        <v/>
      </c>
      <c r="C3083" s="5" t="s">
        <v>1595</v>
      </c>
      <c r="D3083" s="5" t="s">
        <v>748</v>
      </c>
      <c r="E3083" s="5" t="s">
        <v>44</v>
      </c>
      <c r="F3083" s="5" t="s">
        <v>9107</v>
      </c>
      <c r="G3083" s="5" t="s">
        <v>35</v>
      </c>
      <c r="H3083" s="5" t="s">
        <v>35</v>
      </c>
      <c r="I3083" s="5" t="s">
        <v>35</v>
      </c>
      <c r="J3083" s="6">
        <v>2.0</v>
      </c>
      <c r="K3083" s="6" t="s">
        <v>37</v>
      </c>
      <c r="L3083" s="6">
        <v>480.0</v>
      </c>
      <c r="M3083" s="26" t="s">
        <v>57</v>
      </c>
      <c r="N3083" s="26" t="s">
        <v>57</v>
      </c>
      <c r="O3083" s="6" t="s">
        <v>40</v>
      </c>
      <c r="P3083" s="5" t="s">
        <v>41</v>
      </c>
      <c r="Q3083" s="5"/>
      <c r="R3083" s="6" t="s">
        <v>42</v>
      </c>
      <c r="S3083" s="5" t="s">
        <v>99</v>
      </c>
      <c r="T3083" s="5" t="s">
        <v>90</v>
      </c>
      <c r="U3083" s="5" t="s">
        <v>6186</v>
      </c>
      <c r="V3083" s="5" t="s">
        <v>44</v>
      </c>
      <c r="W3083" s="5" t="s">
        <v>35</v>
      </c>
      <c r="X3083" s="8" t="s">
        <v>248</v>
      </c>
      <c r="Y3083" s="5" t="s">
        <v>46</v>
      </c>
      <c r="Z3083" s="5" t="s">
        <v>47</v>
      </c>
      <c r="AA3083" s="5" t="s">
        <v>48</v>
      </c>
      <c r="AB3083" s="5" t="s">
        <v>15159</v>
      </c>
      <c r="AC3083" s="6" t="s">
        <v>56</v>
      </c>
      <c r="AD3083" s="6">
        <v>3449.0</v>
      </c>
    </row>
    <row r="3084" ht="56.25" customHeight="1">
      <c r="A3084" s="5" t="s">
        <v>15137</v>
      </c>
      <c r="B3084" s="6" t="str">
        <f>IMAGE("https://storage.googleapis.com/acdb/housewares/FtrWoodenStoolS_Remake_1_1.png")</f>
        <v/>
      </c>
      <c r="C3084" s="5" t="s">
        <v>1595</v>
      </c>
      <c r="D3084" s="5" t="s">
        <v>748</v>
      </c>
      <c r="E3084" s="5" t="s">
        <v>142</v>
      </c>
      <c r="F3084" s="5" t="s">
        <v>9107</v>
      </c>
      <c r="G3084" s="5" t="s">
        <v>35</v>
      </c>
      <c r="H3084" s="5" t="s">
        <v>35</v>
      </c>
      <c r="I3084" s="5" t="s">
        <v>35</v>
      </c>
      <c r="J3084" s="6">
        <v>2.0</v>
      </c>
      <c r="K3084" s="6" t="s">
        <v>37</v>
      </c>
      <c r="L3084" s="6">
        <v>480.0</v>
      </c>
      <c r="M3084" s="26" t="s">
        <v>57</v>
      </c>
      <c r="N3084" s="26" t="s">
        <v>142</v>
      </c>
      <c r="O3084" s="6" t="s">
        <v>40</v>
      </c>
      <c r="P3084" s="5" t="s">
        <v>41</v>
      </c>
      <c r="Q3084" s="5"/>
      <c r="R3084" s="6" t="s">
        <v>42</v>
      </c>
      <c r="S3084" s="5" t="s">
        <v>99</v>
      </c>
      <c r="T3084" s="5" t="s">
        <v>90</v>
      </c>
      <c r="U3084" s="5" t="s">
        <v>6186</v>
      </c>
      <c r="V3084" s="5" t="s">
        <v>44</v>
      </c>
      <c r="W3084" s="5" t="s">
        <v>35</v>
      </c>
      <c r="X3084" s="8" t="s">
        <v>248</v>
      </c>
      <c r="Y3084" s="5" t="s">
        <v>46</v>
      </c>
      <c r="Z3084" s="5" t="s">
        <v>47</v>
      </c>
      <c r="AA3084" s="5" t="s">
        <v>48</v>
      </c>
      <c r="AB3084" s="5" t="s">
        <v>15163</v>
      </c>
      <c r="AC3084" s="6" t="s">
        <v>234</v>
      </c>
      <c r="AD3084" s="6">
        <v>3449.0</v>
      </c>
    </row>
    <row r="3085" ht="56.25" customHeight="1">
      <c r="A3085" s="5" t="s">
        <v>15137</v>
      </c>
      <c r="B3085" s="6" t="str">
        <f>IMAGE("https://storage.googleapis.com/acdb/housewares/FtrWoodenStoolS_Remake_1_2.png")</f>
        <v/>
      </c>
      <c r="C3085" s="5" t="s">
        <v>1595</v>
      </c>
      <c r="D3085" s="5" t="s">
        <v>748</v>
      </c>
      <c r="E3085" s="5" t="s">
        <v>69</v>
      </c>
      <c r="F3085" s="5" t="s">
        <v>9107</v>
      </c>
      <c r="G3085" s="5" t="s">
        <v>35</v>
      </c>
      <c r="H3085" s="5" t="s">
        <v>35</v>
      </c>
      <c r="I3085" s="5" t="s">
        <v>35</v>
      </c>
      <c r="J3085" s="6">
        <v>2.0</v>
      </c>
      <c r="K3085" s="6" t="s">
        <v>37</v>
      </c>
      <c r="L3085" s="6">
        <v>480.0</v>
      </c>
      <c r="M3085" s="26" t="s">
        <v>57</v>
      </c>
      <c r="N3085" s="26" t="s">
        <v>69</v>
      </c>
      <c r="O3085" s="6" t="s">
        <v>40</v>
      </c>
      <c r="P3085" s="5" t="s">
        <v>41</v>
      </c>
      <c r="Q3085" s="5"/>
      <c r="R3085" s="6" t="s">
        <v>42</v>
      </c>
      <c r="S3085" s="5" t="s">
        <v>99</v>
      </c>
      <c r="T3085" s="5" t="s">
        <v>90</v>
      </c>
      <c r="U3085" s="5" t="s">
        <v>6186</v>
      </c>
      <c r="V3085" s="5" t="s">
        <v>44</v>
      </c>
      <c r="W3085" s="5" t="s">
        <v>35</v>
      </c>
      <c r="X3085" s="8" t="s">
        <v>248</v>
      </c>
      <c r="Y3085" s="5" t="s">
        <v>46</v>
      </c>
      <c r="Z3085" s="5" t="s">
        <v>47</v>
      </c>
      <c r="AA3085" s="5" t="s">
        <v>48</v>
      </c>
      <c r="AB3085" s="5" t="s">
        <v>15168</v>
      </c>
      <c r="AC3085" s="6" t="s">
        <v>370</v>
      </c>
      <c r="AD3085" s="6">
        <v>3449.0</v>
      </c>
    </row>
    <row r="3086" ht="56.25" customHeight="1">
      <c r="A3086" s="5" t="s">
        <v>15137</v>
      </c>
      <c r="B3086" s="6" t="str">
        <f>IMAGE("https://storage.googleapis.com/acdb/housewares/FtrWoodenStoolS_Remake_1_3.png")</f>
        <v/>
      </c>
      <c r="C3086" s="5" t="s">
        <v>1595</v>
      </c>
      <c r="D3086" s="5" t="s">
        <v>748</v>
      </c>
      <c r="E3086" s="5" t="s">
        <v>68</v>
      </c>
      <c r="F3086" s="5" t="s">
        <v>9107</v>
      </c>
      <c r="G3086" s="5" t="s">
        <v>35</v>
      </c>
      <c r="H3086" s="5" t="s">
        <v>35</v>
      </c>
      <c r="I3086" s="5" t="s">
        <v>35</v>
      </c>
      <c r="J3086" s="6">
        <v>2.0</v>
      </c>
      <c r="K3086" s="6" t="s">
        <v>37</v>
      </c>
      <c r="L3086" s="6">
        <v>480.0</v>
      </c>
      <c r="M3086" s="26" t="s">
        <v>57</v>
      </c>
      <c r="N3086" s="26" t="s">
        <v>1175</v>
      </c>
      <c r="O3086" s="6" t="s">
        <v>40</v>
      </c>
      <c r="P3086" s="5" t="s">
        <v>41</v>
      </c>
      <c r="Q3086" s="5"/>
      <c r="R3086" s="6" t="s">
        <v>42</v>
      </c>
      <c r="S3086" s="5" t="s">
        <v>99</v>
      </c>
      <c r="T3086" s="5" t="s">
        <v>90</v>
      </c>
      <c r="U3086" s="5" t="s">
        <v>6186</v>
      </c>
      <c r="V3086" s="5" t="s">
        <v>44</v>
      </c>
      <c r="W3086" s="5" t="s">
        <v>35</v>
      </c>
      <c r="X3086" s="8" t="s">
        <v>248</v>
      </c>
      <c r="Y3086" s="5" t="s">
        <v>46</v>
      </c>
      <c r="Z3086" s="5" t="s">
        <v>47</v>
      </c>
      <c r="AA3086" s="5" t="s">
        <v>48</v>
      </c>
      <c r="AB3086" s="5" t="s">
        <v>15171</v>
      </c>
      <c r="AC3086" s="6" t="s">
        <v>377</v>
      </c>
      <c r="AD3086" s="6">
        <v>3449.0</v>
      </c>
    </row>
    <row r="3087" ht="56.25" customHeight="1">
      <c r="A3087" s="5" t="s">
        <v>15137</v>
      </c>
      <c r="B3087" s="6" t="str">
        <f>IMAGE("https://storage.googleapis.com/acdb/housewares/FtrWoodenStoolS_Remake_1_4.png")</f>
        <v/>
      </c>
      <c r="C3087" s="5" t="s">
        <v>1595</v>
      </c>
      <c r="D3087" s="5" t="s">
        <v>748</v>
      </c>
      <c r="E3087" s="5" t="s">
        <v>96</v>
      </c>
      <c r="F3087" s="5" t="s">
        <v>9107</v>
      </c>
      <c r="G3087" s="5" t="s">
        <v>35</v>
      </c>
      <c r="H3087" s="5" t="s">
        <v>35</v>
      </c>
      <c r="I3087" s="5" t="s">
        <v>35</v>
      </c>
      <c r="J3087" s="6">
        <v>2.0</v>
      </c>
      <c r="K3087" s="6" t="s">
        <v>37</v>
      </c>
      <c r="L3087" s="6">
        <v>480.0</v>
      </c>
      <c r="M3087" s="26" t="s">
        <v>57</v>
      </c>
      <c r="N3087" s="26" t="s">
        <v>96</v>
      </c>
      <c r="O3087" s="6" t="s">
        <v>40</v>
      </c>
      <c r="P3087" s="5" t="s">
        <v>41</v>
      </c>
      <c r="Q3087" s="5"/>
      <c r="R3087" s="6" t="s">
        <v>42</v>
      </c>
      <c r="S3087" s="5" t="s">
        <v>99</v>
      </c>
      <c r="T3087" s="5" t="s">
        <v>90</v>
      </c>
      <c r="U3087" s="5" t="s">
        <v>6186</v>
      </c>
      <c r="V3087" s="5" t="s">
        <v>44</v>
      </c>
      <c r="W3087" s="5" t="s">
        <v>35</v>
      </c>
      <c r="X3087" s="8" t="s">
        <v>248</v>
      </c>
      <c r="Y3087" s="5" t="s">
        <v>46</v>
      </c>
      <c r="Z3087" s="5" t="s">
        <v>47</v>
      </c>
      <c r="AA3087" s="5" t="s">
        <v>48</v>
      </c>
      <c r="AB3087" s="5" t="s">
        <v>15174</v>
      </c>
      <c r="AC3087" s="6" t="s">
        <v>520</v>
      </c>
      <c r="AD3087" s="6">
        <v>3449.0</v>
      </c>
    </row>
    <row r="3088" ht="56.25" customHeight="1">
      <c r="A3088" s="5" t="s">
        <v>15137</v>
      </c>
      <c r="B3088" s="6" t="str">
        <f>IMAGE("https://storage.googleapis.com/acdb/housewares/FtrWoodenStoolS_Remake_2_0.png")</f>
        <v/>
      </c>
      <c r="C3088" s="5" t="s">
        <v>6192</v>
      </c>
      <c r="D3088" s="5" t="s">
        <v>748</v>
      </c>
      <c r="E3088" s="5" t="s">
        <v>44</v>
      </c>
      <c r="F3088" s="5" t="s">
        <v>9107</v>
      </c>
      <c r="G3088" s="5" t="s">
        <v>35</v>
      </c>
      <c r="H3088" s="5" t="s">
        <v>35</v>
      </c>
      <c r="I3088" s="5" t="s">
        <v>35</v>
      </c>
      <c r="J3088" s="6">
        <v>2.0</v>
      </c>
      <c r="K3088" s="6" t="s">
        <v>37</v>
      </c>
      <c r="L3088" s="6">
        <v>480.0</v>
      </c>
      <c r="M3088" s="26" t="s">
        <v>142</v>
      </c>
      <c r="N3088" s="26" t="s">
        <v>142</v>
      </c>
      <c r="O3088" s="6" t="s">
        <v>40</v>
      </c>
      <c r="P3088" s="5" t="s">
        <v>41</v>
      </c>
      <c r="Q3088" s="5"/>
      <c r="R3088" s="6" t="s">
        <v>42</v>
      </c>
      <c r="S3088" s="5" t="s">
        <v>99</v>
      </c>
      <c r="T3088" s="5" t="s">
        <v>90</v>
      </c>
      <c r="U3088" s="5" t="s">
        <v>6186</v>
      </c>
      <c r="V3088" s="5" t="s">
        <v>44</v>
      </c>
      <c r="W3088" s="5" t="s">
        <v>35</v>
      </c>
      <c r="X3088" s="8" t="s">
        <v>248</v>
      </c>
      <c r="Y3088" s="5" t="s">
        <v>46</v>
      </c>
      <c r="Z3088" s="5" t="s">
        <v>47</v>
      </c>
      <c r="AA3088" s="5" t="s">
        <v>48</v>
      </c>
      <c r="AB3088" s="5" t="s">
        <v>15177</v>
      </c>
      <c r="AC3088" s="6" t="s">
        <v>67</v>
      </c>
      <c r="AD3088" s="6">
        <v>3449.0</v>
      </c>
    </row>
    <row r="3089" ht="56.25" customHeight="1">
      <c r="A3089" s="5" t="s">
        <v>15137</v>
      </c>
      <c r="B3089" s="6" t="str">
        <f>IMAGE("https://storage.googleapis.com/acdb/housewares/FtrWoodenStoolS_Remake_2_1.png")</f>
        <v/>
      </c>
      <c r="C3089" s="5" t="s">
        <v>6192</v>
      </c>
      <c r="D3089" s="5" t="s">
        <v>748</v>
      </c>
      <c r="E3089" s="5" t="s">
        <v>142</v>
      </c>
      <c r="F3089" s="5" t="s">
        <v>9107</v>
      </c>
      <c r="G3089" s="5" t="s">
        <v>35</v>
      </c>
      <c r="H3089" s="5" t="s">
        <v>35</v>
      </c>
      <c r="I3089" s="5" t="s">
        <v>35</v>
      </c>
      <c r="J3089" s="6">
        <v>2.0</v>
      </c>
      <c r="K3089" s="6" t="s">
        <v>37</v>
      </c>
      <c r="L3089" s="6">
        <v>480.0</v>
      </c>
      <c r="M3089" s="26" t="s">
        <v>142</v>
      </c>
      <c r="N3089" s="26" t="s">
        <v>142</v>
      </c>
      <c r="O3089" s="6" t="s">
        <v>40</v>
      </c>
      <c r="P3089" s="5" t="s">
        <v>41</v>
      </c>
      <c r="Q3089" s="5"/>
      <c r="R3089" s="6" t="s">
        <v>42</v>
      </c>
      <c r="S3089" s="5" t="s">
        <v>99</v>
      </c>
      <c r="T3089" s="5" t="s">
        <v>90</v>
      </c>
      <c r="U3089" s="5" t="s">
        <v>6186</v>
      </c>
      <c r="V3089" s="5" t="s">
        <v>44</v>
      </c>
      <c r="W3089" s="5" t="s">
        <v>35</v>
      </c>
      <c r="X3089" s="8" t="s">
        <v>248</v>
      </c>
      <c r="Y3089" s="5" t="s">
        <v>46</v>
      </c>
      <c r="Z3089" s="5" t="s">
        <v>47</v>
      </c>
      <c r="AA3089" s="5" t="s">
        <v>48</v>
      </c>
      <c r="AB3089" s="5" t="s">
        <v>15182</v>
      </c>
      <c r="AC3089" s="6" t="s">
        <v>247</v>
      </c>
      <c r="AD3089" s="6">
        <v>3449.0</v>
      </c>
    </row>
    <row r="3090" ht="56.25" customHeight="1">
      <c r="A3090" s="5" t="s">
        <v>15137</v>
      </c>
      <c r="B3090" s="6" t="str">
        <f>IMAGE("https://storage.googleapis.com/acdb/housewares/FtrWoodenStoolS_Remake_2_2.png")</f>
        <v/>
      </c>
      <c r="C3090" s="5" t="s">
        <v>6192</v>
      </c>
      <c r="D3090" s="5" t="s">
        <v>748</v>
      </c>
      <c r="E3090" s="5" t="s">
        <v>69</v>
      </c>
      <c r="F3090" s="5" t="s">
        <v>9107</v>
      </c>
      <c r="G3090" s="5" t="s">
        <v>35</v>
      </c>
      <c r="H3090" s="5" t="s">
        <v>35</v>
      </c>
      <c r="I3090" s="5" t="s">
        <v>35</v>
      </c>
      <c r="J3090" s="6">
        <v>2.0</v>
      </c>
      <c r="K3090" s="6" t="s">
        <v>37</v>
      </c>
      <c r="L3090" s="6">
        <v>480.0</v>
      </c>
      <c r="M3090" s="26" t="s">
        <v>142</v>
      </c>
      <c r="N3090" s="26" t="s">
        <v>69</v>
      </c>
      <c r="O3090" s="6" t="s">
        <v>40</v>
      </c>
      <c r="P3090" s="5" t="s">
        <v>41</v>
      </c>
      <c r="Q3090" s="5"/>
      <c r="R3090" s="6" t="s">
        <v>42</v>
      </c>
      <c r="S3090" s="5" t="s">
        <v>99</v>
      </c>
      <c r="T3090" s="5" t="s">
        <v>90</v>
      </c>
      <c r="U3090" s="5" t="s">
        <v>6186</v>
      </c>
      <c r="V3090" s="5" t="s">
        <v>44</v>
      </c>
      <c r="W3090" s="5" t="s">
        <v>35</v>
      </c>
      <c r="X3090" s="8" t="s">
        <v>248</v>
      </c>
      <c r="Y3090" s="5" t="s">
        <v>46</v>
      </c>
      <c r="Z3090" s="5" t="s">
        <v>47</v>
      </c>
      <c r="AA3090" s="5" t="s">
        <v>48</v>
      </c>
      <c r="AB3090" s="5" t="s">
        <v>15186</v>
      </c>
      <c r="AC3090" s="6" t="s">
        <v>390</v>
      </c>
      <c r="AD3090" s="6">
        <v>3449.0</v>
      </c>
    </row>
    <row r="3091" ht="56.25" customHeight="1">
      <c r="A3091" s="5" t="s">
        <v>15137</v>
      </c>
      <c r="B3091" s="6" t="str">
        <f>IMAGE("https://storage.googleapis.com/acdb/housewares/FtrWoodenStoolS_Remake_2_3.png")</f>
        <v/>
      </c>
      <c r="C3091" s="5" t="s">
        <v>6192</v>
      </c>
      <c r="D3091" s="5" t="s">
        <v>748</v>
      </c>
      <c r="E3091" s="5" t="s">
        <v>68</v>
      </c>
      <c r="F3091" s="5" t="s">
        <v>9107</v>
      </c>
      <c r="G3091" s="5" t="s">
        <v>35</v>
      </c>
      <c r="H3091" s="5" t="s">
        <v>35</v>
      </c>
      <c r="I3091" s="5" t="s">
        <v>35</v>
      </c>
      <c r="J3091" s="6">
        <v>2.0</v>
      </c>
      <c r="K3091" s="6" t="s">
        <v>37</v>
      </c>
      <c r="L3091" s="6">
        <v>480.0</v>
      </c>
      <c r="M3091" s="26" t="s">
        <v>142</v>
      </c>
      <c r="N3091" s="26" t="s">
        <v>1175</v>
      </c>
      <c r="O3091" s="6" t="s">
        <v>40</v>
      </c>
      <c r="P3091" s="5" t="s">
        <v>41</v>
      </c>
      <c r="Q3091" s="5"/>
      <c r="R3091" s="6" t="s">
        <v>42</v>
      </c>
      <c r="S3091" s="5" t="s">
        <v>99</v>
      </c>
      <c r="T3091" s="5" t="s">
        <v>90</v>
      </c>
      <c r="U3091" s="5" t="s">
        <v>6186</v>
      </c>
      <c r="V3091" s="5" t="s">
        <v>44</v>
      </c>
      <c r="W3091" s="5" t="s">
        <v>35</v>
      </c>
      <c r="X3091" s="8" t="s">
        <v>248</v>
      </c>
      <c r="Y3091" s="5" t="s">
        <v>46</v>
      </c>
      <c r="Z3091" s="5" t="s">
        <v>47</v>
      </c>
      <c r="AA3091" s="5" t="s">
        <v>48</v>
      </c>
      <c r="AB3091" s="5" t="s">
        <v>15189</v>
      </c>
      <c r="AC3091" s="6" t="s">
        <v>396</v>
      </c>
      <c r="AD3091" s="6">
        <v>3449.0</v>
      </c>
    </row>
    <row r="3092" ht="56.25" customHeight="1">
      <c r="A3092" s="5" t="s">
        <v>15137</v>
      </c>
      <c r="B3092" s="6" t="str">
        <f>IMAGE("https://storage.googleapis.com/acdb/housewares/FtrWoodenStoolS_Remake_2_4.png")</f>
        <v/>
      </c>
      <c r="C3092" s="5" t="s">
        <v>6192</v>
      </c>
      <c r="D3092" s="5" t="s">
        <v>748</v>
      </c>
      <c r="E3092" s="5" t="s">
        <v>96</v>
      </c>
      <c r="F3092" s="5" t="s">
        <v>9107</v>
      </c>
      <c r="G3092" s="5" t="s">
        <v>35</v>
      </c>
      <c r="H3092" s="5" t="s">
        <v>35</v>
      </c>
      <c r="I3092" s="5" t="s">
        <v>35</v>
      </c>
      <c r="J3092" s="6">
        <v>2.0</v>
      </c>
      <c r="K3092" s="6" t="s">
        <v>37</v>
      </c>
      <c r="L3092" s="6">
        <v>480.0</v>
      </c>
      <c r="M3092" s="26" t="s">
        <v>142</v>
      </c>
      <c r="N3092" s="26" t="s">
        <v>96</v>
      </c>
      <c r="O3092" s="6" t="s">
        <v>40</v>
      </c>
      <c r="P3092" s="5" t="s">
        <v>41</v>
      </c>
      <c r="Q3092" s="5"/>
      <c r="R3092" s="6" t="s">
        <v>42</v>
      </c>
      <c r="S3092" s="5" t="s">
        <v>99</v>
      </c>
      <c r="T3092" s="5" t="s">
        <v>90</v>
      </c>
      <c r="U3092" s="5" t="s">
        <v>6186</v>
      </c>
      <c r="V3092" s="5" t="s">
        <v>44</v>
      </c>
      <c r="W3092" s="5" t="s">
        <v>35</v>
      </c>
      <c r="X3092" s="8" t="s">
        <v>248</v>
      </c>
      <c r="Y3092" s="5" t="s">
        <v>46</v>
      </c>
      <c r="Z3092" s="5" t="s">
        <v>47</v>
      </c>
      <c r="AA3092" s="5" t="s">
        <v>48</v>
      </c>
      <c r="AB3092" s="5" t="s">
        <v>15192</v>
      </c>
      <c r="AC3092" s="6" t="s">
        <v>541</v>
      </c>
      <c r="AD3092" s="6">
        <v>3449.0</v>
      </c>
    </row>
    <row r="3093" ht="56.25" customHeight="1">
      <c r="A3093" s="5" t="s">
        <v>15137</v>
      </c>
      <c r="B3093" s="6" t="str">
        <f>IMAGE("https://storage.googleapis.com/acdb/housewares/FtrWoodenStoolS_Remake_3_0.png")</f>
        <v/>
      </c>
      <c r="C3093" s="5" t="s">
        <v>1132</v>
      </c>
      <c r="D3093" s="5" t="s">
        <v>748</v>
      </c>
      <c r="E3093" s="5" t="s">
        <v>44</v>
      </c>
      <c r="F3093" s="5" t="s">
        <v>9107</v>
      </c>
      <c r="G3093" s="5" t="s">
        <v>35</v>
      </c>
      <c r="H3093" s="5" t="s">
        <v>35</v>
      </c>
      <c r="I3093" s="5" t="s">
        <v>35</v>
      </c>
      <c r="J3093" s="6">
        <v>2.0</v>
      </c>
      <c r="K3093" s="6" t="s">
        <v>37</v>
      </c>
      <c r="L3093" s="6">
        <v>480.0</v>
      </c>
      <c r="M3093" s="26" t="s">
        <v>39</v>
      </c>
      <c r="N3093" s="26" t="s">
        <v>39</v>
      </c>
      <c r="O3093" s="6" t="s">
        <v>40</v>
      </c>
      <c r="P3093" s="5" t="s">
        <v>41</v>
      </c>
      <c r="Q3093" s="5"/>
      <c r="R3093" s="6" t="s">
        <v>42</v>
      </c>
      <c r="S3093" s="5" t="s">
        <v>99</v>
      </c>
      <c r="T3093" s="5" t="s">
        <v>90</v>
      </c>
      <c r="U3093" s="5" t="s">
        <v>6186</v>
      </c>
      <c r="V3093" s="5" t="s">
        <v>44</v>
      </c>
      <c r="W3093" s="5" t="s">
        <v>35</v>
      </c>
      <c r="X3093" s="8" t="s">
        <v>248</v>
      </c>
      <c r="Y3093" s="5" t="s">
        <v>46</v>
      </c>
      <c r="Z3093" s="5" t="s">
        <v>47</v>
      </c>
      <c r="AA3093" s="5" t="s">
        <v>48</v>
      </c>
      <c r="AB3093" s="5" t="s">
        <v>15193</v>
      </c>
      <c r="AC3093" s="6" t="s">
        <v>71</v>
      </c>
      <c r="AD3093" s="6">
        <v>3449.0</v>
      </c>
    </row>
    <row r="3094" ht="56.25" customHeight="1">
      <c r="A3094" s="5" t="s">
        <v>15137</v>
      </c>
      <c r="B3094" s="6" t="str">
        <f>IMAGE("https://storage.googleapis.com/acdb/housewares/FtrWoodenStoolS_Remake_3_1.png")</f>
        <v/>
      </c>
      <c r="C3094" s="5" t="s">
        <v>1132</v>
      </c>
      <c r="D3094" s="5" t="s">
        <v>748</v>
      </c>
      <c r="E3094" s="5" t="s">
        <v>142</v>
      </c>
      <c r="F3094" s="5" t="s">
        <v>9107</v>
      </c>
      <c r="G3094" s="5" t="s">
        <v>35</v>
      </c>
      <c r="H3094" s="5" t="s">
        <v>35</v>
      </c>
      <c r="I3094" s="5" t="s">
        <v>35</v>
      </c>
      <c r="J3094" s="6">
        <v>2.0</v>
      </c>
      <c r="K3094" s="6" t="s">
        <v>37</v>
      </c>
      <c r="L3094" s="6">
        <v>480.0</v>
      </c>
      <c r="M3094" s="26" t="s">
        <v>39</v>
      </c>
      <c r="N3094" s="26" t="s">
        <v>142</v>
      </c>
      <c r="O3094" s="6" t="s">
        <v>40</v>
      </c>
      <c r="P3094" s="5" t="s">
        <v>41</v>
      </c>
      <c r="Q3094" s="5"/>
      <c r="R3094" s="6" t="s">
        <v>42</v>
      </c>
      <c r="S3094" s="5" t="s">
        <v>99</v>
      </c>
      <c r="T3094" s="5" t="s">
        <v>90</v>
      </c>
      <c r="U3094" s="5" t="s">
        <v>6186</v>
      </c>
      <c r="V3094" s="5" t="s">
        <v>44</v>
      </c>
      <c r="W3094" s="5" t="s">
        <v>35</v>
      </c>
      <c r="X3094" s="8" t="s">
        <v>248</v>
      </c>
      <c r="Y3094" s="5" t="s">
        <v>46</v>
      </c>
      <c r="Z3094" s="5" t="s">
        <v>47</v>
      </c>
      <c r="AA3094" s="5" t="s">
        <v>48</v>
      </c>
      <c r="AB3094" s="5" t="s">
        <v>15196</v>
      </c>
      <c r="AC3094" s="6" t="s">
        <v>257</v>
      </c>
      <c r="AD3094" s="6">
        <v>3449.0</v>
      </c>
    </row>
    <row r="3095" ht="56.25" customHeight="1">
      <c r="A3095" s="5" t="s">
        <v>15137</v>
      </c>
      <c r="B3095" s="6" t="str">
        <f>IMAGE("https://storage.googleapis.com/acdb/housewares/FtrWoodenStoolS_Remake_3_2.png")</f>
        <v/>
      </c>
      <c r="C3095" s="5" t="s">
        <v>1132</v>
      </c>
      <c r="D3095" s="5" t="s">
        <v>748</v>
      </c>
      <c r="E3095" s="5" t="s">
        <v>69</v>
      </c>
      <c r="F3095" s="5" t="s">
        <v>9107</v>
      </c>
      <c r="G3095" s="5" t="s">
        <v>35</v>
      </c>
      <c r="H3095" s="5" t="s">
        <v>35</v>
      </c>
      <c r="I3095" s="5" t="s">
        <v>35</v>
      </c>
      <c r="J3095" s="6">
        <v>2.0</v>
      </c>
      <c r="K3095" s="6" t="s">
        <v>37</v>
      </c>
      <c r="L3095" s="6">
        <v>480.0</v>
      </c>
      <c r="M3095" s="26" t="s">
        <v>39</v>
      </c>
      <c r="N3095" s="26" t="s">
        <v>69</v>
      </c>
      <c r="O3095" s="6" t="s">
        <v>40</v>
      </c>
      <c r="P3095" s="5" t="s">
        <v>41</v>
      </c>
      <c r="Q3095" s="5"/>
      <c r="R3095" s="6" t="s">
        <v>42</v>
      </c>
      <c r="S3095" s="5" t="s">
        <v>99</v>
      </c>
      <c r="T3095" s="5" t="s">
        <v>90</v>
      </c>
      <c r="U3095" s="5" t="s">
        <v>6186</v>
      </c>
      <c r="V3095" s="5" t="s">
        <v>44</v>
      </c>
      <c r="W3095" s="5" t="s">
        <v>35</v>
      </c>
      <c r="X3095" s="8" t="s">
        <v>248</v>
      </c>
      <c r="Y3095" s="5" t="s">
        <v>46</v>
      </c>
      <c r="Z3095" s="5" t="s">
        <v>47</v>
      </c>
      <c r="AA3095" s="5" t="s">
        <v>48</v>
      </c>
      <c r="AB3095" s="5" t="s">
        <v>15198</v>
      </c>
      <c r="AC3095" s="6" t="s">
        <v>414</v>
      </c>
      <c r="AD3095" s="6">
        <v>3449.0</v>
      </c>
    </row>
    <row r="3096" ht="56.25" customHeight="1">
      <c r="A3096" s="5" t="s">
        <v>15137</v>
      </c>
      <c r="B3096" s="6" t="str">
        <f>IMAGE("https://storage.googleapis.com/acdb/housewares/FtrWoodenStoolS_Remake_3_3.png")</f>
        <v/>
      </c>
      <c r="C3096" s="5" t="s">
        <v>1132</v>
      </c>
      <c r="D3096" s="5" t="s">
        <v>748</v>
      </c>
      <c r="E3096" s="5" t="s">
        <v>68</v>
      </c>
      <c r="F3096" s="5" t="s">
        <v>9107</v>
      </c>
      <c r="G3096" s="5" t="s">
        <v>35</v>
      </c>
      <c r="H3096" s="5" t="s">
        <v>35</v>
      </c>
      <c r="I3096" s="5" t="s">
        <v>35</v>
      </c>
      <c r="J3096" s="6">
        <v>2.0</v>
      </c>
      <c r="K3096" s="6" t="s">
        <v>37</v>
      </c>
      <c r="L3096" s="6">
        <v>480.0</v>
      </c>
      <c r="M3096" s="26" t="s">
        <v>39</v>
      </c>
      <c r="N3096" s="26" t="s">
        <v>1175</v>
      </c>
      <c r="O3096" s="6" t="s">
        <v>40</v>
      </c>
      <c r="P3096" s="5" t="s">
        <v>41</v>
      </c>
      <c r="Q3096" s="5"/>
      <c r="R3096" s="6" t="s">
        <v>42</v>
      </c>
      <c r="S3096" s="5" t="s">
        <v>99</v>
      </c>
      <c r="T3096" s="5" t="s">
        <v>90</v>
      </c>
      <c r="U3096" s="5" t="s">
        <v>6186</v>
      </c>
      <c r="V3096" s="5" t="s">
        <v>44</v>
      </c>
      <c r="W3096" s="5" t="s">
        <v>35</v>
      </c>
      <c r="X3096" s="8" t="s">
        <v>248</v>
      </c>
      <c r="Y3096" s="5" t="s">
        <v>46</v>
      </c>
      <c r="Z3096" s="5" t="s">
        <v>47</v>
      </c>
      <c r="AA3096" s="5" t="s">
        <v>48</v>
      </c>
      <c r="AB3096" s="5" t="s">
        <v>15203</v>
      </c>
      <c r="AC3096" s="6" t="s">
        <v>418</v>
      </c>
      <c r="AD3096" s="6">
        <v>3449.0</v>
      </c>
    </row>
    <row r="3097" ht="56.25" customHeight="1">
      <c r="A3097" s="5" t="s">
        <v>15137</v>
      </c>
      <c r="B3097" s="6" t="str">
        <f>IMAGE("https://storage.googleapis.com/acdb/housewares/FtrWoodenStoolS_Remake_3_4.png")</f>
        <v/>
      </c>
      <c r="C3097" s="5" t="s">
        <v>1132</v>
      </c>
      <c r="D3097" s="5" t="s">
        <v>748</v>
      </c>
      <c r="E3097" s="5" t="s">
        <v>96</v>
      </c>
      <c r="F3097" s="5" t="s">
        <v>9107</v>
      </c>
      <c r="G3097" s="5" t="s">
        <v>35</v>
      </c>
      <c r="H3097" s="5" t="s">
        <v>35</v>
      </c>
      <c r="I3097" s="5" t="s">
        <v>35</v>
      </c>
      <c r="J3097" s="6">
        <v>2.0</v>
      </c>
      <c r="K3097" s="6" t="s">
        <v>37</v>
      </c>
      <c r="L3097" s="6">
        <v>480.0</v>
      </c>
      <c r="M3097" s="26" t="s">
        <v>39</v>
      </c>
      <c r="N3097" s="26" t="s">
        <v>96</v>
      </c>
      <c r="O3097" s="6" t="s">
        <v>40</v>
      </c>
      <c r="P3097" s="5" t="s">
        <v>41</v>
      </c>
      <c r="Q3097" s="5"/>
      <c r="R3097" s="6" t="s">
        <v>42</v>
      </c>
      <c r="S3097" s="5" t="s">
        <v>99</v>
      </c>
      <c r="T3097" s="5" t="s">
        <v>90</v>
      </c>
      <c r="U3097" s="5" t="s">
        <v>6186</v>
      </c>
      <c r="V3097" s="5" t="s">
        <v>44</v>
      </c>
      <c r="W3097" s="5" t="s">
        <v>35</v>
      </c>
      <c r="X3097" s="8" t="s">
        <v>248</v>
      </c>
      <c r="Y3097" s="5" t="s">
        <v>46</v>
      </c>
      <c r="Z3097" s="5" t="s">
        <v>47</v>
      </c>
      <c r="AA3097" s="5" t="s">
        <v>48</v>
      </c>
      <c r="AB3097" s="5" t="s">
        <v>15210</v>
      </c>
      <c r="AC3097" s="6" t="s">
        <v>563</v>
      </c>
      <c r="AD3097" s="6">
        <v>3449.0</v>
      </c>
    </row>
    <row r="3098" ht="56.25" customHeight="1">
      <c r="A3098" s="5" t="s">
        <v>15137</v>
      </c>
      <c r="B3098" s="6" t="str">
        <f>IMAGE("https://storage.googleapis.com/acdb/housewares/FtrWoodenStoolS_Remake_4_0.png")</f>
        <v/>
      </c>
      <c r="C3098" s="5" t="s">
        <v>54</v>
      </c>
      <c r="D3098" s="5" t="s">
        <v>748</v>
      </c>
      <c r="E3098" s="5" t="s">
        <v>44</v>
      </c>
      <c r="F3098" s="5" t="s">
        <v>9107</v>
      </c>
      <c r="G3098" s="5" t="s">
        <v>35</v>
      </c>
      <c r="H3098" s="5" t="s">
        <v>35</v>
      </c>
      <c r="I3098" s="5" t="s">
        <v>35</v>
      </c>
      <c r="J3098" s="6">
        <v>2.0</v>
      </c>
      <c r="K3098" s="6" t="s">
        <v>37</v>
      </c>
      <c r="L3098" s="6">
        <v>480.0</v>
      </c>
      <c r="M3098" s="26" t="s">
        <v>54</v>
      </c>
      <c r="N3098" s="26" t="s">
        <v>54</v>
      </c>
      <c r="O3098" s="6" t="s">
        <v>40</v>
      </c>
      <c r="P3098" s="5" t="s">
        <v>41</v>
      </c>
      <c r="Q3098" s="5"/>
      <c r="R3098" s="6" t="s">
        <v>42</v>
      </c>
      <c r="S3098" s="5" t="s">
        <v>99</v>
      </c>
      <c r="T3098" s="5" t="s">
        <v>90</v>
      </c>
      <c r="U3098" s="5" t="s">
        <v>6186</v>
      </c>
      <c r="V3098" s="5" t="s">
        <v>44</v>
      </c>
      <c r="W3098" s="5" t="s">
        <v>35</v>
      </c>
      <c r="X3098" s="8" t="s">
        <v>248</v>
      </c>
      <c r="Y3098" s="5" t="s">
        <v>46</v>
      </c>
      <c r="Z3098" s="5" t="s">
        <v>47</v>
      </c>
      <c r="AA3098" s="5" t="s">
        <v>48</v>
      </c>
      <c r="AB3098" s="5" t="s">
        <v>15213</v>
      </c>
      <c r="AC3098" s="6" t="s">
        <v>75</v>
      </c>
      <c r="AD3098" s="6">
        <v>3449.0</v>
      </c>
    </row>
    <row r="3099" ht="56.25" customHeight="1">
      <c r="A3099" s="5" t="s">
        <v>15137</v>
      </c>
      <c r="B3099" s="6" t="str">
        <f>IMAGE("https://storage.googleapis.com/acdb/housewares/FtrWoodenStoolS_Remake_4_1.png")</f>
        <v/>
      </c>
      <c r="C3099" s="5" t="s">
        <v>54</v>
      </c>
      <c r="D3099" s="5" t="s">
        <v>748</v>
      </c>
      <c r="E3099" s="5" t="s">
        <v>142</v>
      </c>
      <c r="F3099" s="5" t="s">
        <v>9107</v>
      </c>
      <c r="G3099" s="5" t="s">
        <v>35</v>
      </c>
      <c r="H3099" s="5" t="s">
        <v>35</v>
      </c>
      <c r="I3099" s="5" t="s">
        <v>35</v>
      </c>
      <c r="J3099" s="6">
        <v>2.0</v>
      </c>
      <c r="K3099" s="6" t="s">
        <v>37</v>
      </c>
      <c r="L3099" s="6">
        <v>480.0</v>
      </c>
      <c r="M3099" s="26" t="s">
        <v>54</v>
      </c>
      <c r="N3099" s="26" t="s">
        <v>142</v>
      </c>
      <c r="O3099" s="6" t="s">
        <v>40</v>
      </c>
      <c r="P3099" s="5" t="s">
        <v>41</v>
      </c>
      <c r="Q3099" s="5"/>
      <c r="R3099" s="6" t="s">
        <v>42</v>
      </c>
      <c r="S3099" s="5" t="s">
        <v>99</v>
      </c>
      <c r="T3099" s="5" t="s">
        <v>90</v>
      </c>
      <c r="U3099" s="5" t="s">
        <v>6186</v>
      </c>
      <c r="V3099" s="5" t="s">
        <v>44</v>
      </c>
      <c r="W3099" s="5" t="s">
        <v>35</v>
      </c>
      <c r="X3099" s="8" t="s">
        <v>248</v>
      </c>
      <c r="Y3099" s="5" t="s">
        <v>46</v>
      </c>
      <c r="Z3099" s="5" t="s">
        <v>47</v>
      </c>
      <c r="AA3099" s="5" t="s">
        <v>48</v>
      </c>
      <c r="AB3099" s="5" t="s">
        <v>15218</v>
      </c>
      <c r="AC3099" s="6" t="s">
        <v>429</v>
      </c>
      <c r="AD3099" s="6">
        <v>3449.0</v>
      </c>
    </row>
    <row r="3100" ht="56.25" customHeight="1">
      <c r="A3100" s="5" t="s">
        <v>15137</v>
      </c>
      <c r="B3100" s="6" t="str">
        <f>IMAGE("https://storage.googleapis.com/acdb/housewares/FtrWoodenStoolS_Remake_4_2.png")</f>
        <v/>
      </c>
      <c r="C3100" s="5" t="s">
        <v>54</v>
      </c>
      <c r="D3100" s="5" t="s">
        <v>748</v>
      </c>
      <c r="E3100" s="5" t="s">
        <v>69</v>
      </c>
      <c r="F3100" s="5" t="s">
        <v>9107</v>
      </c>
      <c r="G3100" s="5" t="s">
        <v>35</v>
      </c>
      <c r="H3100" s="5" t="s">
        <v>35</v>
      </c>
      <c r="I3100" s="5" t="s">
        <v>35</v>
      </c>
      <c r="J3100" s="6">
        <v>2.0</v>
      </c>
      <c r="K3100" s="6" t="s">
        <v>37</v>
      </c>
      <c r="L3100" s="6">
        <v>480.0</v>
      </c>
      <c r="M3100" s="26" t="s">
        <v>54</v>
      </c>
      <c r="N3100" s="26" t="s">
        <v>69</v>
      </c>
      <c r="O3100" s="6" t="s">
        <v>40</v>
      </c>
      <c r="P3100" s="5" t="s">
        <v>41</v>
      </c>
      <c r="Q3100" s="5"/>
      <c r="R3100" s="6" t="s">
        <v>42</v>
      </c>
      <c r="S3100" s="5" t="s">
        <v>99</v>
      </c>
      <c r="T3100" s="5" t="s">
        <v>90</v>
      </c>
      <c r="U3100" s="5" t="s">
        <v>6186</v>
      </c>
      <c r="V3100" s="5" t="s">
        <v>44</v>
      </c>
      <c r="W3100" s="5" t="s">
        <v>35</v>
      </c>
      <c r="X3100" s="8" t="s">
        <v>248</v>
      </c>
      <c r="Y3100" s="5" t="s">
        <v>46</v>
      </c>
      <c r="Z3100" s="5" t="s">
        <v>47</v>
      </c>
      <c r="AA3100" s="5" t="s">
        <v>48</v>
      </c>
      <c r="AB3100" s="5" t="s">
        <v>15223</v>
      </c>
      <c r="AC3100" s="6" t="s">
        <v>434</v>
      </c>
      <c r="AD3100" s="6">
        <v>3449.0</v>
      </c>
    </row>
    <row r="3101" ht="56.25" customHeight="1">
      <c r="A3101" s="5" t="s">
        <v>15137</v>
      </c>
      <c r="B3101" s="6" t="str">
        <f>IMAGE("https://storage.googleapis.com/acdb/housewares/FtrWoodenStoolS_Remake_4_3.png")</f>
        <v/>
      </c>
      <c r="C3101" s="5" t="s">
        <v>54</v>
      </c>
      <c r="D3101" s="5" t="s">
        <v>748</v>
      </c>
      <c r="E3101" s="5" t="s">
        <v>68</v>
      </c>
      <c r="F3101" s="5" t="s">
        <v>9107</v>
      </c>
      <c r="G3101" s="5" t="s">
        <v>35</v>
      </c>
      <c r="H3101" s="5" t="s">
        <v>35</v>
      </c>
      <c r="I3101" s="5" t="s">
        <v>35</v>
      </c>
      <c r="J3101" s="6">
        <v>2.0</v>
      </c>
      <c r="K3101" s="6" t="s">
        <v>37</v>
      </c>
      <c r="L3101" s="6">
        <v>480.0</v>
      </c>
      <c r="M3101" s="26" t="s">
        <v>54</v>
      </c>
      <c r="N3101" s="26" t="s">
        <v>1175</v>
      </c>
      <c r="O3101" s="6" t="s">
        <v>40</v>
      </c>
      <c r="P3101" s="5" t="s">
        <v>41</v>
      </c>
      <c r="Q3101" s="5"/>
      <c r="R3101" s="6" t="s">
        <v>42</v>
      </c>
      <c r="S3101" s="5" t="s">
        <v>99</v>
      </c>
      <c r="T3101" s="5" t="s">
        <v>90</v>
      </c>
      <c r="U3101" s="5" t="s">
        <v>6186</v>
      </c>
      <c r="V3101" s="5" t="s">
        <v>44</v>
      </c>
      <c r="W3101" s="5" t="s">
        <v>35</v>
      </c>
      <c r="X3101" s="8" t="s">
        <v>248</v>
      </c>
      <c r="Y3101" s="5" t="s">
        <v>46</v>
      </c>
      <c r="Z3101" s="5" t="s">
        <v>47</v>
      </c>
      <c r="AA3101" s="5" t="s">
        <v>48</v>
      </c>
      <c r="AB3101" s="5" t="s">
        <v>15227</v>
      </c>
      <c r="AC3101" s="6" t="s">
        <v>438</v>
      </c>
      <c r="AD3101" s="6">
        <v>3449.0</v>
      </c>
    </row>
    <row r="3102" ht="56.25" customHeight="1">
      <c r="A3102" s="5" t="s">
        <v>15137</v>
      </c>
      <c r="B3102" s="6" t="str">
        <f>IMAGE("https://storage.googleapis.com/acdb/housewares/FtrWoodenStoolS_Remake_4_4.png")</f>
        <v/>
      </c>
      <c r="C3102" s="5" t="s">
        <v>54</v>
      </c>
      <c r="D3102" s="5" t="s">
        <v>748</v>
      </c>
      <c r="E3102" s="5" t="s">
        <v>96</v>
      </c>
      <c r="F3102" s="5" t="s">
        <v>9107</v>
      </c>
      <c r="G3102" s="5" t="s">
        <v>35</v>
      </c>
      <c r="H3102" s="5" t="s">
        <v>35</v>
      </c>
      <c r="I3102" s="5" t="s">
        <v>35</v>
      </c>
      <c r="J3102" s="6">
        <v>2.0</v>
      </c>
      <c r="K3102" s="6" t="s">
        <v>37</v>
      </c>
      <c r="L3102" s="6">
        <v>480.0</v>
      </c>
      <c r="M3102" s="26" t="s">
        <v>54</v>
      </c>
      <c r="N3102" s="26" t="s">
        <v>96</v>
      </c>
      <c r="O3102" s="6" t="s">
        <v>40</v>
      </c>
      <c r="P3102" s="5" t="s">
        <v>41</v>
      </c>
      <c r="Q3102" s="5"/>
      <c r="R3102" s="6" t="s">
        <v>42</v>
      </c>
      <c r="S3102" s="5" t="s">
        <v>99</v>
      </c>
      <c r="T3102" s="5" t="s">
        <v>90</v>
      </c>
      <c r="U3102" s="5" t="s">
        <v>6186</v>
      </c>
      <c r="V3102" s="5" t="s">
        <v>44</v>
      </c>
      <c r="W3102" s="5" t="s">
        <v>35</v>
      </c>
      <c r="X3102" s="8" t="s">
        <v>248</v>
      </c>
      <c r="Y3102" s="5" t="s">
        <v>46</v>
      </c>
      <c r="Z3102" s="5" t="s">
        <v>47</v>
      </c>
      <c r="AA3102" s="5" t="s">
        <v>48</v>
      </c>
      <c r="AB3102" s="5" t="s">
        <v>15232</v>
      </c>
      <c r="AC3102" s="6" t="s">
        <v>585</v>
      </c>
      <c r="AD3102" s="6">
        <v>3449.0</v>
      </c>
    </row>
    <row r="3103" ht="56.25" customHeight="1">
      <c r="A3103" s="5" t="s">
        <v>15137</v>
      </c>
      <c r="B3103" s="6" t="str">
        <f>IMAGE("https://storage.googleapis.com/acdb/housewares/FtrWoodenStoolS_Remake_5_0.png")</f>
        <v/>
      </c>
      <c r="C3103" s="5" t="s">
        <v>96</v>
      </c>
      <c r="D3103" s="5" t="s">
        <v>748</v>
      </c>
      <c r="E3103" s="5" t="s">
        <v>44</v>
      </c>
      <c r="F3103" s="5" t="s">
        <v>9107</v>
      </c>
      <c r="G3103" s="5" t="s">
        <v>35</v>
      </c>
      <c r="H3103" s="5" t="s">
        <v>35</v>
      </c>
      <c r="I3103" s="5" t="s">
        <v>35</v>
      </c>
      <c r="J3103" s="6">
        <v>2.0</v>
      </c>
      <c r="K3103" s="6" t="s">
        <v>37</v>
      </c>
      <c r="L3103" s="6">
        <v>480.0</v>
      </c>
      <c r="M3103" s="26" t="s">
        <v>96</v>
      </c>
      <c r="N3103" s="26" t="s">
        <v>96</v>
      </c>
      <c r="O3103" s="6" t="s">
        <v>40</v>
      </c>
      <c r="P3103" s="5" t="s">
        <v>41</v>
      </c>
      <c r="Q3103" s="5"/>
      <c r="R3103" s="6" t="s">
        <v>42</v>
      </c>
      <c r="S3103" s="5" t="s">
        <v>99</v>
      </c>
      <c r="T3103" s="5" t="s">
        <v>90</v>
      </c>
      <c r="U3103" s="5" t="s">
        <v>6186</v>
      </c>
      <c r="V3103" s="5" t="s">
        <v>44</v>
      </c>
      <c r="W3103" s="5" t="s">
        <v>35</v>
      </c>
      <c r="X3103" s="8" t="s">
        <v>248</v>
      </c>
      <c r="Y3103" s="5" t="s">
        <v>46</v>
      </c>
      <c r="Z3103" s="5" t="s">
        <v>47</v>
      </c>
      <c r="AA3103" s="5" t="s">
        <v>48</v>
      </c>
      <c r="AB3103" s="5" t="s">
        <v>15239</v>
      </c>
      <c r="AC3103" s="6" t="s">
        <v>79</v>
      </c>
      <c r="AD3103" s="6">
        <v>3449.0</v>
      </c>
    </row>
    <row r="3104" ht="56.25" customHeight="1">
      <c r="A3104" s="5" t="s">
        <v>15137</v>
      </c>
      <c r="B3104" s="6" t="str">
        <f>IMAGE("https://storage.googleapis.com/acdb/housewares/FtrWoodenStoolS_Remake_5_1.png")</f>
        <v/>
      </c>
      <c r="C3104" s="5" t="s">
        <v>96</v>
      </c>
      <c r="D3104" s="5" t="s">
        <v>748</v>
      </c>
      <c r="E3104" s="5" t="s">
        <v>142</v>
      </c>
      <c r="F3104" s="5" t="s">
        <v>9107</v>
      </c>
      <c r="G3104" s="5" t="s">
        <v>35</v>
      </c>
      <c r="H3104" s="5" t="s">
        <v>35</v>
      </c>
      <c r="I3104" s="5" t="s">
        <v>35</v>
      </c>
      <c r="J3104" s="6">
        <v>2.0</v>
      </c>
      <c r="K3104" s="6" t="s">
        <v>37</v>
      </c>
      <c r="L3104" s="6">
        <v>480.0</v>
      </c>
      <c r="M3104" s="26" t="s">
        <v>96</v>
      </c>
      <c r="N3104" s="26" t="s">
        <v>142</v>
      </c>
      <c r="O3104" s="6" t="s">
        <v>40</v>
      </c>
      <c r="P3104" s="5" t="s">
        <v>41</v>
      </c>
      <c r="Q3104" s="5"/>
      <c r="R3104" s="6" t="s">
        <v>42</v>
      </c>
      <c r="S3104" s="5" t="s">
        <v>99</v>
      </c>
      <c r="T3104" s="5" t="s">
        <v>90</v>
      </c>
      <c r="U3104" s="5" t="s">
        <v>6186</v>
      </c>
      <c r="V3104" s="5" t="s">
        <v>44</v>
      </c>
      <c r="W3104" s="5" t="s">
        <v>35</v>
      </c>
      <c r="X3104" s="8" t="s">
        <v>248</v>
      </c>
      <c r="Y3104" s="5" t="s">
        <v>46</v>
      </c>
      <c r="Z3104" s="5" t="s">
        <v>47</v>
      </c>
      <c r="AA3104" s="5" t="s">
        <v>48</v>
      </c>
      <c r="AB3104" s="5" t="s">
        <v>15242</v>
      </c>
      <c r="AC3104" s="6" t="s">
        <v>448</v>
      </c>
      <c r="AD3104" s="6">
        <v>3449.0</v>
      </c>
    </row>
    <row r="3105" ht="56.25" customHeight="1">
      <c r="A3105" s="5" t="s">
        <v>15137</v>
      </c>
      <c r="B3105" s="6" t="str">
        <f>IMAGE("https://storage.googleapis.com/acdb/housewares/FtrWoodenStoolS_Remake_5_2.png")</f>
        <v/>
      </c>
      <c r="C3105" s="5" t="s">
        <v>96</v>
      </c>
      <c r="D3105" s="5" t="s">
        <v>748</v>
      </c>
      <c r="E3105" s="5" t="s">
        <v>69</v>
      </c>
      <c r="F3105" s="5" t="s">
        <v>9107</v>
      </c>
      <c r="G3105" s="5" t="s">
        <v>35</v>
      </c>
      <c r="H3105" s="5" t="s">
        <v>35</v>
      </c>
      <c r="I3105" s="5" t="s">
        <v>35</v>
      </c>
      <c r="J3105" s="6">
        <v>2.0</v>
      </c>
      <c r="K3105" s="6" t="s">
        <v>37</v>
      </c>
      <c r="L3105" s="6">
        <v>480.0</v>
      </c>
      <c r="M3105" s="26" t="s">
        <v>96</v>
      </c>
      <c r="N3105" s="26" t="s">
        <v>69</v>
      </c>
      <c r="O3105" s="6" t="s">
        <v>40</v>
      </c>
      <c r="P3105" s="5" t="s">
        <v>41</v>
      </c>
      <c r="Q3105" s="5"/>
      <c r="R3105" s="6" t="s">
        <v>42</v>
      </c>
      <c r="S3105" s="5" t="s">
        <v>99</v>
      </c>
      <c r="T3105" s="5" t="s">
        <v>90</v>
      </c>
      <c r="U3105" s="5" t="s">
        <v>6186</v>
      </c>
      <c r="V3105" s="5" t="s">
        <v>44</v>
      </c>
      <c r="W3105" s="5" t="s">
        <v>35</v>
      </c>
      <c r="X3105" s="8" t="s">
        <v>248</v>
      </c>
      <c r="Y3105" s="5" t="s">
        <v>46</v>
      </c>
      <c r="Z3105" s="5" t="s">
        <v>47</v>
      </c>
      <c r="AA3105" s="5" t="s">
        <v>48</v>
      </c>
      <c r="AB3105" s="5" t="s">
        <v>15247</v>
      </c>
      <c r="AC3105" s="6" t="s">
        <v>452</v>
      </c>
      <c r="AD3105" s="6">
        <v>3449.0</v>
      </c>
    </row>
    <row r="3106" ht="56.25" customHeight="1">
      <c r="A3106" s="5" t="s">
        <v>15137</v>
      </c>
      <c r="B3106" s="6" t="str">
        <f>IMAGE("https://storage.googleapis.com/acdb/housewares/FtrWoodenStoolS_Remake_5_3.png")</f>
        <v/>
      </c>
      <c r="C3106" s="5" t="s">
        <v>96</v>
      </c>
      <c r="D3106" s="5" t="s">
        <v>748</v>
      </c>
      <c r="E3106" s="5" t="s">
        <v>68</v>
      </c>
      <c r="F3106" s="5" t="s">
        <v>9107</v>
      </c>
      <c r="G3106" s="5" t="s">
        <v>35</v>
      </c>
      <c r="H3106" s="5" t="s">
        <v>35</v>
      </c>
      <c r="I3106" s="5" t="s">
        <v>35</v>
      </c>
      <c r="J3106" s="6">
        <v>2.0</v>
      </c>
      <c r="K3106" s="6" t="s">
        <v>37</v>
      </c>
      <c r="L3106" s="6">
        <v>480.0</v>
      </c>
      <c r="M3106" s="26" t="s">
        <v>96</v>
      </c>
      <c r="N3106" s="26" t="s">
        <v>1175</v>
      </c>
      <c r="O3106" s="6" t="s">
        <v>40</v>
      </c>
      <c r="P3106" s="5" t="s">
        <v>41</v>
      </c>
      <c r="Q3106" s="5"/>
      <c r="R3106" s="6" t="s">
        <v>42</v>
      </c>
      <c r="S3106" s="5" t="s">
        <v>99</v>
      </c>
      <c r="T3106" s="5" t="s">
        <v>90</v>
      </c>
      <c r="U3106" s="5" t="s">
        <v>6186</v>
      </c>
      <c r="V3106" s="5" t="s">
        <v>44</v>
      </c>
      <c r="W3106" s="5" t="s">
        <v>35</v>
      </c>
      <c r="X3106" s="8" t="s">
        <v>248</v>
      </c>
      <c r="Y3106" s="5" t="s">
        <v>46</v>
      </c>
      <c r="Z3106" s="5" t="s">
        <v>47</v>
      </c>
      <c r="AA3106" s="5" t="s">
        <v>48</v>
      </c>
      <c r="AB3106" s="5" t="s">
        <v>15254</v>
      </c>
      <c r="AC3106" s="6" t="s">
        <v>455</v>
      </c>
      <c r="AD3106" s="6">
        <v>3449.0</v>
      </c>
    </row>
    <row r="3107" ht="56.25" customHeight="1">
      <c r="A3107" s="5" t="s">
        <v>15137</v>
      </c>
      <c r="B3107" s="6" t="str">
        <f>IMAGE("https://storage.googleapis.com/acdb/housewares/FtrWoodenStoolS_Remake_5_4.png")</f>
        <v/>
      </c>
      <c r="C3107" s="5" t="s">
        <v>96</v>
      </c>
      <c r="D3107" s="5" t="s">
        <v>748</v>
      </c>
      <c r="E3107" s="5" t="s">
        <v>96</v>
      </c>
      <c r="F3107" s="5" t="s">
        <v>9107</v>
      </c>
      <c r="G3107" s="5" t="s">
        <v>35</v>
      </c>
      <c r="H3107" s="5" t="s">
        <v>35</v>
      </c>
      <c r="I3107" s="5" t="s">
        <v>35</v>
      </c>
      <c r="J3107" s="6">
        <v>2.0</v>
      </c>
      <c r="K3107" s="6" t="s">
        <v>37</v>
      </c>
      <c r="L3107" s="6">
        <v>480.0</v>
      </c>
      <c r="M3107" s="26" t="s">
        <v>96</v>
      </c>
      <c r="N3107" s="26" t="s">
        <v>96</v>
      </c>
      <c r="O3107" s="6" t="s">
        <v>40</v>
      </c>
      <c r="P3107" s="5" t="s">
        <v>41</v>
      </c>
      <c r="Q3107" s="5"/>
      <c r="R3107" s="6" t="s">
        <v>42</v>
      </c>
      <c r="S3107" s="5" t="s">
        <v>99</v>
      </c>
      <c r="T3107" s="5" t="s">
        <v>90</v>
      </c>
      <c r="U3107" s="5" t="s">
        <v>6186</v>
      </c>
      <c r="V3107" s="5" t="s">
        <v>44</v>
      </c>
      <c r="W3107" s="5" t="s">
        <v>35</v>
      </c>
      <c r="X3107" s="8" t="s">
        <v>248</v>
      </c>
      <c r="Y3107" s="5" t="s">
        <v>46</v>
      </c>
      <c r="Z3107" s="5" t="s">
        <v>47</v>
      </c>
      <c r="AA3107" s="5" t="s">
        <v>48</v>
      </c>
      <c r="AB3107" s="5" t="s">
        <v>15257</v>
      </c>
      <c r="AC3107" s="6" t="s">
        <v>609</v>
      </c>
      <c r="AD3107" s="6">
        <v>3449.0</v>
      </c>
    </row>
    <row r="3108" ht="56.25" customHeight="1">
      <c r="A3108" s="5" t="s">
        <v>15137</v>
      </c>
      <c r="B3108" s="6" t="str">
        <f>IMAGE("https://storage.googleapis.com/acdb/housewares/FtrWoodenStoolS_Remake_6_0.png")</f>
        <v/>
      </c>
      <c r="C3108" s="5" t="s">
        <v>68</v>
      </c>
      <c r="D3108" s="5" t="s">
        <v>748</v>
      </c>
      <c r="E3108" s="5" t="s">
        <v>44</v>
      </c>
      <c r="F3108" s="5" t="s">
        <v>9107</v>
      </c>
      <c r="G3108" s="5" t="s">
        <v>35</v>
      </c>
      <c r="H3108" s="5" t="s">
        <v>35</v>
      </c>
      <c r="I3108" s="5" t="s">
        <v>35</v>
      </c>
      <c r="J3108" s="6">
        <v>2.0</v>
      </c>
      <c r="K3108" s="6" t="s">
        <v>37</v>
      </c>
      <c r="L3108" s="6">
        <v>480.0</v>
      </c>
      <c r="M3108" s="26" t="s">
        <v>68</v>
      </c>
      <c r="N3108" s="26" t="s">
        <v>68</v>
      </c>
      <c r="O3108" s="6" t="s">
        <v>40</v>
      </c>
      <c r="P3108" s="5" t="s">
        <v>41</v>
      </c>
      <c r="Q3108" s="5"/>
      <c r="R3108" s="6" t="s">
        <v>42</v>
      </c>
      <c r="S3108" s="5" t="s">
        <v>99</v>
      </c>
      <c r="T3108" s="5" t="s">
        <v>90</v>
      </c>
      <c r="U3108" s="5" t="s">
        <v>6186</v>
      </c>
      <c r="V3108" s="5" t="s">
        <v>44</v>
      </c>
      <c r="W3108" s="5" t="s">
        <v>35</v>
      </c>
      <c r="X3108" s="8" t="s">
        <v>248</v>
      </c>
      <c r="Y3108" s="5" t="s">
        <v>46</v>
      </c>
      <c r="Z3108" s="5" t="s">
        <v>47</v>
      </c>
      <c r="AA3108" s="5" t="s">
        <v>48</v>
      </c>
      <c r="AB3108" s="5" t="s">
        <v>15263</v>
      </c>
      <c r="AC3108" s="6" t="s">
        <v>86</v>
      </c>
      <c r="AD3108" s="6">
        <v>3449.0</v>
      </c>
    </row>
    <row r="3109" ht="56.25" customHeight="1">
      <c r="A3109" s="5" t="s">
        <v>15137</v>
      </c>
      <c r="B3109" s="6" t="str">
        <f>IMAGE("https://storage.googleapis.com/acdb/housewares/FtrWoodenStoolS_Remake_6_1.png")</f>
        <v/>
      </c>
      <c r="C3109" s="5" t="s">
        <v>68</v>
      </c>
      <c r="D3109" s="5" t="s">
        <v>748</v>
      </c>
      <c r="E3109" s="5" t="s">
        <v>142</v>
      </c>
      <c r="F3109" s="5" t="s">
        <v>9107</v>
      </c>
      <c r="G3109" s="5" t="s">
        <v>35</v>
      </c>
      <c r="H3109" s="5" t="s">
        <v>35</v>
      </c>
      <c r="I3109" s="5" t="s">
        <v>35</v>
      </c>
      <c r="J3109" s="6">
        <v>2.0</v>
      </c>
      <c r="K3109" s="6" t="s">
        <v>37</v>
      </c>
      <c r="L3109" s="6">
        <v>480.0</v>
      </c>
      <c r="M3109" s="26" t="s">
        <v>68</v>
      </c>
      <c r="N3109" s="26" t="s">
        <v>142</v>
      </c>
      <c r="O3109" s="6" t="s">
        <v>40</v>
      </c>
      <c r="P3109" s="5" t="s">
        <v>41</v>
      </c>
      <c r="Q3109" s="5"/>
      <c r="R3109" s="6" t="s">
        <v>42</v>
      </c>
      <c r="S3109" s="5" t="s">
        <v>99</v>
      </c>
      <c r="T3109" s="5" t="s">
        <v>90</v>
      </c>
      <c r="U3109" s="5" t="s">
        <v>6186</v>
      </c>
      <c r="V3109" s="5" t="s">
        <v>44</v>
      </c>
      <c r="W3109" s="5" t="s">
        <v>35</v>
      </c>
      <c r="X3109" s="8" t="s">
        <v>248</v>
      </c>
      <c r="Y3109" s="5" t="s">
        <v>46</v>
      </c>
      <c r="Z3109" s="5" t="s">
        <v>47</v>
      </c>
      <c r="AA3109" s="5" t="s">
        <v>48</v>
      </c>
      <c r="AB3109" s="5" t="s">
        <v>15266</v>
      </c>
      <c r="AC3109" s="6" t="s">
        <v>620</v>
      </c>
      <c r="AD3109" s="6">
        <v>3449.0</v>
      </c>
    </row>
    <row r="3110" ht="56.25" customHeight="1">
      <c r="A3110" s="5" t="s">
        <v>15137</v>
      </c>
      <c r="B3110" s="6" t="str">
        <f>IMAGE("https://storage.googleapis.com/acdb/housewares/FtrWoodenStoolS_Remake_6_2.png")</f>
        <v/>
      </c>
      <c r="C3110" s="5" t="s">
        <v>68</v>
      </c>
      <c r="D3110" s="5" t="s">
        <v>748</v>
      </c>
      <c r="E3110" s="5" t="s">
        <v>69</v>
      </c>
      <c r="F3110" s="5" t="s">
        <v>9107</v>
      </c>
      <c r="G3110" s="5" t="s">
        <v>35</v>
      </c>
      <c r="H3110" s="5" t="s">
        <v>35</v>
      </c>
      <c r="I3110" s="5" t="s">
        <v>35</v>
      </c>
      <c r="J3110" s="6">
        <v>2.0</v>
      </c>
      <c r="K3110" s="6" t="s">
        <v>37</v>
      </c>
      <c r="L3110" s="6">
        <v>480.0</v>
      </c>
      <c r="M3110" s="26" t="s">
        <v>68</v>
      </c>
      <c r="N3110" s="26" t="s">
        <v>69</v>
      </c>
      <c r="O3110" s="6" t="s">
        <v>40</v>
      </c>
      <c r="P3110" s="5" t="s">
        <v>41</v>
      </c>
      <c r="Q3110" s="5"/>
      <c r="R3110" s="6" t="s">
        <v>42</v>
      </c>
      <c r="S3110" s="5" t="s">
        <v>99</v>
      </c>
      <c r="T3110" s="5" t="s">
        <v>90</v>
      </c>
      <c r="U3110" s="5" t="s">
        <v>6186</v>
      </c>
      <c r="V3110" s="5" t="s">
        <v>44</v>
      </c>
      <c r="W3110" s="5" t="s">
        <v>35</v>
      </c>
      <c r="X3110" s="8" t="s">
        <v>248</v>
      </c>
      <c r="Y3110" s="5" t="s">
        <v>46</v>
      </c>
      <c r="Z3110" s="5" t="s">
        <v>47</v>
      </c>
      <c r="AA3110" s="5" t="s">
        <v>48</v>
      </c>
      <c r="AB3110" s="5" t="s">
        <v>15271</v>
      </c>
      <c r="AC3110" s="6" t="s">
        <v>626</v>
      </c>
      <c r="AD3110" s="6">
        <v>3449.0</v>
      </c>
    </row>
    <row r="3111" ht="56.25" customHeight="1">
      <c r="A3111" s="5" t="s">
        <v>15137</v>
      </c>
      <c r="B3111" s="6" t="str">
        <f>IMAGE("https://storage.googleapis.com/acdb/housewares/FtrWoodenStoolS_Remake_6_3.png")</f>
        <v/>
      </c>
      <c r="C3111" s="5" t="s">
        <v>68</v>
      </c>
      <c r="D3111" s="5" t="s">
        <v>748</v>
      </c>
      <c r="E3111" s="5" t="s">
        <v>68</v>
      </c>
      <c r="F3111" s="5" t="s">
        <v>9107</v>
      </c>
      <c r="G3111" s="5" t="s">
        <v>35</v>
      </c>
      <c r="H3111" s="5" t="s">
        <v>35</v>
      </c>
      <c r="I3111" s="5" t="s">
        <v>35</v>
      </c>
      <c r="J3111" s="6">
        <v>2.0</v>
      </c>
      <c r="K3111" s="6" t="s">
        <v>37</v>
      </c>
      <c r="L3111" s="6">
        <v>480.0</v>
      </c>
      <c r="M3111" s="26" t="s">
        <v>68</v>
      </c>
      <c r="N3111" s="26" t="s">
        <v>1175</v>
      </c>
      <c r="O3111" s="6" t="s">
        <v>40</v>
      </c>
      <c r="P3111" s="5" t="s">
        <v>41</v>
      </c>
      <c r="Q3111" s="5"/>
      <c r="R3111" s="6" t="s">
        <v>42</v>
      </c>
      <c r="S3111" s="5" t="s">
        <v>99</v>
      </c>
      <c r="T3111" s="5" t="s">
        <v>90</v>
      </c>
      <c r="U3111" s="5" t="s">
        <v>6186</v>
      </c>
      <c r="V3111" s="5" t="s">
        <v>44</v>
      </c>
      <c r="W3111" s="5" t="s">
        <v>35</v>
      </c>
      <c r="X3111" s="8" t="s">
        <v>248</v>
      </c>
      <c r="Y3111" s="5" t="s">
        <v>46</v>
      </c>
      <c r="Z3111" s="5" t="s">
        <v>47</v>
      </c>
      <c r="AA3111" s="5" t="s">
        <v>48</v>
      </c>
      <c r="AB3111" s="5" t="s">
        <v>15274</v>
      </c>
      <c r="AC3111" s="6" t="s">
        <v>634</v>
      </c>
      <c r="AD3111" s="6">
        <v>3449.0</v>
      </c>
    </row>
    <row r="3112" ht="56.25" customHeight="1">
      <c r="A3112" s="5" t="s">
        <v>15137</v>
      </c>
      <c r="B3112" s="6" t="str">
        <f>IMAGE("https://storage.googleapis.com/acdb/housewares/FtrWoodenStoolS_Remake_6_4.png")</f>
        <v/>
      </c>
      <c r="C3112" s="5" t="s">
        <v>68</v>
      </c>
      <c r="D3112" s="5" t="s">
        <v>748</v>
      </c>
      <c r="E3112" s="5" t="s">
        <v>96</v>
      </c>
      <c r="F3112" s="5" t="s">
        <v>9107</v>
      </c>
      <c r="G3112" s="5" t="s">
        <v>35</v>
      </c>
      <c r="H3112" s="5" t="s">
        <v>35</v>
      </c>
      <c r="I3112" s="5" t="s">
        <v>35</v>
      </c>
      <c r="J3112" s="6">
        <v>2.0</v>
      </c>
      <c r="K3112" s="6" t="s">
        <v>37</v>
      </c>
      <c r="L3112" s="6">
        <v>480.0</v>
      </c>
      <c r="M3112" s="26" t="s">
        <v>68</v>
      </c>
      <c r="N3112" s="26" t="s">
        <v>96</v>
      </c>
      <c r="O3112" s="6" t="s">
        <v>40</v>
      </c>
      <c r="P3112" s="5" t="s">
        <v>41</v>
      </c>
      <c r="Q3112" s="5"/>
      <c r="R3112" s="6" t="s">
        <v>42</v>
      </c>
      <c r="S3112" s="5" t="s">
        <v>99</v>
      </c>
      <c r="T3112" s="5" t="s">
        <v>90</v>
      </c>
      <c r="U3112" s="5" t="s">
        <v>6186</v>
      </c>
      <c r="V3112" s="5" t="s">
        <v>44</v>
      </c>
      <c r="W3112" s="5" t="s">
        <v>35</v>
      </c>
      <c r="X3112" s="8" t="s">
        <v>248</v>
      </c>
      <c r="Y3112" s="5" t="s">
        <v>46</v>
      </c>
      <c r="Z3112" s="5" t="s">
        <v>47</v>
      </c>
      <c r="AA3112" s="5" t="s">
        <v>48</v>
      </c>
      <c r="AB3112" s="5" t="s">
        <v>15278</v>
      </c>
      <c r="AC3112" s="6" t="s">
        <v>641</v>
      </c>
      <c r="AD3112" s="6">
        <v>3449.0</v>
      </c>
    </row>
    <row r="3113" ht="56.25" customHeight="1">
      <c r="A3113" s="5" t="s">
        <v>15137</v>
      </c>
      <c r="B3113" s="6" t="str">
        <f>IMAGE("https://storage.googleapis.com/acdb/housewares/FtrWoodenStoolS_Remake_7_0.png")</f>
        <v/>
      </c>
      <c r="C3113" s="5" t="s">
        <v>6214</v>
      </c>
      <c r="D3113" s="5" t="s">
        <v>34</v>
      </c>
      <c r="E3113" s="5" t="s">
        <v>44</v>
      </c>
      <c r="F3113" s="5" t="s">
        <v>9107</v>
      </c>
      <c r="G3113" s="5" t="s">
        <v>35</v>
      </c>
      <c r="H3113" s="5" t="s">
        <v>36</v>
      </c>
      <c r="I3113" s="5" t="s">
        <v>35</v>
      </c>
      <c r="J3113" s="6">
        <v>2.0</v>
      </c>
      <c r="K3113" s="6" t="s">
        <v>37</v>
      </c>
      <c r="L3113" s="6">
        <v>480.0</v>
      </c>
      <c r="M3113" s="26" t="s">
        <v>69</v>
      </c>
      <c r="N3113" s="26" t="s">
        <v>69</v>
      </c>
      <c r="O3113" s="6" t="s">
        <v>40</v>
      </c>
      <c r="P3113" s="5" t="s">
        <v>41</v>
      </c>
      <c r="Q3113" s="5"/>
      <c r="R3113" s="6" t="s">
        <v>42</v>
      </c>
      <c r="S3113" s="5" t="s">
        <v>99</v>
      </c>
      <c r="T3113" s="5" t="s">
        <v>90</v>
      </c>
      <c r="U3113" s="5" t="s">
        <v>6186</v>
      </c>
      <c r="V3113" s="5" t="s">
        <v>44</v>
      </c>
      <c r="W3113" s="5" t="s">
        <v>35</v>
      </c>
      <c r="X3113" s="8" t="s">
        <v>248</v>
      </c>
      <c r="Y3113" s="5" t="s">
        <v>46</v>
      </c>
      <c r="Z3113" s="5" t="s">
        <v>47</v>
      </c>
      <c r="AA3113" s="5" t="s">
        <v>48</v>
      </c>
      <c r="AB3113" s="5" t="s">
        <v>15285</v>
      </c>
      <c r="AC3113" s="6" t="s">
        <v>208</v>
      </c>
      <c r="AD3113" s="6">
        <v>3449.0</v>
      </c>
    </row>
    <row r="3114" ht="56.25" customHeight="1">
      <c r="A3114" s="5" t="s">
        <v>15137</v>
      </c>
      <c r="B3114" s="6" t="str">
        <f>IMAGE("https://storage.googleapis.com/acdb/housewares/FtrWoodenStoolS_Remake_7_1.png")</f>
        <v/>
      </c>
      <c r="C3114" s="5" t="s">
        <v>6214</v>
      </c>
      <c r="D3114" s="5" t="s">
        <v>34</v>
      </c>
      <c r="E3114" s="5" t="s">
        <v>142</v>
      </c>
      <c r="F3114" s="5" t="s">
        <v>9107</v>
      </c>
      <c r="G3114" s="5" t="s">
        <v>35</v>
      </c>
      <c r="H3114" s="5" t="s">
        <v>36</v>
      </c>
      <c r="I3114" s="5" t="s">
        <v>35</v>
      </c>
      <c r="J3114" s="6">
        <v>2.0</v>
      </c>
      <c r="K3114" s="6" t="s">
        <v>37</v>
      </c>
      <c r="L3114" s="6">
        <v>480.0</v>
      </c>
      <c r="M3114" s="26" t="s">
        <v>69</v>
      </c>
      <c r="N3114" s="26" t="s">
        <v>142</v>
      </c>
      <c r="O3114" s="6" t="s">
        <v>40</v>
      </c>
      <c r="P3114" s="5" t="s">
        <v>41</v>
      </c>
      <c r="Q3114" s="5"/>
      <c r="R3114" s="6" t="s">
        <v>42</v>
      </c>
      <c r="S3114" s="5" t="s">
        <v>99</v>
      </c>
      <c r="T3114" s="5" t="s">
        <v>90</v>
      </c>
      <c r="U3114" s="5" t="s">
        <v>6186</v>
      </c>
      <c r="V3114" s="5" t="s">
        <v>44</v>
      </c>
      <c r="W3114" s="5" t="s">
        <v>35</v>
      </c>
      <c r="X3114" s="8" t="s">
        <v>248</v>
      </c>
      <c r="Y3114" s="5" t="s">
        <v>46</v>
      </c>
      <c r="Z3114" s="5" t="s">
        <v>47</v>
      </c>
      <c r="AA3114" s="5" t="s">
        <v>48</v>
      </c>
      <c r="AB3114" s="5" t="s">
        <v>15291</v>
      </c>
      <c r="AC3114" s="6" t="s">
        <v>1892</v>
      </c>
      <c r="AD3114" s="6">
        <v>3449.0</v>
      </c>
    </row>
    <row r="3115" ht="56.25" customHeight="1">
      <c r="A3115" s="5" t="s">
        <v>15137</v>
      </c>
      <c r="B3115" s="6" t="str">
        <f>IMAGE("https://storage.googleapis.com/acdb/housewares/FtrWoodenStoolS_Remake_7_2.png")</f>
        <v/>
      </c>
      <c r="C3115" s="5" t="s">
        <v>6214</v>
      </c>
      <c r="D3115" s="5" t="s">
        <v>34</v>
      </c>
      <c r="E3115" s="5" t="s">
        <v>69</v>
      </c>
      <c r="F3115" s="5" t="s">
        <v>9107</v>
      </c>
      <c r="G3115" s="5" t="s">
        <v>35</v>
      </c>
      <c r="H3115" s="5" t="s">
        <v>36</v>
      </c>
      <c r="I3115" s="5" t="s">
        <v>35</v>
      </c>
      <c r="J3115" s="6">
        <v>2.0</v>
      </c>
      <c r="K3115" s="6" t="s">
        <v>37</v>
      </c>
      <c r="L3115" s="6">
        <v>480.0</v>
      </c>
      <c r="M3115" s="26" t="s">
        <v>69</v>
      </c>
      <c r="N3115" s="26" t="s">
        <v>69</v>
      </c>
      <c r="O3115" s="6" t="s">
        <v>40</v>
      </c>
      <c r="P3115" s="5" t="s">
        <v>41</v>
      </c>
      <c r="Q3115" s="5"/>
      <c r="R3115" s="6" t="s">
        <v>42</v>
      </c>
      <c r="S3115" s="5" t="s">
        <v>99</v>
      </c>
      <c r="T3115" s="5" t="s">
        <v>90</v>
      </c>
      <c r="U3115" s="5" t="s">
        <v>6186</v>
      </c>
      <c r="V3115" s="5" t="s">
        <v>44</v>
      </c>
      <c r="W3115" s="5" t="s">
        <v>35</v>
      </c>
      <c r="X3115" s="8" t="s">
        <v>248</v>
      </c>
      <c r="Y3115" s="5" t="s">
        <v>46</v>
      </c>
      <c r="Z3115" s="5" t="s">
        <v>47</v>
      </c>
      <c r="AA3115" s="5" t="s">
        <v>48</v>
      </c>
      <c r="AB3115" s="5" t="s">
        <v>15296</v>
      </c>
      <c r="AC3115" s="6" t="s">
        <v>1901</v>
      </c>
      <c r="AD3115" s="6">
        <v>3449.0</v>
      </c>
    </row>
    <row r="3116" ht="56.25" customHeight="1">
      <c r="A3116" s="5" t="s">
        <v>15137</v>
      </c>
      <c r="B3116" s="6" t="str">
        <f>IMAGE("https://storage.googleapis.com/acdb/housewares/FtrWoodenStoolS_Remake_7_3.png")</f>
        <v/>
      </c>
      <c r="C3116" s="5" t="s">
        <v>6214</v>
      </c>
      <c r="D3116" s="5" t="s">
        <v>34</v>
      </c>
      <c r="E3116" s="5" t="s">
        <v>68</v>
      </c>
      <c r="F3116" s="5" t="s">
        <v>9107</v>
      </c>
      <c r="G3116" s="5" t="s">
        <v>35</v>
      </c>
      <c r="H3116" s="5" t="s">
        <v>36</v>
      </c>
      <c r="I3116" s="5" t="s">
        <v>35</v>
      </c>
      <c r="J3116" s="6">
        <v>2.0</v>
      </c>
      <c r="K3116" s="6" t="s">
        <v>37</v>
      </c>
      <c r="L3116" s="6">
        <v>480.0</v>
      </c>
      <c r="M3116" s="26" t="s">
        <v>69</v>
      </c>
      <c r="N3116" s="26" t="s">
        <v>1175</v>
      </c>
      <c r="O3116" s="6" t="s">
        <v>40</v>
      </c>
      <c r="P3116" s="5" t="s">
        <v>41</v>
      </c>
      <c r="Q3116" s="5"/>
      <c r="R3116" s="6" t="s">
        <v>42</v>
      </c>
      <c r="S3116" s="5" t="s">
        <v>99</v>
      </c>
      <c r="T3116" s="5" t="s">
        <v>90</v>
      </c>
      <c r="U3116" s="5" t="s">
        <v>6186</v>
      </c>
      <c r="V3116" s="5" t="s">
        <v>44</v>
      </c>
      <c r="W3116" s="5" t="s">
        <v>35</v>
      </c>
      <c r="X3116" s="8" t="s">
        <v>248</v>
      </c>
      <c r="Y3116" s="5" t="s">
        <v>46</v>
      </c>
      <c r="Z3116" s="5" t="s">
        <v>47</v>
      </c>
      <c r="AA3116" s="5" t="s">
        <v>48</v>
      </c>
      <c r="AB3116" s="5" t="s">
        <v>15301</v>
      </c>
      <c r="AC3116" s="6" t="s">
        <v>1906</v>
      </c>
      <c r="AD3116" s="6">
        <v>3449.0</v>
      </c>
    </row>
    <row r="3117" ht="56.25" customHeight="1">
      <c r="A3117" s="5" t="s">
        <v>15137</v>
      </c>
      <c r="B3117" s="6" t="str">
        <f>IMAGE("https://storage.googleapis.com/acdb/housewares/FtrWoodenStoolS_Remake_7_4.png")</f>
        <v/>
      </c>
      <c r="C3117" s="5" t="s">
        <v>6214</v>
      </c>
      <c r="D3117" s="5" t="s">
        <v>34</v>
      </c>
      <c r="E3117" s="5" t="s">
        <v>96</v>
      </c>
      <c r="F3117" s="5" t="s">
        <v>9107</v>
      </c>
      <c r="G3117" s="5" t="s">
        <v>35</v>
      </c>
      <c r="H3117" s="5" t="s">
        <v>36</v>
      </c>
      <c r="I3117" s="5" t="s">
        <v>35</v>
      </c>
      <c r="J3117" s="6">
        <v>2.0</v>
      </c>
      <c r="K3117" s="6" t="s">
        <v>37</v>
      </c>
      <c r="L3117" s="6">
        <v>480.0</v>
      </c>
      <c r="M3117" s="26" t="s">
        <v>69</v>
      </c>
      <c r="N3117" s="26" t="s">
        <v>96</v>
      </c>
      <c r="O3117" s="6" t="s">
        <v>40</v>
      </c>
      <c r="P3117" s="5" t="s">
        <v>41</v>
      </c>
      <c r="Q3117" s="5"/>
      <c r="R3117" s="6" t="s">
        <v>42</v>
      </c>
      <c r="S3117" s="5" t="s">
        <v>99</v>
      </c>
      <c r="T3117" s="5" t="s">
        <v>90</v>
      </c>
      <c r="U3117" s="5" t="s">
        <v>6186</v>
      </c>
      <c r="V3117" s="5" t="s">
        <v>44</v>
      </c>
      <c r="W3117" s="5" t="s">
        <v>35</v>
      </c>
      <c r="X3117" s="8" t="s">
        <v>248</v>
      </c>
      <c r="Y3117" s="5" t="s">
        <v>46</v>
      </c>
      <c r="Z3117" s="5" t="s">
        <v>47</v>
      </c>
      <c r="AA3117" s="5" t="s">
        <v>48</v>
      </c>
      <c r="AB3117" s="5" t="s">
        <v>15309</v>
      </c>
      <c r="AC3117" s="6" t="s">
        <v>1910</v>
      </c>
      <c r="AD3117" s="6">
        <v>3449.0</v>
      </c>
    </row>
    <row r="3118" ht="56.25" customHeight="1">
      <c r="A3118" s="5" t="s">
        <v>15311</v>
      </c>
      <c r="B3118" s="6" t="str">
        <f>IMAGE("https://storage.googleapis.com/acdb/housewares/FtrWoodenTableL_Remake_0_0.png")</f>
        <v/>
      </c>
      <c r="C3118" s="5" t="s">
        <v>1137</v>
      </c>
      <c r="D3118" s="5" t="s">
        <v>748</v>
      </c>
      <c r="E3118" s="5" t="s">
        <v>44</v>
      </c>
      <c r="F3118" s="5" t="s">
        <v>7853</v>
      </c>
      <c r="G3118" s="5" t="s">
        <v>35</v>
      </c>
      <c r="H3118" s="5" t="s">
        <v>35</v>
      </c>
      <c r="I3118" s="5" t="s">
        <v>35</v>
      </c>
      <c r="J3118" s="6">
        <v>4.0</v>
      </c>
      <c r="K3118" s="6" t="s">
        <v>37</v>
      </c>
      <c r="L3118" s="6">
        <v>1800.0</v>
      </c>
      <c r="M3118" s="26" t="s">
        <v>38</v>
      </c>
      <c r="N3118" s="26" t="s">
        <v>38</v>
      </c>
      <c r="O3118" s="6" t="s">
        <v>214</v>
      </c>
      <c r="P3118" s="5" t="s">
        <v>41</v>
      </c>
      <c r="Q3118" s="5"/>
      <c r="R3118" s="6" t="s">
        <v>42</v>
      </c>
      <c r="S3118" s="5" t="s">
        <v>99</v>
      </c>
      <c r="T3118" s="5" t="s">
        <v>90</v>
      </c>
      <c r="U3118" s="5" t="s">
        <v>6186</v>
      </c>
      <c r="V3118" s="5" t="s">
        <v>44</v>
      </c>
      <c r="W3118" s="5" t="s">
        <v>36</v>
      </c>
      <c r="X3118" s="8" t="s">
        <v>278</v>
      </c>
      <c r="Y3118" s="5" t="s">
        <v>46</v>
      </c>
      <c r="Z3118" s="5" t="s">
        <v>47</v>
      </c>
      <c r="AA3118" s="5" t="s">
        <v>48</v>
      </c>
      <c r="AB3118" s="5" t="s">
        <v>15315</v>
      </c>
      <c r="AC3118" s="6" t="s">
        <v>50</v>
      </c>
      <c r="AD3118" s="6">
        <v>3439.0</v>
      </c>
    </row>
    <row r="3119" ht="56.25" customHeight="1">
      <c r="A3119" s="5" t="s">
        <v>15311</v>
      </c>
      <c r="B3119" s="6" t="str">
        <f>IMAGE("https://storage.googleapis.com/acdb/housewares/FtrWoodenTableL_Remake_0_1.png")</f>
        <v/>
      </c>
      <c r="C3119" s="5" t="s">
        <v>1137</v>
      </c>
      <c r="D3119" s="5" t="s">
        <v>748</v>
      </c>
      <c r="E3119" s="5" t="s">
        <v>142</v>
      </c>
      <c r="F3119" s="5" t="s">
        <v>7853</v>
      </c>
      <c r="G3119" s="5" t="s">
        <v>35</v>
      </c>
      <c r="H3119" s="5" t="s">
        <v>35</v>
      </c>
      <c r="I3119" s="5" t="s">
        <v>35</v>
      </c>
      <c r="J3119" s="6">
        <v>4.0</v>
      </c>
      <c r="K3119" s="6" t="s">
        <v>37</v>
      </c>
      <c r="L3119" s="6">
        <v>1800.0</v>
      </c>
      <c r="M3119" s="26" t="s">
        <v>38</v>
      </c>
      <c r="N3119" s="26" t="s">
        <v>142</v>
      </c>
      <c r="O3119" s="6" t="s">
        <v>214</v>
      </c>
      <c r="P3119" s="5" t="s">
        <v>41</v>
      </c>
      <c r="Q3119" s="5"/>
      <c r="R3119" s="6" t="s">
        <v>42</v>
      </c>
      <c r="S3119" s="5" t="s">
        <v>99</v>
      </c>
      <c r="T3119" s="5" t="s">
        <v>90</v>
      </c>
      <c r="U3119" s="5" t="s">
        <v>6186</v>
      </c>
      <c r="V3119" s="5" t="s">
        <v>44</v>
      </c>
      <c r="W3119" s="5" t="s">
        <v>36</v>
      </c>
      <c r="X3119" s="8" t="s">
        <v>278</v>
      </c>
      <c r="Y3119" s="5" t="s">
        <v>46</v>
      </c>
      <c r="Z3119" s="5" t="s">
        <v>47</v>
      </c>
      <c r="AA3119" s="5" t="s">
        <v>48</v>
      </c>
      <c r="AB3119" s="5" t="s">
        <v>15320</v>
      </c>
      <c r="AC3119" s="6" t="s">
        <v>217</v>
      </c>
      <c r="AD3119" s="6">
        <v>3439.0</v>
      </c>
    </row>
    <row r="3120" ht="56.25" customHeight="1">
      <c r="A3120" s="5" t="s">
        <v>15311</v>
      </c>
      <c r="B3120" s="6" t="str">
        <f>IMAGE("https://storage.googleapis.com/acdb/housewares/FtrWoodenTableL_Remake_0_2.png")</f>
        <v/>
      </c>
      <c r="C3120" s="5" t="s">
        <v>1137</v>
      </c>
      <c r="D3120" s="5" t="s">
        <v>748</v>
      </c>
      <c r="E3120" s="5" t="s">
        <v>69</v>
      </c>
      <c r="F3120" s="5" t="s">
        <v>7853</v>
      </c>
      <c r="G3120" s="5" t="s">
        <v>35</v>
      </c>
      <c r="H3120" s="5" t="s">
        <v>35</v>
      </c>
      <c r="I3120" s="5" t="s">
        <v>35</v>
      </c>
      <c r="J3120" s="6">
        <v>4.0</v>
      </c>
      <c r="K3120" s="6" t="s">
        <v>37</v>
      </c>
      <c r="L3120" s="6">
        <v>1800.0</v>
      </c>
      <c r="M3120" s="26" t="s">
        <v>38</v>
      </c>
      <c r="N3120" s="26" t="s">
        <v>69</v>
      </c>
      <c r="O3120" s="6" t="s">
        <v>214</v>
      </c>
      <c r="P3120" s="5" t="s">
        <v>41</v>
      </c>
      <c r="Q3120" s="5"/>
      <c r="R3120" s="6" t="s">
        <v>42</v>
      </c>
      <c r="S3120" s="5" t="s">
        <v>99</v>
      </c>
      <c r="T3120" s="5" t="s">
        <v>90</v>
      </c>
      <c r="U3120" s="5" t="s">
        <v>6186</v>
      </c>
      <c r="V3120" s="5" t="s">
        <v>44</v>
      </c>
      <c r="W3120" s="5" t="s">
        <v>36</v>
      </c>
      <c r="X3120" s="8" t="s">
        <v>278</v>
      </c>
      <c r="Y3120" s="5" t="s">
        <v>46</v>
      </c>
      <c r="Z3120" s="5" t="s">
        <v>47</v>
      </c>
      <c r="AA3120" s="5" t="s">
        <v>48</v>
      </c>
      <c r="AB3120" s="5" t="s">
        <v>15325</v>
      </c>
      <c r="AC3120" s="6" t="s">
        <v>347</v>
      </c>
      <c r="AD3120" s="6">
        <v>3439.0</v>
      </c>
    </row>
    <row r="3121" ht="56.25" customHeight="1">
      <c r="A3121" s="5" t="s">
        <v>15311</v>
      </c>
      <c r="B3121" s="6" t="str">
        <f>IMAGE("https://storage.googleapis.com/acdb/housewares/FtrWoodenTableL_Remake_0_3.png")</f>
        <v/>
      </c>
      <c r="C3121" s="5" t="s">
        <v>1137</v>
      </c>
      <c r="D3121" s="5" t="s">
        <v>748</v>
      </c>
      <c r="E3121" s="5" t="s">
        <v>68</v>
      </c>
      <c r="F3121" s="5" t="s">
        <v>7853</v>
      </c>
      <c r="G3121" s="5" t="s">
        <v>35</v>
      </c>
      <c r="H3121" s="5" t="s">
        <v>35</v>
      </c>
      <c r="I3121" s="5" t="s">
        <v>35</v>
      </c>
      <c r="J3121" s="6">
        <v>4.0</v>
      </c>
      <c r="K3121" s="6" t="s">
        <v>37</v>
      </c>
      <c r="L3121" s="6">
        <v>1800.0</v>
      </c>
      <c r="M3121" s="26" t="s">
        <v>38</v>
      </c>
      <c r="N3121" s="26" t="s">
        <v>1175</v>
      </c>
      <c r="O3121" s="6" t="s">
        <v>214</v>
      </c>
      <c r="P3121" s="5" t="s">
        <v>41</v>
      </c>
      <c r="Q3121" s="5"/>
      <c r="R3121" s="6" t="s">
        <v>42</v>
      </c>
      <c r="S3121" s="5" t="s">
        <v>99</v>
      </c>
      <c r="T3121" s="5" t="s">
        <v>90</v>
      </c>
      <c r="U3121" s="5" t="s">
        <v>6186</v>
      </c>
      <c r="V3121" s="5" t="s">
        <v>44</v>
      </c>
      <c r="W3121" s="5" t="s">
        <v>36</v>
      </c>
      <c r="X3121" s="8" t="s">
        <v>278</v>
      </c>
      <c r="Y3121" s="5" t="s">
        <v>46</v>
      </c>
      <c r="Z3121" s="5" t="s">
        <v>47</v>
      </c>
      <c r="AA3121" s="5" t="s">
        <v>48</v>
      </c>
      <c r="AB3121" s="5" t="s">
        <v>15329</v>
      </c>
      <c r="AC3121" s="6" t="s">
        <v>354</v>
      </c>
      <c r="AD3121" s="6">
        <v>3439.0</v>
      </c>
    </row>
    <row r="3122" ht="56.25" customHeight="1">
      <c r="A3122" s="5" t="s">
        <v>15311</v>
      </c>
      <c r="B3122" s="6" t="str">
        <f>IMAGE("https://storage.googleapis.com/acdb/housewares/FtrWoodenTableL_Remake_0_4.png")</f>
        <v/>
      </c>
      <c r="C3122" s="5" t="s">
        <v>1137</v>
      </c>
      <c r="D3122" s="5" t="s">
        <v>748</v>
      </c>
      <c r="E3122" s="5" t="s">
        <v>96</v>
      </c>
      <c r="F3122" s="5" t="s">
        <v>7853</v>
      </c>
      <c r="G3122" s="5" t="s">
        <v>35</v>
      </c>
      <c r="H3122" s="5" t="s">
        <v>35</v>
      </c>
      <c r="I3122" s="5" t="s">
        <v>35</v>
      </c>
      <c r="J3122" s="6">
        <v>4.0</v>
      </c>
      <c r="K3122" s="6" t="s">
        <v>37</v>
      </c>
      <c r="L3122" s="6">
        <v>1800.0</v>
      </c>
      <c r="M3122" s="26" t="s">
        <v>38</v>
      </c>
      <c r="N3122" s="26" t="s">
        <v>96</v>
      </c>
      <c r="O3122" s="6" t="s">
        <v>214</v>
      </c>
      <c r="P3122" s="5" t="s">
        <v>41</v>
      </c>
      <c r="Q3122" s="5"/>
      <c r="R3122" s="6" t="s">
        <v>42</v>
      </c>
      <c r="S3122" s="5" t="s">
        <v>99</v>
      </c>
      <c r="T3122" s="5" t="s">
        <v>90</v>
      </c>
      <c r="U3122" s="5" t="s">
        <v>6186</v>
      </c>
      <c r="V3122" s="5" t="s">
        <v>44</v>
      </c>
      <c r="W3122" s="5" t="s">
        <v>36</v>
      </c>
      <c r="X3122" s="8" t="s">
        <v>278</v>
      </c>
      <c r="Y3122" s="5" t="s">
        <v>46</v>
      </c>
      <c r="Z3122" s="5" t="s">
        <v>47</v>
      </c>
      <c r="AA3122" s="5" t="s">
        <v>48</v>
      </c>
      <c r="AB3122" s="5" t="s">
        <v>15336</v>
      </c>
      <c r="AC3122" s="6" t="s">
        <v>486</v>
      </c>
      <c r="AD3122" s="6">
        <v>3439.0</v>
      </c>
    </row>
    <row r="3123" ht="56.25" customHeight="1">
      <c r="A3123" s="5" t="s">
        <v>15311</v>
      </c>
      <c r="B3123" s="6" t="str">
        <f>IMAGE("https://storage.googleapis.com/acdb/housewares/FtrWoodenTableL_Remake_1_0.png")</f>
        <v/>
      </c>
      <c r="C3123" s="5" t="s">
        <v>1595</v>
      </c>
      <c r="D3123" s="5" t="s">
        <v>748</v>
      </c>
      <c r="E3123" s="5" t="s">
        <v>44</v>
      </c>
      <c r="F3123" s="5" t="s">
        <v>7853</v>
      </c>
      <c r="G3123" s="5" t="s">
        <v>35</v>
      </c>
      <c r="H3123" s="5" t="s">
        <v>35</v>
      </c>
      <c r="I3123" s="5" t="s">
        <v>35</v>
      </c>
      <c r="J3123" s="6">
        <v>4.0</v>
      </c>
      <c r="K3123" s="6" t="s">
        <v>37</v>
      </c>
      <c r="L3123" s="6">
        <v>1800.0</v>
      </c>
      <c r="M3123" s="26" t="s">
        <v>57</v>
      </c>
      <c r="N3123" s="26" t="s">
        <v>57</v>
      </c>
      <c r="O3123" s="6" t="s">
        <v>214</v>
      </c>
      <c r="P3123" s="5" t="s">
        <v>41</v>
      </c>
      <c r="Q3123" s="5"/>
      <c r="R3123" s="6" t="s">
        <v>42</v>
      </c>
      <c r="S3123" s="5" t="s">
        <v>99</v>
      </c>
      <c r="T3123" s="5" t="s">
        <v>90</v>
      </c>
      <c r="U3123" s="5" t="s">
        <v>6186</v>
      </c>
      <c r="V3123" s="5" t="s">
        <v>44</v>
      </c>
      <c r="W3123" s="5" t="s">
        <v>36</v>
      </c>
      <c r="X3123" s="8" t="s">
        <v>278</v>
      </c>
      <c r="Y3123" s="5" t="s">
        <v>46</v>
      </c>
      <c r="Z3123" s="5" t="s">
        <v>47</v>
      </c>
      <c r="AA3123" s="5" t="s">
        <v>48</v>
      </c>
      <c r="AB3123" s="5" t="s">
        <v>15343</v>
      </c>
      <c r="AC3123" s="6" t="s">
        <v>56</v>
      </c>
      <c r="AD3123" s="6">
        <v>3439.0</v>
      </c>
    </row>
    <row r="3124" ht="56.25" customHeight="1">
      <c r="A3124" s="5" t="s">
        <v>15311</v>
      </c>
      <c r="B3124" s="6" t="str">
        <f>IMAGE("https://storage.googleapis.com/acdb/housewares/FtrWoodenTableL_Remake_1_1.png")</f>
        <v/>
      </c>
      <c r="C3124" s="5" t="s">
        <v>1595</v>
      </c>
      <c r="D3124" s="5" t="s">
        <v>748</v>
      </c>
      <c r="E3124" s="5" t="s">
        <v>142</v>
      </c>
      <c r="F3124" s="5" t="s">
        <v>7853</v>
      </c>
      <c r="G3124" s="5" t="s">
        <v>35</v>
      </c>
      <c r="H3124" s="5" t="s">
        <v>35</v>
      </c>
      <c r="I3124" s="5" t="s">
        <v>35</v>
      </c>
      <c r="J3124" s="6">
        <v>4.0</v>
      </c>
      <c r="K3124" s="6" t="s">
        <v>37</v>
      </c>
      <c r="L3124" s="6">
        <v>1800.0</v>
      </c>
      <c r="M3124" s="26" t="s">
        <v>57</v>
      </c>
      <c r="N3124" s="26" t="s">
        <v>142</v>
      </c>
      <c r="O3124" s="6" t="s">
        <v>214</v>
      </c>
      <c r="P3124" s="5" t="s">
        <v>41</v>
      </c>
      <c r="Q3124" s="5"/>
      <c r="R3124" s="6" t="s">
        <v>42</v>
      </c>
      <c r="S3124" s="5" t="s">
        <v>99</v>
      </c>
      <c r="T3124" s="5" t="s">
        <v>90</v>
      </c>
      <c r="U3124" s="5" t="s">
        <v>6186</v>
      </c>
      <c r="V3124" s="5" t="s">
        <v>44</v>
      </c>
      <c r="W3124" s="5" t="s">
        <v>36</v>
      </c>
      <c r="X3124" s="8" t="s">
        <v>278</v>
      </c>
      <c r="Y3124" s="5" t="s">
        <v>46</v>
      </c>
      <c r="Z3124" s="5" t="s">
        <v>47</v>
      </c>
      <c r="AA3124" s="5" t="s">
        <v>48</v>
      </c>
      <c r="AB3124" s="5" t="s">
        <v>15349</v>
      </c>
      <c r="AC3124" s="6" t="s">
        <v>234</v>
      </c>
      <c r="AD3124" s="6">
        <v>3439.0</v>
      </c>
    </row>
    <row r="3125" ht="56.25" customHeight="1">
      <c r="A3125" s="5" t="s">
        <v>15311</v>
      </c>
      <c r="B3125" s="6" t="str">
        <f>IMAGE("https://storage.googleapis.com/acdb/housewares/FtrWoodenTableL_Remake_1_2.png")</f>
        <v/>
      </c>
      <c r="C3125" s="5" t="s">
        <v>1595</v>
      </c>
      <c r="D3125" s="5" t="s">
        <v>748</v>
      </c>
      <c r="E3125" s="5" t="s">
        <v>69</v>
      </c>
      <c r="F3125" s="5" t="s">
        <v>7853</v>
      </c>
      <c r="G3125" s="5" t="s">
        <v>35</v>
      </c>
      <c r="H3125" s="5" t="s">
        <v>35</v>
      </c>
      <c r="I3125" s="5" t="s">
        <v>35</v>
      </c>
      <c r="J3125" s="6">
        <v>4.0</v>
      </c>
      <c r="K3125" s="6" t="s">
        <v>37</v>
      </c>
      <c r="L3125" s="6">
        <v>1800.0</v>
      </c>
      <c r="M3125" s="26" t="s">
        <v>57</v>
      </c>
      <c r="N3125" s="26" t="s">
        <v>69</v>
      </c>
      <c r="O3125" s="6" t="s">
        <v>214</v>
      </c>
      <c r="P3125" s="5" t="s">
        <v>41</v>
      </c>
      <c r="Q3125" s="5"/>
      <c r="R3125" s="6" t="s">
        <v>42</v>
      </c>
      <c r="S3125" s="5" t="s">
        <v>99</v>
      </c>
      <c r="T3125" s="5" t="s">
        <v>90</v>
      </c>
      <c r="U3125" s="5" t="s">
        <v>6186</v>
      </c>
      <c r="V3125" s="5" t="s">
        <v>44</v>
      </c>
      <c r="W3125" s="5" t="s">
        <v>36</v>
      </c>
      <c r="X3125" s="8" t="s">
        <v>278</v>
      </c>
      <c r="Y3125" s="5" t="s">
        <v>46</v>
      </c>
      <c r="Z3125" s="5" t="s">
        <v>47</v>
      </c>
      <c r="AA3125" s="5" t="s">
        <v>48</v>
      </c>
      <c r="AB3125" s="5" t="s">
        <v>15354</v>
      </c>
      <c r="AC3125" s="6" t="s">
        <v>370</v>
      </c>
      <c r="AD3125" s="6">
        <v>3439.0</v>
      </c>
    </row>
    <row r="3126" ht="56.25" customHeight="1">
      <c r="A3126" s="5" t="s">
        <v>15311</v>
      </c>
      <c r="B3126" s="6" t="str">
        <f>IMAGE("https://storage.googleapis.com/acdb/housewares/FtrWoodenTableL_Remake_1_3.png")</f>
        <v/>
      </c>
      <c r="C3126" s="5" t="s">
        <v>1595</v>
      </c>
      <c r="D3126" s="5" t="s">
        <v>748</v>
      </c>
      <c r="E3126" s="5" t="s">
        <v>68</v>
      </c>
      <c r="F3126" s="5" t="s">
        <v>7853</v>
      </c>
      <c r="G3126" s="5" t="s">
        <v>35</v>
      </c>
      <c r="H3126" s="5" t="s">
        <v>35</v>
      </c>
      <c r="I3126" s="5" t="s">
        <v>35</v>
      </c>
      <c r="J3126" s="6">
        <v>4.0</v>
      </c>
      <c r="K3126" s="6" t="s">
        <v>37</v>
      </c>
      <c r="L3126" s="6">
        <v>1800.0</v>
      </c>
      <c r="M3126" s="26" t="s">
        <v>57</v>
      </c>
      <c r="N3126" s="26" t="s">
        <v>1175</v>
      </c>
      <c r="O3126" s="6" t="s">
        <v>214</v>
      </c>
      <c r="P3126" s="5" t="s">
        <v>41</v>
      </c>
      <c r="Q3126" s="5"/>
      <c r="R3126" s="6" t="s">
        <v>42</v>
      </c>
      <c r="S3126" s="5" t="s">
        <v>99</v>
      </c>
      <c r="T3126" s="5" t="s">
        <v>90</v>
      </c>
      <c r="U3126" s="5" t="s">
        <v>6186</v>
      </c>
      <c r="V3126" s="5" t="s">
        <v>44</v>
      </c>
      <c r="W3126" s="5" t="s">
        <v>36</v>
      </c>
      <c r="X3126" s="8" t="s">
        <v>278</v>
      </c>
      <c r="Y3126" s="5" t="s">
        <v>46</v>
      </c>
      <c r="Z3126" s="5" t="s">
        <v>47</v>
      </c>
      <c r="AA3126" s="5" t="s">
        <v>48</v>
      </c>
      <c r="AB3126" s="5" t="s">
        <v>15358</v>
      </c>
      <c r="AC3126" s="6" t="s">
        <v>377</v>
      </c>
      <c r="AD3126" s="6">
        <v>3439.0</v>
      </c>
    </row>
    <row r="3127" ht="56.25" customHeight="1">
      <c r="A3127" s="5" t="s">
        <v>15311</v>
      </c>
      <c r="B3127" s="6" t="str">
        <f>IMAGE("https://storage.googleapis.com/acdb/housewares/FtrWoodenTableL_Remake_1_4.png")</f>
        <v/>
      </c>
      <c r="C3127" s="5" t="s">
        <v>1595</v>
      </c>
      <c r="D3127" s="5" t="s">
        <v>748</v>
      </c>
      <c r="E3127" s="5" t="s">
        <v>96</v>
      </c>
      <c r="F3127" s="5" t="s">
        <v>7853</v>
      </c>
      <c r="G3127" s="5" t="s">
        <v>35</v>
      </c>
      <c r="H3127" s="5" t="s">
        <v>35</v>
      </c>
      <c r="I3127" s="5" t="s">
        <v>35</v>
      </c>
      <c r="J3127" s="6">
        <v>4.0</v>
      </c>
      <c r="K3127" s="6" t="s">
        <v>37</v>
      </c>
      <c r="L3127" s="6">
        <v>1800.0</v>
      </c>
      <c r="M3127" s="26" t="s">
        <v>57</v>
      </c>
      <c r="N3127" s="26" t="s">
        <v>96</v>
      </c>
      <c r="O3127" s="6" t="s">
        <v>214</v>
      </c>
      <c r="P3127" s="5" t="s">
        <v>41</v>
      </c>
      <c r="Q3127" s="5"/>
      <c r="R3127" s="6" t="s">
        <v>42</v>
      </c>
      <c r="S3127" s="5" t="s">
        <v>99</v>
      </c>
      <c r="T3127" s="5" t="s">
        <v>90</v>
      </c>
      <c r="U3127" s="5" t="s">
        <v>6186</v>
      </c>
      <c r="V3127" s="5" t="s">
        <v>44</v>
      </c>
      <c r="W3127" s="5" t="s">
        <v>36</v>
      </c>
      <c r="X3127" s="8" t="s">
        <v>278</v>
      </c>
      <c r="Y3127" s="5" t="s">
        <v>46</v>
      </c>
      <c r="Z3127" s="5" t="s">
        <v>47</v>
      </c>
      <c r="AA3127" s="5" t="s">
        <v>48</v>
      </c>
      <c r="AB3127" s="5" t="s">
        <v>15364</v>
      </c>
      <c r="AC3127" s="6" t="s">
        <v>520</v>
      </c>
      <c r="AD3127" s="6">
        <v>3439.0</v>
      </c>
    </row>
    <row r="3128" ht="56.25" customHeight="1">
      <c r="A3128" s="5" t="s">
        <v>15311</v>
      </c>
      <c r="B3128" s="6" t="str">
        <f>IMAGE("https://storage.googleapis.com/acdb/housewares/FtrWoodenTableL_Remake_2_0.png")</f>
        <v/>
      </c>
      <c r="C3128" s="5" t="s">
        <v>6192</v>
      </c>
      <c r="D3128" s="5" t="s">
        <v>748</v>
      </c>
      <c r="E3128" s="5" t="s">
        <v>44</v>
      </c>
      <c r="F3128" s="5" t="s">
        <v>7853</v>
      </c>
      <c r="G3128" s="5" t="s">
        <v>35</v>
      </c>
      <c r="H3128" s="5" t="s">
        <v>35</v>
      </c>
      <c r="I3128" s="5" t="s">
        <v>35</v>
      </c>
      <c r="J3128" s="6">
        <v>4.0</v>
      </c>
      <c r="K3128" s="6" t="s">
        <v>37</v>
      </c>
      <c r="L3128" s="6">
        <v>1800.0</v>
      </c>
      <c r="M3128" s="26" t="s">
        <v>142</v>
      </c>
      <c r="N3128" s="26" t="s">
        <v>142</v>
      </c>
      <c r="O3128" s="6" t="s">
        <v>214</v>
      </c>
      <c r="P3128" s="5" t="s">
        <v>41</v>
      </c>
      <c r="Q3128" s="5"/>
      <c r="R3128" s="6" t="s">
        <v>42</v>
      </c>
      <c r="S3128" s="5" t="s">
        <v>99</v>
      </c>
      <c r="T3128" s="5" t="s">
        <v>90</v>
      </c>
      <c r="U3128" s="5" t="s">
        <v>6186</v>
      </c>
      <c r="V3128" s="5" t="s">
        <v>44</v>
      </c>
      <c r="W3128" s="5" t="s">
        <v>36</v>
      </c>
      <c r="X3128" s="8" t="s">
        <v>278</v>
      </c>
      <c r="Y3128" s="5" t="s">
        <v>46</v>
      </c>
      <c r="Z3128" s="5" t="s">
        <v>47</v>
      </c>
      <c r="AA3128" s="5" t="s">
        <v>48</v>
      </c>
      <c r="AB3128" s="5" t="s">
        <v>15368</v>
      </c>
      <c r="AC3128" s="6" t="s">
        <v>67</v>
      </c>
      <c r="AD3128" s="6">
        <v>3439.0</v>
      </c>
    </row>
    <row r="3129" ht="56.25" customHeight="1">
      <c r="A3129" s="5" t="s">
        <v>15311</v>
      </c>
      <c r="B3129" s="6" t="str">
        <f>IMAGE("https://storage.googleapis.com/acdb/housewares/FtrWoodenTableL_Remake_2_1.png")</f>
        <v/>
      </c>
      <c r="C3129" s="5" t="s">
        <v>6192</v>
      </c>
      <c r="D3129" s="5" t="s">
        <v>748</v>
      </c>
      <c r="E3129" s="5" t="s">
        <v>142</v>
      </c>
      <c r="F3129" s="5" t="s">
        <v>7853</v>
      </c>
      <c r="G3129" s="5" t="s">
        <v>35</v>
      </c>
      <c r="H3129" s="5" t="s">
        <v>35</v>
      </c>
      <c r="I3129" s="5" t="s">
        <v>35</v>
      </c>
      <c r="J3129" s="6">
        <v>4.0</v>
      </c>
      <c r="K3129" s="6" t="s">
        <v>37</v>
      </c>
      <c r="L3129" s="6">
        <v>1800.0</v>
      </c>
      <c r="M3129" s="26" t="s">
        <v>142</v>
      </c>
      <c r="N3129" s="26" t="s">
        <v>142</v>
      </c>
      <c r="O3129" s="6" t="s">
        <v>214</v>
      </c>
      <c r="P3129" s="5" t="s">
        <v>41</v>
      </c>
      <c r="Q3129" s="5"/>
      <c r="R3129" s="6" t="s">
        <v>42</v>
      </c>
      <c r="S3129" s="5" t="s">
        <v>99</v>
      </c>
      <c r="T3129" s="5" t="s">
        <v>90</v>
      </c>
      <c r="U3129" s="5" t="s">
        <v>6186</v>
      </c>
      <c r="V3129" s="5" t="s">
        <v>44</v>
      </c>
      <c r="W3129" s="5" t="s">
        <v>36</v>
      </c>
      <c r="X3129" s="8" t="s">
        <v>278</v>
      </c>
      <c r="Y3129" s="5" t="s">
        <v>46</v>
      </c>
      <c r="Z3129" s="5" t="s">
        <v>47</v>
      </c>
      <c r="AA3129" s="5" t="s">
        <v>48</v>
      </c>
      <c r="AB3129" s="5" t="s">
        <v>15372</v>
      </c>
      <c r="AC3129" s="6" t="s">
        <v>247</v>
      </c>
      <c r="AD3129" s="6">
        <v>3439.0</v>
      </c>
    </row>
    <row r="3130" ht="56.25" customHeight="1">
      <c r="A3130" s="5" t="s">
        <v>15311</v>
      </c>
      <c r="B3130" s="6" t="str">
        <f>IMAGE("https://storage.googleapis.com/acdb/housewares/FtrWoodenTableL_Remake_2_2.png")</f>
        <v/>
      </c>
      <c r="C3130" s="5" t="s">
        <v>6192</v>
      </c>
      <c r="D3130" s="5" t="s">
        <v>748</v>
      </c>
      <c r="E3130" s="5" t="s">
        <v>69</v>
      </c>
      <c r="F3130" s="5" t="s">
        <v>7853</v>
      </c>
      <c r="G3130" s="5" t="s">
        <v>35</v>
      </c>
      <c r="H3130" s="5" t="s">
        <v>35</v>
      </c>
      <c r="I3130" s="5" t="s">
        <v>35</v>
      </c>
      <c r="J3130" s="6">
        <v>4.0</v>
      </c>
      <c r="K3130" s="6" t="s">
        <v>37</v>
      </c>
      <c r="L3130" s="6">
        <v>1800.0</v>
      </c>
      <c r="M3130" s="26" t="s">
        <v>142</v>
      </c>
      <c r="N3130" s="26" t="s">
        <v>69</v>
      </c>
      <c r="O3130" s="6" t="s">
        <v>214</v>
      </c>
      <c r="P3130" s="5" t="s">
        <v>41</v>
      </c>
      <c r="Q3130" s="5"/>
      <c r="R3130" s="6" t="s">
        <v>42</v>
      </c>
      <c r="S3130" s="5" t="s">
        <v>99</v>
      </c>
      <c r="T3130" s="5" t="s">
        <v>90</v>
      </c>
      <c r="U3130" s="5" t="s">
        <v>6186</v>
      </c>
      <c r="V3130" s="5" t="s">
        <v>44</v>
      </c>
      <c r="W3130" s="5" t="s">
        <v>36</v>
      </c>
      <c r="X3130" s="8" t="s">
        <v>278</v>
      </c>
      <c r="Y3130" s="5" t="s">
        <v>46</v>
      </c>
      <c r="Z3130" s="5" t="s">
        <v>47</v>
      </c>
      <c r="AA3130" s="5" t="s">
        <v>48</v>
      </c>
      <c r="AB3130" s="5" t="s">
        <v>15377</v>
      </c>
      <c r="AC3130" s="6" t="s">
        <v>390</v>
      </c>
      <c r="AD3130" s="6">
        <v>3439.0</v>
      </c>
    </row>
    <row r="3131" ht="56.25" customHeight="1">
      <c r="A3131" s="5" t="s">
        <v>15311</v>
      </c>
      <c r="B3131" s="6" t="str">
        <f>IMAGE("https://storage.googleapis.com/acdb/housewares/FtrWoodenTableL_Remake_2_3.png")</f>
        <v/>
      </c>
      <c r="C3131" s="5" t="s">
        <v>6192</v>
      </c>
      <c r="D3131" s="5" t="s">
        <v>748</v>
      </c>
      <c r="E3131" s="5" t="s">
        <v>68</v>
      </c>
      <c r="F3131" s="5" t="s">
        <v>7853</v>
      </c>
      <c r="G3131" s="5" t="s">
        <v>35</v>
      </c>
      <c r="H3131" s="5" t="s">
        <v>35</v>
      </c>
      <c r="I3131" s="5" t="s">
        <v>35</v>
      </c>
      <c r="J3131" s="6">
        <v>4.0</v>
      </c>
      <c r="K3131" s="6" t="s">
        <v>37</v>
      </c>
      <c r="L3131" s="6">
        <v>1800.0</v>
      </c>
      <c r="M3131" s="26" t="s">
        <v>142</v>
      </c>
      <c r="N3131" s="26" t="s">
        <v>1175</v>
      </c>
      <c r="O3131" s="6" t="s">
        <v>214</v>
      </c>
      <c r="P3131" s="5" t="s">
        <v>41</v>
      </c>
      <c r="Q3131" s="5"/>
      <c r="R3131" s="6" t="s">
        <v>42</v>
      </c>
      <c r="S3131" s="5" t="s">
        <v>99</v>
      </c>
      <c r="T3131" s="5" t="s">
        <v>90</v>
      </c>
      <c r="U3131" s="5" t="s">
        <v>6186</v>
      </c>
      <c r="V3131" s="5" t="s">
        <v>44</v>
      </c>
      <c r="W3131" s="5" t="s">
        <v>36</v>
      </c>
      <c r="X3131" s="8" t="s">
        <v>278</v>
      </c>
      <c r="Y3131" s="5" t="s">
        <v>46</v>
      </c>
      <c r="Z3131" s="5" t="s">
        <v>47</v>
      </c>
      <c r="AA3131" s="5" t="s">
        <v>48</v>
      </c>
      <c r="AB3131" s="5" t="s">
        <v>15382</v>
      </c>
      <c r="AC3131" s="6" t="s">
        <v>396</v>
      </c>
      <c r="AD3131" s="6">
        <v>3439.0</v>
      </c>
    </row>
    <row r="3132" ht="56.25" customHeight="1">
      <c r="A3132" s="5" t="s">
        <v>15311</v>
      </c>
      <c r="B3132" s="6" t="str">
        <f>IMAGE("https://storage.googleapis.com/acdb/housewares/FtrWoodenTableL_Remake_2_4.png")</f>
        <v/>
      </c>
      <c r="C3132" s="5" t="s">
        <v>6192</v>
      </c>
      <c r="D3132" s="5" t="s">
        <v>748</v>
      </c>
      <c r="E3132" s="5" t="s">
        <v>96</v>
      </c>
      <c r="F3132" s="5" t="s">
        <v>7853</v>
      </c>
      <c r="G3132" s="5" t="s">
        <v>35</v>
      </c>
      <c r="H3132" s="5" t="s">
        <v>35</v>
      </c>
      <c r="I3132" s="5" t="s">
        <v>35</v>
      </c>
      <c r="J3132" s="6">
        <v>4.0</v>
      </c>
      <c r="K3132" s="6" t="s">
        <v>37</v>
      </c>
      <c r="L3132" s="6">
        <v>1800.0</v>
      </c>
      <c r="M3132" s="26" t="s">
        <v>142</v>
      </c>
      <c r="N3132" s="26" t="s">
        <v>96</v>
      </c>
      <c r="O3132" s="6" t="s">
        <v>214</v>
      </c>
      <c r="P3132" s="5" t="s">
        <v>41</v>
      </c>
      <c r="Q3132" s="5"/>
      <c r="R3132" s="6" t="s">
        <v>42</v>
      </c>
      <c r="S3132" s="5" t="s">
        <v>99</v>
      </c>
      <c r="T3132" s="5" t="s">
        <v>90</v>
      </c>
      <c r="U3132" s="5" t="s">
        <v>6186</v>
      </c>
      <c r="V3132" s="5" t="s">
        <v>44</v>
      </c>
      <c r="W3132" s="5" t="s">
        <v>36</v>
      </c>
      <c r="X3132" s="8" t="s">
        <v>278</v>
      </c>
      <c r="Y3132" s="5" t="s">
        <v>46</v>
      </c>
      <c r="Z3132" s="5" t="s">
        <v>47</v>
      </c>
      <c r="AA3132" s="5" t="s">
        <v>48</v>
      </c>
      <c r="AB3132" s="5" t="s">
        <v>15388</v>
      </c>
      <c r="AC3132" s="6" t="s">
        <v>541</v>
      </c>
      <c r="AD3132" s="6">
        <v>3439.0</v>
      </c>
    </row>
    <row r="3133" ht="56.25" customHeight="1">
      <c r="A3133" s="5" t="s">
        <v>15311</v>
      </c>
      <c r="B3133" s="6" t="str">
        <f>IMAGE("https://storage.googleapis.com/acdb/housewares/FtrWoodenTableL_Remake_3_0.png")</f>
        <v/>
      </c>
      <c r="C3133" s="5" t="s">
        <v>1132</v>
      </c>
      <c r="D3133" s="5" t="s">
        <v>748</v>
      </c>
      <c r="E3133" s="5" t="s">
        <v>44</v>
      </c>
      <c r="F3133" s="5" t="s">
        <v>7853</v>
      </c>
      <c r="G3133" s="5" t="s">
        <v>35</v>
      </c>
      <c r="H3133" s="5" t="s">
        <v>35</v>
      </c>
      <c r="I3133" s="5" t="s">
        <v>35</v>
      </c>
      <c r="J3133" s="6">
        <v>4.0</v>
      </c>
      <c r="K3133" s="6" t="s">
        <v>37</v>
      </c>
      <c r="L3133" s="6">
        <v>1800.0</v>
      </c>
      <c r="M3133" s="26" t="s">
        <v>39</v>
      </c>
      <c r="N3133" s="26" t="s">
        <v>39</v>
      </c>
      <c r="O3133" s="6" t="s">
        <v>214</v>
      </c>
      <c r="P3133" s="5" t="s">
        <v>41</v>
      </c>
      <c r="Q3133" s="5"/>
      <c r="R3133" s="6" t="s">
        <v>42</v>
      </c>
      <c r="S3133" s="5" t="s">
        <v>99</v>
      </c>
      <c r="T3133" s="5" t="s">
        <v>90</v>
      </c>
      <c r="U3133" s="5" t="s">
        <v>6186</v>
      </c>
      <c r="V3133" s="5" t="s">
        <v>44</v>
      </c>
      <c r="W3133" s="5" t="s">
        <v>36</v>
      </c>
      <c r="X3133" s="8" t="s">
        <v>278</v>
      </c>
      <c r="Y3133" s="5" t="s">
        <v>46</v>
      </c>
      <c r="Z3133" s="5" t="s">
        <v>47</v>
      </c>
      <c r="AA3133" s="5" t="s">
        <v>48</v>
      </c>
      <c r="AB3133" s="5" t="s">
        <v>15392</v>
      </c>
      <c r="AC3133" s="6" t="s">
        <v>71</v>
      </c>
      <c r="AD3133" s="6">
        <v>3439.0</v>
      </c>
    </row>
    <row r="3134" ht="56.25" customHeight="1">
      <c r="A3134" s="5" t="s">
        <v>15311</v>
      </c>
      <c r="B3134" s="6" t="str">
        <f>IMAGE("https://storage.googleapis.com/acdb/housewares/FtrWoodenTableL_Remake_3_1.png")</f>
        <v/>
      </c>
      <c r="C3134" s="5" t="s">
        <v>1132</v>
      </c>
      <c r="D3134" s="5" t="s">
        <v>748</v>
      </c>
      <c r="E3134" s="5" t="s">
        <v>142</v>
      </c>
      <c r="F3134" s="5" t="s">
        <v>7853</v>
      </c>
      <c r="G3134" s="5" t="s">
        <v>35</v>
      </c>
      <c r="H3134" s="5" t="s">
        <v>35</v>
      </c>
      <c r="I3134" s="5" t="s">
        <v>35</v>
      </c>
      <c r="J3134" s="6">
        <v>4.0</v>
      </c>
      <c r="K3134" s="6" t="s">
        <v>37</v>
      </c>
      <c r="L3134" s="6">
        <v>1800.0</v>
      </c>
      <c r="M3134" s="26" t="s">
        <v>39</v>
      </c>
      <c r="N3134" s="26" t="s">
        <v>142</v>
      </c>
      <c r="O3134" s="6" t="s">
        <v>214</v>
      </c>
      <c r="P3134" s="5" t="s">
        <v>41</v>
      </c>
      <c r="Q3134" s="5"/>
      <c r="R3134" s="6" t="s">
        <v>42</v>
      </c>
      <c r="S3134" s="5" t="s">
        <v>99</v>
      </c>
      <c r="T3134" s="5" t="s">
        <v>90</v>
      </c>
      <c r="U3134" s="5" t="s">
        <v>6186</v>
      </c>
      <c r="V3134" s="5" t="s">
        <v>44</v>
      </c>
      <c r="W3134" s="5" t="s">
        <v>36</v>
      </c>
      <c r="X3134" s="8" t="s">
        <v>278</v>
      </c>
      <c r="Y3134" s="5" t="s">
        <v>46</v>
      </c>
      <c r="Z3134" s="5" t="s">
        <v>47</v>
      </c>
      <c r="AA3134" s="5" t="s">
        <v>48</v>
      </c>
      <c r="AB3134" s="5" t="s">
        <v>15398</v>
      </c>
      <c r="AC3134" s="6" t="s">
        <v>257</v>
      </c>
      <c r="AD3134" s="6">
        <v>3439.0</v>
      </c>
    </row>
    <row r="3135" ht="56.25" customHeight="1">
      <c r="A3135" s="5" t="s">
        <v>15311</v>
      </c>
      <c r="B3135" s="6" t="str">
        <f>IMAGE("https://storage.googleapis.com/acdb/housewares/FtrWoodenTableL_Remake_3_2.png")</f>
        <v/>
      </c>
      <c r="C3135" s="5" t="s">
        <v>1132</v>
      </c>
      <c r="D3135" s="5" t="s">
        <v>748</v>
      </c>
      <c r="E3135" s="5" t="s">
        <v>69</v>
      </c>
      <c r="F3135" s="5" t="s">
        <v>7853</v>
      </c>
      <c r="G3135" s="5" t="s">
        <v>35</v>
      </c>
      <c r="H3135" s="5" t="s">
        <v>35</v>
      </c>
      <c r="I3135" s="5" t="s">
        <v>35</v>
      </c>
      <c r="J3135" s="6">
        <v>4.0</v>
      </c>
      <c r="K3135" s="6" t="s">
        <v>37</v>
      </c>
      <c r="L3135" s="6">
        <v>1800.0</v>
      </c>
      <c r="M3135" s="26" t="s">
        <v>39</v>
      </c>
      <c r="N3135" s="26" t="s">
        <v>69</v>
      </c>
      <c r="O3135" s="6" t="s">
        <v>214</v>
      </c>
      <c r="P3135" s="5" t="s">
        <v>41</v>
      </c>
      <c r="Q3135" s="5"/>
      <c r="R3135" s="6" t="s">
        <v>42</v>
      </c>
      <c r="S3135" s="5" t="s">
        <v>99</v>
      </c>
      <c r="T3135" s="5" t="s">
        <v>90</v>
      </c>
      <c r="U3135" s="5" t="s">
        <v>6186</v>
      </c>
      <c r="V3135" s="5" t="s">
        <v>44</v>
      </c>
      <c r="W3135" s="5" t="s">
        <v>36</v>
      </c>
      <c r="X3135" s="8" t="s">
        <v>278</v>
      </c>
      <c r="Y3135" s="5" t="s">
        <v>46</v>
      </c>
      <c r="Z3135" s="5" t="s">
        <v>47</v>
      </c>
      <c r="AA3135" s="5" t="s">
        <v>48</v>
      </c>
      <c r="AB3135" s="5" t="s">
        <v>15401</v>
      </c>
      <c r="AC3135" s="6" t="s">
        <v>414</v>
      </c>
      <c r="AD3135" s="6">
        <v>3439.0</v>
      </c>
    </row>
    <row r="3136" ht="56.25" customHeight="1">
      <c r="A3136" s="5" t="s">
        <v>15311</v>
      </c>
      <c r="B3136" s="6" t="str">
        <f>IMAGE("https://storage.googleapis.com/acdb/housewares/FtrWoodenTableL_Remake_3_3.png")</f>
        <v/>
      </c>
      <c r="C3136" s="5" t="s">
        <v>1132</v>
      </c>
      <c r="D3136" s="5" t="s">
        <v>748</v>
      </c>
      <c r="E3136" s="5" t="s">
        <v>68</v>
      </c>
      <c r="F3136" s="5" t="s">
        <v>7853</v>
      </c>
      <c r="G3136" s="5" t="s">
        <v>35</v>
      </c>
      <c r="H3136" s="5" t="s">
        <v>35</v>
      </c>
      <c r="I3136" s="5" t="s">
        <v>35</v>
      </c>
      <c r="J3136" s="6">
        <v>4.0</v>
      </c>
      <c r="K3136" s="6" t="s">
        <v>37</v>
      </c>
      <c r="L3136" s="6">
        <v>1800.0</v>
      </c>
      <c r="M3136" s="26" t="s">
        <v>39</v>
      </c>
      <c r="N3136" s="26" t="s">
        <v>1175</v>
      </c>
      <c r="O3136" s="6" t="s">
        <v>214</v>
      </c>
      <c r="P3136" s="5" t="s">
        <v>41</v>
      </c>
      <c r="Q3136" s="5"/>
      <c r="R3136" s="6" t="s">
        <v>42</v>
      </c>
      <c r="S3136" s="5" t="s">
        <v>99</v>
      </c>
      <c r="T3136" s="5" t="s">
        <v>90</v>
      </c>
      <c r="U3136" s="5" t="s">
        <v>6186</v>
      </c>
      <c r="V3136" s="5" t="s">
        <v>44</v>
      </c>
      <c r="W3136" s="5" t="s">
        <v>36</v>
      </c>
      <c r="X3136" s="8" t="s">
        <v>278</v>
      </c>
      <c r="Y3136" s="5" t="s">
        <v>46</v>
      </c>
      <c r="Z3136" s="5" t="s">
        <v>47</v>
      </c>
      <c r="AA3136" s="5" t="s">
        <v>48</v>
      </c>
      <c r="AB3136" s="5" t="s">
        <v>15405</v>
      </c>
      <c r="AC3136" s="6" t="s">
        <v>418</v>
      </c>
      <c r="AD3136" s="6">
        <v>3439.0</v>
      </c>
    </row>
    <row r="3137" ht="56.25" customHeight="1">
      <c r="A3137" s="5" t="s">
        <v>15311</v>
      </c>
      <c r="B3137" s="6" t="str">
        <f>IMAGE("https://storage.googleapis.com/acdb/housewares/FtrWoodenTableL_Remake_3_4.png")</f>
        <v/>
      </c>
      <c r="C3137" s="5" t="s">
        <v>1132</v>
      </c>
      <c r="D3137" s="5" t="s">
        <v>748</v>
      </c>
      <c r="E3137" s="5" t="s">
        <v>96</v>
      </c>
      <c r="F3137" s="5" t="s">
        <v>7853</v>
      </c>
      <c r="G3137" s="5" t="s">
        <v>35</v>
      </c>
      <c r="H3137" s="5" t="s">
        <v>35</v>
      </c>
      <c r="I3137" s="5" t="s">
        <v>35</v>
      </c>
      <c r="J3137" s="6">
        <v>4.0</v>
      </c>
      <c r="K3137" s="6" t="s">
        <v>37</v>
      </c>
      <c r="L3137" s="6">
        <v>1800.0</v>
      </c>
      <c r="M3137" s="26" t="s">
        <v>39</v>
      </c>
      <c r="N3137" s="26" t="s">
        <v>96</v>
      </c>
      <c r="O3137" s="6" t="s">
        <v>214</v>
      </c>
      <c r="P3137" s="5" t="s">
        <v>41</v>
      </c>
      <c r="Q3137" s="5"/>
      <c r="R3137" s="6" t="s">
        <v>42</v>
      </c>
      <c r="S3137" s="5" t="s">
        <v>99</v>
      </c>
      <c r="T3137" s="5" t="s">
        <v>90</v>
      </c>
      <c r="U3137" s="5" t="s">
        <v>6186</v>
      </c>
      <c r="V3137" s="5" t="s">
        <v>44</v>
      </c>
      <c r="W3137" s="5" t="s">
        <v>36</v>
      </c>
      <c r="X3137" s="8" t="s">
        <v>278</v>
      </c>
      <c r="Y3137" s="5" t="s">
        <v>46</v>
      </c>
      <c r="Z3137" s="5" t="s">
        <v>47</v>
      </c>
      <c r="AA3137" s="5" t="s">
        <v>48</v>
      </c>
      <c r="AB3137" s="5" t="s">
        <v>15409</v>
      </c>
      <c r="AC3137" s="6" t="s">
        <v>563</v>
      </c>
      <c r="AD3137" s="6">
        <v>3439.0</v>
      </c>
    </row>
    <row r="3138" ht="56.25" customHeight="1">
      <c r="A3138" s="5" t="s">
        <v>15311</v>
      </c>
      <c r="B3138" s="6" t="str">
        <f>IMAGE("https://storage.googleapis.com/acdb/housewares/FtrWoodenTableL_Remake_4_0.png")</f>
        <v/>
      </c>
      <c r="C3138" s="5" t="s">
        <v>54</v>
      </c>
      <c r="D3138" s="5" t="s">
        <v>748</v>
      </c>
      <c r="E3138" s="5" t="s">
        <v>44</v>
      </c>
      <c r="F3138" s="5" t="s">
        <v>7853</v>
      </c>
      <c r="G3138" s="5" t="s">
        <v>35</v>
      </c>
      <c r="H3138" s="5" t="s">
        <v>35</v>
      </c>
      <c r="I3138" s="5" t="s">
        <v>35</v>
      </c>
      <c r="J3138" s="6">
        <v>4.0</v>
      </c>
      <c r="K3138" s="6" t="s">
        <v>37</v>
      </c>
      <c r="L3138" s="6">
        <v>1800.0</v>
      </c>
      <c r="M3138" s="26" t="s">
        <v>54</v>
      </c>
      <c r="N3138" s="26" t="s">
        <v>54</v>
      </c>
      <c r="O3138" s="6" t="s">
        <v>214</v>
      </c>
      <c r="P3138" s="5" t="s">
        <v>41</v>
      </c>
      <c r="Q3138" s="5"/>
      <c r="R3138" s="6" t="s">
        <v>42</v>
      </c>
      <c r="S3138" s="5" t="s">
        <v>99</v>
      </c>
      <c r="T3138" s="5" t="s">
        <v>90</v>
      </c>
      <c r="U3138" s="5" t="s">
        <v>6186</v>
      </c>
      <c r="V3138" s="5" t="s">
        <v>44</v>
      </c>
      <c r="W3138" s="5" t="s">
        <v>36</v>
      </c>
      <c r="X3138" s="8" t="s">
        <v>278</v>
      </c>
      <c r="Y3138" s="5" t="s">
        <v>46</v>
      </c>
      <c r="Z3138" s="5" t="s">
        <v>47</v>
      </c>
      <c r="AA3138" s="5" t="s">
        <v>48</v>
      </c>
      <c r="AB3138" s="5" t="s">
        <v>15413</v>
      </c>
      <c r="AC3138" s="6" t="s">
        <v>75</v>
      </c>
      <c r="AD3138" s="6">
        <v>3439.0</v>
      </c>
    </row>
    <row r="3139" ht="56.25" customHeight="1">
      <c r="A3139" s="5" t="s">
        <v>15311</v>
      </c>
      <c r="B3139" s="6" t="str">
        <f>IMAGE("https://storage.googleapis.com/acdb/housewares/FtrWoodenTableL_Remake_4_1.png")</f>
        <v/>
      </c>
      <c r="C3139" s="5" t="s">
        <v>54</v>
      </c>
      <c r="D3139" s="5" t="s">
        <v>748</v>
      </c>
      <c r="E3139" s="5" t="s">
        <v>142</v>
      </c>
      <c r="F3139" s="5" t="s">
        <v>7853</v>
      </c>
      <c r="G3139" s="5" t="s">
        <v>35</v>
      </c>
      <c r="H3139" s="5" t="s">
        <v>35</v>
      </c>
      <c r="I3139" s="5" t="s">
        <v>35</v>
      </c>
      <c r="J3139" s="6">
        <v>4.0</v>
      </c>
      <c r="K3139" s="6" t="s">
        <v>37</v>
      </c>
      <c r="L3139" s="6">
        <v>1800.0</v>
      </c>
      <c r="M3139" s="26" t="s">
        <v>54</v>
      </c>
      <c r="N3139" s="26" t="s">
        <v>142</v>
      </c>
      <c r="O3139" s="6" t="s">
        <v>214</v>
      </c>
      <c r="P3139" s="5" t="s">
        <v>41</v>
      </c>
      <c r="Q3139" s="5"/>
      <c r="R3139" s="6" t="s">
        <v>42</v>
      </c>
      <c r="S3139" s="5" t="s">
        <v>99</v>
      </c>
      <c r="T3139" s="5" t="s">
        <v>90</v>
      </c>
      <c r="U3139" s="5" t="s">
        <v>6186</v>
      </c>
      <c r="V3139" s="5" t="s">
        <v>44</v>
      </c>
      <c r="W3139" s="5" t="s">
        <v>36</v>
      </c>
      <c r="X3139" s="8" t="s">
        <v>278</v>
      </c>
      <c r="Y3139" s="5" t="s">
        <v>46</v>
      </c>
      <c r="Z3139" s="5" t="s">
        <v>47</v>
      </c>
      <c r="AA3139" s="5" t="s">
        <v>48</v>
      </c>
      <c r="AB3139" s="5" t="s">
        <v>15417</v>
      </c>
      <c r="AC3139" s="6" t="s">
        <v>429</v>
      </c>
      <c r="AD3139" s="6">
        <v>3439.0</v>
      </c>
    </row>
    <row r="3140" ht="56.25" customHeight="1">
      <c r="A3140" s="5" t="s">
        <v>15311</v>
      </c>
      <c r="B3140" s="6" t="str">
        <f>IMAGE("https://storage.googleapis.com/acdb/housewares/FtrWoodenTableL_Remake_4_2.png")</f>
        <v/>
      </c>
      <c r="C3140" s="5" t="s">
        <v>54</v>
      </c>
      <c r="D3140" s="5" t="s">
        <v>748</v>
      </c>
      <c r="E3140" s="5" t="s">
        <v>69</v>
      </c>
      <c r="F3140" s="5" t="s">
        <v>7853</v>
      </c>
      <c r="G3140" s="5" t="s">
        <v>35</v>
      </c>
      <c r="H3140" s="5" t="s">
        <v>35</v>
      </c>
      <c r="I3140" s="5" t="s">
        <v>35</v>
      </c>
      <c r="J3140" s="6">
        <v>4.0</v>
      </c>
      <c r="K3140" s="6" t="s">
        <v>37</v>
      </c>
      <c r="L3140" s="6">
        <v>1800.0</v>
      </c>
      <c r="M3140" s="26" t="s">
        <v>54</v>
      </c>
      <c r="N3140" s="26" t="s">
        <v>69</v>
      </c>
      <c r="O3140" s="6" t="s">
        <v>214</v>
      </c>
      <c r="P3140" s="5" t="s">
        <v>41</v>
      </c>
      <c r="Q3140" s="5"/>
      <c r="R3140" s="6" t="s">
        <v>42</v>
      </c>
      <c r="S3140" s="5" t="s">
        <v>99</v>
      </c>
      <c r="T3140" s="5" t="s">
        <v>90</v>
      </c>
      <c r="U3140" s="5" t="s">
        <v>6186</v>
      </c>
      <c r="V3140" s="5" t="s">
        <v>44</v>
      </c>
      <c r="W3140" s="5" t="s">
        <v>36</v>
      </c>
      <c r="X3140" s="8" t="s">
        <v>278</v>
      </c>
      <c r="Y3140" s="5" t="s">
        <v>46</v>
      </c>
      <c r="Z3140" s="5" t="s">
        <v>47</v>
      </c>
      <c r="AA3140" s="5" t="s">
        <v>48</v>
      </c>
      <c r="AB3140" s="5" t="s">
        <v>15422</v>
      </c>
      <c r="AC3140" s="6" t="s">
        <v>434</v>
      </c>
      <c r="AD3140" s="6">
        <v>3439.0</v>
      </c>
    </row>
    <row r="3141" ht="56.25" customHeight="1">
      <c r="A3141" s="5" t="s">
        <v>15311</v>
      </c>
      <c r="B3141" s="6" t="str">
        <f>IMAGE("https://storage.googleapis.com/acdb/housewares/FtrWoodenTableL_Remake_4_3.png")</f>
        <v/>
      </c>
      <c r="C3141" s="5" t="s">
        <v>54</v>
      </c>
      <c r="D3141" s="5" t="s">
        <v>748</v>
      </c>
      <c r="E3141" s="5" t="s">
        <v>68</v>
      </c>
      <c r="F3141" s="5" t="s">
        <v>7853</v>
      </c>
      <c r="G3141" s="5" t="s">
        <v>35</v>
      </c>
      <c r="H3141" s="5" t="s">
        <v>35</v>
      </c>
      <c r="I3141" s="5" t="s">
        <v>35</v>
      </c>
      <c r="J3141" s="6">
        <v>4.0</v>
      </c>
      <c r="K3141" s="6" t="s">
        <v>37</v>
      </c>
      <c r="L3141" s="6">
        <v>1800.0</v>
      </c>
      <c r="M3141" s="26" t="s">
        <v>54</v>
      </c>
      <c r="N3141" s="26" t="s">
        <v>1175</v>
      </c>
      <c r="O3141" s="6" t="s">
        <v>214</v>
      </c>
      <c r="P3141" s="5" t="s">
        <v>41</v>
      </c>
      <c r="Q3141" s="5"/>
      <c r="R3141" s="6" t="s">
        <v>42</v>
      </c>
      <c r="S3141" s="5" t="s">
        <v>99</v>
      </c>
      <c r="T3141" s="5" t="s">
        <v>90</v>
      </c>
      <c r="U3141" s="5" t="s">
        <v>6186</v>
      </c>
      <c r="V3141" s="5" t="s">
        <v>44</v>
      </c>
      <c r="W3141" s="5" t="s">
        <v>36</v>
      </c>
      <c r="X3141" s="8" t="s">
        <v>278</v>
      </c>
      <c r="Y3141" s="5" t="s">
        <v>46</v>
      </c>
      <c r="Z3141" s="5" t="s">
        <v>47</v>
      </c>
      <c r="AA3141" s="5" t="s">
        <v>48</v>
      </c>
      <c r="AB3141" s="5" t="s">
        <v>15427</v>
      </c>
      <c r="AC3141" s="6" t="s">
        <v>438</v>
      </c>
      <c r="AD3141" s="6">
        <v>3439.0</v>
      </c>
    </row>
    <row r="3142" ht="56.25" customHeight="1">
      <c r="A3142" s="5" t="s">
        <v>15311</v>
      </c>
      <c r="B3142" s="6" t="str">
        <f>IMAGE("https://storage.googleapis.com/acdb/housewares/FtrWoodenTableL_Remake_4_4.png")</f>
        <v/>
      </c>
      <c r="C3142" s="5" t="s">
        <v>54</v>
      </c>
      <c r="D3142" s="5" t="s">
        <v>748</v>
      </c>
      <c r="E3142" s="5" t="s">
        <v>96</v>
      </c>
      <c r="F3142" s="5" t="s">
        <v>7853</v>
      </c>
      <c r="G3142" s="5" t="s">
        <v>35</v>
      </c>
      <c r="H3142" s="5" t="s">
        <v>35</v>
      </c>
      <c r="I3142" s="5" t="s">
        <v>35</v>
      </c>
      <c r="J3142" s="6">
        <v>4.0</v>
      </c>
      <c r="K3142" s="6" t="s">
        <v>37</v>
      </c>
      <c r="L3142" s="6">
        <v>1800.0</v>
      </c>
      <c r="M3142" s="26" t="s">
        <v>54</v>
      </c>
      <c r="N3142" s="26" t="s">
        <v>96</v>
      </c>
      <c r="O3142" s="6" t="s">
        <v>214</v>
      </c>
      <c r="P3142" s="5" t="s">
        <v>41</v>
      </c>
      <c r="Q3142" s="5"/>
      <c r="R3142" s="6" t="s">
        <v>42</v>
      </c>
      <c r="S3142" s="5" t="s">
        <v>99</v>
      </c>
      <c r="T3142" s="5" t="s">
        <v>90</v>
      </c>
      <c r="U3142" s="5" t="s">
        <v>6186</v>
      </c>
      <c r="V3142" s="5" t="s">
        <v>44</v>
      </c>
      <c r="W3142" s="5" t="s">
        <v>36</v>
      </c>
      <c r="X3142" s="8" t="s">
        <v>278</v>
      </c>
      <c r="Y3142" s="5" t="s">
        <v>46</v>
      </c>
      <c r="Z3142" s="5" t="s">
        <v>47</v>
      </c>
      <c r="AA3142" s="5" t="s">
        <v>48</v>
      </c>
      <c r="AB3142" s="5" t="s">
        <v>15430</v>
      </c>
      <c r="AC3142" s="6" t="s">
        <v>585</v>
      </c>
      <c r="AD3142" s="6">
        <v>3439.0</v>
      </c>
    </row>
    <row r="3143" ht="56.25" customHeight="1">
      <c r="A3143" s="5" t="s">
        <v>15311</v>
      </c>
      <c r="B3143" s="6" t="str">
        <f>IMAGE("https://storage.googleapis.com/acdb/housewares/FtrWoodenTableL_Remake_5_0.png")</f>
        <v/>
      </c>
      <c r="C3143" s="5" t="s">
        <v>96</v>
      </c>
      <c r="D3143" s="5" t="s">
        <v>748</v>
      </c>
      <c r="E3143" s="5" t="s">
        <v>44</v>
      </c>
      <c r="F3143" s="5" t="s">
        <v>7853</v>
      </c>
      <c r="G3143" s="5" t="s">
        <v>35</v>
      </c>
      <c r="H3143" s="5" t="s">
        <v>35</v>
      </c>
      <c r="I3143" s="5" t="s">
        <v>35</v>
      </c>
      <c r="J3143" s="6">
        <v>4.0</v>
      </c>
      <c r="K3143" s="6" t="s">
        <v>37</v>
      </c>
      <c r="L3143" s="6">
        <v>1800.0</v>
      </c>
      <c r="M3143" s="26" t="s">
        <v>96</v>
      </c>
      <c r="N3143" s="26" t="s">
        <v>96</v>
      </c>
      <c r="O3143" s="6" t="s">
        <v>214</v>
      </c>
      <c r="P3143" s="5" t="s">
        <v>41</v>
      </c>
      <c r="Q3143" s="5"/>
      <c r="R3143" s="6" t="s">
        <v>42</v>
      </c>
      <c r="S3143" s="5" t="s">
        <v>99</v>
      </c>
      <c r="T3143" s="5" t="s">
        <v>90</v>
      </c>
      <c r="U3143" s="5" t="s">
        <v>6186</v>
      </c>
      <c r="V3143" s="5" t="s">
        <v>44</v>
      </c>
      <c r="W3143" s="5" t="s">
        <v>36</v>
      </c>
      <c r="X3143" s="8" t="s">
        <v>278</v>
      </c>
      <c r="Y3143" s="5" t="s">
        <v>46</v>
      </c>
      <c r="Z3143" s="5" t="s">
        <v>47</v>
      </c>
      <c r="AA3143" s="5" t="s">
        <v>48</v>
      </c>
      <c r="AB3143" s="5" t="s">
        <v>15433</v>
      </c>
      <c r="AC3143" s="6" t="s">
        <v>79</v>
      </c>
      <c r="AD3143" s="6">
        <v>3439.0</v>
      </c>
    </row>
    <row r="3144" ht="56.25" customHeight="1">
      <c r="A3144" s="5" t="s">
        <v>15311</v>
      </c>
      <c r="B3144" s="6" t="str">
        <f>IMAGE("https://storage.googleapis.com/acdb/housewares/FtrWoodenTableL_Remake_5_1.png")</f>
        <v/>
      </c>
      <c r="C3144" s="5" t="s">
        <v>96</v>
      </c>
      <c r="D3144" s="5" t="s">
        <v>748</v>
      </c>
      <c r="E3144" s="5" t="s">
        <v>142</v>
      </c>
      <c r="F3144" s="5" t="s">
        <v>7853</v>
      </c>
      <c r="G3144" s="5" t="s">
        <v>35</v>
      </c>
      <c r="H3144" s="5" t="s">
        <v>35</v>
      </c>
      <c r="I3144" s="5" t="s">
        <v>35</v>
      </c>
      <c r="J3144" s="6">
        <v>4.0</v>
      </c>
      <c r="K3144" s="6" t="s">
        <v>37</v>
      </c>
      <c r="L3144" s="6">
        <v>1800.0</v>
      </c>
      <c r="M3144" s="26" t="s">
        <v>96</v>
      </c>
      <c r="N3144" s="26" t="s">
        <v>142</v>
      </c>
      <c r="O3144" s="6" t="s">
        <v>214</v>
      </c>
      <c r="P3144" s="5" t="s">
        <v>41</v>
      </c>
      <c r="Q3144" s="5"/>
      <c r="R3144" s="6" t="s">
        <v>42</v>
      </c>
      <c r="S3144" s="5" t="s">
        <v>99</v>
      </c>
      <c r="T3144" s="5" t="s">
        <v>90</v>
      </c>
      <c r="U3144" s="5" t="s">
        <v>6186</v>
      </c>
      <c r="V3144" s="5" t="s">
        <v>44</v>
      </c>
      <c r="W3144" s="5" t="s">
        <v>36</v>
      </c>
      <c r="X3144" s="8" t="s">
        <v>278</v>
      </c>
      <c r="Y3144" s="5" t="s">
        <v>46</v>
      </c>
      <c r="Z3144" s="5" t="s">
        <v>47</v>
      </c>
      <c r="AA3144" s="5" t="s">
        <v>48</v>
      </c>
      <c r="AB3144" s="5" t="s">
        <v>15436</v>
      </c>
      <c r="AC3144" s="6" t="s">
        <v>448</v>
      </c>
      <c r="AD3144" s="6">
        <v>3439.0</v>
      </c>
    </row>
    <row r="3145" ht="56.25" customHeight="1">
      <c r="A3145" s="5" t="s">
        <v>15311</v>
      </c>
      <c r="B3145" s="6" t="str">
        <f>IMAGE("https://storage.googleapis.com/acdb/housewares/FtrWoodenTableL_Remake_5_2.png")</f>
        <v/>
      </c>
      <c r="C3145" s="5" t="s">
        <v>96</v>
      </c>
      <c r="D3145" s="5" t="s">
        <v>748</v>
      </c>
      <c r="E3145" s="5" t="s">
        <v>69</v>
      </c>
      <c r="F3145" s="5" t="s">
        <v>7853</v>
      </c>
      <c r="G3145" s="5" t="s">
        <v>35</v>
      </c>
      <c r="H3145" s="5" t="s">
        <v>35</v>
      </c>
      <c r="I3145" s="5" t="s">
        <v>35</v>
      </c>
      <c r="J3145" s="6">
        <v>4.0</v>
      </c>
      <c r="K3145" s="6" t="s">
        <v>37</v>
      </c>
      <c r="L3145" s="6">
        <v>1800.0</v>
      </c>
      <c r="M3145" s="26" t="s">
        <v>96</v>
      </c>
      <c r="N3145" s="26" t="s">
        <v>69</v>
      </c>
      <c r="O3145" s="6" t="s">
        <v>214</v>
      </c>
      <c r="P3145" s="5" t="s">
        <v>41</v>
      </c>
      <c r="Q3145" s="5"/>
      <c r="R3145" s="6" t="s">
        <v>42</v>
      </c>
      <c r="S3145" s="5" t="s">
        <v>99</v>
      </c>
      <c r="T3145" s="5" t="s">
        <v>90</v>
      </c>
      <c r="U3145" s="5" t="s">
        <v>6186</v>
      </c>
      <c r="V3145" s="5" t="s">
        <v>44</v>
      </c>
      <c r="W3145" s="5" t="s">
        <v>36</v>
      </c>
      <c r="X3145" s="8" t="s">
        <v>278</v>
      </c>
      <c r="Y3145" s="5" t="s">
        <v>46</v>
      </c>
      <c r="Z3145" s="5" t="s">
        <v>47</v>
      </c>
      <c r="AA3145" s="5" t="s">
        <v>48</v>
      </c>
      <c r="AB3145" s="5" t="s">
        <v>15440</v>
      </c>
      <c r="AC3145" s="6" t="s">
        <v>452</v>
      </c>
      <c r="AD3145" s="6">
        <v>3439.0</v>
      </c>
    </row>
    <row r="3146" ht="56.25" customHeight="1">
      <c r="A3146" s="5" t="s">
        <v>15311</v>
      </c>
      <c r="B3146" s="6" t="str">
        <f>IMAGE("https://storage.googleapis.com/acdb/housewares/FtrWoodenTableL_Remake_5_3.png")</f>
        <v/>
      </c>
      <c r="C3146" s="5" t="s">
        <v>96</v>
      </c>
      <c r="D3146" s="5" t="s">
        <v>748</v>
      </c>
      <c r="E3146" s="5" t="s">
        <v>68</v>
      </c>
      <c r="F3146" s="5" t="s">
        <v>7853</v>
      </c>
      <c r="G3146" s="5" t="s">
        <v>35</v>
      </c>
      <c r="H3146" s="5" t="s">
        <v>35</v>
      </c>
      <c r="I3146" s="5" t="s">
        <v>35</v>
      </c>
      <c r="J3146" s="6">
        <v>4.0</v>
      </c>
      <c r="K3146" s="6" t="s">
        <v>37</v>
      </c>
      <c r="L3146" s="6">
        <v>1800.0</v>
      </c>
      <c r="M3146" s="26" t="s">
        <v>96</v>
      </c>
      <c r="N3146" s="26" t="s">
        <v>1175</v>
      </c>
      <c r="O3146" s="6" t="s">
        <v>214</v>
      </c>
      <c r="P3146" s="5" t="s">
        <v>41</v>
      </c>
      <c r="Q3146" s="5"/>
      <c r="R3146" s="6" t="s">
        <v>42</v>
      </c>
      <c r="S3146" s="5" t="s">
        <v>99</v>
      </c>
      <c r="T3146" s="5" t="s">
        <v>90</v>
      </c>
      <c r="U3146" s="5" t="s">
        <v>6186</v>
      </c>
      <c r="V3146" s="5" t="s">
        <v>44</v>
      </c>
      <c r="W3146" s="5" t="s">
        <v>36</v>
      </c>
      <c r="X3146" s="8" t="s">
        <v>278</v>
      </c>
      <c r="Y3146" s="5" t="s">
        <v>46</v>
      </c>
      <c r="Z3146" s="5" t="s">
        <v>47</v>
      </c>
      <c r="AA3146" s="5" t="s">
        <v>48</v>
      </c>
      <c r="AB3146" s="5" t="s">
        <v>15445</v>
      </c>
      <c r="AC3146" s="6" t="s">
        <v>455</v>
      </c>
      <c r="AD3146" s="6">
        <v>3439.0</v>
      </c>
    </row>
    <row r="3147" ht="56.25" customHeight="1">
      <c r="A3147" s="5" t="s">
        <v>15311</v>
      </c>
      <c r="B3147" s="6" t="str">
        <f>IMAGE("https://storage.googleapis.com/acdb/housewares/FtrWoodenTableL_Remake_5_4.png")</f>
        <v/>
      </c>
      <c r="C3147" s="5" t="s">
        <v>96</v>
      </c>
      <c r="D3147" s="5" t="s">
        <v>748</v>
      </c>
      <c r="E3147" s="5" t="s">
        <v>96</v>
      </c>
      <c r="F3147" s="5" t="s">
        <v>7853</v>
      </c>
      <c r="G3147" s="5" t="s">
        <v>35</v>
      </c>
      <c r="H3147" s="5" t="s">
        <v>35</v>
      </c>
      <c r="I3147" s="5" t="s">
        <v>35</v>
      </c>
      <c r="J3147" s="6">
        <v>4.0</v>
      </c>
      <c r="K3147" s="6" t="s">
        <v>37</v>
      </c>
      <c r="L3147" s="6">
        <v>1800.0</v>
      </c>
      <c r="M3147" s="26" t="s">
        <v>96</v>
      </c>
      <c r="N3147" s="26" t="s">
        <v>96</v>
      </c>
      <c r="O3147" s="6" t="s">
        <v>214</v>
      </c>
      <c r="P3147" s="5" t="s">
        <v>41</v>
      </c>
      <c r="Q3147" s="5"/>
      <c r="R3147" s="6" t="s">
        <v>42</v>
      </c>
      <c r="S3147" s="5" t="s">
        <v>99</v>
      </c>
      <c r="T3147" s="5" t="s">
        <v>90</v>
      </c>
      <c r="U3147" s="5" t="s">
        <v>6186</v>
      </c>
      <c r="V3147" s="5" t="s">
        <v>44</v>
      </c>
      <c r="W3147" s="5" t="s">
        <v>36</v>
      </c>
      <c r="X3147" s="8" t="s">
        <v>278</v>
      </c>
      <c r="Y3147" s="5" t="s">
        <v>46</v>
      </c>
      <c r="Z3147" s="5" t="s">
        <v>47</v>
      </c>
      <c r="AA3147" s="5" t="s">
        <v>48</v>
      </c>
      <c r="AB3147" s="5" t="s">
        <v>15451</v>
      </c>
      <c r="AC3147" s="6" t="s">
        <v>609</v>
      </c>
      <c r="AD3147" s="6">
        <v>3439.0</v>
      </c>
    </row>
    <row r="3148" ht="56.25" customHeight="1">
      <c r="A3148" s="5" t="s">
        <v>15311</v>
      </c>
      <c r="B3148" s="6" t="str">
        <f>IMAGE("https://storage.googleapis.com/acdb/housewares/FtrWoodenTableL_Remake_6_0.png")</f>
        <v/>
      </c>
      <c r="C3148" s="5" t="s">
        <v>68</v>
      </c>
      <c r="D3148" s="5" t="s">
        <v>748</v>
      </c>
      <c r="E3148" s="5" t="s">
        <v>44</v>
      </c>
      <c r="F3148" s="5" t="s">
        <v>7853</v>
      </c>
      <c r="G3148" s="5" t="s">
        <v>35</v>
      </c>
      <c r="H3148" s="5" t="s">
        <v>35</v>
      </c>
      <c r="I3148" s="5" t="s">
        <v>35</v>
      </c>
      <c r="J3148" s="6">
        <v>4.0</v>
      </c>
      <c r="K3148" s="6" t="s">
        <v>37</v>
      </c>
      <c r="L3148" s="6">
        <v>1800.0</v>
      </c>
      <c r="M3148" s="26" t="s">
        <v>68</v>
      </c>
      <c r="N3148" s="26" t="s">
        <v>68</v>
      </c>
      <c r="O3148" s="6" t="s">
        <v>214</v>
      </c>
      <c r="P3148" s="5" t="s">
        <v>41</v>
      </c>
      <c r="Q3148" s="5"/>
      <c r="R3148" s="6" t="s">
        <v>42</v>
      </c>
      <c r="S3148" s="5" t="s">
        <v>99</v>
      </c>
      <c r="T3148" s="5" t="s">
        <v>90</v>
      </c>
      <c r="U3148" s="5" t="s">
        <v>6186</v>
      </c>
      <c r="V3148" s="5" t="s">
        <v>44</v>
      </c>
      <c r="W3148" s="5" t="s">
        <v>36</v>
      </c>
      <c r="X3148" s="8" t="s">
        <v>278</v>
      </c>
      <c r="Y3148" s="5" t="s">
        <v>46</v>
      </c>
      <c r="Z3148" s="5" t="s">
        <v>47</v>
      </c>
      <c r="AA3148" s="5" t="s">
        <v>48</v>
      </c>
      <c r="AB3148" s="5" t="s">
        <v>15455</v>
      </c>
      <c r="AC3148" s="6" t="s">
        <v>86</v>
      </c>
      <c r="AD3148" s="6">
        <v>3439.0</v>
      </c>
    </row>
    <row r="3149" ht="56.25" customHeight="1">
      <c r="A3149" s="5" t="s">
        <v>15311</v>
      </c>
      <c r="B3149" s="6" t="str">
        <f>IMAGE("https://storage.googleapis.com/acdb/housewares/FtrWoodenTableL_Remake_6_1.png")</f>
        <v/>
      </c>
      <c r="C3149" s="5" t="s">
        <v>68</v>
      </c>
      <c r="D3149" s="5" t="s">
        <v>748</v>
      </c>
      <c r="E3149" s="5" t="s">
        <v>142</v>
      </c>
      <c r="F3149" s="5" t="s">
        <v>7853</v>
      </c>
      <c r="G3149" s="5" t="s">
        <v>35</v>
      </c>
      <c r="H3149" s="5" t="s">
        <v>35</v>
      </c>
      <c r="I3149" s="5" t="s">
        <v>35</v>
      </c>
      <c r="J3149" s="6">
        <v>4.0</v>
      </c>
      <c r="K3149" s="6" t="s">
        <v>37</v>
      </c>
      <c r="L3149" s="6">
        <v>1800.0</v>
      </c>
      <c r="M3149" s="26" t="s">
        <v>68</v>
      </c>
      <c r="N3149" s="26" t="s">
        <v>142</v>
      </c>
      <c r="O3149" s="6" t="s">
        <v>214</v>
      </c>
      <c r="P3149" s="5" t="s">
        <v>41</v>
      </c>
      <c r="Q3149" s="5"/>
      <c r="R3149" s="6" t="s">
        <v>42</v>
      </c>
      <c r="S3149" s="5" t="s">
        <v>99</v>
      </c>
      <c r="T3149" s="5" t="s">
        <v>90</v>
      </c>
      <c r="U3149" s="5" t="s">
        <v>6186</v>
      </c>
      <c r="V3149" s="5" t="s">
        <v>44</v>
      </c>
      <c r="W3149" s="5" t="s">
        <v>36</v>
      </c>
      <c r="X3149" s="8" t="s">
        <v>278</v>
      </c>
      <c r="Y3149" s="5" t="s">
        <v>46</v>
      </c>
      <c r="Z3149" s="5" t="s">
        <v>47</v>
      </c>
      <c r="AA3149" s="5" t="s">
        <v>48</v>
      </c>
      <c r="AB3149" s="5" t="s">
        <v>15459</v>
      </c>
      <c r="AC3149" s="6" t="s">
        <v>620</v>
      </c>
      <c r="AD3149" s="6">
        <v>3439.0</v>
      </c>
    </row>
    <row r="3150" ht="56.25" customHeight="1">
      <c r="A3150" s="5" t="s">
        <v>15311</v>
      </c>
      <c r="B3150" s="6" t="str">
        <f>IMAGE("https://storage.googleapis.com/acdb/housewares/FtrWoodenTableL_Remake_6_2.png")</f>
        <v/>
      </c>
      <c r="C3150" s="5" t="s">
        <v>68</v>
      </c>
      <c r="D3150" s="5" t="s">
        <v>748</v>
      </c>
      <c r="E3150" s="5" t="s">
        <v>69</v>
      </c>
      <c r="F3150" s="5" t="s">
        <v>7853</v>
      </c>
      <c r="G3150" s="5" t="s">
        <v>35</v>
      </c>
      <c r="H3150" s="5" t="s">
        <v>35</v>
      </c>
      <c r="I3150" s="5" t="s">
        <v>35</v>
      </c>
      <c r="J3150" s="6">
        <v>4.0</v>
      </c>
      <c r="K3150" s="6" t="s">
        <v>37</v>
      </c>
      <c r="L3150" s="6">
        <v>1800.0</v>
      </c>
      <c r="M3150" s="26" t="s">
        <v>68</v>
      </c>
      <c r="N3150" s="26" t="s">
        <v>69</v>
      </c>
      <c r="O3150" s="6" t="s">
        <v>214</v>
      </c>
      <c r="P3150" s="5" t="s">
        <v>41</v>
      </c>
      <c r="Q3150" s="5"/>
      <c r="R3150" s="6" t="s">
        <v>42</v>
      </c>
      <c r="S3150" s="5" t="s">
        <v>99</v>
      </c>
      <c r="T3150" s="5" t="s">
        <v>90</v>
      </c>
      <c r="U3150" s="5" t="s">
        <v>6186</v>
      </c>
      <c r="V3150" s="5" t="s">
        <v>44</v>
      </c>
      <c r="W3150" s="5" t="s">
        <v>36</v>
      </c>
      <c r="X3150" s="8" t="s">
        <v>278</v>
      </c>
      <c r="Y3150" s="5" t="s">
        <v>46</v>
      </c>
      <c r="Z3150" s="5" t="s">
        <v>47</v>
      </c>
      <c r="AA3150" s="5" t="s">
        <v>48</v>
      </c>
      <c r="AB3150" s="5" t="s">
        <v>15463</v>
      </c>
      <c r="AC3150" s="6" t="s">
        <v>626</v>
      </c>
      <c r="AD3150" s="6">
        <v>3439.0</v>
      </c>
    </row>
    <row r="3151" ht="56.25" customHeight="1">
      <c r="A3151" s="5" t="s">
        <v>15311</v>
      </c>
      <c r="B3151" s="6" t="str">
        <f>IMAGE("https://storage.googleapis.com/acdb/housewares/FtrWoodenTableL_Remake_6_3.png")</f>
        <v/>
      </c>
      <c r="C3151" s="5" t="s">
        <v>68</v>
      </c>
      <c r="D3151" s="5" t="s">
        <v>748</v>
      </c>
      <c r="E3151" s="5" t="s">
        <v>68</v>
      </c>
      <c r="F3151" s="5" t="s">
        <v>7853</v>
      </c>
      <c r="G3151" s="5" t="s">
        <v>35</v>
      </c>
      <c r="H3151" s="5" t="s">
        <v>35</v>
      </c>
      <c r="I3151" s="5" t="s">
        <v>35</v>
      </c>
      <c r="J3151" s="6">
        <v>4.0</v>
      </c>
      <c r="K3151" s="6" t="s">
        <v>37</v>
      </c>
      <c r="L3151" s="6">
        <v>1800.0</v>
      </c>
      <c r="M3151" s="26" t="s">
        <v>68</v>
      </c>
      <c r="N3151" s="26" t="s">
        <v>1175</v>
      </c>
      <c r="O3151" s="6" t="s">
        <v>214</v>
      </c>
      <c r="P3151" s="5" t="s">
        <v>41</v>
      </c>
      <c r="Q3151" s="5"/>
      <c r="R3151" s="6" t="s">
        <v>42</v>
      </c>
      <c r="S3151" s="5" t="s">
        <v>99</v>
      </c>
      <c r="T3151" s="5" t="s">
        <v>90</v>
      </c>
      <c r="U3151" s="5" t="s">
        <v>6186</v>
      </c>
      <c r="V3151" s="5" t="s">
        <v>44</v>
      </c>
      <c r="W3151" s="5" t="s">
        <v>36</v>
      </c>
      <c r="X3151" s="8" t="s">
        <v>278</v>
      </c>
      <c r="Y3151" s="5" t="s">
        <v>46</v>
      </c>
      <c r="Z3151" s="5" t="s">
        <v>47</v>
      </c>
      <c r="AA3151" s="5" t="s">
        <v>48</v>
      </c>
      <c r="AB3151" s="5" t="s">
        <v>15465</v>
      </c>
      <c r="AC3151" s="6" t="s">
        <v>634</v>
      </c>
      <c r="AD3151" s="6">
        <v>3439.0</v>
      </c>
    </row>
    <row r="3152" ht="56.25" customHeight="1">
      <c r="A3152" s="5" t="s">
        <v>15311</v>
      </c>
      <c r="B3152" s="6" t="str">
        <f>IMAGE("https://storage.googleapis.com/acdb/housewares/FtrWoodenTableL_Remake_6_4.png")</f>
        <v/>
      </c>
      <c r="C3152" s="5" t="s">
        <v>68</v>
      </c>
      <c r="D3152" s="5" t="s">
        <v>748</v>
      </c>
      <c r="E3152" s="5" t="s">
        <v>96</v>
      </c>
      <c r="F3152" s="5" t="s">
        <v>7853</v>
      </c>
      <c r="G3152" s="5" t="s">
        <v>35</v>
      </c>
      <c r="H3152" s="5" t="s">
        <v>35</v>
      </c>
      <c r="I3152" s="5" t="s">
        <v>35</v>
      </c>
      <c r="J3152" s="6">
        <v>4.0</v>
      </c>
      <c r="K3152" s="6" t="s">
        <v>37</v>
      </c>
      <c r="L3152" s="6">
        <v>1800.0</v>
      </c>
      <c r="M3152" s="26" t="s">
        <v>68</v>
      </c>
      <c r="N3152" s="26" t="s">
        <v>96</v>
      </c>
      <c r="O3152" s="6" t="s">
        <v>214</v>
      </c>
      <c r="P3152" s="5" t="s">
        <v>41</v>
      </c>
      <c r="Q3152" s="5"/>
      <c r="R3152" s="6" t="s">
        <v>42</v>
      </c>
      <c r="S3152" s="5" t="s">
        <v>99</v>
      </c>
      <c r="T3152" s="5" t="s">
        <v>90</v>
      </c>
      <c r="U3152" s="5" t="s">
        <v>6186</v>
      </c>
      <c r="V3152" s="5" t="s">
        <v>44</v>
      </c>
      <c r="W3152" s="5" t="s">
        <v>36</v>
      </c>
      <c r="X3152" s="8" t="s">
        <v>278</v>
      </c>
      <c r="Y3152" s="5" t="s">
        <v>46</v>
      </c>
      <c r="Z3152" s="5" t="s">
        <v>47</v>
      </c>
      <c r="AA3152" s="5" t="s">
        <v>48</v>
      </c>
      <c r="AB3152" s="5" t="s">
        <v>15471</v>
      </c>
      <c r="AC3152" s="6" t="s">
        <v>641</v>
      </c>
      <c r="AD3152" s="6">
        <v>3439.0</v>
      </c>
    </row>
    <row r="3153" ht="56.25" customHeight="1">
      <c r="A3153" s="5" t="s">
        <v>15311</v>
      </c>
      <c r="B3153" s="6" t="str">
        <f>IMAGE("https://storage.googleapis.com/acdb/housewares/FtrWoodenTableL_Remake_7_0.png")</f>
        <v/>
      </c>
      <c r="C3153" s="5" t="s">
        <v>6214</v>
      </c>
      <c r="D3153" s="5" t="s">
        <v>34</v>
      </c>
      <c r="E3153" s="5" t="s">
        <v>44</v>
      </c>
      <c r="F3153" s="5" t="s">
        <v>7853</v>
      </c>
      <c r="G3153" s="5" t="s">
        <v>35</v>
      </c>
      <c r="H3153" s="5" t="s">
        <v>36</v>
      </c>
      <c r="I3153" s="5" t="s">
        <v>35</v>
      </c>
      <c r="J3153" s="6">
        <v>4.0</v>
      </c>
      <c r="K3153" s="6" t="s">
        <v>37</v>
      </c>
      <c r="L3153" s="6">
        <v>1800.0</v>
      </c>
      <c r="M3153" s="26" t="s">
        <v>69</v>
      </c>
      <c r="N3153" s="26" t="s">
        <v>69</v>
      </c>
      <c r="O3153" s="6" t="s">
        <v>214</v>
      </c>
      <c r="P3153" s="5" t="s">
        <v>41</v>
      </c>
      <c r="Q3153" s="5"/>
      <c r="R3153" s="6" t="s">
        <v>42</v>
      </c>
      <c r="S3153" s="5" t="s">
        <v>99</v>
      </c>
      <c r="T3153" s="5" t="s">
        <v>90</v>
      </c>
      <c r="U3153" s="5" t="s">
        <v>6186</v>
      </c>
      <c r="V3153" s="5" t="s">
        <v>44</v>
      </c>
      <c r="W3153" s="5" t="s">
        <v>36</v>
      </c>
      <c r="X3153" s="8" t="s">
        <v>278</v>
      </c>
      <c r="Y3153" s="5" t="s">
        <v>46</v>
      </c>
      <c r="Z3153" s="5" t="s">
        <v>47</v>
      </c>
      <c r="AA3153" s="5" t="s">
        <v>48</v>
      </c>
      <c r="AB3153" s="5" t="s">
        <v>15475</v>
      </c>
      <c r="AC3153" s="6" t="s">
        <v>208</v>
      </c>
      <c r="AD3153" s="6">
        <v>3439.0</v>
      </c>
    </row>
    <row r="3154" ht="56.25" customHeight="1">
      <c r="A3154" s="5" t="s">
        <v>15311</v>
      </c>
      <c r="B3154" s="6" t="str">
        <f>IMAGE("https://storage.googleapis.com/acdb/housewares/FtrWoodenTableL_Remake_7_1.png")</f>
        <v/>
      </c>
      <c r="C3154" s="5" t="s">
        <v>6214</v>
      </c>
      <c r="D3154" s="5" t="s">
        <v>34</v>
      </c>
      <c r="E3154" s="5" t="s">
        <v>142</v>
      </c>
      <c r="F3154" s="5" t="s">
        <v>7853</v>
      </c>
      <c r="G3154" s="5" t="s">
        <v>35</v>
      </c>
      <c r="H3154" s="5" t="s">
        <v>36</v>
      </c>
      <c r="I3154" s="5" t="s">
        <v>35</v>
      </c>
      <c r="J3154" s="6">
        <v>4.0</v>
      </c>
      <c r="K3154" s="6" t="s">
        <v>37</v>
      </c>
      <c r="L3154" s="6">
        <v>1800.0</v>
      </c>
      <c r="M3154" s="26" t="s">
        <v>69</v>
      </c>
      <c r="N3154" s="26" t="s">
        <v>142</v>
      </c>
      <c r="O3154" s="6" t="s">
        <v>214</v>
      </c>
      <c r="P3154" s="5" t="s">
        <v>41</v>
      </c>
      <c r="Q3154" s="5"/>
      <c r="R3154" s="6" t="s">
        <v>42</v>
      </c>
      <c r="S3154" s="5" t="s">
        <v>99</v>
      </c>
      <c r="T3154" s="5" t="s">
        <v>90</v>
      </c>
      <c r="U3154" s="5" t="s">
        <v>6186</v>
      </c>
      <c r="V3154" s="5" t="s">
        <v>44</v>
      </c>
      <c r="W3154" s="5" t="s">
        <v>36</v>
      </c>
      <c r="X3154" s="8" t="s">
        <v>278</v>
      </c>
      <c r="Y3154" s="5" t="s">
        <v>46</v>
      </c>
      <c r="Z3154" s="5" t="s">
        <v>47</v>
      </c>
      <c r="AA3154" s="5" t="s">
        <v>48</v>
      </c>
      <c r="AB3154" s="5" t="s">
        <v>15478</v>
      </c>
      <c r="AC3154" s="6" t="s">
        <v>1892</v>
      </c>
      <c r="AD3154" s="6">
        <v>3439.0</v>
      </c>
    </row>
    <row r="3155" ht="56.25" customHeight="1">
      <c r="A3155" s="5" t="s">
        <v>15311</v>
      </c>
      <c r="B3155" s="6" t="str">
        <f>IMAGE("https://storage.googleapis.com/acdb/housewares/FtrWoodenTableL_Remake_7_2.png")</f>
        <v/>
      </c>
      <c r="C3155" s="5" t="s">
        <v>6214</v>
      </c>
      <c r="D3155" s="5" t="s">
        <v>34</v>
      </c>
      <c r="E3155" s="5" t="s">
        <v>69</v>
      </c>
      <c r="F3155" s="5" t="s">
        <v>7853</v>
      </c>
      <c r="G3155" s="5" t="s">
        <v>35</v>
      </c>
      <c r="H3155" s="5" t="s">
        <v>36</v>
      </c>
      <c r="I3155" s="5" t="s">
        <v>35</v>
      </c>
      <c r="J3155" s="6">
        <v>4.0</v>
      </c>
      <c r="K3155" s="6" t="s">
        <v>37</v>
      </c>
      <c r="L3155" s="6">
        <v>1800.0</v>
      </c>
      <c r="M3155" s="26" t="s">
        <v>69</v>
      </c>
      <c r="N3155" s="26" t="s">
        <v>69</v>
      </c>
      <c r="O3155" s="6" t="s">
        <v>214</v>
      </c>
      <c r="P3155" s="5" t="s">
        <v>41</v>
      </c>
      <c r="Q3155" s="5"/>
      <c r="R3155" s="6" t="s">
        <v>42</v>
      </c>
      <c r="S3155" s="5" t="s">
        <v>99</v>
      </c>
      <c r="T3155" s="5" t="s">
        <v>90</v>
      </c>
      <c r="U3155" s="5" t="s">
        <v>6186</v>
      </c>
      <c r="V3155" s="5" t="s">
        <v>44</v>
      </c>
      <c r="W3155" s="5" t="s">
        <v>36</v>
      </c>
      <c r="X3155" s="8" t="s">
        <v>278</v>
      </c>
      <c r="Y3155" s="5" t="s">
        <v>46</v>
      </c>
      <c r="Z3155" s="5" t="s">
        <v>47</v>
      </c>
      <c r="AA3155" s="5" t="s">
        <v>48</v>
      </c>
      <c r="AB3155" s="5" t="s">
        <v>15484</v>
      </c>
      <c r="AC3155" s="6" t="s">
        <v>1901</v>
      </c>
      <c r="AD3155" s="6">
        <v>3439.0</v>
      </c>
    </row>
    <row r="3156" ht="56.25" customHeight="1">
      <c r="A3156" s="5" t="s">
        <v>15311</v>
      </c>
      <c r="B3156" s="6" t="str">
        <f>IMAGE("https://storage.googleapis.com/acdb/housewares/FtrWoodenTableL_Remake_7_3.png")</f>
        <v/>
      </c>
      <c r="C3156" s="5" t="s">
        <v>6214</v>
      </c>
      <c r="D3156" s="5" t="s">
        <v>34</v>
      </c>
      <c r="E3156" s="5" t="s">
        <v>68</v>
      </c>
      <c r="F3156" s="5" t="s">
        <v>7853</v>
      </c>
      <c r="G3156" s="5" t="s">
        <v>35</v>
      </c>
      <c r="H3156" s="5" t="s">
        <v>36</v>
      </c>
      <c r="I3156" s="5" t="s">
        <v>35</v>
      </c>
      <c r="J3156" s="6">
        <v>4.0</v>
      </c>
      <c r="K3156" s="6" t="s">
        <v>37</v>
      </c>
      <c r="L3156" s="6">
        <v>1800.0</v>
      </c>
      <c r="M3156" s="26" t="s">
        <v>69</v>
      </c>
      <c r="N3156" s="26" t="s">
        <v>68</v>
      </c>
      <c r="O3156" s="6" t="s">
        <v>214</v>
      </c>
      <c r="P3156" s="5" t="s">
        <v>41</v>
      </c>
      <c r="Q3156" s="5"/>
      <c r="R3156" s="6" t="s">
        <v>42</v>
      </c>
      <c r="S3156" s="5" t="s">
        <v>99</v>
      </c>
      <c r="T3156" s="5" t="s">
        <v>90</v>
      </c>
      <c r="U3156" s="5" t="s">
        <v>6186</v>
      </c>
      <c r="V3156" s="5" t="s">
        <v>44</v>
      </c>
      <c r="W3156" s="5" t="s">
        <v>36</v>
      </c>
      <c r="X3156" s="8" t="s">
        <v>278</v>
      </c>
      <c r="Y3156" s="5" t="s">
        <v>46</v>
      </c>
      <c r="Z3156" s="5" t="s">
        <v>47</v>
      </c>
      <c r="AA3156" s="5" t="s">
        <v>48</v>
      </c>
      <c r="AB3156" s="5" t="s">
        <v>15488</v>
      </c>
      <c r="AC3156" s="6" t="s">
        <v>1906</v>
      </c>
      <c r="AD3156" s="6">
        <v>3439.0</v>
      </c>
    </row>
    <row r="3157" ht="56.25" customHeight="1">
      <c r="A3157" s="5" t="s">
        <v>15311</v>
      </c>
      <c r="B3157" s="6" t="str">
        <f>IMAGE("https://storage.googleapis.com/acdb/housewares/FtrWoodenTableL_Remake_7_4.png")</f>
        <v/>
      </c>
      <c r="C3157" s="5" t="s">
        <v>6214</v>
      </c>
      <c r="D3157" s="5" t="s">
        <v>34</v>
      </c>
      <c r="E3157" s="5" t="s">
        <v>96</v>
      </c>
      <c r="F3157" s="5" t="s">
        <v>7853</v>
      </c>
      <c r="G3157" s="5" t="s">
        <v>35</v>
      </c>
      <c r="H3157" s="5" t="s">
        <v>36</v>
      </c>
      <c r="I3157" s="5" t="s">
        <v>35</v>
      </c>
      <c r="J3157" s="6">
        <v>4.0</v>
      </c>
      <c r="K3157" s="6" t="s">
        <v>37</v>
      </c>
      <c r="L3157" s="6">
        <v>1800.0</v>
      </c>
      <c r="M3157" s="26" t="s">
        <v>69</v>
      </c>
      <c r="N3157" s="26" t="s">
        <v>96</v>
      </c>
      <c r="O3157" s="6" t="s">
        <v>214</v>
      </c>
      <c r="P3157" s="5" t="s">
        <v>41</v>
      </c>
      <c r="Q3157" s="5"/>
      <c r="R3157" s="6" t="s">
        <v>42</v>
      </c>
      <c r="S3157" s="5" t="s">
        <v>99</v>
      </c>
      <c r="T3157" s="5" t="s">
        <v>90</v>
      </c>
      <c r="U3157" s="5" t="s">
        <v>6186</v>
      </c>
      <c r="V3157" s="5" t="s">
        <v>44</v>
      </c>
      <c r="W3157" s="5" t="s">
        <v>36</v>
      </c>
      <c r="X3157" s="8" t="s">
        <v>278</v>
      </c>
      <c r="Y3157" s="5" t="s">
        <v>46</v>
      </c>
      <c r="Z3157" s="5" t="s">
        <v>47</v>
      </c>
      <c r="AA3157" s="5" t="s">
        <v>48</v>
      </c>
      <c r="AB3157" s="5" t="s">
        <v>15492</v>
      </c>
      <c r="AC3157" s="6" t="s">
        <v>1910</v>
      </c>
      <c r="AD3157" s="6">
        <v>3439.0</v>
      </c>
    </row>
    <row r="3158" ht="56.25" customHeight="1">
      <c r="A3158" s="5" t="s">
        <v>15493</v>
      </c>
      <c r="B3158" s="6" t="str">
        <f>IMAGE("https://storage.googleapis.com/acdb/housewares/FtrWoodenCloset_Remake_0_0.png")</f>
        <v/>
      </c>
      <c r="C3158" s="5" t="s">
        <v>1137</v>
      </c>
      <c r="D3158" s="5" t="s">
        <v>748</v>
      </c>
      <c r="E3158" s="5" t="s">
        <v>34</v>
      </c>
      <c r="F3158" s="5" t="s">
        <v>34</v>
      </c>
      <c r="G3158" s="5" t="s">
        <v>35</v>
      </c>
      <c r="H3158" s="5" t="s">
        <v>35</v>
      </c>
      <c r="I3158" s="5" t="s">
        <v>36</v>
      </c>
      <c r="J3158" s="6">
        <v>2.0</v>
      </c>
      <c r="K3158" s="6" t="s">
        <v>37</v>
      </c>
      <c r="L3158" s="6">
        <v>1440.0</v>
      </c>
      <c r="M3158" s="26" t="s">
        <v>114</v>
      </c>
      <c r="N3158" s="26" t="s">
        <v>114</v>
      </c>
      <c r="O3158" s="6" t="s">
        <v>40</v>
      </c>
      <c r="P3158" s="5" t="s">
        <v>41</v>
      </c>
      <c r="Q3158" s="5"/>
      <c r="R3158" s="6" t="s">
        <v>42</v>
      </c>
      <c r="S3158" s="5" t="s">
        <v>99</v>
      </c>
      <c r="T3158" s="5" t="s">
        <v>90</v>
      </c>
      <c r="U3158" s="5" t="s">
        <v>6186</v>
      </c>
      <c r="V3158" s="5" t="s">
        <v>44</v>
      </c>
      <c r="W3158" s="5" t="s">
        <v>35</v>
      </c>
      <c r="X3158" s="8" t="s">
        <v>322</v>
      </c>
      <c r="Y3158" s="5" t="s">
        <v>46</v>
      </c>
      <c r="Z3158" s="5" t="s">
        <v>47</v>
      </c>
      <c r="AA3158" s="5" t="s">
        <v>48</v>
      </c>
      <c r="AB3158" s="5" t="s">
        <v>15497</v>
      </c>
      <c r="AC3158" s="6" t="s">
        <v>50</v>
      </c>
      <c r="AD3158" s="6">
        <v>3436.0</v>
      </c>
    </row>
    <row r="3159" ht="56.25" customHeight="1">
      <c r="A3159" s="5" t="s">
        <v>15493</v>
      </c>
      <c r="B3159" s="6" t="str">
        <f>IMAGE("https://storage.googleapis.com/acdb/housewares/FtrWoodenCloset_Remake_1_0.png")</f>
        <v/>
      </c>
      <c r="C3159" s="5" t="s">
        <v>1595</v>
      </c>
      <c r="D3159" s="5" t="s">
        <v>748</v>
      </c>
      <c r="E3159" s="5" t="s">
        <v>34</v>
      </c>
      <c r="F3159" s="5" t="s">
        <v>34</v>
      </c>
      <c r="G3159" s="5" t="s">
        <v>35</v>
      </c>
      <c r="H3159" s="5" t="s">
        <v>35</v>
      </c>
      <c r="I3159" s="5" t="s">
        <v>36</v>
      </c>
      <c r="J3159" s="6">
        <v>2.0</v>
      </c>
      <c r="K3159" s="6" t="s">
        <v>37</v>
      </c>
      <c r="L3159" s="6">
        <v>1440.0</v>
      </c>
      <c r="M3159" s="26" t="s">
        <v>38</v>
      </c>
      <c r="N3159" s="26" t="s">
        <v>38</v>
      </c>
      <c r="O3159" s="6" t="s">
        <v>40</v>
      </c>
      <c r="P3159" s="5" t="s">
        <v>41</v>
      </c>
      <c r="Q3159" s="5"/>
      <c r="R3159" s="6" t="s">
        <v>42</v>
      </c>
      <c r="S3159" s="5" t="s">
        <v>99</v>
      </c>
      <c r="T3159" s="5" t="s">
        <v>90</v>
      </c>
      <c r="U3159" s="5" t="s">
        <v>6186</v>
      </c>
      <c r="V3159" s="5" t="s">
        <v>44</v>
      </c>
      <c r="W3159" s="5" t="s">
        <v>35</v>
      </c>
      <c r="X3159" s="8" t="s">
        <v>322</v>
      </c>
      <c r="Y3159" s="5" t="s">
        <v>46</v>
      </c>
      <c r="Z3159" s="5" t="s">
        <v>47</v>
      </c>
      <c r="AA3159" s="5" t="s">
        <v>48</v>
      </c>
      <c r="AB3159" s="5" t="s">
        <v>15500</v>
      </c>
      <c r="AC3159" s="6" t="s">
        <v>56</v>
      </c>
      <c r="AD3159" s="6">
        <v>3436.0</v>
      </c>
    </row>
    <row r="3160" ht="56.25" customHeight="1">
      <c r="A3160" s="5" t="s">
        <v>15493</v>
      </c>
      <c r="B3160" s="6" t="str">
        <f>IMAGE("https://storage.googleapis.com/acdb/housewares/FtrWoodenCloset_Remake_2_0.png")</f>
        <v/>
      </c>
      <c r="C3160" s="5" t="s">
        <v>6192</v>
      </c>
      <c r="D3160" s="5" t="s">
        <v>748</v>
      </c>
      <c r="E3160" s="5" t="s">
        <v>34</v>
      </c>
      <c r="F3160" s="5" t="s">
        <v>34</v>
      </c>
      <c r="G3160" s="5" t="s">
        <v>35</v>
      </c>
      <c r="H3160" s="5" t="s">
        <v>35</v>
      </c>
      <c r="I3160" s="5" t="s">
        <v>36</v>
      </c>
      <c r="J3160" s="6">
        <v>2.0</v>
      </c>
      <c r="K3160" s="6" t="s">
        <v>37</v>
      </c>
      <c r="L3160" s="6">
        <v>1440.0</v>
      </c>
      <c r="M3160" s="26" t="s">
        <v>142</v>
      </c>
      <c r="N3160" s="26" t="s">
        <v>142</v>
      </c>
      <c r="O3160" s="6" t="s">
        <v>40</v>
      </c>
      <c r="P3160" s="5" t="s">
        <v>41</v>
      </c>
      <c r="Q3160" s="5"/>
      <c r="R3160" s="6" t="s">
        <v>42</v>
      </c>
      <c r="S3160" s="5" t="s">
        <v>99</v>
      </c>
      <c r="T3160" s="5" t="s">
        <v>90</v>
      </c>
      <c r="U3160" s="5" t="s">
        <v>6186</v>
      </c>
      <c r="V3160" s="5" t="s">
        <v>44</v>
      </c>
      <c r="W3160" s="5" t="s">
        <v>35</v>
      </c>
      <c r="X3160" s="8" t="s">
        <v>322</v>
      </c>
      <c r="Y3160" s="5" t="s">
        <v>46</v>
      </c>
      <c r="Z3160" s="5" t="s">
        <v>47</v>
      </c>
      <c r="AA3160" s="5" t="s">
        <v>48</v>
      </c>
      <c r="AB3160" s="5" t="s">
        <v>15503</v>
      </c>
      <c r="AC3160" s="6" t="s">
        <v>67</v>
      </c>
      <c r="AD3160" s="6">
        <v>3436.0</v>
      </c>
    </row>
    <row r="3161" ht="56.25" customHeight="1">
      <c r="A3161" s="5" t="s">
        <v>15493</v>
      </c>
      <c r="B3161" s="6" t="str">
        <f>IMAGE("https://storage.googleapis.com/acdb/housewares/FtrWoodenCloset_Remake_3_0.png")</f>
        <v/>
      </c>
      <c r="C3161" s="5" t="s">
        <v>1132</v>
      </c>
      <c r="D3161" s="5" t="s">
        <v>748</v>
      </c>
      <c r="E3161" s="5" t="s">
        <v>34</v>
      </c>
      <c r="F3161" s="5" t="s">
        <v>34</v>
      </c>
      <c r="G3161" s="5" t="s">
        <v>35</v>
      </c>
      <c r="H3161" s="5" t="s">
        <v>35</v>
      </c>
      <c r="I3161" s="5" t="s">
        <v>36</v>
      </c>
      <c r="J3161" s="6">
        <v>2.0</v>
      </c>
      <c r="K3161" s="6" t="s">
        <v>37</v>
      </c>
      <c r="L3161" s="6">
        <v>1440.0</v>
      </c>
      <c r="M3161" s="26" t="s">
        <v>39</v>
      </c>
      <c r="N3161" s="26" t="s">
        <v>39</v>
      </c>
      <c r="O3161" s="6" t="s">
        <v>40</v>
      </c>
      <c r="P3161" s="5" t="s">
        <v>41</v>
      </c>
      <c r="Q3161" s="5"/>
      <c r="R3161" s="6" t="s">
        <v>42</v>
      </c>
      <c r="S3161" s="5" t="s">
        <v>99</v>
      </c>
      <c r="T3161" s="5" t="s">
        <v>90</v>
      </c>
      <c r="U3161" s="5" t="s">
        <v>6186</v>
      </c>
      <c r="V3161" s="5" t="s">
        <v>44</v>
      </c>
      <c r="W3161" s="5" t="s">
        <v>35</v>
      </c>
      <c r="X3161" s="8" t="s">
        <v>322</v>
      </c>
      <c r="Y3161" s="5" t="s">
        <v>46</v>
      </c>
      <c r="Z3161" s="5" t="s">
        <v>47</v>
      </c>
      <c r="AA3161" s="5" t="s">
        <v>48</v>
      </c>
      <c r="AB3161" s="5" t="s">
        <v>15507</v>
      </c>
      <c r="AC3161" s="6" t="s">
        <v>71</v>
      </c>
      <c r="AD3161" s="6">
        <v>3436.0</v>
      </c>
    </row>
    <row r="3162" ht="56.25" customHeight="1">
      <c r="A3162" s="5" t="s">
        <v>15493</v>
      </c>
      <c r="B3162" s="6" t="str">
        <f>IMAGE("https://storage.googleapis.com/acdb/housewares/FtrWoodenCloset_Remake_4_0.png")</f>
        <v/>
      </c>
      <c r="C3162" s="5" t="s">
        <v>54</v>
      </c>
      <c r="D3162" s="5" t="s">
        <v>748</v>
      </c>
      <c r="E3162" s="5" t="s">
        <v>34</v>
      </c>
      <c r="F3162" s="5" t="s">
        <v>34</v>
      </c>
      <c r="G3162" s="5" t="s">
        <v>35</v>
      </c>
      <c r="H3162" s="5" t="s">
        <v>35</v>
      </c>
      <c r="I3162" s="5" t="s">
        <v>36</v>
      </c>
      <c r="J3162" s="6">
        <v>2.0</v>
      </c>
      <c r="K3162" s="6" t="s">
        <v>37</v>
      </c>
      <c r="L3162" s="6">
        <v>1440.0</v>
      </c>
      <c r="M3162" s="26" t="s">
        <v>54</v>
      </c>
      <c r="N3162" s="26" t="s">
        <v>54</v>
      </c>
      <c r="O3162" s="6" t="s">
        <v>40</v>
      </c>
      <c r="P3162" s="5" t="s">
        <v>41</v>
      </c>
      <c r="Q3162" s="5"/>
      <c r="R3162" s="6" t="s">
        <v>42</v>
      </c>
      <c r="S3162" s="5" t="s">
        <v>99</v>
      </c>
      <c r="T3162" s="5" t="s">
        <v>90</v>
      </c>
      <c r="U3162" s="5" t="s">
        <v>6186</v>
      </c>
      <c r="V3162" s="5" t="s">
        <v>44</v>
      </c>
      <c r="W3162" s="5" t="s">
        <v>35</v>
      </c>
      <c r="X3162" s="8" t="s">
        <v>322</v>
      </c>
      <c r="Y3162" s="5" t="s">
        <v>46</v>
      </c>
      <c r="Z3162" s="5" t="s">
        <v>47</v>
      </c>
      <c r="AA3162" s="5" t="s">
        <v>48</v>
      </c>
      <c r="AB3162" s="5" t="s">
        <v>15511</v>
      </c>
      <c r="AC3162" s="6" t="s">
        <v>75</v>
      </c>
      <c r="AD3162" s="6">
        <v>3436.0</v>
      </c>
    </row>
    <row r="3163" ht="56.25" customHeight="1">
      <c r="A3163" s="5" t="s">
        <v>15493</v>
      </c>
      <c r="B3163" s="6" t="str">
        <f>IMAGE("https://storage.googleapis.com/acdb/housewares/FtrWoodenCloset_Remake_5_0.png")</f>
        <v/>
      </c>
      <c r="C3163" s="5" t="s">
        <v>96</v>
      </c>
      <c r="D3163" s="5" t="s">
        <v>748</v>
      </c>
      <c r="E3163" s="5" t="s">
        <v>34</v>
      </c>
      <c r="F3163" s="5" t="s">
        <v>34</v>
      </c>
      <c r="G3163" s="5" t="s">
        <v>35</v>
      </c>
      <c r="H3163" s="5" t="s">
        <v>35</v>
      </c>
      <c r="I3163" s="5" t="s">
        <v>36</v>
      </c>
      <c r="J3163" s="6">
        <v>2.0</v>
      </c>
      <c r="K3163" s="6" t="s">
        <v>37</v>
      </c>
      <c r="L3163" s="6">
        <v>1440.0</v>
      </c>
      <c r="M3163" s="26" t="s">
        <v>96</v>
      </c>
      <c r="N3163" s="26" t="s">
        <v>96</v>
      </c>
      <c r="O3163" s="6" t="s">
        <v>40</v>
      </c>
      <c r="P3163" s="5" t="s">
        <v>41</v>
      </c>
      <c r="Q3163" s="5"/>
      <c r="R3163" s="6" t="s">
        <v>42</v>
      </c>
      <c r="S3163" s="5" t="s">
        <v>99</v>
      </c>
      <c r="T3163" s="5" t="s">
        <v>90</v>
      </c>
      <c r="U3163" s="5" t="s">
        <v>6186</v>
      </c>
      <c r="V3163" s="5" t="s">
        <v>44</v>
      </c>
      <c r="W3163" s="5" t="s">
        <v>35</v>
      </c>
      <c r="X3163" s="8" t="s">
        <v>322</v>
      </c>
      <c r="Y3163" s="5" t="s">
        <v>46</v>
      </c>
      <c r="Z3163" s="5" t="s">
        <v>47</v>
      </c>
      <c r="AA3163" s="5" t="s">
        <v>48</v>
      </c>
      <c r="AB3163" s="5" t="s">
        <v>15514</v>
      </c>
      <c r="AC3163" s="6" t="s">
        <v>79</v>
      </c>
      <c r="AD3163" s="6">
        <v>3436.0</v>
      </c>
    </row>
    <row r="3164" ht="56.25" customHeight="1">
      <c r="A3164" s="5" t="s">
        <v>15493</v>
      </c>
      <c r="B3164" s="6" t="str">
        <f>IMAGE("https://storage.googleapis.com/acdb/housewares/FtrWoodenCloset_Remake_6_0.png")</f>
        <v/>
      </c>
      <c r="C3164" s="5" t="s">
        <v>68</v>
      </c>
      <c r="D3164" s="5" t="s">
        <v>748</v>
      </c>
      <c r="E3164" s="5" t="s">
        <v>34</v>
      </c>
      <c r="F3164" s="5" t="s">
        <v>34</v>
      </c>
      <c r="G3164" s="5" t="s">
        <v>35</v>
      </c>
      <c r="H3164" s="5" t="s">
        <v>35</v>
      </c>
      <c r="I3164" s="5" t="s">
        <v>36</v>
      </c>
      <c r="J3164" s="6">
        <v>2.0</v>
      </c>
      <c r="K3164" s="6" t="s">
        <v>37</v>
      </c>
      <c r="L3164" s="6">
        <v>1440.0</v>
      </c>
      <c r="M3164" s="26" t="s">
        <v>68</v>
      </c>
      <c r="N3164" s="26" t="s">
        <v>68</v>
      </c>
      <c r="O3164" s="6" t="s">
        <v>40</v>
      </c>
      <c r="P3164" s="5" t="s">
        <v>41</v>
      </c>
      <c r="Q3164" s="5"/>
      <c r="R3164" s="6" t="s">
        <v>42</v>
      </c>
      <c r="S3164" s="5" t="s">
        <v>99</v>
      </c>
      <c r="T3164" s="5" t="s">
        <v>90</v>
      </c>
      <c r="U3164" s="5" t="s">
        <v>6186</v>
      </c>
      <c r="V3164" s="5" t="s">
        <v>44</v>
      </c>
      <c r="W3164" s="5" t="s">
        <v>35</v>
      </c>
      <c r="X3164" s="8" t="s">
        <v>322</v>
      </c>
      <c r="Y3164" s="5" t="s">
        <v>46</v>
      </c>
      <c r="Z3164" s="5" t="s">
        <v>47</v>
      </c>
      <c r="AA3164" s="5" t="s">
        <v>48</v>
      </c>
      <c r="AB3164" s="5" t="s">
        <v>15518</v>
      </c>
      <c r="AC3164" s="6" t="s">
        <v>86</v>
      </c>
      <c r="AD3164" s="6">
        <v>3436.0</v>
      </c>
    </row>
    <row r="3165" ht="56.25" customHeight="1">
      <c r="A3165" s="5" t="s">
        <v>15493</v>
      </c>
      <c r="B3165" s="6" t="str">
        <f>IMAGE("https://storage.googleapis.com/acdb/housewares/FtrWoodenCloset_Remake_7_0.png")</f>
        <v/>
      </c>
      <c r="C3165" s="5" t="s">
        <v>6214</v>
      </c>
      <c r="D3165" s="5" t="s">
        <v>748</v>
      </c>
      <c r="E3165" s="5" t="s">
        <v>34</v>
      </c>
      <c r="F3165" s="5" t="s">
        <v>34</v>
      </c>
      <c r="G3165" s="5" t="s">
        <v>35</v>
      </c>
      <c r="H3165" s="5" t="s">
        <v>35</v>
      </c>
      <c r="I3165" s="5" t="s">
        <v>36</v>
      </c>
      <c r="J3165" s="6">
        <v>2.0</v>
      </c>
      <c r="K3165" s="6" t="s">
        <v>37</v>
      </c>
      <c r="L3165" s="6">
        <v>1440.0</v>
      </c>
      <c r="M3165" s="26" t="s">
        <v>69</v>
      </c>
      <c r="N3165" s="26" t="s">
        <v>69</v>
      </c>
      <c r="O3165" s="6" t="s">
        <v>40</v>
      </c>
      <c r="P3165" s="5" t="s">
        <v>41</v>
      </c>
      <c r="Q3165" s="5"/>
      <c r="R3165" s="6" t="s">
        <v>42</v>
      </c>
      <c r="S3165" s="5" t="s">
        <v>99</v>
      </c>
      <c r="T3165" s="5" t="s">
        <v>90</v>
      </c>
      <c r="U3165" s="5" t="s">
        <v>6186</v>
      </c>
      <c r="V3165" s="5" t="s">
        <v>44</v>
      </c>
      <c r="W3165" s="5" t="s">
        <v>35</v>
      </c>
      <c r="X3165" s="8" t="s">
        <v>322</v>
      </c>
      <c r="Y3165" s="5" t="s">
        <v>46</v>
      </c>
      <c r="Z3165" s="5" t="s">
        <v>47</v>
      </c>
      <c r="AA3165" s="5" t="s">
        <v>48</v>
      </c>
      <c r="AB3165" s="5" t="s">
        <v>15523</v>
      </c>
      <c r="AC3165" s="6" t="s">
        <v>208</v>
      </c>
      <c r="AD3165" s="6">
        <v>3436.0</v>
      </c>
    </row>
    <row r="3166" ht="56.25" customHeight="1">
      <c r="A3166" s="5" t="s">
        <v>15524</v>
      </c>
      <c r="B3166" s="6" t="str">
        <f>IMAGE("https://storage.googleapis.com/acdb/housewares/FtrTrashboxWood_Remake_0_0.png")</f>
        <v/>
      </c>
      <c r="C3166" s="5" t="s">
        <v>1137</v>
      </c>
      <c r="D3166" s="5" t="s">
        <v>748</v>
      </c>
      <c r="E3166" s="5" t="s">
        <v>34</v>
      </c>
      <c r="F3166" s="5" t="s">
        <v>34</v>
      </c>
      <c r="G3166" s="5" t="s">
        <v>35</v>
      </c>
      <c r="H3166" s="5" t="s">
        <v>35</v>
      </c>
      <c r="I3166" s="5" t="s">
        <v>36</v>
      </c>
      <c r="J3166" s="6">
        <v>1.0</v>
      </c>
      <c r="K3166" s="6" t="s">
        <v>37</v>
      </c>
      <c r="L3166" s="6">
        <v>480.0</v>
      </c>
      <c r="M3166" s="26" t="s">
        <v>38</v>
      </c>
      <c r="N3166" s="26" t="s">
        <v>38</v>
      </c>
      <c r="O3166" s="6" t="s">
        <v>40</v>
      </c>
      <c r="P3166" s="5" t="s">
        <v>41</v>
      </c>
      <c r="Q3166" s="5"/>
      <c r="R3166" s="6" t="s">
        <v>42</v>
      </c>
      <c r="S3166" s="5" t="s">
        <v>99</v>
      </c>
      <c r="T3166" s="5" t="s">
        <v>90</v>
      </c>
      <c r="U3166" s="5" t="s">
        <v>6186</v>
      </c>
      <c r="V3166" s="5" t="s">
        <v>44</v>
      </c>
      <c r="W3166" s="5" t="s">
        <v>35</v>
      </c>
      <c r="X3166" s="8" t="s">
        <v>432</v>
      </c>
      <c r="Y3166" s="5" t="s">
        <v>46</v>
      </c>
      <c r="Z3166" s="5" t="s">
        <v>47</v>
      </c>
      <c r="AA3166" s="5" t="s">
        <v>48</v>
      </c>
      <c r="AB3166" s="5" t="s">
        <v>15528</v>
      </c>
      <c r="AC3166" s="6" t="s">
        <v>50</v>
      </c>
      <c r="AD3166" s="6">
        <v>3490.0</v>
      </c>
    </row>
    <row r="3167" ht="56.25" customHeight="1">
      <c r="A3167" s="5" t="s">
        <v>15524</v>
      </c>
      <c r="B3167" s="6" t="str">
        <f>IMAGE("https://storage.googleapis.com/acdb/housewares/FtrTrashboxWood_Remake_1_0.png")</f>
        <v/>
      </c>
      <c r="C3167" s="5" t="s">
        <v>366</v>
      </c>
      <c r="D3167" s="5" t="s">
        <v>748</v>
      </c>
      <c r="E3167" s="5" t="s">
        <v>34</v>
      </c>
      <c r="F3167" s="5" t="s">
        <v>34</v>
      </c>
      <c r="G3167" s="5" t="s">
        <v>35</v>
      </c>
      <c r="H3167" s="5" t="s">
        <v>35</v>
      </c>
      <c r="I3167" s="5" t="s">
        <v>36</v>
      </c>
      <c r="J3167" s="6">
        <v>1.0</v>
      </c>
      <c r="K3167" s="6" t="s">
        <v>37</v>
      </c>
      <c r="L3167" s="6">
        <v>480.0</v>
      </c>
      <c r="M3167" s="26" t="s">
        <v>114</v>
      </c>
      <c r="N3167" s="26" t="s">
        <v>114</v>
      </c>
      <c r="O3167" s="6" t="s">
        <v>40</v>
      </c>
      <c r="P3167" s="5" t="s">
        <v>41</v>
      </c>
      <c r="Q3167" s="5"/>
      <c r="R3167" s="6" t="s">
        <v>42</v>
      </c>
      <c r="S3167" s="5" t="s">
        <v>99</v>
      </c>
      <c r="T3167" s="5" t="s">
        <v>90</v>
      </c>
      <c r="U3167" s="5" t="s">
        <v>6186</v>
      </c>
      <c r="V3167" s="5" t="s">
        <v>44</v>
      </c>
      <c r="W3167" s="5" t="s">
        <v>35</v>
      </c>
      <c r="X3167" s="8" t="s">
        <v>432</v>
      </c>
      <c r="Y3167" s="5" t="s">
        <v>46</v>
      </c>
      <c r="Z3167" s="5" t="s">
        <v>47</v>
      </c>
      <c r="AA3167" s="5" t="s">
        <v>48</v>
      </c>
      <c r="AB3167" s="5" t="s">
        <v>15532</v>
      </c>
      <c r="AC3167" s="6" t="s">
        <v>56</v>
      </c>
      <c r="AD3167" s="6">
        <v>3490.0</v>
      </c>
    </row>
    <row r="3168" ht="56.25" customHeight="1">
      <c r="A3168" s="5" t="s">
        <v>15524</v>
      </c>
      <c r="B3168" s="6" t="str">
        <f>IMAGE("https://storage.googleapis.com/acdb/housewares/FtrTrashboxWood_Remake_2_0.png")</f>
        <v/>
      </c>
      <c r="C3168" s="5" t="s">
        <v>6192</v>
      </c>
      <c r="D3168" s="5" t="s">
        <v>748</v>
      </c>
      <c r="E3168" s="5" t="s">
        <v>34</v>
      </c>
      <c r="F3168" s="5" t="s">
        <v>34</v>
      </c>
      <c r="G3168" s="5" t="s">
        <v>35</v>
      </c>
      <c r="H3168" s="5" t="s">
        <v>35</v>
      </c>
      <c r="I3168" s="5" t="s">
        <v>36</v>
      </c>
      <c r="J3168" s="6">
        <v>1.0</v>
      </c>
      <c r="K3168" s="6" t="s">
        <v>37</v>
      </c>
      <c r="L3168" s="6">
        <v>480.0</v>
      </c>
      <c r="M3168" s="26" t="s">
        <v>142</v>
      </c>
      <c r="N3168" s="26" t="s">
        <v>142</v>
      </c>
      <c r="O3168" s="6" t="s">
        <v>40</v>
      </c>
      <c r="P3168" s="5" t="s">
        <v>41</v>
      </c>
      <c r="Q3168" s="5"/>
      <c r="R3168" s="6" t="s">
        <v>42</v>
      </c>
      <c r="S3168" s="5" t="s">
        <v>99</v>
      </c>
      <c r="T3168" s="5" t="s">
        <v>90</v>
      </c>
      <c r="U3168" s="5" t="s">
        <v>6186</v>
      </c>
      <c r="V3168" s="5" t="s">
        <v>44</v>
      </c>
      <c r="W3168" s="5" t="s">
        <v>35</v>
      </c>
      <c r="X3168" s="8" t="s">
        <v>432</v>
      </c>
      <c r="Y3168" s="5" t="s">
        <v>46</v>
      </c>
      <c r="Z3168" s="5" t="s">
        <v>47</v>
      </c>
      <c r="AA3168" s="5" t="s">
        <v>48</v>
      </c>
      <c r="AB3168" s="5" t="s">
        <v>15535</v>
      </c>
      <c r="AC3168" s="6" t="s">
        <v>67</v>
      </c>
      <c r="AD3168" s="6">
        <v>3490.0</v>
      </c>
    </row>
    <row r="3169" ht="56.25" customHeight="1">
      <c r="A3169" s="5" t="s">
        <v>15524</v>
      </c>
      <c r="B3169" s="6" t="str">
        <f>IMAGE("https://storage.googleapis.com/acdb/housewares/FtrTrashboxWood_Remake_3_0.png")</f>
        <v/>
      </c>
      <c r="C3169" s="5" t="s">
        <v>1132</v>
      </c>
      <c r="D3169" s="5" t="s">
        <v>748</v>
      </c>
      <c r="E3169" s="5" t="s">
        <v>34</v>
      </c>
      <c r="F3169" s="5" t="s">
        <v>34</v>
      </c>
      <c r="G3169" s="5" t="s">
        <v>35</v>
      </c>
      <c r="H3169" s="5" t="s">
        <v>35</v>
      </c>
      <c r="I3169" s="5" t="s">
        <v>36</v>
      </c>
      <c r="J3169" s="6">
        <v>1.0</v>
      </c>
      <c r="K3169" s="6" t="s">
        <v>37</v>
      </c>
      <c r="L3169" s="6">
        <v>480.0</v>
      </c>
      <c r="M3169" s="26" t="s">
        <v>39</v>
      </c>
      <c r="N3169" s="26" t="s">
        <v>39</v>
      </c>
      <c r="O3169" s="6" t="s">
        <v>40</v>
      </c>
      <c r="P3169" s="5" t="s">
        <v>41</v>
      </c>
      <c r="Q3169" s="5"/>
      <c r="R3169" s="6" t="s">
        <v>42</v>
      </c>
      <c r="S3169" s="5" t="s">
        <v>99</v>
      </c>
      <c r="T3169" s="5" t="s">
        <v>90</v>
      </c>
      <c r="U3169" s="5" t="s">
        <v>6186</v>
      </c>
      <c r="V3169" s="5" t="s">
        <v>44</v>
      </c>
      <c r="W3169" s="5" t="s">
        <v>35</v>
      </c>
      <c r="X3169" s="8" t="s">
        <v>432</v>
      </c>
      <c r="Y3169" s="5" t="s">
        <v>46</v>
      </c>
      <c r="Z3169" s="5" t="s">
        <v>47</v>
      </c>
      <c r="AA3169" s="5" t="s">
        <v>48</v>
      </c>
      <c r="AB3169" s="5" t="s">
        <v>15540</v>
      </c>
      <c r="AC3169" s="6" t="s">
        <v>71</v>
      </c>
      <c r="AD3169" s="6">
        <v>3490.0</v>
      </c>
    </row>
    <row r="3170" ht="56.25" customHeight="1">
      <c r="A3170" s="5" t="s">
        <v>15524</v>
      </c>
      <c r="B3170" s="6" t="str">
        <f>IMAGE("https://storage.googleapis.com/acdb/housewares/FtrTrashboxWood_Remake_4_0.png")</f>
        <v/>
      </c>
      <c r="C3170" s="5" t="s">
        <v>54</v>
      </c>
      <c r="D3170" s="5" t="s">
        <v>748</v>
      </c>
      <c r="E3170" s="5" t="s">
        <v>34</v>
      </c>
      <c r="F3170" s="5" t="s">
        <v>34</v>
      </c>
      <c r="G3170" s="5" t="s">
        <v>35</v>
      </c>
      <c r="H3170" s="5" t="s">
        <v>35</v>
      </c>
      <c r="I3170" s="5" t="s">
        <v>36</v>
      </c>
      <c r="J3170" s="6">
        <v>1.0</v>
      </c>
      <c r="K3170" s="6" t="s">
        <v>37</v>
      </c>
      <c r="L3170" s="6">
        <v>480.0</v>
      </c>
      <c r="M3170" s="26" t="s">
        <v>54</v>
      </c>
      <c r="N3170" s="26" t="s">
        <v>54</v>
      </c>
      <c r="O3170" s="6" t="s">
        <v>40</v>
      </c>
      <c r="P3170" s="5" t="s">
        <v>41</v>
      </c>
      <c r="Q3170" s="5"/>
      <c r="R3170" s="6" t="s">
        <v>42</v>
      </c>
      <c r="S3170" s="5" t="s">
        <v>99</v>
      </c>
      <c r="T3170" s="5" t="s">
        <v>90</v>
      </c>
      <c r="U3170" s="5" t="s">
        <v>6186</v>
      </c>
      <c r="V3170" s="5" t="s">
        <v>44</v>
      </c>
      <c r="W3170" s="5" t="s">
        <v>35</v>
      </c>
      <c r="X3170" s="8" t="s">
        <v>432</v>
      </c>
      <c r="Y3170" s="5" t="s">
        <v>46</v>
      </c>
      <c r="Z3170" s="5" t="s">
        <v>47</v>
      </c>
      <c r="AA3170" s="5" t="s">
        <v>48</v>
      </c>
      <c r="AB3170" s="5" t="s">
        <v>15543</v>
      </c>
      <c r="AC3170" s="6" t="s">
        <v>75</v>
      </c>
      <c r="AD3170" s="6">
        <v>3490.0</v>
      </c>
    </row>
    <row r="3171" ht="56.25" customHeight="1">
      <c r="A3171" s="5" t="s">
        <v>15524</v>
      </c>
      <c r="B3171" s="6" t="str">
        <f>IMAGE("https://storage.googleapis.com/acdb/housewares/FtrTrashboxWood_Remake_5_0.png")</f>
        <v/>
      </c>
      <c r="C3171" s="5" t="s">
        <v>1595</v>
      </c>
      <c r="D3171" s="5" t="s">
        <v>748</v>
      </c>
      <c r="E3171" s="5" t="s">
        <v>34</v>
      </c>
      <c r="F3171" s="5" t="s">
        <v>34</v>
      </c>
      <c r="G3171" s="5" t="s">
        <v>35</v>
      </c>
      <c r="H3171" s="5" t="s">
        <v>35</v>
      </c>
      <c r="I3171" s="5" t="s">
        <v>36</v>
      </c>
      <c r="J3171" s="6">
        <v>1.0</v>
      </c>
      <c r="K3171" s="6" t="s">
        <v>37</v>
      </c>
      <c r="L3171" s="6">
        <v>480.0</v>
      </c>
      <c r="M3171" s="26" t="s">
        <v>57</v>
      </c>
      <c r="N3171" s="26" t="s">
        <v>57</v>
      </c>
      <c r="O3171" s="6" t="s">
        <v>40</v>
      </c>
      <c r="P3171" s="5" t="s">
        <v>41</v>
      </c>
      <c r="Q3171" s="5"/>
      <c r="R3171" s="6" t="s">
        <v>42</v>
      </c>
      <c r="S3171" s="5" t="s">
        <v>99</v>
      </c>
      <c r="T3171" s="5" t="s">
        <v>90</v>
      </c>
      <c r="U3171" s="5" t="s">
        <v>6186</v>
      </c>
      <c r="V3171" s="5" t="s">
        <v>44</v>
      </c>
      <c r="W3171" s="5" t="s">
        <v>35</v>
      </c>
      <c r="X3171" s="8" t="s">
        <v>432</v>
      </c>
      <c r="Y3171" s="5" t="s">
        <v>46</v>
      </c>
      <c r="Z3171" s="5" t="s">
        <v>47</v>
      </c>
      <c r="AA3171" s="5" t="s">
        <v>48</v>
      </c>
      <c r="AB3171" s="5" t="s">
        <v>15550</v>
      </c>
      <c r="AC3171" s="6" t="s">
        <v>79</v>
      </c>
      <c r="AD3171" s="6">
        <v>3490.0</v>
      </c>
    </row>
    <row r="3172" ht="56.25" customHeight="1">
      <c r="A3172" s="5" t="s">
        <v>15551</v>
      </c>
      <c r="B3172" s="6" t="str">
        <f>IMAGE("https://storage.googleapis.com/acdb/housewares/FtrBlockBedS_Remake_0_0.png")</f>
        <v/>
      </c>
      <c r="C3172" s="5" t="s">
        <v>32</v>
      </c>
      <c r="D3172" s="5" t="s">
        <v>2683</v>
      </c>
      <c r="E3172" s="5" t="s">
        <v>34</v>
      </c>
      <c r="F3172" s="5" t="s">
        <v>34</v>
      </c>
      <c r="G3172" s="5" t="s">
        <v>35</v>
      </c>
      <c r="H3172" s="5" t="s">
        <v>35</v>
      </c>
      <c r="I3172" s="5" t="s">
        <v>36</v>
      </c>
      <c r="J3172" s="6">
        <v>4.0</v>
      </c>
      <c r="K3172" s="6" t="s">
        <v>37</v>
      </c>
      <c r="L3172" s="6">
        <v>2400.0</v>
      </c>
      <c r="M3172" s="26" t="s">
        <v>57</v>
      </c>
      <c r="N3172" s="26" t="s">
        <v>38</v>
      </c>
      <c r="O3172" s="6" t="s">
        <v>276</v>
      </c>
      <c r="P3172" s="5" t="s">
        <v>41</v>
      </c>
      <c r="Q3172" s="5"/>
      <c r="R3172" s="6" t="s">
        <v>42</v>
      </c>
      <c r="S3172" s="5" t="s">
        <v>99</v>
      </c>
      <c r="T3172" s="5" t="s">
        <v>44</v>
      </c>
      <c r="U3172" s="5" t="s">
        <v>2684</v>
      </c>
      <c r="V3172" s="5" t="s">
        <v>44</v>
      </c>
      <c r="W3172" s="5" t="s">
        <v>35</v>
      </c>
      <c r="X3172" s="8" t="s">
        <v>218</v>
      </c>
      <c r="Y3172" s="5" t="s">
        <v>46</v>
      </c>
      <c r="Z3172" s="5" t="s">
        <v>47</v>
      </c>
      <c r="AA3172" s="5" t="s">
        <v>48</v>
      </c>
      <c r="AB3172" s="5" t="s">
        <v>15560</v>
      </c>
      <c r="AC3172" s="6" t="s">
        <v>50</v>
      </c>
      <c r="AD3172" s="6">
        <v>1557.0</v>
      </c>
    </row>
    <row r="3173" ht="56.25" customHeight="1">
      <c r="A3173" s="5" t="s">
        <v>15551</v>
      </c>
      <c r="B3173" s="6" t="str">
        <f>IMAGE("https://storage.googleapis.com/acdb/housewares/FtrBlockBedS_Remake_1_0.png")</f>
        <v/>
      </c>
      <c r="C3173" s="5" t="s">
        <v>2688</v>
      </c>
      <c r="D3173" s="5" t="s">
        <v>2683</v>
      </c>
      <c r="E3173" s="5" t="s">
        <v>34</v>
      </c>
      <c r="F3173" s="5" t="s">
        <v>34</v>
      </c>
      <c r="G3173" s="5" t="s">
        <v>35</v>
      </c>
      <c r="H3173" s="5" t="s">
        <v>35</v>
      </c>
      <c r="I3173" s="5" t="s">
        <v>36</v>
      </c>
      <c r="J3173" s="6">
        <v>4.0</v>
      </c>
      <c r="K3173" s="6" t="s">
        <v>37</v>
      </c>
      <c r="L3173" s="6">
        <v>2400.0</v>
      </c>
      <c r="M3173" s="26" t="s">
        <v>39</v>
      </c>
      <c r="N3173" s="26" t="s">
        <v>54</v>
      </c>
      <c r="O3173" s="6" t="s">
        <v>276</v>
      </c>
      <c r="P3173" s="5" t="s">
        <v>41</v>
      </c>
      <c r="Q3173" s="5"/>
      <c r="R3173" s="6" t="s">
        <v>42</v>
      </c>
      <c r="S3173" s="5" t="s">
        <v>99</v>
      </c>
      <c r="T3173" s="5" t="s">
        <v>44</v>
      </c>
      <c r="U3173" s="5" t="s">
        <v>2684</v>
      </c>
      <c r="V3173" s="5" t="s">
        <v>44</v>
      </c>
      <c r="W3173" s="5" t="s">
        <v>35</v>
      </c>
      <c r="X3173" s="8" t="s">
        <v>218</v>
      </c>
      <c r="Y3173" s="5" t="s">
        <v>46</v>
      </c>
      <c r="Z3173" s="5" t="s">
        <v>47</v>
      </c>
      <c r="AA3173" s="5" t="s">
        <v>48</v>
      </c>
      <c r="AB3173" s="5" t="s">
        <v>15570</v>
      </c>
      <c r="AC3173" s="6" t="s">
        <v>56</v>
      </c>
      <c r="AD3173" s="6">
        <v>1557.0</v>
      </c>
    </row>
    <row r="3174" ht="56.25" customHeight="1">
      <c r="A3174" s="5" t="s">
        <v>15551</v>
      </c>
      <c r="B3174" s="6" t="str">
        <f>IMAGE("https://storage.googleapis.com/acdb/housewares/FtrBlockBedS_Remake_2_0.png")</f>
        <v/>
      </c>
      <c r="C3174" s="5" t="s">
        <v>58</v>
      </c>
      <c r="D3174" s="5" t="s">
        <v>2683</v>
      </c>
      <c r="E3174" s="5" t="s">
        <v>34</v>
      </c>
      <c r="F3174" s="5" t="s">
        <v>34</v>
      </c>
      <c r="G3174" s="5" t="s">
        <v>35</v>
      </c>
      <c r="H3174" s="5" t="s">
        <v>35</v>
      </c>
      <c r="I3174" s="5" t="s">
        <v>36</v>
      </c>
      <c r="J3174" s="6">
        <v>4.0</v>
      </c>
      <c r="K3174" s="6" t="s">
        <v>37</v>
      </c>
      <c r="L3174" s="6">
        <v>2400.0</v>
      </c>
      <c r="M3174" s="26" t="s">
        <v>68</v>
      </c>
      <c r="N3174" s="26" t="s">
        <v>58</v>
      </c>
      <c r="O3174" s="6" t="s">
        <v>276</v>
      </c>
      <c r="P3174" s="5" t="s">
        <v>41</v>
      </c>
      <c r="Q3174" s="5"/>
      <c r="R3174" s="6" t="s">
        <v>42</v>
      </c>
      <c r="S3174" s="5" t="s">
        <v>99</v>
      </c>
      <c r="T3174" s="5" t="s">
        <v>44</v>
      </c>
      <c r="U3174" s="5" t="s">
        <v>2684</v>
      </c>
      <c r="V3174" s="5" t="s">
        <v>44</v>
      </c>
      <c r="W3174" s="5" t="s">
        <v>35</v>
      </c>
      <c r="X3174" s="8" t="s">
        <v>218</v>
      </c>
      <c r="Y3174" s="5" t="s">
        <v>46</v>
      </c>
      <c r="Z3174" s="5" t="s">
        <v>47</v>
      </c>
      <c r="AA3174" s="5" t="s">
        <v>48</v>
      </c>
      <c r="AB3174" s="5" t="s">
        <v>15574</v>
      </c>
      <c r="AC3174" s="6" t="s">
        <v>67</v>
      </c>
      <c r="AD3174" s="6">
        <v>1557.0</v>
      </c>
    </row>
    <row r="3175" ht="56.25" customHeight="1">
      <c r="A3175" s="5" t="s">
        <v>15551</v>
      </c>
      <c r="B3175" s="6" t="str">
        <f>IMAGE("https://storage.googleapis.com/acdb/housewares/FtrBlockBedS_Remake_3_0.png")</f>
        <v/>
      </c>
      <c r="C3175" s="5" t="s">
        <v>688</v>
      </c>
      <c r="D3175" s="5" t="s">
        <v>2683</v>
      </c>
      <c r="E3175" s="5" t="s">
        <v>34</v>
      </c>
      <c r="F3175" s="5" t="s">
        <v>34</v>
      </c>
      <c r="G3175" s="5" t="s">
        <v>35</v>
      </c>
      <c r="H3175" s="5" t="s">
        <v>35</v>
      </c>
      <c r="I3175" s="5" t="s">
        <v>36</v>
      </c>
      <c r="J3175" s="6">
        <v>4.0</v>
      </c>
      <c r="K3175" s="6" t="s">
        <v>37</v>
      </c>
      <c r="L3175" s="6">
        <v>2400.0</v>
      </c>
      <c r="M3175" s="26" t="s">
        <v>69</v>
      </c>
      <c r="N3175" s="26" t="s">
        <v>58</v>
      </c>
      <c r="O3175" s="6" t="s">
        <v>276</v>
      </c>
      <c r="P3175" s="5" t="s">
        <v>41</v>
      </c>
      <c r="Q3175" s="5"/>
      <c r="R3175" s="6" t="s">
        <v>42</v>
      </c>
      <c r="S3175" s="5" t="s">
        <v>99</v>
      </c>
      <c r="T3175" s="5" t="s">
        <v>44</v>
      </c>
      <c r="U3175" s="5" t="s">
        <v>2684</v>
      </c>
      <c r="V3175" s="5" t="s">
        <v>44</v>
      </c>
      <c r="W3175" s="5" t="s">
        <v>35</v>
      </c>
      <c r="X3175" s="8" t="s">
        <v>218</v>
      </c>
      <c r="Y3175" s="5" t="s">
        <v>46</v>
      </c>
      <c r="Z3175" s="5" t="s">
        <v>47</v>
      </c>
      <c r="AA3175" s="5" t="s">
        <v>48</v>
      </c>
      <c r="AB3175" s="5" t="s">
        <v>15580</v>
      </c>
      <c r="AC3175" s="6" t="s">
        <v>71</v>
      </c>
      <c r="AD3175" s="6">
        <v>1557.0</v>
      </c>
    </row>
    <row r="3176" ht="56.25" customHeight="1">
      <c r="A3176" s="5" t="s">
        <v>15551</v>
      </c>
      <c r="B3176" s="6" t="str">
        <f>IMAGE("https://storage.googleapis.com/acdb/housewares/FtrBlockBedS_Remake_4_0.png")</f>
        <v/>
      </c>
      <c r="C3176" s="5" t="s">
        <v>2702</v>
      </c>
      <c r="D3176" s="5" t="s">
        <v>2683</v>
      </c>
      <c r="E3176" s="5" t="s">
        <v>34</v>
      </c>
      <c r="F3176" s="5" t="s">
        <v>34</v>
      </c>
      <c r="G3176" s="5" t="s">
        <v>35</v>
      </c>
      <c r="H3176" s="5" t="s">
        <v>35</v>
      </c>
      <c r="I3176" s="5" t="s">
        <v>36</v>
      </c>
      <c r="J3176" s="6">
        <v>4.0</v>
      </c>
      <c r="K3176" s="6" t="s">
        <v>37</v>
      </c>
      <c r="L3176" s="6">
        <v>2400.0</v>
      </c>
      <c r="M3176" s="26" t="s">
        <v>114</v>
      </c>
      <c r="N3176" s="26" t="s">
        <v>58</v>
      </c>
      <c r="O3176" s="6" t="s">
        <v>276</v>
      </c>
      <c r="P3176" s="5" t="s">
        <v>41</v>
      </c>
      <c r="Q3176" s="5"/>
      <c r="R3176" s="6" t="s">
        <v>42</v>
      </c>
      <c r="S3176" s="5" t="s">
        <v>99</v>
      </c>
      <c r="T3176" s="5" t="s">
        <v>44</v>
      </c>
      <c r="U3176" s="5" t="s">
        <v>2684</v>
      </c>
      <c r="V3176" s="5" t="s">
        <v>44</v>
      </c>
      <c r="W3176" s="5" t="s">
        <v>35</v>
      </c>
      <c r="X3176" s="8" t="s">
        <v>218</v>
      </c>
      <c r="Y3176" s="5" t="s">
        <v>46</v>
      </c>
      <c r="Z3176" s="5" t="s">
        <v>47</v>
      </c>
      <c r="AA3176" s="5" t="s">
        <v>48</v>
      </c>
      <c r="AB3176" s="5" t="s">
        <v>15585</v>
      </c>
      <c r="AC3176" s="6" t="s">
        <v>75</v>
      </c>
      <c r="AD3176" s="6">
        <v>1557.0</v>
      </c>
    </row>
    <row r="3177" ht="56.25" customHeight="1">
      <c r="A3177" s="5" t="s">
        <v>15586</v>
      </c>
      <c r="B3177" s="6" t="str">
        <f>IMAGE("https://storage.googleapis.com/acdb/housewares/FtrBlockChairL_Remake_0_0.png")</f>
        <v/>
      </c>
      <c r="C3177" s="5" t="s">
        <v>32</v>
      </c>
      <c r="D3177" s="5" t="s">
        <v>2683</v>
      </c>
      <c r="E3177" s="5" t="s">
        <v>34</v>
      </c>
      <c r="F3177" s="5" t="s">
        <v>34</v>
      </c>
      <c r="G3177" s="5" t="s">
        <v>35</v>
      </c>
      <c r="H3177" s="5" t="s">
        <v>35</v>
      </c>
      <c r="I3177" s="5" t="s">
        <v>36</v>
      </c>
      <c r="J3177" s="6">
        <v>2.0</v>
      </c>
      <c r="K3177" s="6" t="s">
        <v>37</v>
      </c>
      <c r="L3177" s="6">
        <v>840.0</v>
      </c>
      <c r="M3177" s="26" t="s">
        <v>38</v>
      </c>
      <c r="N3177" s="26" t="s">
        <v>38</v>
      </c>
      <c r="O3177" s="6" t="s">
        <v>276</v>
      </c>
      <c r="P3177" s="5" t="s">
        <v>41</v>
      </c>
      <c r="Q3177" s="5"/>
      <c r="R3177" s="6" t="s">
        <v>42</v>
      </c>
      <c r="S3177" s="5" t="s">
        <v>99</v>
      </c>
      <c r="T3177" s="5" t="s">
        <v>44</v>
      </c>
      <c r="U3177" s="5" t="s">
        <v>2684</v>
      </c>
      <c r="V3177" s="5" t="s">
        <v>44</v>
      </c>
      <c r="W3177" s="5" t="s">
        <v>35</v>
      </c>
      <c r="X3177" s="8" t="s">
        <v>671</v>
      </c>
      <c r="Y3177" s="5" t="s">
        <v>46</v>
      </c>
      <c r="Z3177" s="5" t="s">
        <v>47</v>
      </c>
      <c r="AA3177" s="5" t="s">
        <v>48</v>
      </c>
      <c r="AB3177" s="5" t="s">
        <v>15593</v>
      </c>
      <c r="AC3177" s="6" t="s">
        <v>50</v>
      </c>
      <c r="AD3177" s="6">
        <v>1559.0</v>
      </c>
    </row>
    <row r="3178" ht="56.25" customHeight="1">
      <c r="A3178" s="5" t="s">
        <v>15586</v>
      </c>
      <c r="B3178" s="6" t="str">
        <f>IMAGE("https://storage.googleapis.com/acdb/housewares/FtrBlockChairL_Remake_1_0.png")</f>
        <v/>
      </c>
      <c r="C3178" s="5" t="s">
        <v>2688</v>
      </c>
      <c r="D3178" s="5" t="s">
        <v>2683</v>
      </c>
      <c r="E3178" s="5" t="s">
        <v>34</v>
      </c>
      <c r="F3178" s="5" t="s">
        <v>34</v>
      </c>
      <c r="G3178" s="5" t="s">
        <v>35</v>
      </c>
      <c r="H3178" s="5" t="s">
        <v>35</v>
      </c>
      <c r="I3178" s="5" t="s">
        <v>36</v>
      </c>
      <c r="J3178" s="6">
        <v>2.0</v>
      </c>
      <c r="K3178" s="6" t="s">
        <v>37</v>
      </c>
      <c r="L3178" s="6">
        <v>840.0</v>
      </c>
      <c r="M3178" s="26" t="s">
        <v>54</v>
      </c>
      <c r="N3178" s="26" t="s">
        <v>39</v>
      </c>
      <c r="O3178" s="6" t="s">
        <v>276</v>
      </c>
      <c r="P3178" s="5" t="s">
        <v>41</v>
      </c>
      <c r="Q3178" s="5"/>
      <c r="R3178" s="6" t="s">
        <v>42</v>
      </c>
      <c r="S3178" s="5" t="s">
        <v>99</v>
      </c>
      <c r="T3178" s="5" t="s">
        <v>44</v>
      </c>
      <c r="U3178" s="5" t="s">
        <v>2684</v>
      </c>
      <c r="V3178" s="5" t="s">
        <v>44</v>
      </c>
      <c r="W3178" s="5" t="s">
        <v>35</v>
      </c>
      <c r="X3178" s="8" t="s">
        <v>671</v>
      </c>
      <c r="Y3178" s="5" t="s">
        <v>46</v>
      </c>
      <c r="Z3178" s="5" t="s">
        <v>47</v>
      </c>
      <c r="AA3178" s="5" t="s">
        <v>48</v>
      </c>
      <c r="AB3178" s="5" t="s">
        <v>15600</v>
      </c>
      <c r="AC3178" s="6" t="s">
        <v>56</v>
      </c>
      <c r="AD3178" s="6">
        <v>1559.0</v>
      </c>
    </row>
    <row r="3179" ht="56.25" customHeight="1">
      <c r="A3179" s="5" t="s">
        <v>15586</v>
      </c>
      <c r="B3179" s="6" t="str">
        <f>IMAGE("https://storage.googleapis.com/acdb/housewares/FtrBlockChairL_Remake_2_0.png")</f>
        <v/>
      </c>
      <c r="C3179" s="5" t="s">
        <v>58</v>
      </c>
      <c r="D3179" s="5" t="s">
        <v>2683</v>
      </c>
      <c r="E3179" s="5" t="s">
        <v>34</v>
      </c>
      <c r="F3179" s="5" t="s">
        <v>34</v>
      </c>
      <c r="G3179" s="5" t="s">
        <v>35</v>
      </c>
      <c r="H3179" s="5" t="s">
        <v>35</v>
      </c>
      <c r="I3179" s="5" t="s">
        <v>36</v>
      </c>
      <c r="J3179" s="6">
        <v>2.0</v>
      </c>
      <c r="K3179" s="6" t="s">
        <v>37</v>
      </c>
      <c r="L3179" s="6">
        <v>840.0</v>
      </c>
      <c r="M3179" s="26" t="s">
        <v>114</v>
      </c>
      <c r="N3179" s="26" t="s">
        <v>58</v>
      </c>
      <c r="O3179" s="6" t="s">
        <v>276</v>
      </c>
      <c r="P3179" s="5" t="s">
        <v>41</v>
      </c>
      <c r="Q3179" s="5"/>
      <c r="R3179" s="6" t="s">
        <v>42</v>
      </c>
      <c r="S3179" s="5" t="s">
        <v>99</v>
      </c>
      <c r="T3179" s="5" t="s">
        <v>44</v>
      </c>
      <c r="U3179" s="5" t="s">
        <v>2684</v>
      </c>
      <c r="V3179" s="5" t="s">
        <v>44</v>
      </c>
      <c r="W3179" s="5" t="s">
        <v>35</v>
      </c>
      <c r="X3179" s="8" t="s">
        <v>671</v>
      </c>
      <c r="Y3179" s="5" t="s">
        <v>46</v>
      </c>
      <c r="Z3179" s="5" t="s">
        <v>47</v>
      </c>
      <c r="AA3179" s="5" t="s">
        <v>48</v>
      </c>
      <c r="AB3179" s="5" t="s">
        <v>15603</v>
      </c>
      <c r="AC3179" s="6" t="s">
        <v>67</v>
      </c>
      <c r="AD3179" s="6">
        <v>1559.0</v>
      </c>
    </row>
    <row r="3180" ht="56.25" customHeight="1">
      <c r="A3180" s="5" t="s">
        <v>15586</v>
      </c>
      <c r="B3180" s="6" t="str">
        <f>IMAGE("https://storage.googleapis.com/acdb/housewares/FtrBlockChairL_Remake_3_0.png")</f>
        <v/>
      </c>
      <c r="C3180" s="5" t="s">
        <v>688</v>
      </c>
      <c r="D3180" s="5" t="s">
        <v>2683</v>
      </c>
      <c r="E3180" s="5" t="s">
        <v>34</v>
      </c>
      <c r="F3180" s="5" t="s">
        <v>34</v>
      </c>
      <c r="G3180" s="5" t="s">
        <v>35</v>
      </c>
      <c r="H3180" s="5" t="s">
        <v>35</v>
      </c>
      <c r="I3180" s="5" t="s">
        <v>36</v>
      </c>
      <c r="J3180" s="6">
        <v>2.0</v>
      </c>
      <c r="K3180" s="6" t="s">
        <v>37</v>
      </c>
      <c r="L3180" s="6">
        <v>840.0</v>
      </c>
      <c r="M3180" s="26" t="s">
        <v>1175</v>
      </c>
      <c r="N3180" s="26" t="s">
        <v>58</v>
      </c>
      <c r="O3180" s="6" t="s">
        <v>276</v>
      </c>
      <c r="P3180" s="5" t="s">
        <v>41</v>
      </c>
      <c r="Q3180" s="5"/>
      <c r="R3180" s="6" t="s">
        <v>42</v>
      </c>
      <c r="S3180" s="5" t="s">
        <v>99</v>
      </c>
      <c r="T3180" s="5" t="s">
        <v>44</v>
      </c>
      <c r="U3180" s="5" t="s">
        <v>2684</v>
      </c>
      <c r="V3180" s="5" t="s">
        <v>44</v>
      </c>
      <c r="W3180" s="5" t="s">
        <v>35</v>
      </c>
      <c r="X3180" s="8" t="s">
        <v>671</v>
      </c>
      <c r="Y3180" s="5" t="s">
        <v>46</v>
      </c>
      <c r="Z3180" s="5" t="s">
        <v>47</v>
      </c>
      <c r="AA3180" s="5" t="s">
        <v>48</v>
      </c>
      <c r="AB3180" s="5" t="s">
        <v>15610</v>
      </c>
      <c r="AC3180" s="6" t="s">
        <v>71</v>
      </c>
      <c r="AD3180" s="6">
        <v>1559.0</v>
      </c>
    </row>
    <row r="3181" ht="56.25" customHeight="1">
      <c r="A3181" s="5" t="s">
        <v>15586</v>
      </c>
      <c r="B3181" s="6" t="str">
        <f>IMAGE("https://storage.googleapis.com/acdb/housewares/FtrBlockChairL_Remake_4_0.png")</f>
        <v/>
      </c>
      <c r="C3181" s="5" t="s">
        <v>2702</v>
      </c>
      <c r="D3181" s="5" t="s">
        <v>2683</v>
      </c>
      <c r="E3181" s="5" t="s">
        <v>34</v>
      </c>
      <c r="F3181" s="5" t="s">
        <v>34</v>
      </c>
      <c r="G3181" s="5" t="s">
        <v>35</v>
      </c>
      <c r="H3181" s="5" t="s">
        <v>35</v>
      </c>
      <c r="I3181" s="5" t="s">
        <v>36</v>
      </c>
      <c r="J3181" s="6">
        <v>2.0</v>
      </c>
      <c r="K3181" s="6" t="s">
        <v>37</v>
      </c>
      <c r="L3181" s="6">
        <v>840.0</v>
      </c>
      <c r="M3181" s="26" t="s">
        <v>68</v>
      </c>
      <c r="N3181" s="26" t="s">
        <v>58</v>
      </c>
      <c r="O3181" s="6" t="s">
        <v>276</v>
      </c>
      <c r="P3181" s="5" t="s">
        <v>41</v>
      </c>
      <c r="Q3181" s="5"/>
      <c r="R3181" s="6" t="s">
        <v>42</v>
      </c>
      <c r="S3181" s="5" t="s">
        <v>99</v>
      </c>
      <c r="T3181" s="5" t="s">
        <v>44</v>
      </c>
      <c r="U3181" s="5" t="s">
        <v>2684</v>
      </c>
      <c r="V3181" s="5" t="s">
        <v>44</v>
      </c>
      <c r="W3181" s="5" t="s">
        <v>35</v>
      </c>
      <c r="X3181" s="8" t="s">
        <v>671</v>
      </c>
      <c r="Y3181" s="5" t="s">
        <v>46</v>
      </c>
      <c r="Z3181" s="5" t="s">
        <v>47</v>
      </c>
      <c r="AA3181" s="5" t="s">
        <v>48</v>
      </c>
      <c r="AB3181" s="5" t="s">
        <v>15614</v>
      </c>
      <c r="AC3181" s="6" t="s">
        <v>75</v>
      </c>
      <c r="AD3181" s="6">
        <v>1559.0</v>
      </c>
    </row>
    <row r="3182" ht="56.25" customHeight="1">
      <c r="A3182" s="5" t="s">
        <v>15616</v>
      </c>
      <c r="B3182" s="6" t="str">
        <f>IMAGE("https://storage.googleapis.com/acdb/housewares/FtrBlockShelf_Remake_0_0.png")</f>
        <v/>
      </c>
      <c r="C3182" s="5" t="s">
        <v>32</v>
      </c>
      <c r="D3182" s="5" t="s">
        <v>2683</v>
      </c>
      <c r="E3182" s="5" t="s">
        <v>34</v>
      </c>
      <c r="F3182" s="5" t="s">
        <v>34</v>
      </c>
      <c r="G3182" s="5" t="s">
        <v>35</v>
      </c>
      <c r="H3182" s="5" t="s">
        <v>35</v>
      </c>
      <c r="I3182" s="5" t="s">
        <v>36</v>
      </c>
      <c r="J3182" s="6">
        <v>1.0</v>
      </c>
      <c r="K3182" s="6" t="s">
        <v>37</v>
      </c>
      <c r="L3182" s="6">
        <v>720.0</v>
      </c>
      <c r="M3182" s="26" t="s">
        <v>38</v>
      </c>
      <c r="N3182" s="26" t="s">
        <v>39</v>
      </c>
      <c r="O3182" s="6" t="s">
        <v>40</v>
      </c>
      <c r="P3182" s="5" t="s">
        <v>41</v>
      </c>
      <c r="Q3182" s="5"/>
      <c r="R3182" s="6" t="s">
        <v>42</v>
      </c>
      <c r="S3182" s="5" t="s">
        <v>99</v>
      </c>
      <c r="T3182" s="5" t="s">
        <v>44</v>
      </c>
      <c r="U3182" s="5" t="s">
        <v>2684</v>
      </c>
      <c r="V3182" s="5" t="s">
        <v>44</v>
      </c>
      <c r="W3182" s="5" t="s">
        <v>36</v>
      </c>
      <c r="X3182" s="8" t="s">
        <v>730</v>
      </c>
      <c r="Y3182" s="5" t="s">
        <v>46</v>
      </c>
      <c r="Z3182" s="5" t="s">
        <v>47</v>
      </c>
      <c r="AA3182" s="5" t="s">
        <v>48</v>
      </c>
      <c r="AB3182" s="5" t="s">
        <v>15620</v>
      </c>
      <c r="AC3182" s="6" t="s">
        <v>50</v>
      </c>
      <c r="AD3182" s="6">
        <v>1558.0</v>
      </c>
    </row>
    <row r="3183" ht="56.25" customHeight="1">
      <c r="A3183" s="5" t="s">
        <v>15616</v>
      </c>
      <c r="B3183" s="6" t="str">
        <f>IMAGE("https://storage.googleapis.com/acdb/housewares/FtrBlockShelf_Remake_1_0.png")</f>
        <v/>
      </c>
      <c r="C3183" s="5" t="s">
        <v>2688</v>
      </c>
      <c r="D3183" s="5" t="s">
        <v>2683</v>
      </c>
      <c r="E3183" s="5" t="s">
        <v>34</v>
      </c>
      <c r="F3183" s="5" t="s">
        <v>34</v>
      </c>
      <c r="G3183" s="5" t="s">
        <v>35</v>
      </c>
      <c r="H3183" s="5" t="s">
        <v>35</v>
      </c>
      <c r="I3183" s="5" t="s">
        <v>36</v>
      </c>
      <c r="J3183" s="6">
        <v>1.0</v>
      </c>
      <c r="K3183" s="6" t="s">
        <v>37</v>
      </c>
      <c r="L3183" s="6">
        <v>720.0</v>
      </c>
      <c r="M3183" s="26" t="s">
        <v>39</v>
      </c>
      <c r="N3183" s="26" t="s">
        <v>114</v>
      </c>
      <c r="O3183" s="6" t="s">
        <v>40</v>
      </c>
      <c r="P3183" s="5" t="s">
        <v>41</v>
      </c>
      <c r="Q3183" s="5"/>
      <c r="R3183" s="6" t="s">
        <v>42</v>
      </c>
      <c r="S3183" s="5" t="s">
        <v>99</v>
      </c>
      <c r="T3183" s="5" t="s">
        <v>44</v>
      </c>
      <c r="U3183" s="5" t="s">
        <v>2684</v>
      </c>
      <c r="V3183" s="5" t="s">
        <v>44</v>
      </c>
      <c r="W3183" s="5" t="s">
        <v>36</v>
      </c>
      <c r="X3183" s="8" t="s">
        <v>730</v>
      </c>
      <c r="Y3183" s="5" t="s">
        <v>46</v>
      </c>
      <c r="Z3183" s="5" t="s">
        <v>47</v>
      </c>
      <c r="AA3183" s="5" t="s">
        <v>48</v>
      </c>
      <c r="AB3183" s="5" t="s">
        <v>15624</v>
      </c>
      <c r="AC3183" s="6" t="s">
        <v>56</v>
      </c>
      <c r="AD3183" s="6">
        <v>1558.0</v>
      </c>
    </row>
    <row r="3184" ht="56.25" customHeight="1">
      <c r="A3184" s="5" t="s">
        <v>15616</v>
      </c>
      <c r="B3184" s="6" t="str">
        <f>IMAGE("https://storage.googleapis.com/acdb/housewares/FtrBlockShelf_Remake_2_0.png")</f>
        <v/>
      </c>
      <c r="C3184" s="5" t="s">
        <v>58</v>
      </c>
      <c r="D3184" s="5" t="s">
        <v>2683</v>
      </c>
      <c r="E3184" s="5" t="s">
        <v>34</v>
      </c>
      <c r="F3184" s="5" t="s">
        <v>34</v>
      </c>
      <c r="G3184" s="5" t="s">
        <v>35</v>
      </c>
      <c r="H3184" s="5" t="s">
        <v>35</v>
      </c>
      <c r="I3184" s="5" t="s">
        <v>36</v>
      </c>
      <c r="J3184" s="6">
        <v>1.0</v>
      </c>
      <c r="K3184" s="6" t="s">
        <v>37</v>
      </c>
      <c r="L3184" s="6">
        <v>720.0</v>
      </c>
      <c r="M3184" s="26" t="s">
        <v>114</v>
      </c>
      <c r="N3184" s="26" t="s">
        <v>58</v>
      </c>
      <c r="O3184" s="6" t="s">
        <v>40</v>
      </c>
      <c r="P3184" s="5" t="s">
        <v>41</v>
      </c>
      <c r="Q3184" s="5"/>
      <c r="R3184" s="6" t="s">
        <v>42</v>
      </c>
      <c r="S3184" s="5" t="s">
        <v>99</v>
      </c>
      <c r="T3184" s="5" t="s">
        <v>44</v>
      </c>
      <c r="U3184" s="5" t="s">
        <v>2684</v>
      </c>
      <c r="V3184" s="5" t="s">
        <v>44</v>
      </c>
      <c r="W3184" s="5" t="s">
        <v>36</v>
      </c>
      <c r="X3184" s="8" t="s">
        <v>730</v>
      </c>
      <c r="Y3184" s="5" t="s">
        <v>46</v>
      </c>
      <c r="Z3184" s="5" t="s">
        <v>47</v>
      </c>
      <c r="AA3184" s="5" t="s">
        <v>48</v>
      </c>
      <c r="AB3184" s="5" t="s">
        <v>15629</v>
      </c>
      <c r="AC3184" s="6" t="s">
        <v>67</v>
      </c>
      <c r="AD3184" s="6">
        <v>1558.0</v>
      </c>
    </row>
    <row r="3185" ht="56.25" customHeight="1">
      <c r="A3185" s="5" t="s">
        <v>15616</v>
      </c>
      <c r="B3185" s="6" t="str">
        <f>IMAGE("https://storage.googleapis.com/acdb/housewares/FtrBlockShelf_Remake_3_0.png")</f>
        <v/>
      </c>
      <c r="C3185" s="5" t="s">
        <v>688</v>
      </c>
      <c r="D3185" s="5" t="s">
        <v>2683</v>
      </c>
      <c r="E3185" s="5" t="s">
        <v>34</v>
      </c>
      <c r="F3185" s="5" t="s">
        <v>34</v>
      </c>
      <c r="G3185" s="5" t="s">
        <v>35</v>
      </c>
      <c r="H3185" s="5" t="s">
        <v>35</v>
      </c>
      <c r="I3185" s="5" t="s">
        <v>36</v>
      </c>
      <c r="J3185" s="6">
        <v>1.0</v>
      </c>
      <c r="K3185" s="6" t="s">
        <v>37</v>
      </c>
      <c r="L3185" s="6">
        <v>720.0</v>
      </c>
      <c r="M3185" s="26" t="s">
        <v>69</v>
      </c>
      <c r="N3185" s="26" t="s">
        <v>58</v>
      </c>
      <c r="O3185" s="6" t="s">
        <v>40</v>
      </c>
      <c r="P3185" s="5" t="s">
        <v>41</v>
      </c>
      <c r="Q3185" s="5"/>
      <c r="R3185" s="6" t="s">
        <v>42</v>
      </c>
      <c r="S3185" s="5" t="s">
        <v>99</v>
      </c>
      <c r="T3185" s="5" t="s">
        <v>44</v>
      </c>
      <c r="U3185" s="5" t="s">
        <v>2684</v>
      </c>
      <c r="V3185" s="5" t="s">
        <v>44</v>
      </c>
      <c r="W3185" s="5" t="s">
        <v>36</v>
      </c>
      <c r="X3185" s="8" t="s">
        <v>730</v>
      </c>
      <c r="Y3185" s="5" t="s">
        <v>46</v>
      </c>
      <c r="Z3185" s="5" t="s">
        <v>47</v>
      </c>
      <c r="AA3185" s="5" t="s">
        <v>48</v>
      </c>
      <c r="AB3185" s="5" t="s">
        <v>15633</v>
      </c>
      <c r="AC3185" s="6" t="s">
        <v>71</v>
      </c>
      <c r="AD3185" s="6">
        <v>1558.0</v>
      </c>
    </row>
    <row r="3186" ht="56.25" customHeight="1">
      <c r="A3186" s="5" t="s">
        <v>15616</v>
      </c>
      <c r="B3186" s="6" t="str">
        <f>IMAGE("https://storage.googleapis.com/acdb/housewares/FtrBlockShelf_Remake_4_0.png")</f>
        <v/>
      </c>
      <c r="C3186" s="5" t="s">
        <v>2702</v>
      </c>
      <c r="D3186" s="5" t="s">
        <v>2683</v>
      </c>
      <c r="E3186" s="5" t="s">
        <v>34</v>
      </c>
      <c r="F3186" s="5" t="s">
        <v>34</v>
      </c>
      <c r="G3186" s="5" t="s">
        <v>35</v>
      </c>
      <c r="H3186" s="5" t="s">
        <v>35</v>
      </c>
      <c r="I3186" s="5" t="s">
        <v>36</v>
      </c>
      <c r="J3186" s="6">
        <v>1.0</v>
      </c>
      <c r="K3186" s="6" t="s">
        <v>37</v>
      </c>
      <c r="L3186" s="6">
        <v>720.0</v>
      </c>
      <c r="M3186" s="26" t="s">
        <v>68</v>
      </c>
      <c r="N3186" s="26" t="s">
        <v>58</v>
      </c>
      <c r="O3186" s="6" t="s">
        <v>40</v>
      </c>
      <c r="P3186" s="5" t="s">
        <v>41</v>
      </c>
      <c r="Q3186" s="5"/>
      <c r="R3186" s="6" t="s">
        <v>42</v>
      </c>
      <c r="S3186" s="5" t="s">
        <v>99</v>
      </c>
      <c r="T3186" s="5" t="s">
        <v>44</v>
      </c>
      <c r="U3186" s="5" t="s">
        <v>2684</v>
      </c>
      <c r="V3186" s="5" t="s">
        <v>44</v>
      </c>
      <c r="W3186" s="5" t="s">
        <v>36</v>
      </c>
      <c r="X3186" s="8" t="s">
        <v>730</v>
      </c>
      <c r="Y3186" s="5" t="s">
        <v>46</v>
      </c>
      <c r="Z3186" s="5" t="s">
        <v>47</v>
      </c>
      <c r="AA3186" s="5" t="s">
        <v>48</v>
      </c>
      <c r="AB3186" s="5" t="s">
        <v>15638</v>
      </c>
      <c r="AC3186" s="6" t="s">
        <v>75</v>
      </c>
      <c r="AD3186" s="6">
        <v>1558.0</v>
      </c>
    </row>
    <row r="3187" ht="56.25" customHeight="1">
      <c r="A3187" s="5" t="s">
        <v>15640</v>
      </c>
      <c r="B3187" s="6" t="str">
        <f>IMAGE("https://storage.googleapis.com/acdb/housewares/FtrBlockChairS_Remake_0_0.png")</f>
        <v/>
      </c>
      <c r="C3187" s="5" t="s">
        <v>32</v>
      </c>
      <c r="D3187" s="5" t="s">
        <v>2683</v>
      </c>
      <c r="E3187" s="5" t="s">
        <v>34</v>
      </c>
      <c r="F3187" s="5" t="s">
        <v>34</v>
      </c>
      <c r="G3187" s="5" t="s">
        <v>35</v>
      </c>
      <c r="H3187" s="5" t="s">
        <v>35</v>
      </c>
      <c r="I3187" s="5" t="s">
        <v>36</v>
      </c>
      <c r="J3187" s="6">
        <v>1.0</v>
      </c>
      <c r="K3187" s="6" t="s">
        <v>37</v>
      </c>
      <c r="L3187" s="6">
        <v>720.0</v>
      </c>
      <c r="M3187" s="26" t="s">
        <v>38</v>
      </c>
      <c r="N3187" s="26" t="s">
        <v>38</v>
      </c>
      <c r="O3187" s="6" t="s">
        <v>40</v>
      </c>
      <c r="P3187" s="5" t="s">
        <v>41</v>
      </c>
      <c r="Q3187" s="5"/>
      <c r="R3187" s="6" t="s">
        <v>42</v>
      </c>
      <c r="S3187" s="5" t="s">
        <v>99</v>
      </c>
      <c r="T3187" s="5" t="s">
        <v>44</v>
      </c>
      <c r="U3187" s="5" t="s">
        <v>2684</v>
      </c>
      <c r="V3187" s="5" t="s">
        <v>44</v>
      </c>
      <c r="W3187" s="5" t="s">
        <v>35</v>
      </c>
      <c r="X3187" s="8" t="s">
        <v>248</v>
      </c>
      <c r="Y3187" s="5" t="s">
        <v>46</v>
      </c>
      <c r="Z3187" s="5" t="s">
        <v>47</v>
      </c>
      <c r="AA3187" s="5" t="s">
        <v>48</v>
      </c>
      <c r="AB3187" s="5" t="s">
        <v>15647</v>
      </c>
      <c r="AC3187" s="6" t="s">
        <v>50</v>
      </c>
      <c r="AD3187" s="6">
        <v>2558.0</v>
      </c>
    </row>
    <row r="3188" ht="56.25" customHeight="1">
      <c r="A3188" s="5" t="s">
        <v>15640</v>
      </c>
      <c r="B3188" s="6" t="str">
        <f>IMAGE("https://storage.googleapis.com/acdb/housewares/FtrBlockChairS_Remake_1_0.png")</f>
        <v/>
      </c>
      <c r="C3188" s="5" t="s">
        <v>2688</v>
      </c>
      <c r="D3188" s="5" t="s">
        <v>2683</v>
      </c>
      <c r="E3188" s="5" t="s">
        <v>34</v>
      </c>
      <c r="F3188" s="5" t="s">
        <v>34</v>
      </c>
      <c r="G3188" s="5" t="s">
        <v>35</v>
      </c>
      <c r="H3188" s="5" t="s">
        <v>35</v>
      </c>
      <c r="I3188" s="5" t="s">
        <v>36</v>
      </c>
      <c r="J3188" s="6">
        <v>1.0</v>
      </c>
      <c r="K3188" s="6" t="s">
        <v>37</v>
      </c>
      <c r="L3188" s="6">
        <v>720.0</v>
      </c>
      <c r="M3188" s="26" t="s">
        <v>39</v>
      </c>
      <c r="N3188" s="26" t="s">
        <v>54</v>
      </c>
      <c r="O3188" s="6" t="s">
        <v>40</v>
      </c>
      <c r="P3188" s="5" t="s">
        <v>41</v>
      </c>
      <c r="Q3188" s="5"/>
      <c r="R3188" s="6" t="s">
        <v>42</v>
      </c>
      <c r="S3188" s="5" t="s">
        <v>99</v>
      </c>
      <c r="T3188" s="5" t="s">
        <v>44</v>
      </c>
      <c r="U3188" s="5" t="s">
        <v>2684</v>
      </c>
      <c r="V3188" s="5" t="s">
        <v>44</v>
      </c>
      <c r="W3188" s="5" t="s">
        <v>35</v>
      </c>
      <c r="X3188" s="8" t="s">
        <v>248</v>
      </c>
      <c r="Y3188" s="5" t="s">
        <v>46</v>
      </c>
      <c r="Z3188" s="5" t="s">
        <v>47</v>
      </c>
      <c r="AA3188" s="5" t="s">
        <v>48</v>
      </c>
      <c r="AB3188" s="5" t="s">
        <v>15654</v>
      </c>
      <c r="AC3188" s="6" t="s">
        <v>56</v>
      </c>
      <c r="AD3188" s="6">
        <v>2558.0</v>
      </c>
    </row>
    <row r="3189" ht="56.25" customHeight="1">
      <c r="A3189" s="5" t="s">
        <v>15640</v>
      </c>
      <c r="B3189" s="6" t="str">
        <f>IMAGE("https://storage.googleapis.com/acdb/housewares/FtrBlockChairS_Remake_2_0.png")</f>
        <v/>
      </c>
      <c r="C3189" s="5" t="s">
        <v>58</v>
      </c>
      <c r="D3189" s="5" t="s">
        <v>2683</v>
      </c>
      <c r="E3189" s="5" t="s">
        <v>34</v>
      </c>
      <c r="F3189" s="5" t="s">
        <v>34</v>
      </c>
      <c r="G3189" s="5" t="s">
        <v>35</v>
      </c>
      <c r="H3189" s="5" t="s">
        <v>35</v>
      </c>
      <c r="I3189" s="5" t="s">
        <v>36</v>
      </c>
      <c r="J3189" s="6">
        <v>1.0</v>
      </c>
      <c r="K3189" s="6" t="s">
        <v>37</v>
      </c>
      <c r="L3189" s="6">
        <v>720.0</v>
      </c>
      <c r="M3189" s="26" t="s">
        <v>52</v>
      </c>
      <c r="N3189" s="26" t="s">
        <v>58</v>
      </c>
      <c r="O3189" s="6" t="s">
        <v>40</v>
      </c>
      <c r="P3189" s="5" t="s">
        <v>41</v>
      </c>
      <c r="Q3189" s="5"/>
      <c r="R3189" s="6" t="s">
        <v>42</v>
      </c>
      <c r="S3189" s="5" t="s">
        <v>99</v>
      </c>
      <c r="T3189" s="5" t="s">
        <v>44</v>
      </c>
      <c r="U3189" s="5" t="s">
        <v>2684</v>
      </c>
      <c r="V3189" s="5" t="s">
        <v>44</v>
      </c>
      <c r="W3189" s="5" t="s">
        <v>35</v>
      </c>
      <c r="X3189" s="8" t="s">
        <v>248</v>
      </c>
      <c r="Y3189" s="5" t="s">
        <v>46</v>
      </c>
      <c r="Z3189" s="5" t="s">
        <v>47</v>
      </c>
      <c r="AA3189" s="5" t="s">
        <v>48</v>
      </c>
      <c r="AB3189" s="5" t="s">
        <v>15659</v>
      </c>
      <c r="AC3189" s="6" t="s">
        <v>67</v>
      </c>
      <c r="AD3189" s="6">
        <v>2558.0</v>
      </c>
    </row>
    <row r="3190" ht="56.25" customHeight="1">
      <c r="A3190" s="5" t="s">
        <v>15640</v>
      </c>
      <c r="B3190" s="6" t="str">
        <f>IMAGE("https://storage.googleapis.com/acdb/housewares/FtrBlockChairS_Remake_3_0.png")</f>
        <v/>
      </c>
      <c r="C3190" s="5" t="s">
        <v>688</v>
      </c>
      <c r="D3190" s="5" t="s">
        <v>2683</v>
      </c>
      <c r="E3190" s="5" t="s">
        <v>34</v>
      </c>
      <c r="F3190" s="5" t="s">
        <v>34</v>
      </c>
      <c r="G3190" s="5" t="s">
        <v>35</v>
      </c>
      <c r="H3190" s="5" t="s">
        <v>35</v>
      </c>
      <c r="I3190" s="5" t="s">
        <v>36</v>
      </c>
      <c r="J3190" s="6">
        <v>1.0</v>
      </c>
      <c r="K3190" s="6" t="s">
        <v>37</v>
      </c>
      <c r="L3190" s="6">
        <v>720.0</v>
      </c>
      <c r="M3190" s="26" t="s">
        <v>69</v>
      </c>
      <c r="N3190" s="26" t="s">
        <v>58</v>
      </c>
      <c r="O3190" s="6" t="s">
        <v>40</v>
      </c>
      <c r="P3190" s="5" t="s">
        <v>41</v>
      </c>
      <c r="Q3190" s="5"/>
      <c r="R3190" s="6" t="s">
        <v>42</v>
      </c>
      <c r="S3190" s="5" t="s">
        <v>99</v>
      </c>
      <c r="T3190" s="5" t="s">
        <v>44</v>
      </c>
      <c r="U3190" s="5" t="s">
        <v>2684</v>
      </c>
      <c r="V3190" s="5" t="s">
        <v>44</v>
      </c>
      <c r="W3190" s="5" t="s">
        <v>35</v>
      </c>
      <c r="X3190" s="8" t="s">
        <v>248</v>
      </c>
      <c r="Y3190" s="5" t="s">
        <v>46</v>
      </c>
      <c r="Z3190" s="5" t="s">
        <v>47</v>
      </c>
      <c r="AA3190" s="5" t="s">
        <v>48</v>
      </c>
      <c r="AB3190" s="5" t="s">
        <v>15664</v>
      </c>
      <c r="AC3190" s="6" t="s">
        <v>71</v>
      </c>
      <c r="AD3190" s="6">
        <v>2558.0</v>
      </c>
    </row>
    <row r="3191" ht="56.25" customHeight="1">
      <c r="A3191" s="5" t="s">
        <v>15640</v>
      </c>
      <c r="B3191" s="6" t="str">
        <f>IMAGE("https://storage.googleapis.com/acdb/housewares/FtrBlockChairS_Remake_4_0.png")</f>
        <v/>
      </c>
      <c r="C3191" s="5" t="s">
        <v>2702</v>
      </c>
      <c r="D3191" s="5" t="s">
        <v>2683</v>
      </c>
      <c r="E3191" s="5" t="s">
        <v>34</v>
      </c>
      <c r="F3191" s="5" t="s">
        <v>34</v>
      </c>
      <c r="G3191" s="5" t="s">
        <v>35</v>
      </c>
      <c r="H3191" s="5" t="s">
        <v>35</v>
      </c>
      <c r="I3191" s="5" t="s">
        <v>36</v>
      </c>
      <c r="J3191" s="6">
        <v>1.0</v>
      </c>
      <c r="K3191" s="6" t="s">
        <v>37</v>
      </c>
      <c r="L3191" s="6">
        <v>720.0</v>
      </c>
      <c r="M3191" s="26" t="s">
        <v>114</v>
      </c>
      <c r="N3191" s="26" t="s">
        <v>58</v>
      </c>
      <c r="O3191" s="6" t="s">
        <v>40</v>
      </c>
      <c r="P3191" s="5" t="s">
        <v>41</v>
      </c>
      <c r="Q3191" s="5"/>
      <c r="R3191" s="6" t="s">
        <v>42</v>
      </c>
      <c r="S3191" s="5" t="s">
        <v>99</v>
      </c>
      <c r="T3191" s="5" t="s">
        <v>44</v>
      </c>
      <c r="U3191" s="5" t="s">
        <v>2684</v>
      </c>
      <c r="V3191" s="5" t="s">
        <v>44</v>
      </c>
      <c r="W3191" s="5" t="s">
        <v>35</v>
      </c>
      <c r="X3191" s="8" t="s">
        <v>248</v>
      </c>
      <c r="Y3191" s="5" t="s">
        <v>46</v>
      </c>
      <c r="Z3191" s="5" t="s">
        <v>47</v>
      </c>
      <c r="AA3191" s="5" t="s">
        <v>48</v>
      </c>
      <c r="AB3191" s="5" t="s">
        <v>15669</v>
      </c>
      <c r="AC3191" s="6" t="s">
        <v>75</v>
      </c>
      <c r="AD3191" s="6">
        <v>2558.0</v>
      </c>
    </row>
    <row r="3192" ht="56.25" customHeight="1">
      <c r="A3192" s="5" t="s">
        <v>15671</v>
      </c>
      <c r="B3192" s="6" t="str">
        <f>IMAGE("https://storage.googleapis.com/acdb/housewares/FtrBlockChest_Remake_0_0.png")</f>
        <v/>
      </c>
      <c r="C3192" s="5" t="s">
        <v>32</v>
      </c>
      <c r="D3192" s="5" t="s">
        <v>2683</v>
      </c>
      <c r="E3192" s="5" t="s">
        <v>34</v>
      </c>
      <c r="F3192" s="5" t="s">
        <v>34</v>
      </c>
      <c r="G3192" s="5" t="s">
        <v>35</v>
      </c>
      <c r="H3192" s="5" t="s">
        <v>35</v>
      </c>
      <c r="I3192" s="5" t="s">
        <v>36</v>
      </c>
      <c r="J3192" s="6">
        <v>3.0</v>
      </c>
      <c r="K3192" s="6" t="s">
        <v>37</v>
      </c>
      <c r="L3192" s="6">
        <v>1800.0</v>
      </c>
      <c r="M3192" s="26" t="s">
        <v>38</v>
      </c>
      <c r="N3192" s="26" t="s">
        <v>38</v>
      </c>
      <c r="O3192" s="6" t="s">
        <v>276</v>
      </c>
      <c r="P3192" s="5" t="s">
        <v>41</v>
      </c>
      <c r="Q3192" s="5"/>
      <c r="R3192" s="6" t="s">
        <v>42</v>
      </c>
      <c r="S3192" s="5" t="s">
        <v>99</v>
      </c>
      <c r="T3192" s="5" t="s">
        <v>44</v>
      </c>
      <c r="U3192" s="5" t="s">
        <v>2684</v>
      </c>
      <c r="V3192" s="5" t="s">
        <v>44</v>
      </c>
      <c r="W3192" s="5" t="s">
        <v>35</v>
      </c>
      <c r="X3192" s="8" t="s">
        <v>322</v>
      </c>
      <c r="Y3192" s="5" t="s">
        <v>46</v>
      </c>
      <c r="Z3192" s="5" t="s">
        <v>47</v>
      </c>
      <c r="AA3192" s="5" t="s">
        <v>48</v>
      </c>
      <c r="AB3192" s="5" t="s">
        <v>15674</v>
      </c>
      <c r="AC3192" s="6" t="s">
        <v>50</v>
      </c>
      <c r="AD3192" s="6">
        <v>1561.0</v>
      </c>
    </row>
    <row r="3193" ht="56.25" customHeight="1">
      <c r="A3193" s="5" t="s">
        <v>15671</v>
      </c>
      <c r="B3193" s="6" t="str">
        <f>IMAGE("https://storage.googleapis.com/acdb/housewares/FtrBlockChest_Remake_1_0.png")</f>
        <v/>
      </c>
      <c r="C3193" s="5" t="s">
        <v>2688</v>
      </c>
      <c r="D3193" s="5" t="s">
        <v>2683</v>
      </c>
      <c r="E3193" s="5" t="s">
        <v>34</v>
      </c>
      <c r="F3193" s="5" t="s">
        <v>34</v>
      </c>
      <c r="G3193" s="5" t="s">
        <v>35</v>
      </c>
      <c r="H3193" s="5" t="s">
        <v>35</v>
      </c>
      <c r="I3193" s="5" t="s">
        <v>36</v>
      </c>
      <c r="J3193" s="6">
        <v>3.0</v>
      </c>
      <c r="K3193" s="6" t="s">
        <v>37</v>
      </c>
      <c r="L3193" s="6">
        <v>1800.0</v>
      </c>
      <c r="M3193" s="26" t="s">
        <v>39</v>
      </c>
      <c r="N3193" s="26" t="s">
        <v>54</v>
      </c>
      <c r="O3193" s="6" t="s">
        <v>276</v>
      </c>
      <c r="P3193" s="5" t="s">
        <v>41</v>
      </c>
      <c r="Q3193" s="5"/>
      <c r="R3193" s="6" t="s">
        <v>42</v>
      </c>
      <c r="S3193" s="5" t="s">
        <v>99</v>
      </c>
      <c r="T3193" s="5" t="s">
        <v>44</v>
      </c>
      <c r="U3193" s="5" t="s">
        <v>2684</v>
      </c>
      <c r="V3193" s="5" t="s">
        <v>44</v>
      </c>
      <c r="W3193" s="5" t="s">
        <v>35</v>
      </c>
      <c r="X3193" s="8" t="s">
        <v>322</v>
      </c>
      <c r="Y3193" s="5" t="s">
        <v>46</v>
      </c>
      <c r="Z3193" s="5" t="s">
        <v>47</v>
      </c>
      <c r="AA3193" s="5" t="s">
        <v>48</v>
      </c>
      <c r="AB3193" s="5" t="s">
        <v>15680</v>
      </c>
      <c r="AC3193" s="6" t="s">
        <v>56</v>
      </c>
      <c r="AD3193" s="6">
        <v>1561.0</v>
      </c>
    </row>
    <row r="3194" ht="56.25" customHeight="1">
      <c r="A3194" s="5" t="s">
        <v>15671</v>
      </c>
      <c r="B3194" s="6" t="str">
        <f>IMAGE("https://storage.googleapis.com/acdb/housewares/FtrBlockChest_Remake_2_0.png")</f>
        <v/>
      </c>
      <c r="C3194" s="5" t="s">
        <v>58</v>
      </c>
      <c r="D3194" s="5" t="s">
        <v>2683</v>
      </c>
      <c r="E3194" s="5" t="s">
        <v>34</v>
      </c>
      <c r="F3194" s="5" t="s">
        <v>34</v>
      </c>
      <c r="G3194" s="5" t="s">
        <v>35</v>
      </c>
      <c r="H3194" s="5" t="s">
        <v>35</v>
      </c>
      <c r="I3194" s="5" t="s">
        <v>36</v>
      </c>
      <c r="J3194" s="6">
        <v>3.0</v>
      </c>
      <c r="K3194" s="6" t="s">
        <v>37</v>
      </c>
      <c r="L3194" s="6">
        <v>1800.0</v>
      </c>
      <c r="M3194" s="26" t="s">
        <v>96</v>
      </c>
      <c r="N3194" s="26" t="s">
        <v>58</v>
      </c>
      <c r="O3194" s="6" t="s">
        <v>276</v>
      </c>
      <c r="P3194" s="5" t="s">
        <v>41</v>
      </c>
      <c r="Q3194" s="5"/>
      <c r="R3194" s="6" t="s">
        <v>42</v>
      </c>
      <c r="S3194" s="5" t="s">
        <v>99</v>
      </c>
      <c r="T3194" s="5" t="s">
        <v>44</v>
      </c>
      <c r="U3194" s="5" t="s">
        <v>2684</v>
      </c>
      <c r="V3194" s="5" t="s">
        <v>44</v>
      </c>
      <c r="W3194" s="5" t="s">
        <v>35</v>
      </c>
      <c r="X3194" s="8" t="s">
        <v>322</v>
      </c>
      <c r="Y3194" s="5" t="s">
        <v>46</v>
      </c>
      <c r="Z3194" s="5" t="s">
        <v>47</v>
      </c>
      <c r="AA3194" s="5" t="s">
        <v>48</v>
      </c>
      <c r="AB3194" s="5" t="s">
        <v>15687</v>
      </c>
      <c r="AC3194" s="6" t="s">
        <v>67</v>
      </c>
      <c r="AD3194" s="6">
        <v>1561.0</v>
      </c>
    </row>
    <row r="3195" ht="56.25" customHeight="1">
      <c r="A3195" s="5" t="s">
        <v>15671</v>
      </c>
      <c r="B3195" s="6" t="str">
        <f>IMAGE("https://storage.googleapis.com/acdb/housewares/FtrBlockChest_Remake_3_0.png")</f>
        <v/>
      </c>
      <c r="C3195" s="5" t="s">
        <v>688</v>
      </c>
      <c r="D3195" s="5" t="s">
        <v>2683</v>
      </c>
      <c r="E3195" s="5" t="s">
        <v>34</v>
      </c>
      <c r="F3195" s="5" t="s">
        <v>34</v>
      </c>
      <c r="G3195" s="5" t="s">
        <v>35</v>
      </c>
      <c r="H3195" s="5" t="s">
        <v>35</v>
      </c>
      <c r="I3195" s="5" t="s">
        <v>36</v>
      </c>
      <c r="J3195" s="6">
        <v>3.0</v>
      </c>
      <c r="K3195" s="6" t="s">
        <v>37</v>
      </c>
      <c r="L3195" s="6">
        <v>1800.0</v>
      </c>
      <c r="M3195" s="26" t="s">
        <v>1175</v>
      </c>
      <c r="N3195" s="26" t="s">
        <v>58</v>
      </c>
      <c r="O3195" s="6" t="s">
        <v>276</v>
      </c>
      <c r="P3195" s="5" t="s">
        <v>41</v>
      </c>
      <c r="Q3195" s="5"/>
      <c r="R3195" s="6" t="s">
        <v>42</v>
      </c>
      <c r="S3195" s="5" t="s">
        <v>99</v>
      </c>
      <c r="T3195" s="5" t="s">
        <v>44</v>
      </c>
      <c r="U3195" s="5" t="s">
        <v>2684</v>
      </c>
      <c r="V3195" s="5" t="s">
        <v>44</v>
      </c>
      <c r="W3195" s="5" t="s">
        <v>35</v>
      </c>
      <c r="X3195" s="8" t="s">
        <v>322</v>
      </c>
      <c r="Y3195" s="5" t="s">
        <v>46</v>
      </c>
      <c r="Z3195" s="5" t="s">
        <v>47</v>
      </c>
      <c r="AA3195" s="5" t="s">
        <v>48</v>
      </c>
      <c r="AB3195" s="5" t="s">
        <v>15691</v>
      </c>
      <c r="AC3195" s="6" t="s">
        <v>71</v>
      </c>
      <c r="AD3195" s="6">
        <v>1561.0</v>
      </c>
    </row>
    <row r="3196" ht="56.25" customHeight="1">
      <c r="A3196" s="5" t="s">
        <v>15671</v>
      </c>
      <c r="B3196" s="6" t="str">
        <f>IMAGE("https://storage.googleapis.com/acdb/housewares/FtrBlockChest_Remake_4_0.png")</f>
        <v/>
      </c>
      <c r="C3196" s="5" t="s">
        <v>2702</v>
      </c>
      <c r="D3196" s="5" t="s">
        <v>2683</v>
      </c>
      <c r="E3196" s="5" t="s">
        <v>34</v>
      </c>
      <c r="F3196" s="5" t="s">
        <v>34</v>
      </c>
      <c r="G3196" s="5" t="s">
        <v>35</v>
      </c>
      <c r="H3196" s="5" t="s">
        <v>35</v>
      </c>
      <c r="I3196" s="5" t="s">
        <v>36</v>
      </c>
      <c r="J3196" s="6">
        <v>3.0</v>
      </c>
      <c r="K3196" s="6" t="s">
        <v>37</v>
      </c>
      <c r="L3196" s="6">
        <v>1800.0</v>
      </c>
      <c r="M3196" s="26" t="s">
        <v>52</v>
      </c>
      <c r="N3196" s="26" t="s">
        <v>58</v>
      </c>
      <c r="O3196" s="6" t="s">
        <v>276</v>
      </c>
      <c r="P3196" s="5" t="s">
        <v>41</v>
      </c>
      <c r="Q3196" s="5"/>
      <c r="R3196" s="6" t="s">
        <v>42</v>
      </c>
      <c r="S3196" s="5" t="s">
        <v>99</v>
      </c>
      <c r="T3196" s="5" t="s">
        <v>44</v>
      </c>
      <c r="U3196" s="5" t="s">
        <v>2684</v>
      </c>
      <c r="V3196" s="5" t="s">
        <v>44</v>
      </c>
      <c r="W3196" s="5" t="s">
        <v>35</v>
      </c>
      <c r="X3196" s="8" t="s">
        <v>322</v>
      </c>
      <c r="Y3196" s="5" t="s">
        <v>46</v>
      </c>
      <c r="Z3196" s="5" t="s">
        <v>47</v>
      </c>
      <c r="AA3196" s="5" t="s">
        <v>48</v>
      </c>
      <c r="AB3196" s="5" t="s">
        <v>15695</v>
      </c>
      <c r="AC3196" s="6" t="s">
        <v>75</v>
      </c>
      <c r="AD3196" s="6">
        <v>1561.0</v>
      </c>
    </row>
    <row r="3197" ht="56.25" customHeight="1">
      <c r="A3197" s="5" t="s">
        <v>15698</v>
      </c>
      <c r="B3197" s="6" t="str">
        <f>IMAGE("https://storage.googleapis.com/acdb/housewares/FtrBlockCompo_Remake_0_0.png")</f>
        <v/>
      </c>
      <c r="C3197" s="5" t="s">
        <v>32</v>
      </c>
      <c r="D3197" s="5" t="s">
        <v>2683</v>
      </c>
      <c r="E3197" s="5" t="s">
        <v>34</v>
      </c>
      <c r="F3197" s="5" t="s">
        <v>34</v>
      </c>
      <c r="G3197" s="5" t="s">
        <v>35</v>
      </c>
      <c r="H3197" s="5" t="s">
        <v>35</v>
      </c>
      <c r="I3197" s="5" t="s">
        <v>36</v>
      </c>
      <c r="J3197" s="6">
        <v>4.0</v>
      </c>
      <c r="K3197" s="6" t="s">
        <v>37</v>
      </c>
      <c r="L3197" s="6">
        <v>2460.0</v>
      </c>
      <c r="M3197" s="26" t="s">
        <v>38</v>
      </c>
      <c r="N3197" s="26" t="s">
        <v>38</v>
      </c>
      <c r="O3197" s="6" t="s">
        <v>276</v>
      </c>
      <c r="P3197" s="5" t="s">
        <v>41</v>
      </c>
      <c r="Q3197" s="5"/>
      <c r="R3197" s="6" t="s">
        <v>42</v>
      </c>
      <c r="S3197" s="5" t="s">
        <v>99</v>
      </c>
      <c r="T3197" s="5" t="s">
        <v>44</v>
      </c>
      <c r="U3197" s="5" t="s">
        <v>2684</v>
      </c>
      <c r="V3197" s="5" t="s">
        <v>44</v>
      </c>
      <c r="W3197" s="5" t="s">
        <v>35</v>
      </c>
      <c r="X3197" s="8" t="s">
        <v>746</v>
      </c>
      <c r="Y3197" s="5" t="s">
        <v>2810</v>
      </c>
      <c r="Z3197" s="5" t="s">
        <v>47</v>
      </c>
      <c r="AA3197" s="5" t="s">
        <v>48</v>
      </c>
      <c r="AB3197" s="5" t="s">
        <v>15703</v>
      </c>
      <c r="AC3197" s="6" t="s">
        <v>50</v>
      </c>
      <c r="AD3197" s="6">
        <v>3205.0</v>
      </c>
    </row>
    <row r="3198" ht="56.25" customHeight="1">
      <c r="A3198" s="5" t="s">
        <v>15698</v>
      </c>
      <c r="B3198" s="6" t="str">
        <f>IMAGE("https://storage.googleapis.com/acdb/housewares/FtrBlockCompo_Remake_1_0.png")</f>
        <v/>
      </c>
      <c r="C3198" s="5" t="s">
        <v>2688</v>
      </c>
      <c r="D3198" s="5" t="s">
        <v>2683</v>
      </c>
      <c r="E3198" s="5" t="s">
        <v>34</v>
      </c>
      <c r="F3198" s="5" t="s">
        <v>34</v>
      </c>
      <c r="G3198" s="5" t="s">
        <v>35</v>
      </c>
      <c r="H3198" s="5" t="s">
        <v>35</v>
      </c>
      <c r="I3198" s="5" t="s">
        <v>36</v>
      </c>
      <c r="J3198" s="6">
        <v>4.0</v>
      </c>
      <c r="K3198" s="6" t="s">
        <v>37</v>
      </c>
      <c r="L3198" s="6">
        <v>2460.0</v>
      </c>
      <c r="M3198" s="26" t="s">
        <v>39</v>
      </c>
      <c r="N3198" s="26" t="s">
        <v>114</v>
      </c>
      <c r="O3198" s="6" t="s">
        <v>276</v>
      </c>
      <c r="P3198" s="5" t="s">
        <v>41</v>
      </c>
      <c r="Q3198" s="5"/>
      <c r="R3198" s="6" t="s">
        <v>42</v>
      </c>
      <c r="S3198" s="5" t="s">
        <v>99</v>
      </c>
      <c r="T3198" s="5" t="s">
        <v>44</v>
      </c>
      <c r="U3198" s="5" t="s">
        <v>2684</v>
      </c>
      <c r="V3198" s="5" t="s">
        <v>44</v>
      </c>
      <c r="W3198" s="5" t="s">
        <v>35</v>
      </c>
      <c r="X3198" s="8" t="s">
        <v>746</v>
      </c>
      <c r="Y3198" s="5" t="s">
        <v>2810</v>
      </c>
      <c r="Z3198" s="5" t="s">
        <v>47</v>
      </c>
      <c r="AA3198" s="5" t="s">
        <v>48</v>
      </c>
      <c r="AB3198" s="5" t="s">
        <v>15707</v>
      </c>
      <c r="AC3198" s="6" t="s">
        <v>56</v>
      </c>
      <c r="AD3198" s="6">
        <v>3205.0</v>
      </c>
    </row>
    <row r="3199" ht="56.25" customHeight="1">
      <c r="A3199" s="5" t="s">
        <v>15698</v>
      </c>
      <c r="B3199" s="6" t="str">
        <f>IMAGE("https://storage.googleapis.com/acdb/housewares/FtrBlockCompo_Remake_2_0.png")</f>
        <v/>
      </c>
      <c r="C3199" s="5" t="s">
        <v>58</v>
      </c>
      <c r="D3199" s="5" t="s">
        <v>2683</v>
      </c>
      <c r="E3199" s="5" t="s">
        <v>34</v>
      </c>
      <c r="F3199" s="5" t="s">
        <v>34</v>
      </c>
      <c r="G3199" s="5" t="s">
        <v>35</v>
      </c>
      <c r="H3199" s="5" t="s">
        <v>35</v>
      </c>
      <c r="I3199" s="5" t="s">
        <v>36</v>
      </c>
      <c r="J3199" s="6">
        <v>4.0</v>
      </c>
      <c r="K3199" s="6" t="s">
        <v>37</v>
      </c>
      <c r="L3199" s="6">
        <v>2460.0</v>
      </c>
      <c r="M3199" s="26" t="s">
        <v>114</v>
      </c>
      <c r="N3199" s="26" t="s">
        <v>58</v>
      </c>
      <c r="O3199" s="6" t="s">
        <v>276</v>
      </c>
      <c r="P3199" s="5" t="s">
        <v>41</v>
      </c>
      <c r="Q3199" s="5"/>
      <c r="R3199" s="6" t="s">
        <v>42</v>
      </c>
      <c r="S3199" s="5" t="s">
        <v>99</v>
      </c>
      <c r="T3199" s="5" t="s">
        <v>44</v>
      </c>
      <c r="U3199" s="5" t="s">
        <v>2684</v>
      </c>
      <c r="V3199" s="5" t="s">
        <v>44</v>
      </c>
      <c r="W3199" s="5" t="s">
        <v>35</v>
      </c>
      <c r="X3199" s="8" t="s">
        <v>746</v>
      </c>
      <c r="Y3199" s="5" t="s">
        <v>2810</v>
      </c>
      <c r="Z3199" s="5" t="s">
        <v>47</v>
      </c>
      <c r="AA3199" s="5" t="s">
        <v>48</v>
      </c>
      <c r="AB3199" s="5" t="s">
        <v>15712</v>
      </c>
      <c r="AC3199" s="6" t="s">
        <v>67</v>
      </c>
      <c r="AD3199" s="6">
        <v>3205.0</v>
      </c>
    </row>
    <row r="3200" ht="56.25" customHeight="1">
      <c r="A3200" s="5" t="s">
        <v>15698</v>
      </c>
      <c r="B3200" s="6" t="str">
        <f>IMAGE("https://storage.googleapis.com/acdb/housewares/FtrBlockCompo_Remake_3_0.png")</f>
        <v/>
      </c>
      <c r="C3200" s="5" t="s">
        <v>688</v>
      </c>
      <c r="D3200" s="5" t="s">
        <v>2683</v>
      </c>
      <c r="E3200" s="5" t="s">
        <v>34</v>
      </c>
      <c r="F3200" s="5" t="s">
        <v>34</v>
      </c>
      <c r="G3200" s="5" t="s">
        <v>35</v>
      </c>
      <c r="H3200" s="5" t="s">
        <v>35</v>
      </c>
      <c r="I3200" s="5" t="s">
        <v>36</v>
      </c>
      <c r="J3200" s="6">
        <v>4.0</v>
      </c>
      <c r="K3200" s="6" t="s">
        <v>37</v>
      </c>
      <c r="L3200" s="6">
        <v>2460.0</v>
      </c>
      <c r="M3200" s="26" t="s">
        <v>114</v>
      </c>
      <c r="N3200" s="26" t="s">
        <v>58</v>
      </c>
      <c r="O3200" s="6" t="s">
        <v>276</v>
      </c>
      <c r="P3200" s="5" t="s">
        <v>41</v>
      </c>
      <c r="Q3200" s="5"/>
      <c r="R3200" s="6" t="s">
        <v>42</v>
      </c>
      <c r="S3200" s="5" t="s">
        <v>99</v>
      </c>
      <c r="T3200" s="5" t="s">
        <v>44</v>
      </c>
      <c r="U3200" s="5" t="s">
        <v>2684</v>
      </c>
      <c r="V3200" s="5" t="s">
        <v>44</v>
      </c>
      <c r="W3200" s="5" t="s">
        <v>35</v>
      </c>
      <c r="X3200" s="8" t="s">
        <v>746</v>
      </c>
      <c r="Y3200" s="5" t="s">
        <v>2810</v>
      </c>
      <c r="Z3200" s="5" t="s">
        <v>47</v>
      </c>
      <c r="AA3200" s="5" t="s">
        <v>48</v>
      </c>
      <c r="AB3200" s="5" t="s">
        <v>15716</v>
      </c>
      <c r="AC3200" s="6" t="s">
        <v>71</v>
      </c>
      <c r="AD3200" s="6">
        <v>3205.0</v>
      </c>
    </row>
    <row r="3201" ht="56.25" customHeight="1">
      <c r="A3201" s="5" t="s">
        <v>15698</v>
      </c>
      <c r="B3201" s="6" t="str">
        <f>IMAGE("https://storage.googleapis.com/acdb/housewares/FtrBlockCompo_Remake_4_0.png")</f>
        <v/>
      </c>
      <c r="C3201" s="5" t="s">
        <v>2702</v>
      </c>
      <c r="D3201" s="5" t="s">
        <v>2683</v>
      </c>
      <c r="E3201" s="5" t="s">
        <v>34</v>
      </c>
      <c r="F3201" s="5" t="s">
        <v>34</v>
      </c>
      <c r="G3201" s="5" t="s">
        <v>35</v>
      </c>
      <c r="H3201" s="5" t="s">
        <v>35</v>
      </c>
      <c r="I3201" s="5" t="s">
        <v>36</v>
      </c>
      <c r="J3201" s="6">
        <v>4.0</v>
      </c>
      <c r="K3201" s="6" t="s">
        <v>37</v>
      </c>
      <c r="L3201" s="6">
        <v>2460.0</v>
      </c>
      <c r="M3201" s="26" t="s">
        <v>68</v>
      </c>
      <c r="N3201" s="26" t="s">
        <v>58</v>
      </c>
      <c r="O3201" s="6" t="s">
        <v>276</v>
      </c>
      <c r="P3201" s="5" t="s">
        <v>41</v>
      </c>
      <c r="Q3201" s="5"/>
      <c r="R3201" s="6" t="s">
        <v>42</v>
      </c>
      <c r="S3201" s="5" t="s">
        <v>99</v>
      </c>
      <c r="T3201" s="5" t="s">
        <v>44</v>
      </c>
      <c r="U3201" s="5" t="s">
        <v>2684</v>
      </c>
      <c r="V3201" s="5" t="s">
        <v>44</v>
      </c>
      <c r="W3201" s="5" t="s">
        <v>35</v>
      </c>
      <c r="X3201" s="8" t="s">
        <v>746</v>
      </c>
      <c r="Y3201" s="5" t="s">
        <v>2810</v>
      </c>
      <c r="Z3201" s="5" t="s">
        <v>47</v>
      </c>
      <c r="AA3201" s="5" t="s">
        <v>48</v>
      </c>
      <c r="AB3201" s="5" t="s">
        <v>15722</v>
      </c>
      <c r="AC3201" s="6" t="s">
        <v>75</v>
      </c>
      <c r="AD3201" s="6">
        <v>3205.0</v>
      </c>
    </row>
    <row r="3202" ht="56.25" customHeight="1">
      <c r="A3202" s="5" t="s">
        <v>15723</v>
      </c>
      <c r="B3202" s="6" t="str">
        <f>IMAGE("https://storage.googleapis.com/acdb/housewares/FtrBlockStoolS_Remake_0_0.png")</f>
        <v/>
      </c>
      <c r="C3202" s="5" t="s">
        <v>32</v>
      </c>
      <c r="D3202" s="5" t="s">
        <v>2683</v>
      </c>
      <c r="E3202" s="5" t="s">
        <v>34</v>
      </c>
      <c r="F3202" s="5" t="s">
        <v>34</v>
      </c>
      <c r="G3202" s="5" t="s">
        <v>35</v>
      </c>
      <c r="H3202" s="5" t="s">
        <v>35</v>
      </c>
      <c r="I3202" s="5" t="s">
        <v>36</v>
      </c>
      <c r="J3202" s="6">
        <v>1.0</v>
      </c>
      <c r="K3202" s="6" t="s">
        <v>37</v>
      </c>
      <c r="L3202" s="6">
        <v>600.0</v>
      </c>
      <c r="M3202" s="26" t="s">
        <v>39</v>
      </c>
      <c r="N3202" s="26" t="s">
        <v>39</v>
      </c>
      <c r="O3202" s="6" t="s">
        <v>40</v>
      </c>
      <c r="P3202" s="5" t="s">
        <v>41</v>
      </c>
      <c r="Q3202" s="5"/>
      <c r="R3202" s="6" t="s">
        <v>42</v>
      </c>
      <c r="S3202" s="5" t="s">
        <v>99</v>
      </c>
      <c r="T3202" s="5" t="s">
        <v>44</v>
      </c>
      <c r="U3202" s="5" t="s">
        <v>2684</v>
      </c>
      <c r="V3202" s="5" t="s">
        <v>44</v>
      </c>
      <c r="W3202" s="5" t="s">
        <v>35</v>
      </c>
      <c r="X3202" s="8" t="s">
        <v>248</v>
      </c>
      <c r="Y3202" s="5" t="s">
        <v>46</v>
      </c>
      <c r="Z3202" s="5" t="s">
        <v>47</v>
      </c>
      <c r="AA3202" s="5" t="s">
        <v>48</v>
      </c>
      <c r="AB3202" s="5" t="s">
        <v>15727</v>
      </c>
      <c r="AC3202" s="6" t="s">
        <v>50</v>
      </c>
      <c r="AD3202" s="6">
        <v>5543.0</v>
      </c>
    </row>
    <row r="3203" ht="56.25" customHeight="1">
      <c r="A3203" s="5" t="s">
        <v>15723</v>
      </c>
      <c r="B3203" s="6" t="str">
        <f>IMAGE("https://storage.googleapis.com/acdb/housewares/FtrBlockStoolS_Remake_1_0.png")</f>
        <v/>
      </c>
      <c r="C3203" s="5" t="s">
        <v>2688</v>
      </c>
      <c r="D3203" s="5" t="s">
        <v>2683</v>
      </c>
      <c r="E3203" s="5" t="s">
        <v>34</v>
      </c>
      <c r="F3203" s="5" t="s">
        <v>34</v>
      </c>
      <c r="G3203" s="5" t="s">
        <v>35</v>
      </c>
      <c r="H3203" s="5" t="s">
        <v>35</v>
      </c>
      <c r="I3203" s="5" t="s">
        <v>36</v>
      </c>
      <c r="J3203" s="6">
        <v>1.0</v>
      </c>
      <c r="K3203" s="6" t="s">
        <v>37</v>
      </c>
      <c r="L3203" s="6">
        <v>600.0</v>
      </c>
      <c r="M3203" s="26" t="s">
        <v>38</v>
      </c>
      <c r="N3203" s="26" t="s">
        <v>38</v>
      </c>
      <c r="O3203" s="6" t="s">
        <v>40</v>
      </c>
      <c r="P3203" s="5" t="s">
        <v>41</v>
      </c>
      <c r="Q3203" s="5"/>
      <c r="R3203" s="6" t="s">
        <v>42</v>
      </c>
      <c r="S3203" s="5" t="s">
        <v>99</v>
      </c>
      <c r="T3203" s="5" t="s">
        <v>44</v>
      </c>
      <c r="U3203" s="5" t="s">
        <v>2684</v>
      </c>
      <c r="V3203" s="5" t="s">
        <v>44</v>
      </c>
      <c r="W3203" s="5" t="s">
        <v>35</v>
      </c>
      <c r="X3203" s="8" t="s">
        <v>248</v>
      </c>
      <c r="Y3203" s="5" t="s">
        <v>46</v>
      </c>
      <c r="Z3203" s="5" t="s">
        <v>47</v>
      </c>
      <c r="AA3203" s="5" t="s">
        <v>48</v>
      </c>
      <c r="AB3203" s="5" t="s">
        <v>15731</v>
      </c>
      <c r="AC3203" s="6" t="s">
        <v>56</v>
      </c>
      <c r="AD3203" s="6">
        <v>5543.0</v>
      </c>
    </row>
    <row r="3204" ht="56.25" customHeight="1">
      <c r="A3204" s="5" t="s">
        <v>15723</v>
      </c>
      <c r="B3204" s="6" t="str">
        <f>IMAGE("https://storage.googleapis.com/acdb/housewares/FtrBlockStoolS_Remake_2_0.png")</f>
        <v/>
      </c>
      <c r="C3204" s="5" t="s">
        <v>58</v>
      </c>
      <c r="D3204" s="5" t="s">
        <v>2683</v>
      </c>
      <c r="E3204" s="5" t="s">
        <v>34</v>
      </c>
      <c r="F3204" s="5" t="s">
        <v>34</v>
      </c>
      <c r="G3204" s="5" t="s">
        <v>35</v>
      </c>
      <c r="H3204" s="5" t="s">
        <v>35</v>
      </c>
      <c r="I3204" s="5" t="s">
        <v>36</v>
      </c>
      <c r="J3204" s="6">
        <v>1.0</v>
      </c>
      <c r="K3204" s="6" t="s">
        <v>37</v>
      </c>
      <c r="L3204" s="6">
        <v>600.0</v>
      </c>
      <c r="M3204" s="26" t="s">
        <v>52</v>
      </c>
      <c r="N3204" s="26" t="s">
        <v>52</v>
      </c>
      <c r="O3204" s="6" t="s">
        <v>40</v>
      </c>
      <c r="P3204" s="5" t="s">
        <v>41</v>
      </c>
      <c r="Q3204" s="5"/>
      <c r="R3204" s="6" t="s">
        <v>42</v>
      </c>
      <c r="S3204" s="5" t="s">
        <v>99</v>
      </c>
      <c r="T3204" s="5" t="s">
        <v>44</v>
      </c>
      <c r="U3204" s="5" t="s">
        <v>2684</v>
      </c>
      <c r="V3204" s="5" t="s">
        <v>44</v>
      </c>
      <c r="W3204" s="5" t="s">
        <v>35</v>
      </c>
      <c r="X3204" s="8" t="s">
        <v>248</v>
      </c>
      <c r="Y3204" s="5" t="s">
        <v>46</v>
      </c>
      <c r="Z3204" s="5" t="s">
        <v>47</v>
      </c>
      <c r="AA3204" s="5" t="s">
        <v>48</v>
      </c>
      <c r="AB3204" s="5" t="s">
        <v>15734</v>
      </c>
      <c r="AC3204" s="6" t="s">
        <v>67</v>
      </c>
      <c r="AD3204" s="6">
        <v>5543.0</v>
      </c>
    </row>
    <row r="3205" ht="56.25" customHeight="1">
      <c r="A3205" s="5" t="s">
        <v>15723</v>
      </c>
      <c r="B3205" s="6" t="str">
        <f>IMAGE("https://storage.googleapis.com/acdb/housewares/FtrBlockStoolS_Remake_3_0.png")</f>
        <v/>
      </c>
      <c r="C3205" s="5" t="s">
        <v>688</v>
      </c>
      <c r="D3205" s="5" t="s">
        <v>2683</v>
      </c>
      <c r="E3205" s="5" t="s">
        <v>34</v>
      </c>
      <c r="F3205" s="5" t="s">
        <v>34</v>
      </c>
      <c r="G3205" s="5" t="s">
        <v>35</v>
      </c>
      <c r="H3205" s="5" t="s">
        <v>35</v>
      </c>
      <c r="I3205" s="5" t="s">
        <v>36</v>
      </c>
      <c r="J3205" s="6">
        <v>1.0</v>
      </c>
      <c r="K3205" s="6" t="s">
        <v>37</v>
      </c>
      <c r="L3205" s="6">
        <v>600.0</v>
      </c>
      <c r="M3205" s="26" t="s">
        <v>1175</v>
      </c>
      <c r="N3205" s="26" t="s">
        <v>1175</v>
      </c>
      <c r="O3205" s="6" t="s">
        <v>40</v>
      </c>
      <c r="P3205" s="5" t="s">
        <v>41</v>
      </c>
      <c r="Q3205" s="5"/>
      <c r="R3205" s="6" t="s">
        <v>42</v>
      </c>
      <c r="S3205" s="5" t="s">
        <v>99</v>
      </c>
      <c r="T3205" s="5" t="s">
        <v>44</v>
      </c>
      <c r="U3205" s="5" t="s">
        <v>2684</v>
      </c>
      <c r="V3205" s="5" t="s">
        <v>44</v>
      </c>
      <c r="W3205" s="5" t="s">
        <v>35</v>
      </c>
      <c r="X3205" s="8" t="s">
        <v>248</v>
      </c>
      <c r="Y3205" s="5" t="s">
        <v>46</v>
      </c>
      <c r="Z3205" s="5" t="s">
        <v>47</v>
      </c>
      <c r="AA3205" s="5" t="s">
        <v>48</v>
      </c>
      <c r="AB3205" s="5" t="s">
        <v>15738</v>
      </c>
      <c r="AC3205" s="6" t="s">
        <v>71</v>
      </c>
      <c r="AD3205" s="6">
        <v>5543.0</v>
      </c>
    </row>
    <row r="3206" ht="56.25" customHeight="1">
      <c r="A3206" s="5" t="s">
        <v>15723</v>
      </c>
      <c r="B3206" s="6" t="str">
        <f>IMAGE("https://storage.googleapis.com/acdb/housewares/FtrBlockStoolS_Remake_4_0.png")</f>
        <v/>
      </c>
      <c r="C3206" s="5" t="s">
        <v>2702</v>
      </c>
      <c r="D3206" s="5" t="s">
        <v>2683</v>
      </c>
      <c r="E3206" s="5" t="s">
        <v>34</v>
      </c>
      <c r="F3206" s="5" t="s">
        <v>34</v>
      </c>
      <c r="G3206" s="5" t="s">
        <v>35</v>
      </c>
      <c r="H3206" s="5" t="s">
        <v>35</v>
      </c>
      <c r="I3206" s="5" t="s">
        <v>36</v>
      </c>
      <c r="J3206" s="6">
        <v>1.0</v>
      </c>
      <c r="K3206" s="6" t="s">
        <v>37</v>
      </c>
      <c r="L3206" s="6">
        <v>600.0</v>
      </c>
      <c r="M3206" s="26" t="s">
        <v>114</v>
      </c>
      <c r="N3206" s="26" t="s">
        <v>114</v>
      </c>
      <c r="O3206" s="6" t="s">
        <v>40</v>
      </c>
      <c r="P3206" s="5" t="s">
        <v>41</v>
      </c>
      <c r="Q3206" s="5"/>
      <c r="R3206" s="6" t="s">
        <v>42</v>
      </c>
      <c r="S3206" s="5" t="s">
        <v>99</v>
      </c>
      <c r="T3206" s="5" t="s">
        <v>44</v>
      </c>
      <c r="U3206" s="5" t="s">
        <v>2684</v>
      </c>
      <c r="V3206" s="5" t="s">
        <v>44</v>
      </c>
      <c r="W3206" s="5" t="s">
        <v>35</v>
      </c>
      <c r="X3206" s="8" t="s">
        <v>248</v>
      </c>
      <c r="Y3206" s="5" t="s">
        <v>46</v>
      </c>
      <c r="Z3206" s="5" t="s">
        <v>47</v>
      </c>
      <c r="AA3206" s="5" t="s">
        <v>48</v>
      </c>
      <c r="AB3206" s="5" t="s">
        <v>15743</v>
      </c>
      <c r="AC3206" s="6" t="s">
        <v>75</v>
      </c>
      <c r="AD3206" s="6">
        <v>5543.0</v>
      </c>
    </row>
    <row r="3207" ht="56.25" customHeight="1">
      <c r="A3207" s="5" t="s">
        <v>15746</v>
      </c>
      <c r="B3207" s="6" t="str">
        <f>IMAGE("https://storage.googleapis.com/acdb/housewares/FtrBlockTableL_Remake_0_0.png")</f>
        <v/>
      </c>
      <c r="C3207" s="5" t="s">
        <v>32</v>
      </c>
      <c r="D3207" s="5" t="s">
        <v>2683</v>
      </c>
      <c r="E3207" s="5" t="s">
        <v>34</v>
      </c>
      <c r="F3207" s="5" t="s">
        <v>34</v>
      </c>
      <c r="G3207" s="5" t="s">
        <v>35</v>
      </c>
      <c r="H3207" s="5" t="s">
        <v>35</v>
      </c>
      <c r="I3207" s="5" t="s">
        <v>36</v>
      </c>
      <c r="J3207" s="6">
        <v>2.0</v>
      </c>
      <c r="K3207" s="6" t="s">
        <v>37</v>
      </c>
      <c r="L3207" s="6">
        <v>1320.0</v>
      </c>
      <c r="M3207" s="26" t="s">
        <v>38</v>
      </c>
      <c r="N3207" s="26" t="s">
        <v>38</v>
      </c>
      <c r="O3207" s="6" t="s">
        <v>214</v>
      </c>
      <c r="P3207" s="5" t="s">
        <v>41</v>
      </c>
      <c r="Q3207" s="5"/>
      <c r="R3207" s="6" t="s">
        <v>42</v>
      </c>
      <c r="S3207" s="5" t="s">
        <v>99</v>
      </c>
      <c r="T3207" s="5" t="s">
        <v>44</v>
      </c>
      <c r="U3207" s="5" t="s">
        <v>2684</v>
      </c>
      <c r="V3207" s="5" t="s">
        <v>44</v>
      </c>
      <c r="W3207" s="5" t="s">
        <v>36</v>
      </c>
      <c r="X3207" s="8" t="s">
        <v>278</v>
      </c>
      <c r="Y3207" s="5" t="s">
        <v>46</v>
      </c>
      <c r="Z3207" s="5" t="s">
        <v>47</v>
      </c>
      <c r="AA3207" s="5" t="s">
        <v>48</v>
      </c>
      <c r="AB3207" s="5" t="s">
        <v>15750</v>
      </c>
      <c r="AC3207" s="6" t="s">
        <v>50</v>
      </c>
      <c r="AD3207" s="6">
        <v>1565.0</v>
      </c>
    </row>
    <row r="3208" ht="56.25" customHeight="1">
      <c r="A3208" s="5" t="s">
        <v>15746</v>
      </c>
      <c r="B3208" s="6" t="str">
        <f>IMAGE("https://storage.googleapis.com/acdb/housewares/FtrBlockTableL_Remake_1_0.png")</f>
        <v/>
      </c>
      <c r="C3208" s="5" t="s">
        <v>2688</v>
      </c>
      <c r="D3208" s="5" t="s">
        <v>2683</v>
      </c>
      <c r="E3208" s="5" t="s">
        <v>34</v>
      </c>
      <c r="F3208" s="5" t="s">
        <v>34</v>
      </c>
      <c r="G3208" s="5" t="s">
        <v>35</v>
      </c>
      <c r="H3208" s="5" t="s">
        <v>35</v>
      </c>
      <c r="I3208" s="5" t="s">
        <v>36</v>
      </c>
      <c r="J3208" s="6">
        <v>2.0</v>
      </c>
      <c r="K3208" s="6" t="s">
        <v>37</v>
      </c>
      <c r="L3208" s="6">
        <v>1320.0</v>
      </c>
      <c r="M3208" s="26" t="s">
        <v>39</v>
      </c>
      <c r="N3208" s="26" t="s">
        <v>54</v>
      </c>
      <c r="O3208" s="6" t="s">
        <v>214</v>
      </c>
      <c r="P3208" s="5" t="s">
        <v>41</v>
      </c>
      <c r="Q3208" s="5"/>
      <c r="R3208" s="6" t="s">
        <v>42</v>
      </c>
      <c r="S3208" s="5" t="s">
        <v>99</v>
      </c>
      <c r="T3208" s="5" t="s">
        <v>44</v>
      </c>
      <c r="U3208" s="5" t="s">
        <v>2684</v>
      </c>
      <c r="V3208" s="5" t="s">
        <v>44</v>
      </c>
      <c r="W3208" s="5" t="s">
        <v>36</v>
      </c>
      <c r="X3208" s="8" t="s">
        <v>278</v>
      </c>
      <c r="Y3208" s="5" t="s">
        <v>46</v>
      </c>
      <c r="Z3208" s="5" t="s">
        <v>47</v>
      </c>
      <c r="AA3208" s="5" t="s">
        <v>48</v>
      </c>
      <c r="AB3208" s="5" t="s">
        <v>15753</v>
      </c>
      <c r="AC3208" s="6" t="s">
        <v>56</v>
      </c>
      <c r="AD3208" s="6">
        <v>1565.0</v>
      </c>
    </row>
    <row r="3209" ht="56.25" customHeight="1">
      <c r="A3209" s="5" t="s">
        <v>15746</v>
      </c>
      <c r="B3209" s="6" t="str">
        <f>IMAGE("https://storage.googleapis.com/acdb/housewares/FtrBlockTableL_Remake_2_0.png")</f>
        <v/>
      </c>
      <c r="C3209" s="5" t="s">
        <v>58</v>
      </c>
      <c r="D3209" s="5" t="s">
        <v>2683</v>
      </c>
      <c r="E3209" s="5" t="s">
        <v>34</v>
      </c>
      <c r="F3209" s="5" t="s">
        <v>34</v>
      </c>
      <c r="G3209" s="5" t="s">
        <v>35</v>
      </c>
      <c r="H3209" s="5" t="s">
        <v>35</v>
      </c>
      <c r="I3209" s="5" t="s">
        <v>36</v>
      </c>
      <c r="J3209" s="6">
        <v>2.0</v>
      </c>
      <c r="K3209" s="6" t="s">
        <v>37</v>
      </c>
      <c r="L3209" s="6">
        <v>1320.0</v>
      </c>
      <c r="M3209" s="26" t="s">
        <v>96</v>
      </c>
      <c r="N3209" s="26" t="s">
        <v>58</v>
      </c>
      <c r="O3209" s="6" t="s">
        <v>214</v>
      </c>
      <c r="P3209" s="5" t="s">
        <v>41</v>
      </c>
      <c r="Q3209" s="5"/>
      <c r="R3209" s="6" t="s">
        <v>42</v>
      </c>
      <c r="S3209" s="5" t="s">
        <v>99</v>
      </c>
      <c r="T3209" s="5" t="s">
        <v>44</v>
      </c>
      <c r="U3209" s="5" t="s">
        <v>2684</v>
      </c>
      <c r="V3209" s="5" t="s">
        <v>44</v>
      </c>
      <c r="W3209" s="5" t="s">
        <v>36</v>
      </c>
      <c r="X3209" s="8" t="s">
        <v>278</v>
      </c>
      <c r="Y3209" s="5" t="s">
        <v>46</v>
      </c>
      <c r="Z3209" s="5" t="s">
        <v>47</v>
      </c>
      <c r="AA3209" s="5" t="s">
        <v>48</v>
      </c>
      <c r="AB3209" s="5" t="s">
        <v>15758</v>
      </c>
      <c r="AC3209" s="6" t="s">
        <v>67</v>
      </c>
      <c r="AD3209" s="6">
        <v>1565.0</v>
      </c>
    </row>
    <row r="3210" ht="56.25" customHeight="1">
      <c r="A3210" s="5" t="s">
        <v>15746</v>
      </c>
      <c r="B3210" s="6" t="str">
        <f>IMAGE("https://storage.googleapis.com/acdb/housewares/FtrBlockTableL_Remake_3_0.png")</f>
        <v/>
      </c>
      <c r="C3210" s="5" t="s">
        <v>688</v>
      </c>
      <c r="D3210" s="5" t="s">
        <v>2683</v>
      </c>
      <c r="E3210" s="5" t="s">
        <v>34</v>
      </c>
      <c r="F3210" s="5" t="s">
        <v>34</v>
      </c>
      <c r="G3210" s="5" t="s">
        <v>35</v>
      </c>
      <c r="H3210" s="5" t="s">
        <v>35</v>
      </c>
      <c r="I3210" s="5" t="s">
        <v>36</v>
      </c>
      <c r="J3210" s="6">
        <v>2.0</v>
      </c>
      <c r="K3210" s="6" t="s">
        <v>37</v>
      </c>
      <c r="L3210" s="6">
        <v>1320.0</v>
      </c>
      <c r="M3210" s="26" t="s">
        <v>69</v>
      </c>
      <c r="N3210" s="26" t="s">
        <v>58</v>
      </c>
      <c r="O3210" s="6" t="s">
        <v>214</v>
      </c>
      <c r="P3210" s="5" t="s">
        <v>41</v>
      </c>
      <c r="Q3210" s="5"/>
      <c r="R3210" s="6" t="s">
        <v>42</v>
      </c>
      <c r="S3210" s="5" t="s">
        <v>99</v>
      </c>
      <c r="T3210" s="5" t="s">
        <v>44</v>
      </c>
      <c r="U3210" s="5" t="s">
        <v>2684</v>
      </c>
      <c r="V3210" s="5" t="s">
        <v>44</v>
      </c>
      <c r="W3210" s="5" t="s">
        <v>36</v>
      </c>
      <c r="X3210" s="8" t="s">
        <v>278</v>
      </c>
      <c r="Y3210" s="5" t="s">
        <v>46</v>
      </c>
      <c r="Z3210" s="5" t="s">
        <v>47</v>
      </c>
      <c r="AA3210" s="5" t="s">
        <v>48</v>
      </c>
      <c r="AB3210" s="5" t="s">
        <v>15762</v>
      </c>
      <c r="AC3210" s="6" t="s">
        <v>71</v>
      </c>
      <c r="AD3210" s="6">
        <v>1565.0</v>
      </c>
    </row>
    <row r="3211" ht="56.25" customHeight="1">
      <c r="A3211" s="5" t="s">
        <v>15746</v>
      </c>
      <c r="B3211" s="6" t="str">
        <f>IMAGE("https://storage.googleapis.com/acdb/housewares/FtrBlockTableL_Remake_4_0.png")</f>
        <v/>
      </c>
      <c r="C3211" s="5" t="s">
        <v>2702</v>
      </c>
      <c r="D3211" s="5" t="s">
        <v>2683</v>
      </c>
      <c r="E3211" s="5" t="s">
        <v>34</v>
      </c>
      <c r="F3211" s="5" t="s">
        <v>34</v>
      </c>
      <c r="G3211" s="5" t="s">
        <v>35</v>
      </c>
      <c r="H3211" s="5" t="s">
        <v>35</v>
      </c>
      <c r="I3211" s="5" t="s">
        <v>36</v>
      </c>
      <c r="J3211" s="6">
        <v>2.0</v>
      </c>
      <c r="K3211" s="6" t="s">
        <v>37</v>
      </c>
      <c r="L3211" s="6">
        <v>1320.0</v>
      </c>
      <c r="M3211" s="26" t="s">
        <v>52</v>
      </c>
      <c r="N3211" s="26" t="s">
        <v>58</v>
      </c>
      <c r="O3211" s="6" t="s">
        <v>214</v>
      </c>
      <c r="P3211" s="5" t="s">
        <v>41</v>
      </c>
      <c r="Q3211" s="5"/>
      <c r="R3211" s="6" t="s">
        <v>42</v>
      </c>
      <c r="S3211" s="5" t="s">
        <v>99</v>
      </c>
      <c r="T3211" s="5" t="s">
        <v>44</v>
      </c>
      <c r="U3211" s="5" t="s">
        <v>2684</v>
      </c>
      <c r="V3211" s="5" t="s">
        <v>44</v>
      </c>
      <c r="W3211" s="5" t="s">
        <v>36</v>
      </c>
      <c r="X3211" s="8" t="s">
        <v>278</v>
      </c>
      <c r="Y3211" s="5" t="s">
        <v>46</v>
      </c>
      <c r="Z3211" s="5" t="s">
        <v>47</v>
      </c>
      <c r="AA3211" s="5" t="s">
        <v>48</v>
      </c>
      <c r="AB3211" s="5" t="s">
        <v>15766</v>
      </c>
      <c r="AC3211" s="6" t="s">
        <v>75</v>
      </c>
      <c r="AD3211" s="6">
        <v>1565.0</v>
      </c>
    </row>
    <row r="3212" ht="56.25" customHeight="1">
      <c r="A3212" s="5" t="s">
        <v>15769</v>
      </c>
      <c r="B3212" s="6" t="str">
        <f>IMAGE("https://storage.googleapis.com/acdb/housewares/FtrStudyChair_Remake_0_0.png")</f>
        <v/>
      </c>
      <c r="C3212" s="5" t="s">
        <v>32</v>
      </c>
      <c r="D3212" s="5" t="s">
        <v>34</v>
      </c>
      <c r="E3212" s="5" t="s">
        <v>114</v>
      </c>
      <c r="F3212" s="5" t="s">
        <v>9107</v>
      </c>
      <c r="G3212" s="5" t="s">
        <v>36</v>
      </c>
      <c r="H3212" s="5" t="s">
        <v>36</v>
      </c>
      <c r="I3212" s="5" t="s">
        <v>35</v>
      </c>
      <c r="J3212" s="6">
        <v>1.0</v>
      </c>
      <c r="K3212" s="6">
        <v>1700.0</v>
      </c>
      <c r="L3212" s="6">
        <v>425.0</v>
      </c>
      <c r="M3212" s="26" t="s">
        <v>38</v>
      </c>
      <c r="N3212" s="26" t="s">
        <v>114</v>
      </c>
      <c r="O3212" s="6" t="s">
        <v>40</v>
      </c>
      <c r="P3212" s="5" t="s">
        <v>59</v>
      </c>
      <c r="Q3212" s="5" t="s">
        <v>89</v>
      </c>
      <c r="R3212" s="6" t="s">
        <v>42</v>
      </c>
      <c r="S3212" s="5" t="s">
        <v>99</v>
      </c>
      <c r="T3212" s="5" t="s">
        <v>44</v>
      </c>
      <c r="U3212" s="5" t="s">
        <v>44</v>
      </c>
      <c r="V3212" s="5" t="s">
        <v>2732</v>
      </c>
      <c r="W3212" s="5" t="s">
        <v>35</v>
      </c>
      <c r="X3212" s="8" t="s">
        <v>248</v>
      </c>
      <c r="Y3212" s="5" t="s">
        <v>46</v>
      </c>
      <c r="Z3212" s="5" t="s">
        <v>47</v>
      </c>
      <c r="AA3212" s="5" t="s">
        <v>64</v>
      </c>
      <c r="AB3212" s="5" t="s">
        <v>15774</v>
      </c>
      <c r="AC3212" s="6" t="s">
        <v>50</v>
      </c>
      <c r="AD3212" s="6">
        <v>3702.0</v>
      </c>
    </row>
    <row r="3213" ht="56.25" customHeight="1">
      <c r="A3213" s="5" t="s">
        <v>15769</v>
      </c>
      <c r="B3213" s="6" t="str">
        <f>IMAGE("https://storage.googleapis.com/acdb/housewares/FtrStudyChair_Remake_0_1.png")</f>
        <v/>
      </c>
      <c r="C3213" s="5" t="s">
        <v>32</v>
      </c>
      <c r="D3213" s="5" t="s">
        <v>34</v>
      </c>
      <c r="E3213" s="5" t="s">
        <v>68</v>
      </c>
      <c r="F3213" s="5" t="s">
        <v>9107</v>
      </c>
      <c r="G3213" s="5" t="s">
        <v>36</v>
      </c>
      <c r="H3213" s="5" t="s">
        <v>36</v>
      </c>
      <c r="I3213" s="5" t="s">
        <v>35</v>
      </c>
      <c r="J3213" s="6">
        <v>1.0</v>
      </c>
      <c r="K3213" s="6">
        <v>1700.0</v>
      </c>
      <c r="L3213" s="6">
        <v>425.0</v>
      </c>
      <c r="M3213" s="26" t="s">
        <v>38</v>
      </c>
      <c r="N3213" s="26" t="s">
        <v>68</v>
      </c>
      <c r="O3213" s="6" t="s">
        <v>40</v>
      </c>
      <c r="P3213" s="5" t="s">
        <v>59</v>
      </c>
      <c r="Q3213" s="5" t="s">
        <v>89</v>
      </c>
      <c r="R3213" s="6" t="s">
        <v>42</v>
      </c>
      <c r="S3213" s="5" t="s">
        <v>99</v>
      </c>
      <c r="T3213" s="5" t="s">
        <v>44</v>
      </c>
      <c r="U3213" s="5" t="s">
        <v>44</v>
      </c>
      <c r="V3213" s="5" t="s">
        <v>2732</v>
      </c>
      <c r="W3213" s="5" t="s">
        <v>35</v>
      </c>
      <c r="X3213" s="8" t="s">
        <v>248</v>
      </c>
      <c r="Y3213" s="5" t="s">
        <v>46</v>
      </c>
      <c r="Z3213" s="5" t="s">
        <v>47</v>
      </c>
      <c r="AA3213" s="5" t="s">
        <v>64</v>
      </c>
      <c r="AB3213" s="5" t="s">
        <v>15780</v>
      </c>
      <c r="AC3213" s="6" t="s">
        <v>217</v>
      </c>
      <c r="AD3213" s="6">
        <v>3702.0</v>
      </c>
    </row>
    <row r="3214" ht="56.25" customHeight="1">
      <c r="A3214" s="5" t="s">
        <v>15769</v>
      </c>
      <c r="B3214" s="6" t="str">
        <f>IMAGE("https://storage.googleapis.com/acdb/housewares/FtrStudyChair_Remake_0_2.png")</f>
        <v/>
      </c>
      <c r="C3214" s="5" t="s">
        <v>32</v>
      </c>
      <c r="D3214" s="5" t="s">
        <v>34</v>
      </c>
      <c r="E3214" s="5" t="s">
        <v>69</v>
      </c>
      <c r="F3214" s="5" t="s">
        <v>9107</v>
      </c>
      <c r="G3214" s="5" t="s">
        <v>36</v>
      </c>
      <c r="H3214" s="5" t="s">
        <v>36</v>
      </c>
      <c r="I3214" s="5" t="s">
        <v>35</v>
      </c>
      <c r="J3214" s="6">
        <v>1.0</v>
      </c>
      <c r="K3214" s="6">
        <v>1700.0</v>
      </c>
      <c r="L3214" s="6">
        <v>425.0</v>
      </c>
      <c r="M3214" s="26" t="s">
        <v>38</v>
      </c>
      <c r="N3214" s="26" t="s">
        <v>69</v>
      </c>
      <c r="O3214" s="6" t="s">
        <v>40</v>
      </c>
      <c r="P3214" s="5" t="s">
        <v>59</v>
      </c>
      <c r="Q3214" s="5" t="s">
        <v>89</v>
      </c>
      <c r="R3214" s="6" t="s">
        <v>42</v>
      </c>
      <c r="S3214" s="5" t="s">
        <v>99</v>
      </c>
      <c r="T3214" s="5" t="s">
        <v>44</v>
      </c>
      <c r="U3214" s="5" t="s">
        <v>44</v>
      </c>
      <c r="V3214" s="5" t="s">
        <v>2732</v>
      </c>
      <c r="W3214" s="5" t="s">
        <v>35</v>
      </c>
      <c r="X3214" s="8" t="s">
        <v>248</v>
      </c>
      <c r="Y3214" s="5" t="s">
        <v>46</v>
      </c>
      <c r="Z3214" s="5" t="s">
        <v>47</v>
      </c>
      <c r="AA3214" s="5" t="s">
        <v>64</v>
      </c>
      <c r="AB3214" s="5" t="s">
        <v>15785</v>
      </c>
      <c r="AC3214" s="6" t="s">
        <v>347</v>
      </c>
      <c r="AD3214" s="6">
        <v>3702.0</v>
      </c>
    </row>
    <row r="3215" ht="56.25" customHeight="1">
      <c r="A3215" s="5" t="s">
        <v>15769</v>
      </c>
      <c r="B3215" s="6" t="str">
        <f>IMAGE("https://storage.googleapis.com/acdb/housewares/FtrStudyChair_Remake_1_0.png")</f>
        <v/>
      </c>
      <c r="C3215" s="5" t="s">
        <v>935</v>
      </c>
      <c r="D3215" s="5" t="s">
        <v>34</v>
      </c>
      <c r="E3215" s="5" t="s">
        <v>114</v>
      </c>
      <c r="F3215" s="5" t="s">
        <v>9107</v>
      </c>
      <c r="G3215" s="5" t="s">
        <v>36</v>
      </c>
      <c r="H3215" s="5" t="s">
        <v>36</v>
      </c>
      <c r="I3215" s="5" t="s">
        <v>35</v>
      </c>
      <c r="J3215" s="6">
        <v>1.0</v>
      </c>
      <c r="K3215" s="6">
        <v>1700.0</v>
      </c>
      <c r="L3215" s="6">
        <v>425.0</v>
      </c>
      <c r="M3215" s="26" t="s">
        <v>114</v>
      </c>
      <c r="N3215" s="26" t="s">
        <v>114</v>
      </c>
      <c r="O3215" s="6" t="s">
        <v>40</v>
      </c>
      <c r="P3215" s="5" t="s">
        <v>59</v>
      </c>
      <c r="Q3215" s="5" t="s">
        <v>89</v>
      </c>
      <c r="R3215" s="6" t="s">
        <v>42</v>
      </c>
      <c r="S3215" s="5" t="s">
        <v>99</v>
      </c>
      <c r="T3215" s="5" t="s">
        <v>44</v>
      </c>
      <c r="U3215" s="5" t="s">
        <v>44</v>
      </c>
      <c r="V3215" s="5" t="s">
        <v>2732</v>
      </c>
      <c r="W3215" s="5" t="s">
        <v>35</v>
      </c>
      <c r="X3215" s="8" t="s">
        <v>248</v>
      </c>
      <c r="Y3215" s="5" t="s">
        <v>46</v>
      </c>
      <c r="Z3215" s="5" t="s">
        <v>47</v>
      </c>
      <c r="AA3215" s="5" t="s">
        <v>64</v>
      </c>
      <c r="AB3215" s="5" t="s">
        <v>15791</v>
      </c>
      <c r="AC3215" s="6" t="s">
        <v>56</v>
      </c>
      <c r="AD3215" s="6">
        <v>3702.0</v>
      </c>
    </row>
    <row r="3216" ht="56.25" customHeight="1">
      <c r="A3216" s="5" t="s">
        <v>15769</v>
      </c>
      <c r="B3216" s="6" t="str">
        <f>IMAGE("https://storage.googleapis.com/acdb/housewares/FtrStudyChair_Remake_1_1.png")</f>
        <v/>
      </c>
      <c r="C3216" s="5" t="s">
        <v>935</v>
      </c>
      <c r="D3216" s="5" t="s">
        <v>34</v>
      </c>
      <c r="E3216" s="5" t="s">
        <v>68</v>
      </c>
      <c r="F3216" s="5" t="s">
        <v>9107</v>
      </c>
      <c r="G3216" s="5" t="s">
        <v>36</v>
      </c>
      <c r="H3216" s="5" t="s">
        <v>36</v>
      </c>
      <c r="I3216" s="5" t="s">
        <v>35</v>
      </c>
      <c r="J3216" s="6">
        <v>1.0</v>
      </c>
      <c r="K3216" s="6">
        <v>1700.0</v>
      </c>
      <c r="L3216" s="6">
        <v>425.0</v>
      </c>
      <c r="M3216" s="26" t="s">
        <v>114</v>
      </c>
      <c r="N3216" s="26" t="s">
        <v>68</v>
      </c>
      <c r="O3216" s="6" t="s">
        <v>40</v>
      </c>
      <c r="P3216" s="5" t="s">
        <v>59</v>
      </c>
      <c r="Q3216" s="5" t="s">
        <v>89</v>
      </c>
      <c r="R3216" s="6" t="s">
        <v>42</v>
      </c>
      <c r="S3216" s="5" t="s">
        <v>99</v>
      </c>
      <c r="T3216" s="5" t="s">
        <v>44</v>
      </c>
      <c r="U3216" s="5" t="s">
        <v>44</v>
      </c>
      <c r="V3216" s="5" t="s">
        <v>2732</v>
      </c>
      <c r="W3216" s="5" t="s">
        <v>35</v>
      </c>
      <c r="X3216" s="8" t="s">
        <v>248</v>
      </c>
      <c r="Y3216" s="5" t="s">
        <v>46</v>
      </c>
      <c r="Z3216" s="5" t="s">
        <v>47</v>
      </c>
      <c r="AA3216" s="5" t="s">
        <v>64</v>
      </c>
      <c r="AB3216" s="5" t="s">
        <v>15795</v>
      </c>
      <c r="AC3216" s="6" t="s">
        <v>234</v>
      </c>
      <c r="AD3216" s="6">
        <v>3702.0</v>
      </c>
    </row>
    <row r="3217" ht="56.25" customHeight="1">
      <c r="A3217" s="5" t="s">
        <v>15769</v>
      </c>
      <c r="B3217" s="6" t="str">
        <f>IMAGE("https://storage.googleapis.com/acdb/housewares/FtrStudyChair_Remake_1_2.png")</f>
        <v/>
      </c>
      <c r="C3217" s="5" t="s">
        <v>935</v>
      </c>
      <c r="D3217" s="5" t="s">
        <v>34</v>
      </c>
      <c r="E3217" s="5" t="s">
        <v>69</v>
      </c>
      <c r="F3217" s="5" t="s">
        <v>9107</v>
      </c>
      <c r="G3217" s="5" t="s">
        <v>36</v>
      </c>
      <c r="H3217" s="5" t="s">
        <v>36</v>
      </c>
      <c r="I3217" s="5" t="s">
        <v>35</v>
      </c>
      <c r="J3217" s="6">
        <v>1.0</v>
      </c>
      <c r="K3217" s="6">
        <v>1700.0</v>
      </c>
      <c r="L3217" s="6">
        <v>425.0</v>
      </c>
      <c r="M3217" s="26" t="s">
        <v>114</v>
      </c>
      <c r="N3217" s="26" t="s">
        <v>69</v>
      </c>
      <c r="O3217" s="6" t="s">
        <v>40</v>
      </c>
      <c r="P3217" s="5" t="s">
        <v>59</v>
      </c>
      <c r="Q3217" s="5" t="s">
        <v>89</v>
      </c>
      <c r="R3217" s="6" t="s">
        <v>42</v>
      </c>
      <c r="S3217" s="5" t="s">
        <v>99</v>
      </c>
      <c r="T3217" s="5" t="s">
        <v>44</v>
      </c>
      <c r="U3217" s="5" t="s">
        <v>44</v>
      </c>
      <c r="V3217" s="5" t="s">
        <v>2732</v>
      </c>
      <c r="W3217" s="5" t="s">
        <v>35</v>
      </c>
      <c r="X3217" s="8" t="s">
        <v>248</v>
      </c>
      <c r="Y3217" s="5" t="s">
        <v>46</v>
      </c>
      <c r="Z3217" s="5" t="s">
        <v>47</v>
      </c>
      <c r="AA3217" s="5" t="s">
        <v>64</v>
      </c>
      <c r="AB3217" s="5" t="s">
        <v>15800</v>
      </c>
      <c r="AC3217" s="6" t="s">
        <v>370</v>
      </c>
      <c r="AD3217" s="6">
        <v>3702.0</v>
      </c>
    </row>
    <row r="3218" ht="56.25" customHeight="1">
      <c r="A3218" s="5" t="s">
        <v>15769</v>
      </c>
      <c r="B3218" s="6" t="str">
        <f>IMAGE("https://storage.googleapis.com/acdb/housewares/FtrStudyChair_Remake_2_0.png")</f>
        <v/>
      </c>
      <c r="C3218" s="5" t="s">
        <v>387</v>
      </c>
      <c r="D3218" s="5" t="s">
        <v>34</v>
      </c>
      <c r="E3218" s="5" t="s">
        <v>114</v>
      </c>
      <c r="F3218" s="5" t="s">
        <v>9107</v>
      </c>
      <c r="G3218" s="5" t="s">
        <v>36</v>
      </c>
      <c r="H3218" s="5" t="s">
        <v>36</v>
      </c>
      <c r="I3218" s="5" t="s">
        <v>35</v>
      </c>
      <c r="J3218" s="6">
        <v>1.0</v>
      </c>
      <c r="K3218" s="6">
        <v>1700.0</v>
      </c>
      <c r="L3218" s="6">
        <v>425.0</v>
      </c>
      <c r="M3218" s="26" t="s">
        <v>39</v>
      </c>
      <c r="N3218" s="26" t="s">
        <v>114</v>
      </c>
      <c r="O3218" s="6" t="s">
        <v>40</v>
      </c>
      <c r="P3218" s="5" t="s">
        <v>59</v>
      </c>
      <c r="Q3218" s="5" t="s">
        <v>89</v>
      </c>
      <c r="R3218" s="6" t="s">
        <v>42</v>
      </c>
      <c r="S3218" s="5" t="s">
        <v>99</v>
      </c>
      <c r="T3218" s="5" t="s">
        <v>44</v>
      </c>
      <c r="U3218" s="5" t="s">
        <v>44</v>
      </c>
      <c r="V3218" s="5" t="s">
        <v>2732</v>
      </c>
      <c r="W3218" s="5" t="s">
        <v>35</v>
      </c>
      <c r="X3218" s="8" t="s">
        <v>248</v>
      </c>
      <c r="Y3218" s="5" t="s">
        <v>46</v>
      </c>
      <c r="Z3218" s="5" t="s">
        <v>47</v>
      </c>
      <c r="AA3218" s="5" t="s">
        <v>64</v>
      </c>
      <c r="AB3218" s="5" t="s">
        <v>15806</v>
      </c>
      <c r="AC3218" s="6" t="s">
        <v>67</v>
      </c>
      <c r="AD3218" s="6">
        <v>3702.0</v>
      </c>
    </row>
    <row r="3219" ht="56.25" customHeight="1">
      <c r="A3219" s="5" t="s">
        <v>15769</v>
      </c>
      <c r="B3219" s="6" t="str">
        <f>IMAGE("https://storage.googleapis.com/acdb/housewares/FtrStudyChair_Remake_2_1.png")</f>
        <v/>
      </c>
      <c r="C3219" s="5" t="s">
        <v>387</v>
      </c>
      <c r="D3219" s="5" t="s">
        <v>34</v>
      </c>
      <c r="E3219" s="5" t="s">
        <v>68</v>
      </c>
      <c r="F3219" s="5" t="s">
        <v>9107</v>
      </c>
      <c r="G3219" s="5" t="s">
        <v>36</v>
      </c>
      <c r="H3219" s="5" t="s">
        <v>36</v>
      </c>
      <c r="I3219" s="5" t="s">
        <v>35</v>
      </c>
      <c r="J3219" s="6">
        <v>1.0</v>
      </c>
      <c r="K3219" s="6">
        <v>1700.0</v>
      </c>
      <c r="L3219" s="6">
        <v>425.0</v>
      </c>
      <c r="M3219" s="26" t="s">
        <v>39</v>
      </c>
      <c r="N3219" s="26" t="s">
        <v>68</v>
      </c>
      <c r="O3219" s="6" t="s">
        <v>40</v>
      </c>
      <c r="P3219" s="5" t="s">
        <v>59</v>
      </c>
      <c r="Q3219" s="5" t="s">
        <v>89</v>
      </c>
      <c r="R3219" s="6" t="s">
        <v>42</v>
      </c>
      <c r="S3219" s="5" t="s">
        <v>99</v>
      </c>
      <c r="T3219" s="5" t="s">
        <v>44</v>
      </c>
      <c r="U3219" s="5" t="s">
        <v>44</v>
      </c>
      <c r="V3219" s="5" t="s">
        <v>2732</v>
      </c>
      <c r="W3219" s="5" t="s">
        <v>35</v>
      </c>
      <c r="X3219" s="8" t="s">
        <v>248</v>
      </c>
      <c r="Y3219" s="5" t="s">
        <v>46</v>
      </c>
      <c r="Z3219" s="5" t="s">
        <v>47</v>
      </c>
      <c r="AA3219" s="5" t="s">
        <v>64</v>
      </c>
      <c r="AB3219" s="5" t="s">
        <v>15810</v>
      </c>
      <c r="AC3219" s="6" t="s">
        <v>247</v>
      </c>
      <c r="AD3219" s="6">
        <v>3702.0</v>
      </c>
    </row>
    <row r="3220" ht="56.25" customHeight="1">
      <c r="A3220" s="5" t="s">
        <v>15769</v>
      </c>
      <c r="B3220" s="6" t="str">
        <f>IMAGE("https://storage.googleapis.com/acdb/housewares/FtrStudyChair_Remake_2_2.png")</f>
        <v/>
      </c>
      <c r="C3220" s="5" t="s">
        <v>387</v>
      </c>
      <c r="D3220" s="5" t="s">
        <v>34</v>
      </c>
      <c r="E3220" s="5" t="s">
        <v>69</v>
      </c>
      <c r="F3220" s="5" t="s">
        <v>9107</v>
      </c>
      <c r="G3220" s="5" t="s">
        <v>36</v>
      </c>
      <c r="H3220" s="5" t="s">
        <v>36</v>
      </c>
      <c r="I3220" s="5" t="s">
        <v>35</v>
      </c>
      <c r="J3220" s="6">
        <v>1.0</v>
      </c>
      <c r="K3220" s="6">
        <v>1700.0</v>
      </c>
      <c r="L3220" s="6">
        <v>425.0</v>
      </c>
      <c r="M3220" s="26" t="s">
        <v>39</v>
      </c>
      <c r="N3220" s="26" t="s">
        <v>69</v>
      </c>
      <c r="O3220" s="6" t="s">
        <v>40</v>
      </c>
      <c r="P3220" s="5" t="s">
        <v>59</v>
      </c>
      <c r="Q3220" s="5" t="s">
        <v>89</v>
      </c>
      <c r="R3220" s="6" t="s">
        <v>42</v>
      </c>
      <c r="S3220" s="5" t="s">
        <v>99</v>
      </c>
      <c r="T3220" s="5" t="s">
        <v>44</v>
      </c>
      <c r="U3220" s="5" t="s">
        <v>44</v>
      </c>
      <c r="V3220" s="5" t="s">
        <v>2732</v>
      </c>
      <c r="W3220" s="5" t="s">
        <v>35</v>
      </c>
      <c r="X3220" s="8" t="s">
        <v>248</v>
      </c>
      <c r="Y3220" s="5" t="s">
        <v>46</v>
      </c>
      <c r="Z3220" s="5" t="s">
        <v>47</v>
      </c>
      <c r="AA3220" s="5" t="s">
        <v>64</v>
      </c>
      <c r="AB3220" s="5" t="s">
        <v>15818</v>
      </c>
      <c r="AC3220" s="6" t="s">
        <v>390</v>
      </c>
      <c r="AD3220" s="6">
        <v>3702.0</v>
      </c>
    </row>
    <row r="3221" ht="56.25" customHeight="1">
      <c r="A3221" s="5" t="s">
        <v>15769</v>
      </c>
      <c r="B3221" s="6" t="str">
        <f>IMAGE("https://storage.googleapis.com/acdb/housewares/FtrStudyChair_Remake_3_0.png")</f>
        <v/>
      </c>
      <c r="C3221" s="5" t="s">
        <v>57</v>
      </c>
      <c r="D3221" s="5" t="s">
        <v>34</v>
      </c>
      <c r="E3221" s="5" t="s">
        <v>114</v>
      </c>
      <c r="F3221" s="5" t="s">
        <v>9107</v>
      </c>
      <c r="G3221" s="5" t="s">
        <v>36</v>
      </c>
      <c r="H3221" s="5" t="s">
        <v>36</v>
      </c>
      <c r="I3221" s="5" t="s">
        <v>35</v>
      </c>
      <c r="J3221" s="6">
        <v>1.0</v>
      </c>
      <c r="K3221" s="6">
        <v>1700.0</v>
      </c>
      <c r="L3221" s="6">
        <v>425.0</v>
      </c>
      <c r="M3221" s="26" t="s">
        <v>57</v>
      </c>
      <c r="N3221" s="26" t="s">
        <v>114</v>
      </c>
      <c r="O3221" s="6" t="s">
        <v>40</v>
      </c>
      <c r="P3221" s="5" t="s">
        <v>59</v>
      </c>
      <c r="Q3221" s="5" t="s">
        <v>89</v>
      </c>
      <c r="R3221" s="6" t="s">
        <v>42</v>
      </c>
      <c r="S3221" s="5" t="s">
        <v>99</v>
      </c>
      <c r="T3221" s="5" t="s">
        <v>44</v>
      </c>
      <c r="U3221" s="5" t="s">
        <v>44</v>
      </c>
      <c r="V3221" s="5" t="s">
        <v>2732</v>
      </c>
      <c r="W3221" s="5" t="s">
        <v>35</v>
      </c>
      <c r="X3221" s="8" t="s">
        <v>248</v>
      </c>
      <c r="Y3221" s="5" t="s">
        <v>46</v>
      </c>
      <c r="Z3221" s="5" t="s">
        <v>47</v>
      </c>
      <c r="AA3221" s="5" t="s">
        <v>64</v>
      </c>
      <c r="AB3221" s="5" t="s">
        <v>15822</v>
      </c>
      <c r="AC3221" s="6" t="s">
        <v>71</v>
      </c>
      <c r="AD3221" s="6">
        <v>3702.0</v>
      </c>
    </row>
    <row r="3222" ht="56.25" customHeight="1">
      <c r="A3222" s="5" t="s">
        <v>15769</v>
      </c>
      <c r="B3222" s="6" t="str">
        <f>IMAGE("https://storage.googleapis.com/acdb/housewares/FtrStudyChair_Remake_3_1.png")</f>
        <v/>
      </c>
      <c r="C3222" s="5" t="s">
        <v>57</v>
      </c>
      <c r="D3222" s="5" t="s">
        <v>34</v>
      </c>
      <c r="E3222" s="5" t="s">
        <v>68</v>
      </c>
      <c r="F3222" s="5" t="s">
        <v>9107</v>
      </c>
      <c r="G3222" s="5" t="s">
        <v>36</v>
      </c>
      <c r="H3222" s="5" t="s">
        <v>36</v>
      </c>
      <c r="I3222" s="5" t="s">
        <v>35</v>
      </c>
      <c r="J3222" s="6">
        <v>1.0</v>
      </c>
      <c r="K3222" s="6">
        <v>1700.0</v>
      </c>
      <c r="L3222" s="6">
        <v>425.0</v>
      </c>
      <c r="M3222" s="26" t="s">
        <v>57</v>
      </c>
      <c r="N3222" s="26" t="s">
        <v>68</v>
      </c>
      <c r="O3222" s="6" t="s">
        <v>40</v>
      </c>
      <c r="P3222" s="5" t="s">
        <v>59</v>
      </c>
      <c r="Q3222" s="5" t="s">
        <v>89</v>
      </c>
      <c r="R3222" s="6" t="s">
        <v>42</v>
      </c>
      <c r="S3222" s="5" t="s">
        <v>99</v>
      </c>
      <c r="T3222" s="5" t="s">
        <v>44</v>
      </c>
      <c r="U3222" s="5" t="s">
        <v>44</v>
      </c>
      <c r="V3222" s="5" t="s">
        <v>2732</v>
      </c>
      <c r="W3222" s="5" t="s">
        <v>35</v>
      </c>
      <c r="X3222" s="8" t="s">
        <v>248</v>
      </c>
      <c r="Y3222" s="5" t="s">
        <v>46</v>
      </c>
      <c r="Z3222" s="5" t="s">
        <v>47</v>
      </c>
      <c r="AA3222" s="5" t="s">
        <v>64</v>
      </c>
      <c r="AB3222" s="5" t="s">
        <v>15827</v>
      </c>
      <c r="AC3222" s="6" t="s">
        <v>257</v>
      </c>
      <c r="AD3222" s="6">
        <v>3702.0</v>
      </c>
    </row>
    <row r="3223" ht="56.25" customHeight="1">
      <c r="A3223" s="5" t="s">
        <v>15769</v>
      </c>
      <c r="B3223" s="6" t="str">
        <f>IMAGE("https://storage.googleapis.com/acdb/housewares/FtrStudyChair_Remake_3_2.png")</f>
        <v/>
      </c>
      <c r="C3223" s="5" t="s">
        <v>57</v>
      </c>
      <c r="D3223" s="5" t="s">
        <v>34</v>
      </c>
      <c r="E3223" s="5" t="s">
        <v>69</v>
      </c>
      <c r="F3223" s="5" t="s">
        <v>9107</v>
      </c>
      <c r="G3223" s="5" t="s">
        <v>36</v>
      </c>
      <c r="H3223" s="5" t="s">
        <v>36</v>
      </c>
      <c r="I3223" s="5" t="s">
        <v>35</v>
      </c>
      <c r="J3223" s="6">
        <v>1.0</v>
      </c>
      <c r="K3223" s="6">
        <v>1700.0</v>
      </c>
      <c r="L3223" s="6">
        <v>425.0</v>
      </c>
      <c r="M3223" s="26" t="s">
        <v>57</v>
      </c>
      <c r="N3223" s="26" t="s">
        <v>69</v>
      </c>
      <c r="O3223" s="6" t="s">
        <v>40</v>
      </c>
      <c r="P3223" s="5" t="s">
        <v>59</v>
      </c>
      <c r="Q3223" s="5" t="s">
        <v>89</v>
      </c>
      <c r="R3223" s="6" t="s">
        <v>42</v>
      </c>
      <c r="S3223" s="5" t="s">
        <v>99</v>
      </c>
      <c r="T3223" s="5" t="s">
        <v>44</v>
      </c>
      <c r="U3223" s="5" t="s">
        <v>44</v>
      </c>
      <c r="V3223" s="5" t="s">
        <v>2732</v>
      </c>
      <c r="W3223" s="5" t="s">
        <v>35</v>
      </c>
      <c r="X3223" s="8" t="s">
        <v>248</v>
      </c>
      <c r="Y3223" s="5" t="s">
        <v>46</v>
      </c>
      <c r="Z3223" s="5" t="s">
        <v>47</v>
      </c>
      <c r="AA3223" s="5" t="s">
        <v>64</v>
      </c>
      <c r="AB3223" s="5" t="s">
        <v>15832</v>
      </c>
      <c r="AC3223" s="6" t="s">
        <v>414</v>
      </c>
      <c r="AD3223" s="6">
        <v>3702.0</v>
      </c>
    </row>
    <row r="3224" ht="56.25" customHeight="1">
      <c r="A3224" s="5" t="s">
        <v>15834</v>
      </c>
      <c r="B3224" s="6" t="str">
        <f>IMAGE("https://storage.googleapis.com/acdb/housewares/FtrStudyDesk_Remake_0_0.png")</f>
        <v/>
      </c>
      <c r="C3224" s="5" t="s">
        <v>32</v>
      </c>
      <c r="D3224" s="5" t="s">
        <v>34</v>
      </c>
      <c r="E3224" s="5" t="s">
        <v>34</v>
      </c>
      <c r="F3224" s="5" t="s">
        <v>34</v>
      </c>
      <c r="G3224" s="5" t="s">
        <v>36</v>
      </c>
      <c r="H3224" s="5" t="s">
        <v>36</v>
      </c>
      <c r="I3224" s="5" t="s">
        <v>36</v>
      </c>
      <c r="J3224" s="6" t="s">
        <v>34</v>
      </c>
      <c r="K3224" s="6">
        <v>7100.0</v>
      </c>
      <c r="L3224" s="6">
        <v>1775.0</v>
      </c>
      <c r="M3224" s="26" t="s">
        <v>38</v>
      </c>
      <c r="N3224" s="26" t="s">
        <v>38</v>
      </c>
      <c r="O3224" s="6" t="s">
        <v>276</v>
      </c>
      <c r="P3224" s="5" t="s">
        <v>59</v>
      </c>
      <c r="Q3224" s="5" t="s">
        <v>89</v>
      </c>
      <c r="R3224" s="6" t="s">
        <v>42</v>
      </c>
      <c r="S3224" s="5" t="s">
        <v>99</v>
      </c>
      <c r="T3224" s="5" t="s">
        <v>44</v>
      </c>
      <c r="U3224" s="5" t="s">
        <v>44</v>
      </c>
      <c r="V3224" s="5" t="s">
        <v>2732</v>
      </c>
      <c r="W3224" s="5" t="s">
        <v>35</v>
      </c>
      <c r="X3224" s="8" t="s">
        <v>230</v>
      </c>
      <c r="Y3224" s="5" t="s">
        <v>46</v>
      </c>
      <c r="Z3224" s="5" t="s">
        <v>357</v>
      </c>
      <c r="AA3224" s="5" t="s">
        <v>64</v>
      </c>
      <c r="AB3224" s="5" t="s">
        <v>15838</v>
      </c>
      <c r="AC3224" s="6" t="s">
        <v>50</v>
      </c>
      <c r="AD3224" s="6">
        <v>3701.0</v>
      </c>
    </row>
    <row r="3225" ht="56.25" customHeight="1">
      <c r="A3225" s="5" t="s">
        <v>15834</v>
      </c>
      <c r="B3225" s="6" t="str">
        <f>IMAGE("https://storage.googleapis.com/acdb/housewares/FtrStudyDesk_Remake_1_0.png")</f>
        <v/>
      </c>
      <c r="C3225" s="5" t="s">
        <v>935</v>
      </c>
      <c r="D3225" s="5" t="s">
        <v>34</v>
      </c>
      <c r="E3225" s="5" t="s">
        <v>34</v>
      </c>
      <c r="F3225" s="5" t="s">
        <v>34</v>
      </c>
      <c r="G3225" s="5" t="s">
        <v>36</v>
      </c>
      <c r="H3225" s="5" t="s">
        <v>36</v>
      </c>
      <c r="I3225" s="5" t="s">
        <v>36</v>
      </c>
      <c r="J3225" s="6" t="s">
        <v>34</v>
      </c>
      <c r="K3225" s="6">
        <v>7100.0</v>
      </c>
      <c r="L3225" s="6">
        <v>1775.0</v>
      </c>
      <c r="M3225" s="26" t="s">
        <v>114</v>
      </c>
      <c r="N3225" s="26" t="s">
        <v>114</v>
      </c>
      <c r="O3225" s="6" t="s">
        <v>276</v>
      </c>
      <c r="P3225" s="5" t="s">
        <v>59</v>
      </c>
      <c r="Q3225" s="5" t="s">
        <v>89</v>
      </c>
      <c r="R3225" s="6" t="s">
        <v>42</v>
      </c>
      <c r="S3225" s="5" t="s">
        <v>99</v>
      </c>
      <c r="T3225" s="5" t="s">
        <v>44</v>
      </c>
      <c r="U3225" s="5" t="s">
        <v>44</v>
      </c>
      <c r="V3225" s="5" t="s">
        <v>2732</v>
      </c>
      <c r="W3225" s="5" t="s">
        <v>35</v>
      </c>
      <c r="X3225" s="8" t="s">
        <v>230</v>
      </c>
      <c r="Y3225" s="5" t="s">
        <v>46</v>
      </c>
      <c r="Z3225" s="5" t="s">
        <v>357</v>
      </c>
      <c r="AA3225" s="5" t="s">
        <v>64</v>
      </c>
      <c r="AB3225" s="5" t="s">
        <v>15842</v>
      </c>
      <c r="AC3225" s="6" t="s">
        <v>56</v>
      </c>
      <c r="AD3225" s="6">
        <v>3701.0</v>
      </c>
    </row>
    <row r="3226" ht="56.25" customHeight="1">
      <c r="A3226" s="5" t="s">
        <v>15834</v>
      </c>
      <c r="B3226" s="6" t="str">
        <f>IMAGE("https://storage.googleapis.com/acdb/housewares/FtrStudyDesk_Remake_2_0.png")</f>
        <v/>
      </c>
      <c r="C3226" s="5" t="s">
        <v>387</v>
      </c>
      <c r="D3226" s="5" t="s">
        <v>34</v>
      </c>
      <c r="E3226" s="5" t="s">
        <v>34</v>
      </c>
      <c r="F3226" s="5" t="s">
        <v>34</v>
      </c>
      <c r="G3226" s="5" t="s">
        <v>36</v>
      </c>
      <c r="H3226" s="5" t="s">
        <v>36</v>
      </c>
      <c r="I3226" s="5" t="s">
        <v>36</v>
      </c>
      <c r="J3226" s="6" t="s">
        <v>34</v>
      </c>
      <c r="K3226" s="6">
        <v>7100.0</v>
      </c>
      <c r="L3226" s="6">
        <v>1775.0</v>
      </c>
      <c r="M3226" s="26" t="s">
        <v>39</v>
      </c>
      <c r="N3226" s="26" t="s">
        <v>39</v>
      </c>
      <c r="O3226" s="6" t="s">
        <v>276</v>
      </c>
      <c r="P3226" s="5" t="s">
        <v>59</v>
      </c>
      <c r="Q3226" s="5" t="s">
        <v>89</v>
      </c>
      <c r="R3226" s="6" t="s">
        <v>42</v>
      </c>
      <c r="S3226" s="5" t="s">
        <v>99</v>
      </c>
      <c r="T3226" s="5" t="s">
        <v>44</v>
      </c>
      <c r="U3226" s="5" t="s">
        <v>44</v>
      </c>
      <c r="V3226" s="5" t="s">
        <v>2732</v>
      </c>
      <c r="W3226" s="5" t="s">
        <v>35</v>
      </c>
      <c r="X3226" s="8" t="s">
        <v>230</v>
      </c>
      <c r="Y3226" s="5" t="s">
        <v>46</v>
      </c>
      <c r="Z3226" s="5" t="s">
        <v>357</v>
      </c>
      <c r="AA3226" s="5" t="s">
        <v>64</v>
      </c>
      <c r="AB3226" s="5" t="s">
        <v>15847</v>
      </c>
      <c r="AC3226" s="6" t="s">
        <v>67</v>
      </c>
      <c r="AD3226" s="6">
        <v>3701.0</v>
      </c>
    </row>
    <row r="3227" ht="56.25" customHeight="1">
      <c r="A3227" s="5" t="s">
        <v>15834</v>
      </c>
      <c r="B3227" s="6" t="str">
        <f>IMAGE("https://storage.googleapis.com/acdb/housewares/FtrStudyDesk_Remake_3_0.png")</f>
        <v/>
      </c>
      <c r="C3227" s="5" t="s">
        <v>57</v>
      </c>
      <c r="D3227" s="5" t="s">
        <v>34</v>
      </c>
      <c r="E3227" s="5" t="s">
        <v>34</v>
      </c>
      <c r="F3227" s="5" t="s">
        <v>34</v>
      </c>
      <c r="G3227" s="5" t="s">
        <v>36</v>
      </c>
      <c r="H3227" s="5" t="s">
        <v>36</v>
      </c>
      <c r="I3227" s="5" t="s">
        <v>36</v>
      </c>
      <c r="J3227" s="6" t="s">
        <v>34</v>
      </c>
      <c r="K3227" s="6">
        <v>7100.0</v>
      </c>
      <c r="L3227" s="6">
        <v>1775.0</v>
      </c>
      <c r="M3227" s="26" t="s">
        <v>57</v>
      </c>
      <c r="N3227" s="26" t="s">
        <v>57</v>
      </c>
      <c r="O3227" s="6" t="s">
        <v>276</v>
      </c>
      <c r="P3227" s="5" t="s">
        <v>59</v>
      </c>
      <c r="Q3227" s="5" t="s">
        <v>89</v>
      </c>
      <c r="R3227" s="6" t="s">
        <v>42</v>
      </c>
      <c r="S3227" s="5" t="s">
        <v>99</v>
      </c>
      <c r="T3227" s="5" t="s">
        <v>44</v>
      </c>
      <c r="U3227" s="5" t="s">
        <v>44</v>
      </c>
      <c r="V3227" s="5" t="s">
        <v>2732</v>
      </c>
      <c r="W3227" s="5" t="s">
        <v>35</v>
      </c>
      <c r="X3227" s="8" t="s">
        <v>230</v>
      </c>
      <c r="Y3227" s="5" t="s">
        <v>46</v>
      </c>
      <c r="Z3227" s="5" t="s">
        <v>357</v>
      </c>
      <c r="AA3227" s="5" t="s">
        <v>64</v>
      </c>
      <c r="AB3227" s="5" t="s">
        <v>15850</v>
      </c>
      <c r="AC3227" s="6" t="s">
        <v>71</v>
      </c>
      <c r="AD3227" s="6">
        <v>3701.0</v>
      </c>
    </row>
    <row r="3228" ht="56.25" customHeight="1">
      <c r="A3228" s="5" t="s">
        <v>15852</v>
      </c>
      <c r="B3228" s="6" t="str">
        <f>IMAGE("https://storage.googleapis.com/acdb/housewares/FtrFallenleavesYellow.png")</f>
        <v/>
      </c>
      <c r="C3228" s="5" t="s">
        <v>34</v>
      </c>
      <c r="D3228" s="5" t="s">
        <v>34</v>
      </c>
      <c r="E3228" s="5" t="s">
        <v>34</v>
      </c>
      <c r="F3228" s="5" t="s">
        <v>34</v>
      </c>
      <c r="G3228" s="5" t="s">
        <v>35</v>
      </c>
      <c r="H3228" s="5" t="s">
        <v>36</v>
      </c>
      <c r="I3228" s="5" t="s">
        <v>36</v>
      </c>
      <c r="J3228" s="6" t="s">
        <v>34</v>
      </c>
      <c r="K3228" s="6" t="s">
        <v>37</v>
      </c>
      <c r="L3228" s="6">
        <v>1300.0</v>
      </c>
      <c r="M3228" s="5" t="s">
        <v>114</v>
      </c>
      <c r="N3228" s="5" t="s">
        <v>114</v>
      </c>
      <c r="O3228" s="6" t="s">
        <v>1243</v>
      </c>
      <c r="P3228" s="5" t="s">
        <v>41</v>
      </c>
      <c r="Q3228" s="5" t="s">
        <v>2446</v>
      </c>
      <c r="R3228" s="6" t="s">
        <v>42</v>
      </c>
      <c r="S3228" s="5" t="s">
        <v>172</v>
      </c>
      <c r="T3228" s="5" t="s">
        <v>44</v>
      </c>
      <c r="U3228" s="5" t="s">
        <v>2448</v>
      </c>
      <c r="V3228" s="5" t="s">
        <v>44</v>
      </c>
      <c r="W3228" s="5" t="s">
        <v>35</v>
      </c>
      <c r="X3228" s="8" t="s">
        <v>244</v>
      </c>
      <c r="Y3228" s="5" t="s">
        <v>46</v>
      </c>
      <c r="Z3228" s="5" t="s">
        <v>47</v>
      </c>
      <c r="AA3228" s="5" t="s">
        <v>48</v>
      </c>
      <c r="AB3228" s="5" t="s">
        <v>15857</v>
      </c>
      <c r="AC3228" s="6" t="s">
        <v>34</v>
      </c>
      <c r="AD3228" s="6">
        <v>4270.0</v>
      </c>
    </row>
    <row r="3229" ht="56.25" customHeight="1">
      <c r="A3229" s="5" t="s">
        <v>15858</v>
      </c>
      <c r="B3229" s="6" t="str">
        <f>IMAGE("https://storage.googleapis.com/acdb/housewares/FtrPlantYucca_Remake_0_0.png")</f>
        <v/>
      </c>
      <c r="C3229" s="5" t="s">
        <v>57</v>
      </c>
      <c r="D3229" s="5" t="s">
        <v>34</v>
      </c>
      <c r="E3229" s="5" t="s">
        <v>34</v>
      </c>
      <c r="F3229" s="5" t="s">
        <v>34</v>
      </c>
      <c r="G3229" s="5" t="s">
        <v>36</v>
      </c>
      <c r="H3229" s="5" t="s">
        <v>36</v>
      </c>
      <c r="I3229" s="5" t="s">
        <v>36</v>
      </c>
      <c r="J3229" s="6" t="s">
        <v>34</v>
      </c>
      <c r="K3229" s="6">
        <v>2100.0</v>
      </c>
      <c r="L3229" s="6">
        <v>525.0</v>
      </c>
      <c r="M3229" s="26" t="s">
        <v>57</v>
      </c>
      <c r="N3229" s="26" t="s">
        <v>96</v>
      </c>
      <c r="O3229" s="6" t="s">
        <v>40</v>
      </c>
      <c r="P3229" s="5" t="s">
        <v>59</v>
      </c>
      <c r="Q3229" s="5" t="s">
        <v>89</v>
      </c>
      <c r="R3229" s="6" t="s">
        <v>42</v>
      </c>
      <c r="S3229" s="5" t="s">
        <v>90</v>
      </c>
      <c r="T3229" s="5" t="s">
        <v>44</v>
      </c>
      <c r="U3229" s="5" t="s">
        <v>44</v>
      </c>
      <c r="V3229" s="5" t="s">
        <v>44</v>
      </c>
      <c r="W3229" s="5" t="s">
        <v>36</v>
      </c>
      <c r="X3229" s="8" t="s">
        <v>244</v>
      </c>
      <c r="Y3229" s="5" t="s">
        <v>46</v>
      </c>
      <c r="Z3229" s="5" t="s">
        <v>47</v>
      </c>
      <c r="AA3229" s="5" t="s">
        <v>64</v>
      </c>
      <c r="AB3229" s="5" t="s">
        <v>15864</v>
      </c>
      <c r="AC3229" s="6" t="s">
        <v>50</v>
      </c>
      <c r="AD3229" s="6">
        <v>4132.0</v>
      </c>
    </row>
    <row r="3230" ht="56.25" customHeight="1">
      <c r="A3230" s="5" t="s">
        <v>15858</v>
      </c>
      <c r="B3230" s="6" t="str">
        <f>IMAGE("https://storage.googleapis.com/acdb/housewares/FtrPlantYucca_Remake_1_0.png")</f>
        <v/>
      </c>
      <c r="C3230" s="5" t="s">
        <v>39</v>
      </c>
      <c r="D3230" s="5" t="s">
        <v>34</v>
      </c>
      <c r="E3230" s="5" t="s">
        <v>34</v>
      </c>
      <c r="F3230" s="5" t="s">
        <v>34</v>
      </c>
      <c r="G3230" s="5" t="s">
        <v>36</v>
      </c>
      <c r="H3230" s="5" t="s">
        <v>36</v>
      </c>
      <c r="I3230" s="5" t="s">
        <v>36</v>
      </c>
      <c r="J3230" s="6" t="s">
        <v>34</v>
      </c>
      <c r="K3230" s="6">
        <v>2100.0</v>
      </c>
      <c r="L3230" s="6">
        <v>525.0</v>
      </c>
      <c r="M3230" s="26" t="s">
        <v>39</v>
      </c>
      <c r="N3230" s="26" t="s">
        <v>96</v>
      </c>
      <c r="O3230" s="6" t="s">
        <v>40</v>
      </c>
      <c r="P3230" s="5" t="s">
        <v>59</v>
      </c>
      <c r="Q3230" s="5" t="s">
        <v>89</v>
      </c>
      <c r="R3230" s="6" t="s">
        <v>42</v>
      </c>
      <c r="S3230" s="5" t="s">
        <v>90</v>
      </c>
      <c r="T3230" s="5" t="s">
        <v>44</v>
      </c>
      <c r="U3230" s="5" t="s">
        <v>44</v>
      </c>
      <c r="V3230" s="5" t="s">
        <v>44</v>
      </c>
      <c r="W3230" s="5" t="s">
        <v>36</v>
      </c>
      <c r="X3230" s="8" t="s">
        <v>244</v>
      </c>
      <c r="Y3230" s="5" t="s">
        <v>46</v>
      </c>
      <c r="Z3230" s="5" t="s">
        <v>47</v>
      </c>
      <c r="AA3230" s="5" t="s">
        <v>64</v>
      </c>
      <c r="AB3230" s="5" t="s">
        <v>15868</v>
      </c>
      <c r="AC3230" s="6" t="s">
        <v>56</v>
      </c>
      <c r="AD3230" s="6">
        <v>4132.0</v>
      </c>
    </row>
    <row r="3231" ht="56.25" customHeight="1">
      <c r="A3231" s="5" t="s">
        <v>15858</v>
      </c>
      <c r="B3231" s="6" t="str">
        <f>IMAGE("https://storage.googleapis.com/acdb/housewares/FtrPlantYucca_Remake_2_0.png")</f>
        <v/>
      </c>
      <c r="C3231" s="5" t="s">
        <v>96</v>
      </c>
      <c r="D3231" s="5" t="s">
        <v>34</v>
      </c>
      <c r="E3231" s="5" t="s">
        <v>34</v>
      </c>
      <c r="F3231" s="5" t="s">
        <v>34</v>
      </c>
      <c r="G3231" s="5" t="s">
        <v>36</v>
      </c>
      <c r="H3231" s="5" t="s">
        <v>36</v>
      </c>
      <c r="I3231" s="5" t="s">
        <v>36</v>
      </c>
      <c r="J3231" s="6" t="s">
        <v>34</v>
      </c>
      <c r="K3231" s="6">
        <v>2100.0</v>
      </c>
      <c r="L3231" s="6">
        <v>525.0</v>
      </c>
      <c r="M3231" s="26" t="s">
        <v>96</v>
      </c>
      <c r="N3231" s="26" t="s">
        <v>96</v>
      </c>
      <c r="O3231" s="6" t="s">
        <v>40</v>
      </c>
      <c r="P3231" s="5" t="s">
        <v>59</v>
      </c>
      <c r="Q3231" s="5" t="s">
        <v>89</v>
      </c>
      <c r="R3231" s="6" t="s">
        <v>42</v>
      </c>
      <c r="S3231" s="5" t="s">
        <v>90</v>
      </c>
      <c r="T3231" s="5" t="s">
        <v>44</v>
      </c>
      <c r="U3231" s="5" t="s">
        <v>44</v>
      </c>
      <c r="V3231" s="5" t="s">
        <v>44</v>
      </c>
      <c r="W3231" s="5" t="s">
        <v>36</v>
      </c>
      <c r="X3231" s="8" t="s">
        <v>244</v>
      </c>
      <c r="Y3231" s="5" t="s">
        <v>46</v>
      </c>
      <c r="Z3231" s="5" t="s">
        <v>47</v>
      </c>
      <c r="AA3231" s="5" t="s">
        <v>64</v>
      </c>
      <c r="AB3231" s="5" t="s">
        <v>15873</v>
      </c>
      <c r="AC3231" s="6" t="s">
        <v>67</v>
      </c>
      <c r="AD3231" s="6">
        <v>4132.0</v>
      </c>
    </row>
    <row r="3232" ht="56.25" customHeight="1">
      <c r="A3232" s="5" t="s">
        <v>15858</v>
      </c>
      <c r="B3232" s="6" t="str">
        <f>IMAGE("https://storage.googleapis.com/acdb/housewares/FtrPlantYucca_Remake_3_0.png")</f>
        <v/>
      </c>
      <c r="C3232" s="5" t="s">
        <v>68</v>
      </c>
      <c r="D3232" s="5" t="s">
        <v>34</v>
      </c>
      <c r="E3232" s="5" t="s">
        <v>34</v>
      </c>
      <c r="F3232" s="5" t="s">
        <v>34</v>
      </c>
      <c r="G3232" s="5" t="s">
        <v>36</v>
      </c>
      <c r="H3232" s="5" t="s">
        <v>36</v>
      </c>
      <c r="I3232" s="5" t="s">
        <v>36</v>
      </c>
      <c r="J3232" s="6" t="s">
        <v>34</v>
      </c>
      <c r="K3232" s="6">
        <v>2100.0</v>
      </c>
      <c r="L3232" s="6">
        <v>525.0</v>
      </c>
      <c r="M3232" s="26" t="s">
        <v>68</v>
      </c>
      <c r="N3232" s="26" t="s">
        <v>96</v>
      </c>
      <c r="O3232" s="6" t="s">
        <v>40</v>
      </c>
      <c r="P3232" s="5" t="s">
        <v>59</v>
      </c>
      <c r="Q3232" s="5" t="s">
        <v>89</v>
      </c>
      <c r="R3232" s="6" t="s">
        <v>42</v>
      </c>
      <c r="S3232" s="5" t="s">
        <v>90</v>
      </c>
      <c r="T3232" s="5" t="s">
        <v>44</v>
      </c>
      <c r="U3232" s="5" t="s">
        <v>44</v>
      </c>
      <c r="V3232" s="5" t="s">
        <v>44</v>
      </c>
      <c r="W3232" s="5" t="s">
        <v>36</v>
      </c>
      <c r="X3232" s="8" t="s">
        <v>244</v>
      </c>
      <c r="Y3232" s="5" t="s">
        <v>46</v>
      </c>
      <c r="Z3232" s="5" t="s">
        <v>47</v>
      </c>
      <c r="AA3232" s="5" t="s">
        <v>64</v>
      </c>
      <c r="AB3232" s="5" t="s">
        <v>15878</v>
      </c>
      <c r="AC3232" s="6" t="s">
        <v>71</v>
      </c>
      <c r="AD3232" s="6">
        <v>4132.0</v>
      </c>
    </row>
    <row r="3233" ht="56.25" customHeight="1">
      <c r="A3233" s="5" t="s">
        <v>15858</v>
      </c>
      <c r="B3233" s="6" t="str">
        <f>IMAGE("https://storage.googleapis.com/acdb/housewares/FtrPlantYucca_Remake_4_0.png")</f>
        <v/>
      </c>
      <c r="C3233" s="5" t="s">
        <v>54</v>
      </c>
      <c r="D3233" s="5" t="s">
        <v>34</v>
      </c>
      <c r="E3233" s="5" t="s">
        <v>34</v>
      </c>
      <c r="F3233" s="5" t="s">
        <v>34</v>
      </c>
      <c r="G3233" s="5" t="s">
        <v>36</v>
      </c>
      <c r="H3233" s="5" t="s">
        <v>36</v>
      </c>
      <c r="I3233" s="5" t="s">
        <v>36</v>
      </c>
      <c r="J3233" s="6" t="s">
        <v>34</v>
      </c>
      <c r="K3233" s="6">
        <v>2100.0</v>
      </c>
      <c r="L3233" s="6">
        <v>525.0</v>
      </c>
      <c r="M3233" s="26" t="s">
        <v>54</v>
      </c>
      <c r="N3233" s="26" t="s">
        <v>96</v>
      </c>
      <c r="O3233" s="6" t="s">
        <v>40</v>
      </c>
      <c r="P3233" s="5" t="s">
        <v>59</v>
      </c>
      <c r="Q3233" s="5" t="s">
        <v>89</v>
      </c>
      <c r="R3233" s="6" t="s">
        <v>42</v>
      </c>
      <c r="S3233" s="5" t="s">
        <v>90</v>
      </c>
      <c r="T3233" s="5" t="s">
        <v>44</v>
      </c>
      <c r="U3233" s="5" t="s">
        <v>44</v>
      </c>
      <c r="V3233" s="5" t="s">
        <v>44</v>
      </c>
      <c r="W3233" s="5" t="s">
        <v>36</v>
      </c>
      <c r="X3233" s="8" t="s">
        <v>244</v>
      </c>
      <c r="Y3233" s="5" t="s">
        <v>46</v>
      </c>
      <c r="Z3233" s="5" t="s">
        <v>47</v>
      </c>
      <c r="AA3233" s="5" t="s">
        <v>64</v>
      </c>
      <c r="AB3233" s="5" t="s">
        <v>15882</v>
      </c>
      <c r="AC3233" s="6" t="s">
        <v>75</v>
      </c>
      <c r="AD3233" s="6">
        <v>4132.0</v>
      </c>
    </row>
    <row r="3234" ht="56.25" customHeight="1">
      <c r="A3234" s="5" t="s">
        <v>15884</v>
      </c>
      <c r="B3234" s="6" t="str">
        <f>IMAGE("https://storage.googleapis.com/acdb/housewares/FtrCushionJapan_Remake_0_0.png")</f>
        <v/>
      </c>
      <c r="C3234" s="5" t="s">
        <v>34</v>
      </c>
      <c r="D3234" s="5" t="s">
        <v>34</v>
      </c>
      <c r="E3234" s="5" t="s">
        <v>4507</v>
      </c>
      <c r="F3234" s="5" t="s">
        <v>10027</v>
      </c>
      <c r="G3234" s="5" t="s">
        <v>36</v>
      </c>
      <c r="H3234" s="5" t="s">
        <v>36</v>
      </c>
      <c r="I3234" s="5" t="s">
        <v>35</v>
      </c>
      <c r="J3234" s="6">
        <v>1.0</v>
      </c>
      <c r="K3234" s="6">
        <v>500.0</v>
      </c>
      <c r="L3234" s="6">
        <v>125.0</v>
      </c>
      <c r="M3234" s="26" t="s">
        <v>68</v>
      </c>
      <c r="N3234" s="26" t="s">
        <v>68</v>
      </c>
      <c r="O3234" s="6" t="s">
        <v>40</v>
      </c>
      <c r="P3234" s="5" t="s">
        <v>59</v>
      </c>
      <c r="Q3234" s="5" t="s">
        <v>89</v>
      </c>
      <c r="R3234" s="6" t="s">
        <v>42</v>
      </c>
      <c r="S3234" s="5" t="s">
        <v>266</v>
      </c>
      <c r="T3234" s="5" t="s">
        <v>90</v>
      </c>
      <c r="U3234" s="5" t="s">
        <v>44</v>
      </c>
      <c r="V3234" s="5" t="s">
        <v>44</v>
      </c>
      <c r="W3234" s="5" t="s">
        <v>35</v>
      </c>
      <c r="X3234" s="8" t="s">
        <v>248</v>
      </c>
      <c r="Y3234" s="5" t="s">
        <v>46</v>
      </c>
      <c r="Z3234" s="5" t="s">
        <v>47</v>
      </c>
      <c r="AA3234" s="5" t="s">
        <v>64</v>
      </c>
      <c r="AB3234" s="5" t="s">
        <v>15887</v>
      </c>
      <c r="AC3234" s="6" t="s">
        <v>50</v>
      </c>
      <c r="AD3234" s="6">
        <v>7047.0</v>
      </c>
    </row>
    <row r="3235" ht="56.25" customHeight="1">
      <c r="A3235" s="5" t="s">
        <v>15884</v>
      </c>
      <c r="B3235" s="6" t="str">
        <f>IMAGE("https://storage.googleapis.com/acdb/housewares/FtrCushionJapan_Remake_0_1.png")</f>
        <v/>
      </c>
      <c r="C3235" s="5" t="s">
        <v>34</v>
      </c>
      <c r="D3235" s="5" t="s">
        <v>34</v>
      </c>
      <c r="E3235" s="5" t="s">
        <v>10034</v>
      </c>
      <c r="F3235" s="5" t="s">
        <v>10027</v>
      </c>
      <c r="G3235" s="5" t="s">
        <v>36</v>
      </c>
      <c r="H3235" s="5" t="s">
        <v>36</v>
      </c>
      <c r="I3235" s="5" t="s">
        <v>35</v>
      </c>
      <c r="J3235" s="6">
        <v>1.0</v>
      </c>
      <c r="K3235" s="6">
        <v>500.0</v>
      </c>
      <c r="L3235" s="6">
        <v>125.0</v>
      </c>
      <c r="M3235" s="26" t="s">
        <v>68</v>
      </c>
      <c r="N3235" s="26" t="s">
        <v>1175</v>
      </c>
      <c r="O3235" s="6" t="s">
        <v>40</v>
      </c>
      <c r="P3235" s="5" t="s">
        <v>59</v>
      </c>
      <c r="Q3235" s="5" t="s">
        <v>89</v>
      </c>
      <c r="R3235" s="6" t="s">
        <v>42</v>
      </c>
      <c r="S3235" s="5" t="s">
        <v>266</v>
      </c>
      <c r="T3235" s="5" t="s">
        <v>90</v>
      </c>
      <c r="U3235" s="5" t="s">
        <v>44</v>
      </c>
      <c r="V3235" s="5" t="s">
        <v>44</v>
      </c>
      <c r="W3235" s="5" t="s">
        <v>35</v>
      </c>
      <c r="X3235" s="8" t="s">
        <v>248</v>
      </c>
      <c r="Y3235" s="5" t="s">
        <v>46</v>
      </c>
      <c r="Z3235" s="5" t="s">
        <v>47</v>
      </c>
      <c r="AA3235" s="5" t="s">
        <v>64</v>
      </c>
      <c r="AB3235" s="5" t="s">
        <v>15894</v>
      </c>
      <c r="AC3235" s="6" t="s">
        <v>217</v>
      </c>
      <c r="AD3235" s="6">
        <v>7047.0</v>
      </c>
    </row>
    <row r="3236" ht="56.25" customHeight="1">
      <c r="A3236" s="5" t="s">
        <v>15884</v>
      </c>
      <c r="B3236" s="6" t="str">
        <f>IMAGE("https://storage.googleapis.com/acdb/housewares/FtrCushionJapan_Remake_0_2.png")</f>
        <v/>
      </c>
      <c r="C3236" s="5" t="s">
        <v>34</v>
      </c>
      <c r="D3236" s="5" t="s">
        <v>34</v>
      </c>
      <c r="E3236" s="5" t="s">
        <v>10041</v>
      </c>
      <c r="F3236" s="5" t="s">
        <v>10027</v>
      </c>
      <c r="G3236" s="5" t="s">
        <v>36</v>
      </c>
      <c r="H3236" s="5" t="s">
        <v>36</v>
      </c>
      <c r="I3236" s="5" t="s">
        <v>35</v>
      </c>
      <c r="J3236" s="6">
        <v>1.0</v>
      </c>
      <c r="K3236" s="6">
        <v>500.0</v>
      </c>
      <c r="L3236" s="6">
        <v>125.0</v>
      </c>
      <c r="M3236" s="26" t="s">
        <v>52</v>
      </c>
      <c r="N3236" s="26" t="s">
        <v>69</v>
      </c>
      <c r="O3236" s="6" t="s">
        <v>40</v>
      </c>
      <c r="P3236" s="5" t="s">
        <v>59</v>
      </c>
      <c r="Q3236" s="5" t="s">
        <v>89</v>
      </c>
      <c r="R3236" s="6" t="s">
        <v>42</v>
      </c>
      <c r="S3236" s="5" t="s">
        <v>266</v>
      </c>
      <c r="T3236" s="5" t="s">
        <v>90</v>
      </c>
      <c r="U3236" s="5" t="s">
        <v>44</v>
      </c>
      <c r="V3236" s="5" t="s">
        <v>44</v>
      </c>
      <c r="W3236" s="5" t="s">
        <v>35</v>
      </c>
      <c r="X3236" s="8" t="s">
        <v>248</v>
      </c>
      <c r="Y3236" s="5" t="s">
        <v>46</v>
      </c>
      <c r="Z3236" s="5" t="s">
        <v>47</v>
      </c>
      <c r="AA3236" s="5" t="s">
        <v>64</v>
      </c>
      <c r="AB3236" s="5" t="s">
        <v>15899</v>
      </c>
      <c r="AC3236" s="6" t="s">
        <v>347</v>
      </c>
      <c r="AD3236" s="6">
        <v>7047.0</v>
      </c>
    </row>
    <row r="3237" ht="56.25" customHeight="1">
      <c r="A3237" s="5" t="s">
        <v>15884</v>
      </c>
      <c r="B3237" s="6" t="str">
        <f>IMAGE("https://storage.googleapis.com/acdb/housewares/FtrCushionJapan_Remake_0_3.png")</f>
        <v/>
      </c>
      <c r="C3237" s="5" t="s">
        <v>34</v>
      </c>
      <c r="D3237" s="5" t="s">
        <v>34</v>
      </c>
      <c r="E3237" s="5" t="s">
        <v>10046</v>
      </c>
      <c r="F3237" s="5" t="s">
        <v>10027</v>
      </c>
      <c r="G3237" s="5" t="s">
        <v>36</v>
      </c>
      <c r="H3237" s="5" t="s">
        <v>36</v>
      </c>
      <c r="I3237" s="5" t="s">
        <v>35</v>
      </c>
      <c r="J3237" s="6">
        <v>1.0</v>
      </c>
      <c r="K3237" s="6">
        <v>500.0</v>
      </c>
      <c r="L3237" s="6">
        <v>125.0</v>
      </c>
      <c r="M3237" s="26" t="s">
        <v>96</v>
      </c>
      <c r="N3237" s="26" t="s">
        <v>96</v>
      </c>
      <c r="O3237" s="6" t="s">
        <v>40</v>
      </c>
      <c r="P3237" s="5" t="s">
        <v>59</v>
      </c>
      <c r="Q3237" s="5" t="s">
        <v>89</v>
      </c>
      <c r="R3237" s="6" t="s">
        <v>42</v>
      </c>
      <c r="S3237" s="5" t="s">
        <v>266</v>
      </c>
      <c r="T3237" s="5" t="s">
        <v>90</v>
      </c>
      <c r="U3237" s="5" t="s">
        <v>44</v>
      </c>
      <c r="V3237" s="5" t="s">
        <v>44</v>
      </c>
      <c r="W3237" s="5" t="s">
        <v>35</v>
      </c>
      <c r="X3237" s="8" t="s">
        <v>248</v>
      </c>
      <c r="Y3237" s="5" t="s">
        <v>46</v>
      </c>
      <c r="Z3237" s="5" t="s">
        <v>47</v>
      </c>
      <c r="AA3237" s="5" t="s">
        <v>64</v>
      </c>
      <c r="AB3237" s="5" t="s">
        <v>15903</v>
      </c>
      <c r="AC3237" s="6" t="s">
        <v>354</v>
      </c>
      <c r="AD3237" s="6">
        <v>7047.0</v>
      </c>
    </row>
    <row r="3238" ht="56.25" customHeight="1">
      <c r="A3238" s="5" t="s">
        <v>15884</v>
      </c>
      <c r="B3238" s="6" t="str">
        <f>IMAGE("https://storage.googleapis.com/acdb/housewares/FtrCushionJapan_Remake_0_4.png")</f>
        <v/>
      </c>
      <c r="C3238" s="5" t="s">
        <v>34</v>
      </c>
      <c r="D3238" s="5" t="s">
        <v>34</v>
      </c>
      <c r="E3238" s="5" t="s">
        <v>5996</v>
      </c>
      <c r="F3238" s="5" t="s">
        <v>10027</v>
      </c>
      <c r="G3238" s="5" t="s">
        <v>36</v>
      </c>
      <c r="H3238" s="5" t="s">
        <v>36</v>
      </c>
      <c r="I3238" s="5" t="s">
        <v>35</v>
      </c>
      <c r="J3238" s="6">
        <v>1.0</v>
      </c>
      <c r="K3238" s="6">
        <v>500.0</v>
      </c>
      <c r="L3238" s="6">
        <v>125.0</v>
      </c>
      <c r="M3238" s="26" t="s">
        <v>1175</v>
      </c>
      <c r="N3238" s="26" t="s">
        <v>58</v>
      </c>
      <c r="O3238" s="6" t="s">
        <v>40</v>
      </c>
      <c r="P3238" s="5" t="s">
        <v>59</v>
      </c>
      <c r="Q3238" s="5" t="s">
        <v>89</v>
      </c>
      <c r="R3238" s="6" t="s">
        <v>42</v>
      </c>
      <c r="S3238" s="5" t="s">
        <v>266</v>
      </c>
      <c r="T3238" s="5" t="s">
        <v>90</v>
      </c>
      <c r="U3238" s="5" t="s">
        <v>44</v>
      </c>
      <c r="V3238" s="5" t="s">
        <v>44</v>
      </c>
      <c r="W3238" s="5" t="s">
        <v>35</v>
      </c>
      <c r="X3238" s="8" t="s">
        <v>248</v>
      </c>
      <c r="Y3238" s="5" t="s">
        <v>46</v>
      </c>
      <c r="Z3238" s="5" t="s">
        <v>47</v>
      </c>
      <c r="AA3238" s="5" t="s">
        <v>64</v>
      </c>
      <c r="AB3238" s="5" t="s">
        <v>15907</v>
      </c>
      <c r="AC3238" s="6" t="s">
        <v>486</v>
      </c>
      <c r="AD3238" s="6">
        <v>7047.0</v>
      </c>
    </row>
    <row r="3239" ht="56.25" customHeight="1">
      <c r="A3239" s="5" t="s">
        <v>15884</v>
      </c>
      <c r="B3239" s="6" t="str">
        <f>IMAGE("https://storage.googleapis.com/acdb/housewares/FtrCushionJapan_Remake_0_5.png")</f>
        <v/>
      </c>
      <c r="C3239" s="5" t="s">
        <v>34</v>
      </c>
      <c r="D3239" s="5" t="s">
        <v>34</v>
      </c>
      <c r="E3239" s="5" t="s">
        <v>10056</v>
      </c>
      <c r="F3239" s="5" t="s">
        <v>10027</v>
      </c>
      <c r="G3239" s="5" t="s">
        <v>36</v>
      </c>
      <c r="H3239" s="5" t="s">
        <v>36</v>
      </c>
      <c r="I3239" s="5" t="s">
        <v>35</v>
      </c>
      <c r="J3239" s="6">
        <v>1.0</v>
      </c>
      <c r="K3239" s="6">
        <v>500.0</v>
      </c>
      <c r="L3239" s="6">
        <v>125.0</v>
      </c>
      <c r="M3239" s="26" t="s">
        <v>52</v>
      </c>
      <c r="N3239" s="26" t="s">
        <v>52</v>
      </c>
      <c r="O3239" s="6" t="s">
        <v>40</v>
      </c>
      <c r="P3239" s="5" t="s">
        <v>59</v>
      </c>
      <c r="Q3239" s="5" t="s">
        <v>89</v>
      </c>
      <c r="R3239" s="6" t="s">
        <v>42</v>
      </c>
      <c r="S3239" s="5" t="s">
        <v>266</v>
      </c>
      <c r="T3239" s="5" t="s">
        <v>90</v>
      </c>
      <c r="U3239" s="5" t="s">
        <v>44</v>
      </c>
      <c r="V3239" s="5" t="s">
        <v>44</v>
      </c>
      <c r="W3239" s="5" t="s">
        <v>35</v>
      </c>
      <c r="X3239" s="8" t="s">
        <v>248</v>
      </c>
      <c r="Y3239" s="5" t="s">
        <v>46</v>
      </c>
      <c r="Z3239" s="5" t="s">
        <v>47</v>
      </c>
      <c r="AA3239" s="5" t="s">
        <v>64</v>
      </c>
      <c r="AB3239" s="5" t="s">
        <v>15912</v>
      </c>
      <c r="AC3239" s="6" t="s">
        <v>934</v>
      </c>
      <c r="AD3239" s="6">
        <v>7047.0</v>
      </c>
    </row>
    <row r="3240" ht="56.25" customHeight="1">
      <c r="A3240" s="5" t="s">
        <v>15884</v>
      </c>
      <c r="B3240" s="6" t="str">
        <f>IMAGE("https://storage.googleapis.com/acdb/housewares/FtrCushionJapan_Remake_0_6.png")</f>
        <v/>
      </c>
      <c r="C3240" s="5" t="s">
        <v>34</v>
      </c>
      <c r="D3240" s="5" t="s">
        <v>34</v>
      </c>
      <c r="E3240" s="5" t="s">
        <v>151</v>
      </c>
      <c r="F3240" s="5" t="s">
        <v>10027</v>
      </c>
      <c r="G3240" s="5" t="s">
        <v>36</v>
      </c>
      <c r="H3240" s="5" t="s">
        <v>36</v>
      </c>
      <c r="I3240" s="5" t="s">
        <v>35</v>
      </c>
      <c r="J3240" s="6">
        <v>1.0</v>
      </c>
      <c r="K3240" s="6">
        <v>500.0</v>
      </c>
      <c r="L3240" s="6">
        <v>125.0</v>
      </c>
      <c r="M3240" s="26" t="s">
        <v>114</v>
      </c>
      <c r="N3240" s="26" t="s">
        <v>106</v>
      </c>
      <c r="O3240" s="6" t="s">
        <v>40</v>
      </c>
      <c r="P3240" s="5" t="s">
        <v>59</v>
      </c>
      <c r="Q3240" s="5" t="s">
        <v>89</v>
      </c>
      <c r="R3240" s="6" t="s">
        <v>42</v>
      </c>
      <c r="S3240" s="5" t="s">
        <v>266</v>
      </c>
      <c r="T3240" s="5" t="s">
        <v>90</v>
      </c>
      <c r="U3240" s="5" t="s">
        <v>44</v>
      </c>
      <c r="V3240" s="5" t="s">
        <v>44</v>
      </c>
      <c r="W3240" s="5" t="s">
        <v>35</v>
      </c>
      <c r="X3240" s="8" t="s">
        <v>248</v>
      </c>
      <c r="Y3240" s="5" t="s">
        <v>46</v>
      </c>
      <c r="Z3240" s="5" t="s">
        <v>47</v>
      </c>
      <c r="AA3240" s="5" t="s">
        <v>64</v>
      </c>
      <c r="AB3240" s="5" t="s">
        <v>15919</v>
      </c>
      <c r="AC3240" s="6" t="s">
        <v>938</v>
      </c>
      <c r="AD3240" s="6">
        <v>7047.0</v>
      </c>
    </row>
    <row r="3241" ht="56.25" customHeight="1">
      <c r="A3241" s="5" t="s">
        <v>15920</v>
      </c>
      <c r="B3241" s="6" t="str">
        <f>IMAGE("https://storage.googleapis.com/acdb/housewares/FtrGravestoneJapan_Remake_0_0.png")</f>
        <v/>
      </c>
      <c r="C3241" s="5" t="s">
        <v>15921</v>
      </c>
      <c r="D3241" s="5" t="s">
        <v>2801</v>
      </c>
      <c r="E3241" s="5" t="s">
        <v>34</v>
      </c>
      <c r="F3241" s="5" t="s">
        <v>34</v>
      </c>
      <c r="G3241" s="5" t="s">
        <v>35</v>
      </c>
      <c r="H3241" s="5" t="s">
        <v>35</v>
      </c>
      <c r="I3241" s="5" t="s">
        <v>36</v>
      </c>
      <c r="J3241" s="6">
        <v>6.0</v>
      </c>
      <c r="K3241" s="6" t="s">
        <v>37</v>
      </c>
      <c r="L3241" s="6">
        <v>4500.0</v>
      </c>
      <c r="M3241" s="26" t="s">
        <v>95</v>
      </c>
      <c r="N3241" s="26" t="s">
        <v>95</v>
      </c>
      <c r="O3241" s="6" t="s">
        <v>40</v>
      </c>
      <c r="P3241" s="5" t="s">
        <v>41</v>
      </c>
      <c r="Q3241" s="5"/>
      <c r="R3241" s="6" t="s">
        <v>42</v>
      </c>
      <c r="S3241" s="5" t="s">
        <v>266</v>
      </c>
      <c r="T3241" s="5" t="s">
        <v>732</v>
      </c>
      <c r="U3241" s="5" t="s">
        <v>44</v>
      </c>
      <c r="V3241" s="5" t="s">
        <v>44</v>
      </c>
      <c r="W3241" s="5" t="s">
        <v>36</v>
      </c>
      <c r="X3241" s="8" t="s">
        <v>650</v>
      </c>
      <c r="Y3241" s="5" t="s">
        <v>46</v>
      </c>
      <c r="Z3241" s="5" t="s">
        <v>47</v>
      </c>
      <c r="AA3241" s="5" t="s">
        <v>48</v>
      </c>
      <c r="AB3241" s="5" t="s">
        <v>15927</v>
      </c>
      <c r="AC3241" s="6" t="s">
        <v>50</v>
      </c>
      <c r="AD3241" s="6">
        <v>7317.0</v>
      </c>
    </row>
    <row r="3242" ht="56.25" customHeight="1">
      <c r="A3242" s="5" t="s">
        <v>15920</v>
      </c>
      <c r="B3242" s="6" t="str">
        <f>IMAGE("https://storage.googleapis.com/acdb/housewares/FtrGravestoneJapan_Remake_1_0.png")</f>
        <v/>
      </c>
      <c r="C3242" s="5" t="s">
        <v>15930</v>
      </c>
      <c r="D3242" s="5" t="s">
        <v>2801</v>
      </c>
      <c r="E3242" s="5" t="s">
        <v>34</v>
      </c>
      <c r="F3242" s="5" t="s">
        <v>34</v>
      </c>
      <c r="G3242" s="5" t="s">
        <v>35</v>
      </c>
      <c r="H3242" s="5" t="s">
        <v>35</v>
      </c>
      <c r="I3242" s="5" t="s">
        <v>36</v>
      </c>
      <c r="J3242" s="6">
        <v>6.0</v>
      </c>
      <c r="K3242" s="6" t="s">
        <v>37</v>
      </c>
      <c r="L3242" s="6">
        <v>4500.0</v>
      </c>
      <c r="M3242" s="26" t="s">
        <v>95</v>
      </c>
      <c r="N3242" s="26" t="s">
        <v>95</v>
      </c>
      <c r="O3242" s="6" t="s">
        <v>40</v>
      </c>
      <c r="P3242" s="5" t="s">
        <v>41</v>
      </c>
      <c r="Q3242" s="5"/>
      <c r="R3242" s="6" t="s">
        <v>42</v>
      </c>
      <c r="S3242" s="5" t="s">
        <v>266</v>
      </c>
      <c r="T3242" s="5" t="s">
        <v>732</v>
      </c>
      <c r="U3242" s="5" t="s">
        <v>44</v>
      </c>
      <c r="V3242" s="5" t="s">
        <v>44</v>
      </c>
      <c r="W3242" s="5" t="s">
        <v>36</v>
      </c>
      <c r="X3242" s="8" t="s">
        <v>650</v>
      </c>
      <c r="Y3242" s="5" t="s">
        <v>46</v>
      </c>
      <c r="Z3242" s="5" t="s">
        <v>47</v>
      </c>
      <c r="AA3242" s="5" t="s">
        <v>48</v>
      </c>
      <c r="AB3242" s="5" t="s">
        <v>15934</v>
      </c>
      <c r="AC3242" s="6" t="s">
        <v>56</v>
      </c>
      <c r="AD3242" s="6">
        <v>7317.0</v>
      </c>
    </row>
    <row r="3243" ht="56.25" customHeight="1">
      <c r="A3243" s="5" t="s">
        <v>15920</v>
      </c>
      <c r="B3243" s="6" t="str">
        <f>IMAGE("https://storage.googleapis.com/acdb/housewares/FtrGravestoneJapan_Remake_2_0.png")</f>
        <v/>
      </c>
      <c r="C3243" s="5" t="s">
        <v>15938</v>
      </c>
      <c r="D3243" s="5" t="s">
        <v>2801</v>
      </c>
      <c r="E3243" s="5" t="s">
        <v>34</v>
      </c>
      <c r="F3243" s="5" t="s">
        <v>34</v>
      </c>
      <c r="G3243" s="5" t="s">
        <v>35</v>
      </c>
      <c r="H3243" s="5" t="s">
        <v>35</v>
      </c>
      <c r="I3243" s="5" t="s">
        <v>36</v>
      </c>
      <c r="J3243" s="6">
        <v>6.0</v>
      </c>
      <c r="K3243" s="6" t="s">
        <v>37</v>
      </c>
      <c r="L3243" s="6">
        <v>4500.0</v>
      </c>
      <c r="M3243" s="26" t="s">
        <v>54</v>
      </c>
      <c r="N3243" s="26" t="s">
        <v>54</v>
      </c>
      <c r="O3243" s="6" t="s">
        <v>40</v>
      </c>
      <c r="P3243" s="5" t="s">
        <v>41</v>
      </c>
      <c r="Q3243" s="5"/>
      <c r="R3243" s="6" t="s">
        <v>42</v>
      </c>
      <c r="S3243" s="5" t="s">
        <v>266</v>
      </c>
      <c r="T3243" s="5" t="s">
        <v>732</v>
      </c>
      <c r="U3243" s="5" t="s">
        <v>44</v>
      </c>
      <c r="V3243" s="5" t="s">
        <v>44</v>
      </c>
      <c r="W3243" s="5" t="s">
        <v>36</v>
      </c>
      <c r="X3243" s="8" t="s">
        <v>650</v>
      </c>
      <c r="Y3243" s="5" t="s">
        <v>46</v>
      </c>
      <c r="Z3243" s="5" t="s">
        <v>47</v>
      </c>
      <c r="AA3243" s="5" t="s">
        <v>48</v>
      </c>
      <c r="AB3243" s="5" t="s">
        <v>15941</v>
      </c>
      <c r="AC3243" s="6" t="s">
        <v>67</v>
      </c>
      <c r="AD3243" s="6">
        <v>7317.0</v>
      </c>
    </row>
    <row r="3244" ht="56.25" customHeight="1">
      <c r="A3244" s="5" t="s">
        <v>15920</v>
      </c>
      <c r="B3244" s="6" t="str">
        <f>IMAGE("https://storage.googleapis.com/acdb/housewares/FtrGravestoneJapan_Remake_3_0.png")</f>
        <v/>
      </c>
      <c r="C3244" s="5" t="s">
        <v>15942</v>
      </c>
      <c r="D3244" s="5" t="s">
        <v>2801</v>
      </c>
      <c r="E3244" s="5" t="s">
        <v>34</v>
      </c>
      <c r="F3244" s="5" t="s">
        <v>34</v>
      </c>
      <c r="G3244" s="5" t="s">
        <v>35</v>
      </c>
      <c r="H3244" s="5" t="s">
        <v>35</v>
      </c>
      <c r="I3244" s="5" t="s">
        <v>36</v>
      </c>
      <c r="J3244" s="6">
        <v>6.0</v>
      </c>
      <c r="K3244" s="6" t="s">
        <v>37</v>
      </c>
      <c r="L3244" s="6">
        <v>4500.0</v>
      </c>
      <c r="M3244" s="26" t="s">
        <v>39</v>
      </c>
      <c r="N3244" s="26" t="s">
        <v>39</v>
      </c>
      <c r="O3244" s="6" t="s">
        <v>40</v>
      </c>
      <c r="P3244" s="5" t="s">
        <v>41</v>
      </c>
      <c r="Q3244" s="5"/>
      <c r="R3244" s="6" t="s">
        <v>42</v>
      </c>
      <c r="S3244" s="5" t="s">
        <v>266</v>
      </c>
      <c r="T3244" s="5" t="s">
        <v>732</v>
      </c>
      <c r="U3244" s="5" t="s">
        <v>44</v>
      </c>
      <c r="V3244" s="5" t="s">
        <v>44</v>
      </c>
      <c r="W3244" s="5" t="s">
        <v>36</v>
      </c>
      <c r="X3244" s="8" t="s">
        <v>650</v>
      </c>
      <c r="Y3244" s="5" t="s">
        <v>46</v>
      </c>
      <c r="Z3244" s="5" t="s">
        <v>47</v>
      </c>
      <c r="AA3244" s="5" t="s">
        <v>48</v>
      </c>
      <c r="AB3244" s="5" t="s">
        <v>15946</v>
      </c>
      <c r="AC3244" s="6" t="s">
        <v>71</v>
      </c>
      <c r="AD3244" s="6">
        <v>7317.0</v>
      </c>
    </row>
    <row r="3245" ht="56.25" customHeight="1">
      <c r="A3245" s="5" t="s">
        <v>15920</v>
      </c>
      <c r="B3245" s="6" t="str">
        <f>IMAGE("https://storage.googleapis.com/acdb/housewares/FtrGravestoneJapan_Remake_4_0.png")</f>
        <v/>
      </c>
      <c r="C3245" s="5" t="s">
        <v>15947</v>
      </c>
      <c r="D3245" s="5" t="s">
        <v>2801</v>
      </c>
      <c r="E3245" s="5" t="s">
        <v>34</v>
      </c>
      <c r="F3245" s="5" t="s">
        <v>34</v>
      </c>
      <c r="G3245" s="5" t="s">
        <v>35</v>
      </c>
      <c r="H3245" s="5" t="s">
        <v>35</v>
      </c>
      <c r="I3245" s="5" t="s">
        <v>36</v>
      </c>
      <c r="J3245" s="6">
        <v>6.0</v>
      </c>
      <c r="K3245" s="6" t="s">
        <v>37</v>
      </c>
      <c r="L3245" s="6">
        <v>4500.0</v>
      </c>
      <c r="M3245" s="26" t="s">
        <v>96</v>
      </c>
      <c r="N3245" s="26" t="s">
        <v>95</v>
      </c>
      <c r="O3245" s="6" t="s">
        <v>40</v>
      </c>
      <c r="P3245" s="5" t="s">
        <v>41</v>
      </c>
      <c r="Q3245" s="5"/>
      <c r="R3245" s="6" t="s">
        <v>42</v>
      </c>
      <c r="S3245" s="5" t="s">
        <v>266</v>
      </c>
      <c r="T3245" s="5" t="s">
        <v>732</v>
      </c>
      <c r="U3245" s="5" t="s">
        <v>44</v>
      </c>
      <c r="V3245" s="5" t="s">
        <v>44</v>
      </c>
      <c r="W3245" s="5" t="s">
        <v>36</v>
      </c>
      <c r="X3245" s="8" t="s">
        <v>650</v>
      </c>
      <c r="Y3245" s="5" t="s">
        <v>46</v>
      </c>
      <c r="Z3245" s="5" t="s">
        <v>47</v>
      </c>
      <c r="AA3245" s="5" t="s">
        <v>48</v>
      </c>
      <c r="AB3245" s="5" t="s">
        <v>15952</v>
      </c>
      <c r="AC3245" s="6" t="s">
        <v>75</v>
      </c>
      <c r="AD3245" s="6">
        <v>7317.0</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6" width="10.86"/>
    <col customWidth="1" min="7" max="7" width="4.43"/>
    <col customWidth="1" min="8" max="9" width="10.86"/>
    <col customWidth="1" min="10" max="10" width="5.14"/>
    <col customWidth="1" min="11" max="12" width="5.86"/>
    <col customWidth="1" min="13" max="14" width="8.0"/>
    <col customWidth="1" min="15" max="15" width="5.14"/>
    <col customWidth="1" min="16" max="16" width="12.29"/>
    <col customWidth="1" min="17" max="17" width="25.14"/>
    <col customWidth="1" min="18" max="18" width="8.0"/>
    <col customWidth="1" min="19" max="20" width="10.14"/>
    <col customWidth="1" min="21" max="22" width="9.43"/>
    <col customWidth="1" min="23" max="23" width="8.0"/>
    <col customWidth="1" min="24" max="24" width="11.57"/>
    <col customWidth="1" min="25" max="26" width="9.43"/>
    <col customWidth="1" min="27" max="27" width="8.0"/>
    <col customWidth="1" min="28" max="28" width="10.86"/>
    <col customWidth="1" min="29" max="30" width="8.0"/>
  </cols>
  <sheetData>
    <row r="1" ht="26.25" customHeight="1">
      <c r="A1" s="1" t="s">
        <v>0</v>
      </c>
      <c r="B1" s="2" t="s">
        <v>1</v>
      </c>
      <c r="C1" s="1" t="s">
        <v>2</v>
      </c>
      <c r="D1" s="1" t="s">
        <v>3</v>
      </c>
      <c r="E1" s="1" t="s">
        <v>4</v>
      </c>
      <c r="F1" s="1" t="s">
        <v>5</v>
      </c>
      <c r="G1" s="1" t="s">
        <v>6</v>
      </c>
      <c r="H1" s="1" t="s">
        <v>7</v>
      </c>
      <c r="I1" s="1" t="s">
        <v>8</v>
      </c>
      <c r="J1" s="2" t="s">
        <v>9</v>
      </c>
      <c r="K1" s="2" t="s">
        <v>10</v>
      </c>
      <c r="L1" s="2" t="s">
        <v>11</v>
      </c>
      <c r="M1" s="1" t="s">
        <v>12</v>
      </c>
      <c r="N1" s="1" t="s">
        <v>13</v>
      </c>
      <c r="O1" s="2" t="s">
        <v>14</v>
      </c>
      <c r="P1" s="1" t="s">
        <v>15</v>
      </c>
      <c r="Q1" s="1" t="s">
        <v>16</v>
      </c>
      <c r="R1" s="2" t="s">
        <v>17</v>
      </c>
      <c r="S1" s="1" t="s">
        <v>18</v>
      </c>
      <c r="T1" s="1" t="s">
        <v>19</v>
      </c>
      <c r="U1" s="1" t="s">
        <v>20</v>
      </c>
      <c r="V1" s="1" t="s">
        <v>21</v>
      </c>
      <c r="W1" s="1" t="s">
        <v>22</v>
      </c>
      <c r="X1" s="1" t="s">
        <v>23</v>
      </c>
      <c r="Y1" s="1" t="s">
        <v>24</v>
      </c>
      <c r="Z1" s="1" t="s">
        <v>25</v>
      </c>
      <c r="AA1" s="1" t="s">
        <v>26</v>
      </c>
      <c r="AB1" s="1" t="s">
        <v>27</v>
      </c>
      <c r="AC1" s="2" t="s">
        <v>28</v>
      </c>
      <c r="AD1" s="2" t="s">
        <v>29</v>
      </c>
    </row>
    <row r="2" ht="56.25" customHeight="1">
      <c r="A2" s="5" t="s">
        <v>53</v>
      </c>
      <c r="B2" s="6" t="str">
        <f>IMAGE("https://storage.googleapis.com/acdb/miscellaneous/FtrJewelrystand_Remake_0_0.png")</f>
        <v/>
      </c>
      <c r="C2" s="5" t="s">
        <v>57</v>
      </c>
      <c r="D2" s="5" t="s">
        <v>34</v>
      </c>
      <c r="E2" s="5" t="s">
        <v>34</v>
      </c>
      <c r="F2" s="5" t="s">
        <v>34</v>
      </c>
      <c r="G2" s="5" t="s">
        <v>36</v>
      </c>
      <c r="H2" s="5" t="s">
        <v>36</v>
      </c>
      <c r="I2" s="5" t="s">
        <v>36</v>
      </c>
      <c r="J2" s="6" t="s">
        <v>34</v>
      </c>
      <c r="K2" s="6">
        <v>1500.0</v>
      </c>
      <c r="L2" s="6">
        <v>375.0</v>
      </c>
      <c r="M2" s="5" t="s">
        <v>57</v>
      </c>
      <c r="N2" s="5" t="s">
        <v>58</v>
      </c>
      <c r="O2" s="6" t="s">
        <v>40</v>
      </c>
      <c r="P2" s="5" t="s">
        <v>59</v>
      </c>
      <c r="Q2" s="5" t="s">
        <v>60</v>
      </c>
      <c r="R2" s="6" t="s">
        <v>42</v>
      </c>
      <c r="S2" s="5" t="s">
        <v>61</v>
      </c>
      <c r="T2" s="5" t="s">
        <v>62</v>
      </c>
      <c r="U2" s="5" t="s">
        <v>44</v>
      </c>
      <c r="V2" s="5" t="s">
        <v>44</v>
      </c>
      <c r="W2" s="5" t="s">
        <v>36</v>
      </c>
      <c r="X2" s="5" t="s">
        <v>63</v>
      </c>
      <c r="Y2" s="5" t="s">
        <v>46</v>
      </c>
      <c r="Z2" s="5" t="s">
        <v>47</v>
      </c>
      <c r="AA2" s="5" t="s">
        <v>64</v>
      </c>
      <c r="AB2" s="5" t="s">
        <v>66</v>
      </c>
      <c r="AC2" s="6" t="s">
        <v>50</v>
      </c>
      <c r="AD2" s="6">
        <v>3948.0</v>
      </c>
    </row>
    <row r="3" ht="56.25" customHeight="1">
      <c r="A3" s="5" t="s">
        <v>53</v>
      </c>
      <c r="B3" s="6" t="str">
        <f>IMAGE("https://storage.googleapis.com/acdb/miscellaneous/FtrJewelrystand_Remake_1_0.png")</f>
        <v/>
      </c>
      <c r="C3" s="5" t="s">
        <v>69</v>
      </c>
      <c r="D3" s="5" t="s">
        <v>34</v>
      </c>
      <c r="E3" s="5" t="s">
        <v>34</v>
      </c>
      <c r="F3" s="5" t="s">
        <v>34</v>
      </c>
      <c r="G3" s="5" t="s">
        <v>36</v>
      </c>
      <c r="H3" s="5" t="s">
        <v>36</v>
      </c>
      <c r="I3" s="5" t="s">
        <v>36</v>
      </c>
      <c r="J3" s="6" t="s">
        <v>34</v>
      </c>
      <c r="K3" s="6">
        <v>1500.0</v>
      </c>
      <c r="L3" s="6">
        <v>375.0</v>
      </c>
      <c r="M3" s="5" t="s">
        <v>69</v>
      </c>
      <c r="N3" s="5" t="s">
        <v>58</v>
      </c>
      <c r="O3" s="6" t="s">
        <v>40</v>
      </c>
      <c r="P3" s="5" t="s">
        <v>59</v>
      </c>
      <c r="Q3" s="5" t="s">
        <v>60</v>
      </c>
      <c r="R3" s="6" t="s">
        <v>42</v>
      </c>
      <c r="S3" s="5" t="s">
        <v>61</v>
      </c>
      <c r="T3" s="5" t="s">
        <v>62</v>
      </c>
      <c r="U3" s="5" t="s">
        <v>44</v>
      </c>
      <c r="V3" s="5" t="s">
        <v>44</v>
      </c>
      <c r="W3" s="5" t="s">
        <v>36</v>
      </c>
      <c r="X3" s="5" t="s">
        <v>63</v>
      </c>
      <c r="Y3" s="5" t="s">
        <v>46</v>
      </c>
      <c r="Z3" s="5" t="s">
        <v>47</v>
      </c>
      <c r="AA3" s="5" t="s">
        <v>64</v>
      </c>
      <c r="AB3" s="5" t="s">
        <v>72</v>
      </c>
      <c r="AC3" s="6" t="s">
        <v>56</v>
      </c>
      <c r="AD3" s="6">
        <v>3948.0</v>
      </c>
    </row>
    <row r="4" ht="56.25" customHeight="1">
      <c r="A4" s="5" t="s">
        <v>53</v>
      </c>
      <c r="B4" s="6" t="str">
        <f>IMAGE("https://storage.googleapis.com/acdb/miscellaneous/FtrJewelrystand_Remake_2_0.png")</f>
        <v/>
      </c>
      <c r="C4" s="5" t="s">
        <v>54</v>
      </c>
      <c r="D4" s="5" t="s">
        <v>34</v>
      </c>
      <c r="E4" s="5" t="s">
        <v>34</v>
      </c>
      <c r="F4" s="5" t="s">
        <v>34</v>
      </c>
      <c r="G4" s="5" t="s">
        <v>36</v>
      </c>
      <c r="H4" s="5" t="s">
        <v>36</v>
      </c>
      <c r="I4" s="5" t="s">
        <v>36</v>
      </c>
      <c r="J4" s="6" t="s">
        <v>34</v>
      </c>
      <c r="K4" s="6">
        <v>1500.0</v>
      </c>
      <c r="L4" s="6">
        <v>375.0</v>
      </c>
      <c r="M4" s="5" t="s">
        <v>54</v>
      </c>
      <c r="N4" s="5" t="s">
        <v>58</v>
      </c>
      <c r="O4" s="6" t="s">
        <v>40</v>
      </c>
      <c r="P4" s="5" t="s">
        <v>59</v>
      </c>
      <c r="Q4" s="5" t="s">
        <v>60</v>
      </c>
      <c r="R4" s="6" t="s">
        <v>42</v>
      </c>
      <c r="S4" s="5" t="s">
        <v>61</v>
      </c>
      <c r="T4" s="5" t="s">
        <v>62</v>
      </c>
      <c r="U4" s="5" t="s">
        <v>44</v>
      </c>
      <c r="V4" s="5" t="s">
        <v>44</v>
      </c>
      <c r="W4" s="5" t="s">
        <v>36</v>
      </c>
      <c r="X4" s="5" t="s">
        <v>63</v>
      </c>
      <c r="Y4" s="5" t="s">
        <v>46</v>
      </c>
      <c r="Z4" s="5" t="s">
        <v>47</v>
      </c>
      <c r="AA4" s="5" t="s">
        <v>64</v>
      </c>
      <c r="AB4" s="5" t="s">
        <v>76</v>
      </c>
      <c r="AC4" s="6" t="s">
        <v>67</v>
      </c>
      <c r="AD4" s="6">
        <v>3948.0</v>
      </c>
    </row>
    <row r="5" ht="56.25" customHeight="1">
      <c r="A5" s="5" t="s">
        <v>53</v>
      </c>
      <c r="B5" s="6" t="str">
        <f>IMAGE("https://storage.googleapis.com/acdb/miscellaneous/FtrJewelrystand_Remake_3_0.png")</f>
        <v/>
      </c>
      <c r="C5" s="5" t="s">
        <v>39</v>
      </c>
      <c r="D5" s="5" t="s">
        <v>34</v>
      </c>
      <c r="E5" s="5" t="s">
        <v>34</v>
      </c>
      <c r="F5" s="5" t="s">
        <v>34</v>
      </c>
      <c r="G5" s="5" t="s">
        <v>36</v>
      </c>
      <c r="H5" s="5" t="s">
        <v>36</v>
      </c>
      <c r="I5" s="5" t="s">
        <v>36</v>
      </c>
      <c r="J5" s="6" t="s">
        <v>34</v>
      </c>
      <c r="K5" s="6">
        <v>1500.0</v>
      </c>
      <c r="L5" s="6">
        <v>375.0</v>
      </c>
      <c r="M5" s="5" t="s">
        <v>39</v>
      </c>
      <c r="N5" s="5" t="s">
        <v>58</v>
      </c>
      <c r="O5" s="6" t="s">
        <v>40</v>
      </c>
      <c r="P5" s="5" t="s">
        <v>59</v>
      </c>
      <c r="Q5" s="5" t="s">
        <v>60</v>
      </c>
      <c r="R5" s="6" t="s">
        <v>42</v>
      </c>
      <c r="S5" s="5" t="s">
        <v>61</v>
      </c>
      <c r="T5" s="5" t="s">
        <v>62</v>
      </c>
      <c r="U5" s="5" t="s">
        <v>44</v>
      </c>
      <c r="V5" s="5" t="s">
        <v>44</v>
      </c>
      <c r="W5" s="5" t="s">
        <v>36</v>
      </c>
      <c r="X5" s="5" t="s">
        <v>63</v>
      </c>
      <c r="Y5" s="5" t="s">
        <v>46</v>
      </c>
      <c r="Z5" s="5" t="s">
        <v>47</v>
      </c>
      <c r="AA5" s="5" t="s">
        <v>64</v>
      </c>
      <c r="AB5" s="5" t="s">
        <v>81</v>
      </c>
      <c r="AC5" s="6" t="s">
        <v>71</v>
      </c>
      <c r="AD5" s="6">
        <v>3948.0</v>
      </c>
    </row>
    <row r="6" ht="56.25" customHeight="1">
      <c r="A6" s="5" t="s">
        <v>53</v>
      </c>
      <c r="B6" s="6" t="str">
        <f>IMAGE("https://storage.googleapis.com/acdb/miscellaneous/FtrJewelrystand_Remake_4_0.png")</f>
        <v/>
      </c>
      <c r="C6" s="5" t="s">
        <v>83</v>
      </c>
      <c r="D6" s="5" t="s">
        <v>34</v>
      </c>
      <c r="E6" s="5" t="s">
        <v>34</v>
      </c>
      <c r="F6" s="5" t="s">
        <v>34</v>
      </c>
      <c r="G6" s="5" t="s">
        <v>36</v>
      </c>
      <c r="H6" s="5" t="s">
        <v>36</v>
      </c>
      <c r="I6" s="5" t="s">
        <v>36</v>
      </c>
      <c r="J6" s="6" t="s">
        <v>34</v>
      </c>
      <c r="K6" s="6">
        <v>1500.0</v>
      </c>
      <c r="L6" s="6">
        <v>375.0</v>
      </c>
      <c r="M6" s="5" t="s">
        <v>83</v>
      </c>
      <c r="N6" s="5" t="s">
        <v>58</v>
      </c>
      <c r="O6" s="6" t="s">
        <v>40</v>
      </c>
      <c r="P6" s="5" t="s">
        <v>59</v>
      </c>
      <c r="Q6" s="5" t="s">
        <v>60</v>
      </c>
      <c r="R6" s="6" t="s">
        <v>42</v>
      </c>
      <c r="S6" s="5" t="s">
        <v>61</v>
      </c>
      <c r="T6" s="5" t="s">
        <v>62</v>
      </c>
      <c r="U6" s="5" t="s">
        <v>44</v>
      </c>
      <c r="V6" s="5" t="s">
        <v>44</v>
      </c>
      <c r="W6" s="5" t="s">
        <v>36</v>
      </c>
      <c r="X6" s="5" t="s">
        <v>63</v>
      </c>
      <c r="Y6" s="5" t="s">
        <v>46</v>
      </c>
      <c r="Z6" s="5" t="s">
        <v>47</v>
      </c>
      <c r="AA6" s="5" t="s">
        <v>64</v>
      </c>
      <c r="AB6" s="5" t="s">
        <v>88</v>
      </c>
      <c r="AC6" s="6" t="s">
        <v>75</v>
      </c>
      <c r="AD6" s="6">
        <v>3948.0</v>
      </c>
    </row>
    <row r="7" ht="56.25" customHeight="1">
      <c r="A7" s="5" t="s">
        <v>93</v>
      </c>
      <c r="B7" s="6" t="str">
        <f>image("https://storage.googleapis.com/acdb/miscellaneous/FtrSwitchAC.png")</f>
        <v/>
      </c>
      <c r="C7" s="5" t="s">
        <v>34</v>
      </c>
      <c r="D7" s="5" t="s">
        <v>34</v>
      </c>
      <c r="E7" s="5" t="s">
        <v>34</v>
      </c>
      <c r="F7" s="5" t="s">
        <v>34</v>
      </c>
      <c r="G7" s="5" t="s">
        <v>36</v>
      </c>
      <c r="H7" s="5" t="s">
        <v>36</v>
      </c>
      <c r="I7" s="5" t="s">
        <v>36</v>
      </c>
      <c r="J7" s="6" t="s">
        <v>34</v>
      </c>
      <c r="K7" s="6">
        <v>35960.0</v>
      </c>
      <c r="L7" s="6">
        <v>8990.0</v>
      </c>
      <c r="M7" s="5" t="s">
        <v>96</v>
      </c>
      <c r="N7" s="5" t="s">
        <v>83</v>
      </c>
      <c r="O7" s="6" t="s">
        <v>40</v>
      </c>
      <c r="P7" s="5" t="s">
        <v>97</v>
      </c>
      <c r="Q7" s="5"/>
      <c r="R7" s="6" t="s">
        <v>98</v>
      </c>
      <c r="S7" s="5" t="s">
        <v>99</v>
      </c>
      <c r="T7" s="5" t="s">
        <v>90</v>
      </c>
      <c r="U7" s="5" t="s">
        <v>44</v>
      </c>
      <c r="V7" s="5" t="s">
        <v>44</v>
      </c>
      <c r="W7" s="5" t="s">
        <v>36</v>
      </c>
      <c r="X7" s="5" t="s">
        <v>101</v>
      </c>
      <c r="Y7" s="5" t="s">
        <v>46</v>
      </c>
      <c r="Z7" s="5" t="s">
        <v>102</v>
      </c>
      <c r="AA7" s="5" t="s">
        <v>64</v>
      </c>
      <c r="AB7" s="5" t="s">
        <v>103</v>
      </c>
      <c r="AC7" s="6" t="s">
        <v>34</v>
      </c>
      <c r="AD7" s="6">
        <v>12579.0</v>
      </c>
    </row>
    <row r="8" ht="56.25" customHeight="1">
      <c r="A8" s="5" t="s">
        <v>104</v>
      </c>
      <c r="B8" s="16" t="str">
        <f>IMAGE("https://storage.googleapis.com/acdb/miscellaneous/FtrInsectMiirotatehaToy.png")</f>
        <v/>
      </c>
      <c r="C8" s="5" t="s">
        <v>34</v>
      </c>
      <c r="D8" s="5" t="s">
        <v>34</v>
      </c>
      <c r="E8" s="5" t="s">
        <v>34</v>
      </c>
      <c r="F8" s="5" t="s">
        <v>34</v>
      </c>
      <c r="G8" s="5" t="s">
        <v>36</v>
      </c>
      <c r="H8" s="5" t="s">
        <v>36</v>
      </c>
      <c r="I8" s="5" t="s">
        <v>36</v>
      </c>
      <c r="J8" s="6" t="s">
        <v>34</v>
      </c>
      <c r="K8" s="6" t="s">
        <v>37</v>
      </c>
      <c r="L8" s="6">
        <v>9000.0</v>
      </c>
      <c r="M8" s="5" t="s">
        <v>69</v>
      </c>
      <c r="N8" s="5" t="s">
        <v>106</v>
      </c>
      <c r="O8" s="6" t="s">
        <v>40</v>
      </c>
      <c r="P8" s="5" t="s">
        <v>107</v>
      </c>
      <c r="Q8" s="5" t="s">
        <v>108</v>
      </c>
      <c r="R8" s="6" t="s">
        <v>42</v>
      </c>
      <c r="S8" s="5" t="s">
        <v>44</v>
      </c>
      <c r="T8" s="5" t="s">
        <v>44</v>
      </c>
      <c r="U8" s="5" t="s">
        <v>44</v>
      </c>
      <c r="V8" s="5" t="s">
        <v>44</v>
      </c>
      <c r="W8" s="5" t="s">
        <v>36</v>
      </c>
      <c r="X8" s="5" t="s">
        <v>109</v>
      </c>
      <c r="Y8" s="5" t="s">
        <v>46</v>
      </c>
      <c r="Z8" s="5" t="s">
        <v>47</v>
      </c>
      <c r="AA8" s="5" t="s">
        <v>48</v>
      </c>
      <c r="AB8" s="5" t="s">
        <v>110</v>
      </c>
      <c r="AC8" s="6" t="s">
        <v>34</v>
      </c>
      <c r="AD8" s="6">
        <v>7080.0</v>
      </c>
    </row>
    <row r="9" ht="56.25" customHeight="1">
      <c r="A9" s="5" t="s">
        <v>111</v>
      </c>
      <c r="B9" s="6" t="str">
        <f>IMAGE("https://storage.googleapis.com/acdb/miscellaneous/FtrDuralumincase_Remake_0_0.png")</f>
        <v/>
      </c>
      <c r="C9" s="5" t="s">
        <v>113</v>
      </c>
      <c r="D9" s="5" t="s">
        <v>34</v>
      </c>
      <c r="E9" s="5" t="s">
        <v>34</v>
      </c>
      <c r="F9" s="5" t="s">
        <v>34</v>
      </c>
      <c r="G9" s="5" t="s">
        <v>36</v>
      </c>
      <c r="H9" s="5" t="s">
        <v>36</v>
      </c>
      <c r="I9" s="5" t="s">
        <v>36</v>
      </c>
      <c r="J9" s="6" t="s">
        <v>34</v>
      </c>
      <c r="K9" s="6">
        <v>100000.0</v>
      </c>
      <c r="L9" s="6">
        <v>25000.0</v>
      </c>
      <c r="M9" s="5" t="s">
        <v>95</v>
      </c>
      <c r="N9" s="5" t="s">
        <v>114</v>
      </c>
      <c r="O9" s="6" t="s">
        <v>40</v>
      </c>
      <c r="P9" s="5" t="s">
        <v>59</v>
      </c>
      <c r="Q9" s="5" t="s">
        <v>115</v>
      </c>
      <c r="R9" s="6" t="s">
        <v>42</v>
      </c>
      <c r="S9" s="5" t="s">
        <v>91</v>
      </c>
      <c r="T9" s="5" t="s">
        <v>116</v>
      </c>
      <c r="U9" s="5" t="s">
        <v>44</v>
      </c>
      <c r="V9" s="5" t="s">
        <v>44</v>
      </c>
      <c r="W9" s="5" t="s">
        <v>35</v>
      </c>
      <c r="X9" s="5" t="s">
        <v>117</v>
      </c>
      <c r="Y9" s="5" t="s">
        <v>46</v>
      </c>
      <c r="Z9" s="5" t="s">
        <v>47</v>
      </c>
      <c r="AA9" s="5" t="s">
        <v>64</v>
      </c>
      <c r="AB9" s="5" t="s">
        <v>118</v>
      </c>
      <c r="AC9" s="6" t="s">
        <v>50</v>
      </c>
      <c r="AD9" s="6">
        <v>7453.0</v>
      </c>
    </row>
    <row r="10" ht="56.25" customHeight="1">
      <c r="A10" s="5" t="s">
        <v>111</v>
      </c>
      <c r="B10" s="6" t="str">
        <f>IMAGE("https://storage.googleapis.com/acdb/miscellaneous/FtrDuralumincase_Remake_1_0.png")</f>
        <v/>
      </c>
      <c r="C10" s="5" t="s">
        <v>120</v>
      </c>
      <c r="D10" s="5" t="s">
        <v>34</v>
      </c>
      <c r="E10" s="5" t="s">
        <v>34</v>
      </c>
      <c r="F10" s="5" t="s">
        <v>34</v>
      </c>
      <c r="G10" s="5" t="s">
        <v>36</v>
      </c>
      <c r="H10" s="5" t="s">
        <v>36</v>
      </c>
      <c r="I10" s="5" t="s">
        <v>36</v>
      </c>
      <c r="J10" s="6" t="s">
        <v>34</v>
      </c>
      <c r="K10" s="6">
        <v>100000.0</v>
      </c>
      <c r="L10" s="6">
        <v>25000.0</v>
      </c>
      <c r="M10" s="5" t="s">
        <v>95</v>
      </c>
      <c r="N10" s="5" t="s">
        <v>114</v>
      </c>
      <c r="O10" s="6" t="s">
        <v>40</v>
      </c>
      <c r="P10" s="5" t="s">
        <v>59</v>
      </c>
      <c r="Q10" s="5" t="s">
        <v>115</v>
      </c>
      <c r="R10" s="6" t="s">
        <v>42</v>
      </c>
      <c r="S10" s="5" t="s">
        <v>91</v>
      </c>
      <c r="T10" s="5" t="s">
        <v>116</v>
      </c>
      <c r="U10" s="5" t="s">
        <v>44</v>
      </c>
      <c r="V10" s="5" t="s">
        <v>44</v>
      </c>
      <c r="W10" s="5" t="s">
        <v>35</v>
      </c>
      <c r="X10" s="5" t="s">
        <v>117</v>
      </c>
      <c r="Y10" s="5" t="s">
        <v>46</v>
      </c>
      <c r="Z10" s="5" t="s">
        <v>47</v>
      </c>
      <c r="AA10" s="5" t="s">
        <v>64</v>
      </c>
      <c r="AB10" s="5" t="s">
        <v>123</v>
      </c>
      <c r="AC10" s="6" t="s">
        <v>56</v>
      </c>
      <c r="AD10" s="6">
        <v>7453.0</v>
      </c>
    </row>
    <row r="11" ht="56.25" customHeight="1">
      <c r="A11" s="5" t="s">
        <v>124</v>
      </c>
      <c r="B11" s="6" t="str">
        <f>IMAGE("https://storage.googleapis.com/acdb/miscellaneous/FtrAmp_Remake_0_0.png")</f>
        <v/>
      </c>
      <c r="C11" s="5" t="s">
        <v>54</v>
      </c>
      <c r="D11" s="5" t="s">
        <v>34</v>
      </c>
      <c r="E11" s="5" t="s">
        <v>34</v>
      </c>
      <c r="F11" s="5" t="s">
        <v>34</v>
      </c>
      <c r="G11" s="5" t="s">
        <v>36</v>
      </c>
      <c r="H11" s="5" t="s">
        <v>36</v>
      </c>
      <c r="I11" s="5" t="s">
        <v>36</v>
      </c>
      <c r="J11" s="6" t="s">
        <v>34</v>
      </c>
      <c r="K11" s="6">
        <v>5100.0</v>
      </c>
      <c r="L11" s="6">
        <v>1275.0</v>
      </c>
      <c r="M11" s="5" t="s">
        <v>54</v>
      </c>
      <c r="N11" s="5" t="s">
        <v>39</v>
      </c>
      <c r="O11" s="6" t="s">
        <v>40</v>
      </c>
      <c r="P11" s="5" t="s">
        <v>59</v>
      </c>
      <c r="Q11" s="5" t="s">
        <v>60</v>
      </c>
      <c r="R11" s="6" t="s">
        <v>42</v>
      </c>
      <c r="S11" s="5" t="s">
        <v>129</v>
      </c>
      <c r="T11" s="5" t="s">
        <v>44</v>
      </c>
      <c r="U11" s="5" t="s">
        <v>44</v>
      </c>
      <c r="V11" s="5" t="s">
        <v>44</v>
      </c>
      <c r="W11" s="5" t="s">
        <v>36</v>
      </c>
      <c r="X11" s="5" t="s">
        <v>45</v>
      </c>
      <c r="Y11" s="5" t="s">
        <v>46</v>
      </c>
      <c r="Z11" s="5" t="s">
        <v>47</v>
      </c>
      <c r="AA11" s="5" t="s">
        <v>64</v>
      </c>
      <c r="AB11" s="5" t="s">
        <v>132</v>
      </c>
      <c r="AC11" s="6" t="s">
        <v>50</v>
      </c>
      <c r="AD11" s="6">
        <v>849.0</v>
      </c>
    </row>
    <row r="12" ht="56.25" customHeight="1">
      <c r="A12" s="5" t="s">
        <v>124</v>
      </c>
      <c r="B12" s="6" t="str">
        <f>IMAGE("https://storage.googleapis.com/acdb/miscellaneous/FtrAmp_Remake_1_0.png")</f>
        <v/>
      </c>
      <c r="C12" s="5" t="s">
        <v>57</v>
      </c>
      <c r="D12" s="5" t="s">
        <v>34</v>
      </c>
      <c r="E12" s="5" t="s">
        <v>34</v>
      </c>
      <c r="F12" s="5" t="s">
        <v>34</v>
      </c>
      <c r="G12" s="5" t="s">
        <v>36</v>
      </c>
      <c r="H12" s="5" t="s">
        <v>36</v>
      </c>
      <c r="I12" s="5" t="s">
        <v>36</v>
      </c>
      <c r="J12" s="6" t="s">
        <v>34</v>
      </c>
      <c r="K12" s="6">
        <v>5100.0</v>
      </c>
      <c r="L12" s="6">
        <v>1275.0</v>
      </c>
      <c r="M12" s="5" t="s">
        <v>57</v>
      </c>
      <c r="N12" s="5" t="s">
        <v>95</v>
      </c>
      <c r="O12" s="6" t="s">
        <v>40</v>
      </c>
      <c r="P12" s="5" t="s">
        <v>59</v>
      </c>
      <c r="Q12" s="5" t="s">
        <v>60</v>
      </c>
      <c r="R12" s="6" t="s">
        <v>42</v>
      </c>
      <c r="S12" s="5" t="s">
        <v>129</v>
      </c>
      <c r="T12" s="5" t="s">
        <v>44</v>
      </c>
      <c r="U12" s="5" t="s">
        <v>44</v>
      </c>
      <c r="V12" s="5" t="s">
        <v>44</v>
      </c>
      <c r="W12" s="5" t="s">
        <v>36</v>
      </c>
      <c r="X12" s="5" t="s">
        <v>45</v>
      </c>
      <c r="Y12" s="5" t="s">
        <v>46</v>
      </c>
      <c r="Z12" s="5" t="s">
        <v>47</v>
      </c>
      <c r="AA12" s="5" t="s">
        <v>64</v>
      </c>
      <c r="AB12" s="5" t="s">
        <v>139</v>
      </c>
      <c r="AC12" s="6" t="s">
        <v>56</v>
      </c>
      <c r="AD12" s="6">
        <v>849.0</v>
      </c>
    </row>
    <row r="13" ht="56.25" customHeight="1">
      <c r="A13" s="5" t="s">
        <v>124</v>
      </c>
      <c r="B13" s="6" t="str">
        <f>IMAGE("https://storage.googleapis.com/acdb/miscellaneous/FtrAmp_Remake_2_0.png")</f>
        <v/>
      </c>
      <c r="C13" s="5" t="s">
        <v>142</v>
      </c>
      <c r="D13" s="5" t="s">
        <v>34</v>
      </c>
      <c r="E13" s="5" t="s">
        <v>34</v>
      </c>
      <c r="F13" s="5" t="s">
        <v>34</v>
      </c>
      <c r="G13" s="5" t="s">
        <v>36</v>
      </c>
      <c r="H13" s="5" t="s">
        <v>36</v>
      </c>
      <c r="I13" s="5" t="s">
        <v>36</v>
      </c>
      <c r="J13" s="6" t="s">
        <v>34</v>
      </c>
      <c r="K13" s="6">
        <v>5100.0</v>
      </c>
      <c r="L13" s="6">
        <v>1275.0</v>
      </c>
      <c r="M13" s="5" t="s">
        <v>142</v>
      </c>
      <c r="N13" s="5" t="s">
        <v>54</v>
      </c>
      <c r="O13" s="6" t="s">
        <v>40</v>
      </c>
      <c r="P13" s="5" t="s">
        <v>59</v>
      </c>
      <c r="Q13" s="5" t="s">
        <v>60</v>
      </c>
      <c r="R13" s="6" t="s">
        <v>42</v>
      </c>
      <c r="S13" s="5" t="s">
        <v>129</v>
      </c>
      <c r="T13" s="5" t="s">
        <v>44</v>
      </c>
      <c r="U13" s="5" t="s">
        <v>44</v>
      </c>
      <c r="V13" s="5" t="s">
        <v>44</v>
      </c>
      <c r="W13" s="5" t="s">
        <v>36</v>
      </c>
      <c r="X13" s="5" t="s">
        <v>45</v>
      </c>
      <c r="Y13" s="5" t="s">
        <v>46</v>
      </c>
      <c r="Z13" s="5" t="s">
        <v>47</v>
      </c>
      <c r="AA13" s="5" t="s">
        <v>64</v>
      </c>
      <c r="AB13" s="5" t="s">
        <v>147</v>
      </c>
      <c r="AC13" s="6" t="s">
        <v>67</v>
      </c>
      <c r="AD13" s="6">
        <v>849.0</v>
      </c>
    </row>
    <row r="14" ht="56.25" customHeight="1">
      <c r="A14" s="5" t="s">
        <v>124</v>
      </c>
      <c r="B14" s="6" t="str">
        <f>IMAGE("https://storage.googleapis.com/acdb/miscellaneous/FtrAmp_Remake_3_0.png")</f>
        <v/>
      </c>
      <c r="C14" s="5" t="s">
        <v>39</v>
      </c>
      <c r="D14" s="5" t="s">
        <v>34</v>
      </c>
      <c r="E14" s="5" t="s">
        <v>34</v>
      </c>
      <c r="F14" s="5" t="s">
        <v>34</v>
      </c>
      <c r="G14" s="5" t="s">
        <v>36</v>
      </c>
      <c r="H14" s="5" t="s">
        <v>36</v>
      </c>
      <c r="I14" s="5" t="s">
        <v>36</v>
      </c>
      <c r="J14" s="6" t="s">
        <v>34</v>
      </c>
      <c r="K14" s="6">
        <v>5100.0</v>
      </c>
      <c r="L14" s="6">
        <v>1275.0</v>
      </c>
      <c r="M14" s="5" t="s">
        <v>39</v>
      </c>
      <c r="N14" s="5" t="s">
        <v>38</v>
      </c>
      <c r="O14" s="6" t="s">
        <v>40</v>
      </c>
      <c r="P14" s="5" t="s">
        <v>59</v>
      </c>
      <c r="Q14" s="5" t="s">
        <v>60</v>
      </c>
      <c r="R14" s="6" t="s">
        <v>42</v>
      </c>
      <c r="S14" s="5" t="s">
        <v>129</v>
      </c>
      <c r="T14" s="5" t="s">
        <v>44</v>
      </c>
      <c r="U14" s="5" t="s">
        <v>44</v>
      </c>
      <c r="V14" s="5" t="s">
        <v>44</v>
      </c>
      <c r="W14" s="5" t="s">
        <v>36</v>
      </c>
      <c r="X14" s="5" t="s">
        <v>45</v>
      </c>
      <c r="Y14" s="5" t="s">
        <v>46</v>
      </c>
      <c r="Z14" s="5" t="s">
        <v>47</v>
      </c>
      <c r="AA14" s="5" t="s">
        <v>64</v>
      </c>
      <c r="AB14" s="5" t="s">
        <v>148</v>
      </c>
      <c r="AC14" s="6" t="s">
        <v>71</v>
      </c>
      <c r="AD14" s="6">
        <v>849.0</v>
      </c>
    </row>
    <row r="15" ht="56.25" customHeight="1">
      <c r="A15" s="5" t="s">
        <v>124</v>
      </c>
      <c r="B15" s="6" t="str">
        <f>IMAGE("https://storage.googleapis.com/acdb/miscellaneous/FtrAmp_Remake_4_0.png")</f>
        <v/>
      </c>
      <c r="C15" s="5" t="s">
        <v>68</v>
      </c>
      <c r="D15" s="5" t="s">
        <v>34</v>
      </c>
      <c r="E15" s="5" t="s">
        <v>34</v>
      </c>
      <c r="F15" s="5" t="s">
        <v>34</v>
      </c>
      <c r="G15" s="5" t="s">
        <v>36</v>
      </c>
      <c r="H15" s="5" t="s">
        <v>36</v>
      </c>
      <c r="I15" s="5" t="s">
        <v>36</v>
      </c>
      <c r="J15" s="6" t="s">
        <v>34</v>
      </c>
      <c r="K15" s="6">
        <v>5100.0</v>
      </c>
      <c r="L15" s="6">
        <v>1275.0</v>
      </c>
      <c r="M15" s="5" t="s">
        <v>68</v>
      </c>
      <c r="N15" s="5" t="s">
        <v>54</v>
      </c>
      <c r="O15" s="6" t="s">
        <v>40</v>
      </c>
      <c r="P15" s="5" t="s">
        <v>59</v>
      </c>
      <c r="Q15" s="5" t="s">
        <v>60</v>
      </c>
      <c r="R15" s="6" t="s">
        <v>42</v>
      </c>
      <c r="S15" s="5" t="s">
        <v>129</v>
      </c>
      <c r="T15" s="5" t="s">
        <v>44</v>
      </c>
      <c r="U15" s="5" t="s">
        <v>44</v>
      </c>
      <c r="V15" s="5" t="s">
        <v>44</v>
      </c>
      <c r="W15" s="5" t="s">
        <v>36</v>
      </c>
      <c r="X15" s="5" t="s">
        <v>45</v>
      </c>
      <c r="Y15" s="5" t="s">
        <v>46</v>
      </c>
      <c r="Z15" s="5" t="s">
        <v>47</v>
      </c>
      <c r="AA15" s="5" t="s">
        <v>64</v>
      </c>
      <c r="AB15" s="5" t="s">
        <v>152</v>
      </c>
      <c r="AC15" s="6" t="s">
        <v>75</v>
      </c>
      <c r="AD15" s="6">
        <v>849.0</v>
      </c>
    </row>
    <row r="16" ht="56.25" customHeight="1">
      <c r="A16" s="5" t="s">
        <v>124</v>
      </c>
      <c r="B16" s="6" t="str">
        <f>IMAGE("https://storage.googleapis.com/acdb/miscellaneous/FtrAmp_Remake_5_0.png")</f>
        <v/>
      </c>
      <c r="C16" s="5" t="s">
        <v>52</v>
      </c>
      <c r="D16" s="5" t="s">
        <v>34</v>
      </c>
      <c r="E16" s="5" t="s">
        <v>34</v>
      </c>
      <c r="F16" s="5" t="s">
        <v>34</v>
      </c>
      <c r="G16" s="5" t="s">
        <v>36</v>
      </c>
      <c r="H16" s="5" t="s">
        <v>36</v>
      </c>
      <c r="I16" s="5" t="s">
        <v>36</v>
      </c>
      <c r="J16" s="6" t="s">
        <v>34</v>
      </c>
      <c r="K16" s="6">
        <v>5100.0</v>
      </c>
      <c r="L16" s="6">
        <v>1275.0</v>
      </c>
      <c r="M16" s="5" t="s">
        <v>52</v>
      </c>
      <c r="N16" s="5" t="s">
        <v>54</v>
      </c>
      <c r="O16" s="6" t="s">
        <v>40</v>
      </c>
      <c r="P16" s="5" t="s">
        <v>59</v>
      </c>
      <c r="Q16" s="5" t="s">
        <v>60</v>
      </c>
      <c r="R16" s="6" t="s">
        <v>42</v>
      </c>
      <c r="S16" s="5" t="s">
        <v>129</v>
      </c>
      <c r="T16" s="5" t="s">
        <v>44</v>
      </c>
      <c r="U16" s="5" t="s">
        <v>44</v>
      </c>
      <c r="V16" s="5" t="s">
        <v>44</v>
      </c>
      <c r="W16" s="5" t="s">
        <v>36</v>
      </c>
      <c r="X16" s="5" t="s">
        <v>45</v>
      </c>
      <c r="Y16" s="5" t="s">
        <v>46</v>
      </c>
      <c r="Z16" s="5" t="s">
        <v>47</v>
      </c>
      <c r="AA16" s="5" t="s">
        <v>64</v>
      </c>
      <c r="AB16" s="5" t="s">
        <v>154</v>
      </c>
      <c r="AC16" s="6" t="s">
        <v>79</v>
      </c>
      <c r="AD16" s="6">
        <v>849.0</v>
      </c>
    </row>
    <row r="17" ht="56.25" customHeight="1">
      <c r="A17" s="5" t="s">
        <v>124</v>
      </c>
      <c r="B17" s="6" t="str">
        <f>IMAGE("https://storage.googleapis.com/acdb/miscellaneous/FtrAmp_Remake_6_0.png")</f>
        <v/>
      </c>
      <c r="C17" s="5" t="s">
        <v>69</v>
      </c>
      <c r="D17" s="5" t="s">
        <v>34</v>
      </c>
      <c r="E17" s="5" t="s">
        <v>34</v>
      </c>
      <c r="F17" s="5" t="s">
        <v>34</v>
      </c>
      <c r="G17" s="5" t="s">
        <v>36</v>
      </c>
      <c r="H17" s="5" t="s">
        <v>36</v>
      </c>
      <c r="I17" s="5" t="s">
        <v>36</v>
      </c>
      <c r="J17" s="6" t="s">
        <v>34</v>
      </c>
      <c r="K17" s="6">
        <v>5100.0</v>
      </c>
      <c r="L17" s="6">
        <v>1275.0</v>
      </c>
      <c r="M17" s="5" t="s">
        <v>69</v>
      </c>
      <c r="N17" s="5" t="s">
        <v>95</v>
      </c>
      <c r="O17" s="6" t="s">
        <v>40</v>
      </c>
      <c r="P17" s="5" t="s">
        <v>59</v>
      </c>
      <c r="Q17" s="5" t="s">
        <v>60</v>
      </c>
      <c r="R17" s="6" t="s">
        <v>42</v>
      </c>
      <c r="S17" s="5" t="s">
        <v>129</v>
      </c>
      <c r="T17" s="5" t="s">
        <v>44</v>
      </c>
      <c r="U17" s="5" t="s">
        <v>44</v>
      </c>
      <c r="V17" s="5" t="s">
        <v>44</v>
      </c>
      <c r="W17" s="5" t="s">
        <v>36</v>
      </c>
      <c r="X17" s="5" t="s">
        <v>45</v>
      </c>
      <c r="Y17" s="5" t="s">
        <v>46</v>
      </c>
      <c r="Z17" s="5" t="s">
        <v>47</v>
      </c>
      <c r="AA17" s="5" t="s">
        <v>64</v>
      </c>
      <c r="AB17" s="5" t="s">
        <v>157</v>
      </c>
      <c r="AC17" s="6" t="s">
        <v>86</v>
      </c>
      <c r="AD17" s="6">
        <v>849.0</v>
      </c>
    </row>
    <row r="18" ht="56.25" customHeight="1">
      <c r="A18" s="5" t="s">
        <v>158</v>
      </c>
      <c r="B18" s="6" t="str">
        <f>IMAGE("https://storage.googleapis.com/acdb/miscellaneous/FtrWeighing_Remake_0_0.png")</f>
        <v/>
      </c>
      <c r="C18" s="5" t="s">
        <v>52</v>
      </c>
      <c r="D18" s="5" t="s">
        <v>34</v>
      </c>
      <c r="E18" s="5" t="s">
        <v>34</v>
      </c>
      <c r="F18" s="5" t="s">
        <v>34</v>
      </c>
      <c r="G18" s="5" t="s">
        <v>36</v>
      </c>
      <c r="H18" s="5" t="s">
        <v>36</v>
      </c>
      <c r="I18" s="5" t="s">
        <v>36</v>
      </c>
      <c r="J18" s="6" t="s">
        <v>34</v>
      </c>
      <c r="K18" s="6">
        <v>1100.0</v>
      </c>
      <c r="L18" s="6">
        <v>275.0</v>
      </c>
      <c r="M18" s="5" t="s">
        <v>52</v>
      </c>
      <c r="N18" s="5" t="s">
        <v>57</v>
      </c>
      <c r="O18" s="6" t="s">
        <v>40</v>
      </c>
      <c r="P18" s="5" t="s">
        <v>59</v>
      </c>
      <c r="Q18" s="5" t="s">
        <v>60</v>
      </c>
      <c r="R18" s="6" t="s">
        <v>42</v>
      </c>
      <c r="S18" s="5" t="s">
        <v>159</v>
      </c>
      <c r="T18" s="5" t="s">
        <v>62</v>
      </c>
      <c r="U18" s="5" t="s">
        <v>44</v>
      </c>
      <c r="V18" s="5" t="s">
        <v>44</v>
      </c>
      <c r="W18" s="5" t="s">
        <v>35</v>
      </c>
      <c r="X18" s="5" t="s">
        <v>160</v>
      </c>
      <c r="Y18" s="5" t="s">
        <v>46</v>
      </c>
      <c r="Z18" s="5" t="s">
        <v>47</v>
      </c>
      <c r="AA18" s="5" t="s">
        <v>64</v>
      </c>
      <c r="AB18" s="5" t="s">
        <v>161</v>
      </c>
      <c r="AC18" s="6" t="s">
        <v>50</v>
      </c>
      <c r="AD18" s="6">
        <v>3993.0</v>
      </c>
    </row>
    <row r="19" ht="56.25" customHeight="1">
      <c r="A19" s="5" t="s">
        <v>158</v>
      </c>
      <c r="B19" s="6" t="str">
        <f>IMAGE("https://storage.googleapis.com/acdb/miscellaneous/FtrWeighing_Remake_1_0.png")</f>
        <v/>
      </c>
      <c r="C19" s="5" t="s">
        <v>114</v>
      </c>
      <c r="D19" s="5" t="s">
        <v>34</v>
      </c>
      <c r="E19" s="5" t="s">
        <v>34</v>
      </c>
      <c r="F19" s="5" t="s">
        <v>34</v>
      </c>
      <c r="G19" s="5" t="s">
        <v>36</v>
      </c>
      <c r="H19" s="5" t="s">
        <v>36</v>
      </c>
      <c r="I19" s="5" t="s">
        <v>36</v>
      </c>
      <c r="J19" s="6" t="s">
        <v>34</v>
      </c>
      <c r="K19" s="6">
        <v>1100.0</v>
      </c>
      <c r="L19" s="6">
        <v>275.0</v>
      </c>
      <c r="M19" s="5" t="s">
        <v>114</v>
      </c>
      <c r="N19" s="5" t="s">
        <v>57</v>
      </c>
      <c r="O19" s="6" t="s">
        <v>40</v>
      </c>
      <c r="P19" s="5" t="s">
        <v>59</v>
      </c>
      <c r="Q19" s="5" t="s">
        <v>60</v>
      </c>
      <c r="R19" s="6" t="s">
        <v>42</v>
      </c>
      <c r="S19" s="5" t="s">
        <v>159</v>
      </c>
      <c r="T19" s="5" t="s">
        <v>62</v>
      </c>
      <c r="U19" s="5" t="s">
        <v>44</v>
      </c>
      <c r="V19" s="5" t="s">
        <v>44</v>
      </c>
      <c r="W19" s="5" t="s">
        <v>35</v>
      </c>
      <c r="X19" s="5" t="s">
        <v>160</v>
      </c>
      <c r="Y19" s="5" t="s">
        <v>46</v>
      </c>
      <c r="Z19" s="5" t="s">
        <v>47</v>
      </c>
      <c r="AA19" s="5" t="s">
        <v>64</v>
      </c>
      <c r="AB19" s="5" t="s">
        <v>165</v>
      </c>
      <c r="AC19" s="6" t="s">
        <v>56</v>
      </c>
      <c r="AD19" s="6">
        <v>3993.0</v>
      </c>
    </row>
    <row r="20" ht="56.25" customHeight="1">
      <c r="A20" s="5" t="s">
        <v>158</v>
      </c>
      <c r="B20" s="6" t="str">
        <f>IMAGE("https://storage.googleapis.com/acdb/miscellaneous/FtrWeighing_Remake_2_0.png")</f>
        <v/>
      </c>
      <c r="C20" s="5" t="s">
        <v>96</v>
      </c>
      <c r="D20" s="5" t="s">
        <v>34</v>
      </c>
      <c r="E20" s="5" t="s">
        <v>34</v>
      </c>
      <c r="F20" s="5" t="s">
        <v>34</v>
      </c>
      <c r="G20" s="5" t="s">
        <v>36</v>
      </c>
      <c r="H20" s="5" t="s">
        <v>36</v>
      </c>
      <c r="I20" s="5" t="s">
        <v>36</v>
      </c>
      <c r="J20" s="6" t="s">
        <v>34</v>
      </c>
      <c r="K20" s="6">
        <v>1100.0</v>
      </c>
      <c r="L20" s="6">
        <v>275.0</v>
      </c>
      <c r="M20" s="5" t="s">
        <v>96</v>
      </c>
      <c r="N20" s="5" t="s">
        <v>57</v>
      </c>
      <c r="O20" s="6" t="s">
        <v>40</v>
      </c>
      <c r="P20" s="5" t="s">
        <v>59</v>
      </c>
      <c r="Q20" s="5" t="s">
        <v>60</v>
      </c>
      <c r="R20" s="6" t="s">
        <v>42</v>
      </c>
      <c r="S20" s="5" t="s">
        <v>159</v>
      </c>
      <c r="T20" s="5" t="s">
        <v>62</v>
      </c>
      <c r="U20" s="5" t="s">
        <v>44</v>
      </c>
      <c r="V20" s="5" t="s">
        <v>44</v>
      </c>
      <c r="W20" s="5" t="s">
        <v>35</v>
      </c>
      <c r="X20" s="5" t="s">
        <v>160</v>
      </c>
      <c r="Y20" s="5" t="s">
        <v>46</v>
      </c>
      <c r="Z20" s="5" t="s">
        <v>47</v>
      </c>
      <c r="AA20" s="5" t="s">
        <v>64</v>
      </c>
      <c r="AB20" s="5" t="s">
        <v>169</v>
      </c>
      <c r="AC20" s="6" t="s">
        <v>67</v>
      </c>
      <c r="AD20" s="6">
        <v>3993.0</v>
      </c>
    </row>
    <row r="21" ht="56.25" customHeight="1">
      <c r="A21" s="5" t="s">
        <v>158</v>
      </c>
      <c r="B21" s="6" t="str">
        <f>IMAGE("https://storage.googleapis.com/acdb/miscellaneous/FtrWeighing_Remake_3_0.png")</f>
        <v/>
      </c>
      <c r="C21" s="5" t="s">
        <v>68</v>
      </c>
      <c r="D21" s="5" t="s">
        <v>34</v>
      </c>
      <c r="E21" s="5" t="s">
        <v>34</v>
      </c>
      <c r="F21" s="5" t="s">
        <v>34</v>
      </c>
      <c r="G21" s="5" t="s">
        <v>36</v>
      </c>
      <c r="H21" s="5" t="s">
        <v>36</v>
      </c>
      <c r="I21" s="5" t="s">
        <v>36</v>
      </c>
      <c r="J21" s="6" t="s">
        <v>34</v>
      </c>
      <c r="K21" s="6">
        <v>1100.0</v>
      </c>
      <c r="L21" s="6">
        <v>275.0</v>
      </c>
      <c r="M21" s="5" t="s">
        <v>68</v>
      </c>
      <c r="N21" s="5" t="s">
        <v>57</v>
      </c>
      <c r="O21" s="6" t="s">
        <v>40</v>
      </c>
      <c r="P21" s="5" t="s">
        <v>59</v>
      </c>
      <c r="Q21" s="5" t="s">
        <v>60</v>
      </c>
      <c r="R21" s="6" t="s">
        <v>42</v>
      </c>
      <c r="S21" s="5" t="s">
        <v>159</v>
      </c>
      <c r="T21" s="5" t="s">
        <v>62</v>
      </c>
      <c r="U21" s="5" t="s">
        <v>44</v>
      </c>
      <c r="V21" s="5" t="s">
        <v>44</v>
      </c>
      <c r="W21" s="5" t="s">
        <v>35</v>
      </c>
      <c r="X21" s="5" t="s">
        <v>160</v>
      </c>
      <c r="Y21" s="5" t="s">
        <v>46</v>
      </c>
      <c r="Z21" s="5" t="s">
        <v>47</v>
      </c>
      <c r="AA21" s="5" t="s">
        <v>64</v>
      </c>
      <c r="AB21" s="5" t="s">
        <v>176</v>
      </c>
      <c r="AC21" s="6" t="s">
        <v>71</v>
      </c>
      <c r="AD21" s="6">
        <v>3993.0</v>
      </c>
    </row>
    <row r="22" ht="56.25" customHeight="1">
      <c r="A22" s="5" t="s">
        <v>158</v>
      </c>
      <c r="B22" s="6" t="str">
        <f>IMAGE("https://storage.googleapis.com/acdb/miscellaneous/FtrWeighing_Remake_4_0.png")</f>
        <v/>
      </c>
      <c r="C22" s="5" t="s">
        <v>69</v>
      </c>
      <c r="D22" s="5" t="s">
        <v>34</v>
      </c>
      <c r="E22" s="5" t="s">
        <v>34</v>
      </c>
      <c r="F22" s="5" t="s">
        <v>34</v>
      </c>
      <c r="G22" s="5" t="s">
        <v>36</v>
      </c>
      <c r="H22" s="5" t="s">
        <v>36</v>
      </c>
      <c r="I22" s="5" t="s">
        <v>36</v>
      </c>
      <c r="J22" s="6" t="s">
        <v>34</v>
      </c>
      <c r="K22" s="6">
        <v>1100.0</v>
      </c>
      <c r="L22" s="6">
        <v>275.0</v>
      </c>
      <c r="M22" s="5" t="s">
        <v>69</v>
      </c>
      <c r="N22" s="5" t="s">
        <v>57</v>
      </c>
      <c r="O22" s="6" t="s">
        <v>40</v>
      </c>
      <c r="P22" s="5" t="s">
        <v>59</v>
      </c>
      <c r="Q22" s="5" t="s">
        <v>60</v>
      </c>
      <c r="R22" s="6" t="s">
        <v>42</v>
      </c>
      <c r="S22" s="5" t="s">
        <v>159</v>
      </c>
      <c r="T22" s="5" t="s">
        <v>62</v>
      </c>
      <c r="U22" s="5" t="s">
        <v>44</v>
      </c>
      <c r="V22" s="5" t="s">
        <v>44</v>
      </c>
      <c r="W22" s="5" t="s">
        <v>35</v>
      </c>
      <c r="X22" s="5" t="s">
        <v>160</v>
      </c>
      <c r="Y22" s="5" t="s">
        <v>46</v>
      </c>
      <c r="Z22" s="5" t="s">
        <v>47</v>
      </c>
      <c r="AA22" s="5" t="s">
        <v>64</v>
      </c>
      <c r="AB22" s="5" t="s">
        <v>184</v>
      </c>
      <c r="AC22" s="6" t="s">
        <v>75</v>
      </c>
      <c r="AD22" s="6">
        <v>3993.0</v>
      </c>
    </row>
    <row r="23" ht="56.25" customHeight="1">
      <c r="A23" s="5" t="s">
        <v>158</v>
      </c>
      <c r="B23" s="6" t="str">
        <f>IMAGE("https://storage.googleapis.com/acdb/miscellaneous/FtrWeighing_Remake_5_0.png")</f>
        <v/>
      </c>
      <c r="C23" s="5" t="s">
        <v>186</v>
      </c>
      <c r="D23" s="5" t="s">
        <v>34</v>
      </c>
      <c r="E23" s="5" t="s">
        <v>34</v>
      </c>
      <c r="F23" s="5" t="s">
        <v>34</v>
      </c>
      <c r="G23" s="5" t="s">
        <v>36</v>
      </c>
      <c r="H23" s="5" t="s">
        <v>36</v>
      </c>
      <c r="I23" s="5" t="s">
        <v>36</v>
      </c>
      <c r="J23" s="6" t="s">
        <v>34</v>
      </c>
      <c r="K23" s="6">
        <v>1100.0</v>
      </c>
      <c r="L23" s="6">
        <v>275.0</v>
      </c>
      <c r="M23" s="5" t="s">
        <v>114</v>
      </c>
      <c r="N23" s="5" t="s">
        <v>57</v>
      </c>
      <c r="O23" s="6" t="s">
        <v>40</v>
      </c>
      <c r="P23" s="5" t="s">
        <v>59</v>
      </c>
      <c r="Q23" s="5" t="s">
        <v>60</v>
      </c>
      <c r="R23" s="6" t="s">
        <v>42</v>
      </c>
      <c r="S23" s="5" t="s">
        <v>159</v>
      </c>
      <c r="T23" s="5" t="s">
        <v>62</v>
      </c>
      <c r="U23" s="5" t="s">
        <v>44</v>
      </c>
      <c r="V23" s="5" t="s">
        <v>44</v>
      </c>
      <c r="W23" s="5" t="s">
        <v>35</v>
      </c>
      <c r="X23" s="5" t="s">
        <v>160</v>
      </c>
      <c r="Y23" s="5" t="s">
        <v>46</v>
      </c>
      <c r="Z23" s="5" t="s">
        <v>47</v>
      </c>
      <c r="AA23" s="5" t="s">
        <v>64</v>
      </c>
      <c r="AB23" s="5" t="s">
        <v>189</v>
      </c>
      <c r="AC23" s="6" t="s">
        <v>79</v>
      </c>
      <c r="AD23" s="6">
        <v>3993.0</v>
      </c>
    </row>
    <row r="24" ht="56.25" customHeight="1">
      <c r="A24" s="5" t="s">
        <v>158</v>
      </c>
      <c r="B24" s="6" t="str">
        <f>IMAGE("https://storage.googleapis.com/acdb/miscellaneous/FtrWeighing_Remake_6_0.png")</f>
        <v/>
      </c>
      <c r="C24" s="5" t="s">
        <v>83</v>
      </c>
      <c r="D24" s="5" t="s">
        <v>34</v>
      </c>
      <c r="E24" s="5" t="s">
        <v>34</v>
      </c>
      <c r="F24" s="5" t="s">
        <v>34</v>
      </c>
      <c r="G24" s="5" t="s">
        <v>36</v>
      </c>
      <c r="H24" s="5" t="s">
        <v>36</v>
      </c>
      <c r="I24" s="5" t="s">
        <v>36</v>
      </c>
      <c r="J24" s="6" t="s">
        <v>34</v>
      </c>
      <c r="K24" s="6">
        <v>1100.0</v>
      </c>
      <c r="L24" s="6">
        <v>275.0</v>
      </c>
      <c r="M24" s="5" t="s">
        <v>83</v>
      </c>
      <c r="N24" s="5" t="s">
        <v>57</v>
      </c>
      <c r="O24" s="6" t="s">
        <v>40</v>
      </c>
      <c r="P24" s="5" t="s">
        <v>59</v>
      </c>
      <c r="Q24" s="5" t="s">
        <v>60</v>
      </c>
      <c r="R24" s="6" t="s">
        <v>42</v>
      </c>
      <c r="S24" s="5" t="s">
        <v>159</v>
      </c>
      <c r="T24" s="5" t="s">
        <v>62</v>
      </c>
      <c r="U24" s="5" t="s">
        <v>44</v>
      </c>
      <c r="V24" s="5" t="s">
        <v>44</v>
      </c>
      <c r="W24" s="5" t="s">
        <v>35</v>
      </c>
      <c r="X24" s="5" t="s">
        <v>160</v>
      </c>
      <c r="Y24" s="5" t="s">
        <v>46</v>
      </c>
      <c r="Z24" s="5" t="s">
        <v>47</v>
      </c>
      <c r="AA24" s="5" t="s">
        <v>64</v>
      </c>
      <c r="AB24" s="5" t="s">
        <v>197</v>
      </c>
      <c r="AC24" s="6" t="s">
        <v>86</v>
      </c>
      <c r="AD24" s="6">
        <v>3993.0</v>
      </c>
    </row>
    <row r="25" ht="56.25" customHeight="1">
      <c r="A25" s="5" t="s">
        <v>158</v>
      </c>
      <c r="B25" s="6" t="str">
        <f>IMAGE("https://storage.googleapis.com/acdb/miscellaneous/FtrWeighing_Remake_7_0.png")</f>
        <v/>
      </c>
      <c r="C25" s="5" t="s">
        <v>54</v>
      </c>
      <c r="D25" s="5" t="s">
        <v>34</v>
      </c>
      <c r="E25" s="5" t="s">
        <v>34</v>
      </c>
      <c r="F25" s="5" t="s">
        <v>34</v>
      </c>
      <c r="G25" s="5" t="s">
        <v>36</v>
      </c>
      <c r="H25" s="5" t="s">
        <v>36</v>
      </c>
      <c r="I25" s="5" t="s">
        <v>36</v>
      </c>
      <c r="J25" s="6" t="s">
        <v>34</v>
      </c>
      <c r="K25" s="6">
        <v>1100.0</v>
      </c>
      <c r="L25" s="6">
        <v>275.0</v>
      </c>
      <c r="M25" s="5" t="s">
        <v>54</v>
      </c>
      <c r="N25" s="5" t="s">
        <v>57</v>
      </c>
      <c r="O25" s="6" t="s">
        <v>40</v>
      </c>
      <c r="P25" s="5" t="s">
        <v>59</v>
      </c>
      <c r="Q25" s="5" t="s">
        <v>60</v>
      </c>
      <c r="R25" s="6" t="s">
        <v>42</v>
      </c>
      <c r="S25" s="5" t="s">
        <v>159</v>
      </c>
      <c r="T25" s="5" t="s">
        <v>62</v>
      </c>
      <c r="U25" s="5" t="s">
        <v>44</v>
      </c>
      <c r="V25" s="5" t="s">
        <v>44</v>
      </c>
      <c r="W25" s="5" t="s">
        <v>35</v>
      </c>
      <c r="X25" s="5" t="s">
        <v>160</v>
      </c>
      <c r="Y25" s="5" t="s">
        <v>46</v>
      </c>
      <c r="Z25" s="5" t="s">
        <v>47</v>
      </c>
      <c r="AA25" s="5" t="s">
        <v>64</v>
      </c>
      <c r="AB25" s="5" t="s">
        <v>207</v>
      </c>
      <c r="AC25" s="6" t="s">
        <v>208</v>
      </c>
      <c r="AD25" s="6">
        <v>3993.0</v>
      </c>
    </row>
    <row r="26" ht="56.25" customHeight="1">
      <c r="A26" s="5" t="s">
        <v>209</v>
      </c>
      <c r="B26" s="16" t="str">
        <f>IMAGE("https://storage.googleapis.com/acdb/miscellaneous/FtrFishAntyobiToy.png")</f>
        <v/>
      </c>
      <c r="C26" s="5" t="s">
        <v>34</v>
      </c>
      <c r="D26" s="5" t="s">
        <v>34</v>
      </c>
      <c r="E26" s="5" t="s">
        <v>34</v>
      </c>
      <c r="F26" s="5" t="s">
        <v>34</v>
      </c>
      <c r="G26" s="5" t="s">
        <v>36</v>
      </c>
      <c r="H26" s="5" t="s">
        <v>36</v>
      </c>
      <c r="I26" s="5" t="s">
        <v>36</v>
      </c>
      <c r="J26" s="6" t="s">
        <v>34</v>
      </c>
      <c r="K26" s="6" t="s">
        <v>37</v>
      </c>
      <c r="L26" s="6">
        <v>600.0</v>
      </c>
      <c r="M26" s="5" t="s">
        <v>68</v>
      </c>
      <c r="N26" s="5" t="s">
        <v>54</v>
      </c>
      <c r="O26" s="6" t="s">
        <v>40</v>
      </c>
      <c r="P26" s="5" t="s">
        <v>213</v>
      </c>
      <c r="Q26" s="5" t="s">
        <v>215</v>
      </c>
      <c r="R26" s="6" t="s">
        <v>42</v>
      </c>
      <c r="S26" s="5" t="s">
        <v>44</v>
      </c>
      <c r="T26" s="5" t="s">
        <v>44</v>
      </c>
      <c r="U26" s="5" t="s">
        <v>44</v>
      </c>
      <c r="V26" s="5" t="s">
        <v>44</v>
      </c>
      <c r="W26" s="5" t="s">
        <v>36</v>
      </c>
      <c r="X26" s="5" t="s">
        <v>219</v>
      </c>
      <c r="Y26" s="5" t="s">
        <v>46</v>
      </c>
      <c r="Z26" s="5" t="s">
        <v>47</v>
      </c>
      <c r="AA26" s="5" t="s">
        <v>48</v>
      </c>
      <c r="AB26" s="5" t="s">
        <v>221</v>
      </c>
      <c r="AC26" s="6" t="s">
        <v>34</v>
      </c>
      <c r="AD26" s="6">
        <v>6999.0</v>
      </c>
    </row>
    <row r="27" ht="56.25" customHeight="1">
      <c r="A27" s="5" t="s">
        <v>222</v>
      </c>
      <c r="B27" s="16" t="str">
        <f>IMAGE("https://storage.googleapis.com/acdb/miscellaneous/FtrFishAngelfishToy.png")</f>
        <v/>
      </c>
      <c r="C27" s="5" t="s">
        <v>34</v>
      </c>
      <c r="D27" s="5" t="s">
        <v>34</v>
      </c>
      <c r="E27" s="5" t="s">
        <v>34</v>
      </c>
      <c r="F27" s="5" t="s">
        <v>34</v>
      </c>
      <c r="G27" s="5" t="s">
        <v>36</v>
      </c>
      <c r="H27" s="5" t="s">
        <v>36</v>
      </c>
      <c r="I27" s="5" t="s">
        <v>36</v>
      </c>
      <c r="J27" s="6" t="s">
        <v>34</v>
      </c>
      <c r="K27" s="6" t="s">
        <v>37</v>
      </c>
      <c r="L27" s="6">
        <v>9000.0</v>
      </c>
      <c r="M27" s="5" t="s">
        <v>114</v>
      </c>
      <c r="N27" s="5" t="s">
        <v>54</v>
      </c>
      <c r="O27" s="6" t="s">
        <v>40</v>
      </c>
      <c r="P27" s="5" t="s">
        <v>213</v>
      </c>
      <c r="Q27" s="5" t="s">
        <v>215</v>
      </c>
      <c r="R27" s="6" t="s">
        <v>42</v>
      </c>
      <c r="S27" s="5" t="s">
        <v>44</v>
      </c>
      <c r="T27" s="5" t="s">
        <v>44</v>
      </c>
      <c r="U27" s="5" t="s">
        <v>44</v>
      </c>
      <c r="V27" s="5" t="s">
        <v>44</v>
      </c>
      <c r="W27" s="5" t="s">
        <v>36</v>
      </c>
      <c r="X27" s="5" t="s">
        <v>219</v>
      </c>
      <c r="Y27" s="5" t="s">
        <v>46</v>
      </c>
      <c r="Z27" s="5" t="s">
        <v>47</v>
      </c>
      <c r="AA27" s="5" t="s">
        <v>48</v>
      </c>
      <c r="AB27" s="5" t="s">
        <v>226</v>
      </c>
      <c r="AC27" s="6" t="s">
        <v>34</v>
      </c>
      <c r="AD27" s="6">
        <v>6933.0</v>
      </c>
    </row>
    <row r="28" ht="56.25" customHeight="1">
      <c r="A28" s="5" t="s">
        <v>227</v>
      </c>
      <c r="B28" s="16" t="str">
        <f>IMAGE("https://storage.googleapis.com/acdb/miscellaneous/FtrInsectAriFarm.png")</f>
        <v/>
      </c>
      <c r="C28" s="5" t="s">
        <v>34</v>
      </c>
      <c r="D28" s="5" t="s">
        <v>34</v>
      </c>
      <c r="E28" s="5" t="s">
        <v>34</v>
      </c>
      <c r="F28" s="5" t="s">
        <v>34</v>
      </c>
      <c r="G28" s="5" t="s">
        <v>36</v>
      </c>
      <c r="H28" s="5" t="s">
        <v>36</v>
      </c>
      <c r="I28" s="5" t="s">
        <v>36</v>
      </c>
      <c r="J28" s="6" t="s">
        <v>34</v>
      </c>
      <c r="K28" s="6">
        <v>1400.0</v>
      </c>
      <c r="L28" s="6">
        <v>350.0</v>
      </c>
      <c r="M28" s="5" t="s">
        <v>96</v>
      </c>
      <c r="N28" s="5" t="s">
        <v>39</v>
      </c>
      <c r="O28" s="6" t="s">
        <v>40</v>
      </c>
      <c r="P28" s="5" t="s">
        <v>59</v>
      </c>
      <c r="Q28" s="5" t="s">
        <v>122</v>
      </c>
      <c r="R28" s="6" t="s">
        <v>42</v>
      </c>
      <c r="S28" s="5" t="s">
        <v>141</v>
      </c>
      <c r="T28" s="5" t="s">
        <v>99</v>
      </c>
      <c r="U28" s="5" t="s">
        <v>44</v>
      </c>
      <c r="V28" s="5" t="s">
        <v>44</v>
      </c>
      <c r="W28" s="5" t="s">
        <v>36</v>
      </c>
      <c r="X28" s="5" t="s">
        <v>232</v>
      </c>
      <c r="Y28" s="5" t="s">
        <v>46</v>
      </c>
      <c r="Z28" s="5" t="s">
        <v>47</v>
      </c>
      <c r="AA28" s="5" t="s">
        <v>64</v>
      </c>
      <c r="AB28" s="5" t="s">
        <v>235</v>
      </c>
      <c r="AC28" s="6" t="s">
        <v>34</v>
      </c>
      <c r="AD28" s="6">
        <v>11866.0</v>
      </c>
    </row>
    <row r="29" ht="56.25" customHeight="1">
      <c r="A29" s="5" t="s">
        <v>236</v>
      </c>
      <c r="B29" s="16" t="str">
        <f>IMAGE("https://storage.googleapis.com/acdb/miscellaneous/FtrInsectAriToy.png")</f>
        <v/>
      </c>
      <c r="C29" s="5" t="s">
        <v>34</v>
      </c>
      <c r="D29" s="5" t="s">
        <v>34</v>
      </c>
      <c r="E29" s="5" t="s">
        <v>34</v>
      </c>
      <c r="F29" s="5" t="s">
        <v>34</v>
      </c>
      <c r="G29" s="5" t="s">
        <v>36</v>
      </c>
      <c r="H29" s="5" t="s">
        <v>36</v>
      </c>
      <c r="I29" s="5" t="s">
        <v>36</v>
      </c>
      <c r="J29" s="6" t="s">
        <v>34</v>
      </c>
      <c r="K29" s="6" t="s">
        <v>37</v>
      </c>
      <c r="L29" s="6">
        <v>240.0</v>
      </c>
      <c r="M29" s="5" t="s">
        <v>54</v>
      </c>
      <c r="N29" s="5" t="s">
        <v>54</v>
      </c>
      <c r="O29" s="6" t="s">
        <v>40</v>
      </c>
      <c r="P29" s="5" t="s">
        <v>107</v>
      </c>
      <c r="Q29" s="5" t="s">
        <v>108</v>
      </c>
      <c r="R29" s="6" t="s">
        <v>42</v>
      </c>
      <c r="S29" s="5" t="s">
        <v>44</v>
      </c>
      <c r="T29" s="5" t="s">
        <v>44</v>
      </c>
      <c r="U29" s="5" t="s">
        <v>44</v>
      </c>
      <c r="V29" s="5" t="s">
        <v>44</v>
      </c>
      <c r="W29" s="5" t="s">
        <v>36</v>
      </c>
      <c r="X29" s="5" t="s">
        <v>109</v>
      </c>
      <c r="Y29" s="5" t="s">
        <v>46</v>
      </c>
      <c r="Z29" s="5" t="s">
        <v>47</v>
      </c>
      <c r="AA29" s="5" t="s">
        <v>48</v>
      </c>
      <c r="AB29" s="5" t="s">
        <v>240</v>
      </c>
      <c r="AC29" s="6" t="s">
        <v>34</v>
      </c>
      <c r="AD29" s="6">
        <v>7053.0</v>
      </c>
    </row>
    <row r="30" ht="56.25" customHeight="1">
      <c r="A30" s="5" t="s">
        <v>241</v>
      </c>
      <c r="B30" s="6" t="str">
        <f>IMAGE("https://storage.googleapis.com/acdb/miscellaneous/FtrPlantAnthurium_Remake_0_0.png")</f>
        <v/>
      </c>
      <c r="C30" s="5" t="s">
        <v>57</v>
      </c>
      <c r="D30" s="5" t="s">
        <v>34</v>
      </c>
      <c r="E30" s="5" t="s">
        <v>34</v>
      </c>
      <c r="F30" s="5" t="s">
        <v>34</v>
      </c>
      <c r="G30" s="5" t="s">
        <v>36</v>
      </c>
      <c r="H30" s="5" t="s">
        <v>36</v>
      </c>
      <c r="I30" s="5" t="s">
        <v>36</v>
      </c>
      <c r="J30" s="6" t="s">
        <v>34</v>
      </c>
      <c r="K30" s="6">
        <v>990.0</v>
      </c>
      <c r="L30" s="6">
        <v>247.0</v>
      </c>
      <c r="M30" s="5" t="s">
        <v>52</v>
      </c>
      <c r="N30" s="5" t="s">
        <v>96</v>
      </c>
      <c r="O30" s="6" t="s">
        <v>40</v>
      </c>
      <c r="P30" s="5" t="s">
        <v>59</v>
      </c>
      <c r="Q30" s="5" t="s">
        <v>60</v>
      </c>
      <c r="R30" s="6" t="s">
        <v>42</v>
      </c>
      <c r="S30" s="5" t="s">
        <v>90</v>
      </c>
      <c r="T30" s="5" t="s">
        <v>44</v>
      </c>
      <c r="U30" s="5" t="s">
        <v>44</v>
      </c>
      <c r="V30" s="5" t="s">
        <v>44</v>
      </c>
      <c r="W30" s="5" t="s">
        <v>36</v>
      </c>
      <c r="X30" s="5" t="s">
        <v>244</v>
      </c>
      <c r="Y30" s="5" t="s">
        <v>46</v>
      </c>
      <c r="Z30" s="5" t="s">
        <v>47</v>
      </c>
      <c r="AA30" s="5" t="s">
        <v>64</v>
      </c>
      <c r="AB30" s="5" t="s">
        <v>246</v>
      </c>
      <c r="AC30" s="6" t="s">
        <v>50</v>
      </c>
      <c r="AD30" s="6">
        <v>3949.0</v>
      </c>
    </row>
    <row r="31" ht="56.25" customHeight="1">
      <c r="A31" s="5" t="s">
        <v>241</v>
      </c>
      <c r="B31" s="6" t="str">
        <f>IMAGE("https://storage.googleapis.com/acdb/miscellaneous/FtrPlantAnthurium_Remake_1_0.png")</f>
        <v/>
      </c>
      <c r="C31" s="5" t="s">
        <v>39</v>
      </c>
      <c r="D31" s="5" t="s">
        <v>34</v>
      </c>
      <c r="E31" s="5" t="s">
        <v>34</v>
      </c>
      <c r="F31" s="5" t="s">
        <v>34</v>
      </c>
      <c r="G31" s="5" t="s">
        <v>36</v>
      </c>
      <c r="H31" s="5" t="s">
        <v>36</v>
      </c>
      <c r="I31" s="5" t="s">
        <v>36</v>
      </c>
      <c r="J31" s="6" t="s">
        <v>34</v>
      </c>
      <c r="K31" s="6">
        <v>990.0</v>
      </c>
      <c r="L31" s="6">
        <v>247.0</v>
      </c>
      <c r="M31" s="5" t="s">
        <v>52</v>
      </c>
      <c r="N31" s="5" t="s">
        <v>96</v>
      </c>
      <c r="O31" s="6" t="s">
        <v>40</v>
      </c>
      <c r="P31" s="5" t="s">
        <v>59</v>
      </c>
      <c r="Q31" s="5" t="s">
        <v>60</v>
      </c>
      <c r="R31" s="6" t="s">
        <v>42</v>
      </c>
      <c r="S31" s="5" t="s">
        <v>90</v>
      </c>
      <c r="T31" s="5" t="s">
        <v>44</v>
      </c>
      <c r="U31" s="5" t="s">
        <v>44</v>
      </c>
      <c r="V31" s="5" t="s">
        <v>44</v>
      </c>
      <c r="W31" s="5" t="s">
        <v>36</v>
      </c>
      <c r="X31" s="5" t="s">
        <v>244</v>
      </c>
      <c r="Y31" s="5" t="s">
        <v>46</v>
      </c>
      <c r="Z31" s="5" t="s">
        <v>47</v>
      </c>
      <c r="AA31" s="5" t="s">
        <v>64</v>
      </c>
      <c r="AB31" s="5" t="s">
        <v>252</v>
      </c>
      <c r="AC31" s="6" t="s">
        <v>56</v>
      </c>
      <c r="AD31" s="6">
        <v>3949.0</v>
      </c>
    </row>
    <row r="32" ht="56.25" customHeight="1">
      <c r="A32" s="5" t="s">
        <v>241</v>
      </c>
      <c r="B32" s="6" t="str">
        <f>IMAGE("https://storage.googleapis.com/acdb/miscellaneous/FtrPlantAnthurium_Remake_2_0.png")</f>
        <v/>
      </c>
      <c r="C32" s="5" t="s">
        <v>83</v>
      </c>
      <c r="D32" s="5" t="s">
        <v>34</v>
      </c>
      <c r="E32" s="5" t="s">
        <v>34</v>
      </c>
      <c r="F32" s="5" t="s">
        <v>34</v>
      </c>
      <c r="G32" s="5" t="s">
        <v>36</v>
      </c>
      <c r="H32" s="5" t="s">
        <v>36</v>
      </c>
      <c r="I32" s="5" t="s">
        <v>36</v>
      </c>
      <c r="J32" s="6" t="s">
        <v>34</v>
      </c>
      <c r="K32" s="6">
        <v>990.0</v>
      </c>
      <c r="L32" s="6">
        <v>247.0</v>
      </c>
      <c r="M32" s="5" t="s">
        <v>52</v>
      </c>
      <c r="N32" s="5" t="s">
        <v>96</v>
      </c>
      <c r="O32" s="6" t="s">
        <v>40</v>
      </c>
      <c r="P32" s="5" t="s">
        <v>59</v>
      </c>
      <c r="Q32" s="5" t="s">
        <v>60</v>
      </c>
      <c r="R32" s="6" t="s">
        <v>42</v>
      </c>
      <c r="S32" s="5" t="s">
        <v>90</v>
      </c>
      <c r="T32" s="5" t="s">
        <v>44</v>
      </c>
      <c r="U32" s="5" t="s">
        <v>44</v>
      </c>
      <c r="V32" s="5" t="s">
        <v>44</v>
      </c>
      <c r="W32" s="5" t="s">
        <v>36</v>
      </c>
      <c r="X32" s="5" t="s">
        <v>244</v>
      </c>
      <c r="Y32" s="5" t="s">
        <v>46</v>
      </c>
      <c r="Z32" s="5" t="s">
        <v>47</v>
      </c>
      <c r="AA32" s="5" t="s">
        <v>64</v>
      </c>
      <c r="AB32" s="5" t="s">
        <v>258</v>
      </c>
      <c r="AC32" s="6" t="s">
        <v>67</v>
      </c>
      <c r="AD32" s="6">
        <v>3949.0</v>
      </c>
    </row>
    <row r="33" ht="56.25" customHeight="1">
      <c r="A33" s="5" t="s">
        <v>241</v>
      </c>
      <c r="B33" s="6" t="str">
        <f>IMAGE("https://storage.googleapis.com/acdb/miscellaneous/FtrPlantAnthurium_Remake_3_0.png")</f>
        <v/>
      </c>
      <c r="C33" s="5" t="s">
        <v>69</v>
      </c>
      <c r="D33" s="5" t="s">
        <v>34</v>
      </c>
      <c r="E33" s="5" t="s">
        <v>34</v>
      </c>
      <c r="F33" s="5" t="s">
        <v>34</v>
      </c>
      <c r="G33" s="5" t="s">
        <v>36</v>
      </c>
      <c r="H33" s="5" t="s">
        <v>36</v>
      </c>
      <c r="I33" s="5" t="s">
        <v>36</v>
      </c>
      <c r="J33" s="6" t="s">
        <v>34</v>
      </c>
      <c r="K33" s="6">
        <v>990.0</v>
      </c>
      <c r="L33" s="6">
        <v>247.0</v>
      </c>
      <c r="M33" s="5" t="s">
        <v>69</v>
      </c>
      <c r="N33" s="5" t="s">
        <v>96</v>
      </c>
      <c r="O33" s="6" t="s">
        <v>40</v>
      </c>
      <c r="P33" s="5" t="s">
        <v>59</v>
      </c>
      <c r="Q33" s="5" t="s">
        <v>60</v>
      </c>
      <c r="R33" s="6" t="s">
        <v>42</v>
      </c>
      <c r="S33" s="5" t="s">
        <v>90</v>
      </c>
      <c r="T33" s="5" t="s">
        <v>44</v>
      </c>
      <c r="U33" s="5" t="s">
        <v>44</v>
      </c>
      <c r="V33" s="5" t="s">
        <v>44</v>
      </c>
      <c r="W33" s="5" t="s">
        <v>36</v>
      </c>
      <c r="X33" s="5" t="s">
        <v>244</v>
      </c>
      <c r="Y33" s="5" t="s">
        <v>46</v>
      </c>
      <c r="Z33" s="5" t="s">
        <v>47</v>
      </c>
      <c r="AA33" s="5" t="s">
        <v>64</v>
      </c>
      <c r="AB33" s="5" t="s">
        <v>269</v>
      </c>
      <c r="AC33" s="6" t="s">
        <v>71</v>
      </c>
      <c r="AD33" s="6">
        <v>3949.0</v>
      </c>
    </row>
    <row r="34" ht="56.25" customHeight="1">
      <c r="A34" s="5" t="s">
        <v>241</v>
      </c>
      <c r="B34" s="6" t="str">
        <f>IMAGE("https://storage.googleapis.com/acdb/miscellaneous/FtrPlantAnthurium_Remake_4_0.png")</f>
        <v/>
      </c>
      <c r="C34" s="5" t="s">
        <v>54</v>
      </c>
      <c r="D34" s="5" t="s">
        <v>34</v>
      </c>
      <c r="E34" s="5" t="s">
        <v>34</v>
      </c>
      <c r="F34" s="5" t="s">
        <v>34</v>
      </c>
      <c r="G34" s="5" t="s">
        <v>36</v>
      </c>
      <c r="H34" s="5" t="s">
        <v>36</v>
      </c>
      <c r="I34" s="5" t="s">
        <v>36</v>
      </c>
      <c r="J34" s="6" t="s">
        <v>34</v>
      </c>
      <c r="K34" s="6">
        <v>990.0</v>
      </c>
      <c r="L34" s="6">
        <v>247.0</v>
      </c>
      <c r="M34" s="5" t="s">
        <v>57</v>
      </c>
      <c r="N34" s="5" t="s">
        <v>96</v>
      </c>
      <c r="O34" s="6" t="s">
        <v>40</v>
      </c>
      <c r="P34" s="5" t="s">
        <v>59</v>
      </c>
      <c r="Q34" s="5" t="s">
        <v>60</v>
      </c>
      <c r="R34" s="6" t="s">
        <v>42</v>
      </c>
      <c r="S34" s="5" t="s">
        <v>90</v>
      </c>
      <c r="T34" s="5" t="s">
        <v>44</v>
      </c>
      <c r="U34" s="5" t="s">
        <v>44</v>
      </c>
      <c r="V34" s="5" t="s">
        <v>44</v>
      </c>
      <c r="W34" s="5" t="s">
        <v>36</v>
      </c>
      <c r="X34" s="5" t="s">
        <v>244</v>
      </c>
      <c r="Y34" s="5" t="s">
        <v>46</v>
      </c>
      <c r="Z34" s="5" t="s">
        <v>47</v>
      </c>
      <c r="AA34" s="5" t="s">
        <v>64</v>
      </c>
      <c r="AB34" s="5" t="s">
        <v>275</v>
      </c>
      <c r="AC34" s="6" t="s">
        <v>75</v>
      </c>
      <c r="AD34" s="6">
        <v>3949.0</v>
      </c>
    </row>
    <row r="35" ht="56.25" customHeight="1">
      <c r="A35" s="5" t="s">
        <v>277</v>
      </c>
      <c r="B35" s="16" t="str">
        <f>IMAGE("https://storage.googleapis.com/acdb/miscellaneous/FtrFishPirarukuToy.png")</f>
        <v/>
      </c>
      <c r="C35" s="5" t="s">
        <v>34</v>
      </c>
      <c r="D35" s="5" t="s">
        <v>34</v>
      </c>
      <c r="E35" s="5" t="s">
        <v>34</v>
      </c>
      <c r="F35" s="5" t="s">
        <v>34</v>
      </c>
      <c r="G35" s="5" t="s">
        <v>36</v>
      </c>
      <c r="H35" s="5" t="s">
        <v>36</v>
      </c>
      <c r="I35" s="5" t="s">
        <v>36</v>
      </c>
      <c r="J35" s="6" t="s">
        <v>34</v>
      </c>
      <c r="K35" s="6" t="s">
        <v>37</v>
      </c>
      <c r="L35" s="6">
        <v>30000.0</v>
      </c>
      <c r="M35" s="5" t="s">
        <v>54</v>
      </c>
      <c r="N35" s="5" t="s">
        <v>54</v>
      </c>
      <c r="O35" s="6" t="s">
        <v>276</v>
      </c>
      <c r="P35" s="5" t="s">
        <v>213</v>
      </c>
      <c r="Q35" s="5" t="s">
        <v>215</v>
      </c>
      <c r="R35" s="6" t="s">
        <v>42</v>
      </c>
      <c r="S35" s="5" t="s">
        <v>44</v>
      </c>
      <c r="T35" s="5" t="s">
        <v>44</v>
      </c>
      <c r="U35" s="5" t="s">
        <v>44</v>
      </c>
      <c r="V35" s="5" t="s">
        <v>44</v>
      </c>
      <c r="W35" s="5" t="s">
        <v>36</v>
      </c>
      <c r="X35" s="5" t="s">
        <v>219</v>
      </c>
      <c r="Y35" s="5" t="s">
        <v>46</v>
      </c>
      <c r="Z35" s="5" t="s">
        <v>47</v>
      </c>
      <c r="AA35" s="5" t="s">
        <v>48</v>
      </c>
      <c r="AB35" s="5" t="s">
        <v>282</v>
      </c>
      <c r="AC35" s="6" t="s">
        <v>34</v>
      </c>
      <c r="AD35" s="6">
        <v>7006.0</v>
      </c>
    </row>
    <row r="36" ht="56.25" customHeight="1">
      <c r="A36" s="5" t="s">
        <v>284</v>
      </c>
      <c r="B36" s="6" t="str">
        <f>IMAGE("https://storage.googleapis.com/acdb/miscellaneous/FtrAlomapot_Remake_0_0.png")</f>
        <v/>
      </c>
      <c r="C36" s="5" t="s">
        <v>57</v>
      </c>
      <c r="D36" s="5" t="s">
        <v>2</v>
      </c>
      <c r="E36" s="5" t="s">
        <v>34</v>
      </c>
      <c r="F36" s="5" t="s">
        <v>34</v>
      </c>
      <c r="G36" s="5" t="s">
        <v>35</v>
      </c>
      <c r="H36" s="5" t="s">
        <v>35</v>
      </c>
      <c r="I36" s="5" t="s">
        <v>36</v>
      </c>
      <c r="J36" s="6">
        <v>1.0</v>
      </c>
      <c r="K36" s="6" t="s">
        <v>37</v>
      </c>
      <c r="L36" s="6">
        <v>600.0</v>
      </c>
      <c r="M36" s="5" t="s">
        <v>57</v>
      </c>
      <c r="N36" s="5" t="s">
        <v>83</v>
      </c>
      <c r="O36" s="6" t="s">
        <v>40</v>
      </c>
      <c r="P36" s="5" t="s">
        <v>41</v>
      </c>
      <c r="Q36" s="5"/>
      <c r="R36" s="6" t="s">
        <v>42</v>
      </c>
      <c r="S36" s="5" t="s">
        <v>90</v>
      </c>
      <c r="T36" s="5" t="s">
        <v>44</v>
      </c>
      <c r="U36" s="5" t="s">
        <v>44</v>
      </c>
      <c r="V36" s="5" t="s">
        <v>44</v>
      </c>
      <c r="W36" s="5" t="s">
        <v>35</v>
      </c>
      <c r="X36" s="5" t="s">
        <v>63</v>
      </c>
      <c r="Y36" s="5" t="s">
        <v>46</v>
      </c>
      <c r="Z36" s="5" t="s">
        <v>47</v>
      </c>
      <c r="AA36" s="5" t="s">
        <v>48</v>
      </c>
      <c r="AB36" s="5" t="s">
        <v>291</v>
      </c>
      <c r="AC36" s="6" t="s">
        <v>50</v>
      </c>
      <c r="AD36" s="6">
        <v>1753.0</v>
      </c>
    </row>
    <row r="37" ht="56.25" customHeight="1">
      <c r="A37" s="5" t="s">
        <v>284</v>
      </c>
      <c r="B37" s="6" t="str">
        <f>IMAGE("https://storage.googleapis.com/acdb/miscellaneous/FtrAlomapot_Remake_1_0.png")</f>
        <v/>
      </c>
      <c r="C37" s="5" t="s">
        <v>39</v>
      </c>
      <c r="D37" s="5" t="s">
        <v>2</v>
      </c>
      <c r="E37" s="5" t="s">
        <v>34</v>
      </c>
      <c r="F37" s="5" t="s">
        <v>34</v>
      </c>
      <c r="G37" s="5" t="s">
        <v>35</v>
      </c>
      <c r="H37" s="5" t="s">
        <v>35</v>
      </c>
      <c r="I37" s="5" t="s">
        <v>36</v>
      </c>
      <c r="J37" s="6">
        <v>1.0</v>
      </c>
      <c r="K37" s="6" t="s">
        <v>37</v>
      </c>
      <c r="L37" s="6">
        <v>600.0</v>
      </c>
      <c r="M37" s="5" t="s">
        <v>39</v>
      </c>
      <c r="N37" s="5" t="s">
        <v>142</v>
      </c>
      <c r="O37" s="6" t="s">
        <v>40</v>
      </c>
      <c r="P37" s="5" t="s">
        <v>41</v>
      </c>
      <c r="Q37" s="5"/>
      <c r="R37" s="6" t="s">
        <v>42</v>
      </c>
      <c r="S37" s="5" t="s">
        <v>90</v>
      </c>
      <c r="T37" s="5" t="s">
        <v>44</v>
      </c>
      <c r="U37" s="5" t="s">
        <v>44</v>
      </c>
      <c r="V37" s="5" t="s">
        <v>44</v>
      </c>
      <c r="W37" s="5" t="s">
        <v>35</v>
      </c>
      <c r="X37" s="5" t="s">
        <v>63</v>
      </c>
      <c r="Y37" s="5" t="s">
        <v>46</v>
      </c>
      <c r="Z37" s="5" t="s">
        <v>47</v>
      </c>
      <c r="AA37" s="5" t="s">
        <v>48</v>
      </c>
      <c r="AB37" s="5" t="s">
        <v>295</v>
      </c>
      <c r="AC37" s="6" t="s">
        <v>56</v>
      </c>
      <c r="AD37" s="6">
        <v>1753.0</v>
      </c>
    </row>
    <row r="38" ht="56.25" customHeight="1">
      <c r="A38" s="5" t="s">
        <v>284</v>
      </c>
      <c r="B38" s="6" t="str">
        <f>IMAGE("https://storage.googleapis.com/acdb/miscellaneous/FtrAlomapot_Remake_2_0.png")</f>
        <v/>
      </c>
      <c r="C38" s="5" t="s">
        <v>96</v>
      </c>
      <c r="D38" s="5" t="s">
        <v>2</v>
      </c>
      <c r="E38" s="5" t="s">
        <v>34</v>
      </c>
      <c r="F38" s="5" t="s">
        <v>34</v>
      </c>
      <c r="G38" s="5" t="s">
        <v>35</v>
      </c>
      <c r="H38" s="5" t="s">
        <v>35</v>
      </c>
      <c r="I38" s="5" t="s">
        <v>36</v>
      </c>
      <c r="J38" s="6">
        <v>1.0</v>
      </c>
      <c r="K38" s="6" t="s">
        <v>37</v>
      </c>
      <c r="L38" s="6">
        <v>600.0</v>
      </c>
      <c r="M38" s="5" t="s">
        <v>96</v>
      </c>
      <c r="N38" s="5" t="s">
        <v>96</v>
      </c>
      <c r="O38" s="6" t="s">
        <v>40</v>
      </c>
      <c r="P38" s="5" t="s">
        <v>41</v>
      </c>
      <c r="Q38" s="5"/>
      <c r="R38" s="6" t="s">
        <v>42</v>
      </c>
      <c r="S38" s="5" t="s">
        <v>90</v>
      </c>
      <c r="T38" s="5" t="s">
        <v>44</v>
      </c>
      <c r="U38" s="5" t="s">
        <v>44</v>
      </c>
      <c r="V38" s="5" t="s">
        <v>44</v>
      </c>
      <c r="W38" s="5" t="s">
        <v>35</v>
      </c>
      <c r="X38" s="5" t="s">
        <v>63</v>
      </c>
      <c r="Y38" s="5" t="s">
        <v>46</v>
      </c>
      <c r="Z38" s="5" t="s">
        <v>47</v>
      </c>
      <c r="AA38" s="5" t="s">
        <v>48</v>
      </c>
      <c r="AB38" s="5" t="s">
        <v>301</v>
      </c>
      <c r="AC38" s="6" t="s">
        <v>67</v>
      </c>
      <c r="AD38" s="6">
        <v>1753.0</v>
      </c>
    </row>
    <row r="39" ht="56.25" customHeight="1">
      <c r="A39" s="5" t="s">
        <v>284</v>
      </c>
      <c r="B39" s="6" t="str">
        <f>IMAGE("https://storage.googleapis.com/acdb/miscellaneous/FtrAlomapot_Remake_3_0.png")</f>
        <v/>
      </c>
      <c r="C39" s="5" t="s">
        <v>69</v>
      </c>
      <c r="D39" s="5" t="s">
        <v>2</v>
      </c>
      <c r="E39" s="5" t="s">
        <v>34</v>
      </c>
      <c r="F39" s="5" t="s">
        <v>34</v>
      </c>
      <c r="G39" s="5" t="s">
        <v>35</v>
      </c>
      <c r="H39" s="5" t="s">
        <v>35</v>
      </c>
      <c r="I39" s="5" t="s">
        <v>36</v>
      </c>
      <c r="J39" s="6">
        <v>1.0</v>
      </c>
      <c r="K39" s="6" t="s">
        <v>37</v>
      </c>
      <c r="L39" s="6">
        <v>600.0</v>
      </c>
      <c r="M39" s="5" t="s">
        <v>69</v>
      </c>
      <c r="N39" s="5" t="s">
        <v>69</v>
      </c>
      <c r="O39" s="6" t="s">
        <v>40</v>
      </c>
      <c r="P39" s="5" t="s">
        <v>41</v>
      </c>
      <c r="Q39" s="5"/>
      <c r="R39" s="6" t="s">
        <v>42</v>
      </c>
      <c r="S39" s="5" t="s">
        <v>90</v>
      </c>
      <c r="T39" s="5" t="s">
        <v>44</v>
      </c>
      <c r="U39" s="5" t="s">
        <v>44</v>
      </c>
      <c r="V39" s="5" t="s">
        <v>44</v>
      </c>
      <c r="W39" s="5" t="s">
        <v>35</v>
      </c>
      <c r="X39" s="5" t="s">
        <v>63</v>
      </c>
      <c r="Y39" s="5" t="s">
        <v>46</v>
      </c>
      <c r="Z39" s="5" t="s">
        <v>47</v>
      </c>
      <c r="AA39" s="5" t="s">
        <v>48</v>
      </c>
      <c r="AB39" s="5" t="s">
        <v>303</v>
      </c>
      <c r="AC39" s="6" t="s">
        <v>71</v>
      </c>
      <c r="AD39" s="6">
        <v>1753.0</v>
      </c>
    </row>
    <row r="40" ht="56.25" customHeight="1">
      <c r="A40" s="5" t="s">
        <v>284</v>
      </c>
      <c r="B40" s="6" t="str">
        <f>IMAGE("https://storage.googleapis.com/acdb/miscellaneous/FtrAlomapot_Remake_4_0.png")</f>
        <v/>
      </c>
      <c r="C40" s="5" t="s">
        <v>307</v>
      </c>
      <c r="D40" s="5" t="s">
        <v>2</v>
      </c>
      <c r="E40" s="5" t="s">
        <v>34</v>
      </c>
      <c r="F40" s="5" t="s">
        <v>34</v>
      </c>
      <c r="G40" s="5" t="s">
        <v>35</v>
      </c>
      <c r="H40" s="5" t="s">
        <v>35</v>
      </c>
      <c r="I40" s="5" t="s">
        <v>36</v>
      </c>
      <c r="J40" s="6">
        <v>1.0</v>
      </c>
      <c r="K40" s="6" t="s">
        <v>37</v>
      </c>
      <c r="L40" s="6">
        <v>600.0</v>
      </c>
      <c r="M40" s="5" t="s">
        <v>38</v>
      </c>
      <c r="N40" s="5" t="s">
        <v>96</v>
      </c>
      <c r="O40" s="6" t="s">
        <v>40</v>
      </c>
      <c r="P40" s="5" t="s">
        <v>41</v>
      </c>
      <c r="Q40" s="5"/>
      <c r="R40" s="6" t="s">
        <v>42</v>
      </c>
      <c r="S40" s="5" t="s">
        <v>90</v>
      </c>
      <c r="T40" s="5" t="s">
        <v>44</v>
      </c>
      <c r="U40" s="5" t="s">
        <v>44</v>
      </c>
      <c r="V40" s="5" t="s">
        <v>44</v>
      </c>
      <c r="W40" s="5" t="s">
        <v>35</v>
      </c>
      <c r="X40" s="5" t="s">
        <v>63</v>
      </c>
      <c r="Y40" s="5" t="s">
        <v>46</v>
      </c>
      <c r="Z40" s="5" t="s">
        <v>47</v>
      </c>
      <c r="AA40" s="5" t="s">
        <v>48</v>
      </c>
      <c r="AB40" s="5" t="s">
        <v>313</v>
      </c>
      <c r="AC40" s="6" t="s">
        <v>75</v>
      </c>
      <c r="AD40" s="6">
        <v>1753.0</v>
      </c>
    </row>
    <row r="41" ht="56.25" customHeight="1">
      <c r="A41" s="5" t="s">
        <v>284</v>
      </c>
      <c r="B41" s="6" t="str">
        <f>IMAGE("https://storage.googleapis.com/acdb/miscellaneous/FtrAlomapot_Remake_5_0.png")</f>
        <v/>
      </c>
      <c r="C41" s="5" t="s">
        <v>54</v>
      </c>
      <c r="D41" s="5" t="s">
        <v>2</v>
      </c>
      <c r="E41" s="5" t="s">
        <v>34</v>
      </c>
      <c r="F41" s="5" t="s">
        <v>34</v>
      </c>
      <c r="G41" s="5" t="s">
        <v>35</v>
      </c>
      <c r="H41" s="5" t="s">
        <v>35</v>
      </c>
      <c r="I41" s="5" t="s">
        <v>36</v>
      </c>
      <c r="J41" s="6">
        <v>1.0</v>
      </c>
      <c r="K41" s="6" t="s">
        <v>37</v>
      </c>
      <c r="L41" s="6">
        <v>600.0</v>
      </c>
      <c r="M41" s="5" t="s">
        <v>54</v>
      </c>
      <c r="N41" s="5" t="s">
        <v>68</v>
      </c>
      <c r="O41" s="6" t="s">
        <v>40</v>
      </c>
      <c r="P41" s="5" t="s">
        <v>41</v>
      </c>
      <c r="Q41" s="5"/>
      <c r="R41" s="6" t="s">
        <v>42</v>
      </c>
      <c r="S41" s="5" t="s">
        <v>90</v>
      </c>
      <c r="T41" s="5" t="s">
        <v>44</v>
      </c>
      <c r="U41" s="5" t="s">
        <v>44</v>
      </c>
      <c r="V41" s="5" t="s">
        <v>44</v>
      </c>
      <c r="W41" s="5" t="s">
        <v>35</v>
      </c>
      <c r="X41" s="5" t="s">
        <v>63</v>
      </c>
      <c r="Y41" s="5" t="s">
        <v>46</v>
      </c>
      <c r="Z41" s="5" t="s">
        <v>47</v>
      </c>
      <c r="AA41" s="5" t="s">
        <v>48</v>
      </c>
      <c r="AB41" s="5" t="s">
        <v>317</v>
      </c>
      <c r="AC41" s="6" t="s">
        <v>79</v>
      </c>
      <c r="AD41" s="6">
        <v>1753.0</v>
      </c>
    </row>
    <row r="42" ht="56.25" customHeight="1">
      <c r="A42" s="5" t="s">
        <v>319</v>
      </c>
      <c r="B42" s="16" t="str">
        <f>IMAGE("https://storage.googleapis.com/acdb/miscellaneous/FtrFishArowanaToy.png")</f>
        <v/>
      </c>
      <c r="C42" s="5" t="s">
        <v>34</v>
      </c>
      <c r="D42" s="5" t="s">
        <v>34</v>
      </c>
      <c r="E42" s="5" t="s">
        <v>34</v>
      </c>
      <c r="F42" s="5" t="s">
        <v>34</v>
      </c>
      <c r="G42" s="5" t="s">
        <v>36</v>
      </c>
      <c r="H42" s="5" t="s">
        <v>36</v>
      </c>
      <c r="I42" s="5" t="s">
        <v>36</v>
      </c>
      <c r="J42" s="6" t="s">
        <v>34</v>
      </c>
      <c r="K42" s="6" t="s">
        <v>37</v>
      </c>
      <c r="L42" s="6">
        <v>30000.0</v>
      </c>
      <c r="M42" s="5" t="s">
        <v>114</v>
      </c>
      <c r="N42" s="5" t="s">
        <v>54</v>
      </c>
      <c r="O42" s="6" t="s">
        <v>40</v>
      </c>
      <c r="P42" s="5" t="s">
        <v>213</v>
      </c>
      <c r="Q42" s="5" t="s">
        <v>215</v>
      </c>
      <c r="R42" s="6" t="s">
        <v>42</v>
      </c>
      <c r="S42" s="5" t="s">
        <v>44</v>
      </c>
      <c r="T42" s="5" t="s">
        <v>44</v>
      </c>
      <c r="U42" s="5" t="s">
        <v>44</v>
      </c>
      <c r="V42" s="5" t="s">
        <v>44</v>
      </c>
      <c r="W42" s="5" t="s">
        <v>36</v>
      </c>
      <c r="X42" s="5" t="s">
        <v>219</v>
      </c>
      <c r="Y42" s="5" t="s">
        <v>46</v>
      </c>
      <c r="Z42" s="5" t="s">
        <v>47</v>
      </c>
      <c r="AA42" s="5" t="s">
        <v>48</v>
      </c>
      <c r="AB42" s="5" t="s">
        <v>324</v>
      </c>
      <c r="AC42" s="6" t="s">
        <v>34</v>
      </c>
      <c r="AD42" s="6">
        <v>6935.0</v>
      </c>
    </row>
    <row r="43" ht="56.25" customHeight="1">
      <c r="A43" s="5" t="s">
        <v>325</v>
      </c>
      <c r="B43" s="6" t="str">
        <f>IMAGE("https://storage.googleapis.com/acdb/miscellaneous/FtrBearS_Remake_0_0.png")</f>
        <v/>
      </c>
      <c r="C43" s="5" t="s">
        <v>307</v>
      </c>
      <c r="D43" s="5" t="s">
        <v>34</v>
      </c>
      <c r="E43" s="5" t="s">
        <v>44</v>
      </c>
      <c r="F43" s="5" t="s">
        <v>327</v>
      </c>
      <c r="G43" s="5" t="s">
        <v>36</v>
      </c>
      <c r="H43" s="5" t="s">
        <v>36</v>
      </c>
      <c r="I43" s="5" t="s">
        <v>35</v>
      </c>
      <c r="J43" s="6">
        <v>1.0</v>
      </c>
      <c r="K43" s="6">
        <v>1800.0</v>
      </c>
      <c r="L43" s="6">
        <v>450.0</v>
      </c>
      <c r="M43" s="5" t="s">
        <v>38</v>
      </c>
      <c r="N43" s="5" t="s">
        <v>57</v>
      </c>
      <c r="O43" s="6" t="s">
        <v>40</v>
      </c>
      <c r="P43" s="5" t="s">
        <v>59</v>
      </c>
      <c r="Q43" s="5" t="s">
        <v>60</v>
      </c>
      <c r="R43" s="6" t="s">
        <v>42</v>
      </c>
      <c r="S43" s="5" t="s">
        <v>61</v>
      </c>
      <c r="T43" s="5" t="s">
        <v>99</v>
      </c>
      <c r="U43" s="5" t="s">
        <v>44</v>
      </c>
      <c r="V43" s="5" t="s">
        <v>329</v>
      </c>
      <c r="W43" s="5" t="s">
        <v>36</v>
      </c>
      <c r="X43" s="5" t="s">
        <v>330</v>
      </c>
      <c r="Y43" s="5" t="s">
        <v>46</v>
      </c>
      <c r="Z43" s="5" t="s">
        <v>47</v>
      </c>
      <c r="AA43" s="5" t="s">
        <v>64</v>
      </c>
      <c r="AB43" s="5" t="s">
        <v>331</v>
      </c>
      <c r="AC43" s="6" t="s">
        <v>50</v>
      </c>
      <c r="AD43" s="6">
        <v>1501.0</v>
      </c>
    </row>
    <row r="44" ht="56.25" customHeight="1">
      <c r="A44" s="5" t="s">
        <v>325</v>
      </c>
      <c r="B44" s="6" t="str">
        <f>IMAGE("https://storage.googleapis.com/acdb/miscellaneous/FtrBearS_Remake_0_1.png")</f>
        <v/>
      </c>
      <c r="C44" s="5" t="s">
        <v>307</v>
      </c>
      <c r="D44" s="5" t="s">
        <v>34</v>
      </c>
      <c r="E44" s="5" t="s">
        <v>334</v>
      </c>
      <c r="F44" s="5" t="s">
        <v>327</v>
      </c>
      <c r="G44" s="5" t="s">
        <v>36</v>
      </c>
      <c r="H44" s="5" t="s">
        <v>36</v>
      </c>
      <c r="I44" s="5" t="s">
        <v>35</v>
      </c>
      <c r="J44" s="6">
        <v>1.0</v>
      </c>
      <c r="K44" s="6">
        <v>1800.0</v>
      </c>
      <c r="L44" s="6">
        <v>450.0</v>
      </c>
      <c r="M44" s="5" t="s">
        <v>38</v>
      </c>
      <c r="N44" s="5" t="s">
        <v>52</v>
      </c>
      <c r="O44" s="6" t="s">
        <v>40</v>
      </c>
      <c r="P44" s="5" t="s">
        <v>59</v>
      </c>
      <c r="Q44" s="5" t="s">
        <v>60</v>
      </c>
      <c r="R44" s="6" t="s">
        <v>42</v>
      </c>
      <c r="S44" s="5" t="s">
        <v>61</v>
      </c>
      <c r="T44" s="5" t="s">
        <v>99</v>
      </c>
      <c r="U44" s="5" t="s">
        <v>44</v>
      </c>
      <c r="V44" s="5" t="s">
        <v>329</v>
      </c>
      <c r="W44" s="5" t="s">
        <v>36</v>
      </c>
      <c r="X44" s="5" t="s">
        <v>330</v>
      </c>
      <c r="Y44" s="5" t="s">
        <v>46</v>
      </c>
      <c r="Z44" s="5" t="s">
        <v>47</v>
      </c>
      <c r="AA44" s="5" t="s">
        <v>64</v>
      </c>
      <c r="AB44" s="5" t="s">
        <v>340</v>
      </c>
      <c r="AC44" s="6" t="s">
        <v>217</v>
      </c>
      <c r="AD44" s="6">
        <v>1501.0</v>
      </c>
    </row>
    <row r="45" ht="56.25" customHeight="1">
      <c r="A45" s="5" t="s">
        <v>325</v>
      </c>
      <c r="B45" s="6" t="str">
        <f>IMAGE("https://storage.googleapis.com/acdb/miscellaneous/FtrBearS_Remake_0_2.png")</f>
        <v/>
      </c>
      <c r="C45" s="5" t="s">
        <v>307</v>
      </c>
      <c r="D45" s="5" t="s">
        <v>34</v>
      </c>
      <c r="E45" s="5" t="s">
        <v>219</v>
      </c>
      <c r="F45" s="5" t="s">
        <v>327</v>
      </c>
      <c r="G45" s="5" t="s">
        <v>36</v>
      </c>
      <c r="H45" s="5" t="s">
        <v>36</v>
      </c>
      <c r="I45" s="5" t="s">
        <v>35</v>
      </c>
      <c r="J45" s="6">
        <v>1.0</v>
      </c>
      <c r="K45" s="6">
        <v>1800.0</v>
      </c>
      <c r="L45" s="6">
        <v>450.0</v>
      </c>
      <c r="M45" s="5" t="s">
        <v>38</v>
      </c>
      <c r="N45" s="5" t="s">
        <v>68</v>
      </c>
      <c r="O45" s="6" t="s">
        <v>40</v>
      </c>
      <c r="P45" s="5" t="s">
        <v>59</v>
      </c>
      <c r="Q45" s="5" t="s">
        <v>60</v>
      </c>
      <c r="R45" s="6" t="s">
        <v>42</v>
      </c>
      <c r="S45" s="5" t="s">
        <v>61</v>
      </c>
      <c r="T45" s="5" t="s">
        <v>99</v>
      </c>
      <c r="U45" s="5" t="s">
        <v>44</v>
      </c>
      <c r="V45" s="5" t="s">
        <v>329</v>
      </c>
      <c r="W45" s="5" t="s">
        <v>36</v>
      </c>
      <c r="X45" s="5" t="s">
        <v>330</v>
      </c>
      <c r="Y45" s="5" t="s">
        <v>46</v>
      </c>
      <c r="Z45" s="5" t="s">
        <v>47</v>
      </c>
      <c r="AA45" s="5" t="s">
        <v>64</v>
      </c>
      <c r="AB45" s="5" t="s">
        <v>345</v>
      </c>
      <c r="AC45" s="6" t="s">
        <v>347</v>
      </c>
      <c r="AD45" s="6">
        <v>1501.0</v>
      </c>
    </row>
    <row r="46" ht="56.25" customHeight="1">
      <c r="A46" s="5" t="s">
        <v>325</v>
      </c>
      <c r="B46" s="6" t="str">
        <f>IMAGE("https://storage.googleapis.com/acdb/miscellaneous/FtrBearS_Remake_0_3.png")</f>
        <v/>
      </c>
      <c r="C46" s="5" t="s">
        <v>307</v>
      </c>
      <c r="D46" s="5" t="s">
        <v>34</v>
      </c>
      <c r="E46" s="5" t="s">
        <v>348</v>
      </c>
      <c r="F46" s="5" t="s">
        <v>327</v>
      </c>
      <c r="G46" s="5" t="s">
        <v>36</v>
      </c>
      <c r="H46" s="5" t="s">
        <v>36</v>
      </c>
      <c r="I46" s="5" t="s">
        <v>35</v>
      </c>
      <c r="J46" s="6">
        <v>1.0</v>
      </c>
      <c r="K46" s="6">
        <v>1800.0</v>
      </c>
      <c r="L46" s="6">
        <v>450.0</v>
      </c>
      <c r="M46" s="5" t="s">
        <v>38</v>
      </c>
      <c r="N46" s="5" t="s">
        <v>114</v>
      </c>
      <c r="O46" s="6" t="s">
        <v>40</v>
      </c>
      <c r="P46" s="5" t="s">
        <v>59</v>
      </c>
      <c r="Q46" s="5" t="s">
        <v>60</v>
      </c>
      <c r="R46" s="6" t="s">
        <v>42</v>
      </c>
      <c r="S46" s="5" t="s">
        <v>61</v>
      </c>
      <c r="T46" s="5" t="s">
        <v>99</v>
      </c>
      <c r="U46" s="5" t="s">
        <v>44</v>
      </c>
      <c r="V46" s="5" t="s">
        <v>329</v>
      </c>
      <c r="W46" s="5" t="s">
        <v>36</v>
      </c>
      <c r="X46" s="5" t="s">
        <v>330</v>
      </c>
      <c r="Y46" s="5" t="s">
        <v>46</v>
      </c>
      <c r="Z46" s="5" t="s">
        <v>47</v>
      </c>
      <c r="AA46" s="5" t="s">
        <v>64</v>
      </c>
      <c r="AB46" s="5" t="s">
        <v>353</v>
      </c>
      <c r="AC46" s="6" t="s">
        <v>354</v>
      </c>
      <c r="AD46" s="6">
        <v>1501.0</v>
      </c>
    </row>
    <row r="47" ht="56.25" customHeight="1">
      <c r="A47" s="5" t="s">
        <v>325</v>
      </c>
      <c r="B47" s="6" t="str">
        <f>IMAGE("https://storage.googleapis.com/acdb/miscellaneous/FtrBearS_Remake_1_0.png")</f>
        <v/>
      </c>
      <c r="C47" s="5" t="s">
        <v>355</v>
      </c>
      <c r="D47" s="5" t="s">
        <v>34</v>
      </c>
      <c r="E47" s="5" t="s">
        <v>44</v>
      </c>
      <c r="F47" s="5" t="s">
        <v>327</v>
      </c>
      <c r="G47" s="5" t="s">
        <v>36</v>
      </c>
      <c r="H47" s="5" t="s">
        <v>36</v>
      </c>
      <c r="I47" s="5" t="s">
        <v>35</v>
      </c>
      <c r="J47" s="6">
        <v>1.0</v>
      </c>
      <c r="K47" s="6">
        <v>1800.0</v>
      </c>
      <c r="L47" s="6">
        <v>450.0</v>
      </c>
      <c r="M47" s="5" t="s">
        <v>38</v>
      </c>
      <c r="N47" s="5" t="s">
        <v>38</v>
      </c>
      <c r="O47" s="6" t="s">
        <v>40</v>
      </c>
      <c r="P47" s="5" t="s">
        <v>59</v>
      </c>
      <c r="Q47" s="5" t="s">
        <v>60</v>
      </c>
      <c r="R47" s="6" t="s">
        <v>42</v>
      </c>
      <c r="S47" s="5" t="s">
        <v>61</v>
      </c>
      <c r="T47" s="5" t="s">
        <v>99</v>
      </c>
      <c r="U47" s="5" t="s">
        <v>44</v>
      </c>
      <c r="V47" s="5" t="s">
        <v>329</v>
      </c>
      <c r="W47" s="5" t="s">
        <v>36</v>
      </c>
      <c r="X47" s="5" t="s">
        <v>330</v>
      </c>
      <c r="Y47" s="5" t="s">
        <v>46</v>
      </c>
      <c r="Z47" s="5" t="s">
        <v>47</v>
      </c>
      <c r="AA47" s="5" t="s">
        <v>64</v>
      </c>
      <c r="AB47" s="5" t="s">
        <v>361</v>
      </c>
      <c r="AC47" s="6" t="s">
        <v>56</v>
      </c>
      <c r="AD47" s="6">
        <v>1501.0</v>
      </c>
    </row>
    <row r="48" ht="56.25" customHeight="1">
      <c r="A48" s="5" t="s">
        <v>325</v>
      </c>
      <c r="B48" s="6" t="str">
        <f>IMAGE("https://storage.googleapis.com/acdb/miscellaneous/FtrBearS_Remake_1_1.png")</f>
        <v/>
      </c>
      <c r="C48" s="5" t="s">
        <v>355</v>
      </c>
      <c r="D48" s="5" t="s">
        <v>34</v>
      </c>
      <c r="E48" s="5" t="s">
        <v>334</v>
      </c>
      <c r="F48" s="5" t="s">
        <v>327</v>
      </c>
      <c r="G48" s="5" t="s">
        <v>36</v>
      </c>
      <c r="H48" s="5" t="s">
        <v>36</v>
      </c>
      <c r="I48" s="5" t="s">
        <v>35</v>
      </c>
      <c r="J48" s="6">
        <v>1.0</v>
      </c>
      <c r="K48" s="6">
        <v>1800.0</v>
      </c>
      <c r="L48" s="6">
        <v>450.0</v>
      </c>
      <c r="M48" s="5" t="s">
        <v>38</v>
      </c>
      <c r="N48" s="5" t="s">
        <v>52</v>
      </c>
      <c r="O48" s="6" t="s">
        <v>40</v>
      </c>
      <c r="P48" s="5" t="s">
        <v>59</v>
      </c>
      <c r="Q48" s="5" t="s">
        <v>60</v>
      </c>
      <c r="R48" s="6" t="s">
        <v>42</v>
      </c>
      <c r="S48" s="5" t="s">
        <v>61</v>
      </c>
      <c r="T48" s="5" t="s">
        <v>99</v>
      </c>
      <c r="U48" s="5" t="s">
        <v>44</v>
      </c>
      <c r="V48" s="5" t="s">
        <v>329</v>
      </c>
      <c r="W48" s="5" t="s">
        <v>36</v>
      </c>
      <c r="X48" s="5" t="s">
        <v>330</v>
      </c>
      <c r="Y48" s="5" t="s">
        <v>46</v>
      </c>
      <c r="Z48" s="5" t="s">
        <v>47</v>
      </c>
      <c r="AA48" s="5" t="s">
        <v>64</v>
      </c>
      <c r="AB48" s="5" t="s">
        <v>365</v>
      </c>
      <c r="AC48" s="6" t="s">
        <v>234</v>
      </c>
      <c r="AD48" s="6">
        <v>1501.0</v>
      </c>
    </row>
    <row r="49" ht="56.25" customHeight="1">
      <c r="A49" s="5" t="s">
        <v>325</v>
      </c>
      <c r="B49" s="6" t="str">
        <f>IMAGE("https://storage.googleapis.com/acdb/miscellaneous/FtrBearS_Remake_1_2.png")</f>
        <v/>
      </c>
      <c r="C49" s="5" t="s">
        <v>355</v>
      </c>
      <c r="D49" s="5" t="s">
        <v>34</v>
      </c>
      <c r="E49" s="5" t="s">
        <v>219</v>
      </c>
      <c r="F49" s="5" t="s">
        <v>327</v>
      </c>
      <c r="G49" s="5" t="s">
        <v>36</v>
      </c>
      <c r="H49" s="5" t="s">
        <v>36</v>
      </c>
      <c r="I49" s="5" t="s">
        <v>35</v>
      </c>
      <c r="J49" s="6">
        <v>1.0</v>
      </c>
      <c r="K49" s="6">
        <v>1800.0</v>
      </c>
      <c r="L49" s="6">
        <v>450.0</v>
      </c>
      <c r="M49" s="5" t="s">
        <v>38</v>
      </c>
      <c r="N49" s="5" t="s">
        <v>68</v>
      </c>
      <c r="O49" s="6" t="s">
        <v>40</v>
      </c>
      <c r="P49" s="5" t="s">
        <v>59</v>
      </c>
      <c r="Q49" s="5" t="s">
        <v>60</v>
      </c>
      <c r="R49" s="6" t="s">
        <v>42</v>
      </c>
      <c r="S49" s="5" t="s">
        <v>61</v>
      </c>
      <c r="T49" s="5" t="s">
        <v>99</v>
      </c>
      <c r="U49" s="5" t="s">
        <v>44</v>
      </c>
      <c r="V49" s="5" t="s">
        <v>329</v>
      </c>
      <c r="W49" s="5" t="s">
        <v>36</v>
      </c>
      <c r="X49" s="5" t="s">
        <v>330</v>
      </c>
      <c r="Y49" s="5" t="s">
        <v>46</v>
      </c>
      <c r="Z49" s="5" t="s">
        <v>47</v>
      </c>
      <c r="AA49" s="5" t="s">
        <v>64</v>
      </c>
      <c r="AB49" s="5" t="s">
        <v>369</v>
      </c>
      <c r="AC49" s="6" t="s">
        <v>370</v>
      </c>
      <c r="AD49" s="6">
        <v>1501.0</v>
      </c>
    </row>
    <row r="50" ht="56.25" customHeight="1">
      <c r="A50" s="5" t="s">
        <v>325</v>
      </c>
      <c r="B50" s="6" t="str">
        <f>IMAGE("https://storage.googleapis.com/acdb/miscellaneous/FtrBearS_Remake_1_3.png")</f>
        <v/>
      </c>
      <c r="C50" s="5" t="s">
        <v>355</v>
      </c>
      <c r="D50" s="5" t="s">
        <v>34</v>
      </c>
      <c r="E50" s="5" t="s">
        <v>348</v>
      </c>
      <c r="F50" s="5" t="s">
        <v>327</v>
      </c>
      <c r="G50" s="5" t="s">
        <v>36</v>
      </c>
      <c r="H50" s="5" t="s">
        <v>36</v>
      </c>
      <c r="I50" s="5" t="s">
        <v>35</v>
      </c>
      <c r="J50" s="6">
        <v>1.0</v>
      </c>
      <c r="K50" s="6">
        <v>1800.0</v>
      </c>
      <c r="L50" s="6">
        <v>450.0</v>
      </c>
      <c r="M50" s="5" t="s">
        <v>38</v>
      </c>
      <c r="N50" s="5" t="s">
        <v>114</v>
      </c>
      <c r="O50" s="6" t="s">
        <v>40</v>
      </c>
      <c r="P50" s="5" t="s">
        <v>59</v>
      </c>
      <c r="Q50" s="5" t="s">
        <v>60</v>
      </c>
      <c r="R50" s="6" t="s">
        <v>42</v>
      </c>
      <c r="S50" s="5" t="s">
        <v>61</v>
      </c>
      <c r="T50" s="5" t="s">
        <v>99</v>
      </c>
      <c r="U50" s="5" t="s">
        <v>44</v>
      </c>
      <c r="V50" s="5" t="s">
        <v>329</v>
      </c>
      <c r="W50" s="5" t="s">
        <v>36</v>
      </c>
      <c r="X50" s="5" t="s">
        <v>330</v>
      </c>
      <c r="Y50" s="5" t="s">
        <v>46</v>
      </c>
      <c r="Z50" s="5" t="s">
        <v>47</v>
      </c>
      <c r="AA50" s="5" t="s">
        <v>64</v>
      </c>
      <c r="AB50" s="5" t="s">
        <v>376</v>
      </c>
      <c r="AC50" s="6" t="s">
        <v>377</v>
      </c>
      <c r="AD50" s="6">
        <v>1501.0</v>
      </c>
    </row>
    <row r="51" ht="56.25" customHeight="1">
      <c r="A51" s="5" t="s">
        <v>325</v>
      </c>
      <c r="B51" s="6" t="str">
        <f>IMAGE("https://storage.googleapis.com/acdb/miscellaneous/FtrBearS_Remake_2_0.png")</f>
        <v/>
      </c>
      <c r="C51" s="5" t="s">
        <v>379</v>
      </c>
      <c r="D51" s="5" t="s">
        <v>34</v>
      </c>
      <c r="E51" s="5" t="s">
        <v>44</v>
      </c>
      <c r="F51" s="5" t="s">
        <v>327</v>
      </c>
      <c r="G51" s="5" t="s">
        <v>36</v>
      </c>
      <c r="H51" s="5" t="s">
        <v>36</v>
      </c>
      <c r="I51" s="5" t="s">
        <v>35</v>
      </c>
      <c r="J51" s="6">
        <v>1.0</v>
      </c>
      <c r="K51" s="6">
        <v>1800.0</v>
      </c>
      <c r="L51" s="6">
        <v>450.0</v>
      </c>
      <c r="M51" s="5" t="s">
        <v>39</v>
      </c>
      <c r="N51" s="5" t="s">
        <v>39</v>
      </c>
      <c r="O51" s="6" t="s">
        <v>40</v>
      </c>
      <c r="P51" s="5" t="s">
        <v>59</v>
      </c>
      <c r="Q51" s="5" t="s">
        <v>60</v>
      </c>
      <c r="R51" s="6" t="s">
        <v>42</v>
      </c>
      <c r="S51" s="5" t="s">
        <v>61</v>
      </c>
      <c r="T51" s="5" t="s">
        <v>99</v>
      </c>
      <c r="U51" s="5" t="s">
        <v>44</v>
      </c>
      <c r="V51" s="5" t="s">
        <v>329</v>
      </c>
      <c r="W51" s="5" t="s">
        <v>36</v>
      </c>
      <c r="X51" s="5" t="s">
        <v>330</v>
      </c>
      <c r="Y51" s="5" t="s">
        <v>46</v>
      </c>
      <c r="Z51" s="5" t="s">
        <v>47</v>
      </c>
      <c r="AA51" s="5" t="s">
        <v>64</v>
      </c>
      <c r="AB51" s="5" t="s">
        <v>382</v>
      </c>
      <c r="AC51" s="6" t="s">
        <v>67</v>
      </c>
      <c r="AD51" s="6">
        <v>1501.0</v>
      </c>
    </row>
    <row r="52" ht="56.25" customHeight="1">
      <c r="A52" s="5" t="s">
        <v>325</v>
      </c>
      <c r="B52" s="6" t="str">
        <f>IMAGE("https://storage.googleapis.com/acdb/miscellaneous/FtrBearS_Remake_2_1.png")</f>
        <v/>
      </c>
      <c r="C52" s="5" t="s">
        <v>379</v>
      </c>
      <c r="D52" s="5" t="s">
        <v>34</v>
      </c>
      <c r="E52" s="5" t="s">
        <v>334</v>
      </c>
      <c r="F52" s="5" t="s">
        <v>327</v>
      </c>
      <c r="G52" s="5" t="s">
        <v>36</v>
      </c>
      <c r="H52" s="5" t="s">
        <v>36</v>
      </c>
      <c r="I52" s="5" t="s">
        <v>35</v>
      </c>
      <c r="J52" s="6">
        <v>1.0</v>
      </c>
      <c r="K52" s="6">
        <v>1800.0</v>
      </c>
      <c r="L52" s="6">
        <v>450.0</v>
      </c>
      <c r="M52" s="5" t="s">
        <v>39</v>
      </c>
      <c r="N52" s="5" t="s">
        <v>52</v>
      </c>
      <c r="O52" s="6" t="s">
        <v>40</v>
      </c>
      <c r="P52" s="5" t="s">
        <v>59</v>
      </c>
      <c r="Q52" s="5" t="s">
        <v>60</v>
      </c>
      <c r="R52" s="6" t="s">
        <v>42</v>
      </c>
      <c r="S52" s="5" t="s">
        <v>61</v>
      </c>
      <c r="T52" s="5" t="s">
        <v>99</v>
      </c>
      <c r="U52" s="5" t="s">
        <v>44</v>
      </c>
      <c r="V52" s="5" t="s">
        <v>329</v>
      </c>
      <c r="W52" s="5" t="s">
        <v>36</v>
      </c>
      <c r="X52" s="5" t="s">
        <v>330</v>
      </c>
      <c r="Y52" s="5" t="s">
        <v>46</v>
      </c>
      <c r="Z52" s="5" t="s">
        <v>47</v>
      </c>
      <c r="AA52" s="5" t="s">
        <v>64</v>
      </c>
      <c r="AB52" s="5" t="s">
        <v>386</v>
      </c>
      <c r="AC52" s="6" t="s">
        <v>247</v>
      </c>
      <c r="AD52" s="6">
        <v>1501.0</v>
      </c>
    </row>
    <row r="53" ht="56.25" customHeight="1">
      <c r="A53" s="5" t="s">
        <v>325</v>
      </c>
      <c r="B53" s="6" t="str">
        <f>IMAGE("https://storage.googleapis.com/acdb/miscellaneous/FtrBearS_Remake_2_2.png")</f>
        <v/>
      </c>
      <c r="C53" s="5" t="s">
        <v>379</v>
      </c>
      <c r="D53" s="5" t="s">
        <v>34</v>
      </c>
      <c r="E53" s="5" t="s">
        <v>219</v>
      </c>
      <c r="F53" s="5" t="s">
        <v>327</v>
      </c>
      <c r="G53" s="5" t="s">
        <v>36</v>
      </c>
      <c r="H53" s="5" t="s">
        <v>36</v>
      </c>
      <c r="I53" s="5" t="s">
        <v>35</v>
      </c>
      <c r="J53" s="6">
        <v>1.0</v>
      </c>
      <c r="K53" s="6">
        <v>1800.0</v>
      </c>
      <c r="L53" s="6">
        <v>450.0</v>
      </c>
      <c r="M53" s="5" t="s">
        <v>39</v>
      </c>
      <c r="N53" s="5" t="s">
        <v>68</v>
      </c>
      <c r="O53" s="6" t="s">
        <v>40</v>
      </c>
      <c r="P53" s="5" t="s">
        <v>59</v>
      </c>
      <c r="Q53" s="5" t="s">
        <v>60</v>
      </c>
      <c r="R53" s="6" t="s">
        <v>42</v>
      </c>
      <c r="S53" s="5" t="s">
        <v>61</v>
      </c>
      <c r="T53" s="5" t="s">
        <v>99</v>
      </c>
      <c r="U53" s="5" t="s">
        <v>44</v>
      </c>
      <c r="V53" s="5" t="s">
        <v>329</v>
      </c>
      <c r="W53" s="5" t="s">
        <v>36</v>
      </c>
      <c r="X53" s="5" t="s">
        <v>330</v>
      </c>
      <c r="Y53" s="5" t="s">
        <v>46</v>
      </c>
      <c r="Z53" s="5" t="s">
        <v>47</v>
      </c>
      <c r="AA53" s="5" t="s">
        <v>64</v>
      </c>
      <c r="AB53" s="5" t="s">
        <v>389</v>
      </c>
      <c r="AC53" s="6" t="s">
        <v>390</v>
      </c>
      <c r="AD53" s="6">
        <v>1501.0</v>
      </c>
    </row>
    <row r="54" ht="56.25" customHeight="1">
      <c r="A54" s="5" t="s">
        <v>325</v>
      </c>
      <c r="B54" s="6" t="str">
        <f>IMAGE("https://storage.googleapis.com/acdb/miscellaneous/FtrBearS_Remake_2_3.png")</f>
        <v/>
      </c>
      <c r="C54" s="5" t="s">
        <v>379</v>
      </c>
      <c r="D54" s="5" t="s">
        <v>34</v>
      </c>
      <c r="E54" s="5" t="s">
        <v>348</v>
      </c>
      <c r="F54" s="5" t="s">
        <v>327</v>
      </c>
      <c r="G54" s="5" t="s">
        <v>36</v>
      </c>
      <c r="H54" s="5" t="s">
        <v>36</v>
      </c>
      <c r="I54" s="5" t="s">
        <v>35</v>
      </c>
      <c r="J54" s="6">
        <v>1.0</v>
      </c>
      <c r="K54" s="6">
        <v>1800.0</v>
      </c>
      <c r="L54" s="6">
        <v>450.0</v>
      </c>
      <c r="M54" s="5" t="s">
        <v>39</v>
      </c>
      <c r="N54" s="5" t="s">
        <v>114</v>
      </c>
      <c r="O54" s="6" t="s">
        <v>40</v>
      </c>
      <c r="P54" s="5" t="s">
        <v>59</v>
      </c>
      <c r="Q54" s="5" t="s">
        <v>60</v>
      </c>
      <c r="R54" s="6" t="s">
        <v>42</v>
      </c>
      <c r="S54" s="5" t="s">
        <v>61</v>
      </c>
      <c r="T54" s="5" t="s">
        <v>99</v>
      </c>
      <c r="U54" s="5" t="s">
        <v>44</v>
      </c>
      <c r="V54" s="5" t="s">
        <v>329</v>
      </c>
      <c r="W54" s="5" t="s">
        <v>36</v>
      </c>
      <c r="X54" s="5" t="s">
        <v>330</v>
      </c>
      <c r="Y54" s="5" t="s">
        <v>46</v>
      </c>
      <c r="Z54" s="5" t="s">
        <v>47</v>
      </c>
      <c r="AA54" s="5" t="s">
        <v>64</v>
      </c>
      <c r="AB54" s="5" t="s">
        <v>394</v>
      </c>
      <c r="AC54" s="6" t="s">
        <v>396</v>
      </c>
      <c r="AD54" s="6">
        <v>1501.0</v>
      </c>
    </row>
    <row r="55" ht="56.25" customHeight="1">
      <c r="A55" s="5" t="s">
        <v>325</v>
      </c>
      <c r="B55" s="6" t="str">
        <f>IMAGE("https://storage.googleapis.com/acdb/miscellaneous/FtrBearS_Remake_3_0.png")</f>
        <v/>
      </c>
      <c r="C55" s="5" t="s">
        <v>400</v>
      </c>
      <c r="D55" s="5" t="s">
        <v>34</v>
      </c>
      <c r="E55" s="5" t="s">
        <v>44</v>
      </c>
      <c r="F55" s="5" t="s">
        <v>327</v>
      </c>
      <c r="G55" s="5" t="s">
        <v>36</v>
      </c>
      <c r="H55" s="5" t="s">
        <v>36</v>
      </c>
      <c r="I55" s="5" t="s">
        <v>35</v>
      </c>
      <c r="J55" s="6">
        <v>1.0</v>
      </c>
      <c r="K55" s="6">
        <v>1800.0</v>
      </c>
      <c r="L55" s="6">
        <v>450.0</v>
      </c>
      <c r="M55" s="5" t="s">
        <v>68</v>
      </c>
      <c r="N55" s="5" t="s">
        <v>69</v>
      </c>
      <c r="O55" s="6" t="s">
        <v>40</v>
      </c>
      <c r="P55" s="5" t="s">
        <v>59</v>
      </c>
      <c r="Q55" s="5" t="s">
        <v>60</v>
      </c>
      <c r="R55" s="6" t="s">
        <v>42</v>
      </c>
      <c r="S55" s="5" t="s">
        <v>61</v>
      </c>
      <c r="T55" s="5" t="s">
        <v>99</v>
      </c>
      <c r="U55" s="5" t="s">
        <v>44</v>
      </c>
      <c r="V55" s="5" t="s">
        <v>329</v>
      </c>
      <c r="W55" s="5" t="s">
        <v>36</v>
      </c>
      <c r="X55" s="5" t="s">
        <v>330</v>
      </c>
      <c r="Y55" s="5" t="s">
        <v>46</v>
      </c>
      <c r="Z55" s="5" t="s">
        <v>47</v>
      </c>
      <c r="AA55" s="5" t="s">
        <v>64</v>
      </c>
      <c r="AB55" s="5" t="s">
        <v>402</v>
      </c>
      <c r="AC55" s="6" t="s">
        <v>71</v>
      </c>
      <c r="AD55" s="6">
        <v>1501.0</v>
      </c>
    </row>
    <row r="56" ht="56.25" customHeight="1">
      <c r="A56" s="5" t="s">
        <v>325</v>
      </c>
      <c r="B56" s="6" t="str">
        <f>IMAGE("https://storage.googleapis.com/acdb/miscellaneous/FtrBearS_Remake_3_1.png")</f>
        <v/>
      </c>
      <c r="C56" s="5" t="s">
        <v>400</v>
      </c>
      <c r="D56" s="5" t="s">
        <v>34</v>
      </c>
      <c r="E56" s="5" t="s">
        <v>334</v>
      </c>
      <c r="F56" s="5" t="s">
        <v>327</v>
      </c>
      <c r="G56" s="5" t="s">
        <v>36</v>
      </c>
      <c r="H56" s="5" t="s">
        <v>36</v>
      </c>
      <c r="I56" s="5" t="s">
        <v>35</v>
      </c>
      <c r="J56" s="6">
        <v>1.0</v>
      </c>
      <c r="K56" s="6">
        <v>1800.0</v>
      </c>
      <c r="L56" s="6">
        <v>450.0</v>
      </c>
      <c r="M56" s="5" t="s">
        <v>68</v>
      </c>
      <c r="N56" s="5" t="s">
        <v>52</v>
      </c>
      <c r="O56" s="6" t="s">
        <v>40</v>
      </c>
      <c r="P56" s="5" t="s">
        <v>59</v>
      </c>
      <c r="Q56" s="5" t="s">
        <v>60</v>
      </c>
      <c r="R56" s="6" t="s">
        <v>42</v>
      </c>
      <c r="S56" s="5" t="s">
        <v>61</v>
      </c>
      <c r="T56" s="5" t="s">
        <v>99</v>
      </c>
      <c r="U56" s="5" t="s">
        <v>44</v>
      </c>
      <c r="V56" s="5" t="s">
        <v>329</v>
      </c>
      <c r="W56" s="5" t="s">
        <v>36</v>
      </c>
      <c r="X56" s="5" t="s">
        <v>330</v>
      </c>
      <c r="Y56" s="5" t="s">
        <v>46</v>
      </c>
      <c r="Z56" s="5" t="s">
        <v>47</v>
      </c>
      <c r="AA56" s="5" t="s">
        <v>64</v>
      </c>
      <c r="AB56" s="5" t="s">
        <v>408</v>
      </c>
      <c r="AC56" s="6" t="s">
        <v>257</v>
      </c>
      <c r="AD56" s="6">
        <v>1501.0</v>
      </c>
    </row>
    <row r="57" ht="56.25" customHeight="1">
      <c r="A57" s="5" t="s">
        <v>325</v>
      </c>
      <c r="B57" s="6" t="str">
        <f>IMAGE("https://storage.googleapis.com/acdb/miscellaneous/FtrBearS_Remake_3_2.png")</f>
        <v/>
      </c>
      <c r="C57" s="5" t="s">
        <v>400</v>
      </c>
      <c r="D57" s="5" t="s">
        <v>34</v>
      </c>
      <c r="E57" s="5" t="s">
        <v>219</v>
      </c>
      <c r="F57" s="5" t="s">
        <v>327</v>
      </c>
      <c r="G57" s="5" t="s">
        <v>36</v>
      </c>
      <c r="H57" s="5" t="s">
        <v>36</v>
      </c>
      <c r="I57" s="5" t="s">
        <v>35</v>
      </c>
      <c r="J57" s="6">
        <v>1.0</v>
      </c>
      <c r="K57" s="6">
        <v>1800.0</v>
      </c>
      <c r="L57" s="6">
        <v>450.0</v>
      </c>
      <c r="M57" s="5" t="s">
        <v>68</v>
      </c>
      <c r="N57" s="5" t="s">
        <v>68</v>
      </c>
      <c r="O57" s="6" t="s">
        <v>40</v>
      </c>
      <c r="P57" s="5" t="s">
        <v>59</v>
      </c>
      <c r="Q57" s="5" t="s">
        <v>60</v>
      </c>
      <c r="R57" s="6" t="s">
        <v>42</v>
      </c>
      <c r="S57" s="5" t="s">
        <v>61</v>
      </c>
      <c r="T57" s="5" t="s">
        <v>99</v>
      </c>
      <c r="U57" s="5" t="s">
        <v>44</v>
      </c>
      <c r="V57" s="5" t="s">
        <v>329</v>
      </c>
      <c r="W57" s="5" t="s">
        <v>36</v>
      </c>
      <c r="X57" s="5" t="s">
        <v>330</v>
      </c>
      <c r="Y57" s="5" t="s">
        <v>46</v>
      </c>
      <c r="Z57" s="5" t="s">
        <v>47</v>
      </c>
      <c r="AA57" s="5" t="s">
        <v>64</v>
      </c>
      <c r="AB57" s="5" t="s">
        <v>413</v>
      </c>
      <c r="AC57" s="6" t="s">
        <v>414</v>
      </c>
      <c r="AD57" s="6">
        <v>1501.0</v>
      </c>
    </row>
    <row r="58" ht="56.25" customHeight="1">
      <c r="A58" s="5" t="s">
        <v>325</v>
      </c>
      <c r="B58" s="6" t="str">
        <f>IMAGE("https://storage.googleapis.com/acdb/miscellaneous/FtrBearS_Remake_3_3.png")</f>
        <v/>
      </c>
      <c r="C58" s="5" t="s">
        <v>400</v>
      </c>
      <c r="D58" s="5" t="s">
        <v>34</v>
      </c>
      <c r="E58" s="5" t="s">
        <v>348</v>
      </c>
      <c r="F58" s="5" t="s">
        <v>327</v>
      </c>
      <c r="G58" s="5" t="s">
        <v>36</v>
      </c>
      <c r="H58" s="5" t="s">
        <v>36</v>
      </c>
      <c r="I58" s="5" t="s">
        <v>35</v>
      </c>
      <c r="J58" s="6">
        <v>1.0</v>
      </c>
      <c r="K58" s="6">
        <v>1800.0</v>
      </c>
      <c r="L58" s="6">
        <v>450.0</v>
      </c>
      <c r="M58" s="5" t="s">
        <v>68</v>
      </c>
      <c r="N58" s="5" t="s">
        <v>114</v>
      </c>
      <c r="O58" s="6" t="s">
        <v>40</v>
      </c>
      <c r="P58" s="5" t="s">
        <v>59</v>
      </c>
      <c r="Q58" s="5" t="s">
        <v>60</v>
      </c>
      <c r="R58" s="6" t="s">
        <v>42</v>
      </c>
      <c r="S58" s="5" t="s">
        <v>61</v>
      </c>
      <c r="T58" s="5" t="s">
        <v>99</v>
      </c>
      <c r="U58" s="5" t="s">
        <v>44</v>
      </c>
      <c r="V58" s="5" t="s">
        <v>329</v>
      </c>
      <c r="W58" s="5" t="s">
        <v>36</v>
      </c>
      <c r="X58" s="5" t="s">
        <v>330</v>
      </c>
      <c r="Y58" s="5" t="s">
        <v>46</v>
      </c>
      <c r="Z58" s="5" t="s">
        <v>47</v>
      </c>
      <c r="AA58" s="5" t="s">
        <v>64</v>
      </c>
      <c r="AB58" s="5" t="s">
        <v>417</v>
      </c>
      <c r="AC58" s="6" t="s">
        <v>418</v>
      </c>
      <c r="AD58" s="6">
        <v>1501.0</v>
      </c>
    </row>
    <row r="59" ht="56.25" customHeight="1">
      <c r="A59" s="5" t="s">
        <v>325</v>
      </c>
      <c r="B59" s="6" t="str">
        <f>IMAGE("https://storage.googleapis.com/acdb/miscellaneous/FtrBearS_Remake_4_0.png")</f>
        <v/>
      </c>
      <c r="C59" s="5" t="s">
        <v>422</v>
      </c>
      <c r="D59" s="5" t="s">
        <v>34</v>
      </c>
      <c r="E59" s="5" t="s">
        <v>44</v>
      </c>
      <c r="F59" s="5" t="s">
        <v>327</v>
      </c>
      <c r="G59" s="5" t="s">
        <v>36</v>
      </c>
      <c r="H59" s="5" t="s">
        <v>36</v>
      </c>
      <c r="I59" s="5" t="s">
        <v>35</v>
      </c>
      <c r="J59" s="6">
        <v>1.0</v>
      </c>
      <c r="K59" s="6">
        <v>1800.0</v>
      </c>
      <c r="L59" s="6">
        <v>450.0</v>
      </c>
      <c r="M59" s="5" t="s">
        <v>114</v>
      </c>
      <c r="N59" s="5" t="s">
        <v>57</v>
      </c>
      <c r="O59" s="6" t="s">
        <v>40</v>
      </c>
      <c r="P59" s="5" t="s">
        <v>59</v>
      </c>
      <c r="Q59" s="5" t="s">
        <v>60</v>
      </c>
      <c r="R59" s="6" t="s">
        <v>42</v>
      </c>
      <c r="S59" s="5" t="s">
        <v>61</v>
      </c>
      <c r="T59" s="5" t="s">
        <v>99</v>
      </c>
      <c r="U59" s="5" t="s">
        <v>44</v>
      </c>
      <c r="V59" s="5" t="s">
        <v>329</v>
      </c>
      <c r="W59" s="5" t="s">
        <v>36</v>
      </c>
      <c r="X59" s="5" t="s">
        <v>330</v>
      </c>
      <c r="Y59" s="5" t="s">
        <v>46</v>
      </c>
      <c r="Z59" s="5" t="s">
        <v>47</v>
      </c>
      <c r="AA59" s="5" t="s">
        <v>64</v>
      </c>
      <c r="AB59" s="5" t="s">
        <v>424</v>
      </c>
      <c r="AC59" s="6" t="s">
        <v>75</v>
      </c>
      <c r="AD59" s="6">
        <v>1501.0</v>
      </c>
    </row>
    <row r="60" ht="56.25" customHeight="1">
      <c r="A60" s="5" t="s">
        <v>325</v>
      </c>
      <c r="B60" s="6" t="str">
        <f>IMAGE("https://storage.googleapis.com/acdb/miscellaneous/FtrBearS_Remake_4_1.png")</f>
        <v/>
      </c>
      <c r="C60" s="5" t="s">
        <v>422</v>
      </c>
      <c r="D60" s="5" t="s">
        <v>34</v>
      </c>
      <c r="E60" s="5" t="s">
        <v>334</v>
      </c>
      <c r="F60" s="5" t="s">
        <v>327</v>
      </c>
      <c r="G60" s="5" t="s">
        <v>36</v>
      </c>
      <c r="H60" s="5" t="s">
        <v>36</v>
      </c>
      <c r="I60" s="5" t="s">
        <v>35</v>
      </c>
      <c r="J60" s="6">
        <v>1.0</v>
      </c>
      <c r="K60" s="6">
        <v>1800.0</v>
      </c>
      <c r="L60" s="6">
        <v>450.0</v>
      </c>
      <c r="M60" s="5" t="s">
        <v>114</v>
      </c>
      <c r="N60" s="5" t="s">
        <v>52</v>
      </c>
      <c r="O60" s="6" t="s">
        <v>40</v>
      </c>
      <c r="P60" s="5" t="s">
        <v>59</v>
      </c>
      <c r="Q60" s="5" t="s">
        <v>60</v>
      </c>
      <c r="R60" s="6" t="s">
        <v>42</v>
      </c>
      <c r="S60" s="5" t="s">
        <v>61</v>
      </c>
      <c r="T60" s="5" t="s">
        <v>99</v>
      </c>
      <c r="U60" s="5" t="s">
        <v>44</v>
      </c>
      <c r="V60" s="5" t="s">
        <v>329</v>
      </c>
      <c r="W60" s="5" t="s">
        <v>36</v>
      </c>
      <c r="X60" s="5" t="s">
        <v>330</v>
      </c>
      <c r="Y60" s="5" t="s">
        <v>46</v>
      </c>
      <c r="Z60" s="5" t="s">
        <v>47</v>
      </c>
      <c r="AA60" s="5" t="s">
        <v>64</v>
      </c>
      <c r="AB60" s="5" t="s">
        <v>428</v>
      </c>
      <c r="AC60" s="6" t="s">
        <v>429</v>
      </c>
      <c r="AD60" s="6">
        <v>1501.0</v>
      </c>
    </row>
    <row r="61" ht="56.25" customHeight="1">
      <c r="A61" s="5" t="s">
        <v>325</v>
      </c>
      <c r="B61" s="6" t="str">
        <f>IMAGE("https://storage.googleapis.com/acdb/miscellaneous/FtrBearS_Remake_4_2.png")</f>
        <v/>
      </c>
      <c r="C61" s="5" t="s">
        <v>422</v>
      </c>
      <c r="D61" s="5" t="s">
        <v>34</v>
      </c>
      <c r="E61" s="5" t="s">
        <v>219</v>
      </c>
      <c r="F61" s="5" t="s">
        <v>327</v>
      </c>
      <c r="G61" s="5" t="s">
        <v>36</v>
      </c>
      <c r="H61" s="5" t="s">
        <v>36</v>
      </c>
      <c r="I61" s="5" t="s">
        <v>35</v>
      </c>
      <c r="J61" s="6">
        <v>1.0</v>
      </c>
      <c r="K61" s="6">
        <v>1800.0</v>
      </c>
      <c r="L61" s="6">
        <v>450.0</v>
      </c>
      <c r="M61" s="5" t="s">
        <v>114</v>
      </c>
      <c r="N61" s="5" t="s">
        <v>114</v>
      </c>
      <c r="O61" s="6" t="s">
        <v>40</v>
      </c>
      <c r="P61" s="5" t="s">
        <v>59</v>
      </c>
      <c r="Q61" s="5" t="s">
        <v>60</v>
      </c>
      <c r="R61" s="6" t="s">
        <v>42</v>
      </c>
      <c r="S61" s="5" t="s">
        <v>61</v>
      </c>
      <c r="T61" s="5" t="s">
        <v>99</v>
      </c>
      <c r="U61" s="5" t="s">
        <v>44</v>
      </c>
      <c r="V61" s="5" t="s">
        <v>329</v>
      </c>
      <c r="W61" s="5" t="s">
        <v>36</v>
      </c>
      <c r="X61" s="5" t="s">
        <v>330</v>
      </c>
      <c r="Y61" s="5" t="s">
        <v>46</v>
      </c>
      <c r="Z61" s="5" t="s">
        <v>47</v>
      </c>
      <c r="AA61" s="5" t="s">
        <v>64</v>
      </c>
      <c r="AB61" s="5" t="s">
        <v>433</v>
      </c>
      <c r="AC61" s="6" t="s">
        <v>434</v>
      </c>
      <c r="AD61" s="6">
        <v>1501.0</v>
      </c>
    </row>
    <row r="62" ht="56.25" customHeight="1">
      <c r="A62" s="5" t="s">
        <v>325</v>
      </c>
      <c r="B62" s="6" t="str">
        <f>IMAGE("https://storage.googleapis.com/acdb/miscellaneous/FtrBearS_Remake_4_3.png")</f>
        <v/>
      </c>
      <c r="C62" s="5" t="s">
        <v>422</v>
      </c>
      <c r="D62" s="5" t="s">
        <v>34</v>
      </c>
      <c r="E62" s="5" t="s">
        <v>348</v>
      </c>
      <c r="F62" s="5" t="s">
        <v>327</v>
      </c>
      <c r="G62" s="5" t="s">
        <v>36</v>
      </c>
      <c r="H62" s="5" t="s">
        <v>36</v>
      </c>
      <c r="I62" s="5" t="s">
        <v>35</v>
      </c>
      <c r="J62" s="6">
        <v>1.0</v>
      </c>
      <c r="K62" s="6">
        <v>1800.0</v>
      </c>
      <c r="L62" s="6">
        <v>450.0</v>
      </c>
      <c r="M62" s="5" t="s">
        <v>114</v>
      </c>
      <c r="N62" s="5" t="s">
        <v>57</v>
      </c>
      <c r="O62" s="6" t="s">
        <v>40</v>
      </c>
      <c r="P62" s="5" t="s">
        <v>59</v>
      </c>
      <c r="Q62" s="5" t="s">
        <v>60</v>
      </c>
      <c r="R62" s="6" t="s">
        <v>42</v>
      </c>
      <c r="S62" s="5" t="s">
        <v>61</v>
      </c>
      <c r="T62" s="5" t="s">
        <v>99</v>
      </c>
      <c r="U62" s="5" t="s">
        <v>44</v>
      </c>
      <c r="V62" s="5" t="s">
        <v>329</v>
      </c>
      <c r="W62" s="5" t="s">
        <v>36</v>
      </c>
      <c r="X62" s="5" t="s">
        <v>330</v>
      </c>
      <c r="Y62" s="5" t="s">
        <v>46</v>
      </c>
      <c r="Z62" s="5" t="s">
        <v>47</v>
      </c>
      <c r="AA62" s="5" t="s">
        <v>64</v>
      </c>
      <c r="AB62" s="5" t="s">
        <v>437</v>
      </c>
      <c r="AC62" s="6" t="s">
        <v>438</v>
      </c>
      <c r="AD62" s="6">
        <v>1501.0</v>
      </c>
    </row>
    <row r="63" ht="56.25" customHeight="1">
      <c r="A63" s="5" t="s">
        <v>325</v>
      </c>
      <c r="B63" s="6" t="str">
        <f>IMAGE("https://storage.googleapis.com/acdb/miscellaneous/FtrBearS_Remake_5_0.png")</f>
        <v/>
      </c>
      <c r="C63" s="5" t="s">
        <v>439</v>
      </c>
      <c r="D63" s="5" t="s">
        <v>34</v>
      </c>
      <c r="E63" s="5" t="s">
        <v>44</v>
      </c>
      <c r="F63" s="5" t="s">
        <v>327</v>
      </c>
      <c r="G63" s="5" t="s">
        <v>36</v>
      </c>
      <c r="H63" s="5" t="s">
        <v>36</v>
      </c>
      <c r="I63" s="5" t="s">
        <v>35</v>
      </c>
      <c r="J63" s="6">
        <v>1.0</v>
      </c>
      <c r="K63" s="6">
        <v>1800.0</v>
      </c>
      <c r="L63" s="6">
        <v>450.0</v>
      </c>
      <c r="M63" s="5" t="s">
        <v>58</v>
      </c>
      <c r="N63" s="5" t="s">
        <v>58</v>
      </c>
      <c r="O63" s="6" t="s">
        <v>40</v>
      </c>
      <c r="P63" s="5" t="s">
        <v>59</v>
      </c>
      <c r="Q63" s="5" t="s">
        <v>60</v>
      </c>
      <c r="R63" s="6" t="s">
        <v>42</v>
      </c>
      <c r="S63" s="5" t="s">
        <v>61</v>
      </c>
      <c r="T63" s="5" t="s">
        <v>99</v>
      </c>
      <c r="U63" s="5" t="s">
        <v>44</v>
      </c>
      <c r="V63" s="5" t="s">
        <v>329</v>
      </c>
      <c r="W63" s="5" t="s">
        <v>36</v>
      </c>
      <c r="X63" s="5" t="s">
        <v>330</v>
      </c>
      <c r="Y63" s="5" t="s">
        <v>46</v>
      </c>
      <c r="Z63" s="5" t="s">
        <v>47</v>
      </c>
      <c r="AA63" s="5" t="s">
        <v>64</v>
      </c>
      <c r="AB63" s="5" t="s">
        <v>444</v>
      </c>
      <c r="AC63" s="6" t="s">
        <v>79</v>
      </c>
      <c r="AD63" s="6">
        <v>1501.0</v>
      </c>
    </row>
    <row r="64" ht="56.25" customHeight="1">
      <c r="A64" s="5" t="s">
        <v>325</v>
      </c>
      <c r="B64" s="6" t="str">
        <f>IMAGE("https://storage.googleapis.com/acdb/miscellaneous/FtrBearS_Remake_5_1.png")</f>
        <v/>
      </c>
      <c r="C64" s="5" t="s">
        <v>439</v>
      </c>
      <c r="D64" s="5" t="s">
        <v>34</v>
      </c>
      <c r="E64" s="5" t="s">
        <v>334</v>
      </c>
      <c r="F64" s="5" t="s">
        <v>327</v>
      </c>
      <c r="G64" s="5" t="s">
        <v>36</v>
      </c>
      <c r="H64" s="5" t="s">
        <v>36</v>
      </c>
      <c r="I64" s="5" t="s">
        <v>35</v>
      </c>
      <c r="J64" s="6">
        <v>1.0</v>
      </c>
      <c r="K64" s="6">
        <v>1800.0</v>
      </c>
      <c r="L64" s="6">
        <v>450.0</v>
      </c>
      <c r="M64" s="5" t="s">
        <v>58</v>
      </c>
      <c r="N64" s="5" t="s">
        <v>52</v>
      </c>
      <c r="O64" s="6" t="s">
        <v>40</v>
      </c>
      <c r="P64" s="5" t="s">
        <v>59</v>
      </c>
      <c r="Q64" s="5" t="s">
        <v>60</v>
      </c>
      <c r="R64" s="6" t="s">
        <v>42</v>
      </c>
      <c r="S64" s="5" t="s">
        <v>61</v>
      </c>
      <c r="T64" s="5" t="s">
        <v>99</v>
      </c>
      <c r="U64" s="5" t="s">
        <v>44</v>
      </c>
      <c r="V64" s="5" t="s">
        <v>329</v>
      </c>
      <c r="W64" s="5" t="s">
        <v>36</v>
      </c>
      <c r="X64" s="5" t="s">
        <v>330</v>
      </c>
      <c r="Y64" s="5" t="s">
        <v>46</v>
      </c>
      <c r="Z64" s="5" t="s">
        <v>47</v>
      </c>
      <c r="AA64" s="5" t="s">
        <v>64</v>
      </c>
      <c r="AB64" s="5" t="s">
        <v>447</v>
      </c>
      <c r="AC64" s="6" t="s">
        <v>448</v>
      </c>
      <c r="AD64" s="6">
        <v>1501.0</v>
      </c>
    </row>
    <row r="65" ht="56.25" customHeight="1">
      <c r="A65" s="5" t="s">
        <v>325</v>
      </c>
      <c r="B65" s="6" t="str">
        <f>IMAGE("https://storage.googleapis.com/acdb/miscellaneous/FtrBearS_Remake_5_2.png")</f>
        <v/>
      </c>
      <c r="C65" s="5" t="s">
        <v>439</v>
      </c>
      <c r="D65" s="5" t="s">
        <v>34</v>
      </c>
      <c r="E65" s="5" t="s">
        <v>219</v>
      </c>
      <c r="F65" s="5" t="s">
        <v>327</v>
      </c>
      <c r="G65" s="5" t="s">
        <v>36</v>
      </c>
      <c r="H65" s="5" t="s">
        <v>36</v>
      </c>
      <c r="I65" s="5" t="s">
        <v>35</v>
      </c>
      <c r="J65" s="6">
        <v>1.0</v>
      </c>
      <c r="K65" s="6">
        <v>1800.0</v>
      </c>
      <c r="L65" s="6">
        <v>450.0</v>
      </c>
      <c r="M65" s="5" t="s">
        <v>58</v>
      </c>
      <c r="N65" s="5" t="s">
        <v>68</v>
      </c>
      <c r="O65" s="6" t="s">
        <v>40</v>
      </c>
      <c r="P65" s="5" t="s">
        <v>59</v>
      </c>
      <c r="Q65" s="5" t="s">
        <v>60</v>
      </c>
      <c r="R65" s="6" t="s">
        <v>42</v>
      </c>
      <c r="S65" s="5" t="s">
        <v>61</v>
      </c>
      <c r="T65" s="5" t="s">
        <v>99</v>
      </c>
      <c r="U65" s="5" t="s">
        <v>44</v>
      </c>
      <c r="V65" s="5" t="s">
        <v>329</v>
      </c>
      <c r="W65" s="5" t="s">
        <v>36</v>
      </c>
      <c r="X65" s="5" t="s">
        <v>330</v>
      </c>
      <c r="Y65" s="5" t="s">
        <v>46</v>
      </c>
      <c r="Z65" s="5" t="s">
        <v>47</v>
      </c>
      <c r="AA65" s="5" t="s">
        <v>64</v>
      </c>
      <c r="AB65" s="5" t="s">
        <v>451</v>
      </c>
      <c r="AC65" s="6" t="s">
        <v>452</v>
      </c>
      <c r="AD65" s="6">
        <v>1501.0</v>
      </c>
    </row>
    <row r="66" ht="56.25" customHeight="1">
      <c r="A66" s="5" t="s">
        <v>325</v>
      </c>
      <c r="B66" s="6" t="str">
        <f>IMAGE("https://storage.googleapis.com/acdb/miscellaneous/FtrBearS_Remake_5_3.png")</f>
        <v/>
      </c>
      <c r="C66" s="5" t="s">
        <v>439</v>
      </c>
      <c r="D66" s="5" t="s">
        <v>34</v>
      </c>
      <c r="E66" s="5" t="s">
        <v>348</v>
      </c>
      <c r="F66" s="5" t="s">
        <v>327</v>
      </c>
      <c r="G66" s="5" t="s">
        <v>36</v>
      </c>
      <c r="H66" s="5" t="s">
        <v>36</v>
      </c>
      <c r="I66" s="5" t="s">
        <v>35</v>
      </c>
      <c r="J66" s="6">
        <v>1.0</v>
      </c>
      <c r="K66" s="6">
        <v>1800.0</v>
      </c>
      <c r="L66" s="6">
        <v>450.0</v>
      </c>
      <c r="M66" s="5" t="s">
        <v>58</v>
      </c>
      <c r="N66" s="5" t="s">
        <v>114</v>
      </c>
      <c r="O66" s="6" t="s">
        <v>40</v>
      </c>
      <c r="P66" s="5" t="s">
        <v>59</v>
      </c>
      <c r="Q66" s="5" t="s">
        <v>60</v>
      </c>
      <c r="R66" s="6" t="s">
        <v>42</v>
      </c>
      <c r="S66" s="5" t="s">
        <v>61</v>
      </c>
      <c r="T66" s="5" t="s">
        <v>99</v>
      </c>
      <c r="U66" s="5" t="s">
        <v>44</v>
      </c>
      <c r="V66" s="5" t="s">
        <v>329</v>
      </c>
      <c r="W66" s="5" t="s">
        <v>36</v>
      </c>
      <c r="X66" s="5" t="s">
        <v>330</v>
      </c>
      <c r="Y66" s="5" t="s">
        <v>46</v>
      </c>
      <c r="Z66" s="5" t="s">
        <v>47</v>
      </c>
      <c r="AA66" s="5" t="s">
        <v>64</v>
      </c>
      <c r="AB66" s="5" t="s">
        <v>454</v>
      </c>
      <c r="AC66" s="6" t="s">
        <v>455</v>
      </c>
      <c r="AD66" s="6">
        <v>1501.0</v>
      </c>
    </row>
    <row r="67" ht="56.25" customHeight="1">
      <c r="A67" s="5" t="s">
        <v>456</v>
      </c>
      <c r="B67" s="16" t="str">
        <f>IMAGE("https://storage.googleapis.com/acdb/miscellaneous/FtrPandaS.png")</f>
        <v/>
      </c>
      <c r="C67" s="5" t="s">
        <v>34</v>
      </c>
      <c r="D67" s="5" t="s">
        <v>34</v>
      </c>
      <c r="E67" s="5" t="s">
        <v>34</v>
      </c>
      <c r="F67" s="5" t="s">
        <v>34</v>
      </c>
      <c r="G67" s="5" t="s">
        <v>36</v>
      </c>
      <c r="H67" s="5" t="s">
        <v>36</v>
      </c>
      <c r="I67" s="5" t="s">
        <v>36</v>
      </c>
      <c r="J67" s="6" t="s">
        <v>34</v>
      </c>
      <c r="K67" s="6">
        <v>1800.0</v>
      </c>
      <c r="L67" s="6">
        <v>450.0</v>
      </c>
      <c r="M67" s="5" t="s">
        <v>96</v>
      </c>
      <c r="N67" s="5" t="s">
        <v>57</v>
      </c>
      <c r="O67" s="6" t="s">
        <v>40</v>
      </c>
      <c r="P67" s="5" t="s">
        <v>59</v>
      </c>
      <c r="Q67" s="5" t="s">
        <v>60</v>
      </c>
      <c r="R67" s="6" t="s">
        <v>42</v>
      </c>
      <c r="S67" s="5" t="s">
        <v>61</v>
      </c>
      <c r="T67" s="5" t="s">
        <v>99</v>
      </c>
      <c r="U67" s="5" t="s">
        <v>44</v>
      </c>
      <c r="V67" s="5" t="s">
        <v>460</v>
      </c>
      <c r="W67" s="5" t="s">
        <v>36</v>
      </c>
      <c r="X67" s="5" t="s">
        <v>330</v>
      </c>
      <c r="Y67" s="5" t="s">
        <v>46</v>
      </c>
      <c r="Z67" s="5" t="s">
        <v>47</v>
      </c>
      <c r="AA67" s="5" t="s">
        <v>64</v>
      </c>
      <c r="AB67" s="5" t="s">
        <v>462</v>
      </c>
      <c r="AC67" s="6" t="s">
        <v>34</v>
      </c>
      <c r="AD67" s="6">
        <v>9698.0</v>
      </c>
    </row>
    <row r="68" ht="56.25" customHeight="1">
      <c r="A68" s="5" t="s">
        <v>463</v>
      </c>
      <c r="B68" s="16" t="str">
        <f>IMAGE("https://storage.googleapis.com/acdb/miscellaneous/FtrInsectMinomushiToy.png")</f>
        <v/>
      </c>
      <c r="C68" s="5" t="s">
        <v>34</v>
      </c>
      <c r="D68" s="5" t="s">
        <v>34</v>
      </c>
      <c r="E68" s="5" t="s">
        <v>34</v>
      </c>
      <c r="F68" s="5" t="s">
        <v>34</v>
      </c>
      <c r="G68" s="5" t="s">
        <v>36</v>
      </c>
      <c r="H68" s="5" t="s">
        <v>36</v>
      </c>
      <c r="I68" s="5" t="s">
        <v>36</v>
      </c>
      <c r="J68" s="6" t="s">
        <v>34</v>
      </c>
      <c r="K68" s="6" t="s">
        <v>37</v>
      </c>
      <c r="L68" s="6">
        <v>1800.0</v>
      </c>
      <c r="M68" s="5" t="s">
        <v>39</v>
      </c>
      <c r="N68" s="5" t="s">
        <v>39</v>
      </c>
      <c r="O68" s="6" t="s">
        <v>40</v>
      </c>
      <c r="P68" s="5" t="s">
        <v>107</v>
      </c>
      <c r="Q68" s="5" t="s">
        <v>108</v>
      </c>
      <c r="R68" s="6" t="s">
        <v>42</v>
      </c>
      <c r="S68" s="5" t="s">
        <v>44</v>
      </c>
      <c r="T68" s="5" t="s">
        <v>44</v>
      </c>
      <c r="U68" s="5" t="s">
        <v>44</v>
      </c>
      <c r="V68" s="5" t="s">
        <v>44</v>
      </c>
      <c r="W68" s="5" t="s">
        <v>36</v>
      </c>
      <c r="X68" s="5" t="s">
        <v>109</v>
      </c>
      <c r="Y68" s="5" t="s">
        <v>46</v>
      </c>
      <c r="Z68" s="5" t="s">
        <v>47</v>
      </c>
      <c r="AA68" s="5" t="s">
        <v>48</v>
      </c>
      <c r="AB68" s="5" t="s">
        <v>470</v>
      </c>
      <c r="AC68" s="6" t="s">
        <v>34</v>
      </c>
      <c r="AD68" s="6">
        <v>7082.0</v>
      </c>
    </row>
    <row r="69" ht="56.25" customHeight="1">
      <c r="A69" s="5" t="s">
        <v>471</v>
      </c>
      <c r="B69" s="6" t="str">
        <f>IMAGE("https://storage.googleapis.com/acdb/miscellaneous/FtrBall_Remake_0_0.png")</f>
        <v/>
      </c>
      <c r="C69" s="5" t="s">
        <v>473</v>
      </c>
      <c r="D69" s="5" t="s">
        <v>34</v>
      </c>
      <c r="E69" s="5" t="s">
        <v>34</v>
      </c>
      <c r="F69" s="5" t="s">
        <v>34</v>
      </c>
      <c r="G69" s="5" t="s">
        <v>36</v>
      </c>
      <c r="H69" s="5" t="s">
        <v>36</v>
      </c>
      <c r="I69" s="5" t="s">
        <v>36</v>
      </c>
      <c r="J69" s="6" t="s">
        <v>34</v>
      </c>
      <c r="K69" s="6">
        <v>520.0</v>
      </c>
      <c r="L69" s="6">
        <v>130.0</v>
      </c>
      <c r="M69" s="5" t="s">
        <v>142</v>
      </c>
      <c r="N69" s="5" t="s">
        <v>54</v>
      </c>
      <c r="O69" s="6" t="s">
        <v>40</v>
      </c>
      <c r="P69" s="5" t="s">
        <v>59</v>
      </c>
      <c r="Q69" s="5" t="s">
        <v>60</v>
      </c>
      <c r="R69" s="6" t="s">
        <v>42</v>
      </c>
      <c r="S69" s="5" t="s">
        <v>474</v>
      </c>
      <c r="T69" s="5" t="s">
        <v>130</v>
      </c>
      <c r="U69" s="5" t="s">
        <v>44</v>
      </c>
      <c r="V69" s="5" t="s">
        <v>44</v>
      </c>
      <c r="W69" s="5" t="s">
        <v>35</v>
      </c>
      <c r="X69" s="5" t="s">
        <v>475</v>
      </c>
      <c r="Y69" s="5" t="s">
        <v>46</v>
      </c>
      <c r="Z69" s="5" t="s">
        <v>47</v>
      </c>
      <c r="AA69" s="5" t="s">
        <v>64</v>
      </c>
      <c r="AB69" s="5" t="s">
        <v>477</v>
      </c>
      <c r="AC69" s="6" t="s">
        <v>50</v>
      </c>
      <c r="AD69" s="6">
        <v>2010.0</v>
      </c>
    </row>
    <row r="70" ht="56.25" customHeight="1">
      <c r="A70" s="5" t="s">
        <v>471</v>
      </c>
      <c r="B70" s="6" t="str">
        <f>IMAGE("https://storage.googleapis.com/acdb/miscellaneous/FtrBall_Remake_1_0.png")</f>
        <v/>
      </c>
      <c r="C70" s="5" t="s">
        <v>479</v>
      </c>
      <c r="D70" s="5" t="s">
        <v>34</v>
      </c>
      <c r="E70" s="5" t="s">
        <v>34</v>
      </c>
      <c r="F70" s="5" t="s">
        <v>34</v>
      </c>
      <c r="G70" s="5" t="s">
        <v>36</v>
      </c>
      <c r="H70" s="5" t="s">
        <v>36</v>
      </c>
      <c r="I70" s="5" t="s">
        <v>36</v>
      </c>
      <c r="J70" s="6" t="s">
        <v>34</v>
      </c>
      <c r="K70" s="6">
        <v>520.0</v>
      </c>
      <c r="L70" s="6">
        <v>130.0</v>
      </c>
      <c r="M70" s="5" t="s">
        <v>57</v>
      </c>
      <c r="N70" s="5" t="s">
        <v>54</v>
      </c>
      <c r="O70" s="6" t="s">
        <v>40</v>
      </c>
      <c r="P70" s="5" t="s">
        <v>59</v>
      </c>
      <c r="Q70" s="5" t="s">
        <v>60</v>
      </c>
      <c r="R70" s="6" t="s">
        <v>42</v>
      </c>
      <c r="S70" s="5" t="s">
        <v>474</v>
      </c>
      <c r="T70" s="5" t="s">
        <v>130</v>
      </c>
      <c r="U70" s="5" t="s">
        <v>44</v>
      </c>
      <c r="V70" s="5" t="s">
        <v>44</v>
      </c>
      <c r="W70" s="5" t="s">
        <v>35</v>
      </c>
      <c r="X70" s="5" t="s">
        <v>475</v>
      </c>
      <c r="Y70" s="5" t="s">
        <v>46</v>
      </c>
      <c r="Z70" s="5" t="s">
        <v>47</v>
      </c>
      <c r="AA70" s="5" t="s">
        <v>64</v>
      </c>
      <c r="AB70" s="5" t="s">
        <v>483</v>
      </c>
      <c r="AC70" s="6" t="s">
        <v>56</v>
      </c>
      <c r="AD70" s="6">
        <v>2010.0</v>
      </c>
    </row>
    <row r="71" ht="56.25" customHeight="1">
      <c r="A71" s="5" t="s">
        <v>471</v>
      </c>
      <c r="B71" s="6" t="str">
        <f>IMAGE("https://storage.googleapis.com/acdb/miscellaneous/FtrBall_Remake_2_0.png")</f>
        <v/>
      </c>
      <c r="C71" s="5" t="s">
        <v>484</v>
      </c>
      <c r="D71" s="5" t="s">
        <v>34</v>
      </c>
      <c r="E71" s="5" t="s">
        <v>34</v>
      </c>
      <c r="F71" s="5" t="s">
        <v>34</v>
      </c>
      <c r="G71" s="5" t="s">
        <v>36</v>
      </c>
      <c r="H71" s="5" t="s">
        <v>36</v>
      </c>
      <c r="I71" s="5" t="s">
        <v>36</v>
      </c>
      <c r="J71" s="6" t="s">
        <v>34</v>
      </c>
      <c r="K71" s="6">
        <v>520.0</v>
      </c>
      <c r="L71" s="6">
        <v>130.0</v>
      </c>
      <c r="M71" s="5" t="s">
        <v>57</v>
      </c>
      <c r="N71" s="5" t="s">
        <v>57</v>
      </c>
      <c r="O71" s="6" t="s">
        <v>40</v>
      </c>
      <c r="P71" s="5" t="s">
        <v>59</v>
      </c>
      <c r="Q71" s="5" t="s">
        <v>60</v>
      </c>
      <c r="R71" s="6" t="s">
        <v>42</v>
      </c>
      <c r="S71" s="5" t="s">
        <v>474</v>
      </c>
      <c r="T71" s="5" t="s">
        <v>130</v>
      </c>
      <c r="U71" s="5" t="s">
        <v>44</v>
      </c>
      <c r="V71" s="5" t="s">
        <v>44</v>
      </c>
      <c r="W71" s="5" t="s">
        <v>35</v>
      </c>
      <c r="X71" s="5" t="s">
        <v>475</v>
      </c>
      <c r="Y71" s="5" t="s">
        <v>46</v>
      </c>
      <c r="Z71" s="5" t="s">
        <v>47</v>
      </c>
      <c r="AA71" s="5" t="s">
        <v>64</v>
      </c>
      <c r="AB71" s="5" t="s">
        <v>487</v>
      </c>
      <c r="AC71" s="6" t="s">
        <v>67</v>
      </c>
      <c r="AD71" s="6">
        <v>2010.0</v>
      </c>
    </row>
    <row r="72" ht="56.25" customHeight="1">
      <c r="A72" s="5" t="s">
        <v>471</v>
      </c>
      <c r="B72" s="6" t="str">
        <f>IMAGE("https://storage.googleapis.com/acdb/miscellaneous/FtrBall_Remake_3_0.png")</f>
        <v/>
      </c>
      <c r="C72" s="5" t="s">
        <v>489</v>
      </c>
      <c r="D72" s="5" t="s">
        <v>34</v>
      </c>
      <c r="E72" s="5" t="s">
        <v>34</v>
      </c>
      <c r="F72" s="5" t="s">
        <v>34</v>
      </c>
      <c r="G72" s="5" t="s">
        <v>36</v>
      </c>
      <c r="H72" s="5" t="s">
        <v>36</v>
      </c>
      <c r="I72" s="5" t="s">
        <v>36</v>
      </c>
      <c r="J72" s="6" t="s">
        <v>34</v>
      </c>
      <c r="K72" s="6">
        <v>520.0</v>
      </c>
      <c r="L72" s="6">
        <v>130.0</v>
      </c>
      <c r="M72" s="5" t="s">
        <v>114</v>
      </c>
      <c r="N72" s="5" t="s">
        <v>54</v>
      </c>
      <c r="O72" s="6" t="s">
        <v>40</v>
      </c>
      <c r="P72" s="5" t="s">
        <v>59</v>
      </c>
      <c r="Q72" s="5" t="s">
        <v>60</v>
      </c>
      <c r="R72" s="6" t="s">
        <v>42</v>
      </c>
      <c r="S72" s="5" t="s">
        <v>474</v>
      </c>
      <c r="T72" s="5" t="s">
        <v>130</v>
      </c>
      <c r="U72" s="5" t="s">
        <v>44</v>
      </c>
      <c r="V72" s="5" t="s">
        <v>44</v>
      </c>
      <c r="W72" s="5" t="s">
        <v>35</v>
      </c>
      <c r="X72" s="5" t="s">
        <v>475</v>
      </c>
      <c r="Y72" s="5" t="s">
        <v>46</v>
      </c>
      <c r="Z72" s="5" t="s">
        <v>47</v>
      </c>
      <c r="AA72" s="5" t="s">
        <v>64</v>
      </c>
      <c r="AB72" s="5" t="s">
        <v>492</v>
      </c>
      <c r="AC72" s="6" t="s">
        <v>71</v>
      </c>
      <c r="AD72" s="6">
        <v>2010.0</v>
      </c>
    </row>
    <row r="73" ht="56.25" customHeight="1">
      <c r="A73" s="5" t="s">
        <v>493</v>
      </c>
      <c r="B73" s="6" t="str">
        <f>IMAGE("https://storage.googleapis.com/acdb/miscellaneous/FtrBambooCandle_Remake_0_0.png")</f>
        <v/>
      </c>
      <c r="C73" s="5" t="s">
        <v>261</v>
      </c>
      <c r="D73" s="5" t="s">
        <v>262</v>
      </c>
      <c r="E73" s="5" t="s">
        <v>34</v>
      </c>
      <c r="F73" s="5" t="s">
        <v>34</v>
      </c>
      <c r="G73" s="5" t="s">
        <v>35</v>
      </c>
      <c r="H73" s="5" t="s">
        <v>35</v>
      </c>
      <c r="I73" s="5" t="s">
        <v>36</v>
      </c>
      <c r="J73" s="6">
        <v>2.0</v>
      </c>
      <c r="K73" s="6" t="s">
        <v>37</v>
      </c>
      <c r="L73" s="6">
        <v>880.0</v>
      </c>
      <c r="M73" s="5" t="s">
        <v>96</v>
      </c>
      <c r="N73" s="5" t="s">
        <v>38</v>
      </c>
      <c r="O73" s="6" t="s">
        <v>40</v>
      </c>
      <c r="P73" s="5" t="s">
        <v>41</v>
      </c>
      <c r="Q73" s="5"/>
      <c r="R73" s="6" t="s">
        <v>42</v>
      </c>
      <c r="S73" s="5" t="s">
        <v>266</v>
      </c>
      <c r="T73" s="5" t="s">
        <v>44</v>
      </c>
      <c r="U73" s="5" t="s">
        <v>267</v>
      </c>
      <c r="V73" s="5" t="s">
        <v>44</v>
      </c>
      <c r="W73" s="5" t="s">
        <v>35</v>
      </c>
      <c r="X73" s="5" t="s">
        <v>467</v>
      </c>
      <c r="Y73" s="5" t="s">
        <v>46</v>
      </c>
      <c r="Z73" s="5" t="s">
        <v>495</v>
      </c>
      <c r="AA73" s="5" t="s">
        <v>48</v>
      </c>
      <c r="AB73" s="5" t="s">
        <v>496</v>
      </c>
      <c r="AC73" s="6" t="s">
        <v>50</v>
      </c>
      <c r="AD73" s="6">
        <v>3554.0</v>
      </c>
    </row>
    <row r="74" ht="56.25" customHeight="1">
      <c r="A74" s="5" t="s">
        <v>493</v>
      </c>
      <c r="B74" s="6" t="str">
        <f>IMAGE("https://storage.googleapis.com/acdb/miscellaneous/FtrBambooCandle_Remake_1_0.png")</f>
        <v/>
      </c>
      <c r="C74" s="5" t="s">
        <v>271</v>
      </c>
      <c r="D74" s="5" t="s">
        <v>262</v>
      </c>
      <c r="E74" s="5" t="s">
        <v>34</v>
      </c>
      <c r="F74" s="5" t="s">
        <v>34</v>
      </c>
      <c r="G74" s="5" t="s">
        <v>35</v>
      </c>
      <c r="H74" s="5" t="s">
        <v>35</v>
      </c>
      <c r="I74" s="5" t="s">
        <v>36</v>
      </c>
      <c r="J74" s="6">
        <v>2.0</v>
      </c>
      <c r="K74" s="6" t="s">
        <v>37</v>
      </c>
      <c r="L74" s="6">
        <v>880.0</v>
      </c>
      <c r="M74" s="5" t="s">
        <v>114</v>
      </c>
      <c r="N74" s="5" t="s">
        <v>38</v>
      </c>
      <c r="O74" s="6" t="s">
        <v>40</v>
      </c>
      <c r="P74" s="5" t="s">
        <v>41</v>
      </c>
      <c r="Q74" s="5"/>
      <c r="R74" s="6" t="s">
        <v>42</v>
      </c>
      <c r="S74" s="5" t="s">
        <v>266</v>
      </c>
      <c r="T74" s="5" t="s">
        <v>44</v>
      </c>
      <c r="U74" s="5" t="s">
        <v>267</v>
      </c>
      <c r="V74" s="5" t="s">
        <v>44</v>
      </c>
      <c r="W74" s="5" t="s">
        <v>35</v>
      </c>
      <c r="X74" s="5" t="s">
        <v>467</v>
      </c>
      <c r="Y74" s="5" t="s">
        <v>46</v>
      </c>
      <c r="Z74" s="5" t="s">
        <v>495</v>
      </c>
      <c r="AA74" s="5" t="s">
        <v>48</v>
      </c>
      <c r="AB74" s="5" t="s">
        <v>500</v>
      </c>
      <c r="AC74" s="6" t="s">
        <v>56</v>
      </c>
      <c r="AD74" s="6">
        <v>3554.0</v>
      </c>
    </row>
    <row r="75" ht="56.25" customHeight="1">
      <c r="A75" s="5" t="s">
        <v>493</v>
      </c>
      <c r="B75" s="6" t="str">
        <f>IMAGE("https://storage.googleapis.com/acdb/miscellaneous/FtrBambooCandle_Remake_2_0.png")</f>
        <v/>
      </c>
      <c r="C75" s="5" t="s">
        <v>279</v>
      </c>
      <c r="D75" s="5" t="s">
        <v>262</v>
      </c>
      <c r="E75" s="5" t="s">
        <v>34</v>
      </c>
      <c r="F75" s="5" t="s">
        <v>34</v>
      </c>
      <c r="G75" s="5" t="s">
        <v>35</v>
      </c>
      <c r="H75" s="5" t="s">
        <v>35</v>
      </c>
      <c r="I75" s="5" t="s">
        <v>36</v>
      </c>
      <c r="J75" s="6">
        <v>2.0</v>
      </c>
      <c r="K75" s="6" t="s">
        <v>37</v>
      </c>
      <c r="L75" s="6">
        <v>880.0</v>
      </c>
      <c r="M75" s="5" t="s">
        <v>39</v>
      </c>
      <c r="N75" s="5" t="s">
        <v>38</v>
      </c>
      <c r="O75" s="6" t="s">
        <v>40</v>
      </c>
      <c r="P75" s="5" t="s">
        <v>41</v>
      </c>
      <c r="Q75" s="5"/>
      <c r="R75" s="6" t="s">
        <v>42</v>
      </c>
      <c r="S75" s="5" t="s">
        <v>266</v>
      </c>
      <c r="T75" s="5" t="s">
        <v>44</v>
      </c>
      <c r="U75" s="5" t="s">
        <v>267</v>
      </c>
      <c r="V75" s="5" t="s">
        <v>44</v>
      </c>
      <c r="W75" s="5" t="s">
        <v>35</v>
      </c>
      <c r="X75" s="5" t="s">
        <v>467</v>
      </c>
      <c r="Y75" s="5" t="s">
        <v>46</v>
      </c>
      <c r="Z75" s="5" t="s">
        <v>495</v>
      </c>
      <c r="AA75" s="5" t="s">
        <v>48</v>
      </c>
      <c r="AB75" s="5" t="s">
        <v>504</v>
      </c>
      <c r="AC75" s="6" t="s">
        <v>67</v>
      </c>
      <c r="AD75" s="6">
        <v>3554.0</v>
      </c>
    </row>
    <row r="76" ht="56.25" customHeight="1">
      <c r="A76" s="5" t="s">
        <v>505</v>
      </c>
      <c r="B76" s="6" t="str">
        <f>IMAGE("https://storage.googleapis.com/acdb/miscellaneous/FtrBamboodrum_Remake_0_0.png")</f>
        <v/>
      </c>
      <c r="C76" s="5" t="s">
        <v>261</v>
      </c>
      <c r="D76" s="5" t="s">
        <v>262</v>
      </c>
      <c r="E76" s="5" t="s">
        <v>34</v>
      </c>
      <c r="F76" s="5" t="s">
        <v>34</v>
      </c>
      <c r="G76" s="5" t="s">
        <v>35</v>
      </c>
      <c r="H76" s="5" t="s">
        <v>35</v>
      </c>
      <c r="I76" s="5" t="s">
        <v>36</v>
      </c>
      <c r="J76" s="6">
        <v>1.0</v>
      </c>
      <c r="K76" s="6" t="s">
        <v>37</v>
      </c>
      <c r="L76" s="6">
        <v>720.0</v>
      </c>
      <c r="M76" s="5" t="s">
        <v>96</v>
      </c>
      <c r="N76" s="5" t="s">
        <v>69</v>
      </c>
      <c r="O76" s="6" t="s">
        <v>40</v>
      </c>
      <c r="P76" s="5" t="s">
        <v>41</v>
      </c>
      <c r="Q76" s="5"/>
      <c r="R76" s="6" t="s">
        <v>42</v>
      </c>
      <c r="S76" s="5" t="s">
        <v>266</v>
      </c>
      <c r="T76" s="5" t="s">
        <v>44</v>
      </c>
      <c r="U76" s="5" t="s">
        <v>267</v>
      </c>
      <c r="V76" s="5" t="s">
        <v>44</v>
      </c>
      <c r="W76" s="5" t="s">
        <v>35</v>
      </c>
      <c r="X76" s="5" t="s">
        <v>45</v>
      </c>
      <c r="Y76" s="5" t="s">
        <v>46</v>
      </c>
      <c r="Z76" s="5" t="s">
        <v>47</v>
      </c>
      <c r="AA76" s="5" t="s">
        <v>48</v>
      </c>
      <c r="AB76" s="5" t="s">
        <v>508</v>
      </c>
      <c r="AC76" s="6" t="s">
        <v>50</v>
      </c>
      <c r="AD76" s="6">
        <v>4093.0</v>
      </c>
    </row>
    <row r="77" ht="56.25" customHeight="1">
      <c r="A77" s="5" t="s">
        <v>505</v>
      </c>
      <c r="B77" s="6" t="str">
        <f>IMAGE("https://storage.googleapis.com/acdb/miscellaneous/FtrBamboodrum_Remake_1_0.png")</f>
        <v/>
      </c>
      <c r="C77" s="5" t="s">
        <v>271</v>
      </c>
      <c r="D77" s="5" t="s">
        <v>262</v>
      </c>
      <c r="E77" s="5" t="s">
        <v>34</v>
      </c>
      <c r="F77" s="5" t="s">
        <v>34</v>
      </c>
      <c r="G77" s="5" t="s">
        <v>35</v>
      </c>
      <c r="H77" s="5" t="s">
        <v>35</v>
      </c>
      <c r="I77" s="5" t="s">
        <v>36</v>
      </c>
      <c r="J77" s="6">
        <v>1.0</v>
      </c>
      <c r="K77" s="6" t="s">
        <v>37</v>
      </c>
      <c r="L77" s="6">
        <v>720.0</v>
      </c>
      <c r="M77" s="5" t="s">
        <v>114</v>
      </c>
      <c r="N77" s="5" t="s">
        <v>142</v>
      </c>
      <c r="O77" s="6" t="s">
        <v>40</v>
      </c>
      <c r="P77" s="5" t="s">
        <v>41</v>
      </c>
      <c r="Q77" s="5"/>
      <c r="R77" s="6" t="s">
        <v>42</v>
      </c>
      <c r="S77" s="5" t="s">
        <v>266</v>
      </c>
      <c r="T77" s="5" t="s">
        <v>44</v>
      </c>
      <c r="U77" s="5" t="s">
        <v>267</v>
      </c>
      <c r="V77" s="5" t="s">
        <v>44</v>
      </c>
      <c r="W77" s="5" t="s">
        <v>35</v>
      </c>
      <c r="X77" s="5" t="s">
        <v>45</v>
      </c>
      <c r="Y77" s="5" t="s">
        <v>46</v>
      </c>
      <c r="Z77" s="5" t="s">
        <v>47</v>
      </c>
      <c r="AA77" s="5" t="s">
        <v>48</v>
      </c>
      <c r="AB77" s="5" t="s">
        <v>512</v>
      </c>
      <c r="AC77" s="6" t="s">
        <v>56</v>
      </c>
      <c r="AD77" s="6">
        <v>4093.0</v>
      </c>
    </row>
    <row r="78" ht="56.25" customHeight="1">
      <c r="A78" s="5" t="s">
        <v>505</v>
      </c>
      <c r="B78" s="6" t="str">
        <f>IMAGE("https://storage.googleapis.com/acdb/miscellaneous/FtrBamboodrum_Remake_2_0.png")</f>
        <v/>
      </c>
      <c r="C78" s="5" t="s">
        <v>279</v>
      </c>
      <c r="D78" s="5" t="s">
        <v>262</v>
      </c>
      <c r="E78" s="5" t="s">
        <v>34</v>
      </c>
      <c r="F78" s="5" t="s">
        <v>34</v>
      </c>
      <c r="G78" s="5" t="s">
        <v>35</v>
      </c>
      <c r="H78" s="5" t="s">
        <v>35</v>
      </c>
      <c r="I78" s="5" t="s">
        <v>36</v>
      </c>
      <c r="J78" s="6">
        <v>1.0</v>
      </c>
      <c r="K78" s="6" t="s">
        <v>37</v>
      </c>
      <c r="L78" s="6">
        <v>720.0</v>
      </c>
      <c r="M78" s="5" t="s">
        <v>39</v>
      </c>
      <c r="N78" s="5" t="s">
        <v>83</v>
      </c>
      <c r="O78" s="6" t="s">
        <v>40</v>
      </c>
      <c r="P78" s="5" t="s">
        <v>41</v>
      </c>
      <c r="Q78" s="5"/>
      <c r="R78" s="6" t="s">
        <v>42</v>
      </c>
      <c r="S78" s="5" t="s">
        <v>266</v>
      </c>
      <c r="T78" s="5" t="s">
        <v>44</v>
      </c>
      <c r="U78" s="5" t="s">
        <v>267</v>
      </c>
      <c r="V78" s="5" t="s">
        <v>44</v>
      </c>
      <c r="W78" s="5" t="s">
        <v>35</v>
      </c>
      <c r="X78" s="5" t="s">
        <v>45</v>
      </c>
      <c r="Y78" s="5" t="s">
        <v>46</v>
      </c>
      <c r="Z78" s="5" t="s">
        <v>47</v>
      </c>
      <c r="AA78" s="5" t="s">
        <v>48</v>
      </c>
      <c r="AB78" s="5" t="s">
        <v>516</v>
      </c>
      <c r="AC78" s="6" t="s">
        <v>67</v>
      </c>
      <c r="AD78" s="6">
        <v>4093.0</v>
      </c>
    </row>
    <row r="79" ht="56.25" customHeight="1">
      <c r="A79" s="5" t="s">
        <v>517</v>
      </c>
      <c r="B79" s="6" t="str">
        <f>IMAGE("https://storage.googleapis.com/acdb/miscellaneous/FtrBambooLunch_Remake_0_0.png")</f>
        <v/>
      </c>
      <c r="C79" s="5" t="s">
        <v>261</v>
      </c>
      <c r="D79" s="5" t="s">
        <v>262</v>
      </c>
      <c r="E79" s="5" t="s">
        <v>34</v>
      </c>
      <c r="F79" s="5" t="s">
        <v>34</v>
      </c>
      <c r="G79" s="5" t="s">
        <v>35</v>
      </c>
      <c r="H79" s="5" t="s">
        <v>35</v>
      </c>
      <c r="I79" s="5" t="s">
        <v>36</v>
      </c>
      <c r="J79" s="6">
        <v>1.0</v>
      </c>
      <c r="K79" s="6" t="s">
        <v>37</v>
      </c>
      <c r="L79" s="6">
        <v>640.0</v>
      </c>
      <c r="M79" s="5" t="s">
        <v>96</v>
      </c>
      <c r="N79" s="5" t="s">
        <v>58</v>
      </c>
      <c r="O79" s="6" t="s">
        <v>40</v>
      </c>
      <c r="P79" s="5" t="s">
        <v>41</v>
      </c>
      <c r="Q79" s="5"/>
      <c r="R79" s="6" t="s">
        <v>42</v>
      </c>
      <c r="S79" s="5" t="s">
        <v>266</v>
      </c>
      <c r="T79" s="5" t="s">
        <v>44</v>
      </c>
      <c r="U79" s="5" t="s">
        <v>267</v>
      </c>
      <c r="V79" s="5" t="s">
        <v>44</v>
      </c>
      <c r="W79" s="5" t="s">
        <v>36</v>
      </c>
      <c r="X79" s="5" t="s">
        <v>521</v>
      </c>
      <c r="Y79" s="5" t="s">
        <v>46</v>
      </c>
      <c r="Z79" s="5" t="s">
        <v>47</v>
      </c>
      <c r="AA79" s="5" t="s">
        <v>48</v>
      </c>
      <c r="AB79" s="5" t="s">
        <v>522</v>
      </c>
      <c r="AC79" s="6" t="s">
        <v>50</v>
      </c>
      <c r="AD79" s="6">
        <v>5978.0</v>
      </c>
    </row>
    <row r="80" ht="56.25" customHeight="1">
      <c r="A80" s="5" t="s">
        <v>517</v>
      </c>
      <c r="B80" s="6" t="str">
        <f>IMAGE("https://storage.googleapis.com/acdb/miscellaneous/FtrBambooLunch_Remake_1_0.png")</f>
        <v/>
      </c>
      <c r="C80" s="5" t="s">
        <v>271</v>
      </c>
      <c r="D80" s="5" t="s">
        <v>262</v>
      </c>
      <c r="E80" s="5" t="s">
        <v>34</v>
      </c>
      <c r="F80" s="5" t="s">
        <v>34</v>
      </c>
      <c r="G80" s="5" t="s">
        <v>35</v>
      </c>
      <c r="H80" s="5" t="s">
        <v>35</v>
      </c>
      <c r="I80" s="5" t="s">
        <v>36</v>
      </c>
      <c r="J80" s="6">
        <v>1.0</v>
      </c>
      <c r="K80" s="6" t="s">
        <v>37</v>
      </c>
      <c r="L80" s="6">
        <v>640.0</v>
      </c>
      <c r="M80" s="5" t="s">
        <v>114</v>
      </c>
      <c r="N80" s="5" t="s">
        <v>58</v>
      </c>
      <c r="O80" s="6" t="s">
        <v>40</v>
      </c>
      <c r="P80" s="5" t="s">
        <v>41</v>
      </c>
      <c r="Q80" s="5"/>
      <c r="R80" s="6" t="s">
        <v>42</v>
      </c>
      <c r="S80" s="5" t="s">
        <v>266</v>
      </c>
      <c r="T80" s="5" t="s">
        <v>44</v>
      </c>
      <c r="U80" s="5" t="s">
        <v>267</v>
      </c>
      <c r="V80" s="5" t="s">
        <v>44</v>
      </c>
      <c r="W80" s="5" t="s">
        <v>36</v>
      </c>
      <c r="X80" s="5" t="s">
        <v>521</v>
      </c>
      <c r="Y80" s="5" t="s">
        <v>46</v>
      </c>
      <c r="Z80" s="5" t="s">
        <v>47</v>
      </c>
      <c r="AA80" s="5" t="s">
        <v>48</v>
      </c>
      <c r="AB80" s="5" t="s">
        <v>526</v>
      </c>
      <c r="AC80" s="6" t="s">
        <v>56</v>
      </c>
      <c r="AD80" s="6">
        <v>5978.0</v>
      </c>
    </row>
    <row r="81" ht="56.25" customHeight="1">
      <c r="A81" s="5" t="s">
        <v>517</v>
      </c>
      <c r="B81" s="6" t="str">
        <f>IMAGE("https://storage.googleapis.com/acdb/miscellaneous/FtrBambooLunch_Remake_2_0.png")</f>
        <v/>
      </c>
      <c r="C81" s="5" t="s">
        <v>279</v>
      </c>
      <c r="D81" s="5" t="s">
        <v>262</v>
      </c>
      <c r="E81" s="5" t="s">
        <v>34</v>
      </c>
      <c r="F81" s="5" t="s">
        <v>34</v>
      </c>
      <c r="G81" s="5" t="s">
        <v>35</v>
      </c>
      <c r="H81" s="5" t="s">
        <v>35</v>
      </c>
      <c r="I81" s="5" t="s">
        <v>36</v>
      </c>
      <c r="J81" s="6">
        <v>1.0</v>
      </c>
      <c r="K81" s="6" t="s">
        <v>37</v>
      </c>
      <c r="L81" s="6">
        <v>640.0</v>
      </c>
      <c r="M81" s="5" t="s">
        <v>39</v>
      </c>
      <c r="N81" s="5" t="s">
        <v>58</v>
      </c>
      <c r="O81" s="6" t="s">
        <v>40</v>
      </c>
      <c r="P81" s="5" t="s">
        <v>41</v>
      </c>
      <c r="Q81" s="5"/>
      <c r="R81" s="6" t="s">
        <v>42</v>
      </c>
      <c r="S81" s="5" t="s">
        <v>266</v>
      </c>
      <c r="T81" s="5" t="s">
        <v>44</v>
      </c>
      <c r="U81" s="5" t="s">
        <v>267</v>
      </c>
      <c r="V81" s="5" t="s">
        <v>44</v>
      </c>
      <c r="W81" s="5" t="s">
        <v>36</v>
      </c>
      <c r="X81" s="5" t="s">
        <v>521</v>
      </c>
      <c r="Y81" s="5" t="s">
        <v>46</v>
      </c>
      <c r="Z81" s="5" t="s">
        <v>47</v>
      </c>
      <c r="AA81" s="5" t="s">
        <v>48</v>
      </c>
      <c r="AB81" s="5" t="s">
        <v>530</v>
      </c>
      <c r="AC81" s="6" t="s">
        <v>67</v>
      </c>
      <c r="AD81" s="6">
        <v>5978.0</v>
      </c>
    </row>
    <row r="82" ht="56.25" customHeight="1">
      <c r="A82" s="5" t="s">
        <v>531</v>
      </c>
      <c r="B82" s="6" t="str">
        <f>IMAGE("https://storage.googleapis.com/acdb/miscellaneous/FtrBambooBall_Remake_0_0.png")</f>
        <v/>
      </c>
      <c r="C82" s="5" t="s">
        <v>261</v>
      </c>
      <c r="D82" s="5" t="s">
        <v>262</v>
      </c>
      <c r="E82" s="5" t="s">
        <v>34</v>
      </c>
      <c r="F82" s="5" t="s">
        <v>34</v>
      </c>
      <c r="G82" s="5" t="s">
        <v>35</v>
      </c>
      <c r="H82" s="5" t="s">
        <v>35</v>
      </c>
      <c r="I82" s="5" t="s">
        <v>36</v>
      </c>
      <c r="J82" s="6">
        <v>1.0</v>
      </c>
      <c r="K82" s="6" t="s">
        <v>37</v>
      </c>
      <c r="L82" s="6">
        <v>480.0</v>
      </c>
      <c r="M82" s="5" t="s">
        <v>96</v>
      </c>
      <c r="N82" s="5" t="s">
        <v>68</v>
      </c>
      <c r="O82" s="6" t="s">
        <v>40</v>
      </c>
      <c r="P82" s="5" t="s">
        <v>41</v>
      </c>
      <c r="Q82" s="5"/>
      <c r="R82" s="6" t="s">
        <v>42</v>
      </c>
      <c r="S82" s="5" t="s">
        <v>266</v>
      </c>
      <c r="T82" s="5" t="s">
        <v>44</v>
      </c>
      <c r="U82" s="5" t="s">
        <v>267</v>
      </c>
      <c r="V82" s="5" t="s">
        <v>44</v>
      </c>
      <c r="W82" s="5" t="s">
        <v>36</v>
      </c>
      <c r="X82" s="5" t="s">
        <v>356</v>
      </c>
      <c r="Y82" s="5" t="s">
        <v>46</v>
      </c>
      <c r="Z82" s="5" t="s">
        <v>47</v>
      </c>
      <c r="AA82" s="5" t="s">
        <v>48</v>
      </c>
      <c r="AB82" s="5" t="s">
        <v>533</v>
      </c>
      <c r="AC82" s="6" t="s">
        <v>50</v>
      </c>
      <c r="AD82" s="6">
        <v>5976.0</v>
      </c>
    </row>
    <row r="83" ht="56.25" customHeight="1">
      <c r="A83" s="5" t="s">
        <v>531</v>
      </c>
      <c r="B83" s="6" t="str">
        <f>IMAGE("https://storage.googleapis.com/acdb/miscellaneous/FtrBambooBall_Remake_1_0.png")</f>
        <v/>
      </c>
      <c r="C83" s="5" t="s">
        <v>271</v>
      </c>
      <c r="D83" s="5" t="s">
        <v>262</v>
      </c>
      <c r="E83" s="5" t="s">
        <v>34</v>
      </c>
      <c r="F83" s="5" t="s">
        <v>34</v>
      </c>
      <c r="G83" s="5" t="s">
        <v>35</v>
      </c>
      <c r="H83" s="5" t="s">
        <v>35</v>
      </c>
      <c r="I83" s="5" t="s">
        <v>36</v>
      </c>
      <c r="J83" s="6">
        <v>1.0</v>
      </c>
      <c r="K83" s="6" t="s">
        <v>37</v>
      </c>
      <c r="L83" s="6">
        <v>480.0</v>
      </c>
      <c r="M83" s="5" t="s">
        <v>114</v>
      </c>
      <c r="N83" s="5" t="s">
        <v>106</v>
      </c>
      <c r="O83" s="6" t="s">
        <v>40</v>
      </c>
      <c r="P83" s="5" t="s">
        <v>41</v>
      </c>
      <c r="Q83" s="5"/>
      <c r="R83" s="6" t="s">
        <v>42</v>
      </c>
      <c r="S83" s="5" t="s">
        <v>266</v>
      </c>
      <c r="T83" s="5" t="s">
        <v>44</v>
      </c>
      <c r="U83" s="5" t="s">
        <v>267</v>
      </c>
      <c r="V83" s="5" t="s">
        <v>44</v>
      </c>
      <c r="W83" s="5" t="s">
        <v>36</v>
      </c>
      <c r="X83" s="5" t="s">
        <v>356</v>
      </c>
      <c r="Y83" s="5" t="s">
        <v>46</v>
      </c>
      <c r="Z83" s="5" t="s">
        <v>47</v>
      </c>
      <c r="AA83" s="5" t="s">
        <v>48</v>
      </c>
      <c r="AB83" s="5" t="s">
        <v>537</v>
      </c>
      <c r="AC83" s="6" t="s">
        <v>56</v>
      </c>
      <c r="AD83" s="6">
        <v>5976.0</v>
      </c>
    </row>
    <row r="84" ht="56.25" customHeight="1">
      <c r="A84" s="5" t="s">
        <v>531</v>
      </c>
      <c r="B84" s="6" t="str">
        <f>IMAGE("https://storage.googleapis.com/acdb/miscellaneous/FtrBambooBall_Remake_2_0.png")</f>
        <v/>
      </c>
      <c r="C84" s="5" t="s">
        <v>279</v>
      </c>
      <c r="D84" s="5" t="s">
        <v>262</v>
      </c>
      <c r="E84" s="5" t="s">
        <v>34</v>
      </c>
      <c r="F84" s="5" t="s">
        <v>34</v>
      </c>
      <c r="G84" s="5" t="s">
        <v>35</v>
      </c>
      <c r="H84" s="5" t="s">
        <v>35</v>
      </c>
      <c r="I84" s="5" t="s">
        <v>36</v>
      </c>
      <c r="J84" s="6">
        <v>1.0</v>
      </c>
      <c r="K84" s="6" t="s">
        <v>37</v>
      </c>
      <c r="L84" s="6">
        <v>480.0</v>
      </c>
      <c r="M84" s="5" t="s">
        <v>39</v>
      </c>
      <c r="N84" s="5" t="s">
        <v>57</v>
      </c>
      <c r="O84" s="6" t="s">
        <v>40</v>
      </c>
      <c r="P84" s="5" t="s">
        <v>41</v>
      </c>
      <c r="Q84" s="5"/>
      <c r="R84" s="6" t="s">
        <v>42</v>
      </c>
      <c r="S84" s="5" t="s">
        <v>266</v>
      </c>
      <c r="T84" s="5" t="s">
        <v>44</v>
      </c>
      <c r="U84" s="5" t="s">
        <v>267</v>
      </c>
      <c r="V84" s="5" t="s">
        <v>44</v>
      </c>
      <c r="W84" s="5" t="s">
        <v>36</v>
      </c>
      <c r="X84" s="5" t="s">
        <v>356</v>
      </c>
      <c r="Y84" s="5" t="s">
        <v>46</v>
      </c>
      <c r="Z84" s="5" t="s">
        <v>47</v>
      </c>
      <c r="AA84" s="5" t="s">
        <v>48</v>
      </c>
      <c r="AB84" s="5" t="s">
        <v>538</v>
      </c>
      <c r="AC84" s="6" t="s">
        <v>67</v>
      </c>
      <c r="AD84" s="6">
        <v>5976.0</v>
      </c>
    </row>
    <row r="85" ht="56.25" customHeight="1">
      <c r="A85" s="5" t="s">
        <v>540</v>
      </c>
      <c r="B85" s="16" t="str">
        <f>IMAGE("https://storage.googleapis.com/acdb/miscellaneous/FtrBambooshootLamp.png")</f>
        <v/>
      </c>
      <c r="C85" s="5" t="s">
        <v>34</v>
      </c>
      <c r="D85" s="5" t="s">
        <v>34</v>
      </c>
      <c r="E85" s="5" t="s">
        <v>34</v>
      </c>
      <c r="F85" s="5" t="s">
        <v>34</v>
      </c>
      <c r="G85" s="5" t="s">
        <v>35</v>
      </c>
      <c r="H85" s="5" t="s">
        <v>36</v>
      </c>
      <c r="I85" s="5" t="s">
        <v>36</v>
      </c>
      <c r="J85" s="6" t="s">
        <v>34</v>
      </c>
      <c r="K85" s="6" t="s">
        <v>37</v>
      </c>
      <c r="L85" s="6">
        <v>4900.0</v>
      </c>
      <c r="M85" s="5" t="s">
        <v>39</v>
      </c>
      <c r="N85" s="5" t="s">
        <v>38</v>
      </c>
      <c r="O85" s="6" t="s">
        <v>40</v>
      </c>
      <c r="P85" s="5" t="s">
        <v>41</v>
      </c>
      <c r="Q85" s="5" t="s">
        <v>265</v>
      </c>
      <c r="R85" s="6" t="s">
        <v>42</v>
      </c>
      <c r="S85" s="5" t="s">
        <v>266</v>
      </c>
      <c r="T85" s="5" t="s">
        <v>44</v>
      </c>
      <c r="U85" s="5" t="s">
        <v>267</v>
      </c>
      <c r="V85" s="5" t="s">
        <v>44</v>
      </c>
      <c r="W85" s="5" t="s">
        <v>35</v>
      </c>
      <c r="X85" s="5" t="s">
        <v>467</v>
      </c>
      <c r="Y85" s="5" t="s">
        <v>46</v>
      </c>
      <c r="Z85" s="5" t="s">
        <v>502</v>
      </c>
      <c r="AA85" s="5" t="s">
        <v>48</v>
      </c>
      <c r="AB85" s="5" t="s">
        <v>544</v>
      </c>
      <c r="AC85" s="6" t="s">
        <v>34</v>
      </c>
      <c r="AD85" s="6">
        <v>5977.0</v>
      </c>
    </row>
    <row r="86" ht="56.25" customHeight="1">
      <c r="A86" s="5" t="s">
        <v>545</v>
      </c>
      <c r="B86" s="16" t="str">
        <f>IMAGE("https://storage.googleapis.com/acdb/miscellaneous/FtrFishIshidaiToy.png")</f>
        <v/>
      </c>
      <c r="C86" s="5" t="s">
        <v>34</v>
      </c>
      <c r="D86" s="5" t="s">
        <v>34</v>
      </c>
      <c r="E86" s="5" t="s">
        <v>34</v>
      </c>
      <c r="F86" s="5" t="s">
        <v>34</v>
      </c>
      <c r="G86" s="5" t="s">
        <v>36</v>
      </c>
      <c r="H86" s="5" t="s">
        <v>36</v>
      </c>
      <c r="I86" s="5" t="s">
        <v>36</v>
      </c>
      <c r="J86" s="6" t="s">
        <v>34</v>
      </c>
      <c r="K86" s="6" t="s">
        <v>37</v>
      </c>
      <c r="L86" s="6">
        <v>15000.0</v>
      </c>
      <c r="M86" s="5" t="s">
        <v>57</v>
      </c>
      <c r="N86" s="5" t="s">
        <v>54</v>
      </c>
      <c r="O86" s="6" t="s">
        <v>40</v>
      </c>
      <c r="P86" s="5" t="s">
        <v>213</v>
      </c>
      <c r="Q86" s="5" t="s">
        <v>215</v>
      </c>
      <c r="R86" s="6" t="s">
        <v>42</v>
      </c>
      <c r="S86" s="5" t="s">
        <v>44</v>
      </c>
      <c r="T86" s="5" t="s">
        <v>44</v>
      </c>
      <c r="U86" s="5" t="s">
        <v>44</v>
      </c>
      <c r="V86" s="5" t="s">
        <v>44</v>
      </c>
      <c r="W86" s="5" t="s">
        <v>36</v>
      </c>
      <c r="X86" s="5" t="s">
        <v>219</v>
      </c>
      <c r="Y86" s="5" t="s">
        <v>46</v>
      </c>
      <c r="Z86" s="5" t="s">
        <v>47</v>
      </c>
      <c r="AA86" s="5" t="s">
        <v>48</v>
      </c>
      <c r="AB86" s="5" t="s">
        <v>547</v>
      </c>
      <c r="AC86" s="6" t="s">
        <v>34</v>
      </c>
      <c r="AD86" s="6">
        <v>6959.0</v>
      </c>
    </row>
    <row r="87" ht="56.25" customHeight="1">
      <c r="A87" s="5" t="s">
        <v>548</v>
      </c>
      <c r="B87" s="16" t="str">
        <f>IMAGE("https://storage.googleapis.com/acdb/miscellaneous/FtrFishDemenigisuToy.png")</f>
        <v/>
      </c>
      <c r="C87" s="5" t="s">
        <v>34</v>
      </c>
      <c r="D87" s="5" t="s">
        <v>34</v>
      </c>
      <c r="E87" s="5" t="s">
        <v>34</v>
      </c>
      <c r="F87" s="5" t="s">
        <v>34</v>
      </c>
      <c r="G87" s="5" t="s">
        <v>36</v>
      </c>
      <c r="H87" s="5" t="s">
        <v>36</v>
      </c>
      <c r="I87" s="5" t="s">
        <v>36</v>
      </c>
      <c r="J87" s="6" t="s">
        <v>34</v>
      </c>
      <c r="K87" s="6" t="s">
        <v>37</v>
      </c>
      <c r="L87" s="6">
        <v>45000.0</v>
      </c>
      <c r="M87" s="5" t="s">
        <v>54</v>
      </c>
      <c r="N87" s="5" t="s">
        <v>54</v>
      </c>
      <c r="O87" s="6" t="s">
        <v>40</v>
      </c>
      <c r="P87" s="5" t="s">
        <v>213</v>
      </c>
      <c r="Q87" s="5" t="s">
        <v>215</v>
      </c>
      <c r="R87" s="6" t="s">
        <v>42</v>
      </c>
      <c r="S87" s="5" t="s">
        <v>44</v>
      </c>
      <c r="T87" s="5" t="s">
        <v>44</v>
      </c>
      <c r="U87" s="5" t="s">
        <v>44</v>
      </c>
      <c r="V87" s="5" t="s">
        <v>44</v>
      </c>
      <c r="W87" s="5" t="s">
        <v>36</v>
      </c>
      <c r="X87" s="5" t="s">
        <v>219</v>
      </c>
      <c r="Y87" s="5" t="s">
        <v>46</v>
      </c>
      <c r="Z87" s="5" t="s">
        <v>47</v>
      </c>
      <c r="AA87" s="5" t="s">
        <v>48</v>
      </c>
      <c r="AB87" s="5" t="s">
        <v>552</v>
      </c>
      <c r="AC87" s="6" t="s">
        <v>34</v>
      </c>
      <c r="AD87" s="6">
        <v>6943.0</v>
      </c>
    </row>
    <row r="88" ht="56.25" customHeight="1">
      <c r="A88" s="5" t="s">
        <v>553</v>
      </c>
      <c r="B88" s="6" t="str">
        <f>IMAGE("https://storage.googleapis.com/acdb/miscellaneous/FtrBeachball_Remake_0_0.png")</f>
        <v/>
      </c>
      <c r="C88" s="5" t="s">
        <v>58</v>
      </c>
      <c r="D88" s="5" t="s">
        <v>34</v>
      </c>
      <c r="E88" s="5" t="s">
        <v>34</v>
      </c>
      <c r="F88" s="5" t="s">
        <v>34</v>
      </c>
      <c r="G88" s="5" t="s">
        <v>36</v>
      </c>
      <c r="H88" s="5" t="s">
        <v>36</v>
      </c>
      <c r="I88" s="5" t="s">
        <v>36</v>
      </c>
      <c r="J88" s="6" t="s">
        <v>34</v>
      </c>
      <c r="K88" s="6">
        <v>430.0</v>
      </c>
      <c r="L88" s="6">
        <v>107.0</v>
      </c>
      <c r="M88" s="5" t="s">
        <v>58</v>
      </c>
      <c r="N88" s="5" t="s">
        <v>58</v>
      </c>
      <c r="O88" s="6" t="s">
        <v>40</v>
      </c>
      <c r="P88" s="5" t="s">
        <v>59</v>
      </c>
      <c r="Q88" s="5" t="s">
        <v>554</v>
      </c>
      <c r="R88" s="6" t="s">
        <v>42</v>
      </c>
      <c r="S88" s="5" t="s">
        <v>138</v>
      </c>
      <c r="T88" s="5" t="s">
        <v>44</v>
      </c>
      <c r="U88" s="5" t="s">
        <v>44</v>
      </c>
      <c r="V88" s="5" t="s">
        <v>44</v>
      </c>
      <c r="W88" s="5" t="s">
        <v>35</v>
      </c>
      <c r="X88" s="5" t="s">
        <v>140</v>
      </c>
      <c r="Y88" s="5" t="s">
        <v>46</v>
      </c>
      <c r="Z88" s="5" t="s">
        <v>47</v>
      </c>
      <c r="AA88" s="5" t="s">
        <v>64</v>
      </c>
      <c r="AB88" s="5" t="s">
        <v>556</v>
      </c>
      <c r="AC88" s="6" t="s">
        <v>50</v>
      </c>
      <c r="AD88" s="6">
        <v>9584.0</v>
      </c>
    </row>
    <row r="89" ht="56.25" customHeight="1">
      <c r="A89" s="5" t="s">
        <v>553</v>
      </c>
      <c r="B89" s="6" t="str">
        <f>IMAGE("https://storage.googleapis.com/acdb/miscellaneous/FtrBeachball_Remake_1_0.png")</f>
        <v/>
      </c>
      <c r="C89" s="5" t="s">
        <v>68</v>
      </c>
      <c r="D89" s="5" t="s">
        <v>34</v>
      </c>
      <c r="E89" s="5" t="s">
        <v>34</v>
      </c>
      <c r="F89" s="5" t="s">
        <v>34</v>
      </c>
      <c r="G89" s="5" t="s">
        <v>36</v>
      </c>
      <c r="H89" s="5" t="s">
        <v>36</v>
      </c>
      <c r="I89" s="5" t="s">
        <v>36</v>
      </c>
      <c r="J89" s="6" t="s">
        <v>34</v>
      </c>
      <c r="K89" s="6">
        <v>430.0</v>
      </c>
      <c r="L89" s="6">
        <v>107.0</v>
      </c>
      <c r="M89" s="5" t="s">
        <v>68</v>
      </c>
      <c r="N89" s="5" t="s">
        <v>57</v>
      </c>
      <c r="O89" s="6" t="s">
        <v>40</v>
      </c>
      <c r="P89" s="5" t="s">
        <v>59</v>
      </c>
      <c r="Q89" s="5" t="s">
        <v>554</v>
      </c>
      <c r="R89" s="6" t="s">
        <v>42</v>
      </c>
      <c r="S89" s="5" t="s">
        <v>138</v>
      </c>
      <c r="T89" s="5" t="s">
        <v>44</v>
      </c>
      <c r="U89" s="5" t="s">
        <v>44</v>
      </c>
      <c r="V89" s="5" t="s">
        <v>44</v>
      </c>
      <c r="W89" s="5" t="s">
        <v>35</v>
      </c>
      <c r="X89" s="5" t="s">
        <v>140</v>
      </c>
      <c r="Y89" s="5" t="s">
        <v>46</v>
      </c>
      <c r="Z89" s="5" t="s">
        <v>47</v>
      </c>
      <c r="AA89" s="5" t="s">
        <v>64</v>
      </c>
      <c r="AB89" s="5" t="s">
        <v>560</v>
      </c>
      <c r="AC89" s="6" t="s">
        <v>56</v>
      </c>
      <c r="AD89" s="6">
        <v>9584.0</v>
      </c>
    </row>
    <row r="90" ht="56.25" customHeight="1">
      <c r="A90" s="5" t="s">
        <v>553</v>
      </c>
      <c r="B90" s="6" t="str">
        <f>IMAGE("https://storage.googleapis.com/acdb/miscellaneous/FtrBeachball_Remake_2_0.png")</f>
        <v/>
      </c>
      <c r="C90" s="5" t="s">
        <v>52</v>
      </c>
      <c r="D90" s="5" t="s">
        <v>34</v>
      </c>
      <c r="E90" s="5" t="s">
        <v>34</v>
      </c>
      <c r="F90" s="5" t="s">
        <v>34</v>
      </c>
      <c r="G90" s="5" t="s">
        <v>36</v>
      </c>
      <c r="H90" s="5" t="s">
        <v>36</v>
      </c>
      <c r="I90" s="5" t="s">
        <v>36</v>
      </c>
      <c r="J90" s="6" t="s">
        <v>34</v>
      </c>
      <c r="K90" s="6">
        <v>430.0</v>
      </c>
      <c r="L90" s="6">
        <v>107.0</v>
      </c>
      <c r="M90" s="5" t="s">
        <v>52</v>
      </c>
      <c r="N90" s="5" t="s">
        <v>57</v>
      </c>
      <c r="O90" s="6" t="s">
        <v>40</v>
      </c>
      <c r="P90" s="5" t="s">
        <v>59</v>
      </c>
      <c r="Q90" s="5" t="s">
        <v>554</v>
      </c>
      <c r="R90" s="6" t="s">
        <v>42</v>
      </c>
      <c r="S90" s="5" t="s">
        <v>138</v>
      </c>
      <c r="T90" s="5" t="s">
        <v>44</v>
      </c>
      <c r="U90" s="5" t="s">
        <v>44</v>
      </c>
      <c r="V90" s="5" t="s">
        <v>44</v>
      </c>
      <c r="W90" s="5" t="s">
        <v>35</v>
      </c>
      <c r="X90" s="5" t="s">
        <v>140</v>
      </c>
      <c r="Y90" s="5" t="s">
        <v>46</v>
      </c>
      <c r="Z90" s="5" t="s">
        <v>47</v>
      </c>
      <c r="AA90" s="5" t="s">
        <v>64</v>
      </c>
      <c r="AB90" s="5" t="s">
        <v>565</v>
      </c>
      <c r="AC90" s="6" t="s">
        <v>67</v>
      </c>
      <c r="AD90" s="6">
        <v>9584.0</v>
      </c>
    </row>
    <row r="91" ht="56.25" customHeight="1">
      <c r="A91" s="5" t="s">
        <v>553</v>
      </c>
      <c r="B91" s="6" t="str">
        <f>IMAGE("https://storage.googleapis.com/acdb/miscellaneous/FtrBeachball_Remake_3_0.png")</f>
        <v/>
      </c>
      <c r="C91" s="5" t="s">
        <v>566</v>
      </c>
      <c r="D91" s="5" t="s">
        <v>34</v>
      </c>
      <c r="E91" s="5" t="s">
        <v>34</v>
      </c>
      <c r="F91" s="5" t="s">
        <v>34</v>
      </c>
      <c r="G91" s="5" t="s">
        <v>36</v>
      </c>
      <c r="H91" s="5" t="s">
        <v>36</v>
      </c>
      <c r="I91" s="5" t="s">
        <v>36</v>
      </c>
      <c r="J91" s="6" t="s">
        <v>34</v>
      </c>
      <c r="K91" s="6">
        <v>430.0</v>
      </c>
      <c r="L91" s="6">
        <v>107.0</v>
      </c>
      <c r="M91" s="5" t="s">
        <v>96</v>
      </c>
      <c r="N91" s="5" t="s">
        <v>54</v>
      </c>
      <c r="O91" s="6" t="s">
        <v>40</v>
      </c>
      <c r="P91" s="5" t="s">
        <v>59</v>
      </c>
      <c r="Q91" s="5" t="s">
        <v>554</v>
      </c>
      <c r="R91" s="6" t="s">
        <v>42</v>
      </c>
      <c r="S91" s="5" t="s">
        <v>138</v>
      </c>
      <c r="T91" s="5" t="s">
        <v>44</v>
      </c>
      <c r="U91" s="5" t="s">
        <v>44</v>
      </c>
      <c r="V91" s="5" t="s">
        <v>44</v>
      </c>
      <c r="W91" s="5" t="s">
        <v>35</v>
      </c>
      <c r="X91" s="5" t="s">
        <v>140</v>
      </c>
      <c r="Y91" s="5" t="s">
        <v>46</v>
      </c>
      <c r="Z91" s="5" t="s">
        <v>47</v>
      </c>
      <c r="AA91" s="5" t="s">
        <v>64</v>
      </c>
      <c r="AB91" s="5" t="s">
        <v>570</v>
      </c>
      <c r="AC91" s="6" t="s">
        <v>71</v>
      </c>
      <c r="AD91" s="6">
        <v>9584.0</v>
      </c>
    </row>
    <row r="92" ht="56.25" customHeight="1">
      <c r="A92" s="5" t="s">
        <v>571</v>
      </c>
      <c r="B92" s="16" t="str">
        <f>IMAGE("https://storage.googleapis.com/acdb/miscellaneous/FtrInsectSuzumushiToy.png")</f>
        <v/>
      </c>
      <c r="C92" s="5" t="s">
        <v>34</v>
      </c>
      <c r="D92" s="5" t="s">
        <v>34</v>
      </c>
      <c r="E92" s="5" t="s">
        <v>34</v>
      </c>
      <c r="F92" s="5" t="s">
        <v>34</v>
      </c>
      <c r="G92" s="5" t="s">
        <v>36</v>
      </c>
      <c r="H92" s="5" t="s">
        <v>36</v>
      </c>
      <c r="I92" s="5" t="s">
        <v>36</v>
      </c>
      <c r="J92" s="6" t="s">
        <v>34</v>
      </c>
      <c r="K92" s="6" t="s">
        <v>37</v>
      </c>
      <c r="L92" s="6">
        <v>1290.0</v>
      </c>
      <c r="M92" s="5" t="s">
        <v>54</v>
      </c>
      <c r="N92" s="5" t="s">
        <v>54</v>
      </c>
      <c r="O92" s="6" t="s">
        <v>40</v>
      </c>
      <c r="P92" s="5" t="s">
        <v>107</v>
      </c>
      <c r="Q92" s="5" t="s">
        <v>108</v>
      </c>
      <c r="R92" s="6" t="s">
        <v>42</v>
      </c>
      <c r="S92" s="5" t="s">
        <v>44</v>
      </c>
      <c r="T92" s="5" t="s">
        <v>44</v>
      </c>
      <c r="U92" s="5" t="s">
        <v>44</v>
      </c>
      <c r="V92" s="5" t="s">
        <v>44</v>
      </c>
      <c r="W92" s="5" t="s">
        <v>36</v>
      </c>
      <c r="X92" s="5" t="s">
        <v>109</v>
      </c>
      <c r="Y92" s="5" t="s">
        <v>46</v>
      </c>
      <c r="Z92" s="5" t="s">
        <v>47</v>
      </c>
      <c r="AA92" s="5" t="s">
        <v>48</v>
      </c>
      <c r="AB92" s="5" t="s">
        <v>574</v>
      </c>
      <c r="AC92" s="6" t="s">
        <v>34</v>
      </c>
      <c r="AD92" s="6">
        <v>7096.0</v>
      </c>
    </row>
    <row r="93" ht="56.25" customHeight="1">
      <c r="A93" s="5" t="s">
        <v>575</v>
      </c>
      <c r="B93" s="16" t="str">
        <f>IMAGE("https://storage.googleapis.com/acdb/miscellaneous/FtrFishBetaToy.png")</f>
        <v/>
      </c>
      <c r="C93" s="5" t="s">
        <v>34</v>
      </c>
      <c r="D93" s="5" t="s">
        <v>34</v>
      </c>
      <c r="E93" s="5" t="s">
        <v>34</v>
      </c>
      <c r="F93" s="5" t="s">
        <v>34</v>
      </c>
      <c r="G93" s="5" t="s">
        <v>36</v>
      </c>
      <c r="H93" s="5" t="s">
        <v>36</v>
      </c>
      <c r="I93" s="5" t="s">
        <v>36</v>
      </c>
      <c r="J93" s="6" t="s">
        <v>34</v>
      </c>
      <c r="K93" s="6" t="s">
        <v>37</v>
      </c>
      <c r="L93" s="6">
        <v>7500.0</v>
      </c>
      <c r="M93" s="5" t="s">
        <v>83</v>
      </c>
      <c r="N93" s="5" t="s">
        <v>54</v>
      </c>
      <c r="O93" s="6" t="s">
        <v>40</v>
      </c>
      <c r="P93" s="5" t="s">
        <v>213</v>
      </c>
      <c r="Q93" s="5" t="s">
        <v>215</v>
      </c>
      <c r="R93" s="6" t="s">
        <v>42</v>
      </c>
      <c r="S93" s="5" t="s">
        <v>44</v>
      </c>
      <c r="T93" s="5" t="s">
        <v>44</v>
      </c>
      <c r="U93" s="5" t="s">
        <v>44</v>
      </c>
      <c r="V93" s="5" t="s">
        <v>44</v>
      </c>
      <c r="W93" s="5" t="s">
        <v>36</v>
      </c>
      <c r="X93" s="5" t="s">
        <v>219</v>
      </c>
      <c r="Y93" s="5" t="s">
        <v>46</v>
      </c>
      <c r="Z93" s="5" t="s">
        <v>47</v>
      </c>
      <c r="AA93" s="5" t="s">
        <v>48</v>
      </c>
      <c r="AB93" s="5" t="s">
        <v>578</v>
      </c>
      <c r="AC93" s="6" t="s">
        <v>34</v>
      </c>
      <c r="AD93" s="6">
        <v>6937.0</v>
      </c>
    </row>
    <row r="94" ht="56.25" customHeight="1">
      <c r="A94" s="5" t="s">
        <v>579</v>
      </c>
      <c r="B94" s="16" t="str">
        <f>IMAGE("https://storage.googleapis.com/acdb/miscellaneous/FtrBingo.png")</f>
        <v/>
      </c>
      <c r="C94" s="5" t="s">
        <v>34</v>
      </c>
      <c r="D94" s="5" t="s">
        <v>34</v>
      </c>
      <c r="E94" s="5" t="s">
        <v>34</v>
      </c>
      <c r="F94" s="5" t="s">
        <v>34</v>
      </c>
      <c r="G94" s="5" t="s">
        <v>36</v>
      </c>
      <c r="H94" s="5" t="s">
        <v>36</v>
      </c>
      <c r="I94" s="5" t="s">
        <v>36</v>
      </c>
      <c r="J94" s="6" t="s">
        <v>34</v>
      </c>
      <c r="K94" s="6">
        <v>1000.0</v>
      </c>
      <c r="L94" s="6">
        <v>250.0</v>
      </c>
      <c r="M94" s="5" t="s">
        <v>114</v>
      </c>
      <c r="N94" s="5" t="s">
        <v>54</v>
      </c>
      <c r="O94" s="6" t="s">
        <v>40</v>
      </c>
      <c r="P94" s="5" t="s">
        <v>59</v>
      </c>
      <c r="Q94" s="5" t="s">
        <v>60</v>
      </c>
      <c r="R94" s="6" t="s">
        <v>42</v>
      </c>
      <c r="S94" s="5" t="s">
        <v>465</v>
      </c>
      <c r="T94" s="5" t="s">
        <v>44</v>
      </c>
      <c r="U94" s="5" t="s">
        <v>44</v>
      </c>
      <c r="V94" s="5" t="s">
        <v>44</v>
      </c>
      <c r="W94" s="5" t="s">
        <v>35</v>
      </c>
      <c r="X94" s="5" t="s">
        <v>356</v>
      </c>
      <c r="Y94" s="5" t="s">
        <v>46</v>
      </c>
      <c r="Z94" s="5" t="s">
        <v>47</v>
      </c>
      <c r="AA94" s="5" t="s">
        <v>64</v>
      </c>
      <c r="AB94" s="5" t="s">
        <v>582</v>
      </c>
      <c r="AC94" s="6" t="s">
        <v>34</v>
      </c>
      <c r="AD94" s="6">
        <v>864.0</v>
      </c>
    </row>
    <row r="95" ht="56.25" customHeight="1">
      <c r="A95" s="5" t="s">
        <v>583</v>
      </c>
      <c r="B95" s="6" t="str">
        <f>IMAGE("https://storage.googleapis.com/acdb/miscellaneous/FtrBirthdayCake_Remake_0_0.png")</f>
        <v/>
      </c>
      <c r="C95" s="5" t="s">
        <v>587</v>
      </c>
      <c r="D95" s="5" t="s">
        <v>2</v>
      </c>
      <c r="E95" s="5" t="s">
        <v>34</v>
      </c>
      <c r="F95" s="5" t="s">
        <v>34</v>
      </c>
      <c r="G95" s="5" t="s">
        <v>36</v>
      </c>
      <c r="H95" s="5" t="s">
        <v>35</v>
      </c>
      <c r="I95" s="5" t="s">
        <v>36</v>
      </c>
      <c r="J95" s="6">
        <v>1.0</v>
      </c>
      <c r="K95" s="6" t="s">
        <v>37</v>
      </c>
      <c r="L95" s="6">
        <v>100.0</v>
      </c>
      <c r="M95" s="5" t="s">
        <v>57</v>
      </c>
      <c r="N95" s="5" t="s">
        <v>58</v>
      </c>
      <c r="O95" s="6" t="s">
        <v>40</v>
      </c>
      <c r="P95" s="5" t="s">
        <v>588</v>
      </c>
      <c r="Q95" s="5"/>
      <c r="R95" s="6" t="s">
        <v>42</v>
      </c>
      <c r="S95" s="5" t="s">
        <v>465</v>
      </c>
      <c r="T95" s="5" t="s">
        <v>61</v>
      </c>
      <c r="U95" s="5" t="s">
        <v>44</v>
      </c>
      <c r="V95" s="5" t="s">
        <v>589</v>
      </c>
      <c r="W95" s="5" t="s">
        <v>35</v>
      </c>
      <c r="X95" s="5" t="s">
        <v>590</v>
      </c>
      <c r="Y95" s="5" t="s">
        <v>46</v>
      </c>
      <c r="Z95" s="5" t="s">
        <v>495</v>
      </c>
      <c r="AA95" s="5" t="s">
        <v>48</v>
      </c>
      <c r="AB95" s="5" t="s">
        <v>591</v>
      </c>
      <c r="AC95" s="6" t="s">
        <v>50</v>
      </c>
      <c r="AD95" s="6">
        <v>3592.0</v>
      </c>
    </row>
    <row r="96" ht="56.25" customHeight="1">
      <c r="A96" s="5" t="s">
        <v>583</v>
      </c>
      <c r="B96" s="6" t="str">
        <f>IMAGE("https://storage.googleapis.com/acdb/miscellaneous/FtrBirthdayCake_Remake_1_0.png")</f>
        <v/>
      </c>
      <c r="C96" s="5" t="s">
        <v>593</v>
      </c>
      <c r="D96" s="5" t="s">
        <v>2</v>
      </c>
      <c r="E96" s="5" t="s">
        <v>34</v>
      </c>
      <c r="F96" s="5" t="s">
        <v>34</v>
      </c>
      <c r="G96" s="5" t="s">
        <v>36</v>
      </c>
      <c r="H96" s="5" t="s">
        <v>35</v>
      </c>
      <c r="I96" s="5" t="s">
        <v>36</v>
      </c>
      <c r="J96" s="6">
        <v>1.0</v>
      </c>
      <c r="K96" s="6" t="s">
        <v>37</v>
      </c>
      <c r="L96" s="6">
        <v>100.0</v>
      </c>
      <c r="M96" s="5" t="s">
        <v>39</v>
      </c>
      <c r="N96" s="5" t="s">
        <v>58</v>
      </c>
      <c r="O96" s="6" t="s">
        <v>40</v>
      </c>
      <c r="P96" s="5" t="s">
        <v>588</v>
      </c>
      <c r="Q96" s="5"/>
      <c r="R96" s="6" t="s">
        <v>42</v>
      </c>
      <c r="S96" s="5" t="s">
        <v>465</v>
      </c>
      <c r="T96" s="5" t="s">
        <v>61</v>
      </c>
      <c r="U96" s="5" t="s">
        <v>44</v>
      </c>
      <c r="V96" s="5" t="s">
        <v>589</v>
      </c>
      <c r="W96" s="5" t="s">
        <v>35</v>
      </c>
      <c r="X96" s="5" t="s">
        <v>590</v>
      </c>
      <c r="Y96" s="5" t="s">
        <v>46</v>
      </c>
      <c r="Z96" s="5" t="s">
        <v>495</v>
      </c>
      <c r="AA96" s="5" t="s">
        <v>48</v>
      </c>
      <c r="AB96" s="5" t="s">
        <v>595</v>
      </c>
      <c r="AC96" s="6" t="s">
        <v>56</v>
      </c>
      <c r="AD96" s="6">
        <v>3592.0</v>
      </c>
    </row>
    <row r="97" ht="56.25" customHeight="1">
      <c r="A97" s="5" t="s">
        <v>583</v>
      </c>
      <c r="B97" s="6" t="str">
        <f>IMAGE("https://storage.googleapis.com/acdb/miscellaneous/FtrBirthdayCake_Remake_2_0.png")</f>
        <v/>
      </c>
      <c r="C97" s="5" t="s">
        <v>597</v>
      </c>
      <c r="D97" s="5" t="s">
        <v>2</v>
      </c>
      <c r="E97" s="5" t="s">
        <v>34</v>
      </c>
      <c r="F97" s="5" t="s">
        <v>34</v>
      </c>
      <c r="G97" s="5" t="s">
        <v>36</v>
      </c>
      <c r="H97" s="5" t="s">
        <v>35</v>
      </c>
      <c r="I97" s="5" t="s">
        <v>36</v>
      </c>
      <c r="J97" s="6">
        <v>1.0</v>
      </c>
      <c r="K97" s="6" t="s">
        <v>37</v>
      </c>
      <c r="L97" s="6">
        <v>100.0</v>
      </c>
      <c r="M97" s="5" t="s">
        <v>69</v>
      </c>
      <c r="N97" s="5" t="s">
        <v>58</v>
      </c>
      <c r="O97" s="6" t="s">
        <v>40</v>
      </c>
      <c r="P97" s="5" t="s">
        <v>588</v>
      </c>
      <c r="Q97" s="5"/>
      <c r="R97" s="6" t="s">
        <v>42</v>
      </c>
      <c r="S97" s="5" t="s">
        <v>465</v>
      </c>
      <c r="T97" s="5" t="s">
        <v>61</v>
      </c>
      <c r="U97" s="5" t="s">
        <v>44</v>
      </c>
      <c r="V97" s="5" t="s">
        <v>589</v>
      </c>
      <c r="W97" s="5" t="s">
        <v>35</v>
      </c>
      <c r="X97" s="5" t="s">
        <v>590</v>
      </c>
      <c r="Y97" s="5" t="s">
        <v>46</v>
      </c>
      <c r="Z97" s="5" t="s">
        <v>495</v>
      </c>
      <c r="AA97" s="5" t="s">
        <v>48</v>
      </c>
      <c r="AB97" s="5" t="s">
        <v>598</v>
      </c>
      <c r="AC97" s="6" t="s">
        <v>67</v>
      </c>
      <c r="AD97" s="6">
        <v>3592.0</v>
      </c>
    </row>
    <row r="98" ht="56.25" customHeight="1">
      <c r="A98" s="5" t="s">
        <v>599</v>
      </c>
      <c r="B98" s="6" t="str">
        <f>IMAGE("https://storage.googleapis.com/acdb/miscellaneous/FtrBirthdayCandle_Remake_0_0.png")</f>
        <v/>
      </c>
      <c r="C98" s="5" t="s">
        <v>58</v>
      </c>
      <c r="D98" s="5" t="s">
        <v>2</v>
      </c>
      <c r="E98" s="5" t="s">
        <v>34</v>
      </c>
      <c r="F98" s="5" t="s">
        <v>34</v>
      </c>
      <c r="G98" s="5" t="s">
        <v>36</v>
      </c>
      <c r="H98" s="5" t="s">
        <v>35</v>
      </c>
      <c r="I98" s="5" t="s">
        <v>36</v>
      </c>
      <c r="J98" s="6">
        <v>1.0</v>
      </c>
      <c r="K98" s="6" t="s">
        <v>37</v>
      </c>
      <c r="L98" s="6">
        <v>300.0</v>
      </c>
      <c r="M98" s="5" t="s">
        <v>58</v>
      </c>
      <c r="N98" s="5" t="s">
        <v>58</v>
      </c>
      <c r="O98" s="6" t="s">
        <v>40</v>
      </c>
      <c r="P98" s="5" t="s">
        <v>588</v>
      </c>
      <c r="Q98" s="5"/>
      <c r="R98" s="6" t="s">
        <v>42</v>
      </c>
      <c r="S98" s="5" t="s">
        <v>465</v>
      </c>
      <c r="T98" s="5" t="s">
        <v>61</v>
      </c>
      <c r="U98" s="5" t="s">
        <v>44</v>
      </c>
      <c r="V98" s="5" t="s">
        <v>589</v>
      </c>
      <c r="W98" s="5" t="s">
        <v>35</v>
      </c>
      <c r="X98" s="5" t="s">
        <v>467</v>
      </c>
      <c r="Y98" s="5" t="s">
        <v>46</v>
      </c>
      <c r="Z98" s="5" t="s">
        <v>495</v>
      </c>
      <c r="AA98" s="5" t="s">
        <v>48</v>
      </c>
      <c r="AB98" s="5" t="s">
        <v>602</v>
      </c>
      <c r="AC98" s="6" t="s">
        <v>50</v>
      </c>
      <c r="AD98" s="6">
        <v>3591.0</v>
      </c>
    </row>
    <row r="99" ht="56.25" customHeight="1">
      <c r="A99" s="5" t="s">
        <v>599</v>
      </c>
      <c r="B99" s="6" t="str">
        <f>IMAGE("https://storage.googleapis.com/acdb/miscellaneous/FtrBirthdayCandle_Remake_1_0.png")</f>
        <v/>
      </c>
      <c r="C99" s="5" t="s">
        <v>69</v>
      </c>
      <c r="D99" s="5" t="s">
        <v>2</v>
      </c>
      <c r="E99" s="5" t="s">
        <v>34</v>
      </c>
      <c r="F99" s="5" t="s">
        <v>34</v>
      </c>
      <c r="G99" s="5" t="s">
        <v>36</v>
      </c>
      <c r="H99" s="5" t="s">
        <v>35</v>
      </c>
      <c r="I99" s="5" t="s">
        <v>36</v>
      </c>
      <c r="J99" s="6">
        <v>1.0</v>
      </c>
      <c r="K99" s="6" t="s">
        <v>37</v>
      </c>
      <c r="L99" s="6">
        <v>300.0</v>
      </c>
      <c r="M99" s="5" t="s">
        <v>58</v>
      </c>
      <c r="N99" s="5" t="s">
        <v>69</v>
      </c>
      <c r="O99" s="6" t="s">
        <v>40</v>
      </c>
      <c r="P99" s="5" t="s">
        <v>588</v>
      </c>
      <c r="Q99" s="5"/>
      <c r="R99" s="6" t="s">
        <v>42</v>
      </c>
      <c r="S99" s="5" t="s">
        <v>465</v>
      </c>
      <c r="T99" s="5" t="s">
        <v>61</v>
      </c>
      <c r="U99" s="5" t="s">
        <v>44</v>
      </c>
      <c r="V99" s="5" t="s">
        <v>589</v>
      </c>
      <c r="W99" s="5" t="s">
        <v>35</v>
      </c>
      <c r="X99" s="5" t="s">
        <v>467</v>
      </c>
      <c r="Y99" s="5" t="s">
        <v>46</v>
      </c>
      <c r="Z99" s="5" t="s">
        <v>495</v>
      </c>
      <c r="AA99" s="5" t="s">
        <v>48</v>
      </c>
      <c r="AB99" s="5" t="s">
        <v>603</v>
      </c>
      <c r="AC99" s="6" t="s">
        <v>56</v>
      </c>
      <c r="AD99" s="6">
        <v>3591.0</v>
      </c>
    </row>
    <row r="100" ht="56.25" customHeight="1">
      <c r="A100" s="5" t="s">
        <v>599</v>
      </c>
      <c r="B100" s="6" t="str">
        <f>IMAGE("https://storage.googleapis.com/acdb/miscellaneous/FtrBirthdayCandle_Remake_2_0.png")</f>
        <v/>
      </c>
      <c r="C100" s="5" t="s">
        <v>68</v>
      </c>
      <c r="D100" s="5" t="s">
        <v>2</v>
      </c>
      <c r="E100" s="5" t="s">
        <v>34</v>
      </c>
      <c r="F100" s="5" t="s">
        <v>34</v>
      </c>
      <c r="G100" s="5" t="s">
        <v>36</v>
      </c>
      <c r="H100" s="5" t="s">
        <v>35</v>
      </c>
      <c r="I100" s="5" t="s">
        <v>36</v>
      </c>
      <c r="J100" s="6">
        <v>1.0</v>
      </c>
      <c r="K100" s="6" t="s">
        <v>37</v>
      </c>
      <c r="L100" s="6">
        <v>300.0</v>
      </c>
      <c r="M100" s="5" t="s">
        <v>58</v>
      </c>
      <c r="N100" s="5" t="s">
        <v>68</v>
      </c>
      <c r="O100" s="6" t="s">
        <v>40</v>
      </c>
      <c r="P100" s="5" t="s">
        <v>588</v>
      </c>
      <c r="Q100" s="5"/>
      <c r="R100" s="6" t="s">
        <v>42</v>
      </c>
      <c r="S100" s="5" t="s">
        <v>465</v>
      </c>
      <c r="T100" s="5" t="s">
        <v>61</v>
      </c>
      <c r="U100" s="5" t="s">
        <v>44</v>
      </c>
      <c r="V100" s="5" t="s">
        <v>589</v>
      </c>
      <c r="W100" s="5" t="s">
        <v>35</v>
      </c>
      <c r="X100" s="5" t="s">
        <v>467</v>
      </c>
      <c r="Y100" s="5" t="s">
        <v>46</v>
      </c>
      <c r="Z100" s="5" t="s">
        <v>495</v>
      </c>
      <c r="AA100" s="5" t="s">
        <v>48</v>
      </c>
      <c r="AB100" s="5" t="s">
        <v>606</v>
      </c>
      <c r="AC100" s="6" t="s">
        <v>67</v>
      </c>
      <c r="AD100" s="6">
        <v>3591.0</v>
      </c>
    </row>
    <row r="101" ht="56.25" customHeight="1">
      <c r="A101" s="5" t="s">
        <v>599</v>
      </c>
      <c r="B101" s="6" t="str">
        <f>IMAGE("https://storage.googleapis.com/acdb/miscellaneous/FtrBirthdayCandle_Remake_3_0.png")</f>
        <v/>
      </c>
      <c r="C101" s="5" t="s">
        <v>96</v>
      </c>
      <c r="D101" s="5" t="s">
        <v>2</v>
      </c>
      <c r="E101" s="5" t="s">
        <v>34</v>
      </c>
      <c r="F101" s="5" t="s">
        <v>34</v>
      </c>
      <c r="G101" s="5" t="s">
        <v>36</v>
      </c>
      <c r="H101" s="5" t="s">
        <v>35</v>
      </c>
      <c r="I101" s="5" t="s">
        <v>36</v>
      </c>
      <c r="J101" s="6">
        <v>1.0</v>
      </c>
      <c r="K101" s="6" t="s">
        <v>37</v>
      </c>
      <c r="L101" s="6">
        <v>300.0</v>
      </c>
      <c r="M101" s="5" t="s">
        <v>58</v>
      </c>
      <c r="N101" s="5" t="s">
        <v>96</v>
      </c>
      <c r="O101" s="6" t="s">
        <v>40</v>
      </c>
      <c r="P101" s="5" t="s">
        <v>588</v>
      </c>
      <c r="Q101" s="5"/>
      <c r="R101" s="6" t="s">
        <v>42</v>
      </c>
      <c r="S101" s="5" t="s">
        <v>465</v>
      </c>
      <c r="T101" s="5" t="s">
        <v>61</v>
      </c>
      <c r="U101" s="5" t="s">
        <v>44</v>
      </c>
      <c r="V101" s="5" t="s">
        <v>589</v>
      </c>
      <c r="W101" s="5" t="s">
        <v>35</v>
      </c>
      <c r="X101" s="5" t="s">
        <v>467</v>
      </c>
      <c r="Y101" s="5" t="s">
        <v>46</v>
      </c>
      <c r="Z101" s="5" t="s">
        <v>495</v>
      </c>
      <c r="AA101" s="5" t="s">
        <v>48</v>
      </c>
      <c r="AB101" s="5" t="s">
        <v>607</v>
      </c>
      <c r="AC101" s="6" t="s">
        <v>71</v>
      </c>
      <c r="AD101" s="6">
        <v>3591.0</v>
      </c>
    </row>
    <row r="102" ht="56.25" customHeight="1">
      <c r="A102" s="5" t="s">
        <v>599</v>
      </c>
      <c r="B102" s="6" t="str">
        <f>IMAGE("https://storage.googleapis.com/acdb/miscellaneous/FtrBirthdayCandle_Remake_4_0.png")</f>
        <v/>
      </c>
      <c r="C102" s="5" t="s">
        <v>142</v>
      </c>
      <c r="D102" s="5" t="s">
        <v>2</v>
      </c>
      <c r="E102" s="5" t="s">
        <v>34</v>
      </c>
      <c r="F102" s="5" t="s">
        <v>34</v>
      </c>
      <c r="G102" s="5" t="s">
        <v>36</v>
      </c>
      <c r="H102" s="5" t="s">
        <v>35</v>
      </c>
      <c r="I102" s="5" t="s">
        <v>36</v>
      </c>
      <c r="J102" s="6">
        <v>1.0</v>
      </c>
      <c r="K102" s="6" t="s">
        <v>37</v>
      </c>
      <c r="L102" s="6">
        <v>300.0</v>
      </c>
      <c r="M102" s="5" t="s">
        <v>58</v>
      </c>
      <c r="N102" s="5" t="s">
        <v>142</v>
      </c>
      <c r="O102" s="6" t="s">
        <v>40</v>
      </c>
      <c r="P102" s="5" t="s">
        <v>588</v>
      </c>
      <c r="Q102" s="5"/>
      <c r="R102" s="6" t="s">
        <v>42</v>
      </c>
      <c r="S102" s="5" t="s">
        <v>465</v>
      </c>
      <c r="T102" s="5" t="s">
        <v>61</v>
      </c>
      <c r="U102" s="5" t="s">
        <v>44</v>
      </c>
      <c r="V102" s="5" t="s">
        <v>589</v>
      </c>
      <c r="W102" s="5" t="s">
        <v>35</v>
      </c>
      <c r="X102" s="5" t="s">
        <v>467</v>
      </c>
      <c r="Y102" s="5" t="s">
        <v>46</v>
      </c>
      <c r="Z102" s="5" t="s">
        <v>495</v>
      </c>
      <c r="AA102" s="5" t="s">
        <v>48</v>
      </c>
      <c r="AB102" s="5" t="s">
        <v>611</v>
      </c>
      <c r="AC102" s="6" t="s">
        <v>75</v>
      </c>
      <c r="AD102" s="6">
        <v>3591.0</v>
      </c>
    </row>
    <row r="103" ht="56.25" customHeight="1">
      <c r="A103" s="5" t="s">
        <v>599</v>
      </c>
      <c r="B103" s="6" t="str">
        <f>IMAGE("https://storage.googleapis.com/acdb/miscellaneous/FtrBirthdayCandle_Remake_5_0.png")</f>
        <v/>
      </c>
      <c r="C103" s="5" t="s">
        <v>612</v>
      </c>
      <c r="D103" s="5" t="s">
        <v>2</v>
      </c>
      <c r="E103" s="5" t="s">
        <v>34</v>
      </c>
      <c r="F103" s="5" t="s">
        <v>34</v>
      </c>
      <c r="G103" s="5" t="s">
        <v>36</v>
      </c>
      <c r="H103" s="5" t="s">
        <v>35</v>
      </c>
      <c r="I103" s="5" t="s">
        <v>36</v>
      </c>
      <c r="J103" s="6">
        <v>1.0</v>
      </c>
      <c r="K103" s="6" t="s">
        <v>37</v>
      </c>
      <c r="L103" s="6">
        <v>300.0</v>
      </c>
      <c r="M103" s="5" t="s">
        <v>58</v>
      </c>
      <c r="N103" s="5" t="s">
        <v>54</v>
      </c>
      <c r="O103" s="6" t="s">
        <v>40</v>
      </c>
      <c r="P103" s="5" t="s">
        <v>588</v>
      </c>
      <c r="Q103" s="5"/>
      <c r="R103" s="6" t="s">
        <v>42</v>
      </c>
      <c r="S103" s="5" t="s">
        <v>465</v>
      </c>
      <c r="T103" s="5" t="s">
        <v>61</v>
      </c>
      <c r="U103" s="5" t="s">
        <v>44</v>
      </c>
      <c r="V103" s="5" t="s">
        <v>589</v>
      </c>
      <c r="W103" s="5" t="s">
        <v>35</v>
      </c>
      <c r="X103" s="5" t="s">
        <v>467</v>
      </c>
      <c r="Y103" s="5" t="s">
        <v>46</v>
      </c>
      <c r="Z103" s="5" t="s">
        <v>495</v>
      </c>
      <c r="AA103" s="5" t="s">
        <v>48</v>
      </c>
      <c r="AB103" s="5" t="s">
        <v>614</v>
      </c>
      <c r="AC103" s="6" t="s">
        <v>79</v>
      </c>
      <c r="AD103" s="6">
        <v>3591.0</v>
      </c>
    </row>
    <row r="104" ht="56.25" customHeight="1">
      <c r="A104" s="5" t="s">
        <v>615</v>
      </c>
      <c r="B104" s="16" t="str">
        <f>IMAGE("https://storage.googleapis.com/acdb/miscellaneous/FtrFishTanagoToy.png")</f>
        <v/>
      </c>
      <c r="C104" s="5" t="s">
        <v>34</v>
      </c>
      <c r="D104" s="5" t="s">
        <v>34</v>
      </c>
      <c r="E104" s="5" t="s">
        <v>34</v>
      </c>
      <c r="F104" s="5" t="s">
        <v>34</v>
      </c>
      <c r="G104" s="5" t="s">
        <v>36</v>
      </c>
      <c r="H104" s="5" t="s">
        <v>36</v>
      </c>
      <c r="I104" s="5" t="s">
        <v>36</v>
      </c>
      <c r="J104" s="6" t="s">
        <v>34</v>
      </c>
      <c r="K104" s="6" t="s">
        <v>37</v>
      </c>
      <c r="L104" s="6">
        <v>2700.0</v>
      </c>
      <c r="M104" s="5" t="s">
        <v>83</v>
      </c>
      <c r="N104" s="5" t="s">
        <v>54</v>
      </c>
      <c r="O104" s="6" t="s">
        <v>40</v>
      </c>
      <c r="P104" s="5" t="s">
        <v>213</v>
      </c>
      <c r="Q104" s="5" t="s">
        <v>215</v>
      </c>
      <c r="R104" s="6" t="s">
        <v>42</v>
      </c>
      <c r="S104" s="5" t="s">
        <v>44</v>
      </c>
      <c r="T104" s="5" t="s">
        <v>44</v>
      </c>
      <c r="U104" s="5" t="s">
        <v>44</v>
      </c>
      <c r="V104" s="5" t="s">
        <v>44</v>
      </c>
      <c r="W104" s="5" t="s">
        <v>36</v>
      </c>
      <c r="X104" s="5" t="s">
        <v>219</v>
      </c>
      <c r="Y104" s="5" t="s">
        <v>46</v>
      </c>
      <c r="Z104" s="5" t="s">
        <v>47</v>
      </c>
      <c r="AA104" s="5" t="s">
        <v>48</v>
      </c>
      <c r="AB104" s="5" t="s">
        <v>617</v>
      </c>
      <c r="AC104" s="6" t="s">
        <v>34</v>
      </c>
      <c r="AD104" s="6">
        <v>6931.0</v>
      </c>
    </row>
    <row r="105" ht="56.25" customHeight="1">
      <c r="A105" s="5" t="s">
        <v>618</v>
      </c>
      <c r="B105" s="16" t="str">
        <f>IMAGE("https://storage.googleapis.com/acdb/miscellaneous/FtrFishBlackbassToy.png")</f>
        <v/>
      </c>
      <c r="C105" s="5" t="s">
        <v>34</v>
      </c>
      <c r="D105" s="5" t="s">
        <v>34</v>
      </c>
      <c r="E105" s="5" t="s">
        <v>34</v>
      </c>
      <c r="F105" s="5" t="s">
        <v>34</v>
      </c>
      <c r="G105" s="5" t="s">
        <v>36</v>
      </c>
      <c r="H105" s="5" t="s">
        <v>36</v>
      </c>
      <c r="I105" s="5" t="s">
        <v>36</v>
      </c>
      <c r="J105" s="6" t="s">
        <v>34</v>
      </c>
      <c r="K105" s="6" t="s">
        <v>37</v>
      </c>
      <c r="L105" s="6">
        <v>1200.0</v>
      </c>
      <c r="M105" s="5" t="s">
        <v>96</v>
      </c>
      <c r="N105" s="5" t="s">
        <v>54</v>
      </c>
      <c r="O105" s="6" t="s">
        <v>40</v>
      </c>
      <c r="P105" s="5" t="s">
        <v>213</v>
      </c>
      <c r="Q105" s="5" t="s">
        <v>215</v>
      </c>
      <c r="R105" s="6" t="s">
        <v>42</v>
      </c>
      <c r="S105" s="5" t="s">
        <v>44</v>
      </c>
      <c r="T105" s="5" t="s">
        <v>44</v>
      </c>
      <c r="U105" s="5" t="s">
        <v>44</v>
      </c>
      <c r="V105" s="5" t="s">
        <v>44</v>
      </c>
      <c r="W105" s="5" t="s">
        <v>36</v>
      </c>
      <c r="X105" s="5" t="s">
        <v>219</v>
      </c>
      <c r="Y105" s="5" t="s">
        <v>46</v>
      </c>
      <c r="Z105" s="5" t="s">
        <v>47</v>
      </c>
      <c r="AA105" s="5" t="s">
        <v>48</v>
      </c>
      <c r="AB105" s="5" t="s">
        <v>621</v>
      </c>
      <c r="AC105" s="6" t="s">
        <v>34</v>
      </c>
      <c r="AD105" s="6">
        <v>6938.0</v>
      </c>
    </row>
    <row r="106" ht="56.25" customHeight="1">
      <c r="A106" s="5" t="s">
        <v>623</v>
      </c>
      <c r="B106" s="16" t="str">
        <f>IMAGE("https://storage.googleapis.com/acdb/miscellaneous/FtrFishFuguToy.png")</f>
        <v/>
      </c>
      <c r="C106" s="5" t="s">
        <v>34</v>
      </c>
      <c r="D106" s="5" t="s">
        <v>34</v>
      </c>
      <c r="E106" s="5" t="s">
        <v>34</v>
      </c>
      <c r="F106" s="5" t="s">
        <v>34</v>
      </c>
      <c r="G106" s="5" t="s">
        <v>36</v>
      </c>
      <c r="H106" s="5" t="s">
        <v>36</v>
      </c>
      <c r="I106" s="5" t="s">
        <v>36</v>
      </c>
      <c r="J106" s="6" t="s">
        <v>34</v>
      </c>
      <c r="K106" s="6" t="s">
        <v>37</v>
      </c>
      <c r="L106" s="6">
        <v>15000.0</v>
      </c>
      <c r="M106" s="5" t="s">
        <v>38</v>
      </c>
      <c r="N106" s="5" t="s">
        <v>54</v>
      </c>
      <c r="O106" s="6" t="s">
        <v>40</v>
      </c>
      <c r="P106" s="5" t="s">
        <v>213</v>
      </c>
      <c r="Q106" s="5" t="s">
        <v>215</v>
      </c>
      <c r="R106" s="6" t="s">
        <v>42</v>
      </c>
      <c r="S106" s="5" t="s">
        <v>44</v>
      </c>
      <c r="T106" s="5" t="s">
        <v>44</v>
      </c>
      <c r="U106" s="5" t="s">
        <v>44</v>
      </c>
      <c r="V106" s="5" t="s">
        <v>44</v>
      </c>
      <c r="W106" s="5" t="s">
        <v>36</v>
      </c>
      <c r="X106" s="5" t="s">
        <v>219</v>
      </c>
      <c r="Y106" s="5" t="s">
        <v>46</v>
      </c>
      <c r="Z106" s="5" t="s">
        <v>47</v>
      </c>
      <c r="AA106" s="5" t="s">
        <v>48</v>
      </c>
      <c r="AB106" s="5" t="s">
        <v>627</v>
      </c>
      <c r="AC106" s="6" t="s">
        <v>34</v>
      </c>
      <c r="AD106" s="6">
        <v>6951.0</v>
      </c>
    </row>
    <row r="107" ht="56.25" customHeight="1">
      <c r="A107" s="5" t="s">
        <v>629</v>
      </c>
      <c r="B107" s="16" t="str">
        <f>IMAGE("https://storage.googleapis.com/acdb/miscellaneous/FtrFishKajikiToy.png")</f>
        <v/>
      </c>
      <c r="C107" s="5" t="s">
        <v>34</v>
      </c>
      <c r="D107" s="5" t="s">
        <v>34</v>
      </c>
      <c r="E107" s="5" t="s">
        <v>34</v>
      </c>
      <c r="F107" s="5" t="s">
        <v>34</v>
      </c>
      <c r="G107" s="5" t="s">
        <v>36</v>
      </c>
      <c r="H107" s="5" t="s">
        <v>36</v>
      </c>
      <c r="I107" s="5" t="s">
        <v>36</v>
      </c>
      <c r="J107" s="6" t="s">
        <v>34</v>
      </c>
      <c r="K107" s="6" t="s">
        <v>37</v>
      </c>
      <c r="L107" s="6">
        <v>30000.0</v>
      </c>
      <c r="M107" s="5" t="s">
        <v>68</v>
      </c>
      <c r="N107" s="5" t="s">
        <v>54</v>
      </c>
      <c r="O107" s="6" t="s">
        <v>40</v>
      </c>
      <c r="P107" s="5" t="s">
        <v>213</v>
      </c>
      <c r="Q107" s="5" t="s">
        <v>215</v>
      </c>
      <c r="R107" s="6" t="s">
        <v>42</v>
      </c>
      <c r="S107" s="5" t="s">
        <v>44</v>
      </c>
      <c r="T107" s="5" t="s">
        <v>44</v>
      </c>
      <c r="U107" s="5" t="s">
        <v>44</v>
      </c>
      <c r="V107" s="5" t="s">
        <v>44</v>
      </c>
      <c r="W107" s="5" t="s">
        <v>36</v>
      </c>
      <c r="X107" s="5" t="s">
        <v>219</v>
      </c>
      <c r="Y107" s="5" t="s">
        <v>46</v>
      </c>
      <c r="Z107" s="5" t="s">
        <v>47</v>
      </c>
      <c r="AA107" s="5" t="s">
        <v>48</v>
      </c>
      <c r="AB107" s="5" t="s">
        <v>631</v>
      </c>
      <c r="AC107" s="6" t="s">
        <v>34</v>
      </c>
      <c r="AD107" s="6">
        <v>6963.0</v>
      </c>
    </row>
    <row r="108" ht="56.25" customHeight="1">
      <c r="A108" s="5" t="s">
        <v>633</v>
      </c>
      <c r="B108" s="16" t="str">
        <f>IMAGE("https://storage.googleapis.com/acdb/miscellaneous/FtrInsectHousekizoumushiToy.png")</f>
        <v/>
      </c>
      <c r="C108" s="5" t="s">
        <v>34</v>
      </c>
      <c r="D108" s="5" t="s">
        <v>34</v>
      </c>
      <c r="E108" s="5" t="s">
        <v>34</v>
      </c>
      <c r="F108" s="5" t="s">
        <v>34</v>
      </c>
      <c r="G108" s="5" t="s">
        <v>36</v>
      </c>
      <c r="H108" s="5" t="s">
        <v>36</v>
      </c>
      <c r="I108" s="5" t="s">
        <v>36</v>
      </c>
      <c r="J108" s="6" t="s">
        <v>34</v>
      </c>
      <c r="K108" s="6" t="s">
        <v>37</v>
      </c>
      <c r="L108" s="6">
        <v>2400.0</v>
      </c>
      <c r="M108" s="5" t="s">
        <v>96</v>
      </c>
      <c r="N108" s="5" t="s">
        <v>54</v>
      </c>
      <c r="O108" s="6" t="s">
        <v>40</v>
      </c>
      <c r="P108" s="5" t="s">
        <v>107</v>
      </c>
      <c r="Q108" s="5" t="s">
        <v>108</v>
      </c>
      <c r="R108" s="6" t="s">
        <v>42</v>
      </c>
      <c r="S108" s="5" t="s">
        <v>44</v>
      </c>
      <c r="T108" s="5" t="s">
        <v>44</v>
      </c>
      <c r="U108" s="5" t="s">
        <v>44</v>
      </c>
      <c r="V108" s="5" t="s">
        <v>44</v>
      </c>
      <c r="W108" s="5" t="s">
        <v>36</v>
      </c>
      <c r="X108" s="5" t="s">
        <v>109</v>
      </c>
      <c r="Y108" s="5" t="s">
        <v>46</v>
      </c>
      <c r="Z108" s="5" t="s">
        <v>47</v>
      </c>
      <c r="AA108" s="5" t="s">
        <v>48</v>
      </c>
      <c r="AB108" s="5" t="s">
        <v>636</v>
      </c>
      <c r="AC108" s="6" t="s">
        <v>34</v>
      </c>
      <c r="AD108" s="6">
        <v>7118.0</v>
      </c>
    </row>
    <row r="109" ht="56.25" customHeight="1">
      <c r="A109" s="5" t="s">
        <v>638</v>
      </c>
      <c r="B109" s="16" t="str">
        <f>IMAGE("https://storage.googleapis.com/acdb/miscellaneous/FtrFishBlueguillToy.png")</f>
        <v/>
      </c>
      <c r="C109" s="5" t="s">
        <v>34</v>
      </c>
      <c r="D109" s="5" t="s">
        <v>34</v>
      </c>
      <c r="E109" s="5" t="s">
        <v>34</v>
      </c>
      <c r="F109" s="5" t="s">
        <v>34</v>
      </c>
      <c r="G109" s="5" t="s">
        <v>36</v>
      </c>
      <c r="H109" s="5" t="s">
        <v>36</v>
      </c>
      <c r="I109" s="5" t="s">
        <v>36</v>
      </c>
      <c r="J109" s="6" t="s">
        <v>34</v>
      </c>
      <c r="K109" s="6" t="s">
        <v>37</v>
      </c>
      <c r="L109" s="6">
        <v>540.0</v>
      </c>
      <c r="M109" s="5" t="s">
        <v>68</v>
      </c>
      <c r="N109" s="5" t="s">
        <v>54</v>
      </c>
      <c r="O109" s="6" t="s">
        <v>40</v>
      </c>
      <c r="P109" s="5" t="s">
        <v>213</v>
      </c>
      <c r="Q109" s="5" t="s">
        <v>215</v>
      </c>
      <c r="R109" s="6" t="s">
        <v>42</v>
      </c>
      <c r="S109" s="5" t="s">
        <v>44</v>
      </c>
      <c r="T109" s="5" t="s">
        <v>44</v>
      </c>
      <c r="U109" s="5" t="s">
        <v>44</v>
      </c>
      <c r="V109" s="5" t="s">
        <v>44</v>
      </c>
      <c r="W109" s="5" t="s">
        <v>36</v>
      </c>
      <c r="X109" s="5" t="s">
        <v>219</v>
      </c>
      <c r="Y109" s="5" t="s">
        <v>46</v>
      </c>
      <c r="Z109" s="5" t="s">
        <v>47</v>
      </c>
      <c r="AA109" s="5" t="s">
        <v>48</v>
      </c>
      <c r="AB109" s="5" t="s">
        <v>643</v>
      </c>
      <c r="AC109" s="6" t="s">
        <v>34</v>
      </c>
      <c r="AD109" s="6">
        <v>6939.0</v>
      </c>
    </row>
    <row r="110" ht="56.25" customHeight="1">
      <c r="A110" s="5" t="s">
        <v>645</v>
      </c>
      <c r="B110" s="6" t="str">
        <f>IMAGE("https://storage.googleapis.com/acdb/miscellaneous/FtrBoardgame_Remake_0_0.png")</f>
        <v/>
      </c>
      <c r="C110" s="5" t="s">
        <v>646</v>
      </c>
      <c r="D110" s="5" t="s">
        <v>34</v>
      </c>
      <c r="E110" s="5" t="s">
        <v>34</v>
      </c>
      <c r="F110" s="5" t="s">
        <v>34</v>
      </c>
      <c r="G110" s="5" t="s">
        <v>36</v>
      </c>
      <c r="H110" s="5" t="s">
        <v>36</v>
      </c>
      <c r="I110" s="5" t="s">
        <v>36</v>
      </c>
      <c r="J110" s="6" t="s">
        <v>34</v>
      </c>
      <c r="K110" s="6">
        <v>1300.0</v>
      </c>
      <c r="L110" s="6">
        <v>325.0</v>
      </c>
      <c r="M110" s="5" t="s">
        <v>96</v>
      </c>
      <c r="N110" s="5" t="s">
        <v>58</v>
      </c>
      <c r="O110" s="6" t="s">
        <v>40</v>
      </c>
      <c r="P110" s="5" t="s">
        <v>59</v>
      </c>
      <c r="Q110" s="5" t="s">
        <v>60</v>
      </c>
      <c r="R110" s="6" t="s">
        <v>42</v>
      </c>
      <c r="S110" s="5" t="s">
        <v>99</v>
      </c>
      <c r="T110" s="5" t="s">
        <v>90</v>
      </c>
      <c r="U110" s="5" t="s">
        <v>44</v>
      </c>
      <c r="V110" s="5" t="s">
        <v>44</v>
      </c>
      <c r="W110" s="5" t="s">
        <v>35</v>
      </c>
      <c r="X110" s="5" t="s">
        <v>356</v>
      </c>
      <c r="Y110" s="5" t="s">
        <v>46</v>
      </c>
      <c r="Z110" s="5" t="s">
        <v>47</v>
      </c>
      <c r="AA110" s="5" t="s">
        <v>64</v>
      </c>
      <c r="AB110" s="5" t="s">
        <v>648</v>
      </c>
      <c r="AC110" s="6" t="s">
        <v>50</v>
      </c>
      <c r="AD110" s="6">
        <v>7599.0</v>
      </c>
    </row>
    <row r="111" ht="56.25" customHeight="1">
      <c r="A111" s="5" t="s">
        <v>645</v>
      </c>
      <c r="B111" s="6" t="str">
        <f>IMAGE("https://storage.googleapis.com/acdb/miscellaneous/FtrBoardgame_Remake_1_0.png")</f>
        <v/>
      </c>
      <c r="C111" s="5" t="s">
        <v>649</v>
      </c>
      <c r="D111" s="5" t="s">
        <v>34</v>
      </c>
      <c r="E111" s="5" t="s">
        <v>34</v>
      </c>
      <c r="F111" s="5" t="s">
        <v>34</v>
      </c>
      <c r="G111" s="5" t="s">
        <v>36</v>
      </c>
      <c r="H111" s="5" t="s">
        <v>36</v>
      </c>
      <c r="I111" s="5" t="s">
        <v>36</v>
      </c>
      <c r="J111" s="6" t="s">
        <v>34</v>
      </c>
      <c r="K111" s="6">
        <v>1300.0</v>
      </c>
      <c r="L111" s="6">
        <v>325.0</v>
      </c>
      <c r="M111" s="5" t="s">
        <v>142</v>
      </c>
      <c r="N111" s="5" t="s">
        <v>58</v>
      </c>
      <c r="O111" s="6" t="s">
        <v>40</v>
      </c>
      <c r="P111" s="5" t="s">
        <v>59</v>
      </c>
      <c r="Q111" s="5" t="s">
        <v>60</v>
      </c>
      <c r="R111" s="6" t="s">
        <v>42</v>
      </c>
      <c r="S111" s="5" t="s">
        <v>99</v>
      </c>
      <c r="T111" s="5" t="s">
        <v>90</v>
      </c>
      <c r="U111" s="5" t="s">
        <v>44</v>
      </c>
      <c r="V111" s="5" t="s">
        <v>44</v>
      </c>
      <c r="W111" s="5" t="s">
        <v>35</v>
      </c>
      <c r="X111" s="5" t="s">
        <v>356</v>
      </c>
      <c r="Y111" s="5" t="s">
        <v>46</v>
      </c>
      <c r="Z111" s="5" t="s">
        <v>47</v>
      </c>
      <c r="AA111" s="5" t="s">
        <v>64</v>
      </c>
      <c r="AB111" s="5" t="s">
        <v>653</v>
      </c>
      <c r="AC111" s="6" t="s">
        <v>56</v>
      </c>
      <c r="AD111" s="6">
        <v>7599.0</v>
      </c>
    </row>
    <row r="112" ht="56.25" customHeight="1">
      <c r="A112" s="5" t="s">
        <v>645</v>
      </c>
      <c r="B112" s="6" t="str">
        <f>IMAGE("https://storage.googleapis.com/acdb/miscellaneous/FtrBoardgame_Remake_2_0.png")</f>
        <v/>
      </c>
      <c r="C112" s="5" t="s">
        <v>655</v>
      </c>
      <c r="D112" s="5" t="s">
        <v>34</v>
      </c>
      <c r="E112" s="5" t="s">
        <v>34</v>
      </c>
      <c r="F112" s="5" t="s">
        <v>34</v>
      </c>
      <c r="G112" s="5" t="s">
        <v>36</v>
      </c>
      <c r="H112" s="5" t="s">
        <v>36</v>
      </c>
      <c r="I112" s="5" t="s">
        <v>36</v>
      </c>
      <c r="J112" s="6" t="s">
        <v>34</v>
      </c>
      <c r="K112" s="6">
        <v>1300.0</v>
      </c>
      <c r="L112" s="6">
        <v>325.0</v>
      </c>
      <c r="M112" s="5" t="s">
        <v>57</v>
      </c>
      <c r="N112" s="5" t="s">
        <v>58</v>
      </c>
      <c r="O112" s="6" t="s">
        <v>40</v>
      </c>
      <c r="P112" s="5" t="s">
        <v>59</v>
      </c>
      <c r="Q112" s="5" t="s">
        <v>60</v>
      </c>
      <c r="R112" s="6" t="s">
        <v>42</v>
      </c>
      <c r="S112" s="5" t="s">
        <v>99</v>
      </c>
      <c r="T112" s="5" t="s">
        <v>90</v>
      </c>
      <c r="U112" s="5" t="s">
        <v>44</v>
      </c>
      <c r="V112" s="5" t="s">
        <v>44</v>
      </c>
      <c r="W112" s="5" t="s">
        <v>35</v>
      </c>
      <c r="X112" s="5" t="s">
        <v>356</v>
      </c>
      <c r="Y112" s="5" t="s">
        <v>46</v>
      </c>
      <c r="Z112" s="5" t="s">
        <v>47</v>
      </c>
      <c r="AA112" s="5" t="s">
        <v>64</v>
      </c>
      <c r="AB112" s="5" t="s">
        <v>657</v>
      </c>
      <c r="AC112" s="6" t="s">
        <v>67</v>
      </c>
      <c r="AD112" s="6">
        <v>7599.0</v>
      </c>
    </row>
    <row r="113" ht="56.25" customHeight="1">
      <c r="A113" s="5" t="s">
        <v>660</v>
      </c>
      <c r="B113" s="6" t="str">
        <f>IMAGE("https://storage.googleapis.com/acdb/miscellaneous/FtrBookOpened_Remake_0_0.png")</f>
        <v/>
      </c>
      <c r="C113" s="5" t="s">
        <v>661</v>
      </c>
      <c r="D113" s="5" t="s">
        <v>34</v>
      </c>
      <c r="E113" s="5" t="s">
        <v>34</v>
      </c>
      <c r="F113" s="5" t="s">
        <v>34</v>
      </c>
      <c r="G113" s="5" t="s">
        <v>36</v>
      </c>
      <c r="H113" s="5" t="s">
        <v>36</v>
      </c>
      <c r="I113" s="5" t="s">
        <v>36</v>
      </c>
      <c r="J113" s="6" t="s">
        <v>34</v>
      </c>
      <c r="K113" s="6">
        <v>290.0</v>
      </c>
      <c r="L113" s="6">
        <v>72.0</v>
      </c>
      <c r="M113" s="5" t="s">
        <v>57</v>
      </c>
      <c r="N113" s="5" t="s">
        <v>52</v>
      </c>
      <c r="O113" s="6" t="s">
        <v>40</v>
      </c>
      <c r="P113" s="5" t="s">
        <v>59</v>
      </c>
      <c r="Q113" s="5" t="s">
        <v>60</v>
      </c>
      <c r="R113" s="6" t="s">
        <v>42</v>
      </c>
      <c r="S113" s="5" t="s">
        <v>202</v>
      </c>
      <c r="T113" s="5" t="s">
        <v>130</v>
      </c>
      <c r="U113" s="5" t="s">
        <v>44</v>
      </c>
      <c r="V113" s="5" t="s">
        <v>44</v>
      </c>
      <c r="W113" s="5" t="s">
        <v>36</v>
      </c>
      <c r="X113" s="5" t="s">
        <v>203</v>
      </c>
      <c r="Y113" s="5" t="s">
        <v>46</v>
      </c>
      <c r="Z113" s="5" t="s">
        <v>47</v>
      </c>
      <c r="AA113" s="5" t="s">
        <v>64</v>
      </c>
      <c r="AB113" s="5" t="s">
        <v>663</v>
      </c>
      <c r="AC113" s="6" t="s">
        <v>50</v>
      </c>
      <c r="AD113" s="6">
        <v>3582.0</v>
      </c>
    </row>
    <row r="114" ht="56.25" customHeight="1">
      <c r="A114" s="5" t="s">
        <v>660</v>
      </c>
      <c r="B114" s="6" t="str">
        <f>IMAGE("https://storage.googleapis.com/acdb/miscellaneous/FtrBookOpened_Remake_1_0.png")</f>
        <v/>
      </c>
      <c r="C114" s="5" t="s">
        <v>666</v>
      </c>
      <c r="D114" s="5" t="s">
        <v>34</v>
      </c>
      <c r="E114" s="5" t="s">
        <v>34</v>
      </c>
      <c r="F114" s="5" t="s">
        <v>34</v>
      </c>
      <c r="G114" s="5" t="s">
        <v>36</v>
      </c>
      <c r="H114" s="5" t="s">
        <v>36</v>
      </c>
      <c r="I114" s="5" t="s">
        <v>36</v>
      </c>
      <c r="J114" s="6" t="s">
        <v>34</v>
      </c>
      <c r="K114" s="6">
        <v>290.0</v>
      </c>
      <c r="L114" s="6">
        <v>72.0</v>
      </c>
      <c r="M114" s="5" t="s">
        <v>57</v>
      </c>
      <c r="N114" s="5" t="s">
        <v>68</v>
      </c>
      <c r="O114" s="6" t="s">
        <v>40</v>
      </c>
      <c r="P114" s="5" t="s">
        <v>59</v>
      </c>
      <c r="Q114" s="5" t="s">
        <v>60</v>
      </c>
      <c r="R114" s="6" t="s">
        <v>42</v>
      </c>
      <c r="S114" s="5" t="s">
        <v>202</v>
      </c>
      <c r="T114" s="5" t="s">
        <v>130</v>
      </c>
      <c r="U114" s="5" t="s">
        <v>44</v>
      </c>
      <c r="V114" s="5" t="s">
        <v>44</v>
      </c>
      <c r="W114" s="5" t="s">
        <v>36</v>
      </c>
      <c r="X114" s="5" t="s">
        <v>203</v>
      </c>
      <c r="Y114" s="5" t="s">
        <v>46</v>
      </c>
      <c r="Z114" s="5" t="s">
        <v>47</v>
      </c>
      <c r="AA114" s="5" t="s">
        <v>64</v>
      </c>
      <c r="AB114" s="5" t="s">
        <v>668</v>
      </c>
      <c r="AC114" s="6" t="s">
        <v>56</v>
      </c>
      <c r="AD114" s="6">
        <v>3582.0</v>
      </c>
    </row>
    <row r="115" ht="56.25" customHeight="1">
      <c r="A115" s="5" t="s">
        <v>660</v>
      </c>
      <c r="B115" s="6" t="str">
        <f>IMAGE("https://storage.googleapis.com/acdb/miscellaneous/FtrBookOpened_Remake_2_0.png")</f>
        <v/>
      </c>
      <c r="C115" s="5" t="s">
        <v>669</v>
      </c>
      <c r="D115" s="5" t="s">
        <v>34</v>
      </c>
      <c r="E115" s="5" t="s">
        <v>34</v>
      </c>
      <c r="F115" s="5" t="s">
        <v>34</v>
      </c>
      <c r="G115" s="5" t="s">
        <v>36</v>
      </c>
      <c r="H115" s="5" t="s">
        <v>36</v>
      </c>
      <c r="I115" s="5" t="s">
        <v>36</v>
      </c>
      <c r="J115" s="6" t="s">
        <v>34</v>
      </c>
      <c r="K115" s="6">
        <v>290.0</v>
      </c>
      <c r="L115" s="6">
        <v>72.0</v>
      </c>
      <c r="M115" s="5" t="s">
        <v>57</v>
      </c>
      <c r="N115" s="5" t="s">
        <v>114</v>
      </c>
      <c r="O115" s="6" t="s">
        <v>40</v>
      </c>
      <c r="P115" s="5" t="s">
        <v>59</v>
      </c>
      <c r="Q115" s="5" t="s">
        <v>60</v>
      </c>
      <c r="R115" s="6" t="s">
        <v>42</v>
      </c>
      <c r="S115" s="5" t="s">
        <v>202</v>
      </c>
      <c r="T115" s="5" t="s">
        <v>130</v>
      </c>
      <c r="U115" s="5" t="s">
        <v>44</v>
      </c>
      <c r="V115" s="5" t="s">
        <v>44</v>
      </c>
      <c r="W115" s="5" t="s">
        <v>36</v>
      </c>
      <c r="X115" s="5" t="s">
        <v>203</v>
      </c>
      <c r="Y115" s="5" t="s">
        <v>46</v>
      </c>
      <c r="Z115" s="5" t="s">
        <v>47</v>
      </c>
      <c r="AA115" s="5" t="s">
        <v>64</v>
      </c>
      <c r="AB115" s="5" t="s">
        <v>672</v>
      </c>
      <c r="AC115" s="6" t="s">
        <v>67</v>
      </c>
      <c r="AD115" s="6">
        <v>3582.0</v>
      </c>
    </row>
    <row r="116" ht="56.25" customHeight="1">
      <c r="A116" s="5" t="s">
        <v>660</v>
      </c>
      <c r="B116" s="6" t="str">
        <f>IMAGE("https://storage.googleapis.com/acdb/miscellaneous/FtrBookOpened_Remake_3_0.png")</f>
        <v/>
      </c>
      <c r="C116" s="5" t="s">
        <v>674</v>
      </c>
      <c r="D116" s="5" t="s">
        <v>34</v>
      </c>
      <c r="E116" s="5" t="s">
        <v>34</v>
      </c>
      <c r="F116" s="5" t="s">
        <v>34</v>
      </c>
      <c r="G116" s="5" t="s">
        <v>36</v>
      </c>
      <c r="H116" s="5" t="s">
        <v>36</v>
      </c>
      <c r="I116" s="5" t="s">
        <v>36</v>
      </c>
      <c r="J116" s="6" t="s">
        <v>34</v>
      </c>
      <c r="K116" s="6">
        <v>290.0</v>
      </c>
      <c r="L116" s="6">
        <v>72.0</v>
      </c>
      <c r="M116" s="5" t="s">
        <v>57</v>
      </c>
      <c r="N116" s="5" t="s">
        <v>96</v>
      </c>
      <c r="O116" s="6" t="s">
        <v>40</v>
      </c>
      <c r="P116" s="5" t="s">
        <v>59</v>
      </c>
      <c r="Q116" s="5" t="s">
        <v>60</v>
      </c>
      <c r="R116" s="6" t="s">
        <v>42</v>
      </c>
      <c r="S116" s="5" t="s">
        <v>202</v>
      </c>
      <c r="T116" s="5" t="s">
        <v>130</v>
      </c>
      <c r="U116" s="5" t="s">
        <v>44</v>
      </c>
      <c r="V116" s="5" t="s">
        <v>44</v>
      </c>
      <c r="W116" s="5" t="s">
        <v>36</v>
      </c>
      <c r="X116" s="5" t="s">
        <v>203</v>
      </c>
      <c r="Y116" s="5" t="s">
        <v>46</v>
      </c>
      <c r="Z116" s="5" t="s">
        <v>47</v>
      </c>
      <c r="AA116" s="5" t="s">
        <v>64</v>
      </c>
      <c r="AB116" s="5" t="s">
        <v>675</v>
      </c>
      <c r="AC116" s="6" t="s">
        <v>71</v>
      </c>
      <c r="AD116" s="6">
        <v>3582.0</v>
      </c>
    </row>
    <row r="117" ht="56.25" customHeight="1">
      <c r="A117" s="5" t="s">
        <v>676</v>
      </c>
      <c r="B117" s="6" t="str">
        <f>IMAGE("https://storage.googleapis.com/acdb/miscellaneous/FtrBookstand_Remake_0_0.png")</f>
        <v/>
      </c>
      <c r="C117" s="5" t="s">
        <v>58</v>
      </c>
      <c r="D117" s="5" t="s">
        <v>34</v>
      </c>
      <c r="E117" s="5" t="s">
        <v>34</v>
      </c>
      <c r="F117" s="5" t="s">
        <v>34</v>
      </c>
      <c r="G117" s="5" t="s">
        <v>36</v>
      </c>
      <c r="H117" s="5" t="s">
        <v>36</v>
      </c>
      <c r="I117" s="5" t="s">
        <v>36</v>
      </c>
      <c r="J117" s="6" t="s">
        <v>34</v>
      </c>
      <c r="K117" s="6">
        <v>1100.0</v>
      </c>
      <c r="L117" s="6">
        <v>275.0</v>
      </c>
      <c r="M117" s="5" t="s">
        <v>57</v>
      </c>
      <c r="N117" s="5" t="s">
        <v>58</v>
      </c>
      <c r="O117" s="6" t="s">
        <v>40</v>
      </c>
      <c r="P117" s="5" t="s">
        <v>59</v>
      </c>
      <c r="Q117" s="5" t="s">
        <v>60</v>
      </c>
      <c r="R117" s="6" t="s">
        <v>42</v>
      </c>
      <c r="S117" s="5" t="s">
        <v>202</v>
      </c>
      <c r="T117" s="5" t="s">
        <v>99</v>
      </c>
      <c r="U117" s="5" t="s">
        <v>44</v>
      </c>
      <c r="V117" s="5" t="s">
        <v>44</v>
      </c>
      <c r="W117" s="5" t="s">
        <v>36</v>
      </c>
      <c r="X117" s="5" t="s">
        <v>203</v>
      </c>
      <c r="Y117" s="5" t="s">
        <v>46</v>
      </c>
      <c r="Z117" s="5" t="s">
        <v>47</v>
      </c>
      <c r="AA117" s="5" t="s">
        <v>64</v>
      </c>
      <c r="AB117" s="5" t="s">
        <v>679</v>
      </c>
      <c r="AC117" s="6" t="s">
        <v>50</v>
      </c>
      <c r="AD117" s="6">
        <v>870.0</v>
      </c>
    </row>
    <row r="118" ht="56.25" customHeight="1">
      <c r="A118" s="5" t="s">
        <v>676</v>
      </c>
      <c r="B118" s="6" t="str">
        <f>IMAGE("https://storage.googleapis.com/acdb/miscellaneous/FtrBookstand_Remake_1_0.png")</f>
        <v/>
      </c>
      <c r="C118" s="5" t="s">
        <v>39</v>
      </c>
      <c r="D118" s="5" t="s">
        <v>34</v>
      </c>
      <c r="E118" s="5" t="s">
        <v>34</v>
      </c>
      <c r="F118" s="5" t="s">
        <v>34</v>
      </c>
      <c r="G118" s="5" t="s">
        <v>36</v>
      </c>
      <c r="H118" s="5" t="s">
        <v>36</v>
      </c>
      <c r="I118" s="5" t="s">
        <v>36</v>
      </c>
      <c r="J118" s="6" t="s">
        <v>34</v>
      </c>
      <c r="K118" s="6">
        <v>1100.0</v>
      </c>
      <c r="L118" s="6">
        <v>275.0</v>
      </c>
      <c r="M118" s="5" t="s">
        <v>68</v>
      </c>
      <c r="N118" s="5" t="s">
        <v>58</v>
      </c>
      <c r="O118" s="6" t="s">
        <v>40</v>
      </c>
      <c r="P118" s="5" t="s">
        <v>59</v>
      </c>
      <c r="Q118" s="5" t="s">
        <v>60</v>
      </c>
      <c r="R118" s="6" t="s">
        <v>42</v>
      </c>
      <c r="S118" s="5" t="s">
        <v>202</v>
      </c>
      <c r="T118" s="5" t="s">
        <v>99</v>
      </c>
      <c r="U118" s="5" t="s">
        <v>44</v>
      </c>
      <c r="V118" s="5" t="s">
        <v>44</v>
      </c>
      <c r="W118" s="5" t="s">
        <v>36</v>
      </c>
      <c r="X118" s="5" t="s">
        <v>203</v>
      </c>
      <c r="Y118" s="5" t="s">
        <v>46</v>
      </c>
      <c r="Z118" s="5" t="s">
        <v>47</v>
      </c>
      <c r="AA118" s="5" t="s">
        <v>64</v>
      </c>
      <c r="AB118" s="5" t="s">
        <v>683</v>
      </c>
      <c r="AC118" s="6" t="s">
        <v>56</v>
      </c>
      <c r="AD118" s="6">
        <v>870.0</v>
      </c>
    </row>
    <row r="119" ht="56.25" customHeight="1">
      <c r="A119" s="5" t="s">
        <v>676</v>
      </c>
      <c r="B119" s="6" t="str">
        <f>IMAGE("https://storage.googleapis.com/acdb/miscellaneous/FtrBookstand_Remake_2_0.png")</f>
        <v/>
      </c>
      <c r="C119" s="5" t="s">
        <v>54</v>
      </c>
      <c r="D119" s="5" t="s">
        <v>34</v>
      </c>
      <c r="E119" s="5" t="s">
        <v>34</v>
      </c>
      <c r="F119" s="5" t="s">
        <v>34</v>
      </c>
      <c r="G119" s="5" t="s">
        <v>36</v>
      </c>
      <c r="H119" s="5" t="s">
        <v>36</v>
      </c>
      <c r="I119" s="5" t="s">
        <v>36</v>
      </c>
      <c r="J119" s="6" t="s">
        <v>34</v>
      </c>
      <c r="K119" s="6">
        <v>1100.0</v>
      </c>
      <c r="L119" s="6">
        <v>275.0</v>
      </c>
      <c r="M119" s="5" t="s">
        <v>54</v>
      </c>
      <c r="N119" s="5" t="s">
        <v>54</v>
      </c>
      <c r="O119" s="6" t="s">
        <v>40</v>
      </c>
      <c r="P119" s="5" t="s">
        <v>59</v>
      </c>
      <c r="Q119" s="5" t="s">
        <v>60</v>
      </c>
      <c r="R119" s="6" t="s">
        <v>42</v>
      </c>
      <c r="S119" s="5" t="s">
        <v>202</v>
      </c>
      <c r="T119" s="5" t="s">
        <v>99</v>
      </c>
      <c r="U119" s="5" t="s">
        <v>44</v>
      </c>
      <c r="V119" s="5" t="s">
        <v>44</v>
      </c>
      <c r="W119" s="5" t="s">
        <v>36</v>
      </c>
      <c r="X119" s="5" t="s">
        <v>203</v>
      </c>
      <c r="Y119" s="5" t="s">
        <v>46</v>
      </c>
      <c r="Z119" s="5" t="s">
        <v>47</v>
      </c>
      <c r="AA119" s="5" t="s">
        <v>64</v>
      </c>
      <c r="AB119" s="5" t="s">
        <v>687</v>
      </c>
      <c r="AC119" s="6" t="s">
        <v>67</v>
      </c>
      <c r="AD119" s="6">
        <v>870.0</v>
      </c>
    </row>
    <row r="120" ht="56.25" customHeight="1">
      <c r="A120" s="5" t="s">
        <v>676</v>
      </c>
      <c r="B120" s="6" t="str">
        <f>IMAGE("https://storage.googleapis.com/acdb/miscellaneous/FtrBookstand_Remake_3_0.png")</f>
        <v/>
      </c>
      <c r="C120" s="5" t="s">
        <v>688</v>
      </c>
      <c r="D120" s="5" t="s">
        <v>34</v>
      </c>
      <c r="E120" s="5" t="s">
        <v>34</v>
      </c>
      <c r="F120" s="5" t="s">
        <v>34</v>
      </c>
      <c r="G120" s="5" t="s">
        <v>36</v>
      </c>
      <c r="H120" s="5" t="s">
        <v>36</v>
      </c>
      <c r="I120" s="5" t="s">
        <v>36</v>
      </c>
      <c r="J120" s="6" t="s">
        <v>34</v>
      </c>
      <c r="K120" s="6">
        <v>1100.0</v>
      </c>
      <c r="L120" s="6">
        <v>275.0</v>
      </c>
      <c r="M120" s="5" t="s">
        <v>69</v>
      </c>
      <c r="N120" s="5" t="s">
        <v>58</v>
      </c>
      <c r="O120" s="6" t="s">
        <v>40</v>
      </c>
      <c r="P120" s="5" t="s">
        <v>59</v>
      </c>
      <c r="Q120" s="5" t="s">
        <v>60</v>
      </c>
      <c r="R120" s="6" t="s">
        <v>42</v>
      </c>
      <c r="S120" s="5" t="s">
        <v>202</v>
      </c>
      <c r="T120" s="5" t="s">
        <v>99</v>
      </c>
      <c r="U120" s="5" t="s">
        <v>44</v>
      </c>
      <c r="V120" s="5" t="s">
        <v>44</v>
      </c>
      <c r="W120" s="5" t="s">
        <v>36</v>
      </c>
      <c r="X120" s="5" t="s">
        <v>203</v>
      </c>
      <c r="Y120" s="5" t="s">
        <v>46</v>
      </c>
      <c r="Z120" s="5" t="s">
        <v>47</v>
      </c>
      <c r="AA120" s="5" t="s">
        <v>64</v>
      </c>
      <c r="AB120" s="5" t="s">
        <v>691</v>
      </c>
      <c r="AC120" s="6" t="s">
        <v>71</v>
      </c>
      <c r="AD120" s="6">
        <v>870.0</v>
      </c>
    </row>
    <row r="121" ht="56.25" customHeight="1">
      <c r="A121" s="5" t="s">
        <v>692</v>
      </c>
      <c r="B121" s="6" t="str">
        <f>IMAGE("https://storage.googleapis.com/acdb/miscellaneous/FtrBottleship_Remake_0_0.png")</f>
        <v/>
      </c>
      <c r="C121" s="5" t="s">
        <v>693</v>
      </c>
      <c r="D121" s="5" t="s">
        <v>34</v>
      </c>
      <c r="E121" s="5" t="s">
        <v>34</v>
      </c>
      <c r="F121" s="5" t="s">
        <v>34</v>
      </c>
      <c r="G121" s="5" t="s">
        <v>36</v>
      </c>
      <c r="H121" s="5" t="s">
        <v>36</v>
      </c>
      <c r="I121" s="5" t="s">
        <v>36</v>
      </c>
      <c r="J121" s="6" t="s">
        <v>34</v>
      </c>
      <c r="K121" s="6">
        <v>1800.0</v>
      </c>
      <c r="L121" s="6">
        <v>450.0</v>
      </c>
      <c r="M121" s="5" t="s">
        <v>83</v>
      </c>
      <c r="N121" s="5" t="s">
        <v>57</v>
      </c>
      <c r="O121" s="6" t="s">
        <v>40</v>
      </c>
      <c r="P121" s="5" t="s">
        <v>59</v>
      </c>
      <c r="Q121" s="5" t="s">
        <v>60</v>
      </c>
      <c r="R121" s="6" t="s">
        <v>42</v>
      </c>
      <c r="S121" s="5" t="s">
        <v>138</v>
      </c>
      <c r="T121" s="5" t="s">
        <v>696</v>
      </c>
      <c r="U121" s="5" t="s">
        <v>44</v>
      </c>
      <c r="V121" s="5" t="s">
        <v>44</v>
      </c>
      <c r="W121" s="5" t="s">
        <v>36</v>
      </c>
      <c r="X121" s="5" t="s">
        <v>140</v>
      </c>
      <c r="Y121" s="5" t="s">
        <v>46</v>
      </c>
      <c r="Z121" s="5" t="s">
        <v>47</v>
      </c>
      <c r="AA121" s="5" t="s">
        <v>64</v>
      </c>
      <c r="AB121" s="5" t="s">
        <v>697</v>
      </c>
      <c r="AC121" s="6" t="s">
        <v>50</v>
      </c>
      <c r="AD121" s="6">
        <v>683.0</v>
      </c>
    </row>
    <row r="122" ht="56.25" customHeight="1">
      <c r="A122" s="5" t="s">
        <v>692</v>
      </c>
      <c r="B122" s="6" t="str">
        <f>IMAGE("https://storage.googleapis.com/acdb/miscellaneous/FtrBottleship_Remake_1_0.png")</f>
        <v/>
      </c>
      <c r="C122" s="5" t="s">
        <v>698</v>
      </c>
      <c r="D122" s="5" t="s">
        <v>34</v>
      </c>
      <c r="E122" s="5" t="s">
        <v>34</v>
      </c>
      <c r="F122" s="5" t="s">
        <v>34</v>
      </c>
      <c r="G122" s="5" t="s">
        <v>36</v>
      </c>
      <c r="H122" s="5" t="s">
        <v>36</v>
      </c>
      <c r="I122" s="5" t="s">
        <v>36</v>
      </c>
      <c r="J122" s="6" t="s">
        <v>34</v>
      </c>
      <c r="K122" s="6">
        <v>1800.0</v>
      </c>
      <c r="L122" s="6">
        <v>450.0</v>
      </c>
      <c r="M122" s="5" t="s">
        <v>83</v>
      </c>
      <c r="N122" s="5" t="s">
        <v>96</v>
      </c>
      <c r="O122" s="6" t="s">
        <v>40</v>
      </c>
      <c r="P122" s="5" t="s">
        <v>59</v>
      </c>
      <c r="Q122" s="5" t="s">
        <v>60</v>
      </c>
      <c r="R122" s="6" t="s">
        <v>42</v>
      </c>
      <c r="S122" s="5" t="s">
        <v>138</v>
      </c>
      <c r="T122" s="5" t="s">
        <v>696</v>
      </c>
      <c r="U122" s="5" t="s">
        <v>44</v>
      </c>
      <c r="V122" s="5" t="s">
        <v>44</v>
      </c>
      <c r="W122" s="5" t="s">
        <v>36</v>
      </c>
      <c r="X122" s="5" t="s">
        <v>140</v>
      </c>
      <c r="Y122" s="5" t="s">
        <v>46</v>
      </c>
      <c r="Z122" s="5" t="s">
        <v>47</v>
      </c>
      <c r="AA122" s="5" t="s">
        <v>64</v>
      </c>
      <c r="AB122" s="5" t="s">
        <v>703</v>
      </c>
      <c r="AC122" s="6" t="s">
        <v>56</v>
      </c>
      <c r="AD122" s="6">
        <v>683.0</v>
      </c>
    </row>
    <row r="123" ht="56.25" customHeight="1">
      <c r="A123" s="5" t="s">
        <v>692</v>
      </c>
      <c r="B123" s="6" t="str">
        <f>IMAGE("https://storage.googleapis.com/acdb/miscellaneous/FtrBottleship_Remake_2_0.png")</f>
        <v/>
      </c>
      <c r="C123" s="5" t="s">
        <v>705</v>
      </c>
      <c r="D123" s="5" t="s">
        <v>34</v>
      </c>
      <c r="E123" s="5" t="s">
        <v>34</v>
      </c>
      <c r="F123" s="5" t="s">
        <v>34</v>
      </c>
      <c r="G123" s="5" t="s">
        <v>36</v>
      </c>
      <c r="H123" s="5" t="s">
        <v>36</v>
      </c>
      <c r="I123" s="5" t="s">
        <v>36</v>
      </c>
      <c r="J123" s="6" t="s">
        <v>34</v>
      </c>
      <c r="K123" s="6">
        <v>1800.0</v>
      </c>
      <c r="L123" s="6">
        <v>450.0</v>
      </c>
      <c r="M123" s="5" t="s">
        <v>83</v>
      </c>
      <c r="N123" s="5" t="s">
        <v>54</v>
      </c>
      <c r="O123" s="6" t="s">
        <v>40</v>
      </c>
      <c r="P123" s="5" t="s">
        <v>59</v>
      </c>
      <c r="Q123" s="5" t="s">
        <v>60</v>
      </c>
      <c r="R123" s="6" t="s">
        <v>42</v>
      </c>
      <c r="S123" s="5" t="s">
        <v>138</v>
      </c>
      <c r="T123" s="5" t="s">
        <v>696</v>
      </c>
      <c r="U123" s="5" t="s">
        <v>44</v>
      </c>
      <c r="V123" s="5" t="s">
        <v>44</v>
      </c>
      <c r="W123" s="5" t="s">
        <v>36</v>
      </c>
      <c r="X123" s="5" t="s">
        <v>140</v>
      </c>
      <c r="Y123" s="5" t="s">
        <v>46</v>
      </c>
      <c r="Z123" s="5" t="s">
        <v>47</v>
      </c>
      <c r="AA123" s="5" t="s">
        <v>64</v>
      </c>
      <c r="AB123" s="5" t="s">
        <v>711</v>
      </c>
      <c r="AC123" s="6" t="s">
        <v>67</v>
      </c>
      <c r="AD123" s="6">
        <v>683.0</v>
      </c>
    </row>
    <row r="124" ht="56.25" customHeight="1">
      <c r="A124" s="5" t="s">
        <v>712</v>
      </c>
      <c r="B124" s="16" t="str">
        <f>IMAGE("https://storage.googleapis.com/acdb/miscellaneous/FtrArtemiaAquarium.png")</f>
        <v/>
      </c>
      <c r="C124" s="5" t="s">
        <v>34</v>
      </c>
      <c r="D124" s="5" t="s">
        <v>34</v>
      </c>
      <c r="E124" s="5" t="s">
        <v>34</v>
      </c>
      <c r="F124" s="5" t="s">
        <v>34</v>
      </c>
      <c r="G124" s="5" t="s">
        <v>36</v>
      </c>
      <c r="H124" s="5" t="s">
        <v>36</v>
      </c>
      <c r="I124" s="5" t="s">
        <v>36</v>
      </c>
      <c r="J124" s="6" t="s">
        <v>34</v>
      </c>
      <c r="K124" s="6">
        <v>1400.0</v>
      </c>
      <c r="L124" s="6">
        <v>350.0</v>
      </c>
      <c r="M124" s="5" t="s">
        <v>106</v>
      </c>
      <c r="N124" s="5" t="s">
        <v>106</v>
      </c>
      <c r="O124" s="6" t="s">
        <v>40</v>
      </c>
      <c r="P124" s="5" t="s">
        <v>59</v>
      </c>
      <c r="Q124" s="5" t="s">
        <v>122</v>
      </c>
      <c r="R124" s="6" t="s">
        <v>42</v>
      </c>
      <c r="S124" s="5" t="s">
        <v>141</v>
      </c>
      <c r="T124" s="5" t="s">
        <v>99</v>
      </c>
      <c r="U124" s="5" t="s">
        <v>44</v>
      </c>
      <c r="V124" s="5" t="s">
        <v>44</v>
      </c>
      <c r="W124" s="5" t="s">
        <v>35</v>
      </c>
      <c r="X124" s="5" t="s">
        <v>494</v>
      </c>
      <c r="Y124" s="5" t="s">
        <v>46</v>
      </c>
      <c r="Z124" s="5" t="s">
        <v>47</v>
      </c>
      <c r="AA124" s="5" t="s">
        <v>64</v>
      </c>
      <c r="AB124" s="5" t="s">
        <v>717</v>
      </c>
      <c r="AC124" s="6" t="s">
        <v>34</v>
      </c>
      <c r="AD124" s="6">
        <v>11283.0</v>
      </c>
    </row>
    <row r="125" ht="56.25" customHeight="1">
      <c r="A125" s="5" t="s">
        <v>718</v>
      </c>
      <c r="B125" s="16" t="str">
        <f>IMAGE("https://storage.googleapis.com/acdb/miscellaneous/FtrTrophyInsectBronz.png")</f>
        <v/>
      </c>
      <c r="C125" s="5" t="s">
        <v>34</v>
      </c>
      <c r="D125" s="5" t="s">
        <v>34</v>
      </c>
      <c r="E125" s="5" t="s">
        <v>34</v>
      </c>
      <c r="F125" s="5" t="s">
        <v>34</v>
      </c>
      <c r="G125" s="5" t="s">
        <v>36</v>
      </c>
      <c r="H125" s="5" t="s">
        <v>36</v>
      </c>
      <c r="I125" s="5" t="s">
        <v>36</v>
      </c>
      <c r="J125" s="6" t="s">
        <v>34</v>
      </c>
      <c r="K125" s="6" t="s">
        <v>37</v>
      </c>
      <c r="L125" s="6">
        <v>400.0</v>
      </c>
      <c r="M125" s="5" t="s">
        <v>52</v>
      </c>
      <c r="N125" s="5" t="s">
        <v>39</v>
      </c>
      <c r="O125" s="6" t="s">
        <v>40</v>
      </c>
      <c r="P125" s="5" t="s">
        <v>393</v>
      </c>
      <c r="Q125" s="5"/>
      <c r="R125" s="6" t="s">
        <v>42</v>
      </c>
      <c r="S125" s="5" t="s">
        <v>116</v>
      </c>
      <c r="T125" s="5" t="s">
        <v>44</v>
      </c>
      <c r="U125" s="5" t="s">
        <v>44</v>
      </c>
      <c r="V125" s="5" t="s">
        <v>44</v>
      </c>
      <c r="W125" s="5" t="s">
        <v>36</v>
      </c>
      <c r="X125" s="5" t="s">
        <v>206</v>
      </c>
      <c r="Y125" s="5" t="s">
        <v>46</v>
      </c>
      <c r="Z125" s="5" t="s">
        <v>47</v>
      </c>
      <c r="AA125" s="5" t="s">
        <v>48</v>
      </c>
      <c r="AB125" s="5" t="s">
        <v>721</v>
      </c>
      <c r="AC125" s="6" t="s">
        <v>34</v>
      </c>
      <c r="AD125" s="6">
        <v>1205.0</v>
      </c>
    </row>
    <row r="126" ht="56.25" customHeight="1">
      <c r="A126" s="5" t="s">
        <v>723</v>
      </c>
      <c r="B126" s="16" t="str">
        <f>IMAGE("https://storage.googleapis.com/acdb/miscellaneous/FtrTrophyFishBronz.png")</f>
        <v/>
      </c>
      <c r="C126" s="5" t="s">
        <v>34</v>
      </c>
      <c r="D126" s="5" t="s">
        <v>34</v>
      </c>
      <c r="E126" s="5" t="s">
        <v>34</v>
      </c>
      <c r="F126" s="5" t="s">
        <v>34</v>
      </c>
      <c r="G126" s="5" t="s">
        <v>36</v>
      </c>
      <c r="H126" s="5" t="s">
        <v>36</v>
      </c>
      <c r="I126" s="5" t="s">
        <v>36</v>
      </c>
      <c r="J126" s="6" t="s">
        <v>34</v>
      </c>
      <c r="K126" s="6" t="s">
        <v>37</v>
      </c>
      <c r="L126" s="6">
        <v>400.0</v>
      </c>
      <c r="M126" s="5" t="s">
        <v>52</v>
      </c>
      <c r="N126" s="5" t="s">
        <v>39</v>
      </c>
      <c r="O126" s="6" t="s">
        <v>40</v>
      </c>
      <c r="P126" s="5" t="s">
        <v>137</v>
      </c>
      <c r="Q126" s="5"/>
      <c r="R126" s="6" t="s">
        <v>42</v>
      </c>
      <c r="S126" s="5" t="s">
        <v>116</v>
      </c>
      <c r="T126" s="5" t="s">
        <v>44</v>
      </c>
      <c r="U126" s="5" t="s">
        <v>44</v>
      </c>
      <c r="V126" s="5" t="s">
        <v>44</v>
      </c>
      <c r="W126" s="5" t="s">
        <v>36</v>
      </c>
      <c r="X126" s="5" t="s">
        <v>206</v>
      </c>
      <c r="Y126" s="5" t="s">
        <v>46</v>
      </c>
      <c r="Z126" s="5" t="s">
        <v>47</v>
      </c>
      <c r="AA126" s="5" t="s">
        <v>48</v>
      </c>
      <c r="AB126" s="5" t="s">
        <v>728</v>
      </c>
      <c r="AC126" s="6" t="s">
        <v>34</v>
      </c>
      <c r="AD126" s="6">
        <v>1202.0</v>
      </c>
    </row>
    <row r="127" ht="56.25" customHeight="1">
      <c r="A127" s="5" t="s">
        <v>729</v>
      </c>
      <c r="B127" s="16" t="str">
        <f>IMAGE("https://storage.googleapis.com/acdb/miscellaneous/FtrTrophyHhaBronze.png")</f>
        <v/>
      </c>
      <c r="C127" s="5" t="s">
        <v>34</v>
      </c>
      <c r="D127" s="5" t="s">
        <v>34</v>
      </c>
      <c r="E127" s="5" t="s">
        <v>34</v>
      </c>
      <c r="F127" s="5" t="s">
        <v>34</v>
      </c>
      <c r="G127" s="5" t="s">
        <v>36</v>
      </c>
      <c r="H127" s="5" t="s">
        <v>36</v>
      </c>
      <c r="I127" s="5" t="s">
        <v>36</v>
      </c>
      <c r="J127" s="6" t="s">
        <v>34</v>
      </c>
      <c r="K127" s="6" t="s">
        <v>37</v>
      </c>
      <c r="L127" s="6">
        <v>400.0</v>
      </c>
      <c r="M127" s="5" t="s">
        <v>52</v>
      </c>
      <c r="N127" s="5" t="s">
        <v>39</v>
      </c>
      <c r="O127" s="6" t="s">
        <v>40</v>
      </c>
      <c r="P127" s="5" t="s">
        <v>423</v>
      </c>
      <c r="Q127" s="5"/>
      <c r="R127" s="6" t="s">
        <v>42</v>
      </c>
      <c r="S127" s="5" t="s">
        <v>116</v>
      </c>
      <c r="T127" s="5" t="s">
        <v>44</v>
      </c>
      <c r="U127" s="5" t="s">
        <v>44</v>
      </c>
      <c r="V127" s="5" t="s">
        <v>44</v>
      </c>
      <c r="W127" s="5" t="s">
        <v>36</v>
      </c>
      <c r="X127" s="5" t="s">
        <v>206</v>
      </c>
      <c r="Y127" s="5" t="s">
        <v>46</v>
      </c>
      <c r="Z127" s="5" t="s">
        <v>47</v>
      </c>
      <c r="AA127" s="5" t="s">
        <v>48</v>
      </c>
      <c r="AB127" s="5" t="s">
        <v>735</v>
      </c>
      <c r="AC127" s="6" t="s">
        <v>34</v>
      </c>
      <c r="AD127" s="6">
        <v>7098.0</v>
      </c>
    </row>
    <row r="128" ht="56.25" customHeight="1">
      <c r="A128" s="5" t="s">
        <v>737</v>
      </c>
      <c r="B128" s="16" t="str">
        <f>IMAGE("https://storage.googleapis.com/acdb/miscellaneous/FtrInsectAburazemiToy.png")</f>
        <v/>
      </c>
      <c r="C128" s="5" t="s">
        <v>34</v>
      </c>
      <c r="D128" s="5" t="s">
        <v>34</v>
      </c>
      <c r="E128" s="5" t="s">
        <v>34</v>
      </c>
      <c r="F128" s="5" t="s">
        <v>34</v>
      </c>
      <c r="G128" s="5" t="s">
        <v>36</v>
      </c>
      <c r="H128" s="5" t="s">
        <v>36</v>
      </c>
      <c r="I128" s="5" t="s">
        <v>36</v>
      </c>
      <c r="J128" s="6" t="s">
        <v>34</v>
      </c>
      <c r="K128" s="6" t="s">
        <v>37</v>
      </c>
      <c r="L128" s="6">
        <v>750.0</v>
      </c>
      <c r="M128" s="5" t="s">
        <v>39</v>
      </c>
      <c r="N128" s="5" t="s">
        <v>39</v>
      </c>
      <c r="O128" s="6" t="s">
        <v>40</v>
      </c>
      <c r="P128" s="5" t="s">
        <v>107</v>
      </c>
      <c r="Q128" s="5" t="s">
        <v>108</v>
      </c>
      <c r="R128" s="6" t="s">
        <v>42</v>
      </c>
      <c r="S128" s="5" t="s">
        <v>44</v>
      </c>
      <c r="T128" s="5" t="s">
        <v>44</v>
      </c>
      <c r="U128" s="5" t="s">
        <v>44</v>
      </c>
      <c r="V128" s="5" t="s">
        <v>44</v>
      </c>
      <c r="W128" s="5" t="s">
        <v>36</v>
      </c>
      <c r="X128" s="5" t="s">
        <v>109</v>
      </c>
      <c r="Y128" s="5" t="s">
        <v>46</v>
      </c>
      <c r="Z128" s="5" t="s">
        <v>47</v>
      </c>
      <c r="AA128" s="5" t="s">
        <v>48</v>
      </c>
      <c r="AB128" s="5" t="s">
        <v>742</v>
      </c>
      <c r="AC128" s="6" t="s">
        <v>34</v>
      </c>
      <c r="AD128" s="6">
        <v>7046.0</v>
      </c>
    </row>
    <row r="129" ht="56.25" customHeight="1">
      <c r="A129" s="5" t="s">
        <v>743</v>
      </c>
      <c r="B129" s="16" t="str">
        <f>IMAGE("https://storage.googleapis.com/acdb/miscellaneous/FtrEggBasket.png")</f>
        <v/>
      </c>
      <c r="C129" s="5" t="s">
        <v>34</v>
      </c>
      <c r="D129" s="5" t="s">
        <v>34</v>
      </c>
      <c r="E129" s="5" t="s">
        <v>34</v>
      </c>
      <c r="F129" s="5" t="s">
        <v>34</v>
      </c>
      <c r="G129" s="5" t="s">
        <v>36</v>
      </c>
      <c r="H129" s="5" t="s">
        <v>36</v>
      </c>
      <c r="I129" s="5" t="s">
        <v>36</v>
      </c>
      <c r="J129" s="6" t="s">
        <v>34</v>
      </c>
      <c r="K129" s="6" t="s">
        <v>37</v>
      </c>
      <c r="L129" s="6">
        <v>1200.0</v>
      </c>
      <c r="M129" s="5" t="s">
        <v>58</v>
      </c>
      <c r="N129" s="5" t="s">
        <v>38</v>
      </c>
      <c r="O129" s="6" t="s">
        <v>40</v>
      </c>
      <c r="P129" s="5" t="s">
        <v>466</v>
      </c>
      <c r="Q129" s="5" t="s">
        <v>749</v>
      </c>
      <c r="R129" s="6" t="s">
        <v>98</v>
      </c>
      <c r="S129" s="5" t="s">
        <v>61</v>
      </c>
      <c r="T129" s="5" t="s">
        <v>44</v>
      </c>
      <c r="U129" s="5" t="s">
        <v>466</v>
      </c>
      <c r="V129" s="5" t="s">
        <v>44</v>
      </c>
      <c r="W129" s="5" t="s">
        <v>36</v>
      </c>
      <c r="X129" s="5" t="s">
        <v>750</v>
      </c>
      <c r="Y129" s="5" t="s">
        <v>46</v>
      </c>
      <c r="Z129" s="5" t="s">
        <v>47</v>
      </c>
      <c r="AA129" s="5" t="s">
        <v>48</v>
      </c>
      <c r="AB129" s="5" t="s">
        <v>751</v>
      </c>
      <c r="AC129" s="6" t="s">
        <v>34</v>
      </c>
      <c r="AD129" s="6">
        <v>12438.0</v>
      </c>
    </row>
    <row r="130" ht="56.25" customHeight="1">
      <c r="A130" s="5" t="s">
        <v>753</v>
      </c>
      <c r="B130" s="16" t="str">
        <f>IMAGE("https://storage.googleapis.com/acdb/miscellaneous/FtrEggLamp.png")</f>
        <v/>
      </c>
      <c r="C130" s="5" t="s">
        <v>34</v>
      </c>
      <c r="D130" s="5" t="s">
        <v>34</v>
      </c>
      <c r="E130" s="5" t="s">
        <v>34</v>
      </c>
      <c r="F130" s="5" t="s">
        <v>34</v>
      </c>
      <c r="G130" s="5" t="s">
        <v>35</v>
      </c>
      <c r="H130" s="5" t="s">
        <v>36</v>
      </c>
      <c r="I130" s="5" t="s">
        <v>36</v>
      </c>
      <c r="J130" s="6" t="s">
        <v>34</v>
      </c>
      <c r="K130" s="6" t="s">
        <v>37</v>
      </c>
      <c r="L130" s="6">
        <v>1600.0</v>
      </c>
      <c r="M130" s="5" t="s">
        <v>142</v>
      </c>
      <c r="N130" s="5" t="s">
        <v>142</v>
      </c>
      <c r="O130" s="6" t="s">
        <v>40</v>
      </c>
      <c r="P130" s="5" t="s">
        <v>41</v>
      </c>
      <c r="Q130" s="5" t="s">
        <v>461</v>
      </c>
      <c r="R130" s="6" t="s">
        <v>98</v>
      </c>
      <c r="S130" s="5" t="s">
        <v>61</v>
      </c>
      <c r="T130" s="5" t="s">
        <v>44</v>
      </c>
      <c r="U130" s="5" t="s">
        <v>466</v>
      </c>
      <c r="V130" s="5" t="s">
        <v>44</v>
      </c>
      <c r="W130" s="5" t="s">
        <v>35</v>
      </c>
      <c r="X130" s="5" t="s">
        <v>467</v>
      </c>
      <c r="Y130" s="5" t="s">
        <v>46</v>
      </c>
      <c r="Z130" s="5" t="s">
        <v>502</v>
      </c>
      <c r="AA130" s="5" t="s">
        <v>48</v>
      </c>
      <c r="AB130" s="5" t="s">
        <v>757</v>
      </c>
      <c r="AC130" s="6" t="s">
        <v>34</v>
      </c>
      <c r="AD130" s="6">
        <v>12413.0</v>
      </c>
    </row>
    <row r="131" ht="56.25" customHeight="1">
      <c r="A131" s="5" t="s">
        <v>760</v>
      </c>
      <c r="B131" s="16" t="str">
        <f>IMAGE("https://storage.googleapis.com/acdb/miscellaneous/FtrFishChouchouuoToy.png")</f>
        <v/>
      </c>
      <c r="C131" s="5" t="s">
        <v>34</v>
      </c>
      <c r="D131" s="5" t="s">
        <v>34</v>
      </c>
      <c r="E131" s="5" t="s">
        <v>34</v>
      </c>
      <c r="F131" s="5" t="s">
        <v>34</v>
      </c>
      <c r="G131" s="5" t="s">
        <v>36</v>
      </c>
      <c r="H131" s="5" t="s">
        <v>36</v>
      </c>
      <c r="I131" s="5" t="s">
        <v>36</v>
      </c>
      <c r="J131" s="6" t="s">
        <v>34</v>
      </c>
      <c r="K131" s="6" t="s">
        <v>37</v>
      </c>
      <c r="L131" s="6">
        <v>3000.0</v>
      </c>
      <c r="M131" s="5" t="s">
        <v>114</v>
      </c>
      <c r="N131" s="5" t="s">
        <v>54</v>
      </c>
      <c r="O131" s="6" t="s">
        <v>40</v>
      </c>
      <c r="P131" s="5" t="s">
        <v>213</v>
      </c>
      <c r="Q131" s="5" t="s">
        <v>215</v>
      </c>
      <c r="R131" s="6" t="s">
        <v>42</v>
      </c>
      <c r="S131" s="5" t="s">
        <v>44</v>
      </c>
      <c r="T131" s="5" t="s">
        <v>44</v>
      </c>
      <c r="U131" s="5" t="s">
        <v>44</v>
      </c>
      <c r="V131" s="5" t="s">
        <v>44</v>
      </c>
      <c r="W131" s="5" t="s">
        <v>36</v>
      </c>
      <c r="X131" s="5" t="s">
        <v>219</v>
      </c>
      <c r="Y131" s="5" t="s">
        <v>46</v>
      </c>
      <c r="Z131" s="5" t="s">
        <v>47</v>
      </c>
      <c r="AA131" s="5" t="s">
        <v>48</v>
      </c>
      <c r="AB131" s="5" t="s">
        <v>762</v>
      </c>
      <c r="AC131" s="6" t="s">
        <v>34</v>
      </c>
      <c r="AD131" s="6">
        <v>6941.0</v>
      </c>
    </row>
    <row r="132" ht="56.25" customHeight="1">
      <c r="A132" s="5" t="s">
        <v>764</v>
      </c>
      <c r="B132" s="6" t="str">
        <f>IMAGE("https://storage.googleapis.com/acdb/miscellaneous/FtrKocher_Remake_0_0.png")</f>
        <v/>
      </c>
      <c r="C132" s="5" t="s">
        <v>114</v>
      </c>
      <c r="D132" s="5" t="s">
        <v>34</v>
      </c>
      <c r="E132" s="5" t="s">
        <v>34</v>
      </c>
      <c r="F132" s="5" t="s">
        <v>34</v>
      </c>
      <c r="G132" s="5" t="s">
        <v>36</v>
      </c>
      <c r="H132" s="5" t="s">
        <v>36</v>
      </c>
      <c r="I132" s="5" t="s">
        <v>36</v>
      </c>
      <c r="J132" s="6" t="s">
        <v>34</v>
      </c>
      <c r="K132" s="6">
        <v>1300.0</v>
      </c>
      <c r="L132" s="6">
        <v>325.0</v>
      </c>
      <c r="M132" s="5" t="s">
        <v>114</v>
      </c>
      <c r="N132" s="5" t="s">
        <v>95</v>
      </c>
      <c r="O132" s="6" t="s">
        <v>40</v>
      </c>
      <c r="P132" s="5" t="s">
        <v>59</v>
      </c>
      <c r="Q132" s="5" t="s">
        <v>554</v>
      </c>
      <c r="R132" s="6" t="s">
        <v>42</v>
      </c>
      <c r="S132" s="5" t="s">
        <v>765</v>
      </c>
      <c r="T132" s="5" t="s">
        <v>44</v>
      </c>
      <c r="U132" s="5" t="s">
        <v>44</v>
      </c>
      <c r="V132" s="5" t="s">
        <v>44</v>
      </c>
      <c r="W132" s="5" t="s">
        <v>35</v>
      </c>
      <c r="X132" s="5" t="s">
        <v>767</v>
      </c>
      <c r="Y132" s="5" t="s">
        <v>46</v>
      </c>
      <c r="Z132" s="5" t="s">
        <v>47</v>
      </c>
      <c r="AA132" s="5" t="s">
        <v>64</v>
      </c>
      <c r="AB132" s="5" t="s">
        <v>768</v>
      </c>
      <c r="AC132" s="6" t="s">
        <v>50</v>
      </c>
      <c r="AD132" s="6">
        <v>889.0</v>
      </c>
    </row>
    <row r="133" ht="56.25" customHeight="1">
      <c r="A133" s="5" t="s">
        <v>764</v>
      </c>
      <c r="B133" s="6" t="str">
        <f>IMAGE("https://storage.googleapis.com/acdb/miscellaneous/FtrKocher_Remake_1_0.png")</f>
        <v/>
      </c>
      <c r="C133" s="5" t="s">
        <v>52</v>
      </c>
      <c r="D133" s="5" t="s">
        <v>34</v>
      </c>
      <c r="E133" s="5" t="s">
        <v>34</v>
      </c>
      <c r="F133" s="5" t="s">
        <v>34</v>
      </c>
      <c r="G133" s="5" t="s">
        <v>36</v>
      </c>
      <c r="H133" s="5" t="s">
        <v>36</v>
      </c>
      <c r="I133" s="5" t="s">
        <v>36</v>
      </c>
      <c r="J133" s="6" t="s">
        <v>34</v>
      </c>
      <c r="K133" s="6">
        <v>1300.0</v>
      </c>
      <c r="L133" s="6">
        <v>325.0</v>
      </c>
      <c r="M133" s="5" t="s">
        <v>52</v>
      </c>
      <c r="N133" s="5" t="s">
        <v>95</v>
      </c>
      <c r="O133" s="6" t="s">
        <v>40</v>
      </c>
      <c r="P133" s="5" t="s">
        <v>59</v>
      </c>
      <c r="Q133" s="5" t="s">
        <v>554</v>
      </c>
      <c r="R133" s="6" t="s">
        <v>42</v>
      </c>
      <c r="S133" s="5" t="s">
        <v>765</v>
      </c>
      <c r="T133" s="5" t="s">
        <v>44</v>
      </c>
      <c r="U133" s="5" t="s">
        <v>44</v>
      </c>
      <c r="V133" s="5" t="s">
        <v>44</v>
      </c>
      <c r="W133" s="5" t="s">
        <v>35</v>
      </c>
      <c r="X133" s="5" t="s">
        <v>767</v>
      </c>
      <c r="Y133" s="5" t="s">
        <v>46</v>
      </c>
      <c r="Z133" s="5" t="s">
        <v>47</v>
      </c>
      <c r="AA133" s="5" t="s">
        <v>64</v>
      </c>
      <c r="AB133" s="5" t="s">
        <v>772</v>
      </c>
      <c r="AC133" s="6" t="s">
        <v>56</v>
      </c>
      <c r="AD133" s="6">
        <v>889.0</v>
      </c>
    </row>
    <row r="134" ht="56.25" customHeight="1">
      <c r="A134" s="5" t="s">
        <v>764</v>
      </c>
      <c r="B134" s="6" t="str">
        <f>IMAGE("https://storage.googleapis.com/acdb/miscellaneous/FtrKocher_Remake_2_0.png")</f>
        <v/>
      </c>
      <c r="C134" s="5" t="s">
        <v>68</v>
      </c>
      <c r="D134" s="5" t="s">
        <v>34</v>
      </c>
      <c r="E134" s="5" t="s">
        <v>34</v>
      </c>
      <c r="F134" s="5" t="s">
        <v>34</v>
      </c>
      <c r="G134" s="5" t="s">
        <v>36</v>
      </c>
      <c r="H134" s="5" t="s">
        <v>36</v>
      </c>
      <c r="I134" s="5" t="s">
        <v>36</v>
      </c>
      <c r="J134" s="6" t="s">
        <v>34</v>
      </c>
      <c r="K134" s="6">
        <v>1300.0</v>
      </c>
      <c r="L134" s="6">
        <v>325.0</v>
      </c>
      <c r="M134" s="5" t="s">
        <v>68</v>
      </c>
      <c r="N134" s="5" t="s">
        <v>95</v>
      </c>
      <c r="O134" s="6" t="s">
        <v>40</v>
      </c>
      <c r="P134" s="5" t="s">
        <v>59</v>
      </c>
      <c r="Q134" s="5" t="s">
        <v>554</v>
      </c>
      <c r="R134" s="6" t="s">
        <v>42</v>
      </c>
      <c r="S134" s="5" t="s">
        <v>765</v>
      </c>
      <c r="T134" s="5" t="s">
        <v>44</v>
      </c>
      <c r="U134" s="5" t="s">
        <v>44</v>
      </c>
      <c r="V134" s="5" t="s">
        <v>44</v>
      </c>
      <c r="W134" s="5" t="s">
        <v>35</v>
      </c>
      <c r="X134" s="5" t="s">
        <v>767</v>
      </c>
      <c r="Y134" s="5" t="s">
        <v>46</v>
      </c>
      <c r="Z134" s="5" t="s">
        <v>47</v>
      </c>
      <c r="AA134" s="5" t="s">
        <v>64</v>
      </c>
      <c r="AB134" s="5" t="s">
        <v>779</v>
      </c>
      <c r="AC134" s="6" t="s">
        <v>67</v>
      </c>
      <c r="AD134" s="6">
        <v>889.0</v>
      </c>
    </row>
    <row r="135" ht="56.25" customHeight="1">
      <c r="A135" s="5" t="s">
        <v>764</v>
      </c>
      <c r="B135" s="6" t="str">
        <f>IMAGE("https://storage.googleapis.com/acdb/miscellaneous/FtrKocher_Remake_3_0.png")</f>
        <v/>
      </c>
      <c r="C135" s="5" t="s">
        <v>96</v>
      </c>
      <c r="D135" s="5" t="s">
        <v>34</v>
      </c>
      <c r="E135" s="5" t="s">
        <v>34</v>
      </c>
      <c r="F135" s="5" t="s">
        <v>34</v>
      </c>
      <c r="G135" s="5" t="s">
        <v>36</v>
      </c>
      <c r="H135" s="5" t="s">
        <v>36</v>
      </c>
      <c r="I135" s="5" t="s">
        <v>36</v>
      </c>
      <c r="J135" s="6" t="s">
        <v>34</v>
      </c>
      <c r="K135" s="6">
        <v>1300.0</v>
      </c>
      <c r="L135" s="6">
        <v>325.0</v>
      </c>
      <c r="M135" s="5" t="s">
        <v>96</v>
      </c>
      <c r="N135" s="5" t="s">
        <v>95</v>
      </c>
      <c r="O135" s="6" t="s">
        <v>40</v>
      </c>
      <c r="P135" s="5" t="s">
        <v>59</v>
      </c>
      <c r="Q135" s="5" t="s">
        <v>554</v>
      </c>
      <c r="R135" s="6" t="s">
        <v>42</v>
      </c>
      <c r="S135" s="5" t="s">
        <v>765</v>
      </c>
      <c r="T135" s="5" t="s">
        <v>44</v>
      </c>
      <c r="U135" s="5" t="s">
        <v>44</v>
      </c>
      <c r="V135" s="5" t="s">
        <v>44</v>
      </c>
      <c r="W135" s="5" t="s">
        <v>35</v>
      </c>
      <c r="X135" s="5" t="s">
        <v>767</v>
      </c>
      <c r="Y135" s="5" t="s">
        <v>46</v>
      </c>
      <c r="Z135" s="5" t="s">
        <v>47</v>
      </c>
      <c r="AA135" s="5" t="s">
        <v>64</v>
      </c>
      <c r="AB135" s="5" t="s">
        <v>782</v>
      </c>
      <c r="AC135" s="6" t="s">
        <v>71</v>
      </c>
      <c r="AD135" s="6">
        <v>889.0</v>
      </c>
    </row>
    <row r="136" ht="56.25" customHeight="1">
      <c r="A136" s="5" t="s">
        <v>764</v>
      </c>
      <c r="B136" s="6" t="str">
        <f>IMAGE("https://storage.googleapis.com/acdb/miscellaneous/FtrKocher_Remake_4_0.png")</f>
        <v/>
      </c>
      <c r="C136" s="5" t="s">
        <v>39</v>
      </c>
      <c r="D136" s="5" t="s">
        <v>34</v>
      </c>
      <c r="E136" s="5" t="s">
        <v>34</v>
      </c>
      <c r="F136" s="5" t="s">
        <v>34</v>
      </c>
      <c r="G136" s="5" t="s">
        <v>36</v>
      </c>
      <c r="H136" s="5" t="s">
        <v>36</v>
      </c>
      <c r="I136" s="5" t="s">
        <v>36</v>
      </c>
      <c r="J136" s="6" t="s">
        <v>34</v>
      </c>
      <c r="K136" s="6">
        <v>1300.0</v>
      </c>
      <c r="L136" s="6">
        <v>325.0</v>
      </c>
      <c r="M136" s="5" t="s">
        <v>39</v>
      </c>
      <c r="N136" s="5" t="s">
        <v>95</v>
      </c>
      <c r="O136" s="6" t="s">
        <v>40</v>
      </c>
      <c r="P136" s="5" t="s">
        <v>59</v>
      </c>
      <c r="Q136" s="5" t="s">
        <v>554</v>
      </c>
      <c r="R136" s="6" t="s">
        <v>42</v>
      </c>
      <c r="S136" s="5" t="s">
        <v>765</v>
      </c>
      <c r="T136" s="5" t="s">
        <v>44</v>
      </c>
      <c r="U136" s="5" t="s">
        <v>44</v>
      </c>
      <c r="V136" s="5" t="s">
        <v>44</v>
      </c>
      <c r="W136" s="5" t="s">
        <v>35</v>
      </c>
      <c r="X136" s="5" t="s">
        <v>767</v>
      </c>
      <c r="Y136" s="5" t="s">
        <v>46</v>
      </c>
      <c r="Z136" s="5" t="s">
        <v>47</v>
      </c>
      <c r="AA136" s="5" t="s">
        <v>64</v>
      </c>
      <c r="AB136" s="5" t="s">
        <v>787</v>
      </c>
      <c r="AC136" s="6" t="s">
        <v>75</v>
      </c>
      <c r="AD136" s="6">
        <v>889.0</v>
      </c>
    </row>
    <row r="137" ht="56.25" customHeight="1">
      <c r="A137" s="5" t="s">
        <v>764</v>
      </c>
      <c r="B137" s="6" t="str">
        <f>IMAGE("https://storage.googleapis.com/acdb/miscellaneous/FtrKocher_Remake_5_0.png")</f>
        <v/>
      </c>
      <c r="C137" s="5" t="s">
        <v>54</v>
      </c>
      <c r="D137" s="5" t="s">
        <v>34</v>
      </c>
      <c r="E137" s="5" t="s">
        <v>34</v>
      </c>
      <c r="F137" s="5" t="s">
        <v>34</v>
      </c>
      <c r="G137" s="5" t="s">
        <v>36</v>
      </c>
      <c r="H137" s="5" t="s">
        <v>36</v>
      </c>
      <c r="I137" s="5" t="s">
        <v>36</v>
      </c>
      <c r="J137" s="6" t="s">
        <v>34</v>
      </c>
      <c r="K137" s="6">
        <v>1300.0</v>
      </c>
      <c r="L137" s="6">
        <v>325.0</v>
      </c>
      <c r="M137" s="5" t="s">
        <v>54</v>
      </c>
      <c r="N137" s="5" t="s">
        <v>95</v>
      </c>
      <c r="O137" s="6" t="s">
        <v>40</v>
      </c>
      <c r="P137" s="5" t="s">
        <v>59</v>
      </c>
      <c r="Q137" s="5" t="s">
        <v>554</v>
      </c>
      <c r="R137" s="6" t="s">
        <v>42</v>
      </c>
      <c r="S137" s="5" t="s">
        <v>765</v>
      </c>
      <c r="T137" s="5" t="s">
        <v>44</v>
      </c>
      <c r="U137" s="5" t="s">
        <v>44</v>
      </c>
      <c r="V137" s="5" t="s">
        <v>44</v>
      </c>
      <c r="W137" s="5" t="s">
        <v>35</v>
      </c>
      <c r="X137" s="5" t="s">
        <v>767</v>
      </c>
      <c r="Y137" s="5" t="s">
        <v>46</v>
      </c>
      <c r="Z137" s="5" t="s">
        <v>47</v>
      </c>
      <c r="AA137" s="5" t="s">
        <v>64</v>
      </c>
      <c r="AB137" s="5" t="s">
        <v>791</v>
      </c>
      <c r="AC137" s="6" t="s">
        <v>79</v>
      </c>
      <c r="AD137" s="6">
        <v>889.0</v>
      </c>
    </row>
    <row r="138" ht="56.25" customHeight="1">
      <c r="A138" s="5" t="s">
        <v>792</v>
      </c>
      <c r="B138" s="6" t="str">
        <f>IMAGE("https://storage.googleapis.com/acdb/miscellaneous/FtrCandle_Remake_0_0.png")</f>
        <v/>
      </c>
      <c r="C138" s="5" t="s">
        <v>151</v>
      </c>
      <c r="D138" s="5" t="s">
        <v>34</v>
      </c>
      <c r="E138" s="5" t="s">
        <v>34</v>
      </c>
      <c r="F138" s="5" t="s">
        <v>34</v>
      </c>
      <c r="G138" s="5" t="s">
        <v>36</v>
      </c>
      <c r="H138" s="5" t="s">
        <v>36</v>
      </c>
      <c r="I138" s="5" t="s">
        <v>36</v>
      </c>
      <c r="J138" s="6" t="s">
        <v>34</v>
      </c>
      <c r="K138" s="6">
        <v>600.0</v>
      </c>
      <c r="L138" s="6">
        <v>150.0</v>
      </c>
      <c r="M138" s="5" t="s">
        <v>114</v>
      </c>
      <c r="N138" s="5" t="s">
        <v>57</v>
      </c>
      <c r="O138" s="6" t="s">
        <v>40</v>
      </c>
      <c r="P138" s="5" t="s">
        <v>59</v>
      </c>
      <c r="Q138" s="5" t="s">
        <v>554</v>
      </c>
      <c r="R138" s="6" t="s">
        <v>42</v>
      </c>
      <c r="S138" s="5" t="s">
        <v>732</v>
      </c>
      <c r="T138" s="5" t="s">
        <v>44</v>
      </c>
      <c r="U138" s="5" t="s">
        <v>44</v>
      </c>
      <c r="V138" s="5" t="s">
        <v>44</v>
      </c>
      <c r="W138" s="5" t="s">
        <v>35</v>
      </c>
      <c r="X138" s="5" t="s">
        <v>467</v>
      </c>
      <c r="Y138" s="5" t="s">
        <v>46</v>
      </c>
      <c r="Z138" s="5" t="s">
        <v>495</v>
      </c>
      <c r="AA138" s="5" t="s">
        <v>64</v>
      </c>
      <c r="AB138" s="5" t="s">
        <v>795</v>
      </c>
      <c r="AC138" s="6" t="s">
        <v>50</v>
      </c>
      <c r="AD138" s="6">
        <v>2562.0</v>
      </c>
    </row>
    <row r="139" ht="56.25" customHeight="1">
      <c r="A139" s="5" t="s">
        <v>792</v>
      </c>
      <c r="B139" s="6" t="str">
        <f>IMAGE("https://storage.googleapis.com/acdb/miscellaneous/FtrCandle_Remake_1_0.png")</f>
        <v/>
      </c>
      <c r="C139" s="5" t="s">
        <v>146</v>
      </c>
      <c r="D139" s="5" t="s">
        <v>34</v>
      </c>
      <c r="E139" s="5" t="s">
        <v>34</v>
      </c>
      <c r="F139" s="5" t="s">
        <v>34</v>
      </c>
      <c r="G139" s="5" t="s">
        <v>36</v>
      </c>
      <c r="H139" s="5" t="s">
        <v>36</v>
      </c>
      <c r="I139" s="5" t="s">
        <v>36</v>
      </c>
      <c r="J139" s="6" t="s">
        <v>34</v>
      </c>
      <c r="K139" s="6">
        <v>600.0</v>
      </c>
      <c r="L139" s="6">
        <v>150.0</v>
      </c>
      <c r="M139" s="5" t="s">
        <v>95</v>
      </c>
      <c r="N139" s="5" t="s">
        <v>57</v>
      </c>
      <c r="O139" s="6" t="s">
        <v>40</v>
      </c>
      <c r="P139" s="5" t="s">
        <v>59</v>
      </c>
      <c r="Q139" s="5" t="s">
        <v>554</v>
      </c>
      <c r="R139" s="6" t="s">
        <v>42</v>
      </c>
      <c r="S139" s="5" t="s">
        <v>732</v>
      </c>
      <c r="T139" s="5" t="s">
        <v>44</v>
      </c>
      <c r="U139" s="5" t="s">
        <v>44</v>
      </c>
      <c r="V139" s="5" t="s">
        <v>44</v>
      </c>
      <c r="W139" s="5" t="s">
        <v>35</v>
      </c>
      <c r="X139" s="5" t="s">
        <v>467</v>
      </c>
      <c r="Y139" s="5" t="s">
        <v>46</v>
      </c>
      <c r="Z139" s="5" t="s">
        <v>495</v>
      </c>
      <c r="AA139" s="5" t="s">
        <v>64</v>
      </c>
      <c r="AB139" s="5" t="s">
        <v>798</v>
      </c>
      <c r="AC139" s="6" t="s">
        <v>56</v>
      </c>
      <c r="AD139" s="6">
        <v>2562.0</v>
      </c>
    </row>
    <row r="140" ht="56.25" customHeight="1">
      <c r="A140" s="5" t="s">
        <v>792</v>
      </c>
      <c r="B140" s="6" t="str">
        <f>IMAGE("https://storage.googleapis.com/acdb/miscellaneous/FtrCandle_Remake_2_0.png")</f>
        <v/>
      </c>
      <c r="C140" s="5" t="s">
        <v>296</v>
      </c>
      <c r="D140" s="5" t="s">
        <v>34</v>
      </c>
      <c r="E140" s="5" t="s">
        <v>34</v>
      </c>
      <c r="F140" s="5" t="s">
        <v>34</v>
      </c>
      <c r="G140" s="5" t="s">
        <v>36</v>
      </c>
      <c r="H140" s="5" t="s">
        <v>36</v>
      </c>
      <c r="I140" s="5" t="s">
        <v>36</v>
      </c>
      <c r="J140" s="6" t="s">
        <v>34</v>
      </c>
      <c r="K140" s="6">
        <v>600.0</v>
      </c>
      <c r="L140" s="6">
        <v>150.0</v>
      </c>
      <c r="M140" s="5" t="s">
        <v>39</v>
      </c>
      <c r="N140" s="5" t="s">
        <v>57</v>
      </c>
      <c r="O140" s="6" t="s">
        <v>40</v>
      </c>
      <c r="P140" s="5" t="s">
        <v>59</v>
      </c>
      <c r="Q140" s="5" t="s">
        <v>554</v>
      </c>
      <c r="R140" s="6" t="s">
        <v>42</v>
      </c>
      <c r="S140" s="5" t="s">
        <v>732</v>
      </c>
      <c r="T140" s="5" t="s">
        <v>44</v>
      </c>
      <c r="U140" s="5" t="s">
        <v>44</v>
      </c>
      <c r="V140" s="5" t="s">
        <v>44</v>
      </c>
      <c r="W140" s="5" t="s">
        <v>35</v>
      </c>
      <c r="X140" s="5" t="s">
        <v>467</v>
      </c>
      <c r="Y140" s="5" t="s">
        <v>46</v>
      </c>
      <c r="Z140" s="5" t="s">
        <v>495</v>
      </c>
      <c r="AA140" s="5" t="s">
        <v>64</v>
      </c>
      <c r="AB140" s="5" t="s">
        <v>801</v>
      </c>
      <c r="AC140" s="6" t="s">
        <v>67</v>
      </c>
      <c r="AD140" s="6">
        <v>2562.0</v>
      </c>
    </row>
    <row r="141" ht="56.25" customHeight="1">
      <c r="A141" s="5" t="s">
        <v>792</v>
      </c>
      <c r="B141" s="6" t="str">
        <f>IMAGE("https://storage.googleapis.com/acdb/miscellaneous/FtrCandle_Remake_3_0.png")</f>
        <v/>
      </c>
      <c r="C141" s="5" t="s">
        <v>54</v>
      </c>
      <c r="D141" s="5" t="s">
        <v>34</v>
      </c>
      <c r="E141" s="5" t="s">
        <v>34</v>
      </c>
      <c r="F141" s="5" t="s">
        <v>34</v>
      </c>
      <c r="G141" s="5" t="s">
        <v>36</v>
      </c>
      <c r="H141" s="5" t="s">
        <v>36</v>
      </c>
      <c r="I141" s="5" t="s">
        <v>36</v>
      </c>
      <c r="J141" s="6" t="s">
        <v>34</v>
      </c>
      <c r="K141" s="6">
        <v>600.0</v>
      </c>
      <c r="L141" s="6">
        <v>150.0</v>
      </c>
      <c r="M141" s="5" t="s">
        <v>54</v>
      </c>
      <c r="N141" s="5" t="s">
        <v>57</v>
      </c>
      <c r="O141" s="6" t="s">
        <v>40</v>
      </c>
      <c r="P141" s="5" t="s">
        <v>59</v>
      </c>
      <c r="Q141" s="5" t="s">
        <v>554</v>
      </c>
      <c r="R141" s="6" t="s">
        <v>42</v>
      </c>
      <c r="S141" s="5" t="s">
        <v>732</v>
      </c>
      <c r="T141" s="5" t="s">
        <v>44</v>
      </c>
      <c r="U141" s="5" t="s">
        <v>44</v>
      </c>
      <c r="V141" s="5" t="s">
        <v>44</v>
      </c>
      <c r="W141" s="5" t="s">
        <v>35</v>
      </c>
      <c r="X141" s="5" t="s">
        <v>467</v>
      </c>
      <c r="Y141" s="5" t="s">
        <v>46</v>
      </c>
      <c r="Z141" s="5" t="s">
        <v>495</v>
      </c>
      <c r="AA141" s="5" t="s">
        <v>64</v>
      </c>
      <c r="AB141" s="5" t="s">
        <v>806</v>
      </c>
      <c r="AC141" s="6" t="s">
        <v>71</v>
      </c>
      <c r="AD141" s="6">
        <v>2562.0</v>
      </c>
    </row>
    <row r="142" ht="56.25" customHeight="1">
      <c r="A142" s="5" t="s">
        <v>792</v>
      </c>
      <c r="B142" s="6" t="str">
        <f>IMAGE("https://storage.googleapis.com/acdb/miscellaneous/FtrCandle_Remake_4_0.png")</f>
        <v/>
      </c>
      <c r="C142" s="5" t="s">
        <v>57</v>
      </c>
      <c r="D142" s="5" t="s">
        <v>34</v>
      </c>
      <c r="E142" s="5" t="s">
        <v>34</v>
      </c>
      <c r="F142" s="5" t="s">
        <v>34</v>
      </c>
      <c r="G142" s="5" t="s">
        <v>36</v>
      </c>
      <c r="H142" s="5" t="s">
        <v>36</v>
      </c>
      <c r="I142" s="5" t="s">
        <v>36</v>
      </c>
      <c r="J142" s="6" t="s">
        <v>34</v>
      </c>
      <c r="K142" s="6">
        <v>600.0</v>
      </c>
      <c r="L142" s="6">
        <v>150.0</v>
      </c>
      <c r="M142" s="5" t="s">
        <v>57</v>
      </c>
      <c r="N142" s="5" t="s">
        <v>57</v>
      </c>
      <c r="O142" s="6" t="s">
        <v>40</v>
      </c>
      <c r="P142" s="5" t="s">
        <v>59</v>
      </c>
      <c r="Q142" s="5" t="s">
        <v>554</v>
      </c>
      <c r="R142" s="6" t="s">
        <v>42</v>
      </c>
      <c r="S142" s="5" t="s">
        <v>732</v>
      </c>
      <c r="T142" s="5" t="s">
        <v>44</v>
      </c>
      <c r="U142" s="5" t="s">
        <v>44</v>
      </c>
      <c r="V142" s="5" t="s">
        <v>44</v>
      </c>
      <c r="W142" s="5" t="s">
        <v>35</v>
      </c>
      <c r="X142" s="5" t="s">
        <v>467</v>
      </c>
      <c r="Y142" s="5" t="s">
        <v>46</v>
      </c>
      <c r="Z142" s="5" t="s">
        <v>495</v>
      </c>
      <c r="AA142" s="5" t="s">
        <v>64</v>
      </c>
      <c r="AB142" s="5" t="s">
        <v>809</v>
      </c>
      <c r="AC142" s="6" t="s">
        <v>75</v>
      </c>
      <c r="AD142" s="6">
        <v>2562.0</v>
      </c>
    </row>
    <row r="143" ht="56.25" customHeight="1">
      <c r="A143" s="5" t="s">
        <v>810</v>
      </c>
      <c r="B143" s="6" t="str">
        <f>IMAGE("https://storage.googleapis.com/acdb/miscellaneous/FtrCardboard_Remake_0_0.png")</f>
        <v/>
      </c>
      <c r="C143" s="5" t="s">
        <v>811</v>
      </c>
      <c r="D143" s="5" t="s">
        <v>34</v>
      </c>
      <c r="E143" s="5" t="s">
        <v>34</v>
      </c>
      <c r="F143" s="5" t="s">
        <v>34</v>
      </c>
      <c r="G143" s="5" t="s">
        <v>36</v>
      </c>
      <c r="H143" s="5" t="s">
        <v>36</v>
      </c>
      <c r="I143" s="5" t="s">
        <v>36</v>
      </c>
      <c r="J143" s="6" t="s">
        <v>34</v>
      </c>
      <c r="K143" s="6">
        <v>120.0</v>
      </c>
      <c r="L143" s="6">
        <v>30.0</v>
      </c>
      <c r="M143" s="5" t="s">
        <v>114</v>
      </c>
      <c r="N143" s="5" t="s">
        <v>114</v>
      </c>
      <c r="O143" s="6" t="s">
        <v>40</v>
      </c>
      <c r="P143" s="5" t="s">
        <v>59</v>
      </c>
      <c r="Q143" s="5" t="s">
        <v>554</v>
      </c>
      <c r="R143" s="6" t="s">
        <v>42</v>
      </c>
      <c r="S143" s="5" t="s">
        <v>416</v>
      </c>
      <c r="T143" s="5" t="s">
        <v>44</v>
      </c>
      <c r="U143" s="5" t="s">
        <v>814</v>
      </c>
      <c r="V143" s="5" t="s">
        <v>44</v>
      </c>
      <c r="W143" s="5" t="s">
        <v>36</v>
      </c>
      <c r="X143" s="5" t="s">
        <v>230</v>
      </c>
      <c r="Y143" s="5" t="s">
        <v>46</v>
      </c>
      <c r="Z143" s="5" t="s">
        <v>47</v>
      </c>
      <c r="AA143" s="5" t="s">
        <v>64</v>
      </c>
      <c r="AB143" s="5" t="s">
        <v>815</v>
      </c>
      <c r="AC143" s="6" t="s">
        <v>50</v>
      </c>
      <c r="AD143" s="6">
        <v>3672.0</v>
      </c>
    </row>
    <row r="144" ht="56.25" customHeight="1">
      <c r="A144" s="5" t="s">
        <v>810</v>
      </c>
      <c r="B144" s="6" t="str">
        <f>IMAGE("https://storage.googleapis.com/acdb/miscellaneous/FtrCardboard_Remake_1_0.png")</f>
        <v/>
      </c>
      <c r="C144" s="5" t="s">
        <v>817</v>
      </c>
      <c r="D144" s="5" t="s">
        <v>34</v>
      </c>
      <c r="E144" s="5" t="s">
        <v>34</v>
      </c>
      <c r="F144" s="5" t="s">
        <v>34</v>
      </c>
      <c r="G144" s="5" t="s">
        <v>36</v>
      </c>
      <c r="H144" s="5" t="s">
        <v>36</v>
      </c>
      <c r="I144" s="5" t="s">
        <v>36</v>
      </c>
      <c r="J144" s="6" t="s">
        <v>34</v>
      </c>
      <c r="K144" s="6">
        <v>120.0</v>
      </c>
      <c r="L144" s="6">
        <v>30.0</v>
      </c>
      <c r="M144" s="5" t="s">
        <v>114</v>
      </c>
      <c r="N144" s="5" t="s">
        <v>68</v>
      </c>
      <c r="O144" s="6" t="s">
        <v>40</v>
      </c>
      <c r="P144" s="5" t="s">
        <v>59</v>
      </c>
      <c r="Q144" s="5" t="s">
        <v>554</v>
      </c>
      <c r="R144" s="6" t="s">
        <v>42</v>
      </c>
      <c r="S144" s="5" t="s">
        <v>416</v>
      </c>
      <c r="T144" s="5" t="s">
        <v>44</v>
      </c>
      <c r="U144" s="5" t="s">
        <v>814</v>
      </c>
      <c r="V144" s="5" t="s">
        <v>44</v>
      </c>
      <c r="W144" s="5" t="s">
        <v>36</v>
      </c>
      <c r="X144" s="5" t="s">
        <v>230</v>
      </c>
      <c r="Y144" s="5" t="s">
        <v>46</v>
      </c>
      <c r="Z144" s="5" t="s">
        <v>47</v>
      </c>
      <c r="AA144" s="5" t="s">
        <v>64</v>
      </c>
      <c r="AB144" s="5" t="s">
        <v>820</v>
      </c>
      <c r="AC144" s="6" t="s">
        <v>56</v>
      </c>
      <c r="AD144" s="6">
        <v>3672.0</v>
      </c>
    </row>
    <row r="145" ht="56.25" customHeight="1">
      <c r="A145" s="5" t="s">
        <v>810</v>
      </c>
      <c r="B145" s="6" t="str">
        <f>IMAGE("https://storage.googleapis.com/acdb/miscellaneous/FtrCardboard_Remake_2_0.png")</f>
        <v/>
      </c>
      <c r="C145" s="5" t="s">
        <v>821</v>
      </c>
      <c r="D145" s="5" t="s">
        <v>34</v>
      </c>
      <c r="E145" s="5" t="s">
        <v>34</v>
      </c>
      <c r="F145" s="5" t="s">
        <v>34</v>
      </c>
      <c r="G145" s="5" t="s">
        <v>36</v>
      </c>
      <c r="H145" s="5" t="s">
        <v>36</v>
      </c>
      <c r="I145" s="5" t="s">
        <v>36</v>
      </c>
      <c r="J145" s="6" t="s">
        <v>34</v>
      </c>
      <c r="K145" s="6">
        <v>120.0</v>
      </c>
      <c r="L145" s="6">
        <v>30.0</v>
      </c>
      <c r="M145" s="5" t="s">
        <v>114</v>
      </c>
      <c r="N145" s="5" t="s">
        <v>142</v>
      </c>
      <c r="O145" s="6" t="s">
        <v>40</v>
      </c>
      <c r="P145" s="5" t="s">
        <v>59</v>
      </c>
      <c r="Q145" s="5" t="s">
        <v>554</v>
      </c>
      <c r="R145" s="6" t="s">
        <v>42</v>
      </c>
      <c r="S145" s="5" t="s">
        <v>416</v>
      </c>
      <c r="T145" s="5" t="s">
        <v>44</v>
      </c>
      <c r="U145" s="5" t="s">
        <v>814</v>
      </c>
      <c r="V145" s="5" t="s">
        <v>44</v>
      </c>
      <c r="W145" s="5" t="s">
        <v>36</v>
      </c>
      <c r="X145" s="5" t="s">
        <v>230</v>
      </c>
      <c r="Y145" s="5" t="s">
        <v>46</v>
      </c>
      <c r="Z145" s="5" t="s">
        <v>47</v>
      </c>
      <c r="AA145" s="5" t="s">
        <v>64</v>
      </c>
      <c r="AB145" s="5" t="s">
        <v>825</v>
      </c>
      <c r="AC145" s="6" t="s">
        <v>67</v>
      </c>
      <c r="AD145" s="6">
        <v>3672.0</v>
      </c>
    </row>
    <row r="146" ht="56.25" customHeight="1">
      <c r="A146" s="5" t="s">
        <v>810</v>
      </c>
      <c r="B146" s="6" t="str">
        <f>IMAGE("https://storage.googleapis.com/acdb/miscellaneous/FtrCardboard_Remake_3_0.png")</f>
        <v/>
      </c>
      <c r="C146" s="5" t="s">
        <v>826</v>
      </c>
      <c r="D146" s="5" t="s">
        <v>34</v>
      </c>
      <c r="E146" s="5" t="s">
        <v>34</v>
      </c>
      <c r="F146" s="5" t="s">
        <v>34</v>
      </c>
      <c r="G146" s="5" t="s">
        <v>36</v>
      </c>
      <c r="H146" s="5" t="s">
        <v>36</v>
      </c>
      <c r="I146" s="5" t="s">
        <v>36</v>
      </c>
      <c r="J146" s="6" t="s">
        <v>34</v>
      </c>
      <c r="K146" s="6">
        <v>120.0</v>
      </c>
      <c r="L146" s="6">
        <v>30.0</v>
      </c>
      <c r="M146" s="5" t="s">
        <v>57</v>
      </c>
      <c r="N146" s="5" t="s">
        <v>52</v>
      </c>
      <c r="O146" s="6" t="s">
        <v>40</v>
      </c>
      <c r="P146" s="5" t="s">
        <v>59</v>
      </c>
      <c r="Q146" s="5" t="s">
        <v>554</v>
      </c>
      <c r="R146" s="6" t="s">
        <v>42</v>
      </c>
      <c r="S146" s="5" t="s">
        <v>416</v>
      </c>
      <c r="T146" s="5" t="s">
        <v>44</v>
      </c>
      <c r="U146" s="5" t="s">
        <v>814</v>
      </c>
      <c r="V146" s="5" t="s">
        <v>44</v>
      </c>
      <c r="W146" s="5" t="s">
        <v>36</v>
      </c>
      <c r="X146" s="5" t="s">
        <v>230</v>
      </c>
      <c r="Y146" s="5" t="s">
        <v>46</v>
      </c>
      <c r="Z146" s="5" t="s">
        <v>47</v>
      </c>
      <c r="AA146" s="5" t="s">
        <v>64</v>
      </c>
      <c r="AB146" s="5" t="s">
        <v>829</v>
      </c>
      <c r="AC146" s="6" t="s">
        <v>71</v>
      </c>
      <c r="AD146" s="6">
        <v>3672.0</v>
      </c>
    </row>
    <row r="147" ht="56.25" customHeight="1">
      <c r="A147" s="5" t="s">
        <v>810</v>
      </c>
      <c r="B147" s="6" t="str">
        <f>IMAGE("https://storage.googleapis.com/acdb/miscellaneous/FtrCardboard_Remake_4_0.png")</f>
        <v/>
      </c>
      <c r="C147" s="5" t="s">
        <v>831</v>
      </c>
      <c r="D147" s="5" t="s">
        <v>34</v>
      </c>
      <c r="E147" s="5" t="s">
        <v>34</v>
      </c>
      <c r="F147" s="5" t="s">
        <v>34</v>
      </c>
      <c r="G147" s="5" t="s">
        <v>36</v>
      </c>
      <c r="H147" s="5" t="s">
        <v>36</v>
      </c>
      <c r="I147" s="5" t="s">
        <v>36</v>
      </c>
      <c r="J147" s="6" t="s">
        <v>34</v>
      </c>
      <c r="K147" s="6">
        <v>120.0</v>
      </c>
      <c r="L147" s="6">
        <v>30.0</v>
      </c>
      <c r="M147" s="5" t="s">
        <v>57</v>
      </c>
      <c r="N147" s="5" t="s">
        <v>69</v>
      </c>
      <c r="O147" s="6" t="s">
        <v>40</v>
      </c>
      <c r="P147" s="5" t="s">
        <v>59</v>
      </c>
      <c r="Q147" s="5" t="s">
        <v>554</v>
      </c>
      <c r="R147" s="6" t="s">
        <v>42</v>
      </c>
      <c r="S147" s="5" t="s">
        <v>416</v>
      </c>
      <c r="T147" s="5" t="s">
        <v>44</v>
      </c>
      <c r="U147" s="5" t="s">
        <v>814</v>
      </c>
      <c r="V147" s="5" t="s">
        <v>44</v>
      </c>
      <c r="W147" s="5" t="s">
        <v>36</v>
      </c>
      <c r="X147" s="5" t="s">
        <v>230</v>
      </c>
      <c r="Y147" s="5" t="s">
        <v>46</v>
      </c>
      <c r="Z147" s="5" t="s">
        <v>47</v>
      </c>
      <c r="AA147" s="5" t="s">
        <v>64</v>
      </c>
      <c r="AB147" s="5" t="s">
        <v>833</v>
      </c>
      <c r="AC147" s="6" t="s">
        <v>75</v>
      </c>
      <c r="AD147" s="6">
        <v>3672.0</v>
      </c>
    </row>
    <row r="148" ht="56.25" customHeight="1">
      <c r="A148" s="5" t="s">
        <v>810</v>
      </c>
      <c r="B148" s="6" t="str">
        <f>IMAGE("https://storage.googleapis.com/acdb/miscellaneous/FtrCardboard_Remake_5_0.png")</f>
        <v/>
      </c>
      <c r="C148" s="5" t="s">
        <v>835</v>
      </c>
      <c r="D148" s="5" t="s">
        <v>34</v>
      </c>
      <c r="E148" s="5" t="s">
        <v>34</v>
      </c>
      <c r="F148" s="5" t="s">
        <v>34</v>
      </c>
      <c r="G148" s="5" t="s">
        <v>36</v>
      </c>
      <c r="H148" s="5" t="s">
        <v>36</v>
      </c>
      <c r="I148" s="5" t="s">
        <v>36</v>
      </c>
      <c r="J148" s="6" t="s">
        <v>34</v>
      </c>
      <c r="K148" s="6">
        <v>120.0</v>
      </c>
      <c r="L148" s="6">
        <v>30.0</v>
      </c>
      <c r="M148" s="5" t="s">
        <v>57</v>
      </c>
      <c r="N148" s="5" t="s">
        <v>96</v>
      </c>
      <c r="O148" s="6" t="s">
        <v>40</v>
      </c>
      <c r="P148" s="5" t="s">
        <v>59</v>
      </c>
      <c r="Q148" s="5" t="s">
        <v>554</v>
      </c>
      <c r="R148" s="6" t="s">
        <v>42</v>
      </c>
      <c r="S148" s="5" t="s">
        <v>416</v>
      </c>
      <c r="T148" s="5" t="s">
        <v>44</v>
      </c>
      <c r="U148" s="5" t="s">
        <v>814</v>
      </c>
      <c r="V148" s="5" t="s">
        <v>44</v>
      </c>
      <c r="W148" s="5" t="s">
        <v>36</v>
      </c>
      <c r="X148" s="5" t="s">
        <v>230</v>
      </c>
      <c r="Y148" s="5" t="s">
        <v>46</v>
      </c>
      <c r="Z148" s="5" t="s">
        <v>47</v>
      </c>
      <c r="AA148" s="5" t="s">
        <v>64</v>
      </c>
      <c r="AB148" s="5" t="s">
        <v>837</v>
      </c>
      <c r="AC148" s="6" t="s">
        <v>79</v>
      </c>
      <c r="AD148" s="6">
        <v>3672.0</v>
      </c>
    </row>
    <row r="149" ht="56.25" customHeight="1">
      <c r="A149" s="5" t="s">
        <v>810</v>
      </c>
      <c r="B149" s="6" t="str">
        <f>IMAGE("https://storage.googleapis.com/acdb/miscellaneous/FtrCardboard_Remake_6_0.png")</f>
        <v/>
      </c>
      <c r="C149" s="5" t="s">
        <v>839</v>
      </c>
      <c r="D149" s="5" t="s">
        <v>34</v>
      </c>
      <c r="E149" s="5" t="s">
        <v>34</v>
      </c>
      <c r="F149" s="5" t="s">
        <v>34</v>
      </c>
      <c r="G149" s="5" t="s">
        <v>36</v>
      </c>
      <c r="H149" s="5" t="s">
        <v>36</v>
      </c>
      <c r="I149" s="5" t="s">
        <v>36</v>
      </c>
      <c r="J149" s="6" t="s">
        <v>34</v>
      </c>
      <c r="K149" s="6">
        <v>120.0</v>
      </c>
      <c r="L149" s="6">
        <v>30.0</v>
      </c>
      <c r="M149" s="5" t="s">
        <v>114</v>
      </c>
      <c r="N149" s="5" t="s">
        <v>52</v>
      </c>
      <c r="O149" s="6" t="s">
        <v>40</v>
      </c>
      <c r="P149" s="5" t="s">
        <v>59</v>
      </c>
      <c r="Q149" s="5" t="s">
        <v>554</v>
      </c>
      <c r="R149" s="6" t="s">
        <v>42</v>
      </c>
      <c r="S149" s="5" t="s">
        <v>416</v>
      </c>
      <c r="T149" s="5" t="s">
        <v>44</v>
      </c>
      <c r="U149" s="5" t="s">
        <v>814</v>
      </c>
      <c r="V149" s="5" t="s">
        <v>44</v>
      </c>
      <c r="W149" s="5" t="s">
        <v>36</v>
      </c>
      <c r="X149" s="5" t="s">
        <v>230</v>
      </c>
      <c r="Y149" s="5" t="s">
        <v>46</v>
      </c>
      <c r="Z149" s="5" t="s">
        <v>47</v>
      </c>
      <c r="AA149" s="5" t="s">
        <v>64</v>
      </c>
      <c r="AB149" s="5" t="s">
        <v>841</v>
      </c>
      <c r="AC149" s="6" t="s">
        <v>86</v>
      </c>
      <c r="AD149" s="6">
        <v>3672.0</v>
      </c>
    </row>
    <row r="150" ht="56.25" customHeight="1">
      <c r="A150" s="5" t="s">
        <v>842</v>
      </c>
      <c r="B150" s="16" t="str">
        <f>IMAGE("https://storage.googleapis.com/acdb/miscellaneous/FtrFishKoiToy.png")</f>
        <v/>
      </c>
      <c r="C150" s="5" t="s">
        <v>34</v>
      </c>
      <c r="D150" s="5" t="s">
        <v>34</v>
      </c>
      <c r="E150" s="5" t="s">
        <v>34</v>
      </c>
      <c r="F150" s="5" t="s">
        <v>34</v>
      </c>
      <c r="G150" s="5" t="s">
        <v>36</v>
      </c>
      <c r="H150" s="5" t="s">
        <v>36</v>
      </c>
      <c r="I150" s="5" t="s">
        <v>36</v>
      </c>
      <c r="J150" s="6" t="s">
        <v>34</v>
      </c>
      <c r="K150" s="6" t="s">
        <v>37</v>
      </c>
      <c r="L150" s="6">
        <v>900.0</v>
      </c>
      <c r="M150" s="5" t="s">
        <v>95</v>
      </c>
      <c r="N150" s="5" t="s">
        <v>54</v>
      </c>
      <c r="O150" s="6" t="s">
        <v>40</v>
      </c>
      <c r="P150" s="5" t="s">
        <v>213</v>
      </c>
      <c r="Q150" s="5" t="s">
        <v>215</v>
      </c>
      <c r="R150" s="6" t="s">
        <v>42</v>
      </c>
      <c r="S150" s="5" t="s">
        <v>44</v>
      </c>
      <c r="T150" s="5" t="s">
        <v>44</v>
      </c>
      <c r="U150" s="5" t="s">
        <v>44</v>
      </c>
      <c r="V150" s="5" t="s">
        <v>44</v>
      </c>
      <c r="W150" s="5" t="s">
        <v>36</v>
      </c>
      <c r="X150" s="5" t="s">
        <v>219</v>
      </c>
      <c r="Y150" s="5" t="s">
        <v>46</v>
      </c>
      <c r="Z150" s="5" t="s">
        <v>47</v>
      </c>
      <c r="AA150" s="5" t="s">
        <v>48</v>
      </c>
      <c r="AB150" s="5" t="s">
        <v>844</v>
      </c>
      <c r="AC150" s="6" t="s">
        <v>34</v>
      </c>
      <c r="AD150" s="6">
        <v>6980.0</v>
      </c>
    </row>
    <row r="151" ht="56.25" customHeight="1">
      <c r="A151" s="5" t="s">
        <v>846</v>
      </c>
      <c r="B151" s="6" t="str">
        <f>IMAGE("https://storage.googleapis.com/acdb/miscellaneous/FtrCartoonistset_Remake_0_0.png")</f>
        <v/>
      </c>
      <c r="C151" s="5" t="s">
        <v>54</v>
      </c>
      <c r="D151" s="5" t="s">
        <v>34</v>
      </c>
      <c r="E151" s="5" t="s">
        <v>849</v>
      </c>
      <c r="F151" s="5" t="s">
        <v>850</v>
      </c>
      <c r="G151" s="5" t="s">
        <v>36</v>
      </c>
      <c r="H151" s="5" t="s">
        <v>36</v>
      </c>
      <c r="I151" s="5" t="s">
        <v>35</v>
      </c>
      <c r="J151" s="6">
        <v>1.0</v>
      </c>
      <c r="K151" s="6">
        <v>1200.0</v>
      </c>
      <c r="L151" s="6">
        <v>300.0</v>
      </c>
      <c r="M151" s="5" t="s">
        <v>54</v>
      </c>
      <c r="N151" s="5" t="s">
        <v>57</v>
      </c>
      <c r="O151" s="6" t="s">
        <v>40</v>
      </c>
      <c r="P151" s="5" t="s">
        <v>59</v>
      </c>
      <c r="Q151" s="5" t="s">
        <v>60</v>
      </c>
      <c r="R151" s="6" t="s">
        <v>42</v>
      </c>
      <c r="S151" s="5" t="s">
        <v>99</v>
      </c>
      <c r="T151" s="5" t="s">
        <v>44</v>
      </c>
      <c r="U151" s="5" t="s">
        <v>44</v>
      </c>
      <c r="V151" s="5" t="s">
        <v>44</v>
      </c>
      <c r="W151" s="5" t="s">
        <v>35</v>
      </c>
      <c r="X151" s="5" t="s">
        <v>203</v>
      </c>
      <c r="Y151" s="5" t="s">
        <v>46</v>
      </c>
      <c r="Z151" s="5" t="s">
        <v>102</v>
      </c>
      <c r="AA151" s="5" t="s">
        <v>64</v>
      </c>
      <c r="AB151" s="5" t="s">
        <v>851</v>
      </c>
      <c r="AC151" s="6" t="s">
        <v>50</v>
      </c>
      <c r="AD151" s="6">
        <v>4122.0</v>
      </c>
    </row>
    <row r="152" ht="56.25" customHeight="1">
      <c r="A152" s="5" t="s">
        <v>846</v>
      </c>
      <c r="B152" s="6" t="str">
        <f>IMAGE("https://storage.googleapis.com/acdb/miscellaneous/FtrCartoonistset_Remake_0_1.png")</f>
        <v/>
      </c>
      <c r="C152" s="5" t="s">
        <v>54</v>
      </c>
      <c r="D152" s="5" t="s">
        <v>34</v>
      </c>
      <c r="E152" s="5" t="s">
        <v>852</v>
      </c>
      <c r="F152" s="5" t="s">
        <v>850</v>
      </c>
      <c r="G152" s="5" t="s">
        <v>36</v>
      </c>
      <c r="H152" s="5" t="s">
        <v>36</v>
      </c>
      <c r="I152" s="5" t="s">
        <v>35</v>
      </c>
      <c r="J152" s="6">
        <v>1.0</v>
      </c>
      <c r="K152" s="6">
        <v>1200.0</v>
      </c>
      <c r="L152" s="6">
        <v>300.0</v>
      </c>
      <c r="M152" s="5" t="s">
        <v>54</v>
      </c>
      <c r="N152" s="5" t="s">
        <v>57</v>
      </c>
      <c r="O152" s="6" t="s">
        <v>40</v>
      </c>
      <c r="P152" s="5" t="s">
        <v>59</v>
      </c>
      <c r="Q152" s="5" t="s">
        <v>60</v>
      </c>
      <c r="R152" s="6" t="s">
        <v>42</v>
      </c>
      <c r="S152" s="5" t="s">
        <v>99</v>
      </c>
      <c r="T152" s="5" t="s">
        <v>44</v>
      </c>
      <c r="U152" s="5" t="s">
        <v>44</v>
      </c>
      <c r="V152" s="5" t="s">
        <v>44</v>
      </c>
      <c r="W152" s="5" t="s">
        <v>35</v>
      </c>
      <c r="X152" s="5" t="s">
        <v>203</v>
      </c>
      <c r="Y152" s="5" t="s">
        <v>46</v>
      </c>
      <c r="Z152" s="5" t="s">
        <v>102</v>
      </c>
      <c r="AA152" s="5" t="s">
        <v>64</v>
      </c>
      <c r="AB152" s="5" t="s">
        <v>855</v>
      </c>
      <c r="AC152" s="6" t="s">
        <v>217</v>
      </c>
      <c r="AD152" s="6">
        <v>4122.0</v>
      </c>
    </row>
    <row r="153" ht="56.25" customHeight="1">
      <c r="A153" s="5" t="s">
        <v>846</v>
      </c>
      <c r="B153" s="6" t="str">
        <f>IMAGE("https://storage.googleapis.com/acdb/miscellaneous/FtrCartoonistset_Remake_0_2.png")</f>
        <v/>
      </c>
      <c r="C153" s="5" t="s">
        <v>54</v>
      </c>
      <c r="D153" s="5" t="s">
        <v>34</v>
      </c>
      <c r="E153" s="5" t="s">
        <v>856</v>
      </c>
      <c r="F153" s="5" t="s">
        <v>850</v>
      </c>
      <c r="G153" s="5" t="s">
        <v>36</v>
      </c>
      <c r="H153" s="5" t="s">
        <v>36</v>
      </c>
      <c r="I153" s="5" t="s">
        <v>35</v>
      </c>
      <c r="J153" s="6">
        <v>1.0</v>
      </c>
      <c r="K153" s="6">
        <v>1200.0</v>
      </c>
      <c r="L153" s="6">
        <v>300.0</v>
      </c>
      <c r="M153" s="5" t="s">
        <v>54</v>
      </c>
      <c r="N153" s="5" t="s">
        <v>57</v>
      </c>
      <c r="O153" s="6" t="s">
        <v>40</v>
      </c>
      <c r="P153" s="5" t="s">
        <v>59</v>
      </c>
      <c r="Q153" s="5" t="s">
        <v>60</v>
      </c>
      <c r="R153" s="6" t="s">
        <v>42</v>
      </c>
      <c r="S153" s="5" t="s">
        <v>99</v>
      </c>
      <c r="T153" s="5" t="s">
        <v>44</v>
      </c>
      <c r="U153" s="5" t="s">
        <v>44</v>
      </c>
      <c r="V153" s="5" t="s">
        <v>44</v>
      </c>
      <c r="W153" s="5" t="s">
        <v>35</v>
      </c>
      <c r="X153" s="5" t="s">
        <v>203</v>
      </c>
      <c r="Y153" s="5" t="s">
        <v>46</v>
      </c>
      <c r="Z153" s="5" t="s">
        <v>102</v>
      </c>
      <c r="AA153" s="5" t="s">
        <v>64</v>
      </c>
      <c r="AB153" s="5" t="s">
        <v>857</v>
      </c>
      <c r="AC153" s="6" t="s">
        <v>347</v>
      </c>
      <c r="AD153" s="6">
        <v>4122.0</v>
      </c>
    </row>
    <row r="154" ht="56.25" customHeight="1">
      <c r="A154" s="5" t="s">
        <v>846</v>
      </c>
      <c r="B154" s="6" t="str">
        <f>IMAGE("https://storage.googleapis.com/acdb/miscellaneous/FtrCartoonistset_Remake_1_0.png")</f>
        <v/>
      </c>
      <c r="C154" s="5" t="s">
        <v>146</v>
      </c>
      <c r="D154" s="5" t="s">
        <v>34</v>
      </c>
      <c r="E154" s="5" t="s">
        <v>849</v>
      </c>
      <c r="F154" s="5" t="s">
        <v>850</v>
      </c>
      <c r="G154" s="5" t="s">
        <v>36</v>
      </c>
      <c r="H154" s="5" t="s">
        <v>36</v>
      </c>
      <c r="I154" s="5" t="s">
        <v>35</v>
      </c>
      <c r="J154" s="6">
        <v>1.0</v>
      </c>
      <c r="K154" s="6">
        <v>1200.0</v>
      </c>
      <c r="L154" s="6">
        <v>300.0</v>
      </c>
      <c r="M154" s="5" t="s">
        <v>95</v>
      </c>
      <c r="N154" s="5" t="s">
        <v>57</v>
      </c>
      <c r="O154" s="6" t="s">
        <v>40</v>
      </c>
      <c r="P154" s="5" t="s">
        <v>59</v>
      </c>
      <c r="Q154" s="5" t="s">
        <v>60</v>
      </c>
      <c r="R154" s="6" t="s">
        <v>42</v>
      </c>
      <c r="S154" s="5" t="s">
        <v>99</v>
      </c>
      <c r="T154" s="5" t="s">
        <v>44</v>
      </c>
      <c r="U154" s="5" t="s">
        <v>44</v>
      </c>
      <c r="V154" s="5" t="s">
        <v>44</v>
      </c>
      <c r="W154" s="5" t="s">
        <v>35</v>
      </c>
      <c r="X154" s="5" t="s">
        <v>203</v>
      </c>
      <c r="Y154" s="5" t="s">
        <v>46</v>
      </c>
      <c r="Z154" s="5" t="s">
        <v>102</v>
      </c>
      <c r="AA154" s="5" t="s">
        <v>64</v>
      </c>
      <c r="AB154" s="5" t="s">
        <v>860</v>
      </c>
      <c r="AC154" s="6" t="s">
        <v>56</v>
      </c>
      <c r="AD154" s="6">
        <v>4122.0</v>
      </c>
    </row>
    <row r="155" ht="56.25" customHeight="1">
      <c r="A155" s="5" t="s">
        <v>846</v>
      </c>
      <c r="B155" s="6" t="str">
        <f>IMAGE("https://storage.googleapis.com/acdb/miscellaneous/FtrCartoonistset_Remake_1_1.png")</f>
        <v/>
      </c>
      <c r="C155" s="5" t="s">
        <v>146</v>
      </c>
      <c r="D155" s="5" t="s">
        <v>34</v>
      </c>
      <c r="E155" s="5" t="s">
        <v>852</v>
      </c>
      <c r="F155" s="5" t="s">
        <v>850</v>
      </c>
      <c r="G155" s="5" t="s">
        <v>36</v>
      </c>
      <c r="H155" s="5" t="s">
        <v>36</v>
      </c>
      <c r="I155" s="5" t="s">
        <v>35</v>
      </c>
      <c r="J155" s="6">
        <v>1.0</v>
      </c>
      <c r="K155" s="6">
        <v>1200.0</v>
      </c>
      <c r="L155" s="6">
        <v>300.0</v>
      </c>
      <c r="M155" s="5" t="s">
        <v>95</v>
      </c>
      <c r="N155" s="5" t="s">
        <v>57</v>
      </c>
      <c r="O155" s="6" t="s">
        <v>40</v>
      </c>
      <c r="P155" s="5" t="s">
        <v>59</v>
      </c>
      <c r="Q155" s="5" t="s">
        <v>60</v>
      </c>
      <c r="R155" s="6" t="s">
        <v>42</v>
      </c>
      <c r="S155" s="5" t="s">
        <v>99</v>
      </c>
      <c r="T155" s="5" t="s">
        <v>44</v>
      </c>
      <c r="U155" s="5" t="s">
        <v>44</v>
      </c>
      <c r="V155" s="5" t="s">
        <v>44</v>
      </c>
      <c r="W155" s="5" t="s">
        <v>35</v>
      </c>
      <c r="X155" s="5" t="s">
        <v>203</v>
      </c>
      <c r="Y155" s="5" t="s">
        <v>46</v>
      </c>
      <c r="Z155" s="5" t="s">
        <v>102</v>
      </c>
      <c r="AA155" s="5" t="s">
        <v>64</v>
      </c>
      <c r="AB155" s="5" t="s">
        <v>864</v>
      </c>
      <c r="AC155" s="6" t="s">
        <v>234</v>
      </c>
      <c r="AD155" s="6">
        <v>4122.0</v>
      </c>
    </row>
    <row r="156" ht="56.25" customHeight="1">
      <c r="A156" s="5" t="s">
        <v>846</v>
      </c>
      <c r="B156" s="6" t="str">
        <f>IMAGE("https://storage.googleapis.com/acdb/miscellaneous/FtrCartoonistset_Remake_1_2.png")</f>
        <v/>
      </c>
      <c r="C156" s="5" t="s">
        <v>146</v>
      </c>
      <c r="D156" s="5" t="s">
        <v>34</v>
      </c>
      <c r="E156" s="5" t="s">
        <v>856</v>
      </c>
      <c r="F156" s="5" t="s">
        <v>850</v>
      </c>
      <c r="G156" s="5" t="s">
        <v>36</v>
      </c>
      <c r="H156" s="5" t="s">
        <v>36</v>
      </c>
      <c r="I156" s="5" t="s">
        <v>35</v>
      </c>
      <c r="J156" s="6">
        <v>1.0</v>
      </c>
      <c r="K156" s="6">
        <v>1200.0</v>
      </c>
      <c r="L156" s="6">
        <v>300.0</v>
      </c>
      <c r="M156" s="5" t="s">
        <v>95</v>
      </c>
      <c r="N156" s="5" t="s">
        <v>57</v>
      </c>
      <c r="O156" s="6" t="s">
        <v>40</v>
      </c>
      <c r="P156" s="5" t="s">
        <v>59</v>
      </c>
      <c r="Q156" s="5" t="s">
        <v>60</v>
      </c>
      <c r="R156" s="6" t="s">
        <v>42</v>
      </c>
      <c r="S156" s="5" t="s">
        <v>99</v>
      </c>
      <c r="T156" s="5" t="s">
        <v>44</v>
      </c>
      <c r="U156" s="5" t="s">
        <v>44</v>
      </c>
      <c r="V156" s="5" t="s">
        <v>44</v>
      </c>
      <c r="W156" s="5" t="s">
        <v>35</v>
      </c>
      <c r="X156" s="5" t="s">
        <v>203</v>
      </c>
      <c r="Y156" s="5" t="s">
        <v>46</v>
      </c>
      <c r="Z156" s="5" t="s">
        <v>102</v>
      </c>
      <c r="AA156" s="5" t="s">
        <v>64</v>
      </c>
      <c r="AB156" s="5" t="s">
        <v>865</v>
      </c>
      <c r="AC156" s="6" t="s">
        <v>370</v>
      </c>
      <c r="AD156" s="6">
        <v>4122.0</v>
      </c>
    </row>
    <row r="157" ht="56.25" customHeight="1">
      <c r="A157" s="5" t="s">
        <v>846</v>
      </c>
      <c r="B157" s="6" t="str">
        <f>IMAGE("https://storage.googleapis.com/acdb/miscellaneous/FtrCartoonistset_Remake_2_0.png")</f>
        <v/>
      </c>
      <c r="C157" s="5" t="s">
        <v>69</v>
      </c>
      <c r="D157" s="5" t="s">
        <v>34</v>
      </c>
      <c r="E157" s="5" t="s">
        <v>849</v>
      </c>
      <c r="F157" s="5" t="s">
        <v>850</v>
      </c>
      <c r="G157" s="5" t="s">
        <v>36</v>
      </c>
      <c r="H157" s="5" t="s">
        <v>36</v>
      </c>
      <c r="I157" s="5" t="s">
        <v>35</v>
      </c>
      <c r="J157" s="6">
        <v>1.0</v>
      </c>
      <c r="K157" s="6">
        <v>1200.0</v>
      </c>
      <c r="L157" s="6">
        <v>300.0</v>
      </c>
      <c r="M157" s="5" t="s">
        <v>69</v>
      </c>
      <c r="N157" s="5" t="s">
        <v>57</v>
      </c>
      <c r="O157" s="6" t="s">
        <v>40</v>
      </c>
      <c r="P157" s="5" t="s">
        <v>59</v>
      </c>
      <c r="Q157" s="5" t="s">
        <v>60</v>
      </c>
      <c r="R157" s="6" t="s">
        <v>42</v>
      </c>
      <c r="S157" s="5" t="s">
        <v>99</v>
      </c>
      <c r="T157" s="5" t="s">
        <v>44</v>
      </c>
      <c r="U157" s="5" t="s">
        <v>44</v>
      </c>
      <c r="V157" s="5" t="s">
        <v>44</v>
      </c>
      <c r="W157" s="5" t="s">
        <v>35</v>
      </c>
      <c r="X157" s="5" t="s">
        <v>203</v>
      </c>
      <c r="Y157" s="5" t="s">
        <v>46</v>
      </c>
      <c r="Z157" s="5" t="s">
        <v>102</v>
      </c>
      <c r="AA157" s="5" t="s">
        <v>64</v>
      </c>
      <c r="AB157" s="5" t="s">
        <v>868</v>
      </c>
      <c r="AC157" s="6" t="s">
        <v>67</v>
      </c>
      <c r="AD157" s="6">
        <v>4122.0</v>
      </c>
    </row>
    <row r="158" ht="56.25" customHeight="1">
      <c r="A158" s="5" t="s">
        <v>846</v>
      </c>
      <c r="B158" s="6" t="str">
        <f>IMAGE("https://storage.googleapis.com/acdb/miscellaneous/FtrCartoonistset_Remake_2_1.png")</f>
        <v/>
      </c>
      <c r="C158" s="5" t="s">
        <v>69</v>
      </c>
      <c r="D158" s="5" t="s">
        <v>34</v>
      </c>
      <c r="E158" s="5" t="s">
        <v>852</v>
      </c>
      <c r="F158" s="5" t="s">
        <v>850</v>
      </c>
      <c r="G158" s="5" t="s">
        <v>36</v>
      </c>
      <c r="H158" s="5" t="s">
        <v>36</v>
      </c>
      <c r="I158" s="5" t="s">
        <v>35</v>
      </c>
      <c r="J158" s="6">
        <v>1.0</v>
      </c>
      <c r="K158" s="6">
        <v>1200.0</v>
      </c>
      <c r="L158" s="6">
        <v>300.0</v>
      </c>
      <c r="M158" s="5" t="s">
        <v>69</v>
      </c>
      <c r="N158" s="5" t="s">
        <v>57</v>
      </c>
      <c r="O158" s="6" t="s">
        <v>40</v>
      </c>
      <c r="P158" s="5" t="s">
        <v>59</v>
      </c>
      <c r="Q158" s="5" t="s">
        <v>60</v>
      </c>
      <c r="R158" s="6" t="s">
        <v>42</v>
      </c>
      <c r="S158" s="5" t="s">
        <v>99</v>
      </c>
      <c r="T158" s="5" t="s">
        <v>44</v>
      </c>
      <c r="U158" s="5" t="s">
        <v>44</v>
      </c>
      <c r="V158" s="5" t="s">
        <v>44</v>
      </c>
      <c r="W158" s="5" t="s">
        <v>35</v>
      </c>
      <c r="X158" s="5" t="s">
        <v>203</v>
      </c>
      <c r="Y158" s="5" t="s">
        <v>46</v>
      </c>
      <c r="Z158" s="5" t="s">
        <v>102</v>
      </c>
      <c r="AA158" s="5" t="s">
        <v>64</v>
      </c>
      <c r="AB158" s="5" t="s">
        <v>871</v>
      </c>
      <c r="AC158" s="6" t="s">
        <v>247</v>
      </c>
      <c r="AD158" s="6">
        <v>4122.0</v>
      </c>
    </row>
    <row r="159" ht="56.25" customHeight="1">
      <c r="A159" s="5" t="s">
        <v>846</v>
      </c>
      <c r="B159" s="6" t="str">
        <f>IMAGE("https://storage.googleapis.com/acdb/miscellaneous/FtrCartoonistset_Remake_2_2.png")</f>
        <v/>
      </c>
      <c r="C159" s="5" t="s">
        <v>69</v>
      </c>
      <c r="D159" s="5" t="s">
        <v>34</v>
      </c>
      <c r="E159" s="5" t="s">
        <v>856</v>
      </c>
      <c r="F159" s="5" t="s">
        <v>850</v>
      </c>
      <c r="G159" s="5" t="s">
        <v>36</v>
      </c>
      <c r="H159" s="5" t="s">
        <v>36</v>
      </c>
      <c r="I159" s="5" t="s">
        <v>35</v>
      </c>
      <c r="J159" s="6">
        <v>1.0</v>
      </c>
      <c r="K159" s="6">
        <v>1200.0</v>
      </c>
      <c r="L159" s="6">
        <v>300.0</v>
      </c>
      <c r="M159" s="5" t="s">
        <v>69</v>
      </c>
      <c r="N159" s="5" t="s">
        <v>57</v>
      </c>
      <c r="O159" s="6" t="s">
        <v>40</v>
      </c>
      <c r="P159" s="5" t="s">
        <v>59</v>
      </c>
      <c r="Q159" s="5" t="s">
        <v>60</v>
      </c>
      <c r="R159" s="6" t="s">
        <v>42</v>
      </c>
      <c r="S159" s="5" t="s">
        <v>99</v>
      </c>
      <c r="T159" s="5" t="s">
        <v>44</v>
      </c>
      <c r="U159" s="5" t="s">
        <v>44</v>
      </c>
      <c r="V159" s="5" t="s">
        <v>44</v>
      </c>
      <c r="W159" s="5" t="s">
        <v>35</v>
      </c>
      <c r="X159" s="5" t="s">
        <v>203</v>
      </c>
      <c r="Y159" s="5" t="s">
        <v>46</v>
      </c>
      <c r="Z159" s="5" t="s">
        <v>102</v>
      </c>
      <c r="AA159" s="5" t="s">
        <v>64</v>
      </c>
      <c r="AB159" s="5" t="s">
        <v>874</v>
      </c>
      <c r="AC159" s="6" t="s">
        <v>390</v>
      </c>
      <c r="AD159" s="6">
        <v>4122.0</v>
      </c>
    </row>
    <row r="160" ht="56.25" customHeight="1">
      <c r="A160" s="5" t="s">
        <v>846</v>
      </c>
      <c r="B160" s="6" t="str">
        <f>IMAGE("https://storage.googleapis.com/acdb/miscellaneous/FtrCartoonistset_Remake_3_0.png")</f>
        <v/>
      </c>
      <c r="C160" s="5" t="s">
        <v>39</v>
      </c>
      <c r="D160" s="5" t="s">
        <v>34</v>
      </c>
      <c r="E160" s="5" t="s">
        <v>849</v>
      </c>
      <c r="F160" s="5" t="s">
        <v>850</v>
      </c>
      <c r="G160" s="5" t="s">
        <v>36</v>
      </c>
      <c r="H160" s="5" t="s">
        <v>36</v>
      </c>
      <c r="I160" s="5" t="s">
        <v>35</v>
      </c>
      <c r="J160" s="6">
        <v>1.0</v>
      </c>
      <c r="K160" s="6">
        <v>1200.0</v>
      </c>
      <c r="L160" s="6">
        <v>300.0</v>
      </c>
      <c r="M160" s="5" t="s">
        <v>38</v>
      </c>
      <c r="N160" s="5" t="s">
        <v>57</v>
      </c>
      <c r="O160" s="6" t="s">
        <v>40</v>
      </c>
      <c r="P160" s="5" t="s">
        <v>59</v>
      </c>
      <c r="Q160" s="5" t="s">
        <v>60</v>
      </c>
      <c r="R160" s="6" t="s">
        <v>42</v>
      </c>
      <c r="S160" s="5" t="s">
        <v>99</v>
      </c>
      <c r="T160" s="5" t="s">
        <v>44</v>
      </c>
      <c r="U160" s="5" t="s">
        <v>44</v>
      </c>
      <c r="V160" s="5" t="s">
        <v>44</v>
      </c>
      <c r="W160" s="5" t="s">
        <v>35</v>
      </c>
      <c r="X160" s="5" t="s">
        <v>203</v>
      </c>
      <c r="Y160" s="5" t="s">
        <v>46</v>
      </c>
      <c r="Z160" s="5" t="s">
        <v>102</v>
      </c>
      <c r="AA160" s="5" t="s">
        <v>64</v>
      </c>
      <c r="AB160" s="5" t="s">
        <v>876</v>
      </c>
      <c r="AC160" s="6" t="s">
        <v>71</v>
      </c>
      <c r="AD160" s="6">
        <v>4122.0</v>
      </c>
    </row>
    <row r="161" ht="56.25" customHeight="1">
      <c r="A161" s="5" t="s">
        <v>846</v>
      </c>
      <c r="B161" s="6" t="str">
        <f>IMAGE("https://storage.googleapis.com/acdb/miscellaneous/FtrCartoonistset_Remake_3_1.png")</f>
        <v/>
      </c>
      <c r="C161" s="5" t="s">
        <v>39</v>
      </c>
      <c r="D161" s="5" t="s">
        <v>34</v>
      </c>
      <c r="E161" s="5" t="s">
        <v>852</v>
      </c>
      <c r="F161" s="5" t="s">
        <v>850</v>
      </c>
      <c r="G161" s="5" t="s">
        <v>36</v>
      </c>
      <c r="H161" s="5" t="s">
        <v>36</v>
      </c>
      <c r="I161" s="5" t="s">
        <v>35</v>
      </c>
      <c r="J161" s="6">
        <v>1.0</v>
      </c>
      <c r="K161" s="6">
        <v>1200.0</v>
      </c>
      <c r="L161" s="6">
        <v>300.0</v>
      </c>
      <c r="M161" s="5" t="s">
        <v>38</v>
      </c>
      <c r="N161" s="5" t="s">
        <v>57</v>
      </c>
      <c r="O161" s="6" t="s">
        <v>40</v>
      </c>
      <c r="P161" s="5" t="s">
        <v>59</v>
      </c>
      <c r="Q161" s="5" t="s">
        <v>60</v>
      </c>
      <c r="R161" s="6" t="s">
        <v>42</v>
      </c>
      <c r="S161" s="5" t="s">
        <v>99</v>
      </c>
      <c r="T161" s="5" t="s">
        <v>44</v>
      </c>
      <c r="U161" s="5" t="s">
        <v>44</v>
      </c>
      <c r="V161" s="5" t="s">
        <v>44</v>
      </c>
      <c r="W161" s="5" t="s">
        <v>35</v>
      </c>
      <c r="X161" s="5" t="s">
        <v>203</v>
      </c>
      <c r="Y161" s="5" t="s">
        <v>46</v>
      </c>
      <c r="Z161" s="5" t="s">
        <v>102</v>
      </c>
      <c r="AA161" s="5" t="s">
        <v>64</v>
      </c>
      <c r="AB161" s="5" t="s">
        <v>879</v>
      </c>
      <c r="AC161" s="6" t="s">
        <v>257</v>
      </c>
      <c r="AD161" s="6">
        <v>4122.0</v>
      </c>
    </row>
    <row r="162" ht="56.25" customHeight="1">
      <c r="A162" s="5" t="s">
        <v>846</v>
      </c>
      <c r="B162" s="6" t="str">
        <f>IMAGE("https://storage.googleapis.com/acdb/miscellaneous/FtrCartoonistset_Remake_3_2.png")</f>
        <v/>
      </c>
      <c r="C162" s="5" t="s">
        <v>39</v>
      </c>
      <c r="D162" s="5" t="s">
        <v>34</v>
      </c>
      <c r="E162" s="5" t="s">
        <v>856</v>
      </c>
      <c r="F162" s="5" t="s">
        <v>850</v>
      </c>
      <c r="G162" s="5" t="s">
        <v>36</v>
      </c>
      <c r="H162" s="5" t="s">
        <v>36</v>
      </c>
      <c r="I162" s="5" t="s">
        <v>35</v>
      </c>
      <c r="J162" s="6">
        <v>1.0</v>
      </c>
      <c r="K162" s="6">
        <v>1200.0</v>
      </c>
      <c r="L162" s="6">
        <v>300.0</v>
      </c>
      <c r="M162" s="5" t="s">
        <v>38</v>
      </c>
      <c r="N162" s="5" t="s">
        <v>57</v>
      </c>
      <c r="O162" s="6" t="s">
        <v>40</v>
      </c>
      <c r="P162" s="5" t="s">
        <v>59</v>
      </c>
      <c r="Q162" s="5" t="s">
        <v>60</v>
      </c>
      <c r="R162" s="6" t="s">
        <v>42</v>
      </c>
      <c r="S162" s="5" t="s">
        <v>99</v>
      </c>
      <c r="T162" s="5" t="s">
        <v>44</v>
      </c>
      <c r="U162" s="5" t="s">
        <v>44</v>
      </c>
      <c r="V162" s="5" t="s">
        <v>44</v>
      </c>
      <c r="W162" s="5" t="s">
        <v>35</v>
      </c>
      <c r="X162" s="5" t="s">
        <v>203</v>
      </c>
      <c r="Y162" s="5" t="s">
        <v>46</v>
      </c>
      <c r="Z162" s="5" t="s">
        <v>102</v>
      </c>
      <c r="AA162" s="5" t="s">
        <v>64</v>
      </c>
      <c r="AB162" s="5" t="s">
        <v>880</v>
      </c>
      <c r="AC162" s="6" t="s">
        <v>414</v>
      </c>
      <c r="AD162" s="6">
        <v>4122.0</v>
      </c>
    </row>
    <row r="163" ht="56.25" customHeight="1">
      <c r="A163" s="5" t="s">
        <v>881</v>
      </c>
      <c r="B163" s="6" t="str">
        <f>IMAGE("https://storage.googleapis.com/acdb/miscellaneous/FtrRadicaseW_Remake_0_0.png")</f>
        <v/>
      </c>
      <c r="C163" s="5" t="s">
        <v>52</v>
      </c>
      <c r="D163" s="5" t="s">
        <v>34</v>
      </c>
      <c r="E163" s="5" t="s">
        <v>34</v>
      </c>
      <c r="F163" s="5" t="s">
        <v>34</v>
      </c>
      <c r="G163" s="5" t="s">
        <v>36</v>
      </c>
      <c r="H163" s="5" t="s">
        <v>36</v>
      </c>
      <c r="I163" s="5" t="s">
        <v>36</v>
      </c>
      <c r="J163" s="6" t="s">
        <v>34</v>
      </c>
      <c r="K163" s="6">
        <v>2000.0</v>
      </c>
      <c r="L163" s="6">
        <v>500.0</v>
      </c>
      <c r="M163" s="5" t="s">
        <v>52</v>
      </c>
      <c r="N163" s="5" t="s">
        <v>54</v>
      </c>
      <c r="O163" s="6" t="s">
        <v>40</v>
      </c>
      <c r="P163" s="5" t="s">
        <v>59</v>
      </c>
      <c r="Q163" s="5" t="s">
        <v>60</v>
      </c>
      <c r="R163" s="6" t="s">
        <v>42</v>
      </c>
      <c r="S163" s="5" t="s">
        <v>90</v>
      </c>
      <c r="T163" s="5" t="s">
        <v>44</v>
      </c>
      <c r="U163" s="5" t="s">
        <v>44</v>
      </c>
      <c r="V163" s="5" t="s">
        <v>44</v>
      </c>
      <c r="W163" s="5" t="s">
        <v>35</v>
      </c>
      <c r="X163" s="5" t="s">
        <v>746</v>
      </c>
      <c r="Y163" s="5" t="s">
        <v>885</v>
      </c>
      <c r="Z163" s="5" t="s">
        <v>47</v>
      </c>
      <c r="AA163" s="5" t="s">
        <v>64</v>
      </c>
      <c r="AB163" s="5" t="s">
        <v>886</v>
      </c>
      <c r="AC163" s="6" t="s">
        <v>50</v>
      </c>
      <c r="AD163" s="6">
        <v>1708.0</v>
      </c>
    </row>
    <row r="164" ht="56.25" customHeight="1">
      <c r="A164" s="5" t="s">
        <v>881</v>
      </c>
      <c r="B164" s="6" t="str">
        <f>IMAGE("https://storage.googleapis.com/acdb/miscellaneous/FtrRadicaseW_Remake_1_0.png")</f>
        <v/>
      </c>
      <c r="C164" s="5" t="s">
        <v>114</v>
      </c>
      <c r="D164" s="5" t="s">
        <v>34</v>
      </c>
      <c r="E164" s="5" t="s">
        <v>34</v>
      </c>
      <c r="F164" s="5" t="s">
        <v>34</v>
      </c>
      <c r="G164" s="5" t="s">
        <v>36</v>
      </c>
      <c r="H164" s="5" t="s">
        <v>36</v>
      </c>
      <c r="I164" s="5" t="s">
        <v>36</v>
      </c>
      <c r="J164" s="6" t="s">
        <v>34</v>
      </c>
      <c r="K164" s="6">
        <v>2000.0</v>
      </c>
      <c r="L164" s="6">
        <v>500.0</v>
      </c>
      <c r="M164" s="5" t="s">
        <v>114</v>
      </c>
      <c r="N164" s="5" t="s">
        <v>54</v>
      </c>
      <c r="O164" s="6" t="s">
        <v>40</v>
      </c>
      <c r="P164" s="5" t="s">
        <v>59</v>
      </c>
      <c r="Q164" s="5" t="s">
        <v>60</v>
      </c>
      <c r="R164" s="6" t="s">
        <v>42</v>
      </c>
      <c r="S164" s="5" t="s">
        <v>90</v>
      </c>
      <c r="T164" s="5" t="s">
        <v>44</v>
      </c>
      <c r="U164" s="5" t="s">
        <v>44</v>
      </c>
      <c r="V164" s="5" t="s">
        <v>44</v>
      </c>
      <c r="W164" s="5" t="s">
        <v>35</v>
      </c>
      <c r="X164" s="5" t="s">
        <v>746</v>
      </c>
      <c r="Y164" s="5" t="s">
        <v>885</v>
      </c>
      <c r="Z164" s="5" t="s">
        <v>47</v>
      </c>
      <c r="AA164" s="5" t="s">
        <v>64</v>
      </c>
      <c r="AB164" s="5" t="s">
        <v>890</v>
      </c>
      <c r="AC164" s="6" t="s">
        <v>56</v>
      </c>
      <c r="AD164" s="6">
        <v>1708.0</v>
      </c>
    </row>
    <row r="165" ht="56.25" customHeight="1">
      <c r="A165" s="5" t="s">
        <v>881</v>
      </c>
      <c r="B165" s="6" t="str">
        <f>IMAGE("https://storage.googleapis.com/acdb/miscellaneous/FtrRadicaseW_Remake_2_0.png")</f>
        <v/>
      </c>
      <c r="C165" s="5" t="s">
        <v>96</v>
      </c>
      <c r="D165" s="5" t="s">
        <v>34</v>
      </c>
      <c r="E165" s="5" t="s">
        <v>34</v>
      </c>
      <c r="F165" s="5" t="s">
        <v>34</v>
      </c>
      <c r="G165" s="5" t="s">
        <v>36</v>
      </c>
      <c r="H165" s="5" t="s">
        <v>36</v>
      </c>
      <c r="I165" s="5" t="s">
        <v>36</v>
      </c>
      <c r="J165" s="6" t="s">
        <v>34</v>
      </c>
      <c r="K165" s="6">
        <v>2000.0</v>
      </c>
      <c r="L165" s="6">
        <v>500.0</v>
      </c>
      <c r="M165" s="5" t="s">
        <v>96</v>
      </c>
      <c r="N165" s="5" t="s">
        <v>54</v>
      </c>
      <c r="O165" s="6" t="s">
        <v>40</v>
      </c>
      <c r="P165" s="5" t="s">
        <v>59</v>
      </c>
      <c r="Q165" s="5" t="s">
        <v>60</v>
      </c>
      <c r="R165" s="6" t="s">
        <v>42</v>
      </c>
      <c r="S165" s="5" t="s">
        <v>90</v>
      </c>
      <c r="T165" s="5" t="s">
        <v>44</v>
      </c>
      <c r="U165" s="5" t="s">
        <v>44</v>
      </c>
      <c r="V165" s="5" t="s">
        <v>44</v>
      </c>
      <c r="W165" s="5" t="s">
        <v>35</v>
      </c>
      <c r="X165" s="5" t="s">
        <v>746</v>
      </c>
      <c r="Y165" s="5" t="s">
        <v>885</v>
      </c>
      <c r="Z165" s="5" t="s">
        <v>47</v>
      </c>
      <c r="AA165" s="5" t="s">
        <v>64</v>
      </c>
      <c r="AB165" s="5" t="s">
        <v>892</v>
      </c>
      <c r="AC165" s="6" t="s">
        <v>67</v>
      </c>
      <c r="AD165" s="6">
        <v>1708.0</v>
      </c>
    </row>
    <row r="166" ht="56.25" customHeight="1">
      <c r="A166" s="5" t="s">
        <v>881</v>
      </c>
      <c r="B166" s="6" t="str">
        <f>IMAGE("https://storage.googleapis.com/acdb/miscellaneous/FtrRadicaseW_Remake_3_0.png")</f>
        <v/>
      </c>
      <c r="C166" s="5" t="s">
        <v>68</v>
      </c>
      <c r="D166" s="5" t="s">
        <v>34</v>
      </c>
      <c r="E166" s="5" t="s">
        <v>34</v>
      </c>
      <c r="F166" s="5" t="s">
        <v>34</v>
      </c>
      <c r="G166" s="5" t="s">
        <v>36</v>
      </c>
      <c r="H166" s="5" t="s">
        <v>36</v>
      </c>
      <c r="I166" s="5" t="s">
        <v>36</v>
      </c>
      <c r="J166" s="6" t="s">
        <v>34</v>
      </c>
      <c r="K166" s="6">
        <v>2000.0</v>
      </c>
      <c r="L166" s="6">
        <v>500.0</v>
      </c>
      <c r="M166" s="5" t="s">
        <v>68</v>
      </c>
      <c r="N166" s="5" t="s">
        <v>54</v>
      </c>
      <c r="O166" s="6" t="s">
        <v>40</v>
      </c>
      <c r="P166" s="5" t="s">
        <v>59</v>
      </c>
      <c r="Q166" s="5" t="s">
        <v>60</v>
      </c>
      <c r="R166" s="6" t="s">
        <v>42</v>
      </c>
      <c r="S166" s="5" t="s">
        <v>90</v>
      </c>
      <c r="T166" s="5" t="s">
        <v>44</v>
      </c>
      <c r="U166" s="5" t="s">
        <v>44</v>
      </c>
      <c r="V166" s="5" t="s">
        <v>44</v>
      </c>
      <c r="W166" s="5" t="s">
        <v>35</v>
      </c>
      <c r="X166" s="5" t="s">
        <v>746</v>
      </c>
      <c r="Y166" s="5" t="s">
        <v>885</v>
      </c>
      <c r="Z166" s="5" t="s">
        <v>47</v>
      </c>
      <c r="AA166" s="5" t="s">
        <v>64</v>
      </c>
      <c r="AB166" s="5" t="s">
        <v>895</v>
      </c>
      <c r="AC166" s="6" t="s">
        <v>71</v>
      </c>
      <c r="AD166" s="6">
        <v>1708.0</v>
      </c>
    </row>
    <row r="167" ht="56.25" customHeight="1">
      <c r="A167" s="5" t="s">
        <v>881</v>
      </c>
      <c r="B167" s="6" t="str">
        <f>IMAGE("https://storage.googleapis.com/acdb/miscellaneous/FtrRadicaseW_Remake_4_0.png")</f>
        <v/>
      </c>
      <c r="C167" s="5" t="s">
        <v>69</v>
      </c>
      <c r="D167" s="5" t="s">
        <v>34</v>
      </c>
      <c r="E167" s="5" t="s">
        <v>34</v>
      </c>
      <c r="F167" s="5" t="s">
        <v>34</v>
      </c>
      <c r="G167" s="5" t="s">
        <v>36</v>
      </c>
      <c r="H167" s="5" t="s">
        <v>36</v>
      </c>
      <c r="I167" s="5" t="s">
        <v>36</v>
      </c>
      <c r="J167" s="6" t="s">
        <v>34</v>
      </c>
      <c r="K167" s="6">
        <v>2000.0</v>
      </c>
      <c r="L167" s="6">
        <v>500.0</v>
      </c>
      <c r="M167" s="5" t="s">
        <v>69</v>
      </c>
      <c r="N167" s="5" t="s">
        <v>54</v>
      </c>
      <c r="O167" s="6" t="s">
        <v>40</v>
      </c>
      <c r="P167" s="5" t="s">
        <v>59</v>
      </c>
      <c r="Q167" s="5" t="s">
        <v>60</v>
      </c>
      <c r="R167" s="6" t="s">
        <v>42</v>
      </c>
      <c r="S167" s="5" t="s">
        <v>90</v>
      </c>
      <c r="T167" s="5" t="s">
        <v>44</v>
      </c>
      <c r="U167" s="5" t="s">
        <v>44</v>
      </c>
      <c r="V167" s="5" t="s">
        <v>44</v>
      </c>
      <c r="W167" s="5" t="s">
        <v>35</v>
      </c>
      <c r="X167" s="5" t="s">
        <v>746</v>
      </c>
      <c r="Y167" s="5" t="s">
        <v>885</v>
      </c>
      <c r="Z167" s="5" t="s">
        <v>47</v>
      </c>
      <c r="AA167" s="5" t="s">
        <v>64</v>
      </c>
      <c r="AB167" s="5" t="s">
        <v>897</v>
      </c>
      <c r="AC167" s="6" t="s">
        <v>75</v>
      </c>
      <c r="AD167" s="6">
        <v>1708.0</v>
      </c>
    </row>
    <row r="168" ht="56.25" customHeight="1">
      <c r="A168" s="5" t="s">
        <v>881</v>
      </c>
      <c r="B168" s="6" t="str">
        <f>IMAGE("https://storage.googleapis.com/acdb/miscellaneous/FtrRadicaseW_Remake_5_0.png")</f>
        <v/>
      </c>
      <c r="C168" s="5" t="s">
        <v>146</v>
      </c>
      <c r="D168" s="5" t="s">
        <v>34</v>
      </c>
      <c r="E168" s="5" t="s">
        <v>34</v>
      </c>
      <c r="F168" s="5" t="s">
        <v>34</v>
      </c>
      <c r="G168" s="5" t="s">
        <v>36</v>
      </c>
      <c r="H168" s="5" t="s">
        <v>36</v>
      </c>
      <c r="I168" s="5" t="s">
        <v>36</v>
      </c>
      <c r="J168" s="6" t="s">
        <v>34</v>
      </c>
      <c r="K168" s="6">
        <v>2000.0</v>
      </c>
      <c r="L168" s="6">
        <v>500.0</v>
      </c>
      <c r="M168" s="5" t="s">
        <v>95</v>
      </c>
      <c r="N168" s="5" t="s">
        <v>54</v>
      </c>
      <c r="O168" s="6" t="s">
        <v>40</v>
      </c>
      <c r="P168" s="5" t="s">
        <v>59</v>
      </c>
      <c r="Q168" s="5" t="s">
        <v>60</v>
      </c>
      <c r="R168" s="6" t="s">
        <v>42</v>
      </c>
      <c r="S168" s="5" t="s">
        <v>90</v>
      </c>
      <c r="T168" s="5" t="s">
        <v>44</v>
      </c>
      <c r="U168" s="5" t="s">
        <v>44</v>
      </c>
      <c r="V168" s="5" t="s">
        <v>44</v>
      </c>
      <c r="W168" s="5" t="s">
        <v>35</v>
      </c>
      <c r="X168" s="5" t="s">
        <v>746</v>
      </c>
      <c r="Y168" s="5" t="s">
        <v>885</v>
      </c>
      <c r="Z168" s="5" t="s">
        <v>47</v>
      </c>
      <c r="AA168" s="5" t="s">
        <v>64</v>
      </c>
      <c r="AB168" s="5" t="s">
        <v>902</v>
      </c>
      <c r="AC168" s="6" t="s">
        <v>79</v>
      </c>
      <c r="AD168" s="6">
        <v>1708.0</v>
      </c>
    </row>
    <row r="169" ht="56.25" customHeight="1">
      <c r="A169" s="5" t="s">
        <v>881</v>
      </c>
      <c r="B169" s="6" t="str">
        <f>IMAGE("https://storage.googleapis.com/acdb/miscellaneous/FtrRadicaseW_Remake_6_0.png")</f>
        <v/>
      </c>
      <c r="C169" s="5" t="s">
        <v>57</v>
      </c>
      <c r="D169" s="5" t="s">
        <v>34</v>
      </c>
      <c r="E169" s="5" t="s">
        <v>34</v>
      </c>
      <c r="F169" s="5" t="s">
        <v>34</v>
      </c>
      <c r="G169" s="5" t="s">
        <v>36</v>
      </c>
      <c r="H169" s="5" t="s">
        <v>36</v>
      </c>
      <c r="I169" s="5" t="s">
        <v>36</v>
      </c>
      <c r="J169" s="6" t="s">
        <v>34</v>
      </c>
      <c r="K169" s="6">
        <v>2000.0</v>
      </c>
      <c r="L169" s="6">
        <v>500.0</v>
      </c>
      <c r="M169" s="5" t="s">
        <v>57</v>
      </c>
      <c r="N169" s="5" t="s">
        <v>54</v>
      </c>
      <c r="O169" s="6" t="s">
        <v>40</v>
      </c>
      <c r="P169" s="5" t="s">
        <v>59</v>
      </c>
      <c r="Q169" s="5" t="s">
        <v>60</v>
      </c>
      <c r="R169" s="6" t="s">
        <v>42</v>
      </c>
      <c r="S169" s="5" t="s">
        <v>90</v>
      </c>
      <c r="T169" s="5" t="s">
        <v>44</v>
      </c>
      <c r="U169" s="5" t="s">
        <v>44</v>
      </c>
      <c r="V169" s="5" t="s">
        <v>44</v>
      </c>
      <c r="W169" s="5" t="s">
        <v>35</v>
      </c>
      <c r="X169" s="5" t="s">
        <v>746</v>
      </c>
      <c r="Y169" s="5" t="s">
        <v>885</v>
      </c>
      <c r="Z169" s="5" t="s">
        <v>47</v>
      </c>
      <c r="AA169" s="5" t="s">
        <v>64</v>
      </c>
      <c r="AB169" s="5" t="s">
        <v>905</v>
      </c>
      <c r="AC169" s="6" t="s">
        <v>86</v>
      </c>
      <c r="AD169" s="6">
        <v>1708.0</v>
      </c>
    </row>
    <row r="170" ht="56.25" customHeight="1">
      <c r="A170" s="5" t="s">
        <v>881</v>
      </c>
      <c r="B170" s="6" t="str">
        <f>IMAGE("https://storage.googleapis.com/acdb/miscellaneous/FtrRadicaseW_Remake_7_0.png")</f>
        <v/>
      </c>
      <c r="C170" s="5" t="s">
        <v>54</v>
      </c>
      <c r="D170" s="5" t="s">
        <v>34</v>
      </c>
      <c r="E170" s="5" t="s">
        <v>34</v>
      </c>
      <c r="F170" s="5" t="s">
        <v>34</v>
      </c>
      <c r="G170" s="5" t="s">
        <v>36</v>
      </c>
      <c r="H170" s="5" t="s">
        <v>36</v>
      </c>
      <c r="I170" s="5" t="s">
        <v>36</v>
      </c>
      <c r="J170" s="6" t="s">
        <v>34</v>
      </c>
      <c r="K170" s="6">
        <v>2000.0</v>
      </c>
      <c r="L170" s="6">
        <v>500.0</v>
      </c>
      <c r="M170" s="5" t="s">
        <v>54</v>
      </c>
      <c r="N170" s="5" t="s">
        <v>54</v>
      </c>
      <c r="O170" s="6" t="s">
        <v>40</v>
      </c>
      <c r="P170" s="5" t="s">
        <v>59</v>
      </c>
      <c r="Q170" s="5" t="s">
        <v>60</v>
      </c>
      <c r="R170" s="6" t="s">
        <v>42</v>
      </c>
      <c r="S170" s="5" t="s">
        <v>90</v>
      </c>
      <c r="T170" s="5" t="s">
        <v>44</v>
      </c>
      <c r="U170" s="5" t="s">
        <v>44</v>
      </c>
      <c r="V170" s="5" t="s">
        <v>44</v>
      </c>
      <c r="W170" s="5" t="s">
        <v>35</v>
      </c>
      <c r="X170" s="5" t="s">
        <v>746</v>
      </c>
      <c r="Y170" s="5" t="s">
        <v>885</v>
      </c>
      <c r="Z170" s="5" t="s">
        <v>47</v>
      </c>
      <c r="AA170" s="5" t="s">
        <v>64</v>
      </c>
      <c r="AB170" s="5" t="s">
        <v>907</v>
      </c>
      <c r="AC170" s="6" t="s">
        <v>208</v>
      </c>
      <c r="AD170" s="6">
        <v>1708.0</v>
      </c>
    </row>
    <row r="171" ht="56.25" customHeight="1">
      <c r="A171" s="5" t="s">
        <v>909</v>
      </c>
      <c r="B171" s="6" t="str">
        <f>IMAGE("https://storage.googleapis.com/acdb/miscellaneous/FtrCatgrass_Remake_0_0.png")</f>
        <v/>
      </c>
      <c r="C171" s="5" t="s">
        <v>57</v>
      </c>
      <c r="D171" s="5" t="s">
        <v>34</v>
      </c>
      <c r="E171" s="5" t="s">
        <v>34</v>
      </c>
      <c r="F171" s="5" t="s">
        <v>34</v>
      </c>
      <c r="G171" s="5" t="s">
        <v>36</v>
      </c>
      <c r="H171" s="5" t="s">
        <v>36</v>
      </c>
      <c r="I171" s="5" t="s">
        <v>36</v>
      </c>
      <c r="J171" s="6" t="s">
        <v>34</v>
      </c>
      <c r="K171" s="6">
        <v>570.0</v>
      </c>
      <c r="L171" s="6">
        <v>141.0</v>
      </c>
      <c r="M171" s="5" t="s">
        <v>57</v>
      </c>
      <c r="N171" s="5" t="s">
        <v>96</v>
      </c>
      <c r="O171" s="6" t="s">
        <v>40</v>
      </c>
      <c r="P171" s="5" t="s">
        <v>59</v>
      </c>
      <c r="Q171" s="5" t="s">
        <v>60</v>
      </c>
      <c r="R171" s="6" t="s">
        <v>42</v>
      </c>
      <c r="S171" s="5" t="s">
        <v>90</v>
      </c>
      <c r="T171" s="5" t="s">
        <v>44</v>
      </c>
      <c r="U171" s="5" t="s">
        <v>44</v>
      </c>
      <c r="V171" s="5" t="s">
        <v>44</v>
      </c>
      <c r="W171" s="5" t="s">
        <v>36</v>
      </c>
      <c r="X171" s="5" t="s">
        <v>244</v>
      </c>
      <c r="Y171" s="5" t="s">
        <v>46</v>
      </c>
      <c r="Z171" s="5" t="s">
        <v>47</v>
      </c>
      <c r="AA171" s="5" t="s">
        <v>64</v>
      </c>
      <c r="AB171" s="5" t="s">
        <v>911</v>
      </c>
      <c r="AC171" s="6" t="s">
        <v>50</v>
      </c>
      <c r="AD171" s="6">
        <v>7136.0</v>
      </c>
    </row>
    <row r="172" ht="56.25" customHeight="1">
      <c r="A172" s="5" t="s">
        <v>909</v>
      </c>
      <c r="B172" s="6" t="str">
        <f>IMAGE("https://storage.googleapis.com/acdb/miscellaneous/FtrCatgrass_Remake_1_0.png")</f>
        <v/>
      </c>
      <c r="C172" s="5" t="s">
        <v>54</v>
      </c>
      <c r="D172" s="5" t="s">
        <v>34</v>
      </c>
      <c r="E172" s="5" t="s">
        <v>34</v>
      </c>
      <c r="F172" s="5" t="s">
        <v>34</v>
      </c>
      <c r="G172" s="5" t="s">
        <v>36</v>
      </c>
      <c r="H172" s="5" t="s">
        <v>36</v>
      </c>
      <c r="I172" s="5" t="s">
        <v>36</v>
      </c>
      <c r="J172" s="6" t="s">
        <v>34</v>
      </c>
      <c r="K172" s="6">
        <v>570.0</v>
      </c>
      <c r="L172" s="6">
        <v>141.0</v>
      </c>
      <c r="M172" s="5" t="s">
        <v>54</v>
      </c>
      <c r="N172" s="5" t="s">
        <v>96</v>
      </c>
      <c r="O172" s="6" t="s">
        <v>40</v>
      </c>
      <c r="P172" s="5" t="s">
        <v>59</v>
      </c>
      <c r="Q172" s="5" t="s">
        <v>60</v>
      </c>
      <c r="R172" s="6" t="s">
        <v>42</v>
      </c>
      <c r="S172" s="5" t="s">
        <v>90</v>
      </c>
      <c r="T172" s="5" t="s">
        <v>44</v>
      </c>
      <c r="U172" s="5" t="s">
        <v>44</v>
      </c>
      <c r="V172" s="5" t="s">
        <v>44</v>
      </c>
      <c r="W172" s="5" t="s">
        <v>36</v>
      </c>
      <c r="X172" s="5" t="s">
        <v>244</v>
      </c>
      <c r="Y172" s="5" t="s">
        <v>46</v>
      </c>
      <c r="Z172" s="5" t="s">
        <v>47</v>
      </c>
      <c r="AA172" s="5" t="s">
        <v>64</v>
      </c>
      <c r="AB172" s="5" t="s">
        <v>913</v>
      </c>
      <c r="AC172" s="6" t="s">
        <v>56</v>
      </c>
      <c r="AD172" s="6">
        <v>7136.0</v>
      </c>
    </row>
    <row r="173" ht="56.25" customHeight="1">
      <c r="A173" s="5" t="s">
        <v>909</v>
      </c>
      <c r="B173" s="6" t="str">
        <f>IMAGE("https://storage.googleapis.com/acdb/miscellaneous/FtrCatgrass_Remake_2_0.png")</f>
        <v/>
      </c>
      <c r="C173" s="5" t="s">
        <v>52</v>
      </c>
      <c r="D173" s="5" t="s">
        <v>34</v>
      </c>
      <c r="E173" s="5" t="s">
        <v>34</v>
      </c>
      <c r="F173" s="5" t="s">
        <v>34</v>
      </c>
      <c r="G173" s="5" t="s">
        <v>36</v>
      </c>
      <c r="H173" s="5" t="s">
        <v>36</v>
      </c>
      <c r="I173" s="5" t="s">
        <v>36</v>
      </c>
      <c r="J173" s="6" t="s">
        <v>34</v>
      </c>
      <c r="K173" s="6">
        <v>570.0</v>
      </c>
      <c r="L173" s="6">
        <v>141.0</v>
      </c>
      <c r="M173" s="5" t="s">
        <v>52</v>
      </c>
      <c r="N173" s="5" t="s">
        <v>96</v>
      </c>
      <c r="O173" s="6" t="s">
        <v>40</v>
      </c>
      <c r="P173" s="5" t="s">
        <v>59</v>
      </c>
      <c r="Q173" s="5" t="s">
        <v>60</v>
      </c>
      <c r="R173" s="6" t="s">
        <v>42</v>
      </c>
      <c r="S173" s="5" t="s">
        <v>90</v>
      </c>
      <c r="T173" s="5" t="s">
        <v>44</v>
      </c>
      <c r="U173" s="5" t="s">
        <v>44</v>
      </c>
      <c r="V173" s="5" t="s">
        <v>44</v>
      </c>
      <c r="W173" s="5" t="s">
        <v>36</v>
      </c>
      <c r="X173" s="5" t="s">
        <v>244</v>
      </c>
      <c r="Y173" s="5" t="s">
        <v>46</v>
      </c>
      <c r="Z173" s="5" t="s">
        <v>47</v>
      </c>
      <c r="AA173" s="5" t="s">
        <v>64</v>
      </c>
      <c r="AB173" s="5" t="s">
        <v>917</v>
      </c>
      <c r="AC173" s="6" t="s">
        <v>67</v>
      </c>
      <c r="AD173" s="6">
        <v>7136.0</v>
      </c>
    </row>
    <row r="174" ht="56.25" customHeight="1">
      <c r="A174" s="5" t="s">
        <v>909</v>
      </c>
      <c r="B174" s="6" t="str">
        <f>IMAGE("https://storage.googleapis.com/acdb/miscellaneous/FtrCatgrass_Remake_3_0.png")</f>
        <v/>
      </c>
      <c r="C174" s="5" t="s">
        <v>83</v>
      </c>
      <c r="D174" s="5" t="s">
        <v>34</v>
      </c>
      <c r="E174" s="5" t="s">
        <v>34</v>
      </c>
      <c r="F174" s="5" t="s">
        <v>34</v>
      </c>
      <c r="G174" s="5" t="s">
        <v>36</v>
      </c>
      <c r="H174" s="5" t="s">
        <v>36</v>
      </c>
      <c r="I174" s="5" t="s">
        <v>36</v>
      </c>
      <c r="J174" s="6" t="s">
        <v>34</v>
      </c>
      <c r="K174" s="6">
        <v>570.0</v>
      </c>
      <c r="L174" s="6">
        <v>141.0</v>
      </c>
      <c r="M174" s="5" t="s">
        <v>83</v>
      </c>
      <c r="N174" s="5" t="s">
        <v>96</v>
      </c>
      <c r="O174" s="6" t="s">
        <v>40</v>
      </c>
      <c r="P174" s="5" t="s">
        <v>59</v>
      </c>
      <c r="Q174" s="5" t="s">
        <v>60</v>
      </c>
      <c r="R174" s="6" t="s">
        <v>42</v>
      </c>
      <c r="S174" s="5" t="s">
        <v>90</v>
      </c>
      <c r="T174" s="5" t="s">
        <v>44</v>
      </c>
      <c r="U174" s="5" t="s">
        <v>44</v>
      </c>
      <c r="V174" s="5" t="s">
        <v>44</v>
      </c>
      <c r="W174" s="5" t="s">
        <v>36</v>
      </c>
      <c r="X174" s="5" t="s">
        <v>244</v>
      </c>
      <c r="Y174" s="5" t="s">
        <v>46</v>
      </c>
      <c r="Z174" s="5" t="s">
        <v>47</v>
      </c>
      <c r="AA174" s="5" t="s">
        <v>64</v>
      </c>
      <c r="AB174" s="5" t="s">
        <v>920</v>
      </c>
      <c r="AC174" s="6" t="s">
        <v>71</v>
      </c>
      <c r="AD174" s="6">
        <v>7136.0</v>
      </c>
    </row>
    <row r="175" ht="56.25" customHeight="1">
      <c r="A175" s="5" t="s">
        <v>909</v>
      </c>
      <c r="B175" s="6" t="str">
        <f>IMAGE("https://storage.googleapis.com/acdb/miscellaneous/FtrCatgrass_Remake_4_0.png")</f>
        <v/>
      </c>
      <c r="C175" s="5" t="s">
        <v>69</v>
      </c>
      <c r="D175" s="5" t="s">
        <v>34</v>
      </c>
      <c r="E175" s="5" t="s">
        <v>34</v>
      </c>
      <c r="F175" s="5" t="s">
        <v>34</v>
      </c>
      <c r="G175" s="5" t="s">
        <v>36</v>
      </c>
      <c r="H175" s="5" t="s">
        <v>36</v>
      </c>
      <c r="I175" s="5" t="s">
        <v>36</v>
      </c>
      <c r="J175" s="6" t="s">
        <v>34</v>
      </c>
      <c r="K175" s="6">
        <v>570.0</v>
      </c>
      <c r="L175" s="6">
        <v>141.0</v>
      </c>
      <c r="M175" s="5" t="s">
        <v>69</v>
      </c>
      <c r="N175" s="5" t="s">
        <v>96</v>
      </c>
      <c r="O175" s="6" t="s">
        <v>40</v>
      </c>
      <c r="P175" s="5" t="s">
        <v>59</v>
      </c>
      <c r="Q175" s="5" t="s">
        <v>60</v>
      </c>
      <c r="R175" s="6" t="s">
        <v>42</v>
      </c>
      <c r="S175" s="5" t="s">
        <v>90</v>
      </c>
      <c r="T175" s="5" t="s">
        <v>44</v>
      </c>
      <c r="U175" s="5" t="s">
        <v>44</v>
      </c>
      <c r="V175" s="5" t="s">
        <v>44</v>
      </c>
      <c r="W175" s="5" t="s">
        <v>36</v>
      </c>
      <c r="X175" s="5" t="s">
        <v>244</v>
      </c>
      <c r="Y175" s="5" t="s">
        <v>46</v>
      </c>
      <c r="Z175" s="5" t="s">
        <v>47</v>
      </c>
      <c r="AA175" s="5" t="s">
        <v>64</v>
      </c>
      <c r="AB175" s="5" t="s">
        <v>924</v>
      </c>
      <c r="AC175" s="6" t="s">
        <v>75</v>
      </c>
      <c r="AD175" s="6">
        <v>7136.0</v>
      </c>
    </row>
    <row r="176" ht="56.25" customHeight="1">
      <c r="A176" s="5" t="s">
        <v>925</v>
      </c>
      <c r="B176" s="16" t="str">
        <f>IMAGE("https://storage.googleapis.com/acdb/miscellaneous/FtrFishNamazuToy.png")</f>
        <v/>
      </c>
      <c r="C176" s="5" t="s">
        <v>34</v>
      </c>
      <c r="D176" s="5" t="s">
        <v>34</v>
      </c>
      <c r="E176" s="5" t="s">
        <v>34</v>
      </c>
      <c r="F176" s="5" t="s">
        <v>34</v>
      </c>
      <c r="G176" s="5" t="s">
        <v>36</v>
      </c>
      <c r="H176" s="5" t="s">
        <v>36</v>
      </c>
      <c r="I176" s="5" t="s">
        <v>36</v>
      </c>
      <c r="J176" s="6" t="s">
        <v>34</v>
      </c>
      <c r="K176" s="6" t="s">
        <v>37</v>
      </c>
      <c r="L176" s="6">
        <v>2400.0</v>
      </c>
      <c r="M176" s="5" t="s">
        <v>54</v>
      </c>
      <c r="N176" s="5" t="s">
        <v>54</v>
      </c>
      <c r="O176" s="6" t="s">
        <v>40</v>
      </c>
      <c r="P176" s="5" t="s">
        <v>213</v>
      </c>
      <c r="Q176" s="5" t="s">
        <v>215</v>
      </c>
      <c r="R176" s="6" t="s">
        <v>42</v>
      </c>
      <c r="S176" s="5" t="s">
        <v>44</v>
      </c>
      <c r="T176" s="5" t="s">
        <v>44</v>
      </c>
      <c r="U176" s="5" t="s">
        <v>44</v>
      </c>
      <c r="V176" s="5" t="s">
        <v>44</v>
      </c>
      <c r="W176" s="5" t="s">
        <v>36</v>
      </c>
      <c r="X176" s="5" t="s">
        <v>219</v>
      </c>
      <c r="Y176" s="5" t="s">
        <v>46</v>
      </c>
      <c r="Z176" s="5" t="s">
        <v>47</v>
      </c>
      <c r="AA176" s="5" t="s">
        <v>48</v>
      </c>
      <c r="AB176" s="5" t="s">
        <v>928</v>
      </c>
      <c r="AC176" s="6" t="s">
        <v>34</v>
      </c>
      <c r="AD176" s="6">
        <v>6987.0</v>
      </c>
    </row>
    <row r="177" ht="56.25" customHeight="1">
      <c r="A177" s="5" t="s">
        <v>929</v>
      </c>
      <c r="B177" s="6" t="str">
        <f>IMAGE("https://storage.googleapis.com/acdb/miscellaneous/FtrCelebratoryCandle_Remake_0_0.png")</f>
        <v/>
      </c>
      <c r="C177" s="5" t="s">
        <v>39</v>
      </c>
      <c r="D177" s="5" t="s">
        <v>34</v>
      </c>
      <c r="E177" s="5" t="s">
        <v>34</v>
      </c>
      <c r="F177" s="5" t="s">
        <v>34</v>
      </c>
      <c r="G177" s="5" t="s">
        <v>36</v>
      </c>
      <c r="H177" s="5" t="s">
        <v>36</v>
      </c>
      <c r="I177" s="5" t="s">
        <v>36</v>
      </c>
      <c r="J177" s="6" t="s">
        <v>34</v>
      </c>
      <c r="K177" s="6">
        <v>1500.0</v>
      </c>
      <c r="L177" s="6">
        <v>375.0</v>
      </c>
      <c r="M177" s="5" t="s">
        <v>58</v>
      </c>
      <c r="N177" s="5" t="s">
        <v>39</v>
      </c>
      <c r="O177" s="6" t="s">
        <v>40</v>
      </c>
      <c r="P177" s="5" t="s">
        <v>59</v>
      </c>
      <c r="Q177" s="5" t="s">
        <v>931</v>
      </c>
      <c r="R177" s="6" t="s">
        <v>42</v>
      </c>
      <c r="S177" s="5" t="s">
        <v>732</v>
      </c>
      <c r="T177" s="5" t="s">
        <v>44</v>
      </c>
      <c r="U177" s="5" t="s">
        <v>44</v>
      </c>
      <c r="V177" s="5" t="s">
        <v>44</v>
      </c>
      <c r="W177" s="5" t="s">
        <v>35</v>
      </c>
      <c r="X177" s="5" t="s">
        <v>467</v>
      </c>
      <c r="Y177" s="5" t="s">
        <v>46</v>
      </c>
      <c r="Z177" s="5" t="s">
        <v>495</v>
      </c>
      <c r="AA177" s="5" t="s">
        <v>64</v>
      </c>
      <c r="AB177" s="5" t="s">
        <v>933</v>
      </c>
      <c r="AC177" s="6" t="s">
        <v>50</v>
      </c>
      <c r="AD177" s="6">
        <v>4719.0</v>
      </c>
    </row>
    <row r="178" ht="56.25" customHeight="1">
      <c r="A178" s="5" t="s">
        <v>929</v>
      </c>
      <c r="B178" s="6" t="str">
        <f>IMAGE("https://storage.googleapis.com/acdb/miscellaneous/FtrCelebratoryCandle_Remake_1_0.png")</f>
        <v/>
      </c>
      <c r="C178" s="5" t="s">
        <v>935</v>
      </c>
      <c r="D178" s="5" t="s">
        <v>34</v>
      </c>
      <c r="E178" s="5" t="s">
        <v>34</v>
      </c>
      <c r="F178" s="5" t="s">
        <v>34</v>
      </c>
      <c r="G178" s="5" t="s">
        <v>36</v>
      </c>
      <c r="H178" s="5" t="s">
        <v>36</v>
      </c>
      <c r="I178" s="5" t="s">
        <v>36</v>
      </c>
      <c r="J178" s="6" t="s">
        <v>34</v>
      </c>
      <c r="K178" s="6">
        <v>1500.0</v>
      </c>
      <c r="L178" s="6">
        <v>375.0</v>
      </c>
      <c r="M178" s="5" t="s">
        <v>58</v>
      </c>
      <c r="N178" s="5" t="s">
        <v>38</v>
      </c>
      <c r="O178" s="6" t="s">
        <v>40</v>
      </c>
      <c r="P178" s="5" t="s">
        <v>59</v>
      </c>
      <c r="Q178" s="5" t="s">
        <v>931</v>
      </c>
      <c r="R178" s="6" t="s">
        <v>42</v>
      </c>
      <c r="S178" s="5" t="s">
        <v>732</v>
      </c>
      <c r="T178" s="5" t="s">
        <v>44</v>
      </c>
      <c r="U178" s="5" t="s">
        <v>44</v>
      </c>
      <c r="V178" s="5" t="s">
        <v>44</v>
      </c>
      <c r="W178" s="5" t="s">
        <v>35</v>
      </c>
      <c r="X178" s="5" t="s">
        <v>467</v>
      </c>
      <c r="Y178" s="5" t="s">
        <v>46</v>
      </c>
      <c r="Z178" s="5" t="s">
        <v>495</v>
      </c>
      <c r="AA178" s="5" t="s">
        <v>64</v>
      </c>
      <c r="AB178" s="5" t="s">
        <v>936</v>
      </c>
      <c r="AC178" s="6" t="s">
        <v>56</v>
      </c>
      <c r="AD178" s="6">
        <v>4719.0</v>
      </c>
    </row>
    <row r="179" ht="56.25" customHeight="1">
      <c r="A179" s="5" t="s">
        <v>929</v>
      </c>
      <c r="B179" s="6" t="str">
        <f>IMAGE("https://storage.googleapis.com/acdb/miscellaneous/FtrCelebratoryCandle_Remake_2_0.png")</f>
        <v/>
      </c>
      <c r="C179" s="5" t="s">
        <v>54</v>
      </c>
      <c r="D179" s="5" t="s">
        <v>34</v>
      </c>
      <c r="E179" s="5" t="s">
        <v>34</v>
      </c>
      <c r="F179" s="5" t="s">
        <v>34</v>
      </c>
      <c r="G179" s="5" t="s">
        <v>36</v>
      </c>
      <c r="H179" s="5" t="s">
        <v>36</v>
      </c>
      <c r="I179" s="5" t="s">
        <v>36</v>
      </c>
      <c r="J179" s="6" t="s">
        <v>34</v>
      </c>
      <c r="K179" s="6">
        <v>1500.0</v>
      </c>
      <c r="L179" s="6">
        <v>375.0</v>
      </c>
      <c r="M179" s="5" t="s">
        <v>57</v>
      </c>
      <c r="N179" s="5" t="s">
        <v>54</v>
      </c>
      <c r="O179" s="6" t="s">
        <v>40</v>
      </c>
      <c r="P179" s="5" t="s">
        <v>59</v>
      </c>
      <c r="Q179" s="5" t="s">
        <v>931</v>
      </c>
      <c r="R179" s="6" t="s">
        <v>42</v>
      </c>
      <c r="S179" s="5" t="s">
        <v>732</v>
      </c>
      <c r="T179" s="5" t="s">
        <v>44</v>
      </c>
      <c r="U179" s="5" t="s">
        <v>44</v>
      </c>
      <c r="V179" s="5" t="s">
        <v>44</v>
      </c>
      <c r="W179" s="5" t="s">
        <v>35</v>
      </c>
      <c r="X179" s="5" t="s">
        <v>467</v>
      </c>
      <c r="Y179" s="5" t="s">
        <v>46</v>
      </c>
      <c r="Z179" s="5" t="s">
        <v>495</v>
      </c>
      <c r="AA179" s="5" t="s">
        <v>64</v>
      </c>
      <c r="AB179" s="5" t="s">
        <v>942</v>
      </c>
      <c r="AC179" s="6" t="s">
        <v>67</v>
      </c>
      <c r="AD179" s="6">
        <v>4719.0</v>
      </c>
    </row>
    <row r="180" ht="56.25" customHeight="1">
      <c r="A180" s="5" t="s">
        <v>929</v>
      </c>
      <c r="B180" s="6" t="str">
        <f>IMAGE("https://storage.googleapis.com/acdb/miscellaneous/FtrCelebratoryCandle_Remake_3_0.png")</f>
        <v/>
      </c>
      <c r="C180" s="5" t="s">
        <v>68</v>
      </c>
      <c r="D180" s="5" t="s">
        <v>34</v>
      </c>
      <c r="E180" s="5" t="s">
        <v>34</v>
      </c>
      <c r="F180" s="5" t="s">
        <v>34</v>
      </c>
      <c r="G180" s="5" t="s">
        <v>36</v>
      </c>
      <c r="H180" s="5" t="s">
        <v>36</v>
      </c>
      <c r="I180" s="5" t="s">
        <v>36</v>
      </c>
      <c r="J180" s="6" t="s">
        <v>34</v>
      </c>
      <c r="K180" s="6">
        <v>1500.0</v>
      </c>
      <c r="L180" s="6">
        <v>375.0</v>
      </c>
      <c r="M180" s="5" t="s">
        <v>68</v>
      </c>
      <c r="N180" s="5" t="s">
        <v>83</v>
      </c>
      <c r="O180" s="6" t="s">
        <v>40</v>
      </c>
      <c r="P180" s="5" t="s">
        <v>59</v>
      </c>
      <c r="Q180" s="5" t="s">
        <v>931</v>
      </c>
      <c r="R180" s="6" t="s">
        <v>42</v>
      </c>
      <c r="S180" s="5" t="s">
        <v>732</v>
      </c>
      <c r="T180" s="5" t="s">
        <v>44</v>
      </c>
      <c r="U180" s="5" t="s">
        <v>44</v>
      </c>
      <c r="V180" s="5" t="s">
        <v>44</v>
      </c>
      <c r="W180" s="5" t="s">
        <v>35</v>
      </c>
      <c r="X180" s="5" t="s">
        <v>467</v>
      </c>
      <c r="Y180" s="5" t="s">
        <v>46</v>
      </c>
      <c r="Z180" s="5" t="s">
        <v>495</v>
      </c>
      <c r="AA180" s="5" t="s">
        <v>64</v>
      </c>
      <c r="AB180" s="5" t="s">
        <v>944</v>
      </c>
      <c r="AC180" s="6" t="s">
        <v>71</v>
      </c>
      <c r="AD180" s="6">
        <v>4719.0</v>
      </c>
    </row>
    <row r="181" ht="56.25" customHeight="1">
      <c r="A181" s="5" t="s">
        <v>929</v>
      </c>
      <c r="B181" s="6" t="str">
        <f>IMAGE("https://storage.googleapis.com/acdb/miscellaneous/FtrCelebratoryCandle_Remake_4_0.png")</f>
        <v/>
      </c>
      <c r="C181" s="5" t="s">
        <v>57</v>
      </c>
      <c r="D181" s="5" t="s">
        <v>34</v>
      </c>
      <c r="E181" s="5" t="s">
        <v>34</v>
      </c>
      <c r="F181" s="5" t="s">
        <v>34</v>
      </c>
      <c r="G181" s="5" t="s">
        <v>36</v>
      </c>
      <c r="H181" s="5" t="s">
        <v>36</v>
      </c>
      <c r="I181" s="5" t="s">
        <v>36</v>
      </c>
      <c r="J181" s="6" t="s">
        <v>34</v>
      </c>
      <c r="K181" s="6">
        <v>1500.0</v>
      </c>
      <c r="L181" s="6">
        <v>375.0</v>
      </c>
      <c r="M181" s="5" t="s">
        <v>58</v>
      </c>
      <c r="N181" s="5" t="s">
        <v>57</v>
      </c>
      <c r="O181" s="6" t="s">
        <v>40</v>
      </c>
      <c r="P181" s="5" t="s">
        <v>59</v>
      </c>
      <c r="Q181" s="5" t="s">
        <v>931</v>
      </c>
      <c r="R181" s="6" t="s">
        <v>42</v>
      </c>
      <c r="S181" s="5" t="s">
        <v>732</v>
      </c>
      <c r="T181" s="5" t="s">
        <v>44</v>
      </c>
      <c r="U181" s="5" t="s">
        <v>44</v>
      </c>
      <c r="V181" s="5" t="s">
        <v>44</v>
      </c>
      <c r="W181" s="5" t="s">
        <v>35</v>
      </c>
      <c r="X181" s="5" t="s">
        <v>467</v>
      </c>
      <c r="Y181" s="5" t="s">
        <v>46</v>
      </c>
      <c r="Z181" s="5" t="s">
        <v>495</v>
      </c>
      <c r="AA181" s="5" t="s">
        <v>64</v>
      </c>
      <c r="AB181" s="5" t="s">
        <v>948</v>
      </c>
      <c r="AC181" s="6" t="s">
        <v>75</v>
      </c>
      <c r="AD181" s="6">
        <v>4719.0</v>
      </c>
    </row>
    <row r="182" ht="56.25" customHeight="1">
      <c r="A182" s="5" t="s">
        <v>949</v>
      </c>
      <c r="B182" s="16" t="str">
        <f>IMAGE("https://storage.googleapis.com/acdb/miscellaneous/FtrInsectMukadeToy.png")</f>
        <v/>
      </c>
      <c r="C182" s="5" t="s">
        <v>34</v>
      </c>
      <c r="D182" s="5" t="s">
        <v>34</v>
      </c>
      <c r="E182" s="5" t="s">
        <v>34</v>
      </c>
      <c r="F182" s="5" t="s">
        <v>34</v>
      </c>
      <c r="G182" s="5" t="s">
        <v>36</v>
      </c>
      <c r="H182" s="5" t="s">
        <v>36</v>
      </c>
      <c r="I182" s="5" t="s">
        <v>36</v>
      </c>
      <c r="J182" s="6" t="s">
        <v>34</v>
      </c>
      <c r="K182" s="6" t="s">
        <v>37</v>
      </c>
      <c r="L182" s="6">
        <v>900.0</v>
      </c>
      <c r="M182" s="5" t="s">
        <v>54</v>
      </c>
      <c r="N182" s="5" t="s">
        <v>54</v>
      </c>
      <c r="O182" s="6" t="s">
        <v>40</v>
      </c>
      <c r="P182" s="5" t="s">
        <v>107</v>
      </c>
      <c r="Q182" s="5" t="s">
        <v>108</v>
      </c>
      <c r="R182" s="6" t="s">
        <v>42</v>
      </c>
      <c r="S182" s="5" t="s">
        <v>44</v>
      </c>
      <c r="T182" s="5" t="s">
        <v>44</v>
      </c>
      <c r="U182" s="5" t="s">
        <v>44</v>
      </c>
      <c r="V182" s="5" t="s">
        <v>44</v>
      </c>
      <c r="W182" s="5" t="s">
        <v>36</v>
      </c>
      <c r="X182" s="5" t="s">
        <v>109</v>
      </c>
      <c r="Y182" s="5" t="s">
        <v>46</v>
      </c>
      <c r="Z182" s="5" t="s">
        <v>47</v>
      </c>
      <c r="AA182" s="5" t="s">
        <v>48</v>
      </c>
      <c r="AB182" s="5" t="s">
        <v>952</v>
      </c>
      <c r="AC182" s="6" t="s">
        <v>34</v>
      </c>
      <c r="AD182" s="6">
        <v>7407.0</v>
      </c>
    </row>
    <row r="183" ht="56.25" customHeight="1">
      <c r="A183" s="5" t="s">
        <v>954</v>
      </c>
      <c r="B183" s="16" t="str">
        <f>IMAGE("https://storage.googleapis.com/acdb/miscellaneous/FtrFishOoiwanaToy.png")</f>
        <v/>
      </c>
      <c r="C183" s="5" t="s">
        <v>34</v>
      </c>
      <c r="D183" s="5" t="s">
        <v>34</v>
      </c>
      <c r="E183" s="5" t="s">
        <v>34</v>
      </c>
      <c r="F183" s="5" t="s">
        <v>34</v>
      </c>
      <c r="G183" s="5" t="s">
        <v>36</v>
      </c>
      <c r="H183" s="5" t="s">
        <v>36</v>
      </c>
      <c r="I183" s="5" t="s">
        <v>36</v>
      </c>
      <c r="J183" s="6" t="s">
        <v>34</v>
      </c>
      <c r="K183" s="6" t="s">
        <v>37</v>
      </c>
      <c r="L183" s="6">
        <v>11400.0</v>
      </c>
      <c r="M183" s="5" t="s">
        <v>39</v>
      </c>
      <c r="N183" s="5" t="s">
        <v>54</v>
      </c>
      <c r="O183" s="6" t="s">
        <v>40</v>
      </c>
      <c r="P183" s="5" t="s">
        <v>213</v>
      </c>
      <c r="Q183" s="5" t="s">
        <v>215</v>
      </c>
      <c r="R183" s="6" t="s">
        <v>42</v>
      </c>
      <c r="S183" s="5" t="s">
        <v>44</v>
      </c>
      <c r="T183" s="5" t="s">
        <v>44</v>
      </c>
      <c r="U183" s="5" t="s">
        <v>44</v>
      </c>
      <c r="V183" s="5" t="s">
        <v>44</v>
      </c>
      <c r="W183" s="5" t="s">
        <v>36</v>
      </c>
      <c r="X183" s="5" t="s">
        <v>219</v>
      </c>
      <c r="Y183" s="5" t="s">
        <v>46</v>
      </c>
      <c r="Z183" s="5" t="s">
        <v>47</v>
      </c>
      <c r="AA183" s="5" t="s">
        <v>48</v>
      </c>
      <c r="AB183" s="5" t="s">
        <v>956</v>
      </c>
      <c r="AC183" s="6" t="s">
        <v>34</v>
      </c>
      <c r="AD183" s="6">
        <v>7003.0</v>
      </c>
    </row>
    <row r="184" ht="56.25" customHeight="1">
      <c r="A184" s="5" t="s">
        <v>957</v>
      </c>
      <c r="B184" s="16" t="str">
        <f>IMAGE("https://storage.googleapis.com/acdb/miscellaneous/FtrFishYamameToy.png")</f>
        <v/>
      </c>
      <c r="C184" s="5" t="s">
        <v>34</v>
      </c>
      <c r="D184" s="5" t="s">
        <v>34</v>
      </c>
      <c r="E184" s="5" t="s">
        <v>34</v>
      </c>
      <c r="F184" s="5" t="s">
        <v>34</v>
      </c>
      <c r="G184" s="5" t="s">
        <v>36</v>
      </c>
      <c r="H184" s="5" t="s">
        <v>36</v>
      </c>
      <c r="I184" s="5" t="s">
        <v>36</v>
      </c>
      <c r="J184" s="6" t="s">
        <v>34</v>
      </c>
      <c r="K184" s="6" t="s">
        <v>37</v>
      </c>
      <c r="L184" s="6">
        <v>3000.0</v>
      </c>
      <c r="M184" s="5" t="s">
        <v>39</v>
      </c>
      <c r="N184" s="5" t="s">
        <v>54</v>
      </c>
      <c r="O184" s="6" t="s">
        <v>40</v>
      </c>
      <c r="P184" s="5" t="s">
        <v>213</v>
      </c>
      <c r="Q184" s="5" t="s">
        <v>215</v>
      </c>
      <c r="R184" s="6" t="s">
        <v>42</v>
      </c>
      <c r="S184" s="5" t="s">
        <v>44</v>
      </c>
      <c r="T184" s="5" t="s">
        <v>44</v>
      </c>
      <c r="U184" s="5" t="s">
        <v>44</v>
      </c>
      <c r="V184" s="5" t="s">
        <v>44</v>
      </c>
      <c r="W184" s="5" t="s">
        <v>36</v>
      </c>
      <c r="X184" s="5" t="s">
        <v>219</v>
      </c>
      <c r="Y184" s="5" t="s">
        <v>46</v>
      </c>
      <c r="Z184" s="5" t="s">
        <v>47</v>
      </c>
      <c r="AA184" s="5" t="s">
        <v>48</v>
      </c>
      <c r="AB184" s="5" t="s">
        <v>962</v>
      </c>
      <c r="AC184" s="6" t="s">
        <v>34</v>
      </c>
      <c r="AD184" s="6">
        <v>7027.0</v>
      </c>
    </row>
    <row r="185" ht="56.25" customHeight="1">
      <c r="A185" s="5" t="s">
        <v>963</v>
      </c>
      <c r="B185" s="6" t="str">
        <f>IMAGE("https://storage.googleapis.com/acdb/miscellaneous/FtrFruitsMusic_Remake_0_0.png")</f>
        <v/>
      </c>
      <c r="C185" s="5" t="s">
        <v>51</v>
      </c>
      <c r="D185" s="5" t="s">
        <v>337</v>
      </c>
      <c r="E185" s="5" t="s">
        <v>34</v>
      </c>
      <c r="F185" s="5" t="s">
        <v>34</v>
      </c>
      <c r="G185" s="5" t="s">
        <v>35</v>
      </c>
      <c r="H185" s="5" t="s">
        <v>35</v>
      </c>
      <c r="I185" s="5" t="s">
        <v>36</v>
      </c>
      <c r="J185" s="6">
        <v>5.0</v>
      </c>
      <c r="K185" s="6" t="s">
        <v>37</v>
      </c>
      <c r="L185" s="6">
        <v>3500.0</v>
      </c>
      <c r="M185" s="5" t="s">
        <v>52</v>
      </c>
      <c r="N185" s="5" t="s">
        <v>96</v>
      </c>
      <c r="O185" s="6" t="s">
        <v>40</v>
      </c>
      <c r="P185" s="5" t="s">
        <v>41</v>
      </c>
      <c r="Q185" s="5"/>
      <c r="R185" s="6" t="s">
        <v>42</v>
      </c>
      <c r="S185" s="5" t="s">
        <v>61</v>
      </c>
      <c r="T185" s="5" t="s">
        <v>44</v>
      </c>
      <c r="U185" s="5" t="s">
        <v>338</v>
      </c>
      <c r="V185" s="5" t="s">
        <v>501</v>
      </c>
      <c r="W185" s="5" t="s">
        <v>35</v>
      </c>
      <c r="X185" s="5" t="s">
        <v>746</v>
      </c>
      <c r="Y185" s="5" t="s">
        <v>885</v>
      </c>
      <c r="Z185" s="5" t="s">
        <v>47</v>
      </c>
      <c r="AA185" s="5" t="s">
        <v>48</v>
      </c>
      <c r="AB185" s="5" t="s">
        <v>966</v>
      </c>
      <c r="AC185" s="6" t="s">
        <v>50</v>
      </c>
      <c r="AD185" s="6">
        <v>4011.0</v>
      </c>
    </row>
    <row r="186" ht="56.25" customHeight="1">
      <c r="A186" s="5" t="s">
        <v>963</v>
      </c>
      <c r="B186" s="6" t="str">
        <f>IMAGE("https://storage.googleapis.com/acdb/miscellaneous/FtrFruitsMusic_Remake_1_0.png")</f>
        <v/>
      </c>
      <c r="C186" s="5" t="s">
        <v>506</v>
      </c>
      <c r="D186" s="5" t="s">
        <v>337</v>
      </c>
      <c r="E186" s="5" t="s">
        <v>34</v>
      </c>
      <c r="F186" s="5" t="s">
        <v>34</v>
      </c>
      <c r="G186" s="5" t="s">
        <v>35</v>
      </c>
      <c r="H186" s="5" t="s">
        <v>35</v>
      </c>
      <c r="I186" s="5" t="s">
        <v>36</v>
      </c>
      <c r="J186" s="6">
        <v>5.0</v>
      </c>
      <c r="K186" s="6" t="s">
        <v>37</v>
      </c>
      <c r="L186" s="6">
        <v>3500.0</v>
      </c>
      <c r="M186" s="5" t="s">
        <v>52</v>
      </c>
      <c r="N186" s="5" t="s">
        <v>96</v>
      </c>
      <c r="O186" s="6" t="s">
        <v>40</v>
      </c>
      <c r="P186" s="5" t="s">
        <v>41</v>
      </c>
      <c r="Q186" s="5"/>
      <c r="R186" s="6" t="s">
        <v>42</v>
      </c>
      <c r="S186" s="5" t="s">
        <v>61</v>
      </c>
      <c r="T186" s="5" t="s">
        <v>44</v>
      </c>
      <c r="U186" s="5" t="s">
        <v>338</v>
      </c>
      <c r="V186" s="5" t="s">
        <v>501</v>
      </c>
      <c r="W186" s="5" t="s">
        <v>35</v>
      </c>
      <c r="X186" s="5" t="s">
        <v>746</v>
      </c>
      <c r="Y186" s="5" t="s">
        <v>885</v>
      </c>
      <c r="Z186" s="5" t="s">
        <v>47</v>
      </c>
      <c r="AA186" s="5" t="s">
        <v>48</v>
      </c>
      <c r="AB186" s="5" t="s">
        <v>972</v>
      </c>
      <c r="AC186" s="6" t="s">
        <v>56</v>
      </c>
      <c r="AD186" s="6">
        <v>4011.0</v>
      </c>
    </row>
    <row r="187" ht="56.25" customHeight="1">
      <c r="A187" s="5" t="s">
        <v>973</v>
      </c>
      <c r="B187" s="16" t="str">
        <f>IMAGE("https://storage.googleapis.com/acdb/miscellaneous/FtrBonsaiSakura.png")</f>
        <v/>
      </c>
      <c r="C187" s="5" t="s">
        <v>34</v>
      </c>
      <c r="D187" s="5" t="s">
        <v>34</v>
      </c>
      <c r="E187" s="5" t="s">
        <v>34</v>
      </c>
      <c r="F187" s="5" t="s">
        <v>34</v>
      </c>
      <c r="G187" s="5" t="s">
        <v>35</v>
      </c>
      <c r="H187" s="5" t="s">
        <v>36</v>
      </c>
      <c r="I187" s="5" t="s">
        <v>36</v>
      </c>
      <c r="J187" s="6" t="s">
        <v>34</v>
      </c>
      <c r="K187" s="6" t="s">
        <v>37</v>
      </c>
      <c r="L187" s="6">
        <v>3300.0</v>
      </c>
      <c r="M187" s="5" t="s">
        <v>69</v>
      </c>
      <c r="N187" s="5" t="s">
        <v>39</v>
      </c>
      <c r="O187" s="6" t="s">
        <v>40</v>
      </c>
      <c r="P187" s="5" t="s">
        <v>41</v>
      </c>
      <c r="Q187" s="5" t="s">
        <v>513</v>
      </c>
      <c r="R187" s="6" t="s">
        <v>42</v>
      </c>
      <c r="S187" s="5" t="s">
        <v>266</v>
      </c>
      <c r="T187" s="5" t="s">
        <v>61</v>
      </c>
      <c r="U187" s="5" t="s">
        <v>514</v>
      </c>
      <c r="V187" s="5" t="s">
        <v>44</v>
      </c>
      <c r="W187" s="5" t="s">
        <v>36</v>
      </c>
      <c r="X187" s="5" t="s">
        <v>244</v>
      </c>
      <c r="Y187" s="5" t="s">
        <v>46</v>
      </c>
      <c r="Z187" s="5" t="s">
        <v>47</v>
      </c>
      <c r="AA187" s="5" t="s">
        <v>48</v>
      </c>
      <c r="AB187" s="5" t="s">
        <v>976</v>
      </c>
      <c r="AC187" s="6" t="s">
        <v>34</v>
      </c>
      <c r="AD187" s="6">
        <v>6030.0</v>
      </c>
    </row>
    <row r="188" ht="56.25" customHeight="1">
      <c r="A188" s="5" t="s">
        <v>977</v>
      </c>
      <c r="B188" s="6" t="str">
        <f>IMAGE("https://storage.googleapis.com/acdb/miscellaneous/FtrChess_Remake_0_0.png")</f>
        <v/>
      </c>
      <c r="C188" s="5" t="s">
        <v>39</v>
      </c>
      <c r="D188" s="5" t="s">
        <v>34</v>
      </c>
      <c r="E188" s="5" t="s">
        <v>34</v>
      </c>
      <c r="F188" s="5" t="s">
        <v>34</v>
      </c>
      <c r="G188" s="5" t="s">
        <v>36</v>
      </c>
      <c r="H188" s="5" t="s">
        <v>36</v>
      </c>
      <c r="I188" s="5" t="s">
        <v>36</v>
      </c>
      <c r="J188" s="6" t="s">
        <v>34</v>
      </c>
      <c r="K188" s="6">
        <v>95000.0</v>
      </c>
      <c r="L188" s="6">
        <v>23750.0</v>
      </c>
      <c r="M188" s="5" t="s">
        <v>39</v>
      </c>
      <c r="N188" s="5" t="s">
        <v>114</v>
      </c>
      <c r="O188" s="6" t="s">
        <v>40</v>
      </c>
      <c r="P188" s="5" t="s">
        <v>59</v>
      </c>
      <c r="Q188" s="5" t="s">
        <v>115</v>
      </c>
      <c r="R188" s="6" t="s">
        <v>42</v>
      </c>
      <c r="S188" s="5" t="s">
        <v>90</v>
      </c>
      <c r="T188" s="5" t="s">
        <v>116</v>
      </c>
      <c r="U188" s="5" t="s">
        <v>44</v>
      </c>
      <c r="V188" s="5" t="s">
        <v>44</v>
      </c>
      <c r="W188" s="5" t="s">
        <v>36</v>
      </c>
      <c r="X188" s="5" t="s">
        <v>356</v>
      </c>
      <c r="Y188" s="5" t="s">
        <v>46</v>
      </c>
      <c r="Z188" s="5" t="s">
        <v>47</v>
      </c>
      <c r="AA188" s="5" t="s">
        <v>64</v>
      </c>
      <c r="AB188" s="5" t="s">
        <v>980</v>
      </c>
      <c r="AC188" s="6" t="s">
        <v>50</v>
      </c>
      <c r="AD188" s="6">
        <v>2770.0</v>
      </c>
    </row>
    <row r="189" ht="56.25" customHeight="1">
      <c r="A189" s="5" t="s">
        <v>977</v>
      </c>
      <c r="B189" s="6" t="str">
        <f>IMAGE("https://storage.googleapis.com/acdb/miscellaneous/FtrChess_Remake_1_0.png")</f>
        <v/>
      </c>
      <c r="C189" s="5" t="s">
        <v>54</v>
      </c>
      <c r="D189" s="5" t="s">
        <v>34</v>
      </c>
      <c r="E189" s="5" t="s">
        <v>34</v>
      </c>
      <c r="F189" s="5" t="s">
        <v>34</v>
      </c>
      <c r="G189" s="5" t="s">
        <v>36</v>
      </c>
      <c r="H189" s="5" t="s">
        <v>36</v>
      </c>
      <c r="I189" s="5" t="s">
        <v>36</v>
      </c>
      <c r="J189" s="6" t="s">
        <v>34</v>
      </c>
      <c r="K189" s="6">
        <v>95000.0</v>
      </c>
      <c r="L189" s="6">
        <v>23750.0</v>
      </c>
      <c r="M189" s="5" t="s">
        <v>54</v>
      </c>
      <c r="N189" s="5" t="s">
        <v>57</v>
      </c>
      <c r="O189" s="6" t="s">
        <v>40</v>
      </c>
      <c r="P189" s="5" t="s">
        <v>59</v>
      </c>
      <c r="Q189" s="5" t="s">
        <v>115</v>
      </c>
      <c r="R189" s="6" t="s">
        <v>42</v>
      </c>
      <c r="S189" s="5" t="s">
        <v>90</v>
      </c>
      <c r="T189" s="5" t="s">
        <v>116</v>
      </c>
      <c r="U189" s="5" t="s">
        <v>44</v>
      </c>
      <c r="V189" s="5" t="s">
        <v>44</v>
      </c>
      <c r="W189" s="5" t="s">
        <v>36</v>
      </c>
      <c r="X189" s="5" t="s">
        <v>356</v>
      </c>
      <c r="Y189" s="5" t="s">
        <v>46</v>
      </c>
      <c r="Z189" s="5" t="s">
        <v>47</v>
      </c>
      <c r="AA189" s="5" t="s">
        <v>64</v>
      </c>
      <c r="AB189" s="5" t="s">
        <v>981</v>
      </c>
      <c r="AC189" s="6" t="s">
        <v>56</v>
      </c>
      <c r="AD189" s="6">
        <v>2770.0</v>
      </c>
    </row>
    <row r="190" ht="56.25" customHeight="1">
      <c r="A190" s="5" t="s">
        <v>982</v>
      </c>
      <c r="B190" s="16" t="str">
        <f>IMAGE("https://storage.googleapis.com/acdb/miscellaneous/FtrInsectSeminonukegaraToy.png")</f>
        <v/>
      </c>
      <c r="C190" s="5" t="s">
        <v>34</v>
      </c>
      <c r="D190" s="5" t="s">
        <v>34</v>
      </c>
      <c r="E190" s="5" t="s">
        <v>34</v>
      </c>
      <c r="F190" s="5" t="s">
        <v>34</v>
      </c>
      <c r="G190" s="5" t="s">
        <v>36</v>
      </c>
      <c r="H190" s="5" t="s">
        <v>36</v>
      </c>
      <c r="I190" s="5" t="s">
        <v>36</v>
      </c>
      <c r="J190" s="6" t="s">
        <v>34</v>
      </c>
      <c r="K190" s="6" t="s">
        <v>37</v>
      </c>
      <c r="L190" s="6">
        <v>30.0</v>
      </c>
      <c r="M190" s="5" t="s">
        <v>39</v>
      </c>
      <c r="N190" s="5" t="s">
        <v>39</v>
      </c>
      <c r="O190" s="6" t="s">
        <v>40</v>
      </c>
      <c r="P190" s="5" t="s">
        <v>107</v>
      </c>
      <c r="Q190" s="5" t="s">
        <v>108</v>
      </c>
      <c r="R190" s="6" t="s">
        <v>42</v>
      </c>
      <c r="S190" s="5" t="s">
        <v>44</v>
      </c>
      <c r="T190" s="5" t="s">
        <v>44</v>
      </c>
      <c r="U190" s="5" t="s">
        <v>44</v>
      </c>
      <c r="V190" s="5" t="s">
        <v>44</v>
      </c>
      <c r="W190" s="5" t="s">
        <v>36</v>
      </c>
      <c r="X190" s="5" t="s">
        <v>109</v>
      </c>
      <c r="Y190" s="5" t="s">
        <v>46</v>
      </c>
      <c r="Z190" s="5" t="s">
        <v>47</v>
      </c>
      <c r="AA190" s="5" t="s">
        <v>48</v>
      </c>
      <c r="AB190" s="5" t="s">
        <v>985</v>
      </c>
      <c r="AC190" s="6" t="s">
        <v>34</v>
      </c>
      <c r="AD190" s="6">
        <v>7095.0</v>
      </c>
    </row>
    <row r="191" ht="56.25" customHeight="1">
      <c r="A191" s="5" t="s">
        <v>986</v>
      </c>
      <c r="B191" s="16" t="str">
        <f>IMAGE("https://storage.googleapis.com/acdb/miscellaneous/FtrInsectGomadarakamikiriToy.png")</f>
        <v/>
      </c>
      <c r="C191" s="5" t="s">
        <v>34</v>
      </c>
      <c r="D191" s="5" t="s">
        <v>34</v>
      </c>
      <c r="E191" s="5" t="s">
        <v>34</v>
      </c>
      <c r="F191" s="5" t="s">
        <v>34</v>
      </c>
      <c r="G191" s="5" t="s">
        <v>36</v>
      </c>
      <c r="H191" s="5" t="s">
        <v>36</v>
      </c>
      <c r="I191" s="5" t="s">
        <v>36</v>
      </c>
      <c r="J191" s="6" t="s">
        <v>34</v>
      </c>
      <c r="K191" s="6" t="s">
        <v>37</v>
      </c>
      <c r="L191" s="6">
        <v>1050.0</v>
      </c>
      <c r="M191" s="5" t="s">
        <v>54</v>
      </c>
      <c r="N191" s="5" t="s">
        <v>57</v>
      </c>
      <c r="O191" s="6" t="s">
        <v>40</v>
      </c>
      <c r="P191" s="5" t="s">
        <v>107</v>
      </c>
      <c r="Q191" s="5" t="s">
        <v>108</v>
      </c>
      <c r="R191" s="6" t="s">
        <v>42</v>
      </c>
      <c r="S191" s="5" t="s">
        <v>44</v>
      </c>
      <c r="T191" s="5" t="s">
        <v>44</v>
      </c>
      <c r="U191" s="5" t="s">
        <v>44</v>
      </c>
      <c r="V191" s="5" t="s">
        <v>44</v>
      </c>
      <c r="W191" s="5" t="s">
        <v>36</v>
      </c>
      <c r="X191" s="5" t="s">
        <v>109</v>
      </c>
      <c r="Y191" s="5" t="s">
        <v>46</v>
      </c>
      <c r="Z191" s="5" t="s">
        <v>47</v>
      </c>
      <c r="AA191" s="5" t="s">
        <v>48</v>
      </c>
      <c r="AB191" s="5" t="s">
        <v>988</v>
      </c>
      <c r="AC191" s="6" t="s">
        <v>34</v>
      </c>
      <c r="AD191" s="6">
        <v>7070.0</v>
      </c>
    </row>
    <row r="192" ht="56.25" customHeight="1">
      <c r="A192" s="5" t="s">
        <v>990</v>
      </c>
      <c r="B192" s="6" t="str">
        <f>IMAGE("https://storage.googleapis.com/acdb/miscellaneous/FtrPotteryjug_Remake_0_0.png")</f>
        <v/>
      </c>
      <c r="C192" s="5" t="s">
        <v>992</v>
      </c>
      <c r="D192" s="5" t="s">
        <v>373</v>
      </c>
      <c r="E192" s="5" t="s">
        <v>34</v>
      </c>
      <c r="F192" s="5" t="s">
        <v>34</v>
      </c>
      <c r="G192" s="5" t="s">
        <v>35</v>
      </c>
      <c r="H192" s="5" t="s">
        <v>35</v>
      </c>
      <c r="I192" s="5" t="s">
        <v>36</v>
      </c>
      <c r="J192" s="6">
        <v>2.0</v>
      </c>
      <c r="K192" s="6" t="s">
        <v>37</v>
      </c>
      <c r="L192" s="6">
        <v>800.0</v>
      </c>
      <c r="M192" s="5" t="s">
        <v>38</v>
      </c>
      <c r="N192" s="5" t="s">
        <v>38</v>
      </c>
      <c r="O192" s="6" t="s">
        <v>40</v>
      </c>
      <c r="P192" s="5" t="s">
        <v>41</v>
      </c>
      <c r="Q192" s="5"/>
      <c r="R192" s="6" t="s">
        <v>42</v>
      </c>
      <c r="S192" s="5" t="s">
        <v>159</v>
      </c>
      <c r="T192" s="5" t="s">
        <v>62</v>
      </c>
      <c r="U192" s="5" t="s">
        <v>44</v>
      </c>
      <c r="V192" s="5" t="s">
        <v>44</v>
      </c>
      <c r="W192" s="5" t="s">
        <v>36</v>
      </c>
      <c r="X192" s="5" t="s">
        <v>521</v>
      </c>
      <c r="Y192" s="5" t="s">
        <v>46</v>
      </c>
      <c r="Z192" s="5" t="s">
        <v>47</v>
      </c>
      <c r="AA192" s="5" t="s">
        <v>48</v>
      </c>
      <c r="AB192" s="5" t="s">
        <v>994</v>
      </c>
      <c r="AC192" s="6" t="s">
        <v>50</v>
      </c>
      <c r="AD192" s="6">
        <v>4073.0</v>
      </c>
    </row>
    <row r="193" ht="56.25" customHeight="1">
      <c r="A193" s="5" t="s">
        <v>990</v>
      </c>
      <c r="B193" s="6" t="str">
        <f>IMAGE("https://storage.googleapis.com/acdb/miscellaneous/FtrPotteryjug_Remake_1_0.png")</f>
        <v/>
      </c>
      <c r="C193" s="5" t="s">
        <v>995</v>
      </c>
      <c r="D193" s="5" t="s">
        <v>373</v>
      </c>
      <c r="E193" s="5" t="s">
        <v>34</v>
      </c>
      <c r="F193" s="5" t="s">
        <v>34</v>
      </c>
      <c r="G193" s="5" t="s">
        <v>35</v>
      </c>
      <c r="H193" s="5" t="s">
        <v>35</v>
      </c>
      <c r="I193" s="5" t="s">
        <v>36</v>
      </c>
      <c r="J193" s="6">
        <v>2.0</v>
      </c>
      <c r="K193" s="6" t="s">
        <v>37</v>
      </c>
      <c r="L193" s="6">
        <v>800.0</v>
      </c>
      <c r="M193" s="5" t="s">
        <v>57</v>
      </c>
      <c r="N193" s="5" t="s">
        <v>57</v>
      </c>
      <c r="O193" s="6" t="s">
        <v>40</v>
      </c>
      <c r="P193" s="5" t="s">
        <v>41</v>
      </c>
      <c r="Q193" s="5"/>
      <c r="R193" s="6" t="s">
        <v>42</v>
      </c>
      <c r="S193" s="5" t="s">
        <v>159</v>
      </c>
      <c r="T193" s="5" t="s">
        <v>62</v>
      </c>
      <c r="U193" s="5" t="s">
        <v>44</v>
      </c>
      <c r="V193" s="5" t="s">
        <v>44</v>
      </c>
      <c r="W193" s="5" t="s">
        <v>36</v>
      </c>
      <c r="X193" s="5" t="s">
        <v>521</v>
      </c>
      <c r="Y193" s="5" t="s">
        <v>46</v>
      </c>
      <c r="Z193" s="5" t="s">
        <v>47</v>
      </c>
      <c r="AA193" s="5" t="s">
        <v>48</v>
      </c>
      <c r="AB193" s="5" t="s">
        <v>998</v>
      </c>
      <c r="AC193" s="6" t="s">
        <v>56</v>
      </c>
      <c r="AD193" s="6">
        <v>4073.0</v>
      </c>
    </row>
    <row r="194" ht="56.25" customHeight="1">
      <c r="A194" s="5" t="s">
        <v>990</v>
      </c>
      <c r="B194" s="6" t="str">
        <f>IMAGE("https://storage.googleapis.com/acdb/miscellaneous/FtrPotteryjug_Remake_2_0.png")</f>
        <v/>
      </c>
      <c r="C194" s="5" t="s">
        <v>708</v>
      </c>
      <c r="D194" s="5" t="s">
        <v>373</v>
      </c>
      <c r="E194" s="5" t="s">
        <v>34</v>
      </c>
      <c r="F194" s="5" t="s">
        <v>34</v>
      </c>
      <c r="G194" s="5" t="s">
        <v>35</v>
      </c>
      <c r="H194" s="5" t="s">
        <v>35</v>
      </c>
      <c r="I194" s="5" t="s">
        <v>36</v>
      </c>
      <c r="J194" s="6">
        <v>2.0</v>
      </c>
      <c r="K194" s="6" t="s">
        <v>37</v>
      </c>
      <c r="L194" s="6">
        <v>800.0</v>
      </c>
      <c r="M194" s="5" t="s">
        <v>83</v>
      </c>
      <c r="N194" s="5" t="s">
        <v>83</v>
      </c>
      <c r="O194" s="6" t="s">
        <v>40</v>
      </c>
      <c r="P194" s="5" t="s">
        <v>41</v>
      </c>
      <c r="Q194" s="5"/>
      <c r="R194" s="6" t="s">
        <v>42</v>
      </c>
      <c r="S194" s="5" t="s">
        <v>159</v>
      </c>
      <c r="T194" s="5" t="s">
        <v>62</v>
      </c>
      <c r="U194" s="5" t="s">
        <v>44</v>
      </c>
      <c r="V194" s="5" t="s">
        <v>44</v>
      </c>
      <c r="W194" s="5" t="s">
        <v>36</v>
      </c>
      <c r="X194" s="5" t="s">
        <v>521</v>
      </c>
      <c r="Y194" s="5" t="s">
        <v>46</v>
      </c>
      <c r="Z194" s="5" t="s">
        <v>47</v>
      </c>
      <c r="AA194" s="5" t="s">
        <v>48</v>
      </c>
      <c r="AB194" s="5" t="s">
        <v>1001</v>
      </c>
      <c r="AC194" s="6" t="s">
        <v>67</v>
      </c>
      <c r="AD194" s="6">
        <v>4073.0</v>
      </c>
    </row>
    <row r="195" ht="56.25" customHeight="1">
      <c r="A195" s="5" t="s">
        <v>990</v>
      </c>
      <c r="B195" s="6" t="str">
        <f>IMAGE("https://storage.googleapis.com/acdb/miscellaneous/FtrPotteryjug_Remake_3_0.png")</f>
        <v/>
      </c>
      <c r="C195" s="5" t="s">
        <v>1002</v>
      </c>
      <c r="D195" s="5" t="s">
        <v>373</v>
      </c>
      <c r="E195" s="5" t="s">
        <v>34</v>
      </c>
      <c r="F195" s="5" t="s">
        <v>34</v>
      </c>
      <c r="G195" s="5" t="s">
        <v>35</v>
      </c>
      <c r="H195" s="5" t="s">
        <v>35</v>
      </c>
      <c r="I195" s="5" t="s">
        <v>36</v>
      </c>
      <c r="J195" s="6">
        <v>2.0</v>
      </c>
      <c r="K195" s="6" t="s">
        <v>37</v>
      </c>
      <c r="L195" s="6">
        <v>800.0</v>
      </c>
      <c r="M195" s="5" t="s">
        <v>142</v>
      </c>
      <c r="N195" s="5" t="s">
        <v>142</v>
      </c>
      <c r="O195" s="6" t="s">
        <v>40</v>
      </c>
      <c r="P195" s="5" t="s">
        <v>41</v>
      </c>
      <c r="Q195" s="5"/>
      <c r="R195" s="6" t="s">
        <v>42</v>
      </c>
      <c r="S195" s="5" t="s">
        <v>159</v>
      </c>
      <c r="T195" s="5" t="s">
        <v>62</v>
      </c>
      <c r="U195" s="5" t="s">
        <v>44</v>
      </c>
      <c r="V195" s="5" t="s">
        <v>44</v>
      </c>
      <c r="W195" s="5" t="s">
        <v>36</v>
      </c>
      <c r="X195" s="5" t="s">
        <v>521</v>
      </c>
      <c r="Y195" s="5" t="s">
        <v>46</v>
      </c>
      <c r="Z195" s="5" t="s">
        <v>47</v>
      </c>
      <c r="AA195" s="5" t="s">
        <v>48</v>
      </c>
      <c r="AB195" s="5" t="s">
        <v>1003</v>
      </c>
      <c r="AC195" s="6" t="s">
        <v>71</v>
      </c>
      <c r="AD195" s="6">
        <v>4073.0</v>
      </c>
    </row>
    <row r="196" ht="56.25" customHeight="1">
      <c r="A196" s="5" t="s">
        <v>990</v>
      </c>
      <c r="B196" s="6" t="str">
        <f>IMAGE("https://storage.googleapis.com/acdb/miscellaneous/FtrPotteryjug_Remake_4_0.png")</f>
        <v/>
      </c>
      <c r="C196" s="5" t="s">
        <v>1006</v>
      </c>
      <c r="D196" s="5" t="s">
        <v>373</v>
      </c>
      <c r="E196" s="5" t="s">
        <v>34</v>
      </c>
      <c r="F196" s="5" t="s">
        <v>34</v>
      </c>
      <c r="G196" s="5" t="s">
        <v>35</v>
      </c>
      <c r="H196" s="5" t="s">
        <v>35</v>
      </c>
      <c r="I196" s="5" t="s">
        <v>36</v>
      </c>
      <c r="J196" s="6">
        <v>2.0</v>
      </c>
      <c r="K196" s="6" t="s">
        <v>37</v>
      </c>
      <c r="L196" s="6">
        <v>800.0</v>
      </c>
      <c r="M196" s="5" t="s">
        <v>114</v>
      </c>
      <c r="N196" s="5" t="s">
        <v>52</v>
      </c>
      <c r="O196" s="6" t="s">
        <v>40</v>
      </c>
      <c r="P196" s="5" t="s">
        <v>41</v>
      </c>
      <c r="Q196" s="5"/>
      <c r="R196" s="6" t="s">
        <v>42</v>
      </c>
      <c r="S196" s="5" t="s">
        <v>159</v>
      </c>
      <c r="T196" s="5" t="s">
        <v>62</v>
      </c>
      <c r="U196" s="5" t="s">
        <v>44</v>
      </c>
      <c r="V196" s="5" t="s">
        <v>44</v>
      </c>
      <c r="W196" s="5" t="s">
        <v>36</v>
      </c>
      <c r="X196" s="5" t="s">
        <v>521</v>
      </c>
      <c r="Y196" s="5" t="s">
        <v>46</v>
      </c>
      <c r="Z196" s="5" t="s">
        <v>47</v>
      </c>
      <c r="AA196" s="5" t="s">
        <v>48</v>
      </c>
      <c r="AB196" s="5" t="s">
        <v>1009</v>
      </c>
      <c r="AC196" s="6" t="s">
        <v>75</v>
      </c>
      <c r="AD196" s="6">
        <v>4073.0</v>
      </c>
    </row>
    <row r="197" ht="56.25" customHeight="1">
      <c r="A197" s="5" t="s">
        <v>990</v>
      </c>
      <c r="B197" s="6" t="str">
        <f>IMAGE("https://storage.googleapis.com/acdb/miscellaneous/FtrPotteryjug_Remake_5_0.png")</f>
        <v/>
      </c>
      <c r="C197" s="5" t="s">
        <v>1011</v>
      </c>
      <c r="D197" s="5" t="s">
        <v>373</v>
      </c>
      <c r="E197" s="5" t="s">
        <v>34</v>
      </c>
      <c r="F197" s="5" t="s">
        <v>34</v>
      </c>
      <c r="G197" s="5" t="s">
        <v>35</v>
      </c>
      <c r="H197" s="5" t="s">
        <v>35</v>
      </c>
      <c r="I197" s="5" t="s">
        <v>36</v>
      </c>
      <c r="J197" s="6">
        <v>2.0</v>
      </c>
      <c r="K197" s="6" t="s">
        <v>37</v>
      </c>
      <c r="L197" s="6">
        <v>800.0</v>
      </c>
      <c r="M197" s="5" t="s">
        <v>95</v>
      </c>
      <c r="N197" s="5" t="s">
        <v>54</v>
      </c>
      <c r="O197" s="6" t="s">
        <v>40</v>
      </c>
      <c r="P197" s="5" t="s">
        <v>41</v>
      </c>
      <c r="Q197" s="5"/>
      <c r="R197" s="6" t="s">
        <v>42</v>
      </c>
      <c r="S197" s="5" t="s">
        <v>159</v>
      </c>
      <c r="T197" s="5" t="s">
        <v>62</v>
      </c>
      <c r="U197" s="5" t="s">
        <v>44</v>
      </c>
      <c r="V197" s="5" t="s">
        <v>44</v>
      </c>
      <c r="W197" s="5" t="s">
        <v>36</v>
      </c>
      <c r="X197" s="5" t="s">
        <v>521</v>
      </c>
      <c r="Y197" s="5" t="s">
        <v>46</v>
      </c>
      <c r="Z197" s="5" t="s">
        <v>47</v>
      </c>
      <c r="AA197" s="5" t="s">
        <v>48</v>
      </c>
      <c r="AB197" s="5" t="s">
        <v>1017</v>
      </c>
      <c r="AC197" s="6" t="s">
        <v>79</v>
      </c>
      <c r="AD197" s="6">
        <v>4073.0</v>
      </c>
    </row>
    <row r="198" ht="56.25" customHeight="1">
      <c r="A198" s="5" t="s">
        <v>1018</v>
      </c>
      <c r="B198" s="16" t="str">
        <f>IMAGE("https://storage.googleapis.com/acdb/miscellaneous/FtrFishKumanomiToy.png")</f>
        <v/>
      </c>
      <c r="C198" s="5" t="s">
        <v>34</v>
      </c>
      <c r="D198" s="5" t="s">
        <v>34</v>
      </c>
      <c r="E198" s="5" t="s">
        <v>34</v>
      </c>
      <c r="F198" s="5" t="s">
        <v>34</v>
      </c>
      <c r="G198" s="5" t="s">
        <v>36</v>
      </c>
      <c r="H198" s="5" t="s">
        <v>36</v>
      </c>
      <c r="I198" s="5" t="s">
        <v>36</v>
      </c>
      <c r="J198" s="6" t="s">
        <v>34</v>
      </c>
      <c r="K198" s="6" t="s">
        <v>37</v>
      </c>
      <c r="L198" s="6">
        <v>1950.0</v>
      </c>
      <c r="M198" s="5" t="s">
        <v>142</v>
      </c>
      <c r="N198" s="5" t="s">
        <v>54</v>
      </c>
      <c r="O198" s="6" t="s">
        <v>40</v>
      </c>
      <c r="P198" s="5" t="s">
        <v>213</v>
      </c>
      <c r="Q198" s="5" t="s">
        <v>215</v>
      </c>
      <c r="R198" s="6" t="s">
        <v>42</v>
      </c>
      <c r="S198" s="5" t="s">
        <v>44</v>
      </c>
      <c r="T198" s="5" t="s">
        <v>44</v>
      </c>
      <c r="U198" s="5" t="s">
        <v>44</v>
      </c>
      <c r="V198" s="5" t="s">
        <v>44</v>
      </c>
      <c r="W198" s="5" t="s">
        <v>36</v>
      </c>
      <c r="X198" s="5" t="s">
        <v>219</v>
      </c>
      <c r="Y198" s="5" t="s">
        <v>46</v>
      </c>
      <c r="Z198" s="5" t="s">
        <v>47</v>
      </c>
      <c r="AA198" s="5" t="s">
        <v>48</v>
      </c>
      <c r="AB198" s="5" t="s">
        <v>1022</v>
      </c>
      <c r="AC198" s="6" t="s">
        <v>34</v>
      </c>
      <c r="AD198" s="6">
        <v>6981.0</v>
      </c>
    </row>
    <row r="199" ht="56.25" customHeight="1">
      <c r="A199" s="5" t="s">
        <v>1023</v>
      </c>
      <c r="B199" s="16" t="str">
        <f>IMAGE("https://storage.googleapis.com/acdb/miscellaneous/FtrCoconutjuice.png")</f>
        <v/>
      </c>
      <c r="C199" s="5" t="s">
        <v>34</v>
      </c>
      <c r="D199" s="5" t="s">
        <v>34</v>
      </c>
      <c r="E199" s="5" t="s">
        <v>34</v>
      </c>
      <c r="F199" s="5" t="s">
        <v>34</v>
      </c>
      <c r="G199" s="5" t="s">
        <v>35</v>
      </c>
      <c r="H199" s="5" t="s">
        <v>36</v>
      </c>
      <c r="I199" s="5" t="s">
        <v>36</v>
      </c>
      <c r="J199" s="6" t="s">
        <v>34</v>
      </c>
      <c r="K199" s="6" t="s">
        <v>37</v>
      </c>
      <c r="L199" s="6">
        <v>500.0</v>
      </c>
      <c r="M199" s="5" t="s">
        <v>96</v>
      </c>
      <c r="N199" s="5" t="s">
        <v>69</v>
      </c>
      <c r="O199" s="6" t="s">
        <v>40</v>
      </c>
      <c r="P199" s="5" t="s">
        <v>41</v>
      </c>
      <c r="Q199" s="5"/>
      <c r="R199" s="6" t="s">
        <v>42</v>
      </c>
      <c r="S199" s="5" t="s">
        <v>62</v>
      </c>
      <c r="T199" s="5" t="s">
        <v>138</v>
      </c>
      <c r="U199" s="5" t="s">
        <v>44</v>
      </c>
      <c r="V199" s="5" t="s">
        <v>44</v>
      </c>
      <c r="W199" s="5" t="s">
        <v>36</v>
      </c>
      <c r="X199" s="5" t="s">
        <v>521</v>
      </c>
      <c r="Y199" s="5" t="s">
        <v>46</v>
      </c>
      <c r="Z199" s="5" t="s">
        <v>47</v>
      </c>
      <c r="AA199" s="5" t="s">
        <v>48</v>
      </c>
      <c r="AB199" s="5" t="s">
        <v>1028</v>
      </c>
      <c r="AC199" s="6" t="s">
        <v>34</v>
      </c>
      <c r="AD199" s="6">
        <v>3684.0</v>
      </c>
    </row>
    <row r="200" ht="56.25" customHeight="1">
      <c r="A200" s="5" t="s">
        <v>1029</v>
      </c>
      <c r="B200" s="16" t="str">
        <f>IMAGE("https://storage.googleapis.com/acdb/miscellaneous/FtrFishSirakansuToy.png")</f>
        <v/>
      </c>
      <c r="C200" s="5" t="s">
        <v>34</v>
      </c>
      <c r="D200" s="5" t="s">
        <v>34</v>
      </c>
      <c r="E200" s="5" t="s">
        <v>34</v>
      </c>
      <c r="F200" s="5" t="s">
        <v>34</v>
      </c>
      <c r="G200" s="5" t="s">
        <v>36</v>
      </c>
      <c r="H200" s="5" t="s">
        <v>36</v>
      </c>
      <c r="I200" s="5" t="s">
        <v>36</v>
      </c>
      <c r="J200" s="6" t="s">
        <v>34</v>
      </c>
      <c r="K200" s="6" t="s">
        <v>37</v>
      </c>
      <c r="L200" s="6">
        <v>45000.0</v>
      </c>
      <c r="M200" s="5" t="s">
        <v>54</v>
      </c>
      <c r="N200" s="5" t="s">
        <v>54</v>
      </c>
      <c r="O200" s="6" t="s">
        <v>40</v>
      </c>
      <c r="P200" s="5" t="s">
        <v>213</v>
      </c>
      <c r="Q200" s="5" t="s">
        <v>215</v>
      </c>
      <c r="R200" s="6" t="s">
        <v>42</v>
      </c>
      <c r="S200" s="5" t="s">
        <v>44</v>
      </c>
      <c r="T200" s="5" t="s">
        <v>44</v>
      </c>
      <c r="U200" s="5" t="s">
        <v>44</v>
      </c>
      <c r="V200" s="5" t="s">
        <v>44</v>
      </c>
      <c r="W200" s="5" t="s">
        <v>36</v>
      </c>
      <c r="X200" s="5" t="s">
        <v>219</v>
      </c>
      <c r="Y200" s="5" t="s">
        <v>46</v>
      </c>
      <c r="Z200" s="5" t="s">
        <v>47</v>
      </c>
      <c r="AA200" s="5" t="s">
        <v>48</v>
      </c>
      <c r="AB200" s="5" t="s">
        <v>1033</v>
      </c>
      <c r="AC200" s="6" t="s">
        <v>34</v>
      </c>
      <c r="AD200" s="6">
        <v>7016.0</v>
      </c>
    </row>
    <row r="201" ht="56.25" customHeight="1">
      <c r="A201" s="5" t="s">
        <v>1035</v>
      </c>
      <c r="B201" s="6" t="str">
        <f>IMAGE("https://storage.googleapis.com/acdb/miscellaneous/FtrCoffeecup_Remake_0_0.png")</f>
        <v/>
      </c>
      <c r="C201" s="5" t="s">
        <v>811</v>
      </c>
      <c r="D201" s="5" t="s">
        <v>34</v>
      </c>
      <c r="E201" s="5" t="s">
        <v>34</v>
      </c>
      <c r="F201" s="5" t="s">
        <v>34</v>
      </c>
      <c r="G201" s="5" t="s">
        <v>36</v>
      </c>
      <c r="H201" s="5" t="s">
        <v>36</v>
      </c>
      <c r="I201" s="5" t="s">
        <v>36</v>
      </c>
      <c r="J201" s="6" t="s">
        <v>34</v>
      </c>
      <c r="K201" s="6">
        <v>270.0</v>
      </c>
      <c r="L201" s="6">
        <v>67.0</v>
      </c>
      <c r="M201" s="5" t="s">
        <v>57</v>
      </c>
      <c r="N201" s="5" t="s">
        <v>57</v>
      </c>
      <c r="O201" s="6" t="s">
        <v>40</v>
      </c>
      <c r="P201" s="5" t="s">
        <v>59</v>
      </c>
      <c r="Q201" s="5" t="s">
        <v>60</v>
      </c>
      <c r="R201" s="6" t="s">
        <v>42</v>
      </c>
      <c r="S201" s="5" t="s">
        <v>159</v>
      </c>
      <c r="T201" s="5" t="s">
        <v>62</v>
      </c>
      <c r="U201" s="5" t="s">
        <v>44</v>
      </c>
      <c r="V201" s="5" t="s">
        <v>44</v>
      </c>
      <c r="W201" s="5" t="s">
        <v>36</v>
      </c>
      <c r="X201" s="5" t="s">
        <v>521</v>
      </c>
      <c r="Y201" s="5" t="s">
        <v>46</v>
      </c>
      <c r="Z201" s="5" t="s">
        <v>47</v>
      </c>
      <c r="AA201" s="5" t="s">
        <v>64</v>
      </c>
      <c r="AB201" s="5" t="s">
        <v>1039</v>
      </c>
      <c r="AC201" s="6" t="s">
        <v>50</v>
      </c>
      <c r="AD201" s="6">
        <v>918.0</v>
      </c>
    </row>
    <row r="202" ht="56.25" customHeight="1">
      <c r="A202" s="5" t="s">
        <v>1035</v>
      </c>
      <c r="B202" s="6" t="str">
        <f>IMAGE("https://storage.googleapis.com/acdb/miscellaneous/FtrCoffeecup_Remake_1_0.png")</f>
        <v/>
      </c>
      <c r="C202" s="5" t="s">
        <v>400</v>
      </c>
      <c r="D202" s="5" t="s">
        <v>34</v>
      </c>
      <c r="E202" s="5" t="s">
        <v>34</v>
      </c>
      <c r="F202" s="5" t="s">
        <v>34</v>
      </c>
      <c r="G202" s="5" t="s">
        <v>36</v>
      </c>
      <c r="H202" s="5" t="s">
        <v>36</v>
      </c>
      <c r="I202" s="5" t="s">
        <v>36</v>
      </c>
      <c r="J202" s="6" t="s">
        <v>34</v>
      </c>
      <c r="K202" s="6">
        <v>270.0</v>
      </c>
      <c r="L202" s="6">
        <v>67.0</v>
      </c>
      <c r="M202" s="5" t="s">
        <v>57</v>
      </c>
      <c r="N202" s="5" t="s">
        <v>96</v>
      </c>
      <c r="O202" s="6" t="s">
        <v>40</v>
      </c>
      <c r="P202" s="5" t="s">
        <v>59</v>
      </c>
      <c r="Q202" s="5" t="s">
        <v>60</v>
      </c>
      <c r="R202" s="6" t="s">
        <v>42</v>
      </c>
      <c r="S202" s="5" t="s">
        <v>159</v>
      </c>
      <c r="T202" s="5" t="s">
        <v>62</v>
      </c>
      <c r="U202" s="5" t="s">
        <v>44</v>
      </c>
      <c r="V202" s="5" t="s">
        <v>44</v>
      </c>
      <c r="W202" s="5" t="s">
        <v>36</v>
      </c>
      <c r="X202" s="5" t="s">
        <v>521</v>
      </c>
      <c r="Y202" s="5" t="s">
        <v>46</v>
      </c>
      <c r="Z202" s="5" t="s">
        <v>47</v>
      </c>
      <c r="AA202" s="5" t="s">
        <v>64</v>
      </c>
      <c r="AB202" s="5" t="s">
        <v>1043</v>
      </c>
      <c r="AC202" s="6" t="s">
        <v>56</v>
      </c>
      <c r="AD202" s="6">
        <v>918.0</v>
      </c>
    </row>
    <row r="203" ht="56.25" customHeight="1">
      <c r="A203" s="5" t="s">
        <v>1035</v>
      </c>
      <c r="B203" s="6" t="str">
        <f>IMAGE("https://storage.googleapis.com/acdb/miscellaneous/FtrCoffeecup_Remake_2_0.png")</f>
        <v/>
      </c>
      <c r="C203" s="5" t="s">
        <v>1044</v>
      </c>
      <c r="D203" s="5" t="s">
        <v>34</v>
      </c>
      <c r="E203" s="5" t="s">
        <v>34</v>
      </c>
      <c r="F203" s="5" t="s">
        <v>34</v>
      </c>
      <c r="G203" s="5" t="s">
        <v>36</v>
      </c>
      <c r="H203" s="5" t="s">
        <v>36</v>
      </c>
      <c r="I203" s="5" t="s">
        <v>36</v>
      </c>
      <c r="J203" s="6" t="s">
        <v>34</v>
      </c>
      <c r="K203" s="6">
        <v>270.0</v>
      </c>
      <c r="L203" s="6">
        <v>67.0</v>
      </c>
      <c r="M203" s="5" t="s">
        <v>114</v>
      </c>
      <c r="N203" s="5" t="s">
        <v>114</v>
      </c>
      <c r="O203" s="6" t="s">
        <v>40</v>
      </c>
      <c r="P203" s="5" t="s">
        <v>59</v>
      </c>
      <c r="Q203" s="5" t="s">
        <v>60</v>
      </c>
      <c r="R203" s="6" t="s">
        <v>42</v>
      </c>
      <c r="S203" s="5" t="s">
        <v>159</v>
      </c>
      <c r="T203" s="5" t="s">
        <v>62</v>
      </c>
      <c r="U203" s="5" t="s">
        <v>44</v>
      </c>
      <c r="V203" s="5" t="s">
        <v>44</v>
      </c>
      <c r="W203" s="5" t="s">
        <v>36</v>
      </c>
      <c r="X203" s="5" t="s">
        <v>521</v>
      </c>
      <c r="Y203" s="5" t="s">
        <v>46</v>
      </c>
      <c r="Z203" s="5" t="s">
        <v>47</v>
      </c>
      <c r="AA203" s="5" t="s">
        <v>64</v>
      </c>
      <c r="AB203" s="5" t="s">
        <v>1047</v>
      </c>
      <c r="AC203" s="6" t="s">
        <v>67</v>
      </c>
      <c r="AD203" s="6">
        <v>918.0</v>
      </c>
    </row>
    <row r="204" ht="56.25" customHeight="1">
      <c r="A204" s="5" t="s">
        <v>1035</v>
      </c>
      <c r="B204" s="6" t="str">
        <f>IMAGE("https://storage.googleapis.com/acdb/miscellaneous/FtrCoffeecup_Remake_3_0.png")</f>
        <v/>
      </c>
      <c r="C204" s="5" t="s">
        <v>1049</v>
      </c>
      <c r="D204" s="5" t="s">
        <v>34</v>
      </c>
      <c r="E204" s="5" t="s">
        <v>34</v>
      </c>
      <c r="F204" s="5" t="s">
        <v>34</v>
      </c>
      <c r="G204" s="5" t="s">
        <v>36</v>
      </c>
      <c r="H204" s="5" t="s">
        <v>36</v>
      </c>
      <c r="I204" s="5" t="s">
        <v>36</v>
      </c>
      <c r="J204" s="6" t="s">
        <v>34</v>
      </c>
      <c r="K204" s="6">
        <v>270.0</v>
      </c>
      <c r="L204" s="6">
        <v>67.0</v>
      </c>
      <c r="M204" s="5" t="s">
        <v>69</v>
      </c>
      <c r="N204" s="5" t="s">
        <v>69</v>
      </c>
      <c r="O204" s="6" t="s">
        <v>40</v>
      </c>
      <c r="P204" s="5" t="s">
        <v>59</v>
      </c>
      <c r="Q204" s="5" t="s">
        <v>60</v>
      </c>
      <c r="R204" s="6" t="s">
        <v>42</v>
      </c>
      <c r="S204" s="5" t="s">
        <v>159</v>
      </c>
      <c r="T204" s="5" t="s">
        <v>62</v>
      </c>
      <c r="U204" s="5" t="s">
        <v>44</v>
      </c>
      <c r="V204" s="5" t="s">
        <v>44</v>
      </c>
      <c r="W204" s="5" t="s">
        <v>36</v>
      </c>
      <c r="X204" s="5" t="s">
        <v>521</v>
      </c>
      <c r="Y204" s="5" t="s">
        <v>46</v>
      </c>
      <c r="Z204" s="5" t="s">
        <v>47</v>
      </c>
      <c r="AA204" s="5" t="s">
        <v>64</v>
      </c>
      <c r="AB204" s="5" t="s">
        <v>1053</v>
      </c>
      <c r="AC204" s="6" t="s">
        <v>71</v>
      </c>
      <c r="AD204" s="6">
        <v>918.0</v>
      </c>
    </row>
    <row r="205" ht="56.25" customHeight="1">
      <c r="A205" s="5" t="s">
        <v>1035</v>
      </c>
      <c r="B205" s="6" t="str">
        <f>IMAGE("https://storage.googleapis.com/acdb/miscellaneous/FtrCoffeecup_Remake_4_0.png")</f>
        <v/>
      </c>
      <c r="C205" s="5" t="s">
        <v>1054</v>
      </c>
      <c r="D205" s="5" t="s">
        <v>34</v>
      </c>
      <c r="E205" s="5" t="s">
        <v>34</v>
      </c>
      <c r="F205" s="5" t="s">
        <v>34</v>
      </c>
      <c r="G205" s="5" t="s">
        <v>36</v>
      </c>
      <c r="H205" s="5" t="s">
        <v>36</v>
      </c>
      <c r="I205" s="5" t="s">
        <v>36</v>
      </c>
      <c r="J205" s="6" t="s">
        <v>34</v>
      </c>
      <c r="K205" s="6">
        <v>270.0</v>
      </c>
      <c r="L205" s="6">
        <v>67.0</v>
      </c>
      <c r="M205" s="5" t="s">
        <v>68</v>
      </c>
      <c r="N205" s="5" t="s">
        <v>114</v>
      </c>
      <c r="O205" s="6" t="s">
        <v>40</v>
      </c>
      <c r="P205" s="5" t="s">
        <v>59</v>
      </c>
      <c r="Q205" s="5" t="s">
        <v>60</v>
      </c>
      <c r="R205" s="6" t="s">
        <v>42</v>
      </c>
      <c r="S205" s="5" t="s">
        <v>159</v>
      </c>
      <c r="T205" s="5" t="s">
        <v>62</v>
      </c>
      <c r="U205" s="5" t="s">
        <v>44</v>
      </c>
      <c r="V205" s="5" t="s">
        <v>44</v>
      </c>
      <c r="W205" s="5" t="s">
        <v>36</v>
      </c>
      <c r="X205" s="5" t="s">
        <v>521</v>
      </c>
      <c r="Y205" s="5" t="s">
        <v>46</v>
      </c>
      <c r="Z205" s="5" t="s">
        <v>47</v>
      </c>
      <c r="AA205" s="5" t="s">
        <v>64</v>
      </c>
      <c r="AB205" s="5" t="s">
        <v>1058</v>
      </c>
      <c r="AC205" s="6" t="s">
        <v>75</v>
      </c>
      <c r="AD205" s="6">
        <v>918.0</v>
      </c>
    </row>
    <row r="206" ht="56.25" customHeight="1">
      <c r="A206" s="5" t="s">
        <v>1035</v>
      </c>
      <c r="B206" s="6" t="str">
        <f>IMAGE("https://storage.googleapis.com/acdb/miscellaneous/FtrCoffeecup_Remake_5_0.png")</f>
        <v/>
      </c>
      <c r="C206" s="5" t="s">
        <v>1059</v>
      </c>
      <c r="D206" s="5" t="s">
        <v>34</v>
      </c>
      <c r="E206" s="5" t="s">
        <v>34</v>
      </c>
      <c r="F206" s="5" t="s">
        <v>34</v>
      </c>
      <c r="G206" s="5" t="s">
        <v>36</v>
      </c>
      <c r="H206" s="5" t="s">
        <v>36</v>
      </c>
      <c r="I206" s="5" t="s">
        <v>36</v>
      </c>
      <c r="J206" s="6" t="s">
        <v>34</v>
      </c>
      <c r="K206" s="6">
        <v>270.0</v>
      </c>
      <c r="L206" s="6">
        <v>67.0</v>
      </c>
      <c r="M206" s="5" t="s">
        <v>57</v>
      </c>
      <c r="N206" s="5" t="s">
        <v>39</v>
      </c>
      <c r="O206" s="6" t="s">
        <v>40</v>
      </c>
      <c r="P206" s="5" t="s">
        <v>59</v>
      </c>
      <c r="Q206" s="5" t="s">
        <v>60</v>
      </c>
      <c r="R206" s="6" t="s">
        <v>42</v>
      </c>
      <c r="S206" s="5" t="s">
        <v>159</v>
      </c>
      <c r="T206" s="5" t="s">
        <v>62</v>
      </c>
      <c r="U206" s="5" t="s">
        <v>44</v>
      </c>
      <c r="V206" s="5" t="s">
        <v>44</v>
      </c>
      <c r="W206" s="5" t="s">
        <v>36</v>
      </c>
      <c r="X206" s="5" t="s">
        <v>521</v>
      </c>
      <c r="Y206" s="5" t="s">
        <v>46</v>
      </c>
      <c r="Z206" s="5" t="s">
        <v>47</v>
      </c>
      <c r="AA206" s="5" t="s">
        <v>64</v>
      </c>
      <c r="AB206" s="5" t="s">
        <v>1061</v>
      </c>
      <c r="AC206" s="6" t="s">
        <v>79</v>
      </c>
      <c r="AD206" s="6">
        <v>918.0</v>
      </c>
    </row>
    <row r="207" ht="56.25" customHeight="1">
      <c r="A207" s="5" t="s">
        <v>1062</v>
      </c>
      <c r="B207" s="16" t="str">
        <f>IMAGE("https://storage.googleapis.com/acdb/miscellaneous/FtrCoffeemill.png")</f>
        <v/>
      </c>
      <c r="C207" s="5" t="s">
        <v>34</v>
      </c>
      <c r="D207" s="5" t="s">
        <v>34</v>
      </c>
      <c r="E207" s="5" t="s">
        <v>34</v>
      </c>
      <c r="F207" s="5" t="s">
        <v>34</v>
      </c>
      <c r="G207" s="5" t="s">
        <v>36</v>
      </c>
      <c r="H207" s="5" t="s">
        <v>36</v>
      </c>
      <c r="I207" s="5" t="s">
        <v>36</v>
      </c>
      <c r="J207" s="6" t="s">
        <v>34</v>
      </c>
      <c r="K207" s="6">
        <v>2200.0</v>
      </c>
      <c r="L207" s="6">
        <v>550.0</v>
      </c>
      <c r="M207" s="5" t="s">
        <v>39</v>
      </c>
      <c r="N207" s="5" t="s">
        <v>95</v>
      </c>
      <c r="O207" s="6" t="s">
        <v>40</v>
      </c>
      <c r="P207" s="5" t="s">
        <v>59</v>
      </c>
      <c r="Q207" s="5" t="s">
        <v>60</v>
      </c>
      <c r="R207" s="6" t="s">
        <v>42</v>
      </c>
      <c r="S207" s="5" t="s">
        <v>159</v>
      </c>
      <c r="T207" s="5" t="s">
        <v>62</v>
      </c>
      <c r="U207" s="5" t="s">
        <v>44</v>
      </c>
      <c r="V207" s="5" t="s">
        <v>44</v>
      </c>
      <c r="W207" s="5" t="s">
        <v>35</v>
      </c>
      <c r="X207" s="5" t="s">
        <v>160</v>
      </c>
      <c r="Y207" s="5" t="s">
        <v>46</v>
      </c>
      <c r="Z207" s="5" t="s">
        <v>47</v>
      </c>
      <c r="AA207" s="5" t="s">
        <v>64</v>
      </c>
      <c r="AB207" s="5" t="s">
        <v>1066</v>
      </c>
      <c r="AC207" s="6" t="s">
        <v>34</v>
      </c>
      <c r="AD207" s="6">
        <v>920.0</v>
      </c>
    </row>
    <row r="208" ht="56.25" customHeight="1">
      <c r="A208" s="5" t="s">
        <v>1067</v>
      </c>
      <c r="B208" s="16" t="str">
        <f>IMAGE("https://storage.googleapis.com/acdb/miscellaneous/FtrInsectAosujiagehaToy.png")</f>
        <v/>
      </c>
      <c r="C208" s="5" t="s">
        <v>34</v>
      </c>
      <c r="D208" s="5" t="s">
        <v>34</v>
      </c>
      <c r="E208" s="5" t="s">
        <v>34</v>
      </c>
      <c r="F208" s="5" t="s">
        <v>34</v>
      </c>
      <c r="G208" s="5" t="s">
        <v>36</v>
      </c>
      <c r="H208" s="5" t="s">
        <v>36</v>
      </c>
      <c r="I208" s="5" t="s">
        <v>36</v>
      </c>
      <c r="J208" s="6" t="s">
        <v>34</v>
      </c>
      <c r="K208" s="6" t="s">
        <v>37</v>
      </c>
      <c r="L208" s="6">
        <v>900.0</v>
      </c>
      <c r="M208" s="5" t="s">
        <v>54</v>
      </c>
      <c r="N208" s="5" t="s">
        <v>96</v>
      </c>
      <c r="O208" s="6" t="s">
        <v>40</v>
      </c>
      <c r="P208" s="5" t="s">
        <v>107</v>
      </c>
      <c r="Q208" s="5" t="s">
        <v>108</v>
      </c>
      <c r="R208" s="6" t="s">
        <v>42</v>
      </c>
      <c r="S208" s="5" t="s">
        <v>44</v>
      </c>
      <c r="T208" s="5" t="s">
        <v>44</v>
      </c>
      <c r="U208" s="5" t="s">
        <v>44</v>
      </c>
      <c r="V208" s="5" t="s">
        <v>44</v>
      </c>
      <c r="W208" s="5" t="s">
        <v>36</v>
      </c>
      <c r="X208" s="5" t="s">
        <v>109</v>
      </c>
      <c r="Y208" s="5" t="s">
        <v>46</v>
      </c>
      <c r="Z208" s="5" t="s">
        <v>47</v>
      </c>
      <c r="AA208" s="5" t="s">
        <v>48</v>
      </c>
      <c r="AB208" s="5" t="s">
        <v>1071</v>
      </c>
      <c r="AC208" s="6" t="s">
        <v>34</v>
      </c>
      <c r="AD208" s="6">
        <v>7111.0</v>
      </c>
    </row>
    <row r="209" ht="56.25" customHeight="1">
      <c r="A209" s="5" t="s">
        <v>1072</v>
      </c>
      <c r="B209" s="16" t="str">
        <f>IMAGE("https://storage.googleapis.com/acdb/miscellaneous/FtrInsectMonshirochoToy.png")</f>
        <v/>
      </c>
      <c r="C209" s="5" t="s">
        <v>34</v>
      </c>
      <c r="D209" s="5" t="s">
        <v>34</v>
      </c>
      <c r="E209" s="5" t="s">
        <v>34</v>
      </c>
      <c r="F209" s="5" t="s">
        <v>34</v>
      </c>
      <c r="G209" s="5" t="s">
        <v>36</v>
      </c>
      <c r="H209" s="5" t="s">
        <v>36</v>
      </c>
      <c r="I209" s="5" t="s">
        <v>36</v>
      </c>
      <c r="J209" s="6" t="s">
        <v>34</v>
      </c>
      <c r="K209" s="6" t="s">
        <v>37</v>
      </c>
      <c r="L209" s="6">
        <v>480.0</v>
      </c>
      <c r="M209" s="5" t="s">
        <v>57</v>
      </c>
      <c r="N209" s="5" t="s">
        <v>54</v>
      </c>
      <c r="O209" s="6" t="s">
        <v>40</v>
      </c>
      <c r="P209" s="5" t="s">
        <v>107</v>
      </c>
      <c r="Q209" s="5" t="s">
        <v>108</v>
      </c>
      <c r="R209" s="6" t="s">
        <v>42</v>
      </c>
      <c r="S209" s="5" t="s">
        <v>44</v>
      </c>
      <c r="T209" s="5" t="s">
        <v>44</v>
      </c>
      <c r="U209" s="5" t="s">
        <v>44</v>
      </c>
      <c r="V209" s="5" t="s">
        <v>44</v>
      </c>
      <c r="W209" s="5" t="s">
        <v>36</v>
      </c>
      <c r="X209" s="5" t="s">
        <v>109</v>
      </c>
      <c r="Y209" s="5" t="s">
        <v>46</v>
      </c>
      <c r="Z209" s="5" t="s">
        <v>47</v>
      </c>
      <c r="AA209" s="5" t="s">
        <v>48</v>
      </c>
      <c r="AB209" s="5" t="s">
        <v>1075</v>
      </c>
      <c r="AC209" s="6" t="s">
        <v>34</v>
      </c>
      <c r="AD209" s="6">
        <v>7085.0</v>
      </c>
    </row>
    <row r="210" ht="56.25" customHeight="1">
      <c r="A210" s="5" t="s">
        <v>1076</v>
      </c>
      <c r="B210" s="6" t="str">
        <f>IMAGE("https://storage.googleapis.com/acdb/miscellaneous/FtrCoolerbox_Remake_0_0.png")</f>
        <v/>
      </c>
      <c r="C210" s="5" t="s">
        <v>68</v>
      </c>
      <c r="D210" s="5" t="s">
        <v>34</v>
      </c>
      <c r="E210" s="5" t="s">
        <v>34</v>
      </c>
      <c r="F210" s="5" t="s">
        <v>34</v>
      </c>
      <c r="G210" s="5" t="s">
        <v>36</v>
      </c>
      <c r="H210" s="5" t="s">
        <v>36</v>
      </c>
      <c r="I210" s="5" t="s">
        <v>36</v>
      </c>
      <c r="J210" s="6" t="s">
        <v>34</v>
      </c>
      <c r="K210" s="6">
        <v>1700.0</v>
      </c>
      <c r="L210" s="6">
        <v>425.0</v>
      </c>
      <c r="M210" s="5" t="s">
        <v>68</v>
      </c>
      <c r="N210" s="5" t="s">
        <v>57</v>
      </c>
      <c r="O210" s="6" t="s">
        <v>40</v>
      </c>
      <c r="P210" s="5" t="s">
        <v>59</v>
      </c>
      <c r="Q210" s="5" t="s">
        <v>554</v>
      </c>
      <c r="R210" s="6" t="s">
        <v>42</v>
      </c>
      <c r="S210" s="5" t="s">
        <v>765</v>
      </c>
      <c r="T210" s="5" t="s">
        <v>62</v>
      </c>
      <c r="U210" s="5" t="s">
        <v>44</v>
      </c>
      <c r="V210" s="5" t="s">
        <v>44</v>
      </c>
      <c r="W210" s="5" t="s">
        <v>35</v>
      </c>
      <c r="X210" s="5" t="s">
        <v>160</v>
      </c>
      <c r="Y210" s="5" t="s">
        <v>46</v>
      </c>
      <c r="Z210" s="5" t="s">
        <v>47</v>
      </c>
      <c r="AA210" s="5" t="s">
        <v>64</v>
      </c>
      <c r="AB210" s="5" t="s">
        <v>1078</v>
      </c>
      <c r="AC210" s="6" t="s">
        <v>50</v>
      </c>
      <c r="AD210" s="6">
        <v>3064.0</v>
      </c>
    </row>
    <row r="211" ht="56.25" customHeight="1">
      <c r="A211" s="5" t="s">
        <v>1076</v>
      </c>
      <c r="B211" s="6" t="str">
        <f>IMAGE("https://storage.googleapis.com/acdb/miscellaneous/FtrCoolerbox_Remake_1_0.png")</f>
        <v/>
      </c>
      <c r="C211" s="5" t="s">
        <v>52</v>
      </c>
      <c r="D211" s="5" t="s">
        <v>34</v>
      </c>
      <c r="E211" s="5" t="s">
        <v>34</v>
      </c>
      <c r="F211" s="5" t="s">
        <v>34</v>
      </c>
      <c r="G211" s="5" t="s">
        <v>36</v>
      </c>
      <c r="H211" s="5" t="s">
        <v>36</v>
      </c>
      <c r="I211" s="5" t="s">
        <v>36</v>
      </c>
      <c r="J211" s="6" t="s">
        <v>34</v>
      </c>
      <c r="K211" s="6">
        <v>1700.0</v>
      </c>
      <c r="L211" s="6">
        <v>425.0</v>
      </c>
      <c r="M211" s="5" t="s">
        <v>52</v>
      </c>
      <c r="N211" s="5" t="s">
        <v>57</v>
      </c>
      <c r="O211" s="6" t="s">
        <v>40</v>
      </c>
      <c r="P211" s="5" t="s">
        <v>59</v>
      </c>
      <c r="Q211" s="5" t="s">
        <v>554</v>
      </c>
      <c r="R211" s="6" t="s">
        <v>42</v>
      </c>
      <c r="S211" s="5" t="s">
        <v>765</v>
      </c>
      <c r="T211" s="5" t="s">
        <v>62</v>
      </c>
      <c r="U211" s="5" t="s">
        <v>44</v>
      </c>
      <c r="V211" s="5" t="s">
        <v>44</v>
      </c>
      <c r="W211" s="5" t="s">
        <v>35</v>
      </c>
      <c r="X211" s="5" t="s">
        <v>160</v>
      </c>
      <c r="Y211" s="5" t="s">
        <v>46</v>
      </c>
      <c r="Z211" s="5" t="s">
        <v>47</v>
      </c>
      <c r="AA211" s="5" t="s">
        <v>64</v>
      </c>
      <c r="AB211" s="5" t="s">
        <v>1082</v>
      </c>
      <c r="AC211" s="6" t="s">
        <v>56</v>
      </c>
      <c r="AD211" s="6">
        <v>3064.0</v>
      </c>
    </row>
    <row r="212" ht="56.25" customHeight="1">
      <c r="A212" s="5" t="s">
        <v>1076</v>
      </c>
      <c r="B212" s="6" t="str">
        <f>IMAGE("https://storage.googleapis.com/acdb/miscellaneous/FtrCoolerbox_Remake_2_0.png")</f>
        <v/>
      </c>
      <c r="C212" s="5" t="s">
        <v>114</v>
      </c>
      <c r="D212" s="5" t="s">
        <v>34</v>
      </c>
      <c r="E212" s="5" t="s">
        <v>34</v>
      </c>
      <c r="F212" s="5" t="s">
        <v>34</v>
      </c>
      <c r="G212" s="5" t="s">
        <v>36</v>
      </c>
      <c r="H212" s="5" t="s">
        <v>36</v>
      </c>
      <c r="I212" s="5" t="s">
        <v>36</v>
      </c>
      <c r="J212" s="6" t="s">
        <v>34</v>
      </c>
      <c r="K212" s="6">
        <v>1700.0</v>
      </c>
      <c r="L212" s="6">
        <v>425.0</v>
      </c>
      <c r="M212" s="5" t="s">
        <v>114</v>
      </c>
      <c r="N212" s="5" t="s">
        <v>54</v>
      </c>
      <c r="O212" s="6" t="s">
        <v>40</v>
      </c>
      <c r="P212" s="5" t="s">
        <v>59</v>
      </c>
      <c r="Q212" s="5" t="s">
        <v>554</v>
      </c>
      <c r="R212" s="6" t="s">
        <v>42</v>
      </c>
      <c r="S212" s="5" t="s">
        <v>765</v>
      </c>
      <c r="T212" s="5" t="s">
        <v>62</v>
      </c>
      <c r="U212" s="5" t="s">
        <v>44</v>
      </c>
      <c r="V212" s="5" t="s">
        <v>44</v>
      </c>
      <c r="W212" s="5" t="s">
        <v>35</v>
      </c>
      <c r="X212" s="5" t="s">
        <v>160</v>
      </c>
      <c r="Y212" s="5" t="s">
        <v>46</v>
      </c>
      <c r="Z212" s="5" t="s">
        <v>47</v>
      </c>
      <c r="AA212" s="5" t="s">
        <v>64</v>
      </c>
      <c r="AB212" s="5" t="s">
        <v>1086</v>
      </c>
      <c r="AC212" s="6" t="s">
        <v>67</v>
      </c>
      <c r="AD212" s="6">
        <v>3064.0</v>
      </c>
    </row>
    <row r="213" ht="56.25" customHeight="1">
      <c r="A213" s="5" t="s">
        <v>1076</v>
      </c>
      <c r="B213" s="6" t="str">
        <f>IMAGE("https://storage.googleapis.com/acdb/miscellaneous/FtrCoolerbox_Remake_3_0.png")</f>
        <v/>
      </c>
      <c r="C213" s="5" t="s">
        <v>96</v>
      </c>
      <c r="D213" s="5" t="s">
        <v>34</v>
      </c>
      <c r="E213" s="5" t="s">
        <v>34</v>
      </c>
      <c r="F213" s="5" t="s">
        <v>34</v>
      </c>
      <c r="G213" s="5" t="s">
        <v>36</v>
      </c>
      <c r="H213" s="5" t="s">
        <v>36</v>
      </c>
      <c r="I213" s="5" t="s">
        <v>36</v>
      </c>
      <c r="J213" s="6" t="s">
        <v>34</v>
      </c>
      <c r="K213" s="6">
        <v>1700.0</v>
      </c>
      <c r="L213" s="6">
        <v>425.0</v>
      </c>
      <c r="M213" s="5" t="s">
        <v>96</v>
      </c>
      <c r="N213" s="5" t="s">
        <v>54</v>
      </c>
      <c r="O213" s="6" t="s">
        <v>40</v>
      </c>
      <c r="P213" s="5" t="s">
        <v>59</v>
      </c>
      <c r="Q213" s="5" t="s">
        <v>554</v>
      </c>
      <c r="R213" s="6" t="s">
        <v>42</v>
      </c>
      <c r="S213" s="5" t="s">
        <v>765</v>
      </c>
      <c r="T213" s="5" t="s">
        <v>62</v>
      </c>
      <c r="U213" s="5" t="s">
        <v>44</v>
      </c>
      <c r="V213" s="5" t="s">
        <v>44</v>
      </c>
      <c r="W213" s="5" t="s">
        <v>35</v>
      </c>
      <c r="X213" s="5" t="s">
        <v>160</v>
      </c>
      <c r="Y213" s="5" t="s">
        <v>46</v>
      </c>
      <c r="Z213" s="5" t="s">
        <v>47</v>
      </c>
      <c r="AA213" s="5" t="s">
        <v>64</v>
      </c>
      <c r="AB213" s="5" t="s">
        <v>1089</v>
      </c>
      <c r="AC213" s="6" t="s">
        <v>71</v>
      </c>
      <c r="AD213" s="6">
        <v>3064.0</v>
      </c>
    </row>
    <row r="214" ht="56.25" customHeight="1">
      <c r="A214" s="5" t="s">
        <v>1090</v>
      </c>
      <c r="B214" s="6" t="str">
        <f>IMAGE("https://storage.googleapis.com/acdb/miscellaneous/FtrPhoneCordless_Remake_0_0.png")</f>
        <v/>
      </c>
      <c r="C214" s="5" t="s">
        <v>57</v>
      </c>
      <c r="D214" s="5" t="s">
        <v>34</v>
      </c>
      <c r="E214" s="5" t="s">
        <v>34</v>
      </c>
      <c r="F214" s="5" t="s">
        <v>34</v>
      </c>
      <c r="G214" s="5" t="s">
        <v>36</v>
      </c>
      <c r="H214" s="5" t="s">
        <v>36</v>
      </c>
      <c r="I214" s="5" t="s">
        <v>36</v>
      </c>
      <c r="J214" s="6" t="s">
        <v>34</v>
      </c>
      <c r="K214" s="6">
        <v>1600.0</v>
      </c>
      <c r="L214" s="6">
        <v>400.0</v>
      </c>
      <c r="M214" s="5" t="s">
        <v>57</v>
      </c>
      <c r="N214" s="5" t="s">
        <v>57</v>
      </c>
      <c r="O214" s="6" t="s">
        <v>40</v>
      </c>
      <c r="P214" s="5" t="s">
        <v>59</v>
      </c>
      <c r="Q214" s="5" t="s">
        <v>60</v>
      </c>
      <c r="R214" s="6" t="s">
        <v>42</v>
      </c>
      <c r="S214" s="5" t="s">
        <v>91</v>
      </c>
      <c r="T214" s="5" t="s">
        <v>90</v>
      </c>
      <c r="U214" s="5" t="s">
        <v>44</v>
      </c>
      <c r="V214" s="5" t="s">
        <v>44</v>
      </c>
      <c r="W214" s="5" t="s">
        <v>35</v>
      </c>
      <c r="X214" s="5" t="s">
        <v>182</v>
      </c>
      <c r="Y214" s="5" t="s">
        <v>46</v>
      </c>
      <c r="Z214" s="5" t="s">
        <v>47</v>
      </c>
      <c r="AA214" s="5" t="s">
        <v>64</v>
      </c>
      <c r="AB214" s="5" t="s">
        <v>1093</v>
      </c>
      <c r="AC214" s="6" t="s">
        <v>50</v>
      </c>
      <c r="AD214" s="6">
        <v>4009.0</v>
      </c>
    </row>
    <row r="215" ht="56.25" customHeight="1">
      <c r="A215" s="5" t="s">
        <v>1090</v>
      </c>
      <c r="B215" s="6" t="str">
        <f>IMAGE("https://storage.googleapis.com/acdb/miscellaneous/FtrPhoneCordless_Remake_1_0.png")</f>
        <v/>
      </c>
      <c r="C215" s="5" t="s">
        <v>54</v>
      </c>
      <c r="D215" s="5" t="s">
        <v>34</v>
      </c>
      <c r="E215" s="5" t="s">
        <v>34</v>
      </c>
      <c r="F215" s="5" t="s">
        <v>34</v>
      </c>
      <c r="G215" s="5" t="s">
        <v>36</v>
      </c>
      <c r="H215" s="5" t="s">
        <v>36</v>
      </c>
      <c r="I215" s="5" t="s">
        <v>36</v>
      </c>
      <c r="J215" s="6" t="s">
        <v>34</v>
      </c>
      <c r="K215" s="6">
        <v>1600.0</v>
      </c>
      <c r="L215" s="6">
        <v>400.0</v>
      </c>
      <c r="M215" s="5" t="s">
        <v>54</v>
      </c>
      <c r="N215" s="5" t="s">
        <v>54</v>
      </c>
      <c r="O215" s="6" t="s">
        <v>40</v>
      </c>
      <c r="P215" s="5" t="s">
        <v>59</v>
      </c>
      <c r="Q215" s="5" t="s">
        <v>60</v>
      </c>
      <c r="R215" s="6" t="s">
        <v>42</v>
      </c>
      <c r="S215" s="5" t="s">
        <v>91</v>
      </c>
      <c r="T215" s="5" t="s">
        <v>90</v>
      </c>
      <c r="U215" s="5" t="s">
        <v>44</v>
      </c>
      <c r="V215" s="5" t="s">
        <v>44</v>
      </c>
      <c r="W215" s="5" t="s">
        <v>35</v>
      </c>
      <c r="X215" s="5" t="s">
        <v>182</v>
      </c>
      <c r="Y215" s="5" t="s">
        <v>46</v>
      </c>
      <c r="Z215" s="5" t="s">
        <v>47</v>
      </c>
      <c r="AA215" s="5" t="s">
        <v>64</v>
      </c>
      <c r="AB215" s="5" t="s">
        <v>1096</v>
      </c>
      <c r="AC215" s="6" t="s">
        <v>56</v>
      </c>
      <c r="AD215" s="6">
        <v>4009.0</v>
      </c>
    </row>
    <row r="216" ht="56.25" customHeight="1">
      <c r="A216" s="5" t="s">
        <v>1090</v>
      </c>
      <c r="B216" s="6" t="str">
        <f>IMAGE("https://storage.googleapis.com/acdb/miscellaneous/FtrPhoneCordless_Remake_2_0.png")</f>
        <v/>
      </c>
      <c r="C216" s="5" t="s">
        <v>146</v>
      </c>
      <c r="D216" s="5" t="s">
        <v>34</v>
      </c>
      <c r="E216" s="5" t="s">
        <v>34</v>
      </c>
      <c r="F216" s="5" t="s">
        <v>34</v>
      </c>
      <c r="G216" s="5" t="s">
        <v>36</v>
      </c>
      <c r="H216" s="5" t="s">
        <v>36</v>
      </c>
      <c r="I216" s="5" t="s">
        <v>36</v>
      </c>
      <c r="J216" s="6" t="s">
        <v>34</v>
      </c>
      <c r="K216" s="6">
        <v>1600.0</v>
      </c>
      <c r="L216" s="6">
        <v>400.0</v>
      </c>
      <c r="M216" s="5" t="s">
        <v>95</v>
      </c>
      <c r="N216" s="5" t="s">
        <v>95</v>
      </c>
      <c r="O216" s="6" t="s">
        <v>40</v>
      </c>
      <c r="P216" s="5" t="s">
        <v>59</v>
      </c>
      <c r="Q216" s="5" t="s">
        <v>60</v>
      </c>
      <c r="R216" s="6" t="s">
        <v>42</v>
      </c>
      <c r="S216" s="5" t="s">
        <v>91</v>
      </c>
      <c r="T216" s="5" t="s">
        <v>90</v>
      </c>
      <c r="U216" s="5" t="s">
        <v>44</v>
      </c>
      <c r="V216" s="5" t="s">
        <v>44</v>
      </c>
      <c r="W216" s="5" t="s">
        <v>35</v>
      </c>
      <c r="X216" s="5" t="s">
        <v>182</v>
      </c>
      <c r="Y216" s="5" t="s">
        <v>46</v>
      </c>
      <c r="Z216" s="5" t="s">
        <v>47</v>
      </c>
      <c r="AA216" s="5" t="s">
        <v>64</v>
      </c>
      <c r="AB216" s="5" t="s">
        <v>1098</v>
      </c>
      <c r="AC216" s="6" t="s">
        <v>67</v>
      </c>
      <c r="AD216" s="6">
        <v>4009.0</v>
      </c>
    </row>
    <row r="217" ht="56.25" customHeight="1">
      <c r="A217" s="5" t="s">
        <v>1090</v>
      </c>
      <c r="B217" s="6" t="str">
        <f>IMAGE("https://storage.googleapis.com/acdb/miscellaneous/FtrPhoneCordless_Remake_3_0.png")</f>
        <v/>
      </c>
      <c r="C217" s="5" t="s">
        <v>52</v>
      </c>
      <c r="D217" s="5" t="s">
        <v>34</v>
      </c>
      <c r="E217" s="5" t="s">
        <v>34</v>
      </c>
      <c r="F217" s="5" t="s">
        <v>34</v>
      </c>
      <c r="G217" s="5" t="s">
        <v>36</v>
      </c>
      <c r="H217" s="5" t="s">
        <v>36</v>
      </c>
      <c r="I217" s="5" t="s">
        <v>36</v>
      </c>
      <c r="J217" s="6" t="s">
        <v>34</v>
      </c>
      <c r="K217" s="6">
        <v>1600.0</v>
      </c>
      <c r="L217" s="6">
        <v>400.0</v>
      </c>
      <c r="M217" s="5" t="s">
        <v>52</v>
      </c>
      <c r="N217" s="5" t="s">
        <v>52</v>
      </c>
      <c r="O217" s="6" t="s">
        <v>40</v>
      </c>
      <c r="P217" s="5" t="s">
        <v>59</v>
      </c>
      <c r="Q217" s="5" t="s">
        <v>60</v>
      </c>
      <c r="R217" s="6" t="s">
        <v>42</v>
      </c>
      <c r="S217" s="5" t="s">
        <v>91</v>
      </c>
      <c r="T217" s="5" t="s">
        <v>90</v>
      </c>
      <c r="U217" s="5" t="s">
        <v>44</v>
      </c>
      <c r="V217" s="5" t="s">
        <v>44</v>
      </c>
      <c r="W217" s="5" t="s">
        <v>35</v>
      </c>
      <c r="X217" s="5" t="s">
        <v>182</v>
      </c>
      <c r="Y217" s="5" t="s">
        <v>46</v>
      </c>
      <c r="Z217" s="5" t="s">
        <v>47</v>
      </c>
      <c r="AA217" s="5" t="s">
        <v>64</v>
      </c>
      <c r="AB217" s="5" t="s">
        <v>1101</v>
      </c>
      <c r="AC217" s="6" t="s">
        <v>71</v>
      </c>
      <c r="AD217" s="6">
        <v>4009.0</v>
      </c>
    </row>
    <row r="218" ht="56.25" customHeight="1">
      <c r="A218" s="5" t="s">
        <v>1090</v>
      </c>
      <c r="B218" s="6" t="str">
        <f>IMAGE("https://storage.googleapis.com/acdb/miscellaneous/FtrPhoneCordless_Remake_4_0.png")</f>
        <v/>
      </c>
      <c r="C218" s="5" t="s">
        <v>83</v>
      </c>
      <c r="D218" s="5" t="s">
        <v>34</v>
      </c>
      <c r="E218" s="5" t="s">
        <v>34</v>
      </c>
      <c r="F218" s="5" t="s">
        <v>34</v>
      </c>
      <c r="G218" s="5" t="s">
        <v>36</v>
      </c>
      <c r="H218" s="5" t="s">
        <v>36</v>
      </c>
      <c r="I218" s="5" t="s">
        <v>36</v>
      </c>
      <c r="J218" s="6" t="s">
        <v>34</v>
      </c>
      <c r="K218" s="6">
        <v>1600.0</v>
      </c>
      <c r="L218" s="6">
        <v>400.0</v>
      </c>
      <c r="M218" s="5" t="s">
        <v>83</v>
      </c>
      <c r="N218" s="5" t="s">
        <v>83</v>
      </c>
      <c r="O218" s="6" t="s">
        <v>40</v>
      </c>
      <c r="P218" s="5" t="s">
        <v>59</v>
      </c>
      <c r="Q218" s="5" t="s">
        <v>60</v>
      </c>
      <c r="R218" s="6" t="s">
        <v>42</v>
      </c>
      <c r="S218" s="5" t="s">
        <v>91</v>
      </c>
      <c r="T218" s="5" t="s">
        <v>90</v>
      </c>
      <c r="U218" s="5" t="s">
        <v>44</v>
      </c>
      <c r="V218" s="5" t="s">
        <v>44</v>
      </c>
      <c r="W218" s="5" t="s">
        <v>35</v>
      </c>
      <c r="X218" s="5" t="s">
        <v>182</v>
      </c>
      <c r="Y218" s="5" t="s">
        <v>46</v>
      </c>
      <c r="Z218" s="5" t="s">
        <v>47</v>
      </c>
      <c r="AA218" s="5" t="s">
        <v>64</v>
      </c>
      <c r="AB218" s="5" t="s">
        <v>1104</v>
      </c>
      <c r="AC218" s="6" t="s">
        <v>75</v>
      </c>
      <c r="AD218" s="6">
        <v>4009.0</v>
      </c>
    </row>
    <row r="219" ht="56.25" customHeight="1">
      <c r="A219" s="5" t="s">
        <v>1090</v>
      </c>
      <c r="B219" s="6" t="str">
        <f>IMAGE("https://storage.googleapis.com/acdb/miscellaneous/FtrPhoneCordless_Remake_5_0.png")</f>
        <v/>
      </c>
      <c r="C219" s="5" t="s">
        <v>69</v>
      </c>
      <c r="D219" s="5" t="s">
        <v>34</v>
      </c>
      <c r="E219" s="5" t="s">
        <v>34</v>
      </c>
      <c r="F219" s="5" t="s">
        <v>34</v>
      </c>
      <c r="G219" s="5" t="s">
        <v>36</v>
      </c>
      <c r="H219" s="5" t="s">
        <v>36</v>
      </c>
      <c r="I219" s="5" t="s">
        <v>36</v>
      </c>
      <c r="J219" s="6" t="s">
        <v>34</v>
      </c>
      <c r="K219" s="6">
        <v>1600.0</v>
      </c>
      <c r="L219" s="6">
        <v>400.0</v>
      </c>
      <c r="M219" s="5" t="s">
        <v>69</v>
      </c>
      <c r="N219" s="5" t="s">
        <v>69</v>
      </c>
      <c r="O219" s="6" t="s">
        <v>40</v>
      </c>
      <c r="P219" s="5" t="s">
        <v>59</v>
      </c>
      <c r="Q219" s="5" t="s">
        <v>60</v>
      </c>
      <c r="R219" s="6" t="s">
        <v>42</v>
      </c>
      <c r="S219" s="5" t="s">
        <v>91</v>
      </c>
      <c r="T219" s="5" t="s">
        <v>90</v>
      </c>
      <c r="U219" s="5" t="s">
        <v>44</v>
      </c>
      <c r="V219" s="5" t="s">
        <v>44</v>
      </c>
      <c r="W219" s="5" t="s">
        <v>35</v>
      </c>
      <c r="X219" s="5" t="s">
        <v>182</v>
      </c>
      <c r="Y219" s="5" t="s">
        <v>46</v>
      </c>
      <c r="Z219" s="5" t="s">
        <v>47</v>
      </c>
      <c r="AA219" s="5" t="s">
        <v>64</v>
      </c>
      <c r="AB219" s="5" t="s">
        <v>1105</v>
      </c>
      <c r="AC219" s="6" t="s">
        <v>79</v>
      </c>
      <c r="AD219" s="6">
        <v>4009.0</v>
      </c>
    </row>
    <row r="220" ht="56.25" customHeight="1">
      <c r="A220" s="5" t="s">
        <v>1090</v>
      </c>
      <c r="B220" s="6" t="str">
        <f>IMAGE("https://storage.googleapis.com/acdb/miscellaneous/FtrPhoneCordless_Remake_6_0.png")</f>
        <v/>
      </c>
      <c r="C220" s="5" t="s">
        <v>114</v>
      </c>
      <c r="D220" s="5" t="s">
        <v>34</v>
      </c>
      <c r="E220" s="5" t="s">
        <v>34</v>
      </c>
      <c r="F220" s="5" t="s">
        <v>34</v>
      </c>
      <c r="G220" s="5" t="s">
        <v>36</v>
      </c>
      <c r="H220" s="5" t="s">
        <v>36</v>
      </c>
      <c r="I220" s="5" t="s">
        <v>36</v>
      </c>
      <c r="J220" s="6" t="s">
        <v>34</v>
      </c>
      <c r="K220" s="6">
        <v>1600.0</v>
      </c>
      <c r="L220" s="6">
        <v>400.0</v>
      </c>
      <c r="M220" s="5" t="s">
        <v>114</v>
      </c>
      <c r="N220" s="5" t="s">
        <v>114</v>
      </c>
      <c r="O220" s="6" t="s">
        <v>40</v>
      </c>
      <c r="P220" s="5" t="s">
        <v>59</v>
      </c>
      <c r="Q220" s="5" t="s">
        <v>60</v>
      </c>
      <c r="R220" s="6" t="s">
        <v>42</v>
      </c>
      <c r="S220" s="5" t="s">
        <v>91</v>
      </c>
      <c r="T220" s="5" t="s">
        <v>90</v>
      </c>
      <c r="U220" s="5" t="s">
        <v>44</v>
      </c>
      <c r="V220" s="5" t="s">
        <v>44</v>
      </c>
      <c r="W220" s="5" t="s">
        <v>35</v>
      </c>
      <c r="X220" s="5" t="s">
        <v>182</v>
      </c>
      <c r="Y220" s="5" t="s">
        <v>46</v>
      </c>
      <c r="Z220" s="5" t="s">
        <v>47</v>
      </c>
      <c r="AA220" s="5" t="s">
        <v>64</v>
      </c>
      <c r="AB220" s="5" t="s">
        <v>1109</v>
      </c>
      <c r="AC220" s="6" t="s">
        <v>86</v>
      </c>
      <c r="AD220" s="6">
        <v>4009.0</v>
      </c>
    </row>
    <row r="221" ht="56.25" customHeight="1">
      <c r="A221" s="5" t="s">
        <v>1110</v>
      </c>
      <c r="B221" s="16" t="str">
        <f>IMAGE("https://storage.googleapis.com/acdb/miscellaneous/FtrFishZariganiToy.png")</f>
        <v/>
      </c>
      <c r="C221" s="5" t="s">
        <v>34</v>
      </c>
      <c r="D221" s="5" t="s">
        <v>34</v>
      </c>
      <c r="E221" s="5" t="s">
        <v>34</v>
      </c>
      <c r="F221" s="5" t="s">
        <v>34</v>
      </c>
      <c r="G221" s="5" t="s">
        <v>36</v>
      </c>
      <c r="H221" s="5" t="s">
        <v>36</v>
      </c>
      <c r="I221" s="5" t="s">
        <v>36</v>
      </c>
      <c r="J221" s="6" t="s">
        <v>34</v>
      </c>
      <c r="K221" s="6" t="s">
        <v>37</v>
      </c>
      <c r="L221" s="6">
        <v>600.0</v>
      </c>
      <c r="M221" s="5" t="s">
        <v>52</v>
      </c>
      <c r="N221" s="5" t="s">
        <v>54</v>
      </c>
      <c r="O221" s="6" t="s">
        <v>40</v>
      </c>
      <c r="P221" s="5" t="s">
        <v>213</v>
      </c>
      <c r="Q221" s="5" t="s">
        <v>215</v>
      </c>
      <c r="R221" s="6" t="s">
        <v>42</v>
      </c>
      <c r="S221" s="5" t="s">
        <v>44</v>
      </c>
      <c r="T221" s="5" t="s">
        <v>44</v>
      </c>
      <c r="U221" s="5" t="s">
        <v>44</v>
      </c>
      <c r="V221" s="5" t="s">
        <v>44</v>
      </c>
      <c r="W221" s="5" t="s">
        <v>36</v>
      </c>
      <c r="X221" s="5" t="s">
        <v>219</v>
      </c>
      <c r="Y221" s="5" t="s">
        <v>46</v>
      </c>
      <c r="Z221" s="5" t="s">
        <v>47</v>
      </c>
      <c r="AA221" s="5" t="s">
        <v>48</v>
      </c>
      <c r="AB221" s="5" t="s">
        <v>1112</v>
      </c>
      <c r="AC221" s="6" t="s">
        <v>34</v>
      </c>
      <c r="AD221" s="6">
        <v>7029.0</v>
      </c>
    </row>
    <row r="222" ht="56.25" customHeight="1">
      <c r="A222" s="5" t="s">
        <v>1113</v>
      </c>
      <c r="B222" s="6" t="str">
        <f>IMAGE("https://storage.googleapis.com/acdb/miscellaneous/FtrSugermilk_Remake_0_0.png")</f>
        <v/>
      </c>
      <c r="C222" s="5" t="s">
        <v>39</v>
      </c>
      <c r="D222" s="5" t="s">
        <v>34</v>
      </c>
      <c r="E222" s="5" t="s">
        <v>34</v>
      </c>
      <c r="F222" s="5" t="s">
        <v>34</v>
      </c>
      <c r="G222" s="5" t="s">
        <v>36</v>
      </c>
      <c r="H222" s="5" t="s">
        <v>36</v>
      </c>
      <c r="I222" s="5" t="s">
        <v>36</v>
      </c>
      <c r="J222" s="6" t="s">
        <v>34</v>
      </c>
      <c r="K222" s="6">
        <v>500.0</v>
      </c>
      <c r="L222" s="6">
        <v>125.0</v>
      </c>
      <c r="M222" s="5" t="s">
        <v>142</v>
      </c>
      <c r="N222" s="5" t="s">
        <v>95</v>
      </c>
      <c r="O222" s="6" t="s">
        <v>40</v>
      </c>
      <c r="P222" s="5" t="s">
        <v>59</v>
      </c>
      <c r="Q222" s="5" t="s">
        <v>60</v>
      </c>
      <c r="R222" s="6" t="s">
        <v>42</v>
      </c>
      <c r="S222" s="5" t="s">
        <v>159</v>
      </c>
      <c r="T222" s="5" t="s">
        <v>62</v>
      </c>
      <c r="U222" s="5" t="s">
        <v>44</v>
      </c>
      <c r="V222" s="5" t="s">
        <v>44</v>
      </c>
      <c r="W222" s="5" t="s">
        <v>36</v>
      </c>
      <c r="X222" s="5" t="s">
        <v>521</v>
      </c>
      <c r="Y222" s="5" t="s">
        <v>46</v>
      </c>
      <c r="Z222" s="5" t="s">
        <v>47</v>
      </c>
      <c r="AA222" s="5" t="s">
        <v>64</v>
      </c>
      <c r="AB222" s="5" t="s">
        <v>1117</v>
      </c>
      <c r="AC222" s="6" t="s">
        <v>50</v>
      </c>
      <c r="AD222" s="6">
        <v>1161.0</v>
      </c>
    </row>
    <row r="223" ht="56.25" customHeight="1">
      <c r="A223" s="5" t="s">
        <v>1113</v>
      </c>
      <c r="B223" s="6" t="str">
        <f>IMAGE("https://storage.googleapis.com/acdb/miscellaneous/FtrSugermilk_Remake_1_0.png")</f>
        <v/>
      </c>
      <c r="C223" s="5" t="s">
        <v>146</v>
      </c>
      <c r="D223" s="5" t="s">
        <v>34</v>
      </c>
      <c r="E223" s="5" t="s">
        <v>34</v>
      </c>
      <c r="F223" s="5" t="s">
        <v>34</v>
      </c>
      <c r="G223" s="5" t="s">
        <v>36</v>
      </c>
      <c r="H223" s="5" t="s">
        <v>36</v>
      </c>
      <c r="I223" s="5" t="s">
        <v>36</v>
      </c>
      <c r="J223" s="6" t="s">
        <v>34</v>
      </c>
      <c r="K223" s="6">
        <v>500.0</v>
      </c>
      <c r="L223" s="6">
        <v>125.0</v>
      </c>
      <c r="M223" s="5" t="s">
        <v>95</v>
      </c>
      <c r="N223" s="5" t="s">
        <v>95</v>
      </c>
      <c r="O223" s="6" t="s">
        <v>40</v>
      </c>
      <c r="P223" s="5" t="s">
        <v>59</v>
      </c>
      <c r="Q223" s="5" t="s">
        <v>60</v>
      </c>
      <c r="R223" s="6" t="s">
        <v>42</v>
      </c>
      <c r="S223" s="5" t="s">
        <v>159</v>
      </c>
      <c r="T223" s="5" t="s">
        <v>62</v>
      </c>
      <c r="U223" s="5" t="s">
        <v>44</v>
      </c>
      <c r="V223" s="5" t="s">
        <v>44</v>
      </c>
      <c r="W223" s="5" t="s">
        <v>36</v>
      </c>
      <c r="X223" s="5" t="s">
        <v>521</v>
      </c>
      <c r="Y223" s="5" t="s">
        <v>46</v>
      </c>
      <c r="Z223" s="5" t="s">
        <v>47</v>
      </c>
      <c r="AA223" s="5" t="s">
        <v>64</v>
      </c>
      <c r="AB223" s="5" t="s">
        <v>1120</v>
      </c>
      <c r="AC223" s="6" t="s">
        <v>56</v>
      </c>
      <c r="AD223" s="6">
        <v>1161.0</v>
      </c>
    </row>
    <row r="224" ht="56.25" customHeight="1">
      <c r="A224" s="5" t="s">
        <v>1113</v>
      </c>
      <c r="B224" s="6" t="str">
        <f>IMAGE("https://storage.googleapis.com/acdb/miscellaneous/FtrSugermilk_Remake_2_0.png")</f>
        <v/>
      </c>
      <c r="C224" s="5" t="s">
        <v>57</v>
      </c>
      <c r="D224" s="5" t="s">
        <v>34</v>
      </c>
      <c r="E224" s="5" t="s">
        <v>34</v>
      </c>
      <c r="F224" s="5" t="s">
        <v>34</v>
      </c>
      <c r="G224" s="5" t="s">
        <v>36</v>
      </c>
      <c r="H224" s="5" t="s">
        <v>36</v>
      </c>
      <c r="I224" s="5" t="s">
        <v>36</v>
      </c>
      <c r="J224" s="6" t="s">
        <v>34</v>
      </c>
      <c r="K224" s="6">
        <v>500.0</v>
      </c>
      <c r="L224" s="6">
        <v>125.0</v>
      </c>
      <c r="M224" s="5" t="s">
        <v>57</v>
      </c>
      <c r="N224" s="5" t="s">
        <v>95</v>
      </c>
      <c r="O224" s="6" t="s">
        <v>40</v>
      </c>
      <c r="P224" s="5" t="s">
        <v>59</v>
      </c>
      <c r="Q224" s="5" t="s">
        <v>60</v>
      </c>
      <c r="R224" s="6" t="s">
        <v>42</v>
      </c>
      <c r="S224" s="5" t="s">
        <v>159</v>
      </c>
      <c r="T224" s="5" t="s">
        <v>62</v>
      </c>
      <c r="U224" s="5" t="s">
        <v>44</v>
      </c>
      <c r="V224" s="5" t="s">
        <v>44</v>
      </c>
      <c r="W224" s="5" t="s">
        <v>36</v>
      </c>
      <c r="X224" s="5" t="s">
        <v>521</v>
      </c>
      <c r="Y224" s="5" t="s">
        <v>46</v>
      </c>
      <c r="Z224" s="5" t="s">
        <v>47</v>
      </c>
      <c r="AA224" s="5" t="s">
        <v>64</v>
      </c>
      <c r="AB224" s="5" t="s">
        <v>1124</v>
      </c>
      <c r="AC224" s="6" t="s">
        <v>67</v>
      </c>
      <c r="AD224" s="6">
        <v>1161.0</v>
      </c>
    </row>
    <row r="225" ht="56.25" customHeight="1">
      <c r="A225" s="5" t="s">
        <v>1113</v>
      </c>
      <c r="B225" s="6" t="str">
        <f>IMAGE("https://storage.googleapis.com/acdb/miscellaneous/FtrSugermilk_Remake_3_0.png")</f>
        <v/>
      </c>
      <c r="C225" s="5" t="s">
        <v>400</v>
      </c>
      <c r="D225" s="5" t="s">
        <v>34</v>
      </c>
      <c r="E225" s="5" t="s">
        <v>34</v>
      </c>
      <c r="F225" s="5" t="s">
        <v>34</v>
      </c>
      <c r="G225" s="5" t="s">
        <v>36</v>
      </c>
      <c r="H225" s="5" t="s">
        <v>36</v>
      </c>
      <c r="I225" s="5" t="s">
        <v>36</v>
      </c>
      <c r="J225" s="6" t="s">
        <v>34</v>
      </c>
      <c r="K225" s="6">
        <v>500.0</v>
      </c>
      <c r="L225" s="6">
        <v>125.0</v>
      </c>
      <c r="M225" s="5" t="s">
        <v>57</v>
      </c>
      <c r="N225" s="5" t="s">
        <v>95</v>
      </c>
      <c r="O225" s="6" t="s">
        <v>40</v>
      </c>
      <c r="P225" s="5" t="s">
        <v>59</v>
      </c>
      <c r="Q225" s="5" t="s">
        <v>60</v>
      </c>
      <c r="R225" s="6" t="s">
        <v>42</v>
      </c>
      <c r="S225" s="5" t="s">
        <v>159</v>
      </c>
      <c r="T225" s="5" t="s">
        <v>62</v>
      </c>
      <c r="U225" s="5" t="s">
        <v>44</v>
      </c>
      <c r="V225" s="5" t="s">
        <v>44</v>
      </c>
      <c r="W225" s="5" t="s">
        <v>36</v>
      </c>
      <c r="X225" s="5" t="s">
        <v>521</v>
      </c>
      <c r="Y225" s="5" t="s">
        <v>46</v>
      </c>
      <c r="Z225" s="5" t="s">
        <v>47</v>
      </c>
      <c r="AA225" s="5" t="s">
        <v>64</v>
      </c>
      <c r="AB225" s="5" t="s">
        <v>1126</v>
      </c>
      <c r="AC225" s="6" t="s">
        <v>71</v>
      </c>
      <c r="AD225" s="6">
        <v>1161.0</v>
      </c>
    </row>
    <row r="226" ht="56.25" customHeight="1">
      <c r="A226" s="5" t="s">
        <v>1127</v>
      </c>
      <c r="B226" s="16" t="str">
        <f>IMAGE("https://storage.googleapis.com/acdb/miscellaneous/FtrInsectKohrogiToy.png")</f>
        <v/>
      </c>
      <c r="C226" s="5" t="s">
        <v>34</v>
      </c>
      <c r="D226" s="5" t="s">
        <v>34</v>
      </c>
      <c r="E226" s="5" t="s">
        <v>34</v>
      </c>
      <c r="F226" s="5" t="s">
        <v>34</v>
      </c>
      <c r="G226" s="5" t="s">
        <v>36</v>
      </c>
      <c r="H226" s="5" t="s">
        <v>36</v>
      </c>
      <c r="I226" s="5" t="s">
        <v>36</v>
      </c>
      <c r="J226" s="6" t="s">
        <v>34</v>
      </c>
      <c r="K226" s="6" t="s">
        <v>37</v>
      </c>
      <c r="L226" s="6">
        <v>390.0</v>
      </c>
      <c r="M226" s="5" t="s">
        <v>39</v>
      </c>
      <c r="N226" s="5" t="s">
        <v>39</v>
      </c>
      <c r="O226" s="6" t="s">
        <v>40</v>
      </c>
      <c r="P226" s="5" t="s">
        <v>107</v>
      </c>
      <c r="Q226" s="5" t="s">
        <v>108</v>
      </c>
      <c r="R226" s="6" t="s">
        <v>42</v>
      </c>
      <c r="S226" s="5" t="s">
        <v>44</v>
      </c>
      <c r="T226" s="5" t="s">
        <v>44</v>
      </c>
      <c r="U226" s="5" t="s">
        <v>44</v>
      </c>
      <c r="V226" s="5" t="s">
        <v>44</v>
      </c>
      <c r="W226" s="5" t="s">
        <v>36</v>
      </c>
      <c r="X226" s="5" t="s">
        <v>109</v>
      </c>
      <c r="Y226" s="5" t="s">
        <v>46</v>
      </c>
      <c r="Z226" s="5" t="s">
        <v>47</v>
      </c>
      <c r="AA226" s="5" t="s">
        <v>48</v>
      </c>
      <c r="AB226" s="5" t="s">
        <v>1133</v>
      </c>
      <c r="AC226" s="6" t="s">
        <v>34</v>
      </c>
      <c r="AD226" s="6">
        <v>7077.0</v>
      </c>
    </row>
    <row r="227" ht="56.25" customHeight="1">
      <c r="A227" s="5" t="s">
        <v>1134</v>
      </c>
      <c r="B227" s="16" t="str">
        <f>IMAGE("https://storage.googleapis.com/acdb/miscellaneous/FtrFishFunaToy.png")</f>
        <v/>
      </c>
      <c r="C227" s="5" t="s">
        <v>34</v>
      </c>
      <c r="D227" s="5" t="s">
        <v>34</v>
      </c>
      <c r="E227" s="5" t="s">
        <v>34</v>
      </c>
      <c r="F227" s="5" t="s">
        <v>34</v>
      </c>
      <c r="G227" s="5" t="s">
        <v>36</v>
      </c>
      <c r="H227" s="5" t="s">
        <v>36</v>
      </c>
      <c r="I227" s="5" t="s">
        <v>36</v>
      </c>
      <c r="J227" s="6" t="s">
        <v>34</v>
      </c>
      <c r="K227" s="6" t="s">
        <v>37</v>
      </c>
      <c r="L227" s="6">
        <v>480.0</v>
      </c>
      <c r="M227" s="5" t="s">
        <v>39</v>
      </c>
      <c r="N227" s="5" t="s">
        <v>54</v>
      </c>
      <c r="O227" s="6" t="s">
        <v>40</v>
      </c>
      <c r="P227" s="5" t="s">
        <v>213</v>
      </c>
      <c r="Q227" s="5" t="s">
        <v>215</v>
      </c>
      <c r="R227" s="6" t="s">
        <v>42</v>
      </c>
      <c r="S227" s="5" t="s">
        <v>44</v>
      </c>
      <c r="T227" s="5" t="s">
        <v>44</v>
      </c>
      <c r="U227" s="5" t="s">
        <v>44</v>
      </c>
      <c r="V227" s="5" t="s">
        <v>44</v>
      </c>
      <c r="W227" s="5" t="s">
        <v>36</v>
      </c>
      <c r="X227" s="5" t="s">
        <v>219</v>
      </c>
      <c r="Y227" s="5" t="s">
        <v>46</v>
      </c>
      <c r="Z227" s="5" t="s">
        <v>47</v>
      </c>
      <c r="AA227" s="5" t="s">
        <v>48</v>
      </c>
      <c r="AB227" s="5" t="s">
        <v>1138</v>
      </c>
      <c r="AC227" s="6" t="s">
        <v>34</v>
      </c>
      <c r="AD227" s="6">
        <v>6929.0</v>
      </c>
    </row>
    <row r="228" ht="56.25" customHeight="1">
      <c r="A228" s="5" t="s">
        <v>1140</v>
      </c>
      <c r="B228" s="6" t="str">
        <f>IMAGE("https://storage.googleapis.com/acdb/miscellaneous/FtrCushion_Remake_0_0.png")</f>
        <v/>
      </c>
      <c r="C228" s="5" t="s">
        <v>34</v>
      </c>
      <c r="D228" s="5" t="s">
        <v>34</v>
      </c>
      <c r="E228" s="5" t="s">
        <v>57</v>
      </c>
      <c r="F228" s="5" t="s">
        <v>1143</v>
      </c>
      <c r="G228" s="5" t="s">
        <v>36</v>
      </c>
      <c r="H228" s="5" t="s">
        <v>36</v>
      </c>
      <c r="I228" s="5" t="s">
        <v>35</v>
      </c>
      <c r="J228" s="6">
        <v>1.0</v>
      </c>
      <c r="K228" s="6">
        <v>300.0</v>
      </c>
      <c r="L228" s="6">
        <v>75.0</v>
      </c>
      <c r="M228" s="5" t="s">
        <v>57</v>
      </c>
      <c r="N228" s="5" t="s">
        <v>57</v>
      </c>
      <c r="O228" s="6" t="s">
        <v>40</v>
      </c>
      <c r="P228" s="5" t="s">
        <v>59</v>
      </c>
      <c r="Q228" s="5" t="s">
        <v>60</v>
      </c>
      <c r="R228" s="6" t="s">
        <v>42</v>
      </c>
      <c r="S228" s="5" t="s">
        <v>90</v>
      </c>
      <c r="T228" s="5" t="s">
        <v>99</v>
      </c>
      <c r="U228" s="5" t="s">
        <v>44</v>
      </c>
      <c r="V228" s="5" t="s">
        <v>44</v>
      </c>
      <c r="W228" s="5" t="s">
        <v>35</v>
      </c>
      <c r="X228" s="5" t="s">
        <v>248</v>
      </c>
      <c r="Y228" s="5" t="s">
        <v>46</v>
      </c>
      <c r="Z228" s="5" t="s">
        <v>47</v>
      </c>
      <c r="AA228" s="5" t="s">
        <v>64</v>
      </c>
      <c r="AB228" s="5" t="s">
        <v>1147</v>
      </c>
      <c r="AC228" s="6" t="s">
        <v>50</v>
      </c>
      <c r="AD228" s="6">
        <v>1792.0</v>
      </c>
    </row>
    <row r="229" ht="56.25" customHeight="1">
      <c r="A229" s="5" t="s">
        <v>1140</v>
      </c>
      <c r="B229" s="6" t="str">
        <f>IMAGE("https://storage.googleapis.com/acdb/miscellaneous/FtrCushion_Remake_0_1.png")</f>
        <v/>
      </c>
      <c r="C229" s="5" t="s">
        <v>34</v>
      </c>
      <c r="D229" s="5" t="s">
        <v>34</v>
      </c>
      <c r="E229" s="5" t="s">
        <v>400</v>
      </c>
      <c r="F229" s="5" t="s">
        <v>1143</v>
      </c>
      <c r="G229" s="5" t="s">
        <v>36</v>
      </c>
      <c r="H229" s="5" t="s">
        <v>36</v>
      </c>
      <c r="I229" s="5" t="s">
        <v>35</v>
      </c>
      <c r="J229" s="6">
        <v>1.0</v>
      </c>
      <c r="K229" s="6">
        <v>300.0</v>
      </c>
      <c r="L229" s="6">
        <v>75.0</v>
      </c>
      <c r="M229" s="5" t="s">
        <v>57</v>
      </c>
      <c r="N229" s="5" t="s">
        <v>58</v>
      </c>
      <c r="O229" s="6" t="s">
        <v>40</v>
      </c>
      <c r="P229" s="5" t="s">
        <v>59</v>
      </c>
      <c r="Q229" s="5" t="s">
        <v>60</v>
      </c>
      <c r="R229" s="6" t="s">
        <v>42</v>
      </c>
      <c r="S229" s="5" t="s">
        <v>90</v>
      </c>
      <c r="T229" s="5" t="s">
        <v>99</v>
      </c>
      <c r="U229" s="5" t="s">
        <v>44</v>
      </c>
      <c r="V229" s="5" t="s">
        <v>44</v>
      </c>
      <c r="W229" s="5" t="s">
        <v>35</v>
      </c>
      <c r="X229" s="5" t="s">
        <v>248</v>
      </c>
      <c r="Y229" s="5" t="s">
        <v>46</v>
      </c>
      <c r="Z229" s="5" t="s">
        <v>47</v>
      </c>
      <c r="AA229" s="5" t="s">
        <v>64</v>
      </c>
      <c r="AB229" s="5" t="s">
        <v>1150</v>
      </c>
      <c r="AC229" s="6" t="s">
        <v>217</v>
      </c>
      <c r="AD229" s="6">
        <v>1792.0</v>
      </c>
    </row>
    <row r="230" ht="56.25" customHeight="1">
      <c r="A230" s="5" t="s">
        <v>1140</v>
      </c>
      <c r="B230" s="6" t="str">
        <f>IMAGE("https://storage.googleapis.com/acdb/miscellaneous/FtrCushion_Remake_0_2.png")</f>
        <v/>
      </c>
      <c r="C230" s="5" t="s">
        <v>34</v>
      </c>
      <c r="D230" s="5" t="s">
        <v>34</v>
      </c>
      <c r="E230" s="5" t="s">
        <v>1151</v>
      </c>
      <c r="F230" s="5" t="s">
        <v>1143</v>
      </c>
      <c r="G230" s="5" t="s">
        <v>36</v>
      </c>
      <c r="H230" s="5" t="s">
        <v>36</v>
      </c>
      <c r="I230" s="5" t="s">
        <v>35</v>
      </c>
      <c r="J230" s="6">
        <v>1.0</v>
      </c>
      <c r="K230" s="6">
        <v>300.0</v>
      </c>
      <c r="L230" s="6">
        <v>75.0</v>
      </c>
      <c r="M230" s="5" t="s">
        <v>57</v>
      </c>
      <c r="N230" s="5" t="s">
        <v>96</v>
      </c>
      <c r="O230" s="6" t="s">
        <v>40</v>
      </c>
      <c r="P230" s="5" t="s">
        <v>59</v>
      </c>
      <c r="Q230" s="5" t="s">
        <v>60</v>
      </c>
      <c r="R230" s="6" t="s">
        <v>42</v>
      </c>
      <c r="S230" s="5" t="s">
        <v>90</v>
      </c>
      <c r="T230" s="5" t="s">
        <v>99</v>
      </c>
      <c r="U230" s="5" t="s">
        <v>44</v>
      </c>
      <c r="V230" s="5" t="s">
        <v>44</v>
      </c>
      <c r="W230" s="5" t="s">
        <v>35</v>
      </c>
      <c r="X230" s="5" t="s">
        <v>248</v>
      </c>
      <c r="Y230" s="5" t="s">
        <v>46</v>
      </c>
      <c r="Z230" s="5" t="s">
        <v>47</v>
      </c>
      <c r="AA230" s="5" t="s">
        <v>64</v>
      </c>
      <c r="AB230" s="5" t="s">
        <v>1153</v>
      </c>
      <c r="AC230" s="6" t="s">
        <v>347</v>
      </c>
      <c r="AD230" s="6">
        <v>1792.0</v>
      </c>
    </row>
    <row r="231" ht="56.25" customHeight="1">
      <c r="A231" s="5" t="s">
        <v>1140</v>
      </c>
      <c r="B231" s="6" t="str">
        <f>IMAGE("https://storage.googleapis.com/acdb/miscellaneous/FtrCushion_Remake_0_3.png")</f>
        <v/>
      </c>
      <c r="C231" s="5" t="s">
        <v>34</v>
      </c>
      <c r="D231" s="5" t="s">
        <v>34</v>
      </c>
      <c r="E231" s="5" t="s">
        <v>1154</v>
      </c>
      <c r="F231" s="5" t="s">
        <v>1143</v>
      </c>
      <c r="G231" s="5" t="s">
        <v>36</v>
      </c>
      <c r="H231" s="5" t="s">
        <v>36</v>
      </c>
      <c r="I231" s="5" t="s">
        <v>35</v>
      </c>
      <c r="J231" s="6">
        <v>1.0</v>
      </c>
      <c r="K231" s="6">
        <v>300.0</v>
      </c>
      <c r="L231" s="6">
        <v>75.0</v>
      </c>
      <c r="M231" s="5" t="s">
        <v>52</v>
      </c>
      <c r="N231" s="5" t="s">
        <v>52</v>
      </c>
      <c r="O231" s="6" t="s">
        <v>40</v>
      </c>
      <c r="P231" s="5" t="s">
        <v>59</v>
      </c>
      <c r="Q231" s="5" t="s">
        <v>60</v>
      </c>
      <c r="R231" s="6" t="s">
        <v>42</v>
      </c>
      <c r="S231" s="5" t="s">
        <v>90</v>
      </c>
      <c r="T231" s="5" t="s">
        <v>99</v>
      </c>
      <c r="U231" s="5" t="s">
        <v>44</v>
      </c>
      <c r="V231" s="5" t="s">
        <v>44</v>
      </c>
      <c r="W231" s="5" t="s">
        <v>35</v>
      </c>
      <c r="X231" s="5" t="s">
        <v>248</v>
      </c>
      <c r="Y231" s="5" t="s">
        <v>46</v>
      </c>
      <c r="Z231" s="5" t="s">
        <v>47</v>
      </c>
      <c r="AA231" s="5" t="s">
        <v>64</v>
      </c>
      <c r="AB231" s="5" t="s">
        <v>1157</v>
      </c>
      <c r="AC231" s="6" t="s">
        <v>354</v>
      </c>
      <c r="AD231" s="6">
        <v>1792.0</v>
      </c>
    </row>
    <row r="232" ht="56.25" customHeight="1">
      <c r="A232" s="5" t="s">
        <v>1140</v>
      </c>
      <c r="B232" s="6" t="str">
        <f>IMAGE("https://storage.googleapis.com/acdb/miscellaneous/FtrCushion_Remake_0_4.png")</f>
        <v/>
      </c>
      <c r="C232" s="5" t="s">
        <v>34</v>
      </c>
      <c r="D232" s="5" t="s">
        <v>34</v>
      </c>
      <c r="E232" s="5" t="s">
        <v>1158</v>
      </c>
      <c r="F232" s="5" t="s">
        <v>1143</v>
      </c>
      <c r="G232" s="5" t="s">
        <v>36</v>
      </c>
      <c r="H232" s="5" t="s">
        <v>36</v>
      </c>
      <c r="I232" s="5" t="s">
        <v>35</v>
      </c>
      <c r="J232" s="6">
        <v>1.0</v>
      </c>
      <c r="K232" s="6">
        <v>300.0</v>
      </c>
      <c r="L232" s="6">
        <v>75.0</v>
      </c>
      <c r="M232" s="5" t="s">
        <v>58</v>
      </c>
      <c r="N232" s="5" t="s">
        <v>58</v>
      </c>
      <c r="O232" s="6" t="s">
        <v>40</v>
      </c>
      <c r="P232" s="5" t="s">
        <v>59</v>
      </c>
      <c r="Q232" s="5" t="s">
        <v>60</v>
      </c>
      <c r="R232" s="6" t="s">
        <v>42</v>
      </c>
      <c r="S232" s="5" t="s">
        <v>90</v>
      </c>
      <c r="T232" s="5" t="s">
        <v>99</v>
      </c>
      <c r="U232" s="5" t="s">
        <v>44</v>
      </c>
      <c r="V232" s="5" t="s">
        <v>44</v>
      </c>
      <c r="W232" s="5" t="s">
        <v>35</v>
      </c>
      <c r="X232" s="5" t="s">
        <v>248</v>
      </c>
      <c r="Y232" s="5" t="s">
        <v>46</v>
      </c>
      <c r="Z232" s="5" t="s">
        <v>47</v>
      </c>
      <c r="AA232" s="5" t="s">
        <v>64</v>
      </c>
      <c r="AB232" s="5" t="s">
        <v>1163</v>
      </c>
      <c r="AC232" s="6" t="s">
        <v>486</v>
      </c>
      <c r="AD232" s="6">
        <v>1792.0</v>
      </c>
    </row>
    <row r="233" ht="56.25" customHeight="1">
      <c r="A233" s="5" t="s">
        <v>1140</v>
      </c>
      <c r="B233" s="6" t="str">
        <f>IMAGE("https://storage.googleapis.com/acdb/miscellaneous/FtrCushion_Remake_0_5.png")</f>
        <v/>
      </c>
      <c r="C233" s="5" t="s">
        <v>34</v>
      </c>
      <c r="D233" s="5" t="s">
        <v>34</v>
      </c>
      <c r="E233" s="5" t="s">
        <v>1167</v>
      </c>
      <c r="F233" s="5" t="s">
        <v>1143</v>
      </c>
      <c r="G233" s="5" t="s">
        <v>36</v>
      </c>
      <c r="H233" s="5" t="s">
        <v>36</v>
      </c>
      <c r="I233" s="5" t="s">
        <v>35</v>
      </c>
      <c r="J233" s="6">
        <v>1.0</v>
      </c>
      <c r="K233" s="6">
        <v>300.0</v>
      </c>
      <c r="L233" s="6">
        <v>75.0</v>
      </c>
      <c r="M233" s="5" t="s">
        <v>83</v>
      </c>
      <c r="N233" s="5" t="s">
        <v>58</v>
      </c>
      <c r="O233" s="6" t="s">
        <v>40</v>
      </c>
      <c r="P233" s="5" t="s">
        <v>59</v>
      </c>
      <c r="Q233" s="5" t="s">
        <v>60</v>
      </c>
      <c r="R233" s="6" t="s">
        <v>42</v>
      </c>
      <c r="S233" s="5" t="s">
        <v>90</v>
      </c>
      <c r="T233" s="5" t="s">
        <v>99</v>
      </c>
      <c r="U233" s="5" t="s">
        <v>44</v>
      </c>
      <c r="V233" s="5" t="s">
        <v>44</v>
      </c>
      <c r="W233" s="5" t="s">
        <v>35</v>
      </c>
      <c r="X233" s="5" t="s">
        <v>248</v>
      </c>
      <c r="Y233" s="5" t="s">
        <v>46</v>
      </c>
      <c r="Z233" s="5" t="s">
        <v>47</v>
      </c>
      <c r="AA233" s="5" t="s">
        <v>64</v>
      </c>
      <c r="AB233" s="5" t="s">
        <v>1171</v>
      </c>
      <c r="AC233" s="6" t="s">
        <v>934</v>
      </c>
      <c r="AD233" s="6">
        <v>1792.0</v>
      </c>
    </row>
    <row r="234" ht="56.25" customHeight="1">
      <c r="A234" s="5" t="s">
        <v>1173</v>
      </c>
      <c r="B234" s="6" t="str">
        <f>IMAGE("https://storage.googleapis.com/acdb/miscellaneous/FtrCuteAudio_Remake_0_0.png")</f>
        <v/>
      </c>
      <c r="C234" s="5" t="s">
        <v>57</v>
      </c>
      <c r="D234" s="5" t="s">
        <v>34</v>
      </c>
      <c r="E234" s="5" t="s">
        <v>34</v>
      </c>
      <c r="F234" s="5" t="s">
        <v>34</v>
      </c>
      <c r="G234" s="5" t="s">
        <v>36</v>
      </c>
      <c r="H234" s="5" t="s">
        <v>36</v>
      </c>
      <c r="I234" s="5" t="s">
        <v>36</v>
      </c>
      <c r="J234" s="6" t="s">
        <v>34</v>
      </c>
      <c r="K234" s="6">
        <v>2600.0</v>
      </c>
      <c r="L234" s="6">
        <v>650.0</v>
      </c>
      <c r="M234" s="5" t="s">
        <v>57</v>
      </c>
      <c r="N234" s="5" t="s">
        <v>69</v>
      </c>
      <c r="O234" s="6" t="s">
        <v>40</v>
      </c>
      <c r="P234" s="5" t="s">
        <v>59</v>
      </c>
      <c r="Q234" s="5" t="s">
        <v>60</v>
      </c>
      <c r="R234" s="6" t="s">
        <v>42</v>
      </c>
      <c r="S234" s="5" t="s">
        <v>61</v>
      </c>
      <c r="T234" s="5" t="s">
        <v>44</v>
      </c>
      <c r="U234" s="5" t="s">
        <v>704</v>
      </c>
      <c r="V234" s="5" t="s">
        <v>44</v>
      </c>
      <c r="W234" s="5" t="s">
        <v>35</v>
      </c>
      <c r="X234" s="5" t="s">
        <v>746</v>
      </c>
      <c r="Y234" s="5" t="s">
        <v>885</v>
      </c>
      <c r="Z234" s="5" t="s">
        <v>47</v>
      </c>
      <c r="AA234" s="5" t="s">
        <v>64</v>
      </c>
      <c r="AB234" s="5" t="s">
        <v>1177</v>
      </c>
      <c r="AC234" s="6" t="s">
        <v>50</v>
      </c>
      <c r="AD234" s="6">
        <v>4003.0</v>
      </c>
    </row>
    <row r="235" ht="56.25" customHeight="1">
      <c r="A235" s="5" t="s">
        <v>1173</v>
      </c>
      <c r="B235" s="6" t="str">
        <f>IMAGE("https://storage.googleapis.com/acdb/miscellaneous/FtrCuteAudio_Remake_1_0.png")</f>
        <v/>
      </c>
      <c r="C235" s="5" t="s">
        <v>708</v>
      </c>
      <c r="D235" s="5" t="s">
        <v>34</v>
      </c>
      <c r="E235" s="5" t="s">
        <v>34</v>
      </c>
      <c r="F235" s="5" t="s">
        <v>34</v>
      </c>
      <c r="G235" s="5" t="s">
        <v>36</v>
      </c>
      <c r="H235" s="5" t="s">
        <v>36</v>
      </c>
      <c r="I235" s="5" t="s">
        <v>36</v>
      </c>
      <c r="J235" s="6" t="s">
        <v>34</v>
      </c>
      <c r="K235" s="6">
        <v>2600.0</v>
      </c>
      <c r="L235" s="6">
        <v>650.0</v>
      </c>
      <c r="M235" s="5" t="s">
        <v>83</v>
      </c>
      <c r="N235" s="5" t="s">
        <v>68</v>
      </c>
      <c r="O235" s="6" t="s">
        <v>40</v>
      </c>
      <c r="P235" s="5" t="s">
        <v>59</v>
      </c>
      <c r="Q235" s="5" t="s">
        <v>60</v>
      </c>
      <c r="R235" s="6" t="s">
        <v>42</v>
      </c>
      <c r="S235" s="5" t="s">
        <v>61</v>
      </c>
      <c r="T235" s="5" t="s">
        <v>44</v>
      </c>
      <c r="U235" s="5" t="s">
        <v>704</v>
      </c>
      <c r="V235" s="5" t="s">
        <v>44</v>
      </c>
      <c r="W235" s="5" t="s">
        <v>35</v>
      </c>
      <c r="X235" s="5" t="s">
        <v>746</v>
      </c>
      <c r="Y235" s="5" t="s">
        <v>885</v>
      </c>
      <c r="Z235" s="5" t="s">
        <v>47</v>
      </c>
      <c r="AA235" s="5" t="s">
        <v>64</v>
      </c>
      <c r="AB235" s="5" t="s">
        <v>1181</v>
      </c>
      <c r="AC235" s="6" t="s">
        <v>56</v>
      </c>
      <c r="AD235" s="6">
        <v>4003.0</v>
      </c>
    </row>
    <row r="236" ht="56.25" customHeight="1">
      <c r="A236" s="5" t="s">
        <v>1173</v>
      </c>
      <c r="B236" s="6" t="str">
        <f>IMAGE("https://storage.googleapis.com/acdb/miscellaneous/FtrCuteAudio_Remake_2_0.png")</f>
        <v/>
      </c>
      <c r="C236" s="5" t="s">
        <v>114</v>
      </c>
      <c r="D236" s="5" t="s">
        <v>34</v>
      </c>
      <c r="E236" s="5" t="s">
        <v>34</v>
      </c>
      <c r="F236" s="5" t="s">
        <v>34</v>
      </c>
      <c r="G236" s="5" t="s">
        <v>36</v>
      </c>
      <c r="H236" s="5" t="s">
        <v>36</v>
      </c>
      <c r="I236" s="5" t="s">
        <v>36</v>
      </c>
      <c r="J236" s="6" t="s">
        <v>34</v>
      </c>
      <c r="K236" s="6">
        <v>2600.0</v>
      </c>
      <c r="L236" s="6">
        <v>650.0</v>
      </c>
      <c r="M236" s="5" t="s">
        <v>114</v>
      </c>
      <c r="N236" s="5" t="s">
        <v>142</v>
      </c>
      <c r="O236" s="6" t="s">
        <v>40</v>
      </c>
      <c r="P236" s="5" t="s">
        <v>59</v>
      </c>
      <c r="Q236" s="5" t="s">
        <v>60</v>
      </c>
      <c r="R236" s="6" t="s">
        <v>42</v>
      </c>
      <c r="S236" s="5" t="s">
        <v>61</v>
      </c>
      <c r="T236" s="5" t="s">
        <v>44</v>
      </c>
      <c r="U236" s="5" t="s">
        <v>704</v>
      </c>
      <c r="V236" s="5" t="s">
        <v>44</v>
      </c>
      <c r="W236" s="5" t="s">
        <v>35</v>
      </c>
      <c r="X236" s="5" t="s">
        <v>746</v>
      </c>
      <c r="Y236" s="5" t="s">
        <v>885</v>
      </c>
      <c r="Z236" s="5" t="s">
        <v>47</v>
      </c>
      <c r="AA236" s="5" t="s">
        <v>64</v>
      </c>
      <c r="AB236" s="5" t="s">
        <v>1186</v>
      </c>
      <c r="AC236" s="6" t="s">
        <v>67</v>
      </c>
      <c r="AD236" s="6">
        <v>4003.0</v>
      </c>
    </row>
    <row r="237" ht="56.25" customHeight="1">
      <c r="A237" s="5" t="s">
        <v>1173</v>
      </c>
      <c r="B237" s="6" t="str">
        <f>IMAGE("https://storage.googleapis.com/acdb/miscellaneous/FtrCuteAudio_Remake_3_0.png")</f>
        <v/>
      </c>
      <c r="C237" s="5" t="s">
        <v>52</v>
      </c>
      <c r="D237" s="5" t="s">
        <v>34</v>
      </c>
      <c r="E237" s="5" t="s">
        <v>34</v>
      </c>
      <c r="F237" s="5" t="s">
        <v>34</v>
      </c>
      <c r="G237" s="5" t="s">
        <v>36</v>
      </c>
      <c r="H237" s="5" t="s">
        <v>36</v>
      </c>
      <c r="I237" s="5" t="s">
        <v>36</v>
      </c>
      <c r="J237" s="6" t="s">
        <v>34</v>
      </c>
      <c r="K237" s="6">
        <v>2600.0</v>
      </c>
      <c r="L237" s="6">
        <v>650.0</v>
      </c>
      <c r="M237" s="5" t="s">
        <v>52</v>
      </c>
      <c r="N237" s="5" t="s">
        <v>57</v>
      </c>
      <c r="O237" s="6" t="s">
        <v>40</v>
      </c>
      <c r="P237" s="5" t="s">
        <v>59</v>
      </c>
      <c r="Q237" s="5" t="s">
        <v>60</v>
      </c>
      <c r="R237" s="6" t="s">
        <v>42</v>
      </c>
      <c r="S237" s="5" t="s">
        <v>61</v>
      </c>
      <c r="T237" s="5" t="s">
        <v>44</v>
      </c>
      <c r="U237" s="5" t="s">
        <v>704</v>
      </c>
      <c r="V237" s="5" t="s">
        <v>44</v>
      </c>
      <c r="W237" s="5" t="s">
        <v>35</v>
      </c>
      <c r="X237" s="5" t="s">
        <v>746</v>
      </c>
      <c r="Y237" s="5" t="s">
        <v>885</v>
      </c>
      <c r="Z237" s="5" t="s">
        <v>47</v>
      </c>
      <c r="AA237" s="5" t="s">
        <v>64</v>
      </c>
      <c r="AB237" s="5" t="s">
        <v>1191</v>
      </c>
      <c r="AC237" s="6" t="s">
        <v>71</v>
      </c>
      <c r="AD237" s="6">
        <v>4003.0</v>
      </c>
    </row>
    <row r="238" ht="56.25" customHeight="1">
      <c r="A238" s="5" t="s">
        <v>1173</v>
      </c>
      <c r="B238" s="6" t="str">
        <f>IMAGE("https://storage.googleapis.com/acdb/miscellaneous/FtrCuteAudio_Remake_4_0.png")</f>
        <v/>
      </c>
      <c r="C238" s="5" t="s">
        <v>68</v>
      </c>
      <c r="D238" s="5" t="s">
        <v>34</v>
      </c>
      <c r="E238" s="5" t="s">
        <v>34</v>
      </c>
      <c r="F238" s="5" t="s">
        <v>34</v>
      </c>
      <c r="G238" s="5" t="s">
        <v>36</v>
      </c>
      <c r="H238" s="5" t="s">
        <v>36</v>
      </c>
      <c r="I238" s="5" t="s">
        <v>36</v>
      </c>
      <c r="J238" s="6" t="s">
        <v>34</v>
      </c>
      <c r="K238" s="6">
        <v>2600.0</v>
      </c>
      <c r="L238" s="6">
        <v>650.0</v>
      </c>
      <c r="M238" s="5" t="s">
        <v>68</v>
      </c>
      <c r="N238" s="5" t="s">
        <v>54</v>
      </c>
      <c r="O238" s="6" t="s">
        <v>40</v>
      </c>
      <c r="P238" s="5" t="s">
        <v>59</v>
      </c>
      <c r="Q238" s="5" t="s">
        <v>60</v>
      </c>
      <c r="R238" s="6" t="s">
        <v>42</v>
      </c>
      <c r="S238" s="5" t="s">
        <v>61</v>
      </c>
      <c r="T238" s="5" t="s">
        <v>44</v>
      </c>
      <c r="U238" s="5" t="s">
        <v>704</v>
      </c>
      <c r="V238" s="5" t="s">
        <v>44</v>
      </c>
      <c r="W238" s="5" t="s">
        <v>35</v>
      </c>
      <c r="X238" s="5" t="s">
        <v>746</v>
      </c>
      <c r="Y238" s="5" t="s">
        <v>885</v>
      </c>
      <c r="Z238" s="5" t="s">
        <v>47</v>
      </c>
      <c r="AA238" s="5" t="s">
        <v>64</v>
      </c>
      <c r="AB238" s="5" t="s">
        <v>1197</v>
      </c>
      <c r="AC238" s="6" t="s">
        <v>75</v>
      </c>
      <c r="AD238" s="6">
        <v>4003.0</v>
      </c>
    </row>
    <row r="239" ht="56.25" customHeight="1">
      <c r="A239" s="5" t="s">
        <v>1199</v>
      </c>
      <c r="B239" s="6" t="str">
        <f>IMAGE("https://storage.googleapis.com/acdb/miscellaneous/FtrCuttingboard_Remake_0_0.png")</f>
        <v/>
      </c>
      <c r="C239" s="5" t="s">
        <v>1200</v>
      </c>
      <c r="D239" s="5" t="s">
        <v>1201</v>
      </c>
      <c r="E239" s="5" t="s">
        <v>52</v>
      </c>
      <c r="F239" s="5" t="s">
        <v>901</v>
      </c>
      <c r="G239" s="5" t="s">
        <v>35</v>
      </c>
      <c r="H239" s="5" t="s">
        <v>35</v>
      </c>
      <c r="I239" s="5" t="s">
        <v>35</v>
      </c>
      <c r="J239" s="6">
        <v>3.0</v>
      </c>
      <c r="K239" s="6" t="s">
        <v>37</v>
      </c>
      <c r="L239" s="6">
        <v>990.0</v>
      </c>
      <c r="M239" s="5" t="s">
        <v>38</v>
      </c>
      <c r="N239" s="5" t="s">
        <v>52</v>
      </c>
      <c r="O239" s="6" t="s">
        <v>40</v>
      </c>
      <c r="P239" s="5" t="s">
        <v>41</v>
      </c>
      <c r="Q239" s="5"/>
      <c r="R239" s="6" t="s">
        <v>42</v>
      </c>
      <c r="S239" s="5" t="s">
        <v>159</v>
      </c>
      <c r="T239" s="5" t="s">
        <v>62</v>
      </c>
      <c r="U239" s="5" t="s">
        <v>44</v>
      </c>
      <c r="V239" s="5" t="s">
        <v>44</v>
      </c>
      <c r="W239" s="5" t="s">
        <v>36</v>
      </c>
      <c r="X239" s="5" t="s">
        <v>160</v>
      </c>
      <c r="Y239" s="5" t="s">
        <v>46</v>
      </c>
      <c r="Z239" s="5" t="s">
        <v>47</v>
      </c>
      <c r="AA239" s="5" t="s">
        <v>48</v>
      </c>
      <c r="AB239" s="5" t="s">
        <v>1204</v>
      </c>
      <c r="AC239" s="6" t="s">
        <v>50</v>
      </c>
      <c r="AD239" s="6">
        <v>3618.0</v>
      </c>
    </row>
    <row r="240" ht="56.25" customHeight="1">
      <c r="A240" s="5" t="s">
        <v>1199</v>
      </c>
      <c r="B240" s="6" t="str">
        <f>IMAGE("https://storage.googleapis.com/acdb/miscellaneous/FtrCuttingboard_Remake_0_1.png")</f>
        <v/>
      </c>
      <c r="C240" s="5" t="s">
        <v>1200</v>
      </c>
      <c r="D240" s="5" t="s">
        <v>1201</v>
      </c>
      <c r="E240" s="5" t="s">
        <v>68</v>
      </c>
      <c r="F240" s="5" t="s">
        <v>901</v>
      </c>
      <c r="G240" s="5" t="s">
        <v>35</v>
      </c>
      <c r="H240" s="5" t="s">
        <v>35</v>
      </c>
      <c r="I240" s="5" t="s">
        <v>35</v>
      </c>
      <c r="J240" s="6">
        <v>3.0</v>
      </c>
      <c r="K240" s="6" t="s">
        <v>37</v>
      </c>
      <c r="L240" s="6">
        <v>990.0</v>
      </c>
      <c r="M240" s="5" t="s">
        <v>38</v>
      </c>
      <c r="N240" s="5" t="s">
        <v>68</v>
      </c>
      <c r="O240" s="6" t="s">
        <v>40</v>
      </c>
      <c r="P240" s="5" t="s">
        <v>41</v>
      </c>
      <c r="Q240" s="5"/>
      <c r="R240" s="6" t="s">
        <v>42</v>
      </c>
      <c r="S240" s="5" t="s">
        <v>159</v>
      </c>
      <c r="T240" s="5" t="s">
        <v>62</v>
      </c>
      <c r="U240" s="5" t="s">
        <v>44</v>
      </c>
      <c r="V240" s="5" t="s">
        <v>44</v>
      </c>
      <c r="W240" s="5" t="s">
        <v>36</v>
      </c>
      <c r="X240" s="5" t="s">
        <v>160</v>
      </c>
      <c r="Y240" s="5" t="s">
        <v>46</v>
      </c>
      <c r="Z240" s="5" t="s">
        <v>47</v>
      </c>
      <c r="AA240" s="5" t="s">
        <v>48</v>
      </c>
      <c r="AB240" s="5" t="s">
        <v>1207</v>
      </c>
      <c r="AC240" s="6" t="s">
        <v>217</v>
      </c>
      <c r="AD240" s="6">
        <v>3618.0</v>
      </c>
    </row>
    <row r="241" ht="56.25" customHeight="1">
      <c r="A241" s="5" t="s">
        <v>1199</v>
      </c>
      <c r="B241" s="6" t="str">
        <f>IMAGE("https://storage.googleapis.com/acdb/miscellaneous/FtrCuttingboard_Remake_0_2.png")</f>
        <v/>
      </c>
      <c r="C241" s="5" t="s">
        <v>1200</v>
      </c>
      <c r="D241" s="5" t="s">
        <v>1201</v>
      </c>
      <c r="E241" s="5" t="s">
        <v>114</v>
      </c>
      <c r="F241" s="5" t="s">
        <v>901</v>
      </c>
      <c r="G241" s="5" t="s">
        <v>35</v>
      </c>
      <c r="H241" s="5" t="s">
        <v>35</v>
      </c>
      <c r="I241" s="5" t="s">
        <v>35</v>
      </c>
      <c r="J241" s="6">
        <v>3.0</v>
      </c>
      <c r="K241" s="6" t="s">
        <v>37</v>
      </c>
      <c r="L241" s="6">
        <v>990.0</v>
      </c>
      <c r="M241" s="5" t="s">
        <v>38</v>
      </c>
      <c r="N241" s="5" t="s">
        <v>114</v>
      </c>
      <c r="O241" s="6" t="s">
        <v>40</v>
      </c>
      <c r="P241" s="5" t="s">
        <v>41</v>
      </c>
      <c r="Q241" s="5"/>
      <c r="R241" s="6" t="s">
        <v>42</v>
      </c>
      <c r="S241" s="5" t="s">
        <v>159</v>
      </c>
      <c r="T241" s="5" t="s">
        <v>62</v>
      </c>
      <c r="U241" s="5" t="s">
        <v>44</v>
      </c>
      <c r="V241" s="5" t="s">
        <v>44</v>
      </c>
      <c r="W241" s="5" t="s">
        <v>36</v>
      </c>
      <c r="X241" s="5" t="s">
        <v>160</v>
      </c>
      <c r="Y241" s="5" t="s">
        <v>46</v>
      </c>
      <c r="Z241" s="5" t="s">
        <v>47</v>
      </c>
      <c r="AA241" s="5" t="s">
        <v>48</v>
      </c>
      <c r="AB241" s="5" t="s">
        <v>1212</v>
      </c>
      <c r="AC241" s="6" t="s">
        <v>347</v>
      </c>
      <c r="AD241" s="6">
        <v>3618.0</v>
      </c>
    </row>
    <row r="242" ht="56.25" customHeight="1">
      <c r="A242" s="5" t="s">
        <v>1199</v>
      </c>
      <c r="B242" s="6" t="str">
        <f>IMAGE("https://storage.googleapis.com/acdb/miscellaneous/FtrCuttingboard_Remake_1_0.png")</f>
        <v/>
      </c>
      <c r="C242" s="5" t="s">
        <v>1214</v>
      </c>
      <c r="D242" s="5" t="s">
        <v>1201</v>
      </c>
      <c r="E242" s="5" t="s">
        <v>52</v>
      </c>
      <c r="F242" s="5" t="s">
        <v>901</v>
      </c>
      <c r="G242" s="5" t="s">
        <v>35</v>
      </c>
      <c r="H242" s="5" t="s">
        <v>35</v>
      </c>
      <c r="I242" s="5" t="s">
        <v>35</v>
      </c>
      <c r="J242" s="6">
        <v>3.0</v>
      </c>
      <c r="K242" s="6" t="s">
        <v>37</v>
      </c>
      <c r="L242" s="6">
        <v>990.0</v>
      </c>
      <c r="M242" s="5" t="s">
        <v>142</v>
      </c>
      <c r="N242" s="5" t="s">
        <v>52</v>
      </c>
      <c r="O242" s="6" t="s">
        <v>40</v>
      </c>
      <c r="P242" s="5" t="s">
        <v>41</v>
      </c>
      <c r="Q242" s="5"/>
      <c r="R242" s="6" t="s">
        <v>42</v>
      </c>
      <c r="S242" s="5" t="s">
        <v>159</v>
      </c>
      <c r="T242" s="5" t="s">
        <v>62</v>
      </c>
      <c r="U242" s="5" t="s">
        <v>44</v>
      </c>
      <c r="V242" s="5" t="s">
        <v>44</v>
      </c>
      <c r="W242" s="5" t="s">
        <v>36</v>
      </c>
      <c r="X242" s="5" t="s">
        <v>160</v>
      </c>
      <c r="Y242" s="5" t="s">
        <v>46</v>
      </c>
      <c r="Z242" s="5" t="s">
        <v>47</v>
      </c>
      <c r="AA242" s="5" t="s">
        <v>48</v>
      </c>
      <c r="AB242" s="5" t="s">
        <v>1216</v>
      </c>
      <c r="AC242" s="6" t="s">
        <v>56</v>
      </c>
      <c r="AD242" s="6">
        <v>3618.0</v>
      </c>
    </row>
    <row r="243" ht="56.25" customHeight="1">
      <c r="A243" s="5" t="s">
        <v>1199</v>
      </c>
      <c r="B243" s="6" t="str">
        <f>IMAGE("https://storage.googleapis.com/acdb/miscellaneous/FtrCuttingboard_Remake_1_1.png")</f>
        <v/>
      </c>
      <c r="C243" s="5" t="s">
        <v>1214</v>
      </c>
      <c r="D243" s="5" t="s">
        <v>1201</v>
      </c>
      <c r="E243" s="5" t="s">
        <v>68</v>
      </c>
      <c r="F243" s="5" t="s">
        <v>901</v>
      </c>
      <c r="G243" s="5" t="s">
        <v>35</v>
      </c>
      <c r="H243" s="5" t="s">
        <v>35</v>
      </c>
      <c r="I243" s="5" t="s">
        <v>35</v>
      </c>
      <c r="J243" s="6">
        <v>3.0</v>
      </c>
      <c r="K243" s="6" t="s">
        <v>37</v>
      </c>
      <c r="L243" s="6">
        <v>990.0</v>
      </c>
      <c r="M243" s="5" t="s">
        <v>142</v>
      </c>
      <c r="N243" s="5" t="s">
        <v>68</v>
      </c>
      <c r="O243" s="6" t="s">
        <v>40</v>
      </c>
      <c r="P243" s="5" t="s">
        <v>41</v>
      </c>
      <c r="Q243" s="5"/>
      <c r="R243" s="6" t="s">
        <v>42</v>
      </c>
      <c r="S243" s="5" t="s">
        <v>159</v>
      </c>
      <c r="T243" s="5" t="s">
        <v>62</v>
      </c>
      <c r="U243" s="5" t="s">
        <v>44</v>
      </c>
      <c r="V243" s="5" t="s">
        <v>44</v>
      </c>
      <c r="W243" s="5" t="s">
        <v>36</v>
      </c>
      <c r="X243" s="5" t="s">
        <v>160</v>
      </c>
      <c r="Y243" s="5" t="s">
        <v>46</v>
      </c>
      <c r="Z243" s="5" t="s">
        <v>47</v>
      </c>
      <c r="AA243" s="5" t="s">
        <v>48</v>
      </c>
      <c r="AB243" s="5" t="s">
        <v>1220</v>
      </c>
      <c r="AC243" s="6" t="s">
        <v>234</v>
      </c>
      <c r="AD243" s="6">
        <v>3618.0</v>
      </c>
    </row>
    <row r="244" ht="56.25" customHeight="1">
      <c r="A244" s="5" t="s">
        <v>1199</v>
      </c>
      <c r="B244" s="6" t="str">
        <f>IMAGE("https://storage.googleapis.com/acdb/miscellaneous/FtrCuttingboard_Remake_1_2.png")</f>
        <v/>
      </c>
      <c r="C244" s="5" t="s">
        <v>1214</v>
      </c>
      <c r="D244" s="5" t="s">
        <v>1201</v>
      </c>
      <c r="E244" s="5" t="s">
        <v>114</v>
      </c>
      <c r="F244" s="5" t="s">
        <v>901</v>
      </c>
      <c r="G244" s="5" t="s">
        <v>35</v>
      </c>
      <c r="H244" s="5" t="s">
        <v>35</v>
      </c>
      <c r="I244" s="5" t="s">
        <v>35</v>
      </c>
      <c r="J244" s="6">
        <v>3.0</v>
      </c>
      <c r="K244" s="6" t="s">
        <v>37</v>
      </c>
      <c r="L244" s="6">
        <v>990.0</v>
      </c>
      <c r="M244" s="5" t="s">
        <v>142</v>
      </c>
      <c r="N244" s="5" t="s">
        <v>114</v>
      </c>
      <c r="O244" s="6" t="s">
        <v>40</v>
      </c>
      <c r="P244" s="5" t="s">
        <v>41</v>
      </c>
      <c r="Q244" s="5"/>
      <c r="R244" s="6" t="s">
        <v>42</v>
      </c>
      <c r="S244" s="5" t="s">
        <v>159</v>
      </c>
      <c r="T244" s="5" t="s">
        <v>62</v>
      </c>
      <c r="U244" s="5" t="s">
        <v>44</v>
      </c>
      <c r="V244" s="5" t="s">
        <v>44</v>
      </c>
      <c r="W244" s="5" t="s">
        <v>36</v>
      </c>
      <c r="X244" s="5" t="s">
        <v>160</v>
      </c>
      <c r="Y244" s="5" t="s">
        <v>46</v>
      </c>
      <c r="Z244" s="5" t="s">
        <v>47</v>
      </c>
      <c r="AA244" s="5" t="s">
        <v>48</v>
      </c>
      <c r="AB244" s="5" t="s">
        <v>1223</v>
      </c>
      <c r="AC244" s="6" t="s">
        <v>370</v>
      </c>
      <c r="AD244" s="6">
        <v>3618.0</v>
      </c>
    </row>
    <row r="245" ht="56.25" customHeight="1">
      <c r="A245" s="5" t="s">
        <v>1199</v>
      </c>
      <c r="B245" s="6" t="str">
        <f>IMAGE("https://storage.googleapis.com/acdb/miscellaneous/FtrCuttingboard_Remake_2_0.png")</f>
        <v/>
      </c>
      <c r="C245" s="5" t="s">
        <v>1226</v>
      </c>
      <c r="D245" s="5" t="s">
        <v>1201</v>
      </c>
      <c r="E245" s="5" t="s">
        <v>52</v>
      </c>
      <c r="F245" s="5" t="s">
        <v>901</v>
      </c>
      <c r="G245" s="5" t="s">
        <v>35</v>
      </c>
      <c r="H245" s="5" t="s">
        <v>35</v>
      </c>
      <c r="I245" s="5" t="s">
        <v>35</v>
      </c>
      <c r="J245" s="6">
        <v>3.0</v>
      </c>
      <c r="K245" s="6" t="s">
        <v>37</v>
      </c>
      <c r="L245" s="6">
        <v>990.0</v>
      </c>
      <c r="M245" s="5" t="s">
        <v>39</v>
      </c>
      <c r="N245" s="5" t="s">
        <v>52</v>
      </c>
      <c r="O245" s="6" t="s">
        <v>40</v>
      </c>
      <c r="P245" s="5" t="s">
        <v>41</v>
      </c>
      <c r="Q245" s="5"/>
      <c r="R245" s="6" t="s">
        <v>42</v>
      </c>
      <c r="S245" s="5" t="s">
        <v>159</v>
      </c>
      <c r="T245" s="5" t="s">
        <v>62</v>
      </c>
      <c r="U245" s="5" t="s">
        <v>44</v>
      </c>
      <c r="V245" s="5" t="s">
        <v>44</v>
      </c>
      <c r="W245" s="5" t="s">
        <v>36</v>
      </c>
      <c r="X245" s="5" t="s">
        <v>160</v>
      </c>
      <c r="Y245" s="5" t="s">
        <v>46</v>
      </c>
      <c r="Z245" s="5" t="s">
        <v>47</v>
      </c>
      <c r="AA245" s="5" t="s">
        <v>48</v>
      </c>
      <c r="AB245" s="5" t="s">
        <v>1227</v>
      </c>
      <c r="AC245" s="6" t="s">
        <v>67</v>
      </c>
      <c r="AD245" s="6">
        <v>3618.0</v>
      </c>
    </row>
    <row r="246" ht="56.25" customHeight="1">
      <c r="A246" s="5" t="s">
        <v>1199</v>
      </c>
      <c r="B246" s="6" t="str">
        <f>IMAGE("https://storage.googleapis.com/acdb/miscellaneous/FtrCuttingboard_Remake_2_1.png")</f>
        <v/>
      </c>
      <c r="C246" s="5" t="s">
        <v>1226</v>
      </c>
      <c r="D246" s="5" t="s">
        <v>1201</v>
      </c>
      <c r="E246" s="5" t="s">
        <v>68</v>
      </c>
      <c r="F246" s="5" t="s">
        <v>901</v>
      </c>
      <c r="G246" s="5" t="s">
        <v>35</v>
      </c>
      <c r="H246" s="5" t="s">
        <v>35</v>
      </c>
      <c r="I246" s="5" t="s">
        <v>35</v>
      </c>
      <c r="J246" s="6">
        <v>3.0</v>
      </c>
      <c r="K246" s="6" t="s">
        <v>37</v>
      </c>
      <c r="L246" s="6">
        <v>990.0</v>
      </c>
      <c r="M246" s="5" t="s">
        <v>39</v>
      </c>
      <c r="N246" s="5" t="s">
        <v>68</v>
      </c>
      <c r="O246" s="6" t="s">
        <v>40</v>
      </c>
      <c r="P246" s="5" t="s">
        <v>41</v>
      </c>
      <c r="Q246" s="5"/>
      <c r="R246" s="6" t="s">
        <v>42</v>
      </c>
      <c r="S246" s="5" t="s">
        <v>159</v>
      </c>
      <c r="T246" s="5" t="s">
        <v>62</v>
      </c>
      <c r="U246" s="5" t="s">
        <v>44</v>
      </c>
      <c r="V246" s="5" t="s">
        <v>44</v>
      </c>
      <c r="W246" s="5" t="s">
        <v>36</v>
      </c>
      <c r="X246" s="5" t="s">
        <v>160</v>
      </c>
      <c r="Y246" s="5" t="s">
        <v>46</v>
      </c>
      <c r="Z246" s="5" t="s">
        <v>47</v>
      </c>
      <c r="AA246" s="5" t="s">
        <v>48</v>
      </c>
      <c r="AB246" s="5" t="s">
        <v>1230</v>
      </c>
      <c r="AC246" s="6" t="s">
        <v>247</v>
      </c>
      <c r="AD246" s="6">
        <v>3618.0</v>
      </c>
    </row>
    <row r="247" ht="56.25" customHeight="1">
      <c r="A247" s="5" t="s">
        <v>1199</v>
      </c>
      <c r="B247" s="6" t="str">
        <f>IMAGE("https://storage.googleapis.com/acdb/miscellaneous/FtrCuttingboard_Remake_2_2.png")</f>
        <v/>
      </c>
      <c r="C247" s="5" t="s">
        <v>1226</v>
      </c>
      <c r="D247" s="5" t="s">
        <v>1201</v>
      </c>
      <c r="E247" s="5" t="s">
        <v>114</v>
      </c>
      <c r="F247" s="5" t="s">
        <v>901</v>
      </c>
      <c r="G247" s="5" t="s">
        <v>35</v>
      </c>
      <c r="H247" s="5" t="s">
        <v>35</v>
      </c>
      <c r="I247" s="5" t="s">
        <v>35</v>
      </c>
      <c r="J247" s="6">
        <v>3.0</v>
      </c>
      <c r="K247" s="6" t="s">
        <v>37</v>
      </c>
      <c r="L247" s="6">
        <v>990.0</v>
      </c>
      <c r="M247" s="5" t="s">
        <v>39</v>
      </c>
      <c r="N247" s="5" t="s">
        <v>114</v>
      </c>
      <c r="O247" s="6" t="s">
        <v>40</v>
      </c>
      <c r="P247" s="5" t="s">
        <v>41</v>
      </c>
      <c r="Q247" s="5"/>
      <c r="R247" s="6" t="s">
        <v>42</v>
      </c>
      <c r="S247" s="5" t="s">
        <v>159</v>
      </c>
      <c r="T247" s="5" t="s">
        <v>62</v>
      </c>
      <c r="U247" s="5" t="s">
        <v>44</v>
      </c>
      <c r="V247" s="5" t="s">
        <v>44</v>
      </c>
      <c r="W247" s="5" t="s">
        <v>36</v>
      </c>
      <c r="X247" s="5" t="s">
        <v>160</v>
      </c>
      <c r="Y247" s="5" t="s">
        <v>46</v>
      </c>
      <c r="Z247" s="5" t="s">
        <v>47</v>
      </c>
      <c r="AA247" s="5" t="s">
        <v>48</v>
      </c>
      <c r="AB247" s="5" t="s">
        <v>1233</v>
      </c>
      <c r="AC247" s="6" t="s">
        <v>390</v>
      </c>
      <c r="AD247" s="6">
        <v>3618.0</v>
      </c>
    </row>
    <row r="248" ht="56.25" customHeight="1">
      <c r="A248" s="5" t="s">
        <v>1199</v>
      </c>
      <c r="B248" s="6" t="str">
        <f>IMAGE("https://storage.googleapis.com/acdb/miscellaneous/FtrCuttingboard_Remake_3_0.png")</f>
        <v/>
      </c>
      <c r="C248" s="5" t="s">
        <v>32</v>
      </c>
      <c r="D248" s="5" t="s">
        <v>1201</v>
      </c>
      <c r="E248" s="5" t="s">
        <v>52</v>
      </c>
      <c r="F248" s="5" t="s">
        <v>901</v>
      </c>
      <c r="G248" s="5" t="s">
        <v>35</v>
      </c>
      <c r="H248" s="5" t="s">
        <v>35</v>
      </c>
      <c r="I248" s="5" t="s">
        <v>35</v>
      </c>
      <c r="J248" s="6">
        <v>3.0</v>
      </c>
      <c r="K248" s="6" t="s">
        <v>37</v>
      </c>
      <c r="L248" s="6">
        <v>990.0</v>
      </c>
      <c r="M248" s="5" t="s">
        <v>114</v>
      </c>
      <c r="N248" s="5" t="s">
        <v>52</v>
      </c>
      <c r="O248" s="6" t="s">
        <v>40</v>
      </c>
      <c r="P248" s="5" t="s">
        <v>41</v>
      </c>
      <c r="Q248" s="5"/>
      <c r="R248" s="6" t="s">
        <v>42</v>
      </c>
      <c r="S248" s="5" t="s">
        <v>159</v>
      </c>
      <c r="T248" s="5" t="s">
        <v>62</v>
      </c>
      <c r="U248" s="5" t="s">
        <v>44</v>
      </c>
      <c r="V248" s="5" t="s">
        <v>44</v>
      </c>
      <c r="W248" s="5" t="s">
        <v>36</v>
      </c>
      <c r="X248" s="5" t="s">
        <v>160</v>
      </c>
      <c r="Y248" s="5" t="s">
        <v>46</v>
      </c>
      <c r="Z248" s="5" t="s">
        <v>47</v>
      </c>
      <c r="AA248" s="5" t="s">
        <v>48</v>
      </c>
      <c r="AB248" s="5" t="s">
        <v>1242</v>
      </c>
      <c r="AC248" s="6" t="s">
        <v>71</v>
      </c>
      <c r="AD248" s="6">
        <v>3618.0</v>
      </c>
    </row>
    <row r="249" ht="56.25" customHeight="1">
      <c r="A249" s="5" t="s">
        <v>1199</v>
      </c>
      <c r="B249" s="6" t="str">
        <f>IMAGE("https://storage.googleapis.com/acdb/miscellaneous/FtrCuttingboard_Remake_3_1.png")</f>
        <v/>
      </c>
      <c r="C249" s="5" t="s">
        <v>32</v>
      </c>
      <c r="D249" s="5" t="s">
        <v>1201</v>
      </c>
      <c r="E249" s="5" t="s">
        <v>68</v>
      </c>
      <c r="F249" s="5" t="s">
        <v>901</v>
      </c>
      <c r="G249" s="5" t="s">
        <v>35</v>
      </c>
      <c r="H249" s="5" t="s">
        <v>35</v>
      </c>
      <c r="I249" s="5" t="s">
        <v>35</v>
      </c>
      <c r="J249" s="6">
        <v>3.0</v>
      </c>
      <c r="K249" s="6" t="s">
        <v>37</v>
      </c>
      <c r="L249" s="6">
        <v>990.0</v>
      </c>
      <c r="M249" s="5" t="s">
        <v>114</v>
      </c>
      <c r="N249" s="5" t="s">
        <v>68</v>
      </c>
      <c r="O249" s="6" t="s">
        <v>40</v>
      </c>
      <c r="P249" s="5" t="s">
        <v>41</v>
      </c>
      <c r="Q249" s="5"/>
      <c r="R249" s="6" t="s">
        <v>42</v>
      </c>
      <c r="S249" s="5" t="s">
        <v>159</v>
      </c>
      <c r="T249" s="5" t="s">
        <v>62</v>
      </c>
      <c r="U249" s="5" t="s">
        <v>44</v>
      </c>
      <c r="V249" s="5" t="s">
        <v>44</v>
      </c>
      <c r="W249" s="5" t="s">
        <v>36</v>
      </c>
      <c r="X249" s="5" t="s">
        <v>160</v>
      </c>
      <c r="Y249" s="5" t="s">
        <v>46</v>
      </c>
      <c r="Z249" s="5" t="s">
        <v>47</v>
      </c>
      <c r="AA249" s="5" t="s">
        <v>48</v>
      </c>
      <c r="AB249" s="5" t="s">
        <v>1246</v>
      </c>
      <c r="AC249" s="6" t="s">
        <v>257</v>
      </c>
      <c r="AD249" s="6">
        <v>3618.0</v>
      </c>
    </row>
    <row r="250" ht="56.25" customHeight="1">
      <c r="A250" s="5" t="s">
        <v>1199</v>
      </c>
      <c r="B250" s="6" t="str">
        <f>IMAGE("https://storage.googleapis.com/acdb/miscellaneous/FtrCuttingboard_Remake_3_2.png")</f>
        <v/>
      </c>
      <c r="C250" s="5" t="s">
        <v>32</v>
      </c>
      <c r="D250" s="5" t="s">
        <v>1201</v>
      </c>
      <c r="E250" s="5" t="s">
        <v>114</v>
      </c>
      <c r="F250" s="5" t="s">
        <v>901</v>
      </c>
      <c r="G250" s="5" t="s">
        <v>35</v>
      </c>
      <c r="H250" s="5" t="s">
        <v>35</v>
      </c>
      <c r="I250" s="5" t="s">
        <v>35</v>
      </c>
      <c r="J250" s="6">
        <v>3.0</v>
      </c>
      <c r="K250" s="6" t="s">
        <v>37</v>
      </c>
      <c r="L250" s="6">
        <v>990.0</v>
      </c>
      <c r="M250" s="5" t="s">
        <v>114</v>
      </c>
      <c r="N250" s="5" t="s">
        <v>114</v>
      </c>
      <c r="O250" s="6" t="s">
        <v>40</v>
      </c>
      <c r="P250" s="5" t="s">
        <v>41</v>
      </c>
      <c r="Q250" s="5"/>
      <c r="R250" s="6" t="s">
        <v>42</v>
      </c>
      <c r="S250" s="5" t="s">
        <v>159</v>
      </c>
      <c r="T250" s="5" t="s">
        <v>62</v>
      </c>
      <c r="U250" s="5" t="s">
        <v>44</v>
      </c>
      <c r="V250" s="5" t="s">
        <v>44</v>
      </c>
      <c r="W250" s="5" t="s">
        <v>36</v>
      </c>
      <c r="X250" s="5" t="s">
        <v>160</v>
      </c>
      <c r="Y250" s="5" t="s">
        <v>46</v>
      </c>
      <c r="Z250" s="5" t="s">
        <v>47</v>
      </c>
      <c r="AA250" s="5" t="s">
        <v>48</v>
      </c>
      <c r="AB250" s="5" t="s">
        <v>1249</v>
      </c>
      <c r="AC250" s="6" t="s">
        <v>414</v>
      </c>
      <c r="AD250" s="6">
        <v>3618.0</v>
      </c>
    </row>
    <row r="251" ht="56.25" customHeight="1">
      <c r="A251" s="5" t="s">
        <v>1250</v>
      </c>
      <c r="B251" s="16" t="str">
        <f>IMAGE("https://storage.googleapis.com/acdb/miscellaneous/FtrInsectHosoakakuwagataToy.png")</f>
        <v/>
      </c>
      <c r="C251" s="5" t="s">
        <v>34</v>
      </c>
      <c r="D251" s="5" t="s">
        <v>34</v>
      </c>
      <c r="E251" s="5" t="s">
        <v>34</v>
      </c>
      <c r="F251" s="5" t="s">
        <v>34</v>
      </c>
      <c r="G251" s="5" t="s">
        <v>36</v>
      </c>
      <c r="H251" s="5" t="s">
        <v>36</v>
      </c>
      <c r="I251" s="5" t="s">
        <v>36</v>
      </c>
      <c r="J251" s="6" t="s">
        <v>34</v>
      </c>
      <c r="K251" s="6" t="s">
        <v>37</v>
      </c>
      <c r="L251" s="6">
        <v>24000.0</v>
      </c>
      <c r="M251" s="5" t="s">
        <v>54</v>
      </c>
      <c r="N251" s="5" t="s">
        <v>54</v>
      </c>
      <c r="O251" s="6" t="s">
        <v>40</v>
      </c>
      <c r="P251" s="5" t="s">
        <v>107</v>
      </c>
      <c r="Q251" s="5" t="s">
        <v>108</v>
      </c>
      <c r="R251" s="6" t="s">
        <v>42</v>
      </c>
      <c r="S251" s="5" t="s">
        <v>44</v>
      </c>
      <c r="T251" s="5" t="s">
        <v>44</v>
      </c>
      <c r="U251" s="5" t="s">
        <v>44</v>
      </c>
      <c r="V251" s="5" t="s">
        <v>44</v>
      </c>
      <c r="W251" s="5" t="s">
        <v>36</v>
      </c>
      <c r="X251" s="5" t="s">
        <v>109</v>
      </c>
      <c r="Y251" s="5" t="s">
        <v>46</v>
      </c>
      <c r="Z251" s="5" t="s">
        <v>47</v>
      </c>
      <c r="AA251" s="5" t="s">
        <v>48</v>
      </c>
      <c r="AB251" s="5" t="s">
        <v>1253</v>
      </c>
      <c r="AC251" s="6" t="s">
        <v>34</v>
      </c>
      <c r="AD251" s="6">
        <v>7064.0</v>
      </c>
    </row>
    <row r="252" ht="56.25" customHeight="1">
      <c r="A252" s="5" t="s">
        <v>1254</v>
      </c>
      <c r="B252" s="16" t="str">
        <f>IMAGE("https://storage.googleapis.com/acdb/miscellaneous/FtrFishKareiToy.png")</f>
        <v/>
      </c>
      <c r="C252" s="5" t="s">
        <v>34</v>
      </c>
      <c r="D252" s="5" t="s">
        <v>34</v>
      </c>
      <c r="E252" s="5" t="s">
        <v>34</v>
      </c>
      <c r="F252" s="5" t="s">
        <v>34</v>
      </c>
      <c r="G252" s="5" t="s">
        <v>36</v>
      </c>
      <c r="H252" s="5" t="s">
        <v>36</v>
      </c>
      <c r="I252" s="5" t="s">
        <v>36</v>
      </c>
      <c r="J252" s="6" t="s">
        <v>34</v>
      </c>
      <c r="K252" s="6" t="s">
        <v>37</v>
      </c>
      <c r="L252" s="6">
        <v>900.0</v>
      </c>
      <c r="M252" s="5" t="s">
        <v>39</v>
      </c>
      <c r="N252" s="5" t="s">
        <v>54</v>
      </c>
      <c r="O252" s="6" t="s">
        <v>40</v>
      </c>
      <c r="P252" s="5" t="s">
        <v>213</v>
      </c>
      <c r="Q252" s="5" t="s">
        <v>215</v>
      </c>
      <c r="R252" s="6" t="s">
        <v>42</v>
      </c>
      <c r="S252" s="5" t="s">
        <v>44</v>
      </c>
      <c r="T252" s="5" t="s">
        <v>44</v>
      </c>
      <c r="U252" s="5" t="s">
        <v>44</v>
      </c>
      <c r="V252" s="5" t="s">
        <v>44</v>
      </c>
      <c r="W252" s="5" t="s">
        <v>36</v>
      </c>
      <c r="X252" s="5" t="s">
        <v>219</v>
      </c>
      <c r="Y252" s="5" t="s">
        <v>46</v>
      </c>
      <c r="Z252" s="5" t="s">
        <v>47</v>
      </c>
      <c r="AA252" s="5" t="s">
        <v>48</v>
      </c>
      <c r="AB252" s="5" t="s">
        <v>1257</v>
      </c>
      <c r="AC252" s="6" t="s">
        <v>34</v>
      </c>
      <c r="AD252" s="6">
        <v>6965.0</v>
      </c>
    </row>
    <row r="253" ht="56.25" customHeight="1">
      <c r="A253" s="5" t="s">
        <v>1258</v>
      </c>
      <c r="B253" s="16" t="str">
        <f>IMAGE("https://storage.googleapis.com/acdb/miscellaneous/FtrFishUguiToy.png")</f>
        <v/>
      </c>
      <c r="C253" s="5" t="s">
        <v>34</v>
      </c>
      <c r="D253" s="5" t="s">
        <v>34</v>
      </c>
      <c r="E253" s="5" t="s">
        <v>34</v>
      </c>
      <c r="F253" s="5" t="s">
        <v>34</v>
      </c>
      <c r="G253" s="5" t="s">
        <v>36</v>
      </c>
      <c r="H253" s="5" t="s">
        <v>36</v>
      </c>
      <c r="I253" s="5" t="s">
        <v>36</v>
      </c>
      <c r="J253" s="6" t="s">
        <v>34</v>
      </c>
      <c r="K253" s="6" t="s">
        <v>37</v>
      </c>
      <c r="L253" s="6">
        <v>720.0</v>
      </c>
      <c r="M253" s="5" t="s">
        <v>39</v>
      </c>
      <c r="N253" s="5" t="s">
        <v>54</v>
      </c>
      <c r="O253" s="6" t="s">
        <v>40</v>
      </c>
      <c r="P253" s="5" t="s">
        <v>213</v>
      </c>
      <c r="Q253" s="5" t="s">
        <v>215</v>
      </c>
      <c r="R253" s="6" t="s">
        <v>42</v>
      </c>
      <c r="S253" s="5" t="s">
        <v>44</v>
      </c>
      <c r="T253" s="5" t="s">
        <v>44</v>
      </c>
      <c r="U253" s="5" t="s">
        <v>44</v>
      </c>
      <c r="V253" s="5" t="s">
        <v>44</v>
      </c>
      <c r="W253" s="5" t="s">
        <v>36</v>
      </c>
      <c r="X253" s="5" t="s">
        <v>219</v>
      </c>
      <c r="Y253" s="5" t="s">
        <v>46</v>
      </c>
      <c r="Z253" s="5" t="s">
        <v>47</v>
      </c>
      <c r="AA253" s="5" t="s">
        <v>48</v>
      </c>
      <c r="AB253" s="5" t="s">
        <v>1261</v>
      </c>
      <c r="AC253" s="6" t="s">
        <v>34</v>
      </c>
      <c r="AD253" s="6">
        <v>7024.0</v>
      </c>
    </row>
    <row r="254" ht="56.25" customHeight="1">
      <c r="A254" s="5" t="s">
        <v>1262</v>
      </c>
      <c r="B254" s="6" t="str">
        <f>IMAGE("https://storage.googleapis.com/acdb/miscellaneous/FtrDalFigure_Remake_0_0.png")</f>
        <v/>
      </c>
      <c r="C254" s="5" t="s">
        <v>68</v>
      </c>
      <c r="D254" s="5" t="s">
        <v>135</v>
      </c>
      <c r="E254" s="5" t="s">
        <v>34</v>
      </c>
      <c r="F254" s="5" t="s">
        <v>34</v>
      </c>
      <c r="G254" s="5" t="s">
        <v>36</v>
      </c>
      <c r="H254" s="5" t="s">
        <v>35</v>
      </c>
      <c r="I254" s="5" t="s">
        <v>36</v>
      </c>
      <c r="J254" s="6">
        <v>2.0</v>
      </c>
      <c r="K254" s="6" t="s">
        <v>37</v>
      </c>
      <c r="L254" s="6">
        <v>1010.0</v>
      </c>
      <c r="M254" s="5" t="s">
        <v>68</v>
      </c>
      <c r="N254" s="5" t="s">
        <v>57</v>
      </c>
      <c r="O254" s="6" t="s">
        <v>40</v>
      </c>
      <c r="P254" s="5" t="s">
        <v>1263</v>
      </c>
      <c r="Q254" s="5" t="s">
        <v>1264</v>
      </c>
      <c r="R254" s="6" t="s">
        <v>42</v>
      </c>
      <c r="S254" s="5" t="s">
        <v>99</v>
      </c>
      <c r="T254" s="5" t="s">
        <v>90</v>
      </c>
      <c r="U254" s="5" t="s">
        <v>44</v>
      </c>
      <c r="V254" s="5" t="s">
        <v>44</v>
      </c>
      <c r="W254" s="5" t="s">
        <v>36</v>
      </c>
      <c r="X254" s="5" t="s">
        <v>356</v>
      </c>
      <c r="Y254" s="5" t="s">
        <v>46</v>
      </c>
      <c r="Z254" s="5" t="s">
        <v>47</v>
      </c>
      <c r="AA254" s="5" t="s">
        <v>48</v>
      </c>
      <c r="AB254" s="5" t="s">
        <v>1267</v>
      </c>
      <c r="AC254" s="6" t="s">
        <v>50</v>
      </c>
      <c r="AD254" s="6">
        <v>12140.0</v>
      </c>
    </row>
    <row r="255" ht="56.25" customHeight="1">
      <c r="A255" s="5" t="s">
        <v>1262</v>
      </c>
      <c r="B255" s="6" t="str">
        <f>IMAGE("https://storage.googleapis.com/acdb/miscellaneous/FtrDalFigure_Remake_1_0.png")</f>
        <v/>
      </c>
      <c r="C255" s="5" t="s">
        <v>114</v>
      </c>
      <c r="D255" s="5" t="s">
        <v>135</v>
      </c>
      <c r="E255" s="5" t="s">
        <v>34</v>
      </c>
      <c r="F255" s="5" t="s">
        <v>34</v>
      </c>
      <c r="G255" s="5" t="s">
        <v>36</v>
      </c>
      <c r="H255" s="5" t="s">
        <v>35</v>
      </c>
      <c r="I255" s="5" t="s">
        <v>36</v>
      </c>
      <c r="J255" s="6">
        <v>2.0</v>
      </c>
      <c r="K255" s="6" t="s">
        <v>37</v>
      </c>
      <c r="L255" s="6">
        <v>1010.0</v>
      </c>
      <c r="M255" s="5" t="s">
        <v>114</v>
      </c>
      <c r="N255" s="5" t="s">
        <v>57</v>
      </c>
      <c r="O255" s="6" t="s">
        <v>40</v>
      </c>
      <c r="P255" s="5" t="s">
        <v>1263</v>
      </c>
      <c r="Q255" s="5" t="s">
        <v>1264</v>
      </c>
      <c r="R255" s="6" t="s">
        <v>42</v>
      </c>
      <c r="S255" s="5" t="s">
        <v>99</v>
      </c>
      <c r="T255" s="5" t="s">
        <v>90</v>
      </c>
      <c r="U255" s="5" t="s">
        <v>44</v>
      </c>
      <c r="V255" s="5" t="s">
        <v>44</v>
      </c>
      <c r="W255" s="5" t="s">
        <v>36</v>
      </c>
      <c r="X255" s="5" t="s">
        <v>356</v>
      </c>
      <c r="Y255" s="5" t="s">
        <v>46</v>
      </c>
      <c r="Z255" s="5" t="s">
        <v>47</v>
      </c>
      <c r="AA255" s="5" t="s">
        <v>48</v>
      </c>
      <c r="AB255" s="5" t="s">
        <v>1272</v>
      </c>
      <c r="AC255" s="6" t="s">
        <v>56</v>
      </c>
      <c r="AD255" s="6">
        <v>12140.0</v>
      </c>
    </row>
    <row r="256" ht="56.25" customHeight="1">
      <c r="A256" s="5" t="s">
        <v>1262</v>
      </c>
      <c r="B256" s="6" t="str">
        <f>IMAGE("https://storage.googleapis.com/acdb/miscellaneous/FtrDalFigure_Remake_2_0.png")</f>
        <v/>
      </c>
      <c r="C256" s="5" t="s">
        <v>142</v>
      </c>
      <c r="D256" s="5" t="s">
        <v>135</v>
      </c>
      <c r="E256" s="5" t="s">
        <v>34</v>
      </c>
      <c r="F256" s="5" t="s">
        <v>34</v>
      </c>
      <c r="G256" s="5" t="s">
        <v>36</v>
      </c>
      <c r="H256" s="5" t="s">
        <v>35</v>
      </c>
      <c r="I256" s="5" t="s">
        <v>36</v>
      </c>
      <c r="J256" s="6">
        <v>2.0</v>
      </c>
      <c r="K256" s="6" t="s">
        <v>37</v>
      </c>
      <c r="L256" s="6">
        <v>1010.0</v>
      </c>
      <c r="M256" s="5" t="s">
        <v>142</v>
      </c>
      <c r="N256" s="5" t="s">
        <v>57</v>
      </c>
      <c r="O256" s="6" t="s">
        <v>40</v>
      </c>
      <c r="P256" s="5" t="s">
        <v>1263</v>
      </c>
      <c r="Q256" s="5" t="s">
        <v>1264</v>
      </c>
      <c r="R256" s="6" t="s">
        <v>42</v>
      </c>
      <c r="S256" s="5" t="s">
        <v>99</v>
      </c>
      <c r="T256" s="5" t="s">
        <v>90</v>
      </c>
      <c r="U256" s="5" t="s">
        <v>44</v>
      </c>
      <c r="V256" s="5" t="s">
        <v>44</v>
      </c>
      <c r="W256" s="5" t="s">
        <v>36</v>
      </c>
      <c r="X256" s="5" t="s">
        <v>356</v>
      </c>
      <c r="Y256" s="5" t="s">
        <v>46</v>
      </c>
      <c r="Z256" s="5" t="s">
        <v>47</v>
      </c>
      <c r="AA256" s="5" t="s">
        <v>48</v>
      </c>
      <c r="AB256" s="5" t="s">
        <v>1275</v>
      </c>
      <c r="AC256" s="6" t="s">
        <v>67</v>
      </c>
      <c r="AD256" s="6">
        <v>12140.0</v>
      </c>
    </row>
    <row r="257" ht="56.25" customHeight="1">
      <c r="A257" s="5" t="s">
        <v>1262</v>
      </c>
      <c r="B257" s="6" t="str">
        <f>IMAGE("https://storage.googleapis.com/acdb/miscellaneous/FtrDalFigure_Remake_3_0.png")</f>
        <v/>
      </c>
      <c r="C257" s="5" t="s">
        <v>96</v>
      </c>
      <c r="D257" s="5" t="s">
        <v>135</v>
      </c>
      <c r="E257" s="5" t="s">
        <v>34</v>
      </c>
      <c r="F257" s="5" t="s">
        <v>34</v>
      </c>
      <c r="G257" s="5" t="s">
        <v>36</v>
      </c>
      <c r="H257" s="5" t="s">
        <v>35</v>
      </c>
      <c r="I257" s="5" t="s">
        <v>36</v>
      </c>
      <c r="J257" s="6">
        <v>2.0</v>
      </c>
      <c r="K257" s="6" t="s">
        <v>37</v>
      </c>
      <c r="L257" s="6">
        <v>1010.0</v>
      </c>
      <c r="M257" s="5" t="s">
        <v>96</v>
      </c>
      <c r="N257" s="5" t="s">
        <v>57</v>
      </c>
      <c r="O257" s="6" t="s">
        <v>40</v>
      </c>
      <c r="P257" s="5" t="s">
        <v>1263</v>
      </c>
      <c r="Q257" s="5" t="s">
        <v>1264</v>
      </c>
      <c r="R257" s="6" t="s">
        <v>42</v>
      </c>
      <c r="S257" s="5" t="s">
        <v>99</v>
      </c>
      <c r="T257" s="5" t="s">
        <v>90</v>
      </c>
      <c r="U257" s="5" t="s">
        <v>44</v>
      </c>
      <c r="V257" s="5" t="s">
        <v>44</v>
      </c>
      <c r="W257" s="5" t="s">
        <v>36</v>
      </c>
      <c r="X257" s="5" t="s">
        <v>356</v>
      </c>
      <c r="Y257" s="5" t="s">
        <v>46</v>
      </c>
      <c r="Z257" s="5" t="s">
        <v>47</v>
      </c>
      <c r="AA257" s="5" t="s">
        <v>48</v>
      </c>
      <c r="AB257" s="5" t="s">
        <v>1278</v>
      </c>
      <c r="AC257" s="6" t="s">
        <v>71</v>
      </c>
      <c r="AD257" s="6">
        <v>12140.0</v>
      </c>
    </row>
    <row r="258" ht="56.25" customHeight="1">
      <c r="A258" s="5" t="s">
        <v>1279</v>
      </c>
      <c r="B258" s="16" t="str">
        <f>IMAGE("https://storage.googleapis.com/acdb/miscellaneous/FtrDalMug.png")</f>
        <v/>
      </c>
      <c r="C258" s="5" t="s">
        <v>34</v>
      </c>
      <c r="D258" s="5" t="s">
        <v>34</v>
      </c>
      <c r="E258" s="5" t="s">
        <v>34</v>
      </c>
      <c r="F258" s="5" t="s">
        <v>34</v>
      </c>
      <c r="G258" s="5" t="s">
        <v>36</v>
      </c>
      <c r="H258" s="5" t="s">
        <v>36</v>
      </c>
      <c r="I258" s="5" t="s">
        <v>36</v>
      </c>
      <c r="J258" s="6" t="s">
        <v>34</v>
      </c>
      <c r="K258" s="6" t="s">
        <v>37</v>
      </c>
      <c r="L258" s="6">
        <v>1010.0</v>
      </c>
      <c r="M258" s="5" t="s">
        <v>68</v>
      </c>
      <c r="N258" s="5" t="s">
        <v>57</v>
      </c>
      <c r="O258" s="6" t="s">
        <v>40</v>
      </c>
      <c r="P258" s="5" t="s">
        <v>1263</v>
      </c>
      <c r="Q258" s="5" t="s">
        <v>1264</v>
      </c>
      <c r="R258" s="6" t="s">
        <v>42</v>
      </c>
      <c r="S258" s="5" t="s">
        <v>159</v>
      </c>
      <c r="T258" s="5" t="s">
        <v>90</v>
      </c>
      <c r="U258" s="5" t="s">
        <v>44</v>
      </c>
      <c r="V258" s="5" t="s">
        <v>44</v>
      </c>
      <c r="W258" s="5" t="s">
        <v>36</v>
      </c>
      <c r="X258" s="5" t="s">
        <v>521</v>
      </c>
      <c r="Y258" s="5" t="s">
        <v>46</v>
      </c>
      <c r="Z258" s="5" t="s">
        <v>47</v>
      </c>
      <c r="AA258" s="5" t="s">
        <v>48</v>
      </c>
      <c r="AB258" s="5" t="s">
        <v>1282</v>
      </c>
      <c r="AC258" s="6" t="s">
        <v>34</v>
      </c>
      <c r="AD258" s="6">
        <v>12139.0</v>
      </c>
    </row>
    <row r="259" ht="56.25" customHeight="1">
      <c r="A259" s="5" t="s">
        <v>1283</v>
      </c>
      <c r="B259" s="6" t="str">
        <f>IMAGE("https://storage.googleapis.com/acdb/miscellaneous/FtrDalecarlianhorse_Remake_0_0.png")</f>
        <v/>
      </c>
      <c r="C259" s="5" t="s">
        <v>52</v>
      </c>
      <c r="D259" s="5" t="s">
        <v>2</v>
      </c>
      <c r="E259" s="5" t="s">
        <v>34</v>
      </c>
      <c r="F259" s="5" t="s">
        <v>34</v>
      </c>
      <c r="G259" s="5" t="s">
        <v>36</v>
      </c>
      <c r="H259" s="5" t="s">
        <v>35</v>
      </c>
      <c r="I259" s="5" t="s">
        <v>36</v>
      </c>
      <c r="J259" s="6">
        <v>2.0</v>
      </c>
      <c r="K259" s="6" t="s">
        <v>37</v>
      </c>
      <c r="L259" s="6">
        <v>1300.0</v>
      </c>
      <c r="M259" s="5" t="s">
        <v>52</v>
      </c>
      <c r="N259" s="5" t="s">
        <v>58</v>
      </c>
      <c r="O259" s="6" t="s">
        <v>40</v>
      </c>
      <c r="P259" s="5" t="s">
        <v>1284</v>
      </c>
      <c r="Q259" s="5"/>
      <c r="R259" s="6" t="s">
        <v>42</v>
      </c>
      <c r="S259" s="5" t="s">
        <v>696</v>
      </c>
      <c r="T259" s="5" t="s">
        <v>44</v>
      </c>
      <c r="U259" s="5" t="s">
        <v>44</v>
      </c>
      <c r="V259" s="5" t="s">
        <v>44</v>
      </c>
      <c r="W259" s="5" t="s">
        <v>36</v>
      </c>
      <c r="X259" s="5" t="s">
        <v>1285</v>
      </c>
      <c r="Y259" s="5" t="s">
        <v>46</v>
      </c>
      <c r="Z259" s="5" t="s">
        <v>47</v>
      </c>
      <c r="AA259" s="5" t="s">
        <v>48</v>
      </c>
      <c r="AB259" s="5" t="s">
        <v>1286</v>
      </c>
      <c r="AC259" s="6" t="s">
        <v>50</v>
      </c>
      <c r="AD259" s="6">
        <v>685.0</v>
      </c>
    </row>
    <row r="260" ht="56.25" customHeight="1">
      <c r="A260" s="5" t="s">
        <v>1283</v>
      </c>
      <c r="B260" s="6" t="str">
        <f>IMAGE("https://storage.googleapis.com/acdb/miscellaneous/FtrDalecarlianhorse_Remake_1_0.png")</f>
        <v/>
      </c>
      <c r="C260" s="5" t="s">
        <v>68</v>
      </c>
      <c r="D260" s="5" t="s">
        <v>2</v>
      </c>
      <c r="E260" s="5" t="s">
        <v>34</v>
      </c>
      <c r="F260" s="5" t="s">
        <v>34</v>
      </c>
      <c r="G260" s="5" t="s">
        <v>36</v>
      </c>
      <c r="H260" s="5" t="s">
        <v>35</v>
      </c>
      <c r="I260" s="5" t="s">
        <v>36</v>
      </c>
      <c r="J260" s="6">
        <v>2.0</v>
      </c>
      <c r="K260" s="6" t="s">
        <v>37</v>
      </c>
      <c r="L260" s="6">
        <v>1300.0</v>
      </c>
      <c r="M260" s="5" t="s">
        <v>68</v>
      </c>
      <c r="N260" s="5" t="s">
        <v>58</v>
      </c>
      <c r="O260" s="6" t="s">
        <v>40</v>
      </c>
      <c r="P260" s="5" t="s">
        <v>1284</v>
      </c>
      <c r="Q260" s="5"/>
      <c r="R260" s="6" t="s">
        <v>42</v>
      </c>
      <c r="S260" s="5" t="s">
        <v>696</v>
      </c>
      <c r="T260" s="5" t="s">
        <v>44</v>
      </c>
      <c r="U260" s="5" t="s">
        <v>44</v>
      </c>
      <c r="V260" s="5" t="s">
        <v>44</v>
      </c>
      <c r="W260" s="5" t="s">
        <v>36</v>
      </c>
      <c r="X260" s="5" t="s">
        <v>1285</v>
      </c>
      <c r="Y260" s="5" t="s">
        <v>46</v>
      </c>
      <c r="Z260" s="5" t="s">
        <v>47</v>
      </c>
      <c r="AA260" s="5" t="s">
        <v>48</v>
      </c>
      <c r="AB260" s="5" t="s">
        <v>1290</v>
      </c>
      <c r="AC260" s="6" t="s">
        <v>56</v>
      </c>
      <c r="AD260" s="6">
        <v>685.0</v>
      </c>
    </row>
    <row r="261" ht="56.25" customHeight="1">
      <c r="A261" s="5" t="s">
        <v>1283</v>
      </c>
      <c r="B261" s="6" t="str">
        <f>IMAGE("https://storage.googleapis.com/acdb/miscellaneous/FtrDalecarlianhorse_Remake_2_0.png")</f>
        <v/>
      </c>
      <c r="C261" s="5" t="s">
        <v>57</v>
      </c>
      <c r="D261" s="5" t="s">
        <v>2</v>
      </c>
      <c r="E261" s="5" t="s">
        <v>34</v>
      </c>
      <c r="F261" s="5" t="s">
        <v>34</v>
      </c>
      <c r="G261" s="5" t="s">
        <v>36</v>
      </c>
      <c r="H261" s="5" t="s">
        <v>35</v>
      </c>
      <c r="I261" s="5" t="s">
        <v>36</v>
      </c>
      <c r="J261" s="6">
        <v>2.0</v>
      </c>
      <c r="K261" s="6" t="s">
        <v>37</v>
      </c>
      <c r="L261" s="6">
        <v>1300.0</v>
      </c>
      <c r="M261" s="5" t="s">
        <v>57</v>
      </c>
      <c r="N261" s="5" t="s">
        <v>58</v>
      </c>
      <c r="O261" s="6" t="s">
        <v>40</v>
      </c>
      <c r="P261" s="5" t="s">
        <v>1284</v>
      </c>
      <c r="Q261" s="5"/>
      <c r="R261" s="6" t="s">
        <v>42</v>
      </c>
      <c r="S261" s="5" t="s">
        <v>696</v>
      </c>
      <c r="T261" s="5" t="s">
        <v>44</v>
      </c>
      <c r="U261" s="5" t="s">
        <v>44</v>
      </c>
      <c r="V261" s="5" t="s">
        <v>44</v>
      </c>
      <c r="W261" s="5" t="s">
        <v>36</v>
      </c>
      <c r="X261" s="5" t="s">
        <v>1285</v>
      </c>
      <c r="Y261" s="5" t="s">
        <v>46</v>
      </c>
      <c r="Z261" s="5" t="s">
        <v>47</v>
      </c>
      <c r="AA261" s="5" t="s">
        <v>48</v>
      </c>
      <c r="AB261" s="5" t="s">
        <v>1293</v>
      </c>
      <c r="AC261" s="6" t="s">
        <v>67</v>
      </c>
      <c r="AD261" s="6">
        <v>685.0</v>
      </c>
    </row>
    <row r="262" ht="56.25" customHeight="1">
      <c r="A262" s="5" t="s">
        <v>1294</v>
      </c>
      <c r="B262" s="16" t="str">
        <f>IMAGE("https://storage.googleapis.com/acdb/miscellaneous/FtrInsectItotonboToy.png")</f>
        <v/>
      </c>
      <c r="C262" s="5" t="s">
        <v>34</v>
      </c>
      <c r="D262" s="5" t="s">
        <v>34</v>
      </c>
      <c r="E262" s="5" t="s">
        <v>34</v>
      </c>
      <c r="F262" s="5" t="s">
        <v>34</v>
      </c>
      <c r="G262" s="5" t="s">
        <v>36</v>
      </c>
      <c r="H262" s="5" t="s">
        <v>36</v>
      </c>
      <c r="I262" s="5" t="s">
        <v>36</v>
      </c>
      <c r="J262" s="6" t="s">
        <v>34</v>
      </c>
      <c r="K262" s="6" t="s">
        <v>37</v>
      </c>
      <c r="L262" s="6">
        <v>1500.0</v>
      </c>
      <c r="M262" s="5" t="s">
        <v>54</v>
      </c>
      <c r="N262" s="5" t="s">
        <v>68</v>
      </c>
      <c r="O262" s="6" t="s">
        <v>40</v>
      </c>
      <c r="P262" s="5" t="s">
        <v>107</v>
      </c>
      <c r="Q262" s="5" t="s">
        <v>108</v>
      </c>
      <c r="R262" s="6" t="s">
        <v>42</v>
      </c>
      <c r="S262" s="5" t="s">
        <v>44</v>
      </c>
      <c r="T262" s="5" t="s">
        <v>44</v>
      </c>
      <c r="U262" s="5" t="s">
        <v>44</v>
      </c>
      <c r="V262" s="5" t="s">
        <v>44</v>
      </c>
      <c r="W262" s="5" t="s">
        <v>36</v>
      </c>
      <c r="X262" s="5" t="s">
        <v>109</v>
      </c>
      <c r="Y262" s="5" t="s">
        <v>46</v>
      </c>
      <c r="Z262" s="5" t="s">
        <v>47</v>
      </c>
      <c r="AA262" s="5" t="s">
        <v>48</v>
      </c>
      <c r="AB262" s="5" t="s">
        <v>1295</v>
      </c>
      <c r="AC262" s="6" t="s">
        <v>34</v>
      </c>
      <c r="AD262" s="6">
        <v>7121.0</v>
      </c>
    </row>
    <row r="263" ht="56.25" customHeight="1">
      <c r="A263" s="5" t="s">
        <v>1296</v>
      </c>
      <c r="B263" s="16" t="str">
        <f>IMAGE("https://storage.googleapis.com/acdb/miscellaneous/FtrInsectGinyanmaToy.png")</f>
        <v/>
      </c>
      <c r="C263" s="5" t="s">
        <v>34</v>
      </c>
      <c r="D263" s="5" t="s">
        <v>34</v>
      </c>
      <c r="E263" s="5" t="s">
        <v>34</v>
      </c>
      <c r="F263" s="5" t="s">
        <v>34</v>
      </c>
      <c r="G263" s="5" t="s">
        <v>36</v>
      </c>
      <c r="H263" s="5" t="s">
        <v>36</v>
      </c>
      <c r="I263" s="5" t="s">
        <v>36</v>
      </c>
      <c r="J263" s="6" t="s">
        <v>34</v>
      </c>
      <c r="K263" s="6" t="s">
        <v>37</v>
      </c>
      <c r="L263" s="6">
        <v>690.0</v>
      </c>
      <c r="M263" s="5" t="s">
        <v>96</v>
      </c>
      <c r="N263" s="5" t="s">
        <v>96</v>
      </c>
      <c r="O263" s="6" t="s">
        <v>40</v>
      </c>
      <c r="P263" s="5" t="s">
        <v>107</v>
      </c>
      <c r="Q263" s="5" t="s">
        <v>108</v>
      </c>
      <c r="R263" s="6" t="s">
        <v>42</v>
      </c>
      <c r="S263" s="5" t="s">
        <v>44</v>
      </c>
      <c r="T263" s="5" t="s">
        <v>44</v>
      </c>
      <c r="U263" s="5" t="s">
        <v>44</v>
      </c>
      <c r="V263" s="5" t="s">
        <v>44</v>
      </c>
      <c r="W263" s="5" t="s">
        <v>36</v>
      </c>
      <c r="X263" s="5" t="s">
        <v>109</v>
      </c>
      <c r="Y263" s="5" t="s">
        <v>46</v>
      </c>
      <c r="Z263" s="5" t="s">
        <v>47</v>
      </c>
      <c r="AA263" s="5" t="s">
        <v>48</v>
      </c>
      <c r="AB263" s="5" t="s">
        <v>1299</v>
      </c>
      <c r="AC263" s="6" t="s">
        <v>34</v>
      </c>
      <c r="AD263" s="6">
        <v>7058.0</v>
      </c>
    </row>
    <row r="264" ht="56.25" customHeight="1">
      <c r="A264" s="5" t="s">
        <v>1300</v>
      </c>
      <c r="B264" s="6" t="str">
        <f>IMAGE("https://storage.googleapis.com/acdb/miscellaneous/FtrDecoy_Remake_0_0.png")</f>
        <v/>
      </c>
      <c r="C264" s="5" t="s">
        <v>32</v>
      </c>
      <c r="D264" s="5" t="s">
        <v>373</v>
      </c>
      <c r="E264" s="5" t="s">
        <v>34</v>
      </c>
      <c r="F264" s="5" t="s">
        <v>34</v>
      </c>
      <c r="G264" s="5" t="s">
        <v>35</v>
      </c>
      <c r="H264" s="5" t="s">
        <v>35</v>
      </c>
      <c r="I264" s="5" t="s">
        <v>36</v>
      </c>
      <c r="J264" s="6">
        <v>1.0</v>
      </c>
      <c r="K264" s="6" t="s">
        <v>37</v>
      </c>
      <c r="L264" s="6">
        <v>480.0</v>
      </c>
      <c r="M264" s="5" t="s">
        <v>38</v>
      </c>
      <c r="N264" s="5" t="s">
        <v>38</v>
      </c>
      <c r="O264" s="6" t="s">
        <v>40</v>
      </c>
      <c r="P264" s="5" t="s">
        <v>41</v>
      </c>
      <c r="Q264" s="5"/>
      <c r="R264" s="6" t="s">
        <v>42</v>
      </c>
      <c r="S264" s="5" t="s">
        <v>99</v>
      </c>
      <c r="T264" s="5" t="s">
        <v>44</v>
      </c>
      <c r="U264" s="5" t="s">
        <v>44</v>
      </c>
      <c r="V264" s="5" t="s">
        <v>44</v>
      </c>
      <c r="W264" s="5" t="s">
        <v>36</v>
      </c>
      <c r="X264" s="5" t="s">
        <v>330</v>
      </c>
      <c r="Y264" s="5" t="s">
        <v>46</v>
      </c>
      <c r="Z264" s="5" t="s">
        <v>47</v>
      </c>
      <c r="AA264" s="5" t="s">
        <v>48</v>
      </c>
      <c r="AB264" s="5" t="s">
        <v>1303</v>
      </c>
      <c r="AC264" s="6" t="s">
        <v>50</v>
      </c>
      <c r="AD264" s="6">
        <v>1797.0</v>
      </c>
    </row>
    <row r="265" ht="56.25" customHeight="1">
      <c r="A265" s="5" t="s">
        <v>1300</v>
      </c>
      <c r="B265" s="6" t="str">
        <f>IMAGE("https://storage.googleapis.com/acdb/miscellaneous/FtrDecoy_Remake_1_0.png")</f>
        <v/>
      </c>
      <c r="C265" s="5" t="s">
        <v>1306</v>
      </c>
      <c r="D265" s="5" t="s">
        <v>373</v>
      </c>
      <c r="E265" s="5" t="s">
        <v>34</v>
      </c>
      <c r="F265" s="5" t="s">
        <v>34</v>
      </c>
      <c r="G265" s="5" t="s">
        <v>35</v>
      </c>
      <c r="H265" s="5" t="s">
        <v>35</v>
      </c>
      <c r="I265" s="5" t="s">
        <v>36</v>
      </c>
      <c r="J265" s="6">
        <v>1.0</v>
      </c>
      <c r="K265" s="6" t="s">
        <v>37</v>
      </c>
      <c r="L265" s="6">
        <v>480.0</v>
      </c>
      <c r="M265" s="5" t="s">
        <v>38</v>
      </c>
      <c r="N265" s="5" t="s">
        <v>96</v>
      </c>
      <c r="O265" s="6" t="s">
        <v>40</v>
      </c>
      <c r="P265" s="5" t="s">
        <v>41</v>
      </c>
      <c r="Q265" s="5"/>
      <c r="R265" s="6" t="s">
        <v>42</v>
      </c>
      <c r="S265" s="5" t="s">
        <v>99</v>
      </c>
      <c r="T265" s="5" t="s">
        <v>44</v>
      </c>
      <c r="U265" s="5" t="s">
        <v>44</v>
      </c>
      <c r="V265" s="5" t="s">
        <v>44</v>
      </c>
      <c r="W265" s="5" t="s">
        <v>36</v>
      </c>
      <c r="X265" s="5" t="s">
        <v>330</v>
      </c>
      <c r="Y265" s="5" t="s">
        <v>46</v>
      </c>
      <c r="Z265" s="5" t="s">
        <v>47</v>
      </c>
      <c r="AA265" s="5" t="s">
        <v>48</v>
      </c>
      <c r="AB265" s="5" t="s">
        <v>1307</v>
      </c>
      <c r="AC265" s="6" t="s">
        <v>56</v>
      </c>
      <c r="AD265" s="6">
        <v>1797.0</v>
      </c>
    </row>
    <row r="266" ht="56.25" customHeight="1">
      <c r="A266" s="5" t="s">
        <v>1300</v>
      </c>
      <c r="B266" s="6" t="str">
        <f>IMAGE("https://storage.googleapis.com/acdb/miscellaneous/FtrDecoy_Remake_2_0.png")</f>
        <v/>
      </c>
      <c r="C266" s="5" t="s">
        <v>1308</v>
      </c>
      <c r="D266" s="5" t="s">
        <v>373</v>
      </c>
      <c r="E266" s="5" t="s">
        <v>34</v>
      </c>
      <c r="F266" s="5" t="s">
        <v>34</v>
      </c>
      <c r="G266" s="5" t="s">
        <v>35</v>
      </c>
      <c r="H266" s="5" t="s">
        <v>35</v>
      </c>
      <c r="I266" s="5" t="s">
        <v>36</v>
      </c>
      <c r="J266" s="6">
        <v>1.0</v>
      </c>
      <c r="K266" s="6" t="s">
        <v>37</v>
      </c>
      <c r="L266" s="6">
        <v>480.0</v>
      </c>
      <c r="M266" s="5" t="s">
        <v>39</v>
      </c>
      <c r="N266" s="5" t="s">
        <v>38</v>
      </c>
      <c r="O266" s="6" t="s">
        <v>40</v>
      </c>
      <c r="P266" s="5" t="s">
        <v>41</v>
      </c>
      <c r="Q266" s="5"/>
      <c r="R266" s="6" t="s">
        <v>42</v>
      </c>
      <c r="S266" s="5" t="s">
        <v>99</v>
      </c>
      <c r="T266" s="5" t="s">
        <v>44</v>
      </c>
      <c r="U266" s="5" t="s">
        <v>44</v>
      </c>
      <c r="V266" s="5" t="s">
        <v>44</v>
      </c>
      <c r="W266" s="5" t="s">
        <v>36</v>
      </c>
      <c r="X266" s="5" t="s">
        <v>330</v>
      </c>
      <c r="Y266" s="5" t="s">
        <v>46</v>
      </c>
      <c r="Z266" s="5" t="s">
        <v>47</v>
      </c>
      <c r="AA266" s="5" t="s">
        <v>48</v>
      </c>
      <c r="AB266" s="5" t="s">
        <v>1311</v>
      </c>
      <c r="AC266" s="6" t="s">
        <v>67</v>
      </c>
      <c r="AD266" s="6">
        <v>1797.0</v>
      </c>
    </row>
    <row r="267" ht="56.25" customHeight="1">
      <c r="A267" s="5" t="s">
        <v>1300</v>
      </c>
      <c r="B267" s="6" t="str">
        <f>IMAGE("https://storage.googleapis.com/acdb/miscellaneous/FtrDecoy_Remake_3_0.png")</f>
        <v/>
      </c>
      <c r="C267" s="5" t="s">
        <v>1312</v>
      </c>
      <c r="D267" s="5" t="s">
        <v>373</v>
      </c>
      <c r="E267" s="5" t="s">
        <v>34</v>
      </c>
      <c r="F267" s="5" t="s">
        <v>34</v>
      </c>
      <c r="G267" s="5" t="s">
        <v>35</v>
      </c>
      <c r="H267" s="5" t="s">
        <v>35</v>
      </c>
      <c r="I267" s="5" t="s">
        <v>36</v>
      </c>
      <c r="J267" s="6">
        <v>1.0</v>
      </c>
      <c r="K267" s="6" t="s">
        <v>37</v>
      </c>
      <c r="L267" s="6">
        <v>480.0</v>
      </c>
      <c r="M267" s="5" t="s">
        <v>57</v>
      </c>
      <c r="N267" s="5" t="s">
        <v>54</v>
      </c>
      <c r="O267" s="6" t="s">
        <v>40</v>
      </c>
      <c r="P267" s="5" t="s">
        <v>41</v>
      </c>
      <c r="Q267" s="5"/>
      <c r="R267" s="6" t="s">
        <v>42</v>
      </c>
      <c r="S267" s="5" t="s">
        <v>99</v>
      </c>
      <c r="T267" s="5" t="s">
        <v>44</v>
      </c>
      <c r="U267" s="5" t="s">
        <v>44</v>
      </c>
      <c r="V267" s="5" t="s">
        <v>44</v>
      </c>
      <c r="W267" s="5" t="s">
        <v>36</v>
      </c>
      <c r="X267" s="5" t="s">
        <v>330</v>
      </c>
      <c r="Y267" s="5" t="s">
        <v>46</v>
      </c>
      <c r="Z267" s="5" t="s">
        <v>47</v>
      </c>
      <c r="AA267" s="5" t="s">
        <v>48</v>
      </c>
      <c r="AB267" s="5" t="s">
        <v>1315</v>
      </c>
      <c r="AC267" s="6" t="s">
        <v>71</v>
      </c>
      <c r="AD267" s="6">
        <v>1797.0</v>
      </c>
    </row>
    <row r="268" ht="56.25" customHeight="1">
      <c r="A268" s="5" t="s">
        <v>1300</v>
      </c>
      <c r="B268" s="6" t="str">
        <f>IMAGE("https://storage.googleapis.com/acdb/miscellaneous/FtrDecoy_Remake_4_0.png")</f>
        <v/>
      </c>
      <c r="C268" s="5" t="s">
        <v>1317</v>
      </c>
      <c r="D268" s="5" t="s">
        <v>373</v>
      </c>
      <c r="E268" s="5" t="s">
        <v>34</v>
      </c>
      <c r="F268" s="5" t="s">
        <v>34</v>
      </c>
      <c r="G268" s="5" t="s">
        <v>35</v>
      </c>
      <c r="H268" s="5" t="s">
        <v>35</v>
      </c>
      <c r="I268" s="5" t="s">
        <v>36</v>
      </c>
      <c r="J268" s="6">
        <v>1.0</v>
      </c>
      <c r="K268" s="6" t="s">
        <v>37</v>
      </c>
      <c r="L268" s="6">
        <v>480.0</v>
      </c>
      <c r="M268" s="5" t="s">
        <v>57</v>
      </c>
      <c r="N268" s="5" t="s">
        <v>142</v>
      </c>
      <c r="O268" s="6" t="s">
        <v>40</v>
      </c>
      <c r="P268" s="5" t="s">
        <v>41</v>
      </c>
      <c r="Q268" s="5"/>
      <c r="R268" s="6" t="s">
        <v>42</v>
      </c>
      <c r="S268" s="5" t="s">
        <v>99</v>
      </c>
      <c r="T268" s="5" t="s">
        <v>44</v>
      </c>
      <c r="U268" s="5" t="s">
        <v>44</v>
      </c>
      <c r="V268" s="5" t="s">
        <v>44</v>
      </c>
      <c r="W268" s="5" t="s">
        <v>36</v>
      </c>
      <c r="X268" s="5" t="s">
        <v>330</v>
      </c>
      <c r="Y268" s="5" t="s">
        <v>46</v>
      </c>
      <c r="Z268" s="5" t="s">
        <v>47</v>
      </c>
      <c r="AA268" s="5" t="s">
        <v>48</v>
      </c>
      <c r="AB268" s="5" t="s">
        <v>1320</v>
      </c>
      <c r="AC268" s="6" t="s">
        <v>75</v>
      </c>
      <c r="AD268" s="6">
        <v>1797.0</v>
      </c>
    </row>
    <row r="269" ht="56.25" customHeight="1">
      <c r="A269" s="5" t="s">
        <v>1300</v>
      </c>
      <c r="B269" s="6" t="str">
        <f>IMAGE("https://storage.googleapis.com/acdb/miscellaneous/FtrDecoy_Remake_5_0.png")</f>
        <v/>
      </c>
      <c r="C269" s="5" t="s">
        <v>1321</v>
      </c>
      <c r="D269" s="5" t="s">
        <v>373</v>
      </c>
      <c r="E269" s="5" t="s">
        <v>34</v>
      </c>
      <c r="F269" s="5" t="s">
        <v>34</v>
      </c>
      <c r="G269" s="5" t="s">
        <v>35</v>
      </c>
      <c r="H269" s="5" t="s">
        <v>35</v>
      </c>
      <c r="I269" s="5" t="s">
        <v>36</v>
      </c>
      <c r="J269" s="6">
        <v>1.0</v>
      </c>
      <c r="K269" s="6" t="s">
        <v>37</v>
      </c>
      <c r="L269" s="6">
        <v>480.0</v>
      </c>
      <c r="M269" s="5" t="s">
        <v>54</v>
      </c>
      <c r="N269" s="5" t="s">
        <v>54</v>
      </c>
      <c r="O269" s="6" t="s">
        <v>40</v>
      </c>
      <c r="P269" s="5" t="s">
        <v>41</v>
      </c>
      <c r="Q269" s="5"/>
      <c r="R269" s="6" t="s">
        <v>42</v>
      </c>
      <c r="S269" s="5" t="s">
        <v>99</v>
      </c>
      <c r="T269" s="5" t="s">
        <v>44</v>
      </c>
      <c r="U269" s="5" t="s">
        <v>44</v>
      </c>
      <c r="V269" s="5" t="s">
        <v>44</v>
      </c>
      <c r="W269" s="5" t="s">
        <v>36</v>
      </c>
      <c r="X269" s="5" t="s">
        <v>330</v>
      </c>
      <c r="Y269" s="5" t="s">
        <v>46</v>
      </c>
      <c r="Z269" s="5" t="s">
        <v>47</v>
      </c>
      <c r="AA269" s="5" t="s">
        <v>48</v>
      </c>
      <c r="AB269" s="5" t="s">
        <v>1325</v>
      </c>
      <c r="AC269" s="6" t="s">
        <v>79</v>
      </c>
      <c r="AD269" s="6">
        <v>1797.0</v>
      </c>
    </row>
    <row r="270" ht="56.25" customHeight="1">
      <c r="A270" s="5" t="s">
        <v>1300</v>
      </c>
      <c r="B270" s="6" t="str">
        <f>IMAGE("https://storage.googleapis.com/acdb/miscellaneous/FtrDecoy_Remake_6_0.png")</f>
        <v/>
      </c>
      <c r="C270" s="5" t="s">
        <v>1328</v>
      </c>
      <c r="D270" s="5" t="s">
        <v>373</v>
      </c>
      <c r="E270" s="5" t="s">
        <v>34</v>
      </c>
      <c r="F270" s="5" t="s">
        <v>34</v>
      </c>
      <c r="G270" s="5" t="s">
        <v>35</v>
      </c>
      <c r="H270" s="5" t="s">
        <v>35</v>
      </c>
      <c r="I270" s="5" t="s">
        <v>36</v>
      </c>
      <c r="J270" s="6">
        <v>1.0</v>
      </c>
      <c r="K270" s="6" t="s">
        <v>37</v>
      </c>
      <c r="L270" s="6">
        <v>480.0</v>
      </c>
      <c r="M270" s="5" t="s">
        <v>57</v>
      </c>
      <c r="N270" s="5" t="s">
        <v>57</v>
      </c>
      <c r="O270" s="6" t="s">
        <v>40</v>
      </c>
      <c r="P270" s="5" t="s">
        <v>41</v>
      </c>
      <c r="Q270" s="5"/>
      <c r="R270" s="6" t="s">
        <v>42</v>
      </c>
      <c r="S270" s="5" t="s">
        <v>99</v>
      </c>
      <c r="T270" s="5" t="s">
        <v>44</v>
      </c>
      <c r="U270" s="5" t="s">
        <v>44</v>
      </c>
      <c r="V270" s="5" t="s">
        <v>44</v>
      </c>
      <c r="W270" s="5" t="s">
        <v>36</v>
      </c>
      <c r="X270" s="5" t="s">
        <v>330</v>
      </c>
      <c r="Y270" s="5" t="s">
        <v>46</v>
      </c>
      <c r="Z270" s="5" t="s">
        <v>47</v>
      </c>
      <c r="AA270" s="5" t="s">
        <v>48</v>
      </c>
      <c r="AB270" s="5" t="s">
        <v>1331</v>
      </c>
      <c r="AC270" s="6" t="s">
        <v>86</v>
      </c>
      <c r="AD270" s="6">
        <v>1797.0</v>
      </c>
    </row>
    <row r="271" ht="56.25" customHeight="1">
      <c r="A271" s="5" t="s">
        <v>1332</v>
      </c>
      <c r="B271" s="6" t="str">
        <f>IMAGE("https://storage.googleapis.com/acdb/miscellaneous/FtrMirror_Remake_0_0.png")</f>
        <v/>
      </c>
      <c r="C271" s="5" t="s">
        <v>151</v>
      </c>
      <c r="D271" s="5" t="s">
        <v>34</v>
      </c>
      <c r="E271" s="5" t="s">
        <v>34</v>
      </c>
      <c r="F271" s="5" t="s">
        <v>34</v>
      </c>
      <c r="G271" s="5" t="s">
        <v>36</v>
      </c>
      <c r="H271" s="5" t="s">
        <v>36</v>
      </c>
      <c r="I271" s="5" t="s">
        <v>36</v>
      </c>
      <c r="J271" s="6" t="s">
        <v>34</v>
      </c>
      <c r="K271" s="6">
        <v>1600.0</v>
      </c>
      <c r="L271" s="6">
        <v>400.0</v>
      </c>
      <c r="M271" s="5" t="s">
        <v>114</v>
      </c>
      <c r="N271" s="5" t="s">
        <v>83</v>
      </c>
      <c r="O271" s="6" t="s">
        <v>40</v>
      </c>
      <c r="P271" s="5" t="s">
        <v>59</v>
      </c>
      <c r="Q271" s="5" t="s">
        <v>60</v>
      </c>
      <c r="R271" s="6" t="s">
        <v>42</v>
      </c>
      <c r="S271" s="5" t="s">
        <v>99</v>
      </c>
      <c r="T271" s="5" t="s">
        <v>62</v>
      </c>
      <c r="U271" s="5" t="s">
        <v>44</v>
      </c>
      <c r="V271" s="5" t="s">
        <v>44</v>
      </c>
      <c r="W271" s="5" t="s">
        <v>35</v>
      </c>
      <c r="X271" s="5" t="s">
        <v>309</v>
      </c>
      <c r="Y271" s="5" t="s">
        <v>46</v>
      </c>
      <c r="Z271" s="5" t="s">
        <v>47</v>
      </c>
      <c r="AA271" s="5" t="s">
        <v>64</v>
      </c>
      <c r="AB271" s="5" t="s">
        <v>1336</v>
      </c>
      <c r="AC271" s="6" t="s">
        <v>50</v>
      </c>
      <c r="AD271" s="6">
        <v>1868.0</v>
      </c>
    </row>
    <row r="272" ht="56.25" customHeight="1">
      <c r="A272" s="5" t="s">
        <v>1332</v>
      </c>
      <c r="B272" s="6" t="str">
        <f>IMAGE("https://storage.googleapis.com/acdb/miscellaneous/FtrMirror_Remake_1_0.png")</f>
        <v/>
      </c>
      <c r="C272" s="5" t="s">
        <v>52</v>
      </c>
      <c r="D272" s="5" t="s">
        <v>34</v>
      </c>
      <c r="E272" s="5" t="s">
        <v>34</v>
      </c>
      <c r="F272" s="5" t="s">
        <v>34</v>
      </c>
      <c r="G272" s="5" t="s">
        <v>36</v>
      </c>
      <c r="H272" s="5" t="s">
        <v>36</v>
      </c>
      <c r="I272" s="5" t="s">
        <v>36</v>
      </c>
      <c r="J272" s="6" t="s">
        <v>34</v>
      </c>
      <c r="K272" s="6">
        <v>1600.0</v>
      </c>
      <c r="L272" s="6">
        <v>400.0</v>
      </c>
      <c r="M272" s="5" t="s">
        <v>52</v>
      </c>
      <c r="N272" s="5" t="s">
        <v>83</v>
      </c>
      <c r="O272" s="6" t="s">
        <v>40</v>
      </c>
      <c r="P272" s="5" t="s">
        <v>59</v>
      </c>
      <c r="Q272" s="5" t="s">
        <v>60</v>
      </c>
      <c r="R272" s="6" t="s">
        <v>42</v>
      </c>
      <c r="S272" s="5" t="s">
        <v>99</v>
      </c>
      <c r="T272" s="5" t="s">
        <v>62</v>
      </c>
      <c r="U272" s="5" t="s">
        <v>44</v>
      </c>
      <c r="V272" s="5" t="s">
        <v>44</v>
      </c>
      <c r="W272" s="5" t="s">
        <v>35</v>
      </c>
      <c r="X272" s="5" t="s">
        <v>309</v>
      </c>
      <c r="Y272" s="5" t="s">
        <v>46</v>
      </c>
      <c r="Z272" s="5" t="s">
        <v>47</v>
      </c>
      <c r="AA272" s="5" t="s">
        <v>64</v>
      </c>
      <c r="AB272" s="5" t="s">
        <v>1337</v>
      </c>
      <c r="AC272" s="6" t="s">
        <v>56</v>
      </c>
      <c r="AD272" s="6">
        <v>1868.0</v>
      </c>
    </row>
    <row r="273" ht="56.25" customHeight="1">
      <c r="A273" s="5" t="s">
        <v>1332</v>
      </c>
      <c r="B273" s="6" t="str">
        <f>IMAGE("https://storage.googleapis.com/acdb/miscellaneous/FtrMirror_Remake_2_0.png")</f>
        <v/>
      </c>
      <c r="C273" s="5" t="s">
        <v>69</v>
      </c>
      <c r="D273" s="5" t="s">
        <v>34</v>
      </c>
      <c r="E273" s="5" t="s">
        <v>34</v>
      </c>
      <c r="F273" s="5" t="s">
        <v>34</v>
      </c>
      <c r="G273" s="5" t="s">
        <v>36</v>
      </c>
      <c r="H273" s="5" t="s">
        <v>36</v>
      </c>
      <c r="I273" s="5" t="s">
        <v>36</v>
      </c>
      <c r="J273" s="6" t="s">
        <v>34</v>
      </c>
      <c r="K273" s="6">
        <v>1600.0</v>
      </c>
      <c r="L273" s="6">
        <v>400.0</v>
      </c>
      <c r="M273" s="5" t="s">
        <v>69</v>
      </c>
      <c r="N273" s="5" t="s">
        <v>83</v>
      </c>
      <c r="O273" s="6" t="s">
        <v>40</v>
      </c>
      <c r="P273" s="5" t="s">
        <v>59</v>
      </c>
      <c r="Q273" s="5" t="s">
        <v>60</v>
      </c>
      <c r="R273" s="6" t="s">
        <v>42</v>
      </c>
      <c r="S273" s="5" t="s">
        <v>99</v>
      </c>
      <c r="T273" s="5" t="s">
        <v>62</v>
      </c>
      <c r="U273" s="5" t="s">
        <v>44</v>
      </c>
      <c r="V273" s="5" t="s">
        <v>44</v>
      </c>
      <c r="W273" s="5" t="s">
        <v>35</v>
      </c>
      <c r="X273" s="5" t="s">
        <v>309</v>
      </c>
      <c r="Y273" s="5" t="s">
        <v>46</v>
      </c>
      <c r="Z273" s="5" t="s">
        <v>47</v>
      </c>
      <c r="AA273" s="5" t="s">
        <v>64</v>
      </c>
      <c r="AB273" s="5" t="s">
        <v>1341</v>
      </c>
      <c r="AC273" s="6" t="s">
        <v>67</v>
      </c>
      <c r="AD273" s="6">
        <v>1868.0</v>
      </c>
    </row>
    <row r="274" ht="56.25" customHeight="1">
      <c r="A274" s="5" t="s">
        <v>1332</v>
      </c>
      <c r="B274" s="6" t="str">
        <f>IMAGE("https://storage.googleapis.com/acdb/miscellaneous/FtrMirror_Remake_3_0.png")</f>
        <v/>
      </c>
      <c r="C274" s="5" t="s">
        <v>68</v>
      </c>
      <c r="D274" s="5" t="s">
        <v>34</v>
      </c>
      <c r="E274" s="5" t="s">
        <v>34</v>
      </c>
      <c r="F274" s="5" t="s">
        <v>34</v>
      </c>
      <c r="G274" s="5" t="s">
        <v>36</v>
      </c>
      <c r="H274" s="5" t="s">
        <v>36</v>
      </c>
      <c r="I274" s="5" t="s">
        <v>36</v>
      </c>
      <c r="J274" s="6" t="s">
        <v>34</v>
      </c>
      <c r="K274" s="6">
        <v>1600.0</v>
      </c>
      <c r="L274" s="6">
        <v>400.0</v>
      </c>
      <c r="M274" s="5" t="s">
        <v>68</v>
      </c>
      <c r="N274" s="5" t="s">
        <v>83</v>
      </c>
      <c r="O274" s="6" t="s">
        <v>40</v>
      </c>
      <c r="P274" s="5" t="s">
        <v>59</v>
      </c>
      <c r="Q274" s="5" t="s">
        <v>60</v>
      </c>
      <c r="R274" s="6" t="s">
        <v>42</v>
      </c>
      <c r="S274" s="5" t="s">
        <v>99</v>
      </c>
      <c r="T274" s="5" t="s">
        <v>62</v>
      </c>
      <c r="U274" s="5" t="s">
        <v>44</v>
      </c>
      <c r="V274" s="5" t="s">
        <v>44</v>
      </c>
      <c r="W274" s="5" t="s">
        <v>35</v>
      </c>
      <c r="X274" s="5" t="s">
        <v>309</v>
      </c>
      <c r="Y274" s="5" t="s">
        <v>46</v>
      </c>
      <c r="Z274" s="5" t="s">
        <v>47</v>
      </c>
      <c r="AA274" s="5" t="s">
        <v>64</v>
      </c>
      <c r="AB274" s="5" t="s">
        <v>1344</v>
      </c>
      <c r="AC274" s="6" t="s">
        <v>71</v>
      </c>
      <c r="AD274" s="6">
        <v>1868.0</v>
      </c>
    </row>
    <row r="275" ht="56.25" customHeight="1">
      <c r="A275" s="5" t="s">
        <v>1332</v>
      </c>
      <c r="B275" s="6" t="str">
        <f>IMAGE("https://storage.googleapis.com/acdb/miscellaneous/FtrMirror_Remake_4_0.png")</f>
        <v/>
      </c>
      <c r="C275" s="5" t="s">
        <v>57</v>
      </c>
      <c r="D275" s="5" t="s">
        <v>34</v>
      </c>
      <c r="E275" s="5" t="s">
        <v>34</v>
      </c>
      <c r="F275" s="5" t="s">
        <v>34</v>
      </c>
      <c r="G275" s="5" t="s">
        <v>36</v>
      </c>
      <c r="H275" s="5" t="s">
        <v>36</v>
      </c>
      <c r="I275" s="5" t="s">
        <v>36</v>
      </c>
      <c r="J275" s="6" t="s">
        <v>34</v>
      </c>
      <c r="K275" s="6">
        <v>1600.0</v>
      </c>
      <c r="L275" s="6">
        <v>400.0</v>
      </c>
      <c r="M275" s="5" t="s">
        <v>57</v>
      </c>
      <c r="N275" s="5" t="s">
        <v>83</v>
      </c>
      <c r="O275" s="6" t="s">
        <v>40</v>
      </c>
      <c r="P275" s="5" t="s">
        <v>59</v>
      </c>
      <c r="Q275" s="5" t="s">
        <v>60</v>
      </c>
      <c r="R275" s="6" t="s">
        <v>42</v>
      </c>
      <c r="S275" s="5" t="s">
        <v>99</v>
      </c>
      <c r="T275" s="5" t="s">
        <v>62</v>
      </c>
      <c r="U275" s="5" t="s">
        <v>44</v>
      </c>
      <c r="V275" s="5" t="s">
        <v>44</v>
      </c>
      <c r="W275" s="5" t="s">
        <v>35</v>
      </c>
      <c r="X275" s="5" t="s">
        <v>309</v>
      </c>
      <c r="Y275" s="5" t="s">
        <v>46</v>
      </c>
      <c r="Z275" s="5" t="s">
        <v>47</v>
      </c>
      <c r="AA275" s="5" t="s">
        <v>64</v>
      </c>
      <c r="AB275" s="5" t="s">
        <v>1346</v>
      </c>
      <c r="AC275" s="6" t="s">
        <v>75</v>
      </c>
      <c r="AD275" s="6">
        <v>1868.0</v>
      </c>
    </row>
    <row r="276" ht="56.25" customHeight="1">
      <c r="A276" s="5" t="s">
        <v>1332</v>
      </c>
      <c r="B276" s="6" t="str">
        <f>IMAGE("https://storage.googleapis.com/acdb/miscellaneous/FtrMirror_Remake_5_0.png")</f>
        <v/>
      </c>
      <c r="C276" s="5" t="s">
        <v>54</v>
      </c>
      <c r="D276" s="5" t="s">
        <v>34</v>
      </c>
      <c r="E276" s="5" t="s">
        <v>34</v>
      </c>
      <c r="F276" s="5" t="s">
        <v>34</v>
      </c>
      <c r="G276" s="5" t="s">
        <v>36</v>
      </c>
      <c r="H276" s="5" t="s">
        <v>36</v>
      </c>
      <c r="I276" s="5" t="s">
        <v>36</v>
      </c>
      <c r="J276" s="6" t="s">
        <v>34</v>
      </c>
      <c r="K276" s="6">
        <v>1600.0</v>
      </c>
      <c r="L276" s="6">
        <v>400.0</v>
      </c>
      <c r="M276" s="5" t="s">
        <v>54</v>
      </c>
      <c r="N276" s="5" t="s">
        <v>83</v>
      </c>
      <c r="O276" s="6" t="s">
        <v>40</v>
      </c>
      <c r="P276" s="5" t="s">
        <v>59</v>
      </c>
      <c r="Q276" s="5" t="s">
        <v>60</v>
      </c>
      <c r="R276" s="6" t="s">
        <v>42</v>
      </c>
      <c r="S276" s="5" t="s">
        <v>99</v>
      </c>
      <c r="T276" s="5" t="s">
        <v>62</v>
      </c>
      <c r="U276" s="5" t="s">
        <v>44</v>
      </c>
      <c r="V276" s="5" t="s">
        <v>44</v>
      </c>
      <c r="W276" s="5" t="s">
        <v>35</v>
      </c>
      <c r="X276" s="5" t="s">
        <v>309</v>
      </c>
      <c r="Y276" s="5" t="s">
        <v>46</v>
      </c>
      <c r="Z276" s="5" t="s">
        <v>47</v>
      </c>
      <c r="AA276" s="5" t="s">
        <v>64</v>
      </c>
      <c r="AB276" s="5" t="s">
        <v>1348</v>
      </c>
      <c r="AC276" s="6" t="s">
        <v>79</v>
      </c>
      <c r="AD276" s="6">
        <v>1868.0</v>
      </c>
    </row>
    <row r="277" ht="56.25" customHeight="1">
      <c r="A277" s="5" t="s">
        <v>1349</v>
      </c>
      <c r="B277" s="6" t="str">
        <f>IMAGE("https://storage.googleapis.com/acdb/miscellaneous/FtrDesktopPC_Remake_0_0.png")</f>
        <v/>
      </c>
      <c r="C277" s="5" t="s">
        <v>54</v>
      </c>
      <c r="D277" s="5" t="s">
        <v>34</v>
      </c>
      <c r="E277" s="5" t="s">
        <v>1350</v>
      </c>
      <c r="F277" s="5" t="s">
        <v>715</v>
      </c>
      <c r="G277" s="5" t="s">
        <v>36</v>
      </c>
      <c r="H277" s="5" t="s">
        <v>36</v>
      </c>
      <c r="I277" s="5" t="s">
        <v>35</v>
      </c>
      <c r="J277" s="6">
        <v>7.0</v>
      </c>
      <c r="K277" s="6">
        <v>100000.0</v>
      </c>
      <c r="L277" s="6">
        <v>25000.0</v>
      </c>
      <c r="M277" s="5" t="s">
        <v>54</v>
      </c>
      <c r="N277" s="5" t="s">
        <v>68</v>
      </c>
      <c r="O277" s="6" t="s">
        <v>40</v>
      </c>
      <c r="P277" s="5" t="s">
        <v>59</v>
      </c>
      <c r="Q277" s="5" t="s">
        <v>115</v>
      </c>
      <c r="R277" s="6" t="s">
        <v>42</v>
      </c>
      <c r="S277" s="5" t="s">
        <v>91</v>
      </c>
      <c r="T277" s="5" t="s">
        <v>90</v>
      </c>
      <c r="U277" s="5" t="s">
        <v>44</v>
      </c>
      <c r="V277" s="5" t="s">
        <v>44</v>
      </c>
      <c r="W277" s="5" t="s">
        <v>35</v>
      </c>
      <c r="X277" s="5" t="s">
        <v>117</v>
      </c>
      <c r="Y277" s="5" t="s">
        <v>46</v>
      </c>
      <c r="Z277" s="5" t="s">
        <v>357</v>
      </c>
      <c r="AA277" s="5" t="s">
        <v>64</v>
      </c>
      <c r="AB277" s="5" t="s">
        <v>1352</v>
      </c>
      <c r="AC277" s="6" t="s">
        <v>50</v>
      </c>
      <c r="AD277" s="6">
        <v>3590.0</v>
      </c>
    </row>
    <row r="278" ht="56.25" customHeight="1">
      <c r="A278" s="5" t="s">
        <v>1349</v>
      </c>
      <c r="B278" s="6" t="str">
        <f>IMAGE("https://storage.googleapis.com/acdb/miscellaneous/FtrDesktopPC_Remake_0_1.png")</f>
        <v/>
      </c>
      <c r="C278" s="5" t="s">
        <v>54</v>
      </c>
      <c r="D278" s="5" t="s">
        <v>34</v>
      </c>
      <c r="E278" s="5" t="s">
        <v>1354</v>
      </c>
      <c r="F278" s="5" t="s">
        <v>715</v>
      </c>
      <c r="G278" s="5" t="s">
        <v>36</v>
      </c>
      <c r="H278" s="5" t="s">
        <v>36</v>
      </c>
      <c r="I278" s="5" t="s">
        <v>35</v>
      </c>
      <c r="J278" s="6">
        <v>7.0</v>
      </c>
      <c r="K278" s="6">
        <v>100000.0</v>
      </c>
      <c r="L278" s="6">
        <v>25000.0</v>
      </c>
      <c r="M278" s="5" t="s">
        <v>54</v>
      </c>
      <c r="N278" s="5" t="s">
        <v>57</v>
      </c>
      <c r="O278" s="6" t="s">
        <v>40</v>
      </c>
      <c r="P278" s="5" t="s">
        <v>59</v>
      </c>
      <c r="Q278" s="5" t="s">
        <v>115</v>
      </c>
      <c r="R278" s="6" t="s">
        <v>42</v>
      </c>
      <c r="S278" s="5" t="s">
        <v>91</v>
      </c>
      <c r="T278" s="5" t="s">
        <v>90</v>
      </c>
      <c r="U278" s="5" t="s">
        <v>44</v>
      </c>
      <c r="V278" s="5" t="s">
        <v>44</v>
      </c>
      <c r="W278" s="5" t="s">
        <v>35</v>
      </c>
      <c r="X278" s="5" t="s">
        <v>117</v>
      </c>
      <c r="Y278" s="5" t="s">
        <v>46</v>
      </c>
      <c r="Z278" s="5" t="s">
        <v>357</v>
      </c>
      <c r="AA278" s="5" t="s">
        <v>64</v>
      </c>
      <c r="AB278" s="5" t="s">
        <v>1356</v>
      </c>
      <c r="AC278" s="6" t="s">
        <v>217</v>
      </c>
      <c r="AD278" s="6">
        <v>3590.0</v>
      </c>
    </row>
    <row r="279" ht="56.25" customHeight="1">
      <c r="A279" s="5" t="s">
        <v>1349</v>
      </c>
      <c r="B279" s="6" t="str">
        <f>IMAGE("https://storage.googleapis.com/acdb/miscellaneous/FtrDesktopPC_Remake_0_2.png")</f>
        <v/>
      </c>
      <c r="C279" s="5" t="s">
        <v>54</v>
      </c>
      <c r="D279" s="5" t="s">
        <v>34</v>
      </c>
      <c r="E279" s="5" t="s">
        <v>1357</v>
      </c>
      <c r="F279" s="5" t="s">
        <v>715</v>
      </c>
      <c r="G279" s="5" t="s">
        <v>36</v>
      </c>
      <c r="H279" s="5" t="s">
        <v>36</v>
      </c>
      <c r="I279" s="5" t="s">
        <v>35</v>
      </c>
      <c r="J279" s="6">
        <v>7.0</v>
      </c>
      <c r="K279" s="6">
        <v>100000.0</v>
      </c>
      <c r="L279" s="6">
        <v>25000.0</v>
      </c>
      <c r="M279" s="5" t="s">
        <v>54</v>
      </c>
      <c r="N279" s="5" t="s">
        <v>58</v>
      </c>
      <c r="O279" s="6" t="s">
        <v>40</v>
      </c>
      <c r="P279" s="5" t="s">
        <v>59</v>
      </c>
      <c r="Q279" s="5" t="s">
        <v>115</v>
      </c>
      <c r="R279" s="6" t="s">
        <v>42</v>
      </c>
      <c r="S279" s="5" t="s">
        <v>91</v>
      </c>
      <c r="T279" s="5" t="s">
        <v>90</v>
      </c>
      <c r="U279" s="5" t="s">
        <v>44</v>
      </c>
      <c r="V279" s="5" t="s">
        <v>44</v>
      </c>
      <c r="W279" s="5" t="s">
        <v>35</v>
      </c>
      <c r="X279" s="5" t="s">
        <v>117</v>
      </c>
      <c r="Y279" s="5" t="s">
        <v>46</v>
      </c>
      <c r="Z279" s="5" t="s">
        <v>357</v>
      </c>
      <c r="AA279" s="5" t="s">
        <v>64</v>
      </c>
      <c r="AB279" s="5" t="s">
        <v>1358</v>
      </c>
      <c r="AC279" s="6" t="s">
        <v>347</v>
      </c>
      <c r="AD279" s="6">
        <v>3590.0</v>
      </c>
    </row>
    <row r="280" ht="56.25" customHeight="1">
      <c r="A280" s="5" t="s">
        <v>1349</v>
      </c>
      <c r="B280" s="6" t="str">
        <f>IMAGE("https://storage.googleapis.com/acdb/miscellaneous/FtrDesktopPC_Remake_0_3.png")</f>
        <v/>
      </c>
      <c r="C280" s="5" t="s">
        <v>54</v>
      </c>
      <c r="D280" s="5" t="s">
        <v>34</v>
      </c>
      <c r="E280" s="5" t="s">
        <v>1360</v>
      </c>
      <c r="F280" s="5" t="s">
        <v>715</v>
      </c>
      <c r="G280" s="5" t="s">
        <v>36</v>
      </c>
      <c r="H280" s="5" t="s">
        <v>36</v>
      </c>
      <c r="I280" s="5" t="s">
        <v>35</v>
      </c>
      <c r="J280" s="6">
        <v>7.0</v>
      </c>
      <c r="K280" s="6">
        <v>100000.0</v>
      </c>
      <c r="L280" s="6">
        <v>25000.0</v>
      </c>
      <c r="M280" s="5" t="s">
        <v>54</v>
      </c>
      <c r="N280" s="5" t="s">
        <v>58</v>
      </c>
      <c r="O280" s="6" t="s">
        <v>40</v>
      </c>
      <c r="P280" s="5" t="s">
        <v>59</v>
      </c>
      <c r="Q280" s="5" t="s">
        <v>115</v>
      </c>
      <c r="R280" s="6" t="s">
        <v>42</v>
      </c>
      <c r="S280" s="5" t="s">
        <v>91</v>
      </c>
      <c r="T280" s="5" t="s">
        <v>90</v>
      </c>
      <c r="U280" s="5" t="s">
        <v>44</v>
      </c>
      <c r="V280" s="5" t="s">
        <v>44</v>
      </c>
      <c r="W280" s="5" t="s">
        <v>35</v>
      </c>
      <c r="X280" s="5" t="s">
        <v>117</v>
      </c>
      <c r="Y280" s="5" t="s">
        <v>46</v>
      </c>
      <c r="Z280" s="5" t="s">
        <v>357</v>
      </c>
      <c r="AA280" s="5" t="s">
        <v>64</v>
      </c>
      <c r="AB280" s="5" t="s">
        <v>1362</v>
      </c>
      <c r="AC280" s="6" t="s">
        <v>354</v>
      </c>
      <c r="AD280" s="6">
        <v>3590.0</v>
      </c>
    </row>
    <row r="281" ht="56.25" customHeight="1">
      <c r="A281" s="5" t="s">
        <v>1349</v>
      </c>
      <c r="B281" s="6" t="str">
        <f>IMAGE("https://storage.googleapis.com/acdb/miscellaneous/FtrDesktopPC_Remake_0_4.png")</f>
        <v/>
      </c>
      <c r="C281" s="5" t="s">
        <v>54</v>
      </c>
      <c r="D281" s="5" t="s">
        <v>34</v>
      </c>
      <c r="E281" s="5" t="s">
        <v>1363</v>
      </c>
      <c r="F281" s="5" t="s">
        <v>715</v>
      </c>
      <c r="G281" s="5" t="s">
        <v>36</v>
      </c>
      <c r="H281" s="5" t="s">
        <v>36</v>
      </c>
      <c r="I281" s="5" t="s">
        <v>35</v>
      </c>
      <c r="J281" s="6">
        <v>7.0</v>
      </c>
      <c r="K281" s="6">
        <v>100000.0</v>
      </c>
      <c r="L281" s="6">
        <v>25000.0</v>
      </c>
      <c r="M281" s="5" t="s">
        <v>54</v>
      </c>
      <c r="N281" s="5" t="s">
        <v>58</v>
      </c>
      <c r="O281" s="6" t="s">
        <v>40</v>
      </c>
      <c r="P281" s="5" t="s">
        <v>59</v>
      </c>
      <c r="Q281" s="5" t="s">
        <v>115</v>
      </c>
      <c r="R281" s="6" t="s">
        <v>42</v>
      </c>
      <c r="S281" s="5" t="s">
        <v>91</v>
      </c>
      <c r="T281" s="5" t="s">
        <v>90</v>
      </c>
      <c r="U281" s="5" t="s">
        <v>44</v>
      </c>
      <c r="V281" s="5" t="s">
        <v>44</v>
      </c>
      <c r="W281" s="5" t="s">
        <v>35</v>
      </c>
      <c r="X281" s="5" t="s">
        <v>117</v>
      </c>
      <c r="Y281" s="5" t="s">
        <v>46</v>
      </c>
      <c r="Z281" s="5" t="s">
        <v>357</v>
      </c>
      <c r="AA281" s="5" t="s">
        <v>64</v>
      </c>
      <c r="AB281" s="5" t="s">
        <v>1365</v>
      </c>
      <c r="AC281" s="6" t="s">
        <v>486</v>
      </c>
      <c r="AD281" s="6">
        <v>3590.0</v>
      </c>
    </row>
    <row r="282" ht="56.25" customHeight="1">
      <c r="A282" s="5" t="s">
        <v>1349</v>
      </c>
      <c r="B282" s="6" t="str">
        <f>IMAGE("https://storage.googleapis.com/acdb/miscellaneous/FtrDesktopPC_Remake_0_5.png")</f>
        <v/>
      </c>
      <c r="C282" s="5" t="s">
        <v>54</v>
      </c>
      <c r="D282" s="5" t="s">
        <v>34</v>
      </c>
      <c r="E282" s="5" t="s">
        <v>1367</v>
      </c>
      <c r="F282" s="5" t="s">
        <v>715</v>
      </c>
      <c r="G282" s="5" t="s">
        <v>36</v>
      </c>
      <c r="H282" s="5" t="s">
        <v>36</v>
      </c>
      <c r="I282" s="5" t="s">
        <v>35</v>
      </c>
      <c r="J282" s="6">
        <v>7.0</v>
      </c>
      <c r="K282" s="6">
        <v>100000.0</v>
      </c>
      <c r="L282" s="6">
        <v>25000.0</v>
      </c>
      <c r="M282" s="5" t="s">
        <v>54</v>
      </c>
      <c r="N282" s="5" t="s">
        <v>58</v>
      </c>
      <c r="O282" s="6" t="s">
        <v>40</v>
      </c>
      <c r="P282" s="5" t="s">
        <v>59</v>
      </c>
      <c r="Q282" s="5" t="s">
        <v>115</v>
      </c>
      <c r="R282" s="6" t="s">
        <v>42</v>
      </c>
      <c r="S282" s="5" t="s">
        <v>91</v>
      </c>
      <c r="T282" s="5" t="s">
        <v>90</v>
      </c>
      <c r="U282" s="5" t="s">
        <v>44</v>
      </c>
      <c r="V282" s="5" t="s">
        <v>44</v>
      </c>
      <c r="W282" s="5" t="s">
        <v>35</v>
      </c>
      <c r="X282" s="5" t="s">
        <v>117</v>
      </c>
      <c r="Y282" s="5" t="s">
        <v>46</v>
      </c>
      <c r="Z282" s="5" t="s">
        <v>357</v>
      </c>
      <c r="AA282" s="5" t="s">
        <v>64</v>
      </c>
      <c r="AB282" s="5" t="s">
        <v>1368</v>
      </c>
      <c r="AC282" s="6" t="s">
        <v>934</v>
      </c>
      <c r="AD282" s="6">
        <v>3590.0</v>
      </c>
    </row>
    <row r="283" ht="56.25" customHeight="1">
      <c r="A283" s="5" t="s">
        <v>1349</v>
      </c>
      <c r="B283" s="6" t="str">
        <f>IMAGE("https://storage.googleapis.com/acdb/miscellaneous/FtrDesktopPC_Remake_0_6.png")</f>
        <v/>
      </c>
      <c r="C283" s="5" t="s">
        <v>54</v>
      </c>
      <c r="D283" s="5" t="s">
        <v>34</v>
      </c>
      <c r="E283" s="5" t="s">
        <v>1371</v>
      </c>
      <c r="F283" s="5" t="s">
        <v>715</v>
      </c>
      <c r="G283" s="5" t="s">
        <v>36</v>
      </c>
      <c r="H283" s="5" t="s">
        <v>36</v>
      </c>
      <c r="I283" s="5" t="s">
        <v>35</v>
      </c>
      <c r="J283" s="6">
        <v>7.0</v>
      </c>
      <c r="K283" s="6">
        <v>100000.0</v>
      </c>
      <c r="L283" s="6">
        <v>25000.0</v>
      </c>
      <c r="M283" s="5" t="s">
        <v>95</v>
      </c>
      <c r="N283" s="5" t="s">
        <v>58</v>
      </c>
      <c r="O283" s="6" t="s">
        <v>40</v>
      </c>
      <c r="P283" s="5" t="s">
        <v>59</v>
      </c>
      <c r="Q283" s="5" t="s">
        <v>115</v>
      </c>
      <c r="R283" s="6" t="s">
        <v>42</v>
      </c>
      <c r="S283" s="5" t="s">
        <v>91</v>
      </c>
      <c r="T283" s="5" t="s">
        <v>90</v>
      </c>
      <c r="U283" s="5" t="s">
        <v>44</v>
      </c>
      <c r="V283" s="5" t="s">
        <v>44</v>
      </c>
      <c r="W283" s="5" t="s">
        <v>35</v>
      </c>
      <c r="X283" s="5" t="s">
        <v>117</v>
      </c>
      <c r="Y283" s="5" t="s">
        <v>46</v>
      </c>
      <c r="Z283" s="5" t="s">
        <v>357</v>
      </c>
      <c r="AA283" s="5" t="s">
        <v>64</v>
      </c>
      <c r="AB283" s="5" t="s">
        <v>1372</v>
      </c>
      <c r="AC283" s="6" t="s">
        <v>938</v>
      </c>
      <c r="AD283" s="6">
        <v>3590.0</v>
      </c>
    </row>
    <row r="284" ht="56.25" customHeight="1">
      <c r="A284" s="5" t="s">
        <v>1349</v>
      </c>
      <c r="B284" s="6" t="str">
        <f>IMAGE("https://storage.googleapis.com/acdb/miscellaneous/FtrDesktopPC_Remake_1_0.png")</f>
        <v/>
      </c>
      <c r="C284" s="5" t="s">
        <v>146</v>
      </c>
      <c r="D284" s="5" t="s">
        <v>34</v>
      </c>
      <c r="E284" s="5" t="s">
        <v>1350</v>
      </c>
      <c r="F284" s="5" t="s">
        <v>715</v>
      </c>
      <c r="G284" s="5" t="s">
        <v>36</v>
      </c>
      <c r="H284" s="5" t="s">
        <v>36</v>
      </c>
      <c r="I284" s="5" t="s">
        <v>35</v>
      </c>
      <c r="J284" s="6">
        <v>7.0</v>
      </c>
      <c r="K284" s="6">
        <v>100000.0</v>
      </c>
      <c r="L284" s="6">
        <v>25000.0</v>
      </c>
      <c r="M284" s="5" t="s">
        <v>95</v>
      </c>
      <c r="N284" s="5" t="s">
        <v>68</v>
      </c>
      <c r="O284" s="6" t="s">
        <v>40</v>
      </c>
      <c r="P284" s="5" t="s">
        <v>59</v>
      </c>
      <c r="Q284" s="5" t="s">
        <v>115</v>
      </c>
      <c r="R284" s="6" t="s">
        <v>42</v>
      </c>
      <c r="S284" s="5" t="s">
        <v>91</v>
      </c>
      <c r="T284" s="5" t="s">
        <v>90</v>
      </c>
      <c r="U284" s="5" t="s">
        <v>44</v>
      </c>
      <c r="V284" s="5" t="s">
        <v>44</v>
      </c>
      <c r="W284" s="5" t="s">
        <v>35</v>
      </c>
      <c r="X284" s="5" t="s">
        <v>117</v>
      </c>
      <c r="Y284" s="5" t="s">
        <v>46</v>
      </c>
      <c r="Z284" s="5" t="s">
        <v>357</v>
      </c>
      <c r="AA284" s="5" t="s">
        <v>64</v>
      </c>
      <c r="AB284" s="5" t="s">
        <v>1374</v>
      </c>
      <c r="AC284" s="6" t="s">
        <v>56</v>
      </c>
      <c r="AD284" s="6">
        <v>3590.0</v>
      </c>
    </row>
    <row r="285" ht="56.25" customHeight="1">
      <c r="A285" s="5" t="s">
        <v>1349</v>
      </c>
      <c r="B285" s="6" t="str">
        <f>IMAGE("https://storage.googleapis.com/acdb/miscellaneous/FtrDesktopPC_Remake_1_1.png")</f>
        <v/>
      </c>
      <c r="C285" s="5" t="s">
        <v>146</v>
      </c>
      <c r="D285" s="5" t="s">
        <v>34</v>
      </c>
      <c r="E285" s="5" t="s">
        <v>1354</v>
      </c>
      <c r="F285" s="5" t="s">
        <v>715</v>
      </c>
      <c r="G285" s="5" t="s">
        <v>36</v>
      </c>
      <c r="H285" s="5" t="s">
        <v>36</v>
      </c>
      <c r="I285" s="5" t="s">
        <v>35</v>
      </c>
      <c r="J285" s="6">
        <v>7.0</v>
      </c>
      <c r="K285" s="6">
        <v>100000.0</v>
      </c>
      <c r="L285" s="6">
        <v>25000.0</v>
      </c>
      <c r="M285" s="5" t="s">
        <v>95</v>
      </c>
      <c r="N285" s="5" t="s">
        <v>57</v>
      </c>
      <c r="O285" s="6" t="s">
        <v>40</v>
      </c>
      <c r="P285" s="5" t="s">
        <v>59</v>
      </c>
      <c r="Q285" s="5" t="s">
        <v>115</v>
      </c>
      <c r="R285" s="6" t="s">
        <v>42</v>
      </c>
      <c r="S285" s="5" t="s">
        <v>91</v>
      </c>
      <c r="T285" s="5" t="s">
        <v>90</v>
      </c>
      <c r="U285" s="5" t="s">
        <v>44</v>
      </c>
      <c r="V285" s="5" t="s">
        <v>44</v>
      </c>
      <c r="W285" s="5" t="s">
        <v>35</v>
      </c>
      <c r="X285" s="5" t="s">
        <v>117</v>
      </c>
      <c r="Y285" s="5" t="s">
        <v>46</v>
      </c>
      <c r="Z285" s="5" t="s">
        <v>357</v>
      </c>
      <c r="AA285" s="5" t="s">
        <v>64</v>
      </c>
      <c r="AB285" s="5" t="s">
        <v>1376</v>
      </c>
      <c r="AC285" s="6" t="s">
        <v>234</v>
      </c>
      <c r="AD285" s="6">
        <v>3590.0</v>
      </c>
    </row>
    <row r="286" ht="56.25" customHeight="1">
      <c r="A286" s="5" t="s">
        <v>1349</v>
      </c>
      <c r="B286" s="6" t="str">
        <f>IMAGE("https://storage.googleapis.com/acdb/miscellaneous/FtrDesktopPC_Remake_1_2.png")</f>
        <v/>
      </c>
      <c r="C286" s="5" t="s">
        <v>146</v>
      </c>
      <c r="D286" s="5" t="s">
        <v>34</v>
      </c>
      <c r="E286" s="5" t="s">
        <v>1357</v>
      </c>
      <c r="F286" s="5" t="s">
        <v>715</v>
      </c>
      <c r="G286" s="5" t="s">
        <v>36</v>
      </c>
      <c r="H286" s="5" t="s">
        <v>36</v>
      </c>
      <c r="I286" s="5" t="s">
        <v>35</v>
      </c>
      <c r="J286" s="6">
        <v>7.0</v>
      </c>
      <c r="K286" s="6">
        <v>100000.0</v>
      </c>
      <c r="L286" s="6">
        <v>25000.0</v>
      </c>
      <c r="M286" s="5" t="s">
        <v>95</v>
      </c>
      <c r="N286" s="5" t="s">
        <v>58</v>
      </c>
      <c r="O286" s="6" t="s">
        <v>40</v>
      </c>
      <c r="P286" s="5" t="s">
        <v>59</v>
      </c>
      <c r="Q286" s="5" t="s">
        <v>115</v>
      </c>
      <c r="R286" s="6" t="s">
        <v>42</v>
      </c>
      <c r="S286" s="5" t="s">
        <v>91</v>
      </c>
      <c r="T286" s="5" t="s">
        <v>90</v>
      </c>
      <c r="U286" s="5" t="s">
        <v>44</v>
      </c>
      <c r="V286" s="5" t="s">
        <v>44</v>
      </c>
      <c r="W286" s="5" t="s">
        <v>35</v>
      </c>
      <c r="X286" s="5" t="s">
        <v>117</v>
      </c>
      <c r="Y286" s="5" t="s">
        <v>46</v>
      </c>
      <c r="Z286" s="5" t="s">
        <v>357</v>
      </c>
      <c r="AA286" s="5" t="s">
        <v>64</v>
      </c>
      <c r="AB286" s="5" t="s">
        <v>1379</v>
      </c>
      <c r="AC286" s="6" t="s">
        <v>370</v>
      </c>
      <c r="AD286" s="6">
        <v>3590.0</v>
      </c>
    </row>
    <row r="287" ht="56.25" customHeight="1">
      <c r="A287" s="5" t="s">
        <v>1349</v>
      </c>
      <c r="B287" s="6" t="str">
        <f>IMAGE("https://storage.googleapis.com/acdb/miscellaneous/FtrDesktopPC_Remake_1_3.png")</f>
        <v/>
      </c>
      <c r="C287" s="5" t="s">
        <v>146</v>
      </c>
      <c r="D287" s="5" t="s">
        <v>34</v>
      </c>
      <c r="E287" s="5" t="s">
        <v>1360</v>
      </c>
      <c r="F287" s="5" t="s">
        <v>715</v>
      </c>
      <c r="G287" s="5" t="s">
        <v>36</v>
      </c>
      <c r="H287" s="5" t="s">
        <v>36</v>
      </c>
      <c r="I287" s="5" t="s">
        <v>35</v>
      </c>
      <c r="J287" s="6">
        <v>7.0</v>
      </c>
      <c r="K287" s="6">
        <v>100000.0</v>
      </c>
      <c r="L287" s="6">
        <v>25000.0</v>
      </c>
      <c r="M287" s="5" t="s">
        <v>95</v>
      </c>
      <c r="N287" s="5" t="s">
        <v>58</v>
      </c>
      <c r="O287" s="6" t="s">
        <v>40</v>
      </c>
      <c r="P287" s="5" t="s">
        <v>59</v>
      </c>
      <c r="Q287" s="5" t="s">
        <v>115</v>
      </c>
      <c r="R287" s="6" t="s">
        <v>42</v>
      </c>
      <c r="S287" s="5" t="s">
        <v>91</v>
      </c>
      <c r="T287" s="5" t="s">
        <v>90</v>
      </c>
      <c r="U287" s="5" t="s">
        <v>44</v>
      </c>
      <c r="V287" s="5" t="s">
        <v>44</v>
      </c>
      <c r="W287" s="5" t="s">
        <v>35</v>
      </c>
      <c r="X287" s="5" t="s">
        <v>117</v>
      </c>
      <c r="Y287" s="5" t="s">
        <v>46</v>
      </c>
      <c r="Z287" s="5" t="s">
        <v>357</v>
      </c>
      <c r="AA287" s="5" t="s">
        <v>64</v>
      </c>
      <c r="AB287" s="5" t="s">
        <v>1382</v>
      </c>
      <c r="AC287" s="6" t="s">
        <v>377</v>
      </c>
      <c r="AD287" s="6">
        <v>3590.0</v>
      </c>
    </row>
    <row r="288" ht="56.25" customHeight="1">
      <c r="A288" s="5" t="s">
        <v>1349</v>
      </c>
      <c r="B288" s="6" t="str">
        <f>IMAGE("https://storage.googleapis.com/acdb/miscellaneous/FtrDesktopPC_Remake_1_4.png")</f>
        <v/>
      </c>
      <c r="C288" s="5" t="s">
        <v>146</v>
      </c>
      <c r="D288" s="5" t="s">
        <v>34</v>
      </c>
      <c r="E288" s="5" t="s">
        <v>1363</v>
      </c>
      <c r="F288" s="5" t="s">
        <v>715</v>
      </c>
      <c r="G288" s="5" t="s">
        <v>36</v>
      </c>
      <c r="H288" s="5" t="s">
        <v>36</v>
      </c>
      <c r="I288" s="5" t="s">
        <v>35</v>
      </c>
      <c r="J288" s="6">
        <v>7.0</v>
      </c>
      <c r="K288" s="6">
        <v>100000.0</v>
      </c>
      <c r="L288" s="6">
        <v>25000.0</v>
      </c>
      <c r="M288" s="5" t="s">
        <v>95</v>
      </c>
      <c r="N288" s="5" t="s">
        <v>58</v>
      </c>
      <c r="O288" s="6" t="s">
        <v>40</v>
      </c>
      <c r="P288" s="5" t="s">
        <v>59</v>
      </c>
      <c r="Q288" s="5" t="s">
        <v>115</v>
      </c>
      <c r="R288" s="6" t="s">
        <v>42</v>
      </c>
      <c r="S288" s="5" t="s">
        <v>91</v>
      </c>
      <c r="T288" s="5" t="s">
        <v>90</v>
      </c>
      <c r="U288" s="5" t="s">
        <v>44</v>
      </c>
      <c r="V288" s="5" t="s">
        <v>44</v>
      </c>
      <c r="W288" s="5" t="s">
        <v>35</v>
      </c>
      <c r="X288" s="5" t="s">
        <v>117</v>
      </c>
      <c r="Y288" s="5" t="s">
        <v>46</v>
      </c>
      <c r="Z288" s="5" t="s">
        <v>357</v>
      </c>
      <c r="AA288" s="5" t="s">
        <v>64</v>
      </c>
      <c r="AB288" s="5" t="s">
        <v>1386</v>
      </c>
      <c r="AC288" s="6" t="s">
        <v>520</v>
      </c>
      <c r="AD288" s="6">
        <v>3590.0</v>
      </c>
    </row>
    <row r="289" ht="56.25" customHeight="1">
      <c r="A289" s="5" t="s">
        <v>1349</v>
      </c>
      <c r="B289" s="6" t="str">
        <f>IMAGE("https://storage.googleapis.com/acdb/miscellaneous/FtrDesktopPC_Remake_1_5.png")</f>
        <v/>
      </c>
      <c r="C289" s="5" t="s">
        <v>146</v>
      </c>
      <c r="D289" s="5" t="s">
        <v>34</v>
      </c>
      <c r="E289" s="5" t="s">
        <v>1367</v>
      </c>
      <c r="F289" s="5" t="s">
        <v>715</v>
      </c>
      <c r="G289" s="5" t="s">
        <v>36</v>
      </c>
      <c r="H289" s="5" t="s">
        <v>36</v>
      </c>
      <c r="I289" s="5" t="s">
        <v>35</v>
      </c>
      <c r="J289" s="6">
        <v>7.0</v>
      </c>
      <c r="K289" s="6">
        <v>100000.0</v>
      </c>
      <c r="L289" s="6">
        <v>25000.0</v>
      </c>
      <c r="M289" s="5" t="s">
        <v>95</v>
      </c>
      <c r="N289" s="5" t="s">
        <v>58</v>
      </c>
      <c r="O289" s="6" t="s">
        <v>40</v>
      </c>
      <c r="P289" s="5" t="s">
        <v>59</v>
      </c>
      <c r="Q289" s="5" t="s">
        <v>115</v>
      </c>
      <c r="R289" s="6" t="s">
        <v>42</v>
      </c>
      <c r="S289" s="5" t="s">
        <v>91</v>
      </c>
      <c r="T289" s="5" t="s">
        <v>90</v>
      </c>
      <c r="U289" s="5" t="s">
        <v>44</v>
      </c>
      <c r="V289" s="5" t="s">
        <v>44</v>
      </c>
      <c r="W289" s="5" t="s">
        <v>35</v>
      </c>
      <c r="X289" s="5" t="s">
        <v>117</v>
      </c>
      <c r="Y289" s="5" t="s">
        <v>46</v>
      </c>
      <c r="Z289" s="5" t="s">
        <v>357</v>
      </c>
      <c r="AA289" s="5" t="s">
        <v>64</v>
      </c>
      <c r="AB289" s="5" t="s">
        <v>1388</v>
      </c>
      <c r="AC289" s="6" t="s">
        <v>1389</v>
      </c>
      <c r="AD289" s="6">
        <v>3590.0</v>
      </c>
    </row>
    <row r="290" ht="56.25" customHeight="1">
      <c r="A290" s="5" t="s">
        <v>1349</v>
      </c>
      <c r="B290" s="6" t="str">
        <f>IMAGE("https://storage.googleapis.com/acdb/miscellaneous/FtrDesktopPC_Remake_1_6.png")</f>
        <v/>
      </c>
      <c r="C290" s="5" t="s">
        <v>146</v>
      </c>
      <c r="D290" s="5" t="s">
        <v>34</v>
      </c>
      <c r="E290" s="5" t="s">
        <v>1371</v>
      </c>
      <c r="F290" s="5" t="s">
        <v>715</v>
      </c>
      <c r="G290" s="5" t="s">
        <v>36</v>
      </c>
      <c r="H290" s="5" t="s">
        <v>36</v>
      </c>
      <c r="I290" s="5" t="s">
        <v>35</v>
      </c>
      <c r="J290" s="6">
        <v>7.0</v>
      </c>
      <c r="K290" s="6">
        <v>100000.0</v>
      </c>
      <c r="L290" s="6">
        <v>25000.0</v>
      </c>
      <c r="M290" s="5" t="s">
        <v>95</v>
      </c>
      <c r="N290" s="5" t="s">
        <v>58</v>
      </c>
      <c r="O290" s="6" t="s">
        <v>40</v>
      </c>
      <c r="P290" s="5" t="s">
        <v>59</v>
      </c>
      <c r="Q290" s="5" t="s">
        <v>115</v>
      </c>
      <c r="R290" s="6" t="s">
        <v>42</v>
      </c>
      <c r="S290" s="5" t="s">
        <v>91</v>
      </c>
      <c r="T290" s="5" t="s">
        <v>90</v>
      </c>
      <c r="U290" s="5" t="s">
        <v>44</v>
      </c>
      <c r="V290" s="5" t="s">
        <v>44</v>
      </c>
      <c r="W290" s="5" t="s">
        <v>35</v>
      </c>
      <c r="X290" s="5" t="s">
        <v>117</v>
      </c>
      <c r="Y290" s="5" t="s">
        <v>46</v>
      </c>
      <c r="Z290" s="5" t="s">
        <v>357</v>
      </c>
      <c r="AA290" s="5" t="s">
        <v>64</v>
      </c>
      <c r="AB290" s="5" t="s">
        <v>1393</v>
      </c>
      <c r="AC290" s="6" t="s">
        <v>1394</v>
      </c>
      <c r="AD290" s="6">
        <v>3590.0</v>
      </c>
    </row>
    <row r="291" ht="56.25" customHeight="1">
      <c r="A291" s="5" t="s">
        <v>1349</v>
      </c>
      <c r="B291" s="6" t="str">
        <f>IMAGE("https://storage.googleapis.com/acdb/miscellaneous/FtrDesktopPC_Remake_2_0.png")</f>
        <v/>
      </c>
      <c r="C291" s="5" t="s">
        <v>57</v>
      </c>
      <c r="D291" s="5" t="s">
        <v>34</v>
      </c>
      <c r="E291" s="5" t="s">
        <v>1350</v>
      </c>
      <c r="F291" s="5" t="s">
        <v>715</v>
      </c>
      <c r="G291" s="5" t="s">
        <v>36</v>
      </c>
      <c r="H291" s="5" t="s">
        <v>36</v>
      </c>
      <c r="I291" s="5" t="s">
        <v>35</v>
      </c>
      <c r="J291" s="6">
        <v>7.0</v>
      </c>
      <c r="K291" s="6">
        <v>100000.0</v>
      </c>
      <c r="L291" s="6">
        <v>25000.0</v>
      </c>
      <c r="M291" s="5" t="s">
        <v>57</v>
      </c>
      <c r="N291" s="5" t="s">
        <v>68</v>
      </c>
      <c r="O291" s="6" t="s">
        <v>40</v>
      </c>
      <c r="P291" s="5" t="s">
        <v>59</v>
      </c>
      <c r="Q291" s="5" t="s">
        <v>115</v>
      </c>
      <c r="R291" s="6" t="s">
        <v>42</v>
      </c>
      <c r="S291" s="5" t="s">
        <v>91</v>
      </c>
      <c r="T291" s="5" t="s">
        <v>90</v>
      </c>
      <c r="U291" s="5" t="s">
        <v>44</v>
      </c>
      <c r="V291" s="5" t="s">
        <v>44</v>
      </c>
      <c r="W291" s="5" t="s">
        <v>35</v>
      </c>
      <c r="X291" s="5" t="s">
        <v>117</v>
      </c>
      <c r="Y291" s="5" t="s">
        <v>46</v>
      </c>
      <c r="Z291" s="5" t="s">
        <v>357</v>
      </c>
      <c r="AA291" s="5" t="s">
        <v>64</v>
      </c>
      <c r="AB291" s="5" t="s">
        <v>1397</v>
      </c>
      <c r="AC291" s="6" t="s">
        <v>67</v>
      </c>
      <c r="AD291" s="6">
        <v>3590.0</v>
      </c>
    </row>
    <row r="292" ht="56.25" customHeight="1">
      <c r="A292" s="5" t="s">
        <v>1349</v>
      </c>
      <c r="B292" s="6" t="str">
        <f>IMAGE("https://storage.googleapis.com/acdb/miscellaneous/FtrDesktopPC_Remake_2_1.png")</f>
        <v/>
      </c>
      <c r="C292" s="5" t="s">
        <v>57</v>
      </c>
      <c r="D292" s="5" t="s">
        <v>34</v>
      </c>
      <c r="E292" s="5" t="s">
        <v>1354</v>
      </c>
      <c r="F292" s="5" t="s">
        <v>715</v>
      </c>
      <c r="G292" s="5" t="s">
        <v>36</v>
      </c>
      <c r="H292" s="5" t="s">
        <v>36</v>
      </c>
      <c r="I292" s="5" t="s">
        <v>35</v>
      </c>
      <c r="J292" s="6">
        <v>7.0</v>
      </c>
      <c r="K292" s="6">
        <v>100000.0</v>
      </c>
      <c r="L292" s="6">
        <v>25000.0</v>
      </c>
      <c r="M292" s="5" t="s">
        <v>57</v>
      </c>
      <c r="N292" s="5" t="s">
        <v>57</v>
      </c>
      <c r="O292" s="6" t="s">
        <v>40</v>
      </c>
      <c r="P292" s="5" t="s">
        <v>59</v>
      </c>
      <c r="Q292" s="5" t="s">
        <v>115</v>
      </c>
      <c r="R292" s="6" t="s">
        <v>42</v>
      </c>
      <c r="S292" s="5" t="s">
        <v>91</v>
      </c>
      <c r="T292" s="5" t="s">
        <v>90</v>
      </c>
      <c r="U292" s="5" t="s">
        <v>44</v>
      </c>
      <c r="V292" s="5" t="s">
        <v>44</v>
      </c>
      <c r="W292" s="5" t="s">
        <v>35</v>
      </c>
      <c r="X292" s="5" t="s">
        <v>117</v>
      </c>
      <c r="Y292" s="5" t="s">
        <v>46</v>
      </c>
      <c r="Z292" s="5" t="s">
        <v>357</v>
      </c>
      <c r="AA292" s="5" t="s">
        <v>64</v>
      </c>
      <c r="AB292" s="5" t="s">
        <v>1399</v>
      </c>
      <c r="AC292" s="6" t="s">
        <v>247</v>
      </c>
      <c r="AD292" s="6">
        <v>3590.0</v>
      </c>
    </row>
    <row r="293" ht="56.25" customHeight="1">
      <c r="A293" s="5" t="s">
        <v>1349</v>
      </c>
      <c r="B293" s="6" t="str">
        <f>IMAGE("https://storage.googleapis.com/acdb/miscellaneous/FtrDesktopPC_Remake_2_2.png")</f>
        <v/>
      </c>
      <c r="C293" s="5" t="s">
        <v>57</v>
      </c>
      <c r="D293" s="5" t="s">
        <v>34</v>
      </c>
      <c r="E293" s="5" t="s">
        <v>1357</v>
      </c>
      <c r="F293" s="5" t="s">
        <v>715</v>
      </c>
      <c r="G293" s="5" t="s">
        <v>36</v>
      </c>
      <c r="H293" s="5" t="s">
        <v>36</v>
      </c>
      <c r="I293" s="5" t="s">
        <v>35</v>
      </c>
      <c r="J293" s="6">
        <v>7.0</v>
      </c>
      <c r="K293" s="6">
        <v>100000.0</v>
      </c>
      <c r="L293" s="6">
        <v>25000.0</v>
      </c>
      <c r="M293" s="5" t="s">
        <v>57</v>
      </c>
      <c r="N293" s="5" t="s">
        <v>58</v>
      </c>
      <c r="O293" s="6" t="s">
        <v>40</v>
      </c>
      <c r="P293" s="5" t="s">
        <v>59</v>
      </c>
      <c r="Q293" s="5" t="s">
        <v>115</v>
      </c>
      <c r="R293" s="6" t="s">
        <v>42</v>
      </c>
      <c r="S293" s="5" t="s">
        <v>91</v>
      </c>
      <c r="T293" s="5" t="s">
        <v>90</v>
      </c>
      <c r="U293" s="5" t="s">
        <v>44</v>
      </c>
      <c r="V293" s="5" t="s">
        <v>44</v>
      </c>
      <c r="W293" s="5" t="s">
        <v>35</v>
      </c>
      <c r="X293" s="5" t="s">
        <v>117</v>
      </c>
      <c r="Y293" s="5" t="s">
        <v>46</v>
      </c>
      <c r="Z293" s="5" t="s">
        <v>357</v>
      </c>
      <c r="AA293" s="5" t="s">
        <v>64</v>
      </c>
      <c r="AB293" s="5" t="s">
        <v>1402</v>
      </c>
      <c r="AC293" s="6" t="s">
        <v>390</v>
      </c>
      <c r="AD293" s="6">
        <v>3590.0</v>
      </c>
    </row>
    <row r="294" ht="56.25" customHeight="1">
      <c r="A294" s="5" t="s">
        <v>1349</v>
      </c>
      <c r="B294" s="6" t="str">
        <f>IMAGE("https://storage.googleapis.com/acdb/miscellaneous/FtrDesktopPC_Remake_2_3.png")</f>
        <v/>
      </c>
      <c r="C294" s="5" t="s">
        <v>57</v>
      </c>
      <c r="D294" s="5" t="s">
        <v>34</v>
      </c>
      <c r="E294" s="5" t="s">
        <v>1360</v>
      </c>
      <c r="F294" s="5" t="s">
        <v>715</v>
      </c>
      <c r="G294" s="5" t="s">
        <v>36</v>
      </c>
      <c r="H294" s="5" t="s">
        <v>36</v>
      </c>
      <c r="I294" s="5" t="s">
        <v>35</v>
      </c>
      <c r="J294" s="6">
        <v>7.0</v>
      </c>
      <c r="K294" s="6">
        <v>100000.0</v>
      </c>
      <c r="L294" s="6">
        <v>25000.0</v>
      </c>
      <c r="M294" s="5" t="s">
        <v>57</v>
      </c>
      <c r="N294" s="5" t="s">
        <v>58</v>
      </c>
      <c r="O294" s="6" t="s">
        <v>40</v>
      </c>
      <c r="P294" s="5" t="s">
        <v>59</v>
      </c>
      <c r="Q294" s="5" t="s">
        <v>115</v>
      </c>
      <c r="R294" s="6" t="s">
        <v>42</v>
      </c>
      <c r="S294" s="5" t="s">
        <v>91</v>
      </c>
      <c r="T294" s="5" t="s">
        <v>90</v>
      </c>
      <c r="U294" s="5" t="s">
        <v>44</v>
      </c>
      <c r="V294" s="5" t="s">
        <v>44</v>
      </c>
      <c r="W294" s="5" t="s">
        <v>35</v>
      </c>
      <c r="X294" s="5" t="s">
        <v>117</v>
      </c>
      <c r="Y294" s="5" t="s">
        <v>46</v>
      </c>
      <c r="Z294" s="5" t="s">
        <v>357</v>
      </c>
      <c r="AA294" s="5" t="s">
        <v>64</v>
      </c>
      <c r="AB294" s="5" t="s">
        <v>1404</v>
      </c>
      <c r="AC294" s="6" t="s">
        <v>396</v>
      </c>
      <c r="AD294" s="6">
        <v>3590.0</v>
      </c>
    </row>
    <row r="295" ht="56.25" customHeight="1">
      <c r="A295" s="5" t="s">
        <v>1349</v>
      </c>
      <c r="B295" s="6" t="str">
        <f>IMAGE("https://storage.googleapis.com/acdb/miscellaneous/FtrDesktopPC_Remake_2_4.png")</f>
        <v/>
      </c>
      <c r="C295" s="5" t="s">
        <v>57</v>
      </c>
      <c r="D295" s="5" t="s">
        <v>34</v>
      </c>
      <c r="E295" s="5" t="s">
        <v>1363</v>
      </c>
      <c r="F295" s="5" t="s">
        <v>715</v>
      </c>
      <c r="G295" s="5" t="s">
        <v>36</v>
      </c>
      <c r="H295" s="5" t="s">
        <v>36</v>
      </c>
      <c r="I295" s="5" t="s">
        <v>35</v>
      </c>
      <c r="J295" s="6">
        <v>7.0</v>
      </c>
      <c r="K295" s="6">
        <v>100000.0</v>
      </c>
      <c r="L295" s="6">
        <v>25000.0</v>
      </c>
      <c r="M295" s="5" t="s">
        <v>57</v>
      </c>
      <c r="N295" s="5" t="s">
        <v>58</v>
      </c>
      <c r="O295" s="6" t="s">
        <v>40</v>
      </c>
      <c r="P295" s="5" t="s">
        <v>59</v>
      </c>
      <c r="Q295" s="5" t="s">
        <v>115</v>
      </c>
      <c r="R295" s="6" t="s">
        <v>42</v>
      </c>
      <c r="S295" s="5" t="s">
        <v>91</v>
      </c>
      <c r="T295" s="5" t="s">
        <v>90</v>
      </c>
      <c r="U295" s="5" t="s">
        <v>44</v>
      </c>
      <c r="V295" s="5" t="s">
        <v>44</v>
      </c>
      <c r="W295" s="5" t="s">
        <v>35</v>
      </c>
      <c r="X295" s="5" t="s">
        <v>117</v>
      </c>
      <c r="Y295" s="5" t="s">
        <v>46</v>
      </c>
      <c r="Z295" s="5" t="s">
        <v>357</v>
      </c>
      <c r="AA295" s="5" t="s">
        <v>64</v>
      </c>
      <c r="AB295" s="5" t="s">
        <v>1408</v>
      </c>
      <c r="AC295" s="6" t="s">
        <v>541</v>
      </c>
      <c r="AD295" s="6">
        <v>3590.0</v>
      </c>
    </row>
    <row r="296" ht="56.25" customHeight="1">
      <c r="A296" s="5" t="s">
        <v>1349</v>
      </c>
      <c r="B296" s="6" t="str">
        <f>IMAGE("https://storage.googleapis.com/acdb/miscellaneous/FtrDesktopPC_Remake_2_5.png")</f>
        <v/>
      </c>
      <c r="C296" s="5" t="s">
        <v>57</v>
      </c>
      <c r="D296" s="5" t="s">
        <v>34</v>
      </c>
      <c r="E296" s="5" t="s">
        <v>1367</v>
      </c>
      <c r="F296" s="5" t="s">
        <v>715</v>
      </c>
      <c r="G296" s="5" t="s">
        <v>36</v>
      </c>
      <c r="H296" s="5" t="s">
        <v>36</v>
      </c>
      <c r="I296" s="5" t="s">
        <v>35</v>
      </c>
      <c r="J296" s="6">
        <v>7.0</v>
      </c>
      <c r="K296" s="6">
        <v>100000.0</v>
      </c>
      <c r="L296" s="6">
        <v>25000.0</v>
      </c>
      <c r="M296" s="5" t="s">
        <v>57</v>
      </c>
      <c r="N296" s="5" t="s">
        <v>58</v>
      </c>
      <c r="O296" s="6" t="s">
        <v>40</v>
      </c>
      <c r="P296" s="5" t="s">
        <v>59</v>
      </c>
      <c r="Q296" s="5" t="s">
        <v>115</v>
      </c>
      <c r="R296" s="6" t="s">
        <v>42</v>
      </c>
      <c r="S296" s="5" t="s">
        <v>91</v>
      </c>
      <c r="T296" s="5" t="s">
        <v>90</v>
      </c>
      <c r="U296" s="5" t="s">
        <v>44</v>
      </c>
      <c r="V296" s="5" t="s">
        <v>44</v>
      </c>
      <c r="W296" s="5" t="s">
        <v>35</v>
      </c>
      <c r="X296" s="5" t="s">
        <v>117</v>
      </c>
      <c r="Y296" s="5" t="s">
        <v>46</v>
      </c>
      <c r="Z296" s="5" t="s">
        <v>357</v>
      </c>
      <c r="AA296" s="5" t="s">
        <v>64</v>
      </c>
      <c r="AB296" s="5" t="s">
        <v>1414</v>
      </c>
      <c r="AC296" s="6" t="s">
        <v>1415</v>
      </c>
      <c r="AD296" s="6">
        <v>3590.0</v>
      </c>
    </row>
    <row r="297" ht="56.25" customHeight="1">
      <c r="A297" s="5" t="s">
        <v>1349</v>
      </c>
      <c r="B297" s="6" t="str">
        <f>IMAGE("https://storage.googleapis.com/acdb/miscellaneous/FtrDesktopPC_Remake_2_6.png")</f>
        <v/>
      </c>
      <c r="C297" s="5" t="s">
        <v>57</v>
      </c>
      <c r="D297" s="5" t="s">
        <v>34</v>
      </c>
      <c r="E297" s="5" t="s">
        <v>1371</v>
      </c>
      <c r="F297" s="5" t="s">
        <v>715</v>
      </c>
      <c r="G297" s="5" t="s">
        <v>36</v>
      </c>
      <c r="H297" s="5" t="s">
        <v>36</v>
      </c>
      <c r="I297" s="5" t="s">
        <v>35</v>
      </c>
      <c r="J297" s="6">
        <v>7.0</v>
      </c>
      <c r="K297" s="6">
        <v>100000.0</v>
      </c>
      <c r="L297" s="6">
        <v>25000.0</v>
      </c>
      <c r="M297" s="5" t="s">
        <v>57</v>
      </c>
      <c r="N297" s="5" t="s">
        <v>58</v>
      </c>
      <c r="O297" s="6" t="s">
        <v>40</v>
      </c>
      <c r="P297" s="5" t="s">
        <v>59</v>
      </c>
      <c r="Q297" s="5" t="s">
        <v>115</v>
      </c>
      <c r="R297" s="6" t="s">
        <v>42</v>
      </c>
      <c r="S297" s="5" t="s">
        <v>91</v>
      </c>
      <c r="T297" s="5" t="s">
        <v>90</v>
      </c>
      <c r="U297" s="5" t="s">
        <v>44</v>
      </c>
      <c r="V297" s="5" t="s">
        <v>44</v>
      </c>
      <c r="W297" s="5" t="s">
        <v>35</v>
      </c>
      <c r="X297" s="5" t="s">
        <v>117</v>
      </c>
      <c r="Y297" s="5" t="s">
        <v>46</v>
      </c>
      <c r="Z297" s="5" t="s">
        <v>357</v>
      </c>
      <c r="AA297" s="5" t="s">
        <v>64</v>
      </c>
      <c r="AB297" s="5" t="s">
        <v>1420</v>
      </c>
      <c r="AC297" s="6" t="s">
        <v>1421</v>
      </c>
      <c r="AD297" s="6">
        <v>3590.0</v>
      </c>
    </row>
    <row r="298" ht="56.25" customHeight="1">
      <c r="A298" s="5" t="s">
        <v>1349</v>
      </c>
      <c r="B298" s="6" t="str">
        <f>IMAGE("https://storage.googleapis.com/acdb/miscellaneous/FtrDesktopPC_Remake_3_0.png")</f>
        <v/>
      </c>
      <c r="C298" s="5" t="s">
        <v>69</v>
      </c>
      <c r="D298" s="5" t="s">
        <v>34</v>
      </c>
      <c r="E298" s="5" t="s">
        <v>1350</v>
      </c>
      <c r="F298" s="5" t="s">
        <v>715</v>
      </c>
      <c r="G298" s="5" t="s">
        <v>36</v>
      </c>
      <c r="H298" s="5" t="s">
        <v>36</v>
      </c>
      <c r="I298" s="5" t="s">
        <v>35</v>
      </c>
      <c r="J298" s="6">
        <v>7.0</v>
      </c>
      <c r="K298" s="6">
        <v>100000.0</v>
      </c>
      <c r="L298" s="6">
        <v>25000.0</v>
      </c>
      <c r="M298" s="5" t="s">
        <v>69</v>
      </c>
      <c r="N298" s="5" t="s">
        <v>68</v>
      </c>
      <c r="O298" s="6" t="s">
        <v>40</v>
      </c>
      <c r="P298" s="5" t="s">
        <v>59</v>
      </c>
      <c r="Q298" s="5" t="s">
        <v>115</v>
      </c>
      <c r="R298" s="6" t="s">
        <v>42</v>
      </c>
      <c r="S298" s="5" t="s">
        <v>91</v>
      </c>
      <c r="T298" s="5" t="s">
        <v>90</v>
      </c>
      <c r="U298" s="5" t="s">
        <v>44</v>
      </c>
      <c r="V298" s="5" t="s">
        <v>44</v>
      </c>
      <c r="W298" s="5" t="s">
        <v>35</v>
      </c>
      <c r="X298" s="5" t="s">
        <v>117</v>
      </c>
      <c r="Y298" s="5" t="s">
        <v>46</v>
      </c>
      <c r="Z298" s="5" t="s">
        <v>357</v>
      </c>
      <c r="AA298" s="5" t="s">
        <v>64</v>
      </c>
      <c r="AB298" s="5" t="s">
        <v>1425</v>
      </c>
      <c r="AC298" s="6" t="s">
        <v>71</v>
      </c>
      <c r="AD298" s="6">
        <v>3590.0</v>
      </c>
    </row>
    <row r="299" ht="56.25" customHeight="1">
      <c r="A299" s="5" t="s">
        <v>1349</v>
      </c>
      <c r="B299" s="6" t="str">
        <f>IMAGE("https://storage.googleapis.com/acdb/miscellaneous/FtrDesktopPC_Remake_3_1.png")</f>
        <v/>
      </c>
      <c r="C299" s="5" t="s">
        <v>69</v>
      </c>
      <c r="D299" s="5" t="s">
        <v>34</v>
      </c>
      <c r="E299" s="5" t="s">
        <v>1354</v>
      </c>
      <c r="F299" s="5" t="s">
        <v>715</v>
      </c>
      <c r="G299" s="5" t="s">
        <v>36</v>
      </c>
      <c r="H299" s="5" t="s">
        <v>36</v>
      </c>
      <c r="I299" s="5" t="s">
        <v>35</v>
      </c>
      <c r="J299" s="6">
        <v>7.0</v>
      </c>
      <c r="K299" s="6">
        <v>100000.0</v>
      </c>
      <c r="L299" s="6">
        <v>25000.0</v>
      </c>
      <c r="M299" s="5" t="s">
        <v>69</v>
      </c>
      <c r="N299" s="5" t="s">
        <v>57</v>
      </c>
      <c r="O299" s="6" t="s">
        <v>40</v>
      </c>
      <c r="P299" s="5" t="s">
        <v>59</v>
      </c>
      <c r="Q299" s="5" t="s">
        <v>115</v>
      </c>
      <c r="R299" s="6" t="s">
        <v>42</v>
      </c>
      <c r="S299" s="5" t="s">
        <v>91</v>
      </c>
      <c r="T299" s="5" t="s">
        <v>90</v>
      </c>
      <c r="U299" s="5" t="s">
        <v>44</v>
      </c>
      <c r="V299" s="5" t="s">
        <v>44</v>
      </c>
      <c r="W299" s="5" t="s">
        <v>35</v>
      </c>
      <c r="X299" s="5" t="s">
        <v>117</v>
      </c>
      <c r="Y299" s="5" t="s">
        <v>46</v>
      </c>
      <c r="Z299" s="5" t="s">
        <v>357</v>
      </c>
      <c r="AA299" s="5" t="s">
        <v>64</v>
      </c>
      <c r="AB299" s="5" t="s">
        <v>1428</v>
      </c>
      <c r="AC299" s="6" t="s">
        <v>257</v>
      </c>
      <c r="AD299" s="6">
        <v>3590.0</v>
      </c>
    </row>
    <row r="300" ht="56.25" customHeight="1">
      <c r="A300" s="5" t="s">
        <v>1349</v>
      </c>
      <c r="B300" s="6" t="str">
        <f>IMAGE("https://storage.googleapis.com/acdb/miscellaneous/FtrDesktopPC_Remake_3_2.png")</f>
        <v/>
      </c>
      <c r="C300" s="5" t="s">
        <v>69</v>
      </c>
      <c r="D300" s="5" t="s">
        <v>34</v>
      </c>
      <c r="E300" s="5" t="s">
        <v>1357</v>
      </c>
      <c r="F300" s="5" t="s">
        <v>715</v>
      </c>
      <c r="G300" s="5" t="s">
        <v>36</v>
      </c>
      <c r="H300" s="5" t="s">
        <v>36</v>
      </c>
      <c r="I300" s="5" t="s">
        <v>35</v>
      </c>
      <c r="J300" s="6">
        <v>7.0</v>
      </c>
      <c r="K300" s="6">
        <v>100000.0</v>
      </c>
      <c r="L300" s="6">
        <v>25000.0</v>
      </c>
      <c r="M300" s="5" t="s">
        <v>69</v>
      </c>
      <c r="N300" s="5" t="s">
        <v>58</v>
      </c>
      <c r="O300" s="6" t="s">
        <v>40</v>
      </c>
      <c r="P300" s="5" t="s">
        <v>59</v>
      </c>
      <c r="Q300" s="5" t="s">
        <v>115</v>
      </c>
      <c r="R300" s="6" t="s">
        <v>42</v>
      </c>
      <c r="S300" s="5" t="s">
        <v>91</v>
      </c>
      <c r="T300" s="5" t="s">
        <v>90</v>
      </c>
      <c r="U300" s="5" t="s">
        <v>44</v>
      </c>
      <c r="V300" s="5" t="s">
        <v>44</v>
      </c>
      <c r="W300" s="5" t="s">
        <v>35</v>
      </c>
      <c r="X300" s="5" t="s">
        <v>117</v>
      </c>
      <c r="Y300" s="5" t="s">
        <v>46</v>
      </c>
      <c r="Z300" s="5" t="s">
        <v>357</v>
      </c>
      <c r="AA300" s="5" t="s">
        <v>64</v>
      </c>
      <c r="AB300" s="5" t="s">
        <v>1431</v>
      </c>
      <c r="AC300" s="6" t="s">
        <v>414</v>
      </c>
      <c r="AD300" s="6">
        <v>3590.0</v>
      </c>
    </row>
    <row r="301" ht="56.25" customHeight="1">
      <c r="A301" s="5" t="s">
        <v>1349</v>
      </c>
      <c r="B301" s="6" t="str">
        <f>IMAGE("https://storage.googleapis.com/acdb/miscellaneous/FtrDesktopPC_Remake_3_3.png")</f>
        <v/>
      </c>
      <c r="C301" s="5" t="s">
        <v>69</v>
      </c>
      <c r="D301" s="5" t="s">
        <v>34</v>
      </c>
      <c r="E301" s="5" t="s">
        <v>1360</v>
      </c>
      <c r="F301" s="5" t="s">
        <v>715</v>
      </c>
      <c r="G301" s="5" t="s">
        <v>36</v>
      </c>
      <c r="H301" s="5" t="s">
        <v>36</v>
      </c>
      <c r="I301" s="5" t="s">
        <v>35</v>
      </c>
      <c r="J301" s="6">
        <v>7.0</v>
      </c>
      <c r="K301" s="6">
        <v>100000.0</v>
      </c>
      <c r="L301" s="6">
        <v>25000.0</v>
      </c>
      <c r="M301" s="5" t="s">
        <v>69</v>
      </c>
      <c r="N301" s="5" t="s">
        <v>58</v>
      </c>
      <c r="O301" s="6" t="s">
        <v>40</v>
      </c>
      <c r="P301" s="5" t="s">
        <v>59</v>
      </c>
      <c r="Q301" s="5" t="s">
        <v>115</v>
      </c>
      <c r="R301" s="6" t="s">
        <v>42</v>
      </c>
      <c r="S301" s="5" t="s">
        <v>91</v>
      </c>
      <c r="T301" s="5" t="s">
        <v>90</v>
      </c>
      <c r="U301" s="5" t="s">
        <v>44</v>
      </c>
      <c r="V301" s="5" t="s">
        <v>44</v>
      </c>
      <c r="W301" s="5" t="s">
        <v>35</v>
      </c>
      <c r="X301" s="5" t="s">
        <v>117</v>
      </c>
      <c r="Y301" s="5" t="s">
        <v>46</v>
      </c>
      <c r="Z301" s="5" t="s">
        <v>357</v>
      </c>
      <c r="AA301" s="5" t="s">
        <v>64</v>
      </c>
      <c r="AB301" s="5" t="s">
        <v>1435</v>
      </c>
      <c r="AC301" s="6" t="s">
        <v>418</v>
      </c>
      <c r="AD301" s="6">
        <v>3590.0</v>
      </c>
    </row>
    <row r="302" ht="56.25" customHeight="1">
      <c r="A302" s="5" t="s">
        <v>1349</v>
      </c>
      <c r="B302" s="6" t="str">
        <f>IMAGE("https://storage.googleapis.com/acdb/miscellaneous/FtrDesktopPC_Remake_3_4.png")</f>
        <v/>
      </c>
      <c r="C302" s="5" t="s">
        <v>69</v>
      </c>
      <c r="D302" s="5" t="s">
        <v>34</v>
      </c>
      <c r="E302" s="5" t="s">
        <v>1363</v>
      </c>
      <c r="F302" s="5" t="s">
        <v>715</v>
      </c>
      <c r="G302" s="5" t="s">
        <v>36</v>
      </c>
      <c r="H302" s="5" t="s">
        <v>36</v>
      </c>
      <c r="I302" s="5" t="s">
        <v>35</v>
      </c>
      <c r="J302" s="6">
        <v>7.0</v>
      </c>
      <c r="K302" s="6">
        <v>100000.0</v>
      </c>
      <c r="L302" s="6">
        <v>25000.0</v>
      </c>
      <c r="M302" s="5" t="s">
        <v>69</v>
      </c>
      <c r="N302" s="5" t="s">
        <v>58</v>
      </c>
      <c r="O302" s="6" t="s">
        <v>40</v>
      </c>
      <c r="P302" s="5" t="s">
        <v>59</v>
      </c>
      <c r="Q302" s="5" t="s">
        <v>115</v>
      </c>
      <c r="R302" s="6" t="s">
        <v>42</v>
      </c>
      <c r="S302" s="5" t="s">
        <v>91</v>
      </c>
      <c r="T302" s="5" t="s">
        <v>90</v>
      </c>
      <c r="U302" s="5" t="s">
        <v>44</v>
      </c>
      <c r="V302" s="5" t="s">
        <v>44</v>
      </c>
      <c r="W302" s="5" t="s">
        <v>35</v>
      </c>
      <c r="X302" s="5" t="s">
        <v>117</v>
      </c>
      <c r="Y302" s="5" t="s">
        <v>46</v>
      </c>
      <c r="Z302" s="5" t="s">
        <v>357</v>
      </c>
      <c r="AA302" s="5" t="s">
        <v>64</v>
      </c>
      <c r="AB302" s="5" t="s">
        <v>1437</v>
      </c>
      <c r="AC302" s="6" t="s">
        <v>563</v>
      </c>
      <c r="AD302" s="6">
        <v>3590.0</v>
      </c>
    </row>
    <row r="303" ht="56.25" customHeight="1">
      <c r="A303" s="5" t="s">
        <v>1349</v>
      </c>
      <c r="B303" s="6" t="str">
        <f>IMAGE("https://storage.googleapis.com/acdb/miscellaneous/FtrDesktopPC_Remake_3_5.png")</f>
        <v/>
      </c>
      <c r="C303" s="5" t="s">
        <v>69</v>
      </c>
      <c r="D303" s="5" t="s">
        <v>34</v>
      </c>
      <c r="E303" s="5" t="s">
        <v>1367</v>
      </c>
      <c r="F303" s="5" t="s">
        <v>715</v>
      </c>
      <c r="G303" s="5" t="s">
        <v>36</v>
      </c>
      <c r="H303" s="5" t="s">
        <v>36</v>
      </c>
      <c r="I303" s="5" t="s">
        <v>35</v>
      </c>
      <c r="J303" s="6">
        <v>7.0</v>
      </c>
      <c r="K303" s="6">
        <v>100000.0</v>
      </c>
      <c r="L303" s="6">
        <v>25000.0</v>
      </c>
      <c r="M303" s="5" t="s">
        <v>69</v>
      </c>
      <c r="N303" s="5" t="s">
        <v>58</v>
      </c>
      <c r="O303" s="6" t="s">
        <v>40</v>
      </c>
      <c r="P303" s="5" t="s">
        <v>59</v>
      </c>
      <c r="Q303" s="5" t="s">
        <v>115</v>
      </c>
      <c r="R303" s="6" t="s">
        <v>42</v>
      </c>
      <c r="S303" s="5" t="s">
        <v>91</v>
      </c>
      <c r="T303" s="5" t="s">
        <v>90</v>
      </c>
      <c r="U303" s="5" t="s">
        <v>44</v>
      </c>
      <c r="V303" s="5" t="s">
        <v>44</v>
      </c>
      <c r="W303" s="5" t="s">
        <v>35</v>
      </c>
      <c r="X303" s="5" t="s">
        <v>117</v>
      </c>
      <c r="Y303" s="5" t="s">
        <v>46</v>
      </c>
      <c r="Z303" s="5" t="s">
        <v>357</v>
      </c>
      <c r="AA303" s="5" t="s">
        <v>64</v>
      </c>
      <c r="AB303" s="5" t="s">
        <v>1442</v>
      </c>
      <c r="AC303" s="6" t="s">
        <v>1443</v>
      </c>
      <c r="AD303" s="6">
        <v>3590.0</v>
      </c>
    </row>
    <row r="304" ht="56.25" customHeight="1">
      <c r="A304" s="5" t="s">
        <v>1349</v>
      </c>
      <c r="B304" s="6" t="str">
        <f>IMAGE("https://storage.googleapis.com/acdb/miscellaneous/FtrDesktopPC_Remake_3_6.png")</f>
        <v/>
      </c>
      <c r="C304" s="5" t="s">
        <v>69</v>
      </c>
      <c r="D304" s="5" t="s">
        <v>34</v>
      </c>
      <c r="E304" s="5" t="s">
        <v>1371</v>
      </c>
      <c r="F304" s="5" t="s">
        <v>715</v>
      </c>
      <c r="G304" s="5" t="s">
        <v>36</v>
      </c>
      <c r="H304" s="5" t="s">
        <v>36</v>
      </c>
      <c r="I304" s="5" t="s">
        <v>35</v>
      </c>
      <c r="J304" s="6">
        <v>7.0</v>
      </c>
      <c r="K304" s="6">
        <v>100000.0</v>
      </c>
      <c r="L304" s="6">
        <v>25000.0</v>
      </c>
      <c r="M304" s="5" t="s">
        <v>69</v>
      </c>
      <c r="N304" s="5" t="s">
        <v>58</v>
      </c>
      <c r="O304" s="6" t="s">
        <v>40</v>
      </c>
      <c r="P304" s="5" t="s">
        <v>59</v>
      </c>
      <c r="Q304" s="5" t="s">
        <v>115</v>
      </c>
      <c r="R304" s="6" t="s">
        <v>42</v>
      </c>
      <c r="S304" s="5" t="s">
        <v>91</v>
      </c>
      <c r="T304" s="5" t="s">
        <v>90</v>
      </c>
      <c r="U304" s="5" t="s">
        <v>44</v>
      </c>
      <c r="V304" s="5" t="s">
        <v>44</v>
      </c>
      <c r="W304" s="5" t="s">
        <v>35</v>
      </c>
      <c r="X304" s="5" t="s">
        <v>117</v>
      </c>
      <c r="Y304" s="5" t="s">
        <v>46</v>
      </c>
      <c r="Z304" s="5" t="s">
        <v>357</v>
      </c>
      <c r="AA304" s="5" t="s">
        <v>64</v>
      </c>
      <c r="AB304" s="5" t="s">
        <v>1449</v>
      </c>
      <c r="AC304" s="6" t="s">
        <v>1450</v>
      </c>
      <c r="AD304" s="6">
        <v>3590.0</v>
      </c>
    </row>
    <row r="305" ht="56.25" customHeight="1">
      <c r="A305" s="5" t="s">
        <v>1452</v>
      </c>
      <c r="B305" s="6" t="str">
        <f>IMAGE("https://storage.googleapis.com/acdb/miscellaneous/FtrDigitalclock_Remake_0_0.png")</f>
        <v/>
      </c>
      <c r="C305" s="5" t="s">
        <v>142</v>
      </c>
      <c r="D305" s="5" t="s">
        <v>34</v>
      </c>
      <c r="E305" s="5" t="s">
        <v>34</v>
      </c>
      <c r="F305" s="5" t="s">
        <v>34</v>
      </c>
      <c r="G305" s="5" t="s">
        <v>36</v>
      </c>
      <c r="H305" s="5" t="s">
        <v>36</v>
      </c>
      <c r="I305" s="5" t="s">
        <v>36</v>
      </c>
      <c r="J305" s="6" t="s">
        <v>34</v>
      </c>
      <c r="K305" s="6">
        <v>1600.0</v>
      </c>
      <c r="L305" s="6">
        <v>400.0</v>
      </c>
      <c r="M305" s="5" t="s">
        <v>142</v>
      </c>
      <c r="N305" s="5" t="s">
        <v>57</v>
      </c>
      <c r="O305" s="6" t="s">
        <v>40</v>
      </c>
      <c r="P305" s="5" t="s">
        <v>59</v>
      </c>
      <c r="Q305" s="5" t="s">
        <v>60</v>
      </c>
      <c r="R305" s="6" t="s">
        <v>42</v>
      </c>
      <c r="S305" s="5" t="s">
        <v>90</v>
      </c>
      <c r="T305" s="5" t="s">
        <v>99</v>
      </c>
      <c r="U305" s="5" t="s">
        <v>44</v>
      </c>
      <c r="V305" s="5" t="s">
        <v>44</v>
      </c>
      <c r="W305" s="5" t="s">
        <v>35</v>
      </c>
      <c r="X305" s="5" t="s">
        <v>260</v>
      </c>
      <c r="Y305" s="5" t="s">
        <v>46</v>
      </c>
      <c r="Z305" s="5" t="s">
        <v>47</v>
      </c>
      <c r="AA305" s="5" t="s">
        <v>64</v>
      </c>
      <c r="AB305" s="5" t="s">
        <v>1456</v>
      </c>
      <c r="AC305" s="6" t="s">
        <v>50</v>
      </c>
      <c r="AD305" s="6">
        <v>2731.0</v>
      </c>
    </row>
    <row r="306" ht="56.25" customHeight="1">
      <c r="A306" s="5" t="s">
        <v>1452</v>
      </c>
      <c r="B306" s="6" t="str">
        <f>IMAGE("https://storage.googleapis.com/acdb/miscellaneous/FtrDigitalclock_Remake_1_0.png")</f>
        <v/>
      </c>
      <c r="C306" s="5" t="s">
        <v>1458</v>
      </c>
      <c r="D306" s="5" t="s">
        <v>34</v>
      </c>
      <c r="E306" s="5" t="s">
        <v>34</v>
      </c>
      <c r="F306" s="5" t="s">
        <v>34</v>
      </c>
      <c r="G306" s="5" t="s">
        <v>36</v>
      </c>
      <c r="H306" s="5" t="s">
        <v>36</v>
      </c>
      <c r="I306" s="5" t="s">
        <v>36</v>
      </c>
      <c r="J306" s="6" t="s">
        <v>34</v>
      </c>
      <c r="K306" s="6">
        <v>1600.0</v>
      </c>
      <c r="L306" s="6">
        <v>400.0</v>
      </c>
      <c r="M306" s="5" t="s">
        <v>96</v>
      </c>
      <c r="N306" s="5" t="s">
        <v>96</v>
      </c>
      <c r="O306" s="6" t="s">
        <v>40</v>
      </c>
      <c r="P306" s="5" t="s">
        <v>59</v>
      </c>
      <c r="Q306" s="5" t="s">
        <v>60</v>
      </c>
      <c r="R306" s="6" t="s">
        <v>42</v>
      </c>
      <c r="S306" s="5" t="s">
        <v>90</v>
      </c>
      <c r="T306" s="5" t="s">
        <v>99</v>
      </c>
      <c r="U306" s="5" t="s">
        <v>44</v>
      </c>
      <c r="V306" s="5" t="s">
        <v>44</v>
      </c>
      <c r="W306" s="5" t="s">
        <v>35</v>
      </c>
      <c r="X306" s="5" t="s">
        <v>260</v>
      </c>
      <c r="Y306" s="5" t="s">
        <v>46</v>
      </c>
      <c r="Z306" s="5" t="s">
        <v>47</v>
      </c>
      <c r="AA306" s="5" t="s">
        <v>64</v>
      </c>
      <c r="AB306" s="5" t="s">
        <v>1460</v>
      </c>
      <c r="AC306" s="6" t="s">
        <v>56</v>
      </c>
      <c r="AD306" s="6">
        <v>2731.0</v>
      </c>
    </row>
    <row r="307" ht="56.25" customHeight="1">
      <c r="A307" s="5" t="s">
        <v>1452</v>
      </c>
      <c r="B307" s="6" t="str">
        <f>IMAGE("https://storage.googleapis.com/acdb/miscellaneous/FtrDigitalclock_Remake_2_0.png")</f>
        <v/>
      </c>
      <c r="C307" s="5" t="s">
        <v>83</v>
      </c>
      <c r="D307" s="5" t="s">
        <v>34</v>
      </c>
      <c r="E307" s="5" t="s">
        <v>34</v>
      </c>
      <c r="F307" s="5" t="s">
        <v>34</v>
      </c>
      <c r="G307" s="5" t="s">
        <v>36</v>
      </c>
      <c r="H307" s="5" t="s">
        <v>36</v>
      </c>
      <c r="I307" s="5" t="s">
        <v>36</v>
      </c>
      <c r="J307" s="6" t="s">
        <v>34</v>
      </c>
      <c r="K307" s="6">
        <v>1600.0</v>
      </c>
      <c r="L307" s="6">
        <v>400.0</v>
      </c>
      <c r="M307" s="5" t="s">
        <v>83</v>
      </c>
      <c r="N307" s="5" t="s">
        <v>142</v>
      </c>
      <c r="O307" s="6" t="s">
        <v>40</v>
      </c>
      <c r="P307" s="5" t="s">
        <v>59</v>
      </c>
      <c r="Q307" s="5" t="s">
        <v>60</v>
      </c>
      <c r="R307" s="6" t="s">
        <v>42</v>
      </c>
      <c r="S307" s="5" t="s">
        <v>90</v>
      </c>
      <c r="T307" s="5" t="s">
        <v>99</v>
      </c>
      <c r="U307" s="5" t="s">
        <v>44</v>
      </c>
      <c r="V307" s="5" t="s">
        <v>44</v>
      </c>
      <c r="W307" s="5" t="s">
        <v>35</v>
      </c>
      <c r="X307" s="5" t="s">
        <v>260</v>
      </c>
      <c r="Y307" s="5" t="s">
        <v>46</v>
      </c>
      <c r="Z307" s="5" t="s">
        <v>47</v>
      </c>
      <c r="AA307" s="5" t="s">
        <v>64</v>
      </c>
      <c r="AB307" s="5" t="s">
        <v>1463</v>
      </c>
      <c r="AC307" s="6" t="s">
        <v>67</v>
      </c>
      <c r="AD307" s="6">
        <v>2731.0</v>
      </c>
    </row>
    <row r="308" ht="56.25" customHeight="1">
      <c r="A308" s="5" t="s">
        <v>1452</v>
      </c>
      <c r="B308" s="6" t="str">
        <f>IMAGE("https://storage.googleapis.com/acdb/miscellaneous/FtrDigitalclock_Remake_3_0.png")</f>
        <v/>
      </c>
      <c r="C308" s="5" t="s">
        <v>68</v>
      </c>
      <c r="D308" s="5" t="s">
        <v>34</v>
      </c>
      <c r="E308" s="5" t="s">
        <v>34</v>
      </c>
      <c r="F308" s="5" t="s">
        <v>34</v>
      </c>
      <c r="G308" s="5" t="s">
        <v>36</v>
      </c>
      <c r="H308" s="5" t="s">
        <v>36</v>
      </c>
      <c r="I308" s="5" t="s">
        <v>36</v>
      </c>
      <c r="J308" s="6" t="s">
        <v>34</v>
      </c>
      <c r="K308" s="6">
        <v>1600.0</v>
      </c>
      <c r="L308" s="6">
        <v>400.0</v>
      </c>
      <c r="M308" s="5" t="s">
        <v>68</v>
      </c>
      <c r="N308" s="5" t="s">
        <v>114</v>
      </c>
      <c r="O308" s="6" t="s">
        <v>40</v>
      </c>
      <c r="P308" s="5" t="s">
        <v>59</v>
      </c>
      <c r="Q308" s="5" t="s">
        <v>60</v>
      </c>
      <c r="R308" s="6" t="s">
        <v>42</v>
      </c>
      <c r="S308" s="5" t="s">
        <v>90</v>
      </c>
      <c r="T308" s="5" t="s">
        <v>99</v>
      </c>
      <c r="U308" s="5" t="s">
        <v>44</v>
      </c>
      <c r="V308" s="5" t="s">
        <v>44</v>
      </c>
      <c r="W308" s="5" t="s">
        <v>35</v>
      </c>
      <c r="X308" s="5" t="s">
        <v>260</v>
      </c>
      <c r="Y308" s="5" t="s">
        <v>46</v>
      </c>
      <c r="Z308" s="5" t="s">
        <v>47</v>
      </c>
      <c r="AA308" s="5" t="s">
        <v>64</v>
      </c>
      <c r="AB308" s="5" t="s">
        <v>1465</v>
      </c>
      <c r="AC308" s="6" t="s">
        <v>71</v>
      </c>
      <c r="AD308" s="6">
        <v>2731.0</v>
      </c>
    </row>
    <row r="309" ht="56.25" customHeight="1">
      <c r="A309" s="5" t="s">
        <v>1452</v>
      </c>
      <c r="B309" s="6" t="str">
        <f>IMAGE("https://storage.googleapis.com/acdb/miscellaneous/FtrDigitalclock_Remake_4_0.png")</f>
        <v/>
      </c>
      <c r="C309" s="5" t="s">
        <v>106</v>
      </c>
      <c r="D309" s="5" t="s">
        <v>34</v>
      </c>
      <c r="E309" s="5" t="s">
        <v>34</v>
      </c>
      <c r="F309" s="5" t="s">
        <v>34</v>
      </c>
      <c r="G309" s="5" t="s">
        <v>36</v>
      </c>
      <c r="H309" s="5" t="s">
        <v>36</v>
      </c>
      <c r="I309" s="5" t="s">
        <v>36</v>
      </c>
      <c r="J309" s="6" t="s">
        <v>34</v>
      </c>
      <c r="K309" s="6">
        <v>1600.0</v>
      </c>
      <c r="L309" s="6">
        <v>400.0</v>
      </c>
      <c r="M309" s="5" t="s">
        <v>106</v>
      </c>
      <c r="N309" s="5" t="s">
        <v>96</v>
      </c>
      <c r="O309" s="6" t="s">
        <v>40</v>
      </c>
      <c r="P309" s="5" t="s">
        <v>59</v>
      </c>
      <c r="Q309" s="5" t="s">
        <v>60</v>
      </c>
      <c r="R309" s="6" t="s">
        <v>42</v>
      </c>
      <c r="S309" s="5" t="s">
        <v>90</v>
      </c>
      <c r="T309" s="5" t="s">
        <v>99</v>
      </c>
      <c r="U309" s="5" t="s">
        <v>44</v>
      </c>
      <c r="V309" s="5" t="s">
        <v>44</v>
      </c>
      <c r="W309" s="5" t="s">
        <v>35</v>
      </c>
      <c r="X309" s="5" t="s">
        <v>260</v>
      </c>
      <c r="Y309" s="5" t="s">
        <v>46</v>
      </c>
      <c r="Z309" s="5" t="s">
        <v>47</v>
      </c>
      <c r="AA309" s="5" t="s">
        <v>64</v>
      </c>
      <c r="AB309" s="5" t="s">
        <v>1469</v>
      </c>
      <c r="AC309" s="6" t="s">
        <v>75</v>
      </c>
      <c r="AD309" s="6">
        <v>2731.0</v>
      </c>
    </row>
    <row r="310" ht="56.25" customHeight="1">
      <c r="A310" s="5" t="s">
        <v>1452</v>
      </c>
      <c r="B310" s="6" t="str">
        <f>IMAGE("https://storage.googleapis.com/acdb/miscellaneous/FtrDigitalclock_Remake_5_0.png")</f>
        <v/>
      </c>
      <c r="C310" s="5" t="s">
        <v>69</v>
      </c>
      <c r="D310" s="5" t="s">
        <v>34</v>
      </c>
      <c r="E310" s="5" t="s">
        <v>34</v>
      </c>
      <c r="F310" s="5" t="s">
        <v>34</v>
      </c>
      <c r="G310" s="5" t="s">
        <v>36</v>
      </c>
      <c r="H310" s="5" t="s">
        <v>36</v>
      </c>
      <c r="I310" s="5" t="s">
        <v>36</v>
      </c>
      <c r="J310" s="6" t="s">
        <v>34</v>
      </c>
      <c r="K310" s="6">
        <v>1600.0</v>
      </c>
      <c r="L310" s="6">
        <v>400.0</v>
      </c>
      <c r="M310" s="5" t="s">
        <v>52</v>
      </c>
      <c r="N310" s="5" t="s">
        <v>57</v>
      </c>
      <c r="O310" s="6" t="s">
        <v>40</v>
      </c>
      <c r="P310" s="5" t="s">
        <v>59</v>
      </c>
      <c r="Q310" s="5" t="s">
        <v>60</v>
      </c>
      <c r="R310" s="6" t="s">
        <v>42</v>
      </c>
      <c r="S310" s="5" t="s">
        <v>90</v>
      </c>
      <c r="T310" s="5" t="s">
        <v>99</v>
      </c>
      <c r="U310" s="5" t="s">
        <v>44</v>
      </c>
      <c r="V310" s="5" t="s">
        <v>44</v>
      </c>
      <c r="W310" s="5" t="s">
        <v>35</v>
      </c>
      <c r="X310" s="5" t="s">
        <v>260</v>
      </c>
      <c r="Y310" s="5" t="s">
        <v>46</v>
      </c>
      <c r="Z310" s="5" t="s">
        <v>47</v>
      </c>
      <c r="AA310" s="5" t="s">
        <v>64</v>
      </c>
      <c r="AB310" s="5" t="s">
        <v>1473</v>
      </c>
      <c r="AC310" s="6" t="s">
        <v>79</v>
      </c>
      <c r="AD310" s="6">
        <v>2731.0</v>
      </c>
    </row>
    <row r="311" ht="56.25" customHeight="1">
      <c r="A311" s="5" t="s">
        <v>1452</v>
      </c>
      <c r="B311" s="6" t="str">
        <f>IMAGE("https://storage.googleapis.com/acdb/miscellaneous/FtrDigitalclock_Remake_6_0.png")</f>
        <v/>
      </c>
      <c r="C311" s="5" t="s">
        <v>57</v>
      </c>
      <c r="D311" s="5" t="s">
        <v>34</v>
      </c>
      <c r="E311" s="5" t="s">
        <v>34</v>
      </c>
      <c r="F311" s="5" t="s">
        <v>34</v>
      </c>
      <c r="G311" s="5" t="s">
        <v>36</v>
      </c>
      <c r="H311" s="5" t="s">
        <v>36</v>
      </c>
      <c r="I311" s="5" t="s">
        <v>36</v>
      </c>
      <c r="J311" s="6" t="s">
        <v>34</v>
      </c>
      <c r="K311" s="6">
        <v>1600.0</v>
      </c>
      <c r="L311" s="6">
        <v>400.0</v>
      </c>
      <c r="M311" s="5" t="s">
        <v>57</v>
      </c>
      <c r="N311" s="5" t="s">
        <v>83</v>
      </c>
      <c r="O311" s="6" t="s">
        <v>40</v>
      </c>
      <c r="P311" s="5" t="s">
        <v>59</v>
      </c>
      <c r="Q311" s="5" t="s">
        <v>60</v>
      </c>
      <c r="R311" s="6" t="s">
        <v>42</v>
      </c>
      <c r="S311" s="5" t="s">
        <v>90</v>
      </c>
      <c r="T311" s="5" t="s">
        <v>99</v>
      </c>
      <c r="U311" s="5" t="s">
        <v>44</v>
      </c>
      <c r="V311" s="5" t="s">
        <v>44</v>
      </c>
      <c r="W311" s="5" t="s">
        <v>35</v>
      </c>
      <c r="X311" s="5" t="s">
        <v>260</v>
      </c>
      <c r="Y311" s="5" t="s">
        <v>46</v>
      </c>
      <c r="Z311" s="5" t="s">
        <v>47</v>
      </c>
      <c r="AA311" s="5" t="s">
        <v>64</v>
      </c>
      <c r="AB311" s="5" t="s">
        <v>1476</v>
      </c>
      <c r="AC311" s="6" t="s">
        <v>86</v>
      </c>
      <c r="AD311" s="6">
        <v>2731.0</v>
      </c>
    </row>
    <row r="312" ht="56.25" customHeight="1">
      <c r="A312" s="5" t="s">
        <v>1452</v>
      </c>
      <c r="B312" s="6" t="str">
        <f>IMAGE("https://storage.googleapis.com/acdb/miscellaneous/FtrDigitalclock_Remake_7_0.png")</f>
        <v/>
      </c>
      <c r="C312" s="5" t="s">
        <v>54</v>
      </c>
      <c r="D312" s="5" t="s">
        <v>34</v>
      </c>
      <c r="E312" s="5" t="s">
        <v>34</v>
      </c>
      <c r="F312" s="5" t="s">
        <v>34</v>
      </c>
      <c r="G312" s="5" t="s">
        <v>36</v>
      </c>
      <c r="H312" s="5" t="s">
        <v>36</v>
      </c>
      <c r="I312" s="5" t="s">
        <v>36</v>
      </c>
      <c r="J312" s="6" t="s">
        <v>34</v>
      </c>
      <c r="K312" s="6">
        <v>1600.0</v>
      </c>
      <c r="L312" s="6">
        <v>400.0</v>
      </c>
      <c r="M312" s="5" t="s">
        <v>54</v>
      </c>
      <c r="N312" s="5" t="s">
        <v>52</v>
      </c>
      <c r="O312" s="6" t="s">
        <v>40</v>
      </c>
      <c r="P312" s="5" t="s">
        <v>59</v>
      </c>
      <c r="Q312" s="5" t="s">
        <v>60</v>
      </c>
      <c r="R312" s="6" t="s">
        <v>42</v>
      </c>
      <c r="S312" s="5" t="s">
        <v>90</v>
      </c>
      <c r="T312" s="5" t="s">
        <v>99</v>
      </c>
      <c r="U312" s="5" t="s">
        <v>44</v>
      </c>
      <c r="V312" s="5" t="s">
        <v>44</v>
      </c>
      <c r="W312" s="5" t="s">
        <v>35</v>
      </c>
      <c r="X312" s="5" t="s">
        <v>260</v>
      </c>
      <c r="Y312" s="5" t="s">
        <v>46</v>
      </c>
      <c r="Z312" s="5" t="s">
        <v>47</v>
      </c>
      <c r="AA312" s="5" t="s">
        <v>64</v>
      </c>
      <c r="AB312" s="5" t="s">
        <v>1480</v>
      </c>
      <c r="AC312" s="6" t="s">
        <v>208</v>
      </c>
      <c r="AD312" s="6">
        <v>2731.0</v>
      </c>
    </row>
    <row r="313" ht="56.25" customHeight="1">
      <c r="A313" s="5" t="s">
        <v>1481</v>
      </c>
      <c r="B313" s="16" t="str">
        <f>IMAGE("https://storage.googleapis.com/acdb/miscellaneous/FtrDishes.png")</f>
        <v/>
      </c>
      <c r="C313" s="5" t="s">
        <v>34</v>
      </c>
      <c r="D313" s="5" t="s">
        <v>34</v>
      </c>
      <c r="E313" s="5" t="s">
        <v>34</v>
      </c>
      <c r="F313" s="5" t="s">
        <v>34</v>
      </c>
      <c r="G313" s="5" t="s">
        <v>36</v>
      </c>
      <c r="H313" s="5" t="s">
        <v>36</v>
      </c>
      <c r="I313" s="5" t="s">
        <v>36</v>
      </c>
      <c r="J313" s="6" t="s">
        <v>34</v>
      </c>
      <c r="K313" s="6">
        <v>930.0</v>
      </c>
      <c r="L313" s="6">
        <v>232.0</v>
      </c>
      <c r="M313" s="5" t="s">
        <v>57</v>
      </c>
      <c r="N313" s="5" t="s">
        <v>57</v>
      </c>
      <c r="O313" s="6" t="s">
        <v>40</v>
      </c>
      <c r="P313" s="5" t="s">
        <v>59</v>
      </c>
      <c r="Q313" s="5" t="s">
        <v>60</v>
      </c>
      <c r="R313" s="6" t="s">
        <v>42</v>
      </c>
      <c r="S313" s="5" t="s">
        <v>159</v>
      </c>
      <c r="T313" s="5" t="s">
        <v>62</v>
      </c>
      <c r="U313" s="5" t="s">
        <v>44</v>
      </c>
      <c r="V313" s="5" t="s">
        <v>44</v>
      </c>
      <c r="W313" s="5" t="s">
        <v>36</v>
      </c>
      <c r="X313" s="5" t="s">
        <v>160</v>
      </c>
      <c r="Y313" s="5" t="s">
        <v>46</v>
      </c>
      <c r="Z313" s="5" t="s">
        <v>47</v>
      </c>
      <c r="AA313" s="5" t="s">
        <v>64</v>
      </c>
      <c r="AB313" s="5" t="s">
        <v>1484</v>
      </c>
      <c r="AC313" s="6" t="s">
        <v>34</v>
      </c>
      <c r="AD313" s="6">
        <v>1798.0</v>
      </c>
    </row>
    <row r="314" ht="56.25" customHeight="1">
      <c r="A314" s="5" t="s">
        <v>1486</v>
      </c>
      <c r="B314" s="6" t="str">
        <f>IMAGE("https://storage.googleapis.com/acdb/miscellaneous/FtrDrainerbasket_Remake_0_0.png")</f>
        <v/>
      </c>
      <c r="C314" s="5" t="s">
        <v>57</v>
      </c>
      <c r="D314" s="5" t="s">
        <v>34</v>
      </c>
      <c r="E314" s="5" t="s">
        <v>34</v>
      </c>
      <c r="F314" s="5" t="s">
        <v>34</v>
      </c>
      <c r="G314" s="5" t="s">
        <v>36</v>
      </c>
      <c r="H314" s="5" t="s">
        <v>36</v>
      </c>
      <c r="I314" s="5" t="s">
        <v>36</v>
      </c>
      <c r="J314" s="6" t="s">
        <v>34</v>
      </c>
      <c r="K314" s="6">
        <v>530.0</v>
      </c>
      <c r="L314" s="6">
        <v>132.0</v>
      </c>
      <c r="M314" s="5" t="s">
        <v>57</v>
      </c>
      <c r="N314" s="5" t="s">
        <v>57</v>
      </c>
      <c r="O314" s="6" t="s">
        <v>40</v>
      </c>
      <c r="P314" s="5" t="s">
        <v>59</v>
      </c>
      <c r="Q314" s="5" t="s">
        <v>60</v>
      </c>
      <c r="R314" s="6" t="s">
        <v>42</v>
      </c>
      <c r="S314" s="5" t="s">
        <v>159</v>
      </c>
      <c r="T314" s="5" t="s">
        <v>62</v>
      </c>
      <c r="U314" s="5" t="s">
        <v>44</v>
      </c>
      <c r="V314" s="5" t="s">
        <v>44</v>
      </c>
      <c r="W314" s="5" t="s">
        <v>36</v>
      </c>
      <c r="X314" s="5" t="s">
        <v>160</v>
      </c>
      <c r="Y314" s="5" t="s">
        <v>46</v>
      </c>
      <c r="Z314" s="5" t="s">
        <v>47</v>
      </c>
      <c r="AA314" s="5" t="s">
        <v>64</v>
      </c>
      <c r="AB314" s="5" t="s">
        <v>1489</v>
      </c>
      <c r="AC314" s="6" t="s">
        <v>50</v>
      </c>
      <c r="AD314" s="6">
        <v>3400.0</v>
      </c>
    </row>
    <row r="315" ht="56.25" customHeight="1">
      <c r="A315" s="5" t="s">
        <v>1486</v>
      </c>
      <c r="B315" s="6" t="str">
        <f>IMAGE("https://storage.googleapis.com/acdb/miscellaneous/FtrDrainerbasket_Remake_1_0.png")</f>
        <v/>
      </c>
      <c r="C315" s="5" t="s">
        <v>54</v>
      </c>
      <c r="D315" s="5" t="s">
        <v>34</v>
      </c>
      <c r="E315" s="5" t="s">
        <v>34</v>
      </c>
      <c r="F315" s="5" t="s">
        <v>34</v>
      </c>
      <c r="G315" s="5" t="s">
        <v>36</v>
      </c>
      <c r="H315" s="5" t="s">
        <v>36</v>
      </c>
      <c r="I315" s="5" t="s">
        <v>36</v>
      </c>
      <c r="J315" s="6" t="s">
        <v>34</v>
      </c>
      <c r="K315" s="6">
        <v>530.0</v>
      </c>
      <c r="L315" s="6">
        <v>132.0</v>
      </c>
      <c r="M315" s="5" t="s">
        <v>54</v>
      </c>
      <c r="N315" s="5" t="s">
        <v>54</v>
      </c>
      <c r="O315" s="6" t="s">
        <v>40</v>
      </c>
      <c r="P315" s="5" t="s">
        <v>59</v>
      </c>
      <c r="Q315" s="5" t="s">
        <v>60</v>
      </c>
      <c r="R315" s="6" t="s">
        <v>42</v>
      </c>
      <c r="S315" s="5" t="s">
        <v>159</v>
      </c>
      <c r="T315" s="5" t="s">
        <v>62</v>
      </c>
      <c r="U315" s="5" t="s">
        <v>44</v>
      </c>
      <c r="V315" s="5" t="s">
        <v>44</v>
      </c>
      <c r="W315" s="5" t="s">
        <v>36</v>
      </c>
      <c r="X315" s="5" t="s">
        <v>160</v>
      </c>
      <c r="Y315" s="5" t="s">
        <v>46</v>
      </c>
      <c r="Z315" s="5" t="s">
        <v>47</v>
      </c>
      <c r="AA315" s="5" t="s">
        <v>64</v>
      </c>
      <c r="AB315" s="5" t="s">
        <v>1492</v>
      </c>
      <c r="AC315" s="6" t="s">
        <v>56</v>
      </c>
      <c r="AD315" s="6">
        <v>3400.0</v>
      </c>
    </row>
    <row r="316" ht="56.25" customHeight="1">
      <c r="A316" s="5" t="s">
        <v>1486</v>
      </c>
      <c r="B316" s="6" t="str">
        <f>IMAGE("https://storage.googleapis.com/acdb/miscellaneous/FtrDrainerbasket_Remake_2_0.png")</f>
        <v/>
      </c>
      <c r="C316" s="5" t="s">
        <v>146</v>
      </c>
      <c r="D316" s="5" t="s">
        <v>34</v>
      </c>
      <c r="E316" s="5" t="s">
        <v>34</v>
      </c>
      <c r="F316" s="5" t="s">
        <v>34</v>
      </c>
      <c r="G316" s="5" t="s">
        <v>36</v>
      </c>
      <c r="H316" s="5" t="s">
        <v>36</v>
      </c>
      <c r="I316" s="5" t="s">
        <v>36</v>
      </c>
      <c r="J316" s="6" t="s">
        <v>34</v>
      </c>
      <c r="K316" s="6">
        <v>530.0</v>
      </c>
      <c r="L316" s="6">
        <v>132.0</v>
      </c>
      <c r="M316" s="5" t="s">
        <v>95</v>
      </c>
      <c r="N316" s="5" t="s">
        <v>95</v>
      </c>
      <c r="O316" s="6" t="s">
        <v>40</v>
      </c>
      <c r="P316" s="5" t="s">
        <v>59</v>
      </c>
      <c r="Q316" s="5" t="s">
        <v>60</v>
      </c>
      <c r="R316" s="6" t="s">
        <v>42</v>
      </c>
      <c r="S316" s="5" t="s">
        <v>159</v>
      </c>
      <c r="T316" s="5" t="s">
        <v>62</v>
      </c>
      <c r="U316" s="5" t="s">
        <v>44</v>
      </c>
      <c r="V316" s="5" t="s">
        <v>44</v>
      </c>
      <c r="W316" s="5" t="s">
        <v>36</v>
      </c>
      <c r="X316" s="5" t="s">
        <v>160</v>
      </c>
      <c r="Y316" s="5" t="s">
        <v>46</v>
      </c>
      <c r="Z316" s="5" t="s">
        <v>47</v>
      </c>
      <c r="AA316" s="5" t="s">
        <v>64</v>
      </c>
      <c r="AB316" s="5" t="s">
        <v>1497</v>
      </c>
      <c r="AC316" s="6" t="s">
        <v>67</v>
      </c>
      <c r="AD316" s="6">
        <v>3400.0</v>
      </c>
    </row>
    <row r="317" ht="56.25" customHeight="1">
      <c r="A317" s="5" t="s">
        <v>1486</v>
      </c>
      <c r="B317" s="6" t="str">
        <f>IMAGE("https://storage.googleapis.com/acdb/miscellaneous/FtrDrainerbasket_Remake_3_0.png")</f>
        <v/>
      </c>
      <c r="C317" s="5" t="s">
        <v>52</v>
      </c>
      <c r="D317" s="5" t="s">
        <v>34</v>
      </c>
      <c r="E317" s="5" t="s">
        <v>34</v>
      </c>
      <c r="F317" s="5" t="s">
        <v>34</v>
      </c>
      <c r="G317" s="5" t="s">
        <v>36</v>
      </c>
      <c r="H317" s="5" t="s">
        <v>36</v>
      </c>
      <c r="I317" s="5" t="s">
        <v>36</v>
      </c>
      <c r="J317" s="6" t="s">
        <v>34</v>
      </c>
      <c r="K317" s="6">
        <v>530.0</v>
      </c>
      <c r="L317" s="6">
        <v>132.0</v>
      </c>
      <c r="M317" s="5" t="s">
        <v>52</v>
      </c>
      <c r="N317" s="5" t="s">
        <v>69</v>
      </c>
      <c r="O317" s="6" t="s">
        <v>40</v>
      </c>
      <c r="P317" s="5" t="s">
        <v>59</v>
      </c>
      <c r="Q317" s="5" t="s">
        <v>60</v>
      </c>
      <c r="R317" s="6" t="s">
        <v>42</v>
      </c>
      <c r="S317" s="5" t="s">
        <v>159</v>
      </c>
      <c r="T317" s="5" t="s">
        <v>62</v>
      </c>
      <c r="U317" s="5" t="s">
        <v>44</v>
      </c>
      <c r="V317" s="5" t="s">
        <v>44</v>
      </c>
      <c r="W317" s="5" t="s">
        <v>36</v>
      </c>
      <c r="X317" s="5" t="s">
        <v>160</v>
      </c>
      <c r="Y317" s="5" t="s">
        <v>46</v>
      </c>
      <c r="Z317" s="5" t="s">
        <v>47</v>
      </c>
      <c r="AA317" s="5" t="s">
        <v>64</v>
      </c>
      <c r="AB317" s="5" t="s">
        <v>1501</v>
      </c>
      <c r="AC317" s="6" t="s">
        <v>71</v>
      </c>
      <c r="AD317" s="6">
        <v>3400.0</v>
      </c>
    </row>
    <row r="318" ht="56.25" customHeight="1">
      <c r="A318" s="5" t="s">
        <v>1486</v>
      </c>
      <c r="B318" s="6" t="str">
        <f>IMAGE("https://storage.googleapis.com/acdb/miscellaneous/FtrDrainerbasket_Remake_4_0.png")</f>
        <v/>
      </c>
      <c r="C318" s="5" t="s">
        <v>68</v>
      </c>
      <c r="D318" s="5" t="s">
        <v>34</v>
      </c>
      <c r="E318" s="5" t="s">
        <v>34</v>
      </c>
      <c r="F318" s="5" t="s">
        <v>34</v>
      </c>
      <c r="G318" s="5" t="s">
        <v>36</v>
      </c>
      <c r="H318" s="5" t="s">
        <v>36</v>
      </c>
      <c r="I318" s="5" t="s">
        <v>36</v>
      </c>
      <c r="J318" s="6" t="s">
        <v>34</v>
      </c>
      <c r="K318" s="6">
        <v>530.0</v>
      </c>
      <c r="L318" s="6">
        <v>132.0</v>
      </c>
      <c r="M318" s="5" t="s">
        <v>68</v>
      </c>
      <c r="N318" s="5" t="s">
        <v>83</v>
      </c>
      <c r="O318" s="6" t="s">
        <v>40</v>
      </c>
      <c r="P318" s="5" t="s">
        <v>59</v>
      </c>
      <c r="Q318" s="5" t="s">
        <v>60</v>
      </c>
      <c r="R318" s="6" t="s">
        <v>42</v>
      </c>
      <c r="S318" s="5" t="s">
        <v>159</v>
      </c>
      <c r="T318" s="5" t="s">
        <v>62</v>
      </c>
      <c r="U318" s="5" t="s">
        <v>44</v>
      </c>
      <c r="V318" s="5" t="s">
        <v>44</v>
      </c>
      <c r="W318" s="5" t="s">
        <v>36</v>
      </c>
      <c r="X318" s="5" t="s">
        <v>160</v>
      </c>
      <c r="Y318" s="5" t="s">
        <v>46</v>
      </c>
      <c r="Z318" s="5" t="s">
        <v>47</v>
      </c>
      <c r="AA318" s="5" t="s">
        <v>64</v>
      </c>
      <c r="AB318" s="5" t="s">
        <v>1505</v>
      </c>
      <c r="AC318" s="6" t="s">
        <v>75</v>
      </c>
      <c r="AD318" s="6">
        <v>3400.0</v>
      </c>
    </row>
    <row r="319" ht="56.25" customHeight="1">
      <c r="A319" s="5" t="s">
        <v>1486</v>
      </c>
      <c r="B319" s="6" t="str">
        <f>IMAGE("https://storage.googleapis.com/acdb/miscellaneous/FtrDrainerbasket_Remake_5_0.png")</f>
        <v/>
      </c>
      <c r="C319" s="5" t="s">
        <v>114</v>
      </c>
      <c r="D319" s="5" t="s">
        <v>34</v>
      </c>
      <c r="E319" s="5" t="s">
        <v>34</v>
      </c>
      <c r="F319" s="5" t="s">
        <v>34</v>
      </c>
      <c r="G319" s="5" t="s">
        <v>36</v>
      </c>
      <c r="H319" s="5" t="s">
        <v>36</v>
      </c>
      <c r="I319" s="5" t="s">
        <v>36</v>
      </c>
      <c r="J319" s="6" t="s">
        <v>34</v>
      </c>
      <c r="K319" s="6">
        <v>530.0</v>
      </c>
      <c r="L319" s="6">
        <v>132.0</v>
      </c>
      <c r="M319" s="5" t="s">
        <v>96</v>
      </c>
      <c r="N319" s="5" t="s">
        <v>114</v>
      </c>
      <c r="O319" s="6" t="s">
        <v>40</v>
      </c>
      <c r="P319" s="5" t="s">
        <v>59</v>
      </c>
      <c r="Q319" s="5" t="s">
        <v>60</v>
      </c>
      <c r="R319" s="6" t="s">
        <v>42</v>
      </c>
      <c r="S319" s="5" t="s">
        <v>159</v>
      </c>
      <c r="T319" s="5" t="s">
        <v>62</v>
      </c>
      <c r="U319" s="5" t="s">
        <v>44</v>
      </c>
      <c r="V319" s="5" t="s">
        <v>44</v>
      </c>
      <c r="W319" s="5" t="s">
        <v>36</v>
      </c>
      <c r="X319" s="5" t="s">
        <v>160</v>
      </c>
      <c r="Y319" s="5" t="s">
        <v>46</v>
      </c>
      <c r="Z319" s="5" t="s">
        <v>47</v>
      </c>
      <c r="AA319" s="5" t="s">
        <v>64</v>
      </c>
      <c r="AB319" s="5" t="s">
        <v>1513</v>
      </c>
      <c r="AC319" s="6" t="s">
        <v>79</v>
      </c>
      <c r="AD319" s="6">
        <v>3400.0</v>
      </c>
    </row>
    <row r="320" ht="56.25" customHeight="1">
      <c r="A320" s="5" t="s">
        <v>1514</v>
      </c>
      <c r="B320" s="16" t="str">
        <f>IMAGE("https://storage.googleapis.com/acdb/miscellaneous/FtrInsectGengorouToy.png")</f>
        <v/>
      </c>
      <c r="C320" s="5" t="s">
        <v>34</v>
      </c>
      <c r="D320" s="5" t="s">
        <v>34</v>
      </c>
      <c r="E320" s="5" t="s">
        <v>34</v>
      </c>
      <c r="F320" s="5" t="s">
        <v>34</v>
      </c>
      <c r="G320" s="5" t="s">
        <v>36</v>
      </c>
      <c r="H320" s="5" t="s">
        <v>36</v>
      </c>
      <c r="I320" s="5" t="s">
        <v>36</v>
      </c>
      <c r="J320" s="6" t="s">
        <v>34</v>
      </c>
      <c r="K320" s="6" t="s">
        <v>37</v>
      </c>
      <c r="L320" s="6">
        <v>2400.0</v>
      </c>
      <c r="M320" s="5" t="s">
        <v>54</v>
      </c>
      <c r="N320" s="5" t="s">
        <v>96</v>
      </c>
      <c r="O320" s="6" t="s">
        <v>40</v>
      </c>
      <c r="P320" s="5" t="s">
        <v>107</v>
      </c>
      <c r="Q320" s="5" t="s">
        <v>108</v>
      </c>
      <c r="R320" s="6" t="s">
        <v>42</v>
      </c>
      <c r="S320" s="5" t="s">
        <v>44</v>
      </c>
      <c r="T320" s="5" t="s">
        <v>44</v>
      </c>
      <c r="U320" s="5" t="s">
        <v>44</v>
      </c>
      <c r="V320" s="5" t="s">
        <v>44</v>
      </c>
      <c r="W320" s="5" t="s">
        <v>36</v>
      </c>
      <c r="X320" s="5" t="s">
        <v>109</v>
      </c>
      <c r="Y320" s="5" t="s">
        <v>46</v>
      </c>
      <c r="Z320" s="5" t="s">
        <v>47</v>
      </c>
      <c r="AA320" s="5" t="s">
        <v>48</v>
      </c>
      <c r="AB320" s="5" t="s">
        <v>1521</v>
      </c>
      <c r="AC320" s="6" t="s">
        <v>34</v>
      </c>
      <c r="AD320" s="6">
        <v>7057.0</v>
      </c>
    </row>
    <row r="321" ht="56.25" customHeight="1">
      <c r="A321" s="5" t="s">
        <v>1523</v>
      </c>
      <c r="B321" s="6" t="str">
        <f>IMAGE("https://storage.googleapis.com/acdb/miscellaneous/FtrOfficePapers_Remake_0_0.png")</f>
        <v/>
      </c>
      <c r="C321" s="5" t="s">
        <v>34</v>
      </c>
      <c r="D321" s="5" t="s">
        <v>34</v>
      </c>
      <c r="E321" s="5" t="s">
        <v>1525</v>
      </c>
      <c r="F321" s="5" t="s">
        <v>1526</v>
      </c>
      <c r="G321" s="5" t="s">
        <v>35</v>
      </c>
      <c r="H321" s="5" t="s">
        <v>36</v>
      </c>
      <c r="I321" s="5" t="s">
        <v>35</v>
      </c>
      <c r="J321" s="6">
        <v>2.0</v>
      </c>
      <c r="K321" s="6">
        <v>1600.0</v>
      </c>
      <c r="L321" s="6">
        <v>400.0</v>
      </c>
      <c r="M321" s="5" t="s">
        <v>57</v>
      </c>
      <c r="N321" s="5" t="s">
        <v>83</v>
      </c>
      <c r="O321" s="6" t="s">
        <v>40</v>
      </c>
      <c r="P321" s="5" t="s">
        <v>59</v>
      </c>
      <c r="Q321" s="5" t="s">
        <v>60</v>
      </c>
      <c r="R321" s="6" t="s">
        <v>42</v>
      </c>
      <c r="S321" s="5" t="s">
        <v>91</v>
      </c>
      <c r="T321" s="5" t="s">
        <v>202</v>
      </c>
      <c r="U321" s="5" t="s">
        <v>44</v>
      </c>
      <c r="V321" s="5" t="s">
        <v>44</v>
      </c>
      <c r="W321" s="5" t="s">
        <v>36</v>
      </c>
      <c r="X321" s="5" t="s">
        <v>117</v>
      </c>
      <c r="Y321" s="5" t="s">
        <v>46</v>
      </c>
      <c r="Z321" s="5" t="s">
        <v>47</v>
      </c>
      <c r="AA321" s="5" t="s">
        <v>64</v>
      </c>
      <c r="AB321" s="5" t="s">
        <v>1529</v>
      </c>
      <c r="AC321" s="6" t="s">
        <v>50</v>
      </c>
      <c r="AD321" s="6">
        <v>1750.0</v>
      </c>
    </row>
    <row r="322" ht="56.25" customHeight="1">
      <c r="A322" s="5" t="s">
        <v>1523</v>
      </c>
      <c r="B322" s="6" t="str">
        <f>IMAGE("https://storage.googleapis.com/acdb/miscellaneous/FtrOfficePapers_Remake_0_1.png")</f>
        <v/>
      </c>
      <c r="C322" s="5" t="s">
        <v>34</v>
      </c>
      <c r="D322" s="5" t="s">
        <v>34</v>
      </c>
      <c r="E322" s="5" t="s">
        <v>1532</v>
      </c>
      <c r="F322" s="5" t="s">
        <v>1526</v>
      </c>
      <c r="G322" s="5" t="s">
        <v>35</v>
      </c>
      <c r="H322" s="5" t="s">
        <v>36</v>
      </c>
      <c r="I322" s="5" t="s">
        <v>35</v>
      </c>
      <c r="J322" s="6">
        <v>2.0</v>
      </c>
      <c r="K322" s="6">
        <v>1600.0</v>
      </c>
      <c r="L322" s="6">
        <v>400.0</v>
      </c>
      <c r="M322" s="5" t="s">
        <v>57</v>
      </c>
      <c r="N322" s="5" t="s">
        <v>54</v>
      </c>
      <c r="O322" s="6" t="s">
        <v>40</v>
      </c>
      <c r="P322" s="5" t="s">
        <v>59</v>
      </c>
      <c r="Q322" s="5" t="s">
        <v>60</v>
      </c>
      <c r="R322" s="6" t="s">
        <v>42</v>
      </c>
      <c r="S322" s="5" t="s">
        <v>91</v>
      </c>
      <c r="T322" s="5" t="s">
        <v>202</v>
      </c>
      <c r="U322" s="5" t="s">
        <v>44</v>
      </c>
      <c r="V322" s="5" t="s">
        <v>44</v>
      </c>
      <c r="W322" s="5" t="s">
        <v>36</v>
      </c>
      <c r="X322" s="5" t="s">
        <v>117</v>
      </c>
      <c r="Y322" s="5" t="s">
        <v>46</v>
      </c>
      <c r="Z322" s="5" t="s">
        <v>47</v>
      </c>
      <c r="AA322" s="5" t="s">
        <v>64</v>
      </c>
      <c r="AB322" s="5" t="s">
        <v>1535</v>
      </c>
      <c r="AC322" s="6" t="s">
        <v>217</v>
      </c>
      <c r="AD322" s="6">
        <v>1750.0</v>
      </c>
    </row>
    <row r="323" ht="56.25" customHeight="1">
      <c r="A323" s="5" t="s">
        <v>1523</v>
      </c>
      <c r="B323" s="6" t="str">
        <f>IMAGE("https://storage.googleapis.com/acdb/miscellaneous/FtrOfficePapers_Remake_0_2.png")</f>
        <v/>
      </c>
      <c r="C323" s="5" t="s">
        <v>34</v>
      </c>
      <c r="D323" s="5" t="s">
        <v>34</v>
      </c>
      <c r="E323" s="5" t="s">
        <v>1538</v>
      </c>
      <c r="F323" s="5" t="s">
        <v>1526</v>
      </c>
      <c r="G323" s="5" t="s">
        <v>35</v>
      </c>
      <c r="H323" s="5" t="s">
        <v>36</v>
      </c>
      <c r="I323" s="5" t="s">
        <v>35</v>
      </c>
      <c r="J323" s="6">
        <v>2.0</v>
      </c>
      <c r="K323" s="6">
        <v>1600.0</v>
      </c>
      <c r="L323" s="6">
        <v>400.0</v>
      </c>
      <c r="M323" s="5" t="s">
        <v>57</v>
      </c>
      <c r="N323" s="5" t="s">
        <v>52</v>
      </c>
      <c r="O323" s="6" t="s">
        <v>40</v>
      </c>
      <c r="P323" s="5" t="s">
        <v>59</v>
      </c>
      <c r="Q323" s="5" t="s">
        <v>60</v>
      </c>
      <c r="R323" s="6" t="s">
        <v>42</v>
      </c>
      <c r="S323" s="5" t="s">
        <v>91</v>
      </c>
      <c r="T323" s="5" t="s">
        <v>202</v>
      </c>
      <c r="U323" s="5" t="s">
        <v>44</v>
      </c>
      <c r="V323" s="5" t="s">
        <v>44</v>
      </c>
      <c r="W323" s="5" t="s">
        <v>36</v>
      </c>
      <c r="X323" s="5" t="s">
        <v>117</v>
      </c>
      <c r="Y323" s="5" t="s">
        <v>46</v>
      </c>
      <c r="Z323" s="5" t="s">
        <v>47</v>
      </c>
      <c r="AA323" s="5" t="s">
        <v>64</v>
      </c>
      <c r="AB323" s="5" t="s">
        <v>1540</v>
      </c>
      <c r="AC323" s="6" t="s">
        <v>347</v>
      </c>
      <c r="AD323" s="6">
        <v>1750.0</v>
      </c>
    </row>
    <row r="324" ht="56.25" customHeight="1">
      <c r="A324" s="5" t="s">
        <v>1523</v>
      </c>
      <c r="B324" s="6" t="str">
        <f>IMAGE("https://storage.googleapis.com/acdb/miscellaneous/FtrOfficePapers_Remake_0_3.png")</f>
        <v/>
      </c>
      <c r="C324" s="5" t="s">
        <v>34</v>
      </c>
      <c r="D324" s="5" t="s">
        <v>34</v>
      </c>
      <c r="E324" s="5" t="s">
        <v>1546</v>
      </c>
      <c r="F324" s="5" t="s">
        <v>1526</v>
      </c>
      <c r="G324" s="5" t="s">
        <v>35</v>
      </c>
      <c r="H324" s="5" t="s">
        <v>36</v>
      </c>
      <c r="I324" s="5" t="s">
        <v>35</v>
      </c>
      <c r="J324" s="6">
        <v>2.0</v>
      </c>
      <c r="K324" s="6">
        <v>1600.0</v>
      </c>
      <c r="L324" s="6">
        <v>400.0</v>
      </c>
      <c r="M324" s="5" t="s">
        <v>57</v>
      </c>
      <c r="N324" s="5" t="s">
        <v>54</v>
      </c>
      <c r="O324" s="6" t="s">
        <v>40</v>
      </c>
      <c r="P324" s="5" t="s">
        <v>59</v>
      </c>
      <c r="Q324" s="5" t="s">
        <v>60</v>
      </c>
      <c r="R324" s="6" t="s">
        <v>42</v>
      </c>
      <c r="S324" s="5" t="s">
        <v>91</v>
      </c>
      <c r="T324" s="5" t="s">
        <v>202</v>
      </c>
      <c r="U324" s="5" t="s">
        <v>44</v>
      </c>
      <c r="V324" s="5" t="s">
        <v>44</v>
      </c>
      <c r="W324" s="5" t="s">
        <v>36</v>
      </c>
      <c r="X324" s="5" t="s">
        <v>117</v>
      </c>
      <c r="Y324" s="5" t="s">
        <v>46</v>
      </c>
      <c r="Z324" s="5" t="s">
        <v>47</v>
      </c>
      <c r="AA324" s="5" t="s">
        <v>64</v>
      </c>
      <c r="AB324" s="5" t="s">
        <v>1547</v>
      </c>
      <c r="AC324" s="6" t="s">
        <v>354</v>
      </c>
      <c r="AD324" s="6">
        <v>1750.0</v>
      </c>
    </row>
    <row r="325" ht="56.25" customHeight="1">
      <c r="A325" s="5" t="s">
        <v>1549</v>
      </c>
      <c r="B325" s="6" t="str">
        <f>IMAGE("https://storage.googleapis.com/acdb/miscellaneous/FtrDoll_Remake_0_0.png")</f>
        <v/>
      </c>
      <c r="C325" s="5" t="s">
        <v>52</v>
      </c>
      <c r="D325" s="5" t="s">
        <v>34</v>
      </c>
      <c r="E325" s="5" t="s">
        <v>34</v>
      </c>
      <c r="F325" s="5" t="s">
        <v>34</v>
      </c>
      <c r="G325" s="5" t="s">
        <v>36</v>
      </c>
      <c r="H325" s="5" t="s">
        <v>36</v>
      </c>
      <c r="I325" s="5" t="s">
        <v>36</v>
      </c>
      <c r="J325" s="6" t="s">
        <v>34</v>
      </c>
      <c r="K325" s="6">
        <v>1600.0</v>
      </c>
      <c r="L325" s="6">
        <v>400.0</v>
      </c>
      <c r="M325" s="5" t="s">
        <v>52</v>
      </c>
      <c r="N325" s="5" t="s">
        <v>38</v>
      </c>
      <c r="O325" s="6" t="s">
        <v>40</v>
      </c>
      <c r="P325" s="5" t="s">
        <v>59</v>
      </c>
      <c r="Q325" s="5" t="s">
        <v>60</v>
      </c>
      <c r="R325" s="6" t="s">
        <v>42</v>
      </c>
      <c r="S325" s="5" t="s">
        <v>99</v>
      </c>
      <c r="T325" s="5" t="s">
        <v>61</v>
      </c>
      <c r="U325" s="5" t="s">
        <v>44</v>
      </c>
      <c r="V325" s="5" t="s">
        <v>44</v>
      </c>
      <c r="W325" s="5" t="s">
        <v>36</v>
      </c>
      <c r="X325" s="5" t="s">
        <v>356</v>
      </c>
      <c r="Y325" s="5" t="s">
        <v>46</v>
      </c>
      <c r="Z325" s="5" t="s">
        <v>47</v>
      </c>
      <c r="AA325" s="5" t="s">
        <v>64</v>
      </c>
      <c r="AB325" s="5" t="s">
        <v>1553</v>
      </c>
      <c r="AC325" s="6" t="s">
        <v>50</v>
      </c>
      <c r="AD325" s="6">
        <v>1495.0</v>
      </c>
    </row>
    <row r="326" ht="56.25" customHeight="1">
      <c r="A326" s="5" t="s">
        <v>1549</v>
      </c>
      <c r="B326" s="6" t="str">
        <f>IMAGE("https://storage.googleapis.com/acdb/miscellaneous/FtrDoll_Remake_1_0.png")</f>
        <v/>
      </c>
      <c r="C326" s="5" t="s">
        <v>68</v>
      </c>
      <c r="D326" s="5" t="s">
        <v>34</v>
      </c>
      <c r="E326" s="5" t="s">
        <v>34</v>
      </c>
      <c r="F326" s="5" t="s">
        <v>34</v>
      </c>
      <c r="G326" s="5" t="s">
        <v>36</v>
      </c>
      <c r="H326" s="5" t="s">
        <v>36</v>
      </c>
      <c r="I326" s="5" t="s">
        <v>36</v>
      </c>
      <c r="J326" s="6" t="s">
        <v>34</v>
      </c>
      <c r="K326" s="6">
        <v>1600.0</v>
      </c>
      <c r="L326" s="6">
        <v>400.0</v>
      </c>
      <c r="M326" s="5" t="s">
        <v>68</v>
      </c>
      <c r="N326" s="5" t="s">
        <v>38</v>
      </c>
      <c r="O326" s="6" t="s">
        <v>40</v>
      </c>
      <c r="P326" s="5" t="s">
        <v>59</v>
      </c>
      <c r="Q326" s="5" t="s">
        <v>60</v>
      </c>
      <c r="R326" s="6" t="s">
        <v>42</v>
      </c>
      <c r="S326" s="5" t="s">
        <v>99</v>
      </c>
      <c r="T326" s="5" t="s">
        <v>61</v>
      </c>
      <c r="U326" s="5" t="s">
        <v>44</v>
      </c>
      <c r="V326" s="5" t="s">
        <v>44</v>
      </c>
      <c r="W326" s="5" t="s">
        <v>36</v>
      </c>
      <c r="X326" s="5" t="s">
        <v>356</v>
      </c>
      <c r="Y326" s="5" t="s">
        <v>46</v>
      </c>
      <c r="Z326" s="5" t="s">
        <v>47</v>
      </c>
      <c r="AA326" s="5" t="s">
        <v>64</v>
      </c>
      <c r="AB326" s="5" t="s">
        <v>1557</v>
      </c>
      <c r="AC326" s="6" t="s">
        <v>56</v>
      </c>
      <c r="AD326" s="6">
        <v>1495.0</v>
      </c>
    </row>
    <row r="327" ht="56.25" customHeight="1">
      <c r="A327" s="5" t="s">
        <v>1549</v>
      </c>
      <c r="B327" s="6" t="str">
        <f>IMAGE("https://storage.googleapis.com/acdb/miscellaneous/FtrDoll_Remake_2_0.png")</f>
        <v/>
      </c>
      <c r="C327" s="5" t="s">
        <v>96</v>
      </c>
      <c r="D327" s="5" t="s">
        <v>34</v>
      </c>
      <c r="E327" s="5" t="s">
        <v>34</v>
      </c>
      <c r="F327" s="5" t="s">
        <v>34</v>
      </c>
      <c r="G327" s="5" t="s">
        <v>36</v>
      </c>
      <c r="H327" s="5" t="s">
        <v>36</v>
      </c>
      <c r="I327" s="5" t="s">
        <v>36</v>
      </c>
      <c r="J327" s="6" t="s">
        <v>34</v>
      </c>
      <c r="K327" s="6">
        <v>1600.0</v>
      </c>
      <c r="L327" s="6">
        <v>400.0</v>
      </c>
      <c r="M327" s="5" t="s">
        <v>96</v>
      </c>
      <c r="N327" s="5" t="s">
        <v>38</v>
      </c>
      <c r="O327" s="6" t="s">
        <v>40</v>
      </c>
      <c r="P327" s="5" t="s">
        <v>59</v>
      </c>
      <c r="Q327" s="5" t="s">
        <v>60</v>
      </c>
      <c r="R327" s="6" t="s">
        <v>42</v>
      </c>
      <c r="S327" s="5" t="s">
        <v>99</v>
      </c>
      <c r="T327" s="5" t="s">
        <v>61</v>
      </c>
      <c r="U327" s="5" t="s">
        <v>44</v>
      </c>
      <c r="V327" s="5" t="s">
        <v>44</v>
      </c>
      <c r="W327" s="5" t="s">
        <v>36</v>
      </c>
      <c r="X327" s="5" t="s">
        <v>356</v>
      </c>
      <c r="Y327" s="5" t="s">
        <v>46</v>
      </c>
      <c r="Z327" s="5" t="s">
        <v>47</v>
      </c>
      <c r="AA327" s="5" t="s">
        <v>64</v>
      </c>
      <c r="AB327" s="5" t="s">
        <v>1560</v>
      </c>
      <c r="AC327" s="6" t="s">
        <v>67</v>
      </c>
      <c r="AD327" s="6">
        <v>1495.0</v>
      </c>
    </row>
    <row r="328" ht="56.25" customHeight="1">
      <c r="A328" s="5" t="s">
        <v>1549</v>
      </c>
      <c r="B328" s="6" t="str">
        <f>IMAGE("https://storage.googleapis.com/acdb/miscellaneous/FtrDoll_Remake_3_0.png")</f>
        <v/>
      </c>
      <c r="C328" s="5" t="s">
        <v>69</v>
      </c>
      <c r="D328" s="5" t="s">
        <v>34</v>
      </c>
      <c r="E328" s="5" t="s">
        <v>34</v>
      </c>
      <c r="F328" s="5" t="s">
        <v>34</v>
      </c>
      <c r="G328" s="5" t="s">
        <v>36</v>
      </c>
      <c r="H328" s="5" t="s">
        <v>36</v>
      </c>
      <c r="I328" s="5" t="s">
        <v>36</v>
      </c>
      <c r="J328" s="6" t="s">
        <v>34</v>
      </c>
      <c r="K328" s="6">
        <v>1600.0</v>
      </c>
      <c r="L328" s="6">
        <v>400.0</v>
      </c>
      <c r="M328" s="5" t="s">
        <v>69</v>
      </c>
      <c r="N328" s="5" t="s">
        <v>38</v>
      </c>
      <c r="O328" s="6" t="s">
        <v>40</v>
      </c>
      <c r="P328" s="5" t="s">
        <v>59</v>
      </c>
      <c r="Q328" s="5" t="s">
        <v>60</v>
      </c>
      <c r="R328" s="6" t="s">
        <v>42</v>
      </c>
      <c r="S328" s="5" t="s">
        <v>99</v>
      </c>
      <c r="T328" s="5" t="s">
        <v>61</v>
      </c>
      <c r="U328" s="5" t="s">
        <v>44</v>
      </c>
      <c r="V328" s="5" t="s">
        <v>44</v>
      </c>
      <c r="W328" s="5" t="s">
        <v>36</v>
      </c>
      <c r="X328" s="5" t="s">
        <v>356</v>
      </c>
      <c r="Y328" s="5" t="s">
        <v>46</v>
      </c>
      <c r="Z328" s="5" t="s">
        <v>47</v>
      </c>
      <c r="AA328" s="5" t="s">
        <v>64</v>
      </c>
      <c r="AB328" s="5" t="s">
        <v>1563</v>
      </c>
      <c r="AC328" s="6" t="s">
        <v>71</v>
      </c>
      <c r="AD328" s="6">
        <v>1495.0</v>
      </c>
    </row>
    <row r="329" ht="56.25" customHeight="1">
      <c r="A329" s="5" t="s">
        <v>1549</v>
      </c>
      <c r="B329" s="6" t="str">
        <f>IMAGE("https://storage.googleapis.com/acdb/miscellaneous/FtrDoll_Remake_4_0.png")</f>
        <v/>
      </c>
      <c r="C329" s="5" t="s">
        <v>106</v>
      </c>
      <c r="D329" s="5" t="s">
        <v>34</v>
      </c>
      <c r="E329" s="5" t="s">
        <v>34</v>
      </c>
      <c r="F329" s="5" t="s">
        <v>34</v>
      </c>
      <c r="G329" s="5" t="s">
        <v>36</v>
      </c>
      <c r="H329" s="5" t="s">
        <v>36</v>
      </c>
      <c r="I329" s="5" t="s">
        <v>36</v>
      </c>
      <c r="J329" s="6" t="s">
        <v>34</v>
      </c>
      <c r="K329" s="6">
        <v>1600.0</v>
      </c>
      <c r="L329" s="6">
        <v>400.0</v>
      </c>
      <c r="M329" s="5" t="s">
        <v>54</v>
      </c>
      <c r="N329" s="5" t="s">
        <v>38</v>
      </c>
      <c r="O329" s="6" t="s">
        <v>40</v>
      </c>
      <c r="P329" s="5" t="s">
        <v>59</v>
      </c>
      <c r="Q329" s="5" t="s">
        <v>60</v>
      </c>
      <c r="R329" s="6" t="s">
        <v>42</v>
      </c>
      <c r="S329" s="5" t="s">
        <v>99</v>
      </c>
      <c r="T329" s="5" t="s">
        <v>61</v>
      </c>
      <c r="U329" s="5" t="s">
        <v>44</v>
      </c>
      <c r="V329" s="5" t="s">
        <v>44</v>
      </c>
      <c r="W329" s="5" t="s">
        <v>36</v>
      </c>
      <c r="X329" s="5" t="s">
        <v>356</v>
      </c>
      <c r="Y329" s="5" t="s">
        <v>46</v>
      </c>
      <c r="Z329" s="5" t="s">
        <v>47</v>
      </c>
      <c r="AA329" s="5" t="s">
        <v>64</v>
      </c>
      <c r="AB329" s="5" t="s">
        <v>1566</v>
      </c>
      <c r="AC329" s="6" t="s">
        <v>75</v>
      </c>
      <c r="AD329" s="6">
        <v>1495.0</v>
      </c>
    </row>
    <row r="330" ht="56.25" customHeight="1">
      <c r="A330" s="5" t="s">
        <v>1549</v>
      </c>
      <c r="B330" s="6" t="str">
        <f>IMAGE("https://storage.googleapis.com/acdb/miscellaneous/FtrDoll_Remake_5_0.png")</f>
        <v/>
      </c>
      <c r="C330" s="5" t="s">
        <v>57</v>
      </c>
      <c r="D330" s="5" t="s">
        <v>34</v>
      </c>
      <c r="E330" s="5" t="s">
        <v>34</v>
      </c>
      <c r="F330" s="5" t="s">
        <v>34</v>
      </c>
      <c r="G330" s="5" t="s">
        <v>36</v>
      </c>
      <c r="H330" s="5" t="s">
        <v>36</v>
      </c>
      <c r="I330" s="5" t="s">
        <v>36</v>
      </c>
      <c r="J330" s="6" t="s">
        <v>34</v>
      </c>
      <c r="K330" s="6">
        <v>1600.0</v>
      </c>
      <c r="L330" s="6">
        <v>400.0</v>
      </c>
      <c r="M330" s="5" t="s">
        <v>57</v>
      </c>
      <c r="N330" s="5" t="s">
        <v>38</v>
      </c>
      <c r="O330" s="6" t="s">
        <v>40</v>
      </c>
      <c r="P330" s="5" t="s">
        <v>59</v>
      </c>
      <c r="Q330" s="5" t="s">
        <v>60</v>
      </c>
      <c r="R330" s="6" t="s">
        <v>42</v>
      </c>
      <c r="S330" s="5" t="s">
        <v>99</v>
      </c>
      <c r="T330" s="5" t="s">
        <v>61</v>
      </c>
      <c r="U330" s="5" t="s">
        <v>44</v>
      </c>
      <c r="V330" s="5" t="s">
        <v>44</v>
      </c>
      <c r="W330" s="5" t="s">
        <v>36</v>
      </c>
      <c r="X330" s="5" t="s">
        <v>356</v>
      </c>
      <c r="Y330" s="5" t="s">
        <v>46</v>
      </c>
      <c r="Z330" s="5" t="s">
        <v>47</v>
      </c>
      <c r="AA330" s="5" t="s">
        <v>64</v>
      </c>
      <c r="AB330" s="5" t="s">
        <v>1572</v>
      </c>
      <c r="AC330" s="6" t="s">
        <v>79</v>
      </c>
      <c r="AD330" s="6">
        <v>1495.0</v>
      </c>
    </row>
    <row r="331" ht="56.25" customHeight="1">
      <c r="A331" s="5" t="s">
        <v>1573</v>
      </c>
      <c r="B331" s="16" t="str">
        <f>IMAGE("https://storage.googleapis.com/acdb/miscellaneous/FtrFishDoladoToy.png")</f>
        <v/>
      </c>
      <c r="C331" s="5" t="s">
        <v>34</v>
      </c>
      <c r="D331" s="5" t="s">
        <v>34</v>
      </c>
      <c r="E331" s="5" t="s">
        <v>34</v>
      </c>
      <c r="F331" s="5" t="s">
        <v>34</v>
      </c>
      <c r="G331" s="5" t="s">
        <v>36</v>
      </c>
      <c r="H331" s="5" t="s">
        <v>36</v>
      </c>
      <c r="I331" s="5" t="s">
        <v>36</v>
      </c>
      <c r="J331" s="6" t="s">
        <v>34</v>
      </c>
      <c r="K331" s="6" t="s">
        <v>37</v>
      </c>
      <c r="L331" s="6">
        <v>45000.0</v>
      </c>
      <c r="M331" s="5" t="s">
        <v>114</v>
      </c>
      <c r="N331" s="5" t="s">
        <v>54</v>
      </c>
      <c r="O331" s="6" t="s">
        <v>40</v>
      </c>
      <c r="P331" s="5" t="s">
        <v>213</v>
      </c>
      <c r="Q331" s="5" t="s">
        <v>215</v>
      </c>
      <c r="R331" s="6" t="s">
        <v>42</v>
      </c>
      <c r="S331" s="5" t="s">
        <v>44</v>
      </c>
      <c r="T331" s="5" t="s">
        <v>44</v>
      </c>
      <c r="U331" s="5" t="s">
        <v>44</v>
      </c>
      <c r="V331" s="5" t="s">
        <v>44</v>
      </c>
      <c r="W331" s="5" t="s">
        <v>36</v>
      </c>
      <c r="X331" s="5" t="s">
        <v>219</v>
      </c>
      <c r="Y331" s="5" t="s">
        <v>46</v>
      </c>
      <c r="Z331" s="5" t="s">
        <v>47</v>
      </c>
      <c r="AA331" s="5" t="s">
        <v>48</v>
      </c>
      <c r="AB331" s="5" t="s">
        <v>1575</v>
      </c>
      <c r="AC331" s="6" t="s">
        <v>34</v>
      </c>
      <c r="AD331" s="6">
        <v>7837.0</v>
      </c>
    </row>
    <row r="332" ht="56.25" customHeight="1">
      <c r="A332" s="5" t="s">
        <v>1577</v>
      </c>
      <c r="B332" s="16" t="str">
        <f>IMAGE("https://storage.googleapis.com/acdb/miscellaneous/FtrInsectKanabunToy.png")</f>
        <v/>
      </c>
      <c r="C332" s="5" t="s">
        <v>34</v>
      </c>
      <c r="D332" s="5" t="s">
        <v>34</v>
      </c>
      <c r="E332" s="5" t="s">
        <v>34</v>
      </c>
      <c r="F332" s="5" t="s">
        <v>34</v>
      </c>
      <c r="G332" s="5" t="s">
        <v>36</v>
      </c>
      <c r="H332" s="5" t="s">
        <v>36</v>
      </c>
      <c r="I332" s="5" t="s">
        <v>36</v>
      </c>
      <c r="J332" s="6" t="s">
        <v>34</v>
      </c>
      <c r="K332" s="6" t="s">
        <v>37</v>
      </c>
      <c r="L332" s="6">
        <v>600.0</v>
      </c>
      <c r="M332" s="5" t="s">
        <v>96</v>
      </c>
      <c r="N332" s="5" t="s">
        <v>96</v>
      </c>
      <c r="O332" s="6" t="s">
        <v>40</v>
      </c>
      <c r="P332" s="5" t="s">
        <v>107</v>
      </c>
      <c r="Q332" s="5" t="s">
        <v>108</v>
      </c>
      <c r="R332" s="6" t="s">
        <v>42</v>
      </c>
      <c r="S332" s="5" t="s">
        <v>44</v>
      </c>
      <c r="T332" s="5" t="s">
        <v>44</v>
      </c>
      <c r="U332" s="5" t="s">
        <v>44</v>
      </c>
      <c r="V332" s="5" t="s">
        <v>44</v>
      </c>
      <c r="W332" s="5" t="s">
        <v>36</v>
      </c>
      <c r="X332" s="5" t="s">
        <v>109</v>
      </c>
      <c r="Y332" s="5" t="s">
        <v>46</v>
      </c>
      <c r="Z332" s="5" t="s">
        <v>47</v>
      </c>
      <c r="AA332" s="5" t="s">
        <v>48</v>
      </c>
      <c r="AB332" s="5" t="s">
        <v>1581</v>
      </c>
      <c r="AC332" s="6" t="s">
        <v>34</v>
      </c>
      <c r="AD332" s="6">
        <v>7114.0</v>
      </c>
    </row>
    <row r="333" ht="56.25" customHeight="1">
      <c r="A333" s="5" t="s">
        <v>1582</v>
      </c>
      <c r="B333" s="16" t="str">
        <f>IMAGE("https://storage.googleapis.com/acdb/miscellaneous/FtrInsectFunkorogashiToy.png")</f>
        <v/>
      </c>
      <c r="C333" s="5" t="s">
        <v>34</v>
      </c>
      <c r="D333" s="5" t="s">
        <v>34</v>
      </c>
      <c r="E333" s="5" t="s">
        <v>34</v>
      </c>
      <c r="F333" s="5" t="s">
        <v>34</v>
      </c>
      <c r="G333" s="5" t="s">
        <v>36</v>
      </c>
      <c r="H333" s="5" t="s">
        <v>36</v>
      </c>
      <c r="I333" s="5" t="s">
        <v>36</v>
      </c>
      <c r="J333" s="6" t="s">
        <v>34</v>
      </c>
      <c r="K333" s="6" t="s">
        <v>37</v>
      </c>
      <c r="L333" s="6">
        <v>9000.0</v>
      </c>
      <c r="M333" s="5" t="s">
        <v>54</v>
      </c>
      <c r="N333" s="5" t="s">
        <v>38</v>
      </c>
      <c r="O333" s="6" t="s">
        <v>40</v>
      </c>
      <c r="P333" s="5" t="s">
        <v>107</v>
      </c>
      <c r="Q333" s="5" t="s">
        <v>108</v>
      </c>
      <c r="R333" s="6" t="s">
        <v>42</v>
      </c>
      <c r="S333" s="5" t="s">
        <v>44</v>
      </c>
      <c r="T333" s="5" t="s">
        <v>44</v>
      </c>
      <c r="U333" s="5" t="s">
        <v>44</v>
      </c>
      <c r="V333" s="5" t="s">
        <v>44</v>
      </c>
      <c r="W333" s="5" t="s">
        <v>36</v>
      </c>
      <c r="X333" s="5" t="s">
        <v>109</v>
      </c>
      <c r="Y333" s="5" t="s">
        <v>46</v>
      </c>
      <c r="Z333" s="5" t="s">
        <v>47</v>
      </c>
      <c r="AA333" s="5" t="s">
        <v>48</v>
      </c>
      <c r="AB333" s="5" t="s">
        <v>1586</v>
      </c>
      <c r="AC333" s="6" t="s">
        <v>34</v>
      </c>
      <c r="AD333" s="6">
        <v>7066.0</v>
      </c>
    </row>
    <row r="334" ht="56.25" customHeight="1">
      <c r="A334" s="5" t="s">
        <v>1587</v>
      </c>
      <c r="B334" s="6" t="str">
        <f>IMAGE("https://storage.googleapis.com/acdb/miscellaneous/FtrInsectSenchikoganeToy.png")</f>
        <v/>
      </c>
      <c r="C334" s="5" t="s">
        <v>34</v>
      </c>
      <c r="D334" s="5" t="s">
        <v>34</v>
      </c>
      <c r="E334" s="5" t="s">
        <v>34</v>
      </c>
      <c r="F334" s="5" t="s">
        <v>34</v>
      </c>
      <c r="G334" s="5" t="s">
        <v>36</v>
      </c>
      <c r="H334" s="5" t="s">
        <v>36</v>
      </c>
      <c r="I334" s="5" t="s">
        <v>36</v>
      </c>
      <c r="J334" s="6" t="s">
        <v>34</v>
      </c>
      <c r="K334" s="6" t="s">
        <v>37</v>
      </c>
      <c r="L334" s="6">
        <v>900.0</v>
      </c>
      <c r="M334" s="5" t="s">
        <v>106</v>
      </c>
      <c r="N334" s="5" t="s">
        <v>54</v>
      </c>
      <c r="O334" s="6" t="s">
        <v>40</v>
      </c>
      <c r="P334" s="5" t="s">
        <v>107</v>
      </c>
      <c r="Q334" s="5" t="s">
        <v>108</v>
      </c>
      <c r="R334" s="6" t="s">
        <v>42</v>
      </c>
      <c r="S334" s="5" t="s">
        <v>44</v>
      </c>
      <c r="T334" s="5" t="s">
        <v>44</v>
      </c>
      <c r="U334" s="5" t="s">
        <v>44</v>
      </c>
      <c r="V334" s="5" t="s">
        <v>44</v>
      </c>
      <c r="W334" s="5" t="s">
        <v>36</v>
      </c>
      <c r="X334" s="5" t="s">
        <v>109</v>
      </c>
      <c r="Y334" s="5" t="s">
        <v>46</v>
      </c>
      <c r="Z334" s="5" t="s">
        <v>47</v>
      </c>
      <c r="AA334" s="5" t="s">
        <v>48</v>
      </c>
      <c r="AB334" s="5" t="s">
        <v>1589</v>
      </c>
      <c r="AC334" s="6" t="s">
        <v>34</v>
      </c>
      <c r="AD334" s="6">
        <v>7074.0</v>
      </c>
    </row>
    <row r="335" ht="56.25" customHeight="1">
      <c r="A335" s="5" t="s">
        <v>1590</v>
      </c>
      <c r="B335" s="6" t="str">
        <f>IMAGE("https://storage.googleapis.com/acdb/miscellaneous/FtrElectronicset_Remake_0_0.png")</f>
        <v/>
      </c>
      <c r="C335" s="5" t="s">
        <v>96</v>
      </c>
      <c r="D335" s="5" t="s">
        <v>34</v>
      </c>
      <c r="E335" s="5" t="s">
        <v>34</v>
      </c>
      <c r="F335" s="5" t="s">
        <v>34</v>
      </c>
      <c r="G335" s="5" t="s">
        <v>36</v>
      </c>
      <c r="H335" s="5" t="s">
        <v>36</v>
      </c>
      <c r="I335" s="5" t="s">
        <v>36</v>
      </c>
      <c r="J335" s="6" t="s">
        <v>34</v>
      </c>
      <c r="K335" s="6">
        <v>1300.0</v>
      </c>
      <c r="L335" s="6">
        <v>325.0</v>
      </c>
      <c r="M335" s="5" t="s">
        <v>96</v>
      </c>
      <c r="N335" s="5" t="s">
        <v>58</v>
      </c>
      <c r="O335" s="6" t="s">
        <v>40</v>
      </c>
      <c r="P335" s="5" t="s">
        <v>59</v>
      </c>
      <c r="Q335" s="5" t="s">
        <v>60</v>
      </c>
      <c r="R335" s="6" t="s">
        <v>42</v>
      </c>
      <c r="S335" s="5" t="s">
        <v>130</v>
      </c>
      <c r="T335" s="5" t="s">
        <v>141</v>
      </c>
      <c r="U335" s="5" t="s">
        <v>44</v>
      </c>
      <c r="V335" s="5" t="s">
        <v>44</v>
      </c>
      <c r="W335" s="5" t="s">
        <v>35</v>
      </c>
      <c r="X335" s="5" t="s">
        <v>1593</v>
      </c>
      <c r="Y335" s="5" t="s">
        <v>46</v>
      </c>
      <c r="Z335" s="5" t="s">
        <v>102</v>
      </c>
      <c r="AA335" s="5" t="s">
        <v>64</v>
      </c>
      <c r="AB335" s="5" t="s">
        <v>1594</v>
      </c>
      <c r="AC335" s="6" t="s">
        <v>50</v>
      </c>
      <c r="AD335" s="6">
        <v>4071.0</v>
      </c>
    </row>
    <row r="336" ht="56.25" customHeight="1">
      <c r="A336" s="5" t="s">
        <v>1590</v>
      </c>
      <c r="B336" s="6" t="str">
        <f>IMAGE("https://storage.googleapis.com/acdb/miscellaneous/FtrElectronicset_Remake_1_0.png")</f>
        <v/>
      </c>
      <c r="C336" s="5" t="s">
        <v>54</v>
      </c>
      <c r="D336" s="5" t="s">
        <v>34</v>
      </c>
      <c r="E336" s="5" t="s">
        <v>34</v>
      </c>
      <c r="F336" s="5" t="s">
        <v>34</v>
      </c>
      <c r="G336" s="5" t="s">
        <v>36</v>
      </c>
      <c r="H336" s="5" t="s">
        <v>36</v>
      </c>
      <c r="I336" s="5" t="s">
        <v>36</v>
      </c>
      <c r="J336" s="6" t="s">
        <v>34</v>
      </c>
      <c r="K336" s="6">
        <v>1300.0</v>
      </c>
      <c r="L336" s="6">
        <v>325.0</v>
      </c>
      <c r="M336" s="5" t="s">
        <v>54</v>
      </c>
      <c r="N336" s="5" t="s">
        <v>58</v>
      </c>
      <c r="O336" s="6" t="s">
        <v>40</v>
      </c>
      <c r="P336" s="5" t="s">
        <v>59</v>
      </c>
      <c r="Q336" s="5" t="s">
        <v>60</v>
      </c>
      <c r="R336" s="6" t="s">
        <v>42</v>
      </c>
      <c r="S336" s="5" t="s">
        <v>130</v>
      </c>
      <c r="T336" s="5" t="s">
        <v>141</v>
      </c>
      <c r="U336" s="5" t="s">
        <v>44</v>
      </c>
      <c r="V336" s="5" t="s">
        <v>44</v>
      </c>
      <c r="W336" s="5" t="s">
        <v>35</v>
      </c>
      <c r="X336" s="5" t="s">
        <v>1593</v>
      </c>
      <c r="Y336" s="5" t="s">
        <v>46</v>
      </c>
      <c r="Z336" s="5" t="s">
        <v>102</v>
      </c>
      <c r="AA336" s="5" t="s">
        <v>64</v>
      </c>
      <c r="AB336" s="5" t="s">
        <v>1597</v>
      </c>
      <c r="AC336" s="6" t="s">
        <v>56</v>
      </c>
      <c r="AD336" s="6">
        <v>4071.0</v>
      </c>
    </row>
    <row r="337" ht="56.25" customHeight="1">
      <c r="A337" s="5" t="s">
        <v>1599</v>
      </c>
      <c r="B337" s="16" t="str">
        <f>IMAGE("https://storage.googleapis.com/acdb/miscellaneous/FtrInsectMorufuochoToy.png")</f>
        <v/>
      </c>
      <c r="C337" s="5" t="s">
        <v>34</v>
      </c>
      <c r="D337" s="5" t="s">
        <v>34</v>
      </c>
      <c r="E337" s="5" t="s">
        <v>34</v>
      </c>
      <c r="F337" s="5" t="s">
        <v>34</v>
      </c>
      <c r="G337" s="5" t="s">
        <v>36</v>
      </c>
      <c r="H337" s="5" t="s">
        <v>36</v>
      </c>
      <c r="I337" s="5" t="s">
        <v>36</v>
      </c>
      <c r="J337" s="6" t="s">
        <v>34</v>
      </c>
      <c r="K337" s="6" t="s">
        <v>37</v>
      </c>
      <c r="L337" s="6">
        <v>12000.0</v>
      </c>
      <c r="M337" s="5" t="s">
        <v>68</v>
      </c>
      <c r="N337" s="5" t="s">
        <v>54</v>
      </c>
      <c r="O337" s="6" t="s">
        <v>40</v>
      </c>
      <c r="P337" s="5" t="s">
        <v>107</v>
      </c>
      <c r="Q337" s="5" t="s">
        <v>108</v>
      </c>
      <c r="R337" s="6" t="s">
        <v>42</v>
      </c>
      <c r="S337" s="5" t="s">
        <v>44</v>
      </c>
      <c r="T337" s="5" t="s">
        <v>44</v>
      </c>
      <c r="U337" s="5" t="s">
        <v>44</v>
      </c>
      <c r="V337" s="5" t="s">
        <v>44</v>
      </c>
      <c r="W337" s="5" t="s">
        <v>36</v>
      </c>
      <c r="X337" s="5" t="s">
        <v>109</v>
      </c>
      <c r="Y337" s="5" t="s">
        <v>46</v>
      </c>
      <c r="Z337" s="5" t="s">
        <v>47</v>
      </c>
      <c r="AA337" s="5" t="s">
        <v>48</v>
      </c>
      <c r="AB337" s="5" t="s">
        <v>1601</v>
      </c>
      <c r="AC337" s="6" t="s">
        <v>34</v>
      </c>
      <c r="AD337" s="6">
        <v>7086.0</v>
      </c>
    </row>
    <row r="338" ht="56.25" customHeight="1">
      <c r="A338" s="5" t="s">
        <v>1602</v>
      </c>
      <c r="B338" s="6" t="str">
        <f>IMAGE("https://storage.googleapis.com/acdb/miscellaneous/FtrEspresso_Remake_0_0.png")</f>
        <v/>
      </c>
      <c r="C338" s="5" t="s">
        <v>146</v>
      </c>
      <c r="D338" s="5" t="s">
        <v>34</v>
      </c>
      <c r="E338" s="5" t="s">
        <v>34</v>
      </c>
      <c r="F338" s="5" t="s">
        <v>34</v>
      </c>
      <c r="G338" s="5" t="s">
        <v>36</v>
      </c>
      <c r="H338" s="5" t="s">
        <v>36</v>
      </c>
      <c r="I338" s="5" t="s">
        <v>36</v>
      </c>
      <c r="J338" s="6" t="s">
        <v>34</v>
      </c>
      <c r="K338" s="6">
        <v>5600.0</v>
      </c>
      <c r="L338" s="6">
        <v>1400.0</v>
      </c>
      <c r="M338" s="5" t="s">
        <v>95</v>
      </c>
      <c r="N338" s="5" t="s">
        <v>95</v>
      </c>
      <c r="O338" s="6" t="s">
        <v>40</v>
      </c>
      <c r="P338" s="5" t="s">
        <v>59</v>
      </c>
      <c r="Q338" s="5" t="s">
        <v>60</v>
      </c>
      <c r="R338" s="6" t="s">
        <v>42</v>
      </c>
      <c r="S338" s="5" t="s">
        <v>159</v>
      </c>
      <c r="T338" s="5" t="s">
        <v>62</v>
      </c>
      <c r="U338" s="5" t="s">
        <v>44</v>
      </c>
      <c r="V338" s="5" t="s">
        <v>44</v>
      </c>
      <c r="W338" s="5" t="s">
        <v>35</v>
      </c>
      <c r="X338" s="5" t="s">
        <v>521</v>
      </c>
      <c r="Y338" s="5" t="s">
        <v>46</v>
      </c>
      <c r="Z338" s="5" t="s">
        <v>47</v>
      </c>
      <c r="AA338" s="5" t="s">
        <v>64</v>
      </c>
      <c r="AB338" s="5" t="s">
        <v>1606</v>
      </c>
      <c r="AC338" s="6" t="s">
        <v>50</v>
      </c>
      <c r="AD338" s="6">
        <v>954.0</v>
      </c>
    </row>
    <row r="339" ht="56.25" customHeight="1">
      <c r="A339" s="5" t="s">
        <v>1602</v>
      </c>
      <c r="B339" s="6" t="str">
        <f>IMAGE("https://storage.googleapis.com/acdb/miscellaneous/FtrEspresso_Remake_1_0.png")</f>
        <v/>
      </c>
      <c r="C339" s="5" t="s">
        <v>52</v>
      </c>
      <c r="D339" s="5" t="s">
        <v>34</v>
      </c>
      <c r="E339" s="5" t="s">
        <v>34</v>
      </c>
      <c r="F339" s="5" t="s">
        <v>34</v>
      </c>
      <c r="G339" s="5" t="s">
        <v>36</v>
      </c>
      <c r="H339" s="5" t="s">
        <v>36</v>
      </c>
      <c r="I339" s="5" t="s">
        <v>36</v>
      </c>
      <c r="J339" s="6" t="s">
        <v>34</v>
      </c>
      <c r="K339" s="6">
        <v>5600.0</v>
      </c>
      <c r="L339" s="6">
        <v>1400.0</v>
      </c>
      <c r="M339" s="5" t="s">
        <v>52</v>
      </c>
      <c r="N339" s="5" t="s">
        <v>57</v>
      </c>
      <c r="O339" s="6" t="s">
        <v>40</v>
      </c>
      <c r="P339" s="5" t="s">
        <v>59</v>
      </c>
      <c r="Q339" s="5" t="s">
        <v>60</v>
      </c>
      <c r="R339" s="6" t="s">
        <v>42</v>
      </c>
      <c r="S339" s="5" t="s">
        <v>159</v>
      </c>
      <c r="T339" s="5" t="s">
        <v>62</v>
      </c>
      <c r="U339" s="5" t="s">
        <v>44</v>
      </c>
      <c r="V339" s="5" t="s">
        <v>44</v>
      </c>
      <c r="W339" s="5" t="s">
        <v>35</v>
      </c>
      <c r="X339" s="5" t="s">
        <v>521</v>
      </c>
      <c r="Y339" s="5" t="s">
        <v>46</v>
      </c>
      <c r="Z339" s="5" t="s">
        <v>47</v>
      </c>
      <c r="AA339" s="5" t="s">
        <v>64</v>
      </c>
      <c r="AB339" s="5" t="s">
        <v>1608</v>
      </c>
      <c r="AC339" s="6" t="s">
        <v>56</v>
      </c>
      <c r="AD339" s="6">
        <v>954.0</v>
      </c>
    </row>
    <row r="340" ht="56.25" customHeight="1">
      <c r="A340" s="5" t="s">
        <v>1602</v>
      </c>
      <c r="B340" s="6" t="str">
        <f>IMAGE("https://storage.googleapis.com/acdb/miscellaneous/FtrEspresso_Remake_2_0.png")</f>
        <v/>
      </c>
      <c r="C340" s="5" t="s">
        <v>114</v>
      </c>
      <c r="D340" s="5" t="s">
        <v>34</v>
      </c>
      <c r="E340" s="5" t="s">
        <v>34</v>
      </c>
      <c r="F340" s="5" t="s">
        <v>34</v>
      </c>
      <c r="G340" s="5" t="s">
        <v>36</v>
      </c>
      <c r="H340" s="5" t="s">
        <v>36</v>
      </c>
      <c r="I340" s="5" t="s">
        <v>36</v>
      </c>
      <c r="J340" s="6" t="s">
        <v>34</v>
      </c>
      <c r="K340" s="6">
        <v>5600.0</v>
      </c>
      <c r="L340" s="6">
        <v>1400.0</v>
      </c>
      <c r="M340" s="5" t="s">
        <v>114</v>
      </c>
      <c r="N340" s="5" t="s">
        <v>57</v>
      </c>
      <c r="O340" s="6" t="s">
        <v>40</v>
      </c>
      <c r="P340" s="5" t="s">
        <v>59</v>
      </c>
      <c r="Q340" s="5" t="s">
        <v>60</v>
      </c>
      <c r="R340" s="6" t="s">
        <v>42</v>
      </c>
      <c r="S340" s="5" t="s">
        <v>159</v>
      </c>
      <c r="T340" s="5" t="s">
        <v>62</v>
      </c>
      <c r="U340" s="5" t="s">
        <v>44</v>
      </c>
      <c r="V340" s="5" t="s">
        <v>44</v>
      </c>
      <c r="W340" s="5" t="s">
        <v>35</v>
      </c>
      <c r="X340" s="5" t="s">
        <v>521</v>
      </c>
      <c r="Y340" s="5" t="s">
        <v>46</v>
      </c>
      <c r="Z340" s="5" t="s">
        <v>47</v>
      </c>
      <c r="AA340" s="5" t="s">
        <v>64</v>
      </c>
      <c r="AB340" s="5" t="s">
        <v>1610</v>
      </c>
      <c r="AC340" s="6" t="s">
        <v>67</v>
      </c>
      <c r="AD340" s="6">
        <v>954.0</v>
      </c>
    </row>
    <row r="341" ht="56.25" customHeight="1">
      <c r="A341" s="5" t="s">
        <v>1602</v>
      </c>
      <c r="B341" s="6" t="str">
        <f>IMAGE("https://storage.googleapis.com/acdb/miscellaneous/FtrEspresso_Remake_3_0.png")</f>
        <v/>
      </c>
      <c r="C341" s="5" t="s">
        <v>68</v>
      </c>
      <c r="D341" s="5" t="s">
        <v>34</v>
      </c>
      <c r="E341" s="5" t="s">
        <v>34</v>
      </c>
      <c r="F341" s="5" t="s">
        <v>34</v>
      </c>
      <c r="G341" s="5" t="s">
        <v>36</v>
      </c>
      <c r="H341" s="5" t="s">
        <v>36</v>
      </c>
      <c r="I341" s="5" t="s">
        <v>36</v>
      </c>
      <c r="J341" s="6" t="s">
        <v>34</v>
      </c>
      <c r="K341" s="6">
        <v>5600.0</v>
      </c>
      <c r="L341" s="6">
        <v>1400.0</v>
      </c>
      <c r="M341" s="5" t="s">
        <v>68</v>
      </c>
      <c r="N341" s="5" t="s">
        <v>54</v>
      </c>
      <c r="O341" s="6" t="s">
        <v>40</v>
      </c>
      <c r="P341" s="5" t="s">
        <v>59</v>
      </c>
      <c r="Q341" s="5" t="s">
        <v>60</v>
      </c>
      <c r="R341" s="6" t="s">
        <v>42</v>
      </c>
      <c r="S341" s="5" t="s">
        <v>159</v>
      </c>
      <c r="T341" s="5" t="s">
        <v>62</v>
      </c>
      <c r="U341" s="5" t="s">
        <v>44</v>
      </c>
      <c r="V341" s="5" t="s">
        <v>44</v>
      </c>
      <c r="W341" s="5" t="s">
        <v>35</v>
      </c>
      <c r="X341" s="5" t="s">
        <v>521</v>
      </c>
      <c r="Y341" s="5" t="s">
        <v>46</v>
      </c>
      <c r="Z341" s="5" t="s">
        <v>47</v>
      </c>
      <c r="AA341" s="5" t="s">
        <v>64</v>
      </c>
      <c r="AB341" s="5" t="s">
        <v>1614</v>
      </c>
      <c r="AC341" s="6" t="s">
        <v>71</v>
      </c>
      <c r="AD341" s="6">
        <v>954.0</v>
      </c>
    </row>
    <row r="342" ht="56.25" customHeight="1">
      <c r="A342" s="5" t="s">
        <v>1602</v>
      </c>
      <c r="B342" s="6" t="str">
        <f>IMAGE("https://storage.googleapis.com/acdb/miscellaneous/FtrEspresso_Remake_4_0.png")</f>
        <v/>
      </c>
      <c r="C342" s="5" t="s">
        <v>96</v>
      </c>
      <c r="D342" s="5" t="s">
        <v>34</v>
      </c>
      <c r="E342" s="5" t="s">
        <v>34</v>
      </c>
      <c r="F342" s="5" t="s">
        <v>34</v>
      </c>
      <c r="G342" s="5" t="s">
        <v>36</v>
      </c>
      <c r="H342" s="5" t="s">
        <v>36</v>
      </c>
      <c r="I342" s="5" t="s">
        <v>36</v>
      </c>
      <c r="J342" s="6" t="s">
        <v>34</v>
      </c>
      <c r="K342" s="6">
        <v>5600.0</v>
      </c>
      <c r="L342" s="6">
        <v>1400.0</v>
      </c>
      <c r="M342" s="5" t="s">
        <v>96</v>
      </c>
      <c r="N342" s="5" t="s">
        <v>39</v>
      </c>
      <c r="O342" s="6" t="s">
        <v>40</v>
      </c>
      <c r="P342" s="5" t="s">
        <v>59</v>
      </c>
      <c r="Q342" s="5" t="s">
        <v>60</v>
      </c>
      <c r="R342" s="6" t="s">
        <v>42</v>
      </c>
      <c r="S342" s="5" t="s">
        <v>159</v>
      </c>
      <c r="T342" s="5" t="s">
        <v>62</v>
      </c>
      <c r="U342" s="5" t="s">
        <v>44</v>
      </c>
      <c r="V342" s="5" t="s">
        <v>44</v>
      </c>
      <c r="W342" s="5" t="s">
        <v>35</v>
      </c>
      <c r="X342" s="5" t="s">
        <v>521</v>
      </c>
      <c r="Y342" s="5" t="s">
        <v>46</v>
      </c>
      <c r="Z342" s="5" t="s">
        <v>47</v>
      </c>
      <c r="AA342" s="5" t="s">
        <v>64</v>
      </c>
      <c r="AB342" s="5" t="s">
        <v>1617</v>
      </c>
      <c r="AC342" s="6" t="s">
        <v>75</v>
      </c>
      <c r="AD342" s="6">
        <v>954.0</v>
      </c>
    </row>
    <row r="343" ht="56.25" customHeight="1">
      <c r="A343" s="5" t="s">
        <v>1602</v>
      </c>
      <c r="B343" s="6" t="str">
        <f>IMAGE("https://storage.googleapis.com/acdb/miscellaneous/FtrEspresso_Remake_5_0.png")</f>
        <v/>
      </c>
      <c r="C343" s="5" t="s">
        <v>57</v>
      </c>
      <c r="D343" s="5" t="s">
        <v>34</v>
      </c>
      <c r="E343" s="5" t="s">
        <v>34</v>
      </c>
      <c r="F343" s="5" t="s">
        <v>34</v>
      </c>
      <c r="G343" s="5" t="s">
        <v>36</v>
      </c>
      <c r="H343" s="5" t="s">
        <v>36</v>
      </c>
      <c r="I343" s="5" t="s">
        <v>36</v>
      </c>
      <c r="J343" s="6" t="s">
        <v>34</v>
      </c>
      <c r="K343" s="6">
        <v>5600.0</v>
      </c>
      <c r="L343" s="6">
        <v>1400.0</v>
      </c>
      <c r="M343" s="5" t="s">
        <v>57</v>
      </c>
      <c r="N343" s="5" t="s">
        <v>57</v>
      </c>
      <c r="O343" s="6" t="s">
        <v>40</v>
      </c>
      <c r="P343" s="5" t="s">
        <v>59</v>
      </c>
      <c r="Q343" s="5" t="s">
        <v>60</v>
      </c>
      <c r="R343" s="6" t="s">
        <v>42</v>
      </c>
      <c r="S343" s="5" t="s">
        <v>159</v>
      </c>
      <c r="T343" s="5" t="s">
        <v>62</v>
      </c>
      <c r="U343" s="5" t="s">
        <v>44</v>
      </c>
      <c r="V343" s="5" t="s">
        <v>44</v>
      </c>
      <c r="W343" s="5" t="s">
        <v>35</v>
      </c>
      <c r="X343" s="5" t="s">
        <v>521</v>
      </c>
      <c r="Y343" s="5" t="s">
        <v>46</v>
      </c>
      <c r="Z343" s="5" t="s">
        <v>47</v>
      </c>
      <c r="AA343" s="5" t="s">
        <v>64</v>
      </c>
      <c r="AB343" s="5" t="s">
        <v>1621</v>
      </c>
      <c r="AC343" s="6" t="s">
        <v>79</v>
      </c>
      <c r="AD343" s="6">
        <v>954.0</v>
      </c>
    </row>
    <row r="344" ht="56.25" customHeight="1">
      <c r="A344" s="5" t="s">
        <v>1602</v>
      </c>
      <c r="B344" s="6" t="str">
        <f>IMAGE("https://storage.googleapis.com/acdb/miscellaneous/FtrEspresso_Remake_6_0.png")</f>
        <v/>
      </c>
      <c r="C344" s="5" t="s">
        <v>54</v>
      </c>
      <c r="D344" s="5" t="s">
        <v>34</v>
      </c>
      <c r="E344" s="5" t="s">
        <v>34</v>
      </c>
      <c r="F344" s="5" t="s">
        <v>34</v>
      </c>
      <c r="G344" s="5" t="s">
        <v>36</v>
      </c>
      <c r="H344" s="5" t="s">
        <v>36</v>
      </c>
      <c r="I344" s="5" t="s">
        <v>36</v>
      </c>
      <c r="J344" s="6" t="s">
        <v>34</v>
      </c>
      <c r="K344" s="6">
        <v>5600.0</v>
      </c>
      <c r="L344" s="6">
        <v>1400.0</v>
      </c>
      <c r="M344" s="5" t="s">
        <v>54</v>
      </c>
      <c r="N344" s="5" t="s">
        <v>54</v>
      </c>
      <c r="O344" s="6" t="s">
        <v>40</v>
      </c>
      <c r="P344" s="5" t="s">
        <v>59</v>
      </c>
      <c r="Q344" s="5" t="s">
        <v>60</v>
      </c>
      <c r="R344" s="6" t="s">
        <v>42</v>
      </c>
      <c r="S344" s="5" t="s">
        <v>159</v>
      </c>
      <c r="T344" s="5" t="s">
        <v>62</v>
      </c>
      <c r="U344" s="5" t="s">
        <v>44</v>
      </c>
      <c r="V344" s="5" t="s">
        <v>44</v>
      </c>
      <c r="W344" s="5" t="s">
        <v>35</v>
      </c>
      <c r="X344" s="5" t="s">
        <v>521</v>
      </c>
      <c r="Y344" s="5" t="s">
        <v>46</v>
      </c>
      <c r="Z344" s="5" t="s">
        <v>47</v>
      </c>
      <c r="AA344" s="5" t="s">
        <v>64</v>
      </c>
      <c r="AB344" s="5" t="s">
        <v>1628</v>
      </c>
      <c r="AC344" s="6" t="s">
        <v>86</v>
      </c>
      <c r="AD344" s="6">
        <v>954.0</v>
      </c>
    </row>
    <row r="345" ht="56.25" customHeight="1">
      <c r="A345" s="5" t="s">
        <v>1629</v>
      </c>
      <c r="B345" s="6" t="str">
        <f>IMAGE("https://storage.googleapis.com/acdb/miscellaneous/FtrWriterset_Remake_0_0.png")</f>
        <v/>
      </c>
      <c r="C345" s="5" t="s">
        <v>849</v>
      </c>
      <c r="D345" s="5" t="s">
        <v>34</v>
      </c>
      <c r="E345" s="5" t="s">
        <v>34</v>
      </c>
      <c r="F345" s="5" t="s">
        <v>34</v>
      </c>
      <c r="G345" s="5" t="s">
        <v>36</v>
      </c>
      <c r="H345" s="5" t="s">
        <v>36</v>
      </c>
      <c r="I345" s="5" t="s">
        <v>36</v>
      </c>
      <c r="J345" s="6" t="s">
        <v>34</v>
      </c>
      <c r="K345" s="6">
        <v>650.0</v>
      </c>
      <c r="L345" s="6">
        <v>162.0</v>
      </c>
      <c r="M345" s="5" t="s">
        <v>57</v>
      </c>
      <c r="N345" s="5" t="s">
        <v>54</v>
      </c>
      <c r="O345" s="6" t="s">
        <v>40</v>
      </c>
      <c r="P345" s="5" t="s">
        <v>59</v>
      </c>
      <c r="Q345" s="5" t="s">
        <v>60</v>
      </c>
      <c r="R345" s="6" t="s">
        <v>42</v>
      </c>
      <c r="S345" s="5" t="s">
        <v>202</v>
      </c>
      <c r="T345" s="5" t="s">
        <v>44</v>
      </c>
      <c r="U345" s="5" t="s">
        <v>44</v>
      </c>
      <c r="V345" s="5" t="s">
        <v>44</v>
      </c>
      <c r="W345" s="5" t="s">
        <v>36</v>
      </c>
      <c r="X345" s="5" t="s">
        <v>203</v>
      </c>
      <c r="Y345" s="5" t="s">
        <v>46</v>
      </c>
      <c r="Z345" s="5" t="s">
        <v>47</v>
      </c>
      <c r="AA345" s="5" t="s">
        <v>64</v>
      </c>
      <c r="AB345" s="5" t="s">
        <v>1634</v>
      </c>
      <c r="AC345" s="6" t="s">
        <v>50</v>
      </c>
      <c r="AD345" s="6">
        <v>4110.0</v>
      </c>
    </row>
    <row r="346" ht="56.25" customHeight="1">
      <c r="A346" s="5" t="s">
        <v>1629</v>
      </c>
      <c r="B346" s="6" t="str">
        <f>IMAGE("https://storage.googleapis.com/acdb/miscellaneous/FtrWriterset_Remake_1_0.png")</f>
        <v/>
      </c>
      <c r="C346" s="5" t="s">
        <v>1636</v>
      </c>
      <c r="D346" s="5" t="s">
        <v>34</v>
      </c>
      <c r="E346" s="5" t="s">
        <v>34</v>
      </c>
      <c r="F346" s="5" t="s">
        <v>34</v>
      </c>
      <c r="G346" s="5" t="s">
        <v>36</v>
      </c>
      <c r="H346" s="5" t="s">
        <v>36</v>
      </c>
      <c r="I346" s="5" t="s">
        <v>36</v>
      </c>
      <c r="J346" s="6" t="s">
        <v>34</v>
      </c>
      <c r="K346" s="6">
        <v>650.0</v>
      </c>
      <c r="L346" s="6">
        <v>162.0</v>
      </c>
      <c r="M346" s="5" t="s">
        <v>57</v>
      </c>
      <c r="N346" s="5" t="s">
        <v>54</v>
      </c>
      <c r="O346" s="6" t="s">
        <v>40</v>
      </c>
      <c r="P346" s="5" t="s">
        <v>59</v>
      </c>
      <c r="Q346" s="5" t="s">
        <v>60</v>
      </c>
      <c r="R346" s="6" t="s">
        <v>42</v>
      </c>
      <c r="S346" s="5" t="s">
        <v>202</v>
      </c>
      <c r="T346" s="5" t="s">
        <v>44</v>
      </c>
      <c r="U346" s="5" t="s">
        <v>44</v>
      </c>
      <c r="V346" s="5" t="s">
        <v>44</v>
      </c>
      <c r="W346" s="5" t="s">
        <v>36</v>
      </c>
      <c r="X346" s="5" t="s">
        <v>203</v>
      </c>
      <c r="Y346" s="5" t="s">
        <v>46</v>
      </c>
      <c r="Z346" s="5" t="s">
        <v>47</v>
      </c>
      <c r="AA346" s="5" t="s">
        <v>64</v>
      </c>
      <c r="AB346" s="5" t="s">
        <v>1640</v>
      </c>
      <c r="AC346" s="6" t="s">
        <v>56</v>
      </c>
      <c r="AD346" s="6">
        <v>4110.0</v>
      </c>
    </row>
    <row r="347" ht="56.25" customHeight="1">
      <c r="A347" s="5" t="s">
        <v>1629</v>
      </c>
      <c r="B347" s="6" t="str">
        <f>IMAGE("https://storage.googleapis.com/acdb/miscellaneous/FtrWriterset_Remake_2_0.png")</f>
        <v/>
      </c>
      <c r="C347" s="5" t="s">
        <v>1643</v>
      </c>
      <c r="D347" s="5" t="s">
        <v>34</v>
      </c>
      <c r="E347" s="5" t="s">
        <v>34</v>
      </c>
      <c r="F347" s="5" t="s">
        <v>34</v>
      </c>
      <c r="G347" s="5" t="s">
        <v>36</v>
      </c>
      <c r="H347" s="5" t="s">
        <v>36</v>
      </c>
      <c r="I347" s="5" t="s">
        <v>36</v>
      </c>
      <c r="J347" s="6" t="s">
        <v>34</v>
      </c>
      <c r="K347" s="6">
        <v>650.0</v>
      </c>
      <c r="L347" s="6">
        <v>162.0</v>
      </c>
      <c r="M347" s="5" t="s">
        <v>57</v>
      </c>
      <c r="N347" s="5" t="s">
        <v>54</v>
      </c>
      <c r="O347" s="6" t="s">
        <v>40</v>
      </c>
      <c r="P347" s="5" t="s">
        <v>59</v>
      </c>
      <c r="Q347" s="5" t="s">
        <v>60</v>
      </c>
      <c r="R347" s="6" t="s">
        <v>42</v>
      </c>
      <c r="S347" s="5" t="s">
        <v>202</v>
      </c>
      <c r="T347" s="5" t="s">
        <v>44</v>
      </c>
      <c r="U347" s="5" t="s">
        <v>44</v>
      </c>
      <c r="V347" s="5" t="s">
        <v>44</v>
      </c>
      <c r="W347" s="5" t="s">
        <v>36</v>
      </c>
      <c r="X347" s="5" t="s">
        <v>203</v>
      </c>
      <c r="Y347" s="5" t="s">
        <v>46</v>
      </c>
      <c r="Z347" s="5" t="s">
        <v>47</v>
      </c>
      <c r="AA347" s="5" t="s">
        <v>64</v>
      </c>
      <c r="AB347" s="5" t="s">
        <v>1648</v>
      </c>
      <c r="AC347" s="6" t="s">
        <v>67</v>
      </c>
      <c r="AD347" s="6">
        <v>4110.0</v>
      </c>
    </row>
    <row r="348" ht="56.25" customHeight="1">
      <c r="A348" s="5" t="s">
        <v>1629</v>
      </c>
      <c r="B348" s="6" t="str">
        <f>IMAGE("https://storage.googleapis.com/acdb/miscellaneous/FtrWriterset_Remake_3_0.png")</f>
        <v/>
      </c>
      <c r="C348" s="5" t="s">
        <v>1652</v>
      </c>
      <c r="D348" s="5" t="s">
        <v>34</v>
      </c>
      <c r="E348" s="5" t="s">
        <v>34</v>
      </c>
      <c r="F348" s="5" t="s">
        <v>34</v>
      </c>
      <c r="G348" s="5" t="s">
        <v>36</v>
      </c>
      <c r="H348" s="5" t="s">
        <v>36</v>
      </c>
      <c r="I348" s="5" t="s">
        <v>36</v>
      </c>
      <c r="J348" s="6" t="s">
        <v>34</v>
      </c>
      <c r="K348" s="6">
        <v>650.0</v>
      </c>
      <c r="L348" s="6">
        <v>162.0</v>
      </c>
      <c r="M348" s="5" t="s">
        <v>57</v>
      </c>
      <c r="N348" s="5" t="s">
        <v>54</v>
      </c>
      <c r="O348" s="6" t="s">
        <v>40</v>
      </c>
      <c r="P348" s="5" t="s">
        <v>59</v>
      </c>
      <c r="Q348" s="5" t="s">
        <v>60</v>
      </c>
      <c r="R348" s="6" t="s">
        <v>42</v>
      </c>
      <c r="S348" s="5" t="s">
        <v>202</v>
      </c>
      <c r="T348" s="5" t="s">
        <v>44</v>
      </c>
      <c r="U348" s="5" t="s">
        <v>44</v>
      </c>
      <c r="V348" s="5" t="s">
        <v>44</v>
      </c>
      <c r="W348" s="5" t="s">
        <v>36</v>
      </c>
      <c r="X348" s="5" t="s">
        <v>203</v>
      </c>
      <c r="Y348" s="5" t="s">
        <v>46</v>
      </c>
      <c r="Z348" s="5" t="s">
        <v>47</v>
      </c>
      <c r="AA348" s="5" t="s">
        <v>64</v>
      </c>
      <c r="AB348" s="5" t="s">
        <v>1655</v>
      </c>
      <c r="AC348" s="6" t="s">
        <v>71</v>
      </c>
      <c r="AD348" s="6">
        <v>4110.0</v>
      </c>
    </row>
    <row r="349" ht="56.25" customHeight="1">
      <c r="A349" s="5" t="s">
        <v>1657</v>
      </c>
      <c r="B349" s="16" t="str">
        <f>IMAGE("https://storage.googleapis.com/acdb/miscellaneous/FtrInsectHigurashiToy.png")</f>
        <v/>
      </c>
      <c r="C349" s="5" t="s">
        <v>34</v>
      </c>
      <c r="D349" s="5" t="s">
        <v>34</v>
      </c>
      <c r="E349" s="5" t="s">
        <v>34</v>
      </c>
      <c r="F349" s="5" t="s">
        <v>34</v>
      </c>
      <c r="G349" s="5" t="s">
        <v>36</v>
      </c>
      <c r="H349" s="5" t="s">
        <v>36</v>
      </c>
      <c r="I349" s="5" t="s">
        <v>36</v>
      </c>
      <c r="J349" s="6" t="s">
        <v>34</v>
      </c>
      <c r="K349" s="6" t="s">
        <v>37</v>
      </c>
      <c r="L349" s="6">
        <v>1650.0</v>
      </c>
      <c r="M349" s="5" t="s">
        <v>54</v>
      </c>
      <c r="N349" s="5" t="s">
        <v>54</v>
      </c>
      <c r="O349" s="6" t="s">
        <v>40</v>
      </c>
      <c r="P349" s="5" t="s">
        <v>107</v>
      </c>
      <c r="Q349" s="5" t="s">
        <v>108</v>
      </c>
      <c r="R349" s="6" t="s">
        <v>42</v>
      </c>
      <c r="S349" s="5" t="s">
        <v>44</v>
      </c>
      <c r="T349" s="5" t="s">
        <v>44</v>
      </c>
      <c r="U349" s="5" t="s">
        <v>44</v>
      </c>
      <c r="V349" s="5" t="s">
        <v>44</v>
      </c>
      <c r="W349" s="5" t="s">
        <v>36</v>
      </c>
      <c r="X349" s="5" t="s">
        <v>109</v>
      </c>
      <c r="Y349" s="5" t="s">
        <v>46</v>
      </c>
      <c r="Z349" s="5" t="s">
        <v>47</v>
      </c>
      <c r="AA349" s="5" t="s">
        <v>48</v>
      </c>
      <c r="AB349" s="5" t="s">
        <v>1662</v>
      </c>
      <c r="AC349" s="6" t="s">
        <v>34</v>
      </c>
      <c r="AD349" s="6">
        <v>7063.0</v>
      </c>
    </row>
    <row r="350" ht="56.25" customHeight="1">
      <c r="A350" s="5" t="s">
        <v>1663</v>
      </c>
      <c r="B350" s="6" t="str">
        <f>IMAGE("https://storage.googleapis.com/acdb/miscellaneous/FtrViolin_Remake_0_0.png")</f>
        <v/>
      </c>
      <c r="C350" s="5" t="s">
        <v>32</v>
      </c>
      <c r="D350" s="5" t="s">
        <v>34</v>
      </c>
      <c r="E350" s="5" t="s">
        <v>34</v>
      </c>
      <c r="F350" s="5" t="s">
        <v>34</v>
      </c>
      <c r="G350" s="5" t="s">
        <v>36</v>
      </c>
      <c r="H350" s="5" t="s">
        <v>36</v>
      </c>
      <c r="I350" s="5" t="s">
        <v>36</v>
      </c>
      <c r="J350" s="6" t="s">
        <v>34</v>
      </c>
      <c r="K350" s="6">
        <v>140000.0</v>
      </c>
      <c r="L350" s="6">
        <v>35000.0</v>
      </c>
      <c r="M350" s="5" t="s">
        <v>39</v>
      </c>
      <c r="N350" s="5" t="s">
        <v>54</v>
      </c>
      <c r="O350" s="6" t="s">
        <v>40</v>
      </c>
      <c r="P350" s="5" t="s">
        <v>59</v>
      </c>
      <c r="Q350" s="5" t="s">
        <v>115</v>
      </c>
      <c r="R350" s="6" t="s">
        <v>42</v>
      </c>
      <c r="S350" s="5" t="s">
        <v>43</v>
      </c>
      <c r="T350" s="5" t="s">
        <v>116</v>
      </c>
      <c r="U350" s="5" t="s">
        <v>44</v>
      </c>
      <c r="V350" s="5" t="s">
        <v>44</v>
      </c>
      <c r="W350" s="5" t="s">
        <v>35</v>
      </c>
      <c r="X350" s="5" t="s">
        <v>45</v>
      </c>
      <c r="Y350" s="5" t="s">
        <v>46</v>
      </c>
      <c r="Z350" s="5" t="s">
        <v>47</v>
      </c>
      <c r="AA350" s="5" t="s">
        <v>64</v>
      </c>
      <c r="AB350" s="5" t="s">
        <v>1668</v>
      </c>
      <c r="AC350" s="6" t="s">
        <v>50</v>
      </c>
      <c r="AD350" s="6">
        <v>2772.0</v>
      </c>
    </row>
    <row r="351" ht="56.25" customHeight="1">
      <c r="A351" s="5" t="s">
        <v>1663</v>
      </c>
      <c r="B351" s="6" t="str">
        <f>IMAGE("https://storage.googleapis.com/acdb/miscellaneous/FtrViolin_Remake_1_0.png")</f>
        <v/>
      </c>
      <c r="C351" s="5" t="s">
        <v>57</v>
      </c>
      <c r="D351" s="5" t="s">
        <v>34</v>
      </c>
      <c r="E351" s="5" t="s">
        <v>34</v>
      </c>
      <c r="F351" s="5" t="s">
        <v>34</v>
      </c>
      <c r="G351" s="5" t="s">
        <v>36</v>
      </c>
      <c r="H351" s="5" t="s">
        <v>36</v>
      </c>
      <c r="I351" s="5" t="s">
        <v>36</v>
      </c>
      <c r="J351" s="6" t="s">
        <v>34</v>
      </c>
      <c r="K351" s="6">
        <v>140000.0</v>
      </c>
      <c r="L351" s="6">
        <v>35000.0</v>
      </c>
      <c r="M351" s="5" t="s">
        <v>57</v>
      </c>
      <c r="N351" s="5" t="s">
        <v>54</v>
      </c>
      <c r="O351" s="6" t="s">
        <v>40</v>
      </c>
      <c r="P351" s="5" t="s">
        <v>59</v>
      </c>
      <c r="Q351" s="5" t="s">
        <v>115</v>
      </c>
      <c r="R351" s="6" t="s">
        <v>42</v>
      </c>
      <c r="S351" s="5" t="s">
        <v>43</v>
      </c>
      <c r="T351" s="5" t="s">
        <v>116</v>
      </c>
      <c r="U351" s="5" t="s">
        <v>44</v>
      </c>
      <c r="V351" s="5" t="s">
        <v>44</v>
      </c>
      <c r="W351" s="5" t="s">
        <v>35</v>
      </c>
      <c r="X351" s="5" t="s">
        <v>45</v>
      </c>
      <c r="Y351" s="5" t="s">
        <v>46</v>
      </c>
      <c r="Z351" s="5" t="s">
        <v>47</v>
      </c>
      <c r="AA351" s="5" t="s">
        <v>64</v>
      </c>
      <c r="AB351" s="5" t="s">
        <v>1671</v>
      </c>
      <c r="AC351" s="6" t="s">
        <v>56</v>
      </c>
      <c r="AD351" s="6">
        <v>2772.0</v>
      </c>
    </row>
    <row r="352" ht="56.25" customHeight="1">
      <c r="A352" s="5" t="s">
        <v>1663</v>
      </c>
      <c r="B352" s="6" t="str">
        <f>IMAGE("https://storage.googleapis.com/acdb/miscellaneous/FtrViolin_Remake_2_0.png")</f>
        <v/>
      </c>
      <c r="C352" s="5" t="s">
        <v>54</v>
      </c>
      <c r="D352" s="5" t="s">
        <v>34</v>
      </c>
      <c r="E352" s="5" t="s">
        <v>34</v>
      </c>
      <c r="F352" s="5" t="s">
        <v>34</v>
      </c>
      <c r="G352" s="5" t="s">
        <v>36</v>
      </c>
      <c r="H352" s="5" t="s">
        <v>36</v>
      </c>
      <c r="I352" s="5" t="s">
        <v>36</v>
      </c>
      <c r="J352" s="6" t="s">
        <v>34</v>
      </c>
      <c r="K352" s="6">
        <v>140000.0</v>
      </c>
      <c r="L352" s="6">
        <v>35000.0</v>
      </c>
      <c r="M352" s="5" t="s">
        <v>54</v>
      </c>
      <c r="N352" s="5" t="s">
        <v>54</v>
      </c>
      <c r="O352" s="6" t="s">
        <v>40</v>
      </c>
      <c r="P352" s="5" t="s">
        <v>59</v>
      </c>
      <c r="Q352" s="5" t="s">
        <v>115</v>
      </c>
      <c r="R352" s="6" t="s">
        <v>42</v>
      </c>
      <c r="S352" s="5" t="s">
        <v>43</v>
      </c>
      <c r="T352" s="5" t="s">
        <v>116</v>
      </c>
      <c r="U352" s="5" t="s">
        <v>44</v>
      </c>
      <c r="V352" s="5" t="s">
        <v>44</v>
      </c>
      <c r="W352" s="5" t="s">
        <v>35</v>
      </c>
      <c r="X352" s="5" t="s">
        <v>45</v>
      </c>
      <c r="Y352" s="5" t="s">
        <v>46</v>
      </c>
      <c r="Z352" s="5" t="s">
        <v>47</v>
      </c>
      <c r="AA352" s="5" t="s">
        <v>64</v>
      </c>
      <c r="AB352" s="5" t="s">
        <v>1675</v>
      </c>
      <c r="AC352" s="6" t="s">
        <v>67</v>
      </c>
      <c r="AD352" s="6">
        <v>2772.0</v>
      </c>
    </row>
    <row r="353" ht="56.25" customHeight="1">
      <c r="A353" s="5" t="s">
        <v>1676</v>
      </c>
      <c r="B353" s="6" t="str">
        <f>IMAGE("https://storage.googleapis.com/acdb/miscellaneous/FtrFax_Remake_0_0.png")</f>
        <v/>
      </c>
      <c r="C353" s="5" t="s">
        <v>57</v>
      </c>
      <c r="D353" s="5" t="s">
        <v>34</v>
      </c>
      <c r="E353" s="5" t="s">
        <v>1679</v>
      </c>
      <c r="F353" s="5" t="s">
        <v>1680</v>
      </c>
      <c r="G353" s="5" t="s">
        <v>36</v>
      </c>
      <c r="H353" s="5" t="s">
        <v>36</v>
      </c>
      <c r="I353" s="5" t="s">
        <v>35</v>
      </c>
      <c r="J353" s="6">
        <v>1.0</v>
      </c>
      <c r="K353" s="6">
        <v>1500.0</v>
      </c>
      <c r="L353" s="6">
        <v>375.0</v>
      </c>
      <c r="M353" s="5" t="s">
        <v>57</v>
      </c>
      <c r="N353" s="5" t="s">
        <v>57</v>
      </c>
      <c r="O353" s="6" t="s">
        <v>40</v>
      </c>
      <c r="P353" s="5" t="s">
        <v>59</v>
      </c>
      <c r="Q353" s="5" t="s">
        <v>60</v>
      </c>
      <c r="R353" s="6" t="s">
        <v>42</v>
      </c>
      <c r="S353" s="5" t="s">
        <v>91</v>
      </c>
      <c r="T353" s="5" t="s">
        <v>44</v>
      </c>
      <c r="U353" s="5" t="s">
        <v>44</v>
      </c>
      <c r="V353" s="5" t="s">
        <v>44</v>
      </c>
      <c r="W353" s="5" t="s">
        <v>35</v>
      </c>
      <c r="X353" s="5" t="s">
        <v>117</v>
      </c>
      <c r="Y353" s="5" t="s">
        <v>46</v>
      </c>
      <c r="Z353" s="5" t="s">
        <v>47</v>
      </c>
      <c r="AA353" s="5" t="s">
        <v>64</v>
      </c>
      <c r="AB353" s="5" t="s">
        <v>1683</v>
      </c>
      <c r="AC353" s="6" t="s">
        <v>50</v>
      </c>
      <c r="AD353" s="6">
        <v>4101.0</v>
      </c>
    </row>
    <row r="354" ht="56.25" customHeight="1">
      <c r="A354" s="5" t="s">
        <v>1676</v>
      </c>
      <c r="B354" s="6" t="str">
        <f>IMAGE("https://storage.googleapis.com/acdb/miscellaneous/FtrFax_Remake_0_1.png")</f>
        <v/>
      </c>
      <c r="C354" s="5" t="s">
        <v>57</v>
      </c>
      <c r="D354" s="5" t="s">
        <v>34</v>
      </c>
      <c r="E354" s="5" t="s">
        <v>1687</v>
      </c>
      <c r="F354" s="5" t="s">
        <v>1680</v>
      </c>
      <c r="G354" s="5" t="s">
        <v>36</v>
      </c>
      <c r="H354" s="5" t="s">
        <v>36</v>
      </c>
      <c r="I354" s="5" t="s">
        <v>35</v>
      </c>
      <c r="J354" s="6">
        <v>1.0</v>
      </c>
      <c r="K354" s="6">
        <v>1500.0</v>
      </c>
      <c r="L354" s="6">
        <v>375.0</v>
      </c>
      <c r="M354" s="5" t="s">
        <v>57</v>
      </c>
      <c r="N354" s="5" t="s">
        <v>57</v>
      </c>
      <c r="O354" s="6" t="s">
        <v>40</v>
      </c>
      <c r="P354" s="5" t="s">
        <v>59</v>
      </c>
      <c r="Q354" s="5" t="s">
        <v>60</v>
      </c>
      <c r="R354" s="6" t="s">
        <v>42</v>
      </c>
      <c r="S354" s="5" t="s">
        <v>91</v>
      </c>
      <c r="T354" s="5" t="s">
        <v>44</v>
      </c>
      <c r="U354" s="5" t="s">
        <v>44</v>
      </c>
      <c r="V354" s="5" t="s">
        <v>44</v>
      </c>
      <c r="W354" s="5" t="s">
        <v>35</v>
      </c>
      <c r="X354" s="5" t="s">
        <v>117</v>
      </c>
      <c r="Y354" s="5" t="s">
        <v>46</v>
      </c>
      <c r="Z354" s="5" t="s">
        <v>47</v>
      </c>
      <c r="AA354" s="5" t="s">
        <v>64</v>
      </c>
      <c r="AB354" s="5" t="s">
        <v>1689</v>
      </c>
      <c r="AC354" s="6" t="s">
        <v>217</v>
      </c>
      <c r="AD354" s="6">
        <v>4101.0</v>
      </c>
    </row>
    <row r="355" ht="56.25" customHeight="1">
      <c r="A355" s="5" t="s">
        <v>1676</v>
      </c>
      <c r="B355" s="6" t="str">
        <f>IMAGE("https://storage.googleapis.com/acdb/miscellaneous/FtrFax_Remake_0_2.png")</f>
        <v/>
      </c>
      <c r="C355" s="5" t="s">
        <v>57</v>
      </c>
      <c r="D355" s="5" t="s">
        <v>34</v>
      </c>
      <c r="E355" s="5" t="s">
        <v>237</v>
      </c>
      <c r="F355" s="5" t="s">
        <v>1680</v>
      </c>
      <c r="G355" s="5" t="s">
        <v>36</v>
      </c>
      <c r="H355" s="5" t="s">
        <v>36</v>
      </c>
      <c r="I355" s="5" t="s">
        <v>35</v>
      </c>
      <c r="J355" s="6">
        <v>1.0</v>
      </c>
      <c r="K355" s="6">
        <v>1500.0</v>
      </c>
      <c r="L355" s="6">
        <v>375.0</v>
      </c>
      <c r="M355" s="5" t="s">
        <v>57</v>
      </c>
      <c r="N355" s="5" t="s">
        <v>57</v>
      </c>
      <c r="O355" s="6" t="s">
        <v>40</v>
      </c>
      <c r="P355" s="5" t="s">
        <v>59</v>
      </c>
      <c r="Q355" s="5" t="s">
        <v>60</v>
      </c>
      <c r="R355" s="6" t="s">
        <v>42</v>
      </c>
      <c r="S355" s="5" t="s">
        <v>91</v>
      </c>
      <c r="T355" s="5" t="s">
        <v>44</v>
      </c>
      <c r="U355" s="5" t="s">
        <v>44</v>
      </c>
      <c r="V355" s="5" t="s">
        <v>44</v>
      </c>
      <c r="W355" s="5" t="s">
        <v>35</v>
      </c>
      <c r="X355" s="5" t="s">
        <v>117</v>
      </c>
      <c r="Y355" s="5" t="s">
        <v>46</v>
      </c>
      <c r="Z355" s="5" t="s">
        <v>47</v>
      </c>
      <c r="AA355" s="5" t="s">
        <v>64</v>
      </c>
      <c r="AB355" s="5" t="s">
        <v>1692</v>
      </c>
      <c r="AC355" s="6" t="s">
        <v>347</v>
      </c>
      <c r="AD355" s="6">
        <v>4101.0</v>
      </c>
    </row>
    <row r="356" ht="56.25" customHeight="1">
      <c r="A356" s="5" t="s">
        <v>1676</v>
      </c>
      <c r="B356" s="6" t="str">
        <f>IMAGE("https://storage.googleapis.com/acdb/miscellaneous/FtrFax_Remake_0_3.png")</f>
        <v/>
      </c>
      <c r="C356" s="5" t="s">
        <v>57</v>
      </c>
      <c r="D356" s="5" t="s">
        <v>34</v>
      </c>
      <c r="E356" s="5" t="s">
        <v>1695</v>
      </c>
      <c r="F356" s="5" t="s">
        <v>1680</v>
      </c>
      <c r="G356" s="5" t="s">
        <v>36</v>
      </c>
      <c r="H356" s="5" t="s">
        <v>36</v>
      </c>
      <c r="I356" s="5" t="s">
        <v>35</v>
      </c>
      <c r="J356" s="6">
        <v>1.0</v>
      </c>
      <c r="K356" s="6">
        <v>1500.0</v>
      </c>
      <c r="L356" s="6">
        <v>375.0</v>
      </c>
      <c r="M356" s="5" t="s">
        <v>57</v>
      </c>
      <c r="N356" s="5" t="s">
        <v>57</v>
      </c>
      <c r="O356" s="6" t="s">
        <v>40</v>
      </c>
      <c r="P356" s="5" t="s">
        <v>59</v>
      </c>
      <c r="Q356" s="5" t="s">
        <v>60</v>
      </c>
      <c r="R356" s="6" t="s">
        <v>42</v>
      </c>
      <c r="S356" s="5" t="s">
        <v>91</v>
      </c>
      <c r="T356" s="5" t="s">
        <v>44</v>
      </c>
      <c r="U356" s="5" t="s">
        <v>44</v>
      </c>
      <c r="V356" s="5" t="s">
        <v>44</v>
      </c>
      <c r="W356" s="5" t="s">
        <v>35</v>
      </c>
      <c r="X356" s="5" t="s">
        <v>117</v>
      </c>
      <c r="Y356" s="5" t="s">
        <v>46</v>
      </c>
      <c r="Z356" s="5" t="s">
        <v>47</v>
      </c>
      <c r="AA356" s="5" t="s">
        <v>64</v>
      </c>
      <c r="AB356" s="5" t="s">
        <v>1697</v>
      </c>
      <c r="AC356" s="6" t="s">
        <v>354</v>
      </c>
      <c r="AD356" s="6">
        <v>4101.0</v>
      </c>
    </row>
    <row r="357" ht="56.25" customHeight="1">
      <c r="A357" s="5" t="s">
        <v>1676</v>
      </c>
      <c r="B357" s="6" t="str">
        <f>IMAGE("https://storage.googleapis.com/acdb/miscellaneous/FtrFax_Remake_1_0.png")</f>
        <v/>
      </c>
      <c r="C357" s="5" t="s">
        <v>52</v>
      </c>
      <c r="D357" s="5" t="s">
        <v>34</v>
      </c>
      <c r="E357" s="5" t="s">
        <v>1679</v>
      </c>
      <c r="F357" s="5" t="s">
        <v>1680</v>
      </c>
      <c r="G357" s="5" t="s">
        <v>36</v>
      </c>
      <c r="H357" s="5" t="s">
        <v>36</v>
      </c>
      <c r="I357" s="5" t="s">
        <v>35</v>
      </c>
      <c r="J357" s="6">
        <v>1.0</v>
      </c>
      <c r="K357" s="6">
        <v>1500.0</v>
      </c>
      <c r="L357" s="6">
        <v>375.0</v>
      </c>
      <c r="M357" s="5" t="s">
        <v>52</v>
      </c>
      <c r="N357" s="5" t="s">
        <v>57</v>
      </c>
      <c r="O357" s="6" t="s">
        <v>40</v>
      </c>
      <c r="P357" s="5" t="s">
        <v>59</v>
      </c>
      <c r="Q357" s="5" t="s">
        <v>60</v>
      </c>
      <c r="R357" s="6" t="s">
        <v>42</v>
      </c>
      <c r="S357" s="5" t="s">
        <v>91</v>
      </c>
      <c r="T357" s="5" t="s">
        <v>44</v>
      </c>
      <c r="U357" s="5" t="s">
        <v>44</v>
      </c>
      <c r="V357" s="5" t="s">
        <v>44</v>
      </c>
      <c r="W357" s="5" t="s">
        <v>35</v>
      </c>
      <c r="X357" s="5" t="s">
        <v>117</v>
      </c>
      <c r="Y357" s="5" t="s">
        <v>46</v>
      </c>
      <c r="Z357" s="5" t="s">
        <v>47</v>
      </c>
      <c r="AA357" s="5" t="s">
        <v>64</v>
      </c>
      <c r="AB357" s="5" t="s">
        <v>1702</v>
      </c>
      <c r="AC357" s="6" t="s">
        <v>56</v>
      </c>
      <c r="AD357" s="6">
        <v>4101.0</v>
      </c>
    </row>
    <row r="358" ht="56.25" customHeight="1">
      <c r="A358" s="5" t="s">
        <v>1676</v>
      </c>
      <c r="B358" s="6" t="str">
        <f>IMAGE("https://storage.googleapis.com/acdb/miscellaneous/FtrFax_Remake_1_1.png")</f>
        <v/>
      </c>
      <c r="C358" s="5" t="s">
        <v>52</v>
      </c>
      <c r="D358" s="5" t="s">
        <v>34</v>
      </c>
      <c r="E358" s="5" t="s">
        <v>1687</v>
      </c>
      <c r="F358" s="5" t="s">
        <v>1680</v>
      </c>
      <c r="G358" s="5" t="s">
        <v>36</v>
      </c>
      <c r="H358" s="5" t="s">
        <v>36</v>
      </c>
      <c r="I358" s="5" t="s">
        <v>35</v>
      </c>
      <c r="J358" s="6">
        <v>1.0</v>
      </c>
      <c r="K358" s="6">
        <v>1500.0</v>
      </c>
      <c r="L358" s="6">
        <v>375.0</v>
      </c>
      <c r="M358" s="5" t="s">
        <v>52</v>
      </c>
      <c r="N358" s="5" t="s">
        <v>57</v>
      </c>
      <c r="O358" s="6" t="s">
        <v>40</v>
      </c>
      <c r="P358" s="5" t="s">
        <v>59</v>
      </c>
      <c r="Q358" s="5" t="s">
        <v>60</v>
      </c>
      <c r="R358" s="6" t="s">
        <v>42</v>
      </c>
      <c r="S358" s="5" t="s">
        <v>91</v>
      </c>
      <c r="T358" s="5" t="s">
        <v>44</v>
      </c>
      <c r="U358" s="5" t="s">
        <v>44</v>
      </c>
      <c r="V358" s="5" t="s">
        <v>44</v>
      </c>
      <c r="W358" s="5" t="s">
        <v>35</v>
      </c>
      <c r="X358" s="5" t="s">
        <v>117</v>
      </c>
      <c r="Y358" s="5" t="s">
        <v>46</v>
      </c>
      <c r="Z358" s="5" t="s">
        <v>47</v>
      </c>
      <c r="AA358" s="5" t="s">
        <v>64</v>
      </c>
      <c r="AB358" s="5" t="s">
        <v>1705</v>
      </c>
      <c r="AC358" s="6" t="s">
        <v>234</v>
      </c>
      <c r="AD358" s="6">
        <v>4101.0</v>
      </c>
    </row>
    <row r="359" ht="56.25" customHeight="1">
      <c r="A359" s="5" t="s">
        <v>1676</v>
      </c>
      <c r="B359" s="6" t="str">
        <f>IMAGE("https://storage.googleapis.com/acdb/miscellaneous/FtrFax_Remake_1_2.png")</f>
        <v/>
      </c>
      <c r="C359" s="5" t="s">
        <v>52</v>
      </c>
      <c r="D359" s="5" t="s">
        <v>34</v>
      </c>
      <c r="E359" s="5" t="s">
        <v>237</v>
      </c>
      <c r="F359" s="5" t="s">
        <v>1680</v>
      </c>
      <c r="G359" s="5" t="s">
        <v>36</v>
      </c>
      <c r="H359" s="5" t="s">
        <v>36</v>
      </c>
      <c r="I359" s="5" t="s">
        <v>35</v>
      </c>
      <c r="J359" s="6">
        <v>1.0</v>
      </c>
      <c r="K359" s="6">
        <v>1500.0</v>
      </c>
      <c r="L359" s="6">
        <v>375.0</v>
      </c>
      <c r="M359" s="5" t="s">
        <v>52</v>
      </c>
      <c r="N359" s="5" t="s">
        <v>57</v>
      </c>
      <c r="O359" s="6" t="s">
        <v>40</v>
      </c>
      <c r="P359" s="5" t="s">
        <v>59</v>
      </c>
      <c r="Q359" s="5" t="s">
        <v>60</v>
      </c>
      <c r="R359" s="6" t="s">
        <v>42</v>
      </c>
      <c r="S359" s="5" t="s">
        <v>91</v>
      </c>
      <c r="T359" s="5" t="s">
        <v>44</v>
      </c>
      <c r="U359" s="5" t="s">
        <v>44</v>
      </c>
      <c r="V359" s="5" t="s">
        <v>44</v>
      </c>
      <c r="W359" s="5" t="s">
        <v>35</v>
      </c>
      <c r="X359" s="5" t="s">
        <v>117</v>
      </c>
      <c r="Y359" s="5" t="s">
        <v>46</v>
      </c>
      <c r="Z359" s="5" t="s">
        <v>47</v>
      </c>
      <c r="AA359" s="5" t="s">
        <v>64</v>
      </c>
      <c r="AB359" s="5" t="s">
        <v>1708</v>
      </c>
      <c r="AC359" s="6" t="s">
        <v>370</v>
      </c>
      <c r="AD359" s="6">
        <v>4101.0</v>
      </c>
    </row>
    <row r="360" ht="56.25" customHeight="1">
      <c r="A360" s="5" t="s">
        <v>1676</v>
      </c>
      <c r="B360" s="6" t="str">
        <f>IMAGE("https://storage.googleapis.com/acdb/miscellaneous/FtrFax_Remake_1_3.png")</f>
        <v/>
      </c>
      <c r="C360" s="5" t="s">
        <v>52</v>
      </c>
      <c r="D360" s="5" t="s">
        <v>34</v>
      </c>
      <c r="E360" s="5" t="s">
        <v>1695</v>
      </c>
      <c r="F360" s="5" t="s">
        <v>1680</v>
      </c>
      <c r="G360" s="5" t="s">
        <v>36</v>
      </c>
      <c r="H360" s="5" t="s">
        <v>36</v>
      </c>
      <c r="I360" s="5" t="s">
        <v>35</v>
      </c>
      <c r="J360" s="6">
        <v>1.0</v>
      </c>
      <c r="K360" s="6">
        <v>1500.0</v>
      </c>
      <c r="L360" s="6">
        <v>375.0</v>
      </c>
      <c r="M360" s="5" t="s">
        <v>52</v>
      </c>
      <c r="N360" s="5" t="s">
        <v>57</v>
      </c>
      <c r="O360" s="6" t="s">
        <v>40</v>
      </c>
      <c r="P360" s="5" t="s">
        <v>59</v>
      </c>
      <c r="Q360" s="5" t="s">
        <v>60</v>
      </c>
      <c r="R360" s="6" t="s">
        <v>42</v>
      </c>
      <c r="S360" s="5" t="s">
        <v>91</v>
      </c>
      <c r="T360" s="5" t="s">
        <v>44</v>
      </c>
      <c r="U360" s="5" t="s">
        <v>44</v>
      </c>
      <c r="V360" s="5" t="s">
        <v>44</v>
      </c>
      <c r="W360" s="5" t="s">
        <v>35</v>
      </c>
      <c r="X360" s="5" t="s">
        <v>117</v>
      </c>
      <c r="Y360" s="5" t="s">
        <v>46</v>
      </c>
      <c r="Z360" s="5" t="s">
        <v>47</v>
      </c>
      <c r="AA360" s="5" t="s">
        <v>64</v>
      </c>
      <c r="AB360" s="5" t="s">
        <v>1713</v>
      </c>
      <c r="AC360" s="6" t="s">
        <v>377</v>
      </c>
      <c r="AD360" s="6">
        <v>4101.0</v>
      </c>
    </row>
    <row r="361" ht="56.25" customHeight="1">
      <c r="A361" s="5" t="s">
        <v>1676</v>
      </c>
      <c r="B361" s="6" t="str">
        <f>IMAGE("https://storage.googleapis.com/acdb/miscellaneous/FtrFax_Remake_2_0.png")</f>
        <v/>
      </c>
      <c r="C361" s="5" t="s">
        <v>39</v>
      </c>
      <c r="D361" s="5" t="s">
        <v>34</v>
      </c>
      <c r="E361" s="5" t="s">
        <v>1679</v>
      </c>
      <c r="F361" s="5" t="s">
        <v>1680</v>
      </c>
      <c r="G361" s="5" t="s">
        <v>36</v>
      </c>
      <c r="H361" s="5" t="s">
        <v>36</v>
      </c>
      <c r="I361" s="5" t="s">
        <v>35</v>
      </c>
      <c r="J361" s="6">
        <v>1.0</v>
      </c>
      <c r="K361" s="6">
        <v>1500.0</v>
      </c>
      <c r="L361" s="6">
        <v>375.0</v>
      </c>
      <c r="M361" s="5" t="s">
        <v>39</v>
      </c>
      <c r="N361" s="5" t="s">
        <v>57</v>
      </c>
      <c r="O361" s="6" t="s">
        <v>40</v>
      </c>
      <c r="P361" s="5" t="s">
        <v>59</v>
      </c>
      <c r="Q361" s="5" t="s">
        <v>60</v>
      </c>
      <c r="R361" s="6" t="s">
        <v>42</v>
      </c>
      <c r="S361" s="5" t="s">
        <v>91</v>
      </c>
      <c r="T361" s="5" t="s">
        <v>44</v>
      </c>
      <c r="U361" s="5" t="s">
        <v>44</v>
      </c>
      <c r="V361" s="5" t="s">
        <v>44</v>
      </c>
      <c r="W361" s="5" t="s">
        <v>35</v>
      </c>
      <c r="X361" s="5" t="s">
        <v>117</v>
      </c>
      <c r="Y361" s="5" t="s">
        <v>46</v>
      </c>
      <c r="Z361" s="5" t="s">
        <v>47</v>
      </c>
      <c r="AA361" s="5" t="s">
        <v>64</v>
      </c>
      <c r="AB361" s="5" t="s">
        <v>1716</v>
      </c>
      <c r="AC361" s="6" t="s">
        <v>67</v>
      </c>
      <c r="AD361" s="6">
        <v>4101.0</v>
      </c>
    </row>
    <row r="362" ht="56.25" customHeight="1">
      <c r="A362" s="5" t="s">
        <v>1676</v>
      </c>
      <c r="B362" s="6" t="str">
        <f>IMAGE("https://storage.googleapis.com/acdb/miscellaneous/FtrFax_Remake_2_1.png")</f>
        <v/>
      </c>
      <c r="C362" s="5" t="s">
        <v>39</v>
      </c>
      <c r="D362" s="5" t="s">
        <v>34</v>
      </c>
      <c r="E362" s="5" t="s">
        <v>1687</v>
      </c>
      <c r="F362" s="5" t="s">
        <v>1680</v>
      </c>
      <c r="G362" s="5" t="s">
        <v>36</v>
      </c>
      <c r="H362" s="5" t="s">
        <v>36</v>
      </c>
      <c r="I362" s="5" t="s">
        <v>35</v>
      </c>
      <c r="J362" s="6">
        <v>1.0</v>
      </c>
      <c r="K362" s="6">
        <v>1500.0</v>
      </c>
      <c r="L362" s="6">
        <v>375.0</v>
      </c>
      <c r="M362" s="5" t="s">
        <v>39</v>
      </c>
      <c r="N362" s="5" t="s">
        <v>57</v>
      </c>
      <c r="O362" s="6" t="s">
        <v>40</v>
      </c>
      <c r="P362" s="5" t="s">
        <v>59</v>
      </c>
      <c r="Q362" s="5" t="s">
        <v>60</v>
      </c>
      <c r="R362" s="6" t="s">
        <v>42</v>
      </c>
      <c r="S362" s="5" t="s">
        <v>91</v>
      </c>
      <c r="T362" s="5" t="s">
        <v>44</v>
      </c>
      <c r="U362" s="5" t="s">
        <v>44</v>
      </c>
      <c r="V362" s="5" t="s">
        <v>44</v>
      </c>
      <c r="W362" s="5" t="s">
        <v>35</v>
      </c>
      <c r="X362" s="5" t="s">
        <v>117</v>
      </c>
      <c r="Y362" s="5" t="s">
        <v>46</v>
      </c>
      <c r="Z362" s="5" t="s">
        <v>47</v>
      </c>
      <c r="AA362" s="5" t="s">
        <v>64</v>
      </c>
      <c r="AB362" s="5" t="s">
        <v>1719</v>
      </c>
      <c r="AC362" s="6" t="s">
        <v>247</v>
      </c>
      <c r="AD362" s="6">
        <v>4101.0</v>
      </c>
    </row>
    <row r="363" ht="56.25" customHeight="1">
      <c r="A363" s="5" t="s">
        <v>1676</v>
      </c>
      <c r="B363" s="6" t="str">
        <f>IMAGE("https://storage.googleapis.com/acdb/miscellaneous/FtrFax_Remake_2_2.png")</f>
        <v/>
      </c>
      <c r="C363" s="5" t="s">
        <v>39</v>
      </c>
      <c r="D363" s="5" t="s">
        <v>34</v>
      </c>
      <c r="E363" s="5" t="s">
        <v>237</v>
      </c>
      <c r="F363" s="5" t="s">
        <v>1680</v>
      </c>
      <c r="G363" s="5" t="s">
        <v>36</v>
      </c>
      <c r="H363" s="5" t="s">
        <v>36</v>
      </c>
      <c r="I363" s="5" t="s">
        <v>35</v>
      </c>
      <c r="J363" s="6">
        <v>1.0</v>
      </c>
      <c r="K363" s="6">
        <v>1500.0</v>
      </c>
      <c r="L363" s="6">
        <v>375.0</v>
      </c>
      <c r="M363" s="5" t="s">
        <v>39</v>
      </c>
      <c r="N363" s="5" t="s">
        <v>57</v>
      </c>
      <c r="O363" s="6" t="s">
        <v>40</v>
      </c>
      <c r="P363" s="5" t="s">
        <v>59</v>
      </c>
      <c r="Q363" s="5" t="s">
        <v>60</v>
      </c>
      <c r="R363" s="6" t="s">
        <v>42</v>
      </c>
      <c r="S363" s="5" t="s">
        <v>91</v>
      </c>
      <c r="T363" s="5" t="s">
        <v>44</v>
      </c>
      <c r="U363" s="5" t="s">
        <v>44</v>
      </c>
      <c r="V363" s="5" t="s">
        <v>44</v>
      </c>
      <c r="W363" s="5" t="s">
        <v>35</v>
      </c>
      <c r="X363" s="5" t="s">
        <v>117</v>
      </c>
      <c r="Y363" s="5" t="s">
        <v>46</v>
      </c>
      <c r="Z363" s="5" t="s">
        <v>47</v>
      </c>
      <c r="AA363" s="5" t="s">
        <v>64</v>
      </c>
      <c r="AB363" s="5" t="s">
        <v>1722</v>
      </c>
      <c r="AC363" s="6" t="s">
        <v>390</v>
      </c>
      <c r="AD363" s="6">
        <v>4101.0</v>
      </c>
    </row>
    <row r="364" ht="56.25" customHeight="1">
      <c r="A364" s="5" t="s">
        <v>1676</v>
      </c>
      <c r="B364" s="6" t="str">
        <f>IMAGE("https://storage.googleapis.com/acdb/miscellaneous/FtrFax_Remake_2_3.png")</f>
        <v/>
      </c>
      <c r="C364" s="5" t="s">
        <v>39</v>
      </c>
      <c r="D364" s="5" t="s">
        <v>34</v>
      </c>
      <c r="E364" s="5" t="s">
        <v>1695</v>
      </c>
      <c r="F364" s="5" t="s">
        <v>1680</v>
      </c>
      <c r="G364" s="5" t="s">
        <v>36</v>
      </c>
      <c r="H364" s="5" t="s">
        <v>36</v>
      </c>
      <c r="I364" s="5" t="s">
        <v>35</v>
      </c>
      <c r="J364" s="6">
        <v>1.0</v>
      </c>
      <c r="K364" s="6">
        <v>1500.0</v>
      </c>
      <c r="L364" s="6">
        <v>375.0</v>
      </c>
      <c r="M364" s="5" t="s">
        <v>39</v>
      </c>
      <c r="N364" s="5" t="s">
        <v>57</v>
      </c>
      <c r="O364" s="6" t="s">
        <v>40</v>
      </c>
      <c r="P364" s="5" t="s">
        <v>59</v>
      </c>
      <c r="Q364" s="5" t="s">
        <v>60</v>
      </c>
      <c r="R364" s="6" t="s">
        <v>42</v>
      </c>
      <c r="S364" s="5" t="s">
        <v>91</v>
      </c>
      <c r="T364" s="5" t="s">
        <v>44</v>
      </c>
      <c r="U364" s="5" t="s">
        <v>44</v>
      </c>
      <c r="V364" s="5" t="s">
        <v>44</v>
      </c>
      <c r="W364" s="5" t="s">
        <v>35</v>
      </c>
      <c r="X364" s="5" t="s">
        <v>117</v>
      </c>
      <c r="Y364" s="5" t="s">
        <v>46</v>
      </c>
      <c r="Z364" s="5" t="s">
        <v>47</v>
      </c>
      <c r="AA364" s="5" t="s">
        <v>64</v>
      </c>
      <c r="AB364" s="5" t="s">
        <v>1727</v>
      </c>
      <c r="AC364" s="6" t="s">
        <v>396</v>
      </c>
      <c r="AD364" s="6">
        <v>4101.0</v>
      </c>
    </row>
    <row r="365" ht="56.25" customHeight="1">
      <c r="A365" s="5" t="s">
        <v>1676</v>
      </c>
      <c r="B365" s="6" t="str">
        <f>IMAGE("https://storage.googleapis.com/acdb/miscellaneous/FtrFax_Remake_3_0.png")</f>
        <v/>
      </c>
      <c r="C365" s="5" t="s">
        <v>54</v>
      </c>
      <c r="D365" s="5" t="s">
        <v>34</v>
      </c>
      <c r="E365" s="5" t="s">
        <v>1679</v>
      </c>
      <c r="F365" s="5" t="s">
        <v>1680</v>
      </c>
      <c r="G365" s="5" t="s">
        <v>36</v>
      </c>
      <c r="H365" s="5" t="s">
        <v>36</v>
      </c>
      <c r="I365" s="5" t="s">
        <v>35</v>
      </c>
      <c r="J365" s="6">
        <v>1.0</v>
      </c>
      <c r="K365" s="6">
        <v>1500.0</v>
      </c>
      <c r="L365" s="6">
        <v>375.0</v>
      </c>
      <c r="M365" s="5" t="s">
        <v>54</v>
      </c>
      <c r="N365" s="5" t="s">
        <v>57</v>
      </c>
      <c r="O365" s="6" t="s">
        <v>40</v>
      </c>
      <c r="P365" s="5" t="s">
        <v>59</v>
      </c>
      <c r="Q365" s="5" t="s">
        <v>60</v>
      </c>
      <c r="R365" s="6" t="s">
        <v>42</v>
      </c>
      <c r="S365" s="5" t="s">
        <v>91</v>
      </c>
      <c r="T365" s="5" t="s">
        <v>44</v>
      </c>
      <c r="U365" s="5" t="s">
        <v>44</v>
      </c>
      <c r="V365" s="5" t="s">
        <v>44</v>
      </c>
      <c r="W365" s="5" t="s">
        <v>35</v>
      </c>
      <c r="X365" s="5" t="s">
        <v>117</v>
      </c>
      <c r="Y365" s="5" t="s">
        <v>46</v>
      </c>
      <c r="Z365" s="5" t="s">
        <v>47</v>
      </c>
      <c r="AA365" s="5" t="s">
        <v>64</v>
      </c>
      <c r="AB365" s="5" t="s">
        <v>1731</v>
      </c>
      <c r="AC365" s="6" t="s">
        <v>71</v>
      </c>
      <c r="AD365" s="6">
        <v>4101.0</v>
      </c>
    </row>
    <row r="366" ht="56.25" customHeight="1">
      <c r="A366" s="5" t="s">
        <v>1676</v>
      </c>
      <c r="B366" s="6" t="str">
        <f>IMAGE("https://storage.googleapis.com/acdb/miscellaneous/FtrFax_Remake_3_1.png")</f>
        <v/>
      </c>
      <c r="C366" s="5" t="s">
        <v>54</v>
      </c>
      <c r="D366" s="5" t="s">
        <v>34</v>
      </c>
      <c r="E366" s="5" t="s">
        <v>1687</v>
      </c>
      <c r="F366" s="5" t="s">
        <v>1680</v>
      </c>
      <c r="G366" s="5" t="s">
        <v>36</v>
      </c>
      <c r="H366" s="5" t="s">
        <v>36</v>
      </c>
      <c r="I366" s="5" t="s">
        <v>35</v>
      </c>
      <c r="J366" s="6">
        <v>1.0</v>
      </c>
      <c r="K366" s="6">
        <v>1500.0</v>
      </c>
      <c r="L366" s="6">
        <v>375.0</v>
      </c>
      <c r="M366" s="5" t="s">
        <v>54</v>
      </c>
      <c r="N366" s="5" t="s">
        <v>57</v>
      </c>
      <c r="O366" s="6" t="s">
        <v>40</v>
      </c>
      <c r="P366" s="5" t="s">
        <v>59</v>
      </c>
      <c r="Q366" s="5" t="s">
        <v>60</v>
      </c>
      <c r="R366" s="6" t="s">
        <v>42</v>
      </c>
      <c r="S366" s="5" t="s">
        <v>91</v>
      </c>
      <c r="T366" s="5" t="s">
        <v>44</v>
      </c>
      <c r="U366" s="5" t="s">
        <v>44</v>
      </c>
      <c r="V366" s="5" t="s">
        <v>44</v>
      </c>
      <c r="W366" s="5" t="s">
        <v>35</v>
      </c>
      <c r="X366" s="5" t="s">
        <v>117</v>
      </c>
      <c r="Y366" s="5" t="s">
        <v>46</v>
      </c>
      <c r="Z366" s="5" t="s">
        <v>47</v>
      </c>
      <c r="AA366" s="5" t="s">
        <v>64</v>
      </c>
      <c r="AB366" s="5" t="s">
        <v>1733</v>
      </c>
      <c r="AC366" s="6" t="s">
        <v>257</v>
      </c>
      <c r="AD366" s="6">
        <v>4101.0</v>
      </c>
    </row>
    <row r="367" ht="56.25" customHeight="1">
      <c r="A367" s="5" t="s">
        <v>1676</v>
      </c>
      <c r="B367" s="6" t="str">
        <f>IMAGE("https://storage.googleapis.com/acdb/miscellaneous/FtrFax_Remake_3_2.png")</f>
        <v/>
      </c>
      <c r="C367" s="5" t="s">
        <v>54</v>
      </c>
      <c r="D367" s="5" t="s">
        <v>34</v>
      </c>
      <c r="E367" s="5" t="s">
        <v>237</v>
      </c>
      <c r="F367" s="5" t="s">
        <v>1680</v>
      </c>
      <c r="G367" s="5" t="s">
        <v>36</v>
      </c>
      <c r="H367" s="5" t="s">
        <v>36</v>
      </c>
      <c r="I367" s="5" t="s">
        <v>35</v>
      </c>
      <c r="J367" s="6">
        <v>1.0</v>
      </c>
      <c r="K367" s="6">
        <v>1500.0</v>
      </c>
      <c r="L367" s="6">
        <v>375.0</v>
      </c>
      <c r="M367" s="5" t="s">
        <v>54</v>
      </c>
      <c r="N367" s="5" t="s">
        <v>57</v>
      </c>
      <c r="O367" s="6" t="s">
        <v>40</v>
      </c>
      <c r="P367" s="5" t="s">
        <v>59</v>
      </c>
      <c r="Q367" s="5" t="s">
        <v>60</v>
      </c>
      <c r="R367" s="6" t="s">
        <v>42</v>
      </c>
      <c r="S367" s="5" t="s">
        <v>91</v>
      </c>
      <c r="T367" s="5" t="s">
        <v>44</v>
      </c>
      <c r="U367" s="5" t="s">
        <v>44</v>
      </c>
      <c r="V367" s="5" t="s">
        <v>44</v>
      </c>
      <c r="W367" s="5" t="s">
        <v>35</v>
      </c>
      <c r="X367" s="5" t="s">
        <v>117</v>
      </c>
      <c r="Y367" s="5" t="s">
        <v>46</v>
      </c>
      <c r="Z367" s="5" t="s">
        <v>47</v>
      </c>
      <c r="AA367" s="5" t="s">
        <v>64</v>
      </c>
      <c r="AB367" s="5" t="s">
        <v>1738</v>
      </c>
      <c r="AC367" s="6" t="s">
        <v>414</v>
      </c>
      <c r="AD367" s="6">
        <v>4101.0</v>
      </c>
    </row>
    <row r="368" ht="56.25" customHeight="1">
      <c r="A368" s="5" t="s">
        <v>1676</v>
      </c>
      <c r="B368" s="6" t="str">
        <f>IMAGE("https://storage.googleapis.com/acdb/miscellaneous/FtrFax_Remake_3_3.png")</f>
        <v/>
      </c>
      <c r="C368" s="5" t="s">
        <v>54</v>
      </c>
      <c r="D368" s="5" t="s">
        <v>34</v>
      </c>
      <c r="E368" s="5" t="s">
        <v>1695</v>
      </c>
      <c r="F368" s="5" t="s">
        <v>1680</v>
      </c>
      <c r="G368" s="5" t="s">
        <v>36</v>
      </c>
      <c r="H368" s="5" t="s">
        <v>36</v>
      </c>
      <c r="I368" s="5" t="s">
        <v>35</v>
      </c>
      <c r="J368" s="6">
        <v>1.0</v>
      </c>
      <c r="K368" s="6">
        <v>1500.0</v>
      </c>
      <c r="L368" s="6">
        <v>375.0</v>
      </c>
      <c r="M368" s="5" t="s">
        <v>54</v>
      </c>
      <c r="N368" s="5" t="s">
        <v>57</v>
      </c>
      <c r="O368" s="6" t="s">
        <v>40</v>
      </c>
      <c r="P368" s="5" t="s">
        <v>59</v>
      </c>
      <c r="Q368" s="5" t="s">
        <v>60</v>
      </c>
      <c r="R368" s="6" t="s">
        <v>42</v>
      </c>
      <c r="S368" s="5" t="s">
        <v>91</v>
      </c>
      <c r="T368" s="5" t="s">
        <v>44</v>
      </c>
      <c r="U368" s="5" t="s">
        <v>44</v>
      </c>
      <c r="V368" s="5" t="s">
        <v>44</v>
      </c>
      <c r="W368" s="5" t="s">
        <v>35</v>
      </c>
      <c r="X368" s="5" t="s">
        <v>117</v>
      </c>
      <c r="Y368" s="5" t="s">
        <v>46</v>
      </c>
      <c r="Z368" s="5" t="s">
        <v>47</v>
      </c>
      <c r="AA368" s="5" t="s">
        <v>64</v>
      </c>
      <c r="AB368" s="5" t="s">
        <v>1741</v>
      </c>
      <c r="AC368" s="6" t="s">
        <v>418</v>
      </c>
      <c r="AD368" s="6">
        <v>4101.0</v>
      </c>
    </row>
    <row r="369" ht="56.25" customHeight="1">
      <c r="A369" s="5" t="s">
        <v>1743</v>
      </c>
      <c r="B369" s="16" t="str">
        <f>IMAGE("https://storage.googleapis.com/acdb/miscellaneous/FtrFestivaltop.png")</f>
        <v/>
      </c>
      <c r="C369" s="5" t="s">
        <v>34</v>
      </c>
      <c r="D369" s="5" t="s">
        <v>34</v>
      </c>
      <c r="E369" s="5" t="s">
        <v>34</v>
      </c>
      <c r="F369" s="5" t="s">
        <v>34</v>
      </c>
      <c r="G369" s="5" t="s">
        <v>35</v>
      </c>
      <c r="H369" s="5" t="s">
        <v>36</v>
      </c>
      <c r="I369" s="5" t="s">
        <v>36</v>
      </c>
      <c r="J369" s="6" t="s">
        <v>34</v>
      </c>
      <c r="K369" s="6" t="s">
        <v>37</v>
      </c>
      <c r="L369" s="6">
        <v>320.0</v>
      </c>
      <c r="M369" s="5" t="s">
        <v>58</v>
      </c>
      <c r="N369" s="5" t="s">
        <v>52</v>
      </c>
      <c r="O369" s="6" t="s">
        <v>40</v>
      </c>
      <c r="P369" s="5" t="s">
        <v>41</v>
      </c>
      <c r="Q369" s="5" t="s">
        <v>969</v>
      </c>
      <c r="R369" s="6" t="s">
        <v>42</v>
      </c>
      <c r="S369" s="5" t="s">
        <v>465</v>
      </c>
      <c r="T369" s="5" t="s">
        <v>61</v>
      </c>
      <c r="U369" s="5" t="s">
        <v>970</v>
      </c>
      <c r="V369" s="5" t="s">
        <v>44</v>
      </c>
      <c r="W369" s="5" t="s">
        <v>36</v>
      </c>
      <c r="X369" s="5" t="s">
        <v>356</v>
      </c>
      <c r="Y369" s="5" t="s">
        <v>46</v>
      </c>
      <c r="Z369" s="5" t="s">
        <v>47</v>
      </c>
      <c r="AA369" s="5" t="s">
        <v>48</v>
      </c>
      <c r="AB369" s="5" t="s">
        <v>1745</v>
      </c>
      <c r="AC369" s="6" t="s">
        <v>34</v>
      </c>
      <c r="AD369" s="6">
        <v>12230.0</v>
      </c>
    </row>
    <row r="370" ht="56.25" customHeight="1">
      <c r="A370" s="5" t="s">
        <v>1747</v>
      </c>
      <c r="B370" s="16" t="str">
        <f>IMAGE("https://storage.googleapis.com/acdb/miscellaneous/FtrProjector.png")</f>
        <v/>
      </c>
      <c r="C370" s="5" t="s">
        <v>34</v>
      </c>
      <c r="D370" s="5" t="s">
        <v>34</v>
      </c>
      <c r="E370" s="5" t="s">
        <v>34</v>
      </c>
      <c r="F370" s="5" t="s">
        <v>34</v>
      </c>
      <c r="G370" s="5" t="s">
        <v>36</v>
      </c>
      <c r="H370" s="5" t="s">
        <v>36</v>
      </c>
      <c r="I370" s="5" t="s">
        <v>36</v>
      </c>
      <c r="J370" s="6" t="s">
        <v>34</v>
      </c>
      <c r="K370" s="6">
        <v>2400.0</v>
      </c>
      <c r="L370" s="6">
        <v>600.0</v>
      </c>
      <c r="M370" s="5" t="s">
        <v>54</v>
      </c>
      <c r="N370" s="5" t="s">
        <v>54</v>
      </c>
      <c r="O370" s="6" t="s">
        <v>40</v>
      </c>
      <c r="P370" s="5" t="s">
        <v>59</v>
      </c>
      <c r="Q370" s="5" t="s">
        <v>60</v>
      </c>
      <c r="R370" s="6" t="s">
        <v>42</v>
      </c>
      <c r="S370" s="5" t="s">
        <v>141</v>
      </c>
      <c r="T370" s="5" t="s">
        <v>44</v>
      </c>
      <c r="U370" s="5" t="s">
        <v>44</v>
      </c>
      <c r="V370" s="5" t="s">
        <v>44</v>
      </c>
      <c r="W370" s="5" t="s">
        <v>35</v>
      </c>
      <c r="X370" s="5" t="s">
        <v>921</v>
      </c>
      <c r="Y370" s="5" t="s">
        <v>46</v>
      </c>
      <c r="Z370" s="5" t="s">
        <v>1749</v>
      </c>
      <c r="AA370" s="5" t="s">
        <v>64</v>
      </c>
      <c r="AB370" s="5" t="s">
        <v>1751</v>
      </c>
      <c r="AC370" s="6" t="s">
        <v>34</v>
      </c>
      <c r="AD370" s="6">
        <v>3963.0</v>
      </c>
    </row>
    <row r="371" ht="56.25" customHeight="1">
      <c r="A371" s="5" t="s">
        <v>1752</v>
      </c>
      <c r="B371" s="16" t="str">
        <f>IMAGE("https://storage.googleapis.com/acdb/miscellaneous/FtrInsectHotaruToy.png")</f>
        <v/>
      </c>
      <c r="C371" s="5" t="s">
        <v>34</v>
      </c>
      <c r="D371" s="5" t="s">
        <v>34</v>
      </c>
      <c r="E371" s="5" t="s">
        <v>34</v>
      </c>
      <c r="F371" s="5" t="s">
        <v>34</v>
      </c>
      <c r="G371" s="5" t="s">
        <v>36</v>
      </c>
      <c r="H371" s="5" t="s">
        <v>36</v>
      </c>
      <c r="I371" s="5" t="s">
        <v>36</v>
      </c>
      <c r="J371" s="6" t="s">
        <v>34</v>
      </c>
      <c r="K371" s="6" t="s">
        <v>37</v>
      </c>
      <c r="L371" s="6">
        <v>900.0</v>
      </c>
      <c r="M371" s="5" t="s">
        <v>54</v>
      </c>
      <c r="N371" s="5" t="s">
        <v>54</v>
      </c>
      <c r="O371" s="6" t="s">
        <v>40</v>
      </c>
      <c r="P371" s="5" t="s">
        <v>107</v>
      </c>
      <c r="Q371" s="5" t="s">
        <v>108</v>
      </c>
      <c r="R371" s="6" t="s">
        <v>42</v>
      </c>
      <c r="S371" s="5" t="s">
        <v>44</v>
      </c>
      <c r="T371" s="5" t="s">
        <v>44</v>
      </c>
      <c r="U371" s="5" t="s">
        <v>44</v>
      </c>
      <c r="V371" s="5" t="s">
        <v>44</v>
      </c>
      <c r="W371" s="5" t="s">
        <v>36</v>
      </c>
      <c r="X371" s="5" t="s">
        <v>109</v>
      </c>
      <c r="Y371" s="5" t="s">
        <v>46</v>
      </c>
      <c r="Z371" s="5" t="s">
        <v>47</v>
      </c>
      <c r="AA371" s="5" t="s">
        <v>48</v>
      </c>
      <c r="AB371" s="5" t="s">
        <v>1754</v>
      </c>
      <c r="AC371" s="6" t="s">
        <v>34</v>
      </c>
      <c r="AD371" s="6">
        <v>7065.0</v>
      </c>
    </row>
    <row r="372" ht="56.25" customHeight="1">
      <c r="A372" s="5" t="s">
        <v>1756</v>
      </c>
      <c r="B372" s="16" t="str">
        <f>IMAGE("https://storage.googleapis.com/acdb/miscellaneous/FtrFirewood.png")</f>
        <v/>
      </c>
      <c r="C372" s="5" t="s">
        <v>34</v>
      </c>
      <c r="D372" s="5" t="s">
        <v>34</v>
      </c>
      <c r="E372" s="5" t="s">
        <v>34</v>
      </c>
      <c r="F372" s="5" t="s">
        <v>34</v>
      </c>
      <c r="G372" s="5" t="s">
        <v>35</v>
      </c>
      <c r="H372" s="5" t="s">
        <v>36</v>
      </c>
      <c r="I372" s="5" t="s">
        <v>36</v>
      </c>
      <c r="J372" s="6" t="s">
        <v>34</v>
      </c>
      <c r="K372" s="6" t="s">
        <v>37</v>
      </c>
      <c r="L372" s="6">
        <v>960.0</v>
      </c>
      <c r="M372" s="5" t="s">
        <v>39</v>
      </c>
      <c r="N372" s="5" t="s">
        <v>38</v>
      </c>
      <c r="O372" s="6" t="s">
        <v>40</v>
      </c>
      <c r="P372" s="5" t="s">
        <v>41</v>
      </c>
      <c r="Q372" s="5"/>
      <c r="R372" s="6" t="s">
        <v>42</v>
      </c>
      <c r="S372" s="5" t="s">
        <v>416</v>
      </c>
      <c r="T372" s="5" t="s">
        <v>172</v>
      </c>
      <c r="U372" s="5" t="s">
        <v>44</v>
      </c>
      <c r="V372" s="5" t="s">
        <v>44</v>
      </c>
      <c r="W372" s="5" t="s">
        <v>36</v>
      </c>
      <c r="X372" s="5" t="s">
        <v>244</v>
      </c>
      <c r="Y372" s="5" t="s">
        <v>46</v>
      </c>
      <c r="Z372" s="5" t="s">
        <v>47</v>
      </c>
      <c r="AA372" s="5" t="s">
        <v>48</v>
      </c>
      <c r="AB372" s="5" t="s">
        <v>1760</v>
      </c>
      <c r="AC372" s="6" t="s">
        <v>34</v>
      </c>
      <c r="AD372" s="6">
        <v>5970.0</v>
      </c>
    </row>
    <row r="373" ht="56.25" customHeight="1">
      <c r="A373" s="5" t="s">
        <v>1761</v>
      </c>
      <c r="B373" s="16" t="str">
        <f>IMAGE("https://storage.googleapis.com/acdb/miscellaneous/FtrInsectNomiToy.png")</f>
        <v/>
      </c>
      <c r="C373" s="5" t="s">
        <v>34</v>
      </c>
      <c r="D373" s="5" t="s">
        <v>34</v>
      </c>
      <c r="E373" s="5" t="s">
        <v>34</v>
      </c>
      <c r="F373" s="5" t="s">
        <v>34</v>
      </c>
      <c r="G373" s="5" t="s">
        <v>36</v>
      </c>
      <c r="H373" s="5" t="s">
        <v>36</v>
      </c>
      <c r="I373" s="5" t="s">
        <v>36</v>
      </c>
      <c r="J373" s="6" t="s">
        <v>34</v>
      </c>
      <c r="K373" s="6" t="s">
        <v>37</v>
      </c>
      <c r="L373" s="6">
        <v>210.0</v>
      </c>
      <c r="M373" s="5" t="s">
        <v>39</v>
      </c>
      <c r="N373" s="5" t="s">
        <v>39</v>
      </c>
      <c r="O373" s="6" t="s">
        <v>40</v>
      </c>
      <c r="P373" s="5" t="s">
        <v>107</v>
      </c>
      <c r="Q373" s="5" t="s">
        <v>108</v>
      </c>
      <c r="R373" s="6" t="s">
        <v>42</v>
      </c>
      <c r="S373" s="5" t="s">
        <v>44</v>
      </c>
      <c r="T373" s="5" t="s">
        <v>44</v>
      </c>
      <c r="U373" s="5" t="s">
        <v>44</v>
      </c>
      <c r="V373" s="5" t="s">
        <v>44</v>
      </c>
      <c r="W373" s="5" t="s">
        <v>36</v>
      </c>
      <c r="X373" s="5" t="s">
        <v>109</v>
      </c>
      <c r="Y373" s="5" t="s">
        <v>46</v>
      </c>
      <c r="Z373" s="5" t="s">
        <v>47</v>
      </c>
      <c r="AA373" s="5" t="s">
        <v>48</v>
      </c>
      <c r="AB373" s="5" t="s">
        <v>1764</v>
      </c>
      <c r="AC373" s="6" t="s">
        <v>34</v>
      </c>
      <c r="AD373" s="6">
        <v>5935.0</v>
      </c>
    </row>
    <row r="374" ht="56.25" customHeight="1">
      <c r="A374" s="5" t="s">
        <v>1766</v>
      </c>
      <c r="B374" s="6" t="str">
        <f>IMAGE("https://storage.googleapis.com/acdb/miscellaneous/FtrBiotope_Remake_0_0.png")</f>
        <v/>
      </c>
      <c r="C374" s="5" t="s">
        <v>39</v>
      </c>
      <c r="D374" s="5" t="s">
        <v>34</v>
      </c>
      <c r="E374" s="5" t="s">
        <v>34</v>
      </c>
      <c r="F374" s="5" t="s">
        <v>34</v>
      </c>
      <c r="G374" s="5" t="s">
        <v>36</v>
      </c>
      <c r="H374" s="5" t="s">
        <v>36</v>
      </c>
      <c r="I374" s="5" t="s">
        <v>36</v>
      </c>
      <c r="J374" s="6" t="s">
        <v>34</v>
      </c>
      <c r="K374" s="6">
        <v>1600.0</v>
      </c>
      <c r="L374" s="6">
        <v>400.0</v>
      </c>
      <c r="M374" s="5" t="s">
        <v>39</v>
      </c>
      <c r="N374" s="5" t="s">
        <v>96</v>
      </c>
      <c r="O374" s="6" t="s">
        <v>40</v>
      </c>
      <c r="P374" s="5" t="s">
        <v>59</v>
      </c>
      <c r="Q374" s="5" t="s">
        <v>89</v>
      </c>
      <c r="R374" s="6" t="s">
        <v>42</v>
      </c>
      <c r="S374" s="5" t="s">
        <v>90</v>
      </c>
      <c r="T374" s="5" t="s">
        <v>172</v>
      </c>
      <c r="U374" s="5" t="s">
        <v>44</v>
      </c>
      <c r="V374" s="5" t="s">
        <v>44</v>
      </c>
      <c r="W374" s="5" t="s">
        <v>36</v>
      </c>
      <c r="X374" s="5" t="s">
        <v>244</v>
      </c>
      <c r="Y374" s="5" t="s">
        <v>46</v>
      </c>
      <c r="Z374" s="5" t="s">
        <v>47</v>
      </c>
      <c r="AA374" s="5" t="s">
        <v>64</v>
      </c>
      <c r="AB374" s="5" t="s">
        <v>1767</v>
      </c>
      <c r="AC374" s="6" t="s">
        <v>50</v>
      </c>
      <c r="AD374" s="6">
        <v>4094.0</v>
      </c>
    </row>
    <row r="375" ht="56.25" customHeight="1">
      <c r="A375" s="5" t="s">
        <v>1766</v>
      </c>
      <c r="B375" s="6" t="str">
        <f>IMAGE("https://storage.googleapis.com/acdb/miscellaneous/FtrBiotope_Remake_1_0.png")</f>
        <v/>
      </c>
      <c r="C375" s="5" t="s">
        <v>1011</v>
      </c>
      <c r="D375" s="5" t="s">
        <v>34</v>
      </c>
      <c r="E375" s="5" t="s">
        <v>34</v>
      </c>
      <c r="F375" s="5" t="s">
        <v>34</v>
      </c>
      <c r="G375" s="5" t="s">
        <v>36</v>
      </c>
      <c r="H375" s="5" t="s">
        <v>36</v>
      </c>
      <c r="I375" s="5" t="s">
        <v>36</v>
      </c>
      <c r="J375" s="6" t="s">
        <v>34</v>
      </c>
      <c r="K375" s="6">
        <v>1600.0</v>
      </c>
      <c r="L375" s="6">
        <v>400.0</v>
      </c>
      <c r="M375" s="5" t="s">
        <v>68</v>
      </c>
      <c r="N375" s="5" t="s">
        <v>96</v>
      </c>
      <c r="O375" s="6" t="s">
        <v>40</v>
      </c>
      <c r="P375" s="5" t="s">
        <v>59</v>
      </c>
      <c r="Q375" s="5" t="s">
        <v>89</v>
      </c>
      <c r="R375" s="6" t="s">
        <v>42</v>
      </c>
      <c r="S375" s="5" t="s">
        <v>90</v>
      </c>
      <c r="T375" s="5" t="s">
        <v>172</v>
      </c>
      <c r="U375" s="5" t="s">
        <v>44</v>
      </c>
      <c r="V375" s="5" t="s">
        <v>44</v>
      </c>
      <c r="W375" s="5" t="s">
        <v>36</v>
      </c>
      <c r="X375" s="5" t="s">
        <v>244</v>
      </c>
      <c r="Y375" s="5" t="s">
        <v>46</v>
      </c>
      <c r="Z375" s="5" t="s">
        <v>47</v>
      </c>
      <c r="AA375" s="5" t="s">
        <v>64</v>
      </c>
      <c r="AB375" s="5" t="s">
        <v>1770</v>
      </c>
      <c r="AC375" s="6" t="s">
        <v>56</v>
      </c>
      <c r="AD375" s="6">
        <v>4094.0</v>
      </c>
    </row>
    <row r="376" ht="56.25" customHeight="1">
      <c r="A376" s="5" t="s">
        <v>1766</v>
      </c>
      <c r="B376" s="6" t="str">
        <f>IMAGE("https://storage.googleapis.com/acdb/miscellaneous/FtrBiotope_Remake_2_0.png")</f>
        <v/>
      </c>
      <c r="C376" s="5" t="s">
        <v>57</v>
      </c>
      <c r="D376" s="5" t="s">
        <v>34</v>
      </c>
      <c r="E376" s="5" t="s">
        <v>34</v>
      </c>
      <c r="F376" s="5" t="s">
        <v>34</v>
      </c>
      <c r="G376" s="5" t="s">
        <v>36</v>
      </c>
      <c r="H376" s="5" t="s">
        <v>36</v>
      </c>
      <c r="I376" s="5" t="s">
        <v>36</v>
      </c>
      <c r="J376" s="6" t="s">
        <v>34</v>
      </c>
      <c r="K376" s="6">
        <v>1600.0</v>
      </c>
      <c r="L376" s="6">
        <v>400.0</v>
      </c>
      <c r="M376" s="5" t="s">
        <v>57</v>
      </c>
      <c r="N376" s="5" t="s">
        <v>96</v>
      </c>
      <c r="O376" s="6" t="s">
        <v>40</v>
      </c>
      <c r="P376" s="5" t="s">
        <v>59</v>
      </c>
      <c r="Q376" s="5" t="s">
        <v>89</v>
      </c>
      <c r="R376" s="6" t="s">
        <v>42</v>
      </c>
      <c r="S376" s="5" t="s">
        <v>90</v>
      </c>
      <c r="T376" s="5" t="s">
        <v>172</v>
      </c>
      <c r="U376" s="5" t="s">
        <v>44</v>
      </c>
      <c r="V376" s="5" t="s">
        <v>44</v>
      </c>
      <c r="W376" s="5" t="s">
        <v>36</v>
      </c>
      <c r="X376" s="5" t="s">
        <v>244</v>
      </c>
      <c r="Y376" s="5" t="s">
        <v>46</v>
      </c>
      <c r="Z376" s="5" t="s">
        <v>47</v>
      </c>
      <c r="AA376" s="5" t="s">
        <v>64</v>
      </c>
      <c r="AB376" s="5" t="s">
        <v>1774</v>
      </c>
      <c r="AC376" s="6" t="s">
        <v>67</v>
      </c>
      <c r="AD376" s="6">
        <v>4094.0</v>
      </c>
    </row>
    <row r="377" ht="56.25" customHeight="1">
      <c r="A377" s="5" t="s">
        <v>1766</v>
      </c>
      <c r="B377" s="6" t="str">
        <f>IMAGE("https://storage.googleapis.com/acdb/miscellaneous/FtrBiotope_Remake_3_0.png")</f>
        <v/>
      </c>
      <c r="C377" s="5" t="s">
        <v>54</v>
      </c>
      <c r="D377" s="5" t="s">
        <v>34</v>
      </c>
      <c r="E377" s="5" t="s">
        <v>34</v>
      </c>
      <c r="F377" s="5" t="s">
        <v>34</v>
      </c>
      <c r="G377" s="5" t="s">
        <v>36</v>
      </c>
      <c r="H377" s="5" t="s">
        <v>36</v>
      </c>
      <c r="I377" s="5" t="s">
        <v>36</v>
      </c>
      <c r="J377" s="6" t="s">
        <v>34</v>
      </c>
      <c r="K377" s="6">
        <v>1600.0</v>
      </c>
      <c r="L377" s="6">
        <v>400.0</v>
      </c>
      <c r="M377" s="5" t="s">
        <v>54</v>
      </c>
      <c r="N377" s="5" t="s">
        <v>96</v>
      </c>
      <c r="O377" s="6" t="s">
        <v>40</v>
      </c>
      <c r="P377" s="5" t="s">
        <v>59</v>
      </c>
      <c r="Q377" s="5" t="s">
        <v>89</v>
      </c>
      <c r="R377" s="6" t="s">
        <v>42</v>
      </c>
      <c r="S377" s="5" t="s">
        <v>90</v>
      </c>
      <c r="T377" s="5" t="s">
        <v>172</v>
      </c>
      <c r="U377" s="5" t="s">
        <v>44</v>
      </c>
      <c r="V377" s="5" t="s">
        <v>44</v>
      </c>
      <c r="W377" s="5" t="s">
        <v>36</v>
      </c>
      <c r="X377" s="5" t="s">
        <v>244</v>
      </c>
      <c r="Y377" s="5" t="s">
        <v>46</v>
      </c>
      <c r="Z377" s="5" t="s">
        <v>47</v>
      </c>
      <c r="AA377" s="5" t="s">
        <v>64</v>
      </c>
      <c r="AB377" s="5" t="s">
        <v>1778</v>
      </c>
      <c r="AC377" s="6" t="s">
        <v>71</v>
      </c>
      <c r="AD377" s="6">
        <v>4094.0</v>
      </c>
    </row>
    <row r="378" ht="56.25" customHeight="1">
      <c r="A378" s="5" t="s">
        <v>1780</v>
      </c>
      <c r="B378" s="6" t="str">
        <f>IMAGE("https://storage.googleapis.com/acdb/miscellaneous/FtrSafetycone_Remake_0_0.png")</f>
        <v/>
      </c>
      <c r="C378" s="5" t="s">
        <v>1783</v>
      </c>
      <c r="D378" s="5" t="s">
        <v>34</v>
      </c>
      <c r="E378" s="5" t="s">
        <v>34</v>
      </c>
      <c r="F378" s="5" t="s">
        <v>34</v>
      </c>
      <c r="G378" s="5" t="s">
        <v>36</v>
      </c>
      <c r="H378" s="5" t="s">
        <v>36</v>
      </c>
      <c r="I378" s="5" t="s">
        <v>36</v>
      </c>
      <c r="J378" s="6" t="s">
        <v>34</v>
      </c>
      <c r="K378" s="6">
        <v>890.0</v>
      </c>
      <c r="L378" s="6">
        <v>222.0</v>
      </c>
      <c r="M378" s="5" t="s">
        <v>114</v>
      </c>
      <c r="N378" s="5" t="s">
        <v>52</v>
      </c>
      <c r="O378" s="6" t="s">
        <v>40</v>
      </c>
      <c r="P378" s="5" t="s">
        <v>59</v>
      </c>
      <c r="Q378" s="5" t="s">
        <v>89</v>
      </c>
      <c r="R378" s="6" t="s">
        <v>42</v>
      </c>
      <c r="S378" s="5" t="s">
        <v>416</v>
      </c>
      <c r="T378" s="5" t="s">
        <v>141</v>
      </c>
      <c r="U378" s="5" t="s">
        <v>44</v>
      </c>
      <c r="V378" s="5" t="s">
        <v>44</v>
      </c>
      <c r="W378" s="5" t="s">
        <v>36</v>
      </c>
      <c r="X378" s="5" t="s">
        <v>173</v>
      </c>
      <c r="Y378" s="5" t="s">
        <v>46</v>
      </c>
      <c r="Z378" s="5" t="s">
        <v>47</v>
      </c>
      <c r="AA378" s="5" t="s">
        <v>64</v>
      </c>
      <c r="AB378" s="5" t="s">
        <v>1784</v>
      </c>
      <c r="AC378" s="6" t="s">
        <v>50</v>
      </c>
      <c r="AD378" s="6">
        <v>7260.0</v>
      </c>
    </row>
    <row r="379" ht="56.25" customHeight="1">
      <c r="A379" s="5" t="s">
        <v>1780</v>
      </c>
      <c r="B379" s="6" t="str">
        <f>IMAGE("https://storage.googleapis.com/acdb/miscellaneous/FtrSafetycone_Remake_1_0.png")</f>
        <v/>
      </c>
      <c r="C379" s="5" t="s">
        <v>1787</v>
      </c>
      <c r="D379" s="5" t="s">
        <v>34</v>
      </c>
      <c r="E379" s="5" t="s">
        <v>34</v>
      </c>
      <c r="F379" s="5" t="s">
        <v>34</v>
      </c>
      <c r="G379" s="5" t="s">
        <v>36</v>
      </c>
      <c r="H379" s="5" t="s">
        <v>36</v>
      </c>
      <c r="I379" s="5" t="s">
        <v>36</v>
      </c>
      <c r="J379" s="6" t="s">
        <v>34</v>
      </c>
      <c r="K379" s="6">
        <v>890.0</v>
      </c>
      <c r="L379" s="6">
        <v>222.0</v>
      </c>
      <c r="M379" s="5" t="s">
        <v>114</v>
      </c>
      <c r="N379" s="5" t="s">
        <v>52</v>
      </c>
      <c r="O379" s="6" t="s">
        <v>40</v>
      </c>
      <c r="P379" s="5" t="s">
        <v>59</v>
      </c>
      <c r="Q379" s="5" t="s">
        <v>89</v>
      </c>
      <c r="R379" s="6" t="s">
        <v>42</v>
      </c>
      <c r="S379" s="5" t="s">
        <v>416</v>
      </c>
      <c r="T379" s="5" t="s">
        <v>141</v>
      </c>
      <c r="U379" s="5" t="s">
        <v>44</v>
      </c>
      <c r="V379" s="5" t="s">
        <v>44</v>
      </c>
      <c r="W379" s="5" t="s">
        <v>36</v>
      </c>
      <c r="X379" s="5" t="s">
        <v>173</v>
      </c>
      <c r="Y379" s="5" t="s">
        <v>46</v>
      </c>
      <c r="Z379" s="5" t="s">
        <v>47</v>
      </c>
      <c r="AA379" s="5" t="s">
        <v>64</v>
      </c>
      <c r="AB379" s="5" t="s">
        <v>1793</v>
      </c>
      <c r="AC379" s="6" t="s">
        <v>56</v>
      </c>
      <c r="AD379" s="6">
        <v>7260.0</v>
      </c>
    </row>
    <row r="380" ht="56.25" customHeight="1">
      <c r="A380" s="5" t="s">
        <v>1780</v>
      </c>
      <c r="B380" s="6" t="str">
        <f>IMAGE("https://storage.googleapis.com/acdb/miscellaneous/FtrSafetycone_Remake_2_0.png")</f>
        <v/>
      </c>
      <c r="C380" s="5" t="s">
        <v>1794</v>
      </c>
      <c r="D380" s="5" t="s">
        <v>34</v>
      </c>
      <c r="E380" s="5" t="s">
        <v>34</v>
      </c>
      <c r="F380" s="5" t="s">
        <v>34</v>
      </c>
      <c r="G380" s="5" t="s">
        <v>36</v>
      </c>
      <c r="H380" s="5" t="s">
        <v>36</v>
      </c>
      <c r="I380" s="5" t="s">
        <v>36</v>
      </c>
      <c r="J380" s="6" t="s">
        <v>34</v>
      </c>
      <c r="K380" s="6">
        <v>890.0</v>
      </c>
      <c r="L380" s="6">
        <v>222.0</v>
      </c>
      <c r="M380" s="5" t="s">
        <v>114</v>
      </c>
      <c r="N380" s="5" t="s">
        <v>52</v>
      </c>
      <c r="O380" s="6" t="s">
        <v>40</v>
      </c>
      <c r="P380" s="5" t="s">
        <v>59</v>
      </c>
      <c r="Q380" s="5" t="s">
        <v>89</v>
      </c>
      <c r="R380" s="6" t="s">
        <v>42</v>
      </c>
      <c r="S380" s="5" t="s">
        <v>416</v>
      </c>
      <c r="T380" s="5" t="s">
        <v>141</v>
      </c>
      <c r="U380" s="5" t="s">
        <v>44</v>
      </c>
      <c r="V380" s="5" t="s">
        <v>44</v>
      </c>
      <c r="W380" s="5" t="s">
        <v>36</v>
      </c>
      <c r="X380" s="5" t="s">
        <v>173</v>
      </c>
      <c r="Y380" s="5" t="s">
        <v>46</v>
      </c>
      <c r="Z380" s="5" t="s">
        <v>47</v>
      </c>
      <c r="AA380" s="5" t="s">
        <v>64</v>
      </c>
      <c r="AB380" s="5" t="s">
        <v>1798</v>
      </c>
      <c r="AC380" s="6" t="s">
        <v>67</v>
      </c>
      <c r="AD380" s="6">
        <v>7260.0</v>
      </c>
    </row>
    <row r="381" ht="56.25" customHeight="1">
      <c r="A381" s="5" t="s">
        <v>1780</v>
      </c>
      <c r="B381" s="6" t="str">
        <f>IMAGE("https://storage.googleapis.com/acdb/miscellaneous/FtrSafetycone_Remake_3_0.png")</f>
        <v/>
      </c>
      <c r="C381" s="5" t="s">
        <v>1799</v>
      </c>
      <c r="D381" s="5" t="s">
        <v>34</v>
      </c>
      <c r="E381" s="5" t="s">
        <v>34</v>
      </c>
      <c r="F381" s="5" t="s">
        <v>34</v>
      </c>
      <c r="G381" s="5" t="s">
        <v>36</v>
      </c>
      <c r="H381" s="5" t="s">
        <v>36</v>
      </c>
      <c r="I381" s="5" t="s">
        <v>36</v>
      </c>
      <c r="J381" s="6" t="s">
        <v>34</v>
      </c>
      <c r="K381" s="6">
        <v>890.0</v>
      </c>
      <c r="L381" s="6">
        <v>222.0</v>
      </c>
      <c r="M381" s="5" t="s">
        <v>114</v>
      </c>
      <c r="N381" s="5" t="s">
        <v>52</v>
      </c>
      <c r="O381" s="6" t="s">
        <v>40</v>
      </c>
      <c r="P381" s="5" t="s">
        <v>59</v>
      </c>
      <c r="Q381" s="5" t="s">
        <v>89</v>
      </c>
      <c r="R381" s="6" t="s">
        <v>42</v>
      </c>
      <c r="S381" s="5" t="s">
        <v>416</v>
      </c>
      <c r="T381" s="5" t="s">
        <v>141</v>
      </c>
      <c r="U381" s="5" t="s">
        <v>44</v>
      </c>
      <c r="V381" s="5" t="s">
        <v>44</v>
      </c>
      <c r="W381" s="5" t="s">
        <v>36</v>
      </c>
      <c r="X381" s="5" t="s">
        <v>173</v>
      </c>
      <c r="Y381" s="5" t="s">
        <v>46</v>
      </c>
      <c r="Z381" s="5" t="s">
        <v>47</v>
      </c>
      <c r="AA381" s="5" t="s">
        <v>64</v>
      </c>
      <c r="AB381" s="5" t="s">
        <v>1805</v>
      </c>
      <c r="AC381" s="6" t="s">
        <v>71</v>
      </c>
      <c r="AD381" s="6">
        <v>7260.0</v>
      </c>
    </row>
    <row r="382" ht="56.25" customHeight="1">
      <c r="A382" s="5" t="s">
        <v>1780</v>
      </c>
      <c r="B382" s="6" t="str">
        <f>IMAGE("https://storage.googleapis.com/acdb/miscellaneous/FtrSafetycone_Remake_4_0.png")</f>
        <v/>
      </c>
      <c r="C382" s="5" t="s">
        <v>1807</v>
      </c>
      <c r="D382" s="5" t="s">
        <v>34</v>
      </c>
      <c r="E382" s="5" t="s">
        <v>34</v>
      </c>
      <c r="F382" s="5" t="s">
        <v>34</v>
      </c>
      <c r="G382" s="5" t="s">
        <v>36</v>
      </c>
      <c r="H382" s="5" t="s">
        <v>36</v>
      </c>
      <c r="I382" s="5" t="s">
        <v>36</v>
      </c>
      <c r="J382" s="6" t="s">
        <v>34</v>
      </c>
      <c r="K382" s="6">
        <v>890.0</v>
      </c>
      <c r="L382" s="6">
        <v>222.0</v>
      </c>
      <c r="M382" s="5" t="s">
        <v>114</v>
      </c>
      <c r="N382" s="5" t="s">
        <v>52</v>
      </c>
      <c r="O382" s="6" t="s">
        <v>40</v>
      </c>
      <c r="P382" s="5" t="s">
        <v>59</v>
      </c>
      <c r="Q382" s="5" t="s">
        <v>89</v>
      </c>
      <c r="R382" s="6" t="s">
        <v>42</v>
      </c>
      <c r="S382" s="5" t="s">
        <v>416</v>
      </c>
      <c r="T382" s="5" t="s">
        <v>141</v>
      </c>
      <c r="U382" s="5" t="s">
        <v>44</v>
      </c>
      <c r="V382" s="5" t="s">
        <v>44</v>
      </c>
      <c r="W382" s="5" t="s">
        <v>36</v>
      </c>
      <c r="X382" s="5" t="s">
        <v>173</v>
      </c>
      <c r="Y382" s="5" t="s">
        <v>46</v>
      </c>
      <c r="Z382" s="5" t="s">
        <v>47</v>
      </c>
      <c r="AA382" s="5" t="s">
        <v>64</v>
      </c>
      <c r="AB382" s="5" t="s">
        <v>1810</v>
      </c>
      <c r="AC382" s="6" t="s">
        <v>75</v>
      </c>
      <c r="AD382" s="6">
        <v>7260.0</v>
      </c>
    </row>
    <row r="383" ht="56.25" customHeight="1">
      <c r="A383" s="5" t="s">
        <v>1811</v>
      </c>
      <c r="B383" s="16" t="str">
        <f>IMAGE("https://storage.googleapis.com/acdb/miscellaneous/FtrInsectHaeToy.png")</f>
        <v/>
      </c>
      <c r="C383" s="5" t="s">
        <v>34</v>
      </c>
      <c r="D383" s="5" t="s">
        <v>34</v>
      </c>
      <c r="E383" s="5" t="s">
        <v>34</v>
      </c>
      <c r="F383" s="5" t="s">
        <v>34</v>
      </c>
      <c r="G383" s="5" t="s">
        <v>36</v>
      </c>
      <c r="H383" s="5" t="s">
        <v>36</v>
      </c>
      <c r="I383" s="5" t="s">
        <v>36</v>
      </c>
      <c r="J383" s="6" t="s">
        <v>34</v>
      </c>
      <c r="K383" s="6" t="s">
        <v>37</v>
      </c>
      <c r="L383" s="6">
        <v>180.0</v>
      </c>
      <c r="M383" s="5" t="s">
        <v>54</v>
      </c>
      <c r="N383" s="5" t="s">
        <v>54</v>
      </c>
      <c r="O383" s="6" t="s">
        <v>40</v>
      </c>
      <c r="P383" s="5" t="s">
        <v>107</v>
      </c>
      <c r="Q383" s="5" t="s">
        <v>108</v>
      </c>
      <c r="R383" s="6" t="s">
        <v>42</v>
      </c>
      <c r="S383" s="5" t="s">
        <v>44</v>
      </c>
      <c r="T383" s="5" t="s">
        <v>44</v>
      </c>
      <c r="U383" s="5" t="s">
        <v>44</v>
      </c>
      <c r="V383" s="5" t="s">
        <v>44</v>
      </c>
      <c r="W383" s="5" t="s">
        <v>36</v>
      </c>
      <c r="X383" s="5" t="s">
        <v>109</v>
      </c>
      <c r="Y383" s="5" t="s">
        <v>46</v>
      </c>
      <c r="Z383" s="5" t="s">
        <v>47</v>
      </c>
      <c r="AA383" s="5" t="s">
        <v>48</v>
      </c>
      <c r="AB383" s="5" t="s">
        <v>1815</v>
      </c>
      <c r="AC383" s="6" t="s">
        <v>34</v>
      </c>
      <c r="AD383" s="6">
        <v>7060.0</v>
      </c>
    </row>
    <row r="384" ht="56.25" customHeight="1">
      <c r="A384" s="5" t="s">
        <v>1817</v>
      </c>
      <c r="B384" s="16" t="str">
        <f>IMAGE("https://storage.googleapis.com/acdb/miscellaneous/FtrFootball.png")</f>
        <v/>
      </c>
      <c r="C384" s="5" t="s">
        <v>34</v>
      </c>
      <c r="D384" s="5" t="s">
        <v>34</v>
      </c>
      <c r="E384" s="5" t="s">
        <v>34</v>
      </c>
      <c r="F384" s="5" t="s">
        <v>34</v>
      </c>
      <c r="G384" s="5" t="s">
        <v>36</v>
      </c>
      <c r="H384" s="5" t="s">
        <v>36</v>
      </c>
      <c r="I384" s="5" t="s">
        <v>36</v>
      </c>
      <c r="J384" s="6" t="s">
        <v>34</v>
      </c>
      <c r="K384" s="6">
        <v>400.0</v>
      </c>
      <c r="L384" s="6">
        <v>100.0</v>
      </c>
      <c r="M384" s="5" t="s">
        <v>142</v>
      </c>
      <c r="N384" s="5" t="s">
        <v>57</v>
      </c>
      <c r="O384" s="6" t="s">
        <v>40</v>
      </c>
      <c r="P384" s="5" t="s">
        <v>59</v>
      </c>
      <c r="Q384" s="5" t="s">
        <v>60</v>
      </c>
      <c r="R384" s="6" t="s">
        <v>42</v>
      </c>
      <c r="S384" s="5" t="s">
        <v>474</v>
      </c>
      <c r="T384" s="5" t="s">
        <v>130</v>
      </c>
      <c r="U384" s="5" t="s">
        <v>44</v>
      </c>
      <c r="V384" s="5" t="s">
        <v>44</v>
      </c>
      <c r="W384" s="5" t="s">
        <v>36</v>
      </c>
      <c r="X384" s="5" t="s">
        <v>475</v>
      </c>
      <c r="Y384" s="5" t="s">
        <v>46</v>
      </c>
      <c r="Z384" s="5" t="s">
        <v>47</v>
      </c>
      <c r="AA384" s="5" t="s">
        <v>64</v>
      </c>
      <c r="AB384" s="5" t="s">
        <v>1821</v>
      </c>
      <c r="AC384" s="6" t="s">
        <v>34</v>
      </c>
      <c r="AD384" s="6">
        <v>4381.0</v>
      </c>
    </row>
    <row r="385" ht="56.25" customHeight="1">
      <c r="A385" s="5" t="s">
        <v>1822</v>
      </c>
      <c r="B385" s="16" t="str">
        <f>IMAGE("https://storage.googleapis.com/acdb/miscellaneous/FtrFishChouchinankouToy.png")</f>
        <v/>
      </c>
      <c r="C385" s="5" t="s">
        <v>34</v>
      </c>
      <c r="D385" s="5" t="s">
        <v>34</v>
      </c>
      <c r="E385" s="5" t="s">
        <v>34</v>
      </c>
      <c r="F385" s="5" t="s">
        <v>34</v>
      </c>
      <c r="G385" s="5" t="s">
        <v>36</v>
      </c>
      <c r="H385" s="5" t="s">
        <v>36</v>
      </c>
      <c r="I385" s="5" t="s">
        <v>36</v>
      </c>
      <c r="J385" s="6" t="s">
        <v>34</v>
      </c>
      <c r="K385" s="6" t="s">
        <v>37</v>
      </c>
      <c r="L385" s="6">
        <v>7500.0</v>
      </c>
      <c r="M385" s="5" t="s">
        <v>54</v>
      </c>
      <c r="N385" s="5" t="s">
        <v>54</v>
      </c>
      <c r="O385" s="6" t="s">
        <v>40</v>
      </c>
      <c r="P385" s="5" t="s">
        <v>213</v>
      </c>
      <c r="Q385" s="5" t="s">
        <v>215</v>
      </c>
      <c r="R385" s="6" t="s">
        <v>42</v>
      </c>
      <c r="S385" s="5" t="s">
        <v>44</v>
      </c>
      <c r="T385" s="5" t="s">
        <v>44</v>
      </c>
      <c r="U385" s="5" t="s">
        <v>44</v>
      </c>
      <c r="V385" s="5" t="s">
        <v>44</v>
      </c>
      <c r="W385" s="5" t="s">
        <v>36</v>
      </c>
      <c r="X385" s="5" t="s">
        <v>219</v>
      </c>
      <c r="Y385" s="5" t="s">
        <v>46</v>
      </c>
      <c r="Z385" s="5" t="s">
        <v>47</v>
      </c>
      <c r="AA385" s="5" t="s">
        <v>48</v>
      </c>
      <c r="AB385" s="5" t="s">
        <v>1826</v>
      </c>
      <c r="AC385" s="6" t="s">
        <v>34</v>
      </c>
      <c r="AD385" s="6">
        <v>6940.0</v>
      </c>
    </row>
    <row r="386" ht="56.25" customHeight="1">
      <c r="A386" s="5" t="s">
        <v>1828</v>
      </c>
      <c r="B386" s="6" t="str">
        <f>IMAGE("https://storage.googleapis.com/acdb/miscellaneous/FtrPsychicset_Remake_0_0.png")</f>
        <v/>
      </c>
      <c r="C386" s="5" t="s">
        <v>106</v>
      </c>
      <c r="D386" s="5" t="s">
        <v>34</v>
      </c>
      <c r="E386" s="5" t="s">
        <v>34</v>
      </c>
      <c r="F386" s="5" t="s">
        <v>34</v>
      </c>
      <c r="G386" s="5" t="s">
        <v>36</v>
      </c>
      <c r="H386" s="5" t="s">
        <v>36</v>
      </c>
      <c r="I386" s="5" t="s">
        <v>36</v>
      </c>
      <c r="J386" s="6" t="s">
        <v>34</v>
      </c>
      <c r="K386" s="6">
        <v>1000.0</v>
      </c>
      <c r="L386" s="6">
        <v>250.0</v>
      </c>
      <c r="M386" s="5" t="s">
        <v>83</v>
      </c>
      <c r="N386" s="5" t="s">
        <v>106</v>
      </c>
      <c r="O386" s="6" t="s">
        <v>40</v>
      </c>
      <c r="P386" s="5" t="s">
        <v>59</v>
      </c>
      <c r="Q386" s="5" t="s">
        <v>60</v>
      </c>
      <c r="R386" s="6" t="s">
        <v>42</v>
      </c>
      <c r="S386" s="5" t="s">
        <v>99</v>
      </c>
      <c r="T386" s="5" t="s">
        <v>732</v>
      </c>
      <c r="U386" s="5" t="s">
        <v>44</v>
      </c>
      <c r="V386" s="5" t="s">
        <v>44</v>
      </c>
      <c r="W386" s="5" t="s">
        <v>35</v>
      </c>
      <c r="X386" s="5" t="s">
        <v>203</v>
      </c>
      <c r="Y386" s="5" t="s">
        <v>46</v>
      </c>
      <c r="Z386" s="5" t="s">
        <v>495</v>
      </c>
      <c r="AA386" s="5" t="s">
        <v>64</v>
      </c>
      <c r="AB386" s="5" t="s">
        <v>1831</v>
      </c>
      <c r="AC386" s="6" t="s">
        <v>50</v>
      </c>
      <c r="AD386" s="6">
        <v>3961.0</v>
      </c>
    </row>
    <row r="387" ht="56.25" customHeight="1">
      <c r="A387" s="5" t="s">
        <v>1828</v>
      </c>
      <c r="B387" s="6" t="str">
        <f>IMAGE("https://storage.googleapis.com/acdb/miscellaneous/FtrPsychicset_Remake_1_0.png")</f>
        <v/>
      </c>
      <c r="C387" s="5" t="s">
        <v>54</v>
      </c>
      <c r="D387" s="5" t="s">
        <v>34</v>
      </c>
      <c r="E387" s="5" t="s">
        <v>34</v>
      </c>
      <c r="F387" s="5" t="s">
        <v>34</v>
      </c>
      <c r="G387" s="5" t="s">
        <v>36</v>
      </c>
      <c r="H387" s="5" t="s">
        <v>36</v>
      </c>
      <c r="I387" s="5" t="s">
        <v>36</v>
      </c>
      <c r="J387" s="6" t="s">
        <v>34</v>
      </c>
      <c r="K387" s="6">
        <v>1000.0</v>
      </c>
      <c r="L387" s="6">
        <v>250.0</v>
      </c>
      <c r="M387" s="5" t="s">
        <v>106</v>
      </c>
      <c r="N387" s="5" t="s">
        <v>54</v>
      </c>
      <c r="O387" s="6" t="s">
        <v>40</v>
      </c>
      <c r="P387" s="5" t="s">
        <v>59</v>
      </c>
      <c r="Q387" s="5" t="s">
        <v>60</v>
      </c>
      <c r="R387" s="6" t="s">
        <v>42</v>
      </c>
      <c r="S387" s="5" t="s">
        <v>99</v>
      </c>
      <c r="T387" s="5" t="s">
        <v>732</v>
      </c>
      <c r="U387" s="5" t="s">
        <v>44</v>
      </c>
      <c r="V387" s="5" t="s">
        <v>44</v>
      </c>
      <c r="W387" s="5" t="s">
        <v>35</v>
      </c>
      <c r="X387" s="5" t="s">
        <v>203</v>
      </c>
      <c r="Y387" s="5" t="s">
        <v>46</v>
      </c>
      <c r="Z387" s="5" t="s">
        <v>495</v>
      </c>
      <c r="AA387" s="5" t="s">
        <v>64</v>
      </c>
      <c r="AB387" s="5" t="s">
        <v>1835</v>
      </c>
      <c r="AC387" s="6" t="s">
        <v>56</v>
      </c>
      <c r="AD387" s="6">
        <v>3961.0</v>
      </c>
    </row>
    <row r="388" ht="56.25" customHeight="1">
      <c r="A388" s="5" t="s">
        <v>1836</v>
      </c>
      <c r="B388" s="6" t="str">
        <f>IMAGE("https://storage.googleapis.com/acdb/miscellaneous/FtrAromadiffuser_Remake_0_0.png")</f>
        <v/>
      </c>
      <c r="C388" s="5" t="s">
        <v>57</v>
      </c>
      <c r="D388" s="5" t="s">
        <v>34</v>
      </c>
      <c r="E388" s="5" t="s">
        <v>34</v>
      </c>
      <c r="F388" s="5" t="s">
        <v>34</v>
      </c>
      <c r="G388" s="5" t="s">
        <v>36</v>
      </c>
      <c r="H388" s="5" t="s">
        <v>36</v>
      </c>
      <c r="I388" s="5" t="s">
        <v>36</v>
      </c>
      <c r="J388" s="6" t="s">
        <v>34</v>
      </c>
      <c r="K388" s="6">
        <v>1400.0</v>
      </c>
      <c r="L388" s="6">
        <v>350.0</v>
      </c>
      <c r="M388" s="5" t="s">
        <v>57</v>
      </c>
      <c r="N388" s="5" t="s">
        <v>38</v>
      </c>
      <c r="O388" s="6" t="s">
        <v>40</v>
      </c>
      <c r="P388" s="5" t="s">
        <v>59</v>
      </c>
      <c r="Q388" s="5" t="s">
        <v>60</v>
      </c>
      <c r="R388" s="6" t="s">
        <v>42</v>
      </c>
      <c r="S388" s="5" t="s">
        <v>90</v>
      </c>
      <c r="T388" s="5" t="s">
        <v>44</v>
      </c>
      <c r="U388" s="5" t="s">
        <v>44</v>
      </c>
      <c r="V388" s="5" t="s">
        <v>44</v>
      </c>
      <c r="W388" s="5" t="s">
        <v>35</v>
      </c>
      <c r="X388" s="5" t="s">
        <v>63</v>
      </c>
      <c r="Y388" s="5" t="s">
        <v>46</v>
      </c>
      <c r="Z388" s="5" t="s">
        <v>102</v>
      </c>
      <c r="AA388" s="5" t="s">
        <v>64</v>
      </c>
      <c r="AB388" s="5" t="s">
        <v>1840</v>
      </c>
      <c r="AC388" s="6" t="s">
        <v>50</v>
      </c>
      <c r="AD388" s="6">
        <v>8418.0</v>
      </c>
    </row>
    <row r="389" ht="56.25" customHeight="1">
      <c r="A389" s="5" t="s">
        <v>1836</v>
      </c>
      <c r="B389" s="6" t="str">
        <f>IMAGE("https://storage.googleapis.com/acdb/miscellaneous/FtrAromadiffuser_Remake_1_0.png")</f>
        <v/>
      </c>
      <c r="C389" s="5" t="s">
        <v>114</v>
      </c>
      <c r="D389" s="5" t="s">
        <v>34</v>
      </c>
      <c r="E389" s="5" t="s">
        <v>34</v>
      </c>
      <c r="F389" s="5" t="s">
        <v>34</v>
      </c>
      <c r="G389" s="5" t="s">
        <v>36</v>
      </c>
      <c r="H389" s="5" t="s">
        <v>36</v>
      </c>
      <c r="I389" s="5" t="s">
        <v>36</v>
      </c>
      <c r="J389" s="6" t="s">
        <v>34</v>
      </c>
      <c r="K389" s="6">
        <v>1400.0</v>
      </c>
      <c r="L389" s="6">
        <v>350.0</v>
      </c>
      <c r="M389" s="5" t="s">
        <v>114</v>
      </c>
      <c r="N389" s="5" t="s">
        <v>39</v>
      </c>
      <c r="O389" s="6" t="s">
        <v>40</v>
      </c>
      <c r="P389" s="5" t="s">
        <v>59</v>
      </c>
      <c r="Q389" s="5" t="s">
        <v>60</v>
      </c>
      <c r="R389" s="6" t="s">
        <v>42</v>
      </c>
      <c r="S389" s="5" t="s">
        <v>90</v>
      </c>
      <c r="T389" s="5" t="s">
        <v>44</v>
      </c>
      <c r="U389" s="5" t="s">
        <v>44</v>
      </c>
      <c r="V389" s="5" t="s">
        <v>44</v>
      </c>
      <c r="W389" s="5" t="s">
        <v>35</v>
      </c>
      <c r="X389" s="5" t="s">
        <v>63</v>
      </c>
      <c r="Y389" s="5" t="s">
        <v>46</v>
      </c>
      <c r="Z389" s="5" t="s">
        <v>102</v>
      </c>
      <c r="AA389" s="5" t="s">
        <v>64</v>
      </c>
      <c r="AB389" s="5" t="s">
        <v>1845</v>
      </c>
      <c r="AC389" s="6" t="s">
        <v>56</v>
      </c>
      <c r="AD389" s="6">
        <v>8418.0</v>
      </c>
    </row>
    <row r="390" ht="56.25" customHeight="1">
      <c r="A390" s="5" t="s">
        <v>1836</v>
      </c>
      <c r="B390" s="6" t="str">
        <f>IMAGE("https://storage.googleapis.com/acdb/miscellaneous/FtrAromadiffuser_Remake_2_0.png")</f>
        <v/>
      </c>
      <c r="C390" s="5" t="s">
        <v>69</v>
      </c>
      <c r="D390" s="5" t="s">
        <v>34</v>
      </c>
      <c r="E390" s="5" t="s">
        <v>34</v>
      </c>
      <c r="F390" s="5" t="s">
        <v>34</v>
      </c>
      <c r="G390" s="5" t="s">
        <v>36</v>
      </c>
      <c r="H390" s="5" t="s">
        <v>36</v>
      </c>
      <c r="I390" s="5" t="s">
        <v>36</v>
      </c>
      <c r="J390" s="6" t="s">
        <v>34</v>
      </c>
      <c r="K390" s="6">
        <v>1400.0</v>
      </c>
      <c r="L390" s="6">
        <v>350.0</v>
      </c>
      <c r="M390" s="5" t="s">
        <v>69</v>
      </c>
      <c r="N390" s="5" t="s">
        <v>69</v>
      </c>
      <c r="O390" s="6" t="s">
        <v>40</v>
      </c>
      <c r="P390" s="5" t="s">
        <v>59</v>
      </c>
      <c r="Q390" s="5" t="s">
        <v>60</v>
      </c>
      <c r="R390" s="6" t="s">
        <v>42</v>
      </c>
      <c r="S390" s="5" t="s">
        <v>90</v>
      </c>
      <c r="T390" s="5" t="s">
        <v>44</v>
      </c>
      <c r="U390" s="5" t="s">
        <v>44</v>
      </c>
      <c r="V390" s="5" t="s">
        <v>44</v>
      </c>
      <c r="W390" s="5" t="s">
        <v>35</v>
      </c>
      <c r="X390" s="5" t="s">
        <v>63</v>
      </c>
      <c r="Y390" s="5" t="s">
        <v>46</v>
      </c>
      <c r="Z390" s="5" t="s">
        <v>102</v>
      </c>
      <c r="AA390" s="5" t="s">
        <v>64</v>
      </c>
      <c r="AB390" s="5" t="s">
        <v>1851</v>
      </c>
      <c r="AC390" s="6" t="s">
        <v>67</v>
      </c>
      <c r="AD390" s="6">
        <v>8418.0</v>
      </c>
    </row>
    <row r="391" ht="56.25" customHeight="1">
      <c r="A391" s="5" t="s">
        <v>1836</v>
      </c>
      <c r="B391" s="6" t="str">
        <f>IMAGE("https://storage.googleapis.com/acdb/miscellaneous/FtrAromadiffuser_Remake_3_0.png")</f>
        <v/>
      </c>
      <c r="C391" s="5" t="s">
        <v>96</v>
      </c>
      <c r="D391" s="5" t="s">
        <v>34</v>
      </c>
      <c r="E391" s="5" t="s">
        <v>34</v>
      </c>
      <c r="F391" s="5" t="s">
        <v>34</v>
      </c>
      <c r="G391" s="5" t="s">
        <v>36</v>
      </c>
      <c r="H391" s="5" t="s">
        <v>36</v>
      </c>
      <c r="I391" s="5" t="s">
        <v>36</v>
      </c>
      <c r="J391" s="6" t="s">
        <v>34</v>
      </c>
      <c r="K391" s="6">
        <v>1400.0</v>
      </c>
      <c r="L391" s="6">
        <v>350.0</v>
      </c>
      <c r="M391" s="5" t="s">
        <v>96</v>
      </c>
      <c r="N391" s="5" t="s">
        <v>96</v>
      </c>
      <c r="O391" s="6" t="s">
        <v>40</v>
      </c>
      <c r="P391" s="5" t="s">
        <v>59</v>
      </c>
      <c r="Q391" s="5" t="s">
        <v>60</v>
      </c>
      <c r="R391" s="6" t="s">
        <v>42</v>
      </c>
      <c r="S391" s="5" t="s">
        <v>90</v>
      </c>
      <c r="T391" s="5" t="s">
        <v>44</v>
      </c>
      <c r="U391" s="5" t="s">
        <v>44</v>
      </c>
      <c r="V391" s="5" t="s">
        <v>44</v>
      </c>
      <c r="W391" s="5" t="s">
        <v>35</v>
      </c>
      <c r="X391" s="5" t="s">
        <v>63</v>
      </c>
      <c r="Y391" s="5" t="s">
        <v>46</v>
      </c>
      <c r="Z391" s="5" t="s">
        <v>102</v>
      </c>
      <c r="AA391" s="5" t="s">
        <v>64</v>
      </c>
      <c r="AB391" s="5" t="s">
        <v>1855</v>
      </c>
      <c r="AC391" s="6" t="s">
        <v>71</v>
      </c>
      <c r="AD391" s="6">
        <v>8418.0</v>
      </c>
    </row>
    <row r="392" ht="56.25" customHeight="1">
      <c r="A392" s="5" t="s">
        <v>1836</v>
      </c>
      <c r="B392" s="6" t="str">
        <f>IMAGE("https://storage.googleapis.com/acdb/miscellaneous/FtrAromadiffuser_Remake_4_0.png")</f>
        <v/>
      </c>
      <c r="C392" s="5" t="s">
        <v>68</v>
      </c>
      <c r="D392" s="5" t="s">
        <v>34</v>
      </c>
      <c r="E392" s="5" t="s">
        <v>34</v>
      </c>
      <c r="F392" s="5" t="s">
        <v>34</v>
      </c>
      <c r="G392" s="5" t="s">
        <v>36</v>
      </c>
      <c r="H392" s="5" t="s">
        <v>36</v>
      </c>
      <c r="I392" s="5" t="s">
        <v>36</v>
      </c>
      <c r="J392" s="6" t="s">
        <v>34</v>
      </c>
      <c r="K392" s="6">
        <v>1400.0</v>
      </c>
      <c r="L392" s="6">
        <v>350.0</v>
      </c>
      <c r="M392" s="5" t="s">
        <v>83</v>
      </c>
      <c r="N392" s="5" t="s">
        <v>54</v>
      </c>
      <c r="O392" s="6" t="s">
        <v>40</v>
      </c>
      <c r="P392" s="5" t="s">
        <v>59</v>
      </c>
      <c r="Q392" s="5" t="s">
        <v>60</v>
      </c>
      <c r="R392" s="6" t="s">
        <v>42</v>
      </c>
      <c r="S392" s="5" t="s">
        <v>90</v>
      </c>
      <c r="T392" s="5" t="s">
        <v>44</v>
      </c>
      <c r="U392" s="5" t="s">
        <v>44</v>
      </c>
      <c r="V392" s="5" t="s">
        <v>44</v>
      </c>
      <c r="W392" s="5" t="s">
        <v>35</v>
      </c>
      <c r="X392" s="5" t="s">
        <v>63</v>
      </c>
      <c r="Y392" s="5" t="s">
        <v>46</v>
      </c>
      <c r="Z392" s="5" t="s">
        <v>102</v>
      </c>
      <c r="AA392" s="5" t="s">
        <v>64</v>
      </c>
      <c r="AB392" s="5" t="s">
        <v>1860</v>
      </c>
      <c r="AC392" s="6" t="s">
        <v>75</v>
      </c>
      <c r="AD392" s="6">
        <v>8418.0</v>
      </c>
    </row>
    <row r="393" ht="56.25" customHeight="1">
      <c r="A393" s="5" t="s">
        <v>1861</v>
      </c>
      <c r="B393" s="6" t="str">
        <f>IMAGE("https://storage.googleapis.com/acdb/miscellaneous/FtrAromastick_Remake_0_0.png")</f>
        <v/>
      </c>
      <c r="C393" s="5" t="s">
        <v>96</v>
      </c>
      <c r="D393" s="5" t="s">
        <v>34</v>
      </c>
      <c r="E393" s="5" t="s">
        <v>34</v>
      </c>
      <c r="F393" s="5" t="s">
        <v>34</v>
      </c>
      <c r="G393" s="5" t="s">
        <v>36</v>
      </c>
      <c r="H393" s="5" t="s">
        <v>36</v>
      </c>
      <c r="I393" s="5" t="s">
        <v>36</v>
      </c>
      <c r="J393" s="6" t="s">
        <v>34</v>
      </c>
      <c r="K393" s="6">
        <v>830.0</v>
      </c>
      <c r="L393" s="6">
        <v>207.0</v>
      </c>
      <c r="M393" s="5" t="s">
        <v>96</v>
      </c>
      <c r="N393" s="5" t="s">
        <v>38</v>
      </c>
      <c r="O393" s="6" t="s">
        <v>40</v>
      </c>
      <c r="P393" s="5" t="s">
        <v>59</v>
      </c>
      <c r="Q393" s="5" t="s">
        <v>60</v>
      </c>
      <c r="R393" s="6" t="s">
        <v>42</v>
      </c>
      <c r="S393" s="5" t="s">
        <v>90</v>
      </c>
      <c r="T393" s="5" t="s">
        <v>61</v>
      </c>
      <c r="U393" s="5" t="s">
        <v>44</v>
      </c>
      <c r="V393" s="5" t="s">
        <v>44</v>
      </c>
      <c r="W393" s="5" t="s">
        <v>36</v>
      </c>
      <c r="X393" s="5" t="s">
        <v>63</v>
      </c>
      <c r="Y393" s="5" t="s">
        <v>46</v>
      </c>
      <c r="Z393" s="5" t="s">
        <v>47</v>
      </c>
      <c r="AA393" s="5" t="s">
        <v>64</v>
      </c>
      <c r="AB393" s="5" t="s">
        <v>1862</v>
      </c>
      <c r="AC393" s="6" t="s">
        <v>50</v>
      </c>
      <c r="AD393" s="6">
        <v>10244.0</v>
      </c>
    </row>
    <row r="394" ht="56.25" customHeight="1">
      <c r="A394" s="5" t="s">
        <v>1861</v>
      </c>
      <c r="B394" s="6" t="str">
        <f>IMAGE("https://storage.googleapis.com/acdb/miscellaneous/FtrAromastick_Remake_1_0.png")</f>
        <v/>
      </c>
      <c r="C394" s="5" t="s">
        <v>68</v>
      </c>
      <c r="D394" s="5" t="s">
        <v>34</v>
      </c>
      <c r="E394" s="5" t="s">
        <v>34</v>
      </c>
      <c r="F394" s="5" t="s">
        <v>34</v>
      </c>
      <c r="G394" s="5" t="s">
        <v>36</v>
      </c>
      <c r="H394" s="5" t="s">
        <v>36</v>
      </c>
      <c r="I394" s="5" t="s">
        <v>36</v>
      </c>
      <c r="J394" s="6" t="s">
        <v>34</v>
      </c>
      <c r="K394" s="6">
        <v>830.0</v>
      </c>
      <c r="L394" s="6">
        <v>207.0</v>
      </c>
      <c r="M394" s="5" t="s">
        <v>68</v>
      </c>
      <c r="N394" s="5" t="s">
        <v>38</v>
      </c>
      <c r="O394" s="6" t="s">
        <v>40</v>
      </c>
      <c r="P394" s="5" t="s">
        <v>59</v>
      </c>
      <c r="Q394" s="5" t="s">
        <v>60</v>
      </c>
      <c r="R394" s="6" t="s">
        <v>42</v>
      </c>
      <c r="S394" s="5" t="s">
        <v>90</v>
      </c>
      <c r="T394" s="5" t="s">
        <v>61</v>
      </c>
      <c r="U394" s="5" t="s">
        <v>44</v>
      </c>
      <c r="V394" s="5" t="s">
        <v>44</v>
      </c>
      <c r="W394" s="5" t="s">
        <v>36</v>
      </c>
      <c r="X394" s="5" t="s">
        <v>63</v>
      </c>
      <c r="Y394" s="5" t="s">
        <v>46</v>
      </c>
      <c r="Z394" s="5" t="s">
        <v>47</v>
      </c>
      <c r="AA394" s="5" t="s">
        <v>64</v>
      </c>
      <c r="AB394" s="5" t="s">
        <v>1866</v>
      </c>
      <c r="AC394" s="6" t="s">
        <v>56</v>
      </c>
      <c r="AD394" s="6">
        <v>10244.0</v>
      </c>
    </row>
    <row r="395" ht="56.25" customHeight="1">
      <c r="A395" s="5" t="s">
        <v>1861</v>
      </c>
      <c r="B395" s="6" t="str">
        <f>IMAGE("https://storage.googleapis.com/acdb/miscellaneous/FtrAromastick_Remake_2_0.png")</f>
        <v/>
      </c>
      <c r="C395" s="5" t="s">
        <v>39</v>
      </c>
      <c r="D395" s="5" t="s">
        <v>34</v>
      </c>
      <c r="E395" s="5" t="s">
        <v>34</v>
      </c>
      <c r="F395" s="5" t="s">
        <v>34</v>
      </c>
      <c r="G395" s="5" t="s">
        <v>36</v>
      </c>
      <c r="H395" s="5" t="s">
        <v>36</v>
      </c>
      <c r="I395" s="5" t="s">
        <v>36</v>
      </c>
      <c r="J395" s="6" t="s">
        <v>34</v>
      </c>
      <c r="K395" s="6">
        <v>830.0</v>
      </c>
      <c r="L395" s="6">
        <v>207.0</v>
      </c>
      <c r="M395" s="5" t="s">
        <v>39</v>
      </c>
      <c r="N395" s="5" t="s">
        <v>38</v>
      </c>
      <c r="O395" s="6" t="s">
        <v>40</v>
      </c>
      <c r="P395" s="5" t="s">
        <v>59</v>
      </c>
      <c r="Q395" s="5" t="s">
        <v>60</v>
      </c>
      <c r="R395" s="6" t="s">
        <v>42</v>
      </c>
      <c r="S395" s="5" t="s">
        <v>90</v>
      </c>
      <c r="T395" s="5" t="s">
        <v>61</v>
      </c>
      <c r="U395" s="5" t="s">
        <v>44</v>
      </c>
      <c r="V395" s="5" t="s">
        <v>44</v>
      </c>
      <c r="W395" s="5" t="s">
        <v>36</v>
      </c>
      <c r="X395" s="5" t="s">
        <v>63</v>
      </c>
      <c r="Y395" s="5" t="s">
        <v>46</v>
      </c>
      <c r="Z395" s="5" t="s">
        <v>47</v>
      </c>
      <c r="AA395" s="5" t="s">
        <v>64</v>
      </c>
      <c r="AB395" s="5" t="s">
        <v>1871</v>
      </c>
      <c r="AC395" s="6" t="s">
        <v>67</v>
      </c>
      <c r="AD395" s="6">
        <v>10244.0</v>
      </c>
    </row>
    <row r="396" ht="56.25" customHeight="1">
      <c r="A396" s="5" t="s">
        <v>1861</v>
      </c>
      <c r="B396" s="6" t="str">
        <f>IMAGE("https://storage.googleapis.com/acdb/miscellaneous/FtrAromastick_Remake_3_0.png")</f>
        <v/>
      </c>
      <c r="C396" s="5" t="s">
        <v>54</v>
      </c>
      <c r="D396" s="5" t="s">
        <v>34</v>
      </c>
      <c r="E396" s="5" t="s">
        <v>34</v>
      </c>
      <c r="F396" s="5" t="s">
        <v>34</v>
      </c>
      <c r="G396" s="5" t="s">
        <v>36</v>
      </c>
      <c r="H396" s="5" t="s">
        <v>36</v>
      </c>
      <c r="I396" s="5" t="s">
        <v>36</v>
      </c>
      <c r="J396" s="6" t="s">
        <v>34</v>
      </c>
      <c r="K396" s="6">
        <v>830.0</v>
      </c>
      <c r="L396" s="6">
        <v>207.0</v>
      </c>
      <c r="M396" s="5" t="s">
        <v>95</v>
      </c>
      <c r="N396" s="5" t="s">
        <v>38</v>
      </c>
      <c r="O396" s="6" t="s">
        <v>40</v>
      </c>
      <c r="P396" s="5" t="s">
        <v>59</v>
      </c>
      <c r="Q396" s="5" t="s">
        <v>60</v>
      </c>
      <c r="R396" s="6" t="s">
        <v>42</v>
      </c>
      <c r="S396" s="5" t="s">
        <v>90</v>
      </c>
      <c r="T396" s="5" t="s">
        <v>61</v>
      </c>
      <c r="U396" s="5" t="s">
        <v>44</v>
      </c>
      <c r="V396" s="5" t="s">
        <v>44</v>
      </c>
      <c r="W396" s="5" t="s">
        <v>36</v>
      </c>
      <c r="X396" s="5" t="s">
        <v>63</v>
      </c>
      <c r="Y396" s="5" t="s">
        <v>46</v>
      </c>
      <c r="Z396" s="5" t="s">
        <v>47</v>
      </c>
      <c r="AA396" s="5" t="s">
        <v>64</v>
      </c>
      <c r="AB396" s="5" t="s">
        <v>1876</v>
      </c>
      <c r="AC396" s="6" t="s">
        <v>71</v>
      </c>
      <c r="AD396" s="6">
        <v>10244.0</v>
      </c>
    </row>
    <row r="397" ht="56.25" customHeight="1">
      <c r="A397" s="5" t="s">
        <v>1877</v>
      </c>
      <c r="B397" s="16" t="str">
        <f>IMAGE("https://storage.googleapis.com/acdb/miscellaneous/FtrFishDonkoToy.png")</f>
        <v/>
      </c>
      <c r="C397" s="5" t="s">
        <v>34</v>
      </c>
      <c r="D397" s="5" t="s">
        <v>34</v>
      </c>
      <c r="E397" s="5" t="s">
        <v>34</v>
      </c>
      <c r="F397" s="5" t="s">
        <v>34</v>
      </c>
      <c r="G397" s="5" t="s">
        <v>36</v>
      </c>
      <c r="H397" s="5" t="s">
        <v>36</v>
      </c>
      <c r="I397" s="5" t="s">
        <v>36</v>
      </c>
      <c r="J397" s="6" t="s">
        <v>34</v>
      </c>
      <c r="K397" s="6" t="s">
        <v>37</v>
      </c>
      <c r="L397" s="6">
        <v>1200.0</v>
      </c>
      <c r="M397" s="5" t="s">
        <v>39</v>
      </c>
      <c r="N397" s="5" t="s">
        <v>54</v>
      </c>
      <c r="O397" s="6" t="s">
        <v>40</v>
      </c>
      <c r="P397" s="5" t="s">
        <v>213</v>
      </c>
      <c r="Q397" s="5" t="s">
        <v>215</v>
      </c>
      <c r="R397" s="6" t="s">
        <v>42</v>
      </c>
      <c r="S397" s="5" t="s">
        <v>44</v>
      </c>
      <c r="T397" s="5" t="s">
        <v>44</v>
      </c>
      <c r="U397" s="5" t="s">
        <v>44</v>
      </c>
      <c r="V397" s="5" t="s">
        <v>44</v>
      </c>
      <c r="W397" s="5" t="s">
        <v>36</v>
      </c>
      <c r="X397" s="5" t="s">
        <v>219</v>
      </c>
      <c r="Y397" s="5" t="s">
        <v>46</v>
      </c>
      <c r="Z397" s="5" t="s">
        <v>47</v>
      </c>
      <c r="AA397" s="5" t="s">
        <v>48</v>
      </c>
      <c r="AB397" s="5" t="s">
        <v>1881</v>
      </c>
      <c r="AC397" s="6" t="s">
        <v>34</v>
      </c>
      <c r="AD397" s="6">
        <v>6946.0</v>
      </c>
    </row>
    <row r="398" ht="56.25" customHeight="1">
      <c r="A398" s="5" t="s">
        <v>1882</v>
      </c>
      <c r="B398" s="16" t="str">
        <f>IMAGE("https://storage.googleapis.com/acdb/miscellaneous/FtrFishKaeruToy.png")</f>
        <v/>
      </c>
      <c r="C398" s="5" t="s">
        <v>34</v>
      </c>
      <c r="D398" s="5" t="s">
        <v>34</v>
      </c>
      <c r="E398" s="5" t="s">
        <v>34</v>
      </c>
      <c r="F398" s="5" t="s">
        <v>34</v>
      </c>
      <c r="G398" s="5" t="s">
        <v>36</v>
      </c>
      <c r="H398" s="5" t="s">
        <v>36</v>
      </c>
      <c r="I398" s="5" t="s">
        <v>36</v>
      </c>
      <c r="J398" s="6" t="s">
        <v>34</v>
      </c>
      <c r="K398" s="6" t="s">
        <v>37</v>
      </c>
      <c r="L398" s="6">
        <v>360.0</v>
      </c>
      <c r="M398" s="5" t="s">
        <v>96</v>
      </c>
      <c r="N398" s="5" t="s">
        <v>54</v>
      </c>
      <c r="O398" s="6" t="s">
        <v>40</v>
      </c>
      <c r="P398" s="5" t="s">
        <v>213</v>
      </c>
      <c r="Q398" s="5" t="s">
        <v>215</v>
      </c>
      <c r="R398" s="6" t="s">
        <v>42</v>
      </c>
      <c r="S398" s="5" t="s">
        <v>44</v>
      </c>
      <c r="T398" s="5" t="s">
        <v>44</v>
      </c>
      <c r="U398" s="5" t="s">
        <v>44</v>
      </c>
      <c r="V398" s="5" t="s">
        <v>44</v>
      </c>
      <c r="W398" s="5" t="s">
        <v>36</v>
      </c>
      <c r="X398" s="5" t="s">
        <v>219</v>
      </c>
      <c r="Y398" s="5" t="s">
        <v>46</v>
      </c>
      <c r="Z398" s="5" t="s">
        <v>47</v>
      </c>
      <c r="AA398" s="5" t="s">
        <v>48</v>
      </c>
      <c r="AB398" s="5" t="s">
        <v>1885</v>
      </c>
      <c r="AC398" s="6" t="s">
        <v>34</v>
      </c>
      <c r="AD398" s="6">
        <v>6962.0</v>
      </c>
    </row>
    <row r="399" ht="56.25" customHeight="1">
      <c r="A399" s="5" t="s">
        <v>1886</v>
      </c>
      <c r="B399" s="6" t="str">
        <f>IMAGE("https://storage.googleapis.com/acdb/miscellaneous/FtrIceCandy_Remake_0_0.png")</f>
        <v/>
      </c>
      <c r="C399" s="5" t="s">
        <v>1888</v>
      </c>
      <c r="D399" s="5" t="s">
        <v>1889</v>
      </c>
      <c r="E399" s="5" t="s">
        <v>34</v>
      </c>
      <c r="F399" s="5" t="s">
        <v>34</v>
      </c>
      <c r="G399" s="5" t="s">
        <v>35</v>
      </c>
      <c r="H399" s="5" t="s">
        <v>35</v>
      </c>
      <c r="I399" s="5" t="s">
        <v>36</v>
      </c>
      <c r="J399" s="6">
        <v>7.0</v>
      </c>
      <c r="K399" s="6" t="s">
        <v>37</v>
      </c>
      <c r="L399" s="6">
        <v>5400.0</v>
      </c>
      <c r="M399" s="5" t="s">
        <v>83</v>
      </c>
      <c r="N399" s="5" t="s">
        <v>38</v>
      </c>
      <c r="O399" s="6" t="s">
        <v>40</v>
      </c>
      <c r="P399" s="5" t="s">
        <v>1891</v>
      </c>
      <c r="Q399" s="5" t="s">
        <v>1893</v>
      </c>
      <c r="R399" s="6" t="s">
        <v>42</v>
      </c>
      <c r="S399" s="5" t="s">
        <v>1894</v>
      </c>
      <c r="T399" s="5" t="s">
        <v>99</v>
      </c>
      <c r="U399" s="5" t="s">
        <v>1895</v>
      </c>
      <c r="V399" s="5" t="s">
        <v>44</v>
      </c>
      <c r="W399" s="5" t="s">
        <v>36</v>
      </c>
      <c r="X399" s="5" t="s">
        <v>521</v>
      </c>
      <c r="Y399" s="5" t="s">
        <v>46</v>
      </c>
      <c r="Z399" s="5" t="s">
        <v>47</v>
      </c>
      <c r="AA399" s="5" t="s">
        <v>48</v>
      </c>
      <c r="AB399" s="5" t="s">
        <v>1896</v>
      </c>
      <c r="AC399" s="6" t="s">
        <v>50</v>
      </c>
      <c r="AD399" s="6">
        <v>4279.0</v>
      </c>
    </row>
    <row r="400" ht="56.25" customHeight="1">
      <c r="A400" s="5" t="s">
        <v>1886</v>
      </c>
      <c r="B400" s="6" t="str">
        <f>IMAGE("https://storage.googleapis.com/acdb/miscellaneous/FtrIceCandy_Remake_1_0.png")</f>
        <v/>
      </c>
      <c r="C400" s="5" t="s">
        <v>1898</v>
      </c>
      <c r="D400" s="5" t="s">
        <v>1889</v>
      </c>
      <c r="E400" s="5" t="s">
        <v>34</v>
      </c>
      <c r="F400" s="5" t="s">
        <v>34</v>
      </c>
      <c r="G400" s="5" t="s">
        <v>35</v>
      </c>
      <c r="H400" s="5" t="s">
        <v>35</v>
      </c>
      <c r="I400" s="5" t="s">
        <v>36</v>
      </c>
      <c r="J400" s="6">
        <v>7.0</v>
      </c>
      <c r="K400" s="6" t="s">
        <v>37</v>
      </c>
      <c r="L400" s="6">
        <v>5400.0</v>
      </c>
      <c r="M400" s="5" t="s">
        <v>83</v>
      </c>
      <c r="N400" s="5" t="s">
        <v>38</v>
      </c>
      <c r="O400" s="6" t="s">
        <v>40</v>
      </c>
      <c r="P400" s="5" t="s">
        <v>1891</v>
      </c>
      <c r="Q400" s="5" t="s">
        <v>1893</v>
      </c>
      <c r="R400" s="6" t="s">
        <v>42</v>
      </c>
      <c r="S400" s="5" t="s">
        <v>1894</v>
      </c>
      <c r="T400" s="5" t="s">
        <v>99</v>
      </c>
      <c r="U400" s="5" t="s">
        <v>1895</v>
      </c>
      <c r="V400" s="5" t="s">
        <v>44</v>
      </c>
      <c r="W400" s="5" t="s">
        <v>36</v>
      </c>
      <c r="X400" s="5" t="s">
        <v>521</v>
      </c>
      <c r="Y400" s="5" t="s">
        <v>46</v>
      </c>
      <c r="Z400" s="5" t="s">
        <v>47</v>
      </c>
      <c r="AA400" s="5" t="s">
        <v>48</v>
      </c>
      <c r="AB400" s="5" t="s">
        <v>1902</v>
      </c>
      <c r="AC400" s="6" t="s">
        <v>56</v>
      </c>
      <c r="AD400" s="6">
        <v>4279.0</v>
      </c>
    </row>
    <row r="401" ht="56.25" customHeight="1">
      <c r="A401" s="5" t="s">
        <v>1886</v>
      </c>
      <c r="B401" s="6" t="str">
        <f>IMAGE("https://storage.googleapis.com/acdb/miscellaneous/FtrIceCandy_Remake_2_0.png")</f>
        <v/>
      </c>
      <c r="C401" s="5" t="s">
        <v>1904</v>
      </c>
      <c r="D401" s="5" t="s">
        <v>1889</v>
      </c>
      <c r="E401" s="5" t="s">
        <v>34</v>
      </c>
      <c r="F401" s="5" t="s">
        <v>34</v>
      </c>
      <c r="G401" s="5" t="s">
        <v>35</v>
      </c>
      <c r="H401" s="5" t="s">
        <v>35</v>
      </c>
      <c r="I401" s="5" t="s">
        <v>36</v>
      </c>
      <c r="J401" s="6">
        <v>7.0</v>
      </c>
      <c r="K401" s="6" t="s">
        <v>37</v>
      </c>
      <c r="L401" s="6">
        <v>5400.0</v>
      </c>
      <c r="M401" s="5" t="s">
        <v>83</v>
      </c>
      <c r="N401" s="5" t="s">
        <v>114</v>
      </c>
      <c r="O401" s="6" t="s">
        <v>40</v>
      </c>
      <c r="P401" s="5" t="s">
        <v>1891</v>
      </c>
      <c r="Q401" s="5" t="s">
        <v>1893</v>
      </c>
      <c r="R401" s="6" t="s">
        <v>42</v>
      </c>
      <c r="S401" s="5" t="s">
        <v>1894</v>
      </c>
      <c r="T401" s="5" t="s">
        <v>99</v>
      </c>
      <c r="U401" s="5" t="s">
        <v>1895</v>
      </c>
      <c r="V401" s="5" t="s">
        <v>44</v>
      </c>
      <c r="W401" s="5" t="s">
        <v>36</v>
      </c>
      <c r="X401" s="5" t="s">
        <v>521</v>
      </c>
      <c r="Y401" s="5" t="s">
        <v>46</v>
      </c>
      <c r="Z401" s="5" t="s">
        <v>47</v>
      </c>
      <c r="AA401" s="5" t="s">
        <v>48</v>
      </c>
      <c r="AB401" s="5" t="s">
        <v>1907</v>
      </c>
      <c r="AC401" s="6" t="s">
        <v>67</v>
      </c>
      <c r="AD401" s="6">
        <v>4279.0</v>
      </c>
    </row>
    <row r="402" ht="56.25" customHeight="1">
      <c r="A402" s="5" t="s">
        <v>1886</v>
      </c>
      <c r="B402" s="6" t="str">
        <f>IMAGE("https://storage.googleapis.com/acdb/miscellaneous/FtrIceCandy_Remake_3_0.png")</f>
        <v/>
      </c>
      <c r="C402" s="5" t="s">
        <v>1908</v>
      </c>
      <c r="D402" s="5" t="s">
        <v>1889</v>
      </c>
      <c r="E402" s="5" t="s">
        <v>34</v>
      </c>
      <c r="F402" s="5" t="s">
        <v>34</v>
      </c>
      <c r="G402" s="5" t="s">
        <v>35</v>
      </c>
      <c r="H402" s="5" t="s">
        <v>35</v>
      </c>
      <c r="I402" s="5" t="s">
        <v>36</v>
      </c>
      <c r="J402" s="6">
        <v>7.0</v>
      </c>
      <c r="K402" s="6" t="s">
        <v>37</v>
      </c>
      <c r="L402" s="6">
        <v>5400.0</v>
      </c>
      <c r="M402" s="5" t="s">
        <v>83</v>
      </c>
      <c r="N402" s="5" t="s">
        <v>58</v>
      </c>
      <c r="O402" s="6" t="s">
        <v>40</v>
      </c>
      <c r="P402" s="5" t="s">
        <v>1891</v>
      </c>
      <c r="Q402" s="5" t="s">
        <v>1893</v>
      </c>
      <c r="R402" s="6" t="s">
        <v>42</v>
      </c>
      <c r="S402" s="5" t="s">
        <v>1894</v>
      </c>
      <c r="T402" s="5" t="s">
        <v>99</v>
      </c>
      <c r="U402" s="5" t="s">
        <v>1895</v>
      </c>
      <c r="V402" s="5" t="s">
        <v>44</v>
      </c>
      <c r="W402" s="5" t="s">
        <v>36</v>
      </c>
      <c r="X402" s="5" t="s">
        <v>521</v>
      </c>
      <c r="Y402" s="5" t="s">
        <v>46</v>
      </c>
      <c r="Z402" s="5" t="s">
        <v>47</v>
      </c>
      <c r="AA402" s="5" t="s">
        <v>48</v>
      </c>
      <c r="AB402" s="5" t="s">
        <v>1912</v>
      </c>
      <c r="AC402" s="6" t="s">
        <v>71</v>
      </c>
      <c r="AD402" s="6">
        <v>4279.0</v>
      </c>
    </row>
    <row r="403" ht="56.25" customHeight="1">
      <c r="A403" s="5" t="s">
        <v>1886</v>
      </c>
      <c r="B403" s="6" t="str">
        <f>IMAGE("https://storage.googleapis.com/acdb/miscellaneous/FtrIceCandy_Remake_4_0.png")</f>
        <v/>
      </c>
      <c r="C403" s="5" t="s">
        <v>1913</v>
      </c>
      <c r="D403" s="5" t="s">
        <v>1889</v>
      </c>
      <c r="E403" s="5" t="s">
        <v>34</v>
      </c>
      <c r="F403" s="5" t="s">
        <v>34</v>
      </c>
      <c r="G403" s="5" t="s">
        <v>35</v>
      </c>
      <c r="H403" s="5" t="s">
        <v>35</v>
      </c>
      <c r="I403" s="5" t="s">
        <v>36</v>
      </c>
      <c r="J403" s="6">
        <v>7.0</v>
      </c>
      <c r="K403" s="6" t="s">
        <v>37</v>
      </c>
      <c r="L403" s="6">
        <v>5400.0</v>
      </c>
      <c r="M403" s="5" t="s">
        <v>83</v>
      </c>
      <c r="N403" s="5" t="s">
        <v>58</v>
      </c>
      <c r="O403" s="6" t="s">
        <v>40</v>
      </c>
      <c r="P403" s="5" t="s">
        <v>1891</v>
      </c>
      <c r="Q403" s="5" t="s">
        <v>1893</v>
      </c>
      <c r="R403" s="6" t="s">
        <v>42</v>
      </c>
      <c r="S403" s="5" t="s">
        <v>1894</v>
      </c>
      <c r="T403" s="5" t="s">
        <v>99</v>
      </c>
      <c r="U403" s="5" t="s">
        <v>1895</v>
      </c>
      <c r="V403" s="5" t="s">
        <v>44</v>
      </c>
      <c r="W403" s="5" t="s">
        <v>36</v>
      </c>
      <c r="X403" s="5" t="s">
        <v>521</v>
      </c>
      <c r="Y403" s="5" t="s">
        <v>46</v>
      </c>
      <c r="Z403" s="5" t="s">
        <v>47</v>
      </c>
      <c r="AA403" s="5" t="s">
        <v>48</v>
      </c>
      <c r="AB403" s="5" t="s">
        <v>1916</v>
      </c>
      <c r="AC403" s="6" t="s">
        <v>75</v>
      </c>
      <c r="AD403" s="6">
        <v>4279.0</v>
      </c>
    </row>
    <row r="404" ht="56.25" customHeight="1">
      <c r="A404" s="5" t="s">
        <v>1886</v>
      </c>
      <c r="B404" s="6" t="str">
        <f>IMAGE("https://storage.googleapis.com/acdb/miscellaneous/FtrIceCandy_Remake_5_0.png")</f>
        <v/>
      </c>
      <c r="C404" s="5" t="s">
        <v>1917</v>
      </c>
      <c r="D404" s="5" t="s">
        <v>1889</v>
      </c>
      <c r="E404" s="5" t="s">
        <v>34</v>
      </c>
      <c r="F404" s="5" t="s">
        <v>34</v>
      </c>
      <c r="G404" s="5" t="s">
        <v>35</v>
      </c>
      <c r="H404" s="5" t="s">
        <v>35</v>
      </c>
      <c r="I404" s="5" t="s">
        <v>36</v>
      </c>
      <c r="J404" s="6">
        <v>7.0</v>
      </c>
      <c r="K404" s="6" t="s">
        <v>37</v>
      </c>
      <c r="L404" s="6">
        <v>5400.0</v>
      </c>
      <c r="M404" s="5" t="s">
        <v>83</v>
      </c>
      <c r="N404" s="5" t="s">
        <v>58</v>
      </c>
      <c r="O404" s="6" t="s">
        <v>40</v>
      </c>
      <c r="P404" s="5" t="s">
        <v>1891</v>
      </c>
      <c r="Q404" s="5" t="s">
        <v>1893</v>
      </c>
      <c r="R404" s="6" t="s">
        <v>42</v>
      </c>
      <c r="S404" s="5" t="s">
        <v>1894</v>
      </c>
      <c r="T404" s="5" t="s">
        <v>99</v>
      </c>
      <c r="U404" s="5" t="s">
        <v>1895</v>
      </c>
      <c r="V404" s="5" t="s">
        <v>44</v>
      </c>
      <c r="W404" s="5" t="s">
        <v>36</v>
      </c>
      <c r="X404" s="5" t="s">
        <v>521</v>
      </c>
      <c r="Y404" s="5" t="s">
        <v>46</v>
      </c>
      <c r="Z404" s="5" t="s">
        <v>47</v>
      </c>
      <c r="AA404" s="5" t="s">
        <v>48</v>
      </c>
      <c r="AB404" s="5" t="s">
        <v>1922</v>
      </c>
      <c r="AC404" s="6" t="s">
        <v>79</v>
      </c>
      <c r="AD404" s="6">
        <v>4279.0</v>
      </c>
    </row>
    <row r="405" ht="56.25" customHeight="1">
      <c r="A405" s="5" t="s">
        <v>1923</v>
      </c>
      <c r="B405" s="16" t="str">
        <f>IMAGE("https://storage.googleapis.com/acdb/miscellaneous/FtrFruitbasket.png")</f>
        <v/>
      </c>
      <c r="C405" s="5" t="s">
        <v>34</v>
      </c>
      <c r="D405" s="5" t="s">
        <v>34</v>
      </c>
      <c r="E405" s="5" t="s">
        <v>34</v>
      </c>
      <c r="F405" s="5" t="s">
        <v>34</v>
      </c>
      <c r="G405" s="5" t="s">
        <v>35</v>
      </c>
      <c r="H405" s="5" t="s">
        <v>36</v>
      </c>
      <c r="I405" s="5" t="s">
        <v>36</v>
      </c>
      <c r="J405" s="6" t="s">
        <v>34</v>
      </c>
      <c r="K405" s="6" t="s">
        <v>37</v>
      </c>
      <c r="L405" s="6">
        <v>1000.0</v>
      </c>
      <c r="M405" s="5" t="s">
        <v>58</v>
      </c>
      <c r="N405" s="5" t="s">
        <v>38</v>
      </c>
      <c r="O405" s="6" t="s">
        <v>40</v>
      </c>
      <c r="P405" s="5" t="s">
        <v>41</v>
      </c>
      <c r="Q405" s="5"/>
      <c r="R405" s="6" t="s">
        <v>42</v>
      </c>
      <c r="S405" s="5" t="s">
        <v>159</v>
      </c>
      <c r="T405" s="5" t="s">
        <v>61</v>
      </c>
      <c r="U405" s="5" t="s">
        <v>338</v>
      </c>
      <c r="V405" s="5" t="s">
        <v>44</v>
      </c>
      <c r="W405" s="5" t="s">
        <v>36</v>
      </c>
      <c r="X405" s="5" t="s">
        <v>521</v>
      </c>
      <c r="Y405" s="5" t="s">
        <v>46</v>
      </c>
      <c r="Z405" s="5" t="s">
        <v>47</v>
      </c>
      <c r="AA405" s="5" t="s">
        <v>48</v>
      </c>
      <c r="AB405" s="5" t="s">
        <v>1927</v>
      </c>
      <c r="AC405" s="6" t="s">
        <v>34</v>
      </c>
      <c r="AD405" s="6">
        <v>975.0</v>
      </c>
    </row>
    <row r="406" ht="56.25" customHeight="1">
      <c r="A406" s="5" t="s">
        <v>1928</v>
      </c>
      <c r="B406" s="6" t="str">
        <f>IMAGE("https://storage.googleapis.com/acdb/miscellaneous/FtrPan_Remake_0_0.png")</f>
        <v/>
      </c>
      <c r="C406" s="5" t="s">
        <v>1930</v>
      </c>
      <c r="D406" s="5" t="s">
        <v>1932</v>
      </c>
      <c r="E406" s="5" t="s">
        <v>34</v>
      </c>
      <c r="F406" s="5" t="s">
        <v>34</v>
      </c>
      <c r="G406" s="5" t="s">
        <v>35</v>
      </c>
      <c r="H406" s="5" t="s">
        <v>35</v>
      </c>
      <c r="I406" s="5" t="s">
        <v>36</v>
      </c>
      <c r="J406" s="6">
        <v>2.0</v>
      </c>
      <c r="K406" s="6" t="s">
        <v>37</v>
      </c>
      <c r="L406" s="6">
        <v>1500.0</v>
      </c>
      <c r="M406" s="5" t="s">
        <v>54</v>
      </c>
      <c r="N406" s="5" t="s">
        <v>54</v>
      </c>
      <c r="O406" s="6" t="s">
        <v>40</v>
      </c>
      <c r="P406" s="5" t="s">
        <v>41</v>
      </c>
      <c r="Q406" s="5"/>
      <c r="R406" s="6" t="s">
        <v>42</v>
      </c>
      <c r="S406" s="5" t="s">
        <v>159</v>
      </c>
      <c r="T406" s="5" t="s">
        <v>62</v>
      </c>
      <c r="U406" s="5" t="s">
        <v>44</v>
      </c>
      <c r="V406" s="5" t="s">
        <v>44</v>
      </c>
      <c r="W406" s="5" t="s">
        <v>36</v>
      </c>
      <c r="X406" s="5" t="s">
        <v>160</v>
      </c>
      <c r="Y406" s="5" t="s">
        <v>46</v>
      </c>
      <c r="Z406" s="5" t="s">
        <v>47</v>
      </c>
      <c r="AA406" s="5" t="s">
        <v>48</v>
      </c>
      <c r="AB406" s="5" t="s">
        <v>1935</v>
      </c>
      <c r="AC406" s="6" t="s">
        <v>50</v>
      </c>
      <c r="AD406" s="6">
        <v>4104.0</v>
      </c>
    </row>
    <row r="407" ht="56.25" customHeight="1">
      <c r="A407" s="5" t="s">
        <v>1928</v>
      </c>
      <c r="B407" s="6" t="str">
        <f>IMAGE("https://storage.googleapis.com/acdb/miscellaneous/FtrPan_Remake_1_0.png")</f>
        <v/>
      </c>
      <c r="C407" s="5" t="s">
        <v>1937</v>
      </c>
      <c r="D407" s="5" t="s">
        <v>1932</v>
      </c>
      <c r="E407" s="5" t="s">
        <v>34</v>
      </c>
      <c r="F407" s="5" t="s">
        <v>34</v>
      </c>
      <c r="G407" s="5" t="s">
        <v>35</v>
      </c>
      <c r="H407" s="5" t="s">
        <v>35</v>
      </c>
      <c r="I407" s="5" t="s">
        <v>36</v>
      </c>
      <c r="J407" s="6">
        <v>2.0</v>
      </c>
      <c r="K407" s="6" t="s">
        <v>37</v>
      </c>
      <c r="L407" s="6">
        <v>1500.0</v>
      </c>
      <c r="M407" s="5" t="s">
        <v>54</v>
      </c>
      <c r="N407" s="5" t="s">
        <v>96</v>
      </c>
      <c r="O407" s="6" t="s">
        <v>40</v>
      </c>
      <c r="P407" s="5" t="s">
        <v>41</v>
      </c>
      <c r="Q407" s="5"/>
      <c r="R407" s="6" t="s">
        <v>42</v>
      </c>
      <c r="S407" s="5" t="s">
        <v>159</v>
      </c>
      <c r="T407" s="5" t="s">
        <v>62</v>
      </c>
      <c r="U407" s="5" t="s">
        <v>44</v>
      </c>
      <c r="V407" s="5" t="s">
        <v>44</v>
      </c>
      <c r="W407" s="5" t="s">
        <v>36</v>
      </c>
      <c r="X407" s="5" t="s">
        <v>160</v>
      </c>
      <c r="Y407" s="5" t="s">
        <v>46</v>
      </c>
      <c r="Z407" s="5" t="s">
        <v>47</v>
      </c>
      <c r="AA407" s="5" t="s">
        <v>48</v>
      </c>
      <c r="AB407" s="5" t="s">
        <v>1941</v>
      </c>
      <c r="AC407" s="6" t="s">
        <v>56</v>
      </c>
      <c r="AD407" s="6">
        <v>4104.0</v>
      </c>
    </row>
    <row r="408" ht="56.25" customHeight="1">
      <c r="A408" s="5" t="s">
        <v>1928</v>
      </c>
      <c r="B408" s="6" t="str">
        <f>IMAGE("https://storage.googleapis.com/acdb/miscellaneous/FtrPan_Remake_2_0.png")</f>
        <v/>
      </c>
      <c r="C408" s="5" t="s">
        <v>1942</v>
      </c>
      <c r="D408" s="5" t="s">
        <v>1932</v>
      </c>
      <c r="E408" s="5" t="s">
        <v>34</v>
      </c>
      <c r="F408" s="5" t="s">
        <v>34</v>
      </c>
      <c r="G408" s="5" t="s">
        <v>35</v>
      </c>
      <c r="H408" s="5" t="s">
        <v>35</v>
      </c>
      <c r="I408" s="5" t="s">
        <v>36</v>
      </c>
      <c r="J408" s="6">
        <v>2.0</v>
      </c>
      <c r="K408" s="6" t="s">
        <v>37</v>
      </c>
      <c r="L408" s="6">
        <v>1500.0</v>
      </c>
      <c r="M408" s="5" t="s">
        <v>54</v>
      </c>
      <c r="N408" s="5" t="s">
        <v>38</v>
      </c>
      <c r="O408" s="6" t="s">
        <v>40</v>
      </c>
      <c r="P408" s="5" t="s">
        <v>41</v>
      </c>
      <c r="Q408" s="5"/>
      <c r="R408" s="6" t="s">
        <v>42</v>
      </c>
      <c r="S408" s="5" t="s">
        <v>159</v>
      </c>
      <c r="T408" s="5" t="s">
        <v>62</v>
      </c>
      <c r="U408" s="5" t="s">
        <v>44</v>
      </c>
      <c r="V408" s="5" t="s">
        <v>44</v>
      </c>
      <c r="W408" s="5" t="s">
        <v>36</v>
      </c>
      <c r="X408" s="5" t="s">
        <v>160</v>
      </c>
      <c r="Y408" s="5" t="s">
        <v>46</v>
      </c>
      <c r="Z408" s="5" t="s">
        <v>47</v>
      </c>
      <c r="AA408" s="5" t="s">
        <v>48</v>
      </c>
      <c r="AB408" s="5" t="s">
        <v>1945</v>
      </c>
      <c r="AC408" s="6" t="s">
        <v>67</v>
      </c>
      <c r="AD408" s="6">
        <v>4104.0</v>
      </c>
    </row>
    <row r="409" ht="56.25" customHeight="1">
      <c r="A409" s="5" t="s">
        <v>1928</v>
      </c>
      <c r="B409" s="6" t="str">
        <f>IMAGE("https://storage.googleapis.com/acdb/miscellaneous/FtrPan_Remake_3_0.png")</f>
        <v/>
      </c>
      <c r="C409" s="5" t="s">
        <v>1946</v>
      </c>
      <c r="D409" s="5" t="s">
        <v>1932</v>
      </c>
      <c r="E409" s="5" t="s">
        <v>34</v>
      </c>
      <c r="F409" s="5" t="s">
        <v>34</v>
      </c>
      <c r="G409" s="5" t="s">
        <v>35</v>
      </c>
      <c r="H409" s="5" t="s">
        <v>35</v>
      </c>
      <c r="I409" s="5" t="s">
        <v>36</v>
      </c>
      <c r="J409" s="6">
        <v>2.0</v>
      </c>
      <c r="K409" s="6" t="s">
        <v>37</v>
      </c>
      <c r="L409" s="6">
        <v>1500.0</v>
      </c>
      <c r="M409" s="5" t="s">
        <v>54</v>
      </c>
      <c r="N409" s="5" t="s">
        <v>52</v>
      </c>
      <c r="O409" s="6" t="s">
        <v>40</v>
      </c>
      <c r="P409" s="5" t="s">
        <v>41</v>
      </c>
      <c r="Q409" s="5"/>
      <c r="R409" s="6" t="s">
        <v>42</v>
      </c>
      <c r="S409" s="5" t="s">
        <v>159</v>
      </c>
      <c r="T409" s="5" t="s">
        <v>62</v>
      </c>
      <c r="U409" s="5" t="s">
        <v>44</v>
      </c>
      <c r="V409" s="5" t="s">
        <v>44</v>
      </c>
      <c r="W409" s="5" t="s">
        <v>36</v>
      </c>
      <c r="X409" s="5" t="s">
        <v>160</v>
      </c>
      <c r="Y409" s="5" t="s">
        <v>46</v>
      </c>
      <c r="Z409" s="5" t="s">
        <v>47</v>
      </c>
      <c r="AA409" s="5" t="s">
        <v>48</v>
      </c>
      <c r="AB409" s="5" t="s">
        <v>1949</v>
      </c>
      <c r="AC409" s="6" t="s">
        <v>71</v>
      </c>
      <c r="AD409" s="6">
        <v>4104.0</v>
      </c>
    </row>
    <row r="410" ht="56.25" customHeight="1">
      <c r="A410" s="5" t="s">
        <v>1928</v>
      </c>
      <c r="B410" s="6" t="str">
        <f>IMAGE("https://storage.googleapis.com/acdb/miscellaneous/FtrPan_Remake_4_0.png")</f>
        <v/>
      </c>
      <c r="C410" s="5" t="s">
        <v>1951</v>
      </c>
      <c r="D410" s="5" t="s">
        <v>1932</v>
      </c>
      <c r="E410" s="5" t="s">
        <v>34</v>
      </c>
      <c r="F410" s="5" t="s">
        <v>34</v>
      </c>
      <c r="G410" s="5" t="s">
        <v>35</v>
      </c>
      <c r="H410" s="5" t="s">
        <v>35</v>
      </c>
      <c r="I410" s="5" t="s">
        <v>36</v>
      </c>
      <c r="J410" s="6">
        <v>2.0</v>
      </c>
      <c r="K410" s="6" t="s">
        <v>37</v>
      </c>
      <c r="L410" s="6">
        <v>1500.0</v>
      </c>
      <c r="M410" s="5" t="s">
        <v>54</v>
      </c>
      <c r="N410" s="5" t="s">
        <v>114</v>
      </c>
      <c r="O410" s="6" t="s">
        <v>40</v>
      </c>
      <c r="P410" s="5" t="s">
        <v>41</v>
      </c>
      <c r="Q410" s="5"/>
      <c r="R410" s="6" t="s">
        <v>42</v>
      </c>
      <c r="S410" s="5" t="s">
        <v>159</v>
      </c>
      <c r="T410" s="5" t="s">
        <v>62</v>
      </c>
      <c r="U410" s="5" t="s">
        <v>44</v>
      </c>
      <c r="V410" s="5" t="s">
        <v>44</v>
      </c>
      <c r="W410" s="5" t="s">
        <v>36</v>
      </c>
      <c r="X410" s="5" t="s">
        <v>160</v>
      </c>
      <c r="Y410" s="5" t="s">
        <v>46</v>
      </c>
      <c r="Z410" s="5" t="s">
        <v>47</v>
      </c>
      <c r="AA410" s="5" t="s">
        <v>48</v>
      </c>
      <c r="AB410" s="5" t="s">
        <v>1955</v>
      </c>
      <c r="AC410" s="6" t="s">
        <v>75</v>
      </c>
      <c r="AD410" s="6">
        <v>4104.0</v>
      </c>
    </row>
    <row r="411" ht="56.25" customHeight="1">
      <c r="A411" s="5" t="s">
        <v>1928</v>
      </c>
      <c r="B411" s="6" t="str">
        <f>IMAGE("https://storage.googleapis.com/acdb/miscellaneous/FtrPan_Remake_5_0.png")</f>
        <v/>
      </c>
      <c r="C411" s="5" t="s">
        <v>1956</v>
      </c>
      <c r="D411" s="5" t="s">
        <v>1932</v>
      </c>
      <c r="E411" s="5" t="s">
        <v>34</v>
      </c>
      <c r="F411" s="5" t="s">
        <v>34</v>
      </c>
      <c r="G411" s="5" t="s">
        <v>35</v>
      </c>
      <c r="H411" s="5" t="s">
        <v>35</v>
      </c>
      <c r="I411" s="5" t="s">
        <v>36</v>
      </c>
      <c r="J411" s="6">
        <v>2.0</v>
      </c>
      <c r="K411" s="6" t="s">
        <v>37</v>
      </c>
      <c r="L411" s="6">
        <v>1500.0</v>
      </c>
      <c r="M411" s="5" t="s">
        <v>54</v>
      </c>
      <c r="N411" s="5" t="s">
        <v>39</v>
      </c>
      <c r="O411" s="6" t="s">
        <v>40</v>
      </c>
      <c r="P411" s="5" t="s">
        <v>41</v>
      </c>
      <c r="Q411" s="5"/>
      <c r="R411" s="6" t="s">
        <v>42</v>
      </c>
      <c r="S411" s="5" t="s">
        <v>159</v>
      </c>
      <c r="T411" s="5" t="s">
        <v>62</v>
      </c>
      <c r="U411" s="5" t="s">
        <v>44</v>
      </c>
      <c r="V411" s="5" t="s">
        <v>44</v>
      </c>
      <c r="W411" s="5" t="s">
        <v>36</v>
      </c>
      <c r="X411" s="5" t="s">
        <v>160</v>
      </c>
      <c r="Y411" s="5" t="s">
        <v>46</v>
      </c>
      <c r="Z411" s="5" t="s">
        <v>47</v>
      </c>
      <c r="AA411" s="5" t="s">
        <v>48</v>
      </c>
      <c r="AB411" s="5" t="s">
        <v>1958</v>
      </c>
      <c r="AC411" s="6" t="s">
        <v>79</v>
      </c>
      <c r="AD411" s="6">
        <v>4104.0</v>
      </c>
    </row>
    <row r="412" ht="56.25" customHeight="1">
      <c r="A412" s="5" t="s">
        <v>1960</v>
      </c>
      <c r="B412" s="16" t="str">
        <f>IMAGE("https://storage.googleapis.com/acdb/miscellaneous/FtrFishGaToy.png")</f>
        <v/>
      </c>
      <c r="C412" s="5" t="s">
        <v>34</v>
      </c>
      <c r="D412" s="5" t="s">
        <v>34</v>
      </c>
      <c r="E412" s="5" t="s">
        <v>34</v>
      </c>
      <c r="F412" s="5" t="s">
        <v>34</v>
      </c>
      <c r="G412" s="5" t="s">
        <v>36</v>
      </c>
      <c r="H412" s="5" t="s">
        <v>36</v>
      </c>
      <c r="I412" s="5" t="s">
        <v>36</v>
      </c>
      <c r="J412" s="6" t="s">
        <v>34</v>
      </c>
      <c r="K412" s="6" t="s">
        <v>37</v>
      </c>
      <c r="L412" s="6">
        <v>18000.0</v>
      </c>
      <c r="M412" s="5" t="s">
        <v>39</v>
      </c>
      <c r="N412" s="5" t="s">
        <v>54</v>
      </c>
      <c r="O412" s="6" t="s">
        <v>40</v>
      </c>
      <c r="P412" s="5" t="s">
        <v>213</v>
      </c>
      <c r="Q412" s="5" t="s">
        <v>215</v>
      </c>
      <c r="R412" s="6" t="s">
        <v>42</v>
      </c>
      <c r="S412" s="5" t="s">
        <v>44</v>
      </c>
      <c r="T412" s="5" t="s">
        <v>44</v>
      </c>
      <c r="U412" s="5" t="s">
        <v>44</v>
      </c>
      <c r="V412" s="5" t="s">
        <v>44</v>
      </c>
      <c r="W412" s="5" t="s">
        <v>36</v>
      </c>
      <c r="X412" s="5" t="s">
        <v>219</v>
      </c>
      <c r="Y412" s="5" t="s">
        <v>46</v>
      </c>
      <c r="Z412" s="5" t="s">
        <v>47</v>
      </c>
      <c r="AA412" s="5" t="s">
        <v>48</v>
      </c>
      <c r="AB412" s="5" t="s">
        <v>1964</v>
      </c>
      <c r="AC412" s="6" t="s">
        <v>34</v>
      </c>
      <c r="AD412" s="6">
        <v>6952.0</v>
      </c>
    </row>
    <row r="413" ht="56.25" customHeight="1">
      <c r="A413" s="5" t="s">
        <v>1965</v>
      </c>
      <c r="B413" s="6" t="str">
        <f>IMAGE("https://storage.googleapis.com/acdb/miscellaneous/FtrDwarf_Remake_0_0.png")</f>
        <v/>
      </c>
      <c r="C413" s="5" t="s">
        <v>1967</v>
      </c>
      <c r="D413" s="5" t="s">
        <v>34</v>
      </c>
      <c r="E413" s="5" t="s">
        <v>34</v>
      </c>
      <c r="F413" s="5" t="s">
        <v>34</v>
      </c>
      <c r="G413" s="5" t="s">
        <v>36</v>
      </c>
      <c r="H413" s="5" t="s">
        <v>36</v>
      </c>
      <c r="I413" s="5" t="s">
        <v>36</v>
      </c>
      <c r="J413" s="6" t="s">
        <v>34</v>
      </c>
      <c r="K413" s="6">
        <v>1900.0</v>
      </c>
      <c r="L413" s="6">
        <v>475.0</v>
      </c>
      <c r="M413" s="5" t="s">
        <v>52</v>
      </c>
      <c r="N413" s="5" t="s">
        <v>68</v>
      </c>
      <c r="O413" s="6" t="s">
        <v>40</v>
      </c>
      <c r="P413" s="5" t="s">
        <v>59</v>
      </c>
      <c r="Q413" s="5" t="s">
        <v>89</v>
      </c>
      <c r="R413" s="6" t="s">
        <v>42</v>
      </c>
      <c r="S413" s="5" t="s">
        <v>172</v>
      </c>
      <c r="T413" s="5" t="s">
        <v>44</v>
      </c>
      <c r="U413" s="5" t="s">
        <v>44</v>
      </c>
      <c r="V413" s="5" t="s">
        <v>44</v>
      </c>
      <c r="W413" s="5" t="s">
        <v>36</v>
      </c>
      <c r="X413" s="5" t="s">
        <v>590</v>
      </c>
      <c r="Y413" s="5" t="s">
        <v>46</v>
      </c>
      <c r="Z413" s="5" t="s">
        <v>47</v>
      </c>
      <c r="AA413" s="5" t="s">
        <v>64</v>
      </c>
      <c r="AB413" s="5" t="s">
        <v>1970</v>
      </c>
      <c r="AC413" s="6" t="s">
        <v>50</v>
      </c>
      <c r="AD413" s="6">
        <v>1624.0</v>
      </c>
    </row>
    <row r="414" ht="56.25" customHeight="1">
      <c r="A414" s="5" t="s">
        <v>1965</v>
      </c>
      <c r="B414" s="6" t="str">
        <f>IMAGE("https://storage.googleapis.com/acdb/miscellaneous/FtrDwarf_Remake_1_0.png")</f>
        <v/>
      </c>
      <c r="C414" s="5" t="s">
        <v>1972</v>
      </c>
      <c r="D414" s="5" t="s">
        <v>34</v>
      </c>
      <c r="E414" s="5" t="s">
        <v>34</v>
      </c>
      <c r="F414" s="5" t="s">
        <v>34</v>
      </c>
      <c r="G414" s="5" t="s">
        <v>36</v>
      </c>
      <c r="H414" s="5" t="s">
        <v>36</v>
      </c>
      <c r="I414" s="5" t="s">
        <v>36</v>
      </c>
      <c r="J414" s="6" t="s">
        <v>34</v>
      </c>
      <c r="K414" s="6">
        <v>1900.0</v>
      </c>
      <c r="L414" s="6">
        <v>475.0</v>
      </c>
      <c r="M414" s="5" t="s">
        <v>106</v>
      </c>
      <c r="N414" s="5" t="s">
        <v>114</v>
      </c>
      <c r="O414" s="6" t="s">
        <v>40</v>
      </c>
      <c r="P414" s="5" t="s">
        <v>59</v>
      </c>
      <c r="Q414" s="5" t="s">
        <v>89</v>
      </c>
      <c r="R414" s="6" t="s">
        <v>42</v>
      </c>
      <c r="S414" s="5" t="s">
        <v>172</v>
      </c>
      <c r="T414" s="5" t="s">
        <v>44</v>
      </c>
      <c r="U414" s="5" t="s">
        <v>44</v>
      </c>
      <c r="V414" s="5" t="s">
        <v>44</v>
      </c>
      <c r="W414" s="5" t="s">
        <v>36</v>
      </c>
      <c r="X414" s="5" t="s">
        <v>590</v>
      </c>
      <c r="Y414" s="5" t="s">
        <v>46</v>
      </c>
      <c r="Z414" s="5" t="s">
        <v>47</v>
      </c>
      <c r="AA414" s="5" t="s">
        <v>64</v>
      </c>
      <c r="AB414" s="5" t="s">
        <v>1974</v>
      </c>
      <c r="AC414" s="6" t="s">
        <v>56</v>
      </c>
      <c r="AD414" s="6">
        <v>1624.0</v>
      </c>
    </row>
    <row r="415" ht="56.25" customHeight="1">
      <c r="A415" s="5" t="s">
        <v>1965</v>
      </c>
      <c r="B415" s="6" t="str">
        <f>IMAGE("https://storage.googleapis.com/acdb/miscellaneous/FtrDwarf_Remake_2_0.png")</f>
        <v/>
      </c>
      <c r="C415" s="5" t="s">
        <v>1975</v>
      </c>
      <c r="D415" s="5" t="s">
        <v>34</v>
      </c>
      <c r="E415" s="5" t="s">
        <v>34</v>
      </c>
      <c r="F415" s="5" t="s">
        <v>34</v>
      </c>
      <c r="G415" s="5" t="s">
        <v>36</v>
      </c>
      <c r="H415" s="5" t="s">
        <v>36</v>
      </c>
      <c r="I415" s="5" t="s">
        <v>36</v>
      </c>
      <c r="J415" s="6" t="s">
        <v>34</v>
      </c>
      <c r="K415" s="6">
        <v>1900.0</v>
      </c>
      <c r="L415" s="6">
        <v>475.0</v>
      </c>
      <c r="M415" s="5" t="s">
        <v>114</v>
      </c>
      <c r="N415" s="5" t="s">
        <v>83</v>
      </c>
      <c r="O415" s="6" t="s">
        <v>40</v>
      </c>
      <c r="P415" s="5" t="s">
        <v>59</v>
      </c>
      <c r="Q415" s="5" t="s">
        <v>89</v>
      </c>
      <c r="R415" s="6" t="s">
        <v>42</v>
      </c>
      <c r="S415" s="5" t="s">
        <v>172</v>
      </c>
      <c r="T415" s="5" t="s">
        <v>44</v>
      </c>
      <c r="U415" s="5" t="s">
        <v>44</v>
      </c>
      <c r="V415" s="5" t="s">
        <v>44</v>
      </c>
      <c r="W415" s="5" t="s">
        <v>36</v>
      </c>
      <c r="X415" s="5" t="s">
        <v>590</v>
      </c>
      <c r="Y415" s="5" t="s">
        <v>46</v>
      </c>
      <c r="Z415" s="5" t="s">
        <v>47</v>
      </c>
      <c r="AA415" s="5" t="s">
        <v>64</v>
      </c>
      <c r="AB415" s="5" t="s">
        <v>1979</v>
      </c>
      <c r="AC415" s="6" t="s">
        <v>67</v>
      </c>
      <c r="AD415" s="6">
        <v>1624.0</v>
      </c>
    </row>
    <row r="416" ht="56.25" customHeight="1">
      <c r="A416" s="5" t="s">
        <v>1965</v>
      </c>
      <c r="B416" s="6" t="str">
        <f>IMAGE("https://storage.googleapis.com/acdb/miscellaneous/FtrDwarf_Remake_3_0.png")</f>
        <v/>
      </c>
      <c r="C416" s="5" t="s">
        <v>1980</v>
      </c>
      <c r="D416" s="5" t="s">
        <v>34</v>
      </c>
      <c r="E416" s="5" t="s">
        <v>34</v>
      </c>
      <c r="F416" s="5" t="s">
        <v>34</v>
      </c>
      <c r="G416" s="5" t="s">
        <v>36</v>
      </c>
      <c r="H416" s="5" t="s">
        <v>36</v>
      </c>
      <c r="I416" s="5" t="s">
        <v>36</v>
      </c>
      <c r="J416" s="6" t="s">
        <v>34</v>
      </c>
      <c r="K416" s="6">
        <v>1900.0</v>
      </c>
      <c r="L416" s="6">
        <v>475.0</v>
      </c>
      <c r="M416" s="5" t="s">
        <v>68</v>
      </c>
      <c r="N416" s="5" t="s">
        <v>39</v>
      </c>
      <c r="O416" s="6" t="s">
        <v>40</v>
      </c>
      <c r="P416" s="5" t="s">
        <v>59</v>
      </c>
      <c r="Q416" s="5" t="s">
        <v>89</v>
      </c>
      <c r="R416" s="6" t="s">
        <v>42</v>
      </c>
      <c r="S416" s="5" t="s">
        <v>172</v>
      </c>
      <c r="T416" s="5" t="s">
        <v>44</v>
      </c>
      <c r="U416" s="5" t="s">
        <v>44</v>
      </c>
      <c r="V416" s="5" t="s">
        <v>44</v>
      </c>
      <c r="W416" s="5" t="s">
        <v>36</v>
      </c>
      <c r="X416" s="5" t="s">
        <v>590</v>
      </c>
      <c r="Y416" s="5" t="s">
        <v>46</v>
      </c>
      <c r="Z416" s="5" t="s">
        <v>47</v>
      </c>
      <c r="AA416" s="5" t="s">
        <v>64</v>
      </c>
      <c r="AB416" s="5" t="s">
        <v>1984</v>
      </c>
      <c r="AC416" s="6" t="s">
        <v>71</v>
      </c>
      <c r="AD416" s="6">
        <v>1624.0</v>
      </c>
    </row>
    <row r="417" ht="56.25" customHeight="1">
      <c r="A417" s="5" t="s">
        <v>1965</v>
      </c>
      <c r="B417" s="6" t="str">
        <f>IMAGE("https://storage.googleapis.com/acdb/miscellaneous/FtrDwarf_Remake_4_0.png")</f>
        <v/>
      </c>
      <c r="C417" s="5" t="s">
        <v>1986</v>
      </c>
      <c r="D417" s="5" t="s">
        <v>34</v>
      </c>
      <c r="E417" s="5" t="s">
        <v>34</v>
      </c>
      <c r="F417" s="5" t="s">
        <v>34</v>
      </c>
      <c r="G417" s="5" t="s">
        <v>36</v>
      </c>
      <c r="H417" s="5" t="s">
        <v>36</v>
      </c>
      <c r="I417" s="5" t="s">
        <v>36</v>
      </c>
      <c r="J417" s="6" t="s">
        <v>34</v>
      </c>
      <c r="K417" s="6">
        <v>1900.0</v>
      </c>
      <c r="L417" s="6">
        <v>475.0</v>
      </c>
      <c r="M417" s="5" t="s">
        <v>142</v>
      </c>
      <c r="N417" s="5" t="s">
        <v>96</v>
      </c>
      <c r="O417" s="6" t="s">
        <v>40</v>
      </c>
      <c r="P417" s="5" t="s">
        <v>59</v>
      </c>
      <c r="Q417" s="5" t="s">
        <v>89</v>
      </c>
      <c r="R417" s="6" t="s">
        <v>42</v>
      </c>
      <c r="S417" s="5" t="s">
        <v>172</v>
      </c>
      <c r="T417" s="5" t="s">
        <v>44</v>
      </c>
      <c r="U417" s="5" t="s">
        <v>44</v>
      </c>
      <c r="V417" s="5" t="s">
        <v>44</v>
      </c>
      <c r="W417" s="5" t="s">
        <v>36</v>
      </c>
      <c r="X417" s="5" t="s">
        <v>590</v>
      </c>
      <c r="Y417" s="5" t="s">
        <v>46</v>
      </c>
      <c r="Z417" s="5" t="s">
        <v>47</v>
      </c>
      <c r="AA417" s="5" t="s">
        <v>64</v>
      </c>
      <c r="AB417" s="5" t="s">
        <v>1991</v>
      </c>
      <c r="AC417" s="6" t="s">
        <v>75</v>
      </c>
      <c r="AD417" s="6">
        <v>1624.0</v>
      </c>
    </row>
    <row r="418" ht="56.25" customHeight="1">
      <c r="A418" s="5" t="s">
        <v>1965</v>
      </c>
      <c r="B418" s="6" t="str">
        <f>IMAGE("https://storage.googleapis.com/acdb/miscellaneous/FtrDwarf_Remake_5_0.png")</f>
        <v/>
      </c>
      <c r="C418" s="5" t="s">
        <v>1993</v>
      </c>
      <c r="D418" s="5" t="s">
        <v>34</v>
      </c>
      <c r="E418" s="5" t="s">
        <v>34</v>
      </c>
      <c r="F418" s="5" t="s">
        <v>34</v>
      </c>
      <c r="G418" s="5" t="s">
        <v>36</v>
      </c>
      <c r="H418" s="5" t="s">
        <v>36</v>
      </c>
      <c r="I418" s="5" t="s">
        <v>36</v>
      </c>
      <c r="J418" s="6" t="s">
        <v>34</v>
      </c>
      <c r="K418" s="6">
        <v>1900.0</v>
      </c>
      <c r="L418" s="6">
        <v>475.0</v>
      </c>
      <c r="M418" s="5" t="s">
        <v>96</v>
      </c>
      <c r="N418" s="5" t="s">
        <v>114</v>
      </c>
      <c r="O418" s="6" t="s">
        <v>40</v>
      </c>
      <c r="P418" s="5" t="s">
        <v>59</v>
      </c>
      <c r="Q418" s="5" t="s">
        <v>89</v>
      </c>
      <c r="R418" s="6" t="s">
        <v>42</v>
      </c>
      <c r="S418" s="5" t="s">
        <v>172</v>
      </c>
      <c r="T418" s="5" t="s">
        <v>44</v>
      </c>
      <c r="U418" s="5" t="s">
        <v>44</v>
      </c>
      <c r="V418" s="5" t="s">
        <v>44</v>
      </c>
      <c r="W418" s="5" t="s">
        <v>36</v>
      </c>
      <c r="X418" s="5" t="s">
        <v>590</v>
      </c>
      <c r="Y418" s="5" t="s">
        <v>46</v>
      </c>
      <c r="Z418" s="5" t="s">
        <v>47</v>
      </c>
      <c r="AA418" s="5" t="s">
        <v>64</v>
      </c>
      <c r="AB418" s="5" t="s">
        <v>1996</v>
      </c>
      <c r="AC418" s="6" t="s">
        <v>79</v>
      </c>
      <c r="AD418" s="6">
        <v>1624.0</v>
      </c>
    </row>
    <row r="419" ht="56.25" customHeight="1">
      <c r="A419" s="5" t="s">
        <v>1965</v>
      </c>
      <c r="B419" s="6" t="str">
        <f>IMAGE("https://storage.googleapis.com/acdb/miscellaneous/FtrDwarf_Remake_6_0.png")</f>
        <v/>
      </c>
      <c r="C419" s="5" t="s">
        <v>1999</v>
      </c>
      <c r="D419" s="5" t="s">
        <v>34</v>
      </c>
      <c r="E419" s="5" t="s">
        <v>34</v>
      </c>
      <c r="F419" s="5" t="s">
        <v>34</v>
      </c>
      <c r="G419" s="5" t="s">
        <v>36</v>
      </c>
      <c r="H419" s="5" t="s">
        <v>36</v>
      </c>
      <c r="I419" s="5" t="s">
        <v>36</v>
      </c>
      <c r="J419" s="6" t="s">
        <v>34</v>
      </c>
      <c r="K419" s="6">
        <v>1900.0</v>
      </c>
      <c r="L419" s="6">
        <v>475.0</v>
      </c>
      <c r="M419" s="5" t="s">
        <v>52</v>
      </c>
      <c r="N419" s="5" t="s">
        <v>52</v>
      </c>
      <c r="O419" s="6" t="s">
        <v>40</v>
      </c>
      <c r="P419" s="5" t="s">
        <v>59</v>
      </c>
      <c r="Q419" s="5" t="s">
        <v>89</v>
      </c>
      <c r="R419" s="6" t="s">
        <v>42</v>
      </c>
      <c r="S419" s="5" t="s">
        <v>172</v>
      </c>
      <c r="T419" s="5" t="s">
        <v>44</v>
      </c>
      <c r="U419" s="5" t="s">
        <v>44</v>
      </c>
      <c r="V419" s="5" t="s">
        <v>44</v>
      </c>
      <c r="W419" s="5" t="s">
        <v>36</v>
      </c>
      <c r="X419" s="5" t="s">
        <v>590</v>
      </c>
      <c r="Y419" s="5" t="s">
        <v>46</v>
      </c>
      <c r="Z419" s="5" t="s">
        <v>47</v>
      </c>
      <c r="AA419" s="5" t="s">
        <v>64</v>
      </c>
      <c r="AB419" s="5" t="s">
        <v>2002</v>
      </c>
      <c r="AC419" s="6" t="s">
        <v>86</v>
      </c>
      <c r="AD419" s="6">
        <v>1624.0</v>
      </c>
    </row>
    <row r="420" ht="56.25" customHeight="1">
      <c r="A420" s="5" t="s">
        <v>1965</v>
      </c>
      <c r="B420" s="6" t="str">
        <f>IMAGE("https://storage.googleapis.com/acdb/miscellaneous/FtrDwarf_Remake_7_0.png")</f>
        <v/>
      </c>
      <c r="C420" s="5" t="s">
        <v>2006</v>
      </c>
      <c r="D420" s="5" t="s">
        <v>34</v>
      </c>
      <c r="E420" s="5" t="s">
        <v>34</v>
      </c>
      <c r="F420" s="5" t="s">
        <v>34</v>
      </c>
      <c r="G420" s="5" t="s">
        <v>36</v>
      </c>
      <c r="H420" s="5" t="s">
        <v>36</v>
      </c>
      <c r="I420" s="5" t="s">
        <v>36</v>
      </c>
      <c r="J420" s="6" t="s">
        <v>34</v>
      </c>
      <c r="K420" s="6">
        <v>1900.0</v>
      </c>
      <c r="L420" s="6">
        <v>475.0</v>
      </c>
      <c r="M420" s="5" t="s">
        <v>54</v>
      </c>
      <c r="N420" s="5" t="s">
        <v>54</v>
      </c>
      <c r="O420" s="6" t="s">
        <v>40</v>
      </c>
      <c r="P420" s="5" t="s">
        <v>59</v>
      </c>
      <c r="Q420" s="5" t="s">
        <v>89</v>
      </c>
      <c r="R420" s="6" t="s">
        <v>42</v>
      </c>
      <c r="S420" s="5" t="s">
        <v>172</v>
      </c>
      <c r="T420" s="5" t="s">
        <v>44</v>
      </c>
      <c r="U420" s="5" t="s">
        <v>44</v>
      </c>
      <c r="V420" s="5" t="s">
        <v>44</v>
      </c>
      <c r="W420" s="5" t="s">
        <v>36</v>
      </c>
      <c r="X420" s="5" t="s">
        <v>590</v>
      </c>
      <c r="Y420" s="5" t="s">
        <v>46</v>
      </c>
      <c r="Z420" s="5" t="s">
        <v>47</v>
      </c>
      <c r="AA420" s="5" t="s">
        <v>64</v>
      </c>
      <c r="AB420" s="5" t="s">
        <v>2009</v>
      </c>
      <c r="AC420" s="6" t="s">
        <v>208</v>
      </c>
      <c r="AD420" s="6">
        <v>1624.0</v>
      </c>
    </row>
    <row r="421" ht="56.25" customHeight="1">
      <c r="A421" s="5" t="s">
        <v>2010</v>
      </c>
      <c r="B421" s="16" t="str">
        <f>IMAGE("https://storage.googleapis.com/acdb/miscellaneous/FtrInsectKumazemiToy.png")</f>
        <v/>
      </c>
      <c r="C421" s="5" t="s">
        <v>34</v>
      </c>
      <c r="D421" s="5" t="s">
        <v>34</v>
      </c>
      <c r="E421" s="5" t="s">
        <v>34</v>
      </c>
      <c r="F421" s="5" t="s">
        <v>34</v>
      </c>
      <c r="G421" s="5" t="s">
        <v>36</v>
      </c>
      <c r="H421" s="5" t="s">
        <v>36</v>
      </c>
      <c r="I421" s="5" t="s">
        <v>36</v>
      </c>
      <c r="J421" s="6" t="s">
        <v>34</v>
      </c>
      <c r="K421" s="6" t="s">
        <v>37</v>
      </c>
      <c r="L421" s="6">
        <v>1500.0</v>
      </c>
      <c r="M421" s="5" t="s">
        <v>54</v>
      </c>
      <c r="N421" s="5" t="s">
        <v>54</v>
      </c>
      <c r="O421" s="6" t="s">
        <v>40</v>
      </c>
      <c r="P421" s="5" t="s">
        <v>107</v>
      </c>
      <c r="Q421" s="5" t="s">
        <v>108</v>
      </c>
      <c r="R421" s="6" t="s">
        <v>42</v>
      </c>
      <c r="S421" s="5" t="s">
        <v>44</v>
      </c>
      <c r="T421" s="5" t="s">
        <v>44</v>
      </c>
      <c r="U421" s="5" t="s">
        <v>44</v>
      </c>
      <c r="V421" s="5" t="s">
        <v>44</v>
      </c>
      <c r="W421" s="5" t="s">
        <v>36</v>
      </c>
      <c r="X421" s="5" t="s">
        <v>109</v>
      </c>
      <c r="Y421" s="5" t="s">
        <v>46</v>
      </c>
      <c r="Z421" s="5" t="s">
        <v>47</v>
      </c>
      <c r="AA421" s="5" t="s">
        <v>48</v>
      </c>
      <c r="AB421" s="5" t="s">
        <v>2015</v>
      </c>
      <c r="AC421" s="6" t="s">
        <v>34</v>
      </c>
      <c r="AD421" s="6">
        <v>7078.0</v>
      </c>
    </row>
    <row r="422" ht="56.25" customHeight="1">
      <c r="A422" s="5" t="s">
        <v>2016</v>
      </c>
      <c r="B422" s="16" t="str">
        <f>IMAGE("https://storage.googleapis.com/acdb/miscellaneous/FtrFishRaigyoToy.png")</f>
        <v/>
      </c>
      <c r="C422" s="5" t="s">
        <v>34</v>
      </c>
      <c r="D422" s="5" t="s">
        <v>34</v>
      </c>
      <c r="E422" s="5" t="s">
        <v>34</v>
      </c>
      <c r="F422" s="5" t="s">
        <v>34</v>
      </c>
      <c r="G422" s="5" t="s">
        <v>36</v>
      </c>
      <c r="H422" s="5" t="s">
        <v>36</v>
      </c>
      <c r="I422" s="5" t="s">
        <v>36</v>
      </c>
      <c r="J422" s="6" t="s">
        <v>34</v>
      </c>
      <c r="K422" s="6" t="s">
        <v>37</v>
      </c>
      <c r="L422" s="6">
        <v>16500.0</v>
      </c>
      <c r="M422" s="5" t="s">
        <v>54</v>
      </c>
      <c r="N422" s="5" t="s">
        <v>54</v>
      </c>
      <c r="O422" s="6" t="s">
        <v>40</v>
      </c>
      <c r="P422" s="5" t="s">
        <v>213</v>
      </c>
      <c r="Q422" s="5" t="s">
        <v>215</v>
      </c>
      <c r="R422" s="6" t="s">
        <v>42</v>
      </c>
      <c r="S422" s="5" t="s">
        <v>44</v>
      </c>
      <c r="T422" s="5" t="s">
        <v>44</v>
      </c>
      <c r="U422" s="5" t="s">
        <v>44</v>
      </c>
      <c r="V422" s="5" t="s">
        <v>44</v>
      </c>
      <c r="W422" s="5" t="s">
        <v>36</v>
      </c>
      <c r="X422" s="5" t="s">
        <v>219</v>
      </c>
      <c r="Y422" s="5" t="s">
        <v>46</v>
      </c>
      <c r="Z422" s="5" t="s">
        <v>47</v>
      </c>
      <c r="AA422" s="5" t="s">
        <v>48</v>
      </c>
      <c r="AB422" s="5" t="s">
        <v>2021</v>
      </c>
      <c r="AC422" s="6" t="s">
        <v>34</v>
      </c>
      <c r="AD422" s="6">
        <v>7007.0</v>
      </c>
    </row>
    <row r="423" ht="56.25" customHeight="1">
      <c r="A423" s="5" t="s">
        <v>2022</v>
      </c>
      <c r="B423" s="16" t="str">
        <f>IMAGE("https://storage.googleapis.com/acdb/miscellaneous/FtrInsectOhkuwagataToy.png")</f>
        <v/>
      </c>
      <c r="C423" s="5" t="s">
        <v>34</v>
      </c>
      <c r="D423" s="5" t="s">
        <v>34</v>
      </c>
      <c r="E423" s="5" t="s">
        <v>34</v>
      </c>
      <c r="F423" s="5" t="s">
        <v>34</v>
      </c>
      <c r="G423" s="5" t="s">
        <v>36</v>
      </c>
      <c r="H423" s="5" t="s">
        <v>36</v>
      </c>
      <c r="I423" s="5" t="s">
        <v>36</v>
      </c>
      <c r="J423" s="6" t="s">
        <v>34</v>
      </c>
      <c r="K423" s="6" t="s">
        <v>37</v>
      </c>
      <c r="L423" s="6">
        <v>30000.0</v>
      </c>
      <c r="M423" s="5" t="s">
        <v>54</v>
      </c>
      <c r="N423" s="5" t="s">
        <v>54</v>
      </c>
      <c r="O423" s="6" t="s">
        <v>40</v>
      </c>
      <c r="P423" s="5" t="s">
        <v>107</v>
      </c>
      <c r="Q423" s="5" t="s">
        <v>108</v>
      </c>
      <c r="R423" s="6" t="s">
        <v>42</v>
      </c>
      <c r="S423" s="5" t="s">
        <v>44</v>
      </c>
      <c r="T423" s="5" t="s">
        <v>44</v>
      </c>
      <c r="U423" s="5" t="s">
        <v>44</v>
      </c>
      <c r="V423" s="5" t="s">
        <v>44</v>
      </c>
      <c r="W423" s="5" t="s">
        <v>36</v>
      </c>
      <c r="X423" s="5" t="s">
        <v>109</v>
      </c>
      <c r="Y423" s="5" t="s">
        <v>46</v>
      </c>
      <c r="Z423" s="5" t="s">
        <v>47</v>
      </c>
      <c r="AA423" s="5" t="s">
        <v>48</v>
      </c>
      <c r="AB423" s="5" t="s">
        <v>2027</v>
      </c>
      <c r="AC423" s="6" t="s">
        <v>34</v>
      </c>
      <c r="AD423" s="6">
        <v>7092.0</v>
      </c>
    </row>
    <row r="424" ht="56.25" customHeight="1">
      <c r="A424" s="5" t="s">
        <v>2028</v>
      </c>
      <c r="B424" s="16" t="str">
        <f>IMAGE("https://storage.googleapis.com/acdb/miscellaneous/FtrFishRouninajiToy.png")</f>
        <v/>
      </c>
      <c r="C424" s="5" t="s">
        <v>34</v>
      </c>
      <c r="D424" s="5" t="s">
        <v>34</v>
      </c>
      <c r="E424" s="5" t="s">
        <v>34</v>
      </c>
      <c r="F424" s="5" t="s">
        <v>34</v>
      </c>
      <c r="G424" s="5" t="s">
        <v>36</v>
      </c>
      <c r="H424" s="5" t="s">
        <v>36</v>
      </c>
      <c r="I424" s="5" t="s">
        <v>36</v>
      </c>
      <c r="J424" s="6" t="s">
        <v>34</v>
      </c>
      <c r="K424" s="6" t="s">
        <v>37</v>
      </c>
      <c r="L424" s="6">
        <v>13500.0</v>
      </c>
      <c r="M424" s="5" t="s">
        <v>54</v>
      </c>
      <c r="N424" s="5" t="s">
        <v>54</v>
      </c>
      <c r="O424" s="6" t="s">
        <v>40</v>
      </c>
      <c r="P424" s="5" t="s">
        <v>213</v>
      </c>
      <c r="Q424" s="5" t="s">
        <v>215</v>
      </c>
      <c r="R424" s="6" t="s">
        <v>42</v>
      </c>
      <c r="S424" s="5" t="s">
        <v>44</v>
      </c>
      <c r="T424" s="5" t="s">
        <v>44</v>
      </c>
      <c r="U424" s="5" t="s">
        <v>44</v>
      </c>
      <c r="V424" s="5" t="s">
        <v>44</v>
      </c>
      <c r="W424" s="5" t="s">
        <v>36</v>
      </c>
      <c r="X424" s="5" t="s">
        <v>219</v>
      </c>
      <c r="Y424" s="5" t="s">
        <v>46</v>
      </c>
      <c r="Z424" s="5" t="s">
        <v>47</v>
      </c>
      <c r="AA424" s="5" t="s">
        <v>48</v>
      </c>
      <c r="AB424" s="5" t="s">
        <v>2034</v>
      </c>
      <c r="AC424" s="6" t="s">
        <v>34</v>
      </c>
      <c r="AD424" s="6">
        <v>7010.0</v>
      </c>
    </row>
    <row r="425" ht="56.25" customHeight="1">
      <c r="A425" s="5" t="s">
        <v>2035</v>
      </c>
      <c r="B425" s="16" t="str">
        <f>IMAGE("https://storage.googleapis.com/acdb/miscellaneous/FtrInsectTagameToy.png")</f>
        <v/>
      </c>
      <c r="C425" s="5" t="s">
        <v>34</v>
      </c>
      <c r="D425" s="5" t="s">
        <v>34</v>
      </c>
      <c r="E425" s="5" t="s">
        <v>34</v>
      </c>
      <c r="F425" s="5" t="s">
        <v>34</v>
      </c>
      <c r="G425" s="5" t="s">
        <v>36</v>
      </c>
      <c r="H425" s="5" t="s">
        <v>36</v>
      </c>
      <c r="I425" s="5" t="s">
        <v>36</v>
      </c>
      <c r="J425" s="6" t="s">
        <v>34</v>
      </c>
      <c r="K425" s="6" t="s">
        <v>37</v>
      </c>
      <c r="L425" s="6">
        <v>6000.0</v>
      </c>
      <c r="M425" s="5" t="s">
        <v>39</v>
      </c>
      <c r="N425" s="5" t="s">
        <v>39</v>
      </c>
      <c r="O425" s="6" t="s">
        <v>40</v>
      </c>
      <c r="P425" s="5" t="s">
        <v>107</v>
      </c>
      <c r="Q425" s="5" t="s">
        <v>108</v>
      </c>
      <c r="R425" s="6" t="s">
        <v>42</v>
      </c>
      <c r="S425" s="5" t="s">
        <v>44</v>
      </c>
      <c r="T425" s="5" t="s">
        <v>44</v>
      </c>
      <c r="U425" s="5" t="s">
        <v>44</v>
      </c>
      <c r="V425" s="5" t="s">
        <v>44</v>
      </c>
      <c r="W425" s="5" t="s">
        <v>36</v>
      </c>
      <c r="X425" s="5" t="s">
        <v>109</v>
      </c>
      <c r="Y425" s="5" t="s">
        <v>46</v>
      </c>
      <c r="Z425" s="5" t="s">
        <v>47</v>
      </c>
      <c r="AA425" s="5" t="s">
        <v>48</v>
      </c>
      <c r="AB425" s="5" t="s">
        <v>2041</v>
      </c>
      <c r="AC425" s="6" t="s">
        <v>34</v>
      </c>
      <c r="AD425" s="6">
        <v>7120.0</v>
      </c>
    </row>
    <row r="426" ht="56.25" customHeight="1">
      <c r="A426" s="5" t="s">
        <v>2043</v>
      </c>
      <c r="B426" s="6" t="str">
        <f>IMAGE("https://storage.googleapis.com/acdb/miscellaneous/FtrGlasscandle_Remake_0_0.png")</f>
        <v/>
      </c>
      <c r="C426" s="5" t="s">
        <v>57</v>
      </c>
      <c r="D426" s="5" t="s">
        <v>34</v>
      </c>
      <c r="E426" s="5" t="s">
        <v>34</v>
      </c>
      <c r="F426" s="5" t="s">
        <v>34</v>
      </c>
      <c r="G426" s="5" t="s">
        <v>36</v>
      </c>
      <c r="H426" s="5" t="s">
        <v>36</v>
      </c>
      <c r="I426" s="5" t="s">
        <v>36</v>
      </c>
      <c r="J426" s="6" t="s">
        <v>34</v>
      </c>
      <c r="K426" s="6">
        <v>350.0</v>
      </c>
      <c r="L426" s="6">
        <v>87.0</v>
      </c>
      <c r="M426" s="5" t="s">
        <v>57</v>
      </c>
      <c r="N426" s="5" t="s">
        <v>57</v>
      </c>
      <c r="O426" s="6" t="s">
        <v>40</v>
      </c>
      <c r="P426" s="5" t="s">
        <v>59</v>
      </c>
      <c r="Q426" s="5" t="s">
        <v>60</v>
      </c>
      <c r="R426" s="6" t="s">
        <v>42</v>
      </c>
      <c r="S426" s="5" t="s">
        <v>90</v>
      </c>
      <c r="T426" s="5" t="s">
        <v>44</v>
      </c>
      <c r="U426" s="5" t="s">
        <v>44</v>
      </c>
      <c r="V426" s="5" t="s">
        <v>44</v>
      </c>
      <c r="W426" s="5" t="s">
        <v>35</v>
      </c>
      <c r="X426" s="5" t="s">
        <v>467</v>
      </c>
      <c r="Y426" s="5" t="s">
        <v>46</v>
      </c>
      <c r="Z426" s="5" t="s">
        <v>495</v>
      </c>
      <c r="AA426" s="5" t="s">
        <v>64</v>
      </c>
      <c r="AB426" s="5" t="s">
        <v>2048</v>
      </c>
      <c r="AC426" s="6" t="s">
        <v>50</v>
      </c>
      <c r="AD426" s="6">
        <v>4230.0</v>
      </c>
    </row>
    <row r="427" ht="56.25" customHeight="1">
      <c r="A427" s="5" t="s">
        <v>2043</v>
      </c>
      <c r="B427" s="6" t="str">
        <f>IMAGE("https://storage.googleapis.com/acdb/miscellaneous/FtrGlasscandle_Remake_1_0.png")</f>
        <v/>
      </c>
      <c r="C427" s="5" t="s">
        <v>52</v>
      </c>
      <c r="D427" s="5" t="s">
        <v>34</v>
      </c>
      <c r="E427" s="5" t="s">
        <v>34</v>
      </c>
      <c r="F427" s="5" t="s">
        <v>34</v>
      </c>
      <c r="G427" s="5" t="s">
        <v>36</v>
      </c>
      <c r="H427" s="5" t="s">
        <v>36</v>
      </c>
      <c r="I427" s="5" t="s">
        <v>36</v>
      </c>
      <c r="J427" s="6" t="s">
        <v>34</v>
      </c>
      <c r="K427" s="6">
        <v>350.0</v>
      </c>
      <c r="L427" s="6">
        <v>87.0</v>
      </c>
      <c r="M427" s="5" t="s">
        <v>52</v>
      </c>
      <c r="N427" s="5" t="s">
        <v>52</v>
      </c>
      <c r="O427" s="6" t="s">
        <v>40</v>
      </c>
      <c r="P427" s="5" t="s">
        <v>59</v>
      </c>
      <c r="Q427" s="5" t="s">
        <v>60</v>
      </c>
      <c r="R427" s="6" t="s">
        <v>42</v>
      </c>
      <c r="S427" s="5" t="s">
        <v>90</v>
      </c>
      <c r="T427" s="5" t="s">
        <v>44</v>
      </c>
      <c r="U427" s="5" t="s">
        <v>44</v>
      </c>
      <c r="V427" s="5" t="s">
        <v>44</v>
      </c>
      <c r="W427" s="5" t="s">
        <v>35</v>
      </c>
      <c r="X427" s="5" t="s">
        <v>467</v>
      </c>
      <c r="Y427" s="5" t="s">
        <v>46</v>
      </c>
      <c r="Z427" s="5" t="s">
        <v>495</v>
      </c>
      <c r="AA427" s="5" t="s">
        <v>64</v>
      </c>
      <c r="AB427" s="5" t="s">
        <v>2052</v>
      </c>
      <c r="AC427" s="6" t="s">
        <v>56</v>
      </c>
      <c r="AD427" s="6">
        <v>4230.0</v>
      </c>
    </row>
    <row r="428" ht="56.25" customHeight="1">
      <c r="A428" s="5" t="s">
        <v>2043</v>
      </c>
      <c r="B428" s="6" t="str">
        <f>IMAGE("https://storage.googleapis.com/acdb/miscellaneous/FtrGlasscandle_Remake_2_0.png")</f>
        <v/>
      </c>
      <c r="C428" s="5" t="s">
        <v>69</v>
      </c>
      <c r="D428" s="5" t="s">
        <v>34</v>
      </c>
      <c r="E428" s="5" t="s">
        <v>34</v>
      </c>
      <c r="F428" s="5" t="s">
        <v>34</v>
      </c>
      <c r="G428" s="5" t="s">
        <v>36</v>
      </c>
      <c r="H428" s="5" t="s">
        <v>36</v>
      </c>
      <c r="I428" s="5" t="s">
        <v>36</v>
      </c>
      <c r="J428" s="6" t="s">
        <v>34</v>
      </c>
      <c r="K428" s="6">
        <v>350.0</v>
      </c>
      <c r="L428" s="6">
        <v>87.0</v>
      </c>
      <c r="M428" s="5" t="s">
        <v>69</v>
      </c>
      <c r="N428" s="5" t="s">
        <v>69</v>
      </c>
      <c r="O428" s="6" t="s">
        <v>40</v>
      </c>
      <c r="P428" s="5" t="s">
        <v>59</v>
      </c>
      <c r="Q428" s="5" t="s">
        <v>60</v>
      </c>
      <c r="R428" s="6" t="s">
        <v>42</v>
      </c>
      <c r="S428" s="5" t="s">
        <v>90</v>
      </c>
      <c r="T428" s="5" t="s">
        <v>44</v>
      </c>
      <c r="U428" s="5" t="s">
        <v>44</v>
      </c>
      <c r="V428" s="5" t="s">
        <v>44</v>
      </c>
      <c r="W428" s="5" t="s">
        <v>35</v>
      </c>
      <c r="X428" s="5" t="s">
        <v>467</v>
      </c>
      <c r="Y428" s="5" t="s">
        <v>46</v>
      </c>
      <c r="Z428" s="5" t="s">
        <v>495</v>
      </c>
      <c r="AA428" s="5" t="s">
        <v>64</v>
      </c>
      <c r="AB428" s="5" t="s">
        <v>2055</v>
      </c>
      <c r="AC428" s="6" t="s">
        <v>67</v>
      </c>
      <c r="AD428" s="6">
        <v>4230.0</v>
      </c>
    </row>
    <row r="429" ht="56.25" customHeight="1">
      <c r="A429" s="5" t="s">
        <v>2043</v>
      </c>
      <c r="B429" s="6" t="str">
        <f>IMAGE("https://storage.googleapis.com/acdb/miscellaneous/FtrGlasscandle_Remake_3_0.png")</f>
        <v/>
      </c>
      <c r="C429" s="5" t="s">
        <v>96</v>
      </c>
      <c r="D429" s="5" t="s">
        <v>34</v>
      </c>
      <c r="E429" s="5" t="s">
        <v>34</v>
      </c>
      <c r="F429" s="5" t="s">
        <v>34</v>
      </c>
      <c r="G429" s="5" t="s">
        <v>36</v>
      </c>
      <c r="H429" s="5" t="s">
        <v>36</v>
      </c>
      <c r="I429" s="5" t="s">
        <v>36</v>
      </c>
      <c r="J429" s="6" t="s">
        <v>34</v>
      </c>
      <c r="K429" s="6">
        <v>350.0</v>
      </c>
      <c r="L429" s="6">
        <v>87.0</v>
      </c>
      <c r="M429" s="5" t="s">
        <v>96</v>
      </c>
      <c r="N429" s="5" t="s">
        <v>96</v>
      </c>
      <c r="O429" s="6" t="s">
        <v>40</v>
      </c>
      <c r="P429" s="5" t="s">
        <v>59</v>
      </c>
      <c r="Q429" s="5" t="s">
        <v>60</v>
      </c>
      <c r="R429" s="6" t="s">
        <v>42</v>
      </c>
      <c r="S429" s="5" t="s">
        <v>90</v>
      </c>
      <c r="T429" s="5" t="s">
        <v>44</v>
      </c>
      <c r="U429" s="5" t="s">
        <v>44</v>
      </c>
      <c r="V429" s="5" t="s">
        <v>44</v>
      </c>
      <c r="W429" s="5" t="s">
        <v>35</v>
      </c>
      <c r="X429" s="5" t="s">
        <v>467</v>
      </c>
      <c r="Y429" s="5" t="s">
        <v>46</v>
      </c>
      <c r="Z429" s="5" t="s">
        <v>495</v>
      </c>
      <c r="AA429" s="5" t="s">
        <v>64</v>
      </c>
      <c r="AB429" s="5" t="s">
        <v>2057</v>
      </c>
      <c r="AC429" s="6" t="s">
        <v>71</v>
      </c>
      <c r="AD429" s="6">
        <v>4230.0</v>
      </c>
    </row>
    <row r="430" ht="56.25" customHeight="1">
      <c r="A430" s="5" t="s">
        <v>2043</v>
      </c>
      <c r="B430" s="6" t="str">
        <f>IMAGE("https://storage.googleapis.com/acdb/miscellaneous/FtrGlasscandle_Remake_4_0.png")</f>
        <v/>
      </c>
      <c r="C430" s="5" t="s">
        <v>68</v>
      </c>
      <c r="D430" s="5" t="s">
        <v>34</v>
      </c>
      <c r="E430" s="5" t="s">
        <v>34</v>
      </c>
      <c r="F430" s="5" t="s">
        <v>34</v>
      </c>
      <c r="G430" s="5" t="s">
        <v>36</v>
      </c>
      <c r="H430" s="5" t="s">
        <v>36</v>
      </c>
      <c r="I430" s="5" t="s">
        <v>36</v>
      </c>
      <c r="J430" s="6" t="s">
        <v>34</v>
      </c>
      <c r="K430" s="6">
        <v>350.0</v>
      </c>
      <c r="L430" s="6">
        <v>87.0</v>
      </c>
      <c r="M430" s="5" t="s">
        <v>68</v>
      </c>
      <c r="N430" s="5" t="s">
        <v>68</v>
      </c>
      <c r="O430" s="6" t="s">
        <v>40</v>
      </c>
      <c r="P430" s="5" t="s">
        <v>59</v>
      </c>
      <c r="Q430" s="5" t="s">
        <v>60</v>
      </c>
      <c r="R430" s="6" t="s">
        <v>42</v>
      </c>
      <c r="S430" s="5" t="s">
        <v>90</v>
      </c>
      <c r="T430" s="5" t="s">
        <v>44</v>
      </c>
      <c r="U430" s="5" t="s">
        <v>44</v>
      </c>
      <c r="V430" s="5" t="s">
        <v>44</v>
      </c>
      <c r="W430" s="5" t="s">
        <v>35</v>
      </c>
      <c r="X430" s="5" t="s">
        <v>467</v>
      </c>
      <c r="Y430" s="5" t="s">
        <v>46</v>
      </c>
      <c r="Z430" s="5" t="s">
        <v>495</v>
      </c>
      <c r="AA430" s="5" t="s">
        <v>64</v>
      </c>
      <c r="AB430" s="5" t="s">
        <v>2061</v>
      </c>
      <c r="AC430" s="6" t="s">
        <v>75</v>
      </c>
      <c r="AD430" s="6">
        <v>4230.0</v>
      </c>
    </row>
    <row r="431" ht="56.25" customHeight="1">
      <c r="A431" s="5" t="s">
        <v>2043</v>
      </c>
      <c r="B431" s="6" t="str">
        <f>IMAGE("https://storage.googleapis.com/acdb/miscellaneous/FtrGlasscandle_Remake_5_0.png")</f>
        <v/>
      </c>
      <c r="C431" s="5" t="s">
        <v>106</v>
      </c>
      <c r="D431" s="5" t="s">
        <v>34</v>
      </c>
      <c r="E431" s="5" t="s">
        <v>34</v>
      </c>
      <c r="F431" s="5" t="s">
        <v>34</v>
      </c>
      <c r="G431" s="5" t="s">
        <v>36</v>
      </c>
      <c r="H431" s="5" t="s">
        <v>36</v>
      </c>
      <c r="I431" s="5" t="s">
        <v>36</v>
      </c>
      <c r="J431" s="6" t="s">
        <v>34</v>
      </c>
      <c r="K431" s="6">
        <v>350.0</v>
      </c>
      <c r="L431" s="6">
        <v>87.0</v>
      </c>
      <c r="M431" s="5" t="s">
        <v>106</v>
      </c>
      <c r="N431" s="5" t="s">
        <v>106</v>
      </c>
      <c r="O431" s="6" t="s">
        <v>40</v>
      </c>
      <c r="P431" s="5" t="s">
        <v>59</v>
      </c>
      <c r="Q431" s="5" t="s">
        <v>60</v>
      </c>
      <c r="R431" s="6" t="s">
        <v>42</v>
      </c>
      <c r="S431" s="5" t="s">
        <v>90</v>
      </c>
      <c r="T431" s="5" t="s">
        <v>44</v>
      </c>
      <c r="U431" s="5" t="s">
        <v>44</v>
      </c>
      <c r="V431" s="5" t="s">
        <v>44</v>
      </c>
      <c r="W431" s="5" t="s">
        <v>35</v>
      </c>
      <c r="X431" s="5" t="s">
        <v>467</v>
      </c>
      <c r="Y431" s="5" t="s">
        <v>46</v>
      </c>
      <c r="Z431" s="5" t="s">
        <v>495</v>
      </c>
      <c r="AA431" s="5" t="s">
        <v>64</v>
      </c>
      <c r="AB431" s="5" t="s">
        <v>2065</v>
      </c>
      <c r="AC431" s="6" t="s">
        <v>79</v>
      </c>
      <c r="AD431" s="6">
        <v>4230.0</v>
      </c>
    </row>
    <row r="432" ht="56.25" customHeight="1">
      <c r="A432" s="5" t="s">
        <v>2066</v>
      </c>
      <c r="B432" s="6" t="str">
        <f>IMAGE("https://storage.googleapis.com/acdb/miscellaneous/FtrGlobe_Remake_0_0.png")</f>
        <v/>
      </c>
      <c r="C432" s="5" t="s">
        <v>830</v>
      </c>
      <c r="D432" s="5" t="s">
        <v>34</v>
      </c>
      <c r="E432" s="5" t="s">
        <v>34</v>
      </c>
      <c r="F432" s="5" t="s">
        <v>34</v>
      </c>
      <c r="G432" s="5" t="s">
        <v>36</v>
      </c>
      <c r="H432" s="5" t="s">
        <v>36</v>
      </c>
      <c r="I432" s="5" t="s">
        <v>36</v>
      </c>
      <c r="J432" s="6" t="s">
        <v>34</v>
      </c>
      <c r="K432" s="6">
        <v>1800.0</v>
      </c>
      <c r="L432" s="6">
        <v>450.0</v>
      </c>
      <c r="M432" s="5" t="s">
        <v>83</v>
      </c>
      <c r="N432" s="5" t="s">
        <v>142</v>
      </c>
      <c r="O432" s="6" t="s">
        <v>40</v>
      </c>
      <c r="P432" s="5" t="s">
        <v>59</v>
      </c>
      <c r="Q432" s="5" t="s">
        <v>60</v>
      </c>
      <c r="R432" s="6" t="s">
        <v>42</v>
      </c>
      <c r="S432" s="5" t="s">
        <v>99</v>
      </c>
      <c r="T432" s="5" t="s">
        <v>130</v>
      </c>
      <c r="U432" s="5" t="s">
        <v>44</v>
      </c>
      <c r="V432" s="5" t="s">
        <v>44</v>
      </c>
      <c r="W432" s="5" t="s">
        <v>35</v>
      </c>
      <c r="X432" s="5" t="s">
        <v>403</v>
      </c>
      <c r="Y432" s="5" t="s">
        <v>46</v>
      </c>
      <c r="Z432" s="5" t="s">
        <v>47</v>
      </c>
      <c r="AA432" s="5" t="s">
        <v>64</v>
      </c>
      <c r="AB432" s="5" t="s">
        <v>2068</v>
      </c>
      <c r="AC432" s="6" t="s">
        <v>50</v>
      </c>
      <c r="AD432" s="6">
        <v>1411.0</v>
      </c>
    </row>
    <row r="433" ht="56.25" customHeight="1">
      <c r="A433" s="5" t="s">
        <v>2066</v>
      </c>
      <c r="B433" s="6" t="str">
        <f>IMAGE("https://storage.googleapis.com/acdb/miscellaneous/FtrGlobe_Remake_1_0.png")</f>
        <v/>
      </c>
      <c r="C433" s="5" t="s">
        <v>2070</v>
      </c>
      <c r="D433" s="5" t="s">
        <v>34</v>
      </c>
      <c r="E433" s="5" t="s">
        <v>34</v>
      </c>
      <c r="F433" s="5" t="s">
        <v>34</v>
      </c>
      <c r="G433" s="5" t="s">
        <v>36</v>
      </c>
      <c r="H433" s="5" t="s">
        <v>36</v>
      </c>
      <c r="I433" s="5" t="s">
        <v>36</v>
      </c>
      <c r="J433" s="6" t="s">
        <v>34</v>
      </c>
      <c r="K433" s="6">
        <v>1800.0</v>
      </c>
      <c r="L433" s="6">
        <v>450.0</v>
      </c>
      <c r="M433" s="5" t="s">
        <v>114</v>
      </c>
      <c r="N433" s="5" t="s">
        <v>39</v>
      </c>
      <c r="O433" s="6" t="s">
        <v>40</v>
      </c>
      <c r="P433" s="5" t="s">
        <v>59</v>
      </c>
      <c r="Q433" s="5" t="s">
        <v>60</v>
      </c>
      <c r="R433" s="6" t="s">
        <v>42</v>
      </c>
      <c r="S433" s="5" t="s">
        <v>99</v>
      </c>
      <c r="T433" s="5" t="s">
        <v>130</v>
      </c>
      <c r="U433" s="5" t="s">
        <v>44</v>
      </c>
      <c r="V433" s="5" t="s">
        <v>44</v>
      </c>
      <c r="W433" s="5" t="s">
        <v>35</v>
      </c>
      <c r="X433" s="5" t="s">
        <v>403</v>
      </c>
      <c r="Y433" s="5" t="s">
        <v>46</v>
      </c>
      <c r="Z433" s="5" t="s">
        <v>47</v>
      </c>
      <c r="AA433" s="5" t="s">
        <v>64</v>
      </c>
      <c r="AB433" s="5" t="s">
        <v>2073</v>
      </c>
      <c r="AC433" s="6" t="s">
        <v>56</v>
      </c>
      <c r="AD433" s="6">
        <v>1411.0</v>
      </c>
    </row>
    <row r="434" ht="56.25" customHeight="1">
      <c r="A434" s="5" t="s">
        <v>2066</v>
      </c>
      <c r="B434" s="6" t="str">
        <f>IMAGE("https://storage.googleapis.com/acdb/miscellaneous/FtrGlobe_Remake_2_0.png")</f>
        <v/>
      </c>
      <c r="C434" s="5" t="s">
        <v>1952</v>
      </c>
      <c r="D434" s="5" t="s">
        <v>34</v>
      </c>
      <c r="E434" s="5" t="s">
        <v>34</v>
      </c>
      <c r="F434" s="5" t="s">
        <v>34</v>
      </c>
      <c r="G434" s="5" t="s">
        <v>36</v>
      </c>
      <c r="H434" s="5" t="s">
        <v>36</v>
      </c>
      <c r="I434" s="5" t="s">
        <v>36</v>
      </c>
      <c r="J434" s="6" t="s">
        <v>34</v>
      </c>
      <c r="K434" s="6">
        <v>1800.0</v>
      </c>
      <c r="L434" s="6">
        <v>450.0</v>
      </c>
      <c r="M434" s="5" t="s">
        <v>68</v>
      </c>
      <c r="N434" s="5" t="s">
        <v>54</v>
      </c>
      <c r="O434" s="6" t="s">
        <v>40</v>
      </c>
      <c r="P434" s="5" t="s">
        <v>59</v>
      </c>
      <c r="Q434" s="5" t="s">
        <v>60</v>
      </c>
      <c r="R434" s="6" t="s">
        <v>42</v>
      </c>
      <c r="S434" s="5" t="s">
        <v>99</v>
      </c>
      <c r="T434" s="5" t="s">
        <v>130</v>
      </c>
      <c r="U434" s="5" t="s">
        <v>44</v>
      </c>
      <c r="V434" s="5" t="s">
        <v>44</v>
      </c>
      <c r="W434" s="5" t="s">
        <v>35</v>
      </c>
      <c r="X434" s="5" t="s">
        <v>403</v>
      </c>
      <c r="Y434" s="5" t="s">
        <v>46</v>
      </c>
      <c r="Z434" s="5" t="s">
        <v>47</v>
      </c>
      <c r="AA434" s="5" t="s">
        <v>64</v>
      </c>
      <c r="AB434" s="5" t="s">
        <v>2077</v>
      </c>
      <c r="AC434" s="6" t="s">
        <v>67</v>
      </c>
      <c r="AD434" s="6">
        <v>1411.0</v>
      </c>
    </row>
    <row r="435" ht="56.25" customHeight="1">
      <c r="A435" s="5" t="s">
        <v>2079</v>
      </c>
      <c r="B435" s="16" t="str">
        <f>IMAGE("https://storage.googleapis.com/acdb/miscellaneous/FtrGoldbar.png")</f>
        <v/>
      </c>
      <c r="C435" s="5" t="s">
        <v>34</v>
      </c>
      <c r="D435" s="5" t="s">
        <v>34</v>
      </c>
      <c r="E435" s="5" t="s">
        <v>34</v>
      </c>
      <c r="F435" s="5" t="s">
        <v>34</v>
      </c>
      <c r="G435" s="5" t="s">
        <v>35</v>
      </c>
      <c r="H435" s="5" t="s">
        <v>36</v>
      </c>
      <c r="I435" s="5" t="s">
        <v>36</v>
      </c>
      <c r="J435" s="6" t="s">
        <v>34</v>
      </c>
      <c r="K435" s="6" t="s">
        <v>37</v>
      </c>
      <c r="L435" s="6">
        <v>30000.0</v>
      </c>
      <c r="M435" s="5" t="s">
        <v>114</v>
      </c>
      <c r="N435" s="5" t="s">
        <v>114</v>
      </c>
      <c r="O435" s="6" t="s">
        <v>40</v>
      </c>
      <c r="P435" s="5" t="s">
        <v>41</v>
      </c>
      <c r="Q435" s="5"/>
      <c r="R435" s="6" t="s">
        <v>42</v>
      </c>
      <c r="S435" s="5" t="s">
        <v>116</v>
      </c>
      <c r="T435" s="5" t="s">
        <v>44</v>
      </c>
      <c r="U435" s="5" t="s">
        <v>1182</v>
      </c>
      <c r="V435" s="5" t="s">
        <v>44</v>
      </c>
      <c r="W435" s="5" t="s">
        <v>36</v>
      </c>
      <c r="X435" s="5" t="s">
        <v>206</v>
      </c>
      <c r="Y435" s="5" t="s">
        <v>46</v>
      </c>
      <c r="Z435" s="5" t="s">
        <v>47</v>
      </c>
      <c r="AA435" s="5" t="s">
        <v>48</v>
      </c>
      <c r="AB435" s="5" t="s">
        <v>2083</v>
      </c>
      <c r="AC435" s="6" t="s">
        <v>34</v>
      </c>
      <c r="AD435" s="6">
        <v>3065.0</v>
      </c>
    </row>
    <row r="436" ht="56.25" customHeight="1">
      <c r="A436" s="5" t="s">
        <v>2084</v>
      </c>
      <c r="B436" s="16" t="str">
        <f>IMAGE("https://storage.googleapis.com/acdb/miscellaneous/FtrTrophyInsectGold.png")</f>
        <v/>
      </c>
      <c r="C436" s="5" t="s">
        <v>34</v>
      </c>
      <c r="D436" s="5" t="s">
        <v>34</v>
      </c>
      <c r="E436" s="5" t="s">
        <v>34</v>
      </c>
      <c r="F436" s="5" t="s">
        <v>34</v>
      </c>
      <c r="G436" s="5" t="s">
        <v>36</v>
      </c>
      <c r="H436" s="5" t="s">
        <v>36</v>
      </c>
      <c r="I436" s="5" t="s">
        <v>36</v>
      </c>
      <c r="J436" s="6" t="s">
        <v>34</v>
      </c>
      <c r="K436" s="6" t="s">
        <v>37</v>
      </c>
      <c r="L436" s="6">
        <v>450.0</v>
      </c>
      <c r="M436" s="5" t="s">
        <v>114</v>
      </c>
      <c r="N436" s="5" t="s">
        <v>39</v>
      </c>
      <c r="O436" s="6" t="s">
        <v>40</v>
      </c>
      <c r="P436" s="5" t="s">
        <v>393</v>
      </c>
      <c r="Q436" s="5"/>
      <c r="R436" s="6" t="s">
        <v>42</v>
      </c>
      <c r="S436" s="5" t="s">
        <v>116</v>
      </c>
      <c r="T436" s="5" t="s">
        <v>44</v>
      </c>
      <c r="U436" s="5" t="s">
        <v>44</v>
      </c>
      <c r="V436" s="5" t="s">
        <v>44</v>
      </c>
      <c r="W436" s="5" t="s">
        <v>36</v>
      </c>
      <c r="X436" s="5" t="s">
        <v>206</v>
      </c>
      <c r="Y436" s="5" t="s">
        <v>46</v>
      </c>
      <c r="Z436" s="5" t="s">
        <v>47</v>
      </c>
      <c r="AA436" s="5" t="s">
        <v>48</v>
      </c>
      <c r="AB436" s="5" t="s">
        <v>2088</v>
      </c>
      <c r="AC436" s="6" t="s">
        <v>34</v>
      </c>
      <c r="AD436" s="6">
        <v>1203.0</v>
      </c>
    </row>
    <row r="437" ht="56.25" customHeight="1">
      <c r="A437" s="5" t="s">
        <v>2089</v>
      </c>
      <c r="B437" s="16" t="str">
        <f>IMAGE("https://storage.googleapis.com/acdb/miscellaneous/FtrTrophyFishGold.png")</f>
        <v/>
      </c>
      <c r="C437" s="5" t="s">
        <v>34</v>
      </c>
      <c r="D437" s="5" t="s">
        <v>34</v>
      </c>
      <c r="E437" s="5" t="s">
        <v>34</v>
      </c>
      <c r="F437" s="5" t="s">
        <v>34</v>
      </c>
      <c r="G437" s="5" t="s">
        <v>36</v>
      </c>
      <c r="H437" s="5" t="s">
        <v>36</v>
      </c>
      <c r="I437" s="5" t="s">
        <v>36</v>
      </c>
      <c r="J437" s="6" t="s">
        <v>34</v>
      </c>
      <c r="K437" s="6" t="s">
        <v>37</v>
      </c>
      <c r="L437" s="6">
        <v>450.0</v>
      </c>
      <c r="M437" s="5" t="s">
        <v>114</v>
      </c>
      <c r="N437" s="5" t="s">
        <v>39</v>
      </c>
      <c r="O437" s="6" t="s">
        <v>40</v>
      </c>
      <c r="P437" s="5" t="s">
        <v>137</v>
      </c>
      <c r="Q437" s="5"/>
      <c r="R437" s="6" t="s">
        <v>42</v>
      </c>
      <c r="S437" s="5" t="s">
        <v>116</v>
      </c>
      <c r="T437" s="5" t="s">
        <v>44</v>
      </c>
      <c r="U437" s="5" t="s">
        <v>44</v>
      </c>
      <c r="V437" s="5" t="s">
        <v>44</v>
      </c>
      <c r="W437" s="5" t="s">
        <v>36</v>
      </c>
      <c r="X437" s="5" t="s">
        <v>206</v>
      </c>
      <c r="Y437" s="5" t="s">
        <v>46</v>
      </c>
      <c r="Z437" s="5" t="s">
        <v>47</v>
      </c>
      <c r="AA437" s="5" t="s">
        <v>48</v>
      </c>
      <c r="AB437" s="5" t="s">
        <v>2094</v>
      </c>
      <c r="AC437" s="6" t="s">
        <v>34</v>
      </c>
      <c r="AD437" s="6">
        <v>1200.0</v>
      </c>
    </row>
    <row r="438" ht="56.25" customHeight="1">
      <c r="A438" s="5" t="s">
        <v>2096</v>
      </c>
      <c r="B438" s="16" t="str">
        <f>IMAGE("https://storage.googleapis.com/acdb/miscellaneous/FtrTrophyHhaGold.png")</f>
        <v/>
      </c>
      <c r="C438" s="5" t="s">
        <v>34</v>
      </c>
      <c r="D438" s="5" t="s">
        <v>34</v>
      </c>
      <c r="E438" s="5" t="s">
        <v>34</v>
      </c>
      <c r="F438" s="5" t="s">
        <v>34</v>
      </c>
      <c r="G438" s="5" t="s">
        <v>36</v>
      </c>
      <c r="H438" s="5" t="s">
        <v>36</v>
      </c>
      <c r="I438" s="5" t="s">
        <v>36</v>
      </c>
      <c r="J438" s="6" t="s">
        <v>34</v>
      </c>
      <c r="K438" s="6" t="s">
        <v>37</v>
      </c>
      <c r="L438" s="6">
        <v>450.0</v>
      </c>
      <c r="M438" s="5" t="s">
        <v>114</v>
      </c>
      <c r="N438" s="5" t="s">
        <v>39</v>
      </c>
      <c r="O438" s="6" t="s">
        <v>40</v>
      </c>
      <c r="P438" s="5" t="s">
        <v>423</v>
      </c>
      <c r="Q438" s="5"/>
      <c r="R438" s="6" t="s">
        <v>42</v>
      </c>
      <c r="S438" s="5" t="s">
        <v>116</v>
      </c>
      <c r="T438" s="5" t="s">
        <v>44</v>
      </c>
      <c r="U438" s="5" t="s">
        <v>44</v>
      </c>
      <c r="V438" s="5" t="s">
        <v>44</v>
      </c>
      <c r="W438" s="5" t="s">
        <v>36</v>
      </c>
      <c r="X438" s="5" t="s">
        <v>206</v>
      </c>
      <c r="Y438" s="5" t="s">
        <v>46</v>
      </c>
      <c r="Z438" s="5" t="s">
        <v>47</v>
      </c>
      <c r="AA438" s="5" t="s">
        <v>48</v>
      </c>
      <c r="AB438" s="5" t="s">
        <v>2100</v>
      </c>
      <c r="AC438" s="6" t="s">
        <v>34</v>
      </c>
      <c r="AD438" s="6">
        <v>7032.0</v>
      </c>
    </row>
    <row r="439" ht="56.25" customHeight="1">
      <c r="A439" s="5" t="s">
        <v>2103</v>
      </c>
      <c r="B439" s="16" t="str">
        <f>IMAGE("https://storage.googleapis.com/acdb/miscellaneous/FtrFishArowanaGold.png")</f>
        <v/>
      </c>
      <c r="C439" s="5" t="s">
        <v>34</v>
      </c>
      <c r="D439" s="5" t="s">
        <v>34</v>
      </c>
      <c r="E439" s="5" t="s">
        <v>34</v>
      </c>
      <c r="F439" s="5" t="s">
        <v>34</v>
      </c>
      <c r="G439" s="5" t="s">
        <v>35</v>
      </c>
      <c r="H439" s="5" t="s">
        <v>36</v>
      </c>
      <c r="I439" s="5" t="s">
        <v>36</v>
      </c>
      <c r="J439" s="6" t="s">
        <v>34</v>
      </c>
      <c r="K439" s="6" t="s">
        <v>37</v>
      </c>
      <c r="L439" s="6">
        <v>30000.0</v>
      </c>
      <c r="M439" s="5" t="s">
        <v>114</v>
      </c>
      <c r="N439" s="5" t="s">
        <v>39</v>
      </c>
      <c r="O439" s="6" t="s">
        <v>40</v>
      </c>
      <c r="P439" s="5" t="s">
        <v>41</v>
      </c>
      <c r="Q439" s="5"/>
      <c r="R439" s="6" t="s">
        <v>42</v>
      </c>
      <c r="S439" s="5" t="s">
        <v>138</v>
      </c>
      <c r="T439" s="5" t="s">
        <v>141</v>
      </c>
      <c r="U439" s="5" t="s">
        <v>44</v>
      </c>
      <c r="V439" s="5" t="s">
        <v>44</v>
      </c>
      <c r="W439" s="5" t="s">
        <v>36</v>
      </c>
      <c r="X439" s="5" t="s">
        <v>494</v>
      </c>
      <c r="Y439" s="5" t="s">
        <v>46</v>
      </c>
      <c r="Z439" s="5" t="s">
        <v>47</v>
      </c>
      <c r="AA439" s="5" t="s">
        <v>48</v>
      </c>
      <c r="AB439" s="5" t="s">
        <v>2104</v>
      </c>
      <c r="AC439" s="6" t="s">
        <v>34</v>
      </c>
      <c r="AD439" s="6">
        <v>11260.0</v>
      </c>
    </row>
    <row r="440" ht="56.25" customHeight="1">
      <c r="A440" s="5" t="s">
        <v>2106</v>
      </c>
      <c r="B440" s="16" t="str">
        <f>IMAGE("https://storage.googleapis.com/acdb/miscellaneous/FtrGoldCandlestand.png")</f>
        <v/>
      </c>
      <c r="C440" s="5" t="s">
        <v>34</v>
      </c>
      <c r="D440" s="5" t="s">
        <v>34</v>
      </c>
      <c r="E440" s="5" t="s">
        <v>34</v>
      </c>
      <c r="F440" s="5" t="s">
        <v>34</v>
      </c>
      <c r="G440" s="5" t="s">
        <v>35</v>
      </c>
      <c r="H440" s="5" t="s">
        <v>36</v>
      </c>
      <c r="I440" s="5" t="s">
        <v>36</v>
      </c>
      <c r="J440" s="6" t="s">
        <v>34</v>
      </c>
      <c r="K440" s="6" t="s">
        <v>37</v>
      </c>
      <c r="L440" s="6">
        <v>20000.0</v>
      </c>
      <c r="M440" s="5" t="s">
        <v>114</v>
      </c>
      <c r="N440" s="5" t="s">
        <v>114</v>
      </c>
      <c r="O440" s="6" t="s">
        <v>40</v>
      </c>
      <c r="P440" s="5" t="s">
        <v>41</v>
      </c>
      <c r="Q440" s="5"/>
      <c r="R440" s="6" t="s">
        <v>42</v>
      </c>
      <c r="S440" s="5" t="s">
        <v>116</v>
      </c>
      <c r="T440" s="5" t="s">
        <v>732</v>
      </c>
      <c r="U440" s="5" t="s">
        <v>1182</v>
      </c>
      <c r="V440" s="5" t="s">
        <v>44</v>
      </c>
      <c r="W440" s="5" t="s">
        <v>35</v>
      </c>
      <c r="X440" s="5" t="s">
        <v>467</v>
      </c>
      <c r="Y440" s="5" t="s">
        <v>46</v>
      </c>
      <c r="Z440" s="5" t="s">
        <v>495</v>
      </c>
      <c r="AA440" s="5" t="s">
        <v>48</v>
      </c>
      <c r="AB440" s="5" t="s">
        <v>2110</v>
      </c>
      <c r="AC440" s="6" t="s">
        <v>34</v>
      </c>
      <c r="AD440" s="6">
        <v>3772.0</v>
      </c>
    </row>
    <row r="441" ht="56.25" customHeight="1">
      <c r="A441" s="5" t="s">
        <v>2111</v>
      </c>
      <c r="B441" s="16" t="str">
        <f>IMAGE("https://storage.googleapis.com/acdb/miscellaneous/FtrGoldDishes.png")</f>
        <v/>
      </c>
      <c r="C441" s="5" t="s">
        <v>34</v>
      </c>
      <c r="D441" s="5" t="s">
        <v>34</v>
      </c>
      <c r="E441" s="5" t="s">
        <v>34</v>
      </c>
      <c r="F441" s="5" t="s">
        <v>34</v>
      </c>
      <c r="G441" s="5" t="s">
        <v>35</v>
      </c>
      <c r="H441" s="5" t="s">
        <v>36</v>
      </c>
      <c r="I441" s="5" t="s">
        <v>36</v>
      </c>
      <c r="J441" s="6" t="s">
        <v>34</v>
      </c>
      <c r="K441" s="6" t="s">
        <v>37</v>
      </c>
      <c r="L441" s="6">
        <v>10000.0</v>
      </c>
      <c r="M441" s="5" t="s">
        <v>114</v>
      </c>
      <c r="N441" s="5" t="s">
        <v>52</v>
      </c>
      <c r="O441" s="6" t="s">
        <v>40</v>
      </c>
      <c r="P441" s="5" t="s">
        <v>41</v>
      </c>
      <c r="Q441" s="5"/>
      <c r="R441" s="6" t="s">
        <v>42</v>
      </c>
      <c r="S441" s="5" t="s">
        <v>159</v>
      </c>
      <c r="T441" s="5" t="s">
        <v>116</v>
      </c>
      <c r="U441" s="5" t="s">
        <v>1182</v>
      </c>
      <c r="V441" s="5" t="s">
        <v>44</v>
      </c>
      <c r="W441" s="5" t="s">
        <v>36</v>
      </c>
      <c r="X441" s="5" t="s">
        <v>521</v>
      </c>
      <c r="Y441" s="5" t="s">
        <v>46</v>
      </c>
      <c r="Z441" s="5" t="s">
        <v>47</v>
      </c>
      <c r="AA441" s="5" t="s">
        <v>48</v>
      </c>
      <c r="AB441" s="5" t="s">
        <v>2115</v>
      </c>
      <c r="AC441" s="6" t="s">
        <v>34</v>
      </c>
      <c r="AD441" s="6">
        <v>3810.0</v>
      </c>
    </row>
    <row r="442" ht="56.25" customHeight="1">
      <c r="A442" s="5" t="s">
        <v>2117</v>
      </c>
      <c r="B442" s="16" t="str">
        <f>IMAGE("https://storage.googleapis.com/acdb/miscellaneous/FtrInsectKabutomushiGold.png")</f>
        <v/>
      </c>
      <c r="C442" s="5" t="s">
        <v>34</v>
      </c>
      <c r="D442" s="5" t="s">
        <v>34</v>
      </c>
      <c r="E442" s="5" t="s">
        <v>34</v>
      </c>
      <c r="F442" s="5" t="s">
        <v>34</v>
      </c>
      <c r="G442" s="5" t="s">
        <v>35</v>
      </c>
      <c r="H442" s="5" t="s">
        <v>36</v>
      </c>
      <c r="I442" s="5" t="s">
        <v>36</v>
      </c>
      <c r="J442" s="6" t="s">
        <v>34</v>
      </c>
      <c r="K442" s="6" t="s">
        <v>37</v>
      </c>
      <c r="L442" s="6">
        <v>30000.0</v>
      </c>
      <c r="M442" s="5" t="s">
        <v>114</v>
      </c>
      <c r="N442" s="5" t="s">
        <v>114</v>
      </c>
      <c r="O442" s="6" t="s">
        <v>40</v>
      </c>
      <c r="P442" s="5" t="s">
        <v>41</v>
      </c>
      <c r="Q442" s="5"/>
      <c r="R442" s="6" t="s">
        <v>42</v>
      </c>
      <c r="S442" s="5" t="s">
        <v>116</v>
      </c>
      <c r="T442" s="5" t="s">
        <v>44</v>
      </c>
      <c r="U442" s="5" t="s">
        <v>44</v>
      </c>
      <c r="V442" s="5" t="s">
        <v>44</v>
      </c>
      <c r="W442" s="5" t="s">
        <v>36</v>
      </c>
      <c r="X442" s="5" t="s">
        <v>109</v>
      </c>
      <c r="Y442" s="5" t="s">
        <v>46</v>
      </c>
      <c r="Z442" s="5" t="s">
        <v>47</v>
      </c>
      <c r="AA442" s="5" t="s">
        <v>48</v>
      </c>
      <c r="AB442" s="5" t="s">
        <v>2120</v>
      </c>
      <c r="AC442" s="6" t="s">
        <v>34</v>
      </c>
      <c r="AD442" s="6">
        <v>5941.0</v>
      </c>
    </row>
    <row r="443" ht="56.25" customHeight="1">
      <c r="A443" s="5" t="s">
        <v>2121</v>
      </c>
      <c r="B443" s="16" t="str">
        <f>IMAGE("https://storage.googleapis.com/acdb/miscellaneous/FtrInsectOugononikuwagataToy.png")</f>
        <v/>
      </c>
      <c r="C443" s="5" t="s">
        <v>34</v>
      </c>
      <c r="D443" s="5" t="s">
        <v>34</v>
      </c>
      <c r="E443" s="5" t="s">
        <v>34</v>
      </c>
      <c r="F443" s="5" t="s">
        <v>34</v>
      </c>
      <c r="G443" s="5" t="s">
        <v>36</v>
      </c>
      <c r="H443" s="5" t="s">
        <v>36</v>
      </c>
      <c r="I443" s="5" t="s">
        <v>36</v>
      </c>
      <c r="J443" s="6" t="s">
        <v>34</v>
      </c>
      <c r="K443" s="6" t="s">
        <v>37</v>
      </c>
      <c r="L443" s="6">
        <v>36000.0</v>
      </c>
      <c r="M443" s="5" t="s">
        <v>54</v>
      </c>
      <c r="N443" s="5" t="s">
        <v>114</v>
      </c>
      <c r="O443" s="6" t="s">
        <v>40</v>
      </c>
      <c r="P443" s="5" t="s">
        <v>107</v>
      </c>
      <c r="Q443" s="5" t="s">
        <v>108</v>
      </c>
      <c r="R443" s="6" t="s">
        <v>42</v>
      </c>
      <c r="S443" s="5" t="s">
        <v>44</v>
      </c>
      <c r="T443" s="5" t="s">
        <v>44</v>
      </c>
      <c r="U443" s="5" t="s">
        <v>44</v>
      </c>
      <c r="V443" s="5" t="s">
        <v>44</v>
      </c>
      <c r="W443" s="5" t="s">
        <v>36</v>
      </c>
      <c r="X443" s="5" t="s">
        <v>109</v>
      </c>
      <c r="Y443" s="5" t="s">
        <v>46</v>
      </c>
      <c r="Z443" s="5" t="s">
        <v>47</v>
      </c>
      <c r="AA443" s="5" t="s">
        <v>48</v>
      </c>
      <c r="AB443" s="5" t="s">
        <v>2125</v>
      </c>
      <c r="AC443" s="6" t="s">
        <v>34</v>
      </c>
      <c r="AD443" s="6">
        <v>7093.0</v>
      </c>
    </row>
    <row r="444" ht="56.25" customHeight="1">
      <c r="A444" s="5" t="s">
        <v>2126</v>
      </c>
      <c r="B444" s="16" t="str">
        <f>IMAGE("https://storage.googleapis.com/acdb/miscellaneous/FtrFishGoldenTorautoToy.png")</f>
        <v/>
      </c>
      <c r="C444" s="5" t="s">
        <v>34</v>
      </c>
      <c r="D444" s="5" t="s">
        <v>34</v>
      </c>
      <c r="E444" s="5" t="s">
        <v>34</v>
      </c>
      <c r="F444" s="5" t="s">
        <v>34</v>
      </c>
      <c r="G444" s="5" t="s">
        <v>36</v>
      </c>
      <c r="H444" s="5" t="s">
        <v>36</v>
      </c>
      <c r="I444" s="5" t="s">
        <v>36</v>
      </c>
      <c r="J444" s="6" t="s">
        <v>34</v>
      </c>
      <c r="K444" s="6" t="s">
        <v>37</v>
      </c>
      <c r="L444" s="6">
        <v>45000.0</v>
      </c>
      <c r="M444" s="5" t="s">
        <v>39</v>
      </c>
      <c r="N444" s="5" t="s">
        <v>54</v>
      </c>
      <c r="O444" s="6" t="s">
        <v>40</v>
      </c>
      <c r="P444" s="5" t="s">
        <v>213</v>
      </c>
      <c r="Q444" s="5" t="s">
        <v>215</v>
      </c>
      <c r="R444" s="6" t="s">
        <v>42</v>
      </c>
      <c r="S444" s="5" t="s">
        <v>44</v>
      </c>
      <c r="T444" s="5" t="s">
        <v>44</v>
      </c>
      <c r="U444" s="5" t="s">
        <v>44</v>
      </c>
      <c r="V444" s="5" t="s">
        <v>44</v>
      </c>
      <c r="W444" s="5" t="s">
        <v>36</v>
      </c>
      <c r="X444" s="5" t="s">
        <v>219</v>
      </c>
      <c r="Y444" s="5" t="s">
        <v>46</v>
      </c>
      <c r="Z444" s="5" t="s">
        <v>47</v>
      </c>
      <c r="AA444" s="5" t="s">
        <v>48</v>
      </c>
      <c r="AB444" s="5" t="s">
        <v>2129</v>
      </c>
      <c r="AC444" s="6" t="s">
        <v>34</v>
      </c>
      <c r="AD444" s="6">
        <v>6953.0</v>
      </c>
    </row>
    <row r="445" ht="56.25" customHeight="1">
      <c r="A445" s="5" t="s">
        <v>2130</v>
      </c>
      <c r="B445" s="16" t="str">
        <f>IMAGE("https://storage.googleapis.com/acdb/miscellaneous/FtrFishKingyoToy.png")</f>
        <v/>
      </c>
      <c r="C445" s="5" t="s">
        <v>34</v>
      </c>
      <c r="D445" s="5" t="s">
        <v>34</v>
      </c>
      <c r="E445" s="5" t="s">
        <v>34</v>
      </c>
      <c r="F445" s="5" t="s">
        <v>34</v>
      </c>
      <c r="G445" s="5" t="s">
        <v>36</v>
      </c>
      <c r="H445" s="5" t="s">
        <v>36</v>
      </c>
      <c r="I445" s="5" t="s">
        <v>36</v>
      </c>
      <c r="J445" s="6" t="s">
        <v>34</v>
      </c>
      <c r="K445" s="6" t="s">
        <v>37</v>
      </c>
      <c r="L445" s="6">
        <v>3900.0</v>
      </c>
      <c r="M445" s="5" t="s">
        <v>52</v>
      </c>
      <c r="N445" s="5" t="s">
        <v>54</v>
      </c>
      <c r="O445" s="6" t="s">
        <v>40</v>
      </c>
      <c r="P445" s="5" t="s">
        <v>213</v>
      </c>
      <c r="Q445" s="5" t="s">
        <v>215</v>
      </c>
      <c r="R445" s="6" t="s">
        <v>42</v>
      </c>
      <c r="S445" s="5" t="s">
        <v>44</v>
      </c>
      <c r="T445" s="5" t="s">
        <v>44</v>
      </c>
      <c r="U445" s="5" t="s">
        <v>44</v>
      </c>
      <c r="V445" s="5" t="s">
        <v>44</v>
      </c>
      <c r="W445" s="5" t="s">
        <v>36</v>
      </c>
      <c r="X445" s="5" t="s">
        <v>219</v>
      </c>
      <c r="Y445" s="5" t="s">
        <v>46</v>
      </c>
      <c r="Z445" s="5" t="s">
        <v>47</v>
      </c>
      <c r="AA445" s="5" t="s">
        <v>48</v>
      </c>
      <c r="AB445" s="5" t="s">
        <v>2134</v>
      </c>
      <c r="AC445" s="6" t="s">
        <v>34</v>
      </c>
      <c r="AD445" s="6">
        <v>6930.0</v>
      </c>
    </row>
    <row r="446" ht="56.25" customHeight="1">
      <c r="A446" s="5" t="s">
        <v>2135</v>
      </c>
      <c r="B446" s="16" t="str">
        <f>IMAGE("https://storage.googleapis.com/acdb/miscellaneous/FtrInsectYonagunisanToy.png")</f>
        <v/>
      </c>
      <c r="C446" s="5" t="s">
        <v>34</v>
      </c>
      <c r="D446" s="5" t="s">
        <v>34</v>
      </c>
      <c r="E446" s="5" t="s">
        <v>34</v>
      </c>
      <c r="F446" s="5" t="s">
        <v>34</v>
      </c>
      <c r="G446" s="5" t="s">
        <v>36</v>
      </c>
      <c r="H446" s="5" t="s">
        <v>36</v>
      </c>
      <c r="I446" s="5" t="s">
        <v>36</v>
      </c>
      <c r="J446" s="6" t="s">
        <v>34</v>
      </c>
      <c r="K446" s="6" t="s">
        <v>37</v>
      </c>
      <c r="L446" s="6">
        <v>9000.0</v>
      </c>
      <c r="M446" s="5" t="s">
        <v>39</v>
      </c>
      <c r="N446" s="5" t="s">
        <v>39</v>
      </c>
      <c r="O446" s="6" t="s">
        <v>40</v>
      </c>
      <c r="P446" s="5" t="s">
        <v>107</v>
      </c>
      <c r="Q446" s="5" t="s">
        <v>108</v>
      </c>
      <c r="R446" s="6" t="s">
        <v>42</v>
      </c>
      <c r="S446" s="5" t="s">
        <v>44</v>
      </c>
      <c r="T446" s="5" t="s">
        <v>44</v>
      </c>
      <c r="U446" s="5" t="s">
        <v>44</v>
      </c>
      <c r="V446" s="5" t="s">
        <v>44</v>
      </c>
      <c r="W446" s="5" t="s">
        <v>36</v>
      </c>
      <c r="X446" s="5" t="s">
        <v>109</v>
      </c>
      <c r="Y446" s="5" t="s">
        <v>46</v>
      </c>
      <c r="Z446" s="5" t="s">
        <v>47</v>
      </c>
      <c r="AA446" s="5" t="s">
        <v>48</v>
      </c>
      <c r="AB446" s="5" t="s">
        <v>2142</v>
      </c>
      <c r="AC446" s="6" t="s">
        <v>34</v>
      </c>
      <c r="AD446" s="6">
        <v>7109.0</v>
      </c>
    </row>
    <row r="447" ht="56.25" customHeight="1">
      <c r="A447" s="5" t="s">
        <v>2143</v>
      </c>
      <c r="B447" s="16" t="str">
        <f>IMAGE("https://storage.googleapis.com/acdb/miscellaneous/FtrInsectOniyanmaToy.png")</f>
        <v/>
      </c>
      <c r="C447" s="5" t="s">
        <v>34</v>
      </c>
      <c r="D447" s="5" t="s">
        <v>34</v>
      </c>
      <c r="E447" s="5" t="s">
        <v>34</v>
      </c>
      <c r="F447" s="5" t="s">
        <v>34</v>
      </c>
      <c r="G447" s="5" t="s">
        <v>36</v>
      </c>
      <c r="H447" s="5" t="s">
        <v>36</v>
      </c>
      <c r="I447" s="5" t="s">
        <v>36</v>
      </c>
      <c r="J447" s="6" t="s">
        <v>34</v>
      </c>
      <c r="K447" s="6" t="s">
        <v>37</v>
      </c>
      <c r="L447" s="6">
        <v>13500.0</v>
      </c>
      <c r="M447" s="5" t="s">
        <v>54</v>
      </c>
      <c r="N447" s="5" t="s">
        <v>114</v>
      </c>
      <c r="O447" s="6" t="s">
        <v>40</v>
      </c>
      <c r="P447" s="5" t="s">
        <v>107</v>
      </c>
      <c r="Q447" s="5" t="s">
        <v>108</v>
      </c>
      <c r="R447" s="6" t="s">
        <v>42</v>
      </c>
      <c r="S447" s="5" t="s">
        <v>44</v>
      </c>
      <c r="T447" s="5" t="s">
        <v>44</v>
      </c>
      <c r="U447" s="5" t="s">
        <v>44</v>
      </c>
      <c r="V447" s="5" t="s">
        <v>44</v>
      </c>
      <c r="W447" s="5" t="s">
        <v>36</v>
      </c>
      <c r="X447" s="5" t="s">
        <v>109</v>
      </c>
      <c r="Y447" s="5" t="s">
        <v>46</v>
      </c>
      <c r="Z447" s="5" t="s">
        <v>47</v>
      </c>
      <c r="AA447" s="5" t="s">
        <v>48</v>
      </c>
      <c r="AB447" s="5" t="s">
        <v>2147</v>
      </c>
      <c r="AC447" s="6" t="s">
        <v>34</v>
      </c>
      <c r="AD447" s="6">
        <v>7090.0</v>
      </c>
    </row>
    <row r="448" ht="56.25" customHeight="1">
      <c r="A448" s="5" t="s">
        <v>2148</v>
      </c>
      <c r="B448" s="6" t="str">
        <f>IMAGE("https://storage.googleapis.com/acdb/miscellaneous/FtrInsectGirafanokogirikuwagataToy.png")</f>
        <v/>
      </c>
      <c r="C448" s="5" t="s">
        <v>34</v>
      </c>
      <c r="D448" s="5" t="s">
        <v>34</v>
      </c>
      <c r="E448" s="5" t="s">
        <v>34</v>
      </c>
      <c r="F448" s="5" t="s">
        <v>34</v>
      </c>
      <c r="G448" s="5" t="s">
        <v>36</v>
      </c>
      <c r="H448" s="5" t="s">
        <v>36</v>
      </c>
      <c r="I448" s="5" t="s">
        <v>36</v>
      </c>
      <c r="J448" s="6" t="s">
        <v>34</v>
      </c>
      <c r="K448" s="6" t="s">
        <v>37</v>
      </c>
      <c r="L448" s="6">
        <v>36000.0</v>
      </c>
      <c r="M448" s="5" t="s">
        <v>54</v>
      </c>
      <c r="N448" s="5" t="s">
        <v>54</v>
      </c>
      <c r="O448" s="6" t="s">
        <v>40</v>
      </c>
      <c r="P448" s="5" t="s">
        <v>107</v>
      </c>
      <c r="Q448" s="5" t="s">
        <v>108</v>
      </c>
      <c r="R448" s="6" t="s">
        <v>42</v>
      </c>
      <c r="S448" s="5" t="s">
        <v>44</v>
      </c>
      <c r="T448" s="5" t="s">
        <v>44</v>
      </c>
      <c r="U448" s="5" t="s">
        <v>44</v>
      </c>
      <c r="V448" s="5" t="s">
        <v>44</v>
      </c>
      <c r="W448" s="5" t="s">
        <v>36</v>
      </c>
      <c r="X448" s="5" t="s">
        <v>109</v>
      </c>
      <c r="Y448" s="5" t="s">
        <v>46</v>
      </c>
      <c r="Z448" s="5" t="s">
        <v>47</v>
      </c>
      <c r="AA448" s="5" t="s">
        <v>48</v>
      </c>
      <c r="AB448" s="5" t="s">
        <v>2153</v>
      </c>
      <c r="AC448" s="6" t="s">
        <v>34</v>
      </c>
      <c r="AD448" s="6">
        <v>7115.0</v>
      </c>
    </row>
    <row r="449" ht="56.25" customHeight="1">
      <c r="A449" s="5" t="s">
        <v>2155</v>
      </c>
      <c r="B449" s="6" t="str">
        <f>IMAGE("https://storage.googleapis.com/acdb/miscellaneous/FtrInsectGoraiasuohtsunohanamuguriToy.png")</f>
        <v/>
      </c>
      <c r="C449" s="5" t="s">
        <v>34</v>
      </c>
      <c r="D449" s="5" t="s">
        <v>34</v>
      </c>
      <c r="E449" s="5" t="s">
        <v>34</v>
      </c>
      <c r="F449" s="5" t="s">
        <v>34</v>
      </c>
      <c r="G449" s="5" t="s">
        <v>36</v>
      </c>
      <c r="H449" s="5" t="s">
        <v>36</v>
      </c>
      <c r="I449" s="5" t="s">
        <v>36</v>
      </c>
      <c r="J449" s="6" t="s">
        <v>34</v>
      </c>
      <c r="K449" s="6" t="s">
        <v>37</v>
      </c>
      <c r="L449" s="6">
        <v>24000.0</v>
      </c>
      <c r="M449" s="5" t="s">
        <v>52</v>
      </c>
      <c r="N449" s="5" t="s">
        <v>54</v>
      </c>
      <c r="O449" s="6" t="s">
        <v>40</v>
      </c>
      <c r="P449" s="5" t="s">
        <v>107</v>
      </c>
      <c r="Q449" s="5" t="s">
        <v>108</v>
      </c>
      <c r="R449" s="6" t="s">
        <v>42</v>
      </c>
      <c r="S449" s="5" t="s">
        <v>44</v>
      </c>
      <c r="T449" s="5" t="s">
        <v>44</v>
      </c>
      <c r="U449" s="5" t="s">
        <v>44</v>
      </c>
      <c r="V449" s="5" t="s">
        <v>44</v>
      </c>
      <c r="W449" s="5" t="s">
        <v>36</v>
      </c>
      <c r="X449" s="5" t="s">
        <v>109</v>
      </c>
      <c r="Y449" s="5" t="s">
        <v>46</v>
      </c>
      <c r="Z449" s="5" t="s">
        <v>47</v>
      </c>
      <c r="AA449" s="5" t="s">
        <v>48</v>
      </c>
      <c r="AB449" s="5" t="s">
        <v>2158</v>
      </c>
      <c r="AC449" s="6" t="s">
        <v>34</v>
      </c>
      <c r="AD449" s="6">
        <v>7059.0</v>
      </c>
    </row>
    <row r="450" ht="56.25" customHeight="1">
      <c r="A450" s="5" t="s">
        <v>2160</v>
      </c>
      <c r="B450" s="6" t="str">
        <f>IMAGE("https://storage.googleapis.com/acdb/miscellaneous/FtrInsectHerakuresuohkabutoToy.png")</f>
        <v/>
      </c>
      <c r="C450" s="5" t="s">
        <v>34</v>
      </c>
      <c r="D450" s="5" t="s">
        <v>34</v>
      </c>
      <c r="E450" s="5" t="s">
        <v>34</v>
      </c>
      <c r="F450" s="5" t="s">
        <v>34</v>
      </c>
      <c r="G450" s="5" t="s">
        <v>36</v>
      </c>
      <c r="H450" s="5" t="s">
        <v>36</v>
      </c>
      <c r="I450" s="5" t="s">
        <v>36</v>
      </c>
      <c r="J450" s="6" t="s">
        <v>34</v>
      </c>
      <c r="K450" s="6" t="s">
        <v>37</v>
      </c>
      <c r="L450" s="6">
        <v>36000.0</v>
      </c>
      <c r="M450" s="5" t="s">
        <v>54</v>
      </c>
      <c r="N450" s="5" t="s">
        <v>114</v>
      </c>
      <c r="O450" s="6" t="s">
        <v>40</v>
      </c>
      <c r="P450" s="5" t="s">
        <v>107</v>
      </c>
      <c r="Q450" s="5" t="s">
        <v>108</v>
      </c>
      <c r="R450" s="6" t="s">
        <v>42</v>
      </c>
      <c r="S450" s="5" t="s">
        <v>44</v>
      </c>
      <c r="T450" s="5" t="s">
        <v>44</v>
      </c>
      <c r="U450" s="5" t="s">
        <v>44</v>
      </c>
      <c r="V450" s="5" t="s">
        <v>44</v>
      </c>
      <c r="W450" s="5" t="s">
        <v>36</v>
      </c>
      <c r="X450" s="5" t="s">
        <v>109</v>
      </c>
      <c r="Y450" s="5" t="s">
        <v>46</v>
      </c>
      <c r="Z450" s="5" t="s">
        <v>47</v>
      </c>
      <c r="AA450" s="5" t="s">
        <v>48</v>
      </c>
      <c r="AB450" s="5" t="s">
        <v>2164</v>
      </c>
      <c r="AC450" s="6" t="s">
        <v>34</v>
      </c>
      <c r="AD450" s="6">
        <v>5924.0</v>
      </c>
    </row>
    <row r="451" ht="56.25" customHeight="1">
      <c r="A451" s="5" t="s">
        <v>2165</v>
      </c>
      <c r="B451" s="6" t="str">
        <f>IMAGE("https://storage.googleapis.com/acdb/miscellaneous/FtrInsectArekisandoratoribaneagehaToy.png")</f>
        <v/>
      </c>
      <c r="C451" s="5" t="s">
        <v>34</v>
      </c>
      <c r="D451" s="5" t="s">
        <v>34</v>
      </c>
      <c r="E451" s="5" t="s">
        <v>34</v>
      </c>
      <c r="F451" s="5" t="s">
        <v>34</v>
      </c>
      <c r="G451" s="5" t="s">
        <v>36</v>
      </c>
      <c r="H451" s="5" t="s">
        <v>36</v>
      </c>
      <c r="I451" s="5" t="s">
        <v>36</v>
      </c>
      <c r="J451" s="6" t="s">
        <v>34</v>
      </c>
      <c r="K451" s="6" t="s">
        <v>37</v>
      </c>
      <c r="L451" s="6">
        <v>12000.0</v>
      </c>
      <c r="M451" s="5" t="s">
        <v>54</v>
      </c>
      <c r="N451" s="5" t="s">
        <v>96</v>
      </c>
      <c r="O451" s="6" t="s">
        <v>40</v>
      </c>
      <c r="P451" s="5" t="s">
        <v>107</v>
      </c>
      <c r="Q451" s="5" t="s">
        <v>108</v>
      </c>
      <c r="R451" s="6" t="s">
        <v>42</v>
      </c>
      <c r="S451" s="5" t="s">
        <v>44</v>
      </c>
      <c r="T451" s="5" t="s">
        <v>44</v>
      </c>
      <c r="U451" s="5" t="s">
        <v>44</v>
      </c>
      <c r="V451" s="5" t="s">
        <v>44</v>
      </c>
      <c r="W451" s="5" t="s">
        <v>36</v>
      </c>
      <c r="X451" s="5" t="s">
        <v>109</v>
      </c>
      <c r="Y451" s="5" t="s">
        <v>46</v>
      </c>
      <c r="Z451" s="5" t="s">
        <v>47</v>
      </c>
      <c r="AA451" s="5" t="s">
        <v>48</v>
      </c>
      <c r="AB451" s="5" t="s">
        <v>2169</v>
      </c>
      <c r="AC451" s="6" t="s">
        <v>34</v>
      </c>
      <c r="AD451" s="6">
        <v>7051.0</v>
      </c>
    </row>
    <row r="452" ht="56.25" customHeight="1">
      <c r="A452" s="5" t="s">
        <v>2170</v>
      </c>
      <c r="B452" s="16" t="str">
        <f>IMAGE("https://storage.googleapis.com/acdb/miscellaneous/FtrInsectKirigirisuToy.png")</f>
        <v/>
      </c>
      <c r="C452" s="5" t="s">
        <v>34</v>
      </c>
      <c r="D452" s="5" t="s">
        <v>34</v>
      </c>
      <c r="E452" s="5" t="s">
        <v>34</v>
      </c>
      <c r="F452" s="5" t="s">
        <v>34</v>
      </c>
      <c r="G452" s="5" t="s">
        <v>36</v>
      </c>
      <c r="H452" s="5" t="s">
        <v>36</v>
      </c>
      <c r="I452" s="5" t="s">
        <v>36</v>
      </c>
      <c r="J452" s="6" t="s">
        <v>34</v>
      </c>
      <c r="K452" s="6" t="s">
        <v>37</v>
      </c>
      <c r="L452" s="6">
        <v>480.0</v>
      </c>
      <c r="M452" s="5" t="s">
        <v>96</v>
      </c>
      <c r="N452" s="5" t="s">
        <v>96</v>
      </c>
      <c r="O452" s="6" t="s">
        <v>40</v>
      </c>
      <c r="P452" s="5" t="s">
        <v>107</v>
      </c>
      <c r="Q452" s="5" t="s">
        <v>108</v>
      </c>
      <c r="R452" s="6" t="s">
        <v>42</v>
      </c>
      <c r="S452" s="5" t="s">
        <v>44</v>
      </c>
      <c r="T452" s="5" t="s">
        <v>44</v>
      </c>
      <c r="U452" s="5" t="s">
        <v>44</v>
      </c>
      <c r="V452" s="5" t="s">
        <v>44</v>
      </c>
      <c r="W452" s="5" t="s">
        <v>36</v>
      </c>
      <c r="X452" s="5" t="s">
        <v>109</v>
      </c>
      <c r="Y452" s="5" t="s">
        <v>46</v>
      </c>
      <c r="Z452" s="5" t="s">
        <v>47</v>
      </c>
      <c r="AA452" s="5" t="s">
        <v>48</v>
      </c>
      <c r="AB452" s="5" t="s">
        <v>2174</v>
      </c>
      <c r="AC452" s="6" t="s">
        <v>34</v>
      </c>
      <c r="AD452" s="6">
        <v>7073.0</v>
      </c>
    </row>
    <row r="453" ht="56.25" customHeight="1">
      <c r="A453" s="5" t="s">
        <v>2175</v>
      </c>
      <c r="B453" s="16" t="str">
        <f>IMAGE("https://storage.googleapis.com/acdb/miscellaneous/FtrInsectOhmurasakiToy.png")</f>
        <v/>
      </c>
      <c r="C453" s="5" t="s">
        <v>34</v>
      </c>
      <c r="D453" s="5" t="s">
        <v>34</v>
      </c>
      <c r="E453" s="5" t="s">
        <v>34</v>
      </c>
      <c r="F453" s="5" t="s">
        <v>34</v>
      </c>
      <c r="G453" s="5" t="s">
        <v>36</v>
      </c>
      <c r="H453" s="5" t="s">
        <v>36</v>
      </c>
      <c r="I453" s="5" t="s">
        <v>36</v>
      </c>
      <c r="J453" s="6" t="s">
        <v>34</v>
      </c>
      <c r="K453" s="6" t="s">
        <v>37</v>
      </c>
      <c r="L453" s="6">
        <v>9000.0</v>
      </c>
      <c r="M453" s="5" t="s">
        <v>106</v>
      </c>
      <c r="N453" s="5" t="s">
        <v>54</v>
      </c>
      <c r="O453" s="6" t="s">
        <v>40</v>
      </c>
      <c r="P453" s="5" t="s">
        <v>107</v>
      </c>
      <c r="Q453" s="5" t="s">
        <v>108</v>
      </c>
      <c r="R453" s="6" t="s">
        <v>42</v>
      </c>
      <c r="S453" s="5" t="s">
        <v>44</v>
      </c>
      <c r="T453" s="5" t="s">
        <v>44</v>
      </c>
      <c r="U453" s="5" t="s">
        <v>44</v>
      </c>
      <c r="V453" s="5" t="s">
        <v>44</v>
      </c>
      <c r="W453" s="5" t="s">
        <v>36</v>
      </c>
      <c r="X453" s="5" t="s">
        <v>109</v>
      </c>
      <c r="Y453" s="5" t="s">
        <v>46</v>
      </c>
      <c r="Z453" s="5" t="s">
        <v>47</v>
      </c>
      <c r="AA453" s="5" t="s">
        <v>48</v>
      </c>
      <c r="AB453" s="5" t="s">
        <v>2177</v>
      </c>
      <c r="AC453" s="6" t="s">
        <v>34</v>
      </c>
      <c r="AD453" s="6">
        <v>7113.0</v>
      </c>
    </row>
    <row r="454" ht="56.25" customHeight="1">
      <c r="A454" s="5" t="s">
        <v>2178</v>
      </c>
      <c r="B454" s="6" t="str">
        <f>IMAGE("https://storage.googleapis.com/acdb/miscellaneous/FtrFishSameToy.png")</f>
        <v/>
      </c>
      <c r="C454" s="5" t="s">
        <v>34</v>
      </c>
      <c r="D454" s="5" t="s">
        <v>34</v>
      </c>
      <c r="E454" s="5" t="s">
        <v>34</v>
      </c>
      <c r="F454" s="5" t="s">
        <v>34</v>
      </c>
      <c r="G454" s="5" t="s">
        <v>36</v>
      </c>
      <c r="H454" s="5" t="s">
        <v>36</v>
      </c>
      <c r="I454" s="5" t="s">
        <v>36</v>
      </c>
      <c r="J454" s="6" t="s">
        <v>34</v>
      </c>
      <c r="K454" s="6" t="s">
        <v>37</v>
      </c>
      <c r="L454" s="6">
        <v>45000.0</v>
      </c>
      <c r="M454" s="5" t="s">
        <v>68</v>
      </c>
      <c r="N454" s="5" t="s">
        <v>54</v>
      </c>
      <c r="O454" s="6" t="s">
        <v>276</v>
      </c>
      <c r="P454" s="5" t="s">
        <v>213</v>
      </c>
      <c r="Q454" s="5" t="s">
        <v>215</v>
      </c>
      <c r="R454" s="6" t="s">
        <v>42</v>
      </c>
      <c r="S454" s="5" t="s">
        <v>44</v>
      </c>
      <c r="T454" s="5" t="s">
        <v>44</v>
      </c>
      <c r="U454" s="5" t="s">
        <v>44</v>
      </c>
      <c r="V454" s="5" t="s">
        <v>44</v>
      </c>
      <c r="W454" s="5" t="s">
        <v>36</v>
      </c>
      <c r="X454" s="5" t="s">
        <v>219</v>
      </c>
      <c r="Y454" s="5" t="s">
        <v>46</v>
      </c>
      <c r="Z454" s="5" t="s">
        <v>47</v>
      </c>
      <c r="AA454" s="5" t="s">
        <v>48</v>
      </c>
      <c r="AB454" s="5" t="s">
        <v>2183</v>
      </c>
      <c r="AC454" s="6" t="s">
        <v>34</v>
      </c>
      <c r="AD454" s="6">
        <v>7013.0</v>
      </c>
    </row>
    <row r="455" ht="56.25" customHeight="1">
      <c r="A455" s="5" t="s">
        <v>2184</v>
      </c>
      <c r="B455" s="16" t="str">
        <f>IMAGE("https://storage.googleapis.com/acdb/miscellaneous/FtrFishGuppiToy.png")</f>
        <v/>
      </c>
      <c r="C455" s="5" t="s">
        <v>34</v>
      </c>
      <c r="D455" s="5" t="s">
        <v>34</v>
      </c>
      <c r="E455" s="5" t="s">
        <v>34</v>
      </c>
      <c r="F455" s="5" t="s">
        <v>34</v>
      </c>
      <c r="G455" s="5" t="s">
        <v>36</v>
      </c>
      <c r="H455" s="5" t="s">
        <v>36</v>
      </c>
      <c r="I455" s="5" t="s">
        <v>36</v>
      </c>
      <c r="J455" s="6" t="s">
        <v>34</v>
      </c>
      <c r="K455" s="6" t="s">
        <v>37</v>
      </c>
      <c r="L455" s="6">
        <v>3900.0</v>
      </c>
      <c r="M455" s="5" t="s">
        <v>68</v>
      </c>
      <c r="N455" s="5" t="s">
        <v>54</v>
      </c>
      <c r="O455" s="6" t="s">
        <v>40</v>
      </c>
      <c r="P455" s="5" t="s">
        <v>213</v>
      </c>
      <c r="Q455" s="5" t="s">
        <v>215</v>
      </c>
      <c r="R455" s="6" t="s">
        <v>42</v>
      </c>
      <c r="S455" s="5" t="s">
        <v>44</v>
      </c>
      <c r="T455" s="5" t="s">
        <v>44</v>
      </c>
      <c r="U455" s="5" t="s">
        <v>44</v>
      </c>
      <c r="V455" s="5" t="s">
        <v>44</v>
      </c>
      <c r="W455" s="5" t="s">
        <v>36</v>
      </c>
      <c r="X455" s="5" t="s">
        <v>219</v>
      </c>
      <c r="Y455" s="5" t="s">
        <v>46</v>
      </c>
      <c r="Z455" s="5" t="s">
        <v>47</v>
      </c>
      <c r="AA455" s="5" t="s">
        <v>48</v>
      </c>
      <c r="AB455" s="5" t="s">
        <v>2187</v>
      </c>
      <c r="AC455" s="6" t="s">
        <v>34</v>
      </c>
      <c r="AD455" s="6">
        <v>6954.0</v>
      </c>
    </row>
    <row r="456" ht="56.25" customHeight="1">
      <c r="A456" s="5" t="s">
        <v>2188</v>
      </c>
      <c r="B456" s="16" t="str">
        <f>IMAGE("https://storage.googleapis.com/acdb/miscellaneous/FtrFishShumokuzameToy.png")</f>
        <v/>
      </c>
      <c r="C456" s="5" t="s">
        <v>34</v>
      </c>
      <c r="D456" s="5" t="s">
        <v>34</v>
      </c>
      <c r="E456" s="5" t="s">
        <v>34</v>
      </c>
      <c r="F456" s="5" t="s">
        <v>34</v>
      </c>
      <c r="G456" s="5" t="s">
        <v>36</v>
      </c>
      <c r="H456" s="5" t="s">
        <v>36</v>
      </c>
      <c r="I456" s="5" t="s">
        <v>36</v>
      </c>
      <c r="J456" s="6" t="s">
        <v>34</v>
      </c>
      <c r="K456" s="6" t="s">
        <v>37</v>
      </c>
      <c r="L456" s="6">
        <v>24000.0</v>
      </c>
      <c r="M456" s="5" t="s">
        <v>54</v>
      </c>
      <c r="N456" s="5" t="s">
        <v>54</v>
      </c>
      <c r="O456" s="6" t="s">
        <v>40</v>
      </c>
      <c r="P456" s="5" t="s">
        <v>213</v>
      </c>
      <c r="Q456" s="5" t="s">
        <v>215</v>
      </c>
      <c r="R456" s="6" t="s">
        <v>42</v>
      </c>
      <c r="S456" s="5" t="s">
        <v>44</v>
      </c>
      <c r="T456" s="5" t="s">
        <v>44</v>
      </c>
      <c r="U456" s="5" t="s">
        <v>44</v>
      </c>
      <c r="V456" s="5" t="s">
        <v>44</v>
      </c>
      <c r="W456" s="5" t="s">
        <v>36</v>
      </c>
      <c r="X456" s="5" t="s">
        <v>219</v>
      </c>
      <c r="Y456" s="5" t="s">
        <v>46</v>
      </c>
      <c r="Z456" s="5" t="s">
        <v>47</v>
      </c>
      <c r="AA456" s="5" t="s">
        <v>48</v>
      </c>
      <c r="AB456" s="5" t="s">
        <v>2189</v>
      </c>
      <c r="AC456" s="6" t="s">
        <v>34</v>
      </c>
      <c r="AD456" s="6">
        <v>7015.0</v>
      </c>
    </row>
    <row r="457" ht="56.25" customHeight="1">
      <c r="A457" s="5" t="s">
        <v>2191</v>
      </c>
      <c r="B457" s="6" t="str">
        <f>IMAGE("https://storage.googleapis.com/acdb/miscellaneous/FtrHamstercage_Remake_0_0.png")</f>
        <v/>
      </c>
      <c r="C457" s="5" t="s">
        <v>68</v>
      </c>
      <c r="D457" s="5" t="s">
        <v>34</v>
      </c>
      <c r="E457" s="5" t="s">
        <v>34</v>
      </c>
      <c r="F457" s="5" t="s">
        <v>34</v>
      </c>
      <c r="G457" s="5" t="s">
        <v>36</v>
      </c>
      <c r="H457" s="5" t="s">
        <v>36</v>
      </c>
      <c r="I457" s="5" t="s">
        <v>36</v>
      </c>
      <c r="J457" s="6" t="s">
        <v>34</v>
      </c>
      <c r="K457" s="6">
        <v>870.0</v>
      </c>
      <c r="L457" s="6">
        <v>217.0</v>
      </c>
      <c r="M457" s="5" t="s">
        <v>83</v>
      </c>
      <c r="N457" s="5" t="s">
        <v>58</v>
      </c>
      <c r="O457" s="6" t="s">
        <v>40</v>
      </c>
      <c r="P457" s="5" t="s">
        <v>59</v>
      </c>
      <c r="Q457" s="5" t="s">
        <v>60</v>
      </c>
      <c r="R457" s="6" t="s">
        <v>42</v>
      </c>
      <c r="S457" s="5" t="s">
        <v>90</v>
      </c>
      <c r="T457" s="5" t="s">
        <v>44</v>
      </c>
      <c r="U457" s="5" t="s">
        <v>44</v>
      </c>
      <c r="V457" s="5" t="s">
        <v>44</v>
      </c>
      <c r="W457" s="5" t="s">
        <v>35</v>
      </c>
      <c r="X457" s="5" t="s">
        <v>330</v>
      </c>
      <c r="Y457" s="5" t="s">
        <v>46</v>
      </c>
      <c r="Z457" s="5" t="s">
        <v>47</v>
      </c>
      <c r="AA457" s="5" t="s">
        <v>64</v>
      </c>
      <c r="AB457" s="5" t="s">
        <v>2195</v>
      </c>
      <c r="AC457" s="6" t="s">
        <v>50</v>
      </c>
      <c r="AD457" s="6">
        <v>1348.0</v>
      </c>
    </row>
    <row r="458" ht="56.25" customHeight="1">
      <c r="A458" s="5" t="s">
        <v>2191</v>
      </c>
      <c r="B458" s="6" t="str">
        <f>IMAGE("https://storage.googleapis.com/acdb/miscellaneous/FtrHamstercage_Remake_1_0.png")</f>
        <v/>
      </c>
      <c r="C458" s="5" t="s">
        <v>69</v>
      </c>
      <c r="D458" s="5" t="s">
        <v>34</v>
      </c>
      <c r="E458" s="5" t="s">
        <v>34</v>
      </c>
      <c r="F458" s="5" t="s">
        <v>34</v>
      </c>
      <c r="G458" s="5" t="s">
        <v>36</v>
      </c>
      <c r="H458" s="5" t="s">
        <v>36</v>
      </c>
      <c r="I458" s="5" t="s">
        <v>36</v>
      </c>
      <c r="J458" s="6" t="s">
        <v>34</v>
      </c>
      <c r="K458" s="6">
        <v>870.0</v>
      </c>
      <c r="L458" s="6">
        <v>217.0</v>
      </c>
      <c r="M458" s="5" t="s">
        <v>69</v>
      </c>
      <c r="N458" s="5" t="s">
        <v>58</v>
      </c>
      <c r="O458" s="6" t="s">
        <v>40</v>
      </c>
      <c r="P458" s="5" t="s">
        <v>59</v>
      </c>
      <c r="Q458" s="5" t="s">
        <v>60</v>
      </c>
      <c r="R458" s="6" t="s">
        <v>42</v>
      </c>
      <c r="S458" s="5" t="s">
        <v>90</v>
      </c>
      <c r="T458" s="5" t="s">
        <v>44</v>
      </c>
      <c r="U458" s="5" t="s">
        <v>44</v>
      </c>
      <c r="V458" s="5" t="s">
        <v>44</v>
      </c>
      <c r="W458" s="5" t="s">
        <v>35</v>
      </c>
      <c r="X458" s="5" t="s">
        <v>330</v>
      </c>
      <c r="Y458" s="5" t="s">
        <v>46</v>
      </c>
      <c r="Z458" s="5" t="s">
        <v>47</v>
      </c>
      <c r="AA458" s="5" t="s">
        <v>64</v>
      </c>
      <c r="AB458" s="5" t="s">
        <v>2199</v>
      </c>
      <c r="AC458" s="6" t="s">
        <v>56</v>
      </c>
      <c r="AD458" s="6">
        <v>1348.0</v>
      </c>
    </row>
    <row r="459" ht="56.25" customHeight="1">
      <c r="A459" s="5" t="s">
        <v>2191</v>
      </c>
      <c r="B459" s="6" t="str">
        <f>IMAGE("https://storage.googleapis.com/acdb/miscellaneous/FtrHamstercage_Remake_2_0.png")</f>
        <v/>
      </c>
      <c r="C459" s="5" t="s">
        <v>114</v>
      </c>
      <c r="D459" s="5" t="s">
        <v>34</v>
      </c>
      <c r="E459" s="5" t="s">
        <v>34</v>
      </c>
      <c r="F459" s="5" t="s">
        <v>34</v>
      </c>
      <c r="G459" s="5" t="s">
        <v>36</v>
      </c>
      <c r="H459" s="5" t="s">
        <v>36</v>
      </c>
      <c r="I459" s="5" t="s">
        <v>36</v>
      </c>
      <c r="J459" s="6" t="s">
        <v>34</v>
      </c>
      <c r="K459" s="6">
        <v>870.0</v>
      </c>
      <c r="L459" s="6">
        <v>217.0</v>
      </c>
      <c r="M459" s="5" t="s">
        <v>114</v>
      </c>
      <c r="N459" s="5" t="s">
        <v>58</v>
      </c>
      <c r="O459" s="6" t="s">
        <v>40</v>
      </c>
      <c r="P459" s="5" t="s">
        <v>59</v>
      </c>
      <c r="Q459" s="5" t="s">
        <v>60</v>
      </c>
      <c r="R459" s="6" t="s">
        <v>42</v>
      </c>
      <c r="S459" s="5" t="s">
        <v>90</v>
      </c>
      <c r="T459" s="5" t="s">
        <v>44</v>
      </c>
      <c r="U459" s="5" t="s">
        <v>44</v>
      </c>
      <c r="V459" s="5" t="s">
        <v>44</v>
      </c>
      <c r="W459" s="5" t="s">
        <v>35</v>
      </c>
      <c r="X459" s="5" t="s">
        <v>330</v>
      </c>
      <c r="Y459" s="5" t="s">
        <v>46</v>
      </c>
      <c r="Z459" s="5" t="s">
        <v>47</v>
      </c>
      <c r="AA459" s="5" t="s">
        <v>64</v>
      </c>
      <c r="AB459" s="5" t="s">
        <v>2202</v>
      </c>
      <c r="AC459" s="6" t="s">
        <v>67</v>
      </c>
      <c r="AD459" s="6">
        <v>1348.0</v>
      </c>
    </row>
    <row r="460" ht="56.25" customHeight="1">
      <c r="A460" s="5" t="s">
        <v>2191</v>
      </c>
      <c r="B460" s="6" t="str">
        <f>IMAGE("https://storage.googleapis.com/acdb/miscellaneous/FtrHamstercage_Remake_3_0.png")</f>
        <v/>
      </c>
      <c r="C460" s="5" t="s">
        <v>52</v>
      </c>
      <c r="D460" s="5" t="s">
        <v>34</v>
      </c>
      <c r="E460" s="5" t="s">
        <v>34</v>
      </c>
      <c r="F460" s="5" t="s">
        <v>34</v>
      </c>
      <c r="G460" s="5" t="s">
        <v>36</v>
      </c>
      <c r="H460" s="5" t="s">
        <v>36</v>
      </c>
      <c r="I460" s="5" t="s">
        <v>36</v>
      </c>
      <c r="J460" s="6" t="s">
        <v>34</v>
      </c>
      <c r="K460" s="6">
        <v>870.0</v>
      </c>
      <c r="L460" s="6">
        <v>217.0</v>
      </c>
      <c r="M460" s="5" t="s">
        <v>52</v>
      </c>
      <c r="N460" s="5" t="s">
        <v>58</v>
      </c>
      <c r="O460" s="6" t="s">
        <v>40</v>
      </c>
      <c r="P460" s="5" t="s">
        <v>59</v>
      </c>
      <c r="Q460" s="5" t="s">
        <v>60</v>
      </c>
      <c r="R460" s="6" t="s">
        <v>42</v>
      </c>
      <c r="S460" s="5" t="s">
        <v>90</v>
      </c>
      <c r="T460" s="5" t="s">
        <v>44</v>
      </c>
      <c r="U460" s="5" t="s">
        <v>44</v>
      </c>
      <c r="V460" s="5" t="s">
        <v>44</v>
      </c>
      <c r="W460" s="5" t="s">
        <v>35</v>
      </c>
      <c r="X460" s="5" t="s">
        <v>330</v>
      </c>
      <c r="Y460" s="5" t="s">
        <v>46</v>
      </c>
      <c r="Z460" s="5" t="s">
        <v>47</v>
      </c>
      <c r="AA460" s="5" t="s">
        <v>64</v>
      </c>
      <c r="AB460" s="5" t="s">
        <v>2204</v>
      </c>
      <c r="AC460" s="6" t="s">
        <v>71</v>
      </c>
      <c r="AD460" s="6">
        <v>1348.0</v>
      </c>
    </row>
    <row r="461" ht="56.25" customHeight="1">
      <c r="A461" s="5" t="s">
        <v>2191</v>
      </c>
      <c r="B461" s="6" t="str">
        <f>IMAGE("https://storage.googleapis.com/acdb/miscellaneous/FtrHamstercage_Remake_4_0.png")</f>
        <v/>
      </c>
      <c r="C461" s="5" t="s">
        <v>39</v>
      </c>
      <c r="D461" s="5" t="s">
        <v>34</v>
      </c>
      <c r="E461" s="5" t="s">
        <v>34</v>
      </c>
      <c r="F461" s="5" t="s">
        <v>34</v>
      </c>
      <c r="G461" s="5" t="s">
        <v>36</v>
      </c>
      <c r="H461" s="5" t="s">
        <v>36</v>
      </c>
      <c r="I461" s="5" t="s">
        <v>36</v>
      </c>
      <c r="J461" s="6" t="s">
        <v>34</v>
      </c>
      <c r="K461" s="6">
        <v>870.0</v>
      </c>
      <c r="L461" s="6">
        <v>217.0</v>
      </c>
      <c r="M461" s="5" t="s">
        <v>39</v>
      </c>
      <c r="N461" s="5" t="s">
        <v>58</v>
      </c>
      <c r="O461" s="6" t="s">
        <v>40</v>
      </c>
      <c r="P461" s="5" t="s">
        <v>59</v>
      </c>
      <c r="Q461" s="5" t="s">
        <v>60</v>
      </c>
      <c r="R461" s="6" t="s">
        <v>42</v>
      </c>
      <c r="S461" s="5" t="s">
        <v>90</v>
      </c>
      <c r="T461" s="5" t="s">
        <v>44</v>
      </c>
      <c r="U461" s="5" t="s">
        <v>44</v>
      </c>
      <c r="V461" s="5" t="s">
        <v>44</v>
      </c>
      <c r="W461" s="5" t="s">
        <v>35</v>
      </c>
      <c r="X461" s="5" t="s">
        <v>330</v>
      </c>
      <c r="Y461" s="5" t="s">
        <v>46</v>
      </c>
      <c r="Z461" s="5" t="s">
        <v>47</v>
      </c>
      <c r="AA461" s="5" t="s">
        <v>64</v>
      </c>
      <c r="AB461" s="5" t="s">
        <v>2207</v>
      </c>
      <c r="AC461" s="6" t="s">
        <v>75</v>
      </c>
      <c r="AD461" s="6">
        <v>1348.0</v>
      </c>
    </row>
    <row r="462" ht="56.25" customHeight="1">
      <c r="A462" s="5" t="s">
        <v>2209</v>
      </c>
      <c r="B462" s="6" t="str">
        <f>IMAGE("https://storage.googleapis.com/acdb/miscellaneous/FtrWaterjug_Remake_0_0.png")</f>
        <v/>
      </c>
      <c r="C462" s="5" t="s">
        <v>68</v>
      </c>
      <c r="D462" s="5" t="s">
        <v>34</v>
      </c>
      <c r="E462" s="5" t="s">
        <v>34</v>
      </c>
      <c r="F462" s="5" t="s">
        <v>34</v>
      </c>
      <c r="G462" s="5" t="s">
        <v>36</v>
      </c>
      <c r="H462" s="5" t="s">
        <v>36</v>
      </c>
      <c r="I462" s="5" t="s">
        <v>36</v>
      </c>
      <c r="J462" s="6" t="s">
        <v>34</v>
      </c>
      <c r="K462" s="6">
        <v>1400.0</v>
      </c>
      <c r="L462" s="6">
        <v>350.0</v>
      </c>
      <c r="M462" s="5" t="s">
        <v>68</v>
      </c>
      <c r="N462" s="5" t="s">
        <v>57</v>
      </c>
      <c r="O462" s="6" t="s">
        <v>40</v>
      </c>
      <c r="P462" s="5" t="s">
        <v>59</v>
      </c>
      <c r="Q462" s="5" t="s">
        <v>554</v>
      </c>
      <c r="R462" s="6" t="s">
        <v>42</v>
      </c>
      <c r="S462" s="5" t="s">
        <v>474</v>
      </c>
      <c r="T462" s="5" t="s">
        <v>130</v>
      </c>
      <c r="U462" s="5" t="s">
        <v>44</v>
      </c>
      <c r="V462" s="5" t="s">
        <v>44</v>
      </c>
      <c r="W462" s="5" t="s">
        <v>36</v>
      </c>
      <c r="X462" s="5" t="s">
        <v>160</v>
      </c>
      <c r="Y462" s="5" t="s">
        <v>46</v>
      </c>
      <c r="Z462" s="5" t="s">
        <v>47</v>
      </c>
      <c r="AA462" s="5" t="s">
        <v>64</v>
      </c>
      <c r="AB462" s="5" t="s">
        <v>2211</v>
      </c>
      <c r="AC462" s="6" t="s">
        <v>50</v>
      </c>
      <c r="AD462" s="6">
        <v>3960.0</v>
      </c>
    </row>
    <row r="463" ht="56.25" customHeight="1">
      <c r="A463" s="5" t="s">
        <v>2209</v>
      </c>
      <c r="B463" s="6" t="str">
        <f>IMAGE("https://storage.googleapis.com/acdb/miscellaneous/FtrWaterjug_Remake_1_0.png")</f>
        <v/>
      </c>
      <c r="C463" s="5" t="s">
        <v>52</v>
      </c>
      <c r="D463" s="5" t="s">
        <v>34</v>
      </c>
      <c r="E463" s="5" t="s">
        <v>34</v>
      </c>
      <c r="F463" s="5" t="s">
        <v>34</v>
      </c>
      <c r="G463" s="5" t="s">
        <v>36</v>
      </c>
      <c r="H463" s="5" t="s">
        <v>36</v>
      </c>
      <c r="I463" s="5" t="s">
        <v>36</v>
      </c>
      <c r="J463" s="6" t="s">
        <v>34</v>
      </c>
      <c r="K463" s="6">
        <v>1400.0</v>
      </c>
      <c r="L463" s="6">
        <v>350.0</v>
      </c>
      <c r="M463" s="5" t="s">
        <v>52</v>
      </c>
      <c r="N463" s="5" t="s">
        <v>57</v>
      </c>
      <c r="O463" s="6" t="s">
        <v>40</v>
      </c>
      <c r="P463" s="5" t="s">
        <v>59</v>
      </c>
      <c r="Q463" s="5" t="s">
        <v>554</v>
      </c>
      <c r="R463" s="6" t="s">
        <v>42</v>
      </c>
      <c r="S463" s="5" t="s">
        <v>474</v>
      </c>
      <c r="T463" s="5" t="s">
        <v>130</v>
      </c>
      <c r="U463" s="5" t="s">
        <v>44</v>
      </c>
      <c r="V463" s="5" t="s">
        <v>44</v>
      </c>
      <c r="W463" s="5" t="s">
        <v>36</v>
      </c>
      <c r="X463" s="5" t="s">
        <v>160</v>
      </c>
      <c r="Y463" s="5" t="s">
        <v>46</v>
      </c>
      <c r="Z463" s="5" t="s">
        <v>47</v>
      </c>
      <c r="AA463" s="5" t="s">
        <v>64</v>
      </c>
      <c r="AB463" s="5" t="s">
        <v>2214</v>
      </c>
      <c r="AC463" s="6" t="s">
        <v>56</v>
      </c>
      <c r="AD463" s="6">
        <v>3960.0</v>
      </c>
    </row>
    <row r="464" ht="56.25" customHeight="1">
      <c r="A464" s="5" t="s">
        <v>2209</v>
      </c>
      <c r="B464" s="6" t="str">
        <f>IMAGE("https://storage.googleapis.com/acdb/miscellaneous/FtrWaterjug_Remake_2_0.png")</f>
        <v/>
      </c>
      <c r="C464" s="5" t="s">
        <v>96</v>
      </c>
      <c r="D464" s="5" t="s">
        <v>34</v>
      </c>
      <c r="E464" s="5" t="s">
        <v>34</v>
      </c>
      <c r="F464" s="5" t="s">
        <v>34</v>
      </c>
      <c r="G464" s="5" t="s">
        <v>36</v>
      </c>
      <c r="H464" s="5" t="s">
        <v>36</v>
      </c>
      <c r="I464" s="5" t="s">
        <v>36</v>
      </c>
      <c r="J464" s="6" t="s">
        <v>34</v>
      </c>
      <c r="K464" s="6">
        <v>1400.0</v>
      </c>
      <c r="L464" s="6">
        <v>350.0</v>
      </c>
      <c r="M464" s="5" t="s">
        <v>96</v>
      </c>
      <c r="N464" s="5" t="s">
        <v>57</v>
      </c>
      <c r="O464" s="6" t="s">
        <v>40</v>
      </c>
      <c r="P464" s="5" t="s">
        <v>59</v>
      </c>
      <c r="Q464" s="5" t="s">
        <v>554</v>
      </c>
      <c r="R464" s="6" t="s">
        <v>42</v>
      </c>
      <c r="S464" s="5" t="s">
        <v>474</v>
      </c>
      <c r="T464" s="5" t="s">
        <v>130</v>
      </c>
      <c r="U464" s="5" t="s">
        <v>44</v>
      </c>
      <c r="V464" s="5" t="s">
        <v>44</v>
      </c>
      <c r="W464" s="5" t="s">
        <v>36</v>
      </c>
      <c r="X464" s="5" t="s">
        <v>160</v>
      </c>
      <c r="Y464" s="5" t="s">
        <v>46</v>
      </c>
      <c r="Z464" s="5" t="s">
        <v>47</v>
      </c>
      <c r="AA464" s="5" t="s">
        <v>64</v>
      </c>
      <c r="AB464" s="5" t="s">
        <v>2216</v>
      </c>
      <c r="AC464" s="6" t="s">
        <v>67</v>
      </c>
      <c r="AD464" s="6">
        <v>3960.0</v>
      </c>
    </row>
    <row r="465" ht="56.25" customHeight="1">
      <c r="A465" s="5" t="s">
        <v>2209</v>
      </c>
      <c r="B465" s="6" t="str">
        <f>IMAGE("https://storage.googleapis.com/acdb/miscellaneous/FtrWaterjug_Remake_3_0.png")</f>
        <v/>
      </c>
      <c r="C465" s="5" t="s">
        <v>114</v>
      </c>
      <c r="D465" s="5" t="s">
        <v>34</v>
      </c>
      <c r="E465" s="5" t="s">
        <v>34</v>
      </c>
      <c r="F465" s="5" t="s">
        <v>34</v>
      </c>
      <c r="G465" s="5" t="s">
        <v>36</v>
      </c>
      <c r="H465" s="5" t="s">
        <v>36</v>
      </c>
      <c r="I465" s="5" t="s">
        <v>36</v>
      </c>
      <c r="J465" s="6" t="s">
        <v>34</v>
      </c>
      <c r="K465" s="6">
        <v>1400.0</v>
      </c>
      <c r="L465" s="6">
        <v>350.0</v>
      </c>
      <c r="M465" s="5" t="s">
        <v>114</v>
      </c>
      <c r="N465" s="5" t="s">
        <v>39</v>
      </c>
      <c r="O465" s="6" t="s">
        <v>40</v>
      </c>
      <c r="P465" s="5" t="s">
        <v>59</v>
      </c>
      <c r="Q465" s="5" t="s">
        <v>554</v>
      </c>
      <c r="R465" s="6" t="s">
        <v>42</v>
      </c>
      <c r="S465" s="5" t="s">
        <v>474</v>
      </c>
      <c r="T465" s="5" t="s">
        <v>130</v>
      </c>
      <c r="U465" s="5" t="s">
        <v>44</v>
      </c>
      <c r="V465" s="5" t="s">
        <v>44</v>
      </c>
      <c r="W465" s="5" t="s">
        <v>36</v>
      </c>
      <c r="X465" s="5" t="s">
        <v>160</v>
      </c>
      <c r="Y465" s="5" t="s">
        <v>46</v>
      </c>
      <c r="Z465" s="5" t="s">
        <v>47</v>
      </c>
      <c r="AA465" s="5" t="s">
        <v>64</v>
      </c>
      <c r="AB465" s="5" t="s">
        <v>2220</v>
      </c>
      <c r="AC465" s="6" t="s">
        <v>71</v>
      </c>
      <c r="AD465" s="6">
        <v>3960.0</v>
      </c>
    </row>
    <row r="466" ht="56.25" customHeight="1">
      <c r="A466" s="5" t="s">
        <v>2209</v>
      </c>
      <c r="B466" s="6" t="str">
        <f>IMAGE("https://storage.googleapis.com/acdb/miscellaneous/FtrWaterjug_Remake_4_0.png")</f>
        <v/>
      </c>
      <c r="C466" s="5" t="s">
        <v>2222</v>
      </c>
      <c r="D466" s="5" t="s">
        <v>34</v>
      </c>
      <c r="E466" s="5" t="s">
        <v>34</v>
      </c>
      <c r="F466" s="5" t="s">
        <v>34</v>
      </c>
      <c r="G466" s="5" t="s">
        <v>36</v>
      </c>
      <c r="H466" s="5" t="s">
        <v>36</v>
      </c>
      <c r="I466" s="5" t="s">
        <v>36</v>
      </c>
      <c r="J466" s="6" t="s">
        <v>34</v>
      </c>
      <c r="K466" s="6">
        <v>1400.0</v>
      </c>
      <c r="L466" s="6">
        <v>350.0</v>
      </c>
      <c r="M466" s="5" t="s">
        <v>38</v>
      </c>
      <c r="N466" s="5" t="s">
        <v>96</v>
      </c>
      <c r="O466" s="6" t="s">
        <v>40</v>
      </c>
      <c r="P466" s="5" t="s">
        <v>59</v>
      </c>
      <c r="Q466" s="5" t="s">
        <v>554</v>
      </c>
      <c r="R466" s="6" t="s">
        <v>42</v>
      </c>
      <c r="S466" s="5" t="s">
        <v>474</v>
      </c>
      <c r="T466" s="5" t="s">
        <v>130</v>
      </c>
      <c r="U466" s="5" t="s">
        <v>44</v>
      </c>
      <c r="V466" s="5" t="s">
        <v>44</v>
      </c>
      <c r="W466" s="5" t="s">
        <v>36</v>
      </c>
      <c r="X466" s="5" t="s">
        <v>160</v>
      </c>
      <c r="Y466" s="5" t="s">
        <v>46</v>
      </c>
      <c r="Z466" s="5" t="s">
        <v>47</v>
      </c>
      <c r="AA466" s="5" t="s">
        <v>64</v>
      </c>
      <c r="AB466" s="5" t="s">
        <v>2224</v>
      </c>
      <c r="AC466" s="6" t="s">
        <v>75</v>
      </c>
      <c r="AD466" s="6">
        <v>3960.0</v>
      </c>
    </row>
    <row r="467" ht="56.25" customHeight="1">
      <c r="A467" s="5" t="s">
        <v>2209</v>
      </c>
      <c r="B467" s="6" t="str">
        <f>IMAGE("https://storage.googleapis.com/acdb/miscellaneous/FtrWaterjug_Remake_5_0.png")</f>
        <v/>
      </c>
      <c r="C467" s="5" t="s">
        <v>2225</v>
      </c>
      <c r="D467" s="5" t="s">
        <v>34</v>
      </c>
      <c r="E467" s="5" t="s">
        <v>34</v>
      </c>
      <c r="F467" s="5" t="s">
        <v>34</v>
      </c>
      <c r="G467" s="5" t="s">
        <v>36</v>
      </c>
      <c r="H467" s="5" t="s">
        <v>36</v>
      </c>
      <c r="I467" s="5" t="s">
        <v>36</v>
      </c>
      <c r="J467" s="6" t="s">
        <v>34</v>
      </c>
      <c r="K467" s="6">
        <v>1400.0</v>
      </c>
      <c r="L467" s="6">
        <v>350.0</v>
      </c>
      <c r="M467" s="5" t="s">
        <v>58</v>
      </c>
      <c r="N467" s="5" t="s">
        <v>57</v>
      </c>
      <c r="O467" s="6" t="s">
        <v>40</v>
      </c>
      <c r="P467" s="5" t="s">
        <v>59</v>
      </c>
      <c r="Q467" s="5" t="s">
        <v>554</v>
      </c>
      <c r="R467" s="6" t="s">
        <v>42</v>
      </c>
      <c r="S467" s="5" t="s">
        <v>474</v>
      </c>
      <c r="T467" s="5" t="s">
        <v>130</v>
      </c>
      <c r="U467" s="5" t="s">
        <v>44</v>
      </c>
      <c r="V467" s="5" t="s">
        <v>44</v>
      </c>
      <c r="W467" s="5" t="s">
        <v>36</v>
      </c>
      <c r="X467" s="5" t="s">
        <v>160</v>
      </c>
      <c r="Y467" s="5" t="s">
        <v>46</v>
      </c>
      <c r="Z467" s="5" t="s">
        <v>47</v>
      </c>
      <c r="AA467" s="5" t="s">
        <v>64</v>
      </c>
      <c r="AB467" s="5" t="s">
        <v>2229</v>
      </c>
      <c r="AC467" s="6" t="s">
        <v>79</v>
      </c>
      <c r="AD467" s="6">
        <v>3960.0</v>
      </c>
    </row>
    <row r="468" ht="56.25" customHeight="1">
      <c r="A468" s="5" t="s">
        <v>2230</v>
      </c>
      <c r="B468" s="16" t="str">
        <f>IMAGE("https://storage.googleapis.com/acdb/miscellaneous/FtrInsectYadokariToy.png")</f>
        <v/>
      </c>
      <c r="C468" s="5" t="s">
        <v>34</v>
      </c>
      <c r="D468" s="5" t="s">
        <v>34</v>
      </c>
      <c r="E468" s="5" t="s">
        <v>34</v>
      </c>
      <c r="F468" s="5" t="s">
        <v>34</v>
      </c>
      <c r="G468" s="5" t="s">
        <v>36</v>
      </c>
      <c r="H468" s="5" t="s">
        <v>36</v>
      </c>
      <c r="I468" s="5" t="s">
        <v>36</v>
      </c>
      <c r="J468" s="6" t="s">
        <v>34</v>
      </c>
      <c r="K468" s="6" t="s">
        <v>37</v>
      </c>
      <c r="L468" s="6">
        <v>3000.0</v>
      </c>
      <c r="M468" s="5" t="s">
        <v>57</v>
      </c>
      <c r="N468" s="5" t="s">
        <v>38</v>
      </c>
      <c r="O468" s="6" t="s">
        <v>40</v>
      </c>
      <c r="P468" s="5" t="s">
        <v>107</v>
      </c>
      <c r="Q468" s="5" t="s">
        <v>108</v>
      </c>
      <c r="R468" s="6" t="s">
        <v>42</v>
      </c>
      <c r="S468" s="5" t="s">
        <v>44</v>
      </c>
      <c r="T468" s="5" t="s">
        <v>44</v>
      </c>
      <c r="U468" s="5" t="s">
        <v>44</v>
      </c>
      <c r="V468" s="5" t="s">
        <v>44</v>
      </c>
      <c r="W468" s="5" t="s">
        <v>36</v>
      </c>
      <c r="X468" s="5" t="s">
        <v>109</v>
      </c>
      <c r="Y468" s="5" t="s">
        <v>46</v>
      </c>
      <c r="Z468" s="5" t="s">
        <v>47</v>
      </c>
      <c r="AA468" s="5" t="s">
        <v>48</v>
      </c>
      <c r="AB468" s="5" t="s">
        <v>2233</v>
      </c>
      <c r="AC468" s="6" t="s">
        <v>34</v>
      </c>
      <c r="AD468" s="6">
        <v>7108.0</v>
      </c>
    </row>
    <row r="469" ht="56.25" customHeight="1">
      <c r="A469" s="5" t="s">
        <v>2234</v>
      </c>
      <c r="B469" s="6" t="str">
        <f>IMAGE("https://storage.googleapis.com/acdb/miscellaneous/FtrCandleXmas_Remake_0_0.png")</f>
        <v/>
      </c>
      <c r="C469" s="5" t="s">
        <v>52</v>
      </c>
      <c r="D469" s="5" t="s">
        <v>135</v>
      </c>
      <c r="E469" s="5" t="s">
        <v>34</v>
      </c>
      <c r="F469" s="5" t="s">
        <v>34</v>
      </c>
      <c r="G469" s="5" t="s">
        <v>35</v>
      </c>
      <c r="H469" s="5" t="s">
        <v>35</v>
      </c>
      <c r="I469" s="5" t="s">
        <v>36</v>
      </c>
      <c r="J469" s="6">
        <v>1.0</v>
      </c>
      <c r="K469" s="6" t="s">
        <v>37</v>
      </c>
      <c r="L469" s="6">
        <v>600.0</v>
      </c>
      <c r="M469" s="5" t="s">
        <v>52</v>
      </c>
      <c r="N469" s="5" t="s">
        <v>39</v>
      </c>
      <c r="O469" s="6" t="s">
        <v>40</v>
      </c>
      <c r="P469" s="5" t="s">
        <v>41</v>
      </c>
      <c r="Q469" s="5" t="s">
        <v>969</v>
      </c>
      <c r="R469" s="6" t="s">
        <v>42</v>
      </c>
      <c r="S469" s="5" t="s">
        <v>465</v>
      </c>
      <c r="T469" s="5" t="s">
        <v>61</v>
      </c>
      <c r="U469" s="5" t="s">
        <v>970</v>
      </c>
      <c r="V469" s="5" t="s">
        <v>44</v>
      </c>
      <c r="W469" s="5" t="s">
        <v>35</v>
      </c>
      <c r="X469" s="5" t="s">
        <v>467</v>
      </c>
      <c r="Y469" s="5" t="s">
        <v>46</v>
      </c>
      <c r="Z469" s="5" t="s">
        <v>495</v>
      </c>
      <c r="AA469" s="5" t="s">
        <v>48</v>
      </c>
      <c r="AB469" s="5" t="s">
        <v>2237</v>
      </c>
      <c r="AC469" s="6" t="s">
        <v>50</v>
      </c>
      <c r="AD469" s="6">
        <v>891.0</v>
      </c>
    </row>
    <row r="470" ht="56.25" customHeight="1">
      <c r="A470" s="5" t="s">
        <v>2234</v>
      </c>
      <c r="B470" s="6" t="str">
        <f>IMAGE("https://storage.googleapis.com/acdb/miscellaneous/FtrCandleXmas_Remake_1_0.png")</f>
        <v/>
      </c>
      <c r="C470" s="5" t="s">
        <v>68</v>
      </c>
      <c r="D470" s="5" t="s">
        <v>135</v>
      </c>
      <c r="E470" s="5" t="s">
        <v>34</v>
      </c>
      <c r="F470" s="5" t="s">
        <v>34</v>
      </c>
      <c r="G470" s="5" t="s">
        <v>35</v>
      </c>
      <c r="H470" s="5" t="s">
        <v>35</v>
      </c>
      <c r="I470" s="5" t="s">
        <v>36</v>
      </c>
      <c r="J470" s="6">
        <v>1.0</v>
      </c>
      <c r="K470" s="6" t="s">
        <v>37</v>
      </c>
      <c r="L470" s="6">
        <v>600.0</v>
      </c>
      <c r="M470" s="5" t="s">
        <v>68</v>
      </c>
      <c r="N470" s="5" t="s">
        <v>57</v>
      </c>
      <c r="O470" s="6" t="s">
        <v>40</v>
      </c>
      <c r="P470" s="5" t="s">
        <v>41</v>
      </c>
      <c r="Q470" s="5" t="s">
        <v>969</v>
      </c>
      <c r="R470" s="6" t="s">
        <v>42</v>
      </c>
      <c r="S470" s="5" t="s">
        <v>465</v>
      </c>
      <c r="T470" s="5" t="s">
        <v>61</v>
      </c>
      <c r="U470" s="5" t="s">
        <v>970</v>
      </c>
      <c r="V470" s="5" t="s">
        <v>44</v>
      </c>
      <c r="W470" s="5" t="s">
        <v>35</v>
      </c>
      <c r="X470" s="5" t="s">
        <v>467</v>
      </c>
      <c r="Y470" s="5" t="s">
        <v>46</v>
      </c>
      <c r="Z470" s="5" t="s">
        <v>495</v>
      </c>
      <c r="AA470" s="5" t="s">
        <v>48</v>
      </c>
      <c r="AB470" s="5" t="s">
        <v>2240</v>
      </c>
      <c r="AC470" s="6" t="s">
        <v>56</v>
      </c>
      <c r="AD470" s="6">
        <v>891.0</v>
      </c>
    </row>
    <row r="471" ht="56.25" customHeight="1">
      <c r="A471" s="5" t="s">
        <v>2234</v>
      </c>
      <c r="B471" s="6" t="str">
        <f>IMAGE("https://storage.googleapis.com/acdb/miscellaneous/FtrCandleXmas_Remake_2_0.png")</f>
        <v/>
      </c>
      <c r="C471" s="5" t="s">
        <v>151</v>
      </c>
      <c r="D471" s="5" t="s">
        <v>135</v>
      </c>
      <c r="E471" s="5" t="s">
        <v>34</v>
      </c>
      <c r="F471" s="5" t="s">
        <v>34</v>
      </c>
      <c r="G471" s="5" t="s">
        <v>35</v>
      </c>
      <c r="H471" s="5" t="s">
        <v>35</v>
      </c>
      <c r="I471" s="5" t="s">
        <v>36</v>
      </c>
      <c r="J471" s="6">
        <v>1.0</v>
      </c>
      <c r="K471" s="6" t="s">
        <v>37</v>
      </c>
      <c r="L471" s="6">
        <v>600.0</v>
      </c>
      <c r="M471" s="5" t="s">
        <v>114</v>
      </c>
      <c r="N471" s="5" t="s">
        <v>39</v>
      </c>
      <c r="O471" s="6" t="s">
        <v>40</v>
      </c>
      <c r="P471" s="5" t="s">
        <v>41</v>
      </c>
      <c r="Q471" s="5" t="s">
        <v>969</v>
      </c>
      <c r="R471" s="6" t="s">
        <v>42</v>
      </c>
      <c r="S471" s="5" t="s">
        <v>465</v>
      </c>
      <c r="T471" s="5" t="s">
        <v>61</v>
      </c>
      <c r="U471" s="5" t="s">
        <v>970</v>
      </c>
      <c r="V471" s="5" t="s">
        <v>44</v>
      </c>
      <c r="W471" s="5" t="s">
        <v>35</v>
      </c>
      <c r="X471" s="5" t="s">
        <v>467</v>
      </c>
      <c r="Y471" s="5" t="s">
        <v>46</v>
      </c>
      <c r="Z471" s="5" t="s">
        <v>495</v>
      </c>
      <c r="AA471" s="5" t="s">
        <v>48</v>
      </c>
      <c r="AB471" s="5" t="s">
        <v>2243</v>
      </c>
      <c r="AC471" s="6" t="s">
        <v>67</v>
      </c>
      <c r="AD471" s="6">
        <v>891.0</v>
      </c>
    </row>
    <row r="472" ht="56.25" customHeight="1">
      <c r="A472" s="5" t="s">
        <v>2234</v>
      </c>
      <c r="B472" s="6" t="str">
        <f>IMAGE("https://storage.googleapis.com/acdb/miscellaneous/FtrCandleXmas_Remake_3_0.png")</f>
        <v/>
      </c>
      <c r="C472" s="5" t="s">
        <v>39</v>
      </c>
      <c r="D472" s="5" t="s">
        <v>135</v>
      </c>
      <c r="E472" s="5" t="s">
        <v>34</v>
      </c>
      <c r="F472" s="5" t="s">
        <v>34</v>
      </c>
      <c r="G472" s="5" t="s">
        <v>35</v>
      </c>
      <c r="H472" s="5" t="s">
        <v>35</v>
      </c>
      <c r="I472" s="5" t="s">
        <v>36</v>
      </c>
      <c r="J472" s="6">
        <v>1.0</v>
      </c>
      <c r="K472" s="6" t="s">
        <v>37</v>
      </c>
      <c r="L472" s="6">
        <v>600.0</v>
      </c>
      <c r="M472" s="5" t="s">
        <v>39</v>
      </c>
      <c r="N472" s="5" t="s">
        <v>39</v>
      </c>
      <c r="O472" s="6" t="s">
        <v>40</v>
      </c>
      <c r="P472" s="5" t="s">
        <v>41</v>
      </c>
      <c r="Q472" s="5" t="s">
        <v>969</v>
      </c>
      <c r="R472" s="6" t="s">
        <v>42</v>
      </c>
      <c r="S472" s="5" t="s">
        <v>465</v>
      </c>
      <c r="T472" s="5" t="s">
        <v>61</v>
      </c>
      <c r="U472" s="5" t="s">
        <v>970</v>
      </c>
      <c r="V472" s="5" t="s">
        <v>44</v>
      </c>
      <c r="W472" s="5" t="s">
        <v>35</v>
      </c>
      <c r="X472" s="5" t="s">
        <v>467</v>
      </c>
      <c r="Y472" s="5" t="s">
        <v>46</v>
      </c>
      <c r="Z472" s="5" t="s">
        <v>495</v>
      </c>
      <c r="AA472" s="5" t="s">
        <v>48</v>
      </c>
      <c r="AB472" s="5" t="s">
        <v>2246</v>
      </c>
      <c r="AC472" s="6" t="s">
        <v>71</v>
      </c>
      <c r="AD472" s="6">
        <v>891.0</v>
      </c>
    </row>
    <row r="473" ht="56.25" customHeight="1">
      <c r="A473" s="5" t="s">
        <v>2234</v>
      </c>
      <c r="B473" s="6" t="str">
        <f>IMAGE("https://storage.googleapis.com/acdb/miscellaneous/FtrCandleXmas_Remake_4_0.png")</f>
        <v/>
      </c>
      <c r="C473" s="5" t="s">
        <v>69</v>
      </c>
      <c r="D473" s="5" t="s">
        <v>135</v>
      </c>
      <c r="E473" s="5" t="s">
        <v>34</v>
      </c>
      <c r="F473" s="5" t="s">
        <v>34</v>
      </c>
      <c r="G473" s="5" t="s">
        <v>35</v>
      </c>
      <c r="H473" s="5" t="s">
        <v>35</v>
      </c>
      <c r="I473" s="5" t="s">
        <v>36</v>
      </c>
      <c r="J473" s="6">
        <v>1.0</v>
      </c>
      <c r="K473" s="6" t="s">
        <v>37</v>
      </c>
      <c r="L473" s="6">
        <v>600.0</v>
      </c>
      <c r="M473" s="5" t="s">
        <v>69</v>
      </c>
      <c r="N473" s="5" t="s">
        <v>57</v>
      </c>
      <c r="O473" s="6" t="s">
        <v>40</v>
      </c>
      <c r="P473" s="5" t="s">
        <v>41</v>
      </c>
      <c r="Q473" s="5" t="s">
        <v>969</v>
      </c>
      <c r="R473" s="6" t="s">
        <v>42</v>
      </c>
      <c r="S473" s="5" t="s">
        <v>465</v>
      </c>
      <c r="T473" s="5" t="s">
        <v>61</v>
      </c>
      <c r="U473" s="5" t="s">
        <v>970</v>
      </c>
      <c r="V473" s="5" t="s">
        <v>44</v>
      </c>
      <c r="W473" s="5" t="s">
        <v>35</v>
      </c>
      <c r="X473" s="5" t="s">
        <v>467</v>
      </c>
      <c r="Y473" s="5" t="s">
        <v>46</v>
      </c>
      <c r="Z473" s="5" t="s">
        <v>495</v>
      </c>
      <c r="AA473" s="5" t="s">
        <v>48</v>
      </c>
      <c r="AB473" s="5" t="s">
        <v>2249</v>
      </c>
      <c r="AC473" s="6" t="s">
        <v>75</v>
      </c>
      <c r="AD473" s="6">
        <v>891.0</v>
      </c>
    </row>
    <row r="474" ht="56.25" customHeight="1">
      <c r="A474" s="5" t="s">
        <v>2250</v>
      </c>
      <c r="B474" s="6" t="str">
        <f>IMAGE("https://storage.googleapis.com/acdb/miscellaneous/FtrStudySet.png")</f>
        <v/>
      </c>
      <c r="C474" s="5" t="s">
        <v>34</v>
      </c>
      <c r="D474" s="5" t="s">
        <v>34</v>
      </c>
      <c r="E474" s="5" t="s">
        <v>34</v>
      </c>
      <c r="F474" s="5" t="s">
        <v>34</v>
      </c>
      <c r="G474" s="5" t="s">
        <v>36</v>
      </c>
      <c r="H474" s="5" t="s">
        <v>36</v>
      </c>
      <c r="I474" s="5" t="s">
        <v>36</v>
      </c>
      <c r="J474" s="6" t="s">
        <v>34</v>
      </c>
      <c r="K474" s="6">
        <v>330.0</v>
      </c>
      <c r="L474" s="6">
        <v>82.0</v>
      </c>
      <c r="M474" s="5" t="s">
        <v>57</v>
      </c>
      <c r="N474" s="5" t="s">
        <v>58</v>
      </c>
      <c r="O474" s="6" t="s">
        <v>40</v>
      </c>
      <c r="P474" s="5" t="s">
        <v>59</v>
      </c>
      <c r="Q474" s="5" t="s">
        <v>60</v>
      </c>
      <c r="R474" s="6" t="s">
        <v>42</v>
      </c>
      <c r="S474" s="5" t="s">
        <v>130</v>
      </c>
      <c r="T474" s="5" t="s">
        <v>202</v>
      </c>
      <c r="U474" s="5" t="s">
        <v>44</v>
      </c>
      <c r="V474" s="5" t="s">
        <v>44</v>
      </c>
      <c r="W474" s="5" t="s">
        <v>36</v>
      </c>
      <c r="X474" s="5" t="s">
        <v>203</v>
      </c>
      <c r="Y474" s="5" t="s">
        <v>46</v>
      </c>
      <c r="Z474" s="5" t="s">
        <v>47</v>
      </c>
      <c r="AA474" s="5" t="s">
        <v>64</v>
      </c>
      <c r="AB474" s="5" t="s">
        <v>2253</v>
      </c>
      <c r="AC474" s="6" t="s">
        <v>34</v>
      </c>
      <c r="AD474" s="6">
        <v>3968.0</v>
      </c>
    </row>
    <row r="475" ht="56.25" customHeight="1">
      <c r="A475" s="5" t="s">
        <v>2254</v>
      </c>
      <c r="B475" s="16" t="str">
        <f>IMAGE("https://storage.googleapis.com/acdb/miscellaneous/FtrInsectMitsubachiToy.png")</f>
        <v/>
      </c>
      <c r="C475" s="5" t="s">
        <v>34</v>
      </c>
      <c r="D475" s="5" t="s">
        <v>34</v>
      </c>
      <c r="E475" s="5" t="s">
        <v>34</v>
      </c>
      <c r="F475" s="5" t="s">
        <v>34</v>
      </c>
      <c r="G475" s="5" t="s">
        <v>36</v>
      </c>
      <c r="H475" s="5" t="s">
        <v>36</v>
      </c>
      <c r="I475" s="5" t="s">
        <v>36</v>
      </c>
      <c r="J475" s="6" t="s">
        <v>34</v>
      </c>
      <c r="K475" s="6" t="s">
        <v>37</v>
      </c>
      <c r="L475" s="6">
        <v>600.0</v>
      </c>
      <c r="M475" s="5" t="s">
        <v>114</v>
      </c>
      <c r="N475" s="5" t="s">
        <v>54</v>
      </c>
      <c r="O475" s="6" t="s">
        <v>40</v>
      </c>
      <c r="P475" s="5" t="s">
        <v>107</v>
      </c>
      <c r="Q475" s="5" t="s">
        <v>108</v>
      </c>
      <c r="R475" s="6" t="s">
        <v>42</v>
      </c>
      <c r="S475" s="5" t="s">
        <v>44</v>
      </c>
      <c r="T475" s="5" t="s">
        <v>44</v>
      </c>
      <c r="U475" s="5" t="s">
        <v>44</v>
      </c>
      <c r="V475" s="5" t="s">
        <v>44</v>
      </c>
      <c r="W475" s="5" t="s">
        <v>36</v>
      </c>
      <c r="X475" s="5" t="s">
        <v>109</v>
      </c>
      <c r="Y475" s="5" t="s">
        <v>46</v>
      </c>
      <c r="Z475" s="5" t="s">
        <v>47</v>
      </c>
      <c r="AA475" s="5" t="s">
        <v>48</v>
      </c>
      <c r="AB475" s="5" t="s">
        <v>2257</v>
      </c>
      <c r="AC475" s="6" t="s">
        <v>34</v>
      </c>
      <c r="AD475" s="6">
        <v>5928.0</v>
      </c>
    </row>
    <row r="476" ht="56.25" customHeight="1">
      <c r="A476" s="5" t="s">
        <v>2259</v>
      </c>
      <c r="B476" s="16" t="str">
        <f>IMAGE("https://storage.googleapis.com/acdb/miscellaneous/FtrInsectKohkasasuohkabutoToy.png")</f>
        <v/>
      </c>
      <c r="C476" s="5" t="s">
        <v>34</v>
      </c>
      <c r="D476" s="5" t="s">
        <v>34</v>
      </c>
      <c r="E476" s="5" t="s">
        <v>34</v>
      </c>
      <c r="F476" s="5" t="s">
        <v>34</v>
      </c>
      <c r="G476" s="5" t="s">
        <v>36</v>
      </c>
      <c r="H476" s="5" t="s">
        <v>36</v>
      </c>
      <c r="I476" s="5" t="s">
        <v>36</v>
      </c>
      <c r="J476" s="6" t="s">
        <v>34</v>
      </c>
      <c r="K476" s="6" t="s">
        <v>37</v>
      </c>
      <c r="L476" s="6">
        <v>24000.0</v>
      </c>
      <c r="M476" s="5" t="s">
        <v>54</v>
      </c>
      <c r="N476" s="5" t="s">
        <v>54</v>
      </c>
      <c r="O476" s="6" t="s">
        <v>40</v>
      </c>
      <c r="P476" s="5" t="s">
        <v>107</v>
      </c>
      <c r="Q476" s="5" t="s">
        <v>108</v>
      </c>
      <c r="R476" s="6" t="s">
        <v>42</v>
      </c>
      <c r="S476" s="5" t="s">
        <v>44</v>
      </c>
      <c r="T476" s="5" t="s">
        <v>44</v>
      </c>
      <c r="U476" s="5" t="s">
        <v>44</v>
      </c>
      <c r="V476" s="5" t="s">
        <v>44</v>
      </c>
      <c r="W476" s="5" t="s">
        <v>36</v>
      </c>
      <c r="X476" s="5" t="s">
        <v>109</v>
      </c>
      <c r="Y476" s="5" t="s">
        <v>46</v>
      </c>
      <c r="Z476" s="5" t="s">
        <v>47</v>
      </c>
      <c r="AA476" s="5" t="s">
        <v>48</v>
      </c>
      <c r="AB476" s="5" t="s">
        <v>2263</v>
      </c>
      <c r="AC476" s="6" t="s">
        <v>34</v>
      </c>
      <c r="AD476" s="6">
        <v>7075.0</v>
      </c>
    </row>
    <row r="477" ht="56.25" customHeight="1">
      <c r="A477" s="5" t="s">
        <v>2264</v>
      </c>
      <c r="B477" s="16" t="str">
        <f>IMAGE("https://storage.googleapis.com/acdb/miscellaneous/FtrInsectKabutomushiToy.png")</f>
        <v/>
      </c>
      <c r="C477" s="5" t="s">
        <v>34</v>
      </c>
      <c r="D477" s="5" t="s">
        <v>34</v>
      </c>
      <c r="E477" s="5" t="s">
        <v>34</v>
      </c>
      <c r="F477" s="5" t="s">
        <v>34</v>
      </c>
      <c r="G477" s="5" t="s">
        <v>36</v>
      </c>
      <c r="H477" s="5" t="s">
        <v>36</v>
      </c>
      <c r="I477" s="5" t="s">
        <v>36</v>
      </c>
      <c r="J477" s="6" t="s">
        <v>34</v>
      </c>
      <c r="K477" s="6" t="s">
        <v>37</v>
      </c>
      <c r="L477" s="6">
        <v>4050.0</v>
      </c>
      <c r="M477" s="5" t="s">
        <v>39</v>
      </c>
      <c r="N477" s="5" t="s">
        <v>39</v>
      </c>
      <c r="O477" s="6" t="s">
        <v>40</v>
      </c>
      <c r="P477" s="5" t="s">
        <v>107</v>
      </c>
      <c r="Q477" s="5" t="s">
        <v>108</v>
      </c>
      <c r="R477" s="6" t="s">
        <v>42</v>
      </c>
      <c r="S477" s="5" t="s">
        <v>44</v>
      </c>
      <c r="T477" s="5" t="s">
        <v>44</v>
      </c>
      <c r="U477" s="5" t="s">
        <v>44</v>
      </c>
      <c r="V477" s="5" t="s">
        <v>44</v>
      </c>
      <c r="W477" s="5" t="s">
        <v>36</v>
      </c>
      <c r="X477" s="5" t="s">
        <v>109</v>
      </c>
      <c r="Y477" s="5" t="s">
        <v>46</v>
      </c>
      <c r="Z477" s="5" t="s">
        <v>47</v>
      </c>
      <c r="AA477" s="5" t="s">
        <v>48</v>
      </c>
      <c r="AB477" s="5" t="s">
        <v>2267</v>
      </c>
      <c r="AC477" s="6" t="s">
        <v>34</v>
      </c>
      <c r="AD477" s="6">
        <v>5938.0</v>
      </c>
    </row>
    <row r="478" ht="56.25" customHeight="1">
      <c r="A478" s="5" t="s">
        <v>2268</v>
      </c>
      <c r="B478" s="16" t="str">
        <f>IMAGE("https://storage.googleapis.com/acdb/miscellaneous/FtrInsectZoukabutoToy.png")</f>
        <v/>
      </c>
      <c r="C478" s="5" t="s">
        <v>34</v>
      </c>
      <c r="D478" s="5" t="s">
        <v>34</v>
      </c>
      <c r="E478" s="5" t="s">
        <v>34</v>
      </c>
      <c r="F478" s="5" t="s">
        <v>34</v>
      </c>
      <c r="G478" s="5" t="s">
        <v>36</v>
      </c>
      <c r="H478" s="5" t="s">
        <v>36</v>
      </c>
      <c r="I478" s="5" t="s">
        <v>36</v>
      </c>
      <c r="J478" s="6" t="s">
        <v>34</v>
      </c>
      <c r="K478" s="6" t="s">
        <v>37</v>
      </c>
      <c r="L478" s="6">
        <v>24000.0</v>
      </c>
      <c r="M478" s="5" t="s">
        <v>38</v>
      </c>
      <c r="N478" s="5" t="s">
        <v>54</v>
      </c>
      <c r="O478" s="6" t="s">
        <v>40</v>
      </c>
      <c r="P478" s="5" t="s">
        <v>107</v>
      </c>
      <c r="Q478" s="5" t="s">
        <v>108</v>
      </c>
      <c r="R478" s="6" t="s">
        <v>42</v>
      </c>
      <c r="S478" s="5" t="s">
        <v>44</v>
      </c>
      <c r="T478" s="5" t="s">
        <v>44</v>
      </c>
      <c r="U478" s="5" t="s">
        <v>44</v>
      </c>
      <c r="V478" s="5" t="s">
        <v>44</v>
      </c>
      <c r="W478" s="5" t="s">
        <v>36</v>
      </c>
      <c r="X478" s="5" t="s">
        <v>109</v>
      </c>
      <c r="Y478" s="5" t="s">
        <v>46</v>
      </c>
      <c r="Z478" s="5" t="s">
        <v>47</v>
      </c>
      <c r="AA478" s="5" t="s">
        <v>48</v>
      </c>
      <c r="AB478" s="5" t="s">
        <v>2272</v>
      </c>
      <c r="AC478" s="6" t="s">
        <v>34</v>
      </c>
      <c r="AD478" s="6">
        <v>7110.0</v>
      </c>
    </row>
    <row r="479" ht="56.25" customHeight="1">
      <c r="A479" s="5" t="s">
        <v>2273</v>
      </c>
      <c r="B479" s="16" t="str">
        <f>IMAGE("https://storage.googleapis.com/acdb/miscellaneous/FtrFishAjiToy.png")</f>
        <v/>
      </c>
      <c r="C479" s="5" t="s">
        <v>34</v>
      </c>
      <c r="D479" s="5" t="s">
        <v>34</v>
      </c>
      <c r="E479" s="5" t="s">
        <v>34</v>
      </c>
      <c r="F479" s="5" t="s">
        <v>34</v>
      </c>
      <c r="G479" s="5" t="s">
        <v>36</v>
      </c>
      <c r="H479" s="5" t="s">
        <v>36</v>
      </c>
      <c r="I479" s="5" t="s">
        <v>36</v>
      </c>
      <c r="J479" s="6" t="s">
        <v>34</v>
      </c>
      <c r="K479" s="6" t="s">
        <v>37</v>
      </c>
      <c r="L479" s="6">
        <v>450.0</v>
      </c>
      <c r="M479" s="5" t="s">
        <v>68</v>
      </c>
      <c r="N479" s="5" t="s">
        <v>54</v>
      </c>
      <c r="O479" s="6" t="s">
        <v>40</v>
      </c>
      <c r="P479" s="5" t="s">
        <v>213</v>
      </c>
      <c r="Q479" s="5" t="s">
        <v>215</v>
      </c>
      <c r="R479" s="6" t="s">
        <v>42</v>
      </c>
      <c r="S479" s="5" t="s">
        <v>44</v>
      </c>
      <c r="T479" s="5" t="s">
        <v>44</v>
      </c>
      <c r="U479" s="5" t="s">
        <v>44</v>
      </c>
      <c r="V479" s="5" t="s">
        <v>44</v>
      </c>
      <c r="W479" s="5" t="s">
        <v>36</v>
      </c>
      <c r="X479" s="5" t="s">
        <v>219</v>
      </c>
      <c r="Y479" s="5" t="s">
        <v>46</v>
      </c>
      <c r="Z479" s="5" t="s">
        <v>47</v>
      </c>
      <c r="AA479" s="5" t="s">
        <v>48</v>
      </c>
      <c r="AB479" s="5" t="s">
        <v>2276</v>
      </c>
      <c r="AC479" s="6" t="s">
        <v>34</v>
      </c>
      <c r="AD479" s="6">
        <v>6932.0</v>
      </c>
    </row>
    <row r="480" ht="56.25" customHeight="1">
      <c r="A480" s="5" t="s">
        <v>2277</v>
      </c>
      <c r="B480" s="6" t="str">
        <f>IMAGE("https://storage.googleapis.com/acdb/miscellaneous/FtrSandglass_Remake_0_0.png")</f>
        <v/>
      </c>
      <c r="C480" s="5" t="s">
        <v>32</v>
      </c>
      <c r="D480" s="5" t="s">
        <v>34</v>
      </c>
      <c r="E480" s="5" t="s">
        <v>34</v>
      </c>
      <c r="F480" s="5" t="s">
        <v>34</v>
      </c>
      <c r="G480" s="5" t="s">
        <v>36</v>
      </c>
      <c r="H480" s="5" t="s">
        <v>36</v>
      </c>
      <c r="I480" s="5" t="s">
        <v>36</v>
      </c>
      <c r="J480" s="6" t="s">
        <v>34</v>
      </c>
      <c r="K480" s="6">
        <v>660.0</v>
      </c>
      <c r="L480" s="6">
        <v>165.0</v>
      </c>
      <c r="M480" s="5" t="s">
        <v>38</v>
      </c>
      <c r="N480" s="5" t="s">
        <v>83</v>
      </c>
      <c r="O480" s="6" t="s">
        <v>40</v>
      </c>
      <c r="P480" s="5" t="s">
        <v>59</v>
      </c>
      <c r="Q480" s="5" t="s">
        <v>60</v>
      </c>
      <c r="R480" s="6" t="s">
        <v>42</v>
      </c>
      <c r="S480" s="5" t="s">
        <v>159</v>
      </c>
      <c r="T480" s="5" t="s">
        <v>90</v>
      </c>
      <c r="U480" s="5" t="s">
        <v>44</v>
      </c>
      <c r="V480" s="5" t="s">
        <v>44</v>
      </c>
      <c r="W480" s="5" t="s">
        <v>35</v>
      </c>
      <c r="X480" s="5" t="s">
        <v>260</v>
      </c>
      <c r="Y480" s="5" t="s">
        <v>46</v>
      </c>
      <c r="Z480" s="5" t="s">
        <v>47</v>
      </c>
      <c r="AA480" s="5" t="s">
        <v>64</v>
      </c>
      <c r="AB480" s="5" t="s">
        <v>2281</v>
      </c>
      <c r="AC480" s="6" t="s">
        <v>50</v>
      </c>
      <c r="AD480" s="6">
        <v>1892.0</v>
      </c>
    </row>
    <row r="481" ht="56.25" customHeight="1">
      <c r="A481" s="5" t="s">
        <v>2277</v>
      </c>
      <c r="B481" s="6" t="str">
        <f>IMAGE("https://storage.googleapis.com/acdb/miscellaneous/FtrSandglass_Remake_1_0.png")</f>
        <v/>
      </c>
      <c r="C481" s="5" t="s">
        <v>57</v>
      </c>
      <c r="D481" s="5" t="s">
        <v>34</v>
      </c>
      <c r="E481" s="5" t="s">
        <v>34</v>
      </c>
      <c r="F481" s="5" t="s">
        <v>34</v>
      </c>
      <c r="G481" s="5" t="s">
        <v>36</v>
      </c>
      <c r="H481" s="5" t="s">
        <v>36</v>
      </c>
      <c r="I481" s="5" t="s">
        <v>36</v>
      </c>
      <c r="J481" s="6" t="s">
        <v>34</v>
      </c>
      <c r="K481" s="6">
        <v>660.0</v>
      </c>
      <c r="L481" s="6">
        <v>165.0</v>
      </c>
      <c r="M481" s="5" t="s">
        <v>57</v>
      </c>
      <c r="N481" s="5" t="s">
        <v>69</v>
      </c>
      <c r="O481" s="6" t="s">
        <v>40</v>
      </c>
      <c r="P481" s="5" t="s">
        <v>59</v>
      </c>
      <c r="Q481" s="5" t="s">
        <v>60</v>
      </c>
      <c r="R481" s="6" t="s">
        <v>42</v>
      </c>
      <c r="S481" s="5" t="s">
        <v>159</v>
      </c>
      <c r="T481" s="5" t="s">
        <v>90</v>
      </c>
      <c r="U481" s="5" t="s">
        <v>44</v>
      </c>
      <c r="V481" s="5" t="s">
        <v>44</v>
      </c>
      <c r="W481" s="5" t="s">
        <v>35</v>
      </c>
      <c r="X481" s="5" t="s">
        <v>260</v>
      </c>
      <c r="Y481" s="5" t="s">
        <v>46</v>
      </c>
      <c r="Z481" s="5" t="s">
        <v>47</v>
      </c>
      <c r="AA481" s="5" t="s">
        <v>64</v>
      </c>
      <c r="AB481" s="5" t="s">
        <v>2283</v>
      </c>
      <c r="AC481" s="6" t="s">
        <v>56</v>
      </c>
      <c r="AD481" s="6">
        <v>1892.0</v>
      </c>
    </row>
    <row r="482" ht="56.25" customHeight="1">
      <c r="A482" s="5" t="s">
        <v>2277</v>
      </c>
      <c r="B482" s="6" t="str">
        <f>IMAGE("https://storage.googleapis.com/acdb/miscellaneous/FtrSandglass_Remake_2_0.png")</f>
        <v/>
      </c>
      <c r="C482" s="5" t="s">
        <v>54</v>
      </c>
      <c r="D482" s="5" t="s">
        <v>34</v>
      </c>
      <c r="E482" s="5" t="s">
        <v>34</v>
      </c>
      <c r="F482" s="5" t="s">
        <v>34</v>
      </c>
      <c r="G482" s="5" t="s">
        <v>36</v>
      </c>
      <c r="H482" s="5" t="s">
        <v>36</v>
      </c>
      <c r="I482" s="5" t="s">
        <v>36</v>
      </c>
      <c r="J482" s="6" t="s">
        <v>34</v>
      </c>
      <c r="K482" s="6">
        <v>660.0</v>
      </c>
      <c r="L482" s="6">
        <v>165.0</v>
      </c>
      <c r="M482" s="5" t="s">
        <v>54</v>
      </c>
      <c r="N482" s="5" t="s">
        <v>57</v>
      </c>
      <c r="O482" s="6" t="s">
        <v>40</v>
      </c>
      <c r="P482" s="5" t="s">
        <v>59</v>
      </c>
      <c r="Q482" s="5" t="s">
        <v>60</v>
      </c>
      <c r="R482" s="6" t="s">
        <v>42</v>
      </c>
      <c r="S482" s="5" t="s">
        <v>159</v>
      </c>
      <c r="T482" s="5" t="s">
        <v>90</v>
      </c>
      <c r="U482" s="5" t="s">
        <v>44</v>
      </c>
      <c r="V482" s="5" t="s">
        <v>44</v>
      </c>
      <c r="W482" s="5" t="s">
        <v>35</v>
      </c>
      <c r="X482" s="5" t="s">
        <v>260</v>
      </c>
      <c r="Y482" s="5" t="s">
        <v>46</v>
      </c>
      <c r="Z482" s="5" t="s">
        <v>47</v>
      </c>
      <c r="AA482" s="5" t="s">
        <v>64</v>
      </c>
      <c r="AB482" s="5" t="s">
        <v>2287</v>
      </c>
      <c r="AC482" s="6" t="s">
        <v>67</v>
      </c>
      <c r="AD482" s="6">
        <v>1892.0</v>
      </c>
    </row>
    <row r="483" ht="56.25" customHeight="1">
      <c r="A483" s="5" t="s">
        <v>2277</v>
      </c>
      <c r="B483" s="6" t="str">
        <f>IMAGE("https://storage.googleapis.com/acdb/miscellaneous/FtrSandglass_Remake_3_0.png")</f>
        <v/>
      </c>
      <c r="C483" s="5" t="s">
        <v>39</v>
      </c>
      <c r="D483" s="5" t="s">
        <v>34</v>
      </c>
      <c r="E483" s="5" t="s">
        <v>34</v>
      </c>
      <c r="F483" s="5" t="s">
        <v>34</v>
      </c>
      <c r="G483" s="5" t="s">
        <v>36</v>
      </c>
      <c r="H483" s="5" t="s">
        <v>36</v>
      </c>
      <c r="I483" s="5" t="s">
        <v>36</v>
      </c>
      <c r="J483" s="6" t="s">
        <v>34</v>
      </c>
      <c r="K483" s="6">
        <v>660.0</v>
      </c>
      <c r="L483" s="6">
        <v>165.0</v>
      </c>
      <c r="M483" s="5" t="s">
        <v>39</v>
      </c>
      <c r="N483" s="5" t="s">
        <v>114</v>
      </c>
      <c r="O483" s="6" t="s">
        <v>40</v>
      </c>
      <c r="P483" s="5" t="s">
        <v>59</v>
      </c>
      <c r="Q483" s="5" t="s">
        <v>60</v>
      </c>
      <c r="R483" s="6" t="s">
        <v>42</v>
      </c>
      <c r="S483" s="5" t="s">
        <v>159</v>
      </c>
      <c r="T483" s="5" t="s">
        <v>90</v>
      </c>
      <c r="U483" s="5" t="s">
        <v>44</v>
      </c>
      <c r="V483" s="5" t="s">
        <v>44</v>
      </c>
      <c r="W483" s="5" t="s">
        <v>35</v>
      </c>
      <c r="X483" s="5" t="s">
        <v>260</v>
      </c>
      <c r="Y483" s="5" t="s">
        <v>46</v>
      </c>
      <c r="Z483" s="5" t="s">
        <v>47</v>
      </c>
      <c r="AA483" s="5" t="s">
        <v>64</v>
      </c>
      <c r="AB483" s="5" t="s">
        <v>2289</v>
      </c>
      <c r="AC483" s="6" t="s">
        <v>71</v>
      </c>
      <c r="AD483" s="6">
        <v>1892.0</v>
      </c>
    </row>
    <row r="484" ht="56.25" customHeight="1">
      <c r="A484" s="5" t="s">
        <v>2291</v>
      </c>
      <c r="B484" s="6" t="str">
        <f>IMAGE("https://storage.googleapis.com/acdb/miscellaneous/FtrHuladoll_Remake_0_0.png")</f>
        <v/>
      </c>
      <c r="C484" s="5" t="s">
        <v>96</v>
      </c>
      <c r="D484" s="5" t="s">
        <v>2</v>
      </c>
      <c r="E484" s="5" t="s">
        <v>34</v>
      </c>
      <c r="F484" s="5" t="s">
        <v>34</v>
      </c>
      <c r="G484" s="5" t="s">
        <v>36</v>
      </c>
      <c r="H484" s="5" t="s">
        <v>35</v>
      </c>
      <c r="I484" s="5" t="s">
        <v>36</v>
      </c>
      <c r="J484" s="6">
        <v>2.0</v>
      </c>
      <c r="K484" s="6" t="s">
        <v>37</v>
      </c>
      <c r="L484" s="6">
        <v>1200.0</v>
      </c>
      <c r="M484" s="5" t="s">
        <v>58</v>
      </c>
      <c r="N484" s="5" t="s">
        <v>96</v>
      </c>
      <c r="O484" s="6" t="s">
        <v>40</v>
      </c>
      <c r="P484" s="5" t="s">
        <v>1284</v>
      </c>
      <c r="Q484" s="5"/>
      <c r="R484" s="6" t="s">
        <v>42</v>
      </c>
      <c r="S484" s="5" t="s">
        <v>696</v>
      </c>
      <c r="T484" s="5" t="s">
        <v>138</v>
      </c>
      <c r="U484" s="5" t="s">
        <v>44</v>
      </c>
      <c r="V484" s="5" t="s">
        <v>44</v>
      </c>
      <c r="W484" s="5" t="s">
        <v>35</v>
      </c>
      <c r="X484" s="5" t="s">
        <v>1285</v>
      </c>
      <c r="Y484" s="5" t="s">
        <v>46</v>
      </c>
      <c r="Z484" s="5" t="s">
        <v>47</v>
      </c>
      <c r="AA484" s="5" t="s">
        <v>48</v>
      </c>
      <c r="AB484" s="5" t="s">
        <v>2294</v>
      </c>
      <c r="AC484" s="6" t="s">
        <v>50</v>
      </c>
      <c r="AD484" s="6">
        <v>690.0</v>
      </c>
    </row>
    <row r="485" ht="56.25" customHeight="1">
      <c r="A485" s="5" t="s">
        <v>2291</v>
      </c>
      <c r="B485" s="6" t="str">
        <f>IMAGE("https://storage.googleapis.com/acdb/miscellaneous/FtrHuladoll_Remake_1_0.png")</f>
        <v/>
      </c>
      <c r="C485" s="5" t="s">
        <v>52</v>
      </c>
      <c r="D485" s="5" t="s">
        <v>2</v>
      </c>
      <c r="E485" s="5" t="s">
        <v>34</v>
      </c>
      <c r="F485" s="5" t="s">
        <v>34</v>
      </c>
      <c r="G485" s="5" t="s">
        <v>36</v>
      </c>
      <c r="H485" s="5" t="s">
        <v>35</v>
      </c>
      <c r="I485" s="5" t="s">
        <v>36</v>
      </c>
      <c r="J485" s="6">
        <v>2.0</v>
      </c>
      <c r="K485" s="6" t="s">
        <v>37</v>
      </c>
      <c r="L485" s="6">
        <v>1200.0</v>
      </c>
      <c r="M485" s="5" t="s">
        <v>58</v>
      </c>
      <c r="N485" s="5" t="s">
        <v>52</v>
      </c>
      <c r="O485" s="6" t="s">
        <v>40</v>
      </c>
      <c r="P485" s="5" t="s">
        <v>1284</v>
      </c>
      <c r="Q485" s="5"/>
      <c r="R485" s="6" t="s">
        <v>42</v>
      </c>
      <c r="S485" s="5" t="s">
        <v>696</v>
      </c>
      <c r="T485" s="5" t="s">
        <v>138</v>
      </c>
      <c r="U485" s="5" t="s">
        <v>44</v>
      </c>
      <c r="V485" s="5" t="s">
        <v>44</v>
      </c>
      <c r="W485" s="5" t="s">
        <v>35</v>
      </c>
      <c r="X485" s="5" t="s">
        <v>1285</v>
      </c>
      <c r="Y485" s="5" t="s">
        <v>46</v>
      </c>
      <c r="Z485" s="5" t="s">
        <v>47</v>
      </c>
      <c r="AA485" s="5" t="s">
        <v>48</v>
      </c>
      <c r="AB485" s="5" t="s">
        <v>2298</v>
      </c>
      <c r="AC485" s="6" t="s">
        <v>56</v>
      </c>
      <c r="AD485" s="6">
        <v>690.0</v>
      </c>
    </row>
    <row r="486" ht="56.25" customHeight="1">
      <c r="A486" s="5" t="s">
        <v>2291</v>
      </c>
      <c r="B486" s="6" t="str">
        <f>IMAGE("https://storage.googleapis.com/acdb/miscellaneous/FtrHuladoll_Remake_2_0.png")</f>
        <v/>
      </c>
      <c r="C486" s="5" t="s">
        <v>69</v>
      </c>
      <c r="D486" s="5" t="s">
        <v>2</v>
      </c>
      <c r="E486" s="5" t="s">
        <v>34</v>
      </c>
      <c r="F486" s="5" t="s">
        <v>34</v>
      </c>
      <c r="G486" s="5" t="s">
        <v>36</v>
      </c>
      <c r="H486" s="5" t="s">
        <v>35</v>
      </c>
      <c r="I486" s="5" t="s">
        <v>36</v>
      </c>
      <c r="J486" s="6">
        <v>2.0</v>
      </c>
      <c r="K486" s="6" t="s">
        <v>37</v>
      </c>
      <c r="L486" s="6">
        <v>1200.0</v>
      </c>
      <c r="M486" s="5" t="s">
        <v>58</v>
      </c>
      <c r="N486" s="5" t="s">
        <v>69</v>
      </c>
      <c r="O486" s="6" t="s">
        <v>40</v>
      </c>
      <c r="P486" s="5" t="s">
        <v>1284</v>
      </c>
      <c r="Q486" s="5"/>
      <c r="R486" s="6" t="s">
        <v>42</v>
      </c>
      <c r="S486" s="5" t="s">
        <v>696</v>
      </c>
      <c r="T486" s="5" t="s">
        <v>138</v>
      </c>
      <c r="U486" s="5" t="s">
        <v>44</v>
      </c>
      <c r="V486" s="5" t="s">
        <v>44</v>
      </c>
      <c r="W486" s="5" t="s">
        <v>35</v>
      </c>
      <c r="X486" s="5" t="s">
        <v>1285</v>
      </c>
      <c r="Y486" s="5" t="s">
        <v>46</v>
      </c>
      <c r="Z486" s="5" t="s">
        <v>47</v>
      </c>
      <c r="AA486" s="5" t="s">
        <v>48</v>
      </c>
      <c r="AB486" s="5" t="s">
        <v>2302</v>
      </c>
      <c r="AC486" s="6" t="s">
        <v>67</v>
      </c>
      <c r="AD486" s="6">
        <v>690.0</v>
      </c>
    </row>
    <row r="487" ht="56.25" customHeight="1">
      <c r="A487" s="5" t="s">
        <v>2291</v>
      </c>
      <c r="B487" s="6" t="str">
        <f>IMAGE("https://storage.googleapis.com/acdb/miscellaneous/FtrHuladoll_Remake_3_0.png")</f>
        <v/>
      </c>
      <c r="C487" s="5" t="s">
        <v>68</v>
      </c>
      <c r="D487" s="5" t="s">
        <v>2</v>
      </c>
      <c r="E487" s="5" t="s">
        <v>34</v>
      </c>
      <c r="F487" s="5" t="s">
        <v>34</v>
      </c>
      <c r="G487" s="5" t="s">
        <v>36</v>
      </c>
      <c r="H487" s="5" t="s">
        <v>35</v>
      </c>
      <c r="I487" s="5" t="s">
        <v>36</v>
      </c>
      <c r="J487" s="6">
        <v>2.0</v>
      </c>
      <c r="K487" s="6" t="s">
        <v>37</v>
      </c>
      <c r="L487" s="6">
        <v>1200.0</v>
      </c>
      <c r="M487" s="5" t="s">
        <v>58</v>
      </c>
      <c r="N487" s="5" t="s">
        <v>83</v>
      </c>
      <c r="O487" s="6" t="s">
        <v>40</v>
      </c>
      <c r="P487" s="5" t="s">
        <v>1284</v>
      </c>
      <c r="Q487" s="5"/>
      <c r="R487" s="6" t="s">
        <v>42</v>
      </c>
      <c r="S487" s="5" t="s">
        <v>696</v>
      </c>
      <c r="T487" s="5" t="s">
        <v>138</v>
      </c>
      <c r="U487" s="5" t="s">
        <v>44</v>
      </c>
      <c r="V487" s="5" t="s">
        <v>44</v>
      </c>
      <c r="W487" s="5" t="s">
        <v>35</v>
      </c>
      <c r="X487" s="5" t="s">
        <v>1285</v>
      </c>
      <c r="Y487" s="5" t="s">
        <v>46</v>
      </c>
      <c r="Z487" s="5" t="s">
        <v>47</v>
      </c>
      <c r="AA487" s="5" t="s">
        <v>48</v>
      </c>
      <c r="AB487" s="5" t="s">
        <v>2307</v>
      </c>
      <c r="AC487" s="6" t="s">
        <v>71</v>
      </c>
      <c r="AD487" s="6">
        <v>690.0</v>
      </c>
    </row>
    <row r="488" ht="56.25" customHeight="1">
      <c r="A488" s="5" t="s">
        <v>2291</v>
      </c>
      <c r="B488" s="6" t="str">
        <f>IMAGE("https://storage.googleapis.com/acdb/miscellaneous/FtrHuladoll_Remake_4_0.png")</f>
        <v/>
      </c>
      <c r="C488" s="5" t="s">
        <v>114</v>
      </c>
      <c r="D488" s="5" t="s">
        <v>2</v>
      </c>
      <c r="E488" s="5" t="s">
        <v>34</v>
      </c>
      <c r="F488" s="5" t="s">
        <v>34</v>
      </c>
      <c r="G488" s="5" t="s">
        <v>36</v>
      </c>
      <c r="H488" s="5" t="s">
        <v>35</v>
      </c>
      <c r="I488" s="5" t="s">
        <v>36</v>
      </c>
      <c r="J488" s="6">
        <v>2.0</v>
      </c>
      <c r="K488" s="6" t="s">
        <v>37</v>
      </c>
      <c r="L488" s="6">
        <v>1200.0</v>
      </c>
      <c r="M488" s="5" t="s">
        <v>58</v>
      </c>
      <c r="N488" s="5" t="s">
        <v>114</v>
      </c>
      <c r="O488" s="6" t="s">
        <v>40</v>
      </c>
      <c r="P488" s="5" t="s">
        <v>1284</v>
      </c>
      <c r="Q488" s="5"/>
      <c r="R488" s="6" t="s">
        <v>42</v>
      </c>
      <c r="S488" s="5" t="s">
        <v>696</v>
      </c>
      <c r="T488" s="5" t="s">
        <v>138</v>
      </c>
      <c r="U488" s="5" t="s">
        <v>44</v>
      </c>
      <c r="V488" s="5" t="s">
        <v>44</v>
      </c>
      <c r="W488" s="5" t="s">
        <v>35</v>
      </c>
      <c r="X488" s="5" t="s">
        <v>1285</v>
      </c>
      <c r="Y488" s="5" t="s">
        <v>46</v>
      </c>
      <c r="Z488" s="5" t="s">
        <v>47</v>
      </c>
      <c r="AA488" s="5" t="s">
        <v>48</v>
      </c>
      <c r="AB488" s="5" t="s">
        <v>2310</v>
      </c>
      <c r="AC488" s="6" t="s">
        <v>75</v>
      </c>
      <c r="AD488" s="6">
        <v>690.0</v>
      </c>
    </row>
    <row r="489" ht="56.25" customHeight="1">
      <c r="A489" s="5" t="s">
        <v>2291</v>
      </c>
      <c r="B489" s="6" t="str">
        <f>IMAGE("https://storage.googleapis.com/acdb/miscellaneous/FtrHuladoll_Remake_5_0.png")</f>
        <v/>
      </c>
      <c r="C489" s="5" t="s">
        <v>38</v>
      </c>
      <c r="D489" s="5" t="s">
        <v>2</v>
      </c>
      <c r="E489" s="5" t="s">
        <v>34</v>
      </c>
      <c r="F489" s="5" t="s">
        <v>34</v>
      </c>
      <c r="G489" s="5" t="s">
        <v>36</v>
      </c>
      <c r="H489" s="5" t="s">
        <v>35</v>
      </c>
      <c r="I489" s="5" t="s">
        <v>36</v>
      </c>
      <c r="J489" s="6">
        <v>2.0</v>
      </c>
      <c r="K489" s="6" t="s">
        <v>37</v>
      </c>
      <c r="L489" s="6">
        <v>1200.0</v>
      </c>
      <c r="M489" s="5" t="s">
        <v>58</v>
      </c>
      <c r="N489" s="5" t="s">
        <v>38</v>
      </c>
      <c r="O489" s="6" t="s">
        <v>40</v>
      </c>
      <c r="P489" s="5" t="s">
        <v>1284</v>
      </c>
      <c r="Q489" s="5"/>
      <c r="R489" s="6" t="s">
        <v>42</v>
      </c>
      <c r="S489" s="5" t="s">
        <v>696</v>
      </c>
      <c r="T489" s="5" t="s">
        <v>138</v>
      </c>
      <c r="U489" s="5" t="s">
        <v>44</v>
      </c>
      <c r="V489" s="5" t="s">
        <v>44</v>
      </c>
      <c r="W489" s="5" t="s">
        <v>35</v>
      </c>
      <c r="X489" s="5" t="s">
        <v>1285</v>
      </c>
      <c r="Y489" s="5" t="s">
        <v>46</v>
      </c>
      <c r="Z489" s="5" t="s">
        <v>47</v>
      </c>
      <c r="AA489" s="5" t="s">
        <v>48</v>
      </c>
      <c r="AB489" s="5" t="s">
        <v>2313</v>
      </c>
      <c r="AC489" s="6" t="s">
        <v>79</v>
      </c>
      <c r="AD489" s="6">
        <v>690.0</v>
      </c>
    </row>
    <row r="490" ht="56.25" customHeight="1">
      <c r="A490" s="5" t="s">
        <v>2314</v>
      </c>
      <c r="B490" s="6" t="str">
        <f>IMAGE("https://storage.googleapis.com/acdb/miscellaneous/FtrHumidifier_Remake_0_0.png")</f>
        <v/>
      </c>
      <c r="C490" s="5" t="s">
        <v>57</v>
      </c>
      <c r="D490" s="5" t="s">
        <v>34</v>
      </c>
      <c r="E490" s="5" t="s">
        <v>34</v>
      </c>
      <c r="F490" s="5" t="s">
        <v>34</v>
      </c>
      <c r="G490" s="5" t="s">
        <v>36</v>
      </c>
      <c r="H490" s="5" t="s">
        <v>36</v>
      </c>
      <c r="I490" s="5" t="s">
        <v>36</v>
      </c>
      <c r="J490" s="6" t="s">
        <v>34</v>
      </c>
      <c r="K490" s="6">
        <v>1400.0</v>
      </c>
      <c r="L490" s="6">
        <v>350.0</v>
      </c>
      <c r="M490" s="5" t="s">
        <v>57</v>
      </c>
      <c r="N490" s="5" t="s">
        <v>57</v>
      </c>
      <c r="O490" s="6" t="s">
        <v>40</v>
      </c>
      <c r="P490" s="5" t="s">
        <v>59</v>
      </c>
      <c r="Q490" s="5" t="s">
        <v>60</v>
      </c>
      <c r="R490" s="6" t="s">
        <v>42</v>
      </c>
      <c r="S490" s="5" t="s">
        <v>91</v>
      </c>
      <c r="T490" s="5" t="s">
        <v>90</v>
      </c>
      <c r="U490" s="5" t="s">
        <v>44</v>
      </c>
      <c r="V490" s="5" t="s">
        <v>44</v>
      </c>
      <c r="W490" s="5" t="s">
        <v>35</v>
      </c>
      <c r="X490" s="5" t="s">
        <v>182</v>
      </c>
      <c r="Y490" s="5" t="s">
        <v>46</v>
      </c>
      <c r="Z490" s="5" t="s">
        <v>102</v>
      </c>
      <c r="AA490" s="5" t="s">
        <v>64</v>
      </c>
      <c r="AB490" s="5" t="s">
        <v>2319</v>
      </c>
      <c r="AC490" s="6" t="s">
        <v>50</v>
      </c>
      <c r="AD490" s="6">
        <v>1836.0</v>
      </c>
    </row>
    <row r="491" ht="56.25" customHeight="1">
      <c r="A491" s="5" t="s">
        <v>2314</v>
      </c>
      <c r="B491" s="6" t="str">
        <f>IMAGE("https://storage.googleapis.com/acdb/miscellaneous/FtrHumidifier_Remake_1_0.png")</f>
        <v/>
      </c>
      <c r="C491" s="5" t="s">
        <v>32</v>
      </c>
      <c r="D491" s="5" t="s">
        <v>34</v>
      </c>
      <c r="E491" s="5" t="s">
        <v>34</v>
      </c>
      <c r="F491" s="5" t="s">
        <v>34</v>
      </c>
      <c r="G491" s="5" t="s">
        <v>36</v>
      </c>
      <c r="H491" s="5" t="s">
        <v>36</v>
      </c>
      <c r="I491" s="5" t="s">
        <v>36</v>
      </c>
      <c r="J491" s="6" t="s">
        <v>34</v>
      </c>
      <c r="K491" s="6">
        <v>1400.0</v>
      </c>
      <c r="L491" s="6">
        <v>350.0</v>
      </c>
      <c r="M491" s="5" t="s">
        <v>38</v>
      </c>
      <c r="N491" s="5" t="s">
        <v>57</v>
      </c>
      <c r="O491" s="6" t="s">
        <v>40</v>
      </c>
      <c r="P491" s="5" t="s">
        <v>59</v>
      </c>
      <c r="Q491" s="5" t="s">
        <v>60</v>
      </c>
      <c r="R491" s="6" t="s">
        <v>42</v>
      </c>
      <c r="S491" s="5" t="s">
        <v>91</v>
      </c>
      <c r="T491" s="5" t="s">
        <v>90</v>
      </c>
      <c r="U491" s="5" t="s">
        <v>44</v>
      </c>
      <c r="V491" s="5" t="s">
        <v>44</v>
      </c>
      <c r="W491" s="5" t="s">
        <v>35</v>
      </c>
      <c r="X491" s="5" t="s">
        <v>182</v>
      </c>
      <c r="Y491" s="5" t="s">
        <v>46</v>
      </c>
      <c r="Z491" s="5" t="s">
        <v>102</v>
      </c>
      <c r="AA491" s="5" t="s">
        <v>64</v>
      </c>
      <c r="AB491" s="5" t="s">
        <v>2323</v>
      </c>
      <c r="AC491" s="6" t="s">
        <v>56</v>
      </c>
      <c r="AD491" s="6">
        <v>1836.0</v>
      </c>
    </row>
    <row r="492" ht="56.25" customHeight="1">
      <c r="A492" s="5" t="s">
        <v>2314</v>
      </c>
      <c r="B492" s="6" t="str">
        <f>IMAGE("https://storage.googleapis.com/acdb/miscellaneous/FtrHumidifier_Remake_2_0.png")</f>
        <v/>
      </c>
      <c r="C492" s="5" t="s">
        <v>39</v>
      </c>
      <c r="D492" s="5" t="s">
        <v>34</v>
      </c>
      <c r="E492" s="5" t="s">
        <v>34</v>
      </c>
      <c r="F492" s="5" t="s">
        <v>34</v>
      </c>
      <c r="G492" s="5" t="s">
        <v>36</v>
      </c>
      <c r="H492" s="5" t="s">
        <v>36</v>
      </c>
      <c r="I492" s="5" t="s">
        <v>36</v>
      </c>
      <c r="J492" s="6" t="s">
        <v>34</v>
      </c>
      <c r="K492" s="6">
        <v>1400.0</v>
      </c>
      <c r="L492" s="6">
        <v>350.0</v>
      </c>
      <c r="M492" s="5" t="s">
        <v>39</v>
      </c>
      <c r="N492" s="5" t="s">
        <v>57</v>
      </c>
      <c r="O492" s="6" t="s">
        <v>40</v>
      </c>
      <c r="P492" s="5" t="s">
        <v>59</v>
      </c>
      <c r="Q492" s="5" t="s">
        <v>60</v>
      </c>
      <c r="R492" s="6" t="s">
        <v>42</v>
      </c>
      <c r="S492" s="5" t="s">
        <v>91</v>
      </c>
      <c r="T492" s="5" t="s">
        <v>90</v>
      </c>
      <c r="U492" s="5" t="s">
        <v>44</v>
      </c>
      <c r="V492" s="5" t="s">
        <v>44</v>
      </c>
      <c r="W492" s="5" t="s">
        <v>35</v>
      </c>
      <c r="X492" s="5" t="s">
        <v>182</v>
      </c>
      <c r="Y492" s="5" t="s">
        <v>46</v>
      </c>
      <c r="Z492" s="5" t="s">
        <v>102</v>
      </c>
      <c r="AA492" s="5" t="s">
        <v>64</v>
      </c>
      <c r="AB492" s="5" t="s">
        <v>2329</v>
      </c>
      <c r="AC492" s="6" t="s">
        <v>67</v>
      </c>
      <c r="AD492" s="6">
        <v>1836.0</v>
      </c>
    </row>
    <row r="493" ht="56.25" customHeight="1">
      <c r="A493" s="5" t="s">
        <v>2314</v>
      </c>
      <c r="B493" s="6" t="str">
        <f>IMAGE("https://storage.googleapis.com/acdb/miscellaneous/FtrHumidifier_Remake_3_0.png")</f>
        <v/>
      </c>
      <c r="C493" s="5" t="s">
        <v>69</v>
      </c>
      <c r="D493" s="5" t="s">
        <v>34</v>
      </c>
      <c r="E493" s="5" t="s">
        <v>34</v>
      </c>
      <c r="F493" s="5" t="s">
        <v>34</v>
      </c>
      <c r="G493" s="5" t="s">
        <v>36</v>
      </c>
      <c r="H493" s="5" t="s">
        <v>36</v>
      </c>
      <c r="I493" s="5" t="s">
        <v>36</v>
      </c>
      <c r="J493" s="6" t="s">
        <v>34</v>
      </c>
      <c r="K493" s="6">
        <v>1400.0</v>
      </c>
      <c r="L493" s="6">
        <v>350.0</v>
      </c>
      <c r="M493" s="5" t="s">
        <v>69</v>
      </c>
      <c r="N493" s="5" t="s">
        <v>69</v>
      </c>
      <c r="O493" s="6" t="s">
        <v>40</v>
      </c>
      <c r="P493" s="5" t="s">
        <v>59</v>
      </c>
      <c r="Q493" s="5" t="s">
        <v>60</v>
      </c>
      <c r="R493" s="6" t="s">
        <v>42</v>
      </c>
      <c r="S493" s="5" t="s">
        <v>91</v>
      </c>
      <c r="T493" s="5" t="s">
        <v>90</v>
      </c>
      <c r="U493" s="5" t="s">
        <v>44</v>
      </c>
      <c r="V493" s="5" t="s">
        <v>44</v>
      </c>
      <c r="W493" s="5" t="s">
        <v>35</v>
      </c>
      <c r="X493" s="5" t="s">
        <v>182</v>
      </c>
      <c r="Y493" s="5" t="s">
        <v>46</v>
      </c>
      <c r="Z493" s="5" t="s">
        <v>102</v>
      </c>
      <c r="AA493" s="5" t="s">
        <v>64</v>
      </c>
      <c r="AB493" s="5" t="s">
        <v>2332</v>
      </c>
      <c r="AC493" s="6" t="s">
        <v>71</v>
      </c>
      <c r="AD493" s="6">
        <v>1836.0</v>
      </c>
    </row>
    <row r="494" ht="56.25" customHeight="1">
      <c r="A494" s="5" t="s">
        <v>2314</v>
      </c>
      <c r="B494" s="6" t="str">
        <f>IMAGE("https://storage.googleapis.com/acdb/miscellaneous/FtrHumidifier_Remake_4_0.png")</f>
        <v/>
      </c>
      <c r="C494" s="5" t="s">
        <v>114</v>
      </c>
      <c r="D494" s="5" t="s">
        <v>34</v>
      </c>
      <c r="E494" s="5" t="s">
        <v>34</v>
      </c>
      <c r="F494" s="5" t="s">
        <v>34</v>
      </c>
      <c r="G494" s="5" t="s">
        <v>36</v>
      </c>
      <c r="H494" s="5" t="s">
        <v>36</v>
      </c>
      <c r="I494" s="5" t="s">
        <v>36</v>
      </c>
      <c r="J494" s="6" t="s">
        <v>34</v>
      </c>
      <c r="K494" s="6">
        <v>1400.0</v>
      </c>
      <c r="L494" s="6">
        <v>350.0</v>
      </c>
      <c r="M494" s="5" t="s">
        <v>114</v>
      </c>
      <c r="N494" s="5" t="s">
        <v>114</v>
      </c>
      <c r="O494" s="6" t="s">
        <v>40</v>
      </c>
      <c r="P494" s="5" t="s">
        <v>59</v>
      </c>
      <c r="Q494" s="5" t="s">
        <v>60</v>
      </c>
      <c r="R494" s="6" t="s">
        <v>42</v>
      </c>
      <c r="S494" s="5" t="s">
        <v>91</v>
      </c>
      <c r="T494" s="5" t="s">
        <v>90</v>
      </c>
      <c r="U494" s="5" t="s">
        <v>44</v>
      </c>
      <c r="V494" s="5" t="s">
        <v>44</v>
      </c>
      <c r="W494" s="5" t="s">
        <v>35</v>
      </c>
      <c r="X494" s="5" t="s">
        <v>182</v>
      </c>
      <c r="Y494" s="5" t="s">
        <v>46</v>
      </c>
      <c r="Z494" s="5" t="s">
        <v>102</v>
      </c>
      <c r="AA494" s="5" t="s">
        <v>64</v>
      </c>
      <c r="AB494" s="5" t="s">
        <v>2337</v>
      </c>
      <c r="AC494" s="6" t="s">
        <v>75</v>
      </c>
      <c r="AD494" s="6">
        <v>1836.0</v>
      </c>
    </row>
    <row r="495" ht="56.25" customHeight="1">
      <c r="A495" s="5" t="s">
        <v>2314</v>
      </c>
      <c r="B495" s="6" t="str">
        <f>IMAGE("https://storage.googleapis.com/acdb/miscellaneous/FtrHumidifier_Remake_5_0.png")</f>
        <v/>
      </c>
      <c r="C495" s="5" t="s">
        <v>96</v>
      </c>
      <c r="D495" s="5" t="s">
        <v>34</v>
      </c>
      <c r="E495" s="5" t="s">
        <v>34</v>
      </c>
      <c r="F495" s="5" t="s">
        <v>34</v>
      </c>
      <c r="G495" s="5" t="s">
        <v>36</v>
      </c>
      <c r="H495" s="5" t="s">
        <v>36</v>
      </c>
      <c r="I495" s="5" t="s">
        <v>36</v>
      </c>
      <c r="J495" s="6" t="s">
        <v>34</v>
      </c>
      <c r="K495" s="6">
        <v>1400.0</v>
      </c>
      <c r="L495" s="6">
        <v>350.0</v>
      </c>
      <c r="M495" s="5" t="s">
        <v>96</v>
      </c>
      <c r="N495" s="5" t="s">
        <v>96</v>
      </c>
      <c r="O495" s="6" t="s">
        <v>40</v>
      </c>
      <c r="P495" s="5" t="s">
        <v>59</v>
      </c>
      <c r="Q495" s="5" t="s">
        <v>60</v>
      </c>
      <c r="R495" s="6" t="s">
        <v>42</v>
      </c>
      <c r="S495" s="5" t="s">
        <v>91</v>
      </c>
      <c r="T495" s="5" t="s">
        <v>90</v>
      </c>
      <c r="U495" s="5" t="s">
        <v>44</v>
      </c>
      <c r="V495" s="5" t="s">
        <v>44</v>
      </c>
      <c r="W495" s="5" t="s">
        <v>35</v>
      </c>
      <c r="X495" s="5" t="s">
        <v>182</v>
      </c>
      <c r="Y495" s="5" t="s">
        <v>46</v>
      </c>
      <c r="Z495" s="5" t="s">
        <v>102</v>
      </c>
      <c r="AA495" s="5" t="s">
        <v>64</v>
      </c>
      <c r="AB495" s="5" t="s">
        <v>2340</v>
      </c>
      <c r="AC495" s="6" t="s">
        <v>79</v>
      </c>
      <c r="AD495" s="6">
        <v>1836.0</v>
      </c>
    </row>
    <row r="496" ht="56.25" customHeight="1">
      <c r="A496" s="5" t="s">
        <v>2314</v>
      </c>
      <c r="B496" s="6" t="str">
        <f>IMAGE("https://storage.googleapis.com/acdb/miscellaneous/FtrHumidifier_Remake_6_0.png")</f>
        <v/>
      </c>
      <c r="C496" s="5" t="s">
        <v>68</v>
      </c>
      <c r="D496" s="5" t="s">
        <v>34</v>
      </c>
      <c r="E496" s="5" t="s">
        <v>34</v>
      </c>
      <c r="F496" s="5" t="s">
        <v>34</v>
      </c>
      <c r="G496" s="5" t="s">
        <v>36</v>
      </c>
      <c r="H496" s="5" t="s">
        <v>36</v>
      </c>
      <c r="I496" s="5" t="s">
        <v>36</v>
      </c>
      <c r="J496" s="6" t="s">
        <v>34</v>
      </c>
      <c r="K496" s="6">
        <v>1400.0</v>
      </c>
      <c r="L496" s="6">
        <v>350.0</v>
      </c>
      <c r="M496" s="5" t="s">
        <v>83</v>
      </c>
      <c r="N496" s="5" t="s">
        <v>83</v>
      </c>
      <c r="O496" s="6" t="s">
        <v>40</v>
      </c>
      <c r="P496" s="5" t="s">
        <v>59</v>
      </c>
      <c r="Q496" s="5" t="s">
        <v>60</v>
      </c>
      <c r="R496" s="6" t="s">
        <v>42</v>
      </c>
      <c r="S496" s="5" t="s">
        <v>91</v>
      </c>
      <c r="T496" s="5" t="s">
        <v>90</v>
      </c>
      <c r="U496" s="5" t="s">
        <v>44</v>
      </c>
      <c r="V496" s="5" t="s">
        <v>44</v>
      </c>
      <c r="W496" s="5" t="s">
        <v>35</v>
      </c>
      <c r="X496" s="5" t="s">
        <v>182</v>
      </c>
      <c r="Y496" s="5" t="s">
        <v>46</v>
      </c>
      <c r="Z496" s="5" t="s">
        <v>102</v>
      </c>
      <c r="AA496" s="5" t="s">
        <v>64</v>
      </c>
      <c r="AB496" s="5" t="s">
        <v>2344</v>
      </c>
      <c r="AC496" s="6" t="s">
        <v>86</v>
      </c>
      <c r="AD496" s="6">
        <v>1836.0</v>
      </c>
    </row>
    <row r="497" ht="56.25" customHeight="1">
      <c r="A497" s="5" t="s">
        <v>2314</v>
      </c>
      <c r="B497" s="6" t="str">
        <f>IMAGE("https://storage.googleapis.com/acdb/miscellaneous/FtrHumidifier_Remake_7_0.png")</f>
        <v/>
      </c>
      <c r="C497" s="5" t="s">
        <v>106</v>
      </c>
      <c r="D497" s="5" t="s">
        <v>34</v>
      </c>
      <c r="E497" s="5" t="s">
        <v>34</v>
      </c>
      <c r="F497" s="5" t="s">
        <v>34</v>
      </c>
      <c r="G497" s="5" t="s">
        <v>36</v>
      </c>
      <c r="H497" s="5" t="s">
        <v>36</v>
      </c>
      <c r="I497" s="5" t="s">
        <v>36</v>
      </c>
      <c r="J497" s="6" t="s">
        <v>34</v>
      </c>
      <c r="K497" s="6">
        <v>1400.0</v>
      </c>
      <c r="L497" s="6">
        <v>350.0</v>
      </c>
      <c r="M497" s="5" t="s">
        <v>106</v>
      </c>
      <c r="N497" s="5" t="s">
        <v>106</v>
      </c>
      <c r="O497" s="6" t="s">
        <v>40</v>
      </c>
      <c r="P497" s="5" t="s">
        <v>59</v>
      </c>
      <c r="Q497" s="5" t="s">
        <v>60</v>
      </c>
      <c r="R497" s="6" t="s">
        <v>42</v>
      </c>
      <c r="S497" s="5" t="s">
        <v>91</v>
      </c>
      <c r="T497" s="5" t="s">
        <v>90</v>
      </c>
      <c r="U497" s="5" t="s">
        <v>44</v>
      </c>
      <c r="V497" s="5" t="s">
        <v>44</v>
      </c>
      <c r="W497" s="5" t="s">
        <v>35</v>
      </c>
      <c r="X497" s="5" t="s">
        <v>182</v>
      </c>
      <c r="Y497" s="5" t="s">
        <v>46</v>
      </c>
      <c r="Z497" s="5" t="s">
        <v>102</v>
      </c>
      <c r="AA497" s="5" t="s">
        <v>64</v>
      </c>
      <c r="AB497" s="5" t="s">
        <v>2349</v>
      </c>
      <c r="AC497" s="6" t="s">
        <v>208</v>
      </c>
      <c r="AD497" s="6">
        <v>1836.0</v>
      </c>
    </row>
    <row r="498" ht="56.25" customHeight="1">
      <c r="A498" s="5" t="s">
        <v>2350</v>
      </c>
      <c r="B498" s="6" t="str">
        <f>IMAGE("https://storage.googleapis.com/acdb/miscellaneous/FtrFlowerLamp_Remake_0_0.png")</f>
        <v/>
      </c>
      <c r="C498" s="5" t="s">
        <v>106</v>
      </c>
      <c r="D498" s="5" t="s">
        <v>2163</v>
      </c>
      <c r="E498" s="5" t="s">
        <v>34</v>
      </c>
      <c r="F498" s="5" t="s">
        <v>34</v>
      </c>
      <c r="G498" s="5" t="s">
        <v>35</v>
      </c>
      <c r="H498" s="5" t="s">
        <v>35</v>
      </c>
      <c r="I498" s="5" t="s">
        <v>36</v>
      </c>
      <c r="J498" s="6">
        <v>4.0</v>
      </c>
      <c r="K498" s="6" t="s">
        <v>37</v>
      </c>
      <c r="L498" s="6">
        <v>3000.0</v>
      </c>
      <c r="M498" s="5" t="s">
        <v>106</v>
      </c>
      <c r="N498" s="5" t="s">
        <v>39</v>
      </c>
      <c r="O498" s="6" t="s">
        <v>40</v>
      </c>
      <c r="P498" s="5" t="s">
        <v>41</v>
      </c>
      <c r="Q498" s="5"/>
      <c r="R498" s="6" t="s">
        <v>42</v>
      </c>
      <c r="S498" s="5" t="s">
        <v>61</v>
      </c>
      <c r="T498" s="5" t="s">
        <v>44</v>
      </c>
      <c r="U498" s="5" t="s">
        <v>311</v>
      </c>
      <c r="V498" s="5" t="s">
        <v>44</v>
      </c>
      <c r="W498" s="5" t="s">
        <v>35</v>
      </c>
      <c r="X498" s="5" t="s">
        <v>467</v>
      </c>
      <c r="Y498" s="5" t="s">
        <v>46</v>
      </c>
      <c r="Z498" s="5" t="s">
        <v>502</v>
      </c>
      <c r="AA498" s="5" t="s">
        <v>48</v>
      </c>
      <c r="AB498" s="5" t="s">
        <v>2354</v>
      </c>
      <c r="AC498" s="6" t="s">
        <v>50</v>
      </c>
      <c r="AD498" s="6">
        <v>7234.0</v>
      </c>
    </row>
    <row r="499" ht="56.25" customHeight="1">
      <c r="A499" s="5" t="s">
        <v>2350</v>
      </c>
      <c r="B499" s="6" t="str">
        <f>IMAGE("https://storage.googleapis.com/acdb/miscellaneous/FtrFlowerLamp_Remake_1_0.png")</f>
        <v/>
      </c>
      <c r="C499" s="5" t="s">
        <v>68</v>
      </c>
      <c r="D499" s="5" t="s">
        <v>2163</v>
      </c>
      <c r="E499" s="5" t="s">
        <v>34</v>
      </c>
      <c r="F499" s="5" t="s">
        <v>34</v>
      </c>
      <c r="G499" s="5" t="s">
        <v>35</v>
      </c>
      <c r="H499" s="5" t="s">
        <v>35</v>
      </c>
      <c r="I499" s="5" t="s">
        <v>36</v>
      </c>
      <c r="J499" s="6">
        <v>4.0</v>
      </c>
      <c r="K499" s="6" t="s">
        <v>37</v>
      </c>
      <c r="L499" s="6">
        <v>3000.0</v>
      </c>
      <c r="M499" s="5" t="s">
        <v>68</v>
      </c>
      <c r="N499" s="5" t="s">
        <v>39</v>
      </c>
      <c r="O499" s="6" t="s">
        <v>40</v>
      </c>
      <c r="P499" s="5" t="s">
        <v>41</v>
      </c>
      <c r="Q499" s="5"/>
      <c r="R499" s="6" t="s">
        <v>42</v>
      </c>
      <c r="S499" s="5" t="s">
        <v>61</v>
      </c>
      <c r="T499" s="5" t="s">
        <v>44</v>
      </c>
      <c r="U499" s="5" t="s">
        <v>311</v>
      </c>
      <c r="V499" s="5" t="s">
        <v>44</v>
      </c>
      <c r="W499" s="5" t="s">
        <v>35</v>
      </c>
      <c r="X499" s="5" t="s">
        <v>467</v>
      </c>
      <c r="Y499" s="5" t="s">
        <v>46</v>
      </c>
      <c r="Z499" s="5" t="s">
        <v>502</v>
      </c>
      <c r="AA499" s="5" t="s">
        <v>48</v>
      </c>
      <c r="AB499" s="5" t="s">
        <v>2360</v>
      </c>
      <c r="AC499" s="6" t="s">
        <v>56</v>
      </c>
      <c r="AD499" s="6">
        <v>7234.0</v>
      </c>
    </row>
    <row r="500" ht="56.25" customHeight="1">
      <c r="A500" s="5" t="s">
        <v>2350</v>
      </c>
      <c r="B500" s="6" t="str">
        <f>IMAGE("https://storage.googleapis.com/acdb/miscellaneous/FtrFlowerLamp_Remake_2_0.png")</f>
        <v/>
      </c>
      <c r="C500" s="5" t="s">
        <v>114</v>
      </c>
      <c r="D500" s="5" t="s">
        <v>2163</v>
      </c>
      <c r="E500" s="5" t="s">
        <v>34</v>
      </c>
      <c r="F500" s="5" t="s">
        <v>34</v>
      </c>
      <c r="G500" s="5" t="s">
        <v>35</v>
      </c>
      <c r="H500" s="5" t="s">
        <v>35</v>
      </c>
      <c r="I500" s="5" t="s">
        <v>36</v>
      </c>
      <c r="J500" s="6">
        <v>4.0</v>
      </c>
      <c r="K500" s="6" t="s">
        <v>37</v>
      </c>
      <c r="L500" s="6">
        <v>3000.0</v>
      </c>
      <c r="M500" s="5" t="s">
        <v>114</v>
      </c>
      <c r="N500" s="5" t="s">
        <v>39</v>
      </c>
      <c r="O500" s="6" t="s">
        <v>40</v>
      </c>
      <c r="P500" s="5" t="s">
        <v>41</v>
      </c>
      <c r="Q500" s="5"/>
      <c r="R500" s="6" t="s">
        <v>42</v>
      </c>
      <c r="S500" s="5" t="s">
        <v>61</v>
      </c>
      <c r="T500" s="5" t="s">
        <v>44</v>
      </c>
      <c r="U500" s="5" t="s">
        <v>311</v>
      </c>
      <c r="V500" s="5" t="s">
        <v>44</v>
      </c>
      <c r="W500" s="5" t="s">
        <v>35</v>
      </c>
      <c r="X500" s="5" t="s">
        <v>467</v>
      </c>
      <c r="Y500" s="5" t="s">
        <v>46</v>
      </c>
      <c r="Z500" s="5" t="s">
        <v>502</v>
      </c>
      <c r="AA500" s="5" t="s">
        <v>48</v>
      </c>
      <c r="AB500" s="5" t="s">
        <v>2365</v>
      </c>
      <c r="AC500" s="6" t="s">
        <v>67</v>
      </c>
      <c r="AD500" s="6">
        <v>7234.0</v>
      </c>
    </row>
    <row r="501" ht="56.25" customHeight="1">
      <c r="A501" s="5" t="s">
        <v>2366</v>
      </c>
      <c r="B501" s="6" t="str">
        <f>IMAGE("https://storage.googleapis.com/acdb/miscellaneous/FtrIncense_Remake_0_0.png")</f>
        <v/>
      </c>
      <c r="C501" s="5" t="s">
        <v>1049</v>
      </c>
      <c r="D501" s="5" t="s">
        <v>34</v>
      </c>
      <c r="E501" s="5" t="s">
        <v>34</v>
      </c>
      <c r="F501" s="5" t="s">
        <v>34</v>
      </c>
      <c r="G501" s="5" t="s">
        <v>36</v>
      </c>
      <c r="H501" s="5" t="s">
        <v>36</v>
      </c>
      <c r="I501" s="5" t="s">
        <v>36</v>
      </c>
      <c r="J501" s="6" t="s">
        <v>34</v>
      </c>
      <c r="K501" s="6">
        <v>880.0</v>
      </c>
      <c r="L501" s="6">
        <v>220.0</v>
      </c>
      <c r="M501" s="5" t="s">
        <v>54</v>
      </c>
      <c r="N501" s="5" t="s">
        <v>52</v>
      </c>
      <c r="O501" s="6" t="s">
        <v>40</v>
      </c>
      <c r="P501" s="5" t="s">
        <v>59</v>
      </c>
      <c r="Q501" s="5" t="s">
        <v>60</v>
      </c>
      <c r="R501" s="6" t="s">
        <v>42</v>
      </c>
      <c r="S501" s="5" t="s">
        <v>266</v>
      </c>
      <c r="T501" s="5" t="s">
        <v>90</v>
      </c>
      <c r="U501" s="5" t="s">
        <v>44</v>
      </c>
      <c r="V501" s="5" t="s">
        <v>44</v>
      </c>
      <c r="W501" s="5" t="s">
        <v>35</v>
      </c>
      <c r="X501" s="5" t="s">
        <v>63</v>
      </c>
      <c r="Y501" s="5" t="s">
        <v>46</v>
      </c>
      <c r="Z501" s="5" t="s">
        <v>47</v>
      </c>
      <c r="AA501" s="5" t="s">
        <v>64</v>
      </c>
      <c r="AB501" s="5" t="s">
        <v>2370</v>
      </c>
      <c r="AC501" s="6" t="s">
        <v>50</v>
      </c>
      <c r="AD501" s="6">
        <v>997.0</v>
      </c>
    </row>
    <row r="502" ht="56.25" customHeight="1">
      <c r="A502" s="5" t="s">
        <v>2366</v>
      </c>
      <c r="B502" s="6" t="str">
        <f>IMAGE("https://storage.googleapis.com/acdb/miscellaneous/FtrIncense_Remake_1_0.png")</f>
        <v/>
      </c>
      <c r="C502" s="5" t="s">
        <v>2372</v>
      </c>
      <c r="D502" s="5" t="s">
        <v>34</v>
      </c>
      <c r="E502" s="5" t="s">
        <v>34</v>
      </c>
      <c r="F502" s="5" t="s">
        <v>34</v>
      </c>
      <c r="G502" s="5" t="s">
        <v>36</v>
      </c>
      <c r="H502" s="5" t="s">
        <v>36</v>
      </c>
      <c r="I502" s="5" t="s">
        <v>36</v>
      </c>
      <c r="J502" s="6" t="s">
        <v>34</v>
      </c>
      <c r="K502" s="6">
        <v>880.0</v>
      </c>
      <c r="L502" s="6">
        <v>220.0</v>
      </c>
      <c r="M502" s="5" t="s">
        <v>57</v>
      </c>
      <c r="N502" s="5" t="s">
        <v>39</v>
      </c>
      <c r="O502" s="6" t="s">
        <v>40</v>
      </c>
      <c r="P502" s="5" t="s">
        <v>59</v>
      </c>
      <c r="Q502" s="5" t="s">
        <v>60</v>
      </c>
      <c r="R502" s="6" t="s">
        <v>42</v>
      </c>
      <c r="S502" s="5" t="s">
        <v>266</v>
      </c>
      <c r="T502" s="5" t="s">
        <v>90</v>
      </c>
      <c r="U502" s="5" t="s">
        <v>44</v>
      </c>
      <c r="V502" s="5" t="s">
        <v>44</v>
      </c>
      <c r="W502" s="5" t="s">
        <v>35</v>
      </c>
      <c r="X502" s="5" t="s">
        <v>63</v>
      </c>
      <c r="Y502" s="5" t="s">
        <v>46</v>
      </c>
      <c r="Z502" s="5" t="s">
        <v>47</v>
      </c>
      <c r="AA502" s="5" t="s">
        <v>64</v>
      </c>
      <c r="AB502" s="5" t="s">
        <v>2376</v>
      </c>
      <c r="AC502" s="6" t="s">
        <v>56</v>
      </c>
      <c r="AD502" s="6">
        <v>997.0</v>
      </c>
    </row>
    <row r="503" ht="56.25" customHeight="1">
      <c r="A503" s="5" t="s">
        <v>2366</v>
      </c>
      <c r="B503" s="6" t="str">
        <f>IMAGE("https://storage.googleapis.com/acdb/miscellaneous/FtrIncense_Remake_2_0.png")</f>
        <v/>
      </c>
      <c r="C503" s="5" t="s">
        <v>2377</v>
      </c>
      <c r="D503" s="5" t="s">
        <v>34</v>
      </c>
      <c r="E503" s="5" t="s">
        <v>34</v>
      </c>
      <c r="F503" s="5" t="s">
        <v>34</v>
      </c>
      <c r="G503" s="5" t="s">
        <v>36</v>
      </c>
      <c r="H503" s="5" t="s">
        <v>36</v>
      </c>
      <c r="I503" s="5" t="s">
        <v>36</v>
      </c>
      <c r="J503" s="6" t="s">
        <v>34</v>
      </c>
      <c r="K503" s="6">
        <v>880.0</v>
      </c>
      <c r="L503" s="6">
        <v>220.0</v>
      </c>
      <c r="M503" s="5" t="s">
        <v>68</v>
      </c>
      <c r="N503" s="5" t="s">
        <v>54</v>
      </c>
      <c r="O503" s="6" t="s">
        <v>40</v>
      </c>
      <c r="P503" s="5" t="s">
        <v>59</v>
      </c>
      <c r="Q503" s="5" t="s">
        <v>60</v>
      </c>
      <c r="R503" s="6" t="s">
        <v>42</v>
      </c>
      <c r="S503" s="5" t="s">
        <v>266</v>
      </c>
      <c r="T503" s="5" t="s">
        <v>90</v>
      </c>
      <c r="U503" s="5" t="s">
        <v>44</v>
      </c>
      <c r="V503" s="5" t="s">
        <v>44</v>
      </c>
      <c r="W503" s="5" t="s">
        <v>35</v>
      </c>
      <c r="X503" s="5" t="s">
        <v>63</v>
      </c>
      <c r="Y503" s="5" t="s">
        <v>46</v>
      </c>
      <c r="Z503" s="5" t="s">
        <v>47</v>
      </c>
      <c r="AA503" s="5" t="s">
        <v>64</v>
      </c>
      <c r="AB503" s="5" t="s">
        <v>2380</v>
      </c>
      <c r="AC503" s="6" t="s">
        <v>67</v>
      </c>
      <c r="AD503" s="6">
        <v>997.0</v>
      </c>
    </row>
    <row r="504" ht="56.25" customHeight="1">
      <c r="A504" s="5" t="s">
        <v>2366</v>
      </c>
      <c r="B504" s="6" t="str">
        <f>IMAGE("https://storage.googleapis.com/acdb/miscellaneous/FtrIncense_Remake_3_0.png")</f>
        <v/>
      </c>
      <c r="C504" s="5" t="s">
        <v>178</v>
      </c>
      <c r="D504" s="5" t="s">
        <v>34</v>
      </c>
      <c r="E504" s="5" t="s">
        <v>34</v>
      </c>
      <c r="F504" s="5" t="s">
        <v>34</v>
      </c>
      <c r="G504" s="5" t="s">
        <v>36</v>
      </c>
      <c r="H504" s="5" t="s">
        <v>36</v>
      </c>
      <c r="I504" s="5" t="s">
        <v>36</v>
      </c>
      <c r="J504" s="6" t="s">
        <v>34</v>
      </c>
      <c r="K504" s="6">
        <v>880.0</v>
      </c>
      <c r="L504" s="6">
        <v>220.0</v>
      </c>
      <c r="M504" s="5" t="s">
        <v>96</v>
      </c>
      <c r="N504" s="5" t="s">
        <v>38</v>
      </c>
      <c r="O504" s="6" t="s">
        <v>40</v>
      </c>
      <c r="P504" s="5" t="s">
        <v>59</v>
      </c>
      <c r="Q504" s="5" t="s">
        <v>60</v>
      </c>
      <c r="R504" s="6" t="s">
        <v>42</v>
      </c>
      <c r="S504" s="5" t="s">
        <v>266</v>
      </c>
      <c r="T504" s="5" t="s">
        <v>90</v>
      </c>
      <c r="U504" s="5" t="s">
        <v>44</v>
      </c>
      <c r="V504" s="5" t="s">
        <v>44</v>
      </c>
      <c r="W504" s="5" t="s">
        <v>35</v>
      </c>
      <c r="X504" s="5" t="s">
        <v>63</v>
      </c>
      <c r="Y504" s="5" t="s">
        <v>46</v>
      </c>
      <c r="Z504" s="5" t="s">
        <v>47</v>
      </c>
      <c r="AA504" s="5" t="s">
        <v>64</v>
      </c>
      <c r="AB504" s="5" t="s">
        <v>2384</v>
      </c>
      <c r="AC504" s="6" t="s">
        <v>71</v>
      </c>
      <c r="AD504" s="6">
        <v>997.0</v>
      </c>
    </row>
    <row r="505" ht="56.25" customHeight="1">
      <c r="A505" s="5" t="s">
        <v>2366</v>
      </c>
      <c r="B505" s="6" t="str">
        <f>IMAGE("https://storage.googleapis.com/acdb/miscellaneous/FtrIncense_Remake_4_0.png")</f>
        <v/>
      </c>
      <c r="C505" s="5" t="s">
        <v>2387</v>
      </c>
      <c r="D505" s="5" t="s">
        <v>34</v>
      </c>
      <c r="E505" s="5" t="s">
        <v>34</v>
      </c>
      <c r="F505" s="5" t="s">
        <v>34</v>
      </c>
      <c r="G505" s="5" t="s">
        <v>36</v>
      </c>
      <c r="H505" s="5" t="s">
        <v>36</v>
      </c>
      <c r="I505" s="5" t="s">
        <v>36</v>
      </c>
      <c r="J505" s="6" t="s">
        <v>34</v>
      </c>
      <c r="K505" s="6">
        <v>880.0</v>
      </c>
      <c r="L505" s="6">
        <v>220.0</v>
      </c>
      <c r="M505" s="5" t="s">
        <v>69</v>
      </c>
      <c r="N505" s="5" t="s">
        <v>57</v>
      </c>
      <c r="O505" s="6" t="s">
        <v>40</v>
      </c>
      <c r="P505" s="5" t="s">
        <v>59</v>
      </c>
      <c r="Q505" s="5" t="s">
        <v>60</v>
      </c>
      <c r="R505" s="6" t="s">
        <v>42</v>
      </c>
      <c r="S505" s="5" t="s">
        <v>266</v>
      </c>
      <c r="T505" s="5" t="s">
        <v>90</v>
      </c>
      <c r="U505" s="5" t="s">
        <v>44</v>
      </c>
      <c r="V505" s="5" t="s">
        <v>44</v>
      </c>
      <c r="W505" s="5" t="s">
        <v>35</v>
      </c>
      <c r="X505" s="5" t="s">
        <v>63</v>
      </c>
      <c r="Y505" s="5" t="s">
        <v>46</v>
      </c>
      <c r="Z505" s="5" t="s">
        <v>47</v>
      </c>
      <c r="AA505" s="5" t="s">
        <v>64</v>
      </c>
      <c r="AB505" s="5" t="s">
        <v>2389</v>
      </c>
      <c r="AC505" s="6" t="s">
        <v>75</v>
      </c>
      <c r="AD505" s="6">
        <v>997.0</v>
      </c>
    </row>
    <row r="506" ht="56.25" customHeight="1">
      <c r="A506" s="5" t="s">
        <v>2366</v>
      </c>
      <c r="B506" s="6" t="str">
        <f>IMAGE("https://storage.googleapis.com/acdb/miscellaneous/FtrIncense_Remake_5_0.png")</f>
        <v/>
      </c>
      <c r="C506" s="5" t="s">
        <v>2392</v>
      </c>
      <c r="D506" s="5" t="s">
        <v>34</v>
      </c>
      <c r="E506" s="5" t="s">
        <v>34</v>
      </c>
      <c r="F506" s="5" t="s">
        <v>34</v>
      </c>
      <c r="G506" s="5" t="s">
        <v>36</v>
      </c>
      <c r="H506" s="5" t="s">
        <v>36</v>
      </c>
      <c r="I506" s="5" t="s">
        <v>36</v>
      </c>
      <c r="J506" s="6" t="s">
        <v>34</v>
      </c>
      <c r="K506" s="6">
        <v>880.0</v>
      </c>
      <c r="L506" s="6">
        <v>220.0</v>
      </c>
      <c r="M506" s="5" t="s">
        <v>39</v>
      </c>
      <c r="N506" s="5" t="s">
        <v>96</v>
      </c>
      <c r="O506" s="6" t="s">
        <v>40</v>
      </c>
      <c r="P506" s="5" t="s">
        <v>59</v>
      </c>
      <c r="Q506" s="5" t="s">
        <v>60</v>
      </c>
      <c r="R506" s="6" t="s">
        <v>42</v>
      </c>
      <c r="S506" s="5" t="s">
        <v>266</v>
      </c>
      <c r="T506" s="5" t="s">
        <v>90</v>
      </c>
      <c r="U506" s="5" t="s">
        <v>44</v>
      </c>
      <c r="V506" s="5" t="s">
        <v>44</v>
      </c>
      <c r="W506" s="5" t="s">
        <v>35</v>
      </c>
      <c r="X506" s="5" t="s">
        <v>63</v>
      </c>
      <c r="Y506" s="5" t="s">
        <v>46</v>
      </c>
      <c r="Z506" s="5" t="s">
        <v>47</v>
      </c>
      <c r="AA506" s="5" t="s">
        <v>64</v>
      </c>
      <c r="AB506" s="5" t="s">
        <v>2394</v>
      </c>
      <c r="AC506" s="6" t="s">
        <v>79</v>
      </c>
      <c r="AD506" s="6">
        <v>997.0</v>
      </c>
    </row>
    <row r="507" ht="56.25" customHeight="1">
      <c r="A507" s="5" t="s">
        <v>2396</v>
      </c>
      <c r="B507" s="16" t="str">
        <f>IMAGE("https://storage.googleapis.com/acdb/miscellaneous/FtrFruitswater.png")</f>
        <v/>
      </c>
      <c r="C507" s="5" t="s">
        <v>34</v>
      </c>
      <c r="D507" s="5" t="s">
        <v>34</v>
      </c>
      <c r="E507" s="5" t="s">
        <v>34</v>
      </c>
      <c r="F507" s="5" t="s">
        <v>34</v>
      </c>
      <c r="G507" s="5" t="s">
        <v>35</v>
      </c>
      <c r="H507" s="5" t="s">
        <v>36</v>
      </c>
      <c r="I507" s="5" t="s">
        <v>36</v>
      </c>
      <c r="J507" s="6" t="s">
        <v>34</v>
      </c>
      <c r="K507" s="6" t="s">
        <v>37</v>
      </c>
      <c r="L507" s="6">
        <v>3000.0</v>
      </c>
      <c r="M507" s="5" t="s">
        <v>58</v>
      </c>
      <c r="N507" s="5" t="s">
        <v>58</v>
      </c>
      <c r="O507" s="6" t="s">
        <v>40</v>
      </c>
      <c r="P507" s="5" t="s">
        <v>41</v>
      </c>
      <c r="Q507" s="5"/>
      <c r="R507" s="6" t="s">
        <v>42</v>
      </c>
      <c r="S507" s="5" t="s">
        <v>159</v>
      </c>
      <c r="T507" s="5" t="s">
        <v>62</v>
      </c>
      <c r="U507" s="5" t="s">
        <v>338</v>
      </c>
      <c r="V507" s="5" t="s">
        <v>44</v>
      </c>
      <c r="W507" s="5" t="s">
        <v>36</v>
      </c>
      <c r="X507" s="5" t="s">
        <v>160</v>
      </c>
      <c r="Y507" s="5" t="s">
        <v>46</v>
      </c>
      <c r="Z507" s="5" t="s">
        <v>47</v>
      </c>
      <c r="AA507" s="5" t="s">
        <v>48</v>
      </c>
      <c r="AB507" s="5" t="s">
        <v>2400</v>
      </c>
      <c r="AC507" s="6" t="s">
        <v>34</v>
      </c>
      <c r="AD507" s="6">
        <v>4107.0</v>
      </c>
    </row>
    <row r="508" ht="56.25" customHeight="1">
      <c r="A508" s="5" t="s">
        <v>2402</v>
      </c>
      <c r="B508" s="6" t="str">
        <f>IMAGE("https://storage.googleapis.com/acdb/miscellaneous/FtrIron_Remake_0_0.png")</f>
        <v/>
      </c>
      <c r="C508" s="5" t="s">
        <v>34</v>
      </c>
      <c r="D508" s="5" t="s">
        <v>34</v>
      </c>
      <c r="E508" s="5" t="s">
        <v>57</v>
      </c>
      <c r="F508" s="5" t="s">
        <v>2403</v>
      </c>
      <c r="G508" s="5" t="s">
        <v>36</v>
      </c>
      <c r="H508" s="5" t="s">
        <v>36</v>
      </c>
      <c r="I508" s="5" t="s">
        <v>35</v>
      </c>
      <c r="J508" s="6">
        <v>1.0</v>
      </c>
      <c r="K508" s="6">
        <v>820.0</v>
      </c>
      <c r="L508" s="6">
        <v>205.0</v>
      </c>
      <c r="M508" s="5" t="s">
        <v>95</v>
      </c>
      <c r="N508" s="5" t="s">
        <v>57</v>
      </c>
      <c r="O508" s="6" t="s">
        <v>40</v>
      </c>
      <c r="P508" s="5" t="s">
        <v>59</v>
      </c>
      <c r="Q508" s="5" t="s">
        <v>60</v>
      </c>
      <c r="R508" s="6" t="s">
        <v>42</v>
      </c>
      <c r="S508" s="5" t="s">
        <v>90</v>
      </c>
      <c r="T508" s="5" t="s">
        <v>44</v>
      </c>
      <c r="U508" s="5" t="s">
        <v>44</v>
      </c>
      <c r="V508" s="5" t="s">
        <v>44</v>
      </c>
      <c r="W508" s="5" t="s">
        <v>35</v>
      </c>
      <c r="X508" s="5" t="s">
        <v>182</v>
      </c>
      <c r="Y508" s="5" t="s">
        <v>46</v>
      </c>
      <c r="Z508" s="5" t="s">
        <v>47</v>
      </c>
      <c r="AA508" s="5" t="s">
        <v>64</v>
      </c>
      <c r="AB508" s="5" t="s">
        <v>2405</v>
      </c>
      <c r="AC508" s="6" t="s">
        <v>50</v>
      </c>
      <c r="AD508" s="6">
        <v>1838.0</v>
      </c>
    </row>
    <row r="509" ht="56.25" customHeight="1">
      <c r="A509" s="5" t="s">
        <v>2402</v>
      </c>
      <c r="B509" s="6" t="str">
        <f>IMAGE("https://storage.googleapis.com/acdb/miscellaneous/FtrIron_Remake_0_1.png")</f>
        <v/>
      </c>
      <c r="C509" s="5" t="s">
        <v>34</v>
      </c>
      <c r="D509" s="5" t="s">
        <v>34</v>
      </c>
      <c r="E509" s="5" t="s">
        <v>114</v>
      </c>
      <c r="F509" s="5" t="s">
        <v>2403</v>
      </c>
      <c r="G509" s="5" t="s">
        <v>36</v>
      </c>
      <c r="H509" s="5" t="s">
        <v>36</v>
      </c>
      <c r="I509" s="5" t="s">
        <v>35</v>
      </c>
      <c r="J509" s="6">
        <v>1.0</v>
      </c>
      <c r="K509" s="6">
        <v>820.0</v>
      </c>
      <c r="L509" s="6">
        <v>205.0</v>
      </c>
      <c r="M509" s="5" t="s">
        <v>95</v>
      </c>
      <c r="N509" s="5" t="s">
        <v>114</v>
      </c>
      <c r="O509" s="6" t="s">
        <v>40</v>
      </c>
      <c r="P509" s="5" t="s">
        <v>59</v>
      </c>
      <c r="Q509" s="5" t="s">
        <v>60</v>
      </c>
      <c r="R509" s="6" t="s">
        <v>42</v>
      </c>
      <c r="S509" s="5" t="s">
        <v>90</v>
      </c>
      <c r="T509" s="5" t="s">
        <v>44</v>
      </c>
      <c r="U509" s="5" t="s">
        <v>44</v>
      </c>
      <c r="V509" s="5" t="s">
        <v>44</v>
      </c>
      <c r="W509" s="5" t="s">
        <v>35</v>
      </c>
      <c r="X509" s="5" t="s">
        <v>182</v>
      </c>
      <c r="Y509" s="5" t="s">
        <v>46</v>
      </c>
      <c r="Z509" s="5" t="s">
        <v>47</v>
      </c>
      <c r="AA509" s="5" t="s">
        <v>64</v>
      </c>
      <c r="AB509" s="5" t="s">
        <v>2409</v>
      </c>
      <c r="AC509" s="6" t="s">
        <v>217</v>
      </c>
      <c r="AD509" s="6">
        <v>1838.0</v>
      </c>
    </row>
    <row r="510" ht="56.25" customHeight="1">
      <c r="A510" s="5" t="s">
        <v>2402</v>
      </c>
      <c r="B510" s="6" t="str">
        <f>IMAGE("https://storage.googleapis.com/acdb/miscellaneous/FtrIron_Remake_0_2.png")</f>
        <v/>
      </c>
      <c r="C510" s="5" t="s">
        <v>34</v>
      </c>
      <c r="D510" s="5" t="s">
        <v>34</v>
      </c>
      <c r="E510" s="5" t="s">
        <v>69</v>
      </c>
      <c r="F510" s="5" t="s">
        <v>2403</v>
      </c>
      <c r="G510" s="5" t="s">
        <v>36</v>
      </c>
      <c r="H510" s="5" t="s">
        <v>36</v>
      </c>
      <c r="I510" s="5" t="s">
        <v>35</v>
      </c>
      <c r="J510" s="6">
        <v>1.0</v>
      </c>
      <c r="K510" s="6">
        <v>820.0</v>
      </c>
      <c r="L510" s="6">
        <v>205.0</v>
      </c>
      <c r="M510" s="5" t="s">
        <v>95</v>
      </c>
      <c r="N510" s="5" t="s">
        <v>69</v>
      </c>
      <c r="O510" s="6" t="s">
        <v>40</v>
      </c>
      <c r="P510" s="5" t="s">
        <v>59</v>
      </c>
      <c r="Q510" s="5" t="s">
        <v>60</v>
      </c>
      <c r="R510" s="6" t="s">
        <v>42</v>
      </c>
      <c r="S510" s="5" t="s">
        <v>90</v>
      </c>
      <c r="T510" s="5" t="s">
        <v>44</v>
      </c>
      <c r="U510" s="5" t="s">
        <v>44</v>
      </c>
      <c r="V510" s="5" t="s">
        <v>44</v>
      </c>
      <c r="W510" s="5" t="s">
        <v>35</v>
      </c>
      <c r="X510" s="5" t="s">
        <v>182</v>
      </c>
      <c r="Y510" s="5" t="s">
        <v>46</v>
      </c>
      <c r="Z510" s="5" t="s">
        <v>47</v>
      </c>
      <c r="AA510" s="5" t="s">
        <v>64</v>
      </c>
      <c r="AB510" s="5" t="s">
        <v>2412</v>
      </c>
      <c r="AC510" s="6" t="s">
        <v>347</v>
      </c>
      <c r="AD510" s="6">
        <v>1838.0</v>
      </c>
    </row>
    <row r="511" ht="56.25" customHeight="1">
      <c r="A511" s="5" t="s">
        <v>2402</v>
      </c>
      <c r="B511" s="6" t="str">
        <f>IMAGE("https://storage.googleapis.com/acdb/miscellaneous/FtrIron_Remake_0_3.png")</f>
        <v/>
      </c>
      <c r="C511" s="5" t="s">
        <v>34</v>
      </c>
      <c r="D511" s="5" t="s">
        <v>34</v>
      </c>
      <c r="E511" s="5" t="s">
        <v>68</v>
      </c>
      <c r="F511" s="5" t="s">
        <v>2403</v>
      </c>
      <c r="G511" s="5" t="s">
        <v>36</v>
      </c>
      <c r="H511" s="5" t="s">
        <v>36</v>
      </c>
      <c r="I511" s="5" t="s">
        <v>35</v>
      </c>
      <c r="J511" s="6">
        <v>1.0</v>
      </c>
      <c r="K511" s="6">
        <v>820.0</v>
      </c>
      <c r="L511" s="6">
        <v>205.0</v>
      </c>
      <c r="M511" s="5" t="s">
        <v>95</v>
      </c>
      <c r="N511" s="5" t="s">
        <v>68</v>
      </c>
      <c r="O511" s="6" t="s">
        <v>40</v>
      </c>
      <c r="P511" s="5" t="s">
        <v>59</v>
      </c>
      <c r="Q511" s="5" t="s">
        <v>60</v>
      </c>
      <c r="R511" s="6" t="s">
        <v>42</v>
      </c>
      <c r="S511" s="5" t="s">
        <v>90</v>
      </c>
      <c r="T511" s="5" t="s">
        <v>44</v>
      </c>
      <c r="U511" s="5" t="s">
        <v>44</v>
      </c>
      <c r="V511" s="5" t="s">
        <v>44</v>
      </c>
      <c r="W511" s="5" t="s">
        <v>35</v>
      </c>
      <c r="X511" s="5" t="s">
        <v>182</v>
      </c>
      <c r="Y511" s="5" t="s">
        <v>46</v>
      </c>
      <c r="Z511" s="5" t="s">
        <v>47</v>
      </c>
      <c r="AA511" s="5" t="s">
        <v>64</v>
      </c>
      <c r="AB511" s="5" t="s">
        <v>2415</v>
      </c>
      <c r="AC511" s="6" t="s">
        <v>354</v>
      </c>
      <c r="AD511" s="6">
        <v>1838.0</v>
      </c>
    </row>
    <row r="512" ht="56.25" customHeight="1">
      <c r="A512" s="5" t="s">
        <v>2416</v>
      </c>
      <c r="B512" s="16" t="str">
        <f>IMAGE("https://storage.googleapis.com/acdb/miscellaneous/FtrInsectTamamushiToy.png")</f>
        <v/>
      </c>
      <c r="C512" s="5" t="s">
        <v>34</v>
      </c>
      <c r="D512" s="5" t="s">
        <v>34</v>
      </c>
      <c r="E512" s="5" t="s">
        <v>34</v>
      </c>
      <c r="F512" s="5" t="s">
        <v>34</v>
      </c>
      <c r="G512" s="5" t="s">
        <v>36</v>
      </c>
      <c r="H512" s="5" t="s">
        <v>36</v>
      </c>
      <c r="I512" s="5" t="s">
        <v>36</v>
      </c>
      <c r="J512" s="6" t="s">
        <v>34</v>
      </c>
      <c r="K512" s="6" t="s">
        <v>37</v>
      </c>
      <c r="L512" s="6">
        <v>7200.0</v>
      </c>
      <c r="M512" s="5" t="s">
        <v>96</v>
      </c>
      <c r="N512" s="5" t="s">
        <v>96</v>
      </c>
      <c r="O512" s="6" t="s">
        <v>40</v>
      </c>
      <c r="P512" s="5" t="s">
        <v>107</v>
      </c>
      <c r="Q512" s="5" t="s">
        <v>108</v>
      </c>
      <c r="R512" s="6" t="s">
        <v>42</v>
      </c>
      <c r="S512" s="5" t="s">
        <v>44</v>
      </c>
      <c r="T512" s="5" t="s">
        <v>44</v>
      </c>
      <c r="U512" s="5" t="s">
        <v>44</v>
      </c>
      <c r="V512" s="5" t="s">
        <v>44</v>
      </c>
      <c r="W512" s="5" t="s">
        <v>36</v>
      </c>
      <c r="X512" s="5" t="s">
        <v>109</v>
      </c>
      <c r="Y512" s="5" t="s">
        <v>46</v>
      </c>
      <c r="Z512" s="5" t="s">
        <v>47</v>
      </c>
      <c r="AA512" s="5" t="s">
        <v>48</v>
      </c>
      <c r="AB512" s="5" t="s">
        <v>2419</v>
      </c>
      <c r="AC512" s="6" t="s">
        <v>34</v>
      </c>
      <c r="AD512" s="6">
        <v>7099.0</v>
      </c>
    </row>
    <row r="513" ht="56.25" customHeight="1">
      <c r="A513" s="5" t="s">
        <v>2420</v>
      </c>
      <c r="B513" s="16" t="str">
        <f>IMAGE("https://storage.googleapis.com/acdb/miscellaneous/FtrGong.png")</f>
        <v/>
      </c>
      <c r="C513" s="5" t="s">
        <v>34</v>
      </c>
      <c r="D513" s="5" t="s">
        <v>34</v>
      </c>
      <c r="E513" s="5" t="s">
        <v>34</v>
      </c>
      <c r="F513" s="5" t="s">
        <v>34</v>
      </c>
      <c r="G513" s="5" t="s">
        <v>36</v>
      </c>
      <c r="H513" s="5" t="s">
        <v>36</v>
      </c>
      <c r="I513" s="5" t="s">
        <v>36</v>
      </c>
      <c r="J513" s="6" t="s">
        <v>34</v>
      </c>
      <c r="K513" s="6">
        <v>920.0</v>
      </c>
      <c r="L513" s="6">
        <v>230.0</v>
      </c>
      <c r="M513" s="5" t="s">
        <v>114</v>
      </c>
      <c r="N513" s="5" t="s">
        <v>39</v>
      </c>
      <c r="O513" s="6" t="s">
        <v>40</v>
      </c>
      <c r="P513" s="5" t="s">
        <v>59</v>
      </c>
      <c r="Q513" s="5" t="s">
        <v>60</v>
      </c>
      <c r="R513" s="6" t="s">
        <v>42</v>
      </c>
      <c r="S513" s="5" t="s">
        <v>474</v>
      </c>
      <c r="T513" s="5" t="s">
        <v>44</v>
      </c>
      <c r="U513" s="5" t="s">
        <v>44</v>
      </c>
      <c r="V513" s="5" t="s">
        <v>44</v>
      </c>
      <c r="W513" s="5" t="s">
        <v>35</v>
      </c>
      <c r="X513" s="5" t="s">
        <v>475</v>
      </c>
      <c r="Y513" s="5" t="s">
        <v>46</v>
      </c>
      <c r="Z513" s="5" t="s">
        <v>47</v>
      </c>
      <c r="AA513" s="5" t="s">
        <v>64</v>
      </c>
      <c r="AB513" s="5" t="s">
        <v>2424</v>
      </c>
      <c r="AC513" s="6" t="s">
        <v>34</v>
      </c>
      <c r="AD513" s="6">
        <v>1456.0</v>
      </c>
    </row>
    <row r="514" ht="56.25" customHeight="1">
      <c r="A514" s="5" t="s">
        <v>2426</v>
      </c>
      <c r="B514" s="6" t="str">
        <f>IMAGE("https://storage.googleapis.com/acdb/miscellaneous/FtrJapanSword_Remake_0_0.png")</f>
        <v/>
      </c>
      <c r="C514" s="5" t="s">
        <v>54</v>
      </c>
      <c r="D514" s="5" t="s">
        <v>2</v>
      </c>
      <c r="E514" s="5" t="s">
        <v>34</v>
      </c>
      <c r="F514" s="5" t="s">
        <v>34</v>
      </c>
      <c r="G514" s="5" t="s">
        <v>36</v>
      </c>
      <c r="H514" s="5" t="s">
        <v>35</v>
      </c>
      <c r="I514" s="5" t="s">
        <v>36</v>
      </c>
      <c r="J514" s="6">
        <v>4.0</v>
      </c>
      <c r="K514" s="6" t="s">
        <v>37</v>
      </c>
      <c r="L514" s="6">
        <v>2500.0</v>
      </c>
      <c r="M514" s="5" t="s">
        <v>54</v>
      </c>
      <c r="N514" s="5" t="s">
        <v>39</v>
      </c>
      <c r="O514" s="6" t="s">
        <v>276</v>
      </c>
      <c r="P514" s="5" t="s">
        <v>1284</v>
      </c>
      <c r="Q514" s="5"/>
      <c r="R514" s="6" t="s">
        <v>42</v>
      </c>
      <c r="S514" s="5" t="s">
        <v>266</v>
      </c>
      <c r="T514" s="5" t="s">
        <v>696</v>
      </c>
      <c r="U514" s="5" t="s">
        <v>44</v>
      </c>
      <c r="V514" s="5" t="s">
        <v>44</v>
      </c>
      <c r="W514" s="5" t="s">
        <v>36</v>
      </c>
      <c r="X514" s="5" t="s">
        <v>650</v>
      </c>
      <c r="Y514" s="5" t="s">
        <v>46</v>
      </c>
      <c r="Z514" s="5" t="s">
        <v>47</v>
      </c>
      <c r="AA514" s="5" t="s">
        <v>48</v>
      </c>
      <c r="AB514" s="5" t="s">
        <v>2429</v>
      </c>
      <c r="AC514" s="6" t="s">
        <v>50</v>
      </c>
      <c r="AD514" s="6">
        <v>3407.0</v>
      </c>
    </row>
    <row r="515" ht="56.25" customHeight="1">
      <c r="A515" s="5" t="s">
        <v>2426</v>
      </c>
      <c r="B515" s="6" t="str">
        <f>IMAGE("https://storage.googleapis.com/acdb/miscellaneous/FtrJapanSword_Remake_1_0.png")</f>
        <v/>
      </c>
      <c r="C515" s="5" t="s">
        <v>2431</v>
      </c>
      <c r="D515" s="5" t="s">
        <v>2</v>
      </c>
      <c r="E515" s="5" t="s">
        <v>34</v>
      </c>
      <c r="F515" s="5" t="s">
        <v>34</v>
      </c>
      <c r="G515" s="5" t="s">
        <v>36</v>
      </c>
      <c r="H515" s="5" t="s">
        <v>35</v>
      </c>
      <c r="I515" s="5" t="s">
        <v>36</v>
      </c>
      <c r="J515" s="6">
        <v>4.0</v>
      </c>
      <c r="K515" s="6" t="s">
        <v>37</v>
      </c>
      <c r="L515" s="6">
        <v>2500.0</v>
      </c>
      <c r="M515" s="5" t="s">
        <v>68</v>
      </c>
      <c r="N515" s="5" t="s">
        <v>39</v>
      </c>
      <c r="O515" s="6" t="s">
        <v>276</v>
      </c>
      <c r="P515" s="5" t="s">
        <v>1284</v>
      </c>
      <c r="Q515" s="5"/>
      <c r="R515" s="6" t="s">
        <v>42</v>
      </c>
      <c r="S515" s="5" t="s">
        <v>266</v>
      </c>
      <c r="T515" s="5" t="s">
        <v>696</v>
      </c>
      <c r="U515" s="5" t="s">
        <v>44</v>
      </c>
      <c r="V515" s="5" t="s">
        <v>44</v>
      </c>
      <c r="W515" s="5" t="s">
        <v>36</v>
      </c>
      <c r="X515" s="5" t="s">
        <v>650</v>
      </c>
      <c r="Y515" s="5" t="s">
        <v>46</v>
      </c>
      <c r="Z515" s="5" t="s">
        <v>47</v>
      </c>
      <c r="AA515" s="5" t="s">
        <v>48</v>
      </c>
      <c r="AB515" s="5" t="s">
        <v>2435</v>
      </c>
      <c r="AC515" s="6" t="s">
        <v>56</v>
      </c>
      <c r="AD515" s="6">
        <v>3407.0</v>
      </c>
    </row>
    <row r="516" ht="56.25" customHeight="1">
      <c r="A516" s="5" t="s">
        <v>2426</v>
      </c>
      <c r="B516" s="6" t="str">
        <f>IMAGE("https://storage.googleapis.com/acdb/miscellaneous/FtrJapanSword_Remake_2_0.png")</f>
        <v/>
      </c>
      <c r="C516" s="5" t="s">
        <v>57</v>
      </c>
      <c r="D516" s="5" t="s">
        <v>2</v>
      </c>
      <c r="E516" s="5" t="s">
        <v>34</v>
      </c>
      <c r="F516" s="5" t="s">
        <v>34</v>
      </c>
      <c r="G516" s="5" t="s">
        <v>36</v>
      </c>
      <c r="H516" s="5" t="s">
        <v>35</v>
      </c>
      <c r="I516" s="5" t="s">
        <v>36</v>
      </c>
      <c r="J516" s="6">
        <v>4.0</v>
      </c>
      <c r="K516" s="6" t="s">
        <v>37</v>
      </c>
      <c r="L516" s="6">
        <v>2500.0</v>
      </c>
      <c r="M516" s="5" t="s">
        <v>57</v>
      </c>
      <c r="N516" s="5" t="s">
        <v>39</v>
      </c>
      <c r="O516" s="6" t="s">
        <v>276</v>
      </c>
      <c r="P516" s="5" t="s">
        <v>1284</v>
      </c>
      <c r="Q516" s="5"/>
      <c r="R516" s="6" t="s">
        <v>42</v>
      </c>
      <c r="S516" s="5" t="s">
        <v>266</v>
      </c>
      <c r="T516" s="5" t="s">
        <v>696</v>
      </c>
      <c r="U516" s="5" t="s">
        <v>44</v>
      </c>
      <c r="V516" s="5" t="s">
        <v>44</v>
      </c>
      <c r="W516" s="5" t="s">
        <v>36</v>
      </c>
      <c r="X516" s="5" t="s">
        <v>650</v>
      </c>
      <c r="Y516" s="5" t="s">
        <v>46</v>
      </c>
      <c r="Z516" s="5" t="s">
        <v>47</v>
      </c>
      <c r="AA516" s="5" t="s">
        <v>48</v>
      </c>
      <c r="AB516" s="5" t="s">
        <v>2437</v>
      </c>
      <c r="AC516" s="6" t="s">
        <v>67</v>
      </c>
      <c r="AD516" s="6">
        <v>3407.0</v>
      </c>
    </row>
    <row r="517" ht="56.25" customHeight="1">
      <c r="A517" s="5" t="s">
        <v>2426</v>
      </c>
      <c r="B517" s="6" t="str">
        <f>IMAGE("https://storage.googleapis.com/acdb/miscellaneous/FtrJapanSword_Remake_3_0.png")</f>
        <v/>
      </c>
      <c r="C517" s="5" t="s">
        <v>52</v>
      </c>
      <c r="D517" s="5" t="s">
        <v>2</v>
      </c>
      <c r="E517" s="5" t="s">
        <v>34</v>
      </c>
      <c r="F517" s="5" t="s">
        <v>34</v>
      </c>
      <c r="G517" s="5" t="s">
        <v>36</v>
      </c>
      <c r="H517" s="5" t="s">
        <v>35</v>
      </c>
      <c r="I517" s="5" t="s">
        <v>36</v>
      </c>
      <c r="J517" s="6">
        <v>4.0</v>
      </c>
      <c r="K517" s="6" t="s">
        <v>37</v>
      </c>
      <c r="L517" s="6">
        <v>2500.0</v>
      </c>
      <c r="M517" s="5" t="s">
        <v>52</v>
      </c>
      <c r="N517" s="5" t="s">
        <v>39</v>
      </c>
      <c r="O517" s="6" t="s">
        <v>276</v>
      </c>
      <c r="P517" s="5" t="s">
        <v>1284</v>
      </c>
      <c r="Q517" s="5"/>
      <c r="R517" s="6" t="s">
        <v>42</v>
      </c>
      <c r="S517" s="5" t="s">
        <v>266</v>
      </c>
      <c r="T517" s="5" t="s">
        <v>696</v>
      </c>
      <c r="U517" s="5" t="s">
        <v>44</v>
      </c>
      <c r="V517" s="5" t="s">
        <v>44</v>
      </c>
      <c r="W517" s="5" t="s">
        <v>36</v>
      </c>
      <c r="X517" s="5" t="s">
        <v>650</v>
      </c>
      <c r="Y517" s="5" t="s">
        <v>46</v>
      </c>
      <c r="Z517" s="5" t="s">
        <v>47</v>
      </c>
      <c r="AA517" s="5" t="s">
        <v>48</v>
      </c>
      <c r="AB517" s="5" t="s">
        <v>2443</v>
      </c>
      <c r="AC517" s="6" t="s">
        <v>71</v>
      </c>
      <c r="AD517" s="6">
        <v>3407.0</v>
      </c>
    </row>
    <row r="518" ht="56.25" customHeight="1">
      <c r="A518" s="5" t="s">
        <v>2426</v>
      </c>
      <c r="B518" s="6" t="str">
        <f>IMAGE("https://storage.googleapis.com/acdb/miscellaneous/FtrJapanSword_Remake_4_0.png")</f>
        <v/>
      </c>
      <c r="C518" s="5" t="s">
        <v>151</v>
      </c>
      <c r="D518" s="5" t="s">
        <v>2</v>
      </c>
      <c r="E518" s="5" t="s">
        <v>34</v>
      </c>
      <c r="F518" s="5" t="s">
        <v>34</v>
      </c>
      <c r="G518" s="5" t="s">
        <v>36</v>
      </c>
      <c r="H518" s="5" t="s">
        <v>35</v>
      </c>
      <c r="I518" s="5" t="s">
        <v>36</v>
      </c>
      <c r="J518" s="6">
        <v>4.0</v>
      </c>
      <c r="K518" s="6" t="s">
        <v>37</v>
      </c>
      <c r="L518" s="6">
        <v>2500.0</v>
      </c>
      <c r="M518" s="5" t="s">
        <v>38</v>
      </c>
      <c r="N518" s="5" t="s">
        <v>39</v>
      </c>
      <c r="O518" s="6" t="s">
        <v>276</v>
      </c>
      <c r="P518" s="5" t="s">
        <v>1284</v>
      </c>
      <c r="Q518" s="5"/>
      <c r="R518" s="6" t="s">
        <v>42</v>
      </c>
      <c r="S518" s="5" t="s">
        <v>266</v>
      </c>
      <c r="T518" s="5" t="s">
        <v>696</v>
      </c>
      <c r="U518" s="5" t="s">
        <v>44</v>
      </c>
      <c r="V518" s="5" t="s">
        <v>44</v>
      </c>
      <c r="W518" s="5" t="s">
        <v>36</v>
      </c>
      <c r="X518" s="5" t="s">
        <v>650</v>
      </c>
      <c r="Y518" s="5" t="s">
        <v>46</v>
      </c>
      <c r="Z518" s="5" t="s">
        <v>47</v>
      </c>
      <c r="AA518" s="5" t="s">
        <v>48</v>
      </c>
      <c r="AB518" s="5" t="s">
        <v>2447</v>
      </c>
      <c r="AC518" s="6" t="s">
        <v>75</v>
      </c>
      <c r="AD518" s="6">
        <v>3407.0</v>
      </c>
    </row>
    <row r="519" ht="56.25" customHeight="1">
      <c r="A519" s="5" t="s">
        <v>2449</v>
      </c>
      <c r="B519" s="16" t="str">
        <f>IMAGE("https://storage.googleapis.com/acdb/miscellaneous/FtrKettleJapan.png")</f>
        <v/>
      </c>
      <c r="C519" s="5" t="s">
        <v>34</v>
      </c>
      <c r="D519" s="5" t="s">
        <v>34</v>
      </c>
      <c r="E519" s="5" t="s">
        <v>34</v>
      </c>
      <c r="F519" s="5" t="s">
        <v>34</v>
      </c>
      <c r="G519" s="5" t="s">
        <v>36</v>
      </c>
      <c r="H519" s="5" t="s">
        <v>36</v>
      </c>
      <c r="I519" s="5" t="s">
        <v>36</v>
      </c>
      <c r="J519" s="6" t="s">
        <v>34</v>
      </c>
      <c r="K519" s="6">
        <v>710.0</v>
      </c>
      <c r="L519" s="6">
        <v>177.0</v>
      </c>
      <c r="M519" s="5" t="s">
        <v>114</v>
      </c>
      <c r="N519" s="5" t="s">
        <v>54</v>
      </c>
      <c r="O519" s="6" t="s">
        <v>40</v>
      </c>
      <c r="P519" s="5" t="s">
        <v>59</v>
      </c>
      <c r="Q519" s="5" t="s">
        <v>60</v>
      </c>
      <c r="R519" s="6" t="s">
        <v>42</v>
      </c>
      <c r="S519" s="5" t="s">
        <v>159</v>
      </c>
      <c r="T519" s="5" t="s">
        <v>62</v>
      </c>
      <c r="U519" s="5" t="s">
        <v>44</v>
      </c>
      <c r="V519" s="5" t="s">
        <v>44</v>
      </c>
      <c r="W519" s="5" t="s">
        <v>36</v>
      </c>
      <c r="X519" s="5" t="s">
        <v>160</v>
      </c>
      <c r="Y519" s="5" t="s">
        <v>46</v>
      </c>
      <c r="Z519" s="5" t="s">
        <v>47</v>
      </c>
      <c r="AA519" s="5" t="s">
        <v>64</v>
      </c>
      <c r="AB519" s="5" t="s">
        <v>2452</v>
      </c>
      <c r="AC519" s="6" t="s">
        <v>34</v>
      </c>
      <c r="AD519" s="6">
        <v>724.0</v>
      </c>
    </row>
    <row r="520" ht="56.25" customHeight="1">
      <c r="A520" s="5" t="s">
        <v>2453</v>
      </c>
      <c r="B520" s="6" t="str">
        <f>IMAGE("https://storage.googleapis.com/acdb/miscellaneous/FtrKettlebell_Remake_0_0.png")</f>
        <v/>
      </c>
      <c r="C520" s="5" t="s">
        <v>54</v>
      </c>
      <c r="D520" s="5" t="s">
        <v>1008</v>
      </c>
      <c r="E520" s="5" t="s">
        <v>34</v>
      </c>
      <c r="F520" s="5" t="s">
        <v>34</v>
      </c>
      <c r="G520" s="5" t="s">
        <v>35</v>
      </c>
      <c r="H520" s="5" t="s">
        <v>35</v>
      </c>
      <c r="I520" s="5" t="s">
        <v>36</v>
      </c>
      <c r="J520" s="6">
        <v>5.0</v>
      </c>
      <c r="K520" s="6" t="s">
        <v>37</v>
      </c>
      <c r="L520" s="6">
        <v>3750.0</v>
      </c>
      <c r="M520" s="5" t="s">
        <v>54</v>
      </c>
      <c r="N520" s="5" t="s">
        <v>54</v>
      </c>
      <c r="O520" s="6" t="s">
        <v>40</v>
      </c>
      <c r="P520" s="5" t="s">
        <v>41</v>
      </c>
      <c r="Q520" s="5"/>
      <c r="R520" s="6" t="s">
        <v>42</v>
      </c>
      <c r="S520" s="5" t="s">
        <v>474</v>
      </c>
      <c r="T520" s="5" t="s">
        <v>44</v>
      </c>
      <c r="U520" s="5" t="s">
        <v>44</v>
      </c>
      <c r="V520" s="5" t="s">
        <v>44</v>
      </c>
      <c r="W520" s="5" t="s">
        <v>36</v>
      </c>
      <c r="X520" s="5" t="s">
        <v>475</v>
      </c>
      <c r="Y520" s="5" t="s">
        <v>46</v>
      </c>
      <c r="Z520" s="5" t="s">
        <v>47</v>
      </c>
      <c r="AA520" s="5" t="s">
        <v>48</v>
      </c>
      <c r="AB520" s="5" t="s">
        <v>2454</v>
      </c>
      <c r="AC520" s="6" t="s">
        <v>50</v>
      </c>
      <c r="AD520" s="6">
        <v>7535.0</v>
      </c>
    </row>
    <row r="521" ht="56.25" customHeight="1">
      <c r="A521" s="5" t="s">
        <v>2453</v>
      </c>
      <c r="B521" s="6" t="str">
        <f>IMAGE("https://storage.googleapis.com/acdb/miscellaneous/FtrKettlebell_Remake_1_0.png")</f>
        <v/>
      </c>
      <c r="C521" s="5" t="s">
        <v>52</v>
      </c>
      <c r="D521" s="5" t="s">
        <v>1008</v>
      </c>
      <c r="E521" s="5" t="s">
        <v>34</v>
      </c>
      <c r="F521" s="5" t="s">
        <v>34</v>
      </c>
      <c r="G521" s="5" t="s">
        <v>35</v>
      </c>
      <c r="H521" s="5" t="s">
        <v>35</v>
      </c>
      <c r="I521" s="5" t="s">
        <v>36</v>
      </c>
      <c r="J521" s="6">
        <v>5.0</v>
      </c>
      <c r="K521" s="6" t="s">
        <v>37</v>
      </c>
      <c r="L521" s="6">
        <v>3750.0</v>
      </c>
      <c r="M521" s="5" t="s">
        <v>52</v>
      </c>
      <c r="N521" s="5" t="s">
        <v>95</v>
      </c>
      <c r="O521" s="6" t="s">
        <v>40</v>
      </c>
      <c r="P521" s="5" t="s">
        <v>41</v>
      </c>
      <c r="Q521" s="5"/>
      <c r="R521" s="6" t="s">
        <v>42</v>
      </c>
      <c r="S521" s="5" t="s">
        <v>474</v>
      </c>
      <c r="T521" s="5" t="s">
        <v>44</v>
      </c>
      <c r="U521" s="5" t="s">
        <v>44</v>
      </c>
      <c r="V521" s="5" t="s">
        <v>44</v>
      </c>
      <c r="W521" s="5" t="s">
        <v>36</v>
      </c>
      <c r="X521" s="5" t="s">
        <v>475</v>
      </c>
      <c r="Y521" s="5" t="s">
        <v>46</v>
      </c>
      <c r="Z521" s="5" t="s">
        <v>47</v>
      </c>
      <c r="AA521" s="5" t="s">
        <v>48</v>
      </c>
      <c r="AB521" s="5" t="s">
        <v>2459</v>
      </c>
      <c r="AC521" s="6" t="s">
        <v>56</v>
      </c>
      <c r="AD521" s="6">
        <v>7535.0</v>
      </c>
    </row>
    <row r="522" ht="56.25" customHeight="1">
      <c r="A522" s="5" t="s">
        <v>2453</v>
      </c>
      <c r="B522" s="6" t="str">
        <f>IMAGE("https://storage.googleapis.com/acdb/miscellaneous/FtrKettlebell_Remake_2_0.png")</f>
        <v/>
      </c>
      <c r="C522" s="5" t="s">
        <v>68</v>
      </c>
      <c r="D522" s="5" t="s">
        <v>1008</v>
      </c>
      <c r="E522" s="5" t="s">
        <v>34</v>
      </c>
      <c r="F522" s="5" t="s">
        <v>34</v>
      </c>
      <c r="G522" s="5" t="s">
        <v>35</v>
      </c>
      <c r="H522" s="5" t="s">
        <v>35</v>
      </c>
      <c r="I522" s="5" t="s">
        <v>36</v>
      </c>
      <c r="J522" s="6">
        <v>5.0</v>
      </c>
      <c r="K522" s="6" t="s">
        <v>37</v>
      </c>
      <c r="L522" s="6">
        <v>3750.0</v>
      </c>
      <c r="M522" s="5" t="s">
        <v>68</v>
      </c>
      <c r="N522" s="5" t="s">
        <v>95</v>
      </c>
      <c r="O522" s="6" t="s">
        <v>40</v>
      </c>
      <c r="P522" s="5" t="s">
        <v>41</v>
      </c>
      <c r="Q522" s="5"/>
      <c r="R522" s="6" t="s">
        <v>42</v>
      </c>
      <c r="S522" s="5" t="s">
        <v>474</v>
      </c>
      <c r="T522" s="5" t="s">
        <v>44</v>
      </c>
      <c r="U522" s="5" t="s">
        <v>44</v>
      </c>
      <c r="V522" s="5" t="s">
        <v>44</v>
      </c>
      <c r="W522" s="5" t="s">
        <v>36</v>
      </c>
      <c r="X522" s="5" t="s">
        <v>475</v>
      </c>
      <c r="Y522" s="5" t="s">
        <v>46</v>
      </c>
      <c r="Z522" s="5" t="s">
        <v>47</v>
      </c>
      <c r="AA522" s="5" t="s">
        <v>48</v>
      </c>
      <c r="AB522" s="5" t="s">
        <v>2463</v>
      </c>
      <c r="AC522" s="6" t="s">
        <v>67</v>
      </c>
      <c r="AD522" s="6">
        <v>7535.0</v>
      </c>
    </row>
    <row r="523" ht="56.25" customHeight="1">
      <c r="A523" s="5" t="s">
        <v>2453</v>
      </c>
      <c r="B523" s="6" t="str">
        <f>IMAGE("https://storage.googleapis.com/acdb/miscellaneous/FtrKettlebell_Remake_3_0.png")</f>
        <v/>
      </c>
      <c r="C523" s="5" t="s">
        <v>114</v>
      </c>
      <c r="D523" s="5" t="s">
        <v>1008</v>
      </c>
      <c r="E523" s="5" t="s">
        <v>34</v>
      </c>
      <c r="F523" s="5" t="s">
        <v>34</v>
      </c>
      <c r="G523" s="5" t="s">
        <v>35</v>
      </c>
      <c r="H523" s="5" t="s">
        <v>35</v>
      </c>
      <c r="I523" s="5" t="s">
        <v>36</v>
      </c>
      <c r="J523" s="6">
        <v>5.0</v>
      </c>
      <c r="K523" s="6" t="s">
        <v>37</v>
      </c>
      <c r="L523" s="6">
        <v>3750.0</v>
      </c>
      <c r="M523" s="5" t="s">
        <v>114</v>
      </c>
      <c r="N523" s="5" t="s">
        <v>95</v>
      </c>
      <c r="O523" s="6" t="s">
        <v>40</v>
      </c>
      <c r="P523" s="5" t="s">
        <v>41</v>
      </c>
      <c r="Q523" s="5"/>
      <c r="R523" s="6" t="s">
        <v>42</v>
      </c>
      <c r="S523" s="5" t="s">
        <v>474</v>
      </c>
      <c r="T523" s="5" t="s">
        <v>44</v>
      </c>
      <c r="U523" s="5" t="s">
        <v>44</v>
      </c>
      <c r="V523" s="5" t="s">
        <v>44</v>
      </c>
      <c r="W523" s="5" t="s">
        <v>36</v>
      </c>
      <c r="X523" s="5" t="s">
        <v>475</v>
      </c>
      <c r="Y523" s="5" t="s">
        <v>46</v>
      </c>
      <c r="Z523" s="5" t="s">
        <v>47</v>
      </c>
      <c r="AA523" s="5" t="s">
        <v>48</v>
      </c>
      <c r="AB523" s="5" t="s">
        <v>2464</v>
      </c>
      <c r="AC523" s="6" t="s">
        <v>71</v>
      </c>
      <c r="AD523" s="6">
        <v>7535.0</v>
      </c>
    </row>
    <row r="524" ht="56.25" customHeight="1">
      <c r="A524" s="5" t="s">
        <v>2453</v>
      </c>
      <c r="B524" s="6" t="str">
        <f>IMAGE("https://storage.googleapis.com/acdb/miscellaneous/FtrKettlebell_Remake_4_0.png")</f>
        <v/>
      </c>
      <c r="C524" s="5" t="s">
        <v>96</v>
      </c>
      <c r="D524" s="5" t="s">
        <v>1008</v>
      </c>
      <c r="E524" s="5" t="s">
        <v>34</v>
      </c>
      <c r="F524" s="5" t="s">
        <v>34</v>
      </c>
      <c r="G524" s="5" t="s">
        <v>35</v>
      </c>
      <c r="H524" s="5" t="s">
        <v>35</v>
      </c>
      <c r="I524" s="5" t="s">
        <v>36</v>
      </c>
      <c r="J524" s="6">
        <v>5.0</v>
      </c>
      <c r="K524" s="6" t="s">
        <v>37</v>
      </c>
      <c r="L524" s="6">
        <v>3750.0</v>
      </c>
      <c r="M524" s="5" t="s">
        <v>96</v>
      </c>
      <c r="N524" s="5" t="s">
        <v>95</v>
      </c>
      <c r="O524" s="6" t="s">
        <v>40</v>
      </c>
      <c r="P524" s="5" t="s">
        <v>41</v>
      </c>
      <c r="Q524" s="5"/>
      <c r="R524" s="6" t="s">
        <v>42</v>
      </c>
      <c r="S524" s="5" t="s">
        <v>474</v>
      </c>
      <c r="T524" s="5" t="s">
        <v>44</v>
      </c>
      <c r="U524" s="5" t="s">
        <v>44</v>
      </c>
      <c r="V524" s="5" t="s">
        <v>44</v>
      </c>
      <c r="W524" s="5" t="s">
        <v>36</v>
      </c>
      <c r="X524" s="5" t="s">
        <v>475</v>
      </c>
      <c r="Y524" s="5" t="s">
        <v>46</v>
      </c>
      <c r="Z524" s="5" t="s">
        <v>47</v>
      </c>
      <c r="AA524" s="5" t="s">
        <v>48</v>
      </c>
      <c r="AB524" s="5" t="s">
        <v>2468</v>
      </c>
      <c r="AC524" s="6" t="s">
        <v>75</v>
      </c>
      <c r="AD524" s="6">
        <v>7535.0</v>
      </c>
    </row>
    <row r="525" ht="56.25" customHeight="1">
      <c r="A525" s="5" t="s">
        <v>2453</v>
      </c>
      <c r="B525" s="6" t="str">
        <f>IMAGE("https://storage.googleapis.com/acdb/miscellaneous/FtrKettlebell_Remake_5_0.png")</f>
        <v/>
      </c>
      <c r="C525" s="5" t="s">
        <v>69</v>
      </c>
      <c r="D525" s="5" t="s">
        <v>1008</v>
      </c>
      <c r="E525" s="5" t="s">
        <v>34</v>
      </c>
      <c r="F525" s="5" t="s">
        <v>34</v>
      </c>
      <c r="G525" s="5" t="s">
        <v>35</v>
      </c>
      <c r="H525" s="5" t="s">
        <v>35</v>
      </c>
      <c r="I525" s="5" t="s">
        <v>36</v>
      </c>
      <c r="J525" s="6">
        <v>5.0</v>
      </c>
      <c r="K525" s="6" t="s">
        <v>37</v>
      </c>
      <c r="L525" s="6">
        <v>3750.0</v>
      </c>
      <c r="M525" s="5" t="s">
        <v>69</v>
      </c>
      <c r="N525" s="5" t="s">
        <v>95</v>
      </c>
      <c r="O525" s="6" t="s">
        <v>40</v>
      </c>
      <c r="P525" s="5" t="s">
        <v>41</v>
      </c>
      <c r="Q525" s="5"/>
      <c r="R525" s="6" t="s">
        <v>42</v>
      </c>
      <c r="S525" s="5" t="s">
        <v>474</v>
      </c>
      <c r="T525" s="5" t="s">
        <v>44</v>
      </c>
      <c r="U525" s="5" t="s">
        <v>44</v>
      </c>
      <c r="V525" s="5" t="s">
        <v>44</v>
      </c>
      <c r="W525" s="5" t="s">
        <v>36</v>
      </c>
      <c r="X525" s="5" t="s">
        <v>475</v>
      </c>
      <c r="Y525" s="5" t="s">
        <v>46</v>
      </c>
      <c r="Z525" s="5" t="s">
        <v>47</v>
      </c>
      <c r="AA525" s="5" t="s">
        <v>48</v>
      </c>
      <c r="AB525" s="5" t="s">
        <v>2471</v>
      </c>
      <c r="AC525" s="6" t="s">
        <v>79</v>
      </c>
      <c r="AD525" s="6">
        <v>7535.0</v>
      </c>
    </row>
    <row r="526" ht="56.25" customHeight="1">
      <c r="A526" s="5" t="s">
        <v>2472</v>
      </c>
      <c r="B526" s="16" t="str">
        <f>IMAGE("https://storage.googleapis.com/acdb/miscellaneous/FtrFishMedakaToy.png")</f>
        <v/>
      </c>
      <c r="C526" s="5" t="s">
        <v>34</v>
      </c>
      <c r="D526" s="5" t="s">
        <v>34</v>
      </c>
      <c r="E526" s="5" t="s">
        <v>34</v>
      </c>
      <c r="F526" s="5" t="s">
        <v>34</v>
      </c>
      <c r="G526" s="5" t="s">
        <v>36</v>
      </c>
      <c r="H526" s="5" t="s">
        <v>36</v>
      </c>
      <c r="I526" s="5" t="s">
        <v>36</v>
      </c>
      <c r="J526" s="6" t="s">
        <v>34</v>
      </c>
      <c r="K526" s="6" t="s">
        <v>37</v>
      </c>
      <c r="L526" s="6">
        <v>900.0</v>
      </c>
      <c r="M526" s="5" t="s">
        <v>114</v>
      </c>
      <c r="N526" s="5" t="s">
        <v>54</v>
      </c>
      <c r="O526" s="6" t="s">
        <v>40</v>
      </c>
      <c r="P526" s="5" t="s">
        <v>213</v>
      </c>
      <c r="Q526" s="5" t="s">
        <v>215</v>
      </c>
      <c r="R526" s="6" t="s">
        <v>42</v>
      </c>
      <c r="S526" s="5" t="s">
        <v>44</v>
      </c>
      <c r="T526" s="5" t="s">
        <v>44</v>
      </c>
      <c r="U526" s="5" t="s">
        <v>44</v>
      </c>
      <c r="V526" s="5" t="s">
        <v>44</v>
      </c>
      <c r="W526" s="5" t="s">
        <v>36</v>
      </c>
      <c r="X526" s="5" t="s">
        <v>219</v>
      </c>
      <c r="Y526" s="5" t="s">
        <v>46</v>
      </c>
      <c r="Z526" s="5" t="s">
        <v>47</v>
      </c>
      <c r="AA526" s="5" t="s">
        <v>48</v>
      </c>
      <c r="AB526" s="5" t="s">
        <v>2473</v>
      </c>
      <c r="AC526" s="6" t="s">
        <v>34</v>
      </c>
      <c r="AD526" s="6">
        <v>6985.0</v>
      </c>
    </row>
    <row r="527" ht="56.25" customHeight="1">
      <c r="A527" s="5" t="s">
        <v>2474</v>
      </c>
      <c r="B527" s="16" t="str">
        <f>IMAGE("https://storage.googleapis.com/acdb/miscellaneous/FtrFishKingsalmonToy.png")</f>
        <v/>
      </c>
      <c r="C527" s="5" t="s">
        <v>34</v>
      </c>
      <c r="D527" s="5" t="s">
        <v>34</v>
      </c>
      <c r="E527" s="5" t="s">
        <v>34</v>
      </c>
      <c r="F527" s="5" t="s">
        <v>34</v>
      </c>
      <c r="G527" s="5" t="s">
        <v>36</v>
      </c>
      <c r="H527" s="5" t="s">
        <v>36</v>
      </c>
      <c r="I527" s="5" t="s">
        <v>36</v>
      </c>
      <c r="J527" s="6" t="s">
        <v>34</v>
      </c>
      <c r="K527" s="6" t="s">
        <v>37</v>
      </c>
      <c r="L527" s="6">
        <v>5400.0</v>
      </c>
      <c r="M527" s="5" t="s">
        <v>95</v>
      </c>
      <c r="N527" s="5" t="s">
        <v>54</v>
      </c>
      <c r="O527" s="6" t="s">
        <v>40</v>
      </c>
      <c r="P527" s="5" t="s">
        <v>213</v>
      </c>
      <c r="Q527" s="5" t="s">
        <v>215</v>
      </c>
      <c r="R527" s="6" t="s">
        <v>42</v>
      </c>
      <c r="S527" s="5" t="s">
        <v>44</v>
      </c>
      <c r="T527" s="5" t="s">
        <v>44</v>
      </c>
      <c r="U527" s="5" t="s">
        <v>44</v>
      </c>
      <c r="V527" s="5" t="s">
        <v>44</v>
      </c>
      <c r="W527" s="5" t="s">
        <v>36</v>
      </c>
      <c r="X527" s="5" t="s">
        <v>219</v>
      </c>
      <c r="Y527" s="5" t="s">
        <v>46</v>
      </c>
      <c r="Z527" s="5" t="s">
        <v>47</v>
      </c>
      <c r="AA527" s="5" t="s">
        <v>48</v>
      </c>
      <c r="AB527" s="5" t="s">
        <v>2477</v>
      </c>
      <c r="AC527" s="6" t="s">
        <v>34</v>
      </c>
      <c r="AD527" s="6">
        <v>6978.0</v>
      </c>
    </row>
    <row r="528" ht="56.25" customHeight="1">
      <c r="A528" s="5" t="s">
        <v>2478</v>
      </c>
      <c r="B528" s="6" t="str">
        <f>IMAGE("https://storage.googleapis.com/acdb/miscellaneous/FtrKniferack_Remake_0_0.png")</f>
        <v/>
      </c>
      <c r="C528" s="5" t="s">
        <v>32</v>
      </c>
      <c r="D528" s="5" t="s">
        <v>34</v>
      </c>
      <c r="E528" s="5" t="s">
        <v>34</v>
      </c>
      <c r="F528" s="5" t="s">
        <v>34</v>
      </c>
      <c r="G528" s="5" t="s">
        <v>36</v>
      </c>
      <c r="H528" s="5" t="s">
        <v>36</v>
      </c>
      <c r="I528" s="5" t="s">
        <v>36</v>
      </c>
      <c r="J528" s="6" t="s">
        <v>34</v>
      </c>
      <c r="K528" s="6">
        <v>1200.0</v>
      </c>
      <c r="L528" s="6">
        <v>300.0</v>
      </c>
      <c r="M528" s="5" t="s">
        <v>38</v>
      </c>
      <c r="N528" s="5" t="s">
        <v>54</v>
      </c>
      <c r="O528" s="6" t="s">
        <v>40</v>
      </c>
      <c r="P528" s="5" t="s">
        <v>59</v>
      </c>
      <c r="Q528" s="5" t="s">
        <v>60</v>
      </c>
      <c r="R528" s="6" t="s">
        <v>42</v>
      </c>
      <c r="S528" s="5" t="s">
        <v>159</v>
      </c>
      <c r="T528" s="5" t="s">
        <v>62</v>
      </c>
      <c r="U528" s="5" t="s">
        <v>44</v>
      </c>
      <c r="V528" s="5" t="s">
        <v>44</v>
      </c>
      <c r="W528" s="5" t="s">
        <v>36</v>
      </c>
      <c r="X528" s="5" t="s">
        <v>160</v>
      </c>
      <c r="Y528" s="5" t="s">
        <v>46</v>
      </c>
      <c r="Z528" s="5" t="s">
        <v>47</v>
      </c>
      <c r="AA528" s="5" t="s">
        <v>64</v>
      </c>
      <c r="AB528" s="5" t="s">
        <v>2479</v>
      </c>
      <c r="AC528" s="6" t="s">
        <v>50</v>
      </c>
      <c r="AD528" s="6">
        <v>7804.0</v>
      </c>
    </row>
    <row r="529" ht="56.25" customHeight="1">
      <c r="A529" s="5" t="s">
        <v>2478</v>
      </c>
      <c r="B529" s="6" t="str">
        <f>IMAGE("https://storage.googleapis.com/acdb/miscellaneous/FtrKniferack_Remake_1_0.png")</f>
        <v/>
      </c>
      <c r="C529" s="5" t="s">
        <v>146</v>
      </c>
      <c r="D529" s="5" t="s">
        <v>34</v>
      </c>
      <c r="E529" s="5" t="s">
        <v>34</v>
      </c>
      <c r="F529" s="5" t="s">
        <v>34</v>
      </c>
      <c r="G529" s="5" t="s">
        <v>36</v>
      </c>
      <c r="H529" s="5" t="s">
        <v>36</v>
      </c>
      <c r="I529" s="5" t="s">
        <v>36</v>
      </c>
      <c r="J529" s="6" t="s">
        <v>34</v>
      </c>
      <c r="K529" s="6">
        <v>1200.0</v>
      </c>
      <c r="L529" s="6">
        <v>300.0</v>
      </c>
      <c r="M529" s="5" t="s">
        <v>95</v>
      </c>
      <c r="N529" s="5" t="s">
        <v>54</v>
      </c>
      <c r="O529" s="6" t="s">
        <v>40</v>
      </c>
      <c r="P529" s="5" t="s">
        <v>59</v>
      </c>
      <c r="Q529" s="5" t="s">
        <v>60</v>
      </c>
      <c r="R529" s="6" t="s">
        <v>42</v>
      </c>
      <c r="S529" s="5" t="s">
        <v>159</v>
      </c>
      <c r="T529" s="5" t="s">
        <v>62</v>
      </c>
      <c r="U529" s="5" t="s">
        <v>44</v>
      </c>
      <c r="V529" s="5" t="s">
        <v>44</v>
      </c>
      <c r="W529" s="5" t="s">
        <v>36</v>
      </c>
      <c r="X529" s="5" t="s">
        <v>160</v>
      </c>
      <c r="Y529" s="5" t="s">
        <v>46</v>
      </c>
      <c r="Z529" s="5" t="s">
        <v>47</v>
      </c>
      <c r="AA529" s="5" t="s">
        <v>64</v>
      </c>
      <c r="AB529" s="5" t="s">
        <v>2483</v>
      </c>
      <c r="AC529" s="6" t="s">
        <v>56</v>
      </c>
      <c r="AD529" s="6">
        <v>7804.0</v>
      </c>
    </row>
    <row r="530" ht="56.25" customHeight="1">
      <c r="A530" s="5" t="s">
        <v>2478</v>
      </c>
      <c r="B530" s="6" t="str">
        <f>IMAGE("https://storage.googleapis.com/acdb/miscellaneous/FtrKniferack_Remake_2_0.png")</f>
        <v/>
      </c>
      <c r="C530" s="5" t="s">
        <v>54</v>
      </c>
      <c r="D530" s="5" t="s">
        <v>34</v>
      </c>
      <c r="E530" s="5" t="s">
        <v>34</v>
      </c>
      <c r="F530" s="5" t="s">
        <v>34</v>
      </c>
      <c r="G530" s="5" t="s">
        <v>36</v>
      </c>
      <c r="H530" s="5" t="s">
        <v>36</v>
      </c>
      <c r="I530" s="5" t="s">
        <v>36</v>
      </c>
      <c r="J530" s="6" t="s">
        <v>34</v>
      </c>
      <c r="K530" s="6">
        <v>1200.0</v>
      </c>
      <c r="L530" s="6">
        <v>300.0</v>
      </c>
      <c r="M530" s="5" t="s">
        <v>54</v>
      </c>
      <c r="N530" s="5" t="s">
        <v>39</v>
      </c>
      <c r="O530" s="6" t="s">
        <v>40</v>
      </c>
      <c r="P530" s="5" t="s">
        <v>59</v>
      </c>
      <c r="Q530" s="5" t="s">
        <v>60</v>
      </c>
      <c r="R530" s="6" t="s">
        <v>42</v>
      </c>
      <c r="S530" s="5" t="s">
        <v>159</v>
      </c>
      <c r="T530" s="5" t="s">
        <v>62</v>
      </c>
      <c r="U530" s="5" t="s">
        <v>44</v>
      </c>
      <c r="V530" s="5" t="s">
        <v>44</v>
      </c>
      <c r="W530" s="5" t="s">
        <v>36</v>
      </c>
      <c r="X530" s="5" t="s">
        <v>160</v>
      </c>
      <c r="Y530" s="5" t="s">
        <v>46</v>
      </c>
      <c r="Z530" s="5" t="s">
        <v>47</v>
      </c>
      <c r="AA530" s="5" t="s">
        <v>64</v>
      </c>
      <c r="AB530" s="5" t="s">
        <v>2487</v>
      </c>
      <c r="AC530" s="6" t="s">
        <v>67</v>
      </c>
      <c r="AD530" s="6">
        <v>7804.0</v>
      </c>
    </row>
    <row r="531" ht="56.25" customHeight="1">
      <c r="A531" s="5" t="s">
        <v>2488</v>
      </c>
      <c r="B531" s="16" t="str">
        <f>IMAGE("https://storage.googleapis.com/acdb/miscellaneous/FtrFishNishikigoiToy.png")</f>
        <v/>
      </c>
      <c r="C531" s="5" t="s">
        <v>34</v>
      </c>
      <c r="D531" s="5" t="s">
        <v>34</v>
      </c>
      <c r="E531" s="5" t="s">
        <v>34</v>
      </c>
      <c r="F531" s="5" t="s">
        <v>34</v>
      </c>
      <c r="G531" s="5" t="s">
        <v>36</v>
      </c>
      <c r="H531" s="5" t="s">
        <v>36</v>
      </c>
      <c r="I531" s="5" t="s">
        <v>36</v>
      </c>
      <c r="J531" s="6" t="s">
        <v>34</v>
      </c>
      <c r="K531" s="6" t="s">
        <v>37</v>
      </c>
      <c r="L531" s="6">
        <v>12000.0</v>
      </c>
      <c r="M531" s="5" t="s">
        <v>52</v>
      </c>
      <c r="N531" s="5" t="s">
        <v>57</v>
      </c>
      <c r="O531" s="6" t="s">
        <v>40</v>
      </c>
      <c r="P531" s="5" t="s">
        <v>213</v>
      </c>
      <c r="Q531" s="5" t="s">
        <v>215</v>
      </c>
      <c r="R531" s="6" t="s">
        <v>42</v>
      </c>
      <c r="S531" s="5" t="s">
        <v>44</v>
      </c>
      <c r="T531" s="5" t="s">
        <v>44</v>
      </c>
      <c r="U531" s="5" t="s">
        <v>44</v>
      </c>
      <c r="V531" s="5" t="s">
        <v>44</v>
      </c>
      <c r="W531" s="5" t="s">
        <v>36</v>
      </c>
      <c r="X531" s="5" t="s">
        <v>219</v>
      </c>
      <c r="Y531" s="5" t="s">
        <v>46</v>
      </c>
      <c r="Z531" s="5" t="s">
        <v>47</v>
      </c>
      <c r="AA531" s="5" t="s">
        <v>48</v>
      </c>
      <c r="AB531" s="5" t="s">
        <v>2491</v>
      </c>
      <c r="AC531" s="6" t="s">
        <v>34</v>
      </c>
      <c r="AD531" s="6">
        <v>6991.0</v>
      </c>
    </row>
    <row r="532" ht="56.25" customHeight="1">
      <c r="A532" s="5" t="s">
        <v>2493</v>
      </c>
      <c r="B532" s="16" t="str">
        <f>IMAGE("https://storage.googleapis.com/acdb/miscellaneous/FtrExperimentset.png")</f>
        <v/>
      </c>
      <c r="C532" s="5" t="s">
        <v>34</v>
      </c>
      <c r="D532" s="5" t="s">
        <v>34</v>
      </c>
      <c r="E532" s="5" t="s">
        <v>34</v>
      </c>
      <c r="F532" s="5" t="s">
        <v>34</v>
      </c>
      <c r="G532" s="5" t="s">
        <v>36</v>
      </c>
      <c r="H532" s="5" t="s">
        <v>36</v>
      </c>
      <c r="I532" s="5" t="s">
        <v>36</v>
      </c>
      <c r="J532" s="6" t="s">
        <v>34</v>
      </c>
      <c r="K532" s="6">
        <v>6000.0</v>
      </c>
      <c r="L532" s="6">
        <v>1500.0</v>
      </c>
      <c r="M532" s="5" t="s">
        <v>58</v>
      </c>
      <c r="N532" s="5" t="s">
        <v>58</v>
      </c>
      <c r="O532" s="6" t="s">
        <v>276</v>
      </c>
      <c r="P532" s="5" t="s">
        <v>59</v>
      </c>
      <c r="Q532" s="5" t="s">
        <v>89</v>
      </c>
      <c r="R532" s="6" t="s">
        <v>42</v>
      </c>
      <c r="S532" s="5" t="s">
        <v>130</v>
      </c>
      <c r="T532" s="5" t="s">
        <v>141</v>
      </c>
      <c r="U532" s="5" t="s">
        <v>44</v>
      </c>
      <c r="V532" s="5" t="s">
        <v>44</v>
      </c>
      <c r="W532" s="5" t="s">
        <v>35</v>
      </c>
      <c r="X532" s="5" t="s">
        <v>1593</v>
      </c>
      <c r="Y532" s="5" t="s">
        <v>46</v>
      </c>
      <c r="Z532" s="5" t="s">
        <v>47</v>
      </c>
      <c r="AA532" s="5" t="s">
        <v>64</v>
      </c>
      <c r="AB532" s="5" t="s">
        <v>2496</v>
      </c>
      <c r="AC532" s="6" t="s">
        <v>34</v>
      </c>
      <c r="AD532" s="6">
        <v>4016.0</v>
      </c>
    </row>
    <row r="533" ht="56.25" customHeight="1">
      <c r="A533" s="5" t="s">
        <v>2497</v>
      </c>
      <c r="B533" s="16" t="str">
        <f>IMAGE("https://storage.googleapis.com/acdb/miscellaneous/FtrInsectTentoumushiToy.png")</f>
        <v/>
      </c>
      <c r="C533" s="5" t="s">
        <v>34</v>
      </c>
      <c r="D533" s="5" t="s">
        <v>34</v>
      </c>
      <c r="E533" s="5" t="s">
        <v>34</v>
      </c>
      <c r="F533" s="5" t="s">
        <v>34</v>
      </c>
      <c r="G533" s="5" t="s">
        <v>36</v>
      </c>
      <c r="H533" s="5" t="s">
        <v>36</v>
      </c>
      <c r="I533" s="5" t="s">
        <v>36</v>
      </c>
      <c r="J533" s="6" t="s">
        <v>34</v>
      </c>
      <c r="K533" s="6" t="s">
        <v>37</v>
      </c>
      <c r="L533" s="6">
        <v>600.0</v>
      </c>
      <c r="M533" s="5" t="s">
        <v>52</v>
      </c>
      <c r="N533" s="5" t="s">
        <v>54</v>
      </c>
      <c r="O533" s="6" t="s">
        <v>40</v>
      </c>
      <c r="P533" s="5" t="s">
        <v>107</v>
      </c>
      <c r="Q533" s="5" t="s">
        <v>108</v>
      </c>
      <c r="R533" s="6" t="s">
        <v>42</v>
      </c>
      <c r="S533" s="5" t="s">
        <v>44</v>
      </c>
      <c r="T533" s="5" t="s">
        <v>44</v>
      </c>
      <c r="U533" s="5" t="s">
        <v>44</v>
      </c>
      <c r="V533" s="5" t="s">
        <v>44</v>
      </c>
      <c r="W533" s="5" t="s">
        <v>36</v>
      </c>
      <c r="X533" s="5" t="s">
        <v>109</v>
      </c>
      <c r="Y533" s="5" t="s">
        <v>46</v>
      </c>
      <c r="Z533" s="5" t="s">
        <v>47</v>
      </c>
      <c r="AA533" s="5" t="s">
        <v>48</v>
      </c>
      <c r="AB533" s="5" t="s">
        <v>2500</v>
      </c>
      <c r="AC533" s="6" t="s">
        <v>34</v>
      </c>
      <c r="AD533" s="6">
        <v>7102.0</v>
      </c>
    </row>
    <row r="534" ht="56.25" customHeight="1">
      <c r="A534" s="5" t="s">
        <v>2502</v>
      </c>
      <c r="B534" s="6" t="str">
        <f>IMAGE("https://storage.googleapis.com/acdb/miscellaneous/FtrLantern_Remake_0_0.png")</f>
        <v/>
      </c>
      <c r="C534" s="5" t="s">
        <v>52</v>
      </c>
      <c r="D534" s="5" t="s">
        <v>34</v>
      </c>
      <c r="E534" s="5" t="s">
        <v>34</v>
      </c>
      <c r="F534" s="5" t="s">
        <v>34</v>
      </c>
      <c r="G534" s="5" t="s">
        <v>36</v>
      </c>
      <c r="H534" s="5" t="s">
        <v>36</v>
      </c>
      <c r="I534" s="5" t="s">
        <v>36</v>
      </c>
      <c r="J534" s="6" t="s">
        <v>34</v>
      </c>
      <c r="K534" s="6">
        <v>1900.0</v>
      </c>
      <c r="L534" s="6">
        <v>475.0</v>
      </c>
      <c r="M534" s="5" t="s">
        <v>52</v>
      </c>
      <c r="N534" s="5" t="s">
        <v>52</v>
      </c>
      <c r="O534" s="6" t="s">
        <v>40</v>
      </c>
      <c r="P534" s="5" t="s">
        <v>1479</v>
      </c>
      <c r="Q534" s="5"/>
      <c r="R534" s="6" t="s">
        <v>42</v>
      </c>
      <c r="S534" s="5" t="s">
        <v>765</v>
      </c>
      <c r="T534" s="5" t="s">
        <v>44</v>
      </c>
      <c r="U534" s="5" t="s">
        <v>44</v>
      </c>
      <c r="V534" s="5" t="s">
        <v>44</v>
      </c>
      <c r="W534" s="5" t="s">
        <v>35</v>
      </c>
      <c r="X534" s="5" t="s">
        <v>467</v>
      </c>
      <c r="Y534" s="5" t="s">
        <v>46</v>
      </c>
      <c r="Z534" s="5" t="s">
        <v>502</v>
      </c>
      <c r="AA534" s="5" t="s">
        <v>64</v>
      </c>
      <c r="AB534" s="5" t="s">
        <v>2504</v>
      </c>
      <c r="AC534" s="6" t="s">
        <v>50</v>
      </c>
      <c r="AD534" s="6">
        <v>1432.0</v>
      </c>
    </row>
    <row r="535" ht="56.25" customHeight="1">
      <c r="A535" s="5" t="s">
        <v>2502</v>
      </c>
      <c r="B535" s="6" t="str">
        <f>IMAGE("https://storage.googleapis.com/acdb/miscellaneous/FtrLantern_Remake_1_0.png")</f>
        <v/>
      </c>
      <c r="C535" s="5" t="s">
        <v>68</v>
      </c>
      <c r="D535" s="5" t="s">
        <v>34</v>
      </c>
      <c r="E535" s="5" t="s">
        <v>34</v>
      </c>
      <c r="F535" s="5" t="s">
        <v>34</v>
      </c>
      <c r="G535" s="5" t="s">
        <v>36</v>
      </c>
      <c r="H535" s="5" t="s">
        <v>36</v>
      </c>
      <c r="I535" s="5" t="s">
        <v>36</v>
      </c>
      <c r="J535" s="6" t="s">
        <v>34</v>
      </c>
      <c r="K535" s="6">
        <v>1900.0</v>
      </c>
      <c r="L535" s="6">
        <v>475.0</v>
      </c>
      <c r="M535" s="5" t="s">
        <v>68</v>
      </c>
      <c r="N535" s="5" t="s">
        <v>68</v>
      </c>
      <c r="O535" s="6" t="s">
        <v>40</v>
      </c>
      <c r="P535" s="5" t="s">
        <v>1479</v>
      </c>
      <c r="Q535" s="5"/>
      <c r="R535" s="6" t="s">
        <v>42</v>
      </c>
      <c r="S535" s="5" t="s">
        <v>765</v>
      </c>
      <c r="T535" s="5" t="s">
        <v>44</v>
      </c>
      <c r="U535" s="5" t="s">
        <v>44</v>
      </c>
      <c r="V535" s="5" t="s">
        <v>44</v>
      </c>
      <c r="W535" s="5" t="s">
        <v>35</v>
      </c>
      <c r="X535" s="5" t="s">
        <v>467</v>
      </c>
      <c r="Y535" s="5" t="s">
        <v>46</v>
      </c>
      <c r="Z535" s="5" t="s">
        <v>502</v>
      </c>
      <c r="AA535" s="5" t="s">
        <v>64</v>
      </c>
      <c r="AB535" s="5" t="s">
        <v>2507</v>
      </c>
      <c r="AC535" s="6" t="s">
        <v>56</v>
      </c>
      <c r="AD535" s="6">
        <v>1432.0</v>
      </c>
    </row>
    <row r="536" ht="56.25" customHeight="1">
      <c r="A536" s="5" t="s">
        <v>2502</v>
      </c>
      <c r="B536" s="6" t="str">
        <f>IMAGE("https://storage.googleapis.com/acdb/miscellaneous/FtrLantern_Remake_2_0.png")</f>
        <v/>
      </c>
      <c r="C536" s="5" t="s">
        <v>96</v>
      </c>
      <c r="D536" s="5" t="s">
        <v>34</v>
      </c>
      <c r="E536" s="5" t="s">
        <v>34</v>
      </c>
      <c r="F536" s="5" t="s">
        <v>34</v>
      </c>
      <c r="G536" s="5" t="s">
        <v>36</v>
      </c>
      <c r="H536" s="5" t="s">
        <v>36</v>
      </c>
      <c r="I536" s="5" t="s">
        <v>36</v>
      </c>
      <c r="J536" s="6" t="s">
        <v>34</v>
      </c>
      <c r="K536" s="6">
        <v>1900.0</v>
      </c>
      <c r="L536" s="6">
        <v>475.0</v>
      </c>
      <c r="M536" s="5" t="s">
        <v>96</v>
      </c>
      <c r="N536" s="5" t="s">
        <v>96</v>
      </c>
      <c r="O536" s="6" t="s">
        <v>40</v>
      </c>
      <c r="P536" s="5" t="s">
        <v>1479</v>
      </c>
      <c r="Q536" s="5"/>
      <c r="R536" s="6" t="s">
        <v>42</v>
      </c>
      <c r="S536" s="5" t="s">
        <v>765</v>
      </c>
      <c r="T536" s="5" t="s">
        <v>44</v>
      </c>
      <c r="U536" s="5" t="s">
        <v>44</v>
      </c>
      <c r="V536" s="5" t="s">
        <v>44</v>
      </c>
      <c r="W536" s="5" t="s">
        <v>35</v>
      </c>
      <c r="X536" s="5" t="s">
        <v>467</v>
      </c>
      <c r="Y536" s="5" t="s">
        <v>46</v>
      </c>
      <c r="Z536" s="5" t="s">
        <v>502</v>
      </c>
      <c r="AA536" s="5" t="s">
        <v>64</v>
      </c>
      <c r="AB536" s="5" t="s">
        <v>2511</v>
      </c>
      <c r="AC536" s="6" t="s">
        <v>67</v>
      </c>
      <c r="AD536" s="6">
        <v>1432.0</v>
      </c>
    </row>
    <row r="537" ht="56.25" customHeight="1">
      <c r="A537" s="5" t="s">
        <v>2502</v>
      </c>
      <c r="B537" s="6" t="str">
        <f>IMAGE("https://storage.googleapis.com/acdb/miscellaneous/FtrLantern_Remake_3_0.png")</f>
        <v/>
      </c>
      <c r="C537" s="5" t="s">
        <v>114</v>
      </c>
      <c r="D537" s="5" t="s">
        <v>34</v>
      </c>
      <c r="E537" s="5" t="s">
        <v>34</v>
      </c>
      <c r="F537" s="5" t="s">
        <v>34</v>
      </c>
      <c r="G537" s="5" t="s">
        <v>36</v>
      </c>
      <c r="H537" s="5" t="s">
        <v>36</v>
      </c>
      <c r="I537" s="5" t="s">
        <v>36</v>
      </c>
      <c r="J537" s="6" t="s">
        <v>34</v>
      </c>
      <c r="K537" s="6">
        <v>1900.0</v>
      </c>
      <c r="L537" s="6">
        <v>475.0</v>
      </c>
      <c r="M537" s="5" t="s">
        <v>114</v>
      </c>
      <c r="N537" s="5" t="s">
        <v>114</v>
      </c>
      <c r="O537" s="6" t="s">
        <v>40</v>
      </c>
      <c r="P537" s="5" t="s">
        <v>1479</v>
      </c>
      <c r="Q537" s="5"/>
      <c r="R537" s="6" t="s">
        <v>42</v>
      </c>
      <c r="S537" s="5" t="s">
        <v>765</v>
      </c>
      <c r="T537" s="5" t="s">
        <v>44</v>
      </c>
      <c r="U537" s="5" t="s">
        <v>44</v>
      </c>
      <c r="V537" s="5" t="s">
        <v>44</v>
      </c>
      <c r="W537" s="5" t="s">
        <v>35</v>
      </c>
      <c r="X537" s="5" t="s">
        <v>467</v>
      </c>
      <c r="Y537" s="5" t="s">
        <v>46</v>
      </c>
      <c r="Z537" s="5" t="s">
        <v>502</v>
      </c>
      <c r="AA537" s="5" t="s">
        <v>64</v>
      </c>
      <c r="AB537" s="5" t="s">
        <v>2515</v>
      </c>
      <c r="AC537" s="6" t="s">
        <v>71</v>
      </c>
      <c r="AD537" s="6">
        <v>1432.0</v>
      </c>
    </row>
    <row r="538" ht="56.25" customHeight="1">
      <c r="A538" s="5" t="s">
        <v>2502</v>
      </c>
      <c r="B538" s="6" t="str">
        <f>IMAGE("https://storage.googleapis.com/acdb/miscellaneous/FtrLantern_Remake_4_0.png")</f>
        <v/>
      </c>
      <c r="C538" s="5" t="s">
        <v>69</v>
      </c>
      <c r="D538" s="5" t="s">
        <v>34</v>
      </c>
      <c r="E538" s="5" t="s">
        <v>34</v>
      </c>
      <c r="F538" s="5" t="s">
        <v>34</v>
      </c>
      <c r="G538" s="5" t="s">
        <v>36</v>
      </c>
      <c r="H538" s="5" t="s">
        <v>36</v>
      </c>
      <c r="I538" s="5" t="s">
        <v>36</v>
      </c>
      <c r="J538" s="6" t="s">
        <v>34</v>
      </c>
      <c r="K538" s="6">
        <v>1900.0</v>
      </c>
      <c r="L538" s="6">
        <v>475.0</v>
      </c>
      <c r="M538" s="5" t="s">
        <v>69</v>
      </c>
      <c r="N538" s="5" t="s">
        <v>69</v>
      </c>
      <c r="O538" s="6" t="s">
        <v>40</v>
      </c>
      <c r="P538" s="5" t="s">
        <v>1479</v>
      </c>
      <c r="Q538" s="5"/>
      <c r="R538" s="6" t="s">
        <v>42</v>
      </c>
      <c r="S538" s="5" t="s">
        <v>765</v>
      </c>
      <c r="T538" s="5" t="s">
        <v>44</v>
      </c>
      <c r="U538" s="5" t="s">
        <v>44</v>
      </c>
      <c r="V538" s="5" t="s">
        <v>44</v>
      </c>
      <c r="W538" s="5" t="s">
        <v>35</v>
      </c>
      <c r="X538" s="5" t="s">
        <v>467</v>
      </c>
      <c r="Y538" s="5" t="s">
        <v>46</v>
      </c>
      <c r="Z538" s="5" t="s">
        <v>502</v>
      </c>
      <c r="AA538" s="5" t="s">
        <v>64</v>
      </c>
      <c r="AB538" s="5" t="s">
        <v>2519</v>
      </c>
      <c r="AC538" s="6" t="s">
        <v>75</v>
      </c>
      <c r="AD538" s="6">
        <v>1432.0</v>
      </c>
    </row>
    <row r="539" ht="56.25" customHeight="1">
      <c r="A539" s="5" t="s">
        <v>2502</v>
      </c>
      <c r="B539" s="6" t="str">
        <f>IMAGE("https://storage.googleapis.com/acdb/miscellaneous/FtrLantern_Remake_5_0.png")</f>
        <v/>
      </c>
      <c r="C539" s="5" t="s">
        <v>83</v>
      </c>
      <c r="D539" s="5" t="s">
        <v>34</v>
      </c>
      <c r="E539" s="5" t="s">
        <v>34</v>
      </c>
      <c r="F539" s="5" t="s">
        <v>34</v>
      </c>
      <c r="G539" s="5" t="s">
        <v>36</v>
      </c>
      <c r="H539" s="5" t="s">
        <v>36</v>
      </c>
      <c r="I539" s="5" t="s">
        <v>36</v>
      </c>
      <c r="J539" s="6" t="s">
        <v>34</v>
      </c>
      <c r="K539" s="6">
        <v>1900.0</v>
      </c>
      <c r="L539" s="6">
        <v>475.0</v>
      </c>
      <c r="M539" s="5" t="s">
        <v>83</v>
      </c>
      <c r="N539" s="5" t="s">
        <v>83</v>
      </c>
      <c r="O539" s="6" t="s">
        <v>40</v>
      </c>
      <c r="P539" s="5" t="s">
        <v>1479</v>
      </c>
      <c r="Q539" s="5"/>
      <c r="R539" s="6" t="s">
        <v>42</v>
      </c>
      <c r="S539" s="5" t="s">
        <v>765</v>
      </c>
      <c r="T539" s="5" t="s">
        <v>44</v>
      </c>
      <c r="U539" s="5" t="s">
        <v>44</v>
      </c>
      <c r="V539" s="5" t="s">
        <v>44</v>
      </c>
      <c r="W539" s="5" t="s">
        <v>35</v>
      </c>
      <c r="X539" s="5" t="s">
        <v>467</v>
      </c>
      <c r="Y539" s="5" t="s">
        <v>46</v>
      </c>
      <c r="Z539" s="5" t="s">
        <v>502</v>
      </c>
      <c r="AA539" s="5" t="s">
        <v>64</v>
      </c>
      <c r="AB539" s="5" t="s">
        <v>2520</v>
      </c>
      <c r="AC539" s="6" t="s">
        <v>79</v>
      </c>
      <c r="AD539" s="6">
        <v>1432.0</v>
      </c>
    </row>
    <row r="540" ht="56.25" customHeight="1">
      <c r="A540" s="5" t="s">
        <v>2502</v>
      </c>
      <c r="B540" s="6" t="str">
        <f>IMAGE("https://storage.googleapis.com/acdb/miscellaneous/FtrLantern_Remake_6_0.png")</f>
        <v/>
      </c>
      <c r="C540" s="5" t="s">
        <v>54</v>
      </c>
      <c r="D540" s="5" t="s">
        <v>34</v>
      </c>
      <c r="E540" s="5" t="s">
        <v>34</v>
      </c>
      <c r="F540" s="5" t="s">
        <v>34</v>
      </c>
      <c r="G540" s="5" t="s">
        <v>36</v>
      </c>
      <c r="H540" s="5" t="s">
        <v>36</v>
      </c>
      <c r="I540" s="5" t="s">
        <v>36</v>
      </c>
      <c r="J540" s="6" t="s">
        <v>34</v>
      </c>
      <c r="K540" s="6">
        <v>1900.0</v>
      </c>
      <c r="L540" s="6">
        <v>475.0</v>
      </c>
      <c r="M540" s="5" t="s">
        <v>54</v>
      </c>
      <c r="N540" s="5" t="s">
        <v>54</v>
      </c>
      <c r="O540" s="6" t="s">
        <v>40</v>
      </c>
      <c r="P540" s="5" t="s">
        <v>1479</v>
      </c>
      <c r="Q540" s="5"/>
      <c r="R540" s="6" t="s">
        <v>42</v>
      </c>
      <c r="S540" s="5" t="s">
        <v>765</v>
      </c>
      <c r="T540" s="5" t="s">
        <v>44</v>
      </c>
      <c r="U540" s="5" t="s">
        <v>44</v>
      </c>
      <c r="V540" s="5" t="s">
        <v>44</v>
      </c>
      <c r="W540" s="5" t="s">
        <v>35</v>
      </c>
      <c r="X540" s="5" t="s">
        <v>467</v>
      </c>
      <c r="Y540" s="5" t="s">
        <v>46</v>
      </c>
      <c r="Z540" s="5" t="s">
        <v>502</v>
      </c>
      <c r="AA540" s="5" t="s">
        <v>64</v>
      </c>
      <c r="AB540" s="5" t="s">
        <v>2523</v>
      </c>
      <c r="AC540" s="6" t="s">
        <v>86</v>
      </c>
      <c r="AD540" s="6">
        <v>1432.0</v>
      </c>
    </row>
    <row r="541" ht="56.25" customHeight="1">
      <c r="A541" s="5" t="s">
        <v>2502</v>
      </c>
      <c r="B541" s="6" t="str">
        <f>IMAGE("https://storage.googleapis.com/acdb/miscellaneous/FtrLantern_Remake_7_0.png")</f>
        <v/>
      </c>
      <c r="C541" s="5" t="s">
        <v>151</v>
      </c>
      <c r="D541" s="5" t="s">
        <v>34</v>
      </c>
      <c r="E541" s="5" t="s">
        <v>34</v>
      </c>
      <c r="F541" s="5" t="s">
        <v>34</v>
      </c>
      <c r="G541" s="5" t="s">
        <v>36</v>
      </c>
      <c r="H541" s="5" t="s">
        <v>36</v>
      </c>
      <c r="I541" s="5" t="s">
        <v>36</v>
      </c>
      <c r="J541" s="6" t="s">
        <v>34</v>
      </c>
      <c r="K541" s="6">
        <v>1900.0</v>
      </c>
      <c r="L541" s="6">
        <v>475.0</v>
      </c>
      <c r="M541" s="5" t="s">
        <v>38</v>
      </c>
      <c r="N541" s="5" t="s">
        <v>38</v>
      </c>
      <c r="O541" s="6" t="s">
        <v>40</v>
      </c>
      <c r="P541" s="5" t="s">
        <v>1479</v>
      </c>
      <c r="Q541" s="5"/>
      <c r="R541" s="6" t="s">
        <v>42</v>
      </c>
      <c r="S541" s="5" t="s">
        <v>765</v>
      </c>
      <c r="T541" s="5" t="s">
        <v>44</v>
      </c>
      <c r="U541" s="5" t="s">
        <v>44</v>
      </c>
      <c r="V541" s="5" t="s">
        <v>44</v>
      </c>
      <c r="W541" s="5" t="s">
        <v>35</v>
      </c>
      <c r="X541" s="5" t="s">
        <v>467</v>
      </c>
      <c r="Y541" s="5" t="s">
        <v>46</v>
      </c>
      <c r="Z541" s="5" t="s">
        <v>502</v>
      </c>
      <c r="AA541" s="5" t="s">
        <v>64</v>
      </c>
      <c r="AB541" s="5" t="s">
        <v>2526</v>
      </c>
      <c r="AC541" s="6" t="s">
        <v>208</v>
      </c>
      <c r="AD541" s="6">
        <v>1432.0</v>
      </c>
    </row>
    <row r="542" ht="56.25" customHeight="1">
      <c r="A542" s="5" t="s">
        <v>2527</v>
      </c>
      <c r="B542" s="6" t="str">
        <f>IMAGE("https://storage.googleapis.com/acdb/miscellaneous/FtrLaptop_Remake_0_0.png")</f>
        <v/>
      </c>
      <c r="C542" s="5" t="s">
        <v>54</v>
      </c>
      <c r="D542" s="5" t="s">
        <v>34</v>
      </c>
      <c r="E542" s="5" t="s">
        <v>1350</v>
      </c>
      <c r="F542" s="5" t="s">
        <v>715</v>
      </c>
      <c r="G542" s="5" t="s">
        <v>36</v>
      </c>
      <c r="H542" s="5" t="s">
        <v>36</v>
      </c>
      <c r="I542" s="5" t="s">
        <v>35</v>
      </c>
      <c r="J542" s="6">
        <v>7.0</v>
      </c>
      <c r="K542" s="6">
        <v>70000.0</v>
      </c>
      <c r="L542" s="6">
        <v>17500.0</v>
      </c>
      <c r="M542" s="5" t="s">
        <v>54</v>
      </c>
      <c r="N542" s="5" t="s">
        <v>68</v>
      </c>
      <c r="O542" s="6" t="s">
        <v>40</v>
      </c>
      <c r="P542" s="5" t="s">
        <v>59</v>
      </c>
      <c r="Q542" s="5" t="s">
        <v>115</v>
      </c>
      <c r="R542" s="6" t="s">
        <v>42</v>
      </c>
      <c r="S542" s="5" t="s">
        <v>91</v>
      </c>
      <c r="T542" s="5" t="s">
        <v>90</v>
      </c>
      <c r="U542" s="5" t="s">
        <v>44</v>
      </c>
      <c r="V542" s="5" t="s">
        <v>44</v>
      </c>
      <c r="W542" s="5" t="s">
        <v>35</v>
      </c>
      <c r="X542" s="5" t="s">
        <v>117</v>
      </c>
      <c r="Y542" s="5" t="s">
        <v>46</v>
      </c>
      <c r="Z542" s="5" t="s">
        <v>357</v>
      </c>
      <c r="AA542" s="5" t="s">
        <v>64</v>
      </c>
      <c r="AB542" s="5" t="s">
        <v>2531</v>
      </c>
      <c r="AC542" s="6" t="s">
        <v>50</v>
      </c>
      <c r="AD542" s="6">
        <v>1850.0</v>
      </c>
    </row>
    <row r="543" ht="56.25" customHeight="1">
      <c r="A543" s="5" t="s">
        <v>2527</v>
      </c>
      <c r="B543" s="6" t="str">
        <f>IMAGE("https://storage.googleapis.com/acdb/miscellaneous/FtrLaptop_Remake_0_1.png")</f>
        <v/>
      </c>
      <c r="C543" s="5" t="s">
        <v>54</v>
      </c>
      <c r="D543" s="5" t="s">
        <v>34</v>
      </c>
      <c r="E543" s="5" t="s">
        <v>1354</v>
      </c>
      <c r="F543" s="5" t="s">
        <v>715</v>
      </c>
      <c r="G543" s="5" t="s">
        <v>36</v>
      </c>
      <c r="H543" s="5" t="s">
        <v>36</v>
      </c>
      <c r="I543" s="5" t="s">
        <v>35</v>
      </c>
      <c r="J543" s="6">
        <v>7.0</v>
      </c>
      <c r="K543" s="6">
        <v>70000.0</v>
      </c>
      <c r="L543" s="6">
        <v>17500.0</v>
      </c>
      <c r="M543" s="5" t="s">
        <v>54</v>
      </c>
      <c r="N543" s="5" t="s">
        <v>57</v>
      </c>
      <c r="O543" s="6" t="s">
        <v>40</v>
      </c>
      <c r="P543" s="5" t="s">
        <v>59</v>
      </c>
      <c r="Q543" s="5" t="s">
        <v>115</v>
      </c>
      <c r="R543" s="6" t="s">
        <v>42</v>
      </c>
      <c r="S543" s="5" t="s">
        <v>91</v>
      </c>
      <c r="T543" s="5" t="s">
        <v>90</v>
      </c>
      <c r="U543" s="5" t="s">
        <v>44</v>
      </c>
      <c r="V543" s="5" t="s">
        <v>44</v>
      </c>
      <c r="W543" s="5" t="s">
        <v>35</v>
      </c>
      <c r="X543" s="5" t="s">
        <v>117</v>
      </c>
      <c r="Y543" s="5" t="s">
        <v>46</v>
      </c>
      <c r="Z543" s="5" t="s">
        <v>357</v>
      </c>
      <c r="AA543" s="5" t="s">
        <v>64</v>
      </c>
      <c r="AB543" s="5" t="s">
        <v>2534</v>
      </c>
      <c r="AC543" s="6" t="s">
        <v>217</v>
      </c>
      <c r="AD543" s="6">
        <v>1850.0</v>
      </c>
    </row>
    <row r="544" ht="56.25" customHeight="1">
      <c r="A544" s="5" t="s">
        <v>2527</v>
      </c>
      <c r="B544" s="6" t="str">
        <f>IMAGE("https://storage.googleapis.com/acdb/miscellaneous/FtrLaptop_Remake_0_2.png")</f>
        <v/>
      </c>
      <c r="C544" s="5" t="s">
        <v>54</v>
      </c>
      <c r="D544" s="5" t="s">
        <v>34</v>
      </c>
      <c r="E544" s="5" t="s">
        <v>1357</v>
      </c>
      <c r="F544" s="5" t="s">
        <v>715</v>
      </c>
      <c r="G544" s="5" t="s">
        <v>36</v>
      </c>
      <c r="H544" s="5" t="s">
        <v>36</v>
      </c>
      <c r="I544" s="5" t="s">
        <v>35</v>
      </c>
      <c r="J544" s="6">
        <v>7.0</v>
      </c>
      <c r="K544" s="6">
        <v>70000.0</v>
      </c>
      <c r="L544" s="6">
        <v>17500.0</v>
      </c>
      <c r="M544" s="5" t="s">
        <v>54</v>
      </c>
      <c r="N544" s="5" t="s">
        <v>58</v>
      </c>
      <c r="O544" s="6" t="s">
        <v>40</v>
      </c>
      <c r="P544" s="5" t="s">
        <v>59</v>
      </c>
      <c r="Q544" s="5" t="s">
        <v>115</v>
      </c>
      <c r="R544" s="6" t="s">
        <v>42</v>
      </c>
      <c r="S544" s="5" t="s">
        <v>91</v>
      </c>
      <c r="T544" s="5" t="s">
        <v>90</v>
      </c>
      <c r="U544" s="5" t="s">
        <v>44</v>
      </c>
      <c r="V544" s="5" t="s">
        <v>44</v>
      </c>
      <c r="W544" s="5" t="s">
        <v>35</v>
      </c>
      <c r="X544" s="5" t="s">
        <v>117</v>
      </c>
      <c r="Y544" s="5" t="s">
        <v>46</v>
      </c>
      <c r="Z544" s="5" t="s">
        <v>357</v>
      </c>
      <c r="AA544" s="5" t="s">
        <v>64</v>
      </c>
      <c r="AB544" s="5" t="s">
        <v>2536</v>
      </c>
      <c r="AC544" s="6" t="s">
        <v>347</v>
      </c>
      <c r="AD544" s="6">
        <v>1850.0</v>
      </c>
    </row>
    <row r="545" ht="56.25" customHeight="1">
      <c r="A545" s="5" t="s">
        <v>2527</v>
      </c>
      <c r="B545" s="6" t="str">
        <f>IMAGE("https://storage.googleapis.com/acdb/miscellaneous/FtrLaptop_Remake_0_3.png")</f>
        <v/>
      </c>
      <c r="C545" s="5" t="s">
        <v>54</v>
      </c>
      <c r="D545" s="5" t="s">
        <v>34</v>
      </c>
      <c r="E545" s="5" t="s">
        <v>1360</v>
      </c>
      <c r="F545" s="5" t="s">
        <v>715</v>
      </c>
      <c r="G545" s="5" t="s">
        <v>36</v>
      </c>
      <c r="H545" s="5" t="s">
        <v>36</v>
      </c>
      <c r="I545" s="5" t="s">
        <v>35</v>
      </c>
      <c r="J545" s="6">
        <v>7.0</v>
      </c>
      <c r="K545" s="6">
        <v>70000.0</v>
      </c>
      <c r="L545" s="6">
        <v>17500.0</v>
      </c>
      <c r="M545" s="5" t="s">
        <v>54</v>
      </c>
      <c r="N545" s="5" t="s">
        <v>58</v>
      </c>
      <c r="O545" s="6" t="s">
        <v>40</v>
      </c>
      <c r="P545" s="5" t="s">
        <v>59</v>
      </c>
      <c r="Q545" s="5" t="s">
        <v>115</v>
      </c>
      <c r="R545" s="6" t="s">
        <v>42</v>
      </c>
      <c r="S545" s="5" t="s">
        <v>91</v>
      </c>
      <c r="T545" s="5" t="s">
        <v>90</v>
      </c>
      <c r="U545" s="5" t="s">
        <v>44</v>
      </c>
      <c r="V545" s="5" t="s">
        <v>44</v>
      </c>
      <c r="W545" s="5" t="s">
        <v>35</v>
      </c>
      <c r="X545" s="5" t="s">
        <v>117</v>
      </c>
      <c r="Y545" s="5" t="s">
        <v>46</v>
      </c>
      <c r="Z545" s="5" t="s">
        <v>357</v>
      </c>
      <c r="AA545" s="5" t="s">
        <v>64</v>
      </c>
      <c r="AB545" s="5" t="s">
        <v>2539</v>
      </c>
      <c r="AC545" s="6" t="s">
        <v>354</v>
      </c>
      <c r="AD545" s="6">
        <v>1850.0</v>
      </c>
    </row>
    <row r="546" ht="56.25" customHeight="1">
      <c r="A546" s="5" t="s">
        <v>2527</v>
      </c>
      <c r="B546" s="6" t="str">
        <f>IMAGE("https://storage.googleapis.com/acdb/miscellaneous/FtrLaptop_Remake_0_4.png")</f>
        <v/>
      </c>
      <c r="C546" s="5" t="s">
        <v>54</v>
      </c>
      <c r="D546" s="5" t="s">
        <v>34</v>
      </c>
      <c r="E546" s="5" t="s">
        <v>2540</v>
      </c>
      <c r="F546" s="5" t="s">
        <v>715</v>
      </c>
      <c r="G546" s="5" t="s">
        <v>36</v>
      </c>
      <c r="H546" s="5" t="s">
        <v>36</v>
      </c>
      <c r="I546" s="5" t="s">
        <v>35</v>
      </c>
      <c r="J546" s="6">
        <v>7.0</v>
      </c>
      <c r="K546" s="6">
        <v>70000.0</v>
      </c>
      <c r="L546" s="6">
        <v>17500.0</v>
      </c>
      <c r="M546" s="5" t="s">
        <v>54</v>
      </c>
      <c r="N546" s="5" t="s">
        <v>58</v>
      </c>
      <c r="O546" s="6" t="s">
        <v>40</v>
      </c>
      <c r="P546" s="5" t="s">
        <v>59</v>
      </c>
      <c r="Q546" s="5" t="s">
        <v>115</v>
      </c>
      <c r="R546" s="6" t="s">
        <v>42</v>
      </c>
      <c r="S546" s="5" t="s">
        <v>91</v>
      </c>
      <c r="T546" s="5" t="s">
        <v>90</v>
      </c>
      <c r="U546" s="5" t="s">
        <v>44</v>
      </c>
      <c r="V546" s="5" t="s">
        <v>44</v>
      </c>
      <c r="W546" s="5" t="s">
        <v>35</v>
      </c>
      <c r="X546" s="5" t="s">
        <v>117</v>
      </c>
      <c r="Y546" s="5" t="s">
        <v>46</v>
      </c>
      <c r="Z546" s="5" t="s">
        <v>357</v>
      </c>
      <c r="AA546" s="5" t="s">
        <v>64</v>
      </c>
      <c r="AB546" s="5" t="s">
        <v>2542</v>
      </c>
      <c r="AC546" s="6" t="s">
        <v>486</v>
      </c>
      <c r="AD546" s="6">
        <v>1850.0</v>
      </c>
    </row>
    <row r="547" ht="56.25" customHeight="1">
      <c r="A547" s="5" t="s">
        <v>2527</v>
      </c>
      <c r="B547" s="6" t="str">
        <f>IMAGE("https://storage.googleapis.com/acdb/miscellaneous/FtrLaptop_Remake_0_5.png")</f>
        <v/>
      </c>
      <c r="C547" s="5" t="s">
        <v>54</v>
      </c>
      <c r="D547" s="5" t="s">
        <v>34</v>
      </c>
      <c r="E547" s="5" t="s">
        <v>2543</v>
      </c>
      <c r="F547" s="5" t="s">
        <v>715</v>
      </c>
      <c r="G547" s="5" t="s">
        <v>36</v>
      </c>
      <c r="H547" s="5" t="s">
        <v>36</v>
      </c>
      <c r="I547" s="5" t="s">
        <v>35</v>
      </c>
      <c r="J547" s="6">
        <v>7.0</v>
      </c>
      <c r="K547" s="6">
        <v>70000.0</v>
      </c>
      <c r="L547" s="6">
        <v>17500.0</v>
      </c>
      <c r="M547" s="5" t="s">
        <v>54</v>
      </c>
      <c r="N547" s="5" t="s">
        <v>58</v>
      </c>
      <c r="O547" s="6" t="s">
        <v>40</v>
      </c>
      <c r="P547" s="5" t="s">
        <v>59</v>
      </c>
      <c r="Q547" s="5" t="s">
        <v>115</v>
      </c>
      <c r="R547" s="6" t="s">
        <v>42</v>
      </c>
      <c r="S547" s="5" t="s">
        <v>91</v>
      </c>
      <c r="T547" s="5" t="s">
        <v>90</v>
      </c>
      <c r="U547" s="5" t="s">
        <v>44</v>
      </c>
      <c r="V547" s="5" t="s">
        <v>44</v>
      </c>
      <c r="W547" s="5" t="s">
        <v>35</v>
      </c>
      <c r="X547" s="5" t="s">
        <v>117</v>
      </c>
      <c r="Y547" s="5" t="s">
        <v>46</v>
      </c>
      <c r="Z547" s="5" t="s">
        <v>357</v>
      </c>
      <c r="AA547" s="5" t="s">
        <v>64</v>
      </c>
      <c r="AB547" s="5" t="s">
        <v>2546</v>
      </c>
      <c r="AC547" s="6" t="s">
        <v>934</v>
      </c>
      <c r="AD547" s="6">
        <v>1850.0</v>
      </c>
    </row>
    <row r="548" ht="56.25" customHeight="1">
      <c r="A548" s="5" t="s">
        <v>2527</v>
      </c>
      <c r="B548" s="6" t="str">
        <f>IMAGE("https://storage.googleapis.com/acdb/miscellaneous/FtrLaptop_Remake_1_0.png")</f>
        <v/>
      </c>
      <c r="C548" s="5" t="s">
        <v>146</v>
      </c>
      <c r="D548" s="5" t="s">
        <v>34</v>
      </c>
      <c r="E548" s="5" t="s">
        <v>1350</v>
      </c>
      <c r="F548" s="5" t="s">
        <v>715</v>
      </c>
      <c r="G548" s="5" t="s">
        <v>36</v>
      </c>
      <c r="H548" s="5" t="s">
        <v>36</v>
      </c>
      <c r="I548" s="5" t="s">
        <v>35</v>
      </c>
      <c r="J548" s="6">
        <v>7.0</v>
      </c>
      <c r="K548" s="6">
        <v>70000.0</v>
      </c>
      <c r="L548" s="6">
        <v>17500.0</v>
      </c>
      <c r="M548" s="5" t="s">
        <v>95</v>
      </c>
      <c r="N548" s="5" t="s">
        <v>68</v>
      </c>
      <c r="O548" s="6" t="s">
        <v>40</v>
      </c>
      <c r="P548" s="5" t="s">
        <v>59</v>
      </c>
      <c r="Q548" s="5" t="s">
        <v>115</v>
      </c>
      <c r="R548" s="6" t="s">
        <v>42</v>
      </c>
      <c r="S548" s="5" t="s">
        <v>91</v>
      </c>
      <c r="T548" s="5" t="s">
        <v>90</v>
      </c>
      <c r="U548" s="5" t="s">
        <v>44</v>
      </c>
      <c r="V548" s="5" t="s">
        <v>44</v>
      </c>
      <c r="W548" s="5" t="s">
        <v>35</v>
      </c>
      <c r="X548" s="5" t="s">
        <v>117</v>
      </c>
      <c r="Y548" s="5" t="s">
        <v>46</v>
      </c>
      <c r="Z548" s="5" t="s">
        <v>357</v>
      </c>
      <c r="AA548" s="5" t="s">
        <v>64</v>
      </c>
      <c r="AB548" s="5" t="s">
        <v>2548</v>
      </c>
      <c r="AC548" s="6" t="s">
        <v>56</v>
      </c>
      <c r="AD548" s="6">
        <v>1850.0</v>
      </c>
    </row>
    <row r="549" ht="56.25" customHeight="1">
      <c r="A549" s="5" t="s">
        <v>2527</v>
      </c>
      <c r="B549" s="6" t="str">
        <f>IMAGE("https://storage.googleapis.com/acdb/miscellaneous/FtrLaptop_Remake_1_1.png")</f>
        <v/>
      </c>
      <c r="C549" s="5" t="s">
        <v>146</v>
      </c>
      <c r="D549" s="5" t="s">
        <v>34</v>
      </c>
      <c r="E549" s="5" t="s">
        <v>1354</v>
      </c>
      <c r="F549" s="5" t="s">
        <v>715</v>
      </c>
      <c r="G549" s="5" t="s">
        <v>36</v>
      </c>
      <c r="H549" s="5" t="s">
        <v>36</v>
      </c>
      <c r="I549" s="5" t="s">
        <v>35</v>
      </c>
      <c r="J549" s="6">
        <v>7.0</v>
      </c>
      <c r="K549" s="6">
        <v>70000.0</v>
      </c>
      <c r="L549" s="6">
        <v>17500.0</v>
      </c>
      <c r="M549" s="5" t="s">
        <v>95</v>
      </c>
      <c r="N549" s="5" t="s">
        <v>57</v>
      </c>
      <c r="O549" s="6" t="s">
        <v>40</v>
      </c>
      <c r="P549" s="5" t="s">
        <v>59</v>
      </c>
      <c r="Q549" s="5" t="s">
        <v>115</v>
      </c>
      <c r="R549" s="6" t="s">
        <v>42</v>
      </c>
      <c r="S549" s="5" t="s">
        <v>91</v>
      </c>
      <c r="T549" s="5" t="s">
        <v>90</v>
      </c>
      <c r="U549" s="5" t="s">
        <v>44</v>
      </c>
      <c r="V549" s="5" t="s">
        <v>44</v>
      </c>
      <c r="W549" s="5" t="s">
        <v>35</v>
      </c>
      <c r="X549" s="5" t="s">
        <v>117</v>
      </c>
      <c r="Y549" s="5" t="s">
        <v>46</v>
      </c>
      <c r="Z549" s="5" t="s">
        <v>357</v>
      </c>
      <c r="AA549" s="5" t="s">
        <v>64</v>
      </c>
      <c r="AB549" s="5" t="s">
        <v>2551</v>
      </c>
      <c r="AC549" s="6" t="s">
        <v>234</v>
      </c>
      <c r="AD549" s="6">
        <v>1850.0</v>
      </c>
    </row>
    <row r="550" ht="56.25" customHeight="1">
      <c r="A550" s="5" t="s">
        <v>2527</v>
      </c>
      <c r="B550" s="6" t="str">
        <f>IMAGE("https://storage.googleapis.com/acdb/miscellaneous/FtrLaptop_Remake_1_2.png")</f>
        <v/>
      </c>
      <c r="C550" s="5" t="s">
        <v>146</v>
      </c>
      <c r="D550" s="5" t="s">
        <v>34</v>
      </c>
      <c r="E550" s="5" t="s">
        <v>1357</v>
      </c>
      <c r="F550" s="5" t="s">
        <v>715</v>
      </c>
      <c r="G550" s="5" t="s">
        <v>36</v>
      </c>
      <c r="H550" s="5" t="s">
        <v>36</v>
      </c>
      <c r="I550" s="5" t="s">
        <v>35</v>
      </c>
      <c r="J550" s="6">
        <v>7.0</v>
      </c>
      <c r="K550" s="6">
        <v>70000.0</v>
      </c>
      <c r="L550" s="6">
        <v>17500.0</v>
      </c>
      <c r="M550" s="5" t="s">
        <v>95</v>
      </c>
      <c r="N550" s="5" t="s">
        <v>58</v>
      </c>
      <c r="O550" s="6" t="s">
        <v>40</v>
      </c>
      <c r="P550" s="5" t="s">
        <v>59</v>
      </c>
      <c r="Q550" s="5" t="s">
        <v>115</v>
      </c>
      <c r="R550" s="6" t="s">
        <v>42</v>
      </c>
      <c r="S550" s="5" t="s">
        <v>91</v>
      </c>
      <c r="T550" s="5" t="s">
        <v>90</v>
      </c>
      <c r="U550" s="5" t="s">
        <v>44</v>
      </c>
      <c r="V550" s="5" t="s">
        <v>44</v>
      </c>
      <c r="W550" s="5" t="s">
        <v>35</v>
      </c>
      <c r="X550" s="5" t="s">
        <v>117</v>
      </c>
      <c r="Y550" s="5" t="s">
        <v>46</v>
      </c>
      <c r="Z550" s="5" t="s">
        <v>357</v>
      </c>
      <c r="AA550" s="5" t="s">
        <v>64</v>
      </c>
      <c r="AB550" s="5" t="s">
        <v>2555</v>
      </c>
      <c r="AC550" s="6" t="s">
        <v>370</v>
      </c>
      <c r="AD550" s="6">
        <v>1850.0</v>
      </c>
    </row>
    <row r="551" ht="56.25" customHeight="1">
      <c r="A551" s="5" t="s">
        <v>2527</v>
      </c>
      <c r="B551" s="6" t="str">
        <f>IMAGE("https://storage.googleapis.com/acdb/miscellaneous/FtrLaptop_Remake_1_3.png")</f>
        <v/>
      </c>
      <c r="C551" s="5" t="s">
        <v>146</v>
      </c>
      <c r="D551" s="5" t="s">
        <v>34</v>
      </c>
      <c r="E551" s="5" t="s">
        <v>1360</v>
      </c>
      <c r="F551" s="5" t="s">
        <v>715</v>
      </c>
      <c r="G551" s="5" t="s">
        <v>36</v>
      </c>
      <c r="H551" s="5" t="s">
        <v>36</v>
      </c>
      <c r="I551" s="5" t="s">
        <v>35</v>
      </c>
      <c r="J551" s="6">
        <v>7.0</v>
      </c>
      <c r="K551" s="6">
        <v>70000.0</v>
      </c>
      <c r="L551" s="6">
        <v>17500.0</v>
      </c>
      <c r="M551" s="5" t="s">
        <v>95</v>
      </c>
      <c r="N551" s="5" t="s">
        <v>58</v>
      </c>
      <c r="O551" s="6" t="s">
        <v>40</v>
      </c>
      <c r="P551" s="5" t="s">
        <v>59</v>
      </c>
      <c r="Q551" s="5" t="s">
        <v>115</v>
      </c>
      <c r="R551" s="6" t="s">
        <v>42</v>
      </c>
      <c r="S551" s="5" t="s">
        <v>91</v>
      </c>
      <c r="T551" s="5" t="s">
        <v>90</v>
      </c>
      <c r="U551" s="5" t="s">
        <v>44</v>
      </c>
      <c r="V551" s="5" t="s">
        <v>44</v>
      </c>
      <c r="W551" s="5" t="s">
        <v>35</v>
      </c>
      <c r="X551" s="5" t="s">
        <v>117</v>
      </c>
      <c r="Y551" s="5" t="s">
        <v>46</v>
      </c>
      <c r="Z551" s="5" t="s">
        <v>357</v>
      </c>
      <c r="AA551" s="5" t="s">
        <v>64</v>
      </c>
      <c r="AB551" s="5" t="s">
        <v>2558</v>
      </c>
      <c r="AC551" s="6" t="s">
        <v>377</v>
      </c>
      <c r="AD551" s="6">
        <v>1850.0</v>
      </c>
    </row>
    <row r="552" ht="56.25" customHeight="1">
      <c r="A552" s="5" t="s">
        <v>2527</v>
      </c>
      <c r="B552" s="6" t="str">
        <f>IMAGE("https://storage.googleapis.com/acdb/miscellaneous/FtrLaptop_Remake_1_4.png")</f>
        <v/>
      </c>
      <c r="C552" s="5" t="s">
        <v>146</v>
      </c>
      <c r="D552" s="5" t="s">
        <v>34</v>
      </c>
      <c r="E552" s="5" t="s">
        <v>2540</v>
      </c>
      <c r="F552" s="5" t="s">
        <v>715</v>
      </c>
      <c r="G552" s="5" t="s">
        <v>36</v>
      </c>
      <c r="H552" s="5" t="s">
        <v>36</v>
      </c>
      <c r="I552" s="5" t="s">
        <v>35</v>
      </c>
      <c r="J552" s="6">
        <v>7.0</v>
      </c>
      <c r="K552" s="6">
        <v>70000.0</v>
      </c>
      <c r="L552" s="6">
        <v>17500.0</v>
      </c>
      <c r="M552" s="5" t="s">
        <v>95</v>
      </c>
      <c r="N552" s="5" t="s">
        <v>58</v>
      </c>
      <c r="O552" s="6" t="s">
        <v>40</v>
      </c>
      <c r="P552" s="5" t="s">
        <v>59</v>
      </c>
      <c r="Q552" s="5" t="s">
        <v>115</v>
      </c>
      <c r="R552" s="6" t="s">
        <v>42</v>
      </c>
      <c r="S552" s="5" t="s">
        <v>91</v>
      </c>
      <c r="T552" s="5" t="s">
        <v>90</v>
      </c>
      <c r="U552" s="5" t="s">
        <v>44</v>
      </c>
      <c r="V552" s="5" t="s">
        <v>44</v>
      </c>
      <c r="W552" s="5" t="s">
        <v>35</v>
      </c>
      <c r="X552" s="5" t="s">
        <v>117</v>
      </c>
      <c r="Y552" s="5" t="s">
        <v>46</v>
      </c>
      <c r="Z552" s="5" t="s">
        <v>357</v>
      </c>
      <c r="AA552" s="5" t="s">
        <v>64</v>
      </c>
      <c r="AB552" s="5" t="s">
        <v>2560</v>
      </c>
      <c r="AC552" s="6" t="s">
        <v>520</v>
      </c>
      <c r="AD552" s="6">
        <v>1850.0</v>
      </c>
    </row>
    <row r="553" ht="56.25" customHeight="1">
      <c r="A553" s="5" t="s">
        <v>2527</v>
      </c>
      <c r="B553" s="6" t="str">
        <f>IMAGE("https://storage.googleapis.com/acdb/miscellaneous/FtrLaptop_Remake_1_5.png")</f>
        <v/>
      </c>
      <c r="C553" s="5" t="s">
        <v>146</v>
      </c>
      <c r="D553" s="5" t="s">
        <v>34</v>
      </c>
      <c r="E553" s="5" t="s">
        <v>2543</v>
      </c>
      <c r="F553" s="5" t="s">
        <v>715</v>
      </c>
      <c r="G553" s="5" t="s">
        <v>36</v>
      </c>
      <c r="H553" s="5" t="s">
        <v>36</v>
      </c>
      <c r="I553" s="5" t="s">
        <v>35</v>
      </c>
      <c r="J553" s="6">
        <v>7.0</v>
      </c>
      <c r="K553" s="6">
        <v>70000.0</v>
      </c>
      <c r="L553" s="6">
        <v>17500.0</v>
      </c>
      <c r="M553" s="5" t="s">
        <v>95</v>
      </c>
      <c r="N553" s="5" t="s">
        <v>58</v>
      </c>
      <c r="O553" s="6" t="s">
        <v>40</v>
      </c>
      <c r="P553" s="5" t="s">
        <v>59</v>
      </c>
      <c r="Q553" s="5" t="s">
        <v>115</v>
      </c>
      <c r="R553" s="6" t="s">
        <v>42</v>
      </c>
      <c r="S553" s="5" t="s">
        <v>91</v>
      </c>
      <c r="T553" s="5" t="s">
        <v>90</v>
      </c>
      <c r="U553" s="5" t="s">
        <v>44</v>
      </c>
      <c r="V553" s="5" t="s">
        <v>44</v>
      </c>
      <c r="W553" s="5" t="s">
        <v>35</v>
      </c>
      <c r="X553" s="5" t="s">
        <v>117</v>
      </c>
      <c r="Y553" s="5" t="s">
        <v>46</v>
      </c>
      <c r="Z553" s="5" t="s">
        <v>357</v>
      </c>
      <c r="AA553" s="5" t="s">
        <v>64</v>
      </c>
      <c r="AB553" s="5" t="s">
        <v>2563</v>
      </c>
      <c r="AC553" s="6" t="s">
        <v>1389</v>
      </c>
      <c r="AD553" s="6">
        <v>1850.0</v>
      </c>
    </row>
    <row r="554" ht="56.25" customHeight="1">
      <c r="A554" s="5" t="s">
        <v>2527</v>
      </c>
      <c r="B554" s="6" t="str">
        <f>IMAGE("https://storage.googleapis.com/acdb/miscellaneous/FtrLaptop_Remake_2_0.png")</f>
        <v/>
      </c>
      <c r="C554" s="5" t="s">
        <v>57</v>
      </c>
      <c r="D554" s="5" t="s">
        <v>34</v>
      </c>
      <c r="E554" s="5" t="s">
        <v>1350</v>
      </c>
      <c r="F554" s="5" t="s">
        <v>715</v>
      </c>
      <c r="G554" s="5" t="s">
        <v>36</v>
      </c>
      <c r="H554" s="5" t="s">
        <v>36</v>
      </c>
      <c r="I554" s="5" t="s">
        <v>35</v>
      </c>
      <c r="J554" s="6">
        <v>7.0</v>
      </c>
      <c r="K554" s="6">
        <v>70000.0</v>
      </c>
      <c r="L554" s="6">
        <v>17500.0</v>
      </c>
      <c r="M554" s="5" t="s">
        <v>57</v>
      </c>
      <c r="N554" s="5" t="s">
        <v>68</v>
      </c>
      <c r="O554" s="6" t="s">
        <v>40</v>
      </c>
      <c r="P554" s="5" t="s">
        <v>59</v>
      </c>
      <c r="Q554" s="5" t="s">
        <v>115</v>
      </c>
      <c r="R554" s="6" t="s">
        <v>42</v>
      </c>
      <c r="S554" s="5" t="s">
        <v>91</v>
      </c>
      <c r="T554" s="5" t="s">
        <v>90</v>
      </c>
      <c r="U554" s="5" t="s">
        <v>44</v>
      </c>
      <c r="V554" s="5" t="s">
        <v>44</v>
      </c>
      <c r="W554" s="5" t="s">
        <v>35</v>
      </c>
      <c r="X554" s="5" t="s">
        <v>117</v>
      </c>
      <c r="Y554" s="5" t="s">
        <v>46</v>
      </c>
      <c r="Z554" s="5" t="s">
        <v>357</v>
      </c>
      <c r="AA554" s="5" t="s">
        <v>64</v>
      </c>
      <c r="AB554" s="5" t="s">
        <v>2567</v>
      </c>
      <c r="AC554" s="6" t="s">
        <v>67</v>
      </c>
      <c r="AD554" s="6">
        <v>1850.0</v>
      </c>
    </row>
    <row r="555" ht="56.25" customHeight="1">
      <c r="A555" s="5" t="s">
        <v>2527</v>
      </c>
      <c r="B555" s="6" t="str">
        <f>IMAGE("https://storage.googleapis.com/acdb/miscellaneous/FtrLaptop_Remake_2_1.png")</f>
        <v/>
      </c>
      <c r="C555" s="5" t="s">
        <v>57</v>
      </c>
      <c r="D555" s="5" t="s">
        <v>34</v>
      </c>
      <c r="E555" s="5" t="s">
        <v>1354</v>
      </c>
      <c r="F555" s="5" t="s">
        <v>715</v>
      </c>
      <c r="G555" s="5" t="s">
        <v>36</v>
      </c>
      <c r="H555" s="5" t="s">
        <v>36</v>
      </c>
      <c r="I555" s="5" t="s">
        <v>35</v>
      </c>
      <c r="J555" s="6">
        <v>7.0</v>
      </c>
      <c r="K555" s="6">
        <v>70000.0</v>
      </c>
      <c r="L555" s="6">
        <v>17500.0</v>
      </c>
      <c r="M555" s="5" t="s">
        <v>57</v>
      </c>
      <c r="N555" s="5" t="s">
        <v>57</v>
      </c>
      <c r="O555" s="6" t="s">
        <v>40</v>
      </c>
      <c r="P555" s="5" t="s">
        <v>59</v>
      </c>
      <c r="Q555" s="5" t="s">
        <v>115</v>
      </c>
      <c r="R555" s="6" t="s">
        <v>42</v>
      </c>
      <c r="S555" s="5" t="s">
        <v>91</v>
      </c>
      <c r="T555" s="5" t="s">
        <v>90</v>
      </c>
      <c r="U555" s="5" t="s">
        <v>44</v>
      </c>
      <c r="V555" s="5" t="s">
        <v>44</v>
      </c>
      <c r="W555" s="5" t="s">
        <v>35</v>
      </c>
      <c r="X555" s="5" t="s">
        <v>117</v>
      </c>
      <c r="Y555" s="5" t="s">
        <v>46</v>
      </c>
      <c r="Z555" s="5" t="s">
        <v>357</v>
      </c>
      <c r="AA555" s="5" t="s">
        <v>64</v>
      </c>
      <c r="AB555" s="5" t="s">
        <v>2570</v>
      </c>
      <c r="AC555" s="6" t="s">
        <v>247</v>
      </c>
      <c r="AD555" s="6">
        <v>1850.0</v>
      </c>
    </row>
    <row r="556" ht="56.25" customHeight="1">
      <c r="A556" s="5" t="s">
        <v>2527</v>
      </c>
      <c r="B556" s="6" t="str">
        <f>IMAGE("https://storage.googleapis.com/acdb/miscellaneous/FtrLaptop_Remake_2_2.png")</f>
        <v/>
      </c>
      <c r="C556" s="5" t="s">
        <v>57</v>
      </c>
      <c r="D556" s="5" t="s">
        <v>34</v>
      </c>
      <c r="E556" s="5" t="s">
        <v>1357</v>
      </c>
      <c r="F556" s="5" t="s">
        <v>715</v>
      </c>
      <c r="G556" s="5" t="s">
        <v>36</v>
      </c>
      <c r="H556" s="5" t="s">
        <v>36</v>
      </c>
      <c r="I556" s="5" t="s">
        <v>35</v>
      </c>
      <c r="J556" s="6">
        <v>7.0</v>
      </c>
      <c r="K556" s="6">
        <v>70000.0</v>
      </c>
      <c r="L556" s="6">
        <v>17500.0</v>
      </c>
      <c r="M556" s="5" t="s">
        <v>57</v>
      </c>
      <c r="N556" s="5" t="s">
        <v>58</v>
      </c>
      <c r="O556" s="6" t="s">
        <v>40</v>
      </c>
      <c r="P556" s="5" t="s">
        <v>59</v>
      </c>
      <c r="Q556" s="5" t="s">
        <v>115</v>
      </c>
      <c r="R556" s="6" t="s">
        <v>42</v>
      </c>
      <c r="S556" s="5" t="s">
        <v>91</v>
      </c>
      <c r="T556" s="5" t="s">
        <v>90</v>
      </c>
      <c r="U556" s="5" t="s">
        <v>44</v>
      </c>
      <c r="V556" s="5" t="s">
        <v>44</v>
      </c>
      <c r="W556" s="5" t="s">
        <v>35</v>
      </c>
      <c r="X556" s="5" t="s">
        <v>117</v>
      </c>
      <c r="Y556" s="5" t="s">
        <v>46</v>
      </c>
      <c r="Z556" s="5" t="s">
        <v>357</v>
      </c>
      <c r="AA556" s="5" t="s">
        <v>64</v>
      </c>
      <c r="AB556" s="5" t="s">
        <v>2572</v>
      </c>
      <c r="AC556" s="6" t="s">
        <v>390</v>
      </c>
      <c r="AD556" s="6">
        <v>1850.0</v>
      </c>
    </row>
    <row r="557" ht="56.25" customHeight="1">
      <c r="A557" s="5" t="s">
        <v>2527</v>
      </c>
      <c r="B557" s="6" t="str">
        <f>IMAGE("https://storage.googleapis.com/acdb/miscellaneous/FtrLaptop_Remake_2_3.png")</f>
        <v/>
      </c>
      <c r="C557" s="5" t="s">
        <v>57</v>
      </c>
      <c r="D557" s="5" t="s">
        <v>34</v>
      </c>
      <c r="E557" s="5" t="s">
        <v>1360</v>
      </c>
      <c r="F557" s="5" t="s">
        <v>715</v>
      </c>
      <c r="G557" s="5" t="s">
        <v>36</v>
      </c>
      <c r="H557" s="5" t="s">
        <v>36</v>
      </c>
      <c r="I557" s="5" t="s">
        <v>35</v>
      </c>
      <c r="J557" s="6">
        <v>7.0</v>
      </c>
      <c r="K557" s="6">
        <v>70000.0</v>
      </c>
      <c r="L557" s="6">
        <v>17500.0</v>
      </c>
      <c r="M557" s="5" t="s">
        <v>57</v>
      </c>
      <c r="N557" s="5" t="s">
        <v>58</v>
      </c>
      <c r="O557" s="6" t="s">
        <v>40</v>
      </c>
      <c r="P557" s="5" t="s">
        <v>59</v>
      </c>
      <c r="Q557" s="5" t="s">
        <v>115</v>
      </c>
      <c r="R557" s="6" t="s">
        <v>42</v>
      </c>
      <c r="S557" s="5" t="s">
        <v>91</v>
      </c>
      <c r="T557" s="5" t="s">
        <v>90</v>
      </c>
      <c r="U557" s="5" t="s">
        <v>44</v>
      </c>
      <c r="V557" s="5" t="s">
        <v>44</v>
      </c>
      <c r="W557" s="5" t="s">
        <v>35</v>
      </c>
      <c r="X557" s="5" t="s">
        <v>117</v>
      </c>
      <c r="Y557" s="5" t="s">
        <v>46</v>
      </c>
      <c r="Z557" s="5" t="s">
        <v>357</v>
      </c>
      <c r="AA557" s="5" t="s">
        <v>64</v>
      </c>
      <c r="AB557" s="5" t="s">
        <v>2575</v>
      </c>
      <c r="AC557" s="6" t="s">
        <v>396</v>
      </c>
      <c r="AD557" s="6">
        <v>1850.0</v>
      </c>
    </row>
    <row r="558" ht="56.25" customHeight="1">
      <c r="A558" s="5" t="s">
        <v>2527</v>
      </c>
      <c r="B558" s="6" t="str">
        <f>IMAGE("https://storage.googleapis.com/acdb/miscellaneous/FtrLaptop_Remake_2_4.png")</f>
        <v/>
      </c>
      <c r="C558" s="5" t="s">
        <v>57</v>
      </c>
      <c r="D558" s="5" t="s">
        <v>34</v>
      </c>
      <c r="E558" s="5" t="s">
        <v>2540</v>
      </c>
      <c r="F558" s="5" t="s">
        <v>715</v>
      </c>
      <c r="G558" s="5" t="s">
        <v>36</v>
      </c>
      <c r="H558" s="5" t="s">
        <v>36</v>
      </c>
      <c r="I558" s="5" t="s">
        <v>35</v>
      </c>
      <c r="J558" s="6">
        <v>7.0</v>
      </c>
      <c r="K558" s="6">
        <v>70000.0</v>
      </c>
      <c r="L558" s="6">
        <v>17500.0</v>
      </c>
      <c r="M558" s="5" t="s">
        <v>57</v>
      </c>
      <c r="N558" s="5" t="s">
        <v>58</v>
      </c>
      <c r="O558" s="6" t="s">
        <v>40</v>
      </c>
      <c r="P558" s="5" t="s">
        <v>59</v>
      </c>
      <c r="Q558" s="5" t="s">
        <v>115</v>
      </c>
      <c r="R558" s="6" t="s">
        <v>42</v>
      </c>
      <c r="S558" s="5" t="s">
        <v>91</v>
      </c>
      <c r="T558" s="5" t="s">
        <v>90</v>
      </c>
      <c r="U558" s="5" t="s">
        <v>44</v>
      </c>
      <c r="V558" s="5" t="s">
        <v>44</v>
      </c>
      <c r="W558" s="5" t="s">
        <v>35</v>
      </c>
      <c r="X558" s="5" t="s">
        <v>117</v>
      </c>
      <c r="Y558" s="5" t="s">
        <v>46</v>
      </c>
      <c r="Z558" s="5" t="s">
        <v>357</v>
      </c>
      <c r="AA558" s="5" t="s">
        <v>64</v>
      </c>
      <c r="AB558" s="5" t="s">
        <v>2578</v>
      </c>
      <c r="AC558" s="6" t="s">
        <v>541</v>
      </c>
      <c r="AD558" s="6">
        <v>1850.0</v>
      </c>
    </row>
    <row r="559" ht="56.25" customHeight="1">
      <c r="A559" s="5" t="s">
        <v>2527</v>
      </c>
      <c r="B559" s="6" t="str">
        <f>IMAGE("https://storage.googleapis.com/acdb/miscellaneous/FtrLaptop_Remake_2_5.png")</f>
        <v/>
      </c>
      <c r="C559" s="5" t="s">
        <v>57</v>
      </c>
      <c r="D559" s="5" t="s">
        <v>34</v>
      </c>
      <c r="E559" s="5" t="s">
        <v>2543</v>
      </c>
      <c r="F559" s="5" t="s">
        <v>715</v>
      </c>
      <c r="G559" s="5" t="s">
        <v>36</v>
      </c>
      <c r="H559" s="5" t="s">
        <v>36</v>
      </c>
      <c r="I559" s="5" t="s">
        <v>35</v>
      </c>
      <c r="J559" s="6">
        <v>7.0</v>
      </c>
      <c r="K559" s="6">
        <v>70000.0</v>
      </c>
      <c r="L559" s="6">
        <v>17500.0</v>
      </c>
      <c r="M559" s="5" t="s">
        <v>57</v>
      </c>
      <c r="N559" s="5" t="s">
        <v>58</v>
      </c>
      <c r="O559" s="6" t="s">
        <v>40</v>
      </c>
      <c r="P559" s="5" t="s">
        <v>59</v>
      </c>
      <c r="Q559" s="5" t="s">
        <v>115</v>
      </c>
      <c r="R559" s="6" t="s">
        <v>42</v>
      </c>
      <c r="S559" s="5" t="s">
        <v>91</v>
      </c>
      <c r="T559" s="5" t="s">
        <v>90</v>
      </c>
      <c r="U559" s="5" t="s">
        <v>44</v>
      </c>
      <c r="V559" s="5" t="s">
        <v>44</v>
      </c>
      <c r="W559" s="5" t="s">
        <v>35</v>
      </c>
      <c r="X559" s="5" t="s">
        <v>117</v>
      </c>
      <c r="Y559" s="5" t="s">
        <v>46</v>
      </c>
      <c r="Z559" s="5" t="s">
        <v>357</v>
      </c>
      <c r="AA559" s="5" t="s">
        <v>64</v>
      </c>
      <c r="AB559" s="5" t="s">
        <v>2581</v>
      </c>
      <c r="AC559" s="6" t="s">
        <v>1415</v>
      </c>
      <c r="AD559" s="6">
        <v>1850.0</v>
      </c>
    </row>
    <row r="560" ht="56.25" customHeight="1">
      <c r="A560" s="5" t="s">
        <v>2527</v>
      </c>
      <c r="B560" s="6" t="str">
        <f>IMAGE("https://storage.googleapis.com/acdb/miscellaneous/FtrLaptop_Remake_3_0.png")</f>
        <v/>
      </c>
      <c r="C560" s="5" t="s">
        <v>52</v>
      </c>
      <c r="D560" s="5" t="s">
        <v>34</v>
      </c>
      <c r="E560" s="5" t="s">
        <v>1350</v>
      </c>
      <c r="F560" s="5" t="s">
        <v>715</v>
      </c>
      <c r="G560" s="5" t="s">
        <v>36</v>
      </c>
      <c r="H560" s="5" t="s">
        <v>36</v>
      </c>
      <c r="I560" s="5" t="s">
        <v>35</v>
      </c>
      <c r="J560" s="6">
        <v>7.0</v>
      </c>
      <c r="K560" s="6">
        <v>70000.0</v>
      </c>
      <c r="L560" s="6">
        <v>17500.0</v>
      </c>
      <c r="M560" s="5" t="s">
        <v>52</v>
      </c>
      <c r="N560" s="5" t="s">
        <v>68</v>
      </c>
      <c r="O560" s="6" t="s">
        <v>40</v>
      </c>
      <c r="P560" s="5" t="s">
        <v>59</v>
      </c>
      <c r="Q560" s="5" t="s">
        <v>115</v>
      </c>
      <c r="R560" s="6" t="s">
        <v>42</v>
      </c>
      <c r="S560" s="5" t="s">
        <v>91</v>
      </c>
      <c r="T560" s="5" t="s">
        <v>90</v>
      </c>
      <c r="U560" s="5" t="s">
        <v>44</v>
      </c>
      <c r="V560" s="5" t="s">
        <v>44</v>
      </c>
      <c r="W560" s="5" t="s">
        <v>35</v>
      </c>
      <c r="X560" s="5" t="s">
        <v>117</v>
      </c>
      <c r="Y560" s="5" t="s">
        <v>46</v>
      </c>
      <c r="Z560" s="5" t="s">
        <v>357</v>
      </c>
      <c r="AA560" s="5" t="s">
        <v>64</v>
      </c>
      <c r="AB560" s="5" t="s">
        <v>2583</v>
      </c>
      <c r="AC560" s="6" t="s">
        <v>71</v>
      </c>
      <c r="AD560" s="6">
        <v>1850.0</v>
      </c>
    </row>
    <row r="561" ht="56.25" customHeight="1">
      <c r="A561" s="5" t="s">
        <v>2527</v>
      </c>
      <c r="B561" s="6" t="str">
        <f>IMAGE("https://storage.googleapis.com/acdb/miscellaneous/FtrLaptop_Remake_3_1.png")</f>
        <v/>
      </c>
      <c r="C561" s="5" t="s">
        <v>52</v>
      </c>
      <c r="D561" s="5" t="s">
        <v>34</v>
      </c>
      <c r="E561" s="5" t="s">
        <v>1354</v>
      </c>
      <c r="F561" s="5" t="s">
        <v>715</v>
      </c>
      <c r="G561" s="5" t="s">
        <v>36</v>
      </c>
      <c r="H561" s="5" t="s">
        <v>36</v>
      </c>
      <c r="I561" s="5" t="s">
        <v>35</v>
      </c>
      <c r="J561" s="6">
        <v>7.0</v>
      </c>
      <c r="K561" s="6">
        <v>70000.0</v>
      </c>
      <c r="L561" s="6">
        <v>17500.0</v>
      </c>
      <c r="M561" s="5" t="s">
        <v>52</v>
      </c>
      <c r="N561" s="5" t="s">
        <v>57</v>
      </c>
      <c r="O561" s="6" t="s">
        <v>40</v>
      </c>
      <c r="P561" s="5" t="s">
        <v>59</v>
      </c>
      <c r="Q561" s="5" t="s">
        <v>115</v>
      </c>
      <c r="R561" s="6" t="s">
        <v>42</v>
      </c>
      <c r="S561" s="5" t="s">
        <v>91</v>
      </c>
      <c r="T561" s="5" t="s">
        <v>90</v>
      </c>
      <c r="U561" s="5" t="s">
        <v>44</v>
      </c>
      <c r="V561" s="5" t="s">
        <v>44</v>
      </c>
      <c r="W561" s="5" t="s">
        <v>35</v>
      </c>
      <c r="X561" s="5" t="s">
        <v>117</v>
      </c>
      <c r="Y561" s="5" t="s">
        <v>46</v>
      </c>
      <c r="Z561" s="5" t="s">
        <v>357</v>
      </c>
      <c r="AA561" s="5" t="s">
        <v>64</v>
      </c>
      <c r="AB561" s="5" t="s">
        <v>2586</v>
      </c>
      <c r="AC561" s="6" t="s">
        <v>257</v>
      </c>
      <c r="AD561" s="6">
        <v>1850.0</v>
      </c>
    </row>
    <row r="562" ht="56.25" customHeight="1">
      <c r="A562" s="5" t="s">
        <v>2527</v>
      </c>
      <c r="B562" s="6" t="str">
        <f>IMAGE("https://storage.googleapis.com/acdb/miscellaneous/FtrLaptop_Remake_3_2.png")</f>
        <v/>
      </c>
      <c r="C562" s="5" t="s">
        <v>52</v>
      </c>
      <c r="D562" s="5" t="s">
        <v>34</v>
      </c>
      <c r="E562" s="5" t="s">
        <v>1357</v>
      </c>
      <c r="F562" s="5" t="s">
        <v>715</v>
      </c>
      <c r="G562" s="5" t="s">
        <v>36</v>
      </c>
      <c r="H562" s="5" t="s">
        <v>36</v>
      </c>
      <c r="I562" s="5" t="s">
        <v>35</v>
      </c>
      <c r="J562" s="6">
        <v>7.0</v>
      </c>
      <c r="K562" s="6">
        <v>70000.0</v>
      </c>
      <c r="L562" s="6">
        <v>17500.0</v>
      </c>
      <c r="M562" s="5" t="s">
        <v>52</v>
      </c>
      <c r="N562" s="5" t="s">
        <v>58</v>
      </c>
      <c r="O562" s="6" t="s">
        <v>40</v>
      </c>
      <c r="P562" s="5" t="s">
        <v>59</v>
      </c>
      <c r="Q562" s="5" t="s">
        <v>115</v>
      </c>
      <c r="R562" s="6" t="s">
        <v>42</v>
      </c>
      <c r="S562" s="5" t="s">
        <v>91</v>
      </c>
      <c r="T562" s="5" t="s">
        <v>90</v>
      </c>
      <c r="U562" s="5" t="s">
        <v>44</v>
      </c>
      <c r="V562" s="5" t="s">
        <v>44</v>
      </c>
      <c r="W562" s="5" t="s">
        <v>35</v>
      </c>
      <c r="X562" s="5" t="s">
        <v>117</v>
      </c>
      <c r="Y562" s="5" t="s">
        <v>46</v>
      </c>
      <c r="Z562" s="5" t="s">
        <v>357</v>
      </c>
      <c r="AA562" s="5" t="s">
        <v>64</v>
      </c>
      <c r="AB562" s="5" t="s">
        <v>2589</v>
      </c>
      <c r="AC562" s="6" t="s">
        <v>414</v>
      </c>
      <c r="AD562" s="6">
        <v>1850.0</v>
      </c>
    </row>
    <row r="563" ht="56.25" customHeight="1">
      <c r="A563" s="5" t="s">
        <v>2527</v>
      </c>
      <c r="B563" s="6" t="str">
        <f>IMAGE("https://storage.googleapis.com/acdb/miscellaneous/FtrLaptop_Remake_3_3.png")</f>
        <v/>
      </c>
      <c r="C563" s="5" t="s">
        <v>52</v>
      </c>
      <c r="D563" s="5" t="s">
        <v>34</v>
      </c>
      <c r="E563" s="5" t="s">
        <v>1360</v>
      </c>
      <c r="F563" s="5" t="s">
        <v>715</v>
      </c>
      <c r="G563" s="5" t="s">
        <v>36</v>
      </c>
      <c r="H563" s="5" t="s">
        <v>36</v>
      </c>
      <c r="I563" s="5" t="s">
        <v>35</v>
      </c>
      <c r="J563" s="6">
        <v>7.0</v>
      </c>
      <c r="K563" s="6">
        <v>70000.0</v>
      </c>
      <c r="L563" s="6">
        <v>17500.0</v>
      </c>
      <c r="M563" s="5" t="s">
        <v>52</v>
      </c>
      <c r="N563" s="5" t="s">
        <v>58</v>
      </c>
      <c r="O563" s="6" t="s">
        <v>40</v>
      </c>
      <c r="P563" s="5" t="s">
        <v>59</v>
      </c>
      <c r="Q563" s="5" t="s">
        <v>115</v>
      </c>
      <c r="R563" s="6" t="s">
        <v>42</v>
      </c>
      <c r="S563" s="5" t="s">
        <v>91</v>
      </c>
      <c r="T563" s="5" t="s">
        <v>90</v>
      </c>
      <c r="U563" s="5" t="s">
        <v>44</v>
      </c>
      <c r="V563" s="5" t="s">
        <v>44</v>
      </c>
      <c r="W563" s="5" t="s">
        <v>35</v>
      </c>
      <c r="X563" s="5" t="s">
        <v>117</v>
      </c>
      <c r="Y563" s="5" t="s">
        <v>46</v>
      </c>
      <c r="Z563" s="5" t="s">
        <v>357</v>
      </c>
      <c r="AA563" s="5" t="s">
        <v>64</v>
      </c>
      <c r="AB563" s="5" t="s">
        <v>2593</v>
      </c>
      <c r="AC563" s="6" t="s">
        <v>418</v>
      </c>
      <c r="AD563" s="6">
        <v>1850.0</v>
      </c>
    </row>
    <row r="564" ht="56.25" customHeight="1">
      <c r="A564" s="5" t="s">
        <v>2527</v>
      </c>
      <c r="B564" s="6" t="str">
        <f>IMAGE("https://storage.googleapis.com/acdb/miscellaneous/FtrLaptop_Remake_3_4.png")</f>
        <v/>
      </c>
      <c r="C564" s="5" t="s">
        <v>52</v>
      </c>
      <c r="D564" s="5" t="s">
        <v>34</v>
      </c>
      <c r="E564" s="5" t="s">
        <v>2540</v>
      </c>
      <c r="F564" s="5" t="s">
        <v>715</v>
      </c>
      <c r="G564" s="5" t="s">
        <v>36</v>
      </c>
      <c r="H564" s="5" t="s">
        <v>36</v>
      </c>
      <c r="I564" s="5" t="s">
        <v>35</v>
      </c>
      <c r="J564" s="6">
        <v>7.0</v>
      </c>
      <c r="K564" s="6">
        <v>70000.0</v>
      </c>
      <c r="L564" s="6">
        <v>17500.0</v>
      </c>
      <c r="M564" s="5" t="s">
        <v>52</v>
      </c>
      <c r="N564" s="5" t="s">
        <v>58</v>
      </c>
      <c r="O564" s="6" t="s">
        <v>40</v>
      </c>
      <c r="P564" s="5" t="s">
        <v>59</v>
      </c>
      <c r="Q564" s="5" t="s">
        <v>115</v>
      </c>
      <c r="R564" s="6" t="s">
        <v>42</v>
      </c>
      <c r="S564" s="5" t="s">
        <v>91</v>
      </c>
      <c r="T564" s="5" t="s">
        <v>90</v>
      </c>
      <c r="U564" s="5" t="s">
        <v>44</v>
      </c>
      <c r="V564" s="5" t="s">
        <v>44</v>
      </c>
      <c r="W564" s="5" t="s">
        <v>35</v>
      </c>
      <c r="X564" s="5" t="s">
        <v>117</v>
      </c>
      <c r="Y564" s="5" t="s">
        <v>46</v>
      </c>
      <c r="Z564" s="5" t="s">
        <v>357</v>
      </c>
      <c r="AA564" s="5" t="s">
        <v>64</v>
      </c>
      <c r="AB564" s="5" t="s">
        <v>2596</v>
      </c>
      <c r="AC564" s="6" t="s">
        <v>563</v>
      </c>
      <c r="AD564" s="6">
        <v>1850.0</v>
      </c>
    </row>
    <row r="565" ht="56.25" customHeight="1">
      <c r="A565" s="5" t="s">
        <v>2527</v>
      </c>
      <c r="B565" s="6" t="str">
        <f>IMAGE("https://storage.googleapis.com/acdb/miscellaneous/FtrLaptop_Remake_3_5.png")</f>
        <v/>
      </c>
      <c r="C565" s="5" t="s">
        <v>52</v>
      </c>
      <c r="D565" s="5" t="s">
        <v>34</v>
      </c>
      <c r="E565" s="5" t="s">
        <v>2543</v>
      </c>
      <c r="F565" s="5" t="s">
        <v>715</v>
      </c>
      <c r="G565" s="5" t="s">
        <v>36</v>
      </c>
      <c r="H565" s="5" t="s">
        <v>36</v>
      </c>
      <c r="I565" s="5" t="s">
        <v>35</v>
      </c>
      <c r="J565" s="6">
        <v>7.0</v>
      </c>
      <c r="K565" s="6">
        <v>70000.0</v>
      </c>
      <c r="L565" s="6">
        <v>17500.0</v>
      </c>
      <c r="M565" s="5" t="s">
        <v>52</v>
      </c>
      <c r="N565" s="5" t="s">
        <v>58</v>
      </c>
      <c r="O565" s="6" t="s">
        <v>40</v>
      </c>
      <c r="P565" s="5" t="s">
        <v>59</v>
      </c>
      <c r="Q565" s="5" t="s">
        <v>115</v>
      </c>
      <c r="R565" s="6" t="s">
        <v>42</v>
      </c>
      <c r="S565" s="5" t="s">
        <v>91</v>
      </c>
      <c r="T565" s="5" t="s">
        <v>90</v>
      </c>
      <c r="U565" s="5" t="s">
        <v>44</v>
      </c>
      <c r="V565" s="5" t="s">
        <v>44</v>
      </c>
      <c r="W565" s="5" t="s">
        <v>35</v>
      </c>
      <c r="X565" s="5" t="s">
        <v>117</v>
      </c>
      <c r="Y565" s="5" t="s">
        <v>46</v>
      </c>
      <c r="Z565" s="5" t="s">
        <v>357</v>
      </c>
      <c r="AA565" s="5" t="s">
        <v>64</v>
      </c>
      <c r="AB565" s="5" t="s">
        <v>2601</v>
      </c>
      <c r="AC565" s="6" t="s">
        <v>1443</v>
      </c>
      <c r="AD565" s="6">
        <v>1850.0</v>
      </c>
    </row>
    <row r="566" ht="56.25" customHeight="1">
      <c r="A566" s="5" t="s">
        <v>2527</v>
      </c>
      <c r="B566" s="6" t="str">
        <f>IMAGE("https://storage.googleapis.com/acdb/miscellaneous/FtrLaptop_Remake_4_0.png")</f>
        <v/>
      </c>
      <c r="C566" s="5" t="s">
        <v>69</v>
      </c>
      <c r="D566" s="5" t="s">
        <v>34</v>
      </c>
      <c r="E566" s="5" t="s">
        <v>1350</v>
      </c>
      <c r="F566" s="5" t="s">
        <v>715</v>
      </c>
      <c r="G566" s="5" t="s">
        <v>36</v>
      </c>
      <c r="H566" s="5" t="s">
        <v>36</v>
      </c>
      <c r="I566" s="5" t="s">
        <v>35</v>
      </c>
      <c r="J566" s="6">
        <v>7.0</v>
      </c>
      <c r="K566" s="6">
        <v>70000.0</v>
      </c>
      <c r="L566" s="6">
        <v>17500.0</v>
      </c>
      <c r="M566" s="5" t="s">
        <v>69</v>
      </c>
      <c r="N566" s="5" t="s">
        <v>68</v>
      </c>
      <c r="O566" s="6" t="s">
        <v>40</v>
      </c>
      <c r="P566" s="5" t="s">
        <v>59</v>
      </c>
      <c r="Q566" s="5" t="s">
        <v>115</v>
      </c>
      <c r="R566" s="6" t="s">
        <v>42</v>
      </c>
      <c r="S566" s="5" t="s">
        <v>91</v>
      </c>
      <c r="T566" s="5" t="s">
        <v>90</v>
      </c>
      <c r="U566" s="5" t="s">
        <v>44</v>
      </c>
      <c r="V566" s="5" t="s">
        <v>44</v>
      </c>
      <c r="W566" s="5" t="s">
        <v>35</v>
      </c>
      <c r="X566" s="5" t="s">
        <v>117</v>
      </c>
      <c r="Y566" s="5" t="s">
        <v>46</v>
      </c>
      <c r="Z566" s="5" t="s">
        <v>357</v>
      </c>
      <c r="AA566" s="5" t="s">
        <v>64</v>
      </c>
      <c r="AB566" s="5" t="s">
        <v>2603</v>
      </c>
      <c r="AC566" s="6" t="s">
        <v>75</v>
      </c>
      <c r="AD566" s="6">
        <v>1850.0</v>
      </c>
    </row>
    <row r="567" ht="56.25" customHeight="1">
      <c r="A567" s="5" t="s">
        <v>2527</v>
      </c>
      <c r="B567" s="6" t="str">
        <f>IMAGE("https://storage.googleapis.com/acdb/miscellaneous/FtrLaptop_Remake_4_1.png")</f>
        <v/>
      </c>
      <c r="C567" s="5" t="s">
        <v>69</v>
      </c>
      <c r="D567" s="5" t="s">
        <v>34</v>
      </c>
      <c r="E567" s="5" t="s">
        <v>1354</v>
      </c>
      <c r="F567" s="5" t="s">
        <v>715</v>
      </c>
      <c r="G567" s="5" t="s">
        <v>36</v>
      </c>
      <c r="H567" s="5" t="s">
        <v>36</v>
      </c>
      <c r="I567" s="5" t="s">
        <v>35</v>
      </c>
      <c r="J567" s="6">
        <v>7.0</v>
      </c>
      <c r="K567" s="6">
        <v>70000.0</v>
      </c>
      <c r="L567" s="6">
        <v>17500.0</v>
      </c>
      <c r="M567" s="5" t="s">
        <v>69</v>
      </c>
      <c r="N567" s="5" t="s">
        <v>57</v>
      </c>
      <c r="O567" s="6" t="s">
        <v>40</v>
      </c>
      <c r="P567" s="5" t="s">
        <v>59</v>
      </c>
      <c r="Q567" s="5" t="s">
        <v>115</v>
      </c>
      <c r="R567" s="6" t="s">
        <v>42</v>
      </c>
      <c r="S567" s="5" t="s">
        <v>91</v>
      </c>
      <c r="T567" s="5" t="s">
        <v>90</v>
      </c>
      <c r="U567" s="5" t="s">
        <v>44</v>
      </c>
      <c r="V567" s="5" t="s">
        <v>44</v>
      </c>
      <c r="W567" s="5" t="s">
        <v>35</v>
      </c>
      <c r="X567" s="5" t="s">
        <v>117</v>
      </c>
      <c r="Y567" s="5" t="s">
        <v>46</v>
      </c>
      <c r="Z567" s="5" t="s">
        <v>357</v>
      </c>
      <c r="AA567" s="5" t="s">
        <v>64</v>
      </c>
      <c r="AB567" s="5" t="s">
        <v>2606</v>
      </c>
      <c r="AC567" s="6" t="s">
        <v>429</v>
      </c>
      <c r="AD567" s="6">
        <v>1850.0</v>
      </c>
    </row>
    <row r="568" ht="56.25" customHeight="1">
      <c r="A568" s="5" t="s">
        <v>2527</v>
      </c>
      <c r="B568" s="6" t="str">
        <f>IMAGE("https://storage.googleapis.com/acdb/miscellaneous/FtrLaptop_Remake_4_2.png")</f>
        <v/>
      </c>
      <c r="C568" s="5" t="s">
        <v>69</v>
      </c>
      <c r="D568" s="5" t="s">
        <v>34</v>
      </c>
      <c r="E568" s="5" t="s">
        <v>1357</v>
      </c>
      <c r="F568" s="5" t="s">
        <v>715</v>
      </c>
      <c r="G568" s="5" t="s">
        <v>36</v>
      </c>
      <c r="H568" s="5" t="s">
        <v>36</v>
      </c>
      <c r="I568" s="5" t="s">
        <v>35</v>
      </c>
      <c r="J568" s="6">
        <v>7.0</v>
      </c>
      <c r="K568" s="6">
        <v>70000.0</v>
      </c>
      <c r="L568" s="6">
        <v>17500.0</v>
      </c>
      <c r="M568" s="5" t="s">
        <v>69</v>
      </c>
      <c r="N568" s="5" t="s">
        <v>58</v>
      </c>
      <c r="O568" s="6" t="s">
        <v>40</v>
      </c>
      <c r="P568" s="5" t="s">
        <v>59</v>
      </c>
      <c r="Q568" s="5" t="s">
        <v>115</v>
      </c>
      <c r="R568" s="6" t="s">
        <v>42</v>
      </c>
      <c r="S568" s="5" t="s">
        <v>91</v>
      </c>
      <c r="T568" s="5" t="s">
        <v>90</v>
      </c>
      <c r="U568" s="5" t="s">
        <v>44</v>
      </c>
      <c r="V568" s="5" t="s">
        <v>44</v>
      </c>
      <c r="W568" s="5" t="s">
        <v>35</v>
      </c>
      <c r="X568" s="5" t="s">
        <v>117</v>
      </c>
      <c r="Y568" s="5" t="s">
        <v>46</v>
      </c>
      <c r="Z568" s="5" t="s">
        <v>357</v>
      </c>
      <c r="AA568" s="5" t="s">
        <v>64</v>
      </c>
      <c r="AB568" s="5" t="s">
        <v>2609</v>
      </c>
      <c r="AC568" s="6" t="s">
        <v>434</v>
      </c>
      <c r="AD568" s="6">
        <v>1850.0</v>
      </c>
    </row>
    <row r="569" ht="56.25" customHeight="1">
      <c r="A569" s="5" t="s">
        <v>2527</v>
      </c>
      <c r="B569" s="6" t="str">
        <f>IMAGE("https://storage.googleapis.com/acdb/miscellaneous/FtrLaptop_Remake_4_3.png")</f>
        <v/>
      </c>
      <c r="C569" s="5" t="s">
        <v>69</v>
      </c>
      <c r="D569" s="5" t="s">
        <v>34</v>
      </c>
      <c r="E569" s="5" t="s">
        <v>1360</v>
      </c>
      <c r="F569" s="5" t="s">
        <v>715</v>
      </c>
      <c r="G569" s="5" t="s">
        <v>36</v>
      </c>
      <c r="H569" s="5" t="s">
        <v>36</v>
      </c>
      <c r="I569" s="5" t="s">
        <v>35</v>
      </c>
      <c r="J569" s="6">
        <v>7.0</v>
      </c>
      <c r="K569" s="6">
        <v>70000.0</v>
      </c>
      <c r="L569" s="6">
        <v>17500.0</v>
      </c>
      <c r="M569" s="5" t="s">
        <v>69</v>
      </c>
      <c r="N569" s="5" t="s">
        <v>58</v>
      </c>
      <c r="O569" s="6" t="s">
        <v>40</v>
      </c>
      <c r="P569" s="5" t="s">
        <v>59</v>
      </c>
      <c r="Q569" s="5" t="s">
        <v>115</v>
      </c>
      <c r="R569" s="6" t="s">
        <v>42</v>
      </c>
      <c r="S569" s="5" t="s">
        <v>91</v>
      </c>
      <c r="T569" s="5" t="s">
        <v>90</v>
      </c>
      <c r="U569" s="5" t="s">
        <v>44</v>
      </c>
      <c r="V569" s="5" t="s">
        <v>44</v>
      </c>
      <c r="W569" s="5" t="s">
        <v>35</v>
      </c>
      <c r="X569" s="5" t="s">
        <v>117</v>
      </c>
      <c r="Y569" s="5" t="s">
        <v>46</v>
      </c>
      <c r="Z569" s="5" t="s">
        <v>357</v>
      </c>
      <c r="AA569" s="5" t="s">
        <v>64</v>
      </c>
      <c r="AB569" s="5" t="s">
        <v>2612</v>
      </c>
      <c r="AC569" s="6" t="s">
        <v>438</v>
      </c>
      <c r="AD569" s="6">
        <v>1850.0</v>
      </c>
    </row>
    <row r="570" ht="56.25" customHeight="1">
      <c r="A570" s="5" t="s">
        <v>2527</v>
      </c>
      <c r="B570" s="6" t="str">
        <f>IMAGE("https://storage.googleapis.com/acdb/miscellaneous/FtrLaptop_Remake_4_4.png")</f>
        <v/>
      </c>
      <c r="C570" s="5" t="s">
        <v>69</v>
      </c>
      <c r="D570" s="5" t="s">
        <v>34</v>
      </c>
      <c r="E570" s="5" t="s">
        <v>2540</v>
      </c>
      <c r="F570" s="5" t="s">
        <v>715</v>
      </c>
      <c r="G570" s="5" t="s">
        <v>36</v>
      </c>
      <c r="H570" s="5" t="s">
        <v>36</v>
      </c>
      <c r="I570" s="5" t="s">
        <v>35</v>
      </c>
      <c r="J570" s="6">
        <v>7.0</v>
      </c>
      <c r="K570" s="6">
        <v>70000.0</v>
      </c>
      <c r="L570" s="6">
        <v>17500.0</v>
      </c>
      <c r="M570" s="5" t="s">
        <v>69</v>
      </c>
      <c r="N570" s="5" t="s">
        <v>58</v>
      </c>
      <c r="O570" s="6" t="s">
        <v>40</v>
      </c>
      <c r="P570" s="5" t="s">
        <v>59</v>
      </c>
      <c r="Q570" s="5" t="s">
        <v>115</v>
      </c>
      <c r="R570" s="6" t="s">
        <v>42</v>
      </c>
      <c r="S570" s="5" t="s">
        <v>91</v>
      </c>
      <c r="T570" s="5" t="s">
        <v>90</v>
      </c>
      <c r="U570" s="5" t="s">
        <v>44</v>
      </c>
      <c r="V570" s="5" t="s">
        <v>44</v>
      </c>
      <c r="W570" s="5" t="s">
        <v>35</v>
      </c>
      <c r="X570" s="5" t="s">
        <v>117</v>
      </c>
      <c r="Y570" s="5" t="s">
        <v>46</v>
      </c>
      <c r="Z570" s="5" t="s">
        <v>357</v>
      </c>
      <c r="AA570" s="5" t="s">
        <v>64</v>
      </c>
      <c r="AB570" s="5" t="s">
        <v>2616</v>
      </c>
      <c r="AC570" s="6" t="s">
        <v>585</v>
      </c>
      <c r="AD570" s="6">
        <v>1850.0</v>
      </c>
    </row>
    <row r="571" ht="56.25" customHeight="1">
      <c r="A571" s="5" t="s">
        <v>2527</v>
      </c>
      <c r="B571" s="6" t="str">
        <f>IMAGE("https://storage.googleapis.com/acdb/miscellaneous/FtrLaptop_Remake_4_5.png")</f>
        <v/>
      </c>
      <c r="C571" s="5" t="s">
        <v>69</v>
      </c>
      <c r="D571" s="5" t="s">
        <v>34</v>
      </c>
      <c r="E571" s="5" t="s">
        <v>2543</v>
      </c>
      <c r="F571" s="5" t="s">
        <v>715</v>
      </c>
      <c r="G571" s="5" t="s">
        <v>36</v>
      </c>
      <c r="H571" s="5" t="s">
        <v>36</v>
      </c>
      <c r="I571" s="5" t="s">
        <v>35</v>
      </c>
      <c r="J571" s="6">
        <v>7.0</v>
      </c>
      <c r="K571" s="6">
        <v>70000.0</v>
      </c>
      <c r="L571" s="6">
        <v>17500.0</v>
      </c>
      <c r="M571" s="5" t="s">
        <v>69</v>
      </c>
      <c r="N571" s="5" t="s">
        <v>58</v>
      </c>
      <c r="O571" s="6" t="s">
        <v>40</v>
      </c>
      <c r="P571" s="5" t="s">
        <v>59</v>
      </c>
      <c r="Q571" s="5" t="s">
        <v>115</v>
      </c>
      <c r="R571" s="6" t="s">
        <v>42</v>
      </c>
      <c r="S571" s="5" t="s">
        <v>91</v>
      </c>
      <c r="T571" s="5" t="s">
        <v>90</v>
      </c>
      <c r="U571" s="5" t="s">
        <v>44</v>
      </c>
      <c r="V571" s="5" t="s">
        <v>44</v>
      </c>
      <c r="W571" s="5" t="s">
        <v>35</v>
      </c>
      <c r="X571" s="5" t="s">
        <v>117</v>
      </c>
      <c r="Y571" s="5" t="s">
        <v>46</v>
      </c>
      <c r="Z571" s="5" t="s">
        <v>357</v>
      </c>
      <c r="AA571" s="5" t="s">
        <v>64</v>
      </c>
      <c r="AB571" s="5" t="s">
        <v>2620</v>
      </c>
      <c r="AC571" s="6" t="s">
        <v>1816</v>
      </c>
      <c r="AD571" s="6">
        <v>1850.0</v>
      </c>
    </row>
    <row r="572" ht="56.25" customHeight="1">
      <c r="A572" s="5" t="s">
        <v>2527</v>
      </c>
      <c r="B572" s="6" t="str">
        <f>IMAGE("https://storage.googleapis.com/acdb/miscellaneous/FtrLaptop_Remake_5_0.png")</f>
        <v/>
      </c>
      <c r="C572" s="5" t="s">
        <v>68</v>
      </c>
      <c r="D572" s="5" t="s">
        <v>34</v>
      </c>
      <c r="E572" s="5" t="s">
        <v>1350</v>
      </c>
      <c r="F572" s="5" t="s">
        <v>715</v>
      </c>
      <c r="G572" s="5" t="s">
        <v>36</v>
      </c>
      <c r="H572" s="5" t="s">
        <v>36</v>
      </c>
      <c r="I572" s="5" t="s">
        <v>35</v>
      </c>
      <c r="J572" s="6">
        <v>7.0</v>
      </c>
      <c r="K572" s="6">
        <v>70000.0</v>
      </c>
      <c r="L572" s="6">
        <v>17500.0</v>
      </c>
      <c r="M572" s="5" t="s">
        <v>68</v>
      </c>
      <c r="N572" s="5" t="s">
        <v>68</v>
      </c>
      <c r="O572" s="6" t="s">
        <v>40</v>
      </c>
      <c r="P572" s="5" t="s">
        <v>59</v>
      </c>
      <c r="Q572" s="5" t="s">
        <v>115</v>
      </c>
      <c r="R572" s="6" t="s">
        <v>42</v>
      </c>
      <c r="S572" s="5" t="s">
        <v>91</v>
      </c>
      <c r="T572" s="5" t="s">
        <v>90</v>
      </c>
      <c r="U572" s="5" t="s">
        <v>44</v>
      </c>
      <c r="V572" s="5" t="s">
        <v>44</v>
      </c>
      <c r="W572" s="5" t="s">
        <v>35</v>
      </c>
      <c r="X572" s="5" t="s">
        <v>117</v>
      </c>
      <c r="Y572" s="5" t="s">
        <v>46</v>
      </c>
      <c r="Z572" s="5" t="s">
        <v>357</v>
      </c>
      <c r="AA572" s="5" t="s">
        <v>64</v>
      </c>
      <c r="AB572" s="5" t="s">
        <v>2624</v>
      </c>
      <c r="AC572" s="6" t="s">
        <v>79</v>
      </c>
      <c r="AD572" s="6">
        <v>1850.0</v>
      </c>
    </row>
    <row r="573" ht="56.25" customHeight="1">
      <c r="A573" s="5" t="s">
        <v>2527</v>
      </c>
      <c r="B573" s="6" t="str">
        <f>IMAGE("https://storage.googleapis.com/acdb/miscellaneous/FtrLaptop_Remake_5_1.png")</f>
        <v/>
      </c>
      <c r="C573" s="5" t="s">
        <v>68</v>
      </c>
      <c r="D573" s="5" t="s">
        <v>34</v>
      </c>
      <c r="E573" s="5" t="s">
        <v>1354</v>
      </c>
      <c r="F573" s="5" t="s">
        <v>715</v>
      </c>
      <c r="G573" s="5" t="s">
        <v>36</v>
      </c>
      <c r="H573" s="5" t="s">
        <v>36</v>
      </c>
      <c r="I573" s="5" t="s">
        <v>35</v>
      </c>
      <c r="J573" s="6">
        <v>7.0</v>
      </c>
      <c r="K573" s="6">
        <v>70000.0</v>
      </c>
      <c r="L573" s="6">
        <v>17500.0</v>
      </c>
      <c r="M573" s="5" t="s">
        <v>68</v>
      </c>
      <c r="N573" s="5" t="s">
        <v>57</v>
      </c>
      <c r="O573" s="6" t="s">
        <v>40</v>
      </c>
      <c r="P573" s="5" t="s">
        <v>59</v>
      </c>
      <c r="Q573" s="5" t="s">
        <v>115</v>
      </c>
      <c r="R573" s="6" t="s">
        <v>42</v>
      </c>
      <c r="S573" s="5" t="s">
        <v>91</v>
      </c>
      <c r="T573" s="5" t="s">
        <v>90</v>
      </c>
      <c r="U573" s="5" t="s">
        <v>44</v>
      </c>
      <c r="V573" s="5" t="s">
        <v>44</v>
      </c>
      <c r="W573" s="5" t="s">
        <v>35</v>
      </c>
      <c r="X573" s="5" t="s">
        <v>117</v>
      </c>
      <c r="Y573" s="5" t="s">
        <v>46</v>
      </c>
      <c r="Z573" s="5" t="s">
        <v>357</v>
      </c>
      <c r="AA573" s="5" t="s">
        <v>64</v>
      </c>
      <c r="AB573" s="5" t="s">
        <v>2627</v>
      </c>
      <c r="AC573" s="6" t="s">
        <v>448</v>
      </c>
      <c r="AD573" s="6">
        <v>1850.0</v>
      </c>
    </row>
    <row r="574" ht="56.25" customHeight="1">
      <c r="A574" s="5" t="s">
        <v>2527</v>
      </c>
      <c r="B574" s="6" t="str">
        <f>IMAGE("https://storage.googleapis.com/acdb/miscellaneous/FtrLaptop_Remake_5_2.png")</f>
        <v/>
      </c>
      <c r="C574" s="5" t="s">
        <v>68</v>
      </c>
      <c r="D574" s="5" t="s">
        <v>34</v>
      </c>
      <c r="E574" s="5" t="s">
        <v>1357</v>
      </c>
      <c r="F574" s="5" t="s">
        <v>715</v>
      </c>
      <c r="G574" s="5" t="s">
        <v>36</v>
      </c>
      <c r="H574" s="5" t="s">
        <v>36</v>
      </c>
      <c r="I574" s="5" t="s">
        <v>35</v>
      </c>
      <c r="J574" s="6">
        <v>7.0</v>
      </c>
      <c r="K574" s="6">
        <v>70000.0</v>
      </c>
      <c r="L574" s="6">
        <v>17500.0</v>
      </c>
      <c r="M574" s="5" t="s">
        <v>68</v>
      </c>
      <c r="N574" s="5" t="s">
        <v>58</v>
      </c>
      <c r="O574" s="6" t="s">
        <v>40</v>
      </c>
      <c r="P574" s="5" t="s">
        <v>59</v>
      </c>
      <c r="Q574" s="5" t="s">
        <v>115</v>
      </c>
      <c r="R574" s="6" t="s">
        <v>42</v>
      </c>
      <c r="S574" s="5" t="s">
        <v>91</v>
      </c>
      <c r="T574" s="5" t="s">
        <v>90</v>
      </c>
      <c r="U574" s="5" t="s">
        <v>44</v>
      </c>
      <c r="V574" s="5" t="s">
        <v>44</v>
      </c>
      <c r="W574" s="5" t="s">
        <v>35</v>
      </c>
      <c r="X574" s="5" t="s">
        <v>117</v>
      </c>
      <c r="Y574" s="5" t="s">
        <v>46</v>
      </c>
      <c r="Z574" s="5" t="s">
        <v>357</v>
      </c>
      <c r="AA574" s="5" t="s">
        <v>64</v>
      </c>
      <c r="AB574" s="5" t="s">
        <v>2631</v>
      </c>
      <c r="AC574" s="6" t="s">
        <v>452</v>
      </c>
      <c r="AD574" s="6">
        <v>1850.0</v>
      </c>
    </row>
    <row r="575" ht="56.25" customHeight="1">
      <c r="A575" s="5" t="s">
        <v>2527</v>
      </c>
      <c r="B575" s="6" t="str">
        <f>IMAGE("https://storage.googleapis.com/acdb/miscellaneous/FtrLaptop_Remake_5_3.png")</f>
        <v/>
      </c>
      <c r="C575" s="5" t="s">
        <v>68</v>
      </c>
      <c r="D575" s="5" t="s">
        <v>34</v>
      </c>
      <c r="E575" s="5" t="s">
        <v>1360</v>
      </c>
      <c r="F575" s="5" t="s">
        <v>715</v>
      </c>
      <c r="G575" s="5" t="s">
        <v>36</v>
      </c>
      <c r="H575" s="5" t="s">
        <v>36</v>
      </c>
      <c r="I575" s="5" t="s">
        <v>35</v>
      </c>
      <c r="J575" s="6">
        <v>7.0</v>
      </c>
      <c r="K575" s="6">
        <v>70000.0</v>
      </c>
      <c r="L575" s="6">
        <v>17500.0</v>
      </c>
      <c r="M575" s="5" t="s">
        <v>68</v>
      </c>
      <c r="N575" s="5" t="s">
        <v>58</v>
      </c>
      <c r="O575" s="6" t="s">
        <v>40</v>
      </c>
      <c r="P575" s="5" t="s">
        <v>59</v>
      </c>
      <c r="Q575" s="5" t="s">
        <v>115</v>
      </c>
      <c r="R575" s="6" t="s">
        <v>42</v>
      </c>
      <c r="S575" s="5" t="s">
        <v>91</v>
      </c>
      <c r="T575" s="5" t="s">
        <v>90</v>
      </c>
      <c r="U575" s="5" t="s">
        <v>44</v>
      </c>
      <c r="V575" s="5" t="s">
        <v>44</v>
      </c>
      <c r="W575" s="5" t="s">
        <v>35</v>
      </c>
      <c r="X575" s="5" t="s">
        <v>117</v>
      </c>
      <c r="Y575" s="5" t="s">
        <v>46</v>
      </c>
      <c r="Z575" s="5" t="s">
        <v>357</v>
      </c>
      <c r="AA575" s="5" t="s">
        <v>64</v>
      </c>
      <c r="AB575" s="5" t="s">
        <v>2633</v>
      </c>
      <c r="AC575" s="6" t="s">
        <v>455</v>
      </c>
      <c r="AD575" s="6">
        <v>1850.0</v>
      </c>
    </row>
    <row r="576" ht="56.25" customHeight="1">
      <c r="A576" s="5" t="s">
        <v>2527</v>
      </c>
      <c r="B576" s="6" t="str">
        <f>IMAGE("https://storage.googleapis.com/acdb/miscellaneous/FtrLaptop_Remake_5_4.png")</f>
        <v/>
      </c>
      <c r="C576" s="5" t="s">
        <v>68</v>
      </c>
      <c r="D576" s="5" t="s">
        <v>34</v>
      </c>
      <c r="E576" s="5" t="s">
        <v>2540</v>
      </c>
      <c r="F576" s="5" t="s">
        <v>715</v>
      </c>
      <c r="G576" s="5" t="s">
        <v>36</v>
      </c>
      <c r="H576" s="5" t="s">
        <v>36</v>
      </c>
      <c r="I576" s="5" t="s">
        <v>35</v>
      </c>
      <c r="J576" s="6">
        <v>7.0</v>
      </c>
      <c r="K576" s="6">
        <v>70000.0</v>
      </c>
      <c r="L576" s="6">
        <v>17500.0</v>
      </c>
      <c r="M576" s="5" t="s">
        <v>68</v>
      </c>
      <c r="N576" s="5" t="s">
        <v>58</v>
      </c>
      <c r="O576" s="6" t="s">
        <v>40</v>
      </c>
      <c r="P576" s="5" t="s">
        <v>59</v>
      </c>
      <c r="Q576" s="5" t="s">
        <v>115</v>
      </c>
      <c r="R576" s="6" t="s">
        <v>42</v>
      </c>
      <c r="S576" s="5" t="s">
        <v>91</v>
      </c>
      <c r="T576" s="5" t="s">
        <v>90</v>
      </c>
      <c r="U576" s="5" t="s">
        <v>44</v>
      </c>
      <c r="V576" s="5" t="s">
        <v>44</v>
      </c>
      <c r="W576" s="5" t="s">
        <v>35</v>
      </c>
      <c r="X576" s="5" t="s">
        <v>117</v>
      </c>
      <c r="Y576" s="5" t="s">
        <v>46</v>
      </c>
      <c r="Z576" s="5" t="s">
        <v>357</v>
      </c>
      <c r="AA576" s="5" t="s">
        <v>64</v>
      </c>
      <c r="AB576" s="5" t="s">
        <v>2638</v>
      </c>
      <c r="AC576" s="6" t="s">
        <v>609</v>
      </c>
      <c r="AD576" s="6">
        <v>1850.0</v>
      </c>
    </row>
    <row r="577" ht="56.25" customHeight="1">
      <c r="A577" s="5" t="s">
        <v>2527</v>
      </c>
      <c r="B577" s="6" t="str">
        <f>IMAGE("https://storage.googleapis.com/acdb/miscellaneous/FtrLaptop_Remake_5_5.png")</f>
        <v/>
      </c>
      <c r="C577" s="5" t="s">
        <v>68</v>
      </c>
      <c r="D577" s="5" t="s">
        <v>34</v>
      </c>
      <c r="E577" s="5" t="s">
        <v>2543</v>
      </c>
      <c r="F577" s="5" t="s">
        <v>715</v>
      </c>
      <c r="G577" s="5" t="s">
        <v>36</v>
      </c>
      <c r="H577" s="5" t="s">
        <v>36</v>
      </c>
      <c r="I577" s="5" t="s">
        <v>35</v>
      </c>
      <c r="J577" s="6">
        <v>7.0</v>
      </c>
      <c r="K577" s="6">
        <v>70000.0</v>
      </c>
      <c r="L577" s="6">
        <v>17500.0</v>
      </c>
      <c r="M577" s="5" t="s">
        <v>68</v>
      </c>
      <c r="N577" s="5" t="s">
        <v>58</v>
      </c>
      <c r="O577" s="6" t="s">
        <v>40</v>
      </c>
      <c r="P577" s="5" t="s">
        <v>59</v>
      </c>
      <c r="Q577" s="5" t="s">
        <v>115</v>
      </c>
      <c r="R577" s="6" t="s">
        <v>42</v>
      </c>
      <c r="S577" s="5" t="s">
        <v>91</v>
      </c>
      <c r="T577" s="5" t="s">
        <v>90</v>
      </c>
      <c r="U577" s="5" t="s">
        <v>44</v>
      </c>
      <c r="V577" s="5" t="s">
        <v>44</v>
      </c>
      <c r="W577" s="5" t="s">
        <v>35</v>
      </c>
      <c r="X577" s="5" t="s">
        <v>117</v>
      </c>
      <c r="Y577" s="5" t="s">
        <v>46</v>
      </c>
      <c r="Z577" s="5" t="s">
        <v>357</v>
      </c>
      <c r="AA577" s="5" t="s">
        <v>64</v>
      </c>
      <c r="AB577" s="5" t="s">
        <v>2641</v>
      </c>
      <c r="AC577" s="6" t="s">
        <v>1843</v>
      </c>
      <c r="AD577" s="6">
        <v>1850.0</v>
      </c>
    </row>
    <row r="578" ht="56.25" customHeight="1">
      <c r="A578" s="5" t="s">
        <v>2527</v>
      </c>
      <c r="B578" s="6" t="str">
        <f>IMAGE("https://storage.googleapis.com/acdb/miscellaneous/FtrLaptop_Remake_6_0.png")</f>
        <v/>
      </c>
      <c r="C578" s="5" t="s">
        <v>151</v>
      </c>
      <c r="D578" s="5" t="s">
        <v>34</v>
      </c>
      <c r="E578" s="5" t="s">
        <v>1350</v>
      </c>
      <c r="F578" s="5" t="s">
        <v>715</v>
      </c>
      <c r="G578" s="5" t="s">
        <v>36</v>
      </c>
      <c r="H578" s="5" t="s">
        <v>36</v>
      </c>
      <c r="I578" s="5" t="s">
        <v>35</v>
      </c>
      <c r="J578" s="6">
        <v>7.0</v>
      </c>
      <c r="K578" s="6">
        <v>70000.0</v>
      </c>
      <c r="L578" s="6">
        <v>17500.0</v>
      </c>
      <c r="M578" s="5" t="s">
        <v>38</v>
      </c>
      <c r="N578" s="5" t="s">
        <v>68</v>
      </c>
      <c r="O578" s="6" t="s">
        <v>40</v>
      </c>
      <c r="P578" s="5" t="s">
        <v>59</v>
      </c>
      <c r="Q578" s="5" t="s">
        <v>115</v>
      </c>
      <c r="R578" s="6" t="s">
        <v>42</v>
      </c>
      <c r="S578" s="5" t="s">
        <v>91</v>
      </c>
      <c r="T578" s="5" t="s">
        <v>90</v>
      </c>
      <c r="U578" s="5" t="s">
        <v>44</v>
      </c>
      <c r="V578" s="5" t="s">
        <v>44</v>
      </c>
      <c r="W578" s="5" t="s">
        <v>35</v>
      </c>
      <c r="X578" s="5" t="s">
        <v>117</v>
      </c>
      <c r="Y578" s="5" t="s">
        <v>46</v>
      </c>
      <c r="Z578" s="5" t="s">
        <v>357</v>
      </c>
      <c r="AA578" s="5" t="s">
        <v>64</v>
      </c>
      <c r="AB578" s="5" t="s">
        <v>2644</v>
      </c>
      <c r="AC578" s="6" t="s">
        <v>86</v>
      </c>
      <c r="AD578" s="6">
        <v>1850.0</v>
      </c>
    </row>
    <row r="579" ht="56.25" customHeight="1">
      <c r="A579" s="5" t="s">
        <v>2527</v>
      </c>
      <c r="B579" s="6" t="str">
        <f>IMAGE("https://storage.googleapis.com/acdb/miscellaneous/FtrLaptop_Remake_6_1.png")</f>
        <v/>
      </c>
      <c r="C579" s="5" t="s">
        <v>151</v>
      </c>
      <c r="D579" s="5" t="s">
        <v>34</v>
      </c>
      <c r="E579" s="5" t="s">
        <v>1354</v>
      </c>
      <c r="F579" s="5" t="s">
        <v>715</v>
      </c>
      <c r="G579" s="5" t="s">
        <v>36</v>
      </c>
      <c r="H579" s="5" t="s">
        <v>36</v>
      </c>
      <c r="I579" s="5" t="s">
        <v>35</v>
      </c>
      <c r="J579" s="6">
        <v>7.0</v>
      </c>
      <c r="K579" s="6">
        <v>70000.0</v>
      </c>
      <c r="L579" s="6">
        <v>17500.0</v>
      </c>
      <c r="M579" s="5" t="s">
        <v>38</v>
      </c>
      <c r="N579" s="5" t="s">
        <v>57</v>
      </c>
      <c r="O579" s="6" t="s">
        <v>40</v>
      </c>
      <c r="P579" s="5" t="s">
        <v>59</v>
      </c>
      <c r="Q579" s="5" t="s">
        <v>115</v>
      </c>
      <c r="R579" s="6" t="s">
        <v>42</v>
      </c>
      <c r="S579" s="5" t="s">
        <v>91</v>
      </c>
      <c r="T579" s="5" t="s">
        <v>90</v>
      </c>
      <c r="U579" s="5" t="s">
        <v>44</v>
      </c>
      <c r="V579" s="5" t="s">
        <v>44</v>
      </c>
      <c r="W579" s="5" t="s">
        <v>35</v>
      </c>
      <c r="X579" s="5" t="s">
        <v>117</v>
      </c>
      <c r="Y579" s="5" t="s">
        <v>46</v>
      </c>
      <c r="Z579" s="5" t="s">
        <v>357</v>
      </c>
      <c r="AA579" s="5" t="s">
        <v>64</v>
      </c>
      <c r="AB579" s="5" t="s">
        <v>2647</v>
      </c>
      <c r="AC579" s="6" t="s">
        <v>620</v>
      </c>
      <c r="AD579" s="6">
        <v>1850.0</v>
      </c>
    </row>
    <row r="580" ht="56.25" customHeight="1">
      <c r="A580" s="5" t="s">
        <v>2527</v>
      </c>
      <c r="B580" s="6" t="str">
        <f>IMAGE("https://storage.googleapis.com/acdb/miscellaneous/FtrLaptop_Remake_6_2.png")</f>
        <v/>
      </c>
      <c r="C580" s="5" t="s">
        <v>151</v>
      </c>
      <c r="D580" s="5" t="s">
        <v>34</v>
      </c>
      <c r="E580" s="5" t="s">
        <v>1357</v>
      </c>
      <c r="F580" s="5" t="s">
        <v>715</v>
      </c>
      <c r="G580" s="5" t="s">
        <v>36</v>
      </c>
      <c r="H580" s="5" t="s">
        <v>36</v>
      </c>
      <c r="I580" s="5" t="s">
        <v>35</v>
      </c>
      <c r="J580" s="6">
        <v>7.0</v>
      </c>
      <c r="K580" s="6">
        <v>70000.0</v>
      </c>
      <c r="L580" s="6">
        <v>17500.0</v>
      </c>
      <c r="M580" s="5" t="s">
        <v>38</v>
      </c>
      <c r="N580" s="5" t="s">
        <v>58</v>
      </c>
      <c r="O580" s="6" t="s">
        <v>40</v>
      </c>
      <c r="P580" s="5" t="s">
        <v>59</v>
      </c>
      <c r="Q580" s="5" t="s">
        <v>115</v>
      </c>
      <c r="R580" s="6" t="s">
        <v>42</v>
      </c>
      <c r="S580" s="5" t="s">
        <v>91</v>
      </c>
      <c r="T580" s="5" t="s">
        <v>90</v>
      </c>
      <c r="U580" s="5" t="s">
        <v>44</v>
      </c>
      <c r="V580" s="5" t="s">
        <v>44</v>
      </c>
      <c r="W580" s="5" t="s">
        <v>35</v>
      </c>
      <c r="X580" s="5" t="s">
        <v>117</v>
      </c>
      <c r="Y580" s="5" t="s">
        <v>46</v>
      </c>
      <c r="Z580" s="5" t="s">
        <v>357</v>
      </c>
      <c r="AA580" s="5" t="s">
        <v>64</v>
      </c>
      <c r="AB580" s="5" t="s">
        <v>2652</v>
      </c>
      <c r="AC580" s="6" t="s">
        <v>626</v>
      </c>
      <c r="AD580" s="6">
        <v>1850.0</v>
      </c>
    </row>
    <row r="581" ht="56.25" customHeight="1">
      <c r="A581" s="5" t="s">
        <v>2527</v>
      </c>
      <c r="B581" s="6" t="str">
        <f>IMAGE("https://storage.googleapis.com/acdb/miscellaneous/FtrLaptop_Remake_6_3.png")</f>
        <v/>
      </c>
      <c r="C581" s="5" t="s">
        <v>151</v>
      </c>
      <c r="D581" s="5" t="s">
        <v>34</v>
      </c>
      <c r="E581" s="5" t="s">
        <v>1360</v>
      </c>
      <c r="F581" s="5" t="s">
        <v>715</v>
      </c>
      <c r="G581" s="5" t="s">
        <v>36</v>
      </c>
      <c r="H581" s="5" t="s">
        <v>36</v>
      </c>
      <c r="I581" s="5" t="s">
        <v>35</v>
      </c>
      <c r="J581" s="6">
        <v>7.0</v>
      </c>
      <c r="K581" s="6">
        <v>70000.0</v>
      </c>
      <c r="L581" s="6">
        <v>17500.0</v>
      </c>
      <c r="M581" s="5" t="s">
        <v>38</v>
      </c>
      <c r="N581" s="5" t="s">
        <v>58</v>
      </c>
      <c r="O581" s="6" t="s">
        <v>40</v>
      </c>
      <c r="P581" s="5" t="s">
        <v>59</v>
      </c>
      <c r="Q581" s="5" t="s">
        <v>115</v>
      </c>
      <c r="R581" s="6" t="s">
        <v>42</v>
      </c>
      <c r="S581" s="5" t="s">
        <v>91</v>
      </c>
      <c r="T581" s="5" t="s">
        <v>90</v>
      </c>
      <c r="U581" s="5" t="s">
        <v>44</v>
      </c>
      <c r="V581" s="5" t="s">
        <v>44</v>
      </c>
      <c r="W581" s="5" t="s">
        <v>35</v>
      </c>
      <c r="X581" s="5" t="s">
        <v>117</v>
      </c>
      <c r="Y581" s="5" t="s">
        <v>46</v>
      </c>
      <c r="Z581" s="5" t="s">
        <v>357</v>
      </c>
      <c r="AA581" s="5" t="s">
        <v>64</v>
      </c>
      <c r="AB581" s="5" t="s">
        <v>2656</v>
      </c>
      <c r="AC581" s="6" t="s">
        <v>634</v>
      </c>
      <c r="AD581" s="6">
        <v>1850.0</v>
      </c>
    </row>
    <row r="582" ht="56.25" customHeight="1">
      <c r="A582" s="5" t="s">
        <v>2527</v>
      </c>
      <c r="B582" s="6" t="str">
        <f>IMAGE("https://storage.googleapis.com/acdb/miscellaneous/FtrLaptop_Remake_6_4.png")</f>
        <v/>
      </c>
      <c r="C582" s="5" t="s">
        <v>151</v>
      </c>
      <c r="D582" s="5" t="s">
        <v>34</v>
      </c>
      <c r="E582" s="5" t="s">
        <v>2540</v>
      </c>
      <c r="F582" s="5" t="s">
        <v>715</v>
      </c>
      <c r="G582" s="5" t="s">
        <v>36</v>
      </c>
      <c r="H582" s="5" t="s">
        <v>36</v>
      </c>
      <c r="I582" s="5" t="s">
        <v>35</v>
      </c>
      <c r="J582" s="6">
        <v>7.0</v>
      </c>
      <c r="K582" s="6">
        <v>70000.0</v>
      </c>
      <c r="L582" s="6">
        <v>17500.0</v>
      </c>
      <c r="M582" s="5" t="s">
        <v>38</v>
      </c>
      <c r="N582" s="5" t="s">
        <v>58</v>
      </c>
      <c r="O582" s="6" t="s">
        <v>40</v>
      </c>
      <c r="P582" s="5" t="s">
        <v>59</v>
      </c>
      <c r="Q582" s="5" t="s">
        <v>115</v>
      </c>
      <c r="R582" s="6" t="s">
        <v>42</v>
      </c>
      <c r="S582" s="5" t="s">
        <v>91</v>
      </c>
      <c r="T582" s="5" t="s">
        <v>90</v>
      </c>
      <c r="U582" s="5" t="s">
        <v>44</v>
      </c>
      <c r="V582" s="5" t="s">
        <v>44</v>
      </c>
      <c r="W582" s="5" t="s">
        <v>35</v>
      </c>
      <c r="X582" s="5" t="s">
        <v>117</v>
      </c>
      <c r="Y582" s="5" t="s">
        <v>46</v>
      </c>
      <c r="Z582" s="5" t="s">
        <v>357</v>
      </c>
      <c r="AA582" s="5" t="s">
        <v>64</v>
      </c>
      <c r="AB582" s="5" t="s">
        <v>2657</v>
      </c>
      <c r="AC582" s="6" t="s">
        <v>641</v>
      </c>
      <c r="AD582" s="6">
        <v>1850.0</v>
      </c>
    </row>
    <row r="583" ht="56.25" customHeight="1">
      <c r="A583" s="5" t="s">
        <v>2527</v>
      </c>
      <c r="B583" s="6" t="str">
        <f>IMAGE("https://storage.googleapis.com/acdb/miscellaneous/FtrLaptop_Remake_6_5.png")</f>
        <v/>
      </c>
      <c r="C583" s="5" t="s">
        <v>151</v>
      </c>
      <c r="D583" s="5" t="s">
        <v>34</v>
      </c>
      <c r="E583" s="5" t="s">
        <v>2543</v>
      </c>
      <c r="F583" s="5" t="s">
        <v>715</v>
      </c>
      <c r="G583" s="5" t="s">
        <v>36</v>
      </c>
      <c r="H583" s="5" t="s">
        <v>36</v>
      </c>
      <c r="I583" s="5" t="s">
        <v>35</v>
      </c>
      <c r="J583" s="6">
        <v>7.0</v>
      </c>
      <c r="K583" s="6">
        <v>70000.0</v>
      </c>
      <c r="L583" s="6">
        <v>17500.0</v>
      </c>
      <c r="M583" s="5" t="s">
        <v>38</v>
      </c>
      <c r="N583" s="5" t="s">
        <v>58</v>
      </c>
      <c r="O583" s="6" t="s">
        <v>40</v>
      </c>
      <c r="P583" s="5" t="s">
        <v>59</v>
      </c>
      <c r="Q583" s="5" t="s">
        <v>115</v>
      </c>
      <c r="R583" s="6" t="s">
        <v>42</v>
      </c>
      <c r="S583" s="5" t="s">
        <v>91</v>
      </c>
      <c r="T583" s="5" t="s">
        <v>90</v>
      </c>
      <c r="U583" s="5" t="s">
        <v>44</v>
      </c>
      <c r="V583" s="5" t="s">
        <v>44</v>
      </c>
      <c r="W583" s="5" t="s">
        <v>35</v>
      </c>
      <c r="X583" s="5" t="s">
        <v>117</v>
      </c>
      <c r="Y583" s="5" t="s">
        <v>46</v>
      </c>
      <c r="Z583" s="5" t="s">
        <v>357</v>
      </c>
      <c r="AA583" s="5" t="s">
        <v>64</v>
      </c>
      <c r="AB583" s="5" t="s">
        <v>2660</v>
      </c>
      <c r="AC583" s="6" t="s">
        <v>1870</v>
      </c>
      <c r="AD583" s="6">
        <v>1850.0</v>
      </c>
    </row>
    <row r="584" ht="56.25" customHeight="1">
      <c r="A584" s="5" t="s">
        <v>2663</v>
      </c>
      <c r="B584" s="6" t="str">
        <f>IMAGE("https://storage.googleapis.com/acdb/miscellaneous/FtrTV20inch_Remake_0_0.png")</f>
        <v/>
      </c>
      <c r="C584" s="5" t="s">
        <v>54</v>
      </c>
      <c r="D584" s="5" t="s">
        <v>34</v>
      </c>
      <c r="E584" s="5" t="s">
        <v>34</v>
      </c>
      <c r="F584" s="5" t="s">
        <v>34</v>
      </c>
      <c r="G584" s="5" t="s">
        <v>36</v>
      </c>
      <c r="H584" s="5" t="s">
        <v>36</v>
      </c>
      <c r="I584" s="5" t="s">
        <v>36</v>
      </c>
      <c r="J584" s="6" t="s">
        <v>34</v>
      </c>
      <c r="K584" s="6">
        <v>60000.0</v>
      </c>
      <c r="L584" s="6">
        <v>15000.0</v>
      </c>
      <c r="M584" s="5" t="s">
        <v>54</v>
      </c>
      <c r="N584" s="5" t="s">
        <v>54</v>
      </c>
      <c r="O584" s="6" t="s">
        <v>40</v>
      </c>
      <c r="P584" s="5" t="s">
        <v>59</v>
      </c>
      <c r="Q584" s="5" t="s">
        <v>115</v>
      </c>
      <c r="R584" s="6" t="s">
        <v>42</v>
      </c>
      <c r="S584" s="5" t="s">
        <v>90</v>
      </c>
      <c r="T584" s="5" t="s">
        <v>44</v>
      </c>
      <c r="U584" s="5" t="s">
        <v>44</v>
      </c>
      <c r="V584" s="5" t="s">
        <v>44</v>
      </c>
      <c r="W584" s="5" t="s">
        <v>35</v>
      </c>
      <c r="X584" s="5" t="s">
        <v>2619</v>
      </c>
      <c r="Y584" s="5" t="s">
        <v>46</v>
      </c>
      <c r="Z584" s="5" t="s">
        <v>357</v>
      </c>
      <c r="AA584" s="5" t="s">
        <v>64</v>
      </c>
      <c r="AB584" s="5" t="s">
        <v>2666</v>
      </c>
      <c r="AC584" s="6" t="s">
        <v>50</v>
      </c>
      <c r="AD584" s="6">
        <v>3333.0</v>
      </c>
    </row>
    <row r="585" ht="56.25" customHeight="1">
      <c r="A585" s="5" t="s">
        <v>2663</v>
      </c>
      <c r="B585" s="6" t="str">
        <f>IMAGE("https://storage.googleapis.com/acdb/miscellaneous/FtrTV20inch_Remake_1_0.png")</f>
        <v/>
      </c>
      <c r="C585" s="5" t="s">
        <v>57</v>
      </c>
      <c r="D585" s="5" t="s">
        <v>34</v>
      </c>
      <c r="E585" s="5" t="s">
        <v>34</v>
      </c>
      <c r="F585" s="5" t="s">
        <v>34</v>
      </c>
      <c r="G585" s="5" t="s">
        <v>36</v>
      </c>
      <c r="H585" s="5" t="s">
        <v>36</v>
      </c>
      <c r="I585" s="5" t="s">
        <v>36</v>
      </c>
      <c r="J585" s="6" t="s">
        <v>34</v>
      </c>
      <c r="K585" s="6">
        <v>60000.0</v>
      </c>
      <c r="L585" s="6">
        <v>15000.0</v>
      </c>
      <c r="M585" s="5" t="s">
        <v>57</v>
      </c>
      <c r="N585" s="5" t="s">
        <v>57</v>
      </c>
      <c r="O585" s="6" t="s">
        <v>40</v>
      </c>
      <c r="P585" s="5" t="s">
        <v>59</v>
      </c>
      <c r="Q585" s="5" t="s">
        <v>115</v>
      </c>
      <c r="R585" s="6" t="s">
        <v>42</v>
      </c>
      <c r="S585" s="5" t="s">
        <v>90</v>
      </c>
      <c r="T585" s="5" t="s">
        <v>44</v>
      </c>
      <c r="U585" s="5" t="s">
        <v>44</v>
      </c>
      <c r="V585" s="5" t="s">
        <v>44</v>
      </c>
      <c r="W585" s="5" t="s">
        <v>35</v>
      </c>
      <c r="X585" s="5" t="s">
        <v>2619</v>
      </c>
      <c r="Y585" s="5" t="s">
        <v>46</v>
      </c>
      <c r="Z585" s="5" t="s">
        <v>357</v>
      </c>
      <c r="AA585" s="5" t="s">
        <v>64</v>
      </c>
      <c r="AB585" s="5" t="s">
        <v>2668</v>
      </c>
      <c r="AC585" s="6" t="s">
        <v>56</v>
      </c>
      <c r="AD585" s="6">
        <v>3333.0</v>
      </c>
    </row>
    <row r="586" ht="56.25" customHeight="1">
      <c r="A586" s="5" t="s">
        <v>2663</v>
      </c>
      <c r="B586" s="6" t="str">
        <f>IMAGE("https://storage.googleapis.com/acdb/miscellaneous/FtrTV20inch_Remake_2_0.png")</f>
        <v/>
      </c>
      <c r="C586" s="5" t="s">
        <v>146</v>
      </c>
      <c r="D586" s="5" t="s">
        <v>34</v>
      </c>
      <c r="E586" s="5" t="s">
        <v>34</v>
      </c>
      <c r="F586" s="5" t="s">
        <v>34</v>
      </c>
      <c r="G586" s="5" t="s">
        <v>36</v>
      </c>
      <c r="H586" s="5" t="s">
        <v>36</v>
      </c>
      <c r="I586" s="5" t="s">
        <v>36</v>
      </c>
      <c r="J586" s="6" t="s">
        <v>34</v>
      </c>
      <c r="K586" s="6">
        <v>60000.0</v>
      </c>
      <c r="L586" s="6">
        <v>15000.0</v>
      </c>
      <c r="M586" s="5" t="s">
        <v>95</v>
      </c>
      <c r="N586" s="5" t="s">
        <v>95</v>
      </c>
      <c r="O586" s="6" t="s">
        <v>40</v>
      </c>
      <c r="P586" s="5" t="s">
        <v>59</v>
      </c>
      <c r="Q586" s="5" t="s">
        <v>115</v>
      </c>
      <c r="R586" s="6" t="s">
        <v>42</v>
      </c>
      <c r="S586" s="5" t="s">
        <v>90</v>
      </c>
      <c r="T586" s="5" t="s">
        <v>44</v>
      </c>
      <c r="U586" s="5" t="s">
        <v>44</v>
      </c>
      <c r="V586" s="5" t="s">
        <v>44</v>
      </c>
      <c r="W586" s="5" t="s">
        <v>35</v>
      </c>
      <c r="X586" s="5" t="s">
        <v>2619</v>
      </c>
      <c r="Y586" s="5" t="s">
        <v>46</v>
      </c>
      <c r="Z586" s="5" t="s">
        <v>357</v>
      </c>
      <c r="AA586" s="5" t="s">
        <v>64</v>
      </c>
      <c r="AB586" s="5" t="s">
        <v>2672</v>
      </c>
      <c r="AC586" s="6" t="s">
        <v>67</v>
      </c>
      <c r="AD586" s="6">
        <v>3333.0</v>
      </c>
    </row>
    <row r="587" ht="56.25" customHeight="1">
      <c r="A587" s="5" t="s">
        <v>2663</v>
      </c>
      <c r="B587" s="6" t="str">
        <f>IMAGE("https://storage.googleapis.com/acdb/miscellaneous/FtrTV20inch_Remake_3_0.png")</f>
        <v/>
      </c>
      <c r="C587" s="5" t="s">
        <v>52</v>
      </c>
      <c r="D587" s="5" t="s">
        <v>34</v>
      </c>
      <c r="E587" s="5" t="s">
        <v>34</v>
      </c>
      <c r="F587" s="5" t="s">
        <v>34</v>
      </c>
      <c r="G587" s="5" t="s">
        <v>36</v>
      </c>
      <c r="H587" s="5" t="s">
        <v>36</v>
      </c>
      <c r="I587" s="5" t="s">
        <v>36</v>
      </c>
      <c r="J587" s="6" t="s">
        <v>34</v>
      </c>
      <c r="K587" s="6">
        <v>60000.0</v>
      </c>
      <c r="L587" s="6">
        <v>15000.0</v>
      </c>
      <c r="M587" s="5" t="s">
        <v>52</v>
      </c>
      <c r="N587" s="5" t="s">
        <v>52</v>
      </c>
      <c r="O587" s="6" t="s">
        <v>40</v>
      </c>
      <c r="P587" s="5" t="s">
        <v>59</v>
      </c>
      <c r="Q587" s="5" t="s">
        <v>115</v>
      </c>
      <c r="R587" s="6" t="s">
        <v>42</v>
      </c>
      <c r="S587" s="5" t="s">
        <v>90</v>
      </c>
      <c r="T587" s="5" t="s">
        <v>44</v>
      </c>
      <c r="U587" s="5" t="s">
        <v>44</v>
      </c>
      <c r="V587" s="5" t="s">
        <v>44</v>
      </c>
      <c r="W587" s="5" t="s">
        <v>35</v>
      </c>
      <c r="X587" s="5" t="s">
        <v>2619</v>
      </c>
      <c r="Y587" s="5" t="s">
        <v>46</v>
      </c>
      <c r="Z587" s="5" t="s">
        <v>357</v>
      </c>
      <c r="AA587" s="5" t="s">
        <v>64</v>
      </c>
      <c r="AB587" s="5" t="s">
        <v>2676</v>
      </c>
      <c r="AC587" s="6" t="s">
        <v>71</v>
      </c>
      <c r="AD587" s="6">
        <v>3333.0</v>
      </c>
    </row>
    <row r="588" ht="56.25" customHeight="1">
      <c r="A588" s="5" t="s">
        <v>2663</v>
      </c>
      <c r="B588" s="6" t="str">
        <f>IMAGE("https://storage.googleapis.com/acdb/miscellaneous/FtrTV20inch_Remake_4_0.png")</f>
        <v/>
      </c>
      <c r="C588" s="5" t="s">
        <v>114</v>
      </c>
      <c r="D588" s="5" t="s">
        <v>34</v>
      </c>
      <c r="E588" s="5" t="s">
        <v>34</v>
      </c>
      <c r="F588" s="5" t="s">
        <v>34</v>
      </c>
      <c r="G588" s="5" t="s">
        <v>36</v>
      </c>
      <c r="H588" s="5" t="s">
        <v>36</v>
      </c>
      <c r="I588" s="5" t="s">
        <v>36</v>
      </c>
      <c r="J588" s="6" t="s">
        <v>34</v>
      </c>
      <c r="K588" s="6">
        <v>60000.0</v>
      </c>
      <c r="L588" s="6">
        <v>15000.0</v>
      </c>
      <c r="M588" s="5" t="s">
        <v>114</v>
      </c>
      <c r="N588" s="5" t="s">
        <v>114</v>
      </c>
      <c r="O588" s="6" t="s">
        <v>40</v>
      </c>
      <c r="P588" s="5" t="s">
        <v>59</v>
      </c>
      <c r="Q588" s="5" t="s">
        <v>115</v>
      </c>
      <c r="R588" s="6" t="s">
        <v>42</v>
      </c>
      <c r="S588" s="5" t="s">
        <v>90</v>
      </c>
      <c r="T588" s="5" t="s">
        <v>44</v>
      </c>
      <c r="U588" s="5" t="s">
        <v>44</v>
      </c>
      <c r="V588" s="5" t="s">
        <v>44</v>
      </c>
      <c r="W588" s="5" t="s">
        <v>35</v>
      </c>
      <c r="X588" s="5" t="s">
        <v>2619</v>
      </c>
      <c r="Y588" s="5" t="s">
        <v>46</v>
      </c>
      <c r="Z588" s="5" t="s">
        <v>357</v>
      </c>
      <c r="AA588" s="5" t="s">
        <v>64</v>
      </c>
      <c r="AB588" s="5" t="s">
        <v>2682</v>
      </c>
      <c r="AC588" s="6" t="s">
        <v>75</v>
      </c>
      <c r="AD588" s="6">
        <v>3333.0</v>
      </c>
    </row>
    <row r="589" ht="56.25" customHeight="1">
      <c r="A589" s="5" t="s">
        <v>2663</v>
      </c>
      <c r="B589" s="6" t="str">
        <f>IMAGE("https://storage.googleapis.com/acdb/miscellaneous/FtrTV20inch_Remake_5_0.png")</f>
        <v/>
      </c>
      <c r="C589" s="5" t="s">
        <v>68</v>
      </c>
      <c r="D589" s="5" t="s">
        <v>34</v>
      </c>
      <c r="E589" s="5" t="s">
        <v>34</v>
      </c>
      <c r="F589" s="5" t="s">
        <v>34</v>
      </c>
      <c r="G589" s="5" t="s">
        <v>36</v>
      </c>
      <c r="H589" s="5" t="s">
        <v>36</v>
      </c>
      <c r="I589" s="5" t="s">
        <v>36</v>
      </c>
      <c r="J589" s="6" t="s">
        <v>34</v>
      </c>
      <c r="K589" s="6">
        <v>60000.0</v>
      </c>
      <c r="L589" s="6">
        <v>15000.0</v>
      </c>
      <c r="M589" s="5" t="s">
        <v>68</v>
      </c>
      <c r="N589" s="5" t="s">
        <v>68</v>
      </c>
      <c r="O589" s="6" t="s">
        <v>40</v>
      </c>
      <c r="P589" s="5" t="s">
        <v>59</v>
      </c>
      <c r="Q589" s="5" t="s">
        <v>115</v>
      </c>
      <c r="R589" s="6" t="s">
        <v>42</v>
      </c>
      <c r="S589" s="5" t="s">
        <v>90</v>
      </c>
      <c r="T589" s="5" t="s">
        <v>44</v>
      </c>
      <c r="U589" s="5" t="s">
        <v>44</v>
      </c>
      <c r="V589" s="5" t="s">
        <v>44</v>
      </c>
      <c r="W589" s="5" t="s">
        <v>35</v>
      </c>
      <c r="X589" s="5" t="s">
        <v>2619</v>
      </c>
      <c r="Y589" s="5" t="s">
        <v>46</v>
      </c>
      <c r="Z589" s="5" t="s">
        <v>357</v>
      </c>
      <c r="AA589" s="5" t="s">
        <v>64</v>
      </c>
      <c r="AB589" s="5" t="s">
        <v>2687</v>
      </c>
      <c r="AC589" s="6" t="s">
        <v>79</v>
      </c>
      <c r="AD589" s="6">
        <v>3333.0</v>
      </c>
    </row>
    <row r="590" ht="56.25" customHeight="1">
      <c r="A590" s="5" t="s">
        <v>2663</v>
      </c>
      <c r="B590" s="6" t="str">
        <f>IMAGE("https://storage.googleapis.com/acdb/miscellaneous/FtrTV20inch_Remake_6_0.png")</f>
        <v/>
      </c>
      <c r="C590" s="5" t="s">
        <v>69</v>
      </c>
      <c r="D590" s="5" t="s">
        <v>34</v>
      </c>
      <c r="E590" s="5" t="s">
        <v>34</v>
      </c>
      <c r="F590" s="5" t="s">
        <v>34</v>
      </c>
      <c r="G590" s="5" t="s">
        <v>36</v>
      </c>
      <c r="H590" s="5" t="s">
        <v>36</v>
      </c>
      <c r="I590" s="5" t="s">
        <v>36</v>
      </c>
      <c r="J590" s="6" t="s">
        <v>34</v>
      </c>
      <c r="K590" s="6">
        <v>60000.0</v>
      </c>
      <c r="L590" s="6">
        <v>15000.0</v>
      </c>
      <c r="M590" s="5" t="s">
        <v>69</v>
      </c>
      <c r="N590" s="5" t="s">
        <v>69</v>
      </c>
      <c r="O590" s="6" t="s">
        <v>40</v>
      </c>
      <c r="P590" s="5" t="s">
        <v>59</v>
      </c>
      <c r="Q590" s="5" t="s">
        <v>115</v>
      </c>
      <c r="R590" s="6" t="s">
        <v>42</v>
      </c>
      <c r="S590" s="5" t="s">
        <v>90</v>
      </c>
      <c r="T590" s="5" t="s">
        <v>44</v>
      </c>
      <c r="U590" s="5" t="s">
        <v>44</v>
      </c>
      <c r="V590" s="5" t="s">
        <v>44</v>
      </c>
      <c r="W590" s="5" t="s">
        <v>35</v>
      </c>
      <c r="X590" s="5" t="s">
        <v>2619</v>
      </c>
      <c r="Y590" s="5" t="s">
        <v>46</v>
      </c>
      <c r="Z590" s="5" t="s">
        <v>357</v>
      </c>
      <c r="AA590" s="5" t="s">
        <v>64</v>
      </c>
      <c r="AB590" s="5" t="s">
        <v>2690</v>
      </c>
      <c r="AC590" s="6" t="s">
        <v>86</v>
      </c>
      <c r="AD590" s="6">
        <v>3333.0</v>
      </c>
    </row>
    <row r="591" ht="56.25" customHeight="1">
      <c r="A591" s="5" t="s">
        <v>2663</v>
      </c>
      <c r="B591" s="6" t="str">
        <f>IMAGE("https://storage.googleapis.com/acdb/miscellaneous/FtrTV20inch_Remake_7_0.png")</f>
        <v/>
      </c>
      <c r="C591" s="5" t="s">
        <v>83</v>
      </c>
      <c r="D591" s="5" t="s">
        <v>34</v>
      </c>
      <c r="E591" s="5" t="s">
        <v>34</v>
      </c>
      <c r="F591" s="5" t="s">
        <v>34</v>
      </c>
      <c r="G591" s="5" t="s">
        <v>36</v>
      </c>
      <c r="H591" s="5" t="s">
        <v>36</v>
      </c>
      <c r="I591" s="5" t="s">
        <v>36</v>
      </c>
      <c r="J591" s="6" t="s">
        <v>34</v>
      </c>
      <c r="K591" s="6">
        <v>60000.0</v>
      </c>
      <c r="L591" s="6">
        <v>15000.0</v>
      </c>
      <c r="M591" s="5" t="s">
        <v>83</v>
      </c>
      <c r="N591" s="5" t="s">
        <v>83</v>
      </c>
      <c r="O591" s="6" t="s">
        <v>40</v>
      </c>
      <c r="P591" s="5" t="s">
        <v>59</v>
      </c>
      <c r="Q591" s="5" t="s">
        <v>115</v>
      </c>
      <c r="R591" s="6" t="s">
        <v>42</v>
      </c>
      <c r="S591" s="5" t="s">
        <v>90</v>
      </c>
      <c r="T591" s="5" t="s">
        <v>44</v>
      </c>
      <c r="U591" s="5" t="s">
        <v>44</v>
      </c>
      <c r="V591" s="5" t="s">
        <v>44</v>
      </c>
      <c r="W591" s="5" t="s">
        <v>35</v>
      </c>
      <c r="X591" s="5" t="s">
        <v>2619</v>
      </c>
      <c r="Y591" s="5" t="s">
        <v>46</v>
      </c>
      <c r="Z591" s="5" t="s">
        <v>357</v>
      </c>
      <c r="AA591" s="5" t="s">
        <v>64</v>
      </c>
      <c r="AB591" s="5" t="s">
        <v>2694</v>
      </c>
      <c r="AC591" s="6" t="s">
        <v>208</v>
      </c>
      <c r="AD591" s="6">
        <v>3333.0</v>
      </c>
    </row>
    <row r="592" ht="56.25" customHeight="1">
      <c r="A592" s="5" t="s">
        <v>2695</v>
      </c>
      <c r="B592" s="6" t="str">
        <f>IMAGE("https://storage.googleapis.com/acdb/miscellaneous/FtrTV50inch_Remake_0_0.png")</f>
        <v/>
      </c>
      <c r="C592" s="5" t="s">
        <v>54</v>
      </c>
      <c r="D592" s="5" t="s">
        <v>34</v>
      </c>
      <c r="E592" s="5" t="s">
        <v>34</v>
      </c>
      <c r="F592" s="5" t="s">
        <v>34</v>
      </c>
      <c r="G592" s="5" t="s">
        <v>36</v>
      </c>
      <c r="H592" s="5" t="s">
        <v>36</v>
      </c>
      <c r="I592" s="5" t="s">
        <v>36</v>
      </c>
      <c r="J592" s="6" t="s">
        <v>34</v>
      </c>
      <c r="K592" s="6">
        <v>99000.0</v>
      </c>
      <c r="L592" s="6">
        <v>24750.0</v>
      </c>
      <c r="M592" s="5" t="s">
        <v>54</v>
      </c>
      <c r="N592" s="5" t="s">
        <v>54</v>
      </c>
      <c r="O592" s="6" t="s">
        <v>276</v>
      </c>
      <c r="P592" s="5" t="s">
        <v>59</v>
      </c>
      <c r="Q592" s="5" t="s">
        <v>115</v>
      </c>
      <c r="R592" s="6" t="s">
        <v>42</v>
      </c>
      <c r="S592" s="5" t="s">
        <v>90</v>
      </c>
      <c r="T592" s="5" t="s">
        <v>44</v>
      </c>
      <c r="U592" s="5" t="s">
        <v>44</v>
      </c>
      <c r="V592" s="5" t="s">
        <v>44</v>
      </c>
      <c r="W592" s="5" t="s">
        <v>35</v>
      </c>
      <c r="X592" s="5" t="s">
        <v>2619</v>
      </c>
      <c r="Y592" s="5" t="s">
        <v>46</v>
      </c>
      <c r="Z592" s="5" t="s">
        <v>357</v>
      </c>
      <c r="AA592" s="5" t="s">
        <v>64</v>
      </c>
      <c r="AB592" s="5" t="s">
        <v>2700</v>
      </c>
      <c r="AC592" s="6" t="s">
        <v>50</v>
      </c>
      <c r="AD592" s="6">
        <v>3252.0</v>
      </c>
    </row>
    <row r="593" ht="56.25" customHeight="1">
      <c r="A593" s="5" t="s">
        <v>2695</v>
      </c>
      <c r="B593" s="6" t="str">
        <f>IMAGE("https://storage.googleapis.com/acdb/miscellaneous/FtrTV50inch_Remake_1_0.png")</f>
        <v/>
      </c>
      <c r="C593" s="5" t="s">
        <v>57</v>
      </c>
      <c r="D593" s="5" t="s">
        <v>34</v>
      </c>
      <c r="E593" s="5" t="s">
        <v>34</v>
      </c>
      <c r="F593" s="5" t="s">
        <v>34</v>
      </c>
      <c r="G593" s="5" t="s">
        <v>36</v>
      </c>
      <c r="H593" s="5" t="s">
        <v>36</v>
      </c>
      <c r="I593" s="5" t="s">
        <v>36</v>
      </c>
      <c r="J593" s="6" t="s">
        <v>34</v>
      </c>
      <c r="K593" s="6">
        <v>99000.0</v>
      </c>
      <c r="L593" s="6">
        <v>24750.0</v>
      </c>
      <c r="M593" s="5" t="s">
        <v>57</v>
      </c>
      <c r="N593" s="5" t="s">
        <v>57</v>
      </c>
      <c r="O593" s="6" t="s">
        <v>276</v>
      </c>
      <c r="P593" s="5" t="s">
        <v>59</v>
      </c>
      <c r="Q593" s="5" t="s">
        <v>115</v>
      </c>
      <c r="R593" s="6" t="s">
        <v>42</v>
      </c>
      <c r="S593" s="5" t="s">
        <v>90</v>
      </c>
      <c r="T593" s="5" t="s">
        <v>44</v>
      </c>
      <c r="U593" s="5" t="s">
        <v>44</v>
      </c>
      <c r="V593" s="5" t="s">
        <v>44</v>
      </c>
      <c r="W593" s="5" t="s">
        <v>35</v>
      </c>
      <c r="X593" s="5" t="s">
        <v>2619</v>
      </c>
      <c r="Y593" s="5" t="s">
        <v>46</v>
      </c>
      <c r="Z593" s="5" t="s">
        <v>357</v>
      </c>
      <c r="AA593" s="5" t="s">
        <v>64</v>
      </c>
      <c r="AB593" s="5" t="s">
        <v>2704</v>
      </c>
      <c r="AC593" s="6" t="s">
        <v>56</v>
      </c>
      <c r="AD593" s="6">
        <v>3252.0</v>
      </c>
    </row>
    <row r="594" ht="56.25" customHeight="1">
      <c r="A594" s="5" t="s">
        <v>2695</v>
      </c>
      <c r="B594" s="6" t="str">
        <f>IMAGE("https://storage.googleapis.com/acdb/miscellaneous/FtrTV50inch_Remake_2_0.png")</f>
        <v/>
      </c>
      <c r="C594" s="5" t="s">
        <v>146</v>
      </c>
      <c r="D594" s="5" t="s">
        <v>34</v>
      </c>
      <c r="E594" s="5" t="s">
        <v>34</v>
      </c>
      <c r="F594" s="5" t="s">
        <v>34</v>
      </c>
      <c r="G594" s="5" t="s">
        <v>36</v>
      </c>
      <c r="H594" s="5" t="s">
        <v>36</v>
      </c>
      <c r="I594" s="5" t="s">
        <v>36</v>
      </c>
      <c r="J594" s="6" t="s">
        <v>34</v>
      </c>
      <c r="K594" s="6">
        <v>99000.0</v>
      </c>
      <c r="L594" s="6">
        <v>24750.0</v>
      </c>
      <c r="M594" s="5" t="s">
        <v>95</v>
      </c>
      <c r="N594" s="5" t="s">
        <v>95</v>
      </c>
      <c r="O594" s="6" t="s">
        <v>276</v>
      </c>
      <c r="P594" s="5" t="s">
        <v>59</v>
      </c>
      <c r="Q594" s="5" t="s">
        <v>115</v>
      </c>
      <c r="R594" s="6" t="s">
        <v>42</v>
      </c>
      <c r="S594" s="5" t="s">
        <v>90</v>
      </c>
      <c r="T594" s="5" t="s">
        <v>44</v>
      </c>
      <c r="U594" s="5" t="s">
        <v>44</v>
      </c>
      <c r="V594" s="5" t="s">
        <v>44</v>
      </c>
      <c r="W594" s="5" t="s">
        <v>35</v>
      </c>
      <c r="X594" s="5" t="s">
        <v>2619</v>
      </c>
      <c r="Y594" s="5" t="s">
        <v>46</v>
      </c>
      <c r="Z594" s="5" t="s">
        <v>357</v>
      </c>
      <c r="AA594" s="5" t="s">
        <v>64</v>
      </c>
      <c r="AB594" s="5" t="s">
        <v>2709</v>
      </c>
      <c r="AC594" s="6" t="s">
        <v>67</v>
      </c>
      <c r="AD594" s="6">
        <v>3252.0</v>
      </c>
    </row>
    <row r="595" ht="56.25" customHeight="1">
      <c r="A595" s="5" t="s">
        <v>2695</v>
      </c>
      <c r="B595" s="6" t="str">
        <f>IMAGE("https://storage.googleapis.com/acdb/miscellaneous/FtrTV50inch_Remake_3_0.png")</f>
        <v/>
      </c>
      <c r="C595" s="5" t="s">
        <v>52</v>
      </c>
      <c r="D595" s="5" t="s">
        <v>34</v>
      </c>
      <c r="E595" s="5" t="s">
        <v>34</v>
      </c>
      <c r="F595" s="5" t="s">
        <v>34</v>
      </c>
      <c r="G595" s="5" t="s">
        <v>36</v>
      </c>
      <c r="H595" s="5" t="s">
        <v>36</v>
      </c>
      <c r="I595" s="5" t="s">
        <v>36</v>
      </c>
      <c r="J595" s="6" t="s">
        <v>34</v>
      </c>
      <c r="K595" s="6">
        <v>99000.0</v>
      </c>
      <c r="L595" s="6">
        <v>24750.0</v>
      </c>
      <c r="M595" s="5" t="s">
        <v>52</v>
      </c>
      <c r="N595" s="5" t="s">
        <v>52</v>
      </c>
      <c r="O595" s="6" t="s">
        <v>276</v>
      </c>
      <c r="P595" s="5" t="s">
        <v>59</v>
      </c>
      <c r="Q595" s="5" t="s">
        <v>115</v>
      </c>
      <c r="R595" s="6" t="s">
        <v>42</v>
      </c>
      <c r="S595" s="5" t="s">
        <v>90</v>
      </c>
      <c r="T595" s="5" t="s">
        <v>44</v>
      </c>
      <c r="U595" s="5" t="s">
        <v>44</v>
      </c>
      <c r="V595" s="5" t="s">
        <v>44</v>
      </c>
      <c r="W595" s="5" t="s">
        <v>35</v>
      </c>
      <c r="X595" s="5" t="s">
        <v>2619</v>
      </c>
      <c r="Y595" s="5" t="s">
        <v>46</v>
      </c>
      <c r="Z595" s="5" t="s">
        <v>357</v>
      </c>
      <c r="AA595" s="5" t="s">
        <v>64</v>
      </c>
      <c r="AB595" s="5" t="s">
        <v>2714</v>
      </c>
      <c r="AC595" s="6" t="s">
        <v>71</v>
      </c>
      <c r="AD595" s="6">
        <v>3252.0</v>
      </c>
    </row>
    <row r="596" ht="56.25" customHeight="1">
      <c r="A596" s="5" t="s">
        <v>2695</v>
      </c>
      <c r="B596" s="6" t="str">
        <f>IMAGE("https://storage.googleapis.com/acdb/miscellaneous/FtrTV50inch_Remake_4_0.png")</f>
        <v/>
      </c>
      <c r="C596" s="5" t="s">
        <v>68</v>
      </c>
      <c r="D596" s="5" t="s">
        <v>34</v>
      </c>
      <c r="E596" s="5" t="s">
        <v>34</v>
      </c>
      <c r="F596" s="5" t="s">
        <v>34</v>
      </c>
      <c r="G596" s="5" t="s">
        <v>36</v>
      </c>
      <c r="H596" s="5" t="s">
        <v>36</v>
      </c>
      <c r="I596" s="5" t="s">
        <v>36</v>
      </c>
      <c r="J596" s="6" t="s">
        <v>34</v>
      </c>
      <c r="K596" s="6">
        <v>99000.0</v>
      </c>
      <c r="L596" s="6">
        <v>24750.0</v>
      </c>
      <c r="M596" s="5" t="s">
        <v>68</v>
      </c>
      <c r="N596" s="5" t="s">
        <v>68</v>
      </c>
      <c r="O596" s="6" t="s">
        <v>276</v>
      </c>
      <c r="P596" s="5" t="s">
        <v>59</v>
      </c>
      <c r="Q596" s="5" t="s">
        <v>115</v>
      </c>
      <c r="R596" s="6" t="s">
        <v>42</v>
      </c>
      <c r="S596" s="5" t="s">
        <v>90</v>
      </c>
      <c r="T596" s="5" t="s">
        <v>44</v>
      </c>
      <c r="U596" s="5" t="s">
        <v>44</v>
      </c>
      <c r="V596" s="5" t="s">
        <v>44</v>
      </c>
      <c r="W596" s="5" t="s">
        <v>35</v>
      </c>
      <c r="X596" s="5" t="s">
        <v>2619</v>
      </c>
      <c r="Y596" s="5" t="s">
        <v>46</v>
      </c>
      <c r="Z596" s="5" t="s">
        <v>357</v>
      </c>
      <c r="AA596" s="5" t="s">
        <v>64</v>
      </c>
      <c r="AB596" s="5" t="s">
        <v>2719</v>
      </c>
      <c r="AC596" s="6" t="s">
        <v>75</v>
      </c>
      <c r="AD596" s="6">
        <v>3252.0</v>
      </c>
    </row>
    <row r="597" ht="56.25" customHeight="1">
      <c r="A597" s="5" t="s">
        <v>2720</v>
      </c>
      <c r="B597" s="16" t="str">
        <f>IMAGE("https://storage.googleapis.com/acdb/miscellaneous/FtrZodiacLibra.png")</f>
        <v/>
      </c>
      <c r="C597" s="5" t="s">
        <v>34</v>
      </c>
      <c r="D597" s="5" t="s">
        <v>34</v>
      </c>
      <c r="E597" s="5" t="s">
        <v>34</v>
      </c>
      <c r="F597" s="5" t="s">
        <v>34</v>
      </c>
      <c r="G597" s="5" t="s">
        <v>35</v>
      </c>
      <c r="H597" s="5" t="s">
        <v>36</v>
      </c>
      <c r="I597" s="5" t="s">
        <v>36</v>
      </c>
      <c r="J597" s="6" t="s">
        <v>34</v>
      </c>
      <c r="K597" s="6" t="s">
        <v>37</v>
      </c>
      <c r="L597" s="6">
        <v>21750.0</v>
      </c>
      <c r="M597" s="5" t="s">
        <v>114</v>
      </c>
      <c r="N597" s="5" t="s">
        <v>114</v>
      </c>
      <c r="O597" s="6" t="s">
        <v>40</v>
      </c>
      <c r="P597" s="5" t="s">
        <v>41</v>
      </c>
      <c r="Q597" s="5"/>
      <c r="R597" s="6" t="s">
        <v>42</v>
      </c>
      <c r="S597" s="5" t="s">
        <v>116</v>
      </c>
      <c r="T597" s="5" t="s">
        <v>44</v>
      </c>
      <c r="U597" s="5" t="s">
        <v>349</v>
      </c>
      <c r="V597" s="5" t="s">
        <v>44</v>
      </c>
      <c r="W597" s="5" t="s">
        <v>35</v>
      </c>
      <c r="X597" s="5" t="s">
        <v>921</v>
      </c>
      <c r="Y597" s="5" t="s">
        <v>46</v>
      </c>
      <c r="Z597" s="5" t="s">
        <v>47</v>
      </c>
      <c r="AA597" s="5" t="s">
        <v>48</v>
      </c>
      <c r="AB597" s="5" t="s">
        <v>2724</v>
      </c>
      <c r="AC597" s="6" t="s">
        <v>34</v>
      </c>
      <c r="AD597" s="6">
        <v>3774.0</v>
      </c>
    </row>
    <row r="598" ht="56.25" customHeight="1">
      <c r="A598" s="5" t="s">
        <v>2726</v>
      </c>
      <c r="B598" s="6" t="str">
        <f>IMAGE("https://storage.googleapis.com/acdb/miscellaneous/FtrLifebelt_Remake_0_0.png")</f>
        <v/>
      </c>
      <c r="C598" s="5" t="s">
        <v>52</v>
      </c>
      <c r="D598" s="5" t="s">
        <v>34</v>
      </c>
      <c r="E598" s="5" t="s">
        <v>34</v>
      </c>
      <c r="F598" s="5" t="s">
        <v>34</v>
      </c>
      <c r="G598" s="5" t="s">
        <v>36</v>
      </c>
      <c r="H598" s="5" t="s">
        <v>36</v>
      </c>
      <c r="I598" s="5" t="s">
        <v>36</v>
      </c>
      <c r="J598" s="6" t="s">
        <v>34</v>
      </c>
      <c r="K598" s="6">
        <v>360.0</v>
      </c>
      <c r="L598" s="6">
        <v>90.0</v>
      </c>
      <c r="M598" s="5" t="s">
        <v>52</v>
      </c>
      <c r="N598" s="5" t="s">
        <v>57</v>
      </c>
      <c r="O598" s="6" t="s">
        <v>40</v>
      </c>
      <c r="P598" s="5" t="s">
        <v>59</v>
      </c>
      <c r="Q598" s="5" t="s">
        <v>554</v>
      </c>
      <c r="R598" s="6" t="s">
        <v>42</v>
      </c>
      <c r="S598" s="5" t="s">
        <v>138</v>
      </c>
      <c r="T598" s="5" t="s">
        <v>44</v>
      </c>
      <c r="U598" s="5" t="s">
        <v>44</v>
      </c>
      <c r="V598" s="5" t="s">
        <v>44</v>
      </c>
      <c r="W598" s="5" t="s">
        <v>35</v>
      </c>
      <c r="X598" s="5" t="s">
        <v>248</v>
      </c>
      <c r="Y598" s="5" t="s">
        <v>46</v>
      </c>
      <c r="Z598" s="5" t="s">
        <v>47</v>
      </c>
      <c r="AA598" s="5" t="s">
        <v>64</v>
      </c>
      <c r="AB598" s="5" t="s">
        <v>2730</v>
      </c>
      <c r="AC598" s="6" t="s">
        <v>50</v>
      </c>
      <c r="AD598" s="6">
        <v>7148.0</v>
      </c>
    </row>
    <row r="599" ht="56.25" customHeight="1">
      <c r="A599" s="5" t="s">
        <v>2726</v>
      </c>
      <c r="B599" s="6" t="str">
        <f>IMAGE("https://storage.googleapis.com/acdb/miscellaneous/FtrLifebelt_Remake_1_0.png")</f>
        <v/>
      </c>
      <c r="C599" s="5" t="s">
        <v>68</v>
      </c>
      <c r="D599" s="5" t="s">
        <v>34</v>
      </c>
      <c r="E599" s="5" t="s">
        <v>34</v>
      </c>
      <c r="F599" s="5" t="s">
        <v>34</v>
      </c>
      <c r="G599" s="5" t="s">
        <v>36</v>
      </c>
      <c r="H599" s="5" t="s">
        <v>36</v>
      </c>
      <c r="I599" s="5" t="s">
        <v>36</v>
      </c>
      <c r="J599" s="6" t="s">
        <v>34</v>
      </c>
      <c r="K599" s="6">
        <v>360.0</v>
      </c>
      <c r="L599" s="6">
        <v>90.0</v>
      </c>
      <c r="M599" s="5" t="s">
        <v>68</v>
      </c>
      <c r="N599" s="5" t="s">
        <v>57</v>
      </c>
      <c r="O599" s="6" t="s">
        <v>40</v>
      </c>
      <c r="P599" s="5" t="s">
        <v>59</v>
      </c>
      <c r="Q599" s="5" t="s">
        <v>554</v>
      </c>
      <c r="R599" s="6" t="s">
        <v>42</v>
      </c>
      <c r="S599" s="5" t="s">
        <v>138</v>
      </c>
      <c r="T599" s="5" t="s">
        <v>44</v>
      </c>
      <c r="U599" s="5" t="s">
        <v>44</v>
      </c>
      <c r="V599" s="5" t="s">
        <v>44</v>
      </c>
      <c r="W599" s="5" t="s">
        <v>35</v>
      </c>
      <c r="X599" s="5" t="s">
        <v>248</v>
      </c>
      <c r="Y599" s="5" t="s">
        <v>46</v>
      </c>
      <c r="Z599" s="5" t="s">
        <v>47</v>
      </c>
      <c r="AA599" s="5" t="s">
        <v>64</v>
      </c>
      <c r="AB599" s="5" t="s">
        <v>2733</v>
      </c>
      <c r="AC599" s="6" t="s">
        <v>56</v>
      </c>
      <c r="AD599" s="6">
        <v>7148.0</v>
      </c>
    </row>
    <row r="600" ht="56.25" customHeight="1">
      <c r="A600" s="5" t="s">
        <v>2726</v>
      </c>
      <c r="B600" s="6" t="str">
        <f>IMAGE("https://storage.googleapis.com/acdb/miscellaneous/FtrLifebelt_Remake_2_0.png")</f>
        <v/>
      </c>
      <c r="C600" s="5" t="s">
        <v>114</v>
      </c>
      <c r="D600" s="5" t="s">
        <v>34</v>
      </c>
      <c r="E600" s="5" t="s">
        <v>34</v>
      </c>
      <c r="F600" s="5" t="s">
        <v>34</v>
      </c>
      <c r="G600" s="5" t="s">
        <v>36</v>
      </c>
      <c r="H600" s="5" t="s">
        <v>36</v>
      </c>
      <c r="I600" s="5" t="s">
        <v>36</v>
      </c>
      <c r="J600" s="6" t="s">
        <v>34</v>
      </c>
      <c r="K600" s="6">
        <v>360.0</v>
      </c>
      <c r="L600" s="6">
        <v>90.0</v>
      </c>
      <c r="M600" s="5" t="s">
        <v>114</v>
      </c>
      <c r="N600" s="5" t="s">
        <v>57</v>
      </c>
      <c r="O600" s="6" t="s">
        <v>40</v>
      </c>
      <c r="P600" s="5" t="s">
        <v>59</v>
      </c>
      <c r="Q600" s="5" t="s">
        <v>554</v>
      </c>
      <c r="R600" s="6" t="s">
        <v>42</v>
      </c>
      <c r="S600" s="5" t="s">
        <v>138</v>
      </c>
      <c r="T600" s="5" t="s">
        <v>44</v>
      </c>
      <c r="U600" s="5" t="s">
        <v>44</v>
      </c>
      <c r="V600" s="5" t="s">
        <v>44</v>
      </c>
      <c r="W600" s="5" t="s">
        <v>35</v>
      </c>
      <c r="X600" s="5" t="s">
        <v>248</v>
      </c>
      <c r="Y600" s="5" t="s">
        <v>46</v>
      </c>
      <c r="Z600" s="5" t="s">
        <v>47</v>
      </c>
      <c r="AA600" s="5" t="s">
        <v>64</v>
      </c>
      <c r="AB600" s="5" t="s">
        <v>2737</v>
      </c>
      <c r="AC600" s="6" t="s">
        <v>67</v>
      </c>
      <c r="AD600" s="6">
        <v>7148.0</v>
      </c>
    </row>
    <row r="601" ht="56.25" customHeight="1">
      <c r="A601" s="5" t="s">
        <v>2726</v>
      </c>
      <c r="B601" s="6" t="str">
        <f>IMAGE("https://storage.googleapis.com/acdb/miscellaneous/FtrLifebelt_Remake_3_0.png")</f>
        <v/>
      </c>
      <c r="C601" s="5" t="s">
        <v>142</v>
      </c>
      <c r="D601" s="5" t="s">
        <v>34</v>
      </c>
      <c r="E601" s="5" t="s">
        <v>34</v>
      </c>
      <c r="F601" s="5" t="s">
        <v>34</v>
      </c>
      <c r="G601" s="5" t="s">
        <v>36</v>
      </c>
      <c r="H601" s="5" t="s">
        <v>36</v>
      </c>
      <c r="I601" s="5" t="s">
        <v>36</v>
      </c>
      <c r="J601" s="6" t="s">
        <v>34</v>
      </c>
      <c r="K601" s="6">
        <v>360.0</v>
      </c>
      <c r="L601" s="6">
        <v>90.0</v>
      </c>
      <c r="M601" s="5" t="s">
        <v>142</v>
      </c>
      <c r="N601" s="5" t="s">
        <v>57</v>
      </c>
      <c r="O601" s="6" t="s">
        <v>40</v>
      </c>
      <c r="P601" s="5" t="s">
        <v>59</v>
      </c>
      <c r="Q601" s="5" t="s">
        <v>554</v>
      </c>
      <c r="R601" s="6" t="s">
        <v>42</v>
      </c>
      <c r="S601" s="5" t="s">
        <v>138</v>
      </c>
      <c r="T601" s="5" t="s">
        <v>44</v>
      </c>
      <c r="U601" s="5" t="s">
        <v>44</v>
      </c>
      <c r="V601" s="5" t="s">
        <v>44</v>
      </c>
      <c r="W601" s="5" t="s">
        <v>35</v>
      </c>
      <c r="X601" s="5" t="s">
        <v>248</v>
      </c>
      <c r="Y601" s="5" t="s">
        <v>46</v>
      </c>
      <c r="Z601" s="5" t="s">
        <v>47</v>
      </c>
      <c r="AA601" s="5" t="s">
        <v>64</v>
      </c>
      <c r="AB601" s="5" t="s">
        <v>2739</v>
      </c>
      <c r="AC601" s="6" t="s">
        <v>71</v>
      </c>
      <c r="AD601" s="6">
        <v>7148.0</v>
      </c>
    </row>
    <row r="602" ht="56.25" customHeight="1">
      <c r="A602" s="5" t="s">
        <v>2741</v>
      </c>
      <c r="B602" s="16" t="str">
        <f>IMAGE("https://storage.googleapis.com/acdb/miscellaneous/FtrFishDojouToy.png")</f>
        <v/>
      </c>
      <c r="C602" s="5" t="s">
        <v>34</v>
      </c>
      <c r="D602" s="5" t="s">
        <v>34</v>
      </c>
      <c r="E602" s="5" t="s">
        <v>34</v>
      </c>
      <c r="F602" s="5" t="s">
        <v>34</v>
      </c>
      <c r="G602" s="5" t="s">
        <v>36</v>
      </c>
      <c r="H602" s="5" t="s">
        <v>36</v>
      </c>
      <c r="I602" s="5" t="s">
        <v>36</v>
      </c>
      <c r="J602" s="6" t="s">
        <v>34</v>
      </c>
      <c r="K602" s="6" t="s">
        <v>37</v>
      </c>
      <c r="L602" s="6">
        <v>1200.0</v>
      </c>
      <c r="M602" s="5" t="s">
        <v>39</v>
      </c>
      <c r="N602" s="5" t="s">
        <v>54</v>
      </c>
      <c r="O602" s="6" t="s">
        <v>40</v>
      </c>
      <c r="P602" s="5" t="s">
        <v>213</v>
      </c>
      <c r="Q602" s="5" t="s">
        <v>215</v>
      </c>
      <c r="R602" s="6" t="s">
        <v>42</v>
      </c>
      <c r="S602" s="5" t="s">
        <v>44</v>
      </c>
      <c r="T602" s="5" t="s">
        <v>44</v>
      </c>
      <c r="U602" s="5" t="s">
        <v>44</v>
      </c>
      <c r="V602" s="5" t="s">
        <v>44</v>
      </c>
      <c r="W602" s="5" t="s">
        <v>36</v>
      </c>
      <c r="X602" s="5" t="s">
        <v>219</v>
      </c>
      <c r="Y602" s="5" t="s">
        <v>46</v>
      </c>
      <c r="Z602" s="5" t="s">
        <v>47</v>
      </c>
      <c r="AA602" s="5" t="s">
        <v>48</v>
      </c>
      <c r="AB602" s="5" t="s">
        <v>2745</v>
      </c>
      <c r="AC602" s="6" t="s">
        <v>34</v>
      </c>
      <c r="AD602" s="6">
        <v>6944.0</v>
      </c>
    </row>
    <row r="603" ht="56.25" customHeight="1">
      <c r="A603" s="5" t="s">
        <v>2746</v>
      </c>
      <c r="B603" s="16" t="str">
        <f>IMAGE("https://storage.googleapis.com/acdb/miscellaneous/FtrInsectShoryobattaToy.png")</f>
        <v/>
      </c>
      <c r="C603" s="5" t="s">
        <v>34</v>
      </c>
      <c r="D603" s="5" t="s">
        <v>34</v>
      </c>
      <c r="E603" s="5" t="s">
        <v>34</v>
      </c>
      <c r="F603" s="5" t="s">
        <v>34</v>
      </c>
      <c r="G603" s="5" t="s">
        <v>36</v>
      </c>
      <c r="H603" s="5" t="s">
        <v>36</v>
      </c>
      <c r="I603" s="5" t="s">
        <v>36</v>
      </c>
      <c r="J603" s="6" t="s">
        <v>34</v>
      </c>
      <c r="K603" s="6" t="s">
        <v>37</v>
      </c>
      <c r="L603" s="6">
        <v>600.0</v>
      </c>
      <c r="M603" s="5" t="s">
        <v>96</v>
      </c>
      <c r="N603" s="5" t="s">
        <v>96</v>
      </c>
      <c r="O603" s="6" t="s">
        <v>40</v>
      </c>
      <c r="P603" s="5" t="s">
        <v>107</v>
      </c>
      <c r="Q603" s="5" t="s">
        <v>108</v>
      </c>
      <c r="R603" s="6" t="s">
        <v>42</v>
      </c>
      <c r="S603" s="5" t="s">
        <v>44</v>
      </c>
      <c r="T603" s="5" t="s">
        <v>44</v>
      </c>
      <c r="U603" s="5" t="s">
        <v>44</v>
      </c>
      <c r="V603" s="5" t="s">
        <v>44</v>
      </c>
      <c r="W603" s="5" t="s">
        <v>36</v>
      </c>
      <c r="X603" s="5" t="s">
        <v>109</v>
      </c>
      <c r="Y603" s="5" t="s">
        <v>46</v>
      </c>
      <c r="Z603" s="5" t="s">
        <v>47</v>
      </c>
      <c r="AA603" s="5" t="s">
        <v>48</v>
      </c>
      <c r="AB603" s="5" t="s">
        <v>2750</v>
      </c>
      <c r="AC603" s="6" t="s">
        <v>34</v>
      </c>
      <c r="AD603" s="6">
        <v>7097.0</v>
      </c>
    </row>
    <row r="604" ht="56.25" customHeight="1">
      <c r="A604" s="5" t="s">
        <v>2751</v>
      </c>
      <c r="B604" s="6" t="str">
        <f>IMAGE("https://storage.googleapis.com/acdb/miscellaneous/FtrManekineko_Remake_0_0.png")</f>
        <v/>
      </c>
      <c r="C604" s="5" t="s">
        <v>57</v>
      </c>
      <c r="D604" s="5" t="s">
        <v>2</v>
      </c>
      <c r="E604" s="5" t="s">
        <v>34</v>
      </c>
      <c r="F604" s="5" t="s">
        <v>34</v>
      </c>
      <c r="G604" s="5" t="s">
        <v>36</v>
      </c>
      <c r="H604" s="5" t="s">
        <v>35</v>
      </c>
      <c r="I604" s="5" t="s">
        <v>36</v>
      </c>
      <c r="J604" s="6">
        <v>3.0</v>
      </c>
      <c r="K604" s="6" t="s">
        <v>37</v>
      </c>
      <c r="L604" s="6">
        <v>1675.0</v>
      </c>
      <c r="M604" s="5" t="s">
        <v>57</v>
      </c>
      <c r="N604" s="5" t="s">
        <v>114</v>
      </c>
      <c r="O604" s="6" t="s">
        <v>40</v>
      </c>
      <c r="P604" s="5" t="s">
        <v>1284</v>
      </c>
      <c r="Q604" s="5"/>
      <c r="R604" s="6" t="s">
        <v>42</v>
      </c>
      <c r="S604" s="5" t="s">
        <v>696</v>
      </c>
      <c r="T604" s="5" t="s">
        <v>266</v>
      </c>
      <c r="U604" s="5" t="s">
        <v>44</v>
      </c>
      <c r="V604" s="5" t="s">
        <v>44</v>
      </c>
      <c r="W604" s="5" t="s">
        <v>36</v>
      </c>
      <c r="X604" s="5" t="s">
        <v>194</v>
      </c>
      <c r="Y604" s="5" t="s">
        <v>46</v>
      </c>
      <c r="Z604" s="5" t="s">
        <v>47</v>
      </c>
      <c r="AA604" s="5" t="s">
        <v>48</v>
      </c>
      <c r="AB604" s="5" t="s">
        <v>2753</v>
      </c>
      <c r="AC604" s="6" t="s">
        <v>50</v>
      </c>
      <c r="AD604" s="6">
        <v>131.0</v>
      </c>
    </row>
    <row r="605" ht="56.25" customHeight="1">
      <c r="A605" s="5" t="s">
        <v>2751</v>
      </c>
      <c r="B605" s="6" t="str">
        <f>IMAGE("https://storage.googleapis.com/acdb/miscellaneous/FtrManekineko_Remake_1_0.png")</f>
        <v/>
      </c>
      <c r="C605" s="5" t="s">
        <v>54</v>
      </c>
      <c r="D605" s="5" t="s">
        <v>2</v>
      </c>
      <c r="E605" s="5" t="s">
        <v>34</v>
      </c>
      <c r="F605" s="5" t="s">
        <v>34</v>
      </c>
      <c r="G605" s="5" t="s">
        <v>36</v>
      </c>
      <c r="H605" s="5" t="s">
        <v>35</v>
      </c>
      <c r="I605" s="5" t="s">
        <v>36</v>
      </c>
      <c r="J605" s="6">
        <v>3.0</v>
      </c>
      <c r="K605" s="6" t="s">
        <v>37</v>
      </c>
      <c r="L605" s="6">
        <v>1675.0</v>
      </c>
      <c r="M605" s="5" t="s">
        <v>54</v>
      </c>
      <c r="N605" s="5" t="s">
        <v>114</v>
      </c>
      <c r="O605" s="6" t="s">
        <v>40</v>
      </c>
      <c r="P605" s="5" t="s">
        <v>1284</v>
      </c>
      <c r="Q605" s="5"/>
      <c r="R605" s="6" t="s">
        <v>42</v>
      </c>
      <c r="S605" s="5" t="s">
        <v>696</v>
      </c>
      <c r="T605" s="5" t="s">
        <v>266</v>
      </c>
      <c r="U605" s="5" t="s">
        <v>44</v>
      </c>
      <c r="V605" s="5" t="s">
        <v>44</v>
      </c>
      <c r="W605" s="5" t="s">
        <v>36</v>
      </c>
      <c r="X605" s="5" t="s">
        <v>194</v>
      </c>
      <c r="Y605" s="5" t="s">
        <v>46</v>
      </c>
      <c r="Z605" s="5" t="s">
        <v>47</v>
      </c>
      <c r="AA605" s="5" t="s">
        <v>48</v>
      </c>
      <c r="AB605" s="5" t="s">
        <v>2755</v>
      </c>
      <c r="AC605" s="6" t="s">
        <v>56</v>
      </c>
      <c r="AD605" s="6">
        <v>131.0</v>
      </c>
    </row>
    <row r="606" ht="56.25" customHeight="1">
      <c r="A606" s="5" t="s">
        <v>2756</v>
      </c>
      <c r="B606" s="16" t="str">
        <f>IMAGE("https://storage.googleapis.com/acdb/miscellaneous/FtrManekinekoGold.png")</f>
        <v/>
      </c>
      <c r="C606" s="5" t="s">
        <v>34</v>
      </c>
      <c r="D606" s="5" t="s">
        <v>34</v>
      </c>
      <c r="E606" s="5" t="s">
        <v>34</v>
      </c>
      <c r="F606" s="5" t="s">
        <v>34</v>
      </c>
      <c r="G606" s="5" t="s">
        <v>35</v>
      </c>
      <c r="H606" s="5" t="s">
        <v>36</v>
      </c>
      <c r="I606" s="5" t="s">
        <v>36</v>
      </c>
      <c r="J606" s="6" t="s">
        <v>34</v>
      </c>
      <c r="K606" s="6" t="s">
        <v>37</v>
      </c>
      <c r="L606" s="6">
        <v>21675.0</v>
      </c>
      <c r="M606" s="5" t="s">
        <v>114</v>
      </c>
      <c r="N606" s="5" t="s">
        <v>114</v>
      </c>
      <c r="O606" s="6" t="s">
        <v>40</v>
      </c>
      <c r="P606" s="5" t="s">
        <v>41</v>
      </c>
      <c r="Q606" s="5"/>
      <c r="R606" s="6" t="s">
        <v>42</v>
      </c>
      <c r="S606" s="5" t="s">
        <v>116</v>
      </c>
      <c r="T606" s="5" t="s">
        <v>44</v>
      </c>
      <c r="U606" s="5" t="s">
        <v>44</v>
      </c>
      <c r="V606" s="5" t="s">
        <v>44</v>
      </c>
      <c r="W606" s="5" t="s">
        <v>36</v>
      </c>
      <c r="X606" s="5" t="s">
        <v>194</v>
      </c>
      <c r="Y606" s="5" t="s">
        <v>46</v>
      </c>
      <c r="Z606" s="5" t="s">
        <v>47</v>
      </c>
      <c r="AA606" s="5" t="s">
        <v>48</v>
      </c>
      <c r="AB606" s="5" t="s">
        <v>2758</v>
      </c>
      <c r="AC606" s="6" t="s">
        <v>34</v>
      </c>
      <c r="AD606" s="6">
        <v>9814.0</v>
      </c>
    </row>
    <row r="607" ht="56.25" customHeight="1">
      <c r="A607" s="5" t="s">
        <v>2759</v>
      </c>
      <c r="B607" s="6" t="str">
        <f>IMAGE("https://storage.googleapis.com/acdb/miscellaneous/FtrInsectNishikiohtsubamegaToy.png")</f>
        <v/>
      </c>
      <c r="C607" s="5" t="s">
        <v>34</v>
      </c>
      <c r="D607" s="5" t="s">
        <v>34</v>
      </c>
      <c r="E607" s="5" t="s">
        <v>34</v>
      </c>
      <c r="F607" s="5" t="s">
        <v>34</v>
      </c>
      <c r="G607" s="5" t="s">
        <v>36</v>
      </c>
      <c r="H607" s="5" t="s">
        <v>36</v>
      </c>
      <c r="I607" s="5" t="s">
        <v>36</v>
      </c>
      <c r="J607" s="6" t="s">
        <v>34</v>
      </c>
      <c r="K607" s="6" t="s">
        <v>37</v>
      </c>
      <c r="L607" s="6">
        <v>7500.0</v>
      </c>
      <c r="M607" s="5" t="s">
        <v>96</v>
      </c>
      <c r="N607" s="5" t="s">
        <v>54</v>
      </c>
      <c r="O607" s="6" t="s">
        <v>40</v>
      </c>
      <c r="P607" s="5" t="s">
        <v>107</v>
      </c>
      <c r="Q607" s="5" t="s">
        <v>108</v>
      </c>
      <c r="R607" s="6" t="s">
        <v>42</v>
      </c>
      <c r="S607" s="5" t="s">
        <v>44</v>
      </c>
      <c r="T607" s="5" t="s">
        <v>44</v>
      </c>
      <c r="U607" s="5" t="s">
        <v>44</v>
      </c>
      <c r="V607" s="5" t="s">
        <v>44</v>
      </c>
      <c r="W607" s="5" t="s">
        <v>36</v>
      </c>
      <c r="X607" s="5" t="s">
        <v>109</v>
      </c>
      <c r="Y607" s="5" t="s">
        <v>46</v>
      </c>
      <c r="Z607" s="5" t="s">
        <v>47</v>
      </c>
      <c r="AA607" s="5" t="s">
        <v>48</v>
      </c>
      <c r="AB607" s="5" t="s">
        <v>2762</v>
      </c>
      <c r="AC607" s="6" t="s">
        <v>34</v>
      </c>
      <c r="AD607" s="6">
        <v>7117.0</v>
      </c>
    </row>
    <row r="608" ht="56.25" customHeight="1">
      <c r="A608" s="5" t="s">
        <v>2763</v>
      </c>
      <c r="B608" s="6" t="str">
        <f>IMAGE("https://storage.googleapis.com/acdb/miscellaneous/FtrMagagineOpened_Remake_0_0.png")</f>
        <v/>
      </c>
      <c r="C608" s="5" t="s">
        <v>34</v>
      </c>
      <c r="D608" s="5" t="s">
        <v>34</v>
      </c>
      <c r="E608" s="5" t="s">
        <v>2765</v>
      </c>
      <c r="F608" s="5" t="s">
        <v>2766</v>
      </c>
      <c r="G608" s="5" t="s">
        <v>36</v>
      </c>
      <c r="H608" s="5" t="s">
        <v>36</v>
      </c>
      <c r="I608" s="5" t="s">
        <v>35</v>
      </c>
      <c r="J608" s="6">
        <v>1.0</v>
      </c>
      <c r="K608" s="6">
        <v>210.0</v>
      </c>
      <c r="L608" s="6">
        <v>52.0</v>
      </c>
      <c r="M608" s="5" t="s">
        <v>57</v>
      </c>
      <c r="N608" s="5" t="s">
        <v>114</v>
      </c>
      <c r="O608" s="6" t="s">
        <v>40</v>
      </c>
      <c r="P608" s="5" t="s">
        <v>59</v>
      </c>
      <c r="Q608" s="5" t="s">
        <v>60</v>
      </c>
      <c r="R608" s="6" t="s">
        <v>42</v>
      </c>
      <c r="S608" s="5" t="s">
        <v>90</v>
      </c>
      <c r="T608" s="5" t="s">
        <v>99</v>
      </c>
      <c r="U608" s="5" t="s">
        <v>44</v>
      </c>
      <c r="V608" s="5" t="s">
        <v>44</v>
      </c>
      <c r="W608" s="5" t="s">
        <v>36</v>
      </c>
      <c r="X608" s="5" t="s">
        <v>203</v>
      </c>
      <c r="Y608" s="5" t="s">
        <v>46</v>
      </c>
      <c r="Z608" s="5" t="s">
        <v>47</v>
      </c>
      <c r="AA608" s="5" t="s">
        <v>64</v>
      </c>
      <c r="AB608" s="5" t="s">
        <v>2767</v>
      </c>
      <c r="AC608" s="6" t="s">
        <v>50</v>
      </c>
      <c r="AD608" s="6">
        <v>3586.0</v>
      </c>
    </row>
    <row r="609" ht="56.25" customHeight="1">
      <c r="A609" s="5" t="s">
        <v>2763</v>
      </c>
      <c r="B609" s="6" t="str">
        <f>IMAGE("https://storage.googleapis.com/acdb/miscellaneous/FtrMagagineOpened_Remake_0_1.png")</f>
        <v/>
      </c>
      <c r="C609" s="5" t="s">
        <v>34</v>
      </c>
      <c r="D609" s="5" t="s">
        <v>34</v>
      </c>
      <c r="E609" s="5" t="s">
        <v>2769</v>
      </c>
      <c r="F609" s="5" t="s">
        <v>2766</v>
      </c>
      <c r="G609" s="5" t="s">
        <v>36</v>
      </c>
      <c r="H609" s="5" t="s">
        <v>36</v>
      </c>
      <c r="I609" s="5" t="s">
        <v>35</v>
      </c>
      <c r="J609" s="6">
        <v>1.0</v>
      </c>
      <c r="K609" s="6">
        <v>210.0</v>
      </c>
      <c r="L609" s="6">
        <v>52.0</v>
      </c>
      <c r="M609" s="5" t="s">
        <v>57</v>
      </c>
      <c r="N609" s="5" t="s">
        <v>52</v>
      </c>
      <c r="O609" s="6" t="s">
        <v>40</v>
      </c>
      <c r="P609" s="5" t="s">
        <v>59</v>
      </c>
      <c r="Q609" s="5" t="s">
        <v>60</v>
      </c>
      <c r="R609" s="6" t="s">
        <v>42</v>
      </c>
      <c r="S609" s="5" t="s">
        <v>90</v>
      </c>
      <c r="T609" s="5" t="s">
        <v>99</v>
      </c>
      <c r="U609" s="5" t="s">
        <v>44</v>
      </c>
      <c r="V609" s="5" t="s">
        <v>44</v>
      </c>
      <c r="W609" s="5" t="s">
        <v>36</v>
      </c>
      <c r="X609" s="5" t="s">
        <v>203</v>
      </c>
      <c r="Y609" s="5" t="s">
        <v>46</v>
      </c>
      <c r="Z609" s="5" t="s">
        <v>47</v>
      </c>
      <c r="AA609" s="5" t="s">
        <v>64</v>
      </c>
      <c r="AB609" s="5" t="s">
        <v>2771</v>
      </c>
      <c r="AC609" s="6" t="s">
        <v>217</v>
      </c>
      <c r="AD609" s="6">
        <v>3586.0</v>
      </c>
    </row>
    <row r="610" ht="56.25" customHeight="1">
      <c r="A610" s="5" t="s">
        <v>2763</v>
      </c>
      <c r="B610" s="6" t="str">
        <f>IMAGE("https://storage.googleapis.com/acdb/miscellaneous/FtrMagagineOpened_Remake_0_2.png")</f>
        <v/>
      </c>
      <c r="C610" s="5" t="s">
        <v>34</v>
      </c>
      <c r="D610" s="5" t="s">
        <v>34</v>
      </c>
      <c r="E610" s="5" t="s">
        <v>2774</v>
      </c>
      <c r="F610" s="5" t="s">
        <v>2766</v>
      </c>
      <c r="G610" s="5" t="s">
        <v>36</v>
      </c>
      <c r="H610" s="5" t="s">
        <v>36</v>
      </c>
      <c r="I610" s="5" t="s">
        <v>35</v>
      </c>
      <c r="J610" s="6">
        <v>1.0</v>
      </c>
      <c r="K610" s="6">
        <v>210.0</v>
      </c>
      <c r="L610" s="6">
        <v>52.0</v>
      </c>
      <c r="M610" s="5" t="s">
        <v>57</v>
      </c>
      <c r="N610" s="5" t="s">
        <v>106</v>
      </c>
      <c r="O610" s="6" t="s">
        <v>40</v>
      </c>
      <c r="P610" s="5" t="s">
        <v>59</v>
      </c>
      <c r="Q610" s="5" t="s">
        <v>60</v>
      </c>
      <c r="R610" s="6" t="s">
        <v>42</v>
      </c>
      <c r="S610" s="5" t="s">
        <v>90</v>
      </c>
      <c r="T610" s="5" t="s">
        <v>99</v>
      </c>
      <c r="U610" s="5" t="s">
        <v>44</v>
      </c>
      <c r="V610" s="5" t="s">
        <v>44</v>
      </c>
      <c r="W610" s="5" t="s">
        <v>36</v>
      </c>
      <c r="X610" s="5" t="s">
        <v>203</v>
      </c>
      <c r="Y610" s="5" t="s">
        <v>46</v>
      </c>
      <c r="Z610" s="5" t="s">
        <v>47</v>
      </c>
      <c r="AA610" s="5" t="s">
        <v>64</v>
      </c>
      <c r="AB610" s="5" t="s">
        <v>2782</v>
      </c>
      <c r="AC610" s="6" t="s">
        <v>347</v>
      </c>
      <c r="AD610" s="6">
        <v>3586.0</v>
      </c>
    </row>
    <row r="611" ht="56.25" customHeight="1">
      <c r="A611" s="5" t="s">
        <v>2763</v>
      </c>
      <c r="B611" s="6" t="str">
        <f>IMAGE("https://storage.googleapis.com/acdb/miscellaneous/FtrMagagineOpened_Remake_0_3.png")</f>
        <v/>
      </c>
      <c r="C611" s="5" t="s">
        <v>34</v>
      </c>
      <c r="D611" s="5" t="s">
        <v>34</v>
      </c>
      <c r="E611" s="5" t="s">
        <v>2785</v>
      </c>
      <c r="F611" s="5" t="s">
        <v>2766</v>
      </c>
      <c r="G611" s="5" t="s">
        <v>36</v>
      </c>
      <c r="H611" s="5" t="s">
        <v>36</v>
      </c>
      <c r="I611" s="5" t="s">
        <v>35</v>
      </c>
      <c r="J611" s="6">
        <v>1.0</v>
      </c>
      <c r="K611" s="6">
        <v>210.0</v>
      </c>
      <c r="L611" s="6">
        <v>52.0</v>
      </c>
      <c r="M611" s="5" t="s">
        <v>57</v>
      </c>
      <c r="N611" s="5" t="s">
        <v>68</v>
      </c>
      <c r="O611" s="6" t="s">
        <v>40</v>
      </c>
      <c r="P611" s="5" t="s">
        <v>59</v>
      </c>
      <c r="Q611" s="5" t="s">
        <v>60</v>
      </c>
      <c r="R611" s="6" t="s">
        <v>42</v>
      </c>
      <c r="S611" s="5" t="s">
        <v>90</v>
      </c>
      <c r="T611" s="5" t="s">
        <v>99</v>
      </c>
      <c r="U611" s="5" t="s">
        <v>44</v>
      </c>
      <c r="V611" s="5" t="s">
        <v>44</v>
      </c>
      <c r="W611" s="5" t="s">
        <v>36</v>
      </c>
      <c r="X611" s="5" t="s">
        <v>203</v>
      </c>
      <c r="Y611" s="5" t="s">
        <v>46</v>
      </c>
      <c r="Z611" s="5" t="s">
        <v>47</v>
      </c>
      <c r="AA611" s="5" t="s">
        <v>64</v>
      </c>
      <c r="AB611" s="5" t="s">
        <v>2790</v>
      </c>
      <c r="AC611" s="6" t="s">
        <v>354</v>
      </c>
      <c r="AD611" s="6">
        <v>3586.0</v>
      </c>
    </row>
    <row r="612" ht="56.25" customHeight="1">
      <c r="A612" s="5" t="s">
        <v>2763</v>
      </c>
      <c r="B612" s="6" t="str">
        <f>IMAGE("https://storage.googleapis.com/acdb/miscellaneous/FtrMagagineOpened_Remake_0_4.png")</f>
        <v/>
      </c>
      <c r="C612" s="5" t="s">
        <v>34</v>
      </c>
      <c r="D612" s="5" t="s">
        <v>34</v>
      </c>
      <c r="E612" s="5" t="s">
        <v>2794</v>
      </c>
      <c r="F612" s="5" t="s">
        <v>2766</v>
      </c>
      <c r="G612" s="5" t="s">
        <v>36</v>
      </c>
      <c r="H612" s="5" t="s">
        <v>36</v>
      </c>
      <c r="I612" s="5" t="s">
        <v>35</v>
      </c>
      <c r="J612" s="6">
        <v>1.0</v>
      </c>
      <c r="K612" s="6">
        <v>210.0</v>
      </c>
      <c r="L612" s="6">
        <v>52.0</v>
      </c>
      <c r="M612" s="5" t="s">
        <v>57</v>
      </c>
      <c r="N612" s="5" t="s">
        <v>83</v>
      </c>
      <c r="O612" s="6" t="s">
        <v>40</v>
      </c>
      <c r="P612" s="5" t="s">
        <v>59</v>
      </c>
      <c r="Q612" s="5" t="s">
        <v>60</v>
      </c>
      <c r="R612" s="6" t="s">
        <v>42</v>
      </c>
      <c r="S612" s="5" t="s">
        <v>90</v>
      </c>
      <c r="T612" s="5" t="s">
        <v>99</v>
      </c>
      <c r="U612" s="5" t="s">
        <v>44</v>
      </c>
      <c r="V612" s="5" t="s">
        <v>44</v>
      </c>
      <c r="W612" s="5" t="s">
        <v>36</v>
      </c>
      <c r="X612" s="5" t="s">
        <v>203</v>
      </c>
      <c r="Y612" s="5" t="s">
        <v>46</v>
      </c>
      <c r="Z612" s="5" t="s">
        <v>47</v>
      </c>
      <c r="AA612" s="5" t="s">
        <v>64</v>
      </c>
      <c r="AB612" s="5" t="s">
        <v>2799</v>
      </c>
      <c r="AC612" s="6" t="s">
        <v>486</v>
      </c>
      <c r="AD612" s="6">
        <v>3586.0</v>
      </c>
    </row>
    <row r="613" ht="56.25" customHeight="1">
      <c r="A613" s="5" t="s">
        <v>2763</v>
      </c>
      <c r="B613" s="6" t="str">
        <f>IMAGE("https://storage.googleapis.com/acdb/miscellaneous/FtrMagagineOpened_Remake_0_5.png")</f>
        <v/>
      </c>
      <c r="C613" s="5" t="s">
        <v>34</v>
      </c>
      <c r="D613" s="5" t="s">
        <v>34</v>
      </c>
      <c r="E613" s="5" t="s">
        <v>1638</v>
      </c>
      <c r="F613" s="5" t="s">
        <v>2766</v>
      </c>
      <c r="G613" s="5" t="s">
        <v>36</v>
      </c>
      <c r="H613" s="5" t="s">
        <v>36</v>
      </c>
      <c r="I613" s="5" t="s">
        <v>35</v>
      </c>
      <c r="J613" s="6">
        <v>1.0</v>
      </c>
      <c r="K613" s="6">
        <v>210.0</v>
      </c>
      <c r="L613" s="6">
        <v>52.0</v>
      </c>
      <c r="M613" s="5" t="s">
        <v>57</v>
      </c>
      <c r="N613" s="5" t="s">
        <v>39</v>
      </c>
      <c r="O613" s="6" t="s">
        <v>40</v>
      </c>
      <c r="P613" s="5" t="s">
        <v>59</v>
      </c>
      <c r="Q613" s="5" t="s">
        <v>60</v>
      </c>
      <c r="R613" s="6" t="s">
        <v>42</v>
      </c>
      <c r="S613" s="5" t="s">
        <v>90</v>
      </c>
      <c r="T613" s="5" t="s">
        <v>99</v>
      </c>
      <c r="U613" s="5" t="s">
        <v>44</v>
      </c>
      <c r="V613" s="5" t="s">
        <v>44</v>
      </c>
      <c r="W613" s="5" t="s">
        <v>36</v>
      </c>
      <c r="X613" s="5" t="s">
        <v>203</v>
      </c>
      <c r="Y613" s="5" t="s">
        <v>46</v>
      </c>
      <c r="Z613" s="5" t="s">
        <v>47</v>
      </c>
      <c r="AA613" s="5" t="s">
        <v>64</v>
      </c>
      <c r="AB613" s="5" t="s">
        <v>2806</v>
      </c>
      <c r="AC613" s="6" t="s">
        <v>934</v>
      </c>
      <c r="AD613" s="6">
        <v>3586.0</v>
      </c>
    </row>
    <row r="614" ht="56.25" customHeight="1">
      <c r="A614" s="5" t="s">
        <v>2763</v>
      </c>
      <c r="B614" s="6" t="str">
        <f>IMAGE("https://storage.googleapis.com/acdb/miscellaneous/FtrMagagineOpened_Remake_0_6.png")</f>
        <v/>
      </c>
      <c r="C614" s="5" t="s">
        <v>34</v>
      </c>
      <c r="D614" s="5" t="s">
        <v>34</v>
      </c>
      <c r="E614" s="5" t="s">
        <v>2809</v>
      </c>
      <c r="F614" s="5" t="s">
        <v>2766</v>
      </c>
      <c r="G614" s="5" t="s">
        <v>36</v>
      </c>
      <c r="H614" s="5" t="s">
        <v>36</v>
      </c>
      <c r="I614" s="5" t="s">
        <v>35</v>
      </c>
      <c r="J614" s="6">
        <v>1.0</v>
      </c>
      <c r="K614" s="6">
        <v>210.0</v>
      </c>
      <c r="L614" s="6">
        <v>52.0</v>
      </c>
      <c r="M614" s="5" t="s">
        <v>57</v>
      </c>
      <c r="N614" s="5" t="s">
        <v>58</v>
      </c>
      <c r="O614" s="6" t="s">
        <v>40</v>
      </c>
      <c r="P614" s="5" t="s">
        <v>59</v>
      </c>
      <c r="Q614" s="5" t="s">
        <v>60</v>
      </c>
      <c r="R614" s="6" t="s">
        <v>42</v>
      </c>
      <c r="S614" s="5" t="s">
        <v>90</v>
      </c>
      <c r="T614" s="5" t="s">
        <v>99</v>
      </c>
      <c r="U614" s="5" t="s">
        <v>44</v>
      </c>
      <c r="V614" s="5" t="s">
        <v>44</v>
      </c>
      <c r="W614" s="5" t="s">
        <v>36</v>
      </c>
      <c r="X614" s="5" t="s">
        <v>203</v>
      </c>
      <c r="Y614" s="5" t="s">
        <v>46</v>
      </c>
      <c r="Z614" s="5" t="s">
        <v>47</v>
      </c>
      <c r="AA614" s="5" t="s">
        <v>64</v>
      </c>
      <c r="AB614" s="5" t="s">
        <v>2812</v>
      </c>
      <c r="AC614" s="6" t="s">
        <v>938</v>
      </c>
      <c r="AD614" s="6">
        <v>3586.0</v>
      </c>
    </row>
    <row r="615" ht="56.25" customHeight="1">
      <c r="A615" s="5" t="s">
        <v>2813</v>
      </c>
      <c r="B615" s="6" t="str">
        <f>IMAGE("https://storage.googleapis.com/acdb/miscellaneous/FtrMagazinerack_Remake_0_0.png")</f>
        <v/>
      </c>
      <c r="C615" s="5" t="s">
        <v>32</v>
      </c>
      <c r="D615" s="5" t="s">
        <v>1008</v>
      </c>
      <c r="E615" s="5" t="s">
        <v>2816</v>
      </c>
      <c r="F615" s="5" t="s">
        <v>2818</v>
      </c>
      <c r="G615" s="5" t="s">
        <v>35</v>
      </c>
      <c r="H615" s="5" t="s">
        <v>35</v>
      </c>
      <c r="I615" s="5" t="s">
        <v>35</v>
      </c>
      <c r="J615" s="6">
        <v>2.0</v>
      </c>
      <c r="K615" s="6" t="s">
        <v>37</v>
      </c>
      <c r="L615" s="6">
        <v>690.0</v>
      </c>
      <c r="M615" s="5" t="s">
        <v>38</v>
      </c>
      <c r="N615" s="5" t="s">
        <v>68</v>
      </c>
      <c r="O615" s="6" t="s">
        <v>40</v>
      </c>
      <c r="P615" s="5" t="s">
        <v>41</v>
      </c>
      <c r="Q615" s="5"/>
      <c r="R615" s="6" t="s">
        <v>42</v>
      </c>
      <c r="S615" s="5" t="s">
        <v>90</v>
      </c>
      <c r="T615" s="5" t="s">
        <v>62</v>
      </c>
      <c r="U615" s="5" t="s">
        <v>44</v>
      </c>
      <c r="V615" s="5" t="s">
        <v>44</v>
      </c>
      <c r="W615" s="5" t="s">
        <v>36</v>
      </c>
      <c r="X615" s="5" t="s">
        <v>203</v>
      </c>
      <c r="Y615" s="5" t="s">
        <v>46</v>
      </c>
      <c r="Z615" s="5" t="s">
        <v>47</v>
      </c>
      <c r="AA615" s="5" t="s">
        <v>48</v>
      </c>
      <c r="AB615" s="5" t="s">
        <v>2820</v>
      </c>
      <c r="AC615" s="6" t="s">
        <v>50</v>
      </c>
      <c r="AD615" s="6">
        <v>1032.0</v>
      </c>
    </row>
    <row r="616" ht="56.25" customHeight="1">
      <c r="A616" s="5" t="s">
        <v>2813</v>
      </c>
      <c r="B616" s="6" t="str">
        <f>IMAGE("https://storage.googleapis.com/acdb/miscellaneous/FtrMagazinerack_Remake_0_1.png")</f>
        <v/>
      </c>
      <c r="C616" s="5" t="s">
        <v>32</v>
      </c>
      <c r="D616" s="5" t="s">
        <v>1008</v>
      </c>
      <c r="E616" s="5" t="s">
        <v>2826</v>
      </c>
      <c r="F616" s="5" t="s">
        <v>2818</v>
      </c>
      <c r="G616" s="5" t="s">
        <v>35</v>
      </c>
      <c r="H616" s="5" t="s">
        <v>35</v>
      </c>
      <c r="I616" s="5" t="s">
        <v>35</v>
      </c>
      <c r="J616" s="6">
        <v>2.0</v>
      </c>
      <c r="K616" s="6" t="s">
        <v>37</v>
      </c>
      <c r="L616" s="6">
        <v>690.0</v>
      </c>
      <c r="M616" s="5" t="s">
        <v>38</v>
      </c>
      <c r="N616" s="5" t="s">
        <v>52</v>
      </c>
      <c r="O616" s="6" t="s">
        <v>40</v>
      </c>
      <c r="P616" s="5" t="s">
        <v>41</v>
      </c>
      <c r="Q616" s="5"/>
      <c r="R616" s="6" t="s">
        <v>42</v>
      </c>
      <c r="S616" s="5" t="s">
        <v>90</v>
      </c>
      <c r="T616" s="5" t="s">
        <v>62</v>
      </c>
      <c r="U616" s="5" t="s">
        <v>44</v>
      </c>
      <c r="V616" s="5" t="s">
        <v>44</v>
      </c>
      <c r="W616" s="5" t="s">
        <v>36</v>
      </c>
      <c r="X616" s="5" t="s">
        <v>203</v>
      </c>
      <c r="Y616" s="5" t="s">
        <v>46</v>
      </c>
      <c r="Z616" s="5" t="s">
        <v>47</v>
      </c>
      <c r="AA616" s="5" t="s">
        <v>48</v>
      </c>
      <c r="AB616" s="5" t="s">
        <v>2831</v>
      </c>
      <c r="AC616" s="6" t="s">
        <v>217</v>
      </c>
      <c r="AD616" s="6">
        <v>1032.0</v>
      </c>
    </row>
    <row r="617" ht="56.25" customHeight="1">
      <c r="A617" s="5" t="s">
        <v>2813</v>
      </c>
      <c r="B617" s="6" t="str">
        <f>IMAGE("https://storage.googleapis.com/acdb/miscellaneous/FtrMagazinerack_Remake_0_2.png")</f>
        <v/>
      </c>
      <c r="C617" s="5" t="s">
        <v>32</v>
      </c>
      <c r="D617" s="5" t="s">
        <v>1008</v>
      </c>
      <c r="E617" s="5" t="s">
        <v>2774</v>
      </c>
      <c r="F617" s="5" t="s">
        <v>2818</v>
      </c>
      <c r="G617" s="5" t="s">
        <v>35</v>
      </c>
      <c r="H617" s="5" t="s">
        <v>35</v>
      </c>
      <c r="I617" s="5" t="s">
        <v>35</v>
      </c>
      <c r="J617" s="6">
        <v>2.0</v>
      </c>
      <c r="K617" s="6" t="s">
        <v>37</v>
      </c>
      <c r="L617" s="6">
        <v>690.0</v>
      </c>
      <c r="M617" s="5" t="s">
        <v>38</v>
      </c>
      <c r="N617" s="5" t="s">
        <v>95</v>
      </c>
      <c r="O617" s="6" t="s">
        <v>40</v>
      </c>
      <c r="P617" s="5" t="s">
        <v>41</v>
      </c>
      <c r="Q617" s="5"/>
      <c r="R617" s="6" t="s">
        <v>42</v>
      </c>
      <c r="S617" s="5" t="s">
        <v>90</v>
      </c>
      <c r="T617" s="5" t="s">
        <v>62</v>
      </c>
      <c r="U617" s="5" t="s">
        <v>44</v>
      </c>
      <c r="V617" s="5" t="s">
        <v>44</v>
      </c>
      <c r="W617" s="5" t="s">
        <v>36</v>
      </c>
      <c r="X617" s="5" t="s">
        <v>203</v>
      </c>
      <c r="Y617" s="5" t="s">
        <v>46</v>
      </c>
      <c r="Z617" s="5" t="s">
        <v>47</v>
      </c>
      <c r="AA617" s="5" t="s">
        <v>48</v>
      </c>
      <c r="AB617" s="5" t="s">
        <v>2839</v>
      </c>
      <c r="AC617" s="6" t="s">
        <v>347</v>
      </c>
      <c r="AD617" s="6">
        <v>1032.0</v>
      </c>
    </row>
    <row r="618" ht="56.25" customHeight="1">
      <c r="A618" s="5" t="s">
        <v>2813</v>
      </c>
      <c r="B618" s="6" t="str">
        <f>IMAGE("https://storage.googleapis.com/acdb/miscellaneous/FtrMagazinerack_Remake_0_3.png")</f>
        <v/>
      </c>
      <c r="C618" s="5" t="s">
        <v>32</v>
      </c>
      <c r="D618" s="5" t="s">
        <v>1008</v>
      </c>
      <c r="E618" s="5" t="s">
        <v>475</v>
      </c>
      <c r="F618" s="5" t="s">
        <v>2818</v>
      </c>
      <c r="G618" s="5" t="s">
        <v>35</v>
      </c>
      <c r="H618" s="5" t="s">
        <v>35</v>
      </c>
      <c r="I618" s="5" t="s">
        <v>35</v>
      </c>
      <c r="J618" s="6">
        <v>2.0</v>
      </c>
      <c r="K618" s="6" t="s">
        <v>37</v>
      </c>
      <c r="L618" s="6">
        <v>690.0</v>
      </c>
      <c r="M618" s="5" t="s">
        <v>38</v>
      </c>
      <c r="N618" s="5" t="s">
        <v>58</v>
      </c>
      <c r="O618" s="6" t="s">
        <v>40</v>
      </c>
      <c r="P618" s="5" t="s">
        <v>41</v>
      </c>
      <c r="Q618" s="5"/>
      <c r="R618" s="6" t="s">
        <v>42</v>
      </c>
      <c r="S618" s="5" t="s">
        <v>90</v>
      </c>
      <c r="T618" s="5" t="s">
        <v>62</v>
      </c>
      <c r="U618" s="5" t="s">
        <v>44</v>
      </c>
      <c r="V618" s="5" t="s">
        <v>44</v>
      </c>
      <c r="W618" s="5" t="s">
        <v>36</v>
      </c>
      <c r="X618" s="5" t="s">
        <v>203</v>
      </c>
      <c r="Y618" s="5" t="s">
        <v>46</v>
      </c>
      <c r="Z618" s="5" t="s">
        <v>47</v>
      </c>
      <c r="AA618" s="5" t="s">
        <v>48</v>
      </c>
      <c r="AB618" s="5" t="s">
        <v>2847</v>
      </c>
      <c r="AC618" s="6" t="s">
        <v>354</v>
      </c>
      <c r="AD618" s="6">
        <v>1032.0</v>
      </c>
    </row>
    <row r="619" ht="56.25" customHeight="1">
      <c r="A619" s="5" t="s">
        <v>2813</v>
      </c>
      <c r="B619" s="6" t="str">
        <f>IMAGE("https://storage.googleapis.com/acdb/miscellaneous/FtrMagazinerack_Remake_0_4.png")</f>
        <v/>
      </c>
      <c r="C619" s="5" t="s">
        <v>32</v>
      </c>
      <c r="D619" s="5" t="s">
        <v>1008</v>
      </c>
      <c r="E619" s="5" t="s">
        <v>2850</v>
      </c>
      <c r="F619" s="5" t="s">
        <v>2818</v>
      </c>
      <c r="G619" s="5" t="s">
        <v>35</v>
      </c>
      <c r="H619" s="5" t="s">
        <v>35</v>
      </c>
      <c r="I619" s="5" t="s">
        <v>35</v>
      </c>
      <c r="J619" s="6">
        <v>2.0</v>
      </c>
      <c r="K619" s="6" t="s">
        <v>37</v>
      </c>
      <c r="L619" s="6">
        <v>690.0</v>
      </c>
      <c r="M619" s="5" t="s">
        <v>38</v>
      </c>
      <c r="N619" s="5" t="s">
        <v>58</v>
      </c>
      <c r="O619" s="6" t="s">
        <v>40</v>
      </c>
      <c r="P619" s="5" t="s">
        <v>41</v>
      </c>
      <c r="Q619" s="5"/>
      <c r="R619" s="6" t="s">
        <v>42</v>
      </c>
      <c r="S619" s="5" t="s">
        <v>90</v>
      </c>
      <c r="T619" s="5" t="s">
        <v>62</v>
      </c>
      <c r="U619" s="5" t="s">
        <v>44</v>
      </c>
      <c r="V619" s="5" t="s">
        <v>44</v>
      </c>
      <c r="W619" s="5" t="s">
        <v>36</v>
      </c>
      <c r="X619" s="5" t="s">
        <v>203</v>
      </c>
      <c r="Y619" s="5" t="s">
        <v>46</v>
      </c>
      <c r="Z619" s="5" t="s">
        <v>47</v>
      </c>
      <c r="AA619" s="5" t="s">
        <v>48</v>
      </c>
      <c r="AB619" s="5" t="s">
        <v>2854</v>
      </c>
      <c r="AC619" s="6" t="s">
        <v>486</v>
      </c>
      <c r="AD619" s="6">
        <v>1032.0</v>
      </c>
    </row>
    <row r="620" ht="56.25" customHeight="1">
      <c r="A620" s="5" t="s">
        <v>2813</v>
      </c>
      <c r="B620" s="6" t="str">
        <f>IMAGE("https://storage.googleapis.com/acdb/miscellaneous/FtrMagazinerack_Remake_0_5.png")</f>
        <v/>
      </c>
      <c r="C620" s="5" t="s">
        <v>32</v>
      </c>
      <c r="D620" s="5" t="s">
        <v>1008</v>
      </c>
      <c r="E620" s="5" t="s">
        <v>2858</v>
      </c>
      <c r="F620" s="5" t="s">
        <v>2818</v>
      </c>
      <c r="G620" s="5" t="s">
        <v>35</v>
      </c>
      <c r="H620" s="5" t="s">
        <v>35</v>
      </c>
      <c r="I620" s="5" t="s">
        <v>35</v>
      </c>
      <c r="J620" s="6">
        <v>2.0</v>
      </c>
      <c r="K620" s="6" t="s">
        <v>37</v>
      </c>
      <c r="L620" s="6">
        <v>690.0</v>
      </c>
      <c r="M620" s="5" t="s">
        <v>38</v>
      </c>
      <c r="N620" s="5" t="s">
        <v>69</v>
      </c>
      <c r="O620" s="6" t="s">
        <v>40</v>
      </c>
      <c r="P620" s="5" t="s">
        <v>41</v>
      </c>
      <c r="Q620" s="5"/>
      <c r="R620" s="6" t="s">
        <v>42</v>
      </c>
      <c r="S620" s="5" t="s">
        <v>90</v>
      </c>
      <c r="T620" s="5" t="s">
        <v>62</v>
      </c>
      <c r="U620" s="5" t="s">
        <v>44</v>
      </c>
      <c r="V620" s="5" t="s">
        <v>44</v>
      </c>
      <c r="W620" s="5" t="s">
        <v>36</v>
      </c>
      <c r="X620" s="5" t="s">
        <v>203</v>
      </c>
      <c r="Y620" s="5" t="s">
        <v>46</v>
      </c>
      <c r="Z620" s="5" t="s">
        <v>47</v>
      </c>
      <c r="AA620" s="5" t="s">
        <v>48</v>
      </c>
      <c r="AB620" s="5" t="s">
        <v>2861</v>
      </c>
      <c r="AC620" s="6" t="s">
        <v>934</v>
      </c>
      <c r="AD620" s="6">
        <v>1032.0</v>
      </c>
    </row>
    <row r="621" ht="56.25" customHeight="1">
      <c r="A621" s="5" t="s">
        <v>2813</v>
      </c>
      <c r="B621" s="6" t="str">
        <f>IMAGE("https://storage.googleapis.com/acdb/miscellaneous/FtrMagazinerack_Remake_0_6.png")</f>
        <v/>
      </c>
      <c r="C621" s="5" t="s">
        <v>32</v>
      </c>
      <c r="D621" s="5" t="s">
        <v>1008</v>
      </c>
      <c r="E621" s="5" t="s">
        <v>2862</v>
      </c>
      <c r="F621" s="5" t="s">
        <v>2818</v>
      </c>
      <c r="G621" s="5" t="s">
        <v>35</v>
      </c>
      <c r="H621" s="5" t="s">
        <v>35</v>
      </c>
      <c r="I621" s="5" t="s">
        <v>35</v>
      </c>
      <c r="J621" s="6">
        <v>2.0</v>
      </c>
      <c r="K621" s="6" t="s">
        <v>37</v>
      </c>
      <c r="L621" s="6">
        <v>690.0</v>
      </c>
      <c r="M621" s="5" t="s">
        <v>38</v>
      </c>
      <c r="N621" s="5" t="s">
        <v>58</v>
      </c>
      <c r="O621" s="6" t="s">
        <v>40</v>
      </c>
      <c r="P621" s="5" t="s">
        <v>41</v>
      </c>
      <c r="Q621" s="5"/>
      <c r="R621" s="6" t="s">
        <v>42</v>
      </c>
      <c r="S621" s="5" t="s">
        <v>90</v>
      </c>
      <c r="T621" s="5" t="s">
        <v>62</v>
      </c>
      <c r="U621" s="5" t="s">
        <v>44</v>
      </c>
      <c r="V621" s="5" t="s">
        <v>44</v>
      </c>
      <c r="W621" s="5" t="s">
        <v>36</v>
      </c>
      <c r="X621" s="5" t="s">
        <v>203</v>
      </c>
      <c r="Y621" s="5" t="s">
        <v>46</v>
      </c>
      <c r="Z621" s="5" t="s">
        <v>47</v>
      </c>
      <c r="AA621" s="5" t="s">
        <v>48</v>
      </c>
      <c r="AB621" s="5" t="s">
        <v>2865</v>
      </c>
      <c r="AC621" s="6" t="s">
        <v>938</v>
      </c>
      <c r="AD621" s="6">
        <v>1032.0</v>
      </c>
    </row>
    <row r="622" ht="56.25" customHeight="1">
      <c r="A622" s="5" t="s">
        <v>2813</v>
      </c>
      <c r="B622" s="6" t="str">
        <f>IMAGE("https://storage.googleapis.com/acdb/miscellaneous/FtrMagazinerack_Remake_1_0.png")</f>
        <v/>
      </c>
      <c r="C622" s="5" t="s">
        <v>142</v>
      </c>
      <c r="D622" s="5" t="s">
        <v>1008</v>
      </c>
      <c r="E622" s="5" t="s">
        <v>2816</v>
      </c>
      <c r="F622" s="5" t="s">
        <v>2818</v>
      </c>
      <c r="G622" s="5" t="s">
        <v>35</v>
      </c>
      <c r="H622" s="5" t="s">
        <v>35</v>
      </c>
      <c r="I622" s="5" t="s">
        <v>35</v>
      </c>
      <c r="J622" s="6">
        <v>2.0</v>
      </c>
      <c r="K622" s="6" t="s">
        <v>37</v>
      </c>
      <c r="L622" s="6">
        <v>690.0</v>
      </c>
      <c r="M622" s="5" t="s">
        <v>142</v>
      </c>
      <c r="N622" s="5" t="s">
        <v>68</v>
      </c>
      <c r="O622" s="6" t="s">
        <v>40</v>
      </c>
      <c r="P622" s="5" t="s">
        <v>41</v>
      </c>
      <c r="Q622" s="5"/>
      <c r="R622" s="6" t="s">
        <v>42</v>
      </c>
      <c r="S622" s="5" t="s">
        <v>90</v>
      </c>
      <c r="T622" s="5" t="s">
        <v>62</v>
      </c>
      <c r="U622" s="5" t="s">
        <v>44</v>
      </c>
      <c r="V622" s="5" t="s">
        <v>44</v>
      </c>
      <c r="W622" s="5" t="s">
        <v>36</v>
      </c>
      <c r="X622" s="5" t="s">
        <v>203</v>
      </c>
      <c r="Y622" s="5" t="s">
        <v>46</v>
      </c>
      <c r="Z622" s="5" t="s">
        <v>47</v>
      </c>
      <c r="AA622" s="5" t="s">
        <v>48</v>
      </c>
      <c r="AB622" s="5" t="s">
        <v>2868</v>
      </c>
      <c r="AC622" s="6" t="s">
        <v>56</v>
      </c>
      <c r="AD622" s="6">
        <v>1032.0</v>
      </c>
    </row>
    <row r="623" ht="56.25" customHeight="1">
      <c r="A623" s="5" t="s">
        <v>2813</v>
      </c>
      <c r="B623" s="6" t="str">
        <f>IMAGE("https://storage.googleapis.com/acdb/miscellaneous/FtrMagazinerack_Remake_1_1.png")</f>
        <v/>
      </c>
      <c r="C623" s="5" t="s">
        <v>142</v>
      </c>
      <c r="D623" s="5" t="s">
        <v>1008</v>
      </c>
      <c r="E623" s="5" t="s">
        <v>2826</v>
      </c>
      <c r="F623" s="5" t="s">
        <v>2818</v>
      </c>
      <c r="G623" s="5" t="s">
        <v>35</v>
      </c>
      <c r="H623" s="5" t="s">
        <v>35</v>
      </c>
      <c r="I623" s="5" t="s">
        <v>35</v>
      </c>
      <c r="J623" s="6">
        <v>2.0</v>
      </c>
      <c r="K623" s="6" t="s">
        <v>37</v>
      </c>
      <c r="L623" s="6">
        <v>690.0</v>
      </c>
      <c r="M623" s="5" t="s">
        <v>142</v>
      </c>
      <c r="N623" s="5" t="s">
        <v>52</v>
      </c>
      <c r="O623" s="6" t="s">
        <v>40</v>
      </c>
      <c r="P623" s="5" t="s">
        <v>41</v>
      </c>
      <c r="Q623" s="5"/>
      <c r="R623" s="6" t="s">
        <v>42</v>
      </c>
      <c r="S623" s="5" t="s">
        <v>90</v>
      </c>
      <c r="T623" s="5" t="s">
        <v>62</v>
      </c>
      <c r="U623" s="5" t="s">
        <v>44</v>
      </c>
      <c r="V623" s="5" t="s">
        <v>44</v>
      </c>
      <c r="W623" s="5" t="s">
        <v>36</v>
      </c>
      <c r="X623" s="5" t="s">
        <v>203</v>
      </c>
      <c r="Y623" s="5" t="s">
        <v>46</v>
      </c>
      <c r="Z623" s="5" t="s">
        <v>47</v>
      </c>
      <c r="AA623" s="5" t="s">
        <v>48</v>
      </c>
      <c r="AB623" s="5" t="s">
        <v>2874</v>
      </c>
      <c r="AC623" s="6" t="s">
        <v>234</v>
      </c>
      <c r="AD623" s="6">
        <v>1032.0</v>
      </c>
    </row>
    <row r="624" ht="56.25" customHeight="1">
      <c r="A624" s="5" t="s">
        <v>2813</v>
      </c>
      <c r="B624" s="6" t="str">
        <f>IMAGE("https://storage.googleapis.com/acdb/miscellaneous/FtrMagazinerack_Remake_1_2.png")</f>
        <v/>
      </c>
      <c r="C624" s="5" t="s">
        <v>142</v>
      </c>
      <c r="D624" s="5" t="s">
        <v>1008</v>
      </c>
      <c r="E624" s="5" t="s">
        <v>2774</v>
      </c>
      <c r="F624" s="5" t="s">
        <v>2818</v>
      </c>
      <c r="G624" s="5" t="s">
        <v>35</v>
      </c>
      <c r="H624" s="5" t="s">
        <v>35</v>
      </c>
      <c r="I624" s="5" t="s">
        <v>35</v>
      </c>
      <c r="J624" s="6">
        <v>2.0</v>
      </c>
      <c r="K624" s="6" t="s">
        <v>37</v>
      </c>
      <c r="L624" s="6">
        <v>690.0</v>
      </c>
      <c r="M624" s="5" t="s">
        <v>142</v>
      </c>
      <c r="N624" s="5" t="s">
        <v>95</v>
      </c>
      <c r="O624" s="6" t="s">
        <v>40</v>
      </c>
      <c r="P624" s="5" t="s">
        <v>41</v>
      </c>
      <c r="Q624" s="5"/>
      <c r="R624" s="6" t="s">
        <v>42</v>
      </c>
      <c r="S624" s="5" t="s">
        <v>90</v>
      </c>
      <c r="T624" s="5" t="s">
        <v>62</v>
      </c>
      <c r="U624" s="5" t="s">
        <v>44</v>
      </c>
      <c r="V624" s="5" t="s">
        <v>44</v>
      </c>
      <c r="W624" s="5" t="s">
        <v>36</v>
      </c>
      <c r="X624" s="5" t="s">
        <v>203</v>
      </c>
      <c r="Y624" s="5" t="s">
        <v>46</v>
      </c>
      <c r="Z624" s="5" t="s">
        <v>47</v>
      </c>
      <c r="AA624" s="5" t="s">
        <v>48</v>
      </c>
      <c r="AB624" s="5" t="s">
        <v>2881</v>
      </c>
      <c r="AC624" s="6" t="s">
        <v>370</v>
      </c>
      <c r="AD624" s="6">
        <v>1032.0</v>
      </c>
    </row>
    <row r="625" ht="56.25" customHeight="1">
      <c r="A625" s="5" t="s">
        <v>2813</v>
      </c>
      <c r="B625" s="6" t="str">
        <f>IMAGE("https://storage.googleapis.com/acdb/miscellaneous/FtrMagazinerack_Remake_1_3.png")</f>
        <v/>
      </c>
      <c r="C625" s="5" t="s">
        <v>142</v>
      </c>
      <c r="D625" s="5" t="s">
        <v>1008</v>
      </c>
      <c r="E625" s="5" t="s">
        <v>475</v>
      </c>
      <c r="F625" s="5" t="s">
        <v>2818</v>
      </c>
      <c r="G625" s="5" t="s">
        <v>35</v>
      </c>
      <c r="H625" s="5" t="s">
        <v>35</v>
      </c>
      <c r="I625" s="5" t="s">
        <v>35</v>
      </c>
      <c r="J625" s="6">
        <v>2.0</v>
      </c>
      <c r="K625" s="6" t="s">
        <v>37</v>
      </c>
      <c r="L625" s="6">
        <v>690.0</v>
      </c>
      <c r="M625" s="5" t="s">
        <v>142</v>
      </c>
      <c r="N625" s="5" t="s">
        <v>58</v>
      </c>
      <c r="O625" s="6" t="s">
        <v>40</v>
      </c>
      <c r="P625" s="5" t="s">
        <v>41</v>
      </c>
      <c r="Q625" s="5"/>
      <c r="R625" s="6" t="s">
        <v>42</v>
      </c>
      <c r="S625" s="5" t="s">
        <v>90</v>
      </c>
      <c r="T625" s="5" t="s">
        <v>62</v>
      </c>
      <c r="U625" s="5" t="s">
        <v>44</v>
      </c>
      <c r="V625" s="5" t="s">
        <v>44</v>
      </c>
      <c r="W625" s="5" t="s">
        <v>36</v>
      </c>
      <c r="X625" s="5" t="s">
        <v>203</v>
      </c>
      <c r="Y625" s="5" t="s">
        <v>46</v>
      </c>
      <c r="Z625" s="5" t="s">
        <v>47</v>
      </c>
      <c r="AA625" s="5" t="s">
        <v>48</v>
      </c>
      <c r="AB625" s="5" t="s">
        <v>2885</v>
      </c>
      <c r="AC625" s="6" t="s">
        <v>377</v>
      </c>
      <c r="AD625" s="6">
        <v>1032.0</v>
      </c>
    </row>
    <row r="626" ht="56.25" customHeight="1">
      <c r="A626" s="5" t="s">
        <v>2813</v>
      </c>
      <c r="B626" s="6" t="str">
        <f>IMAGE("https://storage.googleapis.com/acdb/miscellaneous/FtrMagazinerack_Remake_1_4.png")</f>
        <v/>
      </c>
      <c r="C626" s="5" t="s">
        <v>142</v>
      </c>
      <c r="D626" s="5" t="s">
        <v>1008</v>
      </c>
      <c r="E626" s="5" t="s">
        <v>2850</v>
      </c>
      <c r="F626" s="5" t="s">
        <v>2818</v>
      </c>
      <c r="G626" s="5" t="s">
        <v>35</v>
      </c>
      <c r="H626" s="5" t="s">
        <v>35</v>
      </c>
      <c r="I626" s="5" t="s">
        <v>35</v>
      </c>
      <c r="J626" s="6">
        <v>2.0</v>
      </c>
      <c r="K626" s="6" t="s">
        <v>37</v>
      </c>
      <c r="L626" s="6">
        <v>690.0</v>
      </c>
      <c r="M626" s="5" t="s">
        <v>142</v>
      </c>
      <c r="N626" s="5" t="s">
        <v>58</v>
      </c>
      <c r="O626" s="6" t="s">
        <v>40</v>
      </c>
      <c r="P626" s="5" t="s">
        <v>41</v>
      </c>
      <c r="Q626" s="5"/>
      <c r="R626" s="6" t="s">
        <v>42</v>
      </c>
      <c r="S626" s="5" t="s">
        <v>90</v>
      </c>
      <c r="T626" s="5" t="s">
        <v>62</v>
      </c>
      <c r="U626" s="5" t="s">
        <v>44</v>
      </c>
      <c r="V626" s="5" t="s">
        <v>44</v>
      </c>
      <c r="W626" s="5" t="s">
        <v>36</v>
      </c>
      <c r="X626" s="5" t="s">
        <v>203</v>
      </c>
      <c r="Y626" s="5" t="s">
        <v>46</v>
      </c>
      <c r="Z626" s="5" t="s">
        <v>47</v>
      </c>
      <c r="AA626" s="5" t="s">
        <v>48</v>
      </c>
      <c r="AB626" s="5" t="s">
        <v>2890</v>
      </c>
      <c r="AC626" s="6" t="s">
        <v>520</v>
      </c>
      <c r="AD626" s="6">
        <v>1032.0</v>
      </c>
    </row>
    <row r="627" ht="56.25" customHeight="1">
      <c r="A627" s="5" t="s">
        <v>2813</v>
      </c>
      <c r="B627" s="6" t="str">
        <f>IMAGE("https://storage.googleapis.com/acdb/miscellaneous/FtrMagazinerack_Remake_1_5.png")</f>
        <v/>
      </c>
      <c r="C627" s="5" t="s">
        <v>142</v>
      </c>
      <c r="D627" s="5" t="s">
        <v>1008</v>
      </c>
      <c r="E627" s="5" t="s">
        <v>2858</v>
      </c>
      <c r="F627" s="5" t="s">
        <v>2818</v>
      </c>
      <c r="G627" s="5" t="s">
        <v>35</v>
      </c>
      <c r="H627" s="5" t="s">
        <v>35</v>
      </c>
      <c r="I627" s="5" t="s">
        <v>35</v>
      </c>
      <c r="J627" s="6">
        <v>2.0</v>
      </c>
      <c r="K627" s="6" t="s">
        <v>37</v>
      </c>
      <c r="L627" s="6">
        <v>690.0</v>
      </c>
      <c r="M627" s="5" t="s">
        <v>142</v>
      </c>
      <c r="N627" s="5" t="s">
        <v>69</v>
      </c>
      <c r="O627" s="6" t="s">
        <v>40</v>
      </c>
      <c r="P627" s="5" t="s">
        <v>41</v>
      </c>
      <c r="Q627" s="5"/>
      <c r="R627" s="6" t="s">
        <v>42</v>
      </c>
      <c r="S627" s="5" t="s">
        <v>90</v>
      </c>
      <c r="T627" s="5" t="s">
        <v>62</v>
      </c>
      <c r="U627" s="5" t="s">
        <v>44</v>
      </c>
      <c r="V627" s="5" t="s">
        <v>44</v>
      </c>
      <c r="W627" s="5" t="s">
        <v>36</v>
      </c>
      <c r="X627" s="5" t="s">
        <v>203</v>
      </c>
      <c r="Y627" s="5" t="s">
        <v>46</v>
      </c>
      <c r="Z627" s="5" t="s">
        <v>47</v>
      </c>
      <c r="AA627" s="5" t="s">
        <v>48</v>
      </c>
      <c r="AB627" s="5" t="s">
        <v>2894</v>
      </c>
      <c r="AC627" s="6" t="s">
        <v>1389</v>
      </c>
      <c r="AD627" s="6">
        <v>1032.0</v>
      </c>
    </row>
    <row r="628" ht="56.25" customHeight="1">
      <c r="A628" s="5" t="s">
        <v>2813</v>
      </c>
      <c r="B628" s="6" t="str">
        <f>IMAGE("https://storage.googleapis.com/acdb/miscellaneous/FtrMagazinerack_Remake_1_6.png")</f>
        <v/>
      </c>
      <c r="C628" s="5" t="s">
        <v>142</v>
      </c>
      <c r="D628" s="5" t="s">
        <v>1008</v>
      </c>
      <c r="E628" s="5" t="s">
        <v>2862</v>
      </c>
      <c r="F628" s="5" t="s">
        <v>2818</v>
      </c>
      <c r="G628" s="5" t="s">
        <v>35</v>
      </c>
      <c r="H628" s="5" t="s">
        <v>35</v>
      </c>
      <c r="I628" s="5" t="s">
        <v>35</v>
      </c>
      <c r="J628" s="6">
        <v>2.0</v>
      </c>
      <c r="K628" s="6" t="s">
        <v>37</v>
      </c>
      <c r="L628" s="6">
        <v>690.0</v>
      </c>
      <c r="M628" s="5" t="s">
        <v>142</v>
      </c>
      <c r="N628" s="5" t="s">
        <v>58</v>
      </c>
      <c r="O628" s="6" t="s">
        <v>40</v>
      </c>
      <c r="P628" s="5" t="s">
        <v>41</v>
      </c>
      <c r="Q628" s="5"/>
      <c r="R628" s="6" t="s">
        <v>42</v>
      </c>
      <c r="S628" s="5" t="s">
        <v>90</v>
      </c>
      <c r="T628" s="5" t="s">
        <v>62</v>
      </c>
      <c r="U628" s="5" t="s">
        <v>44</v>
      </c>
      <c r="V628" s="5" t="s">
        <v>44</v>
      </c>
      <c r="W628" s="5" t="s">
        <v>36</v>
      </c>
      <c r="X628" s="5" t="s">
        <v>203</v>
      </c>
      <c r="Y628" s="5" t="s">
        <v>46</v>
      </c>
      <c r="Z628" s="5" t="s">
        <v>47</v>
      </c>
      <c r="AA628" s="5" t="s">
        <v>48</v>
      </c>
      <c r="AB628" s="5" t="s">
        <v>2899</v>
      </c>
      <c r="AC628" s="6" t="s">
        <v>1394</v>
      </c>
      <c r="AD628" s="6">
        <v>1032.0</v>
      </c>
    </row>
    <row r="629" ht="56.25" customHeight="1">
      <c r="A629" s="5" t="s">
        <v>2813</v>
      </c>
      <c r="B629" s="6" t="str">
        <f>IMAGE("https://storage.googleapis.com/acdb/miscellaneous/FtrMagazinerack_Remake_2_0.png")</f>
        <v/>
      </c>
      <c r="C629" s="5" t="s">
        <v>39</v>
      </c>
      <c r="D629" s="5" t="s">
        <v>1008</v>
      </c>
      <c r="E629" s="5" t="s">
        <v>2816</v>
      </c>
      <c r="F629" s="5" t="s">
        <v>2818</v>
      </c>
      <c r="G629" s="5" t="s">
        <v>35</v>
      </c>
      <c r="H629" s="5" t="s">
        <v>35</v>
      </c>
      <c r="I629" s="5" t="s">
        <v>35</v>
      </c>
      <c r="J629" s="6">
        <v>2.0</v>
      </c>
      <c r="K629" s="6" t="s">
        <v>37</v>
      </c>
      <c r="L629" s="6">
        <v>690.0</v>
      </c>
      <c r="M629" s="5" t="s">
        <v>39</v>
      </c>
      <c r="N629" s="5" t="s">
        <v>68</v>
      </c>
      <c r="O629" s="6" t="s">
        <v>40</v>
      </c>
      <c r="P629" s="5" t="s">
        <v>41</v>
      </c>
      <c r="Q629" s="5"/>
      <c r="R629" s="6" t="s">
        <v>42</v>
      </c>
      <c r="S629" s="5" t="s">
        <v>90</v>
      </c>
      <c r="T629" s="5" t="s">
        <v>62</v>
      </c>
      <c r="U629" s="5" t="s">
        <v>44</v>
      </c>
      <c r="V629" s="5" t="s">
        <v>44</v>
      </c>
      <c r="W629" s="5" t="s">
        <v>36</v>
      </c>
      <c r="X629" s="5" t="s">
        <v>203</v>
      </c>
      <c r="Y629" s="5" t="s">
        <v>46</v>
      </c>
      <c r="Z629" s="5" t="s">
        <v>47</v>
      </c>
      <c r="AA629" s="5" t="s">
        <v>48</v>
      </c>
      <c r="AB629" s="5" t="s">
        <v>2905</v>
      </c>
      <c r="AC629" s="6" t="s">
        <v>67</v>
      </c>
      <c r="AD629" s="6">
        <v>1032.0</v>
      </c>
    </row>
    <row r="630" ht="56.25" customHeight="1">
      <c r="A630" s="5" t="s">
        <v>2813</v>
      </c>
      <c r="B630" s="6" t="str">
        <f>IMAGE("https://storage.googleapis.com/acdb/miscellaneous/FtrMagazinerack_Remake_2_1.png")</f>
        <v/>
      </c>
      <c r="C630" s="5" t="s">
        <v>39</v>
      </c>
      <c r="D630" s="5" t="s">
        <v>1008</v>
      </c>
      <c r="E630" s="5" t="s">
        <v>2826</v>
      </c>
      <c r="F630" s="5" t="s">
        <v>2818</v>
      </c>
      <c r="G630" s="5" t="s">
        <v>35</v>
      </c>
      <c r="H630" s="5" t="s">
        <v>35</v>
      </c>
      <c r="I630" s="5" t="s">
        <v>35</v>
      </c>
      <c r="J630" s="6">
        <v>2.0</v>
      </c>
      <c r="K630" s="6" t="s">
        <v>37</v>
      </c>
      <c r="L630" s="6">
        <v>690.0</v>
      </c>
      <c r="M630" s="5" t="s">
        <v>39</v>
      </c>
      <c r="N630" s="5" t="s">
        <v>52</v>
      </c>
      <c r="O630" s="6" t="s">
        <v>40</v>
      </c>
      <c r="P630" s="5" t="s">
        <v>41</v>
      </c>
      <c r="Q630" s="5"/>
      <c r="R630" s="6" t="s">
        <v>42</v>
      </c>
      <c r="S630" s="5" t="s">
        <v>90</v>
      </c>
      <c r="T630" s="5" t="s">
        <v>62</v>
      </c>
      <c r="U630" s="5" t="s">
        <v>44</v>
      </c>
      <c r="V630" s="5" t="s">
        <v>44</v>
      </c>
      <c r="W630" s="5" t="s">
        <v>36</v>
      </c>
      <c r="X630" s="5" t="s">
        <v>203</v>
      </c>
      <c r="Y630" s="5" t="s">
        <v>46</v>
      </c>
      <c r="Z630" s="5" t="s">
        <v>47</v>
      </c>
      <c r="AA630" s="5" t="s">
        <v>48</v>
      </c>
      <c r="AB630" s="5" t="s">
        <v>2908</v>
      </c>
      <c r="AC630" s="6" t="s">
        <v>247</v>
      </c>
      <c r="AD630" s="6">
        <v>1032.0</v>
      </c>
    </row>
    <row r="631" ht="56.25" customHeight="1">
      <c r="A631" s="5" t="s">
        <v>2813</v>
      </c>
      <c r="B631" s="6" t="str">
        <f>IMAGE("https://storage.googleapis.com/acdb/miscellaneous/FtrMagazinerack_Remake_2_2.png")</f>
        <v/>
      </c>
      <c r="C631" s="5" t="s">
        <v>39</v>
      </c>
      <c r="D631" s="5" t="s">
        <v>1008</v>
      </c>
      <c r="E631" s="5" t="s">
        <v>2774</v>
      </c>
      <c r="F631" s="5" t="s">
        <v>2818</v>
      </c>
      <c r="G631" s="5" t="s">
        <v>35</v>
      </c>
      <c r="H631" s="5" t="s">
        <v>35</v>
      </c>
      <c r="I631" s="5" t="s">
        <v>35</v>
      </c>
      <c r="J631" s="6">
        <v>2.0</v>
      </c>
      <c r="K631" s="6" t="s">
        <v>37</v>
      </c>
      <c r="L631" s="6">
        <v>690.0</v>
      </c>
      <c r="M631" s="5" t="s">
        <v>39</v>
      </c>
      <c r="N631" s="5" t="s">
        <v>95</v>
      </c>
      <c r="O631" s="6" t="s">
        <v>40</v>
      </c>
      <c r="P631" s="5" t="s">
        <v>41</v>
      </c>
      <c r="Q631" s="5"/>
      <c r="R631" s="6" t="s">
        <v>42</v>
      </c>
      <c r="S631" s="5" t="s">
        <v>90</v>
      </c>
      <c r="T631" s="5" t="s">
        <v>62</v>
      </c>
      <c r="U631" s="5" t="s">
        <v>44</v>
      </c>
      <c r="V631" s="5" t="s">
        <v>44</v>
      </c>
      <c r="W631" s="5" t="s">
        <v>36</v>
      </c>
      <c r="X631" s="5" t="s">
        <v>203</v>
      </c>
      <c r="Y631" s="5" t="s">
        <v>46</v>
      </c>
      <c r="Z631" s="5" t="s">
        <v>47</v>
      </c>
      <c r="AA631" s="5" t="s">
        <v>48</v>
      </c>
      <c r="AB631" s="5" t="s">
        <v>2914</v>
      </c>
      <c r="AC631" s="6" t="s">
        <v>390</v>
      </c>
      <c r="AD631" s="6">
        <v>1032.0</v>
      </c>
    </row>
    <row r="632" ht="56.25" customHeight="1">
      <c r="A632" s="5" t="s">
        <v>2813</v>
      </c>
      <c r="B632" s="6" t="str">
        <f>IMAGE("https://storage.googleapis.com/acdb/miscellaneous/FtrMagazinerack_Remake_2_3.png")</f>
        <v/>
      </c>
      <c r="C632" s="5" t="s">
        <v>39</v>
      </c>
      <c r="D632" s="5" t="s">
        <v>1008</v>
      </c>
      <c r="E632" s="5" t="s">
        <v>475</v>
      </c>
      <c r="F632" s="5" t="s">
        <v>2818</v>
      </c>
      <c r="G632" s="5" t="s">
        <v>35</v>
      </c>
      <c r="H632" s="5" t="s">
        <v>35</v>
      </c>
      <c r="I632" s="5" t="s">
        <v>35</v>
      </c>
      <c r="J632" s="6">
        <v>2.0</v>
      </c>
      <c r="K632" s="6" t="s">
        <v>37</v>
      </c>
      <c r="L632" s="6">
        <v>690.0</v>
      </c>
      <c r="M632" s="5" t="s">
        <v>39</v>
      </c>
      <c r="N632" s="5" t="s">
        <v>58</v>
      </c>
      <c r="O632" s="6" t="s">
        <v>40</v>
      </c>
      <c r="P632" s="5" t="s">
        <v>41</v>
      </c>
      <c r="Q632" s="5"/>
      <c r="R632" s="6" t="s">
        <v>42</v>
      </c>
      <c r="S632" s="5" t="s">
        <v>90</v>
      </c>
      <c r="T632" s="5" t="s">
        <v>62</v>
      </c>
      <c r="U632" s="5" t="s">
        <v>44</v>
      </c>
      <c r="V632" s="5" t="s">
        <v>44</v>
      </c>
      <c r="W632" s="5" t="s">
        <v>36</v>
      </c>
      <c r="X632" s="5" t="s">
        <v>203</v>
      </c>
      <c r="Y632" s="5" t="s">
        <v>46</v>
      </c>
      <c r="Z632" s="5" t="s">
        <v>47</v>
      </c>
      <c r="AA632" s="5" t="s">
        <v>48</v>
      </c>
      <c r="AB632" s="5" t="s">
        <v>2921</v>
      </c>
      <c r="AC632" s="6" t="s">
        <v>396</v>
      </c>
      <c r="AD632" s="6">
        <v>1032.0</v>
      </c>
    </row>
    <row r="633" ht="56.25" customHeight="1">
      <c r="A633" s="5" t="s">
        <v>2813</v>
      </c>
      <c r="B633" s="6" t="str">
        <f>IMAGE("https://storage.googleapis.com/acdb/miscellaneous/FtrMagazinerack_Remake_2_4.png")</f>
        <v/>
      </c>
      <c r="C633" s="5" t="s">
        <v>39</v>
      </c>
      <c r="D633" s="5" t="s">
        <v>1008</v>
      </c>
      <c r="E633" s="5" t="s">
        <v>2850</v>
      </c>
      <c r="F633" s="5" t="s">
        <v>2818</v>
      </c>
      <c r="G633" s="5" t="s">
        <v>35</v>
      </c>
      <c r="H633" s="5" t="s">
        <v>35</v>
      </c>
      <c r="I633" s="5" t="s">
        <v>35</v>
      </c>
      <c r="J633" s="6">
        <v>2.0</v>
      </c>
      <c r="K633" s="6" t="s">
        <v>37</v>
      </c>
      <c r="L633" s="6">
        <v>690.0</v>
      </c>
      <c r="M633" s="5" t="s">
        <v>39</v>
      </c>
      <c r="N633" s="5" t="s">
        <v>58</v>
      </c>
      <c r="O633" s="6" t="s">
        <v>40</v>
      </c>
      <c r="P633" s="5" t="s">
        <v>41</v>
      </c>
      <c r="Q633" s="5"/>
      <c r="R633" s="6" t="s">
        <v>42</v>
      </c>
      <c r="S633" s="5" t="s">
        <v>90</v>
      </c>
      <c r="T633" s="5" t="s">
        <v>62</v>
      </c>
      <c r="U633" s="5" t="s">
        <v>44</v>
      </c>
      <c r="V633" s="5" t="s">
        <v>44</v>
      </c>
      <c r="W633" s="5" t="s">
        <v>36</v>
      </c>
      <c r="X633" s="5" t="s">
        <v>203</v>
      </c>
      <c r="Y633" s="5" t="s">
        <v>46</v>
      </c>
      <c r="Z633" s="5" t="s">
        <v>47</v>
      </c>
      <c r="AA633" s="5" t="s">
        <v>48</v>
      </c>
      <c r="AB633" s="5" t="s">
        <v>2925</v>
      </c>
      <c r="AC633" s="6" t="s">
        <v>541</v>
      </c>
      <c r="AD633" s="6">
        <v>1032.0</v>
      </c>
    </row>
    <row r="634" ht="56.25" customHeight="1">
      <c r="A634" s="5" t="s">
        <v>2813</v>
      </c>
      <c r="B634" s="6" t="str">
        <f>IMAGE("https://storage.googleapis.com/acdb/miscellaneous/FtrMagazinerack_Remake_2_5.png")</f>
        <v/>
      </c>
      <c r="C634" s="5" t="s">
        <v>39</v>
      </c>
      <c r="D634" s="5" t="s">
        <v>1008</v>
      </c>
      <c r="E634" s="5" t="s">
        <v>2858</v>
      </c>
      <c r="F634" s="5" t="s">
        <v>2818</v>
      </c>
      <c r="G634" s="5" t="s">
        <v>35</v>
      </c>
      <c r="H634" s="5" t="s">
        <v>35</v>
      </c>
      <c r="I634" s="5" t="s">
        <v>35</v>
      </c>
      <c r="J634" s="6">
        <v>2.0</v>
      </c>
      <c r="K634" s="6" t="s">
        <v>37</v>
      </c>
      <c r="L634" s="6">
        <v>690.0</v>
      </c>
      <c r="M634" s="5" t="s">
        <v>39</v>
      </c>
      <c r="N634" s="5" t="s">
        <v>69</v>
      </c>
      <c r="O634" s="6" t="s">
        <v>40</v>
      </c>
      <c r="P634" s="5" t="s">
        <v>41</v>
      </c>
      <c r="Q634" s="5"/>
      <c r="R634" s="6" t="s">
        <v>42</v>
      </c>
      <c r="S634" s="5" t="s">
        <v>90</v>
      </c>
      <c r="T634" s="5" t="s">
        <v>62</v>
      </c>
      <c r="U634" s="5" t="s">
        <v>44</v>
      </c>
      <c r="V634" s="5" t="s">
        <v>44</v>
      </c>
      <c r="W634" s="5" t="s">
        <v>36</v>
      </c>
      <c r="X634" s="5" t="s">
        <v>203</v>
      </c>
      <c r="Y634" s="5" t="s">
        <v>46</v>
      </c>
      <c r="Z634" s="5" t="s">
        <v>47</v>
      </c>
      <c r="AA634" s="5" t="s">
        <v>48</v>
      </c>
      <c r="AB634" s="5" t="s">
        <v>2927</v>
      </c>
      <c r="AC634" s="6" t="s">
        <v>1415</v>
      </c>
      <c r="AD634" s="6">
        <v>1032.0</v>
      </c>
    </row>
    <row r="635" ht="56.25" customHeight="1">
      <c r="A635" s="5" t="s">
        <v>2813</v>
      </c>
      <c r="B635" s="6" t="str">
        <f>IMAGE("https://storage.googleapis.com/acdb/miscellaneous/FtrMagazinerack_Remake_2_6.png")</f>
        <v/>
      </c>
      <c r="C635" s="5" t="s">
        <v>39</v>
      </c>
      <c r="D635" s="5" t="s">
        <v>1008</v>
      </c>
      <c r="E635" s="5" t="s">
        <v>2862</v>
      </c>
      <c r="F635" s="5" t="s">
        <v>2818</v>
      </c>
      <c r="G635" s="5" t="s">
        <v>35</v>
      </c>
      <c r="H635" s="5" t="s">
        <v>35</v>
      </c>
      <c r="I635" s="5" t="s">
        <v>35</v>
      </c>
      <c r="J635" s="6">
        <v>2.0</v>
      </c>
      <c r="K635" s="6" t="s">
        <v>37</v>
      </c>
      <c r="L635" s="6">
        <v>690.0</v>
      </c>
      <c r="M635" s="5" t="s">
        <v>39</v>
      </c>
      <c r="N635" s="5" t="s">
        <v>58</v>
      </c>
      <c r="O635" s="6" t="s">
        <v>40</v>
      </c>
      <c r="P635" s="5" t="s">
        <v>41</v>
      </c>
      <c r="Q635" s="5"/>
      <c r="R635" s="6" t="s">
        <v>42</v>
      </c>
      <c r="S635" s="5" t="s">
        <v>90</v>
      </c>
      <c r="T635" s="5" t="s">
        <v>62</v>
      </c>
      <c r="U635" s="5" t="s">
        <v>44</v>
      </c>
      <c r="V635" s="5" t="s">
        <v>44</v>
      </c>
      <c r="W635" s="5" t="s">
        <v>36</v>
      </c>
      <c r="X635" s="5" t="s">
        <v>203</v>
      </c>
      <c r="Y635" s="5" t="s">
        <v>46</v>
      </c>
      <c r="Z635" s="5" t="s">
        <v>47</v>
      </c>
      <c r="AA635" s="5" t="s">
        <v>48</v>
      </c>
      <c r="AB635" s="5" t="s">
        <v>2932</v>
      </c>
      <c r="AC635" s="6" t="s">
        <v>1421</v>
      </c>
      <c r="AD635" s="6">
        <v>1032.0</v>
      </c>
    </row>
    <row r="636" ht="56.25" customHeight="1">
      <c r="A636" s="5" t="s">
        <v>2813</v>
      </c>
      <c r="B636" s="6" t="str">
        <f>IMAGE("https://storage.googleapis.com/acdb/miscellaneous/FtrMagazinerack_Remake_3_0.png")</f>
        <v/>
      </c>
      <c r="C636" s="5" t="s">
        <v>57</v>
      </c>
      <c r="D636" s="5" t="s">
        <v>1008</v>
      </c>
      <c r="E636" s="5" t="s">
        <v>2816</v>
      </c>
      <c r="F636" s="5" t="s">
        <v>2818</v>
      </c>
      <c r="G636" s="5" t="s">
        <v>35</v>
      </c>
      <c r="H636" s="5" t="s">
        <v>35</v>
      </c>
      <c r="I636" s="5" t="s">
        <v>35</v>
      </c>
      <c r="J636" s="6">
        <v>2.0</v>
      </c>
      <c r="K636" s="6" t="s">
        <v>37</v>
      </c>
      <c r="L636" s="6">
        <v>690.0</v>
      </c>
      <c r="M636" s="5" t="s">
        <v>57</v>
      </c>
      <c r="N636" s="5" t="s">
        <v>68</v>
      </c>
      <c r="O636" s="6" t="s">
        <v>40</v>
      </c>
      <c r="P636" s="5" t="s">
        <v>41</v>
      </c>
      <c r="Q636" s="5"/>
      <c r="R636" s="6" t="s">
        <v>42</v>
      </c>
      <c r="S636" s="5" t="s">
        <v>90</v>
      </c>
      <c r="T636" s="5" t="s">
        <v>62</v>
      </c>
      <c r="U636" s="5" t="s">
        <v>44</v>
      </c>
      <c r="V636" s="5" t="s">
        <v>44</v>
      </c>
      <c r="W636" s="5" t="s">
        <v>36</v>
      </c>
      <c r="X636" s="5" t="s">
        <v>203</v>
      </c>
      <c r="Y636" s="5" t="s">
        <v>46</v>
      </c>
      <c r="Z636" s="5" t="s">
        <v>47</v>
      </c>
      <c r="AA636" s="5" t="s">
        <v>48</v>
      </c>
      <c r="AB636" s="5" t="s">
        <v>2934</v>
      </c>
      <c r="AC636" s="6" t="s">
        <v>71</v>
      </c>
      <c r="AD636" s="6">
        <v>1032.0</v>
      </c>
    </row>
    <row r="637" ht="56.25" customHeight="1">
      <c r="A637" s="5" t="s">
        <v>2813</v>
      </c>
      <c r="B637" s="6" t="str">
        <f>IMAGE("https://storage.googleapis.com/acdb/miscellaneous/FtrMagazinerack_Remake_3_1.png")</f>
        <v/>
      </c>
      <c r="C637" s="5" t="s">
        <v>57</v>
      </c>
      <c r="D637" s="5" t="s">
        <v>1008</v>
      </c>
      <c r="E637" s="5" t="s">
        <v>2826</v>
      </c>
      <c r="F637" s="5" t="s">
        <v>2818</v>
      </c>
      <c r="G637" s="5" t="s">
        <v>35</v>
      </c>
      <c r="H637" s="5" t="s">
        <v>35</v>
      </c>
      <c r="I637" s="5" t="s">
        <v>35</v>
      </c>
      <c r="J637" s="6">
        <v>2.0</v>
      </c>
      <c r="K637" s="6" t="s">
        <v>37</v>
      </c>
      <c r="L637" s="6">
        <v>690.0</v>
      </c>
      <c r="M637" s="5" t="s">
        <v>57</v>
      </c>
      <c r="N637" s="5" t="s">
        <v>52</v>
      </c>
      <c r="O637" s="6" t="s">
        <v>40</v>
      </c>
      <c r="P637" s="5" t="s">
        <v>41</v>
      </c>
      <c r="Q637" s="5"/>
      <c r="R637" s="6" t="s">
        <v>42</v>
      </c>
      <c r="S637" s="5" t="s">
        <v>90</v>
      </c>
      <c r="T637" s="5" t="s">
        <v>62</v>
      </c>
      <c r="U637" s="5" t="s">
        <v>44</v>
      </c>
      <c r="V637" s="5" t="s">
        <v>44</v>
      </c>
      <c r="W637" s="5" t="s">
        <v>36</v>
      </c>
      <c r="X637" s="5" t="s">
        <v>203</v>
      </c>
      <c r="Y637" s="5" t="s">
        <v>46</v>
      </c>
      <c r="Z637" s="5" t="s">
        <v>47</v>
      </c>
      <c r="AA637" s="5" t="s">
        <v>48</v>
      </c>
      <c r="AB637" s="5" t="s">
        <v>2940</v>
      </c>
      <c r="AC637" s="6" t="s">
        <v>257</v>
      </c>
      <c r="AD637" s="6">
        <v>1032.0</v>
      </c>
    </row>
    <row r="638" ht="56.25" customHeight="1">
      <c r="A638" s="5" t="s">
        <v>2813</v>
      </c>
      <c r="B638" s="6" t="str">
        <f>IMAGE("https://storage.googleapis.com/acdb/miscellaneous/FtrMagazinerack_Remake_3_2.png")</f>
        <v/>
      </c>
      <c r="C638" s="5" t="s">
        <v>57</v>
      </c>
      <c r="D638" s="5" t="s">
        <v>1008</v>
      </c>
      <c r="E638" s="5" t="s">
        <v>2774</v>
      </c>
      <c r="F638" s="5" t="s">
        <v>2818</v>
      </c>
      <c r="G638" s="5" t="s">
        <v>35</v>
      </c>
      <c r="H638" s="5" t="s">
        <v>35</v>
      </c>
      <c r="I638" s="5" t="s">
        <v>35</v>
      </c>
      <c r="J638" s="6">
        <v>2.0</v>
      </c>
      <c r="K638" s="6" t="s">
        <v>37</v>
      </c>
      <c r="L638" s="6">
        <v>690.0</v>
      </c>
      <c r="M638" s="5" t="s">
        <v>57</v>
      </c>
      <c r="N638" s="5" t="s">
        <v>95</v>
      </c>
      <c r="O638" s="6" t="s">
        <v>40</v>
      </c>
      <c r="P638" s="5" t="s">
        <v>41</v>
      </c>
      <c r="Q638" s="5"/>
      <c r="R638" s="6" t="s">
        <v>42</v>
      </c>
      <c r="S638" s="5" t="s">
        <v>90</v>
      </c>
      <c r="T638" s="5" t="s">
        <v>62</v>
      </c>
      <c r="U638" s="5" t="s">
        <v>44</v>
      </c>
      <c r="V638" s="5" t="s">
        <v>44</v>
      </c>
      <c r="W638" s="5" t="s">
        <v>36</v>
      </c>
      <c r="X638" s="5" t="s">
        <v>203</v>
      </c>
      <c r="Y638" s="5" t="s">
        <v>46</v>
      </c>
      <c r="Z638" s="5" t="s">
        <v>47</v>
      </c>
      <c r="AA638" s="5" t="s">
        <v>48</v>
      </c>
      <c r="AB638" s="5" t="s">
        <v>2945</v>
      </c>
      <c r="AC638" s="6" t="s">
        <v>414</v>
      </c>
      <c r="AD638" s="6">
        <v>1032.0</v>
      </c>
    </row>
    <row r="639" ht="56.25" customHeight="1">
      <c r="A639" s="5" t="s">
        <v>2813</v>
      </c>
      <c r="B639" s="6" t="str">
        <f>IMAGE("https://storage.googleapis.com/acdb/miscellaneous/FtrMagazinerack_Remake_3_3.png")</f>
        <v/>
      </c>
      <c r="C639" s="5" t="s">
        <v>57</v>
      </c>
      <c r="D639" s="5" t="s">
        <v>1008</v>
      </c>
      <c r="E639" s="5" t="s">
        <v>475</v>
      </c>
      <c r="F639" s="5" t="s">
        <v>2818</v>
      </c>
      <c r="G639" s="5" t="s">
        <v>35</v>
      </c>
      <c r="H639" s="5" t="s">
        <v>35</v>
      </c>
      <c r="I639" s="5" t="s">
        <v>35</v>
      </c>
      <c r="J639" s="6">
        <v>2.0</v>
      </c>
      <c r="K639" s="6" t="s">
        <v>37</v>
      </c>
      <c r="L639" s="6">
        <v>690.0</v>
      </c>
      <c r="M639" s="5" t="s">
        <v>57</v>
      </c>
      <c r="N639" s="5" t="s">
        <v>58</v>
      </c>
      <c r="O639" s="6" t="s">
        <v>40</v>
      </c>
      <c r="P639" s="5" t="s">
        <v>41</v>
      </c>
      <c r="Q639" s="5"/>
      <c r="R639" s="6" t="s">
        <v>42</v>
      </c>
      <c r="S639" s="5" t="s">
        <v>90</v>
      </c>
      <c r="T639" s="5" t="s">
        <v>62</v>
      </c>
      <c r="U639" s="5" t="s">
        <v>44</v>
      </c>
      <c r="V639" s="5" t="s">
        <v>44</v>
      </c>
      <c r="W639" s="5" t="s">
        <v>36</v>
      </c>
      <c r="X639" s="5" t="s">
        <v>203</v>
      </c>
      <c r="Y639" s="5" t="s">
        <v>46</v>
      </c>
      <c r="Z639" s="5" t="s">
        <v>47</v>
      </c>
      <c r="AA639" s="5" t="s">
        <v>48</v>
      </c>
      <c r="AB639" s="5" t="s">
        <v>2950</v>
      </c>
      <c r="AC639" s="6" t="s">
        <v>418</v>
      </c>
      <c r="AD639" s="6">
        <v>1032.0</v>
      </c>
    </row>
    <row r="640" ht="56.25" customHeight="1">
      <c r="A640" s="5" t="s">
        <v>2813</v>
      </c>
      <c r="B640" s="6" t="str">
        <f>IMAGE("https://storage.googleapis.com/acdb/miscellaneous/FtrMagazinerack_Remake_3_4.png")</f>
        <v/>
      </c>
      <c r="C640" s="5" t="s">
        <v>57</v>
      </c>
      <c r="D640" s="5" t="s">
        <v>1008</v>
      </c>
      <c r="E640" s="5" t="s">
        <v>2850</v>
      </c>
      <c r="F640" s="5" t="s">
        <v>2818</v>
      </c>
      <c r="G640" s="5" t="s">
        <v>35</v>
      </c>
      <c r="H640" s="5" t="s">
        <v>35</v>
      </c>
      <c r="I640" s="5" t="s">
        <v>35</v>
      </c>
      <c r="J640" s="6">
        <v>2.0</v>
      </c>
      <c r="K640" s="6" t="s">
        <v>37</v>
      </c>
      <c r="L640" s="6">
        <v>690.0</v>
      </c>
      <c r="M640" s="5" t="s">
        <v>57</v>
      </c>
      <c r="N640" s="5" t="s">
        <v>58</v>
      </c>
      <c r="O640" s="6" t="s">
        <v>40</v>
      </c>
      <c r="P640" s="5" t="s">
        <v>41</v>
      </c>
      <c r="Q640" s="5"/>
      <c r="R640" s="6" t="s">
        <v>42</v>
      </c>
      <c r="S640" s="5" t="s">
        <v>90</v>
      </c>
      <c r="T640" s="5" t="s">
        <v>62</v>
      </c>
      <c r="U640" s="5" t="s">
        <v>44</v>
      </c>
      <c r="V640" s="5" t="s">
        <v>44</v>
      </c>
      <c r="W640" s="5" t="s">
        <v>36</v>
      </c>
      <c r="X640" s="5" t="s">
        <v>203</v>
      </c>
      <c r="Y640" s="5" t="s">
        <v>46</v>
      </c>
      <c r="Z640" s="5" t="s">
        <v>47</v>
      </c>
      <c r="AA640" s="5" t="s">
        <v>48</v>
      </c>
      <c r="AB640" s="5" t="s">
        <v>2957</v>
      </c>
      <c r="AC640" s="6" t="s">
        <v>563</v>
      </c>
      <c r="AD640" s="6">
        <v>1032.0</v>
      </c>
    </row>
    <row r="641" ht="56.25" customHeight="1">
      <c r="A641" s="5" t="s">
        <v>2813</v>
      </c>
      <c r="B641" s="6" t="str">
        <f>IMAGE("https://storage.googleapis.com/acdb/miscellaneous/FtrMagazinerack_Remake_3_5.png")</f>
        <v/>
      </c>
      <c r="C641" s="5" t="s">
        <v>57</v>
      </c>
      <c r="D641" s="5" t="s">
        <v>1008</v>
      </c>
      <c r="E641" s="5" t="s">
        <v>2858</v>
      </c>
      <c r="F641" s="5" t="s">
        <v>2818</v>
      </c>
      <c r="G641" s="5" t="s">
        <v>35</v>
      </c>
      <c r="H641" s="5" t="s">
        <v>35</v>
      </c>
      <c r="I641" s="5" t="s">
        <v>35</v>
      </c>
      <c r="J641" s="6">
        <v>2.0</v>
      </c>
      <c r="K641" s="6" t="s">
        <v>37</v>
      </c>
      <c r="L641" s="6">
        <v>690.0</v>
      </c>
      <c r="M641" s="5" t="s">
        <v>57</v>
      </c>
      <c r="N641" s="5" t="s">
        <v>69</v>
      </c>
      <c r="O641" s="6" t="s">
        <v>40</v>
      </c>
      <c r="P641" s="5" t="s">
        <v>41</v>
      </c>
      <c r="Q641" s="5"/>
      <c r="R641" s="6" t="s">
        <v>42</v>
      </c>
      <c r="S641" s="5" t="s">
        <v>90</v>
      </c>
      <c r="T641" s="5" t="s">
        <v>62</v>
      </c>
      <c r="U641" s="5" t="s">
        <v>44</v>
      </c>
      <c r="V641" s="5" t="s">
        <v>44</v>
      </c>
      <c r="W641" s="5" t="s">
        <v>36</v>
      </c>
      <c r="X641" s="5" t="s">
        <v>203</v>
      </c>
      <c r="Y641" s="5" t="s">
        <v>46</v>
      </c>
      <c r="Z641" s="5" t="s">
        <v>47</v>
      </c>
      <c r="AA641" s="5" t="s">
        <v>48</v>
      </c>
      <c r="AB641" s="5" t="s">
        <v>2964</v>
      </c>
      <c r="AC641" s="6" t="s">
        <v>1443</v>
      </c>
      <c r="AD641" s="6">
        <v>1032.0</v>
      </c>
    </row>
    <row r="642" ht="56.25" customHeight="1">
      <c r="A642" s="5" t="s">
        <v>2813</v>
      </c>
      <c r="B642" s="6" t="str">
        <f>IMAGE("https://storage.googleapis.com/acdb/miscellaneous/FtrMagazinerack_Remake_3_6.png")</f>
        <v/>
      </c>
      <c r="C642" s="5" t="s">
        <v>57</v>
      </c>
      <c r="D642" s="5" t="s">
        <v>1008</v>
      </c>
      <c r="E642" s="5" t="s">
        <v>2862</v>
      </c>
      <c r="F642" s="5" t="s">
        <v>2818</v>
      </c>
      <c r="G642" s="5" t="s">
        <v>35</v>
      </c>
      <c r="H642" s="5" t="s">
        <v>35</v>
      </c>
      <c r="I642" s="5" t="s">
        <v>35</v>
      </c>
      <c r="J642" s="6">
        <v>2.0</v>
      </c>
      <c r="K642" s="6" t="s">
        <v>37</v>
      </c>
      <c r="L642" s="6">
        <v>690.0</v>
      </c>
      <c r="M642" s="5" t="s">
        <v>57</v>
      </c>
      <c r="N642" s="5" t="s">
        <v>58</v>
      </c>
      <c r="O642" s="6" t="s">
        <v>40</v>
      </c>
      <c r="P642" s="5" t="s">
        <v>41</v>
      </c>
      <c r="Q642" s="5"/>
      <c r="R642" s="6" t="s">
        <v>42</v>
      </c>
      <c r="S642" s="5" t="s">
        <v>90</v>
      </c>
      <c r="T642" s="5" t="s">
        <v>62</v>
      </c>
      <c r="U642" s="5" t="s">
        <v>44</v>
      </c>
      <c r="V642" s="5" t="s">
        <v>44</v>
      </c>
      <c r="W642" s="5" t="s">
        <v>36</v>
      </c>
      <c r="X642" s="5" t="s">
        <v>203</v>
      </c>
      <c r="Y642" s="5" t="s">
        <v>46</v>
      </c>
      <c r="Z642" s="5" t="s">
        <v>47</v>
      </c>
      <c r="AA642" s="5" t="s">
        <v>48</v>
      </c>
      <c r="AB642" s="5" t="s">
        <v>2971</v>
      </c>
      <c r="AC642" s="6" t="s">
        <v>1450</v>
      </c>
      <c r="AD642" s="6">
        <v>1032.0</v>
      </c>
    </row>
    <row r="643" ht="56.25" customHeight="1">
      <c r="A643" s="5" t="s">
        <v>2813</v>
      </c>
      <c r="B643" s="6" t="str">
        <f>IMAGE("https://storage.googleapis.com/acdb/miscellaneous/FtrMagazinerack_Remake_4_0.png")</f>
        <v/>
      </c>
      <c r="C643" s="5" t="s">
        <v>54</v>
      </c>
      <c r="D643" s="5" t="s">
        <v>1008</v>
      </c>
      <c r="E643" s="5" t="s">
        <v>2816</v>
      </c>
      <c r="F643" s="5" t="s">
        <v>2818</v>
      </c>
      <c r="G643" s="5" t="s">
        <v>35</v>
      </c>
      <c r="H643" s="5" t="s">
        <v>35</v>
      </c>
      <c r="I643" s="5" t="s">
        <v>35</v>
      </c>
      <c r="J643" s="6">
        <v>2.0</v>
      </c>
      <c r="K643" s="6" t="s">
        <v>37</v>
      </c>
      <c r="L643" s="6">
        <v>690.0</v>
      </c>
      <c r="M643" s="5" t="s">
        <v>54</v>
      </c>
      <c r="N643" s="5" t="s">
        <v>68</v>
      </c>
      <c r="O643" s="6" t="s">
        <v>40</v>
      </c>
      <c r="P643" s="5" t="s">
        <v>41</v>
      </c>
      <c r="Q643" s="5"/>
      <c r="R643" s="6" t="s">
        <v>42</v>
      </c>
      <c r="S643" s="5" t="s">
        <v>90</v>
      </c>
      <c r="T643" s="5" t="s">
        <v>62</v>
      </c>
      <c r="U643" s="5" t="s">
        <v>44</v>
      </c>
      <c r="V643" s="5" t="s">
        <v>44</v>
      </c>
      <c r="W643" s="5" t="s">
        <v>36</v>
      </c>
      <c r="X643" s="5" t="s">
        <v>203</v>
      </c>
      <c r="Y643" s="5" t="s">
        <v>46</v>
      </c>
      <c r="Z643" s="5" t="s">
        <v>47</v>
      </c>
      <c r="AA643" s="5" t="s">
        <v>48</v>
      </c>
      <c r="AB643" s="5" t="s">
        <v>2975</v>
      </c>
      <c r="AC643" s="6" t="s">
        <v>75</v>
      </c>
      <c r="AD643" s="6">
        <v>1032.0</v>
      </c>
    </row>
    <row r="644" ht="56.25" customHeight="1">
      <c r="A644" s="5" t="s">
        <v>2813</v>
      </c>
      <c r="B644" s="6" t="str">
        <f>IMAGE("https://storage.googleapis.com/acdb/miscellaneous/FtrMagazinerack_Remake_4_1.png")</f>
        <v/>
      </c>
      <c r="C644" s="5" t="s">
        <v>54</v>
      </c>
      <c r="D644" s="5" t="s">
        <v>1008</v>
      </c>
      <c r="E644" s="5" t="s">
        <v>2826</v>
      </c>
      <c r="F644" s="5" t="s">
        <v>2818</v>
      </c>
      <c r="G644" s="5" t="s">
        <v>35</v>
      </c>
      <c r="H644" s="5" t="s">
        <v>35</v>
      </c>
      <c r="I644" s="5" t="s">
        <v>35</v>
      </c>
      <c r="J644" s="6">
        <v>2.0</v>
      </c>
      <c r="K644" s="6" t="s">
        <v>37</v>
      </c>
      <c r="L644" s="6">
        <v>690.0</v>
      </c>
      <c r="M644" s="5" t="s">
        <v>54</v>
      </c>
      <c r="N644" s="5" t="s">
        <v>52</v>
      </c>
      <c r="O644" s="6" t="s">
        <v>40</v>
      </c>
      <c r="P644" s="5" t="s">
        <v>41</v>
      </c>
      <c r="Q644" s="5"/>
      <c r="R644" s="6" t="s">
        <v>42</v>
      </c>
      <c r="S644" s="5" t="s">
        <v>90</v>
      </c>
      <c r="T644" s="5" t="s">
        <v>62</v>
      </c>
      <c r="U644" s="5" t="s">
        <v>44</v>
      </c>
      <c r="V644" s="5" t="s">
        <v>44</v>
      </c>
      <c r="W644" s="5" t="s">
        <v>36</v>
      </c>
      <c r="X644" s="5" t="s">
        <v>203</v>
      </c>
      <c r="Y644" s="5" t="s">
        <v>46</v>
      </c>
      <c r="Z644" s="5" t="s">
        <v>47</v>
      </c>
      <c r="AA644" s="5" t="s">
        <v>48</v>
      </c>
      <c r="AB644" s="5" t="s">
        <v>2980</v>
      </c>
      <c r="AC644" s="6" t="s">
        <v>429</v>
      </c>
      <c r="AD644" s="6">
        <v>1032.0</v>
      </c>
    </row>
    <row r="645" ht="56.25" customHeight="1">
      <c r="A645" s="5" t="s">
        <v>2813</v>
      </c>
      <c r="B645" s="6" t="str">
        <f>IMAGE("https://storage.googleapis.com/acdb/miscellaneous/FtrMagazinerack_Remake_4_2.png")</f>
        <v/>
      </c>
      <c r="C645" s="5" t="s">
        <v>54</v>
      </c>
      <c r="D645" s="5" t="s">
        <v>1008</v>
      </c>
      <c r="E645" s="5" t="s">
        <v>2774</v>
      </c>
      <c r="F645" s="5" t="s">
        <v>2818</v>
      </c>
      <c r="G645" s="5" t="s">
        <v>35</v>
      </c>
      <c r="H645" s="5" t="s">
        <v>35</v>
      </c>
      <c r="I645" s="5" t="s">
        <v>35</v>
      </c>
      <c r="J645" s="6">
        <v>2.0</v>
      </c>
      <c r="K645" s="6" t="s">
        <v>37</v>
      </c>
      <c r="L645" s="6">
        <v>690.0</v>
      </c>
      <c r="M645" s="5" t="s">
        <v>54</v>
      </c>
      <c r="N645" s="5" t="s">
        <v>95</v>
      </c>
      <c r="O645" s="6" t="s">
        <v>40</v>
      </c>
      <c r="P645" s="5" t="s">
        <v>41</v>
      </c>
      <c r="Q645" s="5"/>
      <c r="R645" s="6" t="s">
        <v>42</v>
      </c>
      <c r="S645" s="5" t="s">
        <v>90</v>
      </c>
      <c r="T645" s="5" t="s">
        <v>62</v>
      </c>
      <c r="U645" s="5" t="s">
        <v>44</v>
      </c>
      <c r="V645" s="5" t="s">
        <v>44</v>
      </c>
      <c r="W645" s="5" t="s">
        <v>36</v>
      </c>
      <c r="X645" s="5" t="s">
        <v>203</v>
      </c>
      <c r="Y645" s="5" t="s">
        <v>46</v>
      </c>
      <c r="Z645" s="5" t="s">
        <v>47</v>
      </c>
      <c r="AA645" s="5" t="s">
        <v>48</v>
      </c>
      <c r="AB645" s="5" t="s">
        <v>2985</v>
      </c>
      <c r="AC645" s="6" t="s">
        <v>434</v>
      </c>
      <c r="AD645" s="6">
        <v>1032.0</v>
      </c>
    </row>
    <row r="646" ht="56.25" customHeight="1">
      <c r="A646" s="5" t="s">
        <v>2813</v>
      </c>
      <c r="B646" s="6" t="str">
        <f>IMAGE("https://storage.googleapis.com/acdb/miscellaneous/FtrMagazinerack_Remake_4_3.png")</f>
        <v/>
      </c>
      <c r="C646" s="5" t="s">
        <v>54</v>
      </c>
      <c r="D646" s="5" t="s">
        <v>1008</v>
      </c>
      <c r="E646" s="5" t="s">
        <v>475</v>
      </c>
      <c r="F646" s="5" t="s">
        <v>2818</v>
      </c>
      <c r="G646" s="5" t="s">
        <v>35</v>
      </c>
      <c r="H646" s="5" t="s">
        <v>35</v>
      </c>
      <c r="I646" s="5" t="s">
        <v>35</v>
      </c>
      <c r="J646" s="6">
        <v>2.0</v>
      </c>
      <c r="K646" s="6" t="s">
        <v>37</v>
      </c>
      <c r="L646" s="6">
        <v>690.0</v>
      </c>
      <c r="M646" s="5" t="s">
        <v>54</v>
      </c>
      <c r="N646" s="5" t="s">
        <v>58</v>
      </c>
      <c r="O646" s="6" t="s">
        <v>40</v>
      </c>
      <c r="P646" s="5" t="s">
        <v>41</v>
      </c>
      <c r="Q646" s="5"/>
      <c r="R646" s="6" t="s">
        <v>42</v>
      </c>
      <c r="S646" s="5" t="s">
        <v>90</v>
      </c>
      <c r="T646" s="5" t="s">
        <v>62</v>
      </c>
      <c r="U646" s="5" t="s">
        <v>44</v>
      </c>
      <c r="V646" s="5" t="s">
        <v>44</v>
      </c>
      <c r="W646" s="5" t="s">
        <v>36</v>
      </c>
      <c r="X646" s="5" t="s">
        <v>203</v>
      </c>
      <c r="Y646" s="5" t="s">
        <v>46</v>
      </c>
      <c r="Z646" s="5" t="s">
        <v>47</v>
      </c>
      <c r="AA646" s="5" t="s">
        <v>48</v>
      </c>
      <c r="AB646" s="5" t="s">
        <v>2988</v>
      </c>
      <c r="AC646" s="6" t="s">
        <v>438</v>
      </c>
      <c r="AD646" s="6">
        <v>1032.0</v>
      </c>
    </row>
    <row r="647" ht="56.25" customHeight="1">
      <c r="A647" s="5" t="s">
        <v>2813</v>
      </c>
      <c r="B647" s="6" t="str">
        <f>IMAGE("https://storage.googleapis.com/acdb/miscellaneous/FtrMagazinerack_Remake_4_4.png")</f>
        <v/>
      </c>
      <c r="C647" s="5" t="s">
        <v>54</v>
      </c>
      <c r="D647" s="5" t="s">
        <v>1008</v>
      </c>
      <c r="E647" s="5" t="s">
        <v>2850</v>
      </c>
      <c r="F647" s="5" t="s">
        <v>2818</v>
      </c>
      <c r="G647" s="5" t="s">
        <v>35</v>
      </c>
      <c r="H647" s="5" t="s">
        <v>35</v>
      </c>
      <c r="I647" s="5" t="s">
        <v>35</v>
      </c>
      <c r="J647" s="6">
        <v>2.0</v>
      </c>
      <c r="K647" s="6" t="s">
        <v>37</v>
      </c>
      <c r="L647" s="6">
        <v>690.0</v>
      </c>
      <c r="M647" s="5" t="s">
        <v>54</v>
      </c>
      <c r="N647" s="5" t="s">
        <v>58</v>
      </c>
      <c r="O647" s="6" t="s">
        <v>40</v>
      </c>
      <c r="P647" s="5" t="s">
        <v>41</v>
      </c>
      <c r="Q647" s="5"/>
      <c r="R647" s="6" t="s">
        <v>42</v>
      </c>
      <c r="S647" s="5" t="s">
        <v>90</v>
      </c>
      <c r="T647" s="5" t="s">
        <v>62</v>
      </c>
      <c r="U647" s="5" t="s">
        <v>44</v>
      </c>
      <c r="V647" s="5" t="s">
        <v>44</v>
      </c>
      <c r="W647" s="5" t="s">
        <v>36</v>
      </c>
      <c r="X647" s="5" t="s">
        <v>203</v>
      </c>
      <c r="Y647" s="5" t="s">
        <v>46</v>
      </c>
      <c r="Z647" s="5" t="s">
        <v>47</v>
      </c>
      <c r="AA647" s="5" t="s">
        <v>48</v>
      </c>
      <c r="AB647" s="5" t="s">
        <v>2992</v>
      </c>
      <c r="AC647" s="6" t="s">
        <v>585</v>
      </c>
      <c r="AD647" s="6">
        <v>1032.0</v>
      </c>
    </row>
    <row r="648" ht="56.25" customHeight="1">
      <c r="A648" s="5" t="s">
        <v>2813</v>
      </c>
      <c r="B648" s="6" t="str">
        <f>IMAGE("https://storage.googleapis.com/acdb/miscellaneous/FtrMagazinerack_Remake_4_5.png")</f>
        <v/>
      </c>
      <c r="C648" s="5" t="s">
        <v>54</v>
      </c>
      <c r="D648" s="5" t="s">
        <v>1008</v>
      </c>
      <c r="E648" s="5" t="s">
        <v>2858</v>
      </c>
      <c r="F648" s="5" t="s">
        <v>2818</v>
      </c>
      <c r="G648" s="5" t="s">
        <v>35</v>
      </c>
      <c r="H648" s="5" t="s">
        <v>35</v>
      </c>
      <c r="I648" s="5" t="s">
        <v>35</v>
      </c>
      <c r="J648" s="6">
        <v>2.0</v>
      </c>
      <c r="K648" s="6" t="s">
        <v>37</v>
      </c>
      <c r="L648" s="6">
        <v>690.0</v>
      </c>
      <c r="M648" s="5" t="s">
        <v>54</v>
      </c>
      <c r="N648" s="5" t="s">
        <v>69</v>
      </c>
      <c r="O648" s="6" t="s">
        <v>40</v>
      </c>
      <c r="P648" s="5" t="s">
        <v>41</v>
      </c>
      <c r="Q648" s="5"/>
      <c r="R648" s="6" t="s">
        <v>42</v>
      </c>
      <c r="S648" s="5" t="s">
        <v>90</v>
      </c>
      <c r="T648" s="5" t="s">
        <v>62</v>
      </c>
      <c r="U648" s="5" t="s">
        <v>44</v>
      </c>
      <c r="V648" s="5" t="s">
        <v>44</v>
      </c>
      <c r="W648" s="5" t="s">
        <v>36</v>
      </c>
      <c r="X648" s="5" t="s">
        <v>203</v>
      </c>
      <c r="Y648" s="5" t="s">
        <v>46</v>
      </c>
      <c r="Z648" s="5" t="s">
        <v>47</v>
      </c>
      <c r="AA648" s="5" t="s">
        <v>48</v>
      </c>
      <c r="AB648" s="5" t="s">
        <v>2998</v>
      </c>
      <c r="AC648" s="6" t="s">
        <v>1816</v>
      </c>
      <c r="AD648" s="6">
        <v>1032.0</v>
      </c>
    </row>
    <row r="649" ht="56.25" customHeight="1">
      <c r="A649" s="5" t="s">
        <v>2813</v>
      </c>
      <c r="B649" s="6" t="str">
        <f>IMAGE("https://storage.googleapis.com/acdb/miscellaneous/FtrMagazinerack_Remake_4_6.png")</f>
        <v/>
      </c>
      <c r="C649" s="5" t="s">
        <v>54</v>
      </c>
      <c r="D649" s="5" t="s">
        <v>1008</v>
      </c>
      <c r="E649" s="5" t="s">
        <v>2862</v>
      </c>
      <c r="F649" s="5" t="s">
        <v>2818</v>
      </c>
      <c r="G649" s="5" t="s">
        <v>35</v>
      </c>
      <c r="H649" s="5" t="s">
        <v>35</v>
      </c>
      <c r="I649" s="5" t="s">
        <v>35</v>
      </c>
      <c r="J649" s="6">
        <v>2.0</v>
      </c>
      <c r="K649" s="6" t="s">
        <v>37</v>
      </c>
      <c r="L649" s="6">
        <v>690.0</v>
      </c>
      <c r="M649" s="5" t="s">
        <v>54</v>
      </c>
      <c r="N649" s="5" t="s">
        <v>58</v>
      </c>
      <c r="O649" s="6" t="s">
        <v>40</v>
      </c>
      <c r="P649" s="5" t="s">
        <v>41</v>
      </c>
      <c r="Q649" s="5"/>
      <c r="R649" s="6" t="s">
        <v>42</v>
      </c>
      <c r="S649" s="5" t="s">
        <v>90</v>
      </c>
      <c r="T649" s="5" t="s">
        <v>62</v>
      </c>
      <c r="U649" s="5" t="s">
        <v>44</v>
      </c>
      <c r="V649" s="5" t="s">
        <v>44</v>
      </c>
      <c r="W649" s="5" t="s">
        <v>36</v>
      </c>
      <c r="X649" s="5" t="s">
        <v>203</v>
      </c>
      <c r="Y649" s="5" t="s">
        <v>46</v>
      </c>
      <c r="Z649" s="5" t="s">
        <v>47</v>
      </c>
      <c r="AA649" s="5" t="s">
        <v>48</v>
      </c>
      <c r="AB649" s="5" t="s">
        <v>3004</v>
      </c>
      <c r="AC649" s="6" t="s">
        <v>1820</v>
      </c>
      <c r="AD649" s="6">
        <v>1032.0</v>
      </c>
    </row>
    <row r="650" ht="56.25" customHeight="1">
      <c r="A650" s="5" t="s">
        <v>2813</v>
      </c>
      <c r="B650" s="6" t="str">
        <f>IMAGE("https://storage.googleapis.com/acdb/miscellaneous/FtrMagazinerack_Remake_5_0.png")</f>
        <v/>
      </c>
      <c r="C650" s="5" t="s">
        <v>114</v>
      </c>
      <c r="D650" s="5" t="s">
        <v>1008</v>
      </c>
      <c r="E650" s="5" t="s">
        <v>2816</v>
      </c>
      <c r="F650" s="5" t="s">
        <v>2818</v>
      </c>
      <c r="G650" s="5" t="s">
        <v>35</v>
      </c>
      <c r="H650" s="5" t="s">
        <v>35</v>
      </c>
      <c r="I650" s="5" t="s">
        <v>35</v>
      </c>
      <c r="J650" s="6">
        <v>2.0</v>
      </c>
      <c r="K650" s="6" t="s">
        <v>37</v>
      </c>
      <c r="L650" s="6">
        <v>690.0</v>
      </c>
      <c r="M650" s="5" t="s">
        <v>114</v>
      </c>
      <c r="N650" s="5" t="s">
        <v>68</v>
      </c>
      <c r="O650" s="6" t="s">
        <v>40</v>
      </c>
      <c r="P650" s="5" t="s">
        <v>41</v>
      </c>
      <c r="Q650" s="5"/>
      <c r="R650" s="6" t="s">
        <v>42</v>
      </c>
      <c r="S650" s="5" t="s">
        <v>90</v>
      </c>
      <c r="T650" s="5" t="s">
        <v>62</v>
      </c>
      <c r="U650" s="5" t="s">
        <v>44</v>
      </c>
      <c r="V650" s="5" t="s">
        <v>44</v>
      </c>
      <c r="W650" s="5" t="s">
        <v>36</v>
      </c>
      <c r="X650" s="5" t="s">
        <v>203</v>
      </c>
      <c r="Y650" s="5" t="s">
        <v>46</v>
      </c>
      <c r="Z650" s="5" t="s">
        <v>47</v>
      </c>
      <c r="AA650" s="5" t="s">
        <v>48</v>
      </c>
      <c r="AB650" s="5" t="s">
        <v>3008</v>
      </c>
      <c r="AC650" s="6" t="s">
        <v>79</v>
      </c>
      <c r="AD650" s="6">
        <v>1032.0</v>
      </c>
    </row>
    <row r="651" ht="56.25" customHeight="1">
      <c r="A651" s="5" t="s">
        <v>2813</v>
      </c>
      <c r="B651" s="6" t="str">
        <f>IMAGE("https://storage.googleapis.com/acdb/miscellaneous/FtrMagazinerack_Remake_5_1.png")</f>
        <v/>
      </c>
      <c r="C651" s="5" t="s">
        <v>114</v>
      </c>
      <c r="D651" s="5" t="s">
        <v>1008</v>
      </c>
      <c r="E651" s="5" t="s">
        <v>2826</v>
      </c>
      <c r="F651" s="5" t="s">
        <v>2818</v>
      </c>
      <c r="G651" s="5" t="s">
        <v>35</v>
      </c>
      <c r="H651" s="5" t="s">
        <v>35</v>
      </c>
      <c r="I651" s="5" t="s">
        <v>35</v>
      </c>
      <c r="J651" s="6">
        <v>2.0</v>
      </c>
      <c r="K651" s="6" t="s">
        <v>37</v>
      </c>
      <c r="L651" s="6">
        <v>690.0</v>
      </c>
      <c r="M651" s="5" t="s">
        <v>114</v>
      </c>
      <c r="N651" s="5" t="s">
        <v>52</v>
      </c>
      <c r="O651" s="6" t="s">
        <v>40</v>
      </c>
      <c r="P651" s="5" t="s">
        <v>41</v>
      </c>
      <c r="Q651" s="5"/>
      <c r="R651" s="6" t="s">
        <v>42</v>
      </c>
      <c r="S651" s="5" t="s">
        <v>90</v>
      </c>
      <c r="T651" s="5" t="s">
        <v>62</v>
      </c>
      <c r="U651" s="5" t="s">
        <v>44</v>
      </c>
      <c r="V651" s="5" t="s">
        <v>44</v>
      </c>
      <c r="W651" s="5" t="s">
        <v>36</v>
      </c>
      <c r="X651" s="5" t="s">
        <v>203</v>
      </c>
      <c r="Y651" s="5" t="s">
        <v>46</v>
      </c>
      <c r="Z651" s="5" t="s">
        <v>47</v>
      </c>
      <c r="AA651" s="5" t="s">
        <v>48</v>
      </c>
      <c r="AB651" s="5" t="s">
        <v>3014</v>
      </c>
      <c r="AC651" s="6" t="s">
        <v>448</v>
      </c>
      <c r="AD651" s="6">
        <v>1032.0</v>
      </c>
    </row>
    <row r="652" ht="56.25" customHeight="1">
      <c r="A652" s="5" t="s">
        <v>2813</v>
      </c>
      <c r="B652" s="6" t="str">
        <f>IMAGE("https://storage.googleapis.com/acdb/miscellaneous/FtrMagazinerack_Remake_5_2.png")</f>
        <v/>
      </c>
      <c r="C652" s="5" t="s">
        <v>114</v>
      </c>
      <c r="D652" s="5" t="s">
        <v>1008</v>
      </c>
      <c r="E652" s="5" t="s">
        <v>2774</v>
      </c>
      <c r="F652" s="5" t="s">
        <v>2818</v>
      </c>
      <c r="G652" s="5" t="s">
        <v>35</v>
      </c>
      <c r="H652" s="5" t="s">
        <v>35</v>
      </c>
      <c r="I652" s="5" t="s">
        <v>35</v>
      </c>
      <c r="J652" s="6">
        <v>2.0</v>
      </c>
      <c r="K652" s="6" t="s">
        <v>37</v>
      </c>
      <c r="L652" s="6">
        <v>690.0</v>
      </c>
      <c r="M652" s="5" t="s">
        <v>114</v>
      </c>
      <c r="N652" s="5" t="s">
        <v>95</v>
      </c>
      <c r="O652" s="6" t="s">
        <v>40</v>
      </c>
      <c r="P652" s="5" t="s">
        <v>41</v>
      </c>
      <c r="Q652" s="5"/>
      <c r="R652" s="6" t="s">
        <v>42</v>
      </c>
      <c r="S652" s="5" t="s">
        <v>90</v>
      </c>
      <c r="T652" s="5" t="s">
        <v>62</v>
      </c>
      <c r="U652" s="5" t="s">
        <v>44</v>
      </c>
      <c r="V652" s="5" t="s">
        <v>44</v>
      </c>
      <c r="W652" s="5" t="s">
        <v>36</v>
      </c>
      <c r="X652" s="5" t="s">
        <v>203</v>
      </c>
      <c r="Y652" s="5" t="s">
        <v>46</v>
      </c>
      <c r="Z652" s="5" t="s">
        <v>47</v>
      </c>
      <c r="AA652" s="5" t="s">
        <v>48</v>
      </c>
      <c r="AB652" s="5" t="s">
        <v>3018</v>
      </c>
      <c r="AC652" s="6" t="s">
        <v>452</v>
      </c>
      <c r="AD652" s="6">
        <v>1032.0</v>
      </c>
    </row>
    <row r="653" ht="56.25" customHeight="1">
      <c r="A653" s="5" t="s">
        <v>2813</v>
      </c>
      <c r="B653" s="6" t="str">
        <f>IMAGE("https://storage.googleapis.com/acdb/miscellaneous/FtrMagazinerack_Remake_5_3.png")</f>
        <v/>
      </c>
      <c r="C653" s="5" t="s">
        <v>114</v>
      </c>
      <c r="D653" s="5" t="s">
        <v>1008</v>
      </c>
      <c r="E653" s="5" t="s">
        <v>475</v>
      </c>
      <c r="F653" s="5" t="s">
        <v>2818</v>
      </c>
      <c r="G653" s="5" t="s">
        <v>35</v>
      </c>
      <c r="H653" s="5" t="s">
        <v>35</v>
      </c>
      <c r="I653" s="5" t="s">
        <v>35</v>
      </c>
      <c r="J653" s="6">
        <v>2.0</v>
      </c>
      <c r="K653" s="6" t="s">
        <v>37</v>
      </c>
      <c r="L653" s="6">
        <v>690.0</v>
      </c>
      <c r="M653" s="5" t="s">
        <v>114</v>
      </c>
      <c r="N653" s="5" t="s">
        <v>58</v>
      </c>
      <c r="O653" s="6" t="s">
        <v>40</v>
      </c>
      <c r="P653" s="5" t="s">
        <v>41</v>
      </c>
      <c r="Q653" s="5"/>
      <c r="R653" s="6" t="s">
        <v>42</v>
      </c>
      <c r="S653" s="5" t="s">
        <v>90</v>
      </c>
      <c r="T653" s="5" t="s">
        <v>62</v>
      </c>
      <c r="U653" s="5" t="s">
        <v>44</v>
      </c>
      <c r="V653" s="5" t="s">
        <v>44</v>
      </c>
      <c r="W653" s="5" t="s">
        <v>36</v>
      </c>
      <c r="X653" s="5" t="s">
        <v>203</v>
      </c>
      <c r="Y653" s="5" t="s">
        <v>46</v>
      </c>
      <c r="Z653" s="5" t="s">
        <v>47</v>
      </c>
      <c r="AA653" s="5" t="s">
        <v>48</v>
      </c>
      <c r="AB653" s="5" t="s">
        <v>3023</v>
      </c>
      <c r="AC653" s="6" t="s">
        <v>455</v>
      </c>
      <c r="AD653" s="6">
        <v>1032.0</v>
      </c>
    </row>
    <row r="654" ht="56.25" customHeight="1">
      <c r="A654" s="5" t="s">
        <v>2813</v>
      </c>
      <c r="B654" s="6" t="str">
        <f>IMAGE("https://storage.googleapis.com/acdb/miscellaneous/FtrMagazinerack_Remake_5_4.png")</f>
        <v/>
      </c>
      <c r="C654" s="5" t="s">
        <v>114</v>
      </c>
      <c r="D654" s="5" t="s">
        <v>1008</v>
      </c>
      <c r="E654" s="5" t="s">
        <v>2850</v>
      </c>
      <c r="F654" s="5" t="s">
        <v>2818</v>
      </c>
      <c r="G654" s="5" t="s">
        <v>35</v>
      </c>
      <c r="H654" s="5" t="s">
        <v>35</v>
      </c>
      <c r="I654" s="5" t="s">
        <v>35</v>
      </c>
      <c r="J654" s="6">
        <v>2.0</v>
      </c>
      <c r="K654" s="6" t="s">
        <v>37</v>
      </c>
      <c r="L654" s="6">
        <v>690.0</v>
      </c>
      <c r="M654" s="5" t="s">
        <v>114</v>
      </c>
      <c r="N654" s="5" t="s">
        <v>58</v>
      </c>
      <c r="O654" s="6" t="s">
        <v>40</v>
      </c>
      <c r="P654" s="5" t="s">
        <v>41</v>
      </c>
      <c r="Q654" s="5"/>
      <c r="R654" s="6" t="s">
        <v>42</v>
      </c>
      <c r="S654" s="5" t="s">
        <v>90</v>
      </c>
      <c r="T654" s="5" t="s">
        <v>62</v>
      </c>
      <c r="U654" s="5" t="s">
        <v>44</v>
      </c>
      <c r="V654" s="5" t="s">
        <v>44</v>
      </c>
      <c r="W654" s="5" t="s">
        <v>36</v>
      </c>
      <c r="X654" s="5" t="s">
        <v>203</v>
      </c>
      <c r="Y654" s="5" t="s">
        <v>46</v>
      </c>
      <c r="Z654" s="5" t="s">
        <v>47</v>
      </c>
      <c r="AA654" s="5" t="s">
        <v>48</v>
      </c>
      <c r="AB654" s="5" t="s">
        <v>3029</v>
      </c>
      <c r="AC654" s="6" t="s">
        <v>609</v>
      </c>
      <c r="AD654" s="6">
        <v>1032.0</v>
      </c>
    </row>
    <row r="655" ht="56.25" customHeight="1">
      <c r="A655" s="5" t="s">
        <v>2813</v>
      </c>
      <c r="B655" s="6" t="str">
        <f>IMAGE("https://storage.googleapis.com/acdb/miscellaneous/FtrMagazinerack_Remake_5_5.png")</f>
        <v/>
      </c>
      <c r="C655" s="5" t="s">
        <v>114</v>
      </c>
      <c r="D655" s="5" t="s">
        <v>1008</v>
      </c>
      <c r="E655" s="5" t="s">
        <v>2858</v>
      </c>
      <c r="F655" s="5" t="s">
        <v>2818</v>
      </c>
      <c r="G655" s="5" t="s">
        <v>35</v>
      </c>
      <c r="H655" s="5" t="s">
        <v>35</v>
      </c>
      <c r="I655" s="5" t="s">
        <v>35</v>
      </c>
      <c r="J655" s="6">
        <v>2.0</v>
      </c>
      <c r="K655" s="6" t="s">
        <v>37</v>
      </c>
      <c r="L655" s="6">
        <v>690.0</v>
      </c>
      <c r="M655" s="5" t="s">
        <v>114</v>
      </c>
      <c r="N655" s="5" t="s">
        <v>69</v>
      </c>
      <c r="O655" s="6" t="s">
        <v>40</v>
      </c>
      <c r="P655" s="5" t="s">
        <v>41</v>
      </c>
      <c r="Q655" s="5"/>
      <c r="R655" s="6" t="s">
        <v>42</v>
      </c>
      <c r="S655" s="5" t="s">
        <v>90</v>
      </c>
      <c r="T655" s="5" t="s">
        <v>62</v>
      </c>
      <c r="U655" s="5" t="s">
        <v>44</v>
      </c>
      <c r="V655" s="5" t="s">
        <v>44</v>
      </c>
      <c r="W655" s="5" t="s">
        <v>36</v>
      </c>
      <c r="X655" s="5" t="s">
        <v>203</v>
      </c>
      <c r="Y655" s="5" t="s">
        <v>46</v>
      </c>
      <c r="Z655" s="5" t="s">
        <v>47</v>
      </c>
      <c r="AA655" s="5" t="s">
        <v>48</v>
      </c>
      <c r="AB655" s="5" t="s">
        <v>3033</v>
      </c>
      <c r="AC655" s="6" t="s">
        <v>1843</v>
      </c>
      <c r="AD655" s="6">
        <v>1032.0</v>
      </c>
    </row>
    <row r="656" ht="56.25" customHeight="1">
      <c r="A656" s="5" t="s">
        <v>2813</v>
      </c>
      <c r="B656" s="6" t="str">
        <f>IMAGE("https://storage.googleapis.com/acdb/miscellaneous/FtrMagazinerack_Remake_5_6.png")</f>
        <v/>
      </c>
      <c r="C656" s="5" t="s">
        <v>114</v>
      </c>
      <c r="D656" s="5" t="s">
        <v>1008</v>
      </c>
      <c r="E656" s="5" t="s">
        <v>2862</v>
      </c>
      <c r="F656" s="5" t="s">
        <v>2818</v>
      </c>
      <c r="G656" s="5" t="s">
        <v>35</v>
      </c>
      <c r="H656" s="5" t="s">
        <v>35</v>
      </c>
      <c r="I656" s="5" t="s">
        <v>35</v>
      </c>
      <c r="J656" s="6">
        <v>2.0</v>
      </c>
      <c r="K656" s="6" t="s">
        <v>37</v>
      </c>
      <c r="L656" s="6">
        <v>690.0</v>
      </c>
      <c r="M656" s="5" t="s">
        <v>114</v>
      </c>
      <c r="N656" s="5" t="s">
        <v>58</v>
      </c>
      <c r="O656" s="6" t="s">
        <v>40</v>
      </c>
      <c r="P656" s="5" t="s">
        <v>41</v>
      </c>
      <c r="Q656" s="5"/>
      <c r="R656" s="6" t="s">
        <v>42</v>
      </c>
      <c r="S656" s="5" t="s">
        <v>90</v>
      </c>
      <c r="T656" s="5" t="s">
        <v>62</v>
      </c>
      <c r="U656" s="5" t="s">
        <v>44</v>
      </c>
      <c r="V656" s="5" t="s">
        <v>44</v>
      </c>
      <c r="W656" s="5" t="s">
        <v>36</v>
      </c>
      <c r="X656" s="5" t="s">
        <v>203</v>
      </c>
      <c r="Y656" s="5" t="s">
        <v>46</v>
      </c>
      <c r="Z656" s="5" t="s">
        <v>47</v>
      </c>
      <c r="AA656" s="5" t="s">
        <v>48</v>
      </c>
      <c r="AB656" s="5" t="s">
        <v>3037</v>
      </c>
      <c r="AC656" s="6" t="s">
        <v>1847</v>
      </c>
      <c r="AD656" s="6">
        <v>1032.0</v>
      </c>
    </row>
    <row r="657" ht="56.25" customHeight="1">
      <c r="A657" s="5" t="s">
        <v>2813</v>
      </c>
      <c r="B657" s="6" t="str">
        <f>IMAGE("https://storage.googleapis.com/acdb/miscellaneous/FtrMagazinerack_Remake_6_0.png")</f>
        <v/>
      </c>
      <c r="C657" s="5" t="s">
        <v>96</v>
      </c>
      <c r="D657" s="5" t="s">
        <v>1008</v>
      </c>
      <c r="E657" s="5" t="s">
        <v>2816</v>
      </c>
      <c r="F657" s="5" t="s">
        <v>2818</v>
      </c>
      <c r="G657" s="5" t="s">
        <v>35</v>
      </c>
      <c r="H657" s="5" t="s">
        <v>35</v>
      </c>
      <c r="I657" s="5" t="s">
        <v>35</v>
      </c>
      <c r="J657" s="6">
        <v>2.0</v>
      </c>
      <c r="K657" s="6" t="s">
        <v>37</v>
      </c>
      <c r="L657" s="6">
        <v>690.0</v>
      </c>
      <c r="M657" s="5" t="s">
        <v>68</v>
      </c>
      <c r="N657" s="5" t="s">
        <v>68</v>
      </c>
      <c r="O657" s="6" t="s">
        <v>40</v>
      </c>
      <c r="P657" s="5" t="s">
        <v>41</v>
      </c>
      <c r="Q657" s="5"/>
      <c r="R657" s="6" t="s">
        <v>42</v>
      </c>
      <c r="S657" s="5" t="s">
        <v>90</v>
      </c>
      <c r="T657" s="5" t="s">
        <v>62</v>
      </c>
      <c r="U657" s="5" t="s">
        <v>44</v>
      </c>
      <c r="V657" s="5" t="s">
        <v>44</v>
      </c>
      <c r="W657" s="5" t="s">
        <v>36</v>
      </c>
      <c r="X657" s="5" t="s">
        <v>203</v>
      </c>
      <c r="Y657" s="5" t="s">
        <v>46</v>
      </c>
      <c r="Z657" s="5" t="s">
        <v>47</v>
      </c>
      <c r="AA657" s="5" t="s">
        <v>48</v>
      </c>
      <c r="AB657" s="5" t="s">
        <v>3043</v>
      </c>
      <c r="AC657" s="6" t="s">
        <v>86</v>
      </c>
      <c r="AD657" s="6">
        <v>1032.0</v>
      </c>
    </row>
    <row r="658" ht="56.25" customHeight="1">
      <c r="A658" s="5" t="s">
        <v>2813</v>
      </c>
      <c r="B658" s="6" t="str">
        <f>IMAGE("https://storage.googleapis.com/acdb/miscellaneous/FtrMagazinerack_Remake_6_1.png")</f>
        <v/>
      </c>
      <c r="C658" s="5" t="s">
        <v>96</v>
      </c>
      <c r="D658" s="5" t="s">
        <v>1008</v>
      </c>
      <c r="E658" s="5" t="s">
        <v>2826</v>
      </c>
      <c r="F658" s="5" t="s">
        <v>2818</v>
      </c>
      <c r="G658" s="5" t="s">
        <v>35</v>
      </c>
      <c r="H658" s="5" t="s">
        <v>35</v>
      </c>
      <c r="I658" s="5" t="s">
        <v>35</v>
      </c>
      <c r="J658" s="6">
        <v>2.0</v>
      </c>
      <c r="K658" s="6" t="s">
        <v>37</v>
      </c>
      <c r="L658" s="6">
        <v>690.0</v>
      </c>
      <c r="M658" s="5" t="s">
        <v>68</v>
      </c>
      <c r="N658" s="5" t="s">
        <v>52</v>
      </c>
      <c r="O658" s="6" t="s">
        <v>40</v>
      </c>
      <c r="P658" s="5" t="s">
        <v>41</v>
      </c>
      <c r="Q658" s="5"/>
      <c r="R658" s="6" t="s">
        <v>42</v>
      </c>
      <c r="S658" s="5" t="s">
        <v>90</v>
      </c>
      <c r="T658" s="5" t="s">
        <v>62</v>
      </c>
      <c r="U658" s="5" t="s">
        <v>44</v>
      </c>
      <c r="V658" s="5" t="s">
        <v>44</v>
      </c>
      <c r="W658" s="5" t="s">
        <v>36</v>
      </c>
      <c r="X658" s="5" t="s">
        <v>203</v>
      </c>
      <c r="Y658" s="5" t="s">
        <v>46</v>
      </c>
      <c r="Z658" s="5" t="s">
        <v>47</v>
      </c>
      <c r="AA658" s="5" t="s">
        <v>48</v>
      </c>
      <c r="AB658" s="5" t="s">
        <v>3048</v>
      </c>
      <c r="AC658" s="6" t="s">
        <v>620</v>
      </c>
      <c r="AD658" s="6">
        <v>1032.0</v>
      </c>
    </row>
    <row r="659" ht="56.25" customHeight="1">
      <c r="A659" s="5" t="s">
        <v>2813</v>
      </c>
      <c r="B659" s="6" t="str">
        <f>IMAGE("https://storage.googleapis.com/acdb/miscellaneous/FtrMagazinerack_Remake_6_2.png")</f>
        <v/>
      </c>
      <c r="C659" s="5" t="s">
        <v>96</v>
      </c>
      <c r="D659" s="5" t="s">
        <v>1008</v>
      </c>
      <c r="E659" s="5" t="s">
        <v>2774</v>
      </c>
      <c r="F659" s="5" t="s">
        <v>2818</v>
      </c>
      <c r="G659" s="5" t="s">
        <v>35</v>
      </c>
      <c r="H659" s="5" t="s">
        <v>35</v>
      </c>
      <c r="I659" s="5" t="s">
        <v>35</v>
      </c>
      <c r="J659" s="6">
        <v>2.0</v>
      </c>
      <c r="K659" s="6" t="s">
        <v>37</v>
      </c>
      <c r="L659" s="6">
        <v>690.0</v>
      </c>
      <c r="M659" s="5" t="s">
        <v>68</v>
      </c>
      <c r="N659" s="5" t="s">
        <v>95</v>
      </c>
      <c r="O659" s="6" t="s">
        <v>40</v>
      </c>
      <c r="P659" s="5" t="s">
        <v>41</v>
      </c>
      <c r="Q659" s="5"/>
      <c r="R659" s="6" t="s">
        <v>42</v>
      </c>
      <c r="S659" s="5" t="s">
        <v>90</v>
      </c>
      <c r="T659" s="5" t="s">
        <v>62</v>
      </c>
      <c r="U659" s="5" t="s">
        <v>44</v>
      </c>
      <c r="V659" s="5" t="s">
        <v>44</v>
      </c>
      <c r="W659" s="5" t="s">
        <v>36</v>
      </c>
      <c r="X659" s="5" t="s">
        <v>203</v>
      </c>
      <c r="Y659" s="5" t="s">
        <v>46</v>
      </c>
      <c r="Z659" s="5" t="s">
        <v>47</v>
      </c>
      <c r="AA659" s="5" t="s">
        <v>48</v>
      </c>
      <c r="AB659" s="5" t="s">
        <v>3054</v>
      </c>
      <c r="AC659" s="6" t="s">
        <v>626</v>
      </c>
      <c r="AD659" s="6">
        <v>1032.0</v>
      </c>
    </row>
    <row r="660" ht="56.25" customHeight="1">
      <c r="A660" s="5" t="s">
        <v>2813</v>
      </c>
      <c r="B660" s="6" t="str">
        <f>IMAGE("https://storage.googleapis.com/acdb/miscellaneous/FtrMagazinerack_Remake_6_3.png")</f>
        <v/>
      </c>
      <c r="C660" s="5" t="s">
        <v>96</v>
      </c>
      <c r="D660" s="5" t="s">
        <v>1008</v>
      </c>
      <c r="E660" s="5" t="s">
        <v>475</v>
      </c>
      <c r="F660" s="5" t="s">
        <v>2818</v>
      </c>
      <c r="G660" s="5" t="s">
        <v>35</v>
      </c>
      <c r="H660" s="5" t="s">
        <v>35</v>
      </c>
      <c r="I660" s="5" t="s">
        <v>35</v>
      </c>
      <c r="J660" s="6">
        <v>2.0</v>
      </c>
      <c r="K660" s="6" t="s">
        <v>37</v>
      </c>
      <c r="L660" s="6">
        <v>690.0</v>
      </c>
      <c r="M660" s="5" t="s">
        <v>68</v>
      </c>
      <c r="N660" s="5" t="s">
        <v>58</v>
      </c>
      <c r="O660" s="6" t="s">
        <v>40</v>
      </c>
      <c r="P660" s="5" t="s">
        <v>41</v>
      </c>
      <c r="Q660" s="5"/>
      <c r="R660" s="6" t="s">
        <v>42</v>
      </c>
      <c r="S660" s="5" t="s">
        <v>90</v>
      </c>
      <c r="T660" s="5" t="s">
        <v>62</v>
      </c>
      <c r="U660" s="5" t="s">
        <v>44</v>
      </c>
      <c r="V660" s="5" t="s">
        <v>44</v>
      </c>
      <c r="W660" s="5" t="s">
        <v>36</v>
      </c>
      <c r="X660" s="5" t="s">
        <v>203</v>
      </c>
      <c r="Y660" s="5" t="s">
        <v>46</v>
      </c>
      <c r="Z660" s="5" t="s">
        <v>47</v>
      </c>
      <c r="AA660" s="5" t="s">
        <v>48</v>
      </c>
      <c r="AB660" s="5" t="s">
        <v>3057</v>
      </c>
      <c r="AC660" s="6" t="s">
        <v>634</v>
      </c>
      <c r="AD660" s="6">
        <v>1032.0</v>
      </c>
    </row>
    <row r="661" ht="56.25" customHeight="1">
      <c r="A661" s="5" t="s">
        <v>2813</v>
      </c>
      <c r="B661" s="6" t="str">
        <f>IMAGE("https://storage.googleapis.com/acdb/miscellaneous/FtrMagazinerack_Remake_6_4.png")</f>
        <v/>
      </c>
      <c r="C661" s="5" t="s">
        <v>96</v>
      </c>
      <c r="D661" s="5" t="s">
        <v>1008</v>
      </c>
      <c r="E661" s="5" t="s">
        <v>2850</v>
      </c>
      <c r="F661" s="5" t="s">
        <v>2818</v>
      </c>
      <c r="G661" s="5" t="s">
        <v>35</v>
      </c>
      <c r="H661" s="5" t="s">
        <v>35</v>
      </c>
      <c r="I661" s="5" t="s">
        <v>35</v>
      </c>
      <c r="J661" s="6">
        <v>2.0</v>
      </c>
      <c r="K661" s="6" t="s">
        <v>37</v>
      </c>
      <c r="L661" s="6">
        <v>690.0</v>
      </c>
      <c r="M661" s="5" t="s">
        <v>68</v>
      </c>
      <c r="N661" s="5" t="s">
        <v>58</v>
      </c>
      <c r="O661" s="6" t="s">
        <v>40</v>
      </c>
      <c r="P661" s="5" t="s">
        <v>41</v>
      </c>
      <c r="Q661" s="5"/>
      <c r="R661" s="6" t="s">
        <v>42</v>
      </c>
      <c r="S661" s="5" t="s">
        <v>90</v>
      </c>
      <c r="T661" s="5" t="s">
        <v>62</v>
      </c>
      <c r="U661" s="5" t="s">
        <v>44</v>
      </c>
      <c r="V661" s="5" t="s">
        <v>44</v>
      </c>
      <c r="W661" s="5" t="s">
        <v>36</v>
      </c>
      <c r="X661" s="5" t="s">
        <v>203</v>
      </c>
      <c r="Y661" s="5" t="s">
        <v>46</v>
      </c>
      <c r="Z661" s="5" t="s">
        <v>47</v>
      </c>
      <c r="AA661" s="5" t="s">
        <v>48</v>
      </c>
      <c r="AB661" s="5" t="s">
        <v>3060</v>
      </c>
      <c r="AC661" s="6" t="s">
        <v>641</v>
      </c>
      <c r="AD661" s="6">
        <v>1032.0</v>
      </c>
    </row>
    <row r="662" ht="56.25" customHeight="1">
      <c r="A662" s="5" t="s">
        <v>2813</v>
      </c>
      <c r="B662" s="6" t="str">
        <f>IMAGE("https://storage.googleapis.com/acdb/miscellaneous/FtrMagazinerack_Remake_6_5.png")</f>
        <v/>
      </c>
      <c r="C662" s="5" t="s">
        <v>96</v>
      </c>
      <c r="D662" s="5" t="s">
        <v>1008</v>
      </c>
      <c r="E662" s="5" t="s">
        <v>2858</v>
      </c>
      <c r="F662" s="5" t="s">
        <v>2818</v>
      </c>
      <c r="G662" s="5" t="s">
        <v>35</v>
      </c>
      <c r="H662" s="5" t="s">
        <v>35</v>
      </c>
      <c r="I662" s="5" t="s">
        <v>35</v>
      </c>
      <c r="J662" s="6">
        <v>2.0</v>
      </c>
      <c r="K662" s="6" t="s">
        <v>37</v>
      </c>
      <c r="L662" s="6">
        <v>690.0</v>
      </c>
      <c r="M662" s="5" t="s">
        <v>68</v>
      </c>
      <c r="N662" s="5" t="s">
        <v>69</v>
      </c>
      <c r="O662" s="6" t="s">
        <v>40</v>
      </c>
      <c r="P662" s="5" t="s">
        <v>41</v>
      </c>
      <c r="Q662" s="5"/>
      <c r="R662" s="6" t="s">
        <v>42</v>
      </c>
      <c r="S662" s="5" t="s">
        <v>90</v>
      </c>
      <c r="T662" s="5" t="s">
        <v>62</v>
      </c>
      <c r="U662" s="5" t="s">
        <v>44</v>
      </c>
      <c r="V662" s="5" t="s">
        <v>44</v>
      </c>
      <c r="W662" s="5" t="s">
        <v>36</v>
      </c>
      <c r="X662" s="5" t="s">
        <v>203</v>
      </c>
      <c r="Y662" s="5" t="s">
        <v>46</v>
      </c>
      <c r="Z662" s="5" t="s">
        <v>47</v>
      </c>
      <c r="AA662" s="5" t="s">
        <v>48</v>
      </c>
      <c r="AB662" s="5" t="s">
        <v>3067</v>
      </c>
      <c r="AC662" s="6" t="s">
        <v>1870</v>
      </c>
      <c r="AD662" s="6">
        <v>1032.0</v>
      </c>
    </row>
    <row r="663" ht="56.25" customHeight="1">
      <c r="A663" s="5" t="s">
        <v>2813</v>
      </c>
      <c r="B663" s="6" t="str">
        <f>IMAGE("https://storage.googleapis.com/acdb/miscellaneous/FtrMagazinerack_Remake_6_6.png")</f>
        <v/>
      </c>
      <c r="C663" s="5" t="s">
        <v>96</v>
      </c>
      <c r="D663" s="5" t="s">
        <v>1008</v>
      </c>
      <c r="E663" s="5" t="s">
        <v>2862</v>
      </c>
      <c r="F663" s="5" t="s">
        <v>2818</v>
      </c>
      <c r="G663" s="5" t="s">
        <v>35</v>
      </c>
      <c r="H663" s="5" t="s">
        <v>35</v>
      </c>
      <c r="I663" s="5" t="s">
        <v>35</v>
      </c>
      <c r="J663" s="6">
        <v>2.0</v>
      </c>
      <c r="K663" s="6" t="s">
        <v>37</v>
      </c>
      <c r="L663" s="6">
        <v>690.0</v>
      </c>
      <c r="M663" s="5" t="s">
        <v>68</v>
      </c>
      <c r="N663" s="5" t="s">
        <v>58</v>
      </c>
      <c r="O663" s="6" t="s">
        <v>40</v>
      </c>
      <c r="P663" s="5" t="s">
        <v>41</v>
      </c>
      <c r="Q663" s="5"/>
      <c r="R663" s="6" t="s">
        <v>42</v>
      </c>
      <c r="S663" s="5" t="s">
        <v>90</v>
      </c>
      <c r="T663" s="5" t="s">
        <v>62</v>
      </c>
      <c r="U663" s="5" t="s">
        <v>44</v>
      </c>
      <c r="V663" s="5" t="s">
        <v>44</v>
      </c>
      <c r="W663" s="5" t="s">
        <v>36</v>
      </c>
      <c r="X663" s="5" t="s">
        <v>203</v>
      </c>
      <c r="Y663" s="5" t="s">
        <v>46</v>
      </c>
      <c r="Z663" s="5" t="s">
        <v>47</v>
      </c>
      <c r="AA663" s="5" t="s">
        <v>48</v>
      </c>
      <c r="AB663" s="5" t="s">
        <v>3072</v>
      </c>
      <c r="AC663" s="6" t="s">
        <v>1873</v>
      </c>
      <c r="AD663" s="6">
        <v>1032.0</v>
      </c>
    </row>
    <row r="664" ht="56.25" customHeight="1">
      <c r="A664" s="5" t="s">
        <v>2813</v>
      </c>
      <c r="B664" s="6" t="str">
        <f>IMAGE("https://storage.googleapis.com/acdb/miscellaneous/FtrMagazinerack_Remake_7_0.png")</f>
        <v/>
      </c>
      <c r="C664" s="5" t="s">
        <v>52</v>
      </c>
      <c r="D664" s="5" t="s">
        <v>1008</v>
      </c>
      <c r="E664" s="5" t="s">
        <v>2816</v>
      </c>
      <c r="F664" s="5" t="s">
        <v>2818</v>
      </c>
      <c r="G664" s="5" t="s">
        <v>35</v>
      </c>
      <c r="H664" s="5" t="s">
        <v>35</v>
      </c>
      <c r="I664" s="5" t="s">
        <v>35</v>
      </c>
      <c r="J664" s="6">
        <v>2.0</v>
      </c>
      <c r="K664" s="6" t="s">
        <v>37</v>
      </c>
      <c r="L664" s="6">
        <v>690.0</v>
      </c>
      <c r="M664" s="5" t="s">
        <v>52</v>
      </c>
      <c r="N664" s="5" t="s">
        <v>68</v>
      </c>
      <c r="O664" s="6" t="s">
        <v>40</v>
      </c>
      <c r="P664" s="5" t="s">
        <v>41</v>
      </c>
      <c r="Q664" s="5"/>
      <c r="R664" s="6" t="s">
        <v>42</v>
      </c>
      <c r="S664" s="5" t="s">
        <v>90</v>
      </c>
      <c r="T664" s="5" t="s">
        <v>62</v>
      </c>
      <c r="U664" s="5" t="s">
        <v>44</v>
      </c>
      <c r="V664" s="5" t="s">
        <v>44</v>
      </c>
      <c r="W664" s="5" t="s">
        <v>36</v>
      </c>
      <c r="X664" s="5" t="s">
        <v>203</v>
      </c>
      <c r="Y664" s="5" t="s">
        <v>46</v>
      </c>
      <c r="Z664" s="5" t="s">
        <v>47</v>
      </c>
      <c r="AA664" s="5" t="s">
        <v>48</v>
      </c>
      <c r="AB664" s="5" t="s">
        <v>3077</v>
      </c>
      <c r="AC664" s="6" t="s">
        <v>208</v>
      </c>
      <c r="AD664" s="6">
        <v>1032.0</v>
      </c>
    </row>
    <row r="665" ht="56.25" customHeight="1">
      <c r="A665" s="5" t="s">
        <v>2813</v>
      </c>
      <c r="B665" s="6" t="str">
        <f>IMAGE("https://storage.googleapis.com/acdb/miscellaneous/FtrMagazinerack_Remake_7_1.png")</f>
        <v/>
      </c>
      <c r="C665" s="5" t="s">
        <v>52</v>
      </c>
      <c r="D665" s="5" t="s">
        <v>1008</v>
      </c>
      <c r="E665" s="5" t="s">
        <v>2826</v>
      </c>
      <c r="F665" s="5" t="s">
        <v>2818</v>
      </c>
      <c r="G665" s="5" t="s">
        <v>35</v>
      </c>
      <c r="H665" s="5" t="s">
        <v>35</v>
      </c>
      <c r="I665" s="5" t="s">
        <v>35</v>
      </c>
      <c r="J665" s="6">
        <v>2.0</v>
      </c>
      <c r="K665" s="6" t="s">
        <v>37</v>
      </c>
      <c r="L665" s="6">
        <v>690.0</v>
      </c>
      <c r="M665" s="5" t="s">
        <v>52</v>
      </c>
      <c r="N665" s="5" t="s">
        <v>52</v>
      </c>
      <c r="O665" s="6" t="s">
        <v>40</v>
      </c>
      <c r="P665" s="5" t="s">
        <v>41</v>
      </c>
      <c r="Q665" s="5"/>
      <c r="R665" s="6" t="s">
        <v>42</v>
      </c>
      <c r="S665" s="5" t="s">
        <v>90</v>
      </c>
      <c r="T665" s="5" t="s">
        <v>62</v>
      </c>
      <c r="U665" s="5" t="s">
        <v>44</v>
      </c>
      <c r="V665" s="5" t="s">
        <v>44</v>
      </c>
      <c r="W665" s="5" t="s">
        <v>36</v>
      </c>
      <c r="X665" s="5" t="s">
        <v>203</v>
      </c>
      <c r="Y665" s="5" t="s">
        <v>46</v>
      </c>
      <c r="Z665" s="5" t="s">
        <v>47</v>
      </c>
      <c r="AA665" s="5" t="s">
        <v>48</v>
      </c>
      <c r="AB665" s="5" t="s">
        <v>3082</v>
      </c>
      <c r="AC665" s="6" t="s">
        <v>1892</v>
      </c>
      <c r="AD665" s="6">
        <v>1032.0</v>
      </c>
    </row>
    <row r="666" ht="56.25" customHeight="1">
      <c r="A666" s="5" t="s">
        <v>2813</v>
      </c>
      <c r="B666" s="6" t="str">
        <f>IMAGE("https://storage.googleapis.com/acdb/miscellaneous/FtrMagazinerack_Remake_7_2.png")</f>
        <v/>
      </c>
      <c r="C666" s="5" t="s">
        <v>52</v>
      </c>
      <c r="D666" s="5" t="s">
        <v>1008</v>
      </c>
      <c r="E666" s="5" t="s">
        <v>2774</v>
      </c>
      <c r="F666" s="5" t="s">
        <v>2818</v>
      </c>
      <c r="G666" s="5" t="s">
        <v>35</v>
      </c>
      <c r="H666" s="5" t="s">
        <v>35</v>
      </c>
      <c r="I666" s="5" t="s">
        <v>35</v>
      </c>
      <c r="J666" s="6">
        <v>2.0</v>
      </c>
      <c r="K666" s="6" t="s">
        <v>37</v>
      </c>
      <c r="L666" s="6">
        <v>690.0</v>
      </c>
      <c r="M666" s="5" t="s">
        <v>52</v>
      </c>
      <c r="N666" s="5" t="s">
        <v>95</v>
      </c>
      <c r="O666" s="6" t="s">
        <v>40</v>
      </c>
      <c r="P666" s="5" t="s">
        <v>41</v>
      </c>
      <c r="Q666" s="5"/>
      <c r="R666" s="6" t="s">
        <v>42</v>
      </c>
      <c r="S666" s="5" t="s">
        <v>90</v>
      </c>
      <c r="T666" s="5" t="s">
        <v>62</v>
      </c>
      <c r="U666" s="5" t="s">
        <v>44</v>
      </c>
      <c r="V666" s="5" t="s">
        <v>44</v>
      </c>
      <c r="W666" s="5" t="s">
        <v>36</v>
      </c>
      <c r="X666" s="5" t="s">
        <v>203</v>
      </c>
      <c r="Y666" s="5" t="s">
        <v>46</v>
      </c>
      <c r="Z666" s="5" t="s">
        <v>47</v>
      </c>
      <c r="AA666" s="5" t="s">
        <v>48</v>
      </c>
      <c r="AB666" s="5" t="s">
        <v>3086</v>
      </c>
      <c r="AC666" s="6" t="s">
        <v>1901</v>
      </c>
      <c r="AD666" s="6">
        <v>1032.0</v>
      </c>
    </row>
    <row r="667" ht="56.25" customHeight="1">
      <c r="A667" s="5" t="s">
        <v>2813</v>
      </c>
      <c r="B667" s="6" t="str">
        <f>IMAGE("https://storage.googleapis.com/acdb/miscellaneous/FtrMagazinerack_Remake_7_3.png")</f>
        <v/>
      </c>
      <c r="C667" s="5" t="s">
        <v>52</v>
      </c>
      <c r="D667" s="5" t="s">
        <v>1008</v>
      </c>
      <c r="E667" s="5" t="s">
        <v>475</v>
      </c>
      <c r="F667" s="5" t="s">
        <v>2818</v>
      </c>
      <c r="G667" s="5" t="s">
        <v>35</v>
      </c>
      <c r="H667" s="5" t="s">
        <v>35</v>
      </c>
      <c r="I667" s="5" t="s">
        <v>35</v>
      </c>
      <c r="J667" s="6">
        <v>2.0</v>
      </c>
      <c r="K667" s="6" t="s">
        <v>37</v>
      </c>
      <c r="L667" s="6">
        <v>690.0</v>
      </c>
      <c r="M667" s="5" t="s">
        <v>52</v>
      </c>
      <c r="N667" s="5" t="s">
        <v>58</v>
      </c>
      <c r="O667" s="6" t="s">
        <v>40</v>
      </c>
      <c r="P667" s="5" t="s">
        <v>41</v>
      </c>
      <c r="Q667" s="5"/>
      <c r="R667" s="6" t="s">
        <v>42</v>
      </c>
      <c r="S667" s="5" t="s">
        <v>90</v>
      </c>
      <c r="T667" s="5" t="s">
        <v>62</v>
      </c>
      <c r="U667" s="5" t="s">
        <v>44</v>
      </c>
      <c r="V667" s="5" t="s">
        <v>44</v>
      </c>
      <c r="W667" s="5" t="s">
        <v>36</v>
      </c>
      <c r="X667" s="5" t="s">
        <v>203</v>
      </c>
      <c r="Y667" s="5" t="s">
        <v>46</v>
      </c>
      <c r="Z667" s="5" t="s">
        <v>47</v>
      </c>
      <c r="AA667" s="5" t="s">
        <v>48</v>
      </c>
      <c r="AB667" s="5" t="s">
        <v>3093</v>
      </c>
      <c r="AC667" s="6" t="s">
        <v>1906</v>
      </c>
      <c r="AD667" s="6">
        <v>1032.0</v>
      </c>
    </row>
    <row r="668" ht="56.25" customHeight="1">
      <c r="A668" s="5" t="s">
        <v>2813</v>
      </c>
      <c r="B668" s="6" t="str">
        <f>IMAGE("https://storage.googleapis.com/acdb/miscellaneous/FtrMagazinerack_Remake_7_4.png")</f>
        <v/>
      </c>
      <c r="C668" s="5" t="s">
        <v>52</v>
      </c>
      <c r="D668" s="5" t="s">
        <v>1008</v>
      </c>
      <c r="E668" s="5" t="s">
        <v>2850</v>
      </c>
      <c r="F668" s="5" t="s">
        <v>2818</v>
      </c>
      <c r="G668" s="5" t="s">
        <v>35</v>
      </c>
      <c r="H668" s="5" t="s">
        <v>35</v>
      </c>
      <c r="I668" s="5" t="s">
        <v>35</v>
      </c>
      <c r="J668" s="6">
        <v>2.0</v>
      </c>
      <c r="K668" s="6" t="s">
        <v>37</v>
      </c>
      <c r="L668" s="6">
        <v>690.0</v>
      </c>
      <c r="M668" s="5" t="s">
        <v>52</v>
      </c>
      <c r="N668" s="5" t="s">
        <v>58</v>
      </c>
      <c r="O668" s="6" t="s">
        <v>40</v>
      </c>
      <c r="P668" s="5" t="s">
        <v>41</v>
      </c>
      <c r="Q668" s="5"/>
      <c r="R668" s="6" t="s">
        <v>42</v>
      </c>
      <c r="S668" s="5" t="s">
        <v>90</v>
      </c>
      <c r="T668" s="5" t="s">
        <v>62</v>
      </c>
      <c r="U668" s="5" t="s">
        <v>44</v>
      </c>
      <c r="V668" s="5" t="s">
        <v>44</v>
      </c>
      <c r="W668" s="5" t="s">
        <v>36</v>
      </c>
      <c r="X668" s="5" t="s">
        <v>203</v>
      </c>
      <c r="Y668" s="5" t="s">
        <v>46</v>
      </c>
      <c r="Z668" s="5" t="s">
        <v>47</v>
      </c>
      <c r="AA668" s="5" t="s">
        <v>48</v>
      </c>
      <c r="AB668" s="5" t="s">
        <v>3099</v>
      </c>
      <c r="AC668" s="6" t="s">
        <v>1910</v>
      </c>
      <c r="AD668" s="6">
        <v>1032.0</v>
      </c>
    </row>
    <row r="669" ht="56.25" customHeight="1">
      <c r="A669" s="5" t="s">
        <v>2813</v>
      </c>
      <c r="B669" s="6" t="str">
        <f>IMAGE("https://storage.googleapis.com/acdb/miscellaneous/FtrMagazinerack_Remake_7_5.png")</f>
        <v/>
      </c>
      <c r="C669" s="5" t="s">
        <v>52</v>
      </c>
      <c r="D669" s="5" t="s">
        <v>1008</v>
      </c>
      <c r="E669" s="5" t="s">
        <v>2858</v>
      </c>
      <c r="F669" s="5" t="s">
        <v>2818</v>
      </c>
      <c r="G669" s="5" t="s">
        <v>35</v>
      </c>
      <c r="H669" s="5" t="s">
        <v>35</v>
      </c>
      <c r="I669" s="5" t="s">
        <v>35</v>
      </c>
      <c r="J669" s="6">
        <v>2.0</v>
      </c>
      <c r="K669" s="6" t="s">
        <v>37</v>
      </c>
      <c r="L669" s="6">
        <v>690.0</v>
      </c>
      <c r="M669" s="5" t="s">
        <v>52</v>
      </c>
      <c r="N669" s="5" t="s">
        <v>69</v>
      </c>
      <c r="O669" s="6" t="s">
        <v>40</v>
      </c>
      <c r="P669" s="5" t="s">
        <v>41</v>
      </c>
      <c r="Q669" s="5"/>
      <c r="R669" s="6" t="s">
        <v>42</v>
      </c>
      <c r="S669" s="5" t="s">
        <v>90</v>
      </c>
      <c r="T669" s="5" t="s">
        <v>62</v>
      </c>
      <c r="U669" s="5" t="s">
        <v>44</v>
      </c>
      <c r="V669" s="5" t="s">
        <v>44</v>
      </c>
      <c r="W669" s="5" t="s">
        <v>36</v>
      </c>
      <c r="X669" s="5" t="s">
        <v>203</v>
      </c>
      <c r="Y669" s="5" t="s">
        <v>46</v>
      </c>
      <c r="Z669" s="5" t="s">
        <v>47</v>
      </c>
      <c r="AA669" s="5" t="s">
        <v>48</v>
      </c>
      <c r="AB669" s="5" t="s">
        <v>3103</v>
      </c>
      <c r="AC669" s="6" t="s">
        <v>1915</v>
      </c>
      <c r="AD669" s="6">
        <v>1032.0</v>
      </c>
    </row>
    <row r="670" ht="56.25" customHeight="1">
      <c r="A670" s="5" t="s">
        <v>2813</v>
      </c>
      <c r="B670" s="6" t="str">
        <f>IMAGE("https://storage.googleapis.com/acdb/miscellaneous/FtrMagazinerack_Remake_7_6.png")</f>
        <v/>
      </c>
      <c r="C670" s="5" t="s">
        <v>52</v>
      </c>
      <c r="D670" s="5" t="s">
        <v>1008</v>
      </c>
      <c r="E670" s="5" t="s">
        <v>2862</v>
      </c>
      <c r="F670" s="5" t="s">
        <v>2818</v>
      </c>
      <c r="G670" s="5" t="s">
        <v>35</v>
      </c>
      <c r="H670" s="5" t="s">
        <v>35</v>
      </c>
      <c r="I670" s="5" t="s">
        <v>35</v>
      </c>
      <c r="J670" s="6">
        <v>2.0</v>
      </c>
      <c r="K670" s="6" t="s">
        <v>37</v>
      </c>
      <c r="L670" s="6">
        <v>690.0</v>
      </c>
      <c r="M670" s="5" t="s">
        <v>52</v>
      </c>
      <c r="N670" s="5" t="s">
        <v>58</v>
      </c>
      <c r="O670" s="6" t="s">
        <v>40</v>
      </c>
      <c r="P670" s="5" t="s">
        <v>41</v>
      </c>
      <c r="Q670" s="5"/>
      <c r="R670" s="6" t="s">
        <v>42</v>
      </c>
      <c r="S670" s="5" t="s">
        <v>90</v>
      </c>
      <c r="T670" s="5" t="s">
        <v>62</v>
      </c>
      <c r="U670" s="5" t="s">
        <v>44</v>
      </c>
      <c r="V670" s="5" t="s">
        <v>44</v>
      </c>
      <c r="W670" s="5" t="s">
        <v>36</v>
      </c>
      <c r="X670" s="5" t="s">
        <v>203</v>
      </c>
      <c r="Y670" s="5" t="s">
        <v>46</v>
      </c>
      <c r="Z670" s="5" t="s">
        <v>47</v>
      </c>
      <c r="AA670" s="5" t="s">
        <v>48</v>
      </c>
      <c r="AB670" s="5" t="s">
        <v>3106</v>
      </c>
      <c r="AC670" s="6" t="s">
        <v>1919</v>
      </c>
      <c r="AD670" s="6">
        <v>1032.0</v>
      </c>
    </row>
    <row r="671" ht="56.25" customHeight="1">
      <c r="A671" s="5" t="s">
        <v>3107</v>
      </c>
      <c r="B671" s="6" t="str">
        <f>IMAGE("https://storage.googleapis.com/acdb/miscellaneous/FtrMagicset_Remake_0_0.png")</f>
        <v/>
      </c>
      <c r="C671" s="5" t="s">
        <v>52</v>
      </c>
      <c r="D671" s="5" t="s">
        <v>34</v>
      </c>
      <c r="E671" s="5" t="s">
        <v>34</v>
      </c>
      <c r="F671" s="5" t="s">
        <v>34</v>
      </c>
      <c r="G671" s="5" t="s">
        <v>36</v>
      </c>
      <c r="H671" s="5" t="s">
        <v>36</v>
      </c>
      <c r="I671" s="5" t="s">
        <v>36</v>
      </c>
      <c r="J671" s="6" t="s">
        <v>34</v>
      </c>
      <c r="K671" s="6">
        <v>980.0</v>
      </c>
      <c r="L671" s="6">
        <v>245.0</v>
      </c>
      <c r="M671" s="5" t="s">
        <v>54</v>
      </c>
      <c r="N671" s="5" t="s">
        <v>52</v>
      </c>
      <c r="O671" s="6" t="s">
        <v>40</v>
      </c>
      <c r="P671" s="5" t="s">
        <v>59</v>
      </c>
      <c r="Q671" s="5" t="s">
        <v>60</v>
      </c>
      <c r="R671" s="6" t="s">
        <v>42</v>
      </c>
      <c r="S671" s="5" t="s">
        <v>99</v>
      </c>
      <c r="T671" s="5" t="s">
        <v>44</v>
      </c>
      <c r="U671" s="5" t="s">
        <v>44</v>
      </c>
      <c r="V671" s="5" t="s">
        <v>44</v>
      </c>
      <c r="W671" s="5" t="s">
        <v>35</v>
      </c>
      <c r="X671" s="5" t="s">
        <v>356</v>
      </c>
      <c r="Y671" s="5" t="s">
        <v>46</v>
      </c>
      <c r="Z671" s="5" t="s">
        <v>47</v>
      </c>
      <c r="AA671" s="5" t="s">
        <v>64</v>
      </c>
      <c r="AB671" s="5" t="s">
        <v>3111</v>
      </c>
      <c r="AC671" s="6" t="s">
        <v>50</v>
      </c>
      <c r="AD671" s="6">
        <v>4392.0</v>
      </c>
    </row>
    <row r="672" ht="56.25" customHeight="1">
      <c r="A672" s="5" t="s">
        <v>3107</v>
      </c>
      <c r="B672" s="6" t="str">
        <f>IMAGE("https://storage.googleapis.com/acdb/miscellaneous/FtrMagicset_Remake_1_0.png")</f>
        <v/>
      </c>
      <c r="C672" s="5" t="s">
        <v>68</v>
      </c>
      <c r="D672" s="5" t="s">
        <v>34</v>
      </c>
      <c r="E672" s="5" t="s">
        <v>34</v>
      </c>
      <c r="F672" s="5" t="s">
        <v>34</v>
      </c>
      <c r="G672" s="5" t="s">
        <v>36</v>
      </c>
      <c r="H672" s="5" t="s">
        <v>36</v>
      </c>
      <c r="I672" s="5" t="s">
        <v>36</v>
      </c>
      <c r="J672" s="6" t="s">
        <v>34</v>
      </c>
      <c r="K672" s="6">
        <v>980.0</v>
      </c>
      <c r="L672" s="6">
        <v>245.0</v>
      </c>
      <c r="M672" s="5" t="s">
        <v>57</v>
      </c>
      <c r="N672" s="5" t="s">
        <v>68</v>
      </c>
      <c r="O672" s="6" t="s">
        <v>40</v>
      </c>
      <c r="P672" s="5" t="s">
        <v>59</v>
      </c>
      <c r="Q672" s="5" t="s">
        <v>60</v>
      </c>
      <c r="R672" s="6" t="s">
        <v>42</v>
      </c>
      <c r="S672" s="5" t="s">
        <v>99</v>
      </c>
      <c r="T672" s="5" t="s">
        <v>44</v>
      </c>
      <c r="U672" s="5" t="s">
        <v>44</v>
      </c>
      <c r="V672" s="5" t="s">
        <v>44</v>
      </c>
      <c r="W672" s="5" t="s">
        <v>35</v>
      </c>
      <c r="X672" s="5" t="s">
        <v>356</v>
      </c>
      <c r="Y672" s="5" t="s">
        <v>46</v>
      </c>
      <c r="Z672" s="5" t="s">
        <v>47</v>
      </c>
      <c r="AA672" s="5" t="s">
        <v>64</v>
      </c>
      <c r="AB672" s="5" t="s">
        <v>3113</v>
      </c>
      <c r="AC672" s="6" t="s">
        <v>56</v>
      </c>
      <c r="AD672" s="6">
        <v>4392.0</v>
      </c>
    </row>
    <row r="673" ht="56.25" customHeight="1">
      <c r="A673" s="5" t="s">
        <v>3114</v>
      </c>
      <c r="B673" s="16" t="str">
        <f>IMAGE("https://storage.googleapis.com/acdb/miscellaneous/FtrFishShiiraToy.png")</f>
        <v/>
      </c>
      <c r="C673" s="5" t="s">
        <v>34</v>
      </c>
      <c r="D673" s="5" t="s">
        <v>34</v>
      </c>
      <c r="E673" s="5" t="s">
        <v>34</v>
      </c>
      <c r="F673" s="5" t="s">
        <v>34</v>
      </c>
      <c r="G673" s="5" t="s">
        <v>36</v>
      </c>
      <c r="H673" s="5" t="s">
        <v>36</v>
      </c>
      <c r="I673" s="5" t="s">
        <v>36</v>
      </c>
      <c r="J673" s="6" t="s">
        <v>34</v>
      </c>
      <c r="K673" s="6" t="s">
        <v>37</v>
      </c>
      <c r="L673" s="6">
        <v>18000.0</v>
      </c>
      <c r="M673" s="5" t="s">
        <v>114</v>
      </c>
      <c r="N673" s="5" t="s">
        <v>54</v>
      </c>
      <c r="O673" s="6" t="s">
        <v>40</v>
      </c>
      <c r="P673" s="5" t="s">
        <v>213</v>
      </c>
      <c r="Q673" s="5" t="s">
        <v>215</v>
      </c>
      <c r="R673" s="6" t="s">
        <v>42</v>
      </c>
      <c r="S673" s="5" t="s">
        <v>44</v>
      </c>
      <c r="T673" s="5" t="s">
        <v>44</v>
      </c>
      <c r="U673" s="5" t="s">
        <v>44</v>
      </c>
      <c r="V673" s="5" t="s">
        <v>44</v>
      </c>
      <c r="W673" s="5" t="s">
        <v>36</v>
      </c>
      <c r="X673" s="5" t="s">
        <v>219</v>
      </c>
      <c r="Y673" s="5" t="s">
        <v>46</v>
      </c>
      <c r="Z673" s="5" t="s">
        <v>47</v>
      </c>
      <c r="AA673" s="5" t="s">
        <v>48</v>
      </c>
      <c r="AB673" s="5" t="s">
        <v>3118</v>
      </c>
      <c r="AC673" s="6" t="s">
        <v>34</v>
      </c>
      <c r="AD673" s="6">
        <v>7014.0</v>
      </c>
    </row>
    <row r="674" ht="56.25" customHeight="1">
      <c r="A674" s="5" t="s">
        <v>3119</v>
      </c>
      <c r="B674" s="16" t="str">
        <f>IMAGE("https://storage.googleapis.com/acdb/miscellaneous/FtrInsectJinmenkamemushiToy.png")</f>
        <v/>
      </c>
      <c r="C674" s="5" t="s">
        <v>34</v>
      </c>
      <c r="D674" s="5" t="s">
        <v>34</v>
      </c>
      <c r="E674" s="5" t="s">
        <v>34</v>
      </c>
      <c r="F674" s="5" t="s">
        <v>34</v>
      </c>
      <c r="G674" s="5" t="s">
        <v>36</v>
      </c>
      <c r="H674" s="5" t="s">
        <v>36</v>
      </c>
      <c r="I674" s="5" t="s">
        <v>36</v>
      </c>
      <c r="J674" s="6" t="s">
        <v>34</v>
      </c>
      <c r="K674" s="6" t="s">
        <v>37</v>
      </c>
      <c r="L674" s="6">
        <v>3000.0</v>
      </c>
      <c r="M674" s="5" t="s">
        <v>54</v>
      </c>
      <c r="N674" s="5" t="s">
        <v>142</v>
      </c>
      <c r="O674" s="6" t="s">
        <v>40</v>
      </c>
      <c r="P674" s="5" t="s">
        <v>107</v>
      </c>
      <c r="Q674" s="5" t="s">
        <v>108</v>
      </c>
      <c r="R674" s="6" t="s">
        <v>42</v>
      </c>
      <c r="S674" s="5" t="s">
        <v>44</v>
      </c>
      <c r="T674" s="5" t="s">
        <v>44</v>
      </c>
      <c r="U674" s="5" t="s">
        <v>44</v>
      </c>
      <c r="V674" s="5" t="s">
        <v>44</v>
      </c>
      <c r="W674" s="5" t="s">
        <v>36</v>
      </c>
      <c r="X674" s="5" t="s">
        <v>109</v>
      </c>
      <c r="Y674" s="5" t="s">
        <v>46</v>
      </c>
      <c r="Z674" s="5" t="s">
        <v>47</v>
      </c>
      <c r="AA674" s="5" t="s">
        <v>48</v>
      </c>
      <c r="AB674" s="5" t="s">
        <v>3123</v>
      </c>
      <c r="AC674" s="6" t="s">
        <v>34</v>
      </c>
      <c r="AD674" s="6">
        <v>7116.0</v>
      </c>
    </row>
    <row r="675" ht="56.25" customHeight="1">
      <c r="A675" s="5" t="s">
        <v>3124</v>
      </c>
      <c r="B675" s="16" t="str">
        <f>IMAGE("https://storage.googleapis.com/acdb/miscellaneous/FtrInsectKamakiriToy.png")</f>
        <v/>
      </c>
      <c r="C675" s="5" t="s">
        <v>34</v>
      </c>
      <c r="D675" s="5" t="s">
        <v>34</v>
      </c>
      <c r="E675" s="5" t="s">
        <v>34</v>
      </c>
      <c r="F675" s="5" t="s">
        <v>34</v>
      </c>
      <c r="G675" s="5" t="s">
        <v>36</v>
      </c>
      <c r="H675" s="5" t="s">
        <v>36</v>
      </c>
      <c r="I675" s="5" t="s">
        <v>36</v>
      </c>
      <c r="J675" s="6" t="s">
        <v>34</v>
      </c>
      <c r="K675" s="6" t="s">
        <v>37</v>
      </c>
      <c r="L675" s="6">
        <v>1290.0</v>
      </c>
      <c r="M675" s="5" t="s">
        <v>96</v>
      </c>
      <c r="N675" s="5" t="s">
        <v>96</v>
      </c>
      <c r="O675" s="6" t="s">
        <v>40</v>
      </c>
      <c r="P675" s="5" t="s">
        <v>107</v>
      </c>
      <c r="Q675" s="5" t="s">
        <v>108</v>
      </c>
      <c r="R675" s="6" t="s">
        <v>42</v>
      </c>
      <c r="S675" s="5" t="s">
        <v>44</v>
      </c>
      <c r="T675" s="5" t="s">
        <v>44</v>
      </c>
      <c r="U675" s="5" t="s">
        <v>44</v>
      </c>
      <c r="V675" s="5" t="s">
        <v>44</v>
      </c>
      <c r="W675" s="5" t="s">
        <v>36</v>
      </c>
      <c r="X675" s="5" t="s">
        <v>109</v>
      </c>
      <c r="Y675" s="5" t="s">
        <v>46</v>
      </c>
      <c r="Z675" s="5" t="s">
        <v>47</v>
      </c>
      <c r="AA675" s="5" t="s">
        <v>48</v>
      </c>
      <c r="AB675" s="5" t="s">
        <v>3127</v>
      </c>
      <c r="AC675" s="6" t="s">
        <v>34</v>
      </c>
      <c r="AD675" s="6">
        <v>7068.0</v>
      </c>
    </row>
    <row r="676" ht="56.25" customHeight="1">
      <c r="A676" s="5" t="s">
        <v>3129</v>
      </c>
      <c r="B676" s="6" t="str">
        <f>IMAGE("https://storage.googleapis.com/acdb/miscellaneous/FtrMatryoshka_Remake_0_0.png")</f>
        <v/>
      </c>
      <c r="C676" s="5" t="s">
        <v>52</v>
      </c>
      <c r="D676" s="5" t="s">
        <v>2</v>
      </c>
      <c r="E676" s="5" t="s">
        <v>34</v>
      </c>
      <c r="F676" s="5" t="s">
        <v>34</v>
      </c>
      <c r="G676" s="5" t="s">
        <v>35</v>
      </c>
      <c r="H676" s="5" t="s">
        <v>35</v>
      </c>
      <c r="I676" s="5" t="s">
        <v>36</v>
      </c>
      <c r="J676" s="6">
        <v>1.0</v>
      </c>
      <c r="K676" s="6" t="s">
        <v>37</v>
      </c>
      <c r="L676" s="6">
        <v>600.0</v>
      </c>
      <c r="M676" s="5" t="s">
        <v>52</v>
      </c>
      <c r="N676" s="5" t="s">
        <v>114</v>
      </c>
      <c r="O676" s="6" t="s">
        <v>40</v>
      </c>
      <c r="P676" s="5" t="s">
        <v>41</v>
      </c>
      <c r="Q676" s="5"/>
      <c r="R676" s="6" t="s">
        <v>42</v>
      </c>
      <c r="S676" s="5" t="s">
        <v>696</v>
      </c>
      <c r="T676" s="5" t="s">
        <v>61</v>
      </c>
      <c r="U676" s="5" t="s">
        <v>44</v>
      </c>
      <c r="V676" s="5" t="s">
        <v>44</v>
      </c>
      <c r="W676" s="5" t="s">
        <v>35</v>
      </c>
      <c r="X676" s="5" t="s">
        <v>1285</v>
      </c>
      <c r="Y676" s="5" t="s">
        <v>46</v>
      </c>
      <c r="Z676" s="5" t="s">
        <v>47</v>
      </c>
      <c r="AA676" s="5" t="s">
        <v>48</v>
      </c>
      <c r="AB676" s="5" t="s">
        <v>3131</v>
      </c>
      <c r="AC676" s="6" t="s">
        <v>50</v>
      </c>
      <c r="AD676" s="6">
        <v>1652.0</v>
      </c>
    </row>
    <row r="677" ht="56.25" customHeight="1">
      <c r="A677" s="5" t="s">
        <v>3129</v>
      </c>
      <c r="B677" s="6" t="str">
        <f>IMAGE("https://storage.googleapis.com/acdb/miscellaneous/FtrMatryoshka_Remake_1_0.png")</f>
        <v/>
      </c>
      <c r="C677" s="5" t="s">
        <v>114</v>
      </c>
      <c r="D677" s="5" t="s">
        <v>2</v>
      </c>
      <c r="E677" s="5" t="s">
        <v>34</v>
      </c>
      <c r="F677" s="5" t="s">
        <v>34</v>
      </c>
      <c r="G677" s="5" t="s">
        <v>35</v>
      </c>
      <c r="H677" s="5" t="s">
        <v>35</v>
      </c>
      <c r="I677" s="5" t="s">
        <v>36</v>
      </c>
      <c r="J677" s="6">
        <v>1.0</v>
      </c>
      <c r="K677" s="6" t="s">
        <v>37</v>
      </c>
      <c r="L677" s="6">
        <v>600.0</v>
      </c>
      <c r="M677" s="5" t="s">
        <v>114</v>
      </c>
      <c r="N677" s="5" t="s">
        <v>57</v>
      </c>
      <c r="O677" s="6" t="s">
        <v>40</v>
      </c>
      <c r="P677" s="5" t="s">
        <v>41</v>
      </c>
      <c r="Q677" s="5"/>
      <c r="R677" s="6" t="s">
        <v>42</v>
      </c>
      <c r="S677" s="5" t="s">
        <v>696</v>
      </c>
      <c r="T677" s="5" t="s">
        <v>61</v>
      </c>
      <c r="U677" s="5" t="s">
        <v>44</v>
      </c>
      <c r="V677" s="5" t="s">
        <v>44</v>
      </c>
      <c r="W677" s="5" t="s">
        <v>35</v>
      </c>
      <c r="X677" s="5" t="s">
        <v>1285</v>
      </c>
      <c r="Y677" s="5" t="s">
        <v>46</v>
      </c>
      <c r="Z677" s="5" t="s">
        <v>47</v>
      </c>
      <c r="AA677" s="5" t="s">
        <v>48</v>
      </c>
      <c r="AB677" s="5" t="s">
        <v>3135</v>
      </c>
      <c r="AC677" s="6" t="s">
        <v>56</v>
      </c>
      <c r="AD677" s="6">
        <v>1652.0</v>
      </c>
    </row>
    <row r="678" ht="56.25" customHeight="1">
      <c r="A678" s="5" t="s">
        <v>3129</v>
      </c>
      <c r="B678" s="6" t="str">
        <f>IMAGE("https://storage.googleapis.com/acdb/miscellaneous/FtrMatryoshka_Remake_2_0.png")</f>
        <v/>
      </c>
      <c r="C678" s="5" t="s">
        <v>68</v>
      </c>
      <c r="D678" s="5" t="s">
        <v>2</v>
      </c>
      <c r="E678" s="5" t="s">
        <v>34</v>
      </c>
      <c r="F678" s="5" t="s">
        <v>34</v>
      </c>
      <c r="G678" s="5" t="s">
        <v>35</v>
      </c>
      <c r="H678" s="5" t="s">
        <v>35</v>
      </c>
      <c r="I678" s="5" t="s">
        <v>36</v>
      </c>
      <c r="J678" s="6">
        <v>1.0</v>
      </c>
      <c r="K678" s="6" t="s">
        <v>37</v>
      </c>
      <c r="L678" s="6">
        <v>600.0</v>
      </c>
      <c r="M678" s="5" t="s">
        <v>68</v>
      </c>
      <c r="N678" s="5" t="s">
        <v>83</v>
      </c>
      <c r="O678" s="6" t="s">
        <v>40</v>
      </c>
      <c r="P678" s="5" t="s">
        <v>41</v>
      </c>
      <c r="Q678" s="5"/>
      <c r="R678" s="6" t="s">
        <v>42</v>
      </c>
      <c r="S678" s="5" t="s">
        <v>696</v>
      </c>
      <c r="T678" s="5" t="s">
        <v>61</v>
      </c>
      <c r="U678" s="5" t="s">
        <v>44</v>
      </c>
      <c r="V678" s="5" t="s">
        <v>44</v>
      </c>
      <c r="W678" s="5" t="s">
        <v>35</v>
      </c>
      <c r="X678" s="5" t="s">
        <v>1285</v>
      </c>
      <c r="Y678" s="5" t="s">
        <v>46</v>
      </c>
      <c r="Z678" s="5" t="s">
        <v>47</v>
      </c>
      <c r="AA678" s="5" t="s">
        <v>48</v>
      </c>
      <c r="AB678" s="5" t="s">
        <v>3137</v>
      </c>
      <c r="AC678" s="6" t="s">
        <v>67</v>
      </c>
      <c r="AD678" s="6">
        <v>1652.0</v>
      </c>
    </row>
    <row r="679" ht="56.25" customHeight="1">
      <c r="A679" s="5" t="s">
        <v>3129</v>
      </c>
      <c r="B679" s="6" t="str">
        <f>IMAGE("https://storage.googleapis.com/acdb/miscellaneous/FtrMatryoshka_Remake_3_0.png")</f>
        <v/>
      </c>
      <c r="C679" s="5" t="s">
        <v>39</v>
      </c>
      <c r="D679" s="5" t="s">
        <v>2</v>
      </c>
      <c r="E679" s="5" t="s">
        <v>34</v>
      </c>
      <c r="F679" s="5" t="s">
        <v>34</v>
      </c>
      <c r="G679" s="5" t="s">
        <v>35</v>
      </c>
      <c r="H679" s="5" t="s">
        <v>35</v>
      </c>
      <c r="I679" s="5" t="s">
        <v>36</v>
      </c>
      <c r="J679" s="6">
        <v>1.0</v>
      </c>
      <c r="K679" s="6" t="s">
        <v>37</v>
      </c>
      <c r="L679" s="6">
        <v>600.0</v>
      </c>
      <c r="M679" s="5" t="s">
        <v>39</v>
      </c>
      <c r="N679" s="5" t="s">
        <v>38</v>
      </c>
      <c r="O679" s="6" t="s">
        <v>40</v>
      </c>
      <c r="P679" s="5" t="s">
        <v>41</v>
      </c>
      <c r="Q679" s="5"/>
      <c r="R679" s="6" t="s">
        <v>42</v>
      </c>
      <c r="S679" s="5" t="s">
        <v>696</v>
      </c>
      <c r="T679" s="5" t="s">
        <v>61</v>
      </c>
      <c r="U679" s="5" t="s">
        <v>44</v>
      </c>
      <c r="V679" s="5" t="s">
        <v>44</v>
      </c>
      <c r="W679" s="5" t="s">
        <v>35</v>
      </c>
      <c r="X679" s="5" t="s">
        <v>1285</v>
      </c>
      <c r="Y679" s="5" t="s">
        <v>46</v>
      </c>
      <c r="Z679" s="5" t="s">
        <v>47</v>
      </c>
      <c r="AA679" s="5" t="s">
        <v>48</v>
      </c>
      <c r="AB679" s="5" t="s">
        <v>3140</v>
      </c>
      <c r="AC679" s="6" t="s">
        <v>71</v>
      </c>
      <c r="AD679" s="6">
        <v>1652.0</v>
      </c>
    </row>
    <row r="680" ht="56.25" customHeight="1">
      <c r="A680" s="5" t="s">
        <v>3129</v>
      </c>
      <c r="B680" s="6" t="str">
        <f>IMAGE("https://storage.googleapis.com/acdb/miscellaneous/FtrMatryoshka_Remake_4_0.png")</f>
        <v/>
      </c>
      <c r="C680" s="5" t="s">
        <v>96</v>
      </c>
      <c r="D680" s="5" t="s">
        <v>2</v>
      </c>
      <c r="E680" s="5" t="s">
        <v>34</v>
      </c>
      <c r="F680" s="5" t="s">
        <v>34</v>
      </c>
      <c r="G680" s="5" t="s">
        <v>35</v>
      </c>
      <c r="H680" s="5" t="s">
        <v>35</v>
      </c>
      <c r="I680" s="5" t="s">
        <v>36</v>
      </c>
      <c r="J680" s="6">
        <v>1.0</v>
      </c>
      <c r="K680" s="6" t="s">
        <v>37</v>
      </c>
      <c r="L680" s="6">
        <v>600.0</v>
      </c>
      <c r="M680" s="5" t="s">
        <v>96</v>
      </c>
      <c r="N680" s="5" t="s">
        <v>114</v>
      </c>
      <c r="O680" s="6" t="s">
        <v>40</v>
      </c>
      <c r="P680" s="5" t="s">
        <v>41</v>
      </c>
      <c r="Q680" s="5"/>
      <c r="R680" s="6" t="s">
        <v>42</v>
      </c>
      <c r="S680" s="5" t="s">
        <v>696</v>
      </c>
      <c r="T680" s="5" t="s">
        <v>61</v>
      </c>
      <c r="U680" s="5" t="s">
        <v>44</v>
      </c>
      <c r="V680" s="5" t="s">
        <v>44</v>
      </c>
      <c r="W680" s="5" t="s">
        <v>35</v>
      </c>
      <c r="X680" s="5" t="s">
        <v>1285</v>
      </c>
      <c r="Y680" s="5" t="s">
        <v>46</v>
      </c>
      <c r="Z680" s="5" t="s">
        <v>47</v>
      </c>
      <c r="AA680" s="5" t="s">
        <v>48</v>
      </c>
      <c r="AB680" s="5" t="s">
        <v>3144</v>
      </c>
      <c r="AC680" s="6" t="s">
        <v>75</v>
      </c>
      <c r="AD680" s="6">
        <v>1652.0</v>
      </c>
    </row>
    <row r="681" ht="56.25" customHeight="1">
      <c r="A681" s="5" t="s">
        <v>3145</v>
      </c>
      <c r="B681" s="16" t="str">
        <f>IMAGE("https://storage.googleapis.com/acdb/miscellaneous/FtrIttocan.png")</f>
        <v/>
      </c>
      <c r="C681" s="5" t="s">
        <v>34</v>
      </c>
      <c r="D681" s="5" t="s">
        <v>34</v>
      </c>
      <c r="E681" s="5" t="s">
        <v>34</v>
      </c>
      <c r="F681" s="5" t="s">
        <v>34</v>
      </c>
      <c r="G681" s="5" t="s">
        <v>36</v>
      </c>
      <c r="H681" s="5" t="s">
        <v>36</v>
      </c>
      <c r="I681" s="5" t="s">
        <v>36</v>
      </c>
      <c r="J681" s="6" t="s">
        <v>34</v>
      </c>
      <c r="K681" s="6">
        <v>600.0</v>
      </c>
      <c r="L681" s="6">
        <v>150.0</v>
      </c>
      <c r="M681" s="5" t="s">
        <v>95</v>
      </c>
      <c r="N681" s="5" t="s">
        <v>83</v>
      </c>
      <c r="O681" s="6" t="s">
        <v>40</v>
      </c>
      <c r="P681" s="5" t="s">
        <v>59</v>
      </c>
      <c r="Q681" s="5" t="s">
        <v>60</v>
      </c>
      <c r="R681" s="6" t="s">
        <v>42</v>
      </c>
      <c r="S681" s="5" t="s">
        <v>416</v>
      </c>
      <c r="T681" s="5" t="s">
        <v>44</v>
      </c>
      <c r="U681" s="5" t="s">
        <v>44</v>
      </c>
      <c r="V681" s="5" t="s">
        <v>44</v>
      </c>
      <c r="W681" s="5" t="s">
        <v>36</v>
      </c>
      <c r="X681" s="5" t="s">
        <v>173</v>
      </c>
      <c r="Y681" s="5" t="s">
        <v>46</v>
      </c>
      <c r="Z681" s="5" t="s">
        <v>47</v>
      </c>
      <c r="AA681" s="5" t="s">
        <v>64</v>
      </c>
      <c r="AB681" s="5" t="s">
        <v>3149</v>
      </c>
      <c r="AC681" s="6" t="s">
        <v>34</v>
      </c>
      <c r="AD681" s="6">
        <v>7262.0</v>
      </c>
    </row>
    <row r="682" ht="56.25" customHeight="1">
      <c r="A682" s="5" t="s">
        <v>3150</v>
      </c>
      <c r="B682" s="6" t="str">
        <f>IMAGE("https://storage.googleapis.com/acdb/miscellaneous/FtrMetronome_Remake_0_0.png")</f>
        <v/>
      </c>
      <c r="C682" s="5" t="s">
        <v>52</v>
      </c>
      <c r="D682" s="5" t="s">
        <v>34</v>
      </c>
      <c r="E682" s="5" t="s">
        <v>34</v>
      </c>
      <c r="F682" s="5" t="s">
        <v>34</v>
      </c>
      <c r="G682" s="5" t="s">
        <v>36</v>
      </c>
      <c r="H682" s="5" t="s">
        <v>36</v>
      </c>
      <c r="I682" s="5" t="s">
        <v>36</v>
      </c>
      <c r="J682" s="6" t="s">
        <v>34</v>
      </c>
      <c r="K682" s="6">
        <v>1300.0</v>
      </c>
      <c r="L682" s="6">
        <v>325.0</v>
      </c>
      <c r="M682" s="5" t="s">
        <v>52</v>
      </c>
      <c r="N682" s="5" t="s">
        <v>57</v>
      </c>
      <c r="O682" s="6" t="s">
        <v>40</v>
      </c>
      <c r="P682" s="5" t="s">
        <v>59</v>
      </c>
      <c r="Q682" s="5" t="s">
        <v>60</v>
      </c>
      <c r="R682" s="6" t="s">
        <v>42</v>
      </c>
      <c r="S682" s="5" t="s">
        <v>43</v>
      </c>
      <c r="T682" s="5" t="s">
        <v>44</v>
      </c>
      <c r="U682" s="5" t="s">
        <v>44</v>
      </c>
      <c r="V682" s="5" t="s">
        <v>44</v>
      </c>
      <c r="W682" s="5" t="s">
        <v>35</v>
      </c>
      <c r="X682" s="5" t="s">
        <v>45</v>
      </c>
      <c r="Y682" s="5" t="s">
        <v>46</v>
      </c>
      <c r="Z682" s="5" t="s">
        <v>47</v>
      </c>
      <c r="AA682" s="5" t="s">
        <v>64</v>
      </c>
      <c r="AB682" s="5" t="s">
        <v>3155</v>
      </c>
      <c r="AC682" s="6" t="s">
        <v>50</v>
      </c>
      <c r="AD682" s="6">
        <v>1042.0</v>
      </c>
    </row>
    <row r="683" ht="56.25" customHeight="1">
      <c r="A683" s="5" t="s">
        <v>3150</v>
      </c>
      <c r="B683" s="6" t="str">
        <f>IMAGE("https://storage.googleapis.com/acdb/miscellaneous/FtrMetronome_Remake_1_0.png")</f>
        <v/>
      </c>
      <c r="C683" s="5" t="s">
        <v>307</v>
      </c>
      <c r="D683" s="5" t="s">
        <v>34</v>
      </c>
      <c r="E683" s="5" t="s">
        <v>34</v>
      </c>
      <c r="F683" s="5" t="s">
        <v>34</v>
      </c>
      <c r="G683" s="5" t="s">
        <v>36</v>
      </c>
      <c r="H683" s="5" t="s">
        <v>36</v>
      </c>
      <c r="I683" s="5" t="s">
        <v>36</v>
      </c>
      <c r="J683" s="6" t="s">
        <v>34</v>
      </c>
      <c r="K683" s="6">
        <v>1300.0</v>
      </c>
      <c r="L683" s="6">
        <v>325.0</v>
      </c>
      <c r="M683" s="5" t="s">
        <v>114</v>
      </c>
      <c r="N683" s="5" t="s">
        <v>57</v>
      </c>
      <c r="O683" s="6" t="s">
        <v>40</v>
      </c>
      <c r="P683" s="5" t="s">
        <v>59</v>
      </c>
      <c r="Q683" s="5" t="s">
        <v>60</v>
      </c>
      <c r="R683" s="6" t="s">
        <v>42</v>
      </c>
      <c r="S683" s="5" t="s">
        <v>43</v>
      </c>
      <c r="T683" s="5" t="s">
        <v>44</v>
      </c>
      <c r="U683" s="5" t="s">
        <v>44</v>
      </c>
      <c r="V683" s="5" t="s">
        <v>44</v>
      </c>
      <c r="W683" s="5" t="s">
        <v>35</v>
      </c>
      <c r="X683" s="5" t="s">
        <v>45</v>
      </c>
      <c r="Y683" s="5" t="s">
        <v>46</v>
      </c>
      <c r="Z683" s="5" t="s">
        <v>47</v>
      </c>
      <c r="AA683" s="5" t="s">
        <v>64</v>
      </c>
      <c r="AB683" s="5" t="s">
        <v>3161</v>
      </c>
      <c r="AC683" s="6" t="s">
        <v>56</v>
      </c>
      <c r="AD683" s="6">
        <v>1042.0</v>
      </c>
    </row>
    <row r="684" ht="56.25" customHeight="1">
      <c r="A684" s="5" t="s">
        <v>3150</v>
      </c>
      <c r="B684" s="6" t="str">
        <f>IMAGE("https://storage.googleapis.com/acdb/miscellaneous/FtrMetronome_Remake_2_0.png")</f>
        <v/>
      </c>
      <c r="C684" s="5" t="s">
        <v>68</v>
      </c>
      <c r="D684" s="5" t="s">
        <v>34</v>
      </c>
      <c r="E684" s="5" t="s">
        <v>34</v>
      </c>
      <c r="F684" s="5" t="s">
        <v>34</v>
      </c>
      <c r="G684" s="5" t="s">
        <v>36</v>
      </c>
      <c r="H684" s="5" t="s">
        <v>36</v>
      </c>
      <c r="I684" s="5" t="s">
        <v>36</v>
      </c>
      <c r="J684" s="6" t="s">
        <v>34</v>
      </c>
      <c r="K684" s="6">
        <v>1300.0</v>
      </c>
      <c r="L684" s="6">
        <v>325.0</v>
      </c>
      <c r="M684" s="5" t="s">
        <v>68</v>
      </c>
      <c r="N684" s="5" t="s">
        <v>57</v>
      </c>
      <c r="O684" s="6" t="s">
        <v>40</v>
      </c>
      <c r="P684" s="5" t="s">
        <v>59</v>
      </c>
      <c r="Q684" s="5" t="s">
        <v>60</v>
      </c>
      <c r="R684" s="6" t="s">
        <v>42</v>
      </c>
      <c r="S684" s="5" t="s">
        <v>43</v>
      </c>
      <c r="T684" s="5" t="s">
        <v>44</v>
      </c>
      <c r="U684" s="5" t="s">
        <v>44</v>
      </c>
      <c r="V684" s="5" t="s">
        <v>44</v>
      </c>
      <c r="W684" s="5" t="s">
        <v>35</v>
      </c>
      <c r="X684" s="5" t="s">
        <v>45</v>
      </c>
      <c r="Y684" s="5" t="s">
        <v>46</v>
      </c>
      <c r="Z684" s="5" t="s">
        <v>47</v>
      </c>
      <c r="AA684" s="5" t="s">
        <v>64</v>
      </c>
      <c r="AB684" s="5" t="s">
        <v>3166</v>
      </c>
      <c r="AC684" s="6" t="s">
        <v>67</v>
      </c>
      <c r="AD684" s="6">
        <v>1042.0</v>
      </c>
    </row>
    <row r="685" ht="56.25" customHeight="1">
      <c r="A685" s="5" t="s">
        <v>3150</v>
      </c>
      <c r="B685" s="6" t="str">
        <f>IMAGE("https://storage.googleapis.com/acdb/miscellaneous/FtrMetronome_Remake_3_0.png")</f>
        <v/>
      </c>
      <c r="C685" s="5" t="s">
        <v>54</v>
      </c>
      <c r="D685" s="5" t="s">
        <v>34</v>
      </c>
      <c r="E685" s="5" t="s">
        <v>34</v>
      </c>
      <c r="F685" s="5" t="s">
        <v>34</v>
      </c>
      <c r="G685" s="5" t="s">
        <v>36</v>
      </c>
      <c r="H685" s="5" t="s">
        <v>36</v>
      </c>
      <c r="I685" s="5" t="s">
        <v>36</v>
      </c>
      <c r="J685" s="6" t="s">
        <v>34</v>
      </c>
      <c r="K685" s="6">
        <v>1300.0</v>
      </c>
      <c r="L685" s="6">
        <v>325.0</v>
      </c>
      <c r="M685" s="5" t="s">
        <v>54</v>
      </c>
      <c r="N685" s="5" t="s">
        <v>57</v>
      </c>
      <c r="O685" s="6" t="s">
        <v>40</v>
      </c>
      <c r="P685" s="5" t="s">
        <v>59</v>
      </c>
      <c r="Q685" s="5" t="s">
        <v>60</v>
      </c>
      <c r="R685" s="6" t="s">
        <v>42</v>
      </c>
      <c r="S685" s="5" t="s">
        <v>43</v>
      </c>
      <c r="T685" s="5" t="s">
        <v>44</v>
      </c>
      <c r="U685" s="5" t="s">
        <v>44</v>
      </c>
      <c r="V685" s="5" t="s">
        <v>44</v>
      </c>
      <c r="W685" s="5" t="s">
        <v>35</v>
      </c>
      <c r="X685" s="5" t="s">
        <v>45</v>
      </c>
      <c r="Y685" s="5" t="s">
        <v>46</v>
      </c>
      <c r="Z685" s="5" t="s">
        <v>47</v>
      </c>
      <c r="AA685" s="5" t="s">
        <v>64</v>
      </c>
      <c r="AB685" s="5" t="s">
        <v>3170</v>
      </c>
      <c r="AC685" s="6" t="s">
        <v>71</v>
      </c>
      <c r="AD685" s="6">
        <v>1042.0</v>
      </c>
    </row>
    <row r="686" ht="56.25" customHeight="1">
      <c r="A686" s="5" t="s">
        <v>3150</v>
      </c>
      <c r="B686" s="6" t="str">
        <f>IMAGE("https://storage.googleapis.com/acdb/miscellaneous/FtrMetronome_Remake_4_0.png")</f>
        <v/>
      </c>
      <c r="C686" s="5" t="s">
        <v>39</v>
      </c>
      <c r="D686" s="5" t="s">
        <v>34</v>
      </c>
      <c r="E686" s="5" t="s">
        <v>34</v>
      </c>
      <c r="F686" s="5" t="s">
        <v>34</v>
      </c>
      <c r="G686" s="5" t="s">
        <v>36</v>
      </c>
      <c r="H686" s="5" t="s">
        <v>36</v>
      </c>
      <c r="I686" s="5" t="s">
        <v>36</v>
      </c>
      <c r="J686" s="6" t="s">
        <v>34</v>
      </c>
      <c r="K686" s="6">
        <v>1300.0</v>
      </c>
      <c r="L686" s="6">
        <v>325.0</v>
      </c>
      <c r="M686" s="5" t="s">
        <v>39</v>
      </c>
      <c r="N686" s="5" t="s">
        <v>57</v>
      </c>
      <c r="O686" s="6" t="s">
        <v>40</v>
      </c>
      <c r="P686" s="5" t="s">
        <v>59</v>
      </c>
      <c r="Q686" s="5" t="s">
        <v>60</v>
      </c>
      <c r="R686" s="6" t="s">
        <v>42</v>
      </c>
      <c r="S686" s="5" t="s">
        <v>43</v>
      </c>
      <c r="T686" s="5" t="s">
        <v>44</v>
      </c>
      <c r="U686" s="5" t="s">
        <v>44</v>
      </c>
      <c r="V686" s="5" t="s">
        <v>44</v>
      </c>
      <c r="W686" s="5" t="s">
        <v>35</v>
      </c>
      <c r="X686" s="5" t="s">
        <v>45</v>
      </c>
      <c r="Y686" s="5" t="s">
        <v>46</v>
      </c>
      <c r="Z686" s="5" t="s">
        <v>47</v>
      </c>
      <c r="AA686" s="5" t="s">
        <v>64</v>
      </c>
      <c r="AB686" s="5" t="s">
        <v>3177</v>
      </c>
      <c r="AC686" s="6" t="s">
        <v>75</v>
      </c>
      <c r="AD686" s="6">
        <v>1042.0</v>
      </c>
    </row>
    <row r="687" ht="56.25" customHeight="1">
      <c r="A687" s="5" t="s">
        <v>3179</v>
      </c>
      <c r="B687" s="6" t="str">
        <f>IMAGE("https://storage.googleapis.com/acdb/miscellaneous/FtrMicroscope_Remake_0_0.png")</f>
        <v/>
      </c>
      <c r="C687" s="5" t="s">
        <v>57</v>
      </c>
      <c r="D687" s="5" t="s">
        <v>34</v>
      </c>
      <c r="E687" s="5" t="s">
        <v>34</v>
      </c>
      <c r="F687" s="5" t="s">
        <v>34</v>
      </c>
      <c r="G687" s="5" t="s">
        <v>36</v>
      </c>
      <c r="H687" s="5" t="s">
        <v>36</v>
      </c>
      <c r="I687" s="5" t="s">
        <v>36</v>
      </c>
      <c r="J687" s="6" t="s">
        <v>34</v>
      </c>
      <c r="K687" s="6">
        <v>3100.0</v>
      </c>
      <c r="L687" s="6">
        <v>775.0</v>
      </c>
      <c r="M687" s="5" t="s">
        <v>57</v>
      </c>
      <c r="N687" s="5" t="s">
        <v>54</v>
      </c>
      <c r="O687" s="6" t="s">
        <v>40</v>
      </c>
      <c r="P687" s="5" t="s">
        <v>59</v>
      </c>
      <c r="Q687" s="5" t="s">
        <v>60</v>
      </c>
      <c r="R687" s="6" t="s">
        <v>42</v>
      </c>
      <c r="S687" s="5" t="s">
        <v>130</v>
      </c>
      <c r="T687" s="5" t="s">
        <v>141</v>
      </c>
      <c r="U687" s="5" t="s">
        <v>44</v>
      </c>
      <c r="V687" s="5" t="s">
        <v>44</v>
      </c>
      <c r="W687" s="5" t="s">
        <v>36</v>
      </c>
      <c r="X687" s="5" t="s">
        <v>131</v>
      </c>
      <c r="Y687" s="5" t="s">
        <v>46</v>
      </c>
      <c r="Z687" s="5" t="s">
        <v>47</v>
      </c>
      <c r="AA687" s="5" t="s">
        <v>64</v>
      </c>
      <c r="AB687" s="5" t="s">
        <v>3184</v>
      </c>
      <c r="AC687" s="6" t="s">
        <v>50</v>
      </c>
      <c r="AD687" s="6">
        <v>1319.0</v>
      </c>
    </row>
    <row r="688" ht="56.25" customHeight="1">
      <c r="A688" s="5" t="s">
        <v>3179</v>
      </c>
      <c r="B688" s="6" t="str">
        <f>IMAGE("https://storage.googleapis.com/acdb/miscellaneous/FtrMicroscope_Remake_1_0.png")</f>
        <v/>
      </c>
      <c r="C688" s="5" t="s">
        <v>146</v>
      </c>
      <c r="D688" s="5" t="s">
        <v>34</v>
      </c>
      <c r="E688" s="5" t="s">
        <v>34</v>
      </c>
      <c r="F688" s="5" t="s">
        <v>34</v>
      </c>
      <c r="G688" s="5" t="s">
        <v>36</v>
      </c>
      <c r="H688" s="5" t="s">
        <v>36</v>
      </c>
      <c r="I688" s="5" t="s">
        <v>36</v>
      </c>
      <c r="J688" s="6" t="s">
        <v>34</v>
      </c>
      <c r="K688" s="6">
        <v>3100.0</v>
      </c>
      <c r="L688" s="6">
        <v>775.0</v>
      </c>
      <c r="M688" s="5" t="s">
        <v>95</v>
      </c>
      <c r="N688" s="5" t="s">
        <v>54</v>
      </c>
      <c r="O688" s="6" t="s">
        <v>40</v>
      </c>
      <c r="P688" s="5" t="s">
        <v>59</v>
      </c>
      <c r="Q688" s="5" t="s">
        <v>60</v>
      </c>
      <c r="R688" s="6" t="s">
        <v>42</v>
      </c>
      <c r="S688" s="5" t="s">
        <v>130</v>
      </c>
      <c r="T688" s="5" t="s">
        <v>141</v>
      </c>
      <c r="U688" s="5" t="s">
        <v>44</v>
      </c>
      <c r="V688" s="5" t="s">
        <v>44</v>
      </c>
      <c r="W688" s="5" t="s">
        <v>36</v>
      </c>
      <c r="X688" s="5" t="s">
        <v>131</v>
      </c>
      <c r="Y688" s="5" t="s">
        <v>46</v>
      </c>
      <c r="Z688" s="5" t="s">
        <v>47</v>
      </c>
      <c r="AA688" s="5" t="s">
        <v>64</v>
      </c>
      <c r="AB688" s="5" t="s">
        <v>3189</v>
      </c>
      <c r="AC688" s="6" t="s">
        <v>56</v>
      </c>
      <c r="AD688" s="6">
        <v>1319.0</v>
      </c>
    </row>
    <row r="689" ht="56.25" customHeight="1">
      <c r="A689" s="5" t="s">
        <v>3179</v>
      </c>
      <c r="B689" s="6" t="str">
        <f>IMAGE("https://storage.googleapis.com/acdb/miscellaneous/FtrMicroscope_Remake_2_0.png")</f>
        <v/>
      </c>
      <c r="C689" s="5" t="s">
        <v>54</v>
      </c>
      <c r="D689" s="5" t="s">
        <v>34</v>
      </c>
      <c r="E689" s="5" t="s">
        <v>34</v>
      </c>
      <c r="F689" s="5" t="s">
        <v>34</v>
      </c>
      <c r="G689" s="5" t="s">
        <v>36</v>
      </c>
      <c r="H689" s="5" t="s">
        <v>36</v>
      </c>
      <c r="I689" s="5" t="s">
        <v>36</v>
      </c>
      <c r="J689" s="6" t="s">
        <v>34</v>
      </c>
      <c r="K689" s="6">
        <v>3100.0</v>
      </c>
      <c r="L689" s="6">
        <v>775.0</v>
      </c>
      <c r="M689" s="5" t="s">
        <v>54</v>
      </c>
      <c r="N689" s="5" t="s">
        <v>95</v>
      </c>
      <c r="O689" s="6" t="s">
        <v>40</v>
      </c>
      <c r="P689" s="5" t="s">
        <v>59</v>
      </c>
      <c r="Q689" s="5" t="s">
        <v>60</v>
      </c>
      <c r="R689" s="6" t="s">
        <v>42</v>
      </c>
      <c r="S689" s="5" t="s">
        <v>130</v>
      </c>
      <c r="T689" s="5" t="s">
        <v>141</v>
      </c>
      <c r="U689" s="5" t="s">
        <v>44</v>
      </c>
      <c r="V689" s="5" t="s">
        <v>44</v>
      </c>
      <c r="W689" s="5" t="s">
        <v>36</v>
      </c>
      <c r="X689" s="5" t="s">
        <v>131</v>
      </c>
      <c r="Y689" s="5" t="s">
        <v>46</v>
      </c>
      <c r="Z689" s="5" t="s">
        <v>47</v>
      </c>
      <c r="AA689" s="5" t="s">
        <v>64</v>
      </c>
      <c r="AB689" s="5" t="s">
        <v>3194</v>
      </c>
      <c r="AC689" s="6" t="s">
        <v>67</v>
      </c>
      <c r="AD689" s="6">
        <v>1319.0</v>
      </c>
    </row>
    <row r="690" ht="56.25" customHeight="1">
      <c r="A690" s="5" t="s">
        <v>3195</v>
      </c>
      <c r="B690" s="6" t="str">
        <f>IMAGE("https://storage.googleapis.com/acdb/miscellaneous/FtrMicrowave_Remake_0_0.png")</f>
        <v/>
      </c>
      <c r="C690" s="5" t="s">
        <v>57</v>
      </c>
      <c r="D690" s="5" t="s">
        <v>34</v>
      </c>
      <c r="E690" s="5" t="s">
        <v>34</v>
      </c>
      <c r="F690" s="5" t="s">
        <v>34</v>
      </c>
      <c r="G690" s="5" t="s">
        <v>36</v>
      </c>
      <c r="H690" s="5" t="s">
        <v>36</v>
      </c>
      <c r="I690" s="5" t="s">
        <v>36</v>
      </c>
      <c r="J690" s="6" t="s">
        <v>34</v>
      </c>
      <c r="K690" s="6">
        <v>3000.0</v>
      </c>
      <c r="L690" s="6">
        <v>750.0</v>
      </c>
      <c r="M690" s="5" t="s">
        <v>57</v>
      </c>
      <c r="N690" s="5" t="s">
        <v>57</v>
      </c>
      <c r="O690" s="6" t="s">
        <v>40</v>
      </c>
      <c r="P690" s="5" t="s">
        <v>59</v>
      </c>
      <c r="Q690" s="5" t="s">
        <v>60</v>
      </c>
      <c r="R690" s="6" t="s">
        <v>42</v>
      </c>
      <c r="S690" s="5" t="s">
        <v>159</v>
      </c>
      <c r="T690" s="5" t="s">
        <v>62</v>
      </c>
      <c r="U690" s="5" t="s">
        <v>44</v>
      </c>
      <c r="V690" s="5" t="s">
        <v>44</v>
      </c>
      <c r="W690" s="5" t="s">
        <v>35</v>
      </c>
      <c r="X690" s="5" t="s">
        <v>160</v>
      </c>
      <c r="Y690" s="5" t="s">
        <v>46</v>
      </c>
      <c r="Z690" s="5" t="s">
        <v>47</v>
      </c>
      <c r="AA690" s="5" t="s">
        <v>64</v>
      </c>
      <c r="AB690" s="5" t="s">
        <v>3200</v>
      </c>
      <c r="AC690" s="6" t="s">
        <v>50</v>
      </c>
      <c r="AD690" s="6">
        <v>1043.0</v>
      </c>
    </row>
    <row r="691" ht="56.25" customHeight="1">
      <c r="A691" s="5" t="s">
        <v>3195</v>
      </c>
      <c r="B691" s="6" t="str">
        <f>IMAGE("https://storage.googleapis.com/acdb/miscellaneous/FtrMicrowave_Remake_1_0.png")</f>
        <v/>
      </c>
      <c r="C691" s="5" t="s">
        <v>54</v>
      </c>
      <c r="D691" s="5" t="s">
        <v>34</v>
      </c>
      <c r="E691" s="5" t="s">
        <v>34</v>
      </c>
      <c r="F691" s="5" t="s">
        <v>34</v>
      </c>
      <c r="G691" s="5" t="s">
        <v>36</v>
      </c>
      <c r="H691" s="5" t="s">
        <v>36</v>
      </c>
      <c r="I691" s="5" t="s">
        <v>36</v>
      </c>
      <c r="J691" s="6" t="s">
        <v>34</v>
      </c>
      <c r="K691" s="6">
        <v>3000.0</v>
      </c>
      <c r="L691" s="6">
        <v>750.0</v>
      </c>
      <c r="M691" s="5" t="s">
        <v>54</v>
      </c>
      <c r="N691" s="5" t="s">
        <v>54</v>
      </c>
      <c r="O691" s="6" t="s">
        <v>40</v>
      </c>
      <c r="P691" s="5" t="s">
        <v>59</v>
      </c>
      <c r="Q691" s="5" t="s">
        <v>60</v>
      </c>
      <c r="R691" s="6" t="s">
        <v>42</v>
      </c>
      <c r="S691" s="5" t="s">
        <v>159</v>
      </c>
      <c r="T691" s="5" t="s">
        <v>62</v>
      </c>
      <c r="U691" s="5" t="s">
        <v>44</v>
      </c>
      <c r="V691" s="5" t="s">
        <v>44</v>
      </c>
      <c r="W691" s="5" t="s">
        <v>35</v>
      </c>
      <c r="X691" s="5" t="s">
        <v>160</v>
      </c>
      <c r="Y691" s="5" t="s">
        <v>46</v>
      </c>
      <c r="Z691" s="5" t="s">
        <v>47</v>
      </c>
      <c r="AA691" s="5" t="s">
        <v>64</v>
      </c>
      <c r="AB691" s="5" t="s">
        <v>3206</v>
      </c>
      <c r="AC691" s="6" t="s">
        <v>56</v>
      </c>
      <c r="AD691" s="6">
        <v>1043.0</v>
      </c>
    </row>
    <row r="692" ht="56.25" customHeight="1">
      <c r="A692" s="5" t="s">
        <v>3195</v>
      </c>
      <c r="B692" s="6" t="str">
        <f>IMAGE("https://storage.googleapis.com/acdb/miscellaneous/FtrMicrowave_Remake_2_0.png")</f>
        <v/>
      </c>
      <c r="C692" s="5" t="s">
        <v>52</v>
      </c>
      <c r="D692" s="5" t="s">
        <v>34</v>
      </c>
      <c r="E692" s="5" t="s">
        <v>34</v>
      </c>
      <c r="F692" s="5" t="s">
        <v>34</v>
      </c>
      <c r="G692" s="5" t="s">
        <v>36</v>
      </c>
      <c r="H692" s="5" t="s">
        <v>36</v>
      </c>
      <c r="I692" s="5" t="s">
        <v>36</v>
      </c>
      <c r="J692" s="6" t="s">
        <v>34</v>
      </c>
      <c r="K692" s="6">
        <v>3000.0</v>
      </c>
      <c r="L692" s="6">
        <v>750.0</v>
      </c>
      <c r="M692" s="5" t="s">
        <v>52</v>
      </c>
      <c r="N692" s="5" t="s">
        <v>52</v>
      </c>
      <c r="O692" s="6" t="s">
        <v>40</v>
      </c>
      <c r="P692" s="5" t="s">
        <v>59</v>
      </c>
      <c r="Q692" s="5" t="s">
        <v>60</v>
      </c>
      <c r="R692" s="6" t="s">
        <v>42</v>
      </c>
      <c r="S692" s="5" t="s">
        <v>159</v>
      </c>
      <c r="T692" s="5" t="s">
        <v>62</v>
      </c>
      <c r="U692" s="5" t="s">
        <v>44</v>
      </c>
      <c r="V692" s="5" t="s">
        <v>44</v>
      </c>
      <c r="W692" s="5" t="s">
        <v>35</v>
      </c>
      <c r="X692" s="5" t="s">
        <v>160</v>
      </c>
      <c r="Y692" s="5" t="s">
        <v>46</v>
      </c>
      <c r="Z692" s="5" t="s">
        <v>47</v>
      </c>
      <c r="AA692" s="5" t="s">
        <v>64</v>
      </c>
      <c r="AB692" s="5" t="s">
        <v>3211</v>
      </c>
      <c r="AC692" s="6" t="s">
        <v>67</v>
      </c>
      <c r="AD692" s="6">
        <v>1043.0</v>
      </c>
    </row>
    <row r="693" ht="56.25" customHeight="1">
      <c r="A693" s="5" t="s">
        <v>3195</v>
      </c>
      <c r="B693" s="6" t="str">
        <f>IMAGE("https://storage.googleapis.com/acdb/miscellaneous/FtrMicrowave_Remake_3_0.png")</f>
        <v/>
      </c>
      <c r="C693" s="5" t="s">
        <v>96</v>
      </c>
      <c r="D693" s="5" t="s">
        <v>34</v>
      </c>
      <c r="E693" s="5" t="s">
        <v>34</v>
      </c>
      <c r="F693" s="5" t="s">
        <v>34</v>
      </c>
      <c r="G693" s="5" t="s">
        <v>36</v>
      </c>
      <c r="H693" s="5" t="s">
        <v>36</v>
      </c>
      <c r="I693" s="5" t="s">
        <v>36</v>
      </c>
      <c r="J693" s="6" t="s">
        <v>34</v>
      </c>
      <c r="K693" s="6">
        <v>3000.0</v>
      </c>
      <c r="L693" s="6">
        <v>750.0</v>
      </c>
      <c r="M693" s="5" t="s">
        <v>96</v>
      </c>
      <c r="N693" s="5" t="s">
        <v>96</v>
      </c>
      <c r="O693" s="6" t="s">
        <v>40</v>
      </c>
      <c r="P693" s="5" t="s">
        <v>59</v>
      </c>
      <c r="Q693" s="5" t="s">
        <v>60</v>
      </c>
      <c r="R693" s="6" t="s">
        <v>42</v>
      </c>
      <c r="S693" s="5" t="s">
        <v>159</v>
      </c>
      <c r="T693" s="5" t="s">
        <v>62</v>
      </c>
      <c r="U693" s="5" t="s">
        <v>44</v>
      </c>
      <c r="V693" s="5" t="s">
        <v>44</v>
      </c>
      <c r="W693" s="5" t="s">
        <v>35</v>
      </c>
      <c r="X693" s="5" t="s">
        <v>160</v>
      </c>
      <c r="Y693" s="5" t="s">
        <v>46</v>
      </c>
      <c r="Z693" s="5" t="s">
        <v>47</v>
      </c>
      <c r="AA693" s="5" t="s">
        <v>64</v>
      </c>
      <c r="AB693" s="5" t="s">
        <v>3216</v>
      </c>
      <c r="AC693" s="6" t="s">
        <v>71</v>
      </c>
      <c r="AD693" s="6">
        <v>1043.0</v>
      </c>
    </row>
    <row r="694" ht="56.25" customHeight="1">
      <c r="A694" s="5" t="s">
        <v>3217</v>
      </c>
      <c r="B694" s="16" t="str">
        <f>IMAGE("https://storage.googleapis.com/acdb/miscellaneous/FtrInsectTonosamabattaToy.png")</f>
        <v/>
      </c>
      <c r="C694" s="5" t="s">
        <v>34</v>
      </c>
      <c r="D694" s="5" t="s">
        <v>34</v>
      </c>
      <c r="E694" s="5" t="s">
        <v>34</v>
      </c>
      <c r="F694" s="5" t="s">
        <v>34</v>
      </c>
      <c r="G694" s="5" t="s">
        <v>36</v>
      </c>
      <c r="H694" s="5" t="s">
        <v>36</v>
      </c>
      <c r="I694" s="5" t="s">
        <v>36</v>
      </c>
      <c r="J694" s="6" t="s">
        <v>34</v>
      </c>
      <c r="K694" s="6" t="s">
        <v>37</v>
      </c>
      <c r="L694" s="6">
        <v>1800.0</v>
      </c>
      <c r="M694" s="5" t="s">
        <v>96</v>
      </c>
      <c r="N694" s="5" t="s">
        <v>96</v>
      </c>
      <c r="O694" s="6" t="s">
        <v>40</v>
      </c>
      <c r="P694" s="5" t="s">
        <v>107</v>
      </c>
      <c r="Q694" s="5" t="s">
        <v>108</v>
      </c>
      <c r="R694" s="6" t="s">
        <v>42</v>
      </c>
      <c r="S694" s="5" t="s">
        <v>44</v>
      </c>
      <c r="T694" s="5" t="s">
        <v>44</v>
      </c>
      <c r="U694" s="5" t="s">
        <v>44</v>
      </c>
      <c r="V694" s="5" t="s">
        <v>44</v>
      </c>
      <c r="W694" s="5" t="s">
        <v>36</v>
      </c>
      <c r="X694" s="5" t="s">
        <v>109</v>
      </c>
      <c r="Y694" s="5" t="s">
        <v>46</v>
      </c>
      <c r="Z694" s="5" t="s">
        <v>47</v>
      </c>
      <c r="AA694" s="5" t="s">
        <v>48</v>
      </c>
      <c r="AB694" s="5" t="s">
        <v>3222</v>
      </c>
      <c r="AC694" s="6" t="s">
        <v>34</v>
      </c>
      <c r="AD694" s="6">
        <v>7103.0</v>
      </c>
    </row>
    <row r="695" ht="56.25" customHeight="1">
      <c r="A695" s="5" t="s">
        <v>3225</v>
      </c>
      <c r="B695" s="16" t="str">
        <f>IMAGE("https://storage.googleapis.com/acdb/miscellaneous/FtrCactusesMini.png")</f>
        <v/>
      </c>
      <c r="C695" s="5" t="s">
        <v>34</v>
      </c>
      <c r="D695" s="5" t="s">
        <v>34</v>
      </c>
      <c r="E695" s="5" t="s">
        <v>34</v>
      </c>
      <c r="F695" s="5" t="s">
        <v>34</v>
      </c>
      <c r="G695" s="5" t="s">
        <v>36</v>
      </c>
      <c r="H695" s="5" t="s">
        <v>36</v>
      </c>
      <c r="I695" s="5" t="s">
        <v>36</v>
      </c>
      <c r="J695" s="6" t="s">
        <v>34</v>
      </c>
      <c r="K695" s="6">
        <v>400.0</v>
      </c>
      <c r="L695" s="6">
        <v>100.0</v>
      </c>
      <c r="M695" s="5" t="s">
        <v>96</v>
      </c>
      <c r="N695" s="5" t="s">
        <v>39</v>
      </c>
      <c r="O695" s="6" t="s">
        <v>40</v>
      </c>
      <c r="P695" s="5" t="s">
        <v>59</v>
      </c>
      <c r="Q695" s="5" t="s">
        <v>60</v>
      </c>
      <c r="R695" s="6" t="s">
        <v>42</v>
      </c>
      <c r="S695" s="5" t="s">
        <v>90</v>
      </c>
      <c r="T695" s="5" t="s">
        <v>44</v>
      </c>
      <c r="U695" s="5" t="s">
        <v>44</v>
      </c>
      <c r="V695" s="5" t="s">
        <v>44</v>
      </c>
      <c r="W695" s="5" t="s">
        <v>36</v>
      </c>
      <c r="X695" s="5" t="s">
        <v>244</v>
      </c>
      <c r="Y695" s="5" t="s">
        <v>46</v>
      </c>
      <c r="Z695" s="5" t="s">
        <v>47</v>
      </c>
      <c r="AA695" s="5" t="s">
        <v>64</v>
      </c>
      <c r="AB695" s="5" t="s">
        <v>3229</v>
      </c>
      <c r="AC695" s="6" t="s">
        <v>34</v>
      </c>
      <c r="AD695" s="6">
        <v>4123.0</v>
      </c>
    </row>
    <row r="696" ht="56.25" customHeight="1">
      <c r="A696" s="5" t="s">
        <v>3230</v>
      </c>
      <c r="B696" s="16" t="str">
        <f>IMAGE("https://storage.googleapis.com/acdb/miscellaneous/FtrFishSyanhaiganiToy.png")</f>
        <v/>
      </c>
      <c r="C696" s="5" t="s">
        <v>34</v>
      </c>
      <c r="D696" s="5" t="s">
        <v>34</v>
      </c>
      <c r="E696" s="5" t="s">
        <v>34</v>
      </c>
      <c r="F696" s="5" t="s">
        <v>34</v>
      </c>
      <c r="G696" s="5" t="s">
        <v>36</v>
      </c>
      <c r="H696" s="5" t="s">
        <v>36</v>
      </c>
      <c r="I696" s="5" t="s">
        <v>36</v>
      </c>
      <c r="J696" s="6" t="s">
        <v>34</v>
      </c>
      <c r="K696" s="6" t="s">
        <v>37</v>
      </c>
      <c r="L696" s="6">
        <v>6000.0</v>
      </c>
      <c r="M696" s="5" t="s">
        <v>54</v>
      </c>
      <c r="N696" s="5" t="s">
        <v>54</v>
      </c>
      <c r="O696" s="6" t="s">
        <v>40</v>
      </c>
      <c r="P696" s="5" t="s">
        <v>213</v>
      </c>
      <c r="Q696" s="5" t="s">
        <v>215</v>
      </c>
      <c r="R696" s="6" t="s">
        <v>42</v>
      </c>
      <c r="S696" s="5" t="s">
        <v>44</v>
      </c>
      <c r="T696" s="5" t="s">
        <v>44</v>
      </c>
      <c r="U696" s="5" t="s">
        <v>44</v>
      </c>
      <c r="V696" s="5" t="s">
        <v>44</v>
      </c>
      <c r="W696" s="5" t="s">
        <v>36</v>
      </c>
      <c r="X696" s="5" t="s">
        <v>219</v>
      </c>
      <c r="Y696" s="5" t="s">
        <v>46</v>
      </c>
      <c r="Z696" s="5" t="s">
        <v>47</v>
      </c>
      <c r="AA696" s="5" t="s">
        <v>48</v>
      </c>
      <c r="AB696" s="5" t="s">
        <v>3235</v>
      </c>
      <c r="AC696" s="6" t="s">
        <v>34</v>
      </c>
      <c r="AD696" s="6">
        <v>7019.0</v>
      </c>
    </row>
    <row r="697" ht="56.25" customHeight="1">
      <c r="A697" s="5" t="s">
        <v>3236</v>
      </c>
      <c r="B697" s="6" t="str">
        <f>IMAGE("https://storage.googleapis.com/acdb/miscellaneous/FtrMixer_Remake_0_0.png")</f>
        <v/>
      </c>
      <c r="C697" s="5" t="s">
        <v>3237</v>
      </c>
      <c r="D697" s="5" t="s">
        <v>34</v>
      </c>
      <c r="E697" s="5" t="s">
        <v>34</v>
      </c>
      <c r="F697" s="5" t="s">
        <v>34</v>
      </c>
      <c r="G697" s="5" t="s">
        <v>36</v>
      </c>
      <c r="H697" s="5" t="s">
        <v>36</v>
      </c>
      <c r="I697" s="5" t="s">
        <v>36</v>
      </c>
      <c r="J697" s="6" t="s">
        <v>34</v>
      </c>
      <c r="K697" s="6">
        <v>1400.0</v>
      </c>
      <c r="L697" s="6">
        <v>350.0</v>
      </c>
      <c r="M697" s="5" t="s">
        <v>57</v>
      </c>
      <c r="N697" s="5" t="s">
        <v>52</v>
      </c>
      <c r="O697" s="6" t="s">
        <v>40</v>
      </c>
      <c r="P697" s="5" t="s">
        <v>59</v>
      </c>
      <c r="Q697" s="5" t="s">
        <v>60</v>
      </c>
      <c r="R697" s="6" t="s">
        <v>42</v>
      </c>
      <c r="S697" s="5" t="s">
        <v>159</v>
      </c>
      <c r="T697" s="5" t="s">
        <v>44</v>
      </c>
      <c r="U697" s="5" t="s">
        <v>44</v>
      </c>
      <c r="V697" s="5" t="s">
        <v>44</v>
      </c>
      <c r="W697" s="5" t="s">
        <v>35</v>
      </c>
      <c r="X697" s="5" t="s">
        <v>160</v>
      </c>
      <c r="Y697" s="5" t="s">
        <v>46</v>
      </c>
      <c r="Z697" s="5" t="s">
        <v>47</v>
      </c>
      <c r="AA697" s="5" t="s">
        <v>64</v>
      </c>
      <c r="AB697" s="5" t="s">
        <v>3241</v>
      </c>
      <c r="AC697" s="6" t="s">
        <v>50</v>
      </c>
      <c r="AD697" s="6">
        <v>1050.0</v>
      </c>
    </row>
    <row r="698" ht="56.25" customHeight="1">
      <c r="A698" s="5" t="s">
        <v>3236</v>
      </c>
      <c r="B698" s="6" t="str">
        <f>IMAGE("https://storage.googleapis.com/acdb/miscellaneous/FtrMixer_Remake_1_0.png")</f>
        <v/>
      </c>
      <c r="C698" s="5" t="s">
        <v>3243</v>
      </c>
      <c r="D698" s="5" t="s">
        <v>34</v>
      </c>
      <c r="E698" s="5" t="s">
        <v>34</v>
      </c>
      <c r="F698" s="5" t="s">
        <v>34</v>
      </c>
      <c r="G698" s="5" t="s">
        <v>36</v>
      </c>
      <c r="H698" s="5" t="s">
        <v>36</v>
      </c>
      <c r="I698" s="5" t="s">
        <v>36</v>
      </c>
      <c r="J698" s="6" t="s">
        <v>34</v>
      </c>
      <c r="K698" s="6">
        <v>1400.0</v>
      </c>
      <c r="L698" s="6">
        <v>350.0</v>
      </c>
      <c r="M698" s="5" t="s">
        <v>54</v>
      </c>
      <c r="N698" s="5" t="s">
        <v>96</v>
      </c>
      <c r="O698" s="6" t="s">
        <v>40</v>
      </c>
      <c r="P698" s="5" t="s">
        <v>59</v>
      </c>
      <c r="Q698" s="5" t="s">
        <v>60</v>
      </c>
      <c r="R698" s="6" t="s">
        <v>42</v>
      </c>
      <c r="S698" s="5" t="s">
        <v>159</v>
      </c>
      <c r="T698" s="5" t="s">
        <v>44</v>
      </c>
      <c r="U698" s="5" t="s">
        <v>44</v>
      </c>
      <c r="V698" s="5" t="s">
        <v>44</v>
      </c>
      <c r="W698" s="5" t="s">
        <v>35</v>
      </c>
      <c r="X698" s="5" t="s">
        <v>160</v>
      </c>
      <c r="Y698" s="5" t="s">
        <v>46</v>
      </c>
      <c r="Z698" s="5" t="s">
        <v>47</v>
      </c>
      <c r="AA698" s="5" t="s">
        <v>64</v>
      </c>
      <c r="AB698" s="5" t="s">
        <v>3249</v>
      </c>
      <c r="AC698" s="6" t="s">
        <v>56</v>
      </c>
      <c r="AD698" s="6">
        <v>1050.0</v>
      </c>
    </row>
    <row r="699" ht="56.25" customHeight="1">
      <c r="A699" s="5" t="s">
        <v>3236</v>
      </c>
      <c r="B699" s="6" t="str">
        <f>IMAGE("https://storage.googleapis.com/acdb/miscellaneous/FtrMixer_Remake_2_0.png")</f>
        <v/>
      </c>
      <c r="C699" s="5" t="s">
        <v>3252</v>
      </c>
      <c r="D699" s="5" t="s">
        <v>34</v>
      </c>
      <c r="E699" s="5" t="s">
        <v>34</v>
      </c>
      <c r="F699" s="5" t="s">
        <v>34</v>
      </c>
      <c r="G699" s="5" t="s">
        <v>36</v>
      </c>
      <c r="H699" s="5" t="s">
        <v>36</v>
      </c>
      <c r="I699" s="5" t="s">
        <v>36</v>
      </c>
      <c r="J699" s="6" t="s">
        <v>34</v>
      </c>
      <c r="K699" s="6">
        <v>1400.0</v>
      </c>
      <c r="L699" s="6">
        <v>350.0</v>
      </c>
      <c r="M699" s="5" t="s">
        <v>95</v>
      </c>
      <c r="N699" s="5" t="s">
        <v>142</v>
      </c>
      <c r="O699" s="6" t="s">
        <v>40</v>
      </c>
      <c r="P699" s="5" t="s">
        <v>59</v>
      </c>
      <c r="Q699" s="5" t="s">
        <v>60</v>
      </c>
      <c r="R699" s="6" t="s">
        <v>42</v>
      </c>
      <c r="S699" s="5" t="s">
        <v>159</v>
      </c>
      <c r="T699" s="5" t="s">
        <v>44</v>
      </c>
      <c r="U699" s="5" t="s">
        <v>44</v>
      </c>
      <c r="V699" s="5" t="s">
        <v>44</v>
      </c>
      <c r="W699" s="5" t="s">
        <v>35</v>
      </c>
      <c r="X699" s="5" t="s">
        <v>160</v>
      </c>
      <c r="Y699" s="5" t="s">
        <v>46</v>
      </c>
      <c r="Z699" s="5" t="s">
        <v>47</v>
      </c>
      <c r="AA699" s="5" t="s">
        <v>64</v>
      </c>
      <c r="AB699" s="5" t="s">
        <v>3258</v>
      </c>
      <c r="AC699" s="6" t="s">
        <v>67</v>
      </c>
      <c r="AD699" s="6">
        <v>1050.0</v>
      </c>
    </row>
    <row r="700" ht="56.25" customHeight="1">
      <c r="A700" s="5" t="s">
        <v>3236</v>
      </c>
      <c r="B700" s="6" t="str">
        <f>IMAGE("https://storage.googleapis.com/acdb/miscellaneous/FtrMixer_Remake_3_0.png")</f>
        <v/>
      </c>
      <c r="C700" s="5" t="s">
        <v>821</v>
      </c>
      <c r="D700" s="5" t="s">
        <v>34</v>
      </c>
      <c r="E700" s="5" t="s">
        <v>34</v>
      </c>
      <c r="F700" s="5" t="s">
        <v>34</v>
      </c>
      <c r="G700" s="5" t="s">
        <v>36</v>
      </c>
      <c r="H700" s="5" t="s">
        <v>36</v>
      </c>
      <c r="I700" s="5" t="s">
        <v>36</v>
      </c>
      <c r="J700" s="6" t="s">
        <v>34</v>
      </c>
      <c r="K700" s="6">
        <v>1400.0</v>
      </c>
      <c r="L700" s="6">
        <v>350.0</v>
      </c>
      <c r="M700" s="5" t="s">
        <v>142</v>
      </c>
      <c r="N700" s="5" t="s">
        <v>142</v>
      </c>
      <c r="O700" s="6" t="s">
        <v>40</v>
      </c>
      <c r="P700" s="5" t="s">
        <v>59</v>
      </c>
      <c r="Q700" s="5" t="s">
        <v>60</v>
      </c>
      <c r="R700" s="6" t="s">
        <v>42</v>
      </c>
      <c r="S700" s="5" t="s">
        <v>159</v>
      </c>
      <c r="T700" s="5" t="s">
        <v>44</v>
      </c>
      <c r="U700" s="5" t="s">
        <v>44</v>
      </c>
      <c r="V700" s="5" t="s">
        <v>44</v>
      </c>
      <c r="W700" s="5" t="s">
        <v>35</v>
      </c>
      <c r="X700" s="5" t="s">
        <v>160</v>
      </c>
      <c r="Y700" s="5" t="s">
        <v>46</v>
      </c>
      <c r="Z700" s="5" t="s">
        <v>47</v>
      </c>
      <c r="AA700" s="5" t="s">
        <v>64</v>
      </c>
      <c r="AB700" s="5" t="s">
        <v>3262</v>
      </c>
      <c r="AC700" s="6" t="s">
        <v>71</v>
      </c>
      <c r="AD700" s="6">
        <v>1050.0</v>
      </c>
    </row>
    <row r="701" ht="56.25" customHeight="1">
      <c r="A701" s="5" t="s">
        <v>3236</v>
      </c>
      <c r="B701" s="6" t="str">
        <f>IMAGE("https://storage.googleapis.com/acdb/miscellaneous/FtrMixer_Remake_4_0.png")</f>
        <v/>
      </c>
      <c r="C701" s="5" t="s">
        <v>3264</v>
      </c>
      <c r="D701" s="5" t="s">
        <v>34</v>
      </c>
      <c r="E701" s="5" t="s">
        <v>34</v>
      </c>
      <c r="F701" s="5" t="s">
        <v>34</v>
      </c>
      <c r="G701" s="5" t="s">
        <v>36</v>
      </c>
      <c r="H701" s="5" t="s">
        <v>36</v>
      </c>
      <c r="I701" s="5" t="s">
        <v>36</v>
      </c>
      <c r="J701" s="6" t="s">
        <v>34</v>
      </c>
      <c r="K701" s="6">
        <v>1400.0</v>
      </c>
      <c r="L701" s="6">
        <v>350.0</v>
      </c>
      <c r="M701" s="5" t="s">
        <v>96</v>
      </c>
      <c r="N701" s="5" t="s">
        <v>106</v>
      </c>
      <c r="O701" s="6" t="s">
        <v>40</v>
      </c>
      <c r="P701" s="5" t="s">
        <v>59</v>
      </c>
      <c r="Q701" s="5" t="s">
        <v>60</v>
      </c>
      <c r="R701" s="6" t="s">
        <v>42</v>
      </c>
      <c r="S701" s="5" t="s">
        <v>159</v>
      </c>
      <c r="T701" s="5" t="s">
        <v>44</v>
      </c>
      <c r="U701" s="5" t="s">
        <v>44</v>
      </c>
      <c r="V701" s="5" t="s">
        <v>44</v>
      </c>
      <c r="W701" s="5" t="s">
        <v>35</v>
      </c>
      <c r="X701" s="5" t="s">
        <v>160</v>
      </c>
      <c r="Y701" s="5" t="s">
        <v>46</v>
      </c>
      <c r="Z701" s="5" t="s">
        <v>47</v>
      </c>
      <c r="AA701" s="5" t="s">
        <v>64</v>
      </c>
      <c r="AB701" s="5" t="s">
        <v>3268</v>
      </c>
      <c r="AC701" s="6" t="s">
        <v>75</v>
      </c>
      <c r="AD701" s="6">
        <v>1050.0</v>
      </c>
    </row>
    <row r="702" ht="56.25" customHeight="1">
      <c r="A702" s="5" t="s">
        <v>3236</v>
      </c>
      <c r="B702" s="6" t="str">
        <f>IMAGE("https://storage.googleapis.com/acdb/miscellaneous/FtrMixer_Remake_5_0.png")</f>
        <v/>
      </c>
      <c r="C702" s="5" t="s">
        <v>3270</v>
      </c>
      <c r="D702" s="5" t="s">
        <v>34</v>
      </c>
      <c r="E702" s="5" t="s">
        <v>34</v>
      </c>
      <c r="F702" s="5" t="s">
        <v>34</v>
      </c>
      <c r="G702" s="5" t="s">
        <v>36</v>
      </c>
      <c r="H702" s="5" t="s">
        <v>36</v>
      </c>
      <c r="I702" s="5" t="s">
        <v>36</v>
      </c>
      <c r="J702" s="6" t="s">
        <v>34</v>
      </c>
      <c r="K702" s="6">
        <v>1400.0</v>
      </c>
      <c r="L702" s="6">
        <v>350.0</v>
      </c>
      <c r="M702" s="5" t="s">
        <v>114</v>
      </c>
      <c r="N702" s="5" t="s">
        <v>114</v>
      </c>
      <c r="O702" s="6" t="s">
        <v>40</v>
      </c>
      <c r="P702" s="5" t="s">
        <v>59</v>
      </c>
      <c r="Q702" s="5" t="s">
        <v>60</v>
      </c>
      <c r="R702" s="6" t="s">
        <v>42</v>
      </c>
      <c r="S702" s="5" t="s">
        <v>159</v>
      </c>
      <c r="T702" s="5" t="s">
        <v>44</v>
      </c>
      <c r="U702" s="5" t="s">
        <v>44</v>
      </c>
      <c r="V702" s="5" t="s">
        <v>44</v>
      </c>
      <c r="W702" s="5" t="s">
        <v>35</v>
      </c>
      <c r="X702" s="5" t="s">
        <v>160</v>
      </c>
      <c r="Y702" s="5" t="s">
        <v>46</v>
      </c>
      <c r="Z702" s="5" t="s">
        <v>47</v>
      </c>
      <c r="AA702" s="5" t="s">
        <v>64</v>
      </c>
      <c r="AB702" s="5" t="s">
        <v>3273</v>
      </c>
      <c r="AC702" s="6" t="s">
        <v>79</v>
      </c>
      <c r="AD702" s="6">
        <v>1050.0</v>
      </c>
    </row>
    <row r="703" ht="56.25" customHeight="1">
      <c r="A703" s="5" t="s">
        <v>3236</v>
      </c>
      <c r="B703" s="6" t="str">
        <f>IMAGE("https://storage.googleapis.com/acdb/miscellaneous/FtrMixer_Remake_6_0.png")</f>
        <v/>
      </c>
      <c r="C703" s="5" t="s">
        <v>3274</v>
      </c>
      <c r="D703" s="5" t="s">
        <v>34</v>
      </c>
      <c r="E703" s="5" t="s">
        <v>34</v>
      </c>
      <c r="F703" s="5" t="s">
        <v>34</v>
      </c>
      <c r="G703" s="5" t="s">
        <v>36</v>
      </c>
      <c r="H703" s="5" t="s">
        <v>36</v>
      </c>
      <c r="I703" s="5" t="s">
        <v>36</v>
      </c>
      <c r="J703" s="6" t="s">
        <v>34</v>
      </c>
      <c r="K703" s="6">
        <v>1400.0</v>
      </c>
      <c r="L703" s="6">
        <v>350.0</v>
      </c>
      <c r="M703" s="5" t="s">
        <v>69</v>
      </c>
      <c r="N703" s="5" t="s">
        <v>69</v>
      </c>
      <c r="O703" s="6" t="s">
        <v>40</v>
      </c>
      <c r="P703" s="5" t="s">
        <v>59</v>
      </c>
      <c r="Q703" s="5" t="s">
        <v>60</v>
      </c>
      <c r="R703" s="6" t="s">
        <v>42</v>
      </c>
      <c r="S703" s="5" t="s">
        <v>159</v>
      </c>
      <c r="T703" s="5" t="s">
        <v>44</v>
      </c>
      <c r="U703" s="5" t="s">
        <v>44</v>
      </c>
      <c r="V703" s="5" t="s">
        <v>44</v>
      </c>
      <c r="W703" s="5" t="s">
        <v>35</v>
      </c>
      <c r="X703" s="5" t="s">
        <v>160</v>
      </c>
      <c r="Y703" s="5" t="s">
        <v>46</v>
      </c>
      <c r="Z703" s="5" t="s">
        <v>47</v>
      </c>
      <c r="AA703" s="5" t="s">
        <v>64</v>
      </c>
      <c r="AB703" s="5" t="s">
        <v>3278</v>
      </c>
      <c r="AC703" s="6" t="s">
        <v>86</v>
      </c>
      <c r="AD703" s="6">
        <v>1050.0</v>
      </c>
    </row>
    <row r="704" ht="56.25" customHeight="1">
      <c r="A704" s="5" t="s">
        <v>3236</v>
      </c>
      <c r="B704" s="6" t="str">
        <f>IMAGE("https://storage.googleapis.com/acdb/miscellaneous/FtrMixer_Remake_7_0.png")</f>
        <v/>
      </c>
      <c r="C704" s="5" t="s">
        <v>1913</v>
      </c>
      <c r="D704" s="5" t="s">
        <v>34</v>
      </c>
      <c r="E704" s="5" t="s">
        <v>34</v>
      </c>
      <c r="F704" s="5" t="s">
        <v>34</v>
      </c>
      <c r="G704" s="5" t="s">
        <v>36</v>
      </c>
      <c r="H704" s="5" t="s">
        <v>36</v>
      </c>
      <c r="I704" s="5" t="s">
        <v>36</v>
      </c>
      <c r="J704" s="6" t="s">
        <v>34</v>
      </c>
      <c r="K704" s="6">
        <v>1400.0</v>
      </c>
      <c r="L704" s="6">
        <v>350.0</v>
      </c>
      <c r="M704" s="5" t="s">
        <v>83</v>
      </c>
      <c r="N704" s="5" t="s">
        <v>96</v>
      </c>
      <c r="O704" s="6" t="s">
        <v>40</v>
      </c>
      <c r="P704" s="5" t="s">
        <v>59</v>
      </c>
      <c r="Q704" s="5" t="s">
        <v>60</v>
      </c>
      <c r="R704" s="6" t="s">
        <v>42</v>
      </c>
      <c r="S704" s="5" t="s">
        <v>159</v>
      </c>
      <c r="T704" s="5" t="s">
        <v>44</v>
      </c>
      <c r="U704" s="5" t="s">
        <v>44</v>
      </c>
      <c r="V704" s="5" t="s">
        <v>44</v>
      </c>
      <c r="W704" s="5" t="s">
        <v>35</v>
      </c>
      <c r="X704" s="5" t="s">
        <v>160</v>
      </c>
      <c r="Y704" s="5" t="s">
        <v>46</v>
      </c>
      <c r="Z704" s="5" t="s">
        <v>47</v>
      </c>
      <c r="AA704" s="5" t="s">
        <v>64</v>
      </c>
      <c r="AB704" s="5" t="s">
        <v>3285</v>
      </c>
      <c r="AC704" s="6" t="s">
        <v>208</v>
      </c>
      <c r="AD704" s="6">
        <v>1050.0</v>
      </c>
    </row>
    <row r="705" ht="56.25" customHeight="1">
      <c r="A705" s="5" t="s">
        <v>3286</v>
      </c>
      <c r="B705" s="16" t="str">
        <f>IMAGE("https://storage.googleapis.com/acdb/miscellaneous/FtrInsectMiyamakuwagataToy.png")</f>
        <v/>
      </c>
      <c r="C705" s="5" t="s">
        <v>34</v>
      </c>
      <c r="D705" s="5" t="s">
        <v>34</v>
      </c>
      <c r="E705" s="5" t="s">
        <v>34</v>
      </c>
      <c r="F705" s="5" t="s">
        <v>34</v>
      </c>
      <c r="G705" s="5" t="s">
        <v>36</v>
      </c>
      <c r="H705" s="5" t="s">
        <v>36</v>
      </c>
      <c r="I705" s="5" t="s">
        <v>36</v>
      </c>
      <c r="J705" s="6" t="s">
        <v>34</v>
      </c>
      <c r="K705" s="6" t="s">
        <v>37</v>
      </c>
      <c r="L705" s="6">
        <v>3000.0</v>
      </c>
      <c r="M705" s="5" t="s">
        <v>54</v>
      </c>
      <c r="N705" s="5" t="s">
        <v>54</v>
      </c>
      <c r="O705" s="6" t="s">
        <v>40</v>
      </c>
      <c r="P705" s="5" t="s">
        <v>107</v>
      </c>
      <c r="Q705" s="5" t="s">
        <v>108</v>
      </c>
      <c r="R705" s="6" t="s">
        <v>42</v>
      </c>
      <c r="S705" s="5" t="s">
        <v>44</v>
      </c>
      <c r="T705" s="5" t="s">
        <v>44</v>
      </c>
      <c r="U705" s="5" t="s">
        <v>44</v>
      </c>
      <c r="V705" s="5" t="s">
        <v>44</v>
      </c>
      <c r="W705" s="5" t="s">
        <v>36</v>
      </c>
      <c r="X705" s="5" t="s">
        <v>109</v>
      </c>
      <c r="Y705" s="5" t="s">
        <v>46</v>
      </c>
      <c r="Z705" s="5" t="s">
        <v>47</v>
      </c>
      <c r="AA705" s="5" t="s">
        <v>48</v>
      </c>
      <c r="AB705" s="5" t="s">
        <v>3290</v>
      </c>
      <c r="AC705" s="6" t="s">
        <v>34</v>
      </c>
      <c r="AD705" s="6">
        <v>7083.0</v>
      </c>
    </row>
    <row r="706" ht="56.25" customHeight="1">
      <c r="A706" s="5" t="s">
        <v>3291</v>
      </c>
      <c r="B706" s="6" t="str">
        <f>IMAGE("https://storage.googleapis.com/acdb/miscellaneous/FtrClaytoy_Remake_0_0.png")</f>
        <v/>
      </c>
      <c r="C706" s="5" t="s">
        <v>3294</v>
      </c>
      <c r="D706" s="5" t="s">
        <v>3295</v>
      </c>
      <c r="E706" s="5" t="s">
        <v>34</v>
      </c>
      <c r="F706" s="5" t="s">
        <v>34</v>
      </c>
      <c r="G706" s="5" t="s">
        <v>35</v>
      </c>
      <c r="H706" s="5" t="s">
        <v>35</v>
      </c>
      <c r="I706" s="5" t="s">
        <v>36</v>
      </c>
      <c r="J706" s="6">
        <v>1.0</v>
      </c>
      <c r="K706" s="6" t="s">
        <v>37</v>
      </c>
      <c r="L706" s="6">
        <v>400.0</v>
      </c>
      <c r="M706" s="5" t="s">
        <v>83</v>
      </c>
      <c r="N706" s="5" t="s">
        <v>95</v>
      </c>
      <c r="O706" s="6" t="s">
        <v>40</v>
      </c>
      <c r="P706" s="5" t="s">
        <v>41</v>
      </c>
      <c r="Q706" s="5"/>
      <c r="R706" s="6" t="s">
        <v>42</v>
      </c>
      <c r="S706" s="5" t="s">
        <v>130</v>
      </c>
      <c r="T706" s="5" t="s">
        <v>99</v>
      </c>
      <c r="U706" s="5" t="s">
        <v>44</v>
      </c>
      <c r="V706" s="5" t="s">
        <v>44</v>
      </c>
      <c r="W706" s="5" t="s">
        <v>36</v>
      </c>
      <c r="X706" s="5" t="s">
        <v>356</v>
      </c>
      <c r="Y706" s="5" t="s">
        <v>46</v>
      </c>
      <c r="Z706" s="5" t="s">
        <v>47</v>
      </c>
      <c r="AA706" s="5" t="s">
        <v>48</v>
      </c>
      <c r="AB706" s="5" t="s">
        <v>3297</v>
      </c>
      <c r="AC706" s="6" t="s">
        <v>50</v>
      </c>
      <c r="AD706" s="6">
        <v>7258.0</v>
      </c>
    </row>
    <row r="707" ht="56.25" customHeight="1">
      <c r="A707" s="5" t="s">
        <v>3291</v>
      </c>
      <c r="B707" s="6" t="str">
        <f>IMAGE("https://storage.googleapis.com/acdb/miscellaneous/FtrClaytoy_Remake_1_0.png")</f>
        <v/>
      </c>
      <c r="C707" s="5" t="s">
        <v>3301</v>
      </c>
      <c r="D707" s="5" t="s">
        <v>3295</v>
      </c>
      <c r="E707" s="5" t="s">
        <v>34</v>
      </c>
      <c r="F707" s="5" t="s">
        <v>34</v>
      </c>
      <c r="G707" s="5" t="s">
        <v>35</v>
      </c>
      <c r="H707" s="5" t="s">
        <v>35</v>
      </c>
      <c r="I707" s="5" t="s">
        <v>36</v>
      </c>
      <c r="J707" s="6">
        <v>1.0</v>
      </c>
      <c r="K707" s="6" t="s">
        <v>37</v>
      </c>
      <c r="L707" s="6">
        <v>400.0</v>
      </c>
      <c r="M707" s="5" t="s">
        <v>83</v>
      </c>
      <c r="N707" s="5" t="s">
        <v>95</v>
      </c>
      <c r="O707" s="6" t="s">
        <v>40</v>
      </c>
      <c r="P707" s="5" t="s">
        <v>41</v>
      </c>
      <c r="Q707" s="5"/>
      <c r="R707" s="6" t="s">
        <v>42</v>
      </c>
      <c r="S707" s="5" t="s">
        <v>130</v>
      </c>
      <c r="T707" s="5" t="s">
        <v>99</v>
      </c>
      <c r="U707" s="5" t="s">
        <v>44</v>
      </c>
      <c r="V707" s="5" t="s">
        <v>44</v>
      </c>
      <c r="W707" s="5" t="s">
        <v>36</v>
      </c>
      <c r="X707" s="5" t="s">
        <v>356</v>
      </c>
      <c r="Y707" s="5" t="s">
        <v>46</v>
      </c>
      <c r="Z707" s="5" t="s">
        <v>47</v>
      </c>
      <c r="AA707" s="5" t="s">
        <v>48</v>
      </c>
      <c r="AB707" s="5" t="s">
        <v>3302</v>
      </c>
      <c r="AC707" s="6" t="s">
        <v>56</v>
      </c>
      <c r="AD707" s="6">
        <v>7258.0</v>
      </c>
    </row>
    <row r="708" ht="56.25" customHeight="1">
      <c r="A708" s="5" t="s">
        <v>3291</v>
      </c>
      <c r="B708" s="6" t="str">
        <f>IMAGE("https://storage.googleapis.com/acdb/miscellaneous/FtrClaytoy_Remake_2_0.png")</f>
        <v/>
      </c>
      <c r="C708" s="5" t="s">
        <v>3306</v>
      </c>
      <c r="D708" s="5" t="s">
        <v>3295</v>
      </c>
      <c r="E708" s="5" t="s">
        <v>34</v>
      </c>
      <c r="F708" s="5" t="s">
        <v>34</v>
      </c>
      <c r="G708" s="5" t="s">
        <v>35</v>
      </c>
      <c r="H708" s="5" t="s">
        <v>35</v>
      </c>
      <c r="I708" s="5" t="s">
        <v>36</v>
      </c>
      <c r="J708" s="6">
        <v>1.0</v>
      </c>
      <c r="K708" s="6" t="s">
        <v>37</v>
      </c>
      <c r="L708" s="6">
        <v>400.0</v>
      </c>
      <c r="M708" s="5" t="s">
        <v>114</v>
      </c>
      <c r="N708" s="5" t="s">
        <v>95</v>
      </c>
      <c r="O708" s="6" t="s">
        <v>40</v>
      </c>
      <c r="P708" s="5" t="s">
        <v>41</v>
      </c>
      <c r="Q708" s="5"/>
      <c r="R708" s="6" t="s">
        <v>42</v>
      </c>
      <c r="S708" s="5" t="s">
        <v>130</v>
      </c>
      <c r="T708" s="5" t="s">
        <v>99</v>
      </c>
      <c r="U708" s="5" t="s">
        <v>44</v>
      </c>
      <c r="V708" s="5" t="s">
        <v>44</v>
      </c>
      <c r="W708" s="5" t="s">
        <v>36</v>
      </c>
      <c r="X708" s="5" t="s">
        <v>356</v>
      </c>
      <c r="Y708" s="5" t="s">
        <v>46</v>
      </c>
      <c r="Z708" s="5" t="s">
        <v>47</v>
      </c>
      <c r="AA708" s="5" t="s">
        <v>48</v>
      </c>
      <c r="AB708" s="5" t="s">
        <v>3308</v>
      </c>
      <c r="AC708" s="6" t="s">
        <v>67</v>
      </c>
      <c r="AD708" s="6">
        <v>7258.0</v>
      </c>
    </row>
    <row r="709" ht="56.25" customHeight="1">
      <c r="A709" s="5" t="s">
        <v>3291</v>
      </c>
      <c r="B709" s="6" t="str">
        <f>IMAGE("https://storage.googleapis.com/acdb/miscellaneous/FtrClaytoy_Remake_3_0.png")</f>
        <v/>
      </c>
      <c r="C709" s="5" t="s">
        <v>3311</v>
      </c>
      <c r="D709" s="5" t="s">
        <v>3295</v>
      </c>
      <c r="E709" s="5" t="s">
        <v>34</v>
      </c>
      <c r="F709" s="5" t="s">
        <v>34</v>
      </c>
      <c r="G709" s="5" t="s">
        <v>35</v>
      </c>
      <c r="H709" s="5" t="s">
        <v>35</v>
      </c>
      <c r="I709" s="5" t="s">
        <v>36</v>
      </c>
      <c r="J709" s="6">
        <v>1.0</v>
      </c>
      <c r="K709" s="6" t="s">
        <v>37</v>
      </c>
      <c r="L709" s="6">
        <v>400.0</v>
      </c>
      <c r="M709" s="5" t="s">
        <v>96</v>
      </c>
      <c r="N709" s="5" t="s">
        <v>83</v>
      </c>
      <c r="O709" s="6" t="s">
        <v>40</v>
      </c>
      <c r="P709" s="5" t="s">
        <v>41</v>
      </c>
      <c r="Q709" s="5"/>
      <c r="R709" s="6" t="s">
        <v>42</v>
      </c>
      <c r="S709" s="5" t="s">
        <v>130</v>
      </c>
      <c r="T709" s="5" t="s">
        <v>99</v>
      </c>
      <c r="U709" s="5" t="s">
        <v>44</v>
      </c>
      <c r="V709" s="5" t="s">
        <v>44</v>
      </c>
      <c r="W709" s="5" t="s">
        <v>36</v>
      </c>
      <c r="X709" s="5" t="s">
        <v>356</v>
      </c>
      <c r="Y709" s="5" t="s">
        <v>46</v>
      </c>
      <c r="Z709" s="5" t="s">
        <v>47</v>
      </c>
      <c r="AA709" s="5" t="s">
        <v>48</v>
      </c>
      <c r="AB709" s="5" t="s">
        <v>3314</v>
      </c>
      <c r="AC709" s="6" t="s">
        <v>71</v>
      </c>
      <c r="AD709" s="6">
        <v>7258.0</v>
      </c>
    </row>
    <row r="710" ht="56.25" customHeight="1">
      <c r="A710" s="5" t="s">
        <v>3291</v>
      </c>
      <c r="B710" s="6" t="str">
        <f>IMAGE("https://storage.googleapis.com/acdb/miscellaneous/FtrClaytoy_Remake_4_0.png")</f>
        <v/>
      </c>
      <c r="C710" s="5" t="s">
        <v>3316</v>
      </c>
      <c r="D710" s="5" t="s">
        <v>3295</v>
      </c>
      <c r="E710" s="5" t="s">
        <v>34</v>
      </c>
      <c r="F710" s="5" t="s">
        <v>34</v>
      </c>
      <c r="G710" s="5" t="s">
        <v>35</v>
      </c>
      <c r="H710" s="5" t="s">
        <v>35</v>
      </c>
      <c r="I710" s="5" t="s">
        <v>36</v>
      </c>
      <c r="J710" s="6">
        <v>1.0</v>
      </c>
      <c r="K710" s="6" t="s">
        <v>37</v>
      </c>
      <c r="L710" s="6">
        <v>400.0</v>
      </c>
      <c r="M710" s="5" t="s">
        <v>69</v>
      </c>
      <c r="N710" s="5" t="s">
        <v>58</v>
      </c>
      <c r="O710" s="6" t="s">
        <v>40</v>
      </c>
      <c r="P710" s="5" t="s">
        <v>41</v>
      </c>
      <c r="Q710" s="5"/>
      <c r="R710" s="6" t="s">
        <v>42</v>
      </c>
      <c r="S710" s="5" t="s">
        <v>130</v>
      </c>
      <c r="T710" s="5" t="s">
        <v>99</v>
      </c>
      <c r="U710" s="5" t="s">
        <v>44</v>
      </c>
      <c r="V710" s="5" t="s">
        <v>44</v>
      </c>
      <c r="W710" s="5" t="s">
        <v>36</v>
      </c>
      <c r="X710" s="5" t="s">
        <v>356</v>
      </c>
      <c r="Y710" s="5" t="s">
        <v>46</v>
      </c>
      <c r="Z710" s="5" t="s">
        <v>47</v>
      </c>
      <c r="AA710" s="5" t="s">
        <v>48</v>
      </c>
      <c r="AB710" s="5" t="s">
        <v>3320</v>
      </c>
      <c r="AC710" s="6" t="s">
        <v>75</v>
      </c>
      <c r="AD710" s="6">
        <v>7258.0</v>
      </c>
    </row>
    <row r="711" ht="56.25" customHeight="1">
      <c r="A711" s="5" t="s">
        <v>3291</v>
      </c>
      <c r="B711" s="6" t="str">
        <f>IMAGE("https://storage.googleapis.com/acdb/miscellaneous/FtrClaytoy_Remake_5_0.png")</f>
        <v/>
      </c>
      <c r="C711" s="5" t="s">
        <v>3321</v>
      </c>
      <c r="D711" s="5" t="s">
        <v>3295</v>
      </c>
      <c r="E711" s="5" t="s">
        <v>34</v>
      </c>
      <c r="F711" s="5" t="s">
        <v>34</v>
      </c>
      <c r="G711" s="5" t="s">
        <v>35</v>
      </c>
      <c r="H711" s="5" t="s">
        <v>35</v>
      </c>
      <c r="I711" s="5" t="s">
        <v>36</v>
      </c>
      <c r="J711" s="6">
        <v>1.0</v>
      </c>
      <c r="K711" s="6" t="s">
        <v>37</v>
      </c>
      <c r="L711" s="6">
        <v>400.0</v>
      </c>
      <c r="M711" s="5" t="s">
        <v>38</v>
      </c>
      <c r="N711" s="5" t="s">
        <v>39</v>
      </c>
      <c r="O711" s="6" t="s">
        <v>40</v>
      </c>
      <c r="P711" s="5" t="s">
        <v>41</v>
      </c>
      <c r="Q711" s="5"/>
      <c r="R711" s="6" t="s">
        <v>42</v>
      </c>
      <c r="S711" s="5" t="s">
        <v>130</v>
      </c>
      <c r="T711" s="5" t="s">
        <v>99</v>
      </c>
      <c r="U711" s="5" t="s">
        <v>44</v>
      </c>
      <c r="V711" s="5" t="s">
        <v>44</v>
      </c>
      <c r="W711" s="5" t="s">
        <v>36</v>
      </c>
      <c r="X711" s="5" t="s">
        <v>356</v>
      </c>
      <c r="Y711" s="5" t="s">
        <v>46</v>
      </c>
      <c r="Z711" s="5" t="s">
        <v>47</v>
      </c>
      <c r="AA711" s="5" t="s">
        <v>48</v>
      </c>
      <c r="AB711" s="5" t="s">
        <v>3325</v>
      </c>
      <c r="AC711" s="6" t="s">
        <v>79</v>
      </c>
      <c r="AD711" s="6">
        <v>7258.0</v>
      </c>
    </row>
    <row r="712" ht="56.25" customHeight="1">
      <c r="A712" s="5" t="s">
        <v>3291</v>
      </c>
      <c r="B712" s="6" t="str">
        <f>IMAGE("https://storage.googleapis.com/acdb/miscellaneous/FtrClaytoy_Remake_6_0.png")</f>
        <v/>
      </c>
      <c r="C712" s="5" t="s">
        <v>3326</v>
      </c>
      <c r="D712" s="5" t="s">
        <v>3295</v>
      </c>
      <c r="E712" s="5" t="s">
        <v>34</v>
      </c>
      <c r="F712" s="5" t="s">
        <v>34</v>
      </c>
      <c r="G712" s="5" t="s">
        <v>35</v>
      </c>
      <c r="H712" s="5" t="s">
        <v>35</v>
      </c>
      <c r="I712" s="5" t="s">
        <v>36</v>
      </c>
      <c r="J712" s="6">
        <v>1.0</v>
      </c>
      <c r="K712" s="6" t="s">
        <v>37</v>
      </c>
      <c r="L712" s="6">
        <v>400.0</v>
      </c>
      <c r="M712" s="5" t="s">
        <v>38</v>
      </c>
      <c r="N712" s="5" t="s">
        <v>39</v>
      </c>
      <c r="O712" s="6" t="s">
        <v>40</v>
      </c>
      <c r="P712" s="5" t="s">
        <v>41</v>
      </c>
      <c r="Q712" s="5"/>
      <c r="R712" s="6" t="s">
        <v>42</v>
      </c>
      <c r="S712" s="5" t="s">
        <v>130</v>
      </c>
      <c r="T712" s="5" t="s">
        <v>99</v>
      </c>
      <c r="U712" s="5" t="s">
        <v>44</v>
      </c>
      <c r="V712" s="5" t="s">
        <v>44</v>
      </c>
      <c r="W712" s="5" t="s">
        <v>36</v>
      </c>
      <c r="X712" s="5" t="s">
        <v>356</v>
      </c>
      <c r="Y712" s="5" t="s">
        <v>46</v>
      </c>
      <c r="Z712" s="5" t="s">
        <v>47</v>
      </c>
      <c r="AA712" s="5" t="s">
        <v>48</v>
      </c>
      <c r="AB712" s="5" t="s">
        <v>3330</v>
      </c>
      <c r="AC712" s="6" t="s">
        <v>86</v>
      </c>
      <c r="AD712" s="6">
        <v>7258.0</v>
      </c>
    </row>
    <row r="713" ht="56.25" customHeight="1">
      <c r="A713" s="5" t="s">
        <v>3331</v>
      </c>
      <c r="B713" s="16" t="str">
        <f>IMAGE("https://storage.googleapis.com/acdb/miscellaneous/FtrInsectOkeraToy.png")</f>
        <v/>
      </c>
      <c r="C713" s="5" t="s">
        <v>34</v>
      </c>
      <c r="D713" s="5" t="s">
        <v>34</v>
      </c>
      <c r="E713" s="5" t="s">
        <v>34</v>
      </c>
      <c r="F713" s="5" t="s">
        <v>34</v>
      </c>
      <c r="G713" s="5" t="s">
        <v>36</v>
      </c>
      <c r="H713" s="5" t="s">
        <v>36</v>
      </c>
      <c r="I713" s="5" t="s">
        <v>36</v>
      </c>
      <c r="J713" s="6" t="s">
        <v>34</v>
      </c>
      <c r="K713" s="6" t="s">
        <v>37</v>
      </c>
      <c r="L713" s="6">
        <v>1500.0</v>
      </c>
      <c r="M713" s="5" t="s">
        <v>39</v>
      </c>
      <c r="N713" s="5" t="s">
        <v>39</v>
      </c>
      <c r="O713" s="6" t="s">
        <v>40</v>
      </c>
      <c r="P713" s="5" t="s">
        <v>107</v>
      </c>
      <c r="Q713" s="5" t="s">
        <v>108</v>
      </c>
      <c r="R713" s="6" t="s">
        <v>42</v>
      </c>
      <c r="S713" s="5" t="s">
        <v>44</v>
      </c>
      <c r="T713" s="5" t="s">
        <v>44</v>
      </c>
      <c r="U713" s="5" t="s">
        <v>44</v>
      </c>
      <c r="V713" s="5" t="s">
        <v>44</v>
      </c>
      <c r="W713" s="5" t="s">
        <v>36</v>
      </c>
      <c r="X713" s="5" t="s">
        <v>109</v>
      </c>
      <c r="Y713" s="5" t="s">
        <v>46</v>
      </c>
      <c r="Z713" s="5" t="s">
        <v>47</v>
      </c>
      <c r="AA713" s="5" t="s">
        <v>48</v>
      </c>
      <c r="AB713" s="5" t="s">
        <v>3337</v>
      </c>
      <c r="AC713" s="6" t="s">
        <v>34</v>
      </c>
      <c r="AD713" s="6">
        <v>7089.0</v>
      </c>
    </row>
    <row r="714" ht="56.25" customHeight="1">
      <c r="A714" s="5" t="s">
        <v>3338</v>
      </c>
      <c r="B714" s="6" t="str">
        <f>IMAGE("https://storage.googleapis.com/acdb/miscellaneous/FtrMomCandle_Remake_0_0.png")</f>
        <v/>
      </c>
      <c r="C714" s="5" t="s">
        <v>3339</v>
      </c>
      <c r="D714" s="5" t="s">
        <v>373</v>
      </c>
      <c r="E714" s="5" t="s">
        <v>34</v>
      </c>
      <c r="F714" s="5" t="s">
        <v>34</v>
      </c>
      <c r="G714" s="5" t="s">
        <v>36</v>
      </c>
      <c r="H714" s="5" t="s">
        <v>35</v>
      </c>
      <c r="I714" s="5" t="s">
        <v>36</v>
      </c>
      <c r="J714" s="6">
        <v>1.0</v>
      </c>
      <c r="K714" s="6" t="s">
        <v>37</v>
      </c>
      <c r="L714" s="6">
        <v>88.0</v>
      </c>
      <c r="M714" s="5" t="s">
        <v>58</v>
      </c>
      <c r="N714" s="5" t="s">
        <v>58</v>
      </c>
      <c r="O714" s="6" t="s">
        <v>40</v>
      </c>
      <c r="P714" s="5" t="s">
        <v>1684</v>
      </c>
      <c r="Q714" s="5"/>
      <c r="R714" s="6" t="s">
        <v>42</v>
      </c>
      <c r="S714" s="5" t="s">
        <v>90</v>
      </c>
      <c r="T714" s="5" t="s">
        <v>61</v>
      </c>
      <c r="U714" s="5" t="s">
        <v>1686</v>
      </c>
      <c r="V714" s="5" t="s">
        <v>44</v>
      </c>
      <c r="W714" s="5" t="s">
        <v>35</v>
      </c>
      <c r="X714" s="5" t="s">
        <v>467</v>
      </c>
      <c r="Y714" s="5" t="s">
        <v>46</v>
      </c>
      <c r="Z714" s="5" t="s">
        <v>495</v>
      </c>
      <c r="AA714" s="5" t="s">
        <v>48</v>
      </c>
      <c r="AB714" s="5" t="s">
        <v>3344</v>
      </c>
      <c r="AC714" s="6" t="s">
        <v>50</v>
      </c>
      <c r="AD714" s="6">
        <v>7143.0</v>
      </c>
    </row>
    <row r="715" ht="56.25" customHeight="1">
      <c r="A715" s="5" t="s">
        <v>3338</v>
      </c>
      <c r="B715" s="6" t="str">
        <f>IMAGE("https://storage.googleapis.com/acdb/miscellaneous/FtrMomCandle_Remake_1_0.png")</f>
        <v/>
      </c>
      <c r="C715" s="5" t="s">
        <v>3346</v>
      </c>
      <c r="D715" s="5" t="s">
        <v>373</v>
      </c>
      <c r="E715" s="5" t="s">
        <v>34</v>
      </c>
      <c r="F715" s="5" t="s">
        <v>34</v>
      </c>
      <c r="G715" s="5" t="s">
        <v>36</v>
      </c>
      <c r="H715" s="5" t="s">
        <v>35</v>
      </c>
      <c r="I715" s="5" t="s">
        <v>36</v>
      </c>
      <c r="J715" s="6">
        <v>1.0</v>
      </c>
      <c r="K715" s="6" t="s">
        <v>37</v>
      </c>
      <c r="L715" s="6">
        <v>88.0</v>
      </c>
      <c r="M715" s="5" t="s">
        <v>57</v>
      </c>
      <c r="N715" s="5" t="s">
        <v>58</v>
      </c>
      <c r="O715" s="6" t="s">
        <v>40</v>
      </c>
      <c r="P715" s="5" t="s">
        <v>1684</v>
      </c>
      <c r="Q715" s="5"/>
      <c r="R715" s="6" t="s">
        <v>42</v>
      </c>
      <c r="S715" s="5" t="s">
        <v>90</v>
      </c>
      <c r="T715" s="5" t="s">
        <v>61</v>
      </c>
      <c r="U715" s="5" t="s">
        <v>1686</v>
      </c>
      <c r="V715" s="5" t="s">
        <v>44</v>
      </c>
      <c r="W715" s="5" t="s">
        <v>35</v>
      </c>
      <c r="X715" s="5" t="s">
        <v>467</v>
      </c>
      <c r="Y715" s="5" t="s">
        <v>46</v>
      </c>
      <c r="Z715" s="5" t="s">
        <v>495</v>
      </c>
      <c r="AA715" s="5" t="s">
        <v>48</v>
      </c>
      <c r="AB715" s="5" t="s">
        <v>3349</v>
      </c>
      <c r="AC715" s="6" t="s">
        <v>56</v>
      </c>
      <c r="AD715" s="6">
        <v>7143.0</v>
      </c>
    </row>
    <row r="716" ht="56.25" customHeight="1">
      <c r="A716" s="5" t="s">
        <v>3338</v>
      </c>
      <c r="B716" s="6" t="str">
        <f>IMAGE("https://storage.googleapis.com/acdb/miscellaneous/FtrMomCandle_Remake_2_0.png")</f>
        <v/>
      </c>
      <c r="C716" s="5" t="s">
        <v>3352</v>
      </c>
      <c r="D716" s="5" t="s">
        <v>373</v>
      </c>
      <c r="E716" s="5" t="s">
        <v>34</v>
      </c>
      <c r="F716" s="5" t="s">
        <v>34</v>
      </c>
      <c r="G716" s="5" t="s">
        <v>36</v>
      </c>
      <c r="H716" s="5" t="s">
        <v>35</v>
      </c>
      <c r="I716" s="5" t="s">
        <v>36</v>
      </c>
      <c r="J716" s="6">
        <v>1.0</v>
      </c>
      <c r="K716" s="6" t="s">
        <v>37</v>
      </c>
      <c r="L716" s="6">
        <v>88.0</v>
      </c>
      <c r="M716" s="5" t="s">
        <v>57</v>
      </c>
      <c r="N716" s="5" t="s">
        <v>38</v>
      </c>
      <c r="O716" s="6" t="s">
        <v>40</v>
      </c>
      <c r="P716" s="5" t="s">
        <v>1684</v>
      </c>
      <c r="Q716" s="5"/>
      <c r="R716" s="6" t="s">
        <v>42</v>
      </c>
      <c r="S716" s="5" t="s">
        <v>90</v>
      </c>
      <c r="T716" s="5" t="s">
        <v>61</v>
      </c>
      <c r="U716" s="5" t="s">
        <v>1686</v>
      </c>
      <c r="V716" s="5" t="s">
        <v>44</v>
      </c>
      <c r="W716" s="5" t="s">
        <v>35</v>
      </c>
      <c r="X716" s="5" t="s">
        <v>467</v>
      </c>
      <c r="Y716" s="5" t="s">
        <v>46</v>
      </c>
      <c r="Z716" s="5" t="s">
        <v>495</v>
      </c>
      <c r="AA716" s="5" t="s">
        <v>48</v>
      </c>
      <c r="AB716" s="5" t="s">
        <v>3353</v>
      </c>
      <c r="AC716" s="6" t="s">
        <v>67</v>
      </c>
      <c r="AD716" s="6">
        <v>7143.0</v>
      </c>
    </row>
    <row r="717" ht="56.25" customHeight="1">
      <c r="A717" s="5" t="s">
        <v>3338</v>
      </c>
      <c r="B717" s="6" t="str">
        <f>IMAGE("https://storage.googleapis.com/acdb/miscellaneous/FtrMomCandle_Remake_3_0.png")</f>
        <v/>
      </c>
      <c r="C717" s="5" t="s">
        <v>688</v>
      </c>
      <c r="D717" s="5" t="s">
        <v>373</v>
      </c>
      <c r="E717" s="5" t="s">
        <v>34</v>
      </c>
      <c r="F717" s="5" t="s">
        <v>34</v>
      </c>
      <c r="G717" s="5" t="s">
        <v>36</v>
      </c>
      <c r="H717" s="5" t="s">
        <v>35</v>
      </c>
      <c r="I717" s="5" t="s">
        <v>36</v>
      </c>
      <c r="J717" s="6">
        <v>1.0</v>
      </c>
      <c r="K717" s="6" t="s">
        <v>37</v>
      </c>
      <c r="L717" s="6">
        <v>88.0</v>
      </c>
      <c r="M717" s="5" t="s">
        <v>57</v>
      </c>
      <c r="N717" s="5" t="s">
        <v>58</v>
      </c>
      <c r="O717" s="6" t="s">
        <v>40</v>
      </c>
      <c r="P717" s="5" t="s">
        <v>1684</v>
      </c>
      <c r="Q717" s="5"/>
      <c r="R717" s="6" t="s">
        <v>42</v>
      </c>
      <c r="S717" s="5" t="s">
        <v>90</v>
      </c>
      <c r="T717" s="5" t="s">
        <v>61</v>
      </c>
      <c r="U717" s="5" t="s">
        <v>1686</v>
      </c>
      <c r="V717" s="5" t="s">
        <v>44</v>
      </c>
      <c r="W717" s="5" t="s">
        <v>35</v>
      </c>
      <c r="X717" s="5" t="s">
        <v>467</v>
      </c>
      <c r="Y717" s="5" t="s">
        <v>46</v>
      </c>
      <c r="Z717" s="5" t="s">
        <v>495</v>
      </c>
      <c r="AA717" s="5" t="s">
        <v>48</v>
      </c>
      <c r="AB717" s="5" t="s">
        <v>3360</v>
      </c>
      <c r="AC717" s="6" t="s">
        <v>71</v>
      </c>
      <c r="AD717" s="6">
        <v>7143.0</v>
      </c>
    </row>
    <row r="718" ht="56.25" customHeight="1">
      <c r="A718" s="5" t="s">
        <v>3338</v>
      </c>
      <c r="B718" s="6" t="str">
        <f>IMAGE("https://storage.googleapis.com/acdb/miscellaneous/FtrMomCandle_Remake_4_0.png")</f>
        <v/>
      </c>
      <c r="C718" s="5" t="s">
        <v>1748</v>
      </c>
      <c r="D718" s="5" t="s">
        <v>373</v>
      </c>
      <c r="E718" s="5" t="s">
        <v>34</v>
      </c>
      <c r="F718" s="5" t="s">
        <v>34</v>
      </c>
      <c r="G718" s="5" t="s">
        <v>36</v>
      </c>
      <c r="H718" s="5" t="s">
        <v>35</v>
      </c>
      <c r="I718" s="5" t="s">
        <v>36</v>
      </c>
      <c r="J718" s="6">
        <v>1.0</v>
      </c>
      <c r="K718" s="6" t="s">
        <v>37</v>
      </c>
      <c r="L718" s="6">
        <v>88.0</v>
      </c>
      <c r="M718" s="5" t="s">
        <v>52</v>
      </c>
      <c r="N718" s="5" t="s">
        <v>106</v>
      </c>
      <c r="O718" s="6" t="s">
        <v>40</v>
      </c>
      <c r="P718" s="5" t="s">
        <v>1684</v>
      </c>
      <c r="Q718" s="5"/>
      <c r="R718" s="6" t="s">
        <v>42</v>
      </c>
      <c r="S718" s="5" t="s">
        <v>90</v>
      </c>
      <c r="T718" s="5" t="s">
        <v>61</v>
      </c>
      <c r="U718" s="5" t="s">
        <v>1686</v>
      </c>
      <c r="V718" s="5" t="s">
        <v>44</v>
      </c>
      <c r="W718" s="5" t="s">
        <v>35</v>
      </c>
      <c r="X718" s="5" t="s">
        <v>467</v>
      </c>
      <c r="Y718" s="5" t="s">
        <v>46</v>
      </c>
      <c r="Z718" s="5" t="s">
        <v>495</v>
      </c>
      <c r="AA718" s="5" t="s">
        <v>48</v>
      </c>
      <c r="AB718" s="5" t="s">
        <v>3364</v>
      </c>
      <c r="AC718" s="6" t="s">
        <v>75</v>
      </c>
      <c r="AD718" s="6">
        <v>7143.0</v>
      </c>
    </row>
    <row r="719" ht="56.25" customHeight="1">
      <c r="A719" s="5" t="s">
        <v>3338</v>
      </c>
      <c r="B719" s="6" t="str">
        <f>IMAGE("https://storage.googleapis.com/acdb/miscellaneous/FtrMomCandle_Remake_5_0.png")</f>
        <v/>
      </c>
      <c r="C719" s="5" t="s">
        <v>2458</v>
      </c>
      <c r="D719" s="5" t="s">
        <v>373</v>
      </c>
      <c r="E719" s="5" t="s">
        <v>34</v>
      </c>
      <c r="F719" s="5" t="s">
        <v>34</v>
      </c>
      <c r="G719" s="5" t="s">
        <v>36</v>
      </c>
      <c r="H719" s="5" t="s">
        <v>35</v>
      </c>
      <c r="I719" s="5" t="s">
        <v>36</v>
      </c>
      <c r="J719" s="6">
        <v>1.0</v>
      </c>
      <c r="K719" s="6" t="s">
        <v>37</v>
      </c>
      <c r="L719" s="6">
        <v>88.0</v>
      </c>
      <c r="M719" s="5" t="s">
        <v>83</v>
      </c>
      <c r="N719" s="5" t="s">
        <v>96</v>
      </c>
      <c r="O719" s="6" t="s">
        <v>40</v>
      </c>
      <c r="P719" s="5" t="s">
        <v>1684</v>
      </c>
      <c r="Q719" s="5"/>
      <c r="R719" s="6" t="s">
        <v>42</v>
      </c>
      <c r="S719" s="5" t="s">
        <v>90</v>
      </c>
      <c r="T719" s="5" t="s">
        <v>61</v>
      </c>
      <c r="U719" s="5" t="s">
        <v>1686</v>
      </c>
      <c r="V719" s="5" t="s">
        <v>44</v>
      </c>
      <c r="W719" s="5" t="s">
        <v>35</v>
      </c>
      <c r="X719" s="5" t="s">
        <v>467</v>
      </c>
      <c r="Y719" s="5" t="s">
        <v>46</v>
      </c>
      <c r="Z719" s="5" t="s">
        <v>495</v>
      </c>
      <c r="AA719" s="5" t="s">
        <v>48</v>
      </c>
      <c r="AB719" s="5" t="s">
        <v>3369</v>
      </c>
      <c r="AC719" s="6" t="s">
        <v>79</v>
      </c>
      <c r="AD719" s="6">
        <v>7143.0</v>
      </c>
    </row>
    <row r="720" ht="56.25" customHeight="1">
      <c r="A720" s="5" t="s">
        <v>3370</v>
      </c>
      <c r="B720" s="6" t="str">
        <f>IMAGE("https://storage.googleapis.com/acdb/miscellaneous/FtrMomCushion_Remake_0_0.png")</f>
        <v/>
      </c>
      <c r="C720" s="5" t="s">
        <v>3371</v>
      </c>
      <c r="D720" s="5" t="s">
        <v>3372</v>
      </c>
      <c r="E720" s="5" t="s">
        <v>34</v>
      </c>
      <c r="F720" s="5" t="s">
        <v>34</v>
      </c>
      <c r="G720" s="5" t="s">
        <v>36</v>
      </c>
      <c r="H720" s="5" t="s">
        <v>35</v>
      </c>
      <c r="I720" s="5" t="s">
        <v>36</v>
      </c>
      <c r="J720" s="6">
        <v>1.0</v>
      </c>
      <c r="K720" s="6" t="s">
        <v>37</v>
      </c>
      <c r="L720" s="6">
        <v>88.0</v>
      </c>
      <c r="M720" s="5" t="s">
        <v>58</v>
      </c>
      <c r="N720" s="5" t="s">
        <v>52</v>
      </c>
      <c r="O720" s="6" t="s">
        <v>40</v>
      </c>
      <c r="P720" s="5" t="s">
        <v>1684</v>
      </c>
      <c r="Q720" s="5"/>
      <c r="R720" s="6" t="s">
        <v>42</v>
      </c>
      <c r="S720" s="5" t="s">
        <v>90</v>
      </c>
      <c r="T720" s="5" t="s">
        <v>61</v>
      </c>
      <c r="U720" s="5" t="s">
        <v>1686</v>
      </c>
      <c r="V720" s="5" t="s">
        <v>44</v>
      </c>
      <c r="W720" s="5" t="s">
        <v>35</v>
      </c>
      <c r="X720" s="5" t="s">
        <v>248</v>
      </c>
      <c r="Y720" s="5" t="s">
        <v>46</v>
      </c>
      <c r="Z720" s="5" t="s">
        <v>47</v>
      </c>
      <c r="AA720" s="5" t="s">
        <v>48</v>
      </c>
      <c r="AB720" s="5" t="s">
        <v>3376</v>
      </c>
      <c r="AC720" s="6" t="s">
        <v>50</v>
      </c>
      <c r="AD720" s="6">
        <v>7144.0</v>
      </c>
    </row>
    <row r="721" ht="56.25" customHeight="1">
      <c r="A721" s="5" t="s">
        <v>3370</v>
      </c>
      <c r="B721" s="6" t="str">
        <f>IMAGE("https://storage.googleapis.com/acdb/miscellaneous/FtrMomCushion_Remake_1_0.png")</f>
        <v/>
      </c>
      <c r="C721" s="5" t="s">
        <v>3377</v>
      </c>
      <c r="D721" s="5" t="s">
        <v>3372</v>
      </c>
      <c r="E721" s="5" t="s">
        <v>34</v>
      </c>
      <c r="F721" s="5" t="s">
        <v>34</v>
      </c>
      <c r="G721" s="5" t="s">
        <v>36</v>
      </c>
      <c r="H721" s="5" t="s">
        <v>35</v>
      </c>
      <c r="I721" s="5" t="s">
        <v>36</v>
      </c>
      <c r="J721" s="6">
        <v>1.0</v>
      </c>
      <c r="K721" s="6" t="s">
        <v>37</v>
      </c>
      <c r="L721" s="6">
        <v>88.0</v>
      </c>
      <c r="M721" s="5" t="s">
        <v>58</v>
      </c>
      <c r="N721" s="5" t="s">
        <v>68</v>
      </c>
      <c r="O721" s="6" t="s">
        <v>40</v>
      </c>
      <c r="P721" s="5" t="s">
        <v>1684</v>
      </c>
      <c r="Q721" s="5"/>
      <c r="R721" s="6" t="s">
        <v>42</v>
      </c>
      <c r="S721" s="5" t="s">
        <v>90</v>
      </c>
      <c r="T721" s="5" t="s">
        <v>61</v>
      </c>
      <c r="U721" s="5" t="s">
        <v>1686</v>
      </c>
      <c r="V721" s="5" t="s">
        <v>44</v>
      </c>
      <c r="W721" s="5" t="s">
        <v>35</v>
      </c>
      <c r="X721" s="5" t="s">
        <v>248</v>
      </c>
      <c r="Y721" s="5" t="s">
        <v>46</v>
      </c>
      <c r="Z721" s="5" t="s">
        <v>47</v>
      </c>
      <c r="AA721" s="5" t="s">
        <v>48</v>
      </c>
      <c r="AB721" s="5" t="s">
        <v>3381</v>
      </c>
      <c r="AC721" s="6" t="s">
        <v>56</v>
      </c>
      <c r="AD721" s="6">
        <v>7144.0</v>
      </c>
    </row>
    <row r="722" ht="56.25" customHeight="1">
      <c r="A722" s="5" t="s">
        <v>3370</v>
      </c>
      <c r="B722" s="6" t="str">
        <f>IMAGE("https://storage.googleapis.com/acdb/miscellaneous/FtrMomCushion_Remake_2_0.png")</f>
        <v/>
      </c>
      <c r="C722" s="5" t="s">
        <v>3382</v>
      </c>
      <c r="D722" s="5" t="s">
        <v>3372</v>
      </c>
      <c r="E722" s="5" t="s">
        <v>34</v>
      </c>
      <c r="F722" s="5" t="s">
        <v>34</v>
      </c>
      <c r="G722" s="5" t="s">
        <v>36</v>
      </c>
      <c r="H722" s="5" t="s">
        <v>35</v>
      </c>
      <c r="I722" s="5" t="s">
        <v>36</v>
      </c>
      <c r="J722" s="6">
        <v>1.0</v>
      </c>
      <c r="K722" s="6" t="s">
        <v>37</v>
      </c>
      <c r="L722" s="6">
        <v>88.0</v>
      </c>
      <c r="M722" s="5" t="s">
        <v>58</v>
      </c>
      <c r="N722" s="5" t="s">
        <v>96</v>
      </c>
      <c r="O722" s="6" t="s">
        <v>40</v>
      </c>
      <c r="P722" s="5" t="s">
        <v>1684</v>
      </c>
      <c r="Q722" s="5"/>
      <c r="R722" s="6" t="s">
        <v>42</v>
      </c>
      <c r="S722" s="5" t="s">
        <v>90</v>
      </c>
      <c r="T722" s="5" t="s">
        <v>61</v>
      </c>
      <c r="U722" s="5" t="s">
        <v>1686</v>
      </c>
      <c r="V722" s="5" t="s">
        <v>44</v>
      </c>
      <c r="W722" s="5" t="s">
        <v>35</v>
      </c>
      <c r="X722" s="5" t="s">
        <v>248</v>
      </c>
      <c r="Y722" s="5" t="s">
        <v>46</v>
      </c>
      <c r="Z722" s="5" t="s">
        <v>47</v>
      </c>
      <c r="AA722" s="5" t="s">
        <v>48</v>
      </c>
      <c r="AB722" s="5" t="s">
        <v>3386</v>
      </c>
      <c r="AC722" s="6" t="s">
        <v>67</v>
      </c>
      <c r="AD722" s="6">
        <v>7144.0</v>
      </c>
    </row>
    <row r="723" ht="56.25" customHeight="1">
      <c r="A723" s="5" t="s">
        <v>3370</v>
      </c>
      <c r="B723" s="6" t="str">
        <f>IMAGE("https://storage.googleapis.com/acdb/miscellaneous/FtrMomCushion_Remake_3_0.png")</f>
        <v/>
      </c>
      <c r="C723" s="5" t="s">
        <v>3387</v>
      </c>
      <c r="D723" s="5" t="s">
        <v>3372</v>
      </c>
      <c r="E723" s="5" t="s">
        <v>34</v>
      </c>
      <c r="F723" s="5" t="s">
        <v>34</v>
      </c>
      <c r="G723" s="5" t="s">
        <v>36</v>
      </c>
      <c r="H723" s="5" t="s">
        <v>35</v>
      </c>
      <c r="I723" s="5" t="s">
        <v>36</v>
      </c>
      <c r="J723" s="6">
        <v>1.0</v>
      </c>
      <c r="K723" s="6" t="s">
        <v>37</v>
      </c>
      <c r="L723" s="6">
        <v>88.0</v>
      </c>
      <c r="M723" s="5" t="s">
        <v>58</v>
      </c>
      <c r="N723" s="5" t="s">
        <v>69</v>
      </c>
      <c r="O723" s="6" t="s">
        <v>40</v>
      </c>
      <c r="P723" s="5" t="s">
        <v>1684</v>
      </c>
      <c r="Q723" s="5"/>
      <c r="R723" s="6" t="s">
        <v>42</v>
      </c>
      <c r="S723" s="5" t="s">
        <v>90</v>
      </c>
      <c r="T723" s="5" t="s">
        <v>61</v>
      </c>
      <c r="U723" s="5" t="s">
        <v>1686</v>
      </c>
      <c r="V723" s="5" t="s">
        <v>44</v>
      </c>
      <c r="W723" s="5" t="s">
        <v>35</v>
      </c>
      <c r="X723" s="5" t="s">
        <v>248</v>
      </c>
      <c r="Y723" s="5" t="s">
        <v>46</v>
      </c>
      <c r="Z723" s="5" t="s">
        <v>47</v>
      </c>
      <c r="AA723" s="5" t="s">
        <v>48</v>
      </c>
      <c r="AB723" s="5" t="s">
        <v>3391</v>
      </c>
      <c r="AC723" s="6" t="s">
        <v>71</v>
      </c>
      <c r="AD723" s="6">
        <v>7144.0</v>
      </c>
    </row>
    <row r="724" ht="56.25" customHeight="1">
      <c r="A724" s="5" t="s">
        <v>3370</v>
      </c>
      <c r="B724" s="6" t="str">
        <f>IMAGE("https://storage.googleapis.com/acdb/miscellaneous/FtrMomCushion_Remake_4_0.png")</f>
        <v/>
      </c>
      <c r="C724" s="5" t="s">
        <v>330</v>
      </c>
      <c r="D724" s="5" t="s">
        <v>3372</v>
      </c>
      <c r="E724" s="5" t="s">
        <v>34</v>
      </c>
      <c r="F724" s="5" t="s">
        <v>34</v>
      </c>
      <c r="G724" s="5" t="s">
        <v>36</v>
      </c>
      <c r="H724" s="5" t="s">
        <v>35</v>
      </c>
      <c r="I724" s="5" t="s">
        <v>36</v>
      </c>
      <c r="J724" s="6">
        <v>1.0</v>
      </c>
      <c r="K724" s="6" t="s">
        <v>37</v>
      </c>
      <c r="L724" s="6">
        <v>88.0</v>
      </c>
      <c r="M724" s="5" t="s">
        <v>58</v>
      </c>
      <c r="N724" s="5" t="s">
        <v>68</v>
      </c>
      <c r="O724" s="6" t="s">
        <v>40</v>
      </c>
      <c r="P724" s="5" t="s">
        <v>1684</v>
      </c>
      <c r="Q724" s="5"/>
      <c r="R724" s="6" t="s">
        <v>42</v>
      </c>
      <c r="S724" s="5" t="s">
        <v>90</v>
      </c>
      <c r="T724" s="5" t="s">
        <v>61</v>
      </c>
      <c r="U724" s="5" t="s">
        <v>1686</v>
      </c>
      <c r="V724" s="5" t="s">
        <v>44</v>
      </c>
      <c r="W724" s="5" t="s">
        <v>35</v>
      </c>
      <c r="X724" s="5" t="s">
        <v>248</v>
      </c>
      <c r="Y724" s="5" t="s">
        <v>46</v>
      </c>
      <c r="Z724" s="5" t="s">
        <v>47</v>
      </c>
      <c r="AA724" s="5" t="s">
        <v>48</v>
      </c>
      <c r="AB724" s="5" t="s">
        <v>3398</v>
      </c>
      <c r="AC724" s="6" t="s">
        <v>75</v>
      </c>
      <c r="AD724" s="6">
        <v>7144.0</v>
      </c>
    </row>
    <row r="725" ht="56.25" customHeight="1">
      <c r="A725" s="5" t="s">
        <v>3370</v>
      </c>
      <c r="B725" s="6" t="str">
        <f>IMAGE("https://storage.googleapis.com/acdb/miscellaneous/FtrMomCushion_Remake_5_0.png")</f>
        <v/>
      </c>
      <c r="C725" s="5" t="s">
        <v>3400</v>
      </c>
      <c r="D725" s="5" t="s">
        <v>3372</v>
      </c>
      <c r="E725" s="5" t="s">
        <v>34</v>
      </c>
      <c r="F725" s="5" t="s">
        <v>34</v>
      </c>
      <c r="G725" s="5" t="s">
        <v>36</v>
      </c>
      <c r="H725" s="5" t="s">
        <v>35</v>
      </c>
      <c r="I725" s="5" t="s">
        <v>36</v>
      </c>
      <c r="J725" s="6">
        <v>1.0</v>
      </c>
      <c r="K725" s="6" t="s">
        <v>37</v>
      </c>
      <c r="L725" s="6">
        <v>88.0</v>
      </c>
      <c r="M725" s="5" t="s">
        <v>58</v>
      </c>
      <c r="N725" s="5" t="s">
        <v>68</v>
      </c>
      <c r="O725" s="6" t="s">
        <v>40</v>
      </c>
      <c r="P725" s="5" t="s">
        <v>1684</v>
      </c>
      <c r="Q725" s="5"/>
      <c r="R725" s="6" t="s">
        <v>42</v>
      </c>
      <c r="S725" s="5" t="s">
        <v>90</v>
      </c>
      <c r="T725" s="5" t="s">
        <v>61</v>
      </c>
      <c r="U725" s="5" t="s">
        <v>1686</v>
      </c>
      <c r="V725" s="5" t="s">
        <v>44</v>
      </c>
      <c r="W725" s="5" t="s">
        <v>35</v>
      </c>
      <c r="X725" s="5" t="s">
        <v>248</v>
      </c>
      <c r="Y725" s="5" t="s">
        <v>46</v>
      </c>
      <c r="Z725" s="5" t="s">
        <v>47</v>
      </c>
      <c r="AA725" s="5" t="s">
        <v>48</v>
      </c>
      <c r="AB725" s="5" t="s">
        <v>3404</v>
      </c>
      <c r="AC725" s="6" t="s">
        <v>79</v>
      </c>
      <c r="AD725" s="6">
        <v>7144.0</v>
      </c>
    </row>
    <row r="726" ht="56.25" customHeight="1">
      <c r="A726" s="5" t="s">
        <v>3405</v>
      </c>
      <c r="B726" s="6" t="str">
        <f>IMAGE("https://storage.googleapis.com/acdb/miscellaneous/FtrMomCake_Remake_0_0.png")</f>
        <v/>
      </c>
      <c r="C726" s="5" t="s">
        <v>3406</v>
      </c>
      <c r="D726" s="5" t="s">
        <v>3407</v>
      </c>
      <c r="E726" s="5" t="s">
        <v>34</v>
      </c>
      <c r="F726" s="5" t="s">
        <v>34</v>
      </c>
      <c r="G726" s="5" t="s">
        <v>36</v>
      </c>
      <c r="H726" s="5" t="s">
        <v>35</v>
      </c>
      <c r="I726" s="5" t="s">
        <v>36</v>
      </c>
      <c r="J726" s="6">
        <v>1.0</v>
      </c>
      <c r="K726" s="6" t="s">
        <v>37</v>
      </c>
      <c r="L726" s="6">
        <v>88.0</v>
      </c>
      <c r="M726" s="5" t="s">
        <v>58</v>
      </c>
      <c r="N726" s="5" t="s">
        <v>57</v>
      </c>
      <c r="O726" s="6" t="s">
        <v>40</v>
      </c>
      <c r="P726" s="5" t="s">
        <v>1684</v>
      </c>
      <c r="Q726" s="5"/>
      <c r="R726" s="6" t="s">
        <v>42</v>
      </c>
      <c r="S726" s="5" t="s">
        <v>90</v>
      </c>
      <c r="T726" s="5" t="s">
        <v>61</v>
      </c>
      <c r="U726" s="5" t="s">
        <v>1686</v>
      </c>
      <c r="V726" s="5" t="s">
        <v>44</v>
      </c>
      <c r="W726" s="5" t="s">
        <v>36</v>
      </c>
      <c r="X726" s="5" t="s">
        <v>521</v>
      </c>
      <c r="Y726" s="5" t="s">
        <v>46</v>
      </c>
      <c r="Z726" s="5" t="s">
        <v>47</v>
      </c>
      <c r="AA726" s="5" t="s">
        <v>48</v>
      </c>
      <c r="AB726" s="5" t="s">
        <v>3411</v>
      </c>
      <c r="AC726" s="6" t="s">
        <v>50</v>
      </c>
      <c r="AD726" s="6">
        <v>7146.0</v>
      </c>
    </row>
    <row r="727" ht="56.25" customHeight="1">
      <c r="A727" s="5" t="s">
        <v>3405</v>
      </c>
      <c r="B727" s="6" t="str">
        <f>IMAGE("https://storage.googleapis.com/acdb/miscellaneous/FtrMomCake_Remake_1_0.png")</f>
        <v/>
      </c>
      <c r="C727" s="5" t="s">
        <v>3414</v>
      </c>
      <c r="D727" s="5" t="s">
        <v>3407</v>
      </c>
      <c r="E727" s="5" t="s">
        <v>34</v>
      </c>
      <c r="F727" s="5" t="s">
        <v>34</v>
      </c>
      <c r="G727" s="5" t="s">
        <v>36</v>
      </c>
      <c r="H727" s="5" t="s">
        <v>35</v>
      </c>
      <c r="I727" s="5" t="s">
        <v>36</v>
      </c>
      <c r="J727" s="6">
        <v>1.0</v>
      </c>
      <c r="K727" s="6" t="s">
        <v>37</v>
      </c>
      <c r="L727" s="6">
        <v>88.0</v>
      </c>
      <c r="M727" s="5" t="s">
        <v>52</v>
      </c>
      <c r="N727" s="5" t="s">
        <v>57</v>
      </c>
      <c r="O727" s="6" t="s">
        <v>40</v>
      </c>
      <c r="P727" s="5" t="s">
        <v>1684</v>
      </c>
      <c r="Q727" s="5"/>
      <c r="R727" s="6" t="s">
        <v>42</v>
      </c>
      <c r="S727" s="5" t="s">
        <v>90</v>
      </c>
      <c r="T727" s="5" t="s">
        <v>61</v>
      </c>
      <c r="U727" s="5" t="s">
        <v>1686</v>
      </c>
      <c r="V727" s="5" t="s">
        <v>44</v>
      </c>
      <c r="W727" s="5" t="s">
        <v>36</v>
      </c>
      <c r="X727" s="5" t="s">
        <v>521</v>
      </c>
      <c r="Y727" s="5" t="s">
        <v>46</v>
      </c>
      <c r="Z727" s="5" t="s">
        <v>47</v>
      </c>
      <c r="AA727" s="5" t="s">
        <v>48</v>
      </c>
      <c r="AB727" s="5" t="s">
        <v>3416</v>
      </c>
      <c r="AC727" s="6" t="s">
        <v>56</v>
      </c>
      <c r="AD727" s="6">
        <v>7146.0</v>
      </c>
    </row>
    <row r="728" ht="56.25" customHeight="1">
      <c r="A728" s="5" t="s">
        <v>3405</v>
      </c>
      <c r="B728" s="6" t="str">
        <f>IMAGE("https://storage.googleapis.com/acdb/miscellaneous/FtrMomCake_Remake_2_0.png")</f>
        <v/>
      </c>
      <c r="C728" s="5" t="s">
        <v>2056</v>
      </c>
      <c r="D728" s="5" t="s">
        <v>3407</v>
      </c>
      <c r="E728" s="5" t="s">
        <v>34</v>
      </c>
      <c r="F728" s="5" t="s">
        <v>34</v>
      </c>
      <c r="G728" s="5" t="s">
        <v>36</v>
      </c>
      <c r="H728" s="5" t="s">
        <v>35</v>
      </c>
      <c r="I728" s="5" t="s">
        <v>36</v>
      </c>
      <c r="J728" s="6">
        <v>1.0</v>
      </c>
      <c r="K728" s="6" t="s">
        <v>37</v>
      </c>
      <c r="L728" s="6">
        <v>88.0</v>
      </c>
      <c r="M728" s="5" t="s">
        <v>58</v>
      </c>
      <c r="N728" s="5" t="s">
        <v>57</v>
      </c>
      <c r="O728" s="6" t="s">
        <v>40</v>
      </c>
      <c r="P728" s="5" t="s">
        <v>1684</v>
      </c>
      <c r="Q728" s="5"/>
      <c r="R728" s="6" t="s">
        <v>42</v>
      </c>
      <c r="S728" s="5" t="s">
        <v>90</v>
      </c>
      <c r="T728" s="5" t="s">
        <v>61</v>
      </c>
      <c r="U728" s="5" t="s">
        <v>1686</v>
      </c>
      <c r="V728" s="5" t="s">
        <v>44</v>
      </c>
      <c r="W728" s="5" t="s">
        <v>36</v>
      </c>
      <c r="X728" s="5" t="s">
        <v>521</v>
      </c>
      <c r="Y728" s="5" t="s">
        <v>46</v>
      </c>
      <c r="Z728" s="5" t="s">
        <v>47</v>
      </c>
      <c r="AA728" s="5" t="s">
        <v>48</v>
      </c>
      <c r="AB728" s="5" t="s">
        <v>3420</v>
      </c>
      <c r="AC728" s="6" t="s">
        <v>67</v>
      </c>
      <c r="AD728" s="6">
        <v>7146.0</v>
      </c>
    </row>
    <row r="729" ht="56.25" customHeight="1">
      <c r="A729" s="5" t="s">
        <v>3405</v>
      </c>
      <c r="B729" s="6" t="str">
        <f>IMAGE("https://storage.googleapis.com/acdb/miscellaneous/FtrMomCake_Remake_3_0.png")</f>
        <v/>
      </c>
      <c r="C729" s="5" t="s">
        <v>1714</v>
      </c>
      <c r="D729" s="5" t="s">
        <v>3407</v>
      </c>
      <c r="E729" s="5" t="s">
        <v>34</v>
      </c>
      <c r="F729" s="5" t="s">
        <v>34</v>
      </c>
      <c r="G729" s="5" t="s">
        <v>36</v>
      </c>
      <c r="H729" s="5" t="s">
        <v>35</v>
      </c>
      <c r="I729" s="5" t="s">
        <v>36</v>
      </c>
      <c r="J729" s="6">
        <v>1.0</v>
      </c>
      <c r="K729" s="6" t="s">
        <v>37</v>
      </c>
      <c r="L729" s="6">
        <v>88.0</v>
      </c>
      <c r="M729" s="5" t="s">
        <v>57</v>
      </c>
      <c r="N729" s="5" t="s">
        <v>69</v>
      </c>
      <c r="O729" s="6" t="s">
        <v>40</v>
      </c>
      <c r="P729" s="5" t="s">
        <v>1684</v>
      </c>
      <c r="Q729" s="5"/>
      <c r="R729" s="6" t="s">
        <v>42</v>
      </c>
      <c r="S729" s="5" t="s">
        <v>90</v>
      </c>
      <c r="T729" s="5" t="s">
        <v>61</v>
      </c>
      <c r="U729" s="5" t="s">
        <v>1686</v>
      </c>
      <c r="V729" s="5" t="s">
        <v>44</v>
      </c>
      <c r="W729" s="5" t="s">
        <v>36</v>
      </c>
      <c r="X729" s="5" t="s">
        <v>521</v>
      </c>
      <c r="Y729" s="5" t="s">
        <v>46</v>
      </c>
      <c r="Z729" s="5" t="s">
        <v>47</v>
      </c>
      <c r="AA729" s="5" t="s">
        <v>48</v>
      </c>
      <c r="AB729" s="5" t="s">
        <v>3425</v>
      </c>
      <c r="AC729" s="6" t="s">
        <v>71</v>
      </c>
      <c r="AD729" s="6">
        <v>7146.0</v>
      </c>
    </row>
    <row r="730" ht="56.25" customHeight="1">
      <c r="A730" s="5" t="s">
        <v>3405</v>
      </c>
      <c r="B730" s="6" t="str">
        <f>IMAGE("https://storage.googleapis.com/acdb/miscellaneous/FtrMomCake_Remake_4_0.png")</f>
        <v/>
      </c>
      <c r="C730" s="5" t="s">
        <v>1210</v>
      </c>
      <c r="D730" s="5" t="s">
        <v>3407</v>
      </c>
      <c r="E730" s="5" t="s">
        <v>34</v>
      </c>
      <c r="F730" s="5" t="s">
        <v>34</v>
      </c>
      <c r="G730" s="5" t="s">
        <v>36</v>
      </c>
      <c r="H730" s="5" t="s">
        <v>35</v>
      </c>
      <c r="I730" s="5" t="s">
        <v>36</v>
      </c>
      <c r="J730" s="6">
        <v>1.0</v>
      </c>
      <c r="K730" s="6" t="s">
        <v>37</v>
      </c>
      <c r="L730" s="6">
        <v>88.0</v>
      </c>
      <c r="M730" s="5" t="s">
        <v>58</v>
      </c>
      <c r="N730" s="5" t="s">
        <v>68</v>
      </c>
      <c r="O730" s="6" t="s">
        <v>40</v>
      </c>
      <c r="P730" s="5" t="s">
        <v>1684</v>
      </c>
      <c r="Q730" s="5"/>
      <c r="R730" s="6" t="s">
        <v>42</v>
      </c>
      <c r="S730" s="5" t="s">
        <v>90</v>
      </c>
      <c r="T730" s="5" t="s">
        <v>61</v>
      </c>
      <c r="U730" s="5" t="s">
        <v>1686</v>
      </c>
      <c r="V730" s="5" t="s">
        <v>44</v>
      </c>
      <c r="W730" s="5" t="s">
        <v>36</v>
      </c>
      <c r="X730" s="5" t="s">
        <v>521</v>
      </c>
      <c r="Y730" s="5" t="s">
        <v>46</v>
      </c>
      <c r="Z730" s="5" t="s">
        <v>47</v>
      </c>
      <c r="AA730" s="5" t="s">
        <v>48</v>
      </c>
      <c r="AB730" s="5" t="s">
        <v>3431</v>
      </c>
      <c r="AC730" s="6" t="s">
        <v>75</v>
      </c>
      <c r="AD730" s="6">
        <v>7146.0</v>
      </c>
    </row>
    <row r="731" ht="56.25" customHeight="1">
      <c r="A731" s="5" t="s">
        <v>3405</v>
      </c>
      <c r="B731" s="6" t="str">
        <f>IMAGE("https://storage.googleapis.com/acdb/miscellaneous/FtrMomCake_Remake_5_0.png")</f>
        <v/>
      </c>
      <c r="C731" s="5" t="s">
        <v>3256</v>
      </c>
      <c r="D731" s="5" t="s">
        <v>3407</v>
      </c>
      <c r="E731" s="5" t="s">
        <v>34</v>
      </c>
      <c r="F731" s="5" t="s">
        <v>34</v>
      </c>
      <c r="G731" s="5" t="s">
        <v>36</v>
      </c>
      <c r="H731" s="5" t="s">
        <v>35</v>
      </c>
      <c r="I731" s="5" t="s">
        <v>36</v>
      </c>
      <c r="J731" s="6">
        <v>1.0</v>
      </c>
      <c r="K731" s="6" t="s">
        <v>37</v>
      </c>
      <c r="L731" s="6">
        <v>88.0</v>
      </c>
      <c r="M731" s="5" t="s">
        <v>39</v>
      </c>
      <c r="N731" s="5" t="s">
        <v>54</v>
      </c>
      <c r="O731" s="6" t="s">
        <v>40</v>
      </c>
      <c r="P731" s="5" t="s">
        <v>1684</v>
      </c>
      <c r="Q731" s="5"/>
      <c r="R731" s="6" t="s">
        <v>42</v>
      </c>
      <c r="S731" s="5" t="s">
        <v>90</v>
      </c>
      <c r="T731" s="5" t="s">
        <v>61</v>
      </c>
      <c r="U731" s="5" t="s">
        <v>1686</v>
      </c>
      <c r="V731" s="5" t="s">
        <v>44</v>
      </c>
      <c r="W731" s="5" t="s">
        <v>36</v>
      </c>
      <c r="X731" s="5" t="s">
        <v>521</v>
      </c>
      <c r="Y731" s="5" t="s">
        <v>46</v>
      </c>
      <c r="Z731" s="5" t="s">
        <v>47</v>
      </c>
      <c r="AA731" s="5" t="s">
        <v>48</v>
      </c>
      <c r="AB731" s="5" t="s">
        <v>3435</v>
      </c>
      <c r="AC731" s="6" t="s">
        <v>79</v>
      </c>
      <c r="AD731" s="6">
        <v>7146.0</v>
      </c>
    </row>
    <row r="732" ht="56.25" customHeight="1">
      <c r="A732" s="5" t="s">
        <v>3436</v>
      </c>
      <c r="B732" s="6" t="str">
        <f>IMAGE("https://storage.googleapis.com/acdb/miscellaneous/FtrMomPenstand_Remake_0_0.png")</f>
        <v/>
      </c>
      <c r="C732" s="5" t="s">
        <v>3437</v>
      </c>
      <c r="D732" s="5" t="s">
        <v>373</v>
      </c>
      <c r="E732" s="5" t="s">
        <v>34</v>
      </c>
      <c r="F732" s="5" t="s">
        <v>34</v>
      </c>
      <c r="G732" s="5" t="s">
        <v>36</v>
      </c>
      <c r="H732" s="5" t="s">
        <v>35</v>
      </c>
      <c r="I732" s="5" t="s">
        <v>36</v>
      </c>
      <c r="J732" s="6">
        <v>1.0</v>
      </c>
      <c r="K732" s="6" t="s">
        <v>37</v>
      </c>
      <c r="L732" s="6">
        <v>88.0</v>
      </c>
      <c r="M732" s="5" t="s">
        <v>58</v>
      </c>
      <c r="N732" s="5" t="s">
        <v>52</v>
      </c>
      <c r="O732" s="6" t="s">
        <v>40</v>
      </c>
      <c r="P732" s="5" t="s">
        <v>1684</v>
      </c>
      <c r="Q732" s="5"/>
      <c r="R732" s="6" t="s">
        <v>42</v>
      </c>
      <c r="S732" s="5" t="s">
        <v>90</v>
      </c>
      <c r="T732" s="5" t="s">
        <v>61</v>
      </c>
      <c r="U732" s="5" t="s">
        <v>1686</v>
      </c>
      <c r="V732" s="5" t="s">
        <v>44</v>
      </c>
      <c r="W732" s="5" t="s">
        <v>36</v>
      </c>
      <c r="X732" s="5" t="s">
        <v>203</v>
      </c>
      <c r="Y732" s="5" t="s">
        <v>46</v>
      </c>
      <c r="Z732" s="5" t="s">
        <v>47</v>
      </c>
      <c r="AA732" s="5" t="s">
        <v>48</v>
      </c>
      <c r="AB732" s="5" t="s">
        <v>3441</v>
      </c>
      <c r="AC732" s="6" t="s">
        <v>50</v>
      </c>
      <c r="AD732" s="6">
        <v>7141.0</v>
      </c>
    </row>
    <row r="733" ht="56.25" customHeight="1">
      <c r="A733" s="5" t="s">
        <v>3436</v>
      </c>
      <c r="B733" s="6" t="str">
        <f>IMAGE("https://storage.googleapis.com/acdb/miscellaneous/FtrMomPenstand_Remake_1_0.png")</f>
        <v/>
      </c>
      <c r="C733" s="5" t="s">
        <v>3444</v>
      </c>
      <c r="D733" s="5" t="s">
        <v>373</v>
      </c>
      <c r="E733" s="5" t="s">
        <v>34</v>
      </c>
      <c r="F733" s="5" t="s">
        <v>34</v>
      </c>
      <c r="G733" s="5" t="s">
        <v>36</v>
      </c>
      <c r="H733" s="5" t="s">
        <v>35</v>
      </c>
      <c r="I733" s="5" t="s">
        <v>36</v>
      </c>
      <c r="J733" s="6">
        <v>1.0</v>
      </c>
      <c r="K733" s="6" t="s">
        <v>37</v>
      </c>
      <c r="L733" s="6">
        <v>88.0</v>
      </c>
      <c r="M733" s="5" t="s">
        <v>58</v>
      </c>
      <c r="N733" s="5" t="s">
        <v>142</v>
      </c>
      <c r="O733" s="6" t="s">
        <v>40</v>
      </c>
      <c r="P733" s="5" t="s">
        <v>1684</v>
      </c>
      <c r="Q733" s="5"/>
      <c r="R733" s="6" t="s">
        <v>42</v>
      </c>
      <c r="S733" s="5" t="s">
        <v>90</v>
      </c>
      <c r="T733" s="5" t="s">
        <v>61</v>
      </c>
      <c r="U733" s="5" t="s">
        <v>1686</v>
      </c>
      <c r="V733" s="5" t="s">
        <v>44</v>
      </c>
      <c r="W733" s="5" t="s">
        <v>36</v>
      </c>
      <c r="X733" s="5" t="s">
        <v>203</v>
      </c>
      <c r="Y733" s="5" t="s">
        <v>46</v>
      </c>
      <c r="Z733" s="5" t="s">
        <v>47</v>
      </c>
      <c r="AA733" s="5" t="s">
        <v>48</v>
      </c>
      <c r="AB733" s="5" t="s">
        <v>3448</v>
      </c>
      <c r="AC733" s="6" t="s">
        <v>56</v>
      </c>
      <c r="AD733" s="6">
        <v>7141.0</v>
      </c>
    </row>
    <row r="734" ht="56.25" customHeight="1">
      <c r="A734" s="5" t="s">
        <v>3436</v>
      </c>
      <c r="B734" s="6" t="str">
        <f>IMAGE("https://storage.googleapis.com/acdb/miscellaneous/FtrMomPenstand_Remake_2_0.png")</f>
        <v/>
      </c>
      <c r="C734" s="5" t="s">
        <v>3449</v>
      </c>
      <c r="D734" s="5" t="s">
        <v>373</v>
      </c>
      <c r="E734" s="5" t="s">
        <v>34</v>
      </c>
      <c r="F734" s="5" t="s">
        <v>34</v>
      </c>
      <c r="G734" s="5" t="s">
        <v>36</v>
      </c>
      <c r="H734" s="5" t="s">
        <v>35</v>
      </c>
      <c r="I734" s="5" t="s">
        <v>36</v>
      </c>
      <c r="J734" s="6">
        <v>1.0</v>
      </c>
      <c r="K734" s="6" t="s">
        <v>37</v>
      </c>
      <c r="L734" s="6">
        <v>88.0</v>
      </c>
      <c r="M734" s="5" t="s">
        <v>58</v>
      </c>
      <c r="N734" s="5" t="s">
        <v>39</v>
      </c>
      <c r="O734" s="6" t="s">
        <v>40</v>
      </c>
      <c r="P734" s="5" t="s">
        <v>1684</v>
      </c>
      <c r="Q734" s="5"/>
      <c r="R734" s="6" t="s">
        <v>42</v>
      </c>
      <c r="S734" s="5" t="s">
        <v>90</v>
      </c>
      <c r="T734" s="5" t="s">
        <v>61</v>
      </c>
      <c r="U734" s="5" t="s">
        <v>1686</v>
      </c>
      <c r="V734" s="5" t="s">
        <v>44</v>
      </c>
      <c r="W734" s="5" t="s">
        <v>36</v>
      </c>
      <c r="X734" s="5" t="s">
        <v>203</v>
      </c>
      <c r="Y734" s="5" t="s">
        <v>46</v>
      </c>
      <c r="Z734" s="5" t="s">
        <v>47</v>
      </c>
      <c r="AA734" s="5" t="s">
        <v>48</v>
      </c>
      <c r="AB734" s="5" t="s">
        <v>3455</v>
      </c>
      <c r="AC734" s="6" t="s">
        <v>67</v>
      </c>
      <c r="AD734" s="6">
        <v>7141.0</v>
      </c>
    </row>
    <row r="735" ht="56.25" customHeight="1">
      <c r="A735" s="5" t="s">
        <v>3436</v>
      </c>
      <c r="B735" s="6" t="str">
        <f>IMAGE("https://storage.googleapis.com/acdb/miscellaneous/FtrMomPenstand_Remake_3_0.png")</f>
        <v/>
      </c>
      <c r="C735" s="5" t="s">
        <v>3456</v>
      </c>
      <c r="D735" s="5" t="s">
        <v>373</v>
      </c>
      <c r="E735" s="5" t="s">
        <v>34</v>
      </c>
      <c r="F735" s="5" t="s">
        <v>34</v>
      </c>
      <c r="G735" s="5" t="s">
        <v>36</v>
      </c>
      <c r="H735" s="5" t="s">
        <v>35</v>
      </c>
      <c r="I735" s="5" t="s">
        <v>36</v>
      </c>
      <c r="J735" s="6">
        <v>1.0</v>
      </c>
      <c r="K735" s="6" t="s">
        <v>37</v>
      </c>
      <c r="L735" s="6">
        <v>88.0</v>
      </c>
      <c r="M735" s="5" t="s">
        <v>58</v>
      </c>
      <c r="N735" s="5" t="s">
        <v>69</v>
      </c>
      <c r="O735" s="6" t="s">
        <v>40</v>
      </c>
      <c r="P735" s="5" t="s">
        <v>1684</v>
      </c>
      <c r="Q735" s="5"/>
      <c r="R735" s="6" t="s">
        <v>42</v>
      </c>
      <c r="S735" s="5" t="s">
        <v>90</v>
      </c>
      <c r="T735" s="5" t="s">
        <v>61</v>
      </c>
      <c r="U735" s="5" t="s">
        <v>1686</v>
      </c>
      <c r="V735" s="5" t="s">
        <v>44</v>
      </c>
      <c r="W735" s="5" t="s">
        <v>36</v>
      </c>
      <c r="X735" s="5" t="s">
        <v>203</v>
      </c>
      <c r="Y735" s="5" t="s">
        <v>46</v>
      </c>
      <c r="Z735" s="5" t="s">
        <v>47</v>
      </c>
      <c r="AA735" s="5" t="s">
        <v>48</v>
      </c>
      <c r="AB735" s="5" t="s">
        <v>3460</v>
      </c>
      <c r="AC735" s="6" t="s">
        <v>71</v>
      </c>
      <c r="AD735" s="6">
        <v>7141.0</v>
      </c>
    </row>
    <row r="736" ht="56.25" customHeight="1">
      <c r="A736" s="5" t="s">
        <v>3436</v>
      </c>
      <c r="B736" s="6" t="str">
        <f>IMAGE("https://storage.googleapis.com/acdb/miscellaneous/FtrMomPenstand_Remake_4_0.png")</f>
        <v/>
      </c>
      <c r="C736" s="5" t="s">
        <v>3461</v>
      </c>
      <c r="D736" s="5" t="s">
        <v>373</v>
      </c>
      <c r="E736" s="5" t="s">
        <v>34</v>
      </c>
      <c r="F736" s="5" t="s">
        <v>34</v>
      </c>
      <c r="G736" s="5" t="s">
        <v>36</v>
      </c>
      <c r="H736" s="5" t="s">
        <v>35</v>
      </c>
      <c r="I736" s="5" t="s">
        <v>36</v>
      </c>
      <c r="J736" s="6">
        <v>1.0</v>
      </c>
      <c r="K736" s="6" t="s">
        <v>37</v>
      </c>
      <c r="L736" s="6">
        <v>88.0</v>
      </c>
      <c r="M736" s="5" t="s">
        <v>58</v>
      </c>
      <c r="N736" s="5" t="s">
        <v>142</v>
      </c>
      <c r="O736" s="6" t="s">
        <v>40</v>
      </c>
      <c r="P736" s="5" t="s">
        <v>1684</v>
      </c>
      <c r="Q736" s="5"/>
      <c r="R736" s="6" t="s">
        <v>42</v>
      </c>
      <c r="S736" s="5" t="s">
        <v>90</v>
      </c>
      <c r="T736" s="5" t="s">
        <v>61</v>
      </c>
      <c r="U736" s="5" t="s">
        <v>1686</v>
      </c>
      <c r="V736" s="5" t="s">
        <v>44</v>
      </c>
      <c r="W736" s="5" t="s">
        <v>36</v>
      </c>
      <c r="X736" s="5" t="s">
        <v>203</v>
      </c>
      <c r="Y736" s="5" t="s">
        <v>46</v>
      </c>
      <c r="Z736" s="5" t="s">
        <v>47</v>
      </c>
      <c r="AA736" s="5" t="s">
        <v>48</v>
      </c>
      <c r="AB736" s="5" t="s">
        <v>3465</v>
      </c>
      <c r="AC736" s="6" t="s">
        <v>75</v>
      </c>
      <c r="AD736" s="6">
        <v>7141.0</v>
      </c>
    </row>
    <row r="737" ht="56.25" customHeight="1">
      <c r="A737" s="5" t="s">
        <v>3436</v>
      </c>
      <c r="B737" s="6" t="str">
        <f>IMAGE("https://storage.googleapis.com/acdb/miscellaneous/FtrMomPenstand_Remake_5_0.png")</f>
        <v/>
      </c>
      <c r="C737" s="5" t="s">
        <v>3466</v>
      </c>
      <c r="D737" s="5" t="s">
        <v>373</v>
      </c>
      <c r="E737" s="5" t="s">
        <v>34</v>
      </c>
      <c r="F737" s="5" t="s">
        <v>34</v>
      </c>
      <c r="G737" s="5" t="s">
        <v>36</v>
      </c>
      <c r="H737" s="5" t="s">
        <v>35</v>
      </c>
      <c r="I737" s="5" t="s">
        <v>36</v>
      </c>
      <c r="J737" s="6">
        <v>1.0</v>
      </c>
      <c r="K737" s="6" t="s">
        <v>37</v>
      </c>
      <c r="L737" s="6">
        <v>88.0</v>
      </c>
      <c r="M737" s="5" t="s">
        <v>38</v>
      </c>
      <c r="N737" s="5" t="s">
        <v>39</v>
      </c>
      <c r="O737" s="6" t="s">
        <v>40</v>
      </c>
      <c r="P737" s="5" t="s">
        <v>1684</v>
      </c>
      <c r="Q737" s="5"/>
      <c r="R737" s="6" t="s">
        <v>42</v>
      </c>
      <c r="S737" s="5" t="s">
        <v>90</v>
      </c>
      <c r="T737" s="5" t="s">
        <v>61</v>
      </c>
      <c r="U737" s="5" t="s">
        <v>1686</v>
      </c>
      <c r="V737" s="5" t="s">
        <v>44</v>
      </c>
      <c r="W737" s="5" t="s">
        <v>36</v>
      </c>
      <c r="X737" s="5" t="s">
        <v>203</v>
      </c>
      <c r="Y737" s="5" t="s">
        <v>46</v>
      </c>
      <c r="Z737" s="5" t="s">
        <v>47</v>
      </c>
      <c r="AA737" s="5" t="s">
        <v>48</v>
      </c>
      <c r="AB737" s="5" t="s">
        <v>3470</v>
      </c>
      <c r="AC737" s="6" t="s">
        <v>79</v>
      </c>
      <c r="AD737" s="6">
        <v>7141.0</v>
      </c>
    </row>
    <row r="738" ht="56.25" customHeight="1">
      <c r="A738" s="5" t="s">
        <v>3471</v>
      </c>
      <c r="B738" s="6" t="str">
        <f>IMAGE("https://storage.googleapis.com/acdb/miscellaneous/FtrMomDoll_Remake_0_0.png")</f>
        <v/>
      </c>
      <c r="C738" s="5" t="s">
        <v>3472</v>
      </c>
      <c r="D738" s="5" t="s">
        <v>0</v>
      </c>
      <c r="E738" s="5" t="s">
        <v>34</v>
      </c>
      <c r="F738" s="5" t="s">
        <v>34</v>
      </c>
      <c r="G738" s="5" t="s">
        <v>36</v>
      </c>
      <c r="H738" s="5" t="s">
        <v>35</v>
      </c>
      <c r="I738" s="5" t="s">
        <v>36</v>
      </c>
      <c r="J738" s="6">
        <v>1.0</v>
      </c>
      <c r="K738" s="6" t="s">
        <v>37</v>
      </c>
      <c r="L738" s="6">
        <v>88.0</v>
      </c>
      <c r="M738" s="5" t="s">
        <v>57</v>
      </c>
      <c r="N738" s="5" t="s">
        <v>96</v>
      </c>
      <c r="O738" s="6" t="s">
        <v>40</v>
      </c>
      <c r="P738" s="5" t="s">
        <v>1684</v>
      </c>
      <c r="Q738" s="5"/>
      <c r="R738" s="6" t="s">
        <v>42</v>
      </c>
      <c r="S738" s="5" t="s">
        <v>90</v>
      </c>
      <c r="T738" s="5" t="s">
        <v>61</v>
      </c>
      <c r="U738" s="5" t="s">
        <v>1686</v>
      </c>
      <c r="V738" s="5" t="s">
        <v>44</v>
      </c>
      <c r="W738" s="5" t="s">
        <v>36</v>
      </c>
      <c r="X738" s="5" t="s">
        <v>356</v>
      </c>
      <c r="Y738" s="5" t="s">
        <v>46</v>
      </c>
      <c r="Z738" s="5" t="s">
        <v>47</v>
      </c>
      <c r="AA738" s="5" t="s">
        <v>48</v>
      </c>
      <c r="AB738" s="5" t="s">
        <v>3476</v>
      </c>
      <c r="AC738" s="6" t="s">
        <v>50</v>
      </c>
      <c r="AD738" s="6">
        <v>7147.0</v>
      </c>
    </row>
    <row r="739" ht="56.25" customHeight="1">
      <c r="A739" s="5" t="s">
        <v>3471</v>
      </c>
      <c r="B739" s="6" t="str">
        <f>IMAGE("https://storage.googleapis.com/acdb/miscellaneous/FtrMomDoll_Remake_1_0.png")</f>
        <v/>
      </c>
      <c r="C739" s="5" t="s">
        <v>3478</v>
      </c>
      <c r="D739" s="5" t="s">
        <v>0</v>
      </c>
      <c r="E739" s="5" t="s">
        <v>34</v>
      </c>
      <c r="F739" s="5" t="s">
        <v>34</v>
      </c>
      <c r="G739" s="5" t="s">
        <v>36</v>
      </c>
      <c r="H739" s="5" t="s">
        <v>35</v>
      </c>
      <c r="I739" s="5" t="s">
        <v>36</v>
      </c>
      <c r="J739" s="6">
        <v>1.0</v>
      </c>
      <c r="K739" s="6" t="s">
        <v>37</v>
      </c>
      <c r="L739" s="6">
        <v>88.0</v>
      </c>
      <c r="M739" s="5" t="s">
        <v>95</v>
      </c>
      <c r="N739" s="5" t="s">
        <v>114</v>
      </c>
      <c r="O739" s="6" t="s">
        <v>40</v>
      </c>
      <c r="P739" s="5" t="s">
        <v>1684</v>
      </c>
      <c r="Q739" s="5"/>
      <c r="R739" s="6" t="s">
        <v>42</v>
      </c>
      <c r="S739" s="5" t="s">
        <v>90</v>
      </c>
      <c r="T739" s="5" t="s">
        <v>61</v>
      </c>
      <c r="U739" s="5" t="s">
        <v>1686</v>
      </c>
      <c r="V739" s="5" t="s">
        <v>44</v>
      </c>
      <c r="W739" s="5" t="s">
        <v>36</v>
      </c>
      <c r="X739" s="5" t="s">
        <v>356</v>
      </c>
      <c r="Y739" s="5" t="s">
        <v>46</v>
      </c>
      <c r="Z739" s="5" t="s">
        <v>47</v>
      </c>
      <c r="AA739" s="5" t="s">
        <v>48</v>
      </c>
      <c r="AB739" s="5" t="s">
        <v>3481</v>
      </c>
      <c r="AC739" s="6" t="s">
        <v>56</v>
      </c>
      <c r="AD739" s="6">
        <v>7147.0</v>
      </c>
    </row>
    <row r="740" ht="56.25" customHeight="1">
      <c r="A740" s="5" t="s">
        <v>3471</v>
      </c>
      <c r="B740" s="6" t="str">
        <f>IMAGE("https://storage.googleapis.com/acdb/miscellaneous/FtrMomDoll_Remake_2_0.png")</f>
        <v/>
      </c>
      <c r="C740" s="5" t="s">
        <v>3484</v>
      </c>
      <c r="D740" s="5" t="s">
        <v>0</v>
      </c>
      <c r="E740" s="5" t="s">
        <v>34</v>
      </c>
      <c r="F740" s="5" t="s">
        <v>34</v>
      </c>
      <c r="G740" s="5" t="s">
        <v>36</v>
      </c>
      <c r="H740" s="5" t="s">
        <v>35</v>
      </c>
      <c r="I740" s="5" t="s">
        <v>36</v>
      </c>
      <c r="J740" s="6">
        <v>1.0</v>
      </c>
      <c r="K740" s="6" t="s">
        <v>37</v>
      </c>
      <c r="L740" s="6">
        <v>88.0</v>
      </c>
      <c r="M740" s="5" t="s">
        <v>39</v>
      </c>
      <c r="N740" s="5" t="s">
        <v>142</v>
      </c>
      <c r="O740" s="6" t="s">
        <v>40</v>
      </c>
      <c r="P740" s="5" t="s">
        <v>1684</v>
      </c>
      <c r="Q740" s="5"/>
      <c r="R740" s="6" t="s">
        <v>42</v>
      </c>
      <c r="S740" s="5" t="s">
        <v>90</v>
      </c>
      <c r="T740" s="5" t="s">
        <v>61</v>
      </c>
      <c r="U740" s="5" t="s">
        <v>1686</v>
      </c>
      <c r="V740" s="5" t="s">
        <v>44</v>
      </c>
      <c r="W740" s="5" t="s">
        <v>36</v>
      </c>
      <c r="X740" s="5" t="s">
        <v>356</v>
      </c>
      <c r="Y740" s="5" t="s">
        <v>46</v>
      </c>
      <c r="Z740" s="5" t="s">
        <v>47</v>
      </c>
      <c r="AA740" s="5" t="s">
        <v>48</v>
      </c>
      <c r="AB740" s="5" t="s">
        <v>3488</v>
      </c>
      <c r="AC740" s="6" t="s">
        <v>67</v>
      </c>
      <c r="AD740" s="6">
        <v>7147.0</v>
      </c>
    </row>
    <row r="741" ht="56.25" customHeight="1">
      <c r="A741" s="5" t="s">
        <v>3471</v>
      </c>
      <c r="B741" s="6" t="str">
        <f>IMAGE("https://storage.googleapis.com/acdb/miscellaneous/FtrMomDoll_Remake_3_0.png")</f>
        <v/>
      </c>
      <c r="C741" s="5" t="s">
        <v>3491</v>
      </c>
      <c r="D741" s="5" t="s">
        <v>0</v>
      </c>
      <c r="E741" s="5" t="s">
        <v>34</v>
      </c>
      <c r="F741" s="5" t="s">
        <v>34</v>
      </c>
      <c r="G741" s="5" t="s">
        <v>36</v>
      </c>
      <c r="H741" s="5" t="s">
        <v>35</v>
      </c>
      <c r="I741" s="5" t="s">
        <v>36</v>
      </c>
      <c r="J741" s="6">
        <v>1.0</v>
      </c>
      <c r="K741" s="6" t="s">
        <v>37</v>
      </c>
      <c r="L741" s="6">
        <v>88.0</v>
      </c>
      <c r="M741" s="5" t="s">
        <v>69</v>
      </c>
      <c r="N741" s="5" t="s">
        <v>114</v>
      </c>
      <c r="O741" s="6" t="s">
        <v>40</v>
      </c>
      <c r="P741" s="5" t="s">
        <v>1684</v>
      </c>
      <c r="Q741" s="5"/>
      <c r="R741" s="6" t="s">
        <v>42</v>
      </c>
      <c r="S741" s="5" t="s">
        <v>90</v>
      </c>
      <c r="T741" s="5" t="s">
        <v>61</v>
      </c>
      <c r="U741" s="5" t="s">
        <v>1686</v>
      </c>
      <c r="V741" s="5" t="s">
        <v>44</v>
      </c>
      <c r="W741" s="5" t="s">
        <v>36</v>
      </c>
      <c r="X741" s="5" t="s">
        <v>356</v>
      </c>
      <c r="Y741" s="5" t="s">
        <v>46</v>
      </c>
      <c r="Z741" s="5" t="s">
        <v>47</v>
      </c>
      <c r="AA741" s="5" t="s">
        <v>48</v>
      </c>
      <c r="AB741" s="5" t="s">
        <v>3495</v>
      </c>
      <c r="AC741" s="6" t="s">
        <v>71</v>
      </c>
      <c r="AD741" s="6">
        <v>7147.0</v>
      </c>
    </row>
    <row r="742" ht="56.25" customHeight="1">
      <c r="A742" s="5" t="s">
        <v>3471</v>
      </c>
      <c r="B742" s="6" t="str">
        <f>IMAGE("https://storage.googleapis.com/acdb/miscellaneous/FtrMomDoll_Remake_4_0.png")</f>
        <v/>
      </c>
      <c r="C742" s="5" t="s">
        <v>3498</v>
      </c>
      <c r="D742" s="5" t="s">
        <v>0</v>
      </c>
      <c r="E742" s="5" t="s">
        <v>34</v>
      </c>
      <c r="F742" s="5" t="s">
        <v>34</v>
      </c>
      <c r="G742" s="5" t="s">
        <v>36</v>
      </c>
      <c r="H742" s="5" t="s">
        <v>35</v>
      </c>
      <c r="I742" s="5" t="s">
        <v>36</v>
      </c>
      <c r="J742" s="6">
        <v>1.0</v>
      </c>
      <c r="K742" s="6" t="s">
        <v>37</v>
      </c>
      <c r="L742" s="6">
        <v>88.0</v>
      </c>
      <c r="M742" s="5" t="s">
        <v>96</v>
      </c>
      <c r="N742" s="5" t="s">
        <v>114</v>
      </c>
      <c r="O742" s="6" t="s">
        <v>40</v>
      </c>
      <c r="P742" s="5" t="s">
        <v>1684</v>
      </c>
      <c r="Q742" s="5"/>
      <c r="R742" s="6" t="s">
        <v>42</v>
      </c>
      <c r="S742" s="5" t="s">
        <v>90</v>
      </c>
      <c r="T742" s="5" t="s">
        <v>61</v>
      </c>
      <c r="U742" s="5" t="s">
        <v>1686</v>
      </c>
      <c r="V742" s="5" t="s">
        <v>44</v>
      </c>
      <c r="W742" s="5" t="s">
        <v>36</v>
      </c>
      <c r="X742" s="5" t="s">
        <v>356</v>
      </c>
      <c r="Y742" s="5" t="s">
        <v>46</v>
      </c>
      <c r="Z742" s="5" t="s">
        <v>47</v>
      </c>
      <c r="AA742" s="5" t="s">
        <v>48</v>
      </c>
      <c r="AB742" s="5" t="s">
        <v>3500</v>
      </c>
      <c r="AC742" s="6" t="s">
        <v>75</v>
      </c>
      <c r="AD742" s="6">
        <v>7147.0</v>
      </c>
    </row>
    <row r="743" ht="56.25" customHeight="1">
      <c r="A743" s="5" t="s">
        <v>3471</v>
      </c>
      <c r="B743" s="6" t="str">
        <f>IMAGE("https://storage.googleapis.com/acdb/miscellaneous/FtrMomDoll_Remake_5_0.png")</f>
        <v/>
      </c>
      <c r="C743" s="5" t="s">
        <v>3504</v>
      </c>
      <c r="D743" s="5" t="s">
        <v>0</v>
      </c>
      <c r="E743" s="5" t="s">
        <v>34</v>
      </c>
      <c r="F743" s="5" t="s">
        <v>34</v>
      </c>
      <c r="G743" s="5" t="s">
        <v>36</v>
      </c>
      <c r="H743" s="5" t="s">
        <v>35</v>
      </c>
      <c r="I743" s="5" t="s">
        <v>36</v>
      </c>
      <c r="J743" s="6">
        <v>1.0</v>
      </c>
      <c r="K743" s="6" t="s">
        <v>37</v>
      </c>
      <c r="L743" s="6">
        <v>88.0</v>
      </c>
      <c r="M743" s="5" t="s">
        <v>68</v>
      </c>
      <c r="N743" s="5" t="s">
        <v>58</v>
      </c>
      <c r="O743" s="6" t="s">
        <v>40</v>
      </c>
      <c r="P743" s="5" t="s">
        <v>1684</v>
      </c>
      <c r="Q743" s="5"/>
      <c r="R743" s="6" t="s">
        <v>42</v>
      </c>
      <c r="S743" s="5" t="s">
        <v>90</v>
      </c>
      <c r="T743" s="5" t="s">
        <v>61</v>
      </c>
      <c r="U743" s="5" t="s">
        <v>1686</v>
      </c>
      <c r="V743" s="5" t="s">
        <v>44</v>
      </c>
      <c r="W743" s="5" t="s">
        <v>36</v>
      </c>
      <c r="X743" s="5" t="s">
        <v>356</v>
      </c>
      <c r="Y743" s="5" t="s">
        <v>46</v>
      </c>
      <c r="Z743" s="5" t="s">
        <v>47</v>
      </c>
      <c r="AA743" s="5" t="s">
        <v>48</v>
      </c>
      <c r="AB743" s="5" t="s">
        <v>3505</v>
      </c>
      <c r="AC743" s="6" t="s">
        <v>79</v>
      </c>
      <c r="AD743" s="6">
        <v>7147.0</v>
      </c>
    </row>
    <row r="744" ht="56.25" customHeight="1">
      <c r="A744" s="5" t="s">
        <v>3507</v>
      </c>
      <c r="B744" s="6" t="str">
        <f>IMAGE("https://storage.googleapis.com/acdb/miscellaneous/FtrMomPot_Remake_0_0.png")</f>
        <v/>
      </c>
      <c r="C744" s="5" t="s">
        <v>3509</v>
      </c>
      <c r="D744" s="5" t="s">
        <v>373</v>
      </c>
      <c r="E744" s="5" t="s">
        <v>34</v>
      </c>
      <c r="F744" s="5" t="s">
        <v>34</v>
      </c>
      <c r="G744" s="5" t="s">
        <v>36</v>
      </c>
      <c r="H744" s="5" t="s">
        <v>35</v>
      </c>
      <c r="I744" s="5" t="s">
        <v>36</v>
      </c>
      <c r="J744" s="6">
        <v>1.0</v>
      </c>
      <c r="K744" s="6" t="s">
        <v>37</v>
      </c>
      <c r="L744" s="6">
        <v>88.0</v>
      </c>
      <c r="M744" s="5" t="s">
        <v>58</v>
      </c>
      <c r="N744" s="5" t="s">
        <v>52</v>
      </c>
      <c r="O744" s="6" t="s">
        <v>40</v>
      </c>
      <c r="P744" s="5" t="s">
        <v>1684</v>
      </c>
      <c r="Q744" s="5"/>
      <c r="R744" s="6" t="s">
        <v>42</v>
      </c>
      <c r="S744" s="5" t="s">
        <v>90</v>
      </c>
      <c r="T744" s="5" t="s">
        <v>61</v>
      </c>
      <c r="U744" s="5" t="s">
        <v>1686</v>
      </c>
      <c r="V744" s="5" t="s">
        <v>44</v>
      </c>
      <c r="W744" s="5" t="s">
        <v>36</v>
      </c>
      <c r="X744" s="5" t="s">
        <v>521</v>
      </c>
      <c r="Y744" s="5" t="s">
        <v>46</v>
      </c>
      <c r="Z744" s="5" t="s">
        <v>47</v>
      </c>
      <c r="AA744" s="5" t="s">
        <v>48</v>
      </c>
      <c r="AB744" s="5" t="s">
        <v>3512</v>
      </c>
      <c r="AC744" s="6" t="s">
        <v>50</v>
      </c>
      <c r="AD744" s="6">
        <v>7138.0</v>
      </c>
    </row>
    <row r="745" ht="56.25" customHeight="1">
      <c r="A745" s="5" t="s">
        <v>3507</v>
      </c>
      <c r="B745" s="6" t="str">
        <f>IMAGE("https://storage.googleapis.com/acdb/miscellaneous/FtrMomPot_Remake_1_0.png")</f>
        <v/>
      </c>
      <c r="C745" s="5" t="s">
        <v>3514</v>
      </c>
      <c r="D745" s="5" t="s">
        <v>373</v>
      </c>
      <c r="E745" s="5" t="s">
        <v>34</v>
      </c>
      <c r="F745" s="5" t="s">
        <v>34</v>
      </c>
      <c r="G745" s="5" t="s">
        <v>36</v>
      </c>
      <c r="H745" s="5" t="s">
        <v>35</v>
      </c>
      <c r="I745" s="5" t="s">
        <v>36</v>
      </c>
      <c r="J745" s="6">
        <v>1.0</v>
      </c>
      <c r="K745" s="6" t="s">
        <v>37</v>
      </c>
      <c r="L745" s="6">
        <v>88.0</v>
      </c>
      <c r="M745" s="5" t="s">
        <v>96</v>
      </c>
      <c r="N745" s="5" t="s">
        <v>57</v>
      </c>
      <c r="O745" s="6" t="s">
        <v>40</v>
      </c>
      <c r="P745" s="5" t="s">
        <v>1684</v>
      </c>
      <c r="Q745" s="5"/>
      <c r="R745" s="6" t="s">
        <v>42</v>
      </c>
      <c r="S745" s="5" t="s">
        <v>90</v>
      </c>
      <c r="T745" s="5" t="s">
        <v>61</v>
      </c>
      <c r="U745" s="5" t="s">
        <v>1686</v>
      </c>
      <c r="V745" s="5" t="s">
        <v>44</v>
      </c>
      <c r="W745" s="5" t="s">
        <v>36</v>
      </c>
      <c r="X745" s="5" t="s">
        <v>521</v>
      </c>
      <c r="Y745" s="5" t="s">
        <v>46</v>
      </c>
      <c r="Z745" s="5" t="s">
        <v>47</v>
      </c>
      <c r="AA745" s="5" t="s">
        <v>48</v>
      </c>
      <c r="AB745" s="5" t="s">
        <v>3518</v>
      </c>
      <c r="AC745" s="6" t="s">
        <v>56</v>
      </c>
      <c r="AD745" s="6">
        <v>7138.0</v>
      </c>
    </row>
    <row r="746" ht="56.25" customHeight="1">
      <c r="A746" s="5" t="s">
        <v>3507</v>
      </c>
      <c r="B746" s="6" t="str">
        <f>IMAGE("https://storage.googleapis.com/acdb/miscellaneous/FtrMomPot_Remake_2_0.png")</f>
        <v/>
      </c>
      <c r="C746" s="5" t="s">
        <v>400</v>
      </c>
      <c r="D746" s="5" t="s">
        <v>373</v>
      </c>
      <c r="E746" s="5" t="s">
        <v>34</v>
      </c>
      <c r="F746" s="5" t="s">
        <v>34</v>
      </c>
      <c r="G746" s="5" t="s">
        <v>36</v>
      </c>
      <c r="H746" s="5" t="s">
        <v>35</v>
      </c>
      <c r="I746" s="5" t="s">
        <v>36</v>
      </c>
      <c r="J746" s="6">
        <v>1.0</v>
      </c>
      <c r="K746" s="6" t="s">
        <v>37</v>
      </c>
      <c r="L746" s="6">
        <v>88.0</v>
      </c>
      <c r="M746" s="5" t="s">
        <v>58</v>
      </c>
      <c r="N746" s="5" t="s">
        <v>114</v>
      </c>
      <c r="O746" s="6" t="s">
        <v>40</v>
      </c>
      <c r="P746" s="5" t="s">
        <v>1684</v>
      </c>
      <c r="Q746" s="5"/>
      <c r="R746" s="6" t="s">
        <v>42</v>
      </c>
      <c r="S746" s="5" t="s">
        <v>90</v>
      </c>
      <c r="T746" s="5" t="s">
        <v>61</v>
      </c>
      <c r="U746" s="5" t="s">
        <v>1686</v>
      </c>
      <c r="V746" s="5" t="s">
        <v>44</v>
      </c>
      <c r="W746" s="5" t="s">
        <v>36</v>
      </c>
      <c r="X746" s="5" t="s">
        <v>521</v>
      </c>
      <c r="Y746" s="5" t="s">
        <v>46</v>
      </c>
      <c r="Z746" s="5" t="s">
        <v>47</v>
      </c>
      <c r="AA746" s="5" t="s">
        <v>48</v>
      </c>
      <c r="AB746" s="5" t="s">
        <v>3522</v>
      </c>
      <c r="AC746" s="6" t="s">
        <v>67</v>
      </c>
      <c r="AD746" s="6">
        <v>7138.0</v>
      </c>
    </row>
    <row r="747" ht="56.25" customHeight="1">
      <c r="A747" s="5" t="s">
        <v>3507</v>
      </c>
      <c r="B747" s="6" t="str">
        <f>IMAGE("https://storage.googleapis.com/acdb/miscellaneous/FtrMomPot_Remake_3_0.png")</f>
        <v/>
      </c>
      <c r="C747" s="5" t="s">
        <v>69</v>
      </c>
      <c r="D747" s="5" t="s">
        <v>373</v>
      </c>
      <c r="E747" s="5" t="s">
        <v>34</v>
      </c>
      <c r="F747" s="5" t="s">
        <v>34</v>
      </c>
      <c r="G747" s="5" t="s">
        <v>36</v>
      </c>
      <c r="H747" s="5" t="s">
        <v>35</v>
      </c>
      <c r="I747" s="5" t="s">
        <v>36</v>
      </c>
      <c r="J747" s="6">
        <v>1.0</v>
      </c>
      <c r="K747" s="6" t="s">
        <v>37</v>
      </c>
      <c r="L747" s="6">
        <v>88.0</v>
      </c>
      <c r="M747" s="5" t="s">
        <v>58</v>
      </c>
      <c r="N747" s="5" t="s">
        <v>69</v>
      </c>
      <c r="O747" s="6" t="s">
        <v>40</v>
      </c>
      <c r="P747" s="5" t="s">
        <v>1684</v>
      </c>
      <c r="Q747" s="5"/>
      <c r="R747" s="6" t="s">
        <v>42</v>
      </c>
      <c r="S747" s="5" t="s">
        <v>90</v>
      </c>
      <c r="T747" s="5" t="s">
        <v>61</v>
      </c>
      <c r="U747" s="5" t="s">
        <v>1686</v>
      </c>
      <c r="V747" s="5" t="s">
        <v>44</v>
      </c>
      <c r="W747" s="5" t="s">
        <v>36</v>
      </c>
      <c r="X747" s="5" t="s">
        <v>521</v>
      </c>
      <c r="Y747" s="5" t="s">
        <v>46</v>
      </c>
      <c r="Z747" s="5" t="s">
        <v>47</v>
      </c>
      <c r="AA747" s="5" t="s">
        <v>48</v>
      </c>
      <c r="AB747" s="5" t="s">
        <v>3526</v>
      </c>
      <c r="AC747" s="6" t="s">
        <v>71</v>
      </c>
      <c r="AD747" s="6">
        <v>7138.0</v>
      </c>
    </row>
    <row r="748" ht="56.25" customHeight="1">
      <c r="A748" s="5" t="s">
        <v>3507</v>
      </c>
      <c r="B748" s="6" t="str">
        <f>IMAGE("https://storage.googleapis.com/acdb/miscellaneous/FtrMomPot_Remake_4_0.png")</f>
        <v/>
      </c>
      <c r="C748" s="5" t="s">
        <v>3528</v>
      </c>
      <c r="D748" s="5" t="s">
        <v>373</v>
      </c>
      <c r="E748" s="5" t="s">
        <v>34</v>
      </c>
      <c r="F748" s="5" t="s">
        <v>34</v>
      </c>
      <c r="G748" s="5" t="s">
        <v>36</v>
      </c>
      <c r="H748" s="5" t="s">
        <v>35</v>
      </c>
      <c r="I748" s="5" t="s">
        <v>36</v>
      </c>
      <c r="J748" s="6">
        <v>1.0</v>
      </c>
      <c r="K748" s="6" t="s">
        <v>37</v>
      </c>
      <c r="L748" s="6">
        <v>88.0</v>
      </c>
      <c r="M748" s="5" t="s">
        <v>83</v>
      </c>
      <c r="N748" s="5" t="s">
        <v>83</v>
      </c>
      <c r="O748" s="6" t="s">
        <v>40</v>
      </c>
      <c r="P748" s="5" t="s">
        <v>1684</v>
      </c>
      <c r="Q748" s="5"/>
      <c r="R748" s="6" t="s">
        <v>42</v>
      </c>
      <c r="S748" s="5" t="s">
        <v>90</v>
      </c>
      <c r="T748" s="5" t="s">
        <v>61</v>
      </c>
      <c r="U748" s="5" t="s">
        <v>1686</v>
      </c>
      <c r="V748" s="5" t="s">
        <v>44</v>
      </c>
      <c r="W748" s="5" t="s">
        <v>36</v>
      </c>
      <c r="X748" s="5" t="s">
        <v>521</v>
      </c>
      <c r="Y748" s="5" t="s">
        <v>46</v>
      </c>
      <c r="Z748" s="5" t="s">
        <v>47</v>
      </c>
      <c r="AA748" s="5" t="s">
        <v>48</v>
      </c>
      <c r="AB748" s="5" t="s">
        <v>3531</v>
      </c>
      <c r="AC748" s="6" t="s">
        <v>75</v>
      </c>
      <c r="AD748" s="6">
        <v>7138.0</v>
      </c>
    </row>
    <row r="749" ht="56.25" customHeight="1">
      <c r="A749" s="5" t="s">
        <v>3507</v>
      </c>
      <c r="B749" s="6" t="str">
        <f>IMAGE("https://storage.googleapis.com/acdb/miscellaneous/FtrMomPot_Remake_5_0.png")</f>
        <v/>
      </c>
      <c r="C749" s="5" t="s">
        <v>3533</v>
      </c>
      <c r="D749" s="5" t="s">
        <v>373</v>
      </c>
      <c r="E749" s="5" t="s">
        <v>34</v>
      </c>
      <c r="F749" s="5" t="s">
        <v>34</v>
      </c>
      <c r="G749" s="5" t="s">
        <v>36</v>
      </c>
      <c r="H749" s="5" t="s">
        <v>35</v>
      </c>
      <c r="I749" s="5" t="s">
        <v>36</v>
      </c>
      <c r="J749" s="6">
        <v>1.0</v>
      </c>
      <c r="K749" s="6" t="s">
        <v>37</v>
      </c>
      <c r="L749" s="6">
        <v>88.0</v>
      </c>
      <c r="M749" s="5" t="s">
        <v>58</v>
      </c>
      <c r="N749" s="5" t="s">
        <v>54</v>
      </c>
      <c r="O749" s="6" t="s">
        <v>40</v>
      </c>
      <c r="P749" s="5" t="s">
        <v>1684</v>
      </c>
      <c r="Q749" s="5"/>
      <c r="R749" s="6" t="s">
        <v>42</v>
      </c>
      <c r="S749" s="5" t="s">
        <v>90</v>
      </c>
      <c r="T749" s="5" t="s">
        <v>61</v>
      </c>
      <c r="U749" s="5" t="s">
        <v>1686</v>
      </c>
      <c r="V749" s="5" t="s">
        <v>44</v>
      </c>
      <c r="W749" s="5" t="s">
        <v>36</v>
      </c>
      <c r="X749" s="5" t="s">
        <v>521</v>
      </c>
      <c r="Y749" s="5" t="s">
        <v>46</v>
      </c>
      <c r="Z749" s="5" t="s">
        <v>47</v>
      </c>
      <c r="AA749" s="5" t="s">
        <v>48</v>
      </c>
      <c r="AB749" s="5" t="s">
        <v>3536</v>
      </c>
      <c r="AC749" s="6" t="s">
        <v>79</v>
      </c>
      <c r="AD749" s="6">
        <v>7138.0</v>
      </c>
    </row>
    <row r="750" ht="56.25" customHeight="1">
      <c r="A750" s="5" t="s">
        <v>3537</v>
      </c>
      <c r="B750" s="6" t="str">
        <f>IMAGE("https://storage.googleapis.com/acdb/miscellaneous/FtrMomTissue_Remake_0_0.png")</f>
        <v/>
      </c>
      <c r="C750" s="5" t="s">
        <v>3539</v>
      </c>
      <c r="D750" s="5" t="s">
        <v>3372</v>
      </c>
      <c r="E750" s="5" t="s">
        <v>34</v>
      </c>
      <c r="F750" s="5" t="s">
        <v>34</v>
      </c>
      <c r="G750" s="5" t="s">
        <v>36</v>
      </c>
      <c r="H750" s="5" t="s">
        <v>35</v>
      </c>
      <c r="I750" s="5" t="s">
        <v>36</v>
      </c>
      <c r="J750" s="6">
        <v>1.0</v>
      </c>
      <c r="K750" s="6" t="s">
        <v>37</v>
      </c>
      <c r="L750" s="6">
        <v>88.0</v>
      </c>
      <c r="M750" s="5" t="s">
        <v>58</v>
      </c>
      <c r="N750" s="5" t="s">
        <v>57</v>
      </c>
      <c r="O750" s="6" t="s">
        <v>40</v>
      </c>
      <c r="P750" s="5" t="s">
        <v>1684</v>
      </c>
      <c r="Q750" s="5"/>
      <c r="R750" s="6" t="s">
        <v>42</v>
      </c>
      <c r="S750" s="5" t="s">
        <v>90</v>
      </c>
      <c r="T750" s="5" t="s">
        <v>61</v>
      </c>
      <c r="U750" s="5" t="s">
        <v>1686</v>
      </c>
      <c r="V750" s="5" t="s">
        <v>44</v>
      </c>
      <c r="W750" s="5" t="s">
        <v>36</v>
      </c>
      <c r="X750" s="5" t="s">
        <v>432</v>
      </c>
      <c r="Y750" s="5" t="s">
        <v>46</v>
      </c>
      <c r="Z750" s="5" t="s">
        <v>47</v>
      </c>
      <c r="AA750" s="5" t="s">
        <v>48</v>
      </c>
      <c r="AB750" s="5" t="s">
        <v>3545</v>
      </c>
      <c r="AC750" s="6" t="s">
        <v>50</v>
      </c>
      <c r="AD750" s="6">
        <v>7140.0</v>
      </c>
    </row>
    <row r="751" ht="56.25" customHeight="1">
      <c r="A751" s="5" t="s">
        <v>3537</v>
      </c>
      <c r="B751" s="6" t="str">
        <f>IMAGE("https://storage.googleapis.com/acdb/miscellaneous/FtrMomTissue_Remake_1_0.png")</f>
        <v/>
      </c>
      <c r="C751" s="5" t="s">
        <v>1726</v>
      </c>
      <c r="D751" s="5" t="s">
        <v>3372</v>
      </c>
      <c r="E751" s="5" t="s">
        <v>34</v>
      </c>
      <c r="F751" s="5" t="s">
        <v>34</v>
      </c>
      <c r="G751" s="5" t="s">
        <v>36</v>
      </c>
      <c r="H751" s="5" t="s">
        <v>35</v>
      </c>
      <c r="I751" s="5" t="s">
        <v>36</v>
      </c>
      <c r="J751" s="6">
        <v>1.0</v>
      </c>
      <c r="K751" s="6" t="s">
        <v>37</v>
      </c>
      <c r="L751" s="6">
        <v>88.0</v>
      </c>
      <c r="M751" s="5" t="s">
        <v>57</v>
      </c>
      <c r="N751" s="5" t="s">
        <v>57</v>
      </c>
      <c r="O751" s="6" t="s">
        <v>40</v>
      </c>
      <c r="P751" s="5" t="s">
        <v>1684</v>
      </c>
      <c r="Q751" s="5"/>
      <c r="R751" s="6" t="s">
        <v>42</v>
      </c>
      <c r="S751" s="5" t="s">
        <v>90</v>
      </c>
      <c r="T751" s="5" t="s">
        <v>61</v>
      </c>
      <c r="U751" s="5" t="s">
        <v>1686</v>
      </c>
      <c r="V751" s="5" t="s">
        <v>44</v>
      </c>
      <c r="W751" s="5" t="s">
        <v>36</v>
      </c>
      <c r="X751" s="5" t="s">
        <v>432</v>
      </c>
      <c r="Y751" s="5" t="s">
        <v>46</v>
      </c>
      <c r="Z751" s="5" t="s">
        <v>47</v>
      </c>
      <c r="AA751" s="5" t="s">
        <v>48</v>
      </c>
      <c r="AB751" s="5" t="s">
        <v>3549</v>
      </c>
      <c r="AC751" s="6" t="s">
        <v>56</v>
      </c>
      <c r="AD751" s="6">
        <v>7140.0</v>
      </c>
    </row>
    <row r="752" ht="56.25" customHeight="1">
      <c r="A752" s="5" t="s">
        <v>3537</v>
      </c>
      <c r="B752" s="6" t="str">
        <f>IMAGE("https://storage.googleapis.com/acdb/miscellaneous/FtrMomTissue_Remake_2_0.png")</f>
        <v/>
      </c>
      <c r="C752" s="5" t="s">
        <v>3551</v>
      </c>
      <c r="D752" s="5" t="s">
        <v>3372</v>
      </c>
      <c r="E752" s="5" t="s">
        <v>34</v>
      </c>
      <c r="F752" s="5" t="s">
        <v>34</v>
      </c>
      <c r="G752" s="5" t="s">
        <v>36</v>
      </c>
      <c r="H752" s="5" t="s">
        <v>35</v>
      </c>
      <c r="I752" s="5" t="s">
        <v>36</v>
      </c>
      <c r="J752" s="6">
        <v>1.0</v>
      </c>
      <c r="K752" s="6" t="s">
        <v>37</v>
      </c>
      <c r="L752" s="6">
        <v>88.0</v>
      </c>
      <c r="M752" s="5" t="s">
        <v>58</v>
      </c>
      <c r="N752" s="5" t="s">
        <v>57</v>
      </c>
      <c r="O752" s="6" t="s">
        <v>40</v>
      </c>
      <c r="P752" s="5" t="s">
        <v>1684</v>
      </c>
      <c r="Q752" s="5"/>
      <c r="R752" s="6" t="s">
        <v>42</v>
      </c>
      <c r="S752" s="5" t="s">
        <v>90</v>
      </c>
      <c r="T752" s="5" t="s">
        <v>61</v>
      </c>
      <c r="U752" s="5" t="s">
        <v>1686</v>
      </c>
      <c r="V752" s="5" t="s">
        <v>44</v>
      </c>
      <c r="W752" s="5" t="s">
        <v>36</v>
      </c>
      <c r="X752" s="5" t="s">
        <v>432</v>
      </c>
      <c r="Y752" s="5" t="s">
        <v>46</v>
      </c>
      <c r="Z752" s="5" t="s">
        <v>47</v>
      </c>
      <c r="AA752" s="5" t="s">
        <v>48</v>
      </c>
      <c r="AB752" s="5" t="s">
        <v>3554</v>
      </c>
      <c r="AC752" s="6" t="s">
        <v>67</v>
      </c>
      <c r="AD752" s="6">
        <v>7140.0</v>
      </c>
    </row>
    <row r="753" ht="56.25" customHeight="1">
      <c r="A753" s="5" t="s">
        <v>3537</v>
      </c>
      <c r="B753" s="6" t="str">
        <f>IMAGE("https://storage.googleapis.com/acdb/miscellaneous/FtrMomTissue_Remake_3_0.png")</f>
        <v/>
      </c>
      <c r="C753" s="5" t="s">
        <v>3556</v>
      </c>
      <c r="D753" s="5" t="s">
        <v>3372</v>
      </c>
      <c r="E753" s="5" t="s">
        <v>34</v>
      </c>
      <c r="F753" s="5" t="s">
        <v>34</v>
      </c>
      <c r="G753" s="5" t="s">
        <v>36</v>
      </c>
      <c r="H753" s="5" t="s">
        <v>35</v>
      </c>
      <c r="I753" s="5" t="s">
        <v>36</v>
      </c>
      <c r="J753" s="6">
        <v>1.0</v>
      </c>
      <c r="K753" s="6" t="s">
        <v>37</v>
      </c>
      <c r="L753" s="6">
        <v>88.0</v>
      </c>
      <c r="M753" s="5" t="s">
        <v>58</v>
      </c>
      <c r="N753" s="5" t="s">
        <v>57</v>
      </c>
      <c r="O753" s="6" t="s">
        <v>40</v>
      </c>
      <c r="P753" s="5" t="s">
        <v>1684</v>
      </c>
      <c r="Q753" s="5"/>
      <c r="R753" s="6" t="s">
        <v>42</v>
      </c>
      <c r="S753" s="5" t="s">
        <v>90</v>
      </c>
      <c r="T753" s="5" t="s">
        <v>61</v>
      </c>
      <c r="U753" s="5" t="s">
        <v>1686</v>
      </c>
      <c r="V753" s="5" t="s">
        <v>44</v>
      </c>
      <c r="W753" s="5" t="s">
        <v>36</v>
      </c>
      <c r="X753" s="5" t="s">
        <v>432</v>
      </c>
      <c r="Y753" s="5" t="s">
        <v>46</v>
      </c>
      <c r="Z753" s="5" t="s">
        <v>47</v>
      </c>
      <c r="AA753" s="5" t="s">
        <v>48</v>
      </c>
      <c r="AB753" s="5" t="s">
        <v>3560</v>
      </c>
      <c r="AC753" s="6" t="s">
        <v>71</v>
      </c>
      <c r="AD753" s="6">
        <v>7140.0</v>
      </c>
    </row>
    <row r="754" ht="56.25" customHeight="1">
      <c r="A754" s="5" t="s">
        <v>3537</v>
      </c>
      <c r="B754" s="6" t="str">
        <f>IMAGE("https://storage.googleapis.com/acdb/miscellaneous/FtrMomTissue_Remake_4_0.png")</f>
        <v/>
      </c>
      <c r="C754" s="5" t="s">
        <v>1006</v>
      </c>
      <c r="D754" s="5" t="s">
        <v>3372</v>
      </c>
      <c r="E754" s="5" t="s">
        <v>34</v>
      </c>
      <c r="F754" s="5" t="s">
        <v>34</v>
      </c>
      <c r="G754" s="5" t="s">
        <v>36</v>
      </c>
      <c r="H754" s="5" t="s">
        <v>35</v>
      </c>
      <c r="I754" s="5" t="s">
        <v>36</v>
      </c>
      <c r="J754" s="6">
        <v>1.0</v>
      </c>
      <c r="K754" s="6" t="s">
        <v>37</v>
      </c>
      <c r="L754" s="6">
        <v>88.0</v>
      </c>
      <c r="M754" s="5" t="s">
        <v>58</v>
      </c>
      <c r="N754" s="5" t="s">
        <v>57</v>
      </c>
      <c r="O754" s="6" t="s">
        <v>40</v>
      </c>
      <c r="P754" s="5" t="s">
        <v>1684</v>
      </c>
      <c r="Q754" s="5"/>
      <c r="R754" s="6" t="s">
        <v>42</v>
      </c>
      <c r="S754" s="5" t="s">
        <v>90</v>
      </c>
      <c r="T754" s="5" t="s">
        <v>61</v>
      </c>
      <c r="U754" s="5" t="s">
        <v>1686</v>
      </c>
      <c r="V754" s="5" t="s">
        <v>44</v>
      </c>
      <c r="W754" s="5" t="s">
        <v>36</v>
      </c>
      <c r="X754" s="5" t="s">
        <v>432</v>
      </c>
      <c r="Y754" s="5" t="s">
        <v>46</v>
      </c>
      <c r="Z754" s="5" t="s">
        <v>47</v>
      </c>
      <c r="AA754" s="5" t="s">
        <v>48</v>
      </c>
      <c r="AB754" s="5" t="s">
        <v>3565</v>
      </c>
      <c r="AC754" s="6" t="s">
        <v>75</v>
      </c>
      <c r="AD754" s="6">
        <v>7140.0</v>
      </c>
    </row>
    <row r="755" ht="56.25" customHeight="1">
      <c r="A755" s="5" t="s">
        <v>3537</v>
      </c>
      <c r="B755" s="6" t="str">
        <f>IMAGE("https://storage.googleapis.com/acdb/miscellaneous/FtrMomTissue_Remake_5_0.png")</f>
        <v/>
      </c>
      <c r="C755" s="5" t="s">
        <v>3568</v>
      </c>
      <c r="D755" s="5" t="s">
        <v>3372</v>
      </c>
      <c r="E755" s="5" t="s">
        <v>34</v>
      </c>
      <c r="F755" s="5" t="s">
        <v>34</v>
      </c>
      <c r="G755" s="5" t="s">
        <v>36</v>
      </c>
      <c r="H755" s="5" t="s">
        <v>35</v>
      </c>
      <c r="I755" s="5" t="s">
        <v>36</v>
      </c>
      <c r="J755" s="6">
        <v>1.0</v>
      </c>
      <c r="K755" s="6" t="s">
        <v>37</v>
      </c>
      <c r="L755" s="6">
        <v>88.0</v>
      </c>
      <c r="M755" s="5" t="s">
        <v>58</v>
      </c>
      <c r="N755" s="5" t="s">
        <v>57</v>
      </c>
      <c r="O755" s="6" t="s">
        <v>40</v>
      </c>
      <c r="P755" s="5" t="s">
        <v>1684</v>
      </c>
      <c r="Q755" s="5"/>
      <c r="R755" s="6" t="s">
        <v>42</v>
      </c>
      <c r="S755" s="5" t="s">
        <v>90</v>
      </c>
      <c r="T755" s="5" t="s">
        <v>61</v>
      </c>
      <c r="U755" s="5" t="s">
        <v>1686</v>
      </c>
      <c r="V755" s="5" t="s">
        <v>44</v>
      </c>
      <c r="W755" s="5" t="s">
        <v>36</v>
      </c>
      <c r="X755" s="5" t="s">
        <v>432</v>
      </c>
      <c r="Y755" s="5" t="s">
        <v>46</v>
      </c>
      <c r="Z755" s="5" t="s">
        <v>47</v>
      </c>
      <c r="AA755" s="5" t="s">
        <v>48</v>
      </c>
      <c r="AB755" s="5" t="s">
        <v>3570</v>
      </c>
      <c r="AC755" s="6" t="s">
        <v>79</v>
      </c>
      <c r="AD755" s="6">
        <v>7140.0</v>
      </c>
    </row>
    <row r="756" ht="56.25" customHeight="1">
      <c r="A756" s="5" t="s">
        <v>3572</v>
      </c>
      <c r="B756" s="16" t="str">
        <f>IMAGE("https://storage.googleapis.com/acdb/miscellaneous/FtrInsectOhkabamadaraToy.png")</f>
        <v/>
      </c>
      <c r="C756" s="5" t="s">
        <v>34</v>
      </c>
      <c r="D756" s="5" t="s">
        <v>34</v>
      </c>
      <c r="E756" s="5" t="s">
        <v>34</v>
      </c>
      <c r="F756" s="5" t="s">
        <v>34</v>
      </c>
      <c r="G756" s="5" t="s">
        <v>36</v>
      </c>
      <c r="H756" s="5" t="s">
        <v>36</v>
      </c>
      <c r="I756" s="5" t="s">
        <v>36</v>
      </c>
      <c r="J756" s="6" t="s">
        <v>34</v>
      </c>
      <c r="K756" s="6" t="s">
        <v>37</v>
      </c>
      <c r="L756" s="6">
        <v>420.0</v>
      </c>
      <c r="M756" s="5" t="s">
        <v>142</v>
      </c>
      <c r="N756" s="5" t="s">
        <v>142</v>
      </c>
      <c r="O756" s="6" t="s">
        <v>40</v>
      </c>
      <c r="P756" s="5" t="s">
        <v>107</v>
      </c>
      <c r="Q756" s="5" t="s">
        <v>108</v>
      </c>
      <c r="R756" s="6" t="s">
        <v>42</v>
      </c>
      <c r="S756" s="5" t="s">
        <v>44</v>
      </c>
      <c r="T756" s="5" t="s">
        <v>44</v>
      </c>
      <c r="U756" s="5" t="s">
        <v>44</v>
      </c>
      <c r="V756" s="5" t="s">
        <v>44</v>
      </c>
      <c r="W756" s="5" t="s">
        <v>36</v>
      </c>
      <c r="X756" s="5" t="s">
        <v>109</v>
      </c>
      <c r="Y756" s="5" t="s">
        <v>46</v>
      </c>
      <c r="Z756" s="5" t="s">
        <v>47</v>
      </c>
      <c r="AA756" s="5" t="s">
        <v>48</v>
      </c>
      <c r="AB756" s="5" t="s">
        <v>3577</v>
      </c>
      <c r="AC756" s="6" t="s">
        <v>34</v>
      </c>
      <c r="AD756" s="6">
        <v>7091.0</v>
      </c>
    </row>
    <row r="757" ht="56.25" customHeight="1">
      <c r="A757" s="5" t="s">
        <v>3578</v>
      </c>
      <c r="B757" s="16" t="str">
        <f>IMAGE("https://storage.googleapis.com/acdb/miscellaneous/FtrFishUtsuboToy.png")</f>
        <v/>
      </c>
      <c r="C757" s="5" t="s">
        <v>34</v>
      </c>
      <c r="D757" s="5" t="s">
        <v>34</v>
      </c>
      <c r="E757" s="5" t="s">
        <v>34</v>
      </c>
      <c r="F757" s="5" t="s">
        <v>34</v>
      </c>
      <c r="G757" s="5" t="s">
        <v>36</v>
      </c>
      <c r="H757" s="5" t="s">
        <v>36</v>
      </c>
      <c r="I757" s="5" t="s">
        <v>36</v>
      </c>
      <c r="J757" s="6" t="s">
        <v>34</v>
      </c>
      <c r="K757" s="6" t="s">
        <v>37</v>
      </c>
      <c r="L757" s="6">
        <v>6000.0</v>
      </c>
      <c r="M757" s="5" t="s">
        <v>39</v>
      </c>
      <c r="N757" s="5" t="s">
        <v>54</v>
      </c>
      <c r="O757" s="6" t="s">
        <v>40</v>
      </c>
      <c r="P757" s="5" t="s">
        <v>213</v>
      </c>
      <c r="Q757" s="5" t="s">
        <v>215</v>
      </c>
      <c r="R757" s="6" t="s">
        <v>42</v>
      </c>
      <c r="S757" s="5" t="s">
        <v>44</v>
      </c>
      <c r="T757" s="5" t="s">
        <v>44</v>
      </c>
      <c r="U757" s="5" t="s">
        <v>44</v>
      </c>
      <c r="V757" s="5" t="s">
        <v>44</v>
      </c>
      <c r="W757" s="5" t="s">
        <v>36</v>
      </c>
      <c r="X757" s="5" t="s">
        <v>219</v>
      </c>
      <c r="Y757" s="5" t="s">
        <v>46</v>
      </c>
      <c r="Z757" s="5" t="s">
        <v>47</v>
      </c>
      <c r="AA757" s="5" t="s">
        <v>48</v>
      </c>
      <c r="AB757" s="5" t="s">
        <v>3582</v>
      </c>
      <c r="AC757" s="6" t="s">
        <v>34</v>
      </c>
      <c r="AD757" s="6">
        <v>7025.0</v>
      </c>
    </row>
    <row r="758" ht="56.25" customHeight="1">
      <c r="A758" s="5" t="s">
        <v>3583</v>
      </c>
      <c r="B758" s="16" t="str">
        <f>IMAGE("https://storage.googleapis.com/acdb/miscellaneous/FtrInsectKaToy.png")</f>
        <v/>
      </c>
      <c r="C758" s="5" t="s">
        <v>34</v>
      </c>
      <c r="D758" s="5" t="s">
        <v>34</v>
      </c>
      <c r="E758" s="5" t="s">
        <v>34</v>
      </c>
      <c r="F758" s="5" t="s">
        <v>34</v>
      </c>
      <c r="G758" s="5" t="s">
        <v>36</v>
      </c>
      <c r="H758" s="5" t="s">
        <v>36</v>
      </c>
      <c r="I758" s="5" t="s">
        <v>36</v>
      </c>
      <c r="J758" s="6" t="s">
        <v>34</v>
      </c>
      <c r="K758" s="6" t="s">
        <v>37</v>
      </c>
      <c r="L758" s="6">
        <v>390.0</v>
      </c>
      <c r="M758" s="5" t="s">
        <v>54</v>
      </c>
      <c r="N758" s="5" t="s">
        <v>54</v>
      </c>
      <c r="O758" s="6" t="s">
        <v>40</v>
      </c>
      <c r="P758" s="5" t="s">
        <v>107</v>
      </c>
      <c r="Q758" s="5" t="s">
        <v>108</v>
      </c>
      <c r="R758" s="6" t="s">
        <v>42</v>
      </c>
      <c r="S758" s="5" t="s">
        <v>44</v>
      </c>
      <c r="T758" s="5" t="s">
        <v>44</v>
      </c>
      <c r="U758" s="5" t="s">
        <v>44</v>
      </c>
      <c r="V758" s="5" t="s">
        <v>44</v>
      </c>
      <c r="W758" s="5" t="s">
        <v>36</v>
      </c>
      <c r="X758" s="5" t="s">
        <v>109</v>
      </c>
      <c r="Y758" s="5" t="s">
        <v>46</v>
      </c>
      <c r="Z758" s="5" t="s">
        <v>47</v>
      </c>
      <c r="AA758" s="5" t="s">
        <v>48</v>
      </c>
      <c r="AB758" s="5" t="s">
        <v>3588</v>
      </c>
      <c r="AC758" s="6" t="s">
        <v>34</v>
      </c>
      <c r="AD758" s="6">
        <v>5936.0</v>
      </c>
    </row>
    <row r="759" ht="56.25" customHeight="1">
      <c r="A759" s="5" t="s">
        <v>3590</v>
      </c>
      <c r="B759" s="16" t="str">
        <f>IMAGE("https://storage.googleapis.com/acdb/miscellaneous/FtrBonsaiKokedama.png")</f>
        <v/>
      </c>
      <c r="C759" s="5" t="s">
        <v>34</v>
      </c>
      <c r="D759" s="5" t="s">
        <v>34</v>
      </c>
      <c r="E759" s="5" t="s">
        <v>34</v>
      </c>
      <c r="F759" s="5" t="s">
        <v>34</v>
      </c>
      <c r="G759" s="5" t="s">
        <v>36</v>
      </c>
      <c r="H759" s="5" t="s">
        <v>36</v>
      </c>
      <c r="I759" s="5" t="s">
        <v>36</v>
      </c>
      <c r="J759" s="6" t="s">
        <v>34</v>
      </c>
      <c r="K759" s="6">
        <v>720.0</v>
      </c>
      <c r="L759" s="6">
        <v>180.0</v>
      </c>
      <c r="M759" s="5" t="s">
        <v>96</v>
      </c>
      <c r="N759" s="5" t="s">
        <v>96</v>
      </c>
      <c r="O759" s="6" t="s">
        <v>40</v>
      </c>
      <c r="P759" s="5" t="s">
        <v>59</v>
      </c>
      <c r="Q759" s="5" t="s">
        <v>60</v>
      </c>
      <c r="R759" s="6" t="s">
        <v>42</v>
      </c>
      <c r="S759" s="5" t="s">
        <v>266</v>
      </c>
      <c r="T759" s="5" t="s">
        <v>44</v>
      </c>
      <c r="U759" s="5" t="s">
        <v>44</v>
      </c>
      <c r="V759" s="5" t="s">
        <v>44</v>
      </c>
      <c r="W759" s="5" t="s">
        <v>36</v>
      </c>
      <c r="X759" s="5" t="s">
        <v>244</v>
      </c>
      <c r="Y759" s="5" t="s">
        <v>46</v>
      </c>
      <c r="Z759" s="5" t="s">
        <v>47</v>
      </c>
      <c r="AA759" s="5" t="s">
        <v>64</v>
      </c>
      <c r="AB759" s="5" t="s">
        <v>3594</v>
      </c>
      <c r="AC759" s="6" t="s">
        <v>34</v>
      </c>
      <c r="AD759" s="6">
        <v>109.0</v>
      </c>
    </row>
    <row r="760" ht="56.25" customHeight="1">
      <c r="A760" s="5" t="s">
        <v>3595</v>
      </c>
      <c r="B760" s="16" t="str">
        <f>IMAGE("https://storage.googleapis.com/acdb/miscellaneous/FtrInsectGaToy.png")</f>
        <v/>
      </c>
      <c r="C760" s="5" t="s">
        <v>34</v>
      </c>
      <c r="D760" s="5" t="s">
        <v>34</v>
      </c>
      <c r="E760" s="5" t="s">
        <v>34</v>
      </c>
      <c r="F760" s="5" t="s">
        <v>34</v>
      </c>
      <c r="G760" s="5" t="s">
        <v>36</v>
      </c>
      <c r="H760" s="5" t="s">
        <v>36</v>
      </c>
      <c r="I760" s="5" t="s">
        <v>36</v>
      </c>
      <c r="J760" s="6" t="s">
        <v>34</v>
      </c>
      <c r="K760" s="6" t="s">
        <v>37</v>
      </c>
      <c r="L760" s="6">
        <v>390.0</v>
      </c>
      <c r="M760" s="5" t="s">
        <v>38</v>
      </c>
      <c r="N760" s="5" t="s">
        <v>38</v>
      </c>
      <c r="O760" s="6" t="s">
        <v>40</v>
      </c>
      <c r="P760" s="5" t="s">
        <v>107</v>
      </c>
      <c r="Q760" s="5" t="s">
        <v>108</v>
      </c>
      <c r="R760" s="6" t="s">
        <v>42</v>
      </c>
      <c r="S760" s="5" t="s">
        <v>44</v>
      </c>
      <c r="T760" s="5" t="s">
        <v>44</v>
      </c>
      <c r="U760" s="5" t="s">
        <v>44</v>
      </c>
      <c r="V760" s="5" t="s">
        <v>44</v>
      </c>
      <c r="W760" s="5" t="s">
        <v>36</v>
      </c>
      <c r="X760" s="5" t="s">
        <v>109</v>
      </c>
      <c r="Y760" s="5" t="s">
        <v>46</v>
      </c>
      <c r="Z760" s="5" t="s">
        <v>47</v>
      </c>
      <c r="AA760" s="5" t="s">
        <v>48</v>
      </c>
      <c r="AB760" s="5" t="s">
        <v>3599</v>
      </c>
      <c r="AC760" s="6" t="s">
        <v>34</v>
      </c>
      <c r="AD760" s="6">
        <v>7056.0</v>
      </c>
    </row>
    <row r="761" ht="56.25" customHeight="1">
      <c r="A761" s="5" t="s">
        <v>3600</v>
      </c>
      <c r="B761" s="6" t="str">
        <f>IMAGE("https://storage.googleapis.com/acdb/miscellaneous/FtrMug_Remake_0_0.png")</f>
        <v/>
      </c>
      <c r="C761" s="5" t="s">
        <v>57</v>
      </c>
      <c r="D761" s="5" t="s">
        <v>34</v>
      </c>
      <c r="E761" s="5" t="s">
        <v>811</v>
      </c>
      <c r="F761" s="5" t="s">
        <v>373</v>
      </c>
      <c r="G761" s="5" t="s">
        <v>36</v>
      </c>
      <c r="H761" s="5" t="s">
        <v>36</v>
      </c>
      <c r="I761" s="5" t="s">
        <v>35</v>
      </c>
      <c r="J761" s="6">
        <v>1.0</v>
      </c>
      <c r="K761" s="6">
        <v>460.0</v>
      </c>
      <c r="L761" s="6">
        <v>115.0</v>
      </c>
      <c r="M761" s="5" t="s">
        <v>57</v>
      </c>
      <c r="N761" s="5" t="s">
        <v>57</v>
      </c>
      <c r="O761" s="6" t="s">
        <v>40</v>
      </c>
      <c r="P761" s="5" t="s">
        <v>59</v>
      </c>
      <c r="Q761" s="5" t="s">
        <v>60</v>
      </c>
      <c r="R761" s="6" t="s">
        <v>42</v>
      </c>
      <c r="S761" s="5" t="s">
        <v>159</v>
      </c>
      <c r="T761" s="5" t="s">
        <v>62</v>
      </c>
      <c r="U761" s="5" t="s">
        <v>44</v>
      </c>
      <c r="V761" s="5" t="s">
        <v>44</v>
      </c>
      <c r="W761" s="5" t="s">
        <v>36</v>
      </c>
      <c r="X761" s="5" t="s">
        <v>521</v>
      </c>
      <c r="Y761" s="5" t="s">
        <v>46</v>
      </c>
      <c r="Z761" s="5" t="s">
        <v>47</v>
      </c>
      <c r="AA761" s="5" t="s">
        <v>64</v>
      </c>
      <c r="AB761" s="5" t="s">
        <v>3604</v>
      </c>
      <c r="AC761" s="6" t="s">
        <v>50</v>
      </c>
      <c r="AD761" s="6">
        <v>1870.0</v>
      </c>
    </row>
    <row r="762" ht="56.25" customHeight="1">
      <c r="A762" s="5" t="s">
        <v>3600</v>
      </c>
      <c r="B762" s="6" t="str">
        <f>IMAGE("https://storage.googleapis.com/acdb/miscellaneous/FtrMug_Remake_0_1.png")</f>
        <v/>
      </c>
      <c r="C762" s="5" t="s">
        <v>57</v>
      </c>
      <c r="D762" s="5" t="s">
        <v>34</v>
      </c>
      <c r="E762" s="5" t="s">
        <v>3607</v>
      </c>
      <c r="F762" s="5" t="s">
        <v>373</v>
      </c>
      <c r="G762" s="5" t="s">
        <v>36</v>
      </c>
      <c r="H762" s="5" t="s">
        <v>36</v>
      </c>
      <c r="I762" s="5" t="s">
        <v>35</v>
      </c>
      <c r="J762" s="6">
        <v>1.0</v>
      </c>
      <c r="K762" s="6">
        <v>460.0</v>
      </c>
      <c r="L762" s="6">
        <v>115.0</v>
      </c>
      <c r="M762" s="5" t="s">
        <v>57</v>
      </c>
      <c r="N762" s="5" t="s">
        <v>54</v>
      </c>
      <c r="O762" s="6" t="s">
        <v>40</v>
      </c>
      <c r="P762" s="5" t="s">
        <v>59</v>
      </c>
      <c r="Q762" s="5" t="s">
        <v>60</v>
      </c>
      <c r="R762" s="6" t="s">
        <v>42</v>
      </c>
      <c r="S762" s="5" t="s">
        <v>159</v>
      </c>
      <c r="T762" s="5" t="s">
        <v>62</v>
      </c>
      <c r="U762" s="5" t="s">
        <v>44</v>
      </c>
      <c r="V762" s="5" t="s">
        <v>44</v>
      </c>
      <c r="W762" s="5" t="s">
        <v>36</v>
      </c>
      <c r="X762" s="5" t="s">
        <v>521</v>
      </c>
      <c r="Y762" s="5" t="s">
        <v>46</v>
      </c>
      <c r="Z762" s="5" t="s">
        <v>47</v>
      </c>
      <c r="AA762" s="5" t="s">
        <v>64</v>
      </c>
      <c r="AB762" s="5" t="s">
        <v>3609</v>
      </c>
      <c r="AC762" s="6" t="s">
        <v>217</v>
      </c>
      <c r="AD762" s="6">
        <v>1870.0</v>
      </c>
    </row>
    <row r="763" ht="56.25" customHeight="1">
      <c r="A763" s="5" t="s">
        <v>3600</v>
      </c>
      <c r="B763" s="6" t="str">
        <f>IMAGE("https://storage.googleapis.com/acdb/miscellaneous/FtrMug_Remake_0_2.png")</f>
        <v/>
      </c>
      <c r="C763" s="5" t="s">
        <v>57</v>
      </c>
      <c r="D763" s="5" t="s">
        <v>34</v>
      </c>
      <c r="E763" s="5" t="s">
        <v>3612</v>
      </c>
      <c r="F763" s="5" t="s">
        <v>373</v>
      </c>
      <c r="G763" s="5" t="s">
        <v>36</v>
      </c>
      <c r="H763" s="5" t="s">
        <v>36</v>
      </c>
      <c r="I763" s="5" t="s">
        <v>35</v>
      </c>
      <c r="J763" s="6">
        <v>1.0</v>
      </c>
      <c r="K763" s="6">
        <v>460.0</v>
      </c>
      <c r="L763" s="6">
        <v>115.0</v>
      </c>
      <c r="M763" s="5" t="s">
        <v>57</v>
      </c>
      <c r="N763" s="5" t="s">
        <v>114</v>
      </c>
      <c r="O763" s="6" t="s">
        <v>40</v>
      </c>
      <c r="P763" s="5" t="s">
        <v>59</v>
      </c>
      <c r="Q763" s="5" t="s">
        <v>60</v>
      </c>
      <c r="R763" s="6" t="s">
        <v>42</v>
      </c>
      <c r="S763" s="5" t="s">
        <v>159</v>
      </c>
      <c r="T763" s="5" t="s">
        <v>62</v>
      </c>
      <c r="U763" s="5" t="s">
        <v>44</v>
      </c>
      <c r="V763" s="5" t="s">
        <v>44</v>
      </c>
      <c r="W763" s="5" t="s">
        <v>36</v>
      </c>
      <c r="X763" s="5" t="s">
        <v>521</v>
      </c>
      <c r="Y763" s="5" t="s">
        <v>46</v>
      </c>
      <c r="Z763" s="5" t="s">
        <v>47</v>
      </c>
      <c r="AA763" s="5" t="s">
        <v>64</v>
      </c>
      <c r="AB763" s="5" t="s">
        <v>3616</v>
      </c>
      <c r="AC763" s="6" t="s">
        <v>347</v>
      </c>
      <c r="AD763" s="6">
        <v>1870.0</v>
      </c>
    </row>
    <row r="764" ht="56.25" customHeight="1">
      <c r="A764" s="5" t="s">
        <v>3600</v>
      </c>
      <c r="B764" s="6" t="str">
        <f>IMAGE("https://storage.googleapis.com/acdb/miscellaneous/FtrMug_Remake_0_3.png")</f>
        <v/>
      </c>
      <c r="C764" s="5" t="s">
        <v>57</v>
      </c>
      <c r="D764" s="5" t="s">
        <v>34</v>
      </c>
      <c r="E764" s="5" t="s">
        <v>219</v>
      </c>
      <c r="F764" s="5" t="s">
        <v>373</v>
      </c>
      <c r="G764" s="5" t="s">
        <v>36</v>
      </c>
      <c r="H764" s="5" t="s">
        <v>36</v>
      </c>
      <c r="I764" s="5" t="s">
        <v>35</v>
      </c>
      <c r="J764" s="6">
        <v>1.0</v>
      </c>
      <c r="K764" s="6">
        <v>460.0</v>
      </c>
      <c r="L764" s="6">
        <v>115.0</v>
      </c>
      <c r="M764" s="5" t="s">
        <v>57</v>
      </c>
      <c r="N764" s="5" t="s">
        <v>68</v>
      </c>
      <c r="O764" s="6" t="s">
        <v>40</v>
      </c>
      <c r="P764" s="5" t="s">
        <v>59</v>
      </c>
      <c r="Q764" s="5" t="s">
        <v>60</v>
      </c>
      <c r="R764" s="6" t="s">
        <v>42</v>
      </c>
      <c r="S764" s="5" t="s">
        <v>159</v>
      </c>
      <c r="T764" s="5" t="s">
        <v>62</v>
      </c>
      <c r="U764" s="5" t="s">
        <v>44</v>
      </c>
      <c r="V764" s="5" t="s">
        <v>44</v>
      </c>
      <c r="W764" s="5" t="s">
        <v>36</v>
      </c>
      <c r="X764" s="5" t="s">
        <v>521</v>
      </c>
      <c r="Y764" s="5" t="s">
        <v>46</v>
      </c>
      <c r="Z764" s="5" t="s">
        <v>47</v>
      </c>
      <c r="AA764" s="5" t="s">
        <v>64</v>
      </c>
      <c r="AB764" s="5" t="s">
        <v>3620</v>
      </c>
      <c r="AC764" s="6" t="s">
        <v>354</v>
      </c>
      <c r="AD764" s="6">
        <v>1870.0</v>
      </c>
    </row>
    <row r="765" ht="56.25" customHeight="1">
      <c r="A765" s="5" t="s">
        <v>3600</v>
      </c>
      <c r="B765" s="6" t="str">
        <f>IMAGE("https://storage.googleapis.com/acdb/miscellaneous/FtrMug_Remake_0_4.png")</f>
        <v/>
      </c>
      <c r="C765" s="5" t="s">
        <v>57</v>
      </c>
      <c r="D765" s="5" t="s">
        <v>34</v>
      </c>
      <c r="E765" s="5" t="s">
        <v>2056</v>
      </c>
      <c r="F765" s="5" t="s">
        <v>373</v>
      </c>
      <c r="G765" s="5" t="s">
        <v>36</v>
      </c>
      <c r="H765" s="5" t="s">
        <v>36</v>
      </c>
      <c r="I765" s="5" t="s">
        <v>35</v>
      </c>
      <c r="J765" s="6">
        <v>1.0</v>
      </c>
      <c r="K765" s="6">
        <v>460.0</v>
      </c>
      <c r="L765" s="6">
        <v>115.0</v>
      </c>
      <c r="M765" s="5" t="s">
        <v>57</v>
      </c>
      <c r="N765" s="5" t="s">
        <v>142</v>
      </c>
      <c r="O765" s="6" t="s">
        <v>40</v>
      </c>
      <c r="P765" s="5" t="s">
        <v>59</v>
      </c>
      <c r="Q765" s="5" t="s">
        <v>60</v>
      </c>
      <c r="R765" s="6" t="s">
        <v>42</v>
      </c>
      <c r="S765" s="5" t="s">
        <v>159</v>
      </c>
      <c r="T765" s="5" t="s">
        <v>62</v>
      </c>
      <c r="U765" s="5" t="s">
        <v>44</v>
      </c>
      <c r="V765" s="5" t="s">
        <v>44</v>
      </c>
      <c r="W765" s="5" t="s">
        <v>36</v>
      </c>
      <c r="X765" s="5" t="s">
        <v>521</v>
      </c>
      <c r="Y765" s="5" t="s">
        <v>46</v>
      </c>
      <c r="Z765" s="5" t="s">
        <v>47</v>
      </c>
      <c r="AA765" s="5" t="s">
        <v>64</v>
      </c>
      <c r="AB765" s="5" t="s">
        <v>3624</v>
      </c>
      <c r="AC765" s="6" t="s">
        <v>486</v>
      </c>
      <c r="AD765" s="6">
        <v>1870.0</v>
      </c>
    </row>
    <row r="766" ht="56.25" customHeight="1">
      <c r="A766" s="5" t="s">
        <v>3600</v>
      </c>
      <c r="B766" s="6" t="str">
        <f>IMAGE("https://storage.googleapis.com/acdb/miscellaneous/FtrMug_Remake_0_5.png")</f>
        <v/>
      </c>
      <c r="C766" s="5" t="s">
        <v>57</v>
      </c>
      <c r="D766" s="5" t="s">
        <v>34</v>
      </c>
      <c r="E766" s="5" t="s">
        <v>3626</v>
      </c>
      <c r="F766" s="5" t="s">
        <v>373</v>
      </c>
      <c r="G766" s="5" t="s">
        <v>36</v>
      </c>
      <c r="H766" s="5" t="s">
        <v>36</v>
      </c>
      <c r="I766" s="5" t="s">
        <v>35</v>
      </c>
      <c r="J766" s="6">
        <v>1.0</v>
      </c>
      <c r="K766" s="6">
        <v>460.0</v>
      </c>
      <c r="L766" s="6">
        <v>115.0</v>
      </c>
      <c r="M766" s="5" t="s">
        <v>57</v>
      </c>
      <c r="N766" s="5" t="s">
        <v>114</v>
      </c>
      <c r="O766" s="6" t="s">
        <v>40</v>
      </c>
      <c r="P766" s="5" t="s">
        <v>59</v>
      </c>
      <c r="Q766" s="5" t="s">
        <v>60</v>
      </c>
      <c r="R766" s="6" t="s">
        <v>42</v>
      </c>
      <c r="S766" s="5" t="s">
        <v>159</v>
      </c>
      <c r="T766" s="5" t="s">
        <v>62</v>
      </c>
      <c r="U766" s="5" t="s">
        <v>44</v>
      </c>
      <c r="V766" s="5" t="s">
        <v>44</v>
      </c>
      <c r="W766" s="5" t="s">
        <v>36</v>
      </c>
      <c r="X766" s="5" t="s">
        <v>521</v>
      </c>
      <c r="Y766" s="5" t="s">
        <v>46</v>
      </c>
      <c r="Z766" s="5" t="s">
        <v>47</v>
      </c>
      <c r="AA766" s="5" t="s">
        <v>64</v>
      </c>
      <c r="AB766" s="5" t="s">
        <v>3629</v>
      </c>
      <c r="AC766" s="6" t="s">
        <v>934</v>
      </c>
      <c r="AD766" s="6">
        <v>1870.0</v>
      </c>
    </row>
    <row r="767" ht="56.25" customHeight="1">
      <c r="A767" s="5" t="s">
        <v>3600</v>
      </c>
      <c r="B767" s="6" t="str">
        <f>IMAGE("https://storage.googleapis.com/acdb/miscellaneous/FtrMug_Remake_1_0.png")</f>
        <v/>
      </c>
      <c r="C767" s="5" t="s">
        <v>114</v>
      </c>
      <c r="D767" s="5" t="s">
        <v>34</v>
      </c>
      <c r="E767" s="5" t="s">
        <v>811</v>
      </c>
      <c r="F767" s="5" t="s">
        <v>373</v>
      </c>
      <c r="G767" s="5" t="s">
        <v>36</v>
      </c>
      <c r="H767" s="5" t="s">
        <v>36</v>
      </c>
      <c r="I767" s="5" t="s">
        <v>35</v>
      </c>
      <c r="J767" s="6">
        <v>1.0</v>
      </c>
      <c r="K767" s="6">
        <v>460.0</v>
      </c>
      <c r="L767" s="6">
        <v>115.0</v>
      </c>
      <c r="M767" s="5" t="s">
        <v>114</v>
      </c>
      <c r="N767" s="5" t="s">
        <v>114</v>
      </c>
      <c r="O767" s="6" t="s">
        <v>40</v>
      </c>
      <c r="P767" s="5" t="s">
        <v>59</v>
      </c>
      <c r="Q767" s="5" t="s">
        <v>60</v>
      </c>
      <c r="R767" s="6" t="s">
        <v>42</v>
      </c>
      <c r="S767" s="5" t="s">
        <v>159</v>
      </c>
      <c r="T767" s="5" t="s">
        <v>62</v>
      </c>
      <c r="U767" s="5" t="s">
        <v>44</v>
      </c>
      <c r="V767" s="5" t="s">
        <v>44</v>
      </c>
      <c r="W767" s="5" t="s">
        <v>36</v>
      </c>
      <c r="X767" s="5" t="s">
        <v>521</v>
      </c>
      <c r="Y767" s="5" t="s">
        <v>46</v>
      </c>
      <c r="Z767" s="5" t="s">
        <v>47</v>
      </c>
      <c r="AA767" s="5" t="s">
        <v>64</v>
      </c>
      <c r="AB767" s="5" t="s">
        <v>3634</v>
      </c>
      <c r="AC767" s="6" t="s">
        <v>56</v>
      </c>
      <c r="AD767" s="6">
        <v>1870.0</v>
      </c>
    </row>
    <row r="768" ht="56.25" customHeight="1">
      <c r="A768" s="5" t="s">
        <v>3600</v>
      </c>
      <c r="B768" s="6" t="str">
        <f>IMAGE("https://storage.googleapis.com/acdb/miscellaneous/FtrMug_Remake_1_1.png")</f>
        <v/>
      </c>
      <c r="C768" s="5" t="s">
        <v>114</v>
      </c>
      <c r="D768" s="5" t="s">
        <v>34</v>
      </c>
      <c r="E768" s="5" t="s">
        <v>3607</v>
      </c>
      <c r="F768" s="5" t="s">
        <v>373</v>
      </c>
      <c r="G768" s="5" t="s">
        <v>36</v>
      </c>
      <c r="H768" s="5" t="s">
        <v>36</v>
      </c>
      <c r="I768" s="5" t="s">
        <v>35</v>
      </c>
      <c r="J768" s="6">
        <v>1.0</v>
      </c>
      <c r="K768" s="6">
        <v>460.0</v>
      </c>
      <c r="L768" s="6">
        <v>115.0</v>
      </c>
      <c r="M768" s="5" t="s">
        <v>114</v>
      </c>
      <c r="N768" s="5" t="s">
        <v>54</v>
      </c>
      <c r="O768" s="6" t="s">
        <v>40</v>
      </c>
      <c r="P768" s="5" t="s">
        <v>59</v>
      </c>
      <c r="Q768" s="5" t="s">
        <v>60</v>
      </c>
      <c r="R768" s="6" t="s">
        <v>42</v>
      </c>
      <c r="S768" s="5" t="s">
        <v>159</v>
      </c>
      <c r="T768" s="5" t="s">
        <v>62</v>
      </c>
      <c r="U768" s="5" t="s">
        <v>44</v>
      </c>
      <c r="V768" s="5" t="s">
        <v>44</v>
      </c>
      <c r="W768" s="5" t="s">
        <v>36</v>
      </c>
      <c r="X768" s="5" t="s">
        <v>521</v>
      </c>
      <c r="Y768" s="5" t="s">
        <v>46</v>
      </c>
      <c r="Z768" s="5" t="s">
        <v>47</v>
      </c>
      <c r="AA768" s="5" t="s">
        <v>64</v>
      </c>
      <c r="AB768" s="5" t="s">
        <v>3638</v>
      </c>
      <c r="AC768" s="6" t="s">
        <v>234</v>
      </c>
      <c r="AD768" s="6">
        <v>1870.0</v>
      </c>
    </row>
    <row r="769" ht="56.25" customHeight="1">
      <c r="A769" s="5" t="s">
        <v>3600</v>
      </c>
      <c r="B769" s="6" t="str">
        <f>IMAGE("https://storage.googleapis.com/acdb/miscellaneous/FtrMug_Remake_1_2.png")</f>
        <v/>
      </c>
      <c r="C769" s="5" t="s">
        <v>114</v>
      </c>
      <c r="D769" s="5" t="s">
        <v>34</v>
      </c>
      <c r="E769" s="5" t="s">
        <v>3612</v>
      </c>
      <c r="F769" s="5" t="s">
        <v>373</v>
      </c>
      <c r="G769" s="5" t="s">
        <v>36</v>
      </c>
      <c r="H769" s="5" t="s">
        <v>36</v>
      </c>
      <c r="I769" s="5" t="s">
        <v>35</v>
      </c>
      <c r="J769" s="6">
        <v>1.0</v>
      </c>
      <c r="K769" s="6">
        <v>460.0</v>
      </c>
      <c r="L769" s="6">
        <v>115.0</v>
      </c>
      <c r="M769" s="5" t="s">
        <v>114</v>
      </c>
      <c r="N769" s="5" t="s">
        <v>114</v>
      </c>
      <c r="O769" s="6" t="s">
        <v>40</v>
      </c>
      <c r="P769" s="5" t="s">
        <v>59</v>
      </c>
      <c r="Q769" s="5" t="s">
        <v>60</v>
      </c>
      <c r="R769" s="6" t="s">
        <v>42</v>
      </c>
      <c r="S769" s="5" t="s">
        <v>159</v>
      </c>
      <c r="T769" s="5" t="s">
        <v>62</v>
      </c>
      <c r="U769" s="5" t="s">
        <v>44</v>
      </c>
      <c r="V769" s="5" t="s">
        <v>44</v>
      </c>
      <c r="W769" s="5" t="s">
        <v>36</v>
      </c>
      <c r="X769" s="5" t="s">
        <v>521</v>
      </c>
      <c r="Y769" s="5" t="s">
        <v>46</v>
      </c>
      <c r="Z769" s="5" t="s">
        <v>47</v>
      </c>
      <c r="AA769" s="5" t="s">
        <v>64</v>
      </c>
      <c r="AB769" s="5" t="s">
        <v>3642</v>
      </c>
      <c r="AC769" s="6" t="s">
        <v>370</v>
      </c>
      <c r="AD769" s="6">
        <v>1870.0</v>
      </c>
    </row>
    <row r="770" ht="56.25" customHeight="1">
      <c r="A770" s="5" t="s">
        <v>3600</v>
      </c>
      <c r="B770" s="6" t="str">
        <f>IMAGE("https://storage.googleapis.com/acdb/miscellaneous/FtrMug_Remake_1_3.png")</f>
        <v/>
      </c>
      <c r="C770" s="5" t="s">
        <v>114</v>
      </c>
      <c r="D770" s="5" t="s">
        <v>34</v>
      </c>
      <c r="E770" s="5" t="s">
        <v>219</v>
      </c>
      <c r="F770" s="5" t="s">
        <v>373</v>
      </c>
      <c r="G770" s="5" t="s">
        <v>36</v>
      </c>
      <c r="H770" s="5" t="s">
        <v>36</v>
      </c>
      <c r="I770" s="5" t="s">
        <v>35</v>
      </c>
      <c r="J770" s="6">
        <v>1.0</v>
      </c>
      <c r="K770" s="6">
        <v>460.0</v>
      </c>
      <c r="L770" s="6">
        <v>115.0</v>
      </c>
      <c r="M770" s="5" t="s">
        <v>114</v>
      </c>
      <c r="N770" s="5" t="s">
        <v>68</v>
      </c>
      <c r="O770" s="6" t="s">
        <v>40</v>
      </c>
      <c r="P770" s="5" t="s">
        <v>59</v>
      </c>
      <c r="Q770" s="5" t="s">
        <v>60</v>
      </c>
      <c r="R770" s="6" t="s">
        <v>42</v>
      </c>
      <c r="S770" s="5" t="s">
        <v>159</v>
      </c>
      <c r="T770" s="5" t="s">
        <v>62</v>
      </c>
      <c r="U770" s="5" t="s">
        <v>44</v>
      </c>
      <c r="V770" s="5" t="s">
        <v>44</v>
      </c>
      <c r="W770" s="5" t="s">
        <v>36</v>
      </c>
      <c r="X770" s="5" t="s">
        <v>521</v>
      </c>
      <c r="Y770" s="5" t="s">
        <v>46</v>
      </c>
      <c r="Z770" s="5" t="s">
        <v>47</v>
      </c>
      <c r="AA770" s="5" t="s">
        <v>64</v>
      </c>
      <c r="AB770" s="5" t="s">
        <v>3648</v>
      </c>
      <c r="AC770" s="6" t="s">
        <v>377</v>
      </c>
      <c r="AD770" s="6">
        <v>1870.0</v>
      </c>
    </row>
    <row r="771" ht="56.25" customHeight="1">
      <c r="A771" s="5" t="s">
        <v>3600</v>
      </c>
      <c r="B771" s="6" t="str">
        <f>IMAGE("https://storage.googleapis.com/acdb/miscellaneous/FtrMug_Remake_1_4.png")</f>
        <v/>
      </c>
      <c r="C771" s="5" t="s">
        <v>114</v>
      </c>
      <c r="D771" s="5" t="s">
        <v>34</v>
      </c>
      <c r="E771" s="5" t="s">
        <v>2056</v>
      </c>
      <c r="F771" s="5" t="s">
        <v>373</v>
      </c>
      <c r="G771" s="5" t="s">
        <v>36</v>
      </c>
      <c r="H771" s="5" t="s">
        <v>36</v>
      </c>
      <c r="I771" s="5" t="s">
        <v>35</v>
      </c>
      <c r="J771" s="6">
        <v>1.0</v>
      </c>
      <c r="K771" s="6">
        <v>460.0</v>
      </c>
      <c r="L771" s="6">
        <v>115.0</v>
      </c>
      <c r="M771" s="5" t="s">
        <v>114</v>
      </c>
      <c r="N771" s="5" t="s">
        <v>142</v>
      </c>
      <c r="O771" s="6" t="s">
        <v>40</v>
      </c>
      <c r="P771" s="5" t="s">
        <v>59</v>
      </c>
      <c r="Q771" s="5" t="s">
        <v>60</v>
      </c>
      <c r="R771" s="6" t="s">
        <v>42</v>
      </c>
      <c r="S771" s="5" t="s">
        <v>159</v>
      </c>
      <c r="T771" s="5" t="s">
        <v>62</v>
      </c>
      <c r="U771" s="5" t="s">
        <v>44</v>
      </c>
      <c r="V771" s="5" t="s">
        <v>44</v>
      </c>
      <c r="W771" s="5" t="s">
        <v>36</v>
      </c>
      <c r="X771" s="5" t="s">
        <v>521</v>
      </c>
      <c r="Y771" s="5" t="s">
        <v>46</v>
      </c>
      <c r="Z771" s="5" t="s">
        <v>47</v>
      </c>
      <c r="AA771" s="5" t="s">
        <v>64</v>
      </c>
      <c r="AB771" s="5" t="s">
        <v>3654</v>
      </c>
      <c r="AC771" s="6" t="s">
        <v>520</v>
      </c>
      <c r="AD771" s="6">
        <v>1870.0</v>
      </c>
    </row>
    <row r="772" ht="56.25" customHeight="1">
      <c r="A772" s="5" t="s">
        <v>3600</v>
      </c>
      <c r="B772" s="6" t="str">
        <f>IMAGE("https://storage.googleapis.com/acdb/miscellaneous/FtrMug_Remake_1_5.png")</f>
        <v/>
      </c>
      <c r="C772" s="5" t="s">
        <v>114</v>
      </c>
      <c r="D772" s="5" t="s">
        <v>34</v>
      </c>
      <c r="E772" s="5" t="s">
        <v>3626</v>
      </c>
      <c r="F772" s="5" t="s">
        <v>373</v>
      </c>
      <c r="G772" s="5" t="s">
        <v>36</v>
      </c>
      <c r="H772" s="5" t="s">
        <v>36</v>
      </c>
      <c r="I772" s="5" t="s">
        <v>35</v>
      </c>
      <c r="J772" s="6">
        <v>1.0</v>
      </c>
      <c r="K772" s="6">
        <v>460.0</v>
      </c>
      <c r="L772" s="6">
        <v>115.0</v>
      </c>
      <c r="M772" s="5" t="s">
        <v>114</v>
      </c>
      <c r="N772" s="5" t="s">
        <v>114</v>
      </c>
      <c r="O772" s="6" t="s">
        <v>40</v>
      </c>
      <c r="P772" s="5" t="s">
        <v>59</v>
      </c>
      <c r="Q772" s="5" t="s">
        <v>60</v>
      </c>
      <c r="R772" s="6" t="s">
        <v>42</v>
      </c>
      <c r="S772" s="5" t="s">
        <v>159</v>
      </c>
      <c r="T772" s="5" t="s">
        <v>62</v>
      </c>
      <c r="U772" s="5" t="s">
        <v>44</v>
      </c>
      <c r="V772" s="5" t="s">
        <v>44</v>
      </c>
      <c r="W772" s="5" t="s">
        <v>36</v>
      </c>
      <c r="X772" s="5" t="s">
        <v>521</v>
      </c>
      <c r="Y772" s="5" t="s">
        <v>46</v>
      </c>
      <c r="Z772" s="5" t="s">
        <v>47</v>
      </c>
      <c r="AA772" s="5" t="s">
        <v>64</v>
      </c>
      <c r="AB772" s="5" t="s">
        <v>3658</v>
      </c>
      <c r="AC772" s="6" t="s">
        <v>1389</v>
      </c>
      <c r="AD772" s="6">
        <v>1870.0</v>
      </c>
    </row>
    <row r="773" ht="56.25" customHeight="1">
      <c r="A773" s="5" t="s">
        <v>3600</v>
      </c>
      <c r="B773" s="6" t="str">
        <f>IMAGE("https://storage.googleapis.com/acdb/miscellaneous/FtrMug_Remake_2_0.png")</f>
        <v/>
      </c>
      <c r="C773" s="5" t="s">
        <v>52</v>
      </c>
      <c r="D773" s="5" t="s">
        <v>34</v>
      </c>
      <c r="E773" s="5" t="s">
        <v>811</v>
      </c>
      <c r="F773" s="5" t="s">
        <v>373</v>
      </c>
      <c r="G773" s="5" t="s">
        <v>36</v>
      </c>
      <c r="H773" s="5" t="s">
        <v>36</v>
      </c>
      <c r="I773" s="5" t="s">
        <v>35</v>
      </c>
      <c r="J773" s="6">
        <v>1.0</v>
      </c>
      <c r="K773" s="6">
        <v>460.0</v>
      </c>
      <c r="L773" s="6">
        <v>115.0</v>
      </c>
      <c r="M773" s="5" t="s">
        <v>52</v>
      </c>
      <c r="N773" s="5" t="s">
        <v>52</v>
      </c>
      <c r="O773" s="6" t="s">
        <v>40</v>
      </c>
      <c r="P773" s="5" t="s">
        <v>59</v>
      </c>
      <c r="Q773" s="5" t="s">
        <v>60</v>
      </c>
      <c r="R773" s="6" t="s">
        <v>42</v>
      </c>
      <c r="S773" s="5" t="s">
        <v>159</v>
      </c>
      <c r="T773" s="5" t="s">
        <v>62</v>
      </c>
      <c r="U773" s="5" t="s">
        <v>44</v>
      </c>
      <c r="V773" s="5" t="s">
        <v>44</v>
      </c>
      <c r="W773" s="5" t="s">
        <v>36</v>
      </c>
      <c r="X773" s="5" t="s">
        <v>521</v>
      </c>
      <c r="Y773" s="5" t="s">
        <v>46</v>
      </c>
      <c r="Z773" s="5" t="s">
        <v>47</v>
      </c>
      <c r="AA773" s="5" t="s">
        <v>64</v>
      </c>
      <c r="AB773" s="5" t="s">
        <v>3662</v>
      </c>
      <c r="AC773" s="6" t="s">
        <v>67</v>
      </c>
      <c r="AD773" s="6">
        <v>1870.0</v>
      </c>
    </row>
    <row r="774" ht="56.25" customHeight="1">
      <c r="A774" s="5" t="s">
        <v>3600</v>
      </c>
      <c r="B774" s="6" t="str">
        <f>IMAGE("https://storage.googleapis.com/acdb/miscellaneous/FtrMug_Remake_2_1.png")</f>
        <v/>
      </c>
      <c r="C774" s="5" t="s">
        <v>52</v>
      </c>
      <c r="D774" s="5" t="s">
        <v>34</v>
      </c>
      <c r="E774" s="5" t="s">
        <v>3607</v>
      </c>
      <c r="F774" s="5" t="s">
        <v>373</v>
      </c>
      <c r="G774" s="5" t="s">
        <v>36</v>
      </c>
      <c r="H774" s="5" t="s">
        <v>36</v>
      </c>
      <c r="I774" s="5" t="s">
        <v>35</v>
      </c>
      <c r="J774" s="6">
        <v>1.0</v>
      </c>
      <c r="K774" s="6">
        <v>460.0</v>
      </c>
      <c r="L774" s="6">
        <v>115.0</v>
      </c>
      <c r="M774" s="5" t="s">
        <v>52</v>
      </c>
      <c r="N774" s="5" t="s">
        <v>54</v>
      </c>
      <c r="O774" s="6" t="s">
        <v>40</v>
      </c>
      <c r="P774" s="5" t="s">
        <v>59</v>
      </c>
      <c r="Q774" s="5" t="s">
        <v>60</v>
      </c>
      <c r="R774" s="6" t="s">
        <v>42</v>
      </c>
      <c r="S774" s="5" t="s">
        <v>159</v>
      </c>
      <c r="T774" s="5" t="s">
        <v>62</v>
      </c>
      <c r="U774" s="5" t="s">
        <v>44</v>
      </c>
      <c r="V774" s="5" t="s">
        <v>44</v>
      </c>
      <c r="W774" s="5" t="s">
        <v>36</v>
      </c>
      <c r="X774" s="5" t="s">
        <v>521</v>
      </c>
      <c r="Y774" s="5" t="s">
        <v>46</v>
      </c>
      <c r="Z774" s="5" t="s">
        <v>47</v>
      </c>
      <c r="AA774" s="5" t="s">
        <v>64</v>
      </c>
      <c r="AB774" s="5" t="s">
        <v>3666</v>
      </c>
      <c r="AC774" s="6" t="s">
        <v>247</v>
      </c>
      <c r="AD774" s="6">
        <v>1870.0</v>
      </c>
    </row>
    <row r="775" ht="56.25" customHeight="1">
      <c r="A775" s="5" t="s">
        <v>3600</v>
      </c>
      <c r="B775" s="6" t="str">
        <f>IMAGE("https://storage.googleapis.com/acdb/miscellaneous/FtrMug_Remake_2_2.png")</f>
        <v/>
      </c>
      <c r="C775" s="5" t="s">
        <v>52</v>
      </c>
      <c r="D775" s="5" t="s">
        <v>34</v>
      </c>
      <c r="E775" s="5" t="s">
        <v>3612</v>
      </c>
      <c r="F775" s="5" t="s">
        <v>373</v>
      </c>
      <c r="G775" s="5" t="s">
        <v>36</v>
      </c>
      <c r="H775" s="5" t="s">
        <v>36</v>
      </c>
      <c r="I775" s="5" t="s">
        <v>35</v>
      </c>
      <c r="J775" s="6">
        <v>1.0</v>
      </c>
      <c r="K775" s="6">
        <v>460.0</v>
      </c>
      <c r="L775" s="6">
        <v>115.0</v>
      </c>
      <c r="M775" s="5" t="s">
        <v>52</v>
      </c>
      <c r="N775" s="5" t="s">
        <v>114</v>
      </c>
      <c r="O775" s="6" t="s">
        <v>40</v>
      </c>
      <c r="P775" s="5" t="s">
        <v>59</v>
      </c>
      <c r="Q775" s="5" t="s">
        <v>60</v>
      </c>
      <c r="R775" s="6" t="s">
        <v>42</v>
      </c>
      <c r="S775" s="5" t="s">
        <v>159</v>
      </c>
      <c r="T775" s="5" t="s">
        <v>62</v>
      </c>
      <c r="U775" s="5" t="s">
        <v>44</v>
      </c>
      <c r="V775" s="5" t="s">
        <v>44</v>
      </c>
      <c r="W775" s="5" t="s">
        <v>36</v>
      </c>
      <c r="X775" s="5" t="s">
        <v>521</v>
      </c>
      <c r="Y775" s="5" t="s">
        <v>46</v>
      </c>
      <c r="Z775" s="5" t="s">
        <v>47</v>
      </c>
      <c r="AA775" s="5" t="s">
        <v>64</v>
      </c>
      <c r="AB775" s="5" t="s">
        <v>3670</v>
      </c>
      <c r="AC775" s="6" t="s">
        <v>390</v>
      </c>
      <c r="AD775" s="6">
        <v>1870.0</v>
      </c>
    </row>
    <row r="776" ht="56.25" customHeight="1">
      <c r="A776" s="5" t="s">
        <v>3600</v>
      </c>
      <c r="B776" s="6" t="str">
        <f>IMAGE("https://storage.googleapis.com/acdb/miscellaneous/FtrMug_Remake_2_3.png")</f>
        <v/>
      </c>
      <c r="C776" s="5" t="s">
        <v>52</v>
      </c>
      <c r="D776" s="5" t="s">
        <v>34</v>
      </c>
      <c r="E776" s="5" t="s">
        <v>219</v>
      </c>
      <c r="F776" s="5" t="s">
        <v>373</v>
      </c>
      <c r="G776" s="5" t="s">
        <v>36</v>
      </c>
      <c r="H776" s="5" t="s">
        <v>36</v>
      </c>
      <c r="I776" s="5" t="s">
        <v>35</v>
      </c>
      <c r="J776" s="6">
        <v>1.0</v>
      </c>
      <c r="K776" s="6">
        <v>460.0</v>
      </c>
      <c r="L776" s="6">
        <v>115.0</v>
      </c>
      <c r="M776" s="5" t="s">
        <v>52</v>
      </c>
      <c r="N776" s="5" t="s">
        <v>68</v>
      </c>
      <c r="O776" s="6" t="s">
        <v>40</v>
      </c>
      <c r="P776" s="5" t="s">
        <v>59</v>
      </c>
      <c r="Q776" s="5" t="s">
        <v>60</v>
      </c>
      <c r="R776" s="6" t="s">
        <v>42</v>
      </c>
      <c r="S776" s="5" t="s">
        <v>159</v>
      </c>
      <c r="T776" s="5" t="s">
        <v>62</v>
      </c>
      <c r="U776" s="5" t="s">
        <v>44</v>
      </c>
      <c r="V776" s="5" t="s">
        <v>44</v>
      </c>
      <c r="W776" s="5" t="s">
        <v>36</v>
      </c>
      <c r="X776" s="5" t="s">
        <v>521</v>
      </c>
      <c r="Y776" s="5" t="s">
        <v>46</v>
      </c>
      <c r="Z776" s="5" t="s">
        <v>47</v>
      </c>
      <c r="AA776" s="5" t="s">
        <v>64</v>
      </c>
      <c r="AB776" s="5" t="s">
        <v>3677</v>
      </c>
      <c r="AC776" s="6" t="s">
        <v>396</v>
      </c>
      <c r="AD776" s="6">
        <v>1870.0</v>
      </c>
    </row>
    <row r="777" ht="56.25" customHeight="1">
      <c r="A777" s="5" t="s">
        <v>3600</v>
      </c>
      <c r="B777" s="6" t="str">
        <f>IMAGE("https://storage.googleapis.com/acdb/miscellaneous/FtrMug_Remake_2_4.png")</f>
        <v/>
      </c>
      <c r="C777" s="5" t="s">
        <v>52</v>
      </c>
      <c r="D777" s="5" t="s">
        <v>34</v>
      </c>
      <c r="E777" s="5" t="s">
        <v>2056</v>
      </c>
      <c r="F777" s="5" t="s">
        <v>373</v>
      </c>
      <c r="G777" s="5" t="s">
        <v>36</v>
      </c>
      <c r="H777" s="5" t="s">
        <v>36</v>
      </c>
      <c r="I777" s="5" t="s">
        <v>35</v>
      </c>
      <c r="J777" s="6">
        <v>1.0</v>
      </c>
      <c r="K777" s="6">
        <v>460.0</v>
      </c>
      <c r="L777" s="6">
        <v>115.0</v>
      </c>
      <c r="M777" s="5" t="s">
        <v>52</v>
      </c>
      <c r="N777" s="5" t="s">
        <v>142</v>
      </c>
      <c r="O777" s="6" t="s">
        <v>40</v>
      </c>
      <c r="P777" s="5" t="s">
        <v>59</v>
      </c>
      <c r="Q777" s="5" t="s">
        <v>60</v>
      </c>
      <c r="R777" s="6" t="s">
        <v>42</v>
      </c>
      <c r="S777" s="5" t="s">
        <v>159</v>
      </c>
      <c r="T777" s="5" t="s">
        <v>62</v>
      </c>
      <c r="U777" s="5" t="s">
        <v>44</v>
      </c>
      <c r="V777" s="5" t="s">
        <v>44</v>
      </c>
      <c r="W777" s="5" t="s">
        <v>36</v>
      </c>
      <c r="X777" s="5" t="s">
        <v>521</v>
      </c>
      <c r="Y777" s="5" t="s">
        <v>46</v>
      </c>
      <c r="Z777" s="5" t="s">
        <v>47</v>
      </c>
      <c r="AA777" s="5" t="s">
        <v>64</v>
      </c>
      <c r="AB777" s="5" t="s">
        <v>3683</v>
      </c>
      <c r="AC777" s="6" t="s">
        <v>541</v>
      </c>
      <c r="AD777" s="6">
        <v>1870.0</v>
      </c>
    </row>
    <row r="778" ht="56.25" customHeight="1">
      <c r="A778" s="5" t="s">
        <v>3600</v>
      </c>
      <c r="B778" s="6" t="str">
        <f>IMAGE("https://storage.googleapis.com/acdb/miscellaneous/FtrMug_Remake_2_5.png")</f>
        <v/>
      </c>
      <c r="C778" s="5" t="s">
        <v>52</v>
      </c>
      <c r="D778" s="5" t="s">
        <v>34</v>
      </c>
      <c r="E778" s="5" t="s">
        <v>3626</v>
      </c>
      <c r="F778" s="5" t="s">
        <v>373</v>
      </c>
      <c r="G778" s="5" t="s">
        <v>36</v>
      </c>
      <c r="H778" s="5" t="s">
        <v>36</v>
      </c>
      <c r="I778" s="5" t="s">
        <v>35</v>
      </c>
      <c r="J778" s="6">
        <v>1.0</v>
      </c>
      <c r="K778" s="6">
        <v>460.0</v>
      </c>
      <c r="L778" s="6">
        <v>115.0</v>
      </c>
      <c r="M778" s="5" t="s">
        <v>52</v>
      </c>
      <c r="N778" s="5" t="s">
        <v>114</v>
      </c>
      <c r="O778" s="6" t="s">
        <v>40</v>
      </c>
      <c r="P778" s="5" t="s">
        <v>59</v>
      </c>
      <c r="Q778" s="5" t="s">
        <v>60</v>
      </c>
      <c r="R778" s="6" t="s">
        <v>42</v>
      </c>
      <c r="S778" s="5" t="s">
        <v>159</v>
      </c>
      <c r="T778" s="5" t="s">
        <v>62</v>
      </c>
      <c r="U778" s="5" t="s">
        <v>44</v>
      </c>
      <c r="V778" s="5" t="s">
        <v>44</v>
      </c>
      <c r="W778" s="5" t="s">
        <v>36</v>
      </c>
      <c r="X778" s="5" t="s">
        <v>521</v>
      </c>
      <c r="Y778" s="5" t="s">
        <v>46</v>
      </c>
      <c r="Z778" s="5" t="s">
        <v>47</v>
      </c>
      <c r="AA778" s="5" t="s">
        <v>64</v>
      </c>
      <c r="AB778" s="5" t="s">
        <v>3688</v>
      </c>
      <c r="AC778" s="6" t="s">
        <v>1415</v>
      </c>
      <c r="AD778" s="6">
        <v>1870.0</v>
      </c>
    </row>
    <row r="779" ht="56.25" customHeight="1">
      <c r="A779" s="5" t="s">
        <v>3600</v>
      </c>
      <c r="B779" s="6" t="str">
        <f>IMAGE("https://storage.googleapis.com/acdb/miscellaneous/FtrMug_Remake_3_0.png")</f>
        <v/>
      </c>
      <c r="C779" s="5" t="s">
        <v>68</v>
      </c>
      <c r="D779" s="5" t="s">
        <v>34</v>
      </c>
      <c r="E779" s="5" t="s">
        <v>811</v>
      </c>
      <c r="F779" s="5" t="s">
        <v>373</v>
      </c>
      <c r="G779" s="5" t="s">
        <v>36</v>
      </c>
      <c r="H779" s="5" t="s">
        <v>36</v>
      </c>
      <c r="I779" s="5" t="s">
        <v>35</v>
      </c>
      <c r="J779" s="6">
        <v>1.0</v>
      </c>
      <c r="K779" s="6">
        <v>460.0</v>
      </c>
      <c r="L779" s="6">
        <v>115.0</v>
      </c>
      <c r="M779" s="5" t="s">
        <v>68</v>
      </c>
      <c r="N779" s="5" t="s">
        <v>68</v>
      </c>
      <c r="O779" s="6" t="s">
        <v>40</v>
      </c>
      <c r="P779" s="5" t="s">
        <v>59</v>
      </c>
      <c r="Q779" s="5" t="s">
        <v>60</v>
      </c>
      <c r="R779" s="6" t="s">
        <v>42</v>
      </c>
      <c r="S779" s="5" t="s">
        <v>159</v>
      </c>
      <c r="T779" s="5" t="s">
        <v>62</v>
      </c>
      <c r="U779" s="5" t="s">
        <v>44</v>
      </c>
      <c r="V779" s="5" t="s">
        <v>44</v>
      </c>
      <c r="W779" s="5" t="s">
        <v>36</v>
      </c>
      <c r="X779" s="5" t="s">
        <v>521</v>
      </c>
      <c r="Y779" s="5" t="s">
        <v>46</v>
      </c>
      <c r="Z779" s="5" t="s">
        <v>47</v>
      </c>
      <c r="AA779" s="5" t="s">
        <v>64</v>
      </c>
      <c r="AB779" s="5" t="s">
        <v>3693</v>
      </c>
      <c r="AC779" s="6" t="s">
        <v>71</v>
      </c>
      <c r="AD779" s="6">
        <v>1870.0</v>
      </c>
    </row>
    <row r="780" ht="56.25" customHeight="1">
      <c r="A780" s="5" t="s">
        <v>3600</v>
      </c>
      <c r="B780" s="6" t="str">
        <f>IMAGE("https://storage.googleapis.com/acdb/miscellaneous/FtrMug_Remake_3_1.png")</f>
        <v/>
      </c>
      <c r="C780" s="5" t="s">
        <v>68</v>
      </c>
      <c r="D780" s="5" t="s">
        <v>34</v>
      </c>
      <c r="E780" s="5" t="s">
        <v>3607</v>
      </c>
      <c r="F780" s="5" t="s">
        <v>373</v>
      </c>
      <c r="G780" s="5" t="s">
        <v>36</v>
      </c>
      <c r="H780" s="5" t="s">
        <v>36</v>
      </c>
      <c r="I780" s="5" t="s">
        <v>35</v>
      </c>
      <c r="J780" s="6">
        <v>1.0</v>
      </c>
      <c r="K780" s="6">
        <v>460.0</v>
      </c>
      <c r="L780" s="6">
        <v>115.0</v>
      </c>
      <c r="M780" s="5" t="s">
        <v>68</v>
      </c>
      <c r="N780" s="5" t="s">
        <v>54</v>
      </c>
      <c r="O780" s="6" t="s">
        <v>40</v>
      </c>
      <c r="P780" s="5" t="s">
        <v>59</v>
      </c>
      <c r="Q780" s="5" t="s">
        <v>60</v>
      </c>
      <c r="R780" s="6" t="s">
        <v>42</v>
      </c>
      <c r="S780" s="5" t="s">
        <v>159</v>
      </c>
      <c r="T780" s="5" t="s">
        <v>62</v>
      </c>
      <c r="U780" s="5" t="s">
        <v>44</v>
      </c>
      <c r="V780" s="5" t="s">
        <v>44</v>
      </c>
      <c r="W780" s="5" t="s">
        <v>36</v>
      </c>
      <c r="X780" s="5" t="s">
        <v>521</v>
      </c>
      <c r="Y780" s="5" t="s">
        <v>46</v>
      </c>
      <c r="Z780" s="5" t="s">
        <v>47</v>
      </c>
      <c r="AA780" s="5" t="s">
        <v>64</v>
      </c>
      <c r="AB780" s="5" t="s">
        <v>3697</v>
      </c>
      <c r="AC780" s="6" t="s">
        <v>257</v>
      </c>
      <c r="AD780" s="6">
        <v>1870.0</v>
      </c>
    </row>
    <row r="781" ht="56.25" customHeight="1">
      <c r="A781" s="5" t="s">
        <v>3600</v>
      </c>
      <c r="B781" s="6" t="str">
        <f>IMAGE("https://storage.googleapis.com/acdb/miscellaneous/FtrMug_Remake_3_2.png")</f>
        <v/>
      </c>
      <c r="C781" s="5" t="s">
        <v>68</v>
      </c>
      <c r="D781" s="5" t="s">
        <v>34</v>
      </c>
      <c r="E781" s="5" t="s">
        <v>3612</v>
      </c>
      <c r="F781" s="5" t="s">
        <v>373</v>
      </c>
      <c r="G781" s="5" t="s">
        <v>36</v>
      </c>
      <c r="H781" s="5" t="s">
        <v>36</v>
      </c>
      <c r="I781" s="5" t="s">
        <v>35</v>
      </c>
      <c r="J781" s="6">
        <v>1.0</v>
      </c>
      <c r="K781" s="6">
        <v>460.0</v>
      </c>
      <c r="L781" s="6">
        <v>115.0</v>
      </c>
      <c r="M781" s="5" t="s">
        <v>68</v>
      </c>
      <c r="N781" s="5" t="s">
        <v>114</v>
      </c>
      <c r="O781" s="6" t="s">
        <v>40</v>
      </c>
      <c r="P781" s="5" t="s">
        <v>59</v>
      </c>
      <c r="Q781" s="5" t="s">
        <v>60</v>
      </c>
      <c r="R781" s="6" t="s">
        <v>42</v>
      </c>
      <c r="S781" s="5" t="s">
        <v>159</v>
      </c>
      <c r="T781" s="5" t="s">
        <v>62</v>
      </c>
      <c r="U781" s="5" t="s">
        <v>44</v>
      </c>
      <c r="V781" s="5" t="s">
        <v>44</v>
      </c>
      <c r="W781" s="5" t="s">
        <v>36</v>
      </c>
      <c r="X781" s="5" t="s">
        <v>521</v>
      </c>
      <c r="Y781" s="5" t="s">
        <v>46</v>
      </c>
      <c r="Z781" s="5" t="s">
        <v>47</v>
      </c>
      <c r="AA781" s="5" t="s">
        <v>64</v>
      </c>
      <c r="AB781" s="5" t="s">
        <v>3702</v>
      </c>
      <c r="AC781" s="6" t="s">
        <v>414</v>
      </c>
      <c r="AD781" s="6">
        <v>1870.0</v>
      </c>
    </row>
    <row r="782" ht="56.25" customHeight="1">
      <c r="A782" s="5" t="s">
        <v>3600</v>
      </c>
      <c r="B782" s="6" t="str">
        <f>IMAGE("https://storage.googleapis.com/acdb/miscellaneous/FtrMug_Remake_3_3.png")</f>
        <v/>
      </c>
      <c r="C782" s="5" t="s">
        <v>68</v>
      </c>
      <c r="D782" s="5" t="s">
        <v>34</v>
      </c>
      <c r="E782" s="5" t="s">
        <v>219</v>
      </c>
      <c r="F782" s="5" t="s">
        <v>373</v>
      </c>
      <c r="G782" s="5" t="s">
        <v>36</v>
      </c>
      <c r="H782" s="5" t="s">
        <v>36</v>
      </c>
      <c r="I782" s="5" t="s">
        <v>35</v>
      </c>
      <c r="J782" s="6">
        <v>1.0</v>
      </c>
      <c r="K782" s="6">
        <v>460.0</v>
      </c>
      <c r="L782" s="6">
        <v>115.0</v>
      </c>
      <c r="M782" s="5" t="s">
        <v>68</v>
      </c>
      <c r="N782" s="5" t="s">
        <v>68</v>
      </c>
      <c r="O782" s="6" t="s">
        <v>40</v>
      </c>
      <c r="P782" s="5" t="s">
        <v>59</v>
      </c>
      <c r="Q782" s="5" t="s">
        <v>60</v>
      </c>
      <c r="R782" s="6" t="s">
        <v>42</v>
      </c>
      <c r="S782" s="5" t="s">
        <v>159</v>
      </c>
      <c r="T782" s="5" t="s">
        <v>62</v>
      </c>
      <c r="U782" s="5" t="s">
        <v>44</v>
      </c>
      <c r="V782" s="5" t="s">
        <v>44</v>
      </c>
      <c r="W782" s="5" t="s">
        <v>36</v>
      </c>
      <c r="X782" s="5" t="s">
        <v>521</v>
      </c>
      <c r="Y782" s="5" t="s">
        <v>46</v>
      </c>
      <c r="Z782" s="5" t="s">
        <v>47</v>
      </c>
      <c r="AA782" s="5" t="s">
        <v>64</v>
      </c>
      <c r="AB782" s="5" t="s">
        <v>3710</v>
      </c>
      <c r="AC782" s="6" t="s">
        <v>418</v>
      </c>
      <c r="AD782" s="6">
        <v>1870.0</v>
      </c>
    </row>
    <row r="783" ht="56.25" customHeight="1">
      <c r="A783" s="5" t="s">
        <v>3600</v>
      </c>
      <c r="B783" s="6" t="str">
        <f>IMAGE("https://storage.googleapis.com/acdb/miscellaneous/FtrMug_Remake_3_4.png")</f>
        <v/>
      </c>
      <c r="C783" s="5" t="s">
        <v>68</v>
      </c>
      <c r="D783" s="5" t="s">
        <v>34</v>
      </c>
      <c r="E783" s="5" t="s">
        <v>2056</v>
      </c>
      <c r="F783" s="5" t="s">
        <v>373</v>
      </c>
      <c r="G783" s="5" t="s">
        <v>36</v>
      </c>
      <c r="H783" s="5" t="s">
        <v>36</v>
      </c>
      <c r="I783" s="5" t="s">
        <v>35</v>
      </c>
      <c r="J783" s="6">
        <v>1.0</v>
      </c>
      <c r="K783" s="6">
        <v>460.0</v>
      </c>
      <c r="L783" s="6">
        <v>115.0</v>
      </c>
      <c r="M783" s="5" t="s">
        <v>68</v>
      </c>
      <c r="N783" s="5" t="s">
        <v>142</v>
      </c>
      <c r="O783" s="6" t="s">
        <v>40</v>
      </c>
      <c r="P783" s="5" t="s">
        <v>59</v>
      </c>
      <c r="Q783" s="5" t="s">
        <v>60</v>
      </c>
      <c r="R783" s="6" t="s">
        <v>42</v>
      </c>
      <c r="S783" s="5" t="s">
        <v>159</v>
      </c>
      <c r="T783" s="5" t="s">
        <v>62</v>
      </c>
      <c r="U783" s="5" t="s">
        <v>44</v>
      </c>
      <c r="V783" s="5" t="s">
        <v>44</v>
      </c>
      <c r="W783" s="5" t="s">
        <v>36</v>
      </c>
      <c r="X783" s="5" t="s">
        <v>521</v>
      </c>
      <c r="Y783" s="5" t="s">
        <v>46</v>
      </c>
      <c r="Z783" s="5" t="s">
        <v>47</v>
      </c>
      <c r="AA783" s="5" t="s">
        <v>64</v>
      </c>
      <c r="AB783" s="5" t="s">
        <v>3714</v>
      </c>
      <c r="AC783" s="6" t="s">
        <v>563</v>
      </c>
      <c r="AD783" s="6">
        <v>1870.0</v>
      </c>
    </row>
    <row r="784" ht="56.25" customHeight="1">
      <c r="A784" s="5" t="s">
        <v>3600</v>
      </c>
      <c r="B784" s="6" t="str">
        <f>IMAGE("https://storage.googleapis.com/acdb/miscellaneous/FtrMug_Remake_3_5.png")</f>
        <v/>
      </c>
      <c r="C784" s="5" t="s">
        <v>68</v>
      </c>
      <c r="D784" s="5" t="s">
        <v>34</v>
      </c>
      <c r="E784" s="5" t="s">
        <v>3626</v>
      </c>
      <c r="F784" s="5" t="s">
        <v>373</v>
      </c>
      <c r="G784" s="5" t="s">
        <v>36</v>
      </c>
      <c r="H784" s="5" t="s">
        <v>36</v>
      </c>
      <c r="I784" s="5" t="s">
        <v>35</v>
      </c>
      <c r="J784" s="6">
        <v>1.0</v>
      </c>
      <c r="K784" s="6">
        <v>460.0</v>
      </c>
      <c r="L784" s="6">
        <v>115.0</v>
      </c>
      <c r="M784" s="5" t="s">
        <v>68</v>
      </c>
      <c r="N784" s="5" t="s">
        <v>114</v>
      </c>
      <c r="O784" s="6" t="s">
        <v>40</v>
      </c>
      <c r="P784" s="5" t="s">
        <v>59</v>
      </c>
      <c r="Q784" s="5" t="s">
        <v>60</v>
      </c>
      <c r="R784" s="6" t="s">
        <v>42</v>
      </c>
      <c r="S784" s="5" t="s">
        <v>159</v>
      </c>
      <c r="T784" s="5" t="s">
        <v>62</v>
      </c>
      <c r="U784" s="5" t="s">
        <v>44</v>
      </c>
      <c r="V784" s="5" t="s">
        <v>44</v>
      </c>
      <c r="W784" s="5" t="s">
        <v>36</v>
      </c>
      <c r="X784" s="5" t="s">
        <v>521</v>
      </c>
      <c r="Y784" s="5" t="s">
        <v>46</v>
      </c>
      <c r="Z784" s="5" t="s">
        <v>47</v>
      </c>
      <c r="AA784" s="5" t="s">
        <v>64</v>
      </c>
      <c r="AB784" s="5" t="s">
        <v>3717</v>
      </c>
      <c r="AC784" s="6" t="s">
        <v>1443</v>
      </c>
      <c r="AD784" s="6">
        <v>1870.0</v>
      </c>
    </row>
    <row r="785" ht="56.25" customHeight="1">
      <c r="A785" s="5" t="s">
        <v>3600</v>
      </c>
      <c r="B785" s="6" t="str">
        <f>IMAGE("https://storage.googleapis.com/acdb/miscellaneous/FtrMug_Remake_4_0.png")</f>
        <v/>
      </c>
      <c r="C785" s="5" t="s">
        <v>96</v>
      </c>
      <c r="D785" s="5" t="s">
        <v>34</v>
      </c>
      <c r="E785" s="5" t="s">
        <v>811</v>
      </c>
      <c r="F785" s="5" t="s">
        <v>373</v>
      </c>
      <c r="G785" s="5" t="s">
        <v>36</v>
      </c>
      <c r="H785" s="5" t="s">
        <v>36</v>
      </c>
      <c r="I785" s="5" t="s">
        <v>35</v>
      </c>
      <c r="J785" s="6">
        <v>1.0</v>
      </c>
      <c r="K785" s="6">
        <v>460.0</v>
      </c>
      <c r="L785" s="6">
        <v>115.0</v>
      </c>
      <c r="M785" s="5" t="s">
        <v>96</v>
      </c>
      <c r="N785" s="5" t="s">
        <v>96</v>
      </c>
      <c r="O785" s="6" t="s">
        <v>40</v>
      </c>
      <c r="P785" s="5" t="s">
        <v>59</v>
      </c>
      <c r="Q785" s="5" t="s">
        <v>60</v>
      </c>
      <c r="R785" s="6" t="s">
        <v>42</v>
      </c>
      <c r="S785" s="5" t="s">
        <v>159</v>
      </c>
      <c r="T785" s="5" t="s">
        <v>62</v>
      </c>
      <c r="U785" s="5" t="s">
        <v>44</v>
      </c>
      <c r="V785" s="5" t="s">
        <v>44</v>
      </c>
      <c r="W785" s="5" t="s">
        <v>36</v>
      </c>
      <c r="X785" s="5" t="s">
        <v>521</v>
      </c>
      <c r="Y785" s="5" t="s">
        <v>46</v>
      </c>
      <c r="Z785" s="5" t="s">
        <v>47</v>
      </c>
      <c r="AA785" s="5" t="s">
        <v>64</v>
      </c>
      <c r="AB785" s="5" t="s">
        <v>3723</v>
      </c>
      <c r="AC785" s="6" t="s">
        <v>75</v>
      </c>
      <c r="AD785" s="6">
        <v>1870.0</v>
      </c>
    </row>
    <row r="786" ht="56.25" customHeight="1">
      <c r="A786" s="5" t="s">
        <v>3600</v>
      </c>
      <c r="B786" s="6" t="str">
        <f>IMAGE("https://storage.googleapis.com/acdb/miscellaneous/FtrMug_Remake_4_1.png")</f>
        <v/>
      </c>
      <c r="C786" s="5" t="s">
        <v>96</v>
      </c>
      <c r="D786" s="5" t="s">
        <v>34</v>
      </c>
      <c r="E786" s="5" t="s">
        <v>3607</v>
      </c>
      <c r="F786" s="5" t="s">
        <v>373</v>
      </c>
      <c r="G786" s="5" t="s">
        <v>36</v>
      </c>
      <c r="H786" s="5" t="s">
        <v>36</v>
      </c>
      <c r="I786" s="5" t="s">
        <v>35</v>
      </c>
      <c r="J786" s="6">
        <v>1.0</v>
      </c>
      <c r="K786" s="6">
        <v>460.0</v>
      </c>
      <c r="L786" s="6">
        <v>115.0</v>
      </c>
      <c r="M786" s="5" t="s">
        <v>96</v>
      </c>
      <c r="N786" s="5" t="s">
        <v>54</v>
      </c>
      <c r="O786" s="6" t="s">
        <v>40</v>
      </c>
      <c r="P786" s="5" t="s">
        <v>59</v>
      </c>
      <c r="Q786" s="5" t="s">
        <v>60</v>
      </c>
      <c r="R786" s="6" t="s">
        <v>42</v>
      </c>
      <c r="S786" s="5" t="s">
        <v>159</v>
      </c>
      <c r="T786" s="5" t="s">
        <v>62</v>
      </c>
      <c r="U786" s="5" t="s">
        <v>44</v>
      </c>
      <c r="V786" s="5" t="s">
        <v>44</v>
      </c>
      <c r="W786" s="5" t="s">
        <v>36</v>
      </c>
      <c r="X786" s="5" t="s">
        <v>521</v>
      </c>
      <c r="Y786" s="5" t="s">
        <v>46</v>
      </c>
      <c r="Z786" s="5" t="s">
        <v>47</v>
      </c>
      <c r="AA786" s="5" t="s">
        <v>64</v>
      </c>
      <c r="AB786" s="5" t="s">
        <v>3732</v>
      </c>
      <c r="AC786" s="6" t="s">
        <v>429</v>
      </c>
      <c r="AD786" s="6">
        <v>1870.0</v>
      </c>
    </row>
    <row r="787" ht="56.25" customHeight="1">
      <c r="A787" s="5" t="s">
        <v>3600</v>
      </c>
      <c r="B787" s="6" t="str">
        <f>IMAGE("https://storage.googleapis.com/acdb/miscellaneous/FtrMug_Remake_4_2.png")</f>
        <v/>
      </c>
      <c r="C787" s="5" t="s">
        <v>96</v>
      </c>
      <c r="D787" s="5" t="s">
        <v>34</v>
      </c>
      <c r="E787" s="5" t="s">
        <v>3612</v>
      </c>
      <c r="F787" s="5" t="s">
        <v>373</v>
      </c>
      <c r="G787" s="5" t="s">
        <v>36</v>
      </c>
      <c r="H787" s="5" t="s">
        <v>36</v>
      </c>
      <c r="I787" s="5" t="s">
        <v>35</v>
      </c>
      <c r="J787" s="6">
        <v>1.0</v>
      </c>
      <c r="K787" s="6">
        <v>460.0</v>
      </c>
      <c r="L787" s="6">
        <v>115.0</v>
      </c>
      <c r="M787" s="5" t="s">
        <v>96</v>
      </c>
      <c r="N787" s="5" t="s">
        <v>114</v>
      </c>
      <c r="O787" s="6" t="s">
        <v>40</v>
      </c>
      <c r="P787" s="5" t="s">
        <v>59</v>
      </c>
      <c r="Q787" s="5" t="s">
        <v>60</v>
      </c>
      <c r="R787" s="6" t="s">
        <v>42</v>
      </c>
      <c r="S787" s="5" t="s">
        <v>159</v>
      </c>
      <c r="T787" s="5" t="s">
        <v>62</v>
      </c>
      <c r="U787" s="5" t="s">
        <v>44</v>
      </c>
      <c r="V787" s="5" t="s">
        <v>44</v>
      </c>
      <c r="W787" s="5" t="s">
        <v>36</v>
      </c>
      <c r="X787" s="5" t="s">
        <v>521</v>
      </c>
      <c r="Y787" s="5" t="s">
        <v>46</v>
      </c>
      <c r="Z787" s="5" t="s">
        <v>47</v>
      </c>
      <c r="AA787" s="5" t="s">
        <v>64</v>
      </c>
      <c r="AB787" s="5" t="s">
        <v>3741</v>
      </c>
      <c r="AC787" s="6" t="s">
        <v>434</v>
      </c>
      <c r="AD787" s="6">
        <v>1870.0</v>
      </c>
    </row>
    <row r="788" ht="56.25" customHeight="1">
      <c r="A788" s="5" t="s">
        <v>3600</v>
      </c>
      <c r="B788" s="6" t="str">
        <f>IMAGE("https://storage.googleapis.com/acdb/miscellaneous/FtrMug_Remake_4_3.png")</f>
        <v/>
      </c>
      <c r="C788" s="5" t="s">
        <v>96</v>
      </c>
      <c r="D788" s="5" t="s">
        <v>34</v>
      </c>
      <c r="E788" s="5" t="s">
        <v>219</v>
      </c>
      <c r="F788" s="5" t="s">
        <v>373</v>
      </c>
      <c r="G788" s="5" t="s">
        <v>36</v>
      </c>
      <c r="H788" s="5" t="s">
        <v>36</v>
      </c>
      <c r="I788" s="5" t="s">
        <v>35</v>
      </c>
      <c r="J788" s="6">
        <v>1.0</v>
      </c>
      <c r="K788" s="6">
        <v>460.0</v>
      </c>
      <c r="L788" s="6">
        <v>115.0</v>
      </c>
      <c r="M788" s="5" t="s">
        <v>96</v>
      </c>
      <c r="N788" s="5" t="s">
        <v>68</v>
      </c>
      <c r="O788" s="6" t="s">
        <v>40</v>
      </c>
      <c r="P788" s="5" t="s">
        <v>59</v>
      </c>
      <c r="Q788" s="5" t="s">
        <v>60</v>
      </c>
      <c r="R788" s="6" t="s">
        <v>42</v>
      </c>
      <c r="S788" s="5" t="s">
        <v>159</v>
      </c>
      <c r="T788" s="5" t="s">
        <v>62</v>
      </c>
      <c r="U788" s="5" t="s">
        <v>44</v>
      </c>
      <c r="V788" s="5" t="s">
        <v>44</v>
      </c>
      <c r="W788" s="5" t="s">
        <v>36</v>
      </c>
      <c r="X788" s="5" t="s">
        <v>521</v>
      </c>
      <c r="Y788" s="5" t="s">
        <v>46</v>
      </c>
      <c r="Z788" s="5" t="s">
        <v>47</v>
      </c>
      <c r="AA788" s="5" t="s">
        <v>64</v>
      </c>
      <c r="AB788" s="5" t="s">
        <v>3748</v>
      </c>
      <c r="AC788" s="6" t="s">
        <v>438</v>
      </c>
      <c r="AD788" s="6">
        <v>1870.0</v>
      </c>
    </row>
    <row r="789" ht="56.25" customHeight="1">
      <c r="A789" s="5" t="s">
        <v>3600</v>
      </c>
      <c r="B789" s="6" t="str">
        <f>IMAGE("https://storage.googleapis.com/acdb/miscellaneous/FtrMug_Remake_4_4.png")</f>
        <v/>
      </c>
      <c r="C789" s="5" t="s">
        <v>96</v>
      </c>
      <c r="D789" s="5" t="s">
        <v>34</v>
      </c>
      <c r="E789" s="5" t="s">
        <v>2056</v>
      </c>
      <c r="F789" s="5" t="s">
        <v>373</v>
      </c>
      <c r="G789" s="5" t="s">
        <v>36</v>
      </c>
      <c r="H789" s="5" t="s">
        <v>36</v>
      </c>
      <c r="I789" s="5" t="s">
        <v>35</v>
      </c>
      <c r="J789" s="6">
        <v>1.0</v>
      </c>
      <c r="K789" s="6">
        <v>460.0</v>
      </c>
      <c r="L789" s="6">
        <v>115.0</v>
      </c>
      <c r="M789" s="5" t="s">
        <v>96</v>
      </c>
      <c r="N789" s="5" t="s">
        <v>142</v>
      </c>
      <c r="O789" s="6" t="s">
        <v>40</v>
      </c>
      <c r="P789" s="5" t="s">
        <v>59</v>
      </c>
      <c r="Q789" s="5" t="s">
        <v>60</v>
      </c>
      <c r="R789" s="6" t="s">
        <v>42</v>
      </c>
      <c r="S789" s="5" t="s">
        <v>159</v>
      </c>
      <c r="T789" s="5" t="s">
        <v>62</v>
      </c>
      <c r="U789" s="5" t="s">
        <v>44</v>
      </c>
      <c r="V789" s="5" t="s">
        <v>44</v>
      </c>
      <c r="W789" s="5" t="s">
        <v>36</v>
      </c>
      <c r="X789" s="5" t="s">
        <v>521</v>
      </c>
      <c r="Y789" s="5" t="s">
        <v>46</v>
      </c>
      <c r="Z789" s="5" t="s">
        <v>47</v>
      </c>
      <c r="AA789" s="5" t="s">
        <v>64</v>
      </c>
      <c r="AB789" s="5" t="s">
        <v>3754</v>
      </c>
      <c r="AC789" s="6" t="s">
        <v>585</v>
      </c>
      <c r="AD789" s="6">
        <v>1870.0</v>
      </c>
    </row>
    <row r="790" ht="56.25" customHeight="1">
      <c r="A790" s="5" t="s">
        <v>3600</v>
      </c>
      <c r="B790" s="6" t="str">
        <f>IMAGE("https://storage.googleapis.com/acdb/miscellaneous/FtrMug_Remake_4_5.png")</f>
        <v/>
      </c>
      <c r="C790" s="5" t="s">
        <v>96</v>
      </c>
      <c r="D790" s="5" t="s">
        <v>34</v>
      </c>
      <c r="E790" s="5" t="s">
        <v>3626</v>
      </c>
      <c r="F790" s="5" t="s">
        <v>373</v>
      </c>
      <c r="G790" s="5" t="s">
        <v>36</v>
      </c>
      <c r="H790" s="5" t="s">
        <v>36</v>
      </c>
      <c r="I790" s="5" t="s">
        <v>35</v>
      </c>
      <c r="J790" s="6">
        <v>1.0</v>
      </c>
      <c r="K790" s="6">
        <v>460.0</v>
      </c>
      <c r="L790" s="6">
        <v>115.0</v>
      </c>
      <c r="M790" s="5" t="s">
        <v>96</v>
      </c>
      <c r="N790" s="5" t="s">
        <v>114</v>
      </c>
      <c r="O790" s="6" t="s">
        <v>40</v>
      </c>
      <c r="P790" s="5" t="s">
        <v>59</v>
      </c>
      <c r="Q790" s="5" t="s">
        <v>60</v>
      </c>
      <c r="R790" s="6" t="s">
        <v>42</v>
      </c>
      <c r="S790" s="5" t="s">
        <v>159</v>
      </c>
      <c r="T790" s="5" t="s">
        <v>62</v>
      </c>
      <c r="U790" s="5" t="s">
        <v>44</v>
      </c>
      <c r="V790" s="5" t="s">
        <v>44</v>
      </c>
      <c r="W790" s="5" t="s">
        <v>36</v>
      </c>
      <c r="X790" s="5" t="s">
        <v>521</v>
      </c>
      <c r="Y790" s="5" t="s">
        <v>46</v>
      </c>
      <c r="Z790" s="5" t="s">
        <v>47</v>
      </c>
      <c r="AA790" s="5" t="s">
        <v>64</v>
      </c>
      <c r="AB790" s="5" t="s">
        <v>3758</v>
      </c>
      <c r="AC790" s="6" t="s">
        <v>1816</v>
      </c>
      <c r="AD790" s="6">
        <v>1870.0</v>
      </c>
    </row>
    <row r="791" ht="56.25" customHeight="1">
      <c r="A791" s="5" t="s">
        <v>3600</v>
      </c>
      <c r="B791" s="6" t="str">
        <f>IMAGE("https://storage.googleapis.com/acdb/miscellaneous/FtrMug_Remake_5_0.png")</f>
        <v/>
      </c>
      <c r="C791" s="5" t="s">
        <v>69</v>
      </c>
      <c r="D791" s="5" t="s">
        <v>34</v>
      </c>
      <c r="E791" s="5" t="s">
        <v>811</v>
      </c>
      <c r="F791" s="5" t="s">
        <v>373</v>
      </c>
      <c r="G791" s="5" t="s">
        <v>36</v>
      </c>
      <c r="H791" s="5" t="s">
        <v>36</v>
      </c>
      <c r="I791" s="5" t="s">
        <v>35</v>
      </c>
      <c r="J791" s="6">
        <v>1.0</v>
      </c>
      <c r="K791" s="6">
        <v>460.0</v>
      </c>
      <c r="L791" s="6">
        <v>115.0</v>
      </c>
      <c r="M791" s="5" t="s">
        <v>69</v>
      </c>
      <c r="N791" s="5" t="s">
        <v>69</v>
      </c>
      <c r="O791" s="6" t="s">
        <v>40</v>
      </c>
      <c r="P791" s="5" t="s">
        <v>59</v>
      </c>
      <c r="Q791" s="5" t="s">
        <v>60</v>
      </c>
      <c r="R791" s="6" t="s">
        <v>42</v>
      </c>
      <c r="S791" s="5" t="s">
        <v>159</v>
      </c>
      <c r="T791" s="5" t="s">
        <v>62</v>
      </c>
      <c r="U791" s="5" t="s">
        <v>44</v>
      </c>
      <c r="V791" s="5" t="s">
        <v>44</v>
      </c>
      <c r="W791" s="5" t="s">
        <v>36</v>
      </c>
      <c r="X791" s="5" t="s">
        <v>521</v>
      </c>
      <c r="Y791" s="5" t="s">
        <v>46</v>
      </c>
      <c r="Z791" s="5" t="s">
        <v>47</v>
      </c>
      <c r="AA791" s="5" t="s">
        <v>64</v>
      </c>
      <c r="AB791" s="5" t="s">
        <v>3762</v>
      </c>
      <c r="AC791" s="6" t="s">
        <v>79</v>
      </c>
      <c r="AD791" s="6">
        <v>1870.0</v>
      </c>
    </row>
    <row r="792" ht="56.25" customHeight="1">
      <c r="A792" s="5" t="s">
        <v>3600</v>
      </c>
      <c r="B792" s="6" t="str">
        <f>IMAGE("https://storage.googleapis.com/acdb/miscellaneous/FtrMug_Remake_5_1.png")</f>
        <v/>
      </c>
      <c r="C792" s="5" t="s">
        <v>69</v>
      </c>
      <c r="D792" s="5" t="s">
        <v>34</v>
      </c>
      <c r="E792" s="5" t="s">
        <v>3607</v>
      </c>
      <c r="F792" s="5" t="s">
        <v>373</v>
      </c>
      <c r="G792" s="5" t="s">
        <v>36</v>
      </c>
      <c r="H792" s="5" t="s">
        <v>36</v>
      </c>
      <c r="I792" s="5" t="s">
        <v>35</v>
      </c>
      <c r="J792" s="6">
        <v>1.0</v>
      </c>
      <c r="K792" s="6">
        <v>460.0</v>
      </c>
      <c r="L792" s="6">
        <v>115.0</v>
      </c>
      <c r="M792" s="5" t="s">
        <v>69</v>
      </c>
      <c r="N792" s="5" t="s">
        <v>54</v>
      </c>
      <c r="O792" s="6" t="s">
        <v>40</v>
      </c>
      <c r="P792" s="5" t="s">
        <v>59</v>
      </c>
      <c r="Q792" s="5" t="s">
        <v>60</v>
      </c>
      <c r="R792" s="6" t="s">
        <v>42</v>
      </c>
      <c r="S792" s="5" t="s">
        <v>159</v>
      </c>
      <c r="T792" s="5" t="s">
        <v>62</v>
      </c>
      <c r="U792" s="5" t="s">
        <v>44</v>
      </c>
      <c r="V792" s="5" t="s">
        <v>44</v>
      </c>
      <c r="W792" s="5" t="s">
        <v>36</v>
      </c>
      <c r="X792" s="5" t="s">
        <v>521</v>
      </c>
      <c r="Y792" s="5" t="s">
        <v>46</v>
      </c>
      <c r="Z792" s="5" t="s">
        <v>47</v>
      </c>
      <c r="AA792" s="5" t="s">
        <v>64</v>
      </c>
      <c r="AB792" s="5" t="s">
        <v>3766</v>
      </c>
      <c r="AC792" s="6" t="s">
        <v>448</v>
      </c>
      <c r="AD792" s="6">
        <v>1870.0</v>
      </c>
    </row>
    <row r="793" ht="56.25" customHeight="1">
      <c r="A793" s="5" t="s">
        <v>3600</v>
      </c>
      <c r="B793" s="6" t="str">
        <f>IMAGE("https://storage.googleapis.com/acdb/miscellaneous/FtrMug_Remake_5_2.png")</f>
        <v/>
      </c>
      <c r="C793" s="5" t="s">
        <v>69</v>
      </c>
      <c r="D793" s="5" t="s">
        <v>34</v>
      </c>
      <c r="E793" s="5" t="s">
        <v>3612</v>
      </c>
      <c r="F793" s="5" t="s">
        <v>373</v>
      </c>
      <c r="G793" s="5" t="s">
        <v>36</v>
      </c>
      <c r="H793" s="5" t="s">
        <v>36</v>
      </c>
      <c r="I793" s="5" t="s">
        <v>35</v>
      </c>
      <c r="J793" s="6">
        <v>1.0</v>
      </c>
      <c r="K793" s="6">
        <v>460.0</v>
      </c>
      <c r="L793" s="6">
        <v>115.0</v>
      </c>
      <c r="M793" s="5" t="s">
        <v>69</v>
      </c>
      <c r="N793" s="5" t="s">
        <v>114</v>
      </c>
      <c r="O793" s="6" t="s">
        <v>40</v>
      </c>
      <c r="P793" s="5" t="s">
        <v>59</v>
      </c>
      <c r="Q793" s="5" t="s">
        <v>60</v>
      </c>
      <c r="R793" s="6" t="s">
        <v>42</v>
      </c>
      <c r="S793" s="5" t="s">
        <v>159</v>
      </c>
      <c r="T793" s="5" t="s">
        <v>62</v>
      </c>
      <c r="U793" s="5" t="s">
        <v>44</v>
      </c>
      <c r="V793" s="5" t="s">
        <v>44</v>
      </c>
      <c r="W793" s="5" t="s">
        <v>36</v>
      </c>
      <c r="X793" s="5" t="s">
        <v>521</v>
      </c>
      <c r="Y793" s="5" t="s">
        <v>46</v>
      </c>
      <c r="Z793" s="5" t="s">
        <v>47</v>
      </c>
      <c r="AA793" s="5" t="s">
        <v>64</v>
      </c>
      <c r="AB793" s="5" t="s">
        <v>3772</v>
      </c>
      <c r="AC793" s="6" t="s">
        <v>452</v>
      </c>
      <c r="AD793" s="6">
        <v>1870.0</v>
      </c>
    </row>
    <row r="794" ht="56.25" customHeight="1">
      <c r="A794" s="5" t="s">
        <v>3600</v>
      </c>
      <c r="B794" s="6" t="str">
        <f>IMAGE("https://storage.googleapis.com/acdb/miscellaneous/FtrMug_Remake_5_3.png")</f>
        <v/>
      </c>
      <c r="C794" s="5" t="s">
        <v>69</v>
      </c>
      <c r="D794" s="5" t="s">
        <v>34</v>
      </c>
      <c r="E794" s="5" t="s">
        <v>219</v>
      </c>
      <c r="F794" s="5" t="s">
        <v>373</v>
      </c>
      <c r="G794" s="5" t="s">
        <v>36</v>
      </c>
      <c r="H794" s="5" t="s">
        <v>36</v>
      </c>
      <c r="I794" s="5" t="s">
        <v>35</v>
      </c>
      <c r="J794" s="6">
        <v>1.0</v>
      </c>
      <c r="K794" s="6">
        <v>460.0</v>
      </c>
      <c r="L794" s="6">
        <v>115.0</v>
      </c>
      <c r="M794" s="5" t="s">
        <v>69</v>
      </c>
      <c r="N794" s="5" t="s">
        <v>68</v>
      </c>
      <c r="O794" s="6" t="s">
        <v>40</v>
      </c>
      <c r="P794" s="5" t="s">
        <v>59</v>
      </c>
      <c r="Q794" s="5" t="s">
        <v>60</v>
      </c>
      <c r="R794" s="6" t="s">
        <v>42</v>
      </c>
      <c r="S794" s="5" t="s">
        <v>159</v>
      </c>
      <c r="T794" s="5" t="s">
        <v>62</v>
      </c>
      <c r="U794" s="5" t="s">
        <v>44</v>
      </c>
      <c r="V794" s="5" t="s">
        <v>44</v>
      </c>
      <c r="W794" s="5" t="s">
        <v>36</v>
      </c>
      <c r="X794" s="5" t="s">
        <v>521</v>
      </c>
      <c r="Y794" s="5" t="s">
        <v>46</v>
      </c>
      <c r="Z794" s="5" t="s">
        <v>47</v>
      </c>
      <c r="AA794" s="5" t="s">
        <v>64</v>
      </c>
      <c r="AB794" s="5" t="s">
        <v>3777</v>
      </c>
      <c r="AC794" s="6" t="s">
        <v>455</v>
      </c>
      <c r="AD794" s="6">
        <v>1870.0</v>
      </c>
    </row>
    <row r="795" ht="56.25" customHeight="1">
      <c r="A795" s="5" t="s">
        <v>3600</v>
      </c>
      <c r="B795" s="6" t="str">
        <f>IMAGE("https://storage.googleapis.com/acdb/miscellaneous/FtrMug_Remake_5_4.png")</f>
        <v/>
      </c>
      <c r="C795" s="5" t="s">
        <v>69</v>
      </c>
      <c r="D795" s="5" t="s">
        <v>34</v>
      </c>
      <c r="E795" s="5" t="s">
        <v>2056</v>
      </c>
      <c r="F795" s="5" t="s">
        <v>373</v>
      </c>
      <c r="G795" s="5" t="s">
        <v>36</v>
      </c>
      <c r="H795" s="5" t="s">
        <v>36</v>
      </c>
      <c r="I795" s="5" t="s">
        <v>35</v>
      </c>
      <c r="J795" s="6">
        <v>1.0</v>
      </c>
      <c r="K795" s="6">
        <v>460.0</v>
      </c>
      <c r="L795" s="6">
        <v>115.0</v>
      </c>
      <c r="M795" s="5" t="s">
        <v>69</v>
      </c>
      <c r="N795" s="5" t="s">
        <v>142</v>
      </c>
      <c r="O795" s="6" t="s">
        <v>40</v>
      </c>
      <c r="P795" s="5" t="s">
        <v>59</v>
      </c>
      <c r="Q795" s="5" t="s">
        <v>60</v>
      </c>
      <c r="R795" s="6" t="s">
        <v>42</v>
      </c>
      <c r="S795" s="5" t="s">
        <v>159</v>
      </c>
      <c r="T795" s="5" t="s">
        <v>62</v>
      </c>
      <c r="U795" s="5" t="s">
        <v>44</v>
      </c>
      <c r="V795" s="5" t="s">
        <v>44</v>
      </c>
      <c r="W795" s="5" t="s">
        <v>36</v>
      </c>
      <c r="X795" s="5" t="s">
        <v>521</v>
      </c>
      <c r="Y795" s="5" t="s">
        <v>46</v>
      </c>
      <c r="Z795" s="5" t="s">
        <v>47</v>
      </c>
      <c r="AA795" s="5" t="s">
        <v>64</v>
      </c>
      <c r="AB795" s="5" t="s">
        <v>3781</v>
      </c>
      <c r="AC795" s="6" t="s">
        <v>609</v>
      </c>
      <c r="AD795" s="6">
        <v>1870.0</v>
      </c>
    </row>
    <row r="796" ht="56.25" customHeight="1">
      <c r="A796" s="5" t="s">
        <v>3600</v>
      </c>
      <c r="B796" s="6" t="str">
        <f>IMAGE("https://storage.googleapis.com/acdb/miscellaneous/FtrMug_Remake_5_5.png")</f>
        <v/>
      </c>
      <c r="C796" s="5" t="s">
        <v>69</v>
      </c>
      <c r="D796" s="5" t="s">
        <v>34</v>
      </c>
      <c r="E796" s="5" t="s">
        <v>3626</v>
      </c>
      <c r="F796" s="5" t="s">
        <v>373</v>
      </c>
      <c r="G796" s="5" t="s">
        <v>36</v>
      </c>
      <c r="H796" s="5" t="s">
        <v>36</v>
      </c>
      <c r="I796" s="5" t="s">
        <v>35</v>
      </c>
      <c r="J796" s="6">
        <v>1.0</v>
      </c>
      <c r="K796" s="6">
        <v>460.0</v>
      </c>
      <c r="L796" s="6">
        <v>115.0</v>
      </c>
      <c r="M796" s="5" t="s">
        <v>69</v>
      </c>
      <c r="N796" s="5" t="s">
        <v>114</v>
      </c>
      <c r="O796" s="6" t="s">
        <v>40</v>
      </c>
      <c r="P796" s="5" t="s">
        <v>59</v>
      </c>
      <c r="Q796" s="5" t="s">
        <v>60</v>
      </c>
      <c r="R796" s="6" t="s">
        <v>42</v>
      </c>
      <c r="S796" s="5" t="s">
        <v>159</v>
      </c>
      <c r="T796" s="5" t="s">
        <v>62</v>
      </c>
      <c r="U796" s="5" t="s">
        <v>44</v>
      </c>
      <c r="V796" s="5" t="s">
        <v>44</v>
      </c>
      <c r="W796" s="5" t="s">
        <v>36</v>
      </c>
      <c r="X796" s="5" t="s">
        <v>521</v>
      </c>
      <c r="Y796" s="5" t="s">
        <v>46</v>
      </c>
      <c r="Z796" s="5" t="s">
        <v>47</v>
      </c>
      <c r="AA796" s="5" t="s">
        <v>64</v>
      </c>
      <c r="AB796" s="5" t="s">
        <v>3786</v>
      </c>
      <c r="AC796" s="6" t="s">
        <v>1843</v>
      </c>
      <c r="AD796" s="6">
        <v>1870.0</v>
      </c>
    </row>
    <row r="797" ht="56.25" customHeight="1">
      <c r="A797" s="5" t="s">
        <v>3600</v>
      </c>
      <c r="B797" s="6" t="str">
        <f>IMAGE("https://storage.googleapis.com/acdb/miscellaneous/FtrMug_Remake_6_0.png")</f>
        <v/>
      </c>
      <c r="C797" s="5" t="s">
        <v>1174</v>
      </c>
      <c r="D797" s="5" t="s">
        <v>34</v>
      </c>
      <c r="E797" s="5" t="s">
        <v>811</v>
      </c>
      <c r="F797" s="5" t="s">
        <v>373</v>
      </c>
      <c r="G797" s="5" t="s">
        <v>36</v>
      </c>
      <c r="H797" s="5" t="s">
        <v>36</v>
      </c>
      <c r="I797" s="5" t="s">
        <v>35</v>
      </c>
      <c r="J797" s="6">
        <v>1.0</v>
      </c>
      <c r="K797" s="6">
        <v>460.0</v>
      </c>
      <c r="L797" s="6">
        <v>115.0</v>
      </c>
      <c r="M797" s="5" t="s">
        <v>83</v>
      </c>
      <c r="N797" s="5" t="s">
        <v>83</v>
      </c>
      <c r="O797" s="6" t="s">
        <v>40</v>
      </c>
      <c r="P797" s="5" t="s">
        <v>59</v>
      </c>
      <c r="Q797" s="5" t="s">
        <v>60</v>
      </c>
      <c r="R797" s="6" t="s">
        <v>42</v>
      </c>
      <c r="S797" s="5" t="s">
        <v>159</v>
      </c>
      <c r="T797" s="5" t="s">
        <v>62</v>
      </c>
      <c r="U797" s="5" t="s">
        <v>44</v>
      </c>
      <c r="V797" s="5" t="s">
        <v>44</v>
      </c>
      <c r="W797" s="5" t="s">
        <v>36</v>
      </c>
      <c r="X797" s="5" t="s">
        <v>521</v>
      </c>
      <c r="Y797" s="5" t="s">
        <v>46</v>
      </c>
      <c r="Z797" s="5" t="s">
        <v>47</v>
      </c>
      <c r="AA797" s="5" t="s">
        <v>64</v>
      </c>
      <c r="AB797" s="5" t="s">
        <v>3790</v>
      </c>
      <c r="AC797" s="6" t="s">
        <v>86</v>
      </c>
      <c r="AD797" s="6">
        <v>1870.0</v>
      </c>
    </row>
    <row r="798" ht="56.25" customHeight="1">
      <c r="A798" s="5" t="s">
        <v>3600</v>
      </c>
      <c r="B798" s="6" t="str">
        <f>IMAGE("https://storage.googleapis.com/acdb/miscellaneous/FtrMug_Remake_6_1.png")</f>
        <v/>
      </c>
      <c r="C798" s="5" t="s">
        <v>1174</v>
      </c>
      <c r="D798" s="5" t="s">
        <v>34</v>
      </c>
      <c r="E798" s="5" t="s">
        <v>3607</v>
      </c>
      <c r="F798" s="5" t="s">
        <v>373</v>
      </c>
      <c r="G798" s="5" t="s">
        <v>36</v>
      </c>
      <c r="H798" s="5" t="s">
        <v>36</v>
      </c>
      <c r="I798" s="5" t="s">
        <v>35</v>
      </c>
      <c r="J798" s="6">
        <v>1.0</v>
      </c>
      <c r="K798" s="6">
        <v>460.0</v>
      </c>
      <c r="L798" s="6">
        <v>115.0</v>
      </c>
      <c r="M798" s="5" t="s">
        <v>83</v>
      </c>
      <c r="N798" s="5" t="s">
        <v>54</v>
      </c>
      <c r="O798" s="6" t="s">
        <v>40</v>
      </c>
      <c r="P798" s="5" t="s">
        <v>59</v>
      </c>
      <c r="Q798" s="5" t="s">
        <v>60</v>
      </c>
      <c r="R798" s="6" t="s">
        <v>42</v>
      </c>
      <c r="S798" s="5" t="s">
        <v>159</v>
      </c>
      <c r="T798" s="5" t="s">
        <v>62</v>
      </c>
      <c r="U798" s="5" t="s">
        <v>44</v>
      </c>
      <c r="V798" s="5" t="s">
        <v>44</v>
      </c>
      <c r="W798" s="5" t="s">
        <v>36</v>
      </c>
      <c r="X798" s="5" t="s">
        <v>521</v>
      </c>
      <c r="Y798" s="5" t="s">
        <v>46</v>
      </c>
      <c r="Z798" s="5" t="s">
        <v>47</v>
      </c>
      <c r="AA798" s="5" t="s">
        <v>64</v>
      </c>
      <c r="AB798" s="5" t="s">
        <v>3794</v>
      </c>
      <c r="AC798" s="6" t="s">
        <v>620</v>
      </c>
      <c r="AD798" s="6">
        <v>1870.0</v>
      </c>
    </row>
    <row r="799" ht="56.25" customHeight="1">
      <c r="A799" s="5" t="s">
        <v>3600</v>
      </c>
      <c r="B799" s="6" t="str">
        <f>IMAGE("https://storage.googleapis.com/acdb/miscellaneous/FtrMug_Remake_6_2.png")</f>
        <v/>
      </c>
      <c r="C799" s="5" t="s">
        <v>1174</v>
      </c>
      <c r="D799" s="5" t="s">
        <v>34</v>
      </c>
      <c r="E799" s="5" t="s">
        <v>3612</v>
      </c>
      <c r="F799" s="5" t="s">
        <v>373</v>
      </c>
      <c r="G799" s="5" t="s">
        <v>36</v>
      </c>
      <c r="H799" s="5" t="s">
        <v>36</v>
      </c>
      <c r="I799" s="5" t="s">
        <v>35</v>
      </c>
      <c r="J799" s="6">
        <v>1.0</v>
      </c>
      <c r="K799" s="6">
        <v>460.0</v>
      </c>
      <c r="L799" s="6">
        <v>115.0</v>
      </c>
      <c r="M799" s="5" t="s">
        <v>83</v>
      </c>
      <c r="N799" s="5" t="s">
        <v>114</v>
      </c>
      <c r="O799" s="6" t="s">
        <v>40</v>
      </c>
      <c r="P799" s="5" t="s">
        <v>59</v>
      </c>
      <c r="Q799" s="5" t="s">
        <v>60</v>
      </c>
      <c r="R799" s="6" t="s">
        <v>42</v>
      </c>
      <c r="S799" s="5" t="s">
        <v>159</v>
      </c>
      <c r="T799" s="5" t="s">
        <v>62</v>
      </c>
      <c r="U799" s="5" t="s">
        <v>44</v>
      </c>
      <c r="V799" s="5" t="s">
        <v>44</v>
      </c>
      <c r="W799" s="5" t="s">
        <v>36</v>
      </c>
      <c r="X799" s="5" t="s">
        <v>521</v>
      </c>
      <c r="Y799" s="5" t="s">
        <v>46</v>
      </c>
      <c r="Z799" s="5" t="s">
        <v>47</v>
      </c>
      <c r="AA799" s="5" t="s">
        <v>64</v>
      </c>
      <c r="AB799" s="5" t="s">
        <v>3799</v>
      </c>
      <c r="AC799" s="6" t="s">
        <v>626</v>
      </c>
      <c r="AD799" s="6">
        <v>1870.0</v>
      </c>
    </row>
    <row r="800" ht="56.25" customHeight="1">
      <c r="A800" s="5" t="s">
        <v>3600</v>
      </c>
      <c r="B800" s="6" t="str">
        <f>IMAGE("https://storage.googleapis.com/acdb/miscellaneous/FtrMug_Remake_6_3.png")</f>
        <v/>
      </c>
      <c r="C800" s="5" t="s">
        <v>1174</v>
      </c>
      <c r="D800" s="5" t="s">
        <v>34</v>
      </c>
      <c r="E800" s="5" t="s">
        <v>219</v>
      </c>
      <c r="F800" s="5" t="s">
        <v>373</v>
      </c>
      <c r="G800" s="5" t="s">
        <v>36</v>
      </c>
      <c r="H800" s="5" t="s">
        <v>36</v>
      </c>
      <c r="I800" s="5" t="s">
        <v>35</v>
      </c>
      <c r="J800" s="6">
        <v>1.0</v>
      </c>
      <c r="K800" s="6">
        <v>460.0</v>
      </c>
      <c r="L800" s="6">
        <v>115.0</v>
      </c>
      <c r="M800" s="5" t="s">
        <v>83</v>
      </c>
      <c r="N800" s="5" t="s">
        <v>68</v>
      </c>
      <c r="O800" s="6" t="s">
        <v>40</v>
      </c>
      <c r="P800" s="5" t="s">
        <v>59</v>
      </c>
      <c r="Q800" s="5" t="s">
        <v>60</v>
      </c>
      <c r="R800" s="6" t="s">
        <v>42</v>
      </c>
      <c r="S800" s="5" t="s">
        <v>159</v>
      </c>
      <c r="T800" s="5" t="s">
        <v>62</v>
      </c>
      <c r="U800" s="5" t="s">
        <v>44</v>
      </c>
      <c r="V800" s="5" t="s">
        <v>44</v>
      </c>
      <c r="W800" s="5" t="s">
        <v>36</v>
      </c>
      <c r="X800" s="5" t="s">
        <v>521</v>
      </c>
      <c r="Y800" s="5" t="s">
        <v>46</v>
      </c>
      <c r="Z800" s="5" t="s">
        <v>47</v>
      </c>
      <c r="AA800" s="5" t="s">
        <v>64</v>
      </c>
      <c r="AB800" s="5" t="s">
        <v>3805</v>
      </c>
      <c r="AC800" s="6" t="s">
        <v>634</v>
      </c>
      <c r="AD800" s="6">
        <v>1870.0</v>
      </c>
    </row>
    <row r="801" ht="56.25" customHeight="1">
      <c r="A801" s="5" t="s">
        <v>3600</v>
      </c>
      <c r="B801" s="6" t="str">
        <f>IMAGE("https://storage.googleapis.com/acdb/miscellaneous/FtrMug_Remake_6_4.png")</f>
        <v/>
      </c>
      <c r="C801" s="5" t="s">
        <v>1174</v>
      </c>
      <c r="D801" s="5" t="s">
        <v>34</v>
      </c>
      <c r="E801" s="5" t="s">
        <v>2056</v>
      </c>
      <c r="F801" s="5" t="s">
        <v>373</v>
      </c>
      <c r="G801" s="5" t="s">
        <v>36</v>
      </c>
      <c r="H801" s="5" t="s">
        <v>36</v>
      </c>
      <c r="I801" s="5" t="s">
        <v>35</v>
      </c>
      <c r="J801" s="6">
        <v>1.0</v>
      </c>
      <c r="K801" s="6">
        <v>460.0</v>
      </c>
      <c r="L801" s="6">
        <v>115.0</v>
      </c>
      <c r="M801" s="5" t="s">
        <v>83</v>
      </c>
      <c r="N801" s="5" t="s">
        <v>142</v>
      </c>
      <c r="O801" s="6" t="s">
        <v>40</v>
      </c>
      <c r="P801" s="5" t="s">
        <v>59</v>
      </c>
      <c r="Q801" s="5" t="s">
        <v>60</v>
      </c>
      <c r="R801" s="6" t="s">
        <v>42</v>
      </c>
      <c r="S801" s="5" t="s">
        <v>159</v>
      </c>
      <c r="T801" s="5" t="s">
        <v>62</v>
      </c>
      <c r="U801" s="5" t="s">
        <v>44</v>
      </c>
      <c r="V801" s="5" t="s">
        <v>44</v>
      </c>
      <c r="W801" s="5" t="s">
        <v>36</v>
      </c>
      <c r="X801" s="5" t="s">
        <v>521</v>
      </c>
      <c r="Y801" s="5" t="s">
        <v>46</v>
      </c>
      <c r="Z801" s="5" t="s">
        <v>47</v>
      </c>
      <c r="AA801" s="5" t="s">
        <v>64</v>
      </c>
      <c r="AB801" s="5" t="s">
        <v>3809</v>
      </c>
      <c r="AC801" s="6" t="s">
        <v>641</v>
      </c>
      <c r="AD801" s="6">
        <v>1870.0</v>
      </c>
    </row>
    <row r="802" ht="56.25" customHeight="1">
      <c r="A802" s="5" t="s">
        <v>3600</v>
      </c>
      <c r="B802" s="6" t="str">
        <f>IMAGE("https://storage.googleapis.com/acdb/miscellaneous/FtrMug_Remake_6_5.png")</f>
        <v/>
      </c>
      <c r="C802" s="5" t="s">
        <v>1174</v>
      </c>
      <c r="D802" s="5" t="s">
        <v>34</v>
      </c>
      <c r="E802" s="5" t="s">
        <v>3626</v>
      </c>
      <c r="F802" s="5" t="s">
        <v>373</v>
      </c>
      <c r="G802" s="5" t="s">
        <v>36</v>
      </c>
      <c r="H802" s="5" t="s">
        <v>36</v>
      </c>
      <c r="I802" s="5" t="s">
        <v>35</v>
      </c>
      <c r="J802" s="6">
        <v>1.0</v>
      </c>
      <c r="K802" s="6">
        <v>460.0</v>
      </c>
      <c r="L802" s="6">
        <v>115.0</v>
      </c>
      <c r="M802" s="5" t="s">
        <v>83</v>
      </c>
      <c r="N802" s="5" t="s">
        <v>114</v>
      </c>
      <c r="O802" s="6" t="s">
        <v>40</v>
      </c>
      <c r="P802" s="5" t="s">
        <v>59</v>
      </c>
      <c r="Q802" s="5" t="s">
        <v>60</v>
      </c>
      <c r="R802" s="6" t="s">
        <v>42</v>
      </c>
      <c r="S802" s="5" t="s">
        <v>159</v>
      </c>
      <c r="T802" s="5" t="s">
        <v>62</v>
      </c>
      <c r="U802" s="5" t="s">
        <v>44</v>
      </c>
      <c r="V802" s="5" t="s">
        <v>44</v>
      </c>
      <c r="W802" s="5" t="s">
        <v>36</v>
      </c>
      <c r="X802" s="5" t="s">
        <v>521</v>
      </c>
      <c r="Y802" s="5" t="s">
        <v>46</v>
      </c>
      <c r="Z802" s="5" t="s">
        <v>47</v>
      </c>
      <c r="AA802" s="5" t="s">
        <v>64</v>
      </c>
      <c r="AB802" s="5" t="s">
        <v>3813</v>
      </c>
      <c r="AC802" s="6" t="s">
        <v>1870</v>
      </c>
      <c r="AD802" s="6">
        <v>1870.0</v>
      </c>
    </row>
    <row r="803" ht="56.25" customHeight="1">
      <c r="A803" s="5" t="s">
        <v>3600</v>
      </c>
      <c r="B803" s="6" t="str">
        <f>IMAGE("https://storage.googleapis.com/acdb/miscellaneous/FtrMug_Remake_7_0.png")</f>
        <v/>
      </c>
      <c r="C803" s="5" t="s">
        <v>54</v>
      </c>
      <c r="D803" s="5" t="s">
        <v>34</v>
      </c>
      <c r="E803" s="5" t="s">
        <v>811</v>
      </c>
      <c r="F803" s="5" t="s">
        <v>373</v>
      </c>
      <c r="G803" s="5" t="s">
        <v>36</v>
      </c>
      <c r="H803" s="5" t="s">
        <v>36</v>
      </c>
      <c r="I803" s="5" t="s">
        <v>35</v>
      </c>
      <c r="J803" s="6">
        <v>1.0</v>
      </c>
      <c r="K803" s="6">
        <v>460.0</v>
      </c>
      <c r="L803" s="6">
        <v>115.0</v>
      </c>
      <c r="M803" s="5" t="s">
        <v>54</v>
      </c>
      <c r="N803" s="5" t="s">
        <v>54</v>
      </c>
      <c r="O803" s="6" t="s">
        <v>40</v>
      </c>
      <c r="P803" s="5" t="s">
        <v>59</v>
      </c>
      <c r="Q803" s="5" t="s">
        <v>60</v>
      </c>
      <c r="R803" s="6" t="s">
        <v>42</v>
      </c>
      <c r="S803" s="5" t="s">
        <v>159</v>
      </c>
      <c r="T803" s="5" t="s">
        <v>62</v>
      </c>
      <c r="U803" s="5" t="s">
        <v>44</v>
      </c>
      <c r="V803" s="5" t="s">
        <v>44</v>
      </c>
      <c r="W803" s="5" t="s">
        <v>36</v>
      </c>
      <c r="X803" s="5" t="s">
        <v>521</v>
      </c>
      <c r="Y803" s="5" t="s">
        <v>46</v>
      </c>
      <c r="Z803" s="5" t="s">
        <v>47</v>
      </c>
      <c r="AA803" s="5" t="s">
        <v>64</v>
      </c>
      <c r="AB803" s="5" t="s">
        <v>3817</v>
      </c>
      <c r="AC803" s="6" t="s">
        <v>208</v>
      </c>
      <c r="AD803" s="6">
        <v>1870.0</v>
      </c>
    </row>
    <row r="804" ht="56.25" customHeight="1">
      <c r="A804" s="5" t="s">
        <v>3600</v>
      </c>
      <c r="B804" s="6" t="str">
        <f>IMAGE("https://storage.googleapis.com/acdb/miscellaneous/FtrMug_Remake_7_1.png")</f>
        <v/>
      </c>
      <c r="C804" s="5" t="s">
        <v>54</v>
      </c>
      <c r="D804" s="5" t="s">
        <v>34</v>
      </c>
      <c r="E804" s="5" t="s">
        <v>3607</v>
      </c>
      <c r="F804" s="5" t="s">
        <v>373</v>
      </c>
      <c r="G804" s="5" t="s">
        <v>36</v>
      </c>
      <c r="H804" s="5" t="s">
        <v>36</v>
      </c>
      <c r="I804" s="5" t="s">
        <v>35</v>
      </c>
      <c r="J804" s="6">
        <v>1.0</v>
      </c>
      <c r="K804" s="6">
        <v>460.0</v>
      </c>
      <c r="L804" s="6">
        <v>115.0</v>
      </c>
      <c r="M804" s="5" t="s">
        <v>54</v>
      </c>
      <c r="N804" s="5" t="s">
        <v>54</v>
      </c>
      <c r="O804" s="6" t="s">
        <v>40</v>
      </c>
      <c r="P804" s="5" t="s">
        <v>59</v>
      </c>
      <c r="Q804" s="5" t="s">
        <v>60</v>
      </c>
      <c r="R804" s="6" t="s">
        <v>42</v>
      </c>
      <c r="S804" s="5" t="s">
        <v>159</v>
      </c>
      <c r="T804" s="5" t="s">
        <v>62</v>
      </c>
      <c r="U804" s="5" t="s">
        <v>44</v>
      </c>
      <c r="V804" s="5" t="s">
        <v>44</v>
      </c>
      <c r="W804" s="5" t="s">
        <v>36</v>
      </c>
      <c r="X804" s="5" t="s">
        <v>521</v>
      </c>
      <c r="Y804" s="5" t="s">
        <v>46</v>
      </c>
      <c r="Z804" s="5" t="s">
        <v>47</v>
      </c>
      <c r="AA804" s="5" t="s">
        <v>64</v>
      </c>
      <c r="AB804" s="5" t="s">
        <v>3821</v>
      </c>
      <c r="AC804" s="6" t="s">
        <v>1892</v>
      </c>
      <c r="AD804" s="6">
        <v>1870.0</v>
      </c>
    </row>
    <row r="805" ht="56.25" customHeight="1">
      <c r="A805" s="5" t="s">
        <v>3600</v>
      </c>
      <c r="B805" s="6" t="str">
        <f>IMAGE("https://storage.googleapis.com/acdb/miscellaneous/FtrMug_Remake_7_2.png")</f>
        <v/>
      </c>
      <c r="C805" s="5" t="s">
        <v>54</v>
      </c>
      <c r="D805" s="5" t="s">
        <v>34</v>
      </c>
      <c r="E805" s="5" t="s">
        <v>3612</v>
      </c>
      <c r="F805" s="5" t="s">
        <v>373</v>
      </c>
      <c r="G805" s="5" t="s">
        <v>36</v>
      </c>
      <c r="H805" s="5" t="s">
        <v>36</v>
      </c>
      <c r="I805" s="5" t="s">
        <v>35</v>
      </c>
      <c r="J805" s="6">
        <v>1.0</v>
      </c>
      <c r="K805" s="6">
        <v>460.0</v>
      </c>
      <c r="L805" s="6">
        <v>115.0</v>
      </c>
      <c r="M805" s="5" t="s">
        <v>54</v>
      </c>
      <c r="N805" s="5" t="s">
        <v>114</v>
      </c>
      <c r="O805" s="6" t="s">
        <v>40</v>
      </c>
      <c r="P805" s="5" t="s">
        <v>59</v>
      </c>
      <c r="Q805" s="5" t="s">
        <v>60</v>
      </c>
      <c r="R805" s="6" t="s">
        <v>42</v>
      </c>
      <c r="S805" s="5" t="s">
        <v>159</v>
      </c>
      <c r="T805" s="5" t="s">
        <v>62</v>
      </c>
      <c r="U805" s="5" t="s">
        <v>44</v>
      </c>
      <c r="V805" s="5" t="s">
        <v>44</v>
      </c>
      <c r="W805" s="5" t="s">
        <v>36</v>
      </c>
      <c r="X805" s="5" t="s">
        <v>521</v>
      </c>
      <c r="Y805" s="5" t="s">
        <v>46</v>
      </c>
      <c r="Z805" s="5" t="s">
        <v>47</v>
      </c>
      <c r="AA805" s="5" t="s">
        <v>64</v>
      </c>
      <c r="AB805" s="5" t="s">
        <v>3824</v>
      </c>
      <c r="AC805" s="6" t="s">
        <v>1901</v>
      </c>
      <c r="AD805" s="6">
        <v>1870.0</v>
      </c>
    </row>
    <row r="806" ht="56.25" customHeight="1">
      <c r="A806" s="5" t="s">
        <v>3600</v>
      </c>
      <c r="B806" s="6" t="str">
        <f>IMAGE("https://storage.googleapis.com/acdb/miscellaneous/FtrMug_Remake_7_3.png")</f>
        <v/>
      </c>
      <c r="C806" s="5" t="s">
        <v>54</v>
      </c>
      <c r="D806" s="5" t="s">
        <v>34</v>
      </c>
      <c r="E806" s="5" t="s">
        <v>219</v>
      </c>
      <c r="F806" s="5" t="s">
        <v>373</v>
      </c>
      <c r="G806" s="5" t="s">
        <v>36</v>
      </c>
      <c r="H806" s="5" t="s">
        <v>36</v>
      </c>
      <c r="I806" s="5" t="s">
        <v>35</v>
      </c>
      <c r="J806" s="6">
        <v>1.0</v>
      </c>
      <c r="K806" s="6">
        <v>460.0</v>
      </c>
      <c r="L806" s="6">
        <v>115.0</v>
      </c>
      <c r="M806" s="5" t="s">
        <v>54</v>
      </c>
      <c r="N806" s="5" t="s">
        <v>68</v>
      </c>
      <c r="O806" s="6" t="s">
        <v>40</v>
      </c>
      <c r="P806" s="5" t="s">
        <v>59</v>
      </c>
      <c r="Q806" s="5" t="s">
        <v>60</v>
      </c>
      <c r="R806" s="6" t="s">
        <v>42</v>
      </c>
      <c r="S806" s="5" t="s">
        <v>159</v>
      </c>
      <c r="T806" s="5" t="s">
        <v>62</v>
      </c>
      <c r="U806" s="5" t="s">
        <v>44</v>
      </c>
      <c r="V806" s="5" t="s">
        <v>44</v>
      </c>
      <c r="W806" s="5" t="s">
        <v>36</v>
      </c>
      <c r="X806" s="5" t="s">
        <v>521</v>
      </c>
      <c r="Y806" s="5" t="s">
        <v>46</v>
      </c>
      <c r="Z806" s="5" t="s">
        <v>47</v>
      </c>
      <c r="AA806" s="5" t="s">
        <v>64</v>
      </c>
      <c r="AB806" s="5" t="s">
        <v>3827</v>
      </c>
      <c r="AC806" s="6" t="s">
        <v>1906</v>
      </c>
      <c r="AD806" s="6">
        <v>1870.0</v>
      </c>
    </row>
    <row r="807" ht="56.25" customHeight="1">
      <c r="A807" s="5" t="s">
        <v>3600</v>
      </c>
      <c r="B807" s="6" t="str">
        <f>IMAGE("https://storage.googleapis.com/acdb/miscellaneous/FtrMug_Remake_7_4.png")</f>
        <v/>
      </c>
      <c r="C807" s="5" t="s">
        <v>54</v>
      </c>
      <c r="D807" s="5" t="s">
        <v>34</v>
      </c>
      <c r="E807" s="5" t="s">
        <v>2056</v>
      </c>
      <c r="F807" s="5" t="s">
        <v>373</v>
      </c>
      <c r="G807" s="5" t="s">
        <v>36</v>
      </c>
      <c r="H807" s="5" t="s">
        <v>36</v>
      </c>
      <c r="I807" s="5" t="s">
        <v>35</v>
      </c>
      <c r="J807" s="6">
        <v>1.0</v>
      </c>
      <c r="K807" s="6">
        <v>460.0</v>
      </c>
      <c r="L807" s="6">
        <v>115.0</v>
      </c>
      <c r="M807" s="5" t="s">
        <v>54</v>
      </c>
      <c r="N807" s="5" t="s">
        <v>142</v>
      </c>
      <c r="O807" s="6" t="s">
        <v>40</v>
      </c>
      <c r="P807" s="5" t="s">
        <v>59</v>
      </c>
      <c r="Q807" s="5" t="s">
        <v>60</v>
      </c>
      <c r="R807" s="6" t="s">
        <v>42</v>
      </c>
      <c r="S807" s="5" t="s">
        <v>159</v>
      </c>
      <c r="T807" s="5" t="s">
        <v>62</v>
      </c>
      <c r="U807" s="5" t="s">
        <v>44</v>
      </c>
      <c r="V807" s="5" t="s">
        <v>44</v>
      </c>
      <c r="W807" s="5" t="s">
        <v>36</v>
      </c>
      <c r="X807" s="5" t="s">
        <v>521</v>
      </c>
      <c r="Y807" s="5" t="s">
        <v>46</v>
      </c>
      <c r="Z807" s="5" t="s">
        <v>47</v>
      </c>
      <c r="AA807" s="5" t="s">
        <v>64</v>
      </c>
      <c r="AB807" s="5" t="s">
        <v>3834</v>
      </c>
      <c r="AC807" s="6" t="s">
        <v>1910</v>
      </c>
      <c r="AD807" s="6">
        <v>1870.0</v>
      </c>
    </row>
    <row r="808" ht="56.25" customHeight="1">
      <c r="A808" s="5" t="s">
        <v>3600</v>
      </c>
      <c r="B808" s="6" t="str">
        <f>IMAGE("https://storage.googleapis.com/acdb/miscellaneous/FtrMug_Remake_7_5.png")</f>
        <v/>
      </c>
      <c r="C808" s="5" t="s">
        <v>54</v>
      </c>
      <c r="D808" s="5" t="s">
        <v>34</v>
      </c>
      <c r="E808" s="5" t="s">
        <v>3626</v>
      </c>
      <c r="F808" s="5" t="s">
        <v>373</v>
      </c>
      <c r="G808" s="5" t="s">
        <v>36</v>
      </c>
      <c r="H808" s="5" t="s">
        <v>36</v>
      </c>
      <c r="I808" s="5" t="s">
        <v>35</v>
      </c>
      <c r="J808" s="6">
        <v>1.0</v>
      </c>
      <c r="K808" s="6">
        <v>460.0</v>
      </c>
      <c r="L808" s="6">
        <v>115.0</v>
      </c>
      <c r="M808" s="5" t="s">
        <v>54</v>
      </c>
      <c r="N808" s="5" t="s">
        <v>114</v>
      </c>
      <c r="O808" s="6" t="s">
        <v>40</v>
      </c>
      <c r="P808" s="5" t="s">
        <v>59</v>
      </c>
      <c r="Q808" s="5" t="s">
        <v>60</v>
      </c>
      <c r="R808" s="6" t="s">
        <v>42</v>
      </c>
      <c r="S808" s="5" t="s">
        <v>159</v>
      </c>
      <c r="T808" s="5" t="s">
        <v>62</v>
      </c>
      <c r="U808" s="5" t="s">
        <v>44</v>
      </c>
      <c r="V808" s="5" t="s">
        <v>44</v>
      </c>
      <c r="W808" s="5" t="s">
        <v>36</v>
      </c>
      <c r="X808" s="5" t="s">
        <v>521</v>
      </c>
      <c r="Y808" s="5" t="s">
        <v>46</v>
      </c>
      <c r="Z808" s="5" t="s">
        <v>47</v>
      </c>
      <c r="AA808" s="5" t="s">
        <v>64</v>
      </c>
      <c r="AB808" s="5" t="s">
        <v>3838</v>
      </c>
      <c r="AC808" s="6" t="s">
        <v>1915</v>
      </c>
      <c r="AD808" s="6">
        <v>1870.0</v>
      </c>
    </row>
    <row r="809" ht="56.25" customHeight="1">
      <c r="A809" s="5" t="s">
        <v>3839</v>
      </c>
      <c r="B809" s="6" t="str">
        <f>IMAGE("https://storage.googleapis.com/acdb/miscellaneous/FtrNailartset_Remake_0_0.png")</f>
        <v/>
      </c>
      <c r="C809" s="5" t="s">
        <v>69</v>
      </c>
      <c r="D809" s="5" t="s">
        <v>34</v>
      </c>
      <c r="E809" s="5" t="s">
        <v>34</v>
      </c>
      <c r="F809" s="5" t="s">
        <v>34</v>
      </c>
      <c r="G809" s="5" t="s">
        <v>36</v>
      </c>
      <c r="H809" s="5" t="s">
        <v>36</v>
      </c>
      <c r="I809" s="5" t="s">
        <v>36</v>
      </c>
      <c r="J809" s="6" t="s">
        <v>34</v>
      </c>
      <c r="K809" s="6">
        <v>1000.0</v>
      </c>
      <c r="L809" s="6">
        <v>250.0</v>
      </c>
      <c r="M809" s="5" t="s">
        <v>69</v>
      </c>
      <c r="N809" s="5" t="s">
        <v>58</v>
      </c>
      <c r="O809" s="6" t="s">
        <v>40</v>
      </c>
      <c r="P809" s="5" t="s">
        <v>59</v>
      </c>
      <c r="Q809" s="5" t="s">
        <v>60</v>
      </c>
      <c r="R809" s="6" t="s">
        <v>42</v>
      </c>
      <c r="S809" s="5" t="s">
        <v>99</v>
      </c>
      <c r="T809" s="5" t="s">
        <v>61</v>
      </c>
      <c r="U809" s="5" t="s">
        <v>44</v>
      </c>
      <c r="V809" s="5" t="s">
        <v>44</v>
      </c>
      <c r="W809" s="5" t="s">
        <v>35</v>
      </c>
      <c r="X809" s="5" t="s">
        <v>63</v>
      </c>
      <c r="Y809" s="5" t="s">
        <v>46</v>
      </c>
      <c r="Z809" s="5" t="s">
        <v>47</v>
      </c>
      <c r="AA809" s="5" t="s">
        <v>64</v>
      </c>
      <c r="AB809" s="5" t="s">
        <v>3843</v>
      </c>
      <c r="AC809" s="6" t="s">
        <v>50</v>
      </c>
      <c r="AD809" s="6">
        <v>4076.0</v>
      </c>
    </row>
    <row r="810" ht="56.25" customHeight="1">
      <c r="A810" s="5" t="s">
        <v>3839</v>
      </c>
      <c r="B810" s="6" t="str">
        <f>IMAGE("https://storage.googleapis.com/acdb/miscellaneous/FtrNailartset_Remake_1_0.png")</f>
        <v/>
      </c>
      <c r="C810" s="5" t="s">
        <v>54</v>
      </c>
      <c r="D810" s="5" t="s">
        <v>34</v>
      </c>
      <c r="E810" s="5" t="s">
        <v>34</v>
      </c>
      <c r="F810" s="5" t="s">
        <v>34</v>
      </c>
      <c r="G810" s="5" t="s">
        <v>36</v>
      </c>
      <c r="H810" s="5" t="s">
        <v>36</v>
      </c>
      <c r="I810" s="5" t="s">
        <v>36</v>
      </c>
      <c r="J810" s="6" t="s">
        <v>34</v>
      </c>
      <c r="K810" s="6">
        <v>1000.0</v>
      </c>
      <c r="L810" s="6">
        <v>250.0</v>
      </c>
      <c r="M810" s="5" t="s">
        <v>54</v>
      </c>
      <c r="N810" s="5" t="s">
        <v>58</v>
      </c>
      <c r="O810" s="6" t="s">
        <v>40</v>
      </c>
      <c r="P810" s="5" t="s">
        <v>59</v>
      </c>
      <c r="Q810" s="5" t="s">
        <v>60</v>
      </c>
      <c r="R810" s="6" t="s">
        <v>42</v>
      </c>
      <c r="S810" s="5" t="s">
        <v>99</v>
      </c>
      <c r="T810" s="5" t="s">
        <v>61</v>
      </c>
      <c r="U810" s="5" t="s">
        <v>44</v>
      </c>
      <c r="V810" s="5" t="s">
        <v>44</v>
      </c>
      <c r="W810" s="5" t="s">
        <v>35</v>
      </c>
      <c r="X810" s="5" t="s">
        <v>63</v>
      </c>
      <c r="Y810" s="5" t="s">
        <v>46</v>
      </c>
      <c r="Z810" s="5" t="s">
        <v>47</v>
      </c>
      <c r="AA810" s="5" t="s">
        <v>64</v>
      </c>
      <c r="AB810" s="5" t="s">
        <v>3846</v>
      </c>
      <c r="AC810" s="6" t="s">
        <v>56</v>
      </c>
      <c r="AD810" s="6">
        <v>4076.0</v>
      </c>
    </row>
    <row r="811" ht="56.25" customHeight="1">
      <c r="A811" s="5" t="s">
        <v>3848</v>
      </c>
      <c r="B811" s="16" t="str">
        <f>IMAGE("https://storage.googleapis.com/acdb/miscellaneous/FtrFishNaporeonfishToy.png")</f>
        <v/>
      </c>
      <c r="C811" s="5" t="s">
        <v>34</v>
      </c>
      <c r="D811" s="5" t="s">
        <v>34</v>
      </c>
      <c r="E811" s="5" t="s">
        <v>34</v>
      </c>
      <c r="F811" s="5" t="s">
        <v>34</v>
      </c>
      <c r="G811" s="5" t="s">
        <v>36</v>
      </c>
      <c r="H811" s="5" t="s">
        <v>36</v>
      </c>
      <c r="I811" s="5" t="s">
        <v>36</v>
      </c>
      <c r="J811" s="6" t="s">
        <v>34</v>
      </c>
      <c r="K811" s="6" t="s">
        <v>37</v>
      </c>
      <c r="L811" s="6">
        <v>30000.0</v>
      </c>
      <c r="M811" s="5" t="s">
        <v>83</v>
      </c>
      <c r="N811" s="5" t="s">
        <v>54</v>
      </c>
      <c r="O811" s="6" t="s">
        <v>40</v>
      </c>
      <c r="P811" s="5" t="s">
        <v>213</v>
      </c>
      <c r="Q811" s="5" t="s">
        <v>215</v>
      </c>
      <c r="R811" s="6" t="s">
        <v>42</v>
      </c>
      <c r="S811" s="5" t="s">
        <v>44</v>
      </c>
      <c r="T811" s="5" t="s">
        <v>44</v>
      </c>
      <c r="U811" s="5" t="s">
        <v>44</v>
      </c>
      <c r="V811" s="5" t="s">
        <v>44</v>
      </c>
      <c r="W811" s="5" t="s">
        <v>36</v>
      </c>
      <c r="X811" s="5" t="s">
        <v>219</v>
      </c>
      <c r="Y811" s="5" t="s">
        <v>46</v>
      </c>
      <c r="Z811" s="5" t="s">
        <v>47</v>
      </c>
      <c r="AA811" s="5" t="s">
        <v>48</v>
      </c>
      <c r="AB811" s="5" t="s">
        <v>3851</v>
      </c>
      <c r="AC811" s="6" t="s">
        <v>34</v>
      </c>
      <c r="AD811" s="6">
        <v>6989.0</v>
      </c>
    </row>
    <row r="812" ht="56.25" customHeight="1">
      <c r="A812" s="5" t="s">
        <v>3852</v>
      </c>
      <c r="B812" s="16" t="str">
        <f>IMAGE("https://storage.googleapis.com/acdb/miscellaneous/FtrFishNeontetoraToy.png")</f>
        <v/>
      </c>
      <c r="C812" s="5" t="s">
        <v>34</v>
      </c>
      <c r="D812" s="5" t="s">
        <v>34</v>
      </c>
      <c r="E812" s="5" t="s">
        <v>34</v>
      </c>
      <c r="F812" s="5" t="s">
        <v>34</v>
      </c>
      <c r="G812" s="5" t="s">
        <v>36</v>
      </c>
      <c r="H812" s="5" t="s">
        <v>36</v>
      </c>
      <c r="I812" s="5" t="s">
        <v>36</v>
      </c>
      <c r="J812" s="6" t="s">
        <v>34</v>
      </c>
      <c r="K812" s="6" t="s">
        <v>37</v>
      </c>
      <c r="L812" s="6">
        <v>1500.0</v>
      </c>
      <c r="M812" s="5" t="s">
        <v>83</v>
      </c>
      <c r="N812" s="5" t="s">
        <v>54</v>
      </c>
      <c r="O812" s="6" t="s">
        <v>40</v>
      </c>
      <c r="P812" s="5" t="s">
        <v>213</v>
      </c>
      <c r="Q812" s="5" t="s">
        <v>215</v>
      </c>
      <c r="R812" s="6" t="s">
        <v>42</v>
      </c>
      <c r="S812" s="5" t="s">
        <v>44</v>
      </c>
      <c r="T812" s="5" t="s">
        <v>44</v>
      </c>
      <c r="U812" s="5" t="s">
        <v>44</v>
      </c>
      <c r="V812" s="5" t="s">
        <v>44</v>
      </c>
      <c r="W812" s="5" t="s">
        <v>36</v>
      </c>
      <c r="X812" s="5" t="s">
        <v>219</v>
      </c>
      <c r="Y812" s="5" t="s">
        <v>46</v>
      </c>
      <c r="Z812" s="5" t="s">
        <v>47</v>
      </c>
      <c r="AA812" s="5" t="s">
        <v>48</v>
      </c>
      <c r="AB812" s="5" t="s">
        <v>3856</v>
      </c>
      <c r="AC812" s="6" t="s">
        <v>34</v>
      </c>
      <c r="AD812" s="6">
        <v>6990.0</v>
      </c>
    </row>
    <row r="813" ht="56.25" customHeight="1">
      <c r="A813" s="5" t="s">
        <v>3857</v>
      </c>
      <c r="B813" s="16" t="str">
        <f>IMAGE("https://storage.googleapis.com/acdb/miscellaneous/FtrCradleNewton.png")</f>
        <v/>
      </c>
      <c r="C813" s="5" t="s">
        <v>34</v>
      </c>
      <c r="D813" s="5" t="s">
        <v>34</v>
      </c>
      <c r="E813" s="5" t="s">
        <v>34</v>
      </c>
      <c r="F813" s="5" t="s">
        <v>34</v>
      </c>
      <c r="G813" s="5" t="s">
        <v>36</v>
      </c>
      <c r="H813" s="5" t="s">
        <v>36</v>
      </c>
      <c r="I813" s="5" t="s">
        <v>36</v>
      </c>
      <c r="J813" s="6" t="s">
        <v>34</v>
      </c>
      <c r="K813" s="6">
        <v>1300.0</v>
      </c>
      <c r="L813" s="6">
        <v>325.0</v>
      </c>
      <c r="M813" s="5" t="s">
        <v>95</v>
      </c>
      <c r="N813" s="5" t="s">
        <v>54</v>
      </c>
      <c r="O813" s="6" t="s">
        <v>40</v>
      </c>
      <c r="P813" s="5" t="s">
        <v>59</v>
      </c>
      <c r="Q813" s="5" t="s">
        <v>60</v>
      </c>
      <c r="R813" s="6" t="s">
        <v>42</v>
      </c>
      <c r="S813" s="5" t="s">
        <v>130</v>
      </c>
      <c r="T813" s="5" t="s">
        <v>141</v>
      </c>
      <c r="U813" s="5" t="s">
        <v>44</v>
      </c>
      <c r="V813" s="5" t="s">
        <v>44</v>
      </c>
      <c r="W813" s="5" t="s">
        <v>35</v>
      </c>
      <c r="X813" s="5" t="s">
        <v>921</v>
      </c>
      <c r="Y813" s="5" t="s">
        <v>46</v>
      </c>
      <c r="Z813" s="5" t="s">
        <v>47</v>
      </c>
      <c r="AA813" s="5" t="s">
        <v>64</v>
      </c>
      <c r="AB813" s="5" t="s">
        <v>3861</v>
      </c>
      <c r="AC813" s="6" t="s">
        <v>34</v>
      </c>
      <c r="AD813" s="6">
        <v>8464.0</v>
      </c>
    </row>
    <row r="814" ht="56.25" customHeight="1">
      <c r="A814" s="5" t="s">
        <v>3863</v>
      </c>
      <c r="B814" s="16" t="str">
        <f>IMAGE("https://storage.googleapis.com/acdb/miscellaneous/FtrFishDokutaafishToy.png")</f>
        <v/>
      </c>
      <c r="C814" s="5" t="s">
        <v>34</v>
      </c>
      <c r="D814" s="5" t="s">
        <v>34</v>
      </c>
      <c r="E814" s="5" t="s">
        <v>34</v>
      </c>
      <c r="F814" s="5" t="s">
        <v>34</v>
      </c>
      <c r="G814" s="5" t="s">
        <v>36</v>
      </c>
      <c r="H814" s="5" t="s">
        <v>36</v>
      </c>
      <c r="I814" s="5" t="s">
        <v>36</v>
      </c>
      <c r="J814" s="6" t="s">
        <v>34</v>
      </c>
      <c r="K814" s="6" t="s">
        <v>37</v>
      </c>
      <c r="L814" s="6">
        <v>4500.0</v>
      </c>
      <c r="M814" s="5" t="s">
        <v>39</v>
      </c>
      <c r="N814" s="5" t="s">
        <v>54</v>
      </c>
      <c r="O814" s="6" t="s">
        <v>40</v>
      </c>
      <c r="P814" s="5" t="s">
        <v>213</v>
      </c>
      <c r="Q814" s="5" t="s">
        <v>215</v>
      </c>
      <c r="R814" s="6" t="s">
        <v>42</v>
      </c>
      <c r="S814" s="5" t="s">
        <v>44</v>
      </c>
      <c r="T814" s="5" t="s">
        <v>44</v>
      </c>
      <c r="U814" s="5" t="s">
        <v>44</v>
      </c>
      <c r="V814" s="5" t="s">
        <v>44</v>
      </c>
      <c r="W814" s="5" t="s">
        <v>36</v>
      </c>
      <c r="X814" s="5" t="s">
        <v>219</v>
      </c>
      <c r="Y814" s="5" t="s">
        <v>46</v>
      </c>
      <c r="Z814" s="5" t="s">
        <v>47</v>
      </c>
      <c r="AA814" s="5" t="s">
        <v>48</v>
      </c>
      <c r="AB814" s="5" t="s">
        <v>3867</v>
      </c>
      <c r="AC814" s="6" t="s">
        <v>34</v>
      </c>
      <c r="AD814" s="6">
        <v>6945.0</v>
      </c>
    </row>
    <row r="815" ht="56.25" customHeight="1">
      <c r="A815" s="5" t="s">
        <v>3869</v>
      </c>
      <c r="B815" s="16" t="str">
        <f>IMAGE("https://storage.googleapis.com/acdb/miscellaneous/FtrSwitch_Remake_0_0.png")</f>
        <v/>
      </c>
      <c r="C815" s="5" t="s">
        <v>3871</v>
      </c>
      <c r="D815" s="5"/>
      <c r="E815" s="5" t="s">
        <v>34</v>
      </c>
      <c r="F815" s="5" t="s">
        <v>34</v>
      </c>
      <c r="G815" s="5" t="s">
        <v>36</v>
      </c>
      <c r="H815" s="5" t="s">
        <v>35</v>
      </c>
      <c r="I815" s="5" t="s">
        <v>36</v>
      </c>
      <c r="J815" s="6">
        <v>7.0</v>
      </c>
      <c r="K815" s="6">
        <v>29980.0</v>
      </c>
      <c r="L815" s="6">
        <v>7495.0</v>
      </c>
      <c r="M815" s="5"/>
      <c r="N815" s="5"/>
      <c r="O815" s="6" t="s">
        <v>40</v>
      </c>
      <c r="P815" s="5" t="s">
        <v>3872</v>
      </c>
      <c r="Q815" s="5"/>
      <c r="R815" s="6" t="s">
        <v>98</v>
      </c>
      <c r="S815" s="5" t="s">
        <v>99</v>
      </c>
      <c r="T815" s="5" t="s">
        <v>90</v>
      </c>
      <c r="U815" s="5" t="s">
        <v>44</v>
      </c>
      <c r="V815" s="5" t="s">
        <v>44</v>
      </c>
      <c r="W815" s="5" t="s">
        <v>35</v>
      </c>
      <c r="X815" s="5" t="s">
        <v>101</v>
      </c>
      <c r="Y815" s="5" t="s">
        <v>46</v>
      </c>
      <c r="Z815" s="5" t="s">
        <v>102</v>
      </c>
      <c r="AA815" s="5" t="s">
        <v>64</v>
      </c>
      <c r="AB815" s="5" t="s">
        <v>3876</v>
      </c>
      <c r="AC815" s="6" t="s">
        <v>50</v>
      </c>
      <c r="AD815" s="6">
        <v>12543.0</v>
      </c>
    </row>
    <row r="816" ht="56.25" customHeight="1">
      <c r="A816" s="5" t="s">
        <v>3869</v>
      </c>
      <c r="B816" s="16" t="str">
        <f>IMAGE("https://storage.googleapis.com/acdb/miscellaneous/FtrSwitch_Remake_1_0.png")</f>
        <v/>
      </c>
      <c r="C816" s="5" t="s">
        <v>95</v>
      </c>
      <c r="D816" s="5"/>
      <c r="E816" s="5" t="s">
        <v>34</v>
      </c>
      <c r="F816" s="5" t="s">
        <v>34</v>
      </c>
      <c r="G816" s="5" t="s">
        <v>36</v>
      </c>
      <c r="H816" s="5" t="s">
        <v>35</v>
      </c>
      <c r="I816" s="5" t="s">
        <v>36</v>
      </c>
      <c r="J816" s="6">
        <v>7.0</v>
      </c>
      <c r="K816" s="6">
        <v>29980.0</v>
      </c>
      <c r="L816" s="6">
        <v>7495.0</v>
      </c>
      <c r="M816" s="5"/>
      <c r="N816" s="5"/>
      <c r="O816" s="6" t="s">
        <v>40</v>
      </c>
      <c r="P816" s="5" t="s">
        <v>3872</v>
      </c>
      <c r="Q816" s="5"/>
      <c r="R816" s="6" t="s">
        <v>98</v>
      </c>
      <c r="S816" s="5" t="s">
        <v>99</v>
      </c>
      <c r="T816" s="5" t="s">
        <v>90</v>
      </c>
      <c r="U816" s="5" t="s">
        <v>44</v>
      </c>
      <c r="V816" s="5" t="s">
        <v>44</v>
      </c>
      <c r="W816" s="5" t="s">
        <v>35</v>
      </c>
      <c r="X816" s="5" t="s">
        <v>101</v>
      </c>
      <c r="Y816" s="5" t="s">
        <v>46</v>
      </c>
      <c r="Z816" s="5" t="s">
        <v>102</v>
      </c>
      <c r="AA816" s="5" t="s">
        <v>64</v>
      </c>
      <c r="AB816" s="5" t="s">
        <v>3880</v>
      </c>
      <c r="AC816" s="6" t="s">
        <v>56</v>
      </c>
      <c r="AD816" s="6">
        <v>12543.0</v>
      </c>
    </row>
    <row r="817" ht="56.25" customHeight="1">
      <c r="A817" s="5" t="s">
        <v>3881</v>
      </c>
      <c r="B817" s="6" t="str">
        <f>IMAGE("https://storage.googleapis.com/acdb/miscellaneous/FtrStarLamp_Remake_0_0.png")</f>
        <v/>
      </c>
      <c r="C817" s="5" t="s">
        <v>114</v>
      </c>
      <c r="D817" s="5" t="s">
        <v>135</v>
      </c>
      <c r="E817" s="5" t="s">
        <v>34</v>
      </c>
      <c r="F817" s="5" t="s">
        <v>34</v>
      </c>
      <c r="G817" s="5" t="s">
        <v>35</v>
      </c>
      <c r="H817" s="5" t="s">
        <v>35</v>
      </c>
      <c r="I817" s="5" t="s">
        <v>36</v>
      </c>
      <c r="J817" s="6">
        <v>4.0</v>
      </c>
      <c r="K817" s="6" t="s">
        <v>37</v>
      </c>
      <c r="L817" s="6">
        <v>2500.0</v>
      </c>
      <c r="M817" s="5" t="s">
        <v>114</v>
      </c>
      <c r="N817" s="5" t="s">
        <v>114</v>
      </c>
      <c r="O817" s="6" t="s">
        <v>40</v>
      </c>
      <c r="P817" s="5" t="s">
        <v>41</v>
      </c>
      <c r="Q817" s="5"/>
      <c r="R817" s="6" t="s">
        <v>42</v>
      </c>
      <c r="S817" s="5" t="s">
        <v>401</v>
      </c>
      <c r="T817" s="5" t="s">
        <v>61</v>
      </c>
      <c r="U817" s="5" t="s">
        <v>349</v>
      </c>
      <c r="V817" s="5" t="s">
        <v>44</v>
      </c>
      <c r="W817" s="5" t="s">
        <v>35</v>
      </c>
      <c r="X817" s="5" t="s">
        <v>467</v>
      </c>
      <c r="Y817" s="5" t="s">
        <v>46</v>
      </c>
      <c r="Z817" s="5" t="s">
        <v>502</v>
      </c>
      <c r="AA817" s="5" t="s">
        <v>48</v>
      </c>
      <c r="AB817" s="5" t="s">
        <v>3884</v>
      </c>
      <c r="AC817" s="6" t="s">
        <v>50</v>
      </c>
      <c r="AD817" s="6">
        <v>6826.0</v>
      </c>
    </row>
    <row r="818" ht="56.25" customHeight="1">
      <c r="A818" s="5" t="s">
        <v>3881</v>
      </c>
      <c r="B818" s="6" t="str">
        <f>IMAGE("https://storage.googleapis.com/acdb/miscellaneous/FtrStarLamp_Remake_1_0.png")</f>
        <v/>
      </c>
      <c r="C818" s="5" t="s">
        <v>96</v>
      </c>
      <c r="D818" s="5" t="s">
        <v>135</v>
      </c>
      <c r="E818" s="5" t="s">
        <v>34</v>
      </c>
      <c r="F818" s="5" t="s">
        <v>34</v>
      </c>
      <c r="G818" s="5" t="s">
        <v>35</v>
      </c>
      <c r="H818" s="5" t="s">
        <v>35</v>
      </c>
      <c r="I818" s="5" t="s">
        <v>36</v>
      </c>
      <c r="J818" s="6">
        <v>4.0</v>
      </c>
      <c r="K818" s="6" t="s">
        <v>37</v>
      </c>
      <c r="L818" s="6">
        <v>2500.0</v>
      </c>
      <c r="M818" s="5" t="s">
        <v>96</v>
      </c>
      <c r="N818" s="5" t="s">
        <v>96</v>
      </c>
      <c r="O818" s="6" t="s">
        <v>40</v>
      </c>
      <c r="P818" s="5" t="s">
        <v>41</v>
      </c>
      <c r="Q818" s="5"/>
      <c r="R818" s="6" t="s">
        <v>42</v>
      </c>
      <c r="S818" s="5" t="s">
        <v>401</v>
      </c>
      <c r="T818" s="5" t="s">
        <v>61</v>
      </c>
      <c r="U818" s="5" t="s">
        <v>349</v>
      </c>
      <c r="V818" s="5" t="s">
        <v>44</v>
      </c>
      <c r="W818" s="5" t="s">
        <v>35</v>
      </c>
      <c r="X818" s="5" t="s">
        <v>467</v>
      </c>
      <c r="Y818" s="5" t="s">
        <v>46</v>
      </c>
      <c r="Z818" s="5" t="s">
        <v>502</v>
      </c>
      <c r="AA818" s="5" t="s">
        <v>48</v>
      </c>
      <c r="AB818" s="5" t="s">
        <v>3889</v>
      </c>
      <c r="AC818" s="6" t="s">
        <v>56</v>
      </c>
      <c r="AD818" s="6">
        <v>6826.0</v>
      </c>
    </row>
    <row r="819" ht="56.25" customHeight="1">
      <c r="A819" s="5" t="s">
        <v>3881</v>
      </c>
      <c r="B819" s="6" t="str">
        <f>IMAGE("https://storage.googleapis.com/acdb/miscellaneous/FtrStarLamp_Remake_2_0.png")</f>
        <v/>
      </c>
      <c r="C819" s="5" t="s">
        <v>68</v>
      </c>
      <c r="D819" s="5" t="s">
        <v>135</v>
      </c>
      <c r="E819" s="5" t="s">
        <v>34</v>
      </c>
      <c r="F819" s="5" t="s">
        <v>34</v>
      </c>
      <c r="G819" s="5" t="s">
        <v>35</v>
      </c>
      <c r="H819" s="5" t="s">
        <v>35</v>
      </c>
      <c r="I819" s="5" t="s">
        <v>36</v>
      </c>
      <c r="J819" s="6">
        <v>4.0</v>
      </c>
      <c r="K819" s="6" t="s">
        <v>37</v>
      </c>
      <c r="L819" s="6">
        <v>2500.0</v>
      </c>
      <c r="M819" s="5" t="s">
        <v>83</v>
      </c>
      <c r="N819" s="5" t="s">
        <v>83</v>
      </c>
      <c r="O819" s="6" t="s">
        <v>40</v>
      </c>
      <c r="P819" s="5" t="s">
        <v>41</v>
      </c>
      <c r="Q819" s="5"/>
      <c r="R819" s="6" t="s">
        <v>42</v>
      </c>
      <c r="S819" s="5" t="s">
        <v>401</v>
      </c>
      <c r="T819" s="5" t="s">
        <v>61</v>
      </c>
      <c r="U819" s="5" t="s">
        <v>349</v>
      </c>
      <c r="V819" s="5" t="s">
        <v>44</v>
      </c>
      <c r="W819" s="5" t="s">
        <v>35</v>
      </c>
      <c r="X819" s="5" t="s">
        <v>467</v>
      </c>
      <c r="Y819" s="5" t="s">
        <v>46</v>
      </c>
      <c r="Z819" s="5" t="s">
        <v>502</v>
      </c>
      <c r="AA819" s="5" t="s">
        <v>48</v>
      </c>
      <c r="AB819" s="5" t="s">
        <v>3893</v>
      </c>
      <c r="AC819" s="6" t="s">
        <v>67</v>
      </c>
      <c r="AD819" s="6">
        <v>6826.0</v>
      </c>
    </row>
    <row r="820" ht="56.25" customHeight="1">
      <c r="A820" s="5" t="s">
        <v>3881</v>
      </c>
      <c r="B820" s="6" t="str">
        <f>IMAGE("https://storage.googleapis.com/acdb/miscellaneous/FtrStarLamp_Remake_3_0.png")</f>
        <v/>
      </c>
      <c r="C820" s="5" t="s">
        <v>106</v>
      </c>
      <c r="D820" s="5" t="s">
        <v>135</v>
      </c>
      <c r="E820" s="5" t="s">
        <v>34</v>
      </c>
      <c r="F820" s="5" t="s">
        <v>34</v>
      </c>
      <c r="G820" s="5" t="s">
        <v>35</v>
      </c>
      <c r="H820" s="5" t="s">
        <v>35</v>
      </c>
      <c r="I820" s="5" t="s">
        <v>36</v>
      </c>
      <c r="J820" s="6">
        <v>4.0</v>
      </c>
      <c r="K820" s="6" t="s">
        <v>37</v>
      </c>
      <c r="L820" s="6">
        <v>2500.0</v>
      </c>
      <c r="M820" s="5" t="s">
        <v>106</v>
      </c>
      <c r="N820" s="5" t="s">
        <v>106</v>
      </c>
      <c r="O820" s="6" t="s">
        <v>40</v>
      </c>
      <c r="P820" s="5" t="s">
        <v>41</v>
      </c>
      <c r="Q820" s="5"/>
      <c r="R820" s="6" t="s">
        <v>42</v>
      </c>
      <c r="S820" s="5" t="s">
        <v>401</v>
      </c>
      <c r="T820" s="5" t="s">
        <v>61</v>
      </c>
      <c r="U820" s="5" t="s">
        <v>349</v>
      </c>
      <c r="V820" s="5" t="s">
        <v>44</v>
      </c>
      <c r="W820" s="5" t="s">
        <v>35</v>
      </c>
      <c r="X820" s="5" t="s">
        <v>467</v>
      </c>
      <c r="Y820" s="5" t="s">
        <v>46</v>
      </c>
      <c r="Z820" s="5" t="s">
        <v>502</v>
      </c>
      <c r="AA820" s="5" t="s">
        <v>48</v>
      </c>
      <c r="AB820" s="5" t="s">
        <v>3896</v>
      </c>
      <c r="AC820" s="6" t="s">
        <v>71</v>
      </c>
      <c r="AD820" s="6">
        <v>6826.0</v>
      </c>
    </row>
    <row r="821" ht="56.25" customHeight="1">
      <c r="A821" s="5" t="s">
        <v>3881</v>
      </c>
      <c r="B821" s="6" t="str">
        <f>IMAGE("https://storage.googleapis.com/acdb/miscellaneous/FtrStarLamp_Remake_4_0.png")</f>
        <v/>
      </c>
      <c r="C821" s="5" t="s">
        <v>69</v>
      </c>
      <c r="D821" s="5" t="s">
        <v>135</v>
      </c>
      <c r="E821" s="5" t="s">
        <v>34</v>
      </c>
      <c r="F821" s="5" t="s">
        <v>34</v>
      </c>
      <c r="G821" s="5" t="s">
        <v>35</v>
      </c>
      <c r="H821" s="5" t="s">
        <v>35</v>
      </c>
      <c r="I821" s="5" t="s">
        <v>36</v>
      </c>
      <c r="J821" s="6">
        <v>4.0</v>
      </c>
      <c r="K821" s="6" t="s">
        <v>37</v>
      </c>
      <c r="L821" s="6">
        <v>2500.0</v>
      </c>
      <c r="M821" s="5" t="s">
        <v>69</v>
      </c>
      <c r="N821" s="5" t="s">
        <v>69</v>
      </c>
      <c r="O821" s="6" t="s">
        <v>40</v>
      </c>
      <c r="P821" s="5" t="s">
        <v>41</v>
      </c>
      <c r="Q821" s="5"/>
      <c r="R821" s="6" t="s">
        <v>42</v>
      </c>
      <c r="S821" s="5" t="s">
        <v>401</v>
      </c>
      <c r="T821" s="5" t="s">
        <v>61</v>
      </c>
      <c r="U821" s="5" t="s">
        <v>349</v>
      </c>
      <c r="V821" s="5" t="s">
        <v>44</v>
      </c>
      <c r="W821" s="5" t="s">
        <v>35</v>
      </c>
      <c r="X821" s="5" t="s">
        <v>467</v>
      </c>
      <c r="Y821" s="5" t="s">
        <v>46</v>
      </c>
      <c r="Z821" s="5" t="s">
        <v>502</v>
      </c>
      <c r="AA821" s="5" t="s">
        <v>48</v>
      </c>
      <c r="AB821" s="5" t="s">
        <v>3899</v>
      </c>
      <c r="AC821" s="6" t="s">
        <v>75</v>
      </c>
      <c r="AD821" s="6">
        <v>6826.0</v>
      </c>
    </row>
    <row r="822" ht="56.25" customHeight="1">
      <c r="A822" s="5" t="s">
        <v>3881</v>
      </c>
      <c r="B822" s="6" t="str">
        <f>IMAGE("https://storage.googleapis.com/acdb/miscellaneous/FtrStarLamp_Remake_5_0.png")</f>
        <v/>
      </c>
      <c r="C822" s="5" t="s">
        <v>142</v>
      </c>
      <c r="D822" s="5" t="s">
        <v>135</v>
      </c>
      <c r="E822" s="5" t="s">
        <v>34</v>
      </c>
      <c r="F822" s="5" t="s">
        <v>34</v>
      </c>
      <c r="G822" s="5" t="s">
        <v>35</v>
      </c>
      <c r="H822" s="5" t="s">
        <v>35</v>
      </c>
      <c r="I822" s="5" t="s">
        <v>36</v>
      </c>
      <c r="J822" s="6">
        <v>4.0</v>
      </c>
      <c r="K822" s="6" t="s">
        <v>37</v>
      </c>
      <c r="L822" s="6">
        <v>2500.0</v>
      </c>
      <c r="M822" s="5" t="s">
        <v>142</v>
      </c>
      <c r="N822" s="5" t="s">
        <v>142</v>
      </c>
      <c r="O822" s="6" t="s">
        <v>40</v>
      </c>
      <c r="P822" s="5" t="s">
        <v>41</v>
      </c>
      <c r="Q822" s="5"/>
      <c r="R822" s="6" t="s">
        <v>42</v>
      </c>
      <c r="S822" s="5" t="s">
        <v>401</v>
      </c>
      <c r="T822" s="5" t="s">
        <v>61</v>
      </c>
      <c r="U822" s="5" t="s">
        <v>349</v>
      </c>
      <c r="V822" s="5" t="s">
        <v>44</v>
      </c>
      <c r="W822" s="5" t="s">
        <v>35</v>
      </c>
      <c r="X822" s="5" t="s">
        <v>467</v>
      </c>
      <c r="Y822" s="5" t="s">
        <v>46</v>
      </c>
      <c r="Z822" s="5" t="s">
        <v>502</v>
      </c>
      <c r="AA822" s="5" t="s">
        <v>48</v>
      </c>
      <c r="AB822" s="5" t="s">
        <v>3902</v>
      </c>
      <c r="AC822" s="6" t="s">
        <v>79</v>
      </c>
      <c r="AD822" s="6">
        <v>6826.0</v>
      </c>
    </row>
    <row r="823" ht="56.25" customHeight="1">
      <c r="A823" s="5" t="s">
        <v>3881</v>
      </c>
      <c r="B823" s="6" t="str">
        <f>IMAGE("https://storage.googleapis.com/acdb/miscellaneous/FtrStarLamp_Remake_6_0.png")</f>
        <v/>
      </c>
      <c r="C823" s="5" t="s">
        <v>57</v>
      </c>
      <c r="D823" s="5" t="s">
        <v>135</v>
      </c>
      <c r="E823" s="5" t="s">
        <v>34</v>
      </c>
      <c r="F823" s="5" t="s">
        <v>34</v>
      </c>
      <c r="G823" s="5" t="s">
        <v>35</v>
      </c>
      <c r="H823" s="5" t="s">
        <v>35</v>
      </c>
      <c r="I823" s="5" t="s">
        <v>36</v>
      </c>
      <c r="J823" s="6">
        <v>4.0</v>
      </c>
      <c r="K823" s="6" t="s">
        <v>37</v>
      </c>
      <c r="L823" s="6">
        <v>2500.0</v>
      </c>
      <c r="M823" s="5" t="s">
        <v>57</v>
      </c>
      <c r="N823" s="5" t="s">
        <v>57</v>
      </c>
      <c r="O823" s="6" t="s">
        <v>40</v>
      </c>
      <c r="P823" s="5" t="s">
        <v>41</v>
      </c>
      <c r="Q823" s="5"/>
      <c r="R823" s="6" t="s">
        <v>42</v>
      </c>
      <c r="S823" s="5" t="s">
        <v>401</v>
      </c>
      <c r="T823" s="5" t="s">
        <v>61</v>
      </c>
      <c r="U823" s="5" t="s">
        <v>349</v>
      </c>
      <c r="V823" s="5" t="s">
        <v>44</v>
      </c>
      <c r="W823" s="5" t="s">
        <v>35</v>
      </c>
      <c r="X823" s="5" t="s">
        <v>467</v>
      </c>
      <c r="Y823" s="5" t="s">
        <v>46</v>
      </c>
      <c r="Z823" s="5" t="s">
        <v>502</v>
      </c>
      <c r="AA823" s="5" t="s">
        <v>48</v>
      </c>
      <c r="AB823" s="5" t="s">
        <v>3906</v>
      </c>
      <c r="AC823" s="6" t="s">
        <v>86</v>
      </c>
      <c r="AD823" s="6">
        <v>6826.0</v>
      </c>
    </row>
    <row r="824" ht="56.25" customHeight="1">
      <c r="A824" s="5" t="s">
        <v>3907</v>
      </c>
      <c r="B824" s="6" t="str">
        <f>IMAGE("https://storage.googleapis.com/acdb/miscellaneous/FtrNutcracker_Remake_0_0.png")</f>
        <v/>
      </c>
      <c r="C824" s="5" t="s">
        <v>52</v>
      </c>
      <c r="D824" s="5" t="s">
        <v>2</v>
      </c>
      <c r="E824" s="5" t="s">
        <v>34</v>
      </c>
      <c r="F824" s="5" t="s">
        <v>34</v>
      </c>
      <c r="G824" s="5" t="s">
        <v>36</v>
      </c>
      <c r="H824" s="5" t="s">
        <v>35</v>
      </c>
      <c r="I824" s="5" t="s">
        <v>36</v>
      </c>
      <c r="J824" s="6">
        <v>2.0</v>
      </c>
      <c r="K824" s="6" t="s">
        <v>37</v>
      </c>
      <c r="L824" s="6">
        <v>1200.0</v>
      </c>
      <c r="M824" s="5" t="s">
        <v>52</v>
      </c>
      <c r="N824" s="5" t="s">
        <v>95</v>
      </c>
      <c r="O824" s="6" t="s">
        <v>40</v>
      </c>
      <c r="P824" s="5" t="s">
        <v>1284</v>
      </c>
      <c r="Q824" s="5"/>
      <c r="R824" s="6" t="s">
        <v>42</v>
      </c>
      <c r="S824" s="5" t="s">
        <v>696</v>
      </c>
      <c r="T824" s="5" t="s">
        <v>44</v>
      </c>
      <c r="U824" s="5" t="s">
        <v>44</v>
      </c>
      <c r="V824" s="5" t="s">
        <v>44</v>
      </c>
      <c r="W824" s="5" t="s">
        <v>35</v>
      </c>
      <c r="X824" s="5" t="s">
        <v>1285</v>
      </c>
      <c r="Y824" s="5" t="s">
        <v>46</v>
      </c>
      <c r="Z824" s="5" t="s">
        <v>47</v>
      </c>
      <c r="AA824" s="5" t="s">
        <v>48</v>
      </c>
      <c r="AB824" s="5" t="s">
        <v>3911</v>
      </c>
      <c r="AC824" s="6" t="s">
        <v>50</v>
      </c>
      <c r="AD824" s="6">
        <v>7284.0</v>
      </c>
    </row>
    <row r="825" ht="56.25" customHeight="1">
      <c r="A825" s="5" t="s">
        <v>3907</v>
      </c>
      <c r="B825" s="6" t="str">
        <f>IMAGE("https://storage.googleapis.com/acdb/miscellaneous/FtrNutcracker_Remake_1_0.png")</f>
        <v/>
      </c>
      <c r="C825" s="5" t="s">
        <v>68</v>
      </c>
      <c r="D825" s="5" t="s">
        <v>2</v>
      </c>
      <c r="E825" s="5" t="s">
        <v>34</v>
      </c>
      <c r="F825" s="5" t="s">
        <v>34</v>
      </c>
      <c r="G825" s="5" t="s">
        <v>36</v>
      </c>
      <c r="H825" s="5" t="s">
        <v>35</v>
      </c>
      <c r="I825" s="5" t="s">
        <v>36</v>
      </c>
      <c r="J825" s="6">
        <v>2.0</v>
      </c>
      <c r="K825" s="6" t="s">
        <v>37</v>
      </c>
      <c r="L825" s="6">
        <v>1200.0</v>
      </c>
      <c r="M825" s="5" t="s">
        <v>68</v>
      </c>
      <c r="N825" s="5" t="s">
        <v>96</v>
      </c>
      <c r="O825" s="6" t="s">
        <v>40</v>
      </c>
      <c r="P825" s="5" t="s">
        <v>1284</v>
      </c>
      <c r="Q825" s="5"/>
      <c r="R825" s="6" t="s">
        <v>42</v>
      </c>
      <c r="S825" s="5" t="s">
        <v>696</v>
      </c>
      <c r="T825" s="5" t="s">
        <v>44</v>
      </c>
      <c r="U825" s="5" t="s">
        <v>44</v>
      </c>
      <c r="V825" s="5" t="s">
        <v>44</v>
      </c>
      <c r="W825" s="5" t="s">
        <v>35</v>
      </c>
      <c r="X825" s="5" t="s">
        <v>1285</v>
      </c>
      <c r="Y825" s="5" t="s">
        <v>46</v>
      </c>
      <c r="Z825" s="5" t="s">
        <v>47</v>
      </c>
      <c r="AA825" s="5" t="s">
        <v>48</v>
      </c>
      <c r="AB825" s="5" t="s">
        <v>3916</v>
      </c>
      <c r="AC825" s="6" t="s">
        <v>56</v>
      </c>
      <c r="AD825" s="6">
        <v>7284.0</v>
      </c>
    </row>
    <row r="826" ht="56.25" customHeight="1">
      <c r="A826" s="5" t="s">
        <v>3918</v>
      </c>
      <c r="B826" s="6" t="str">
        <f>IMAGE("https://storage.googleapis.com/acdb/miscellaneous/FtrFishRyuuguunotukaiToy.png")</f>
        <v/>
      </c>
      <c r="C826" s="5" t="s">
        <v>34</v>
      </c>
      <c r="D826" s="5" t="s">
        <v>34</v>
      </c>
      <c r="E826" s="5" t="s">
        <v>34</v>
      </c>
      <c r="F826" s="5" t="s">
        <v>34</v>
      </c>
      <c r="G826" s="5" t="s">
        <v>36</v>
      </c>
      <c r="H826" s="5" t="s">
        <v>36</v>
      </c>
      <c r="I826" s="5" t="s">
        <v>36</v>
      </c>
      <c r="J826" s="6" t="s">
        <v>34</v>
      </c>
      <c r="K826" s="6" t="s">
        <v>37</v>
      </c>
      <c r="L826" s="6">
        <v>27000.0</v>
      </c>
      <c r="M826" s="5" t="s">
        <v>52</v>
      </c>
      <c r="N826" s="5" t="s">
        <v>68</v>
      </c>
      <c r="O826" s="6" t="s">
        <v>276</v>
      </c>
      <c r="P826" s="5" t="s">
        <v>213</v>
      </c>
      <c r="Q826" s="5" t="s">
        <v>215</v>
      </c>
      <c r="R826" s="6" t="s">
        <v>42</v>
      </c>
      <c r="S826" s="5" t="s">
        <v>44</v>
      </c>
      <c r="T826" s="5" t="s">
        <v>44</v>
      </c>
      <c r="U826" s="5" t="s">
        <v>44</v>
      </c>
      <c r="V826" s="5" t="s">
        <v>44</v>
      </c>
      <c r="W826" s="5" t="s">
        <v>36</v>
      </c>
      <c r="X826" s="5" t="s">
        <v>219</v>
      </c>
      <c r="Y826" s="5" t="s">
        <v>46</v>
      </c>
      <c r="Z826" s="5" t="s">
        <v>47</v>
      </c>
      <c r="AA826" s="5" t="s">
        <v>48</v>
      </c>
      <c r="AB826" s="5" t="s">
        <v>3920</v>
      </c>
      <c r="AC826" s="6" t="s">
        <v>34</v>
      </c>
      <c r="AD826" s="6">
        <v>7011.0</v>
      </c>
    </row>
    <row r="827" ht="56.25" customHeight="1">
      <c r="A827" s="5" t="s">
        <v>3922</v>
      </c>
      <c r="B827" s="6" t="str">
        <f>IMAGE("https://storage.googleapis.com/acdb/miscellaneous/FtrFishManbouToy.png")</f>
        <v/>
      </c>
      <c r="C827" s="5" t="s">
        <v>34</v>
      </c>
      <c r="D827" s="5" t="s">
        <v>34</v>
      </c>
      <c r="E827" s="5" t="s">
        <v>34</v>
      </c>
      <c r="F827" s="5" t="s">
        <v>34</v>
      </c>
      <c r="G827" s="5" t="s">
        <v>36</v>
      </c>
      <c r="H827" s="5" t="s">
        <v>36</v>
      </c>
      <c r="I827" s="5" t="s">
        <v>36</v>
      </c>
      <c r="J827" s="6" t="s">
        <v>34</v>
      </c>
      <c r="K827" s="6" t="s">
        <v>37</v>
      </c>
      <c r="L827" s="6">
        <v>12000.0</v>
      </c>
      <c r="M827" s="5" t="s">
        <v>68</v>
      </c>
      <c r="N827" s="5" t="s">
        <v>54</v>
      </c>
      <c r="O827" s="6" t="s">
        <v>276</v>
      </c>
      <c r="P827" s="5" t="s">
        <v>213</v>
      </c>
      <c r="Q827" s="5" t="s">
        <v>215</v>
      </c>
      <c r="R827" s="6" t="s">
        <v>42</v>
      </c>
      <c r="S827" s="5" t="s">
        <v>44</v>
      </c>
      <c r="T827" s="5" t="s">
        <v>44</v>
      </c>
      <c r="U827" s="5" t="s">
        <v>44</v>
      </c>
      <c r="V827" s="5" t="s">
        <v>44</v>
      </c>
      <c r="W827" s="5" t="s">
        <v>36</v>
      </c>
      <c r="X827" s="5" t="s">
        <v>219</v>
      </c>
      <c r="Y827" s="5" t="s">
        <v>46</v>
      </c>
      <c r="Z827" s="5" t="s">
        <v>47</v>
      </c>
      <c r="AA827" s="5" t="s">
        <v>48</v>
      </c>
      <c r="AB827" s="5" t="s">
        <v>3925</v>
      </c>
      <c r="AC827" s="6" t="s">
        <v>34</v>
      </c>
      <c r="AD827" s="6">
        <v>6984.0</v>
      </c>
    </row>
    <row r="828" ht="56.25" customHeight="1">
      <c r="A828" s="5" t="s">
        <v>3926</v>
      </c>
      <c r="B828" s="16" t="str">
        <f>IMAGE("https://storage.googleapis.com/acdb/miscellaneous/FtrSpiritlamp.png")</f>
        <v/>
      </c>
      <c r="C828" s="5" t="s">
        <v>34</v>
      </c>
      <c r="D828" s="5" t="s">
        <v>34</v>
      </c>
      <c r="E828" s="5" t="s">
        <v>34</v>
      </c>
      <c r="F828" s="5" t="s">
        <v>34</v>
      </c>
      <c r="G828" s="5" t="s">
        <v>36</v>
      </c>
      <c r="H828" s="5" t="s">
        <v>36</v>
      </c>
      <c r="I828" s="5" t="s">
        <v>36</v>
      </c>
      <c r="J828" s="6" t="s">
        <v>34</v>
      </c>
      <c r="K828" s="6">
        <v>400.0</v>
      </c>
      <c r="L828" s="6">
        <v>100.0</v>
      </c>
      <c r="M828" s="5" t="s">
        <v>57</v>
      </c>
      <c r="N828" s="5" t="s">
        <v>57</v>
      </c>
      <c r="O828" s="6" t="s">
        <v>40</v>
      </c>
      <c r="P828" s="5" t="s">
        <v>59</v>
      </c>
      <c r="Q828" s="5" t="s">
        <v>60</v>
      </c>
      <c r="R828" s="6" t="s">
        <v>42</v>
      </c>
      <c r="S828" s="5" t="s">
        <v>130</v>
      </c>
      <c r="T828" s="5" t="s">
        <v>141</v>
      </c>
      <c r="U828" s="5" t="s">
        <v>44</v>
      </c>
      <c r="V828" s="5" t="s">
        <v>44</v>
      </c>
      <c r="W828" s="5" t="s">
        <v>35</v>
      </c>
      <c r="X828" s="5" t="s">
        <v>467</v>
      </c>
      <c r="Y828" s="5" t="s">
        <v>46</v>
      </c>
      <c r="Z828" s="5" t="s">
        <v>495</v>
      </c>
      <c r="AA828" s="5" t="s">
        <v>64</v>
      </c>
      <c r="AB828" s="5" t="s">
        <v>3930</v>
      </c>
      <c r="AC828" s="6" t="s">
        <v>34</v>
      </c>
      <c r="AD828" s="6">
        <v>3654.0</v>
      </c>
    </row>
    <row r="829" ht="56.25" customHeight="1">
      <c r="A829" s="5" t="s">
        <v>3931</v>
      </c>
      <c r="B829" s="6" t="str">
        <f>IMAGE("https://storage.googleapis.com/acdb/miscellaneous/FtrClockBell_Remake_0_0.png")</f>
        <v/>
      </c>
      <c r="C829" s="5" t="s">
        <v>83</v>
      </c>
      <c r="D829" s="5" t="s">
        <v>34</v>
      </c>
      <c r="E829" s="5" t="s">
        <v>34</v>
      </c>
      <c r="F829" s="5" t="s">
        <v>34</v>
      </c>
      <c r="G829" s="5" t="s">
        <v>36</v>
      </c>
      <c r="H829" s="5" t="s">
        <v>36</v>
      </c>
      <c r="I829" s="5" t="s">
        <v>36</v>
      </c>
      <c r="J829" s="6" t="s">
        <v>34</v>
      </c>
      <c r="K829" s="6">
        <v>1200.0</v>
      </c>
      <c r="L829" s="6">
        <v>300.0</v>
      </c>
      <c r="M829" s="5" t="s">
        <v>83</v>
      </c>
      <c r="N829" s="5" t="s">
        <v>57</v>
      </c>
      <c r="O829" s="6" t="s">
        <v>40</v>
      </c>
      <c r="P829" s="5" t="s">
        <v>59</v>
      </c>
      <c r="Q829" s="5" t="s">
        <v>60</v>
      </c>
      <c r="R829" s="6" t="s">
        <v>42</v>
      </c>
      <c r="S829" s="5" t="s">
        <v>90</v>
      </c>
      <c r="T829" s="5" t="s">
        <v>99</v>
      </c>
      <c r="U829" s="5" t="s">
        <v>44</v>
      </c>
      <c r="V829" s="5" t="s">
        <v>44</v>
      </c>
      <c r="W829" s="5" t="s">
        <v>35</v>
      </c>
      <c r="X829" s="5" t="s">
        <v>260</v>
      </c>
      <c r="Y829" s="5" t="s">
        <v>46</v>
      </c>
      <c r="Z829" s="5" t="s">
        <v>47</v>
      </c>
      <c r="AA829" s="5" t="s">
        <v>64</v>
      </c>
      <c r="AB829" s="5" t="s">
        <v>3932</v>
      </c>
      <c r="AC829" s="6" t="s">
        <v>50</v>
      </c>
      <c r="AD829" s="6">
        <v>4111.0</v>
      </c>
    </row>
    <row r="830" ht="56.25" customHeight="1">
      <c r="A830" s="5" t="s">
        <v>3931</v>
      </c>
      <c r="B830" s="6" t="str">
        <f>IMAGE("https://storage.googleapis.com/acdb/miscellaneous/FtrClockBell_Remake_1_0.png")</f>
        <v/>
      </c>
      <c r="C830" s="5" t="s">
        <v>52</v>
      </c>
      <c r="D830" s="5" t="s">
        <v>34</v>
      </c>
      <c r="E830" s="5" t="s">
        <v>34</v>
      </c>
      <c r="F830" s="5" t="s">
        <v>34</v>
      </c>
      <c r="G830" s="5" t="s">
        <v>36</v>
      </c>
      <c r="H830" s="5" t="s">
        <v>36</v>
      </c>
      <c r="I830" s="5" t="s">
        <v>36</v>
      </c>
      <c r="J830" s="6" t="s">
        <v>34</v>
      </c>
      <c r="K830" s="6">
        <v>1200.0</v>
      </c>
      <c r="L830" s="6">
        <v>300.0</v>
      </c>
      <c r="M830" s="5" t="s">
        <v>52</v>
      </c>
      <c r="N830" s="5" t="s">
        <v>57</v>
      </c>
      <c r="O830" s="6" t="s">
        <v>40</v>
      </c>
      <c r="P830" s="5" t="s">
        <v>59</v>
      </c>
      <c r="Q830" s="5" t="s">
        <v>60</v>
      </c>
      <c r="R830" s="6" t="s">
        <v>42</v>
      </c>
      <c r="S830" s="5" t="s">
        <v>90</v>
      </c>
      <c r="T830" s="5" t="s">
        <v>99</v>
      </c>
      <c r="U830" s="5" t="s">
        <v>44</v>
      </c>
      <c r="V830" s="5" t="s">
        <v>44</v>
      </c>
      <c r="W830" s="5" t="s">
        <v>35</v>
      </c>
      <c r="X830" s="5" t="s">
        <v>260</v>
      </c>
      <c r="Y830" s="5" t="s">
        <v>46</v>
      </c>
      <c r="Z830" s="5" t="s">
        <v>47</v>
      </c>
      <c r="AA830" s="5" t="s">
        <v>64</v>
      </c>
      <c r="AB830" s="5" t="s">
        <v>3936</v>
      </c>
      <c r="AC830" s="6" t="s">
        <v>56</v>
      </c>
      <c r="AD830" s="6">
        <v>4111.0</v>
      </c>
    </row>
    <row r="831" ht="56.25" customHeight="1">
      <c r="A831" s="5" t="s">
        <v>3931</v>
      </c>
      <c r="B831" s="6" t="str">
        <f>IMAGE("https://storage.googleapis.com/acdb/miscellaneous/FtrClockBell_Remake_2_0.png")</f>
        <v/>
      </c>
      <c r="C831" s="5" t="s">
        <v>114</v>
      </c>
      <c r="D831" s="5" t="s">
        <v>34</v>
      </c>
      <c r="E831" s="5" t="s">
        <v>34</v>
      </c>
      <c r="F831" s="5" t="s">
        <v>34</v>
      </c>
      <c r="G831" s="5" t="s">
        <v>36</v>
      </c>
      <c r="H831" s="5" t="s">
        <v>36</v>
      </c>
      <c r="I831" s="5" t="s">
        <v>36</v>
      </c>
      <c r="J831" s="6" t="s">
        <v>34</v>
      </c>
      <c r="K831" s="6">
        <v>1200.0</v>
      </c>
      <c r="L831" s="6">
        <v>300.0</v>
      </c>
      <c r="M831" s="5" t="s">
        <v>114</v>
      </c>
      <c r="N831" s="5" t="s">
        <v>57</v>
      </c>
      <c r="O831" s="6" t="s">
        <v>40</v>
      </c>
      <c r="P831" s="5" t="s">
        <v>59</v>
      </c>
      <c r="Q831" s="5" t="s">
        <v>60</v>
      </c>
      <c r="R831" s="6" t="s">
        <v>42</v>
      </c>
      <c r="S831" s="5" t="s">
        <v>90</v>
      </c>
      <c r="T831" s="5" t="s">
        <v>99</v>
      </c>
      <c r="U831" s="5" t="s">
        <v>44</v>
      </c>
      <c r="V831" s="5" t="s">
        <v>44</v>
      </c>
      <c r="W831" s="5" t="s">
        <v>35</v>
      </c>
      <c r="X831" s="5" t="s">
        <v>260</v>
      </c>
      <c r="Y831" s="5" t="s">
        <v>46</v>
      </c>
      <c r="Z831" s="5" t="s">
        <v>47</v>
      </c>
      <c r="AA831" s="5" t="s">
        <v>64</v>
      </c>
      <c r="AB831" s="5" t="s">
        <v>3940</v>
      </c>
      <c r="AC831" s="6" t="s">
        <v>67</v>
      </c>
      <c r="AD831" s="6">
        <v>4111.0</v>
      </c>
    </row>
    <row r="832" ht="56.25" customHeight="1">
      <c r="A832" s="5" t="s">
        <v>3931</v>
      </c>
      <c r="B832" s="6" t="str">
        <f>IMAGE("https://storage.googleapis.com/acdb/miscellaneous/FtrClockBell_Remake_3_0.png")</f>
        <v/>
      </c>
      <c r="C832" s="5" t="s">
        <v>57</v>
      </c>
      <c r="D832" s="5" t="s">
        <v>34</v>
      </c>
      <c r="E832" s="5" t="s">
        <v>34</v>
      </c>
      <c r="F832" s="5" t="s">
        <v>34</v>
      </c>
      <c r="G832" s="5" t="s">
        <v>36</v>
      </c>
      <c r="H832" s="5" t="s">
        <v>36</v>
      </c>
      <c r="I832" s="5" t="s">
        <v>36</v>
      </c>
      <c r="J832" s="6" t="s">
        <v>34</v>
      </c>
      <c r="K832" s="6">
        <v>1200.0</v>
      </c>
      <c r="L832" s="6">
        <v>300.0</v>
      </c>
      <c r="M832" s="5" t="s">
        <v>38</v>
      </c>
      <c r="N832" s="5" t="s">
        <v>57</v>
      </c>
      <c r="O832" s="6" t="s">
        <v>40</v>
      </c>
      <c r="P832" s="5" t="s">
        <v>59</v>
      </c>
      <c r="Q832" s="5" t="s">
        <v>60</v>
      </c>
      <c r="R832" s="6" t="s">
        <v>42</v>
      </c>
      <c r="S832" s="5" t="s">
        <v>90</v>
      </c>
      <c r="T832" s="5" t="s">
        <v>99</v>
      </c>
      <c r="U832" s="5" t="s">
        <v>44</v>
      </c>
      <c r="V832" s="5" t="s">
        <v>44</v>
      </c>
      <c r="W832" s="5" t="s">
        <v>35</v>
      </c>
      <c r="X832" s="5" t="s">
        <v>260</v>
      </c>
      <c r="Y832" s="5" t="s">
        <v>46</v>
      </c>
      <c r="Z832" s="5" t="s">
        <v>47</v>
      </c>
      <c r="AA832" s="5" t="s">
        <v>64</v>
      </c>
      <c r="AB832" s="5" t="s">
        <v>3943</v>
      </c>
      <c r="AC832" s="6" t="s">
        <v>71</v>
      </c>
      <c r="AD832" s="6">
        <v>4111.0</v>
      </c>
    </row>
    <row r="833" ht="56.25" customHeight="1">
      <c r="A833" s="5" t="s">
        <v>3931</v>
      </c>
      <c r="B833" s="6" t="str">
        <f>IMAGE("https://storage.googleapis.com/acdb/miscellaneous/FtrClockBell_Remake_4_0.png")</f>
        <v/>
      </c>
      <c r="C833" s="5" t="s">
        <v>54</v>
      </c>
      <c r="D833" s="5" t="s">
        <v>34</v>
      </c>
      <c r="E833" s="5" t="s">
        <v>34</v>
      </c>
      <c r="F833" s="5" t="s">
        <v>34</v>
      </c>
      <c r="G833" s="5" t="s">
        <v>36</v>
      </c>
      <c r="H833" s="5" t="s">
        <v>36</v>
      </c>
      <c r="I833" s="5" t="s">
        <v>36</v>
      </c>
      <c r="J833" s="6" t="s">
        <v>34</v>
      </c>
      <c r="K833" s="6">
        <v>1200.0</v>
      </c>
      <c r="L833" s="6">
        <v>300.0</v>
      </c>
      <c r="M833" s="5" t="s">
        <v>54</v>
      </c>
      <c r="N833" s="5" t="s">
        <v>57</v>
      </c>
      <c r="O833" s="6" t="s">
        <v>40</v>
      </c>
      <c r="P833" s="5" t="s">
        <v>59</v>
      </c>
      <c r="Q833" s="5" t="s">
        <v>60</v>
      </c>
      <c r="R833" s="6" t="s">
        <v>42</v>
      </c>
      <c r="S833" s="5" t="s">
        <v>90</v>
      </c>
      <c r="T833" s="5" t="s">
        <v>99</v>
      </c>
      <c r="U833" s="5" t="s">
        <v>44</v>
      </c>
      <c r="V833" s="5" t="s">
        <v>44</v>
      </c>
      <c r="W833" s="5" t="s">
        <v>35</v>
      </c>
      <c r="X833" s="5" t="s">
        <v>260</v>
      </c>
      <c r="Y833" s="5" t="s">
        <v>46</v>
      </c>
      <c r="Z833" s="5" t="s">
        <v>47</v>
      </c>
      <c r="AA833" s="5" t="s">
        <v>64</v>
      </c>
      <c r="AB833" s="5" t="s">
        <v>3946</v>
      </c>
      <c r="AC833" s="6" t="s">
        <v>75</v>
      </c>
      <c r="AD833" s="6">
        <v>4111.0</v>
      </c>
    </row>
    <row r="834" ht="56.25" customHeight="1">
      <c r="A834" s="5" t="s">
        <v>3931</v>
      </c>
      <c r="B834" s="6" t="str">
        <f>IMAGE("https://storage.googleapis.com/acdb/miscellaneous/FtrClockBell_Remake_5_0.png")</f>
        <v/>
      </c>
      <c r="C834" s="5" t="s">
        <v>296</v>
      </c>
      <c r="D834" s="5" t="s">
        <v>34</v>
      </c>
      <c r="E834" s="5" t="s">
        <v>34</v>
      </c>
      <c r="F834" s="5" t="s">
        <v>34</v>
      </c>
      <c r="G834" s="5" t="s">
        <v>36</v>
      </c>
      <c r="H834" s="5" t="s">
        <v>36</v>
      </c>
      <c r="I834" s="5" t="s">
        <v>36</v>
      </c>
      <c r="J834" s="6" t="s">
        <v>34</v>
      </c>
      <c r="K834" s="6">
        <v>1200.0</v>
      </c>
      <c r="L834" s="6">
        <v>300.0</v>
      </c>
      <c r="M834" s="5" t="s">
        <v>39</v>
      </c>
      <c r="N834" s="5" t="s">
        <v>57</v>
      </c>
      <c r="O834" s="6" t="s">
        <v>40</v>
      </c>
      <c r="P834" s="5" t="s">
        <v>59</v>
      </c>
      <c r="Q834" s="5" t="s">
        <v>60</v>
      </c>
      <c r="R834" s="6" t="s">
        <v>42</v>
      </c>
      <c r="S834" s="5" t="s">
        <v>90</v>
      </c>
      <c r="T834" s="5" t="s">
        <v>99</v>
      </c>
      <c r="U834" s="5" t="s">
        <v>44</v>
      </c>
      <c r="V834" s="5" t="s">
        <v>44</v>
      </c>
      <c r="W834" s="5" t="s">
        <v>35</v>
      </c>
      <c r="X834" s="5" t="s">
        <v>260</v>
      </c>
      <c r="Y834" s="5" t="s">
        <v>46</v>
      </c>
      <c r="Z834" s="5" t="s">
        <v>47</v>
      </c>
      <c r="AA834" s="5" t="s">
        <v>64</v>
      </c>
      <c r="AB834" s="5" t="s">
        <v>3949</v>
      </c>
      <c r="AC834" s="6" t="s">
        <v>79</v>
      </c>
      <c r="AD834" s="6">
        <v>4111.0</v>
      </c>
    </row>
    <row r="835" ht="56.25" customHeight="1">
      <c r="A835" s="5" t="s">
        <v>3931</v>
      </c>
      <c r="B835" s="6" t="str">
        <f>IMAGE("https://storage.googleapis.com/acdb/miscellaneous/FtrClockBell_Remake_6_0.png")</f>
        <v/>
      </c>
      <c r="C835" s="5" t="s">
        <v>146</v>
      </c>
      <c r="D835" s="5" t="s">
        <v>34</v>
      </c>
      <c r="E835" s="5" t="s">
        <v>34</v>
      </c>
      <c r="F835" s="5" t="s">
        <v>34</v>
      </c>
      <c r="G835" s="5" t="s">
        <v>36</v>
      </c>
      <c r="H835" s="5" t="s">
        <v>36</v>
      </c>
      <c r="I835" s="5" t="s">
        <v>36</v>
      </c>
      <c r="J835" s="6" t="s">
        <v>34</v>
      </c>
      <c r="K835" s="6">
        <v>1200.0</v>
      </c>
      <c r="L835" s="6">
        <v>300.0</v>
      </c>
      <c r="M835" s="5" t="s">
        <v>95</v>
      </c>
      <c r="N835" s="5" t="s">
        <v>57</v>
      </c>
      <c r="O835" s="6" t="s">
        <v>40</v>
      </c>
      <c r="P835" s="5" t="s">
        <v>59</v>
      </c>
      <c r="Q835" s="5" t="s">
        <v>60</v>
      </c>
      <c r="R835" s="6" t="s">
        <v>42</v>
      </c>
      <c r="S835" s="5" t="s">
        <v>90</v>
      </c>
      <c r="T835" s="5" t="s">
        <v>99</v>
      </c>
      <c r="U835" s="5" t="s">
        <v>44</v>
      </c>
      <c r="V835" s="5" t="s">
        <v>44</v>
      </c>
      <c r="W835" s="5" t="s">
        <v>35</v>
      </c>
      <c r="X835" s="5" t="s">
        <v>260</v>
      </c>
      <c r="Y835" s="5" t="s">
        <v>46</v>
      </c>
      <c r="Z835" s="5" t="s">
        <v>47</v>
      </c>
      <c r="AA835" s="5" t="s">
        <v>64</v>
      </c>
      <c r="AB835" s="5" t="s">
        <v>3953</v>
      </c>
      <c r="AC835" s="6" t="s">
        <v>86</v>
      </c>
      <c r="AD835" s="6">
        <v>4111.0</v>
      </c>
    </row>
    <row r="836" ht="56.25" customHeight="1">
      <c r="A836" s="5" t="s">
        <v>3931</v>
      </c>
      <c r="B836" s="6" t="str">
        <f>IMAGE("https://storage.googleapis.com/acdb/miscellaneous/FtrClockBell_Remake_7_0.png")</f>
        <v/>
      </c>
      <c r="C836" s="5" t="s">
        <v>151</v>
      </c>
      <c r="D836" s="5" t="s">
        <v>34</v>
      </c>
      <c r="E836" s="5" t="s">
        <v>34</v>
      </c>
      <c r="F836" s="5" t="s">
        <v>34</v>
      </c>
      <c r="G836" s="5" t="s">
        <v>36</v>
      </c>
      <c r="H836" s="5" t="s">
        <v>36</v>
      </c>
      <c r="I836" s="5" t="s">
        <v>36</v>
      </c>
      <c r="J836" s="6" t="s">
        <v>34</v>
      </c>
      <c r="K836" s="6">
        <v>1200.0</v>
      </c>
      <c r="L836" s="6">
        <v>300.0</v>
      </c>
      <c r="M836" s="5" t="s">
        <v>114</v>
      </c>
      <c r="N836" s="5" t="s">
        <v>57</v>
      </c>
      <c r="O836" s="6" t="s">
        <v>40</v>
      </c>
      <c r="P836" s="5" t="s">
        <v>59</v>
      </c>
      <c r="Q836" s="5" t="s">
        <v>60</v>
      </c>
      <c r="R836" s="6" t="s">
        <v>42</v>
      </c>
      <c r="S836" s="5" t="s">
        <v>90</v>
      </c>
      <c r="T836" s="5" t="s">
        <v>99</v>
      </c>
      <c r="U836" s="5" t="s">
        <v>44</v>
      </c>
      <c r="V836" s="5" t="s">
        <v>44</v>
      </c>
      <c r="W836" s="5" t="s">
        <v>35</v>
      </c>
      <c r="X836" s="5" t="s">
        <v>260</v>
      </c>
      <c r="Y836" s="5" t="s">
        <v>46</v>
      </c>
      <c r="Z836" s="5" t="s">
        <v>47</v>
      </c>
      <c r="AA836" s="5" t="s">
        <v>64</v>
      </c>
      <c r="AB836" s="5" t="s">
        <v>3955</v>
      </c>
      <c r="AC836" s="6" t="s">
        <v>208</v>
      </c>
      <c r="AD836" s="6">
        <v>4111.0</v>
      </c>
    </row>
    <row r="837" ht="56.25" customHeight="1">
      <c r="A837" s="5" t="s">
        <v>3957</v>
      </c>
      <c r="B837" s="16" t="str">
        <f>IMAGE("https://storage.googleapis.com/acdb/miscellaneous/FtrWashtub.png")</f>
        <v/>
      </c>
      <c r="C837" s="5" t="s">
        <v>34</v>
      </c>
      <c r="D837" s="5" t="s">
        <v>34</v>
      </c>
      <c r="E837" s="5" t="s">
        <v>34</v>
      </c>
      <c r="F837" s="5" t="s">
        <v>34</v>
      </c>
      <c r="G837" s="5" t="s">
        <v>35</v>
      </c>
      <c r="H837" s="5" t="s">
        <v>36</v>
      </c>
      <c r="I837" s="5" t="s">
        <v>36</v>
      </c>
      <c r="J837" s="6" t="s">
        <v>34</v>
      </c>
      <c r="K837" s="6" t="s">
        <v>37</v>
      </c>
      <c r="L837" s="6">
        <v>360.0</v>
      </c>
      <c r="M837" s="5" t="s">
        <v>39</v>
      </c>
      <c r="N837" s="5" t="s">
        <v>38</v>
      </c>
      <c r="O837" s="6" t="s">
        <v>40</v>
      </c>
      <c r="P837" s="5" t="s">
        <v>41</v>
      </c>
      <c r="Q837" s="5"/>
      <c r="R837" s="6" t="s">
        <v>42</v>
      </c>
      <c r="S837" s="5" t="s">
        <v>288</v>
      </c>
      <c r="T837" s="5" t="s">
        <v>44</v>
      </c>
      <c r="U837" s="5" t="s">
        <v>44</v>
      </c>
      <c r="V837" s="5" t="s">
        <v>44</v>
      </c>
      <c r="W837" s="5" t="s">
        <v>36</v>
      </c>
      <c r="X837" s="5" t="s">
        <v>289</v>
      </c>
      <c r="Y837" s="5" t="s">
        <v>46</v>
      </c>
      <c r="Z837" s="5" t="s">
        <v>47</v>
      </c>
      <c r="AA837" s="5" t="s">
        <v>48</v>
      </c>
      <c r="AB837" s="5" t="s">
        <v>3959</v>
      </c>
      <c r="AC837" s="6" t="s">
        <v>34</v>
      </c>
      <c r="AD837" s="6">
        <v>4393.0</v>
      </c>
    </row>
    <row r="838" ht="56.25" customHeight="1">
      <c r="A838" s="5" t="s">
        <v>3960</v>
      </c>
      <c r="B838" s="16" t="str">
        <f>IMAGE("https://storage.googleapis.com/acdb/miscellaneous/FtrFishHirameToy.png")</f>
        <v/>
      </c>
      <c r="C838" s="5" t="s">
        <v>34</v>
      </c>
      <c r="D838" s="5" t="s">
        <v>34</v>
      </c>
      <c r="E838" s="5" t="s">
        <v>34</v>
      </c>
      <c r="F838" s="5" t="s">
        <v>34</v>
      </c>
      <c r="G838" s="5" t="s">
        <v>36</v>
      </c>
      <c r="H838" s="5" t="s">
        <v>36</v>
      </c>
      <c r="I838" s="5" t="s">
        <v>36</v>
      </c>
      <c r="J838" s="6" t="s">
        <v>34</v>
      </c>
      <c r="K838" s="6" t="s">
        <v>37</v>
      </c>
      <c r="L838" s="6">
        <v>2400.0</v>
      </c>
      <c r="M838" s="5" t="s">
        <v>38</v>
      </c>
      <c r="N838" s="5" t="s">
        <v>54</v>
      </c>
      <c r="O838" s="6" t="s">
        <v>40</v>
      </c>
      <c r="P838" s="5" t="s">
        <v>213</v>
      </c>
      <c r="Q838" s="5" t="s">
        <v>215</v>
      </c>
      <c r="R838" s="6" t="s">
        <v>42</v>
      </c>
      <c r="S838" s="5" t="s">
        <v>44</v>
      </c>
      <c r="T838" s="5" t="s">
        <v>44</v>
      </c>
      <c r="U838" s="5" t="s">
        <v>44</v>
      </c>
      <c r="V838" s="5" t="s">
        <v>44</v>
      </c>
      <c r="W838" s="5" t="s">
        <v>36</v>
      </c>
      <c r="X838" s="5" t="s">
        <v>219</v>
      </c>
      <c r="Y838" s="5" t="s">
        <v>46</v>
      </c>
      <c r="Z838" s="5" t="s">
        <v>47</v>
      </c>
      <c r="AA838" s="5" t="s">
        <v>48</v>
      </c>
      <c r="AB838" s="5" t="s">
        <v>3964</v>
      </c>
      <c r="AC838" s="6" t="s">
        <v>34</v>
      </c>
      <c r="AD838" s="6">
        <v>6957.0</v>
      </c>
    </row>
    <row r="839" ht="56.25" customHeight="1">
      <c r="A839" s="5" t="s">
        <v>3965</v>
      </c>
      <c r="B839" s="16" t="str">
        <f>IMAGE("https://storage.googleapis.com/acdb/miscellaneous/FtrInsectHanakamakiriToy.png")</f>
        <v/>
      </c>
      <c r="C839" s="5" t="s">
        <v>34</v>
      </c>
      <c r="D839" s="5" t="s">
        <v>34</v>
      </c>
      <c r="E839" s="5" t="s">
        <v>34</v>
      </c>
      <c r="F839" s="5" t="s">
        <v>34</v>
      </c>
      <c r="G839" s="5" t="s">
        <v>36</v>
      </c>
      <c r="H839" s="5" t="s">
        <v>36</v>
      </c>
      <c r="I839" s="5" t="s">
        <v>36</v>
      </c>
      <c r="J839" s="6" t="s">
        <v>34</v>
      </c>
      <c r="K839" s="6" t="s">
        <v>37</v>
      </c>
      <c r="L839" s="6">
        <v>7200.0</v>
      </c>
      <c r="M839" s="5" t="s">
        <v>57</v>
      </c>
      <c r="N839" s="5" t="s">
        <v>69</v>
      </c>
      <c r="O839" s="6" t="s">
        <v>40</v>
      </c>
      <c r="P839" s="5" t="s">
        <v>107</v>
      </c>
      <c r="Q839" s="5" t="s">
        <v>108</v>
      </c>
      <c r="R839" s="6" t="s">
        <v>42</v>
      </c>
      <c r="S839" s="5" t="s">
        <v>44</v>
      </c>
      <c r="T839" s="5" t="s">
        <v>44</v>
      </c>
      <c r="U839" s="5" t="s">
        <v>44</v>
      </c>
      <c r="V839" s="5" t="s">
        <v>44</v>
      </c>
      <c r="W839" s="5" t="s">
        <v>36</v>
      </c>
      <c r="X839" s="5" t="s">
        <v>109</v>
      </c>
      <c r="Y839" s="5" t="s">
        <v>46</v>
      </c>
      <c r="Z839" s="5" t="s">
        <v>47</v>
      </c>
      <c r="AA839" s="5" t="s">
        <v>48</v>
      </c>
      <c r="AB839" s="5" t="s">
        <v>3968</v>
      </c>
      <c r="AC839" s="6" t="s">
        <v>34</v>
      </c>
      <c r="AD839" s="6">
        <v>7061.0</v>
      </c>
    </row>
    <row r="840" ht="56.25" customHeight="1">
      <c r="A840" s="5" t="s">
        <v>3969</v>
      </c>
      <c r="B840" s="6" t="str">
        <f>IMAGE("https://storage.googleapis.com/acdb/miscellaneous/FtrPaintset_Remake_0_0.png")</f>
        <v/>
      </c>
      <c r="C840" s="5" t="s">
        <v>114</v>
      </c>
      <c r="D840" s="5" t="s">
        <v>34</v>
      </c>
      <c r="E840" s="5" t="s">
        <v>849</v>
      </c>
      <c r="F840" s="5" t="s">
        <v>3971</v>
      </c>
      <c r="G840" s="5" t="s">
        <v>36</v>
      </c>
      <c r="H840" s="5" t="s">
        <v>36</v>
      </c>
      <c r="I840" s="5" t="s">
        <v>35</v>
      </c>
      <c r="J840" s="6">
        <v>1.0</v>
      </c>
      <c r="K840" s="6">
        <v>510.0</v>
      </c>
      <c r="L840" s="6">
        <v>127.0</v>
      </c>
      <c r="M840" s="5" t="s">
        <v>114</v>
      </c>
      <c r="N840" s="5" t="s">
        <v>57</v>
      </c>
      <c r="O840" s="6" t="s">
        <v>40</v>
      </c>
      <c r="P840" s="5" t="s">
        <v>59</v>
      </c>
      <c r="Q840" s="5" t="s">
        <v>60</v>
      </c>
      <c r="R840" s="6" t="s">
        <v>42</v>
      </c>
      <c r="S840" s="5" t="s">
        <v>130</v>
      </c>
      <c r="T840" s="5" t="s">
        <v>99</v>
      </c>
      <c r="U840" s="5" t="s">
        <v>44</v>
      </c>
      <c r="V840" s="5" t="s">
        <v>44</v>
      </c>
      <c r="W840" s="5" t="s">
        <v>36</v>
      </c>
      <c r="X840" s="5" t="s">
        <v>356</v>
      </c>
      <c r="Y840" s="5" t="s">
        <v>46</v>
      </c>
      <c r="Z840" s="5" t="s">
        <v>47</v>
      </c>
      <c r="AA840" s="5" t="s">
        <v>64</v>
      </c>
      <c r="AB840" s="5" t="s">
        <v>3974</v>
      </c>
      <c r="AC840" s="6" t="s">
        <v>50</v>
      </c>
      <c r="AD840" s="6">
        <v>3965.0</v>
      </c>
    </row>
    <row r="841" ht="56.25" customHeight="1">
      <c r="A841" s="5" t="s">
        <v>3969</v>
      </c>
      <c r="B841" s="6" t="str">
        <f>IMAGE("https://storage.googleapis.com/acdb/miscellaneous/FtrPaintset_Remake_0_1.png")</f>
        <v/>
      </c>
      <c r="C841" s="5" t="s">
        <v>114</v>
      </c>
      <c r="D841" s="5" t="s">
        <v>34</v>
      </c>
      <c r="E841" s="5" t="s">
        <v>3975</v>
      </c>
      <c r="F841" s="5" t="s">
        <v>3971</v>
      </c>
      <c r="G841" s="5" t="s">
        <v>36</v>
      </c>
      <c r="H841" s="5" t="s">
        <v>36</v>
      </c>
      <c r="I841" s="5" t="s">
        <v>35</v>
      </c>
      <c r="J841" s="6">
        <v>1.0</v>
      </c>
      <c r="K841" s="6">
        <v>510.0</v>
      </c>
      <c r="L841" s="6">
        <v>127.0</v>
      </c>
      <c r="M841" s="5" t="s">
        <v>114</v>
      </c>
      <c r="N841" s="5" t="s">
        <v>52</v>
      </c>
      <c r="O841" s="6" t="s">
        <v>40</v>
      </c>
      <c r="P841" s="5" t="s">
        <v>59</v>
      </c>
      <c r="Q841" s="5" t="s">
        <v>60</v>
      </c>
      <c r="R841" s="6" t="s">
        <v>42</v>
      </c>
      <c r="S841" s="5" t="s">
        <v>130</v>
      </c>
      <c r="T841" s="5" t="s">
        <v>99</v>
      </c>
      <c r="U841" s="5" t="s">
        <v>44</v>
      </c>
      <c r="V841" s="5" t="s">
        <v>44</v>
      </c>
      <c r="W841" s="5" t="s">
        <v>36</v>
      </c>
      <c r="X841" s="5" t="s">
        <v>356</v>
      </c>
      <c r="Y841" s="5" t="s">
        <v>46</v>
      </c>
      <c r="Z841" s="5" t="s">
        <v>47</v>
      </c>
      <c r="AA841" s="5" t="s">
        <v>64</v>
      </c>
      <c r="AB841" s="5" t="s">
        <v>3979</v>
      </c>
      <c r="AC841" s="6" t="s">
        <v>217</v>
      </c>
      <c r="AD841" s="6">
        <v>3965.0</v>
      </c>
    </row>
    <row r="842" ht="56.25" customHeight="1">
      <c r="A842" s="5" t="s">
        <v>3969</v>
      </c>
      <c r="B842" s="6" t="str">
        <f>IMAGE("https://storage.googleapis.com/acdb/miscellaneous/FtrPaintset_Remake_0_2.png")</f>
        <v/>
      </c>
      <c r="C842" s="5" t="s">
        <v>114</v>
      </c>
      <c r="D842" s="5" t="s">
        <v>34</v>
      </c>
      <c r="E842" s="5" t="s">
        <v>3980</v>
      </c>
      <c r="F842" s="5" t="s">
        <v>3971</v>
      </c>
      <c r="G842" s="5" t="s">
        <v>36</v>
      </c>
      <c r="H842" s="5" t="s">
        <v>36</v>
      </c>
      <c r="I842" s="5" t="s">
        <v>35</v>
      </c>
      <c r="J842" s="6">
        <v>1.0</v>
      </c>
      <c r="K842" s="6">
        <v>510.0</v>
      </c>
      <c r="L842" s="6">
        <v>127.0</v>
      </c>
      <c r="M842" s="5" t="s">
        <v>114</v>
      </c>
      <c r="N842" s="5" t="s">
        <v>39</v>
      </c>
      <c r="O842" s="6" t="s">
        <v>40</v>
      </c>
      <c r="P842" s="5" t="s">
        <v>59</v>
      </c>
      <c r="Q842" s="5" t="s">
        <v>60</v>
      </c>
      <c r="R842" s="6" t="s">
        <v>42</v>
      </c>
      <c r="S842" s="5" t="s">
        <v>130</v>
      </c>
      <c r="T842" s="5" t="s">
        <v>99</v>
      </c>
      <c r="U842" s="5" t="s">
        <v>44</v>
      </c>
      <c r="V842" s="5" t="s">
        <v>44</v>
      </c>
      <c r="W842" s="5" t="s">
        <v>36</v>
      </c>
      <c r="X842" s="5" t="s">
        <v>356</v>
      </c>
      <c r="Y842" s="5" t="s">
        <v>46</v>
      </c>
      <c r="Z842" s="5" t="s">
        <v>47</v>
      </c>
      <c r="AA842" s="5" t="s">
        <v>64</v>
      </c>
      <c r="AB842" s="5" t="s">
        <v>3984</v>
      </c>
      <c r="AC842" s="6" t="s">
        <v>347</v>
      </c>
      <c r="AD842" s="6">
        <v>3965.0</v>
      </c>
    </row>
    <row r="843" ht="56.25" customHeight="1">
      <c r="A843" s="5" t="s">
        <v>3969</v>
      </c>
      <c r="B843" s="6" t="str">
        <f>IMAGE("https://storage.googleapis.com/acdb/miscellaneous/FtrPaintset_Remake_0_3.png")</f>
        <v/>
      </c>
      <c r="C843" s="5" t="s">
        <v>114</v>
      </c>
      <c r="D843" s="5" t="s">
        <v>34</v>
      </c>
      <c r="E843" s="5" t="s">
        <v>3985</v>
      </c>
      <c r="F843" s="5" t="s">
        <v>3971</v>
      </c>
      <c r="G843" s="5" t="s">
        <v>36</v>
      </c>
      <c r="H843" s="5" t="s">
        <v>36</v>
      </c>
      <c r="I843" s="5" t="s">
        <v>35</v>
      </c>
      <c r="J843" s="6">
        <v>1.0</v>
      </c>
      <c r="K843" s="6">
        <v>510.0</v>
      </c>
      <c r="L843" s="6">
        <v>127.0</v>
      </c>
      <c r="M843" s="5" t="s">
        <v>114</v>
      </c>
      <c r="N843" s="5" t="s">
        <v>58</v>
      </c>
      <c r="O843" s="6" t="s">
        <v>40</v>
      </c>
      <c r="P843" s="5" t="s">
        <v>59</v>
      </c>
      <c r="Q843" s="5" t="s">
        <v>60</v>
      </c>
      <c r="R843" s="6" t="s">
        <v>42</v>
      </c>
      <c r="S843" s="5" t="s">
        <v>130</v>
      </c>
      <c r="T843" s="5" t="s">
        <v>99</v>
      </c>
      <c r="U843" s="5" t="s">
        <v>44</v>
      </c>
      <c r="V843" s="5" t="s">
        <v>44</v>
      </c>
      <c r="W843" s="5" t="s">
        <v>36</v>
      </c>
      <c r="X843" s="5" t="s">
        <v>356</v>
      </c>
      <c r="Y843" s="5" t="s">
        <v>46</v>
      </c>
      <c r="Z843" s="5" t="s">
        <v>47</v>
      </c>
      <c r="AA843" s="5" t="s">
        <v>64</v>
      </c>
      <c r="AB843" s="5" t="s">
        <v>3988</v>
      </c>
      <c r="AC843" s="6" t="s">
        <v>354</v>
      </c>
      <c r="AD843" s="6">
        <v>3965.0</v>
      </c>
    </row>
    <row r="844" ht="56.25" customHeight="1">
      <c r="A844" s="5" t="s">
        <v>3969</v>
      </c>
      <c r="B844" s="6" t="str">
        <f>IMAGE("https://storage.googleapis.com/acdb/miscellaneous/FtrPaintset_Remake_1_0.png")</f>
        <v/>
      </c>
      <c r="C844" s="5" t="s">
        <v>69</v>
      </c>
      <c r="D844" s="5" t="s">
        <v>34</v>
      </c>
      <c r="E844" s="5" t="s">
        <v>849</v>
      </c>
      <c r="F844" s="5" t="s">
        <v>3971</v>
      </c>
      <c r="G844" s="5" t="s">
        <v>36</v>
      </c>
      <c r="H844" s="5" t="s">
        <v>36</v>
      </c>
      <c r="I844" s="5" t="s">
        <v>35</v>
      </c>
      <c r="J844" s="6">
        <v>1.0</v>
      </c>
      <c r="K844" s="6">
        <v>510.0</v>
      </c>
      <c r="L844" s="6">
        <v>127.0</v>
      </c>
      <c r="M844" s="5" t="s">
        <v>69</v>
      </c>
      <c r="N844" s="5" t="s">
        <v>57</v>
      </c>
      <c r="O844" s="6" t="s">
        <v>40</v>
      </c>
      <c r="P844" s="5" t="s">
        <v>59</v>
      </c>
      <c r="Q844" s="5" t="s">
        <v>60</v>
      </c>
      <c r="R844" s="6" t="s">
        <v>42</v>
      </c>
      <c r="S844" s="5" t="s">
        <v>130</v>
      </c>
      <c r="T844" s="5" t="s">
        <v>99</v>
      </c>
      <c r="U844" s="5" t="s">
        <v>44</v>
      </c>
      <c r="V844" s="5" t="s">
        <v>44</v>
      </c>
      <c r="W844" s="5" t="s">
        <v>36</v>
      </c>
      <c r="X844" s="5" t="s">
        <v>356</v>
      </c>
      <c r="Y844" s="5" t="s">
        <v>46</v>
      </c>
      <c r="Z844" s="5" t="s">
        <v>47</v>
      </c>
      <c r="AA844" s="5" t="s">
        <v>64</v>
      </c>
      <c r="AB844" s="5" t="s">
        <v>3991</v>
      </c>
      <c r="AC844" s="6" t="s">
        <v>56</v>
      </c>
      <c r="AD844" s="6">
        <v>3965.0</v>
      </c>
    </row>
    <row r="845" ht="56.25" customHeight="1">
      <c r="A845" s="5" t="s">
        <v>3969</v>
      </c>
      <c r="B845" s="6" t="str">
        <f>IMAGE("https://storage.googleapis.com/acdb/miscellaneous/FtrPaintset_Remake_1_1.png")</f>
        <v/>
      </c>
      <c r="C845" s="5" t="s">
        <v>69</v>
      </c>
      <c r="D845" s="5" t="s">
        <v>34</v>
      </c>
      <c r="E845" s="5" t="s">
        <v>3975</v>
      </c>
      <c r="F845" s="5" t="s">
        <v>3971</v>
      </c>
      <c r="G845" s="5" t="s">
        <v>36</v>
      </c>
      <c r="H845" s="5" t="s">
        <v>36</v>
      </c>
      <c r="I845" s="5" t="s">
        <v>35</v>
      </c>
      <c r="J845" s="6">
        <v>1.0</v>
      </c>
      <c r="K845" s="6">
        <v>510.0</v>
      </c>
      <c r="L845" s="6">
        <v>127.0</v>
      </c>
      <c r="M845" s="5" t="s">
        <v>69</v>
      </c>
      <c r="N845" s="5" t="s">
        <v>52</v>
      </c>
      <c r="O845" s="6" t="s">
        <v>40</v>
      </c>
      <c r="P845" s="5" t="s">
        <v>59</v>
      </c>
      <c r="Q845" s="5" t="s">
        <v>60</v>
      </c>
      <c r="R845" s="6" t="s">
        <v>42</v>
      </c>
      <c r="S845" s="5" t="s">
        <v>130</v>
      </c>
      <c r="T845" s="5" t="s">
        <v>99</v>
      </c>
      <c r="U845" s="5" t="s">
        <v>44</v>
      </c>
      <c r="V845" s="5" t="s">
        <v>44</v>
      </c>
      <c r="W845" s="5" t="s">
        <v>36</v>
      </c>
      <c r="X845" s="5" t="s">
        <v>356</v>
      </c>
      <c r="Y845" s="5" t="s">
        <v>46</v>
      </c>
      <c r="Z845" s="5" t="s">
        <v>47</v>
      </c>
      <c r="AA845" s="5" t="s">
        <v>64</v>
      </c>
      <c r="AB845" s="5" t="s">
        <v>3993</v>
      </c>
      <c r="AC845" s="6" t="s">
        <v>234</v>
      </c>
      <c r="AD845" s="6">
        <v>3965.0</v>
      </c>
    </row>
    <row r="846" ht="56.25" customHeight="1">
      <c r="A846" s="5" t="s">
        <v>3969</v>
      </c>
      <c r="B846" s="6" t="str">
        <f>IMAGE("https://storage.googleapis.com/acdb/miscellaneous/FtrPaintset_Remake_1_2.png")</f>
        <v/>
      </c>
      <c r="C846" s="5" t="s">
        <v>69</v>
      </c>
      <c r="D846" s="5" t="s">
        <v>34</v>
      </c>
      <c r="E846" s="5" t="s">
        <v>3980</v>
      </c>
      <c r="F846" s="5" t="s">
        <v>3971</v>
      </c>
      <c r="G846" s="5" t="s">
        <v>36</v>
      </c>
      <c r="H846" s="5" t="s">
        <v>36</v>
      </c>
      <c r="I846" s="5" t="s">
        <v>35</v>
      </c>
      <c r="J846" s="6">
        <v>1.0</v>
      </c>
      <c r="K846" s="6">
        <v>510.0</v>
      </c>
      <c r="L846" s="6">
        <v>127.0</v>
      </c>
      <c r="M846" s="5" t="s">
        <v>69</v>
      </c>
      <c r="N846" s="5" t="s">
        <v>39</v>
      </c>
      <c r="O846" s="6" t="s">
        <v>40</v>
      </c>
      <c r="P846" s="5" t="s">
        <v>59</v>
      </c>
      <c r="Q846" s="5" t="s">
        <v>60</v>
      </c>
      <c r="R846" s="6" t="s">
        <v>42</v>
      </c>
      <c r="S846" s="5" t="s">
        <v>130</v>
      </c>
      <c r="T846" s="5" t="s">
        <v>99</v>
      </c>
      <c r="U846" s="5" t="s">
        <v>44</v>
      </c>
      <c r="V846" s="5" t="s">
        <v>44</v>
      </c>
      <c r="W846" s="5" t="s">
        <v>36</v>
      </c>
      <c r="X846" s="5" t="s">
        <v>356</v>
      </c>
      <c r="Y846" s="5" t="s">
        <v>46</v>
      </c>
      <c r="Z846" s="5" t="s">
        <v>47</v>
      </c>
      <c r="AA846" s="5" t="s">
        <v>64</v>
      </c>
      <c r="AB846" s="5" t="s">
        <v>3994</v>
      </c>
      <c r="AC846" s="6" t="s">
        <v>370</v>
      </c>
      <c r="AD846" s="6">
        <v>3965.0</v>
      </c>
    </row>
    <row r="847" ht="56.25" customHeight="1">
      <c r="A847" s="5" t="s">
        <v>3969</v>
      </c>
      <c r="B847" s="6" t="str">
        <f>IMAGE("https://storage.googleapis.com/acdb/miscellaneous/FtrPaintset_Remake_1_3.png")</f>
        <v/>
      </c>
      <c r="C847" s="5" t="s">
        <v>69</v>
      </c>
      <c r="D847" s="5" t="s">
        <v>34</v>
      </c>
      <c r="E847" s="5" t="s">
        <v>3985</v>
      </c>
      <c r="F847" s="5" t="s">
        <v>3971</v>
      </c>
      <c r="G847" s="5" t="s">
        <v>36</v>
      </c>
      <c r="H847" s="5" t="s">
        <v>36</v>
      </c>
      <c r="I847" s="5" t="s">
        <v>35</v>
      </c>
      <c r="J847" s="6">
        <v>1.0</v>
      </c>
      <c r="K847" s="6">
        <v>510.0</v>
      </c>
      <c r="L847" s="6">
        <v>127.0</v>
      </c>
      <c r="M847" s="5" t="s">
        <v>69</v>
      </c>
      <c r="N847" s="5" t="s">
        <v>58</v>
      </c>
      <c r="O847" s="6" t="s">
        <v>40</v>
      </c>
      <c r="P847" s="5" t="s">
        <v>59</v>
      </c>
      <c r="Q847" s="5" t="s">
        <v>60</v>
      </c>
      <c r="R847" s="6" t="s">
        <v>42</v>
      </c>
      <c r="S847" s="5" t="s">
        <v>130</v>
      </c>
      <c r="T847" s="5" t="s">
        <v>99</v>
      </c>
      <c r="U847" s="5" t="s">
        <v>44</v>
      </c>
      <c r="V847" s="5" t="s">
        <v>44</v>
      </c>
      <c r="W847" s="5" t="s">
        <v>36</v>
      </c>
      <c r="X847" s="5" t="s">
        <v>356</v>
      </c>
      <c r="Y847" s="5" t="s">
        <v>46</v>
      </c>
      <c r="Z847" s="5" t="s">
        <v>47</v>
      </c>
      <c r="AA847" s="5" t="s">
        <v>64</v>
      </c>
      <c r="AB847" s="5" t="s">
        <v>3996</v>
      </c>
      <c r="AC847" s="6" t="s">
        <v>377</v>
      </c>
      <c r="AD847" s="6">
        <v>3965.0</v>
      </c>
    </row>
    <row r="848" ht="56.25" customHeight="1">
      <c r="A848" s="5" t="s">
        <v>3969</v>
      </c>
      <c r="B848" s="6" t="str">
        <f>IMAGE("https://storage.googleapis.com/acdb/miscellaneous/FtrPaintset_Remake_2_0.png")</f>
        <v/>
      </c>
      <c r="C848" s="5" t="s">
        <v>83</v>
      </c>
      <c r="D848" s="5" t="s">
        <v>34</v>
      </c>
      <c r="E848" s="5" t="s">
        <v>849</v>
      </c>
      <c r="F848" s="5" t="s">
        <v>3971</v>
      </c>
      <c r="G848" s="5" t="s">
        <v>36</v>
      </c>
      <c r="H848" s="5" t="s">
        <v>36</v>
      </c>
      <c r="I848" s="5" t="s">
        <v>35</v>
      </c>
      <c r="J848" s="6">
        <v>1.0</v>
      </c>
      <c r="K848" s="6">
        <v>510.0</v>
      </c>
      <c r="L848" s="6">
        <v>127.0</v>
      </c>
      <c r="M848" s="5" t="s">
        <v>83</v>
      </c>
      <c r="N848" s="5" t="s">
        <v>57</v>
      </c>
      <c r="O848" s="6" t="s">
        <v>40</v>
      </c>
      <c r="P848" s="5" t="s">
        <v>59</v>
      </c>
      <c r="Q848" s="5" t="s">
        <v>60</v>
      </c>
      <c r="R848" s="6" t="s">
        <v>42</v>
      </c>
      <c r="S848" s="5" t="s">
        <v>130</v>
      </c>
      <c r="T848" s="5" t="s">
        <v>99</v>
      </c>
      <c r="U848" s="5" t="s">
        <v>44</v>
      </c>
      <c r="V848" s="5" t="s">
        <v>44</v>
      </c>
      <c r="W848" s="5" t="s">
        <v>36</v>
      </c>
      <c r="X848" s="5" t="s">
        <v>356</v>
      </c>
      <c r="Y848" s="5" t="s">
        <v>46</v>
      </c>
      <c r="Z848" s="5" t="s">
        <v>47</v>
      </c>
      <c r="AA848" s="5" t="s">
        <v>64</v>
      </c>
      <c r="AB848" s="5" t="s">
        <v>3998</v>
      </c>
      <c r="AC848" s="6" t="s">
        <v>67</v>
      </c>
      <c r="AD848" s="6">
        <v>3965.0</v>
      </c>
    </row>
    <row r="849" ht="56.25" customHeight="1">
      <c r="A849" s="5" t="s">
        <v>3969</v>
      </c>
      <c r="B849" s="6" t="str">
        <f>IMAGE("https://storage.googleapis.com/acdb/miscellaneous/FtrPaintset_Remake_2_1.png")</f>
        <v/>
      </c>
      <c r="C849" s="5" t="s">
        <v>83</v>
      </c>
      <c r="D849" s="5" t="s">
        <v>34</v>
      </c>
      <c r="E849" s="5" t="s">
        <v>3975</v>
      </c>
      <c r="F849" s="5" t="s">
        <v>3971</v>
      </c>
      <c r="G849" s="5" t="s">
        <v>36</v>
      </c>
      <c r="H849" s="5" t="s">
        <v>36</v>
      </c>
      <c r="I849" s="5" t="s">
        <v>35</v>
      </c>
      <c r="J849" s="6">
        <v>1.0</v>
      </c>
      <c r="K849" s="6">
        <v>510.0</v>
      </c>
      <c r="L849" s="6">
        <v>127.0</v>
      </c>
      <c r="M849" s="5" t="s">
        <v>83</v>
      </c>
      <c r="N849" s="5" t="s">
        <v>52</v>
      </c>
      <c r="O849" s="6" t="s">
        <v>40</v>
      </c>
      <c r="P849" s="5" t="s">
        <v>59</v>
      </c>
      <c r="Q849" s="5" t="s">
        <v>60</v>
      </c>
      <c r="R849" s="6" t="s">
        <v>42</v>
      </c>
      <c r="S849" s="5" t="s">
        <v>130</v>
      </c>
      <c r="T849" s="5" t="s">
        <v>99</v>
      </c>
      <c r="U849" s="5" t="s">
        <v>44</v>
      </c>
      <c r="V849" s="5" t="s">
        <v>44</v>
      </c>
      <c r="W849" s="5" t="s">
        <v>36</v>
      </c>
      <c r="X849" s="5" t="s">
        <v>356</v>
      </c>
      <c r="Y849" s="5" t="s">
        <v>46</v>
      </c>
      <c r="Z849" s="5" t="s">
        <v>47</v>
      </c>
      <c r="AA849" s="5" t="s">
        <v>64</v>
      </c>
      <c r="AB849" s="5" t="s">
        <v>4000</v>
      </c>
      <c r="AC849" s="6" t="s">
        <v>247</v>
      </c>
      <c r="AD849" s="6">
        <v>3965.0</v>
      </c>
    </row>
    <row r="850" ht="56.25" customHeight="1">
      <c r="A850" s="5" t="s">
        <v>3969</v>
      </c>
      <c r="B850" s="6" t="str">
        <f>IMAGE("https://storage.googleapis.com/acdb/miscellaneous/FtrPaintset_Remake_2_2.png")</f>
        <v/>
      </c>
      <c r="C850" s="5" t="s">
        <v>83</v>
      </c>
      <c r="D850" s="5" t="s">
        <v>34</v>
      </c>
      <c r="E850" s="5" t="s">
        <v>3980</v>
      </c>
      <c r="F850" s="5" t="s">
        <v>3971</v>
      </c>
      <c r="G850" s="5" t="s">
        <v>36</v>
      </c>
      <c r="H850" s="5" t="s">
        <v>36</v>
      </c>
      <c r="I850" s="5" t="s">
        <v>35</v>
      </c>
      <c r="J850" s="6">
        <v>1.0</v>
      </c>
      <c r="K850" s="6">
        <v>510.0</v>
      </c>
      <c r="L850" s="6">
        <v>127.0</v>
      </c>
      <c r="M850" s="5" t="s">
        <v>83</v>
      </c>
      <c r="N850" s="5" t="s">
        <v>39</v>
      </c>
      <c r="O850" s="6" t="s">
        <v>40</v>
      </c>
      <c r="P850" s="5" t="s">
        <v>59</v>
      </c>
      <c r="Q850" s="5" t="s">
        <v>60</v>
      </c>
      <c r="R850" s="6" t="s">
        <v>42</v>
      </c>
      <c r="S850" s="5" t="s">
        <v>130</v>
      </c>
      <c r="T850" s="5" t="s">
        <v>99</v>
      </c>
      <c r="U850" s="5" t="s">
        <v>44</v>
      </c>
      <c r="V850" s="5" t="s">
        <v>44</v>
      </c>
      <c r="W850" s="5" t="s">
        <v>36</v>
      </c>
      <c r="X850" s="5" t="s">
        <v>356</v>
      </c>
      <c r="Y850" s="5" t="s">
        <v>46</v>
      </c>
      <c r="Z850" s="5" t="s">
        <v>47</v>
      </c>
      <c r="AA850" s="5" t="s">
        <v>64</v>
      </c>
      <c r="AB850" s="5" t="s">
        <v>4006</v>
      </c>
      <c r="AC850" s="6" t="s">
        <v>390</v>
      </c>
      <c r="AD850" s="6">
        <v>3965.0</v>
      </c>
    </row>
    <row r="851" ht="56.25" customHeight="1">
      <c r="A851" s="5" t="s">
        <v>3969</v>
      </c>
      <c r="B851" s="6" t="str">
        <f>IMAGE("https://storage.googleapis.com/acdb/miscellaneous/FtrPaintset_Remake_2_3.png")</f>
        <v/>
      </c>
      <c r="C851" s="5" t="s">
        <v>83</v>
      </c>
      <c r="D851" s="5" t="s">
        <v>34</v>
      </c>
      <c r="E851" s="5" t="s">
        <v>3985</v>
      </c>
      <c r="F851" s="5" t="s">
        <v>3971</v>
      </c>
      <c r="G851" s="5" t="s">
        <v>36</v>
      </c>
      <c r="H851" s="5" t="s">
        <v>36</v>
      </c>
      <c r="I851" s="5" t="s">
        <v>35</v>
      </c>
      <c r="J851" s="6">
        <v>1.0</v>
      </c>
      <c r="K851" s="6">
        <v>510.0</v>
      </c>
      <c r="L851" s="6">
        <v>127.0</v>
      </c>
      <c r="M851" s="5" t="s">
        <v>83</v>
      </c>
      <c r="N851" s="5" t="s">
        <v>58</v>
      </c>
      <c r="O851" s="6" t="s">
        <v>40</v>
      </c>
      <c r="P851" s="5" t="s">
        <v>59</v>
      </c>
      <c r="Q851" s="5" t="s">
        <v>60</v>
      </c>
      <c r="R851" s="6" t="s">
        <v>42</v>
      </c>
      <c r="S851" s="5" t="s">
        <v>130</v>
      </c>
      <c r="T851" s="5" t="s">
        <v>99</v>
      </c>
      <c r="U851" s="5" t="s">
        <v>44</v>
      </c>
      <c r="V851" s="5" t="s">
        <v>44</v>
      </c>
      <c r="W851" s="5" t="s">
        <v>36</v>
      </c>
      <c r="X851" s="5" t="s">
        <v>356</v>
      </c>
      <c r="Y851" s="5" t="s">
        <v>46</v>
      </c>
      <c r="Z851" s="5" t="s">
        <v>47</v>
      </c>
      <c r="AA851" s="5" t="s">
        <v>64</v>
      </c>
      <c r="AB851" s="5" t="s">
        <v>4010</v>
      </c>
      <c r="AC851" s="6" t="s">
        <v>396</v>
      </c>
      <c r="AD851" s="6">
        <v>3965.0</v>
      </c>
    </row>
    <row r="852" ht="56.25" customHeight="1">
      <c r="A852" s="5" t="s">
        <v>3969</v>
      </c>
      <c r="B852" s="6" t="str">
        <f>IMAGE("https://storage.googleapis.com/acdb/miscellaneous/FtrPaintset_Remake_3_0.png")</f>
        <v/>
      </c>
      <c r="C852" s="5" t="s">
        <v>57</v>
      </c>
      <c r="D852" s="5" t="s">
        <v>34</v>
      </c>
      <c r="E852" s="5" t="s">
        <v>849</v>
      </c>
      <c r="F852" s="5" t="s">
        <v>3971</v>
      </c>
      <c r="G852" s="5" t="s">
        <v>36</v>
      </c>
      <c r="H852" s="5" t="s">
        <v>36</v>
      </c>
      <c r="I852" s="5" t="s">
        <v>35</v>
      </c>
      <c r="J852" s="6">
        <v>1.0</v>
      </c>
      <c r="K852" s="6">
        <v>510.0</v>
      </c>
      <c r="L852" s="6">
        <v>127.0</v>
      </c>
      <c r="M852" s="5" t="s">
        <v>57</v>
      </c>
      <c r="N852" s="5" t="s">
        <v>57</v>
      </c>
      <c r="O852" s="6" t="s">
        <v>40</v>
      </c>
      <c r="P852" s="5" t="s">
        <v>59</v>
      </c>
      <c r="Q852" s="5" t="s">
        <v>60</v>
      </c>
      <c r="R852" s="6" t="s">
        <v>42</v>
      </c>
      <c r="S852" s="5" t="s">
        <v>130</v>
      </c>
      <c r="T852" s="5" t="s">
        <v>99</v>
      </c>
      <c r="U852" s="5" t="s">
        <v>44</v>
      </c>
      <c r="V852" s="5" t="s">
        <v>44</v>
      </c>
      <c r="W852" s="5" t="s">
        <v>36</v>
      </c>
      <c r="X852" s="5" t="s">
        <v>356</v>
      </c>
      <c r="Y852" s="5" t="s">
        <v>46</v>
      </c>
      <c r="Z852" s="5" t="s">
        <v>47</v>
      </c>
      <c r="AA852" s="5" t="s">
        <v>64</v>
      </c>
      <c r="AB852" s="5" t="s">
        <v>4015</v>
      </c>
      <c r="AC852" s="6" t="s">
        <v>71</v>
      </c>
      <c r="AD852" s="6">
        <v>3965.0</v>
      </c>
    </row>
    <row r="853" ht="56.25" customHeight="1">
      <c r="A853" s="5" t="s">
        <v>3969</v>
      </c>
      <c r="B853" s="6" t="str">
        <f>IMAGE("https://storage.googleapis.com/acdb/miscellaneous/FtrPaintset_Remake_3_1.png")</f>
        <v/>
      </c>
      <c r="C853" s="5" t="s">
        <v>57</v>
      </c>
      <c r="D853" s="5" t="s">
        <v>34</v>
      </c>
      <c r="E853" s="5" t="s">
        <v>3975</v>
      </c>
      <c r="F853" s="5" t="s">
        <v>3971</v>
      </c>
      <c r="G853" s="5" t="s">
        <v>36</v>
      </c>
      <c r="H853" s="5" t="s">
        <v>36</v>
      </c>
      <c r="I853" s="5" t="s">
        <v>35</v>
      </c>
      <c r="J853" s="6">
        <v>1.0</v>
      </c>
      <c r="K853" s="6">
        <v>510.0</v>
      </c>
      <c r="L853" s="6">
        <v>127.0</v>
      </c>
      <c r="M853" s="5" t="s">
        <v>57</v>
      </c>
      <c r="N853" s="5" t="s">
        <v>52</v>
      </c>
      <c r="O853" s="6" t="s">
        <v>40</v>
      </c>
      <c r="P853" s="5" t="s">
        <v>59</v>
      </c>
      <c r="Q853" s="5" t="s">
        <v>60</v>
      </c>
      <c r="R853" s="6" t="s">
        <v>42</v>
      </c>
      <c r="S853" s="5" t="s">
        <v>130</v>
      </c>
      <c r="T853" s="5" t="s">
        <v>99</v>
      </c>
      <c r="U853" s="5" t="s">
        <v>44</v>
      </c>
      <c r="V853" s="5" t="s">
        <v>44</v>
      </c>
      <c r="W853" s="5" t="s">
        <v>36</v>
      </c>
      <c r="X853" s="5" t="s">
        <v>356</v>
      </c>
      <c r="Y853" s="5" t="s">
        <v>46</v>
      </c>
      <c r="Z853" s="5" t="s">
        <v>47</v>
      </c>
      <c r="AA853" s="5" t="s">
        <v>64</v>
      </c>
      <c r="AB853" s="5" t="s">
        <v>4019</v>
      </c>
      <c r="AC853" s="6" t="s">
        <v>257</v>
      </c>
      <c r="AD853" s="6">
        <v>3965.0</v>
      </c>
    </row>
    <row r="854" ht="56.25" customHeight="1">
      <c r="A854" s="5" t="s">
        <v>3969</v>
      </c>
      <c r="B854" s="6" t="str">
        <f>IMAGE("https://storage.googleapis.com/acdb/miscellaneous/FtrPaintset_Remake_3_2.png")</f>
        <v/>
      </c>
      <c r="C854" s="5" t="s">
        <v>57</v>
      </c>
      <c r="D854" s="5" t="s">
        <v>34</v>
      </c>
      <c r="E854" s="5" t="s">
        <v>3980</v>
      </c>
      <c r="F854" s="5" t="s">
        <v>3971</v>
      </c>
      <c r="G854" s="5" t="s">
        <v>36</v>
      </c>
      <c r="H854" s="5" t="s">
        <v>36</v>
      </c>
      <c r="I854" s="5" t="s">
        <v>35</v>
      </c>
      <c r="J854" s="6">
        <v>1.0</v>
      </c>
      <c r="K854" s="6">
        <v>510.0</v>
      </c>
      <c r="L854" s="6">
        <v>127.0</v>
      </c>
      <c r="M854" s="5" t="s">
        <v>57</v>
      </c>
      <c r="N854" s="5" t="s">
        <v>39</v>
      </c>
      <c r="O854" s="6" t="s">
        <v>40</v>
      </c>
      <c r="P854" s="5" t="s">
        <v>59</v>
      </c>
      <c r="Q854" s="5" t="s">
        <v>60</v>
      </c>
      <c r="R854" s="6" t="s">
        <v>42</v>
      </c>
      <c r="S854" s="5" t="s">
        <v>130</v>
      </c>
      <c r="T854" s="5" t="s">
        <v>99</v>
      </c>
      <c r="U854" s="5" t="s">
        <v>44</v>
      </c>
      <c r="V854" s="5" t="s">
        <v>44</v>
      </c>
      <c r="W854" s="5" t="s">
        <v>36</v>
      </c>
      <c r="X854" s="5" t="s">
        <v>356</v>
      </c>
      <c r="Y854" s="5" t="s">
        <v>46</v>
      </c>
      <c r="Z854" s="5" t="s">
        <v>47</v>
      </c>
      <c r="AA854" s="5" t="s">
        <v>64</v>
      </c>
      <c r="AB854" s="5" t="s">
        <v>4024</v>
      </c>
      <c r="AC854" s="6" t="s">
        <v>414</v>
      </c>
      <c r="AD854" s="6">
        <v>3965.0</v>
      </c>
    </row>
    <row r="855" ht="56.25" customHeight="1">
      <c r="A855" s="5" t="s">
        <v>3969</v>
      </c>
      <c r="B855" s="6" t="str">
        <f>IMAGE("https://storage.googleapis.com/acdb/miscellaneous/FtrPaintset_Remake_3_3.png")</f>
        <v/>
      </c>
      <c r="C855" s="5" t="s">
        <v>57</v>
      </c>
      <c r="D855" s="5" t="s">
        <v>34</v>
      </c>
      <c r="E855" s="5" t="s">
        <v>3985</v>
      </c>
      <c r="F855" s="5" t="s">
        <v>3971</v>
      </c>
      <c r="G855" s="5" t="s">
        <v>36</v>
      </c>
      <c r="H855" s="5" t="s">
        <v>36</v>
      </c>
      <c r="I855" s="5" t="s">
        <v>35</v>
      </c>
      <c r="J855" s="6">
        <v>1.0</v>
      </c>
      <c r="K855" s="6">
        <v>510.0</v>
      </c>
      <c r="L855" s="6">
        <v>127.0</v>
      </c>
      <c r="M855" s="5" t="s">
        <v>57</v>
      </c>
      <c r="N855" s="5" t="s">
        <v>58</v>
      </c>
      <c r="O855" s="6" t="s">
        <v>40</v>
      </c>
      <c r="P855" s="5" t="s">
        <v>59</v>
      </c>
      <c r="Q855" s="5" t="s">
        <v>60</v>
      </c>
      <c r="R855" s="6" t="s">
        <v>42</v>
      </c>
      <c r="S855" s="5" t="s">
        <v>130</v>
      </c>
      <c r="T855" s="5" t="s">
        <v>99</v>
      </c>
      <c r="U855" s="5" t="s">
        <v>44</v>
      </c>
      <c r="V855" s="5" t="s">
        <v>44</v>
      </c>
      <c r="W855" s="5" t="s">
        <v>36</v>
      </c>
      <c r="X855" s="5" t="s">
        <v>356</v>
      </c>
      <c r="Y855" s="5" t="s">
        <v>46</v>
      </c>
      <c r="Z855" s="5" t="s">
        <v>47</v>
      </c>
      <c r="AA855" s="5" t="s">
        <v>64</v>
      </c>
      <c r="AB855" s="5" t="s">
        <v>4033</v>
      </c>
      <c r="AC855" s="6" t="s">
        <v>418</v>
      </c>
      <c r="AD855" s="6">
        <v>3965.0</v>
      </c>
    </row>
    <row r="856" ht="56.25" customHeight="1">
      <c r="A856" s="5" t="s">
        <v>4034</v>
      </c>
      <c r="B856" s="16" t="str">
        <f>IMAGE("https://storage.googleapis.com/acdb/miscellaneous/FtrFishOikawaToy.png")</f>
        <v/>
      </c>
      <c r="C856" s="5" t="s">
        <v>34</v>
      </c>
      <c r="D856" s="5" t="s">
        <v>34</v>
      </c>
      <c r="E856" s="5" t="s">
        <v>34</v>
      </c>
      <c r="F856" s="5" t="s">
        <v>34</v>
      </c>
      <c r="G856" s="5" t="s">
        <v>36</v>
      </c>
      <c r="H856" s="5" t="s">
        <v>36</v>
      </c>
      <c r="I856" s="5" t="s">
        <v>36</v>
      </c>
      <c r="J856" s="6" t="s">
        <v>34</v>
      </c>
      <c r="K856" s="6" t="s">
        <v>37</v>
      </c>
      <c r="L856" s="6">
        <v>600.0</v>
      </c>
      <c r="M856" s="5" t="s">
        <v>68</v>
      </c>
      <c r="N856" s="5" t="s">
        <v>54</v>
      </c>
      <c r="O856" s="6" t="s">
        <v>40</v>
      </c>
      <c r="P856" s="5" t="s">
        <v>213</v>
      </c>
      <c r="Q856" s="5" t="s">
        <v>215</v>
      </c>
      <c r="R856" s="6" t="s">
        <v>42</v>
      </c>
      <c r="S856" s="5" t="s">
        <v>44</v>
      </c>
      <c r="T856" s="5" t="s">
        <v>44</v>
      </c>
      <c r="U856" s="5" t="s">
        <v>44</v>
      </c>
      <c r="V856" s="5" t="s">
        <v>44</v>
      </c>
      <c r="W856" s="5" t="s">
        <v>36</v>
      </c>
      <c r="X856" s="5" t="s">
        <v>219</v>
      </c>
      <c r="Y856" s="5" t="s">
        <v>46</v>
      </c>
      <c r="Z856" s="5" t="s">
        <v>47</v>
      </c>
      <c r="AA856" s="5" t="s">
        <v>48</v>
      </c>
      <c r="AB856" s="5" t="s">
        <v>4040</v>
      </c>
      <c r="AC856" s="6" t="s">
        <v>34</v>
      </c>
      <c r="AD856" s="6">
        <v>7000.0</v>
      </c>
    </row>
    <row r="857" ht="56.25" customHeight="1">
      <c r="A857" s="5" t="s">
        <v>4043</v>
      </c>
      <c r="B857" s="16" t="str">
        <f>IMAGE("https://storage.googleapis.com/acdb/miscellaneous/FtrInsectOhgomamadaraToy.png")</f>
        <v/>
      </c>
      <c r="C857" s="5" t="s">
        <v>34</v>
      </c>
      <c r="D857" s="5" t="s">
        <v>34</v>
      </c>
      <c r="E857" s="5" t="s">
        <v>34</v>
      </c>
      <c r="F857" s="5" t="s">
        <v>34</v>
      </c>
      <c r="G857" s="5" t="s">
        <v>36</v>
      </c>
      <c r="H857" s="5" t="s">
        <v>36</v>
      </c>
      <c r="I857" s="5" t="s">
        <v>36</v>
      </c>
      <c r="J857" s="6" t="s">
        <v>34</v>
      </c>
      <c r="K857" s="6" t="s">
        <v>37</v>
      </c>
      <c r="L857" s="6">
        <v>3000.0</v>
      </c>
      <c r="M857" s="5" t="s">
        <v>57</v>
      </c>
      <c r="N857" s="5" t="s">
        <v>54</v>
      </c>
      <c r="O857" s="6" t="s">
        <v>40</v>
      </c>
      <c r="P857" s="5" t="s">
        <v>107</v>
      </c>
      <c r="Q857" s="5" t="s">
        <v>108</v>
      </c>
      <c r="R857" s="6" t="s">
        <v>42</v>
      </c>
      <c r="S857" s="5" t="s">
        <v>44</v>
      </c>
      <c r="T857" s="5" t="s">
        <v>44</v>
      </c>
      <c r="U857" s="5" t="s">
        <v>44</v>
      </c>
      <c r="V857" s="5" t="s">
        <v>44</v>
      </c>
      <c r="W857" s="5" t="s">
        <v>36</v>
      </c>
      <c r="X857" s="5" t="s">
        <v>109</v>
      </c>
      <c r="Y857" s="5" t="s">
        <v>46</v>
      </c>
      <c r="Z857" s="5" t="s">
        <v>47</v>
      </c>
      <c r="AA857" s="5" t="s">
        <v>48</v>
      </c>
      <c r="AB857" s="5" t="s">
        <v>4047</v>
      </c>
      <c r="AC857" s="6" t="s">
        <v>34</v>
      </c>
      <c r="AD857" s="6">
        <v>7112.0</v>
      </c>
    </row>
    <row r="858" ht="56.25" customHeight="1">
      <c r="A858" s="5" t="s">
        <v>4048</v>
      </c>
      <c r="B858" s="16" t="str">
        <f>IMAGE("https://storage.googleapis.com/acdb/miscellaneous/FtrHarikoTiger.png")</f>
        <v/>
      </c>
      <c r="C858" s="5" t="s">
        <v>34</v>
      </c>
      <c r="D858" s="5" t="s">
        <v>34</v>
      </c>
      <c r="E858" s="5" t="s">
        <v>34</v>
      </c>
      <c r="F858" s="5" t="s">
        <v>34</v>
      </c>
      <c r="G858" s="5" t="s">
        <v>36</v>
      </c>
      <c r="H858" s="5" t="s">
        <v>36</v>
      </c>
      <c r="I858" s="5" t="s">
        <v>36</v>
      </c>
      <c r="J858" s="6" t="s">
        <v>34</v>
      </c>
      <c r="K858" s="6">
        <v>1500.0</v>
      </c>
      <c r="L858" s="6">
        <v>375.0</v>
      </c>
      <c r="M858" s="5" t="s">
        <v>114</v>
      </c>
      <c r="N858" s="5" t="s">
        <v>54</v>
      </c>
      <c r="O858" s="6" t="s">
        <v>40</v>
      </c>
      <c r="P858" s="5" t="s">
        <v>59</v>
      </c>
      <c r="Q858" s="5" t="s">
        <v>60</v>
      </c>
      <c r="R858" s="6" t="s">
        <v>42</v>
      </c>
      <c r="S858" s="5" t="s">
        <v>266</v>
      </c>
      <c r="T858" s="5" t="s">
        <v>44</v>
      </c>
      <c r="U858" s="5" t="s">
        <v>44</v>
      </c>
      <c r="V858" s="5" t="s">
        <v>44</v>
      </c>
      <c r="W858" s="5" t="s">
        <v>35</v>
      </c>
      <c r="X858" s="5" t="s">
        <v>650</v>
      </c>
      <c r="Y858" s="5" t="s">
        <v>46</v>
      </c>
      <c r="Z858" s="5" t="s">
        <v>47</v>
      </c>
      <c r="AA858" s="5" t="s">
        <v>64</v>
      </c>
      <c r="AB858" s="5" t="s">
        <v>4057</v>
      </c>
      <c r="AC858" s="6" t="s">
        <v>34</v>
      </c>
      <c r="AD858" s="6">
        <v>689.0</v>
      </c>
    </row>
    <row r="859" ht="56.25" customHeight="1">
      <c r="A859" s="5" t="s">
        <v>4058</v>
      </c>
      <c r="B859" s="6" t="str">
        <f>IMAGE("https://storage.googleapis.com/acdb/miscellaneous/FtrFruitsBox_Remake_0_0.png")</f>
        <v/>
      </c>
      <c r="C859" s="5" t="s">
        <v>4059</v>
      </c>
      <c r="D859" s="5" t="s">
        <v>337</v>
      </c>
      <c r="E859" s="5" t="s">
        <v>34</v>
      </c>
      <c r="F859" s="5" t="s">
        <v>34</v>
      </c>
      <c r="G859" s="5" t="s">
        <v>35</v>
      </c>
      <c r="H859" s="5" t="s">
        <v>35</v>
      </c>
      <c r="I859" s="5" t="s">
        <v>36</v>
      </c>
      <c r="J859" s="6">
        <v>4.0</v>
      </c>
      <c r="K859" s="6" t="s">
        <v>37</v>
      </c>
      <c r="L859" s="6">
        <v>2480.0</v>
      </c>
      <c r="M859" s="5" t="s">
        <v>69</v>
      </c>
      <c r="N859" s="5" t="s">
        <v>96</v>
      </c>
      <c r="O859" s="6" t="s">
        <v>40</v>
      </c>
      <c r="P859" s="5" t="s">
        <v>41</v>
      </c>
      <c r="Q859" s="5"/>
      <c r="R859" s="6" t="s">
        <v>42</v>
      </c>
      <c r="S859" s="5" t="s">
        <v>99</v>
      </c>
      <c r="T859" s="5" t="s">
        <v>61</v>
      </c>
      <c r="U859" s="5" t="s">
        <v>338</v>
      </c>
      <c r="V859" s="5" t="s">
        <v>4063</v>
      </c>
      <c r="W859" s="5" t="s">
        <v>35</v>
      </c>
      <c r="X859" s="5" t="s">
        <v>356</v>
      </c>
      <c r="Y859" s="5" t="s">
        <v>46</v>
      </c>
      <c r="Z859" s="5" t="s">
        <v>47</v>
      </c>
      <c r="AA859" s="5" t="s">
        <v>48</v>
      </c>
      <c r="AB859" s="5" t="s">
        <v>4064</v>
      </c>
      <c r="AC859" s="6" t="s">
        <v>50</v>
      </c>
      <c r="AD859" s="6">
        <v>4128.0</v>
      </c>
    </row>
    <row r="860" ht="56.25" customHeight="1">
      <c r="A860" s="5" t="s">
        <v>4058</v>
      </c>
      <c r="B860" s="6" t="str">
        <f>IMAGE("https://storage.googleapis.com/acdb/miscellaneous/FtrFruitsBox_Remake_1_0.png")</f>
        <v/>
      </c>
      <c r="C860" s="5" t="s">
        <v>4067</v>
      </c>
      <c r="D860" s="5" t="s">
        <v>337</v>
      </c>
      <c r="E860" s="5" t="s">
        <v>34</v>
      </c>
      <c r="F860" s="5" t="s">
        <v>34</v>
      </c>
      <c r="G860" s="5" t="s">
        <v>35</v>
      </c>
      <c r="H860" s="5" t="s">
        <v>35</v>
      </c>
      <c r="I860" s="5" t="s">
        <v>36</v>
      </c>
      <c r="J860" s="6">
        <v>4.0</v>
      </c>
      <c r="K860" s="6" t="s">
        <v>37</v>
      </c>
      <c r="L860" s="6">
        <v>2480.0</v>
      </c>
      <c r="M860" s="5" t="s">
        <v>114</v>
      </c>
      <c r="N860" s="5" t="s">
        <v>96</v>
      </c>
      <c r="O860" s="6" t="s">
        <v>40</v>
      </c>
      <c r="P860" s="5" t="s">
        <v>41</v>
      </c>
      <c r="Q860" s="5"/>
      <c r="R860" s="6" t="s">
        <v>42</v>
      </c>
      <c r="S860" s="5" t="s">
        <v>99</v>
      </c>
      <c r="T860" s="5" t="s">
        <v>61</v>
      </c>
      <c r="U860" s="5" t="s">
        <v>338</v>
      </c>
      <c r="V860" s="5" t="s">
        <v>4063</v>
      </c>
      <c r="W860" s="5" t="s">
        <v>35</v>
      </c>
      <c r="X860" s="5" t="s">
        <v>356</v>
      </c>
      <c r="Y860" s="5" t="s">
        <v>46</v>
      </c>
      <c r="Z860" s="5" t="s">
        <v>47</v>
      </c>
      <c r="AA860" s="5" t="s">
        <v>48</v>
      </c>
      <c r="AB860" s="5" t="s">
        <v>4071</v>
      </c>
      <c r="AC860" s="6" t="s">
        <v>56</v>
      </c>
      <c r="AD860" s="6">
        <v>4128.0</v>
      </c>
    </row>
    <row r="861" ht="56.25" customHeight="1">
      <c r="A861" s="5" t="s">
        <v>4072</v>
      </c>
      <c r="B861" s="16" t="str">
        <f>IMAGE("https://storage.googleapis.com/acdb/miscellaneous/FtrInsectKarasuagehaToy.png")</f>
        <v/>
      </c>
      <c r="C861" s="5" t="s">
        <v>34</v>
      </c>
      <c r="D861" s="5" t="s">
        <v>34</v>
      </c>
      <c r="E861" s="5" t="s">
        <v>34</v>
      </c>
      <c r="F861" s="5" t="s">
        <v>34</v>
      </c>
      <c r="G861" s="5" t="s">
        <v>36</v>
      </c>
      <c r="H861" s="5" t="s">
        <v>36</v>
      </c>
      <c r="I861" s="5" t="s">
        <v>36</v>
      </c>
      <c r="J861" s="6" t="s">
        <v>34</v>
      </c>
      <c r="K861" s="6" t="s">
        <v>37</v>
      </c>
      <c r="L861" s="6">
        <v>7500.0</v>
      </c>
      <c r="M861" s="5" t="s">
        <v>54</v>
      </c>
      <c r="N861" s="5" t="s">
        <v>96</v>
      </c>
      <c r="O861" s="6" t="s">
        <v>40</v>
      </c>
      <c r="P861" s="5" t="s">
        <v>107</v>
      </c>
      <c r="Q861" s="5" t="s">
        <v>108</v>
      </c>
      <c r="R861" s="6" t="s">
        <v>42</v>
      </c>
      <c r="S861" s="5" t="s">
        <v>44</v>
      </c>
      <c r="T861" s="5" t="s">
        <v>44</v>
      </c>
      <c r="U861" s="5" t="s">
        <v>44</v>
      </c>
      <c r="V861" s="5" t="s">
        <v>44</v>
      </c>
      <c r="W861" s="5" t="s">
        <v>36</v>
      </c>
      <c r="X861" s="5" t="s">
        <v>109</v>
      </c>
      <c r="Y861" s="5" t="s">
        <v>46</v>
      </c>
      <c r="Z861" s="5" t="s">
        <v>47</v>
      </c>
      <c r="AA861" s="5" t="s">
        <v>48</v>
      </c>
      <c r="AB861" s="5" t="s">
        <v>4080</v>
      </c>
      <c r="AC861" s="6" t="s">
        <v>34</v>
      </c>
      <c r="AD861" s="6">
        <v>7071.0</v>
      </c>
    </row>
    <row r="862" ht="56.25" customHeight="1">
      <c r="A862" s="5" t="s">
        <v>4081</v>
      </c>
      <c r="B862" s="6" t="str">
        <f>IMAGE("https://storage.googleapis.com/acdb/miscellaneous/FtrEffectorset_Remake_0_0.png")</f>
        <v/>
      </c>
      <c r="C862" s="5" t="s">
        <v>54</v>
      </c>
      <c r="D862" s="5" t="s">
        <v>34</v>
      </c>
      <c r="E862" s="5" t="s">
        <v>34</v>
      </c>
      <c r="F862" s="5" t="s">
        <v>34</v>
      </c>
      <c r="G862" s="5" t="s">
        <v>36</v>
      </c>
      <c r="H862" s="5" t="s">
        <v>36</v>
      </c>
      <c r="I862" s="5" t="s">
        <v>36</v>
      </c>
      <c r="J862" s="6" t="s">
        <v>34</v>
      </c>
      <c r="K862" s="6">
        <v>1400.0</v>
      </c>
      <c r="L862" s="6">
        <v>350.0</v>
      </c>
      <c r="M862" s="5" t="s">
        <v>54</v>
      </c>
      <c r="N862" s="5" t="s">
        <v>68</v>
      </c>
      <c r="O862" s="6" t="s">
        <v>40</v>
      </c>
      <c r="P862" s="5" t="s">
        <v>59</v>
      </c>
      <c r="Q862" s="5" t="s">
        <v>60</v>
      </c>
      <c r="R862" s="6" t="s">
        <v>42</v>
      </c>
      <c r="S862" s="5" t="s">
        <v>129</v>
      </c>
      <c r="T862" s="5" t="s">
        <v>141</v>
      </c>
      <c r="U862" s="5" t="s">
        <v>44</v>
      </c>
      <c r="V862" s="5" t="s">
        <v>44</v>
      </c>
      <c r="W862" s="5" t="s">
        <v>35</v>
      </c>
      <c r="X862" s="5" t="s">
        <v>45</v>
      </c>
      <c r="Y862" s="5" t="s">
        <v>46</v>
      </c>
      <c r="Z862" s="5" t="s">
        <v>47</v>
      </c>
      <c r="AA862" s="5" t="s">
        <v>64</v>
      </c>
      <c r="AB862" s="5" t="s">
        <v>4086</v>
      </c>
      <c r="AC862" s="6" t="s">
        <v>50</v>
      </c>
      <c r="AD862" s="6">
        <v>7257.0</v>
      </c>
    </row>
    <row r="863" ht="56.25" customHeight="1">
      <c r="A863" s="5" t="s">
        <v>4081</v>
      </c>
      <c r="B863" s="6" t="str">
        <f>IMAGE("https://storage.googleapis.com/acdb/miscellaneous/FtrEffectorset_Remake_1_0.png")</f>
        <v/>
      </c>
      <c r="C863" s="5" t="s">
        <v>69</v>
      </c>
      <c r="D863" s="5" t="s">
        <v>34</v>
      </c>
      <c r="E863" s="5" t="s">
        <v>34</v>
      </c>
      <c r="F863" s="5" t="s">
        <v>34</v>
      </c>
      <c r="G863" s="5" t="s">
        <v>36</v>
      </c>
      <c r="H863" s="5" t="s">
        <v>36</v>
      </c>
      <c r="I863" s="5" t="s">
        <v>36</v>
      </c>
      <c r="J863" s="6" t="s">
        <v>34</v>
      </c>
      <c r="K863" s="6">
        <v>1400.0</v>
      </c>
      <c r="L863" s="6">
        <v>350.0</v>
      </c>
      <c r="M863" s="5" t="s">
        <v>52</v>
      </c>
      <c r="N863" s="5" t="s">
        <v>69</v>
      </c>
      <c r="O863" s="6" t="s">
        <v>40</v>
      </c>
      <c r="P863" s="5" t="s">
        <v>59</v>
      </c>
      <c r="Q863" s="5" t="s">
        <v>60</v>
      </c>
      <c r="R863" s="6" t="s">
        <v>42</v>
      </c>
      <c r="S863" s="5" t="s">
        <v>129</v>
      </c>
      <c r="T863" s="5" t="s">
        <v>141</v>
      </c>
      <c r="U863" s="5" t="s">
        <v>44</v>
      </c>
      <c r="V863" s="5" t="s">
        <v>44</v>
      </c>
      <c r="W863" s="5" t="s">
        <v>35</v>
      </c>
      <c r="X863" s="5" t="s">
        <v>45</v>
      </c>
      <c r="Y863" s="5" t="s">
        <v>46</v>
      </c>
      <c r="Z863" s="5" t="s">
        <v>47</v>
      </c>
      <c r="AA863" s="5" t="s">
        <v>64</v>
      </c>
      <c r="AB863" s="5" t="s">
        <v>4093</v>
      </c>
      <c r="AC863" s="6" t="s">
        <v>56</v>
      </c>
      <c r="AD863" s="6">
        <v>7257.0</v>
      </c>
    </row>
    <row r="864" ht="56.25" customHeight="1">
      <c r="A864" s="5" t="s">
        <v>4081</v>
      </c>
      <c r="B864" s="6" t="str">
        <f>IMAGE("https://storage.googleapis.com/acdb/miscellaneous/FtrEffectorset_Remake_2_0.png")</f>
        <v/>
      </c>
      <c r="C864" s="5" t="s">
        <v>96</v>
      </c>
      <c r="D864" s="5" t="s">
        <v>34</v>
      </c>
      <c r="E864" s="5" t="s">
        <v>34</v>
      </c>
      <c r="F864" s="5" t="s">
        <v>34</v>
      </c>
      <c r="G864" s="5" t="s">
        <v>36</v>
      </c>
      <c r="H864" s="5" t="s">
        <v>36</v>
      </c>
      <c r="I864" s="5" t="s">
        <v>36</v>
      </c>
      <c r="J864" s="6" t="s">
        <v>34</v>
      </c>
      <c r="K864" s="6">
        <v>1400.0</v>
      </c>
      <c r="L864" s="6">
        <v>350.0</v>
      </c>
      <c r="M864" s="5" t="s">
        <v>96</v>
      </c>
      <c r="N864" s="5" t="s">
        <v>54</v>
      </c>
      <c r="O864" s="6" t="s">
        <v>40</v>
      </c>
      <c r="P864" s="5" t="s">
        <v>59</v>
      </c>
      <c r="Q864" s="5" t="s">
        <v>60</v>
      </c>
      <c r="R864" s="6" t="s">
        <v>42</v>
      </c>
      <c r="S864" s="5" t="s">
        <v>129</v>
      </c>
      <c r="T864" s="5" t="s">
        <v>141</v>
      </c>
      <c r="U864" s="5" t="s">
        <v>44</v>
      </c>
      <c r="V864" s="5" t="s">
        <v>44</v>
      </c>
      <c r="W864" s="5" t="s">
        <v>35</v>
      </c>
      <c r="X864" s="5" t="s">
        <v>45</v>
      </c>
      <c r="Y864" s="5" t="s">
        <v>46</v>
      </c>
      <c r="Z864" s="5" t="s">
        <v>47</v>
      </c>
      <c r="AA864" s="5" t="s">
        <v>64</v>
      </c>
      <c r="AB864" s="5" t="s">
        <v>4098</v>
      </c>
      <c r="AC864" s="6" t="s">
        <v>67</v>
      </c>
      <c r="AD864" s="6">
        <v>7257.0</v>
      </c>
    </row>
    <row r="865" ht="56.25" customHeight="1">
      <c r="A865" s="5" t="s">
        <v>4100</v>
      </c>
      <c r="B865" s="6" t="str">
        <f>IMAGE("https://storage.googleapis.com/acdb/miscellaneous/FtrPetFood_Remake_0_0.png")</f>
        <v/>
      </c>
      <c r="C865" s="5" t="s">
        <v>68</v>
      </c>
      <c r="D865" s="5" t="s">
        <v>34</v>
      </c>
      <c r="E865" s="5" t="s">
        <v>34</v>
      </c>
      <c r="F865" s="5" t="s">
        <v>34</v>
      </c>
      <c r="G865" s="5" t="s">
        <v>36</v>
      </c>
      <c r="H865" s="5" t="s">
        <v>36</v>
      </c>
      <c r="I865" s="5" t="s">
        <v>36</v>
      </c>
      <c r="J865" s="6" t="s">
        <v>34</v>
      </c>
      <c r="K865" s="6">
        <v>830.0</v>
      </c>
      <c r="L865" s="6">
        <v>207.0</v>
      </c>
      <c r="M865" s="5" t="s">
        <v>68</v>
      </c>
      <c r="N865" s="5" t="s">
        <v>95</v>
      </c>
      <c r="O865" s="6" t="s">
        <v>40</v>
      </c>
      <c r="P865" s="5" t="s">
        <v>59</v>
      </c>
      <c r="Q865" s="5" t="s">
        <v>60</v>
      </c>
      <c r="R865" s="6" t="s">
        <v>42</v>
      </c>
      <c r="S865" s="5" t="s">
        <v>90</v>
      </c>
      <c r="T865" s="5" t="s">
        <v>44</v>
      </c>
      <c r="U865" s="5" t="s">
        <v>44</v>
      </c>
      <c r="V865" s="5" t="s">
        <v>4107</v>
      </c>
      <c r="W865" s="5" t="s">
        <v>36</v>
      </c>
      <c r="X865" s="5" t="s">
        <v>521</v>
      </c>
      <c r="Y865" s="5" t="s">
        <v>46</v>
      </c>
      <c r="Z865" s="5" t="s">
        <v>47</v>
      </c>
      <c r="AA865" s="5" t="s">
        <v>64</v>
      </c>
      <c r="AB865" s="5" t="s">
        <v>4108</v>
      </c>
      <c r="AC865" s="6" t="s">
        <v>50</v>
      </c>
      <c r="AD865" s="6">
        <v>7801.0</v>
      </c>
    </row>
    <row r="866" ht="56.25" customHeight="1">
      <c r="A866" s="5" t="s">
        <v>4100</v>
      </c>
      <c r="B866" s="6" t="str">
        <f>IMAGE("https://storage.googleapis.com/acdb/miscellaneous/FtrPetFood_Remake_1_0.png")</f>
        <v/>
      </c>
      <c r="C866" s="5" t="s">
        <v>142</v>
      </c>
      <c r="D866" s="5" t="s">
        <v>34</v>
      </c>
      <c r="E866" s="5" t="s">
        <v>34</v>
      </c>
      <c r="F866" s="5" t="s">
        <v>34</v>
      </c>
      <c r="G866" s="5" t="s">
        <v>36</v>
      </c>
      <c r="H866" s="5" t="s">
        <v>36</v>
      </c>
      <c r="I866" s="5" t="s">
        <v>36</v>
      </c>
      <c r="J866" s="6" t="s">
        <v>34</v>
      </c>
      <c r="K866" s="6">
        <v>830.0</v>
      </c>
      <c r="L866" s="6">
        <v>207.0</v>
      </c>
      <c r="M866" s="5" t="s">
        <v>142</v>
      </c>
      <c r="N866" s="5" t="s">
        <v>95</v>
      </c>
      <c r="O866" s="6" t="s">
        <v>40</v>
      </c>
      <c r="P866" s="5" t="s">
        <v>59</v>
      </c>
      <c r="Q866" s="5" t="s">
        <v>60</v>
      </c>
      <c r="R866" s="6" t="s">
        <v>42</v>
      </c>
      <c r="S866" s="5" t="s">
        <v>90</v>
      </c>
      <c r="T866" s="5" t="s">
        <v>44</v>
      </c>
      <c r="U866" s="5" t="s">
        <v>44</v>
      </c>
      <c r="V866" s="5" t="s">
        <v>4107</v>
      </c>
      <c r="W866" s="5" t="s">
        <v>36</v>
      </c>
      <c r="X866" s="5" t="s">
        <v>521</v>
      </c>
      <c r="Y866" s="5" t="s">
        <v>46</v>
      </c>
      <c r="Z866" s="5" t="s">
        <v>47</v>
      </c>
      <c r="AA866" s="5" t="s">
        <v>64</v>
      </c>
      <c r="AB866" s="5" t="s">
        <v>4114</v>
      </c>
      <c r="AC866" s="6" t="s">
        <v>56</v>
      </c>
      <c r="AD866" s="6">
        <v>7801.0</v>
      </c>
    </row>
    <row r="867" ht="56.25" customHeight="1">
      <c r="A867" s="5" t="s">
        <v>4100</v>
      </c>
      <c r="B867" s="6" t="str">
        <f>IMAGE("https://storage.googleapis.com/acdb/miscellaneous/FtrPetFood_Remake_2_0.png")</f>
        <v/>
      </c>
      <c r="C867" s="5" t="s">
        <v>52</v>
      </c>
      <c r="D867" s="5" t="s">
        <v>34</v>
      </c>
      <c r="E867" s="5" t="s">
        <v>34</v>
      </c>
      <c r="F867" s="5" t="s">
        <v>34</v>
      </c>
      <c r="G867" s="5" t="s">
        <v>36</v>
      </c>
      <c r="H867" s="5" t="s">
        <v>36</v>
      </c>
      <c r="I867" s="5" t="s">
        <v>36</v>
      </c>
      <c r="J867" s="6" t="s">
        <v>34</v>
      </c>
      <c r="K867" s="6">
        <v>830.0</v>
      </c>
      <c r="L867" s="6">
        <v>207.0</v>
      </c>
      <c r="M867" s="5" t="s">
        <v>52</v>
      </c>
      <c r="N867" s="5" t="s">
        <v>95</v>
      </c>
      <c r="O867" s="6" t="s">
        <v>40</v>
      </c>
      <c r="P867" s="5" t="s">
        <v>59</v>
      </c>
      <c r="Q867" s="5" t="s">
        <v>60</v>
      </c>
      <c r="R867" s="6" t="s">
        <v>42</v>
      </c>
      <c r="S867" s="5" t="s">
        <v>90</v>
      </c>
      <c r="T867" s="5" t="s">
        <v>44</v>
      </c>
      <c r="U867" s="5" t="s">
        <v>44</v>
      </c>
      <c r="V867" s="5" t="s">
        <v>4107</v>
      </c>
      <c r="W867" s="5" t="s">
        <v>36</v>
      </c>
      <c r="X867" s="5" t="s">
        <v>521</v>
      </c>
      <c r="Y867" s="5" t="s">
        <v>46</v>
      </c>
      <c r="Z867" s="5" t="s">
        <v>47</v>
      </c>
      <c r="AA867" s="5" t="s">
        <v>64</v>
      </c>
      <c r="AB867" s="5" t="s">
        <v>4120</v>
      </c>
      <c r="AC867" s="6" t="s">
        <v>67</v>
      </c>
      <c r="AD867" s="6">
        <v>7801.0</v>
      </c>
    </row>
    <row r="868" ht="56.25" customHeight="1">
      <c r="A868" s="5" t="s">
        <v>4100</v>
      </c>
      <c r="B868" s="6" t="str">
        <f>IMAGE("https://storage.googleapis.com/acdb/miscellaneous/FtrPetFood_Remake_3_0.png")</f>
        <v/>
      </c>
      <c r="C868" s="5" t="s">
        <v>96</v>
      </c>
      <c r="D868" s="5" t="s">
        <v>34</v>
      </c>
      <c r="E868" s="5" t="s">
        <v>34</v>
      </c>
      <c r="F868" s="5" t="s">
        <v>34</v>
      </c>
      <c r="G868" s="5" t="s">
        <v>36</v>
      </c>
      <c r="H868" s="5" t="s">
        <v>36</v>
      </c>
      <c r="I868" s="5" t="s">
        <v>36</v>
      </c>
      <c r="J868" s="6" t="s">
        <v>34</v>
      </c>
      <c r="K868" s="6">
        <v>830.0</v>
      </c>
      <c r="L868" s="6">
        <v>207.0</v>
      </c>
      <c r="M868" s="5" t="s">
        <v>96</v>
      </c>
      <c r="N868" s="5" t="s">
        <v>54</v>
      </c>
      <c r="O868" s="6" t="s">
        <v>40</v>
      </c>
      <c r="P868" s="5" t="s">
        <v>59</v>
      </c>
      <c r="Q868" s="5" t="s">
        <v>60</v>
      </c>
      <c r="R868" s="6" t="s">
        <v>42</v>
      </c>
      <c r="S868" s="5" t="s">
        <v>90</v>
      </c>
      <c r="T868" s="5" t="s">
        <v>44</v>
      </c>
      <c r="U868" s="5" t="s">
        <v>44</v>
      </c>
      <c r="V868" s="5" t="s">
        <v>4107</v>
      </c>
      <c r="W868" s="5" t="s">
        <v>36</v>
      </c>
      <c r="X868" s="5" t="s">
        <v>521</v>
      </c>
      <c r="Y868" s="5" t="s">
        <v>46</v>
      </c>
      <c r="Z868" s="5" t="s">
        <v>47</v>
      </c>
      <c r="AA868" s="5" t="s">
        <v>64</v>
      </c>
      <c r="AB868" s="5" t="s">
        <v>4124</v>
      </c>
      <c r="AC868" s="6" t="s">
        <v>71</v>
      </c>
      <c r="AD868" s="6">
        <v>7801.0</v>
      </c>
    </row>
    <row r="869" ht="56.25" customHeight="1">
      <c r="A869" s="5" t="s">
        <v>4100</v>
      </c>
      <c r="B869" s="6" t="str">
        <f>IMAGE("https://storage.googleapis.com/acdb/miscellaneous/FtrPetFood_Remake_4_0.png")</f>
        <v/>
      </c>
      <c r="C869" s="5" t="s">
        <v>69</v>
      </c>
      <c r="D869" s="5" t="s">
        <v>34</v>
      </c>
      <c r="E869" s="5" t="s">
        <v>34</v>
      </c>
      <c r="F869" s="5" t="s">
        <v>34</v>
      </c>
      <c r="G869" s="5" t="s">
        <v>36</v>
      </c>
      <c r="H869" s="5" t="s">
        <v>36</v>
      </c>
      <c r="I869" s="5" t="s">
        <v>36</v>
      </c>
      <c r="J869" s="6" t="s">
        <v>34</v>
      </c>
      <c r="K869" s="6">
        <v>830.0</v>
      </c>
      <c r="L869" s="6">
        <v>207.0</v>
      </c>
      <c r="M869" s="5" t="s">
        <v>69</v>
      </c>
      <c r="N869" s="5" t="s">
        <v>69</v>
      </c>
      <c r="O869" s="6" t="s">
        <v>40</v>
      </c>
      <c r="P869" s="5" t="s">
        <v>59</v>
      </c>
      <c r="Q869" s="5" t="s">
        <v>60</v>
      </c>
      <c r="R869" s="6" t="s">
        <v>42</v>
      </c>
      <c r="S869" s="5" t="s">
        <v>90</v>
      </c>
      <c r="T869" s="5" t="s">
        <v>44</v>
      </c>
      <c r="U869" s="5" t="s">
        <v>44</v>
      </c>
      <c r="V869" s="5" t="s">
        <v>4107</v>
      </c>
      <c r="W869" s="5" t="s">
        <v>36</v>
      </c>
      <c r="X869" s="5" t="s">
        <v>521</v>
      </c>
      <c r="Y869" s="5" t="s">
        <v>46</v>
      </c>
      <c r="Z869" s="5" t="s">
        <v>47</v>
      </c>
      <c r="AA869" s="5" t="s">
        <v>64</v>
      </c>
      <c r="AB869" s="5" t="s">
        <v>4131</v>
      </c>
      <c r="AC869" s="6" t="s">
        <v>75</v>
      </c>
      <c r="AD869" s="6">
        <v>7801.0</v>
      </c>
    </row>
    <row r="870" ht="56.25" customHeight="1">
      <c r="A870" s="5" t="s">
        <v>4133</v>
      </c>
      <c r="B870" s="16" t="str">
        <f>IMAGE("https://storage.googleapis.com/acdb/miscellaneous/FtrPhonograph.png")</f>
        <v/>
      </c>
      <c r="C870" s="5" t="s">
        <v>34</v>
      </c>
      <c r="D870" s="5" t="s">
        <v>34</v>
      </c>
      <c r="E870" s="5" t="s">
        <v>34</v>
      </c>
      <c r="F870" s="5" t="s">
        <v>34</v>
      </c>
      <c r="G870" s="5" t="s">
        <v>36</v>
      </c>
      <c r="H870" s="5" t="s">
        <v>36</v>
      </c>
      <c r="I870" s="5" t="s">
        <v>36</v>
      </c>
      <c r="J870" s="6" t="s">
        <v>34</v>
      </c>
      <c r="K870" s="6">
        <v>53000.0</v>
      </c>
      <c r="L870" s="6">
        <v>13250.0</v>
      </c>
      <c r="M870" s="5" t="s">
        <v>114</v>
      </c>
      <c r="N870" s="5" t="s">
        <v>39</v>
      </c>
      <c r="O870" s="6" t="s">
        <v>40</v>
      </c>
      <c r="P870" s="5" t="s">
        <v>59</v>
      </c>
      <c r="Q870" s="5" t="s">
        <v>115</v>
      </c>
      <c r="R870" s="6" t="s">
        <v>42</v>
      </c>
      <c r="S870" s="5" t="s">
        <v>116</v>
      </c>
      <c r="T870" s="5" t="s">
        <v>44</v>
      </c>
      <c r="U870" s="5" t="s">
        <v>44</v>
      </c>
      <c r="V870" s="5" t="s">
        <v>44</v>
      </c>
      <c r="W870" s="5" t="s">
        <v>35</v>
      </c>
      <c r="X870" s="5" t="s">
        <v>746</v>
      </c>
      <c r="Y870" s="5" t="s">
        <v>4138</v>
      </c>
      <c r="Z870" s="5" t="s">
        <v>47</v>
      </c>
      <c r="AA870" s="5" t="s">
        <v>64</v>
      </c>
      <c r="AB870" s="5" t="s">
        <v>4139</v>
      </c>
      <c r="AC870" s="6" t="s">
        <v>34</v>
      </c>
      <c r="AD870" s="6">
        <v>794.0</v>
      </c>
    </row>
    <row r="871" ht="56.25" customHeight="1">
      <c r="A871" s="5" t="s">
        <v>4142</v>
      </c>
      <c r="B871" s="6" t="str">
        <f>IMAGE("https://storage.googleapis.com/acdb/miscellaneous/FtrPicnicbasket_Remake_0_0.png")</f>
        <v/>
      </c>
      <c r="C871" s="5" t="s">
        <v>52</v>
      </c>
      <c r="D871" s="5" t="s">
        <v>34</v>
      </c>
      <c r="E871" s="5" t="s">
        <v>34</v>
      </c>
      <c r="F871" s="5" t="s">
        <v>34</v>
      </c>
      <c r="G871" s="5" t="s">
        <v>36</v>
      </c>
      <c r="H871" s="5" t="s">
        <v>36</v>
      </c>
      <c r="I871" s="5" t="s">
        <v>36</v>
      </c>
      <c r="J871" s="6" t="s">
        <v>34</v>
      </c>
      <c r="K871" s="6">
        <v>1300.0</v>
      </c>
      <c r="L871" s="6">
        <v>325.0</v>
      </c>
      <c r="M871" s="5" t="s">
        <v>39</v>
      </c>
      <c r="N871" s="5" t="s">
        <v>52</v>
      </c>
      <c r="O871" s="6" t="s">
        <v>40</v>
      </c>
      <c r="P871" s="5" t="s">
        <v>59</v>
      </c>
      <c r="Q871" s="5" t="s">
        <v>554</v>
      </c>
      <c r="R871" s="6" t="s">
        <v>42</v>
      </c>
      <c r="S871" s="5" t="s">
        <v>765</v>
      </c>
      <c r="T871" s="5" t="s">
        <v>44</v>
      </c>
      <c r="U871" s="5" t="s">
        <v>44</v>
      </c>
      <c r="V871" s="5" t="s">
        <v>44</v>
      </c>
      <c r="W871" s="5" t="s">
        <v>36</v>
      </c>
      <c r="X871" s="5" t="s">
        <v>767</v>
      </c>
      <c r="Y871" s="5" t="s">
        <v>46</v>
      </c>
      <c r="Z871" s="5" t="s">
        <v>47</v>
      </c>
      <c r="AA871" s="5" t="s">
        <v>64</v>
      </c>
      <c r="AB871" s="5" t="s">
        <v>4148</v>
      </c>
      <c r="AC871" s="6" t="s">
        <v>50</v>
      </c>
      <c r="AD871" s="6">
        <v>1082.0</v>
      </c>
    </row>
    <row r="872" ht="56.25" customHeight="1">
      <c r="A872" s="5" t="s">
        <v>4142</v>
      </c>
      <c r="B872" s="6" t="str">
        <f>IMAGE("https://storage.googleapis.com/acdb/miscellaneous/FtrPicnicbasket_Remake_1_0.png")</f>
        <v/>
      </c>
      <c r="C872" s="5" t="s">
        <v>68</v>
      </c>
      <c r="D872" s="5" t="s">
        <v>34</v>
      </c>
      <c r="E872" s="5" t="s">
        <v>34</v>
      </c>
      <c r="F872" s="5" t="s">
        <v>34</v>
      </c>
      <c r="G872" s="5" t="s">
        <v>36</v>
      </c>
      <c r="H872" s="5" t="s">
        <v>36</v>
      </c>
      <c r="I872" s="5" t="s">
        <v>36</v>
      </c>
      <c r="J872" s="6" t="s">
        <v>34</v>
      </c>
      <c r="K872" s="6">
        <v>1300.0</v>
      </c>
      <c r="L872" s="6">
        <v>325.0</v>
      </c>
      <c r="M872" s="5" t="s">
        <v>142</v>
      </c>
      <c r="N872" s="5" t="s">
        <v>68</v>
      </c>
      <c r="O872" s="6" t="s">
        <v>40</v>
      </c>
      <c r="P872" s="5" t="s">
        <v>59</v>
      </c>
      <c r="Q872" s="5" t="s">
        <v>554</v>
      </c>
      <c r="R872" s="6" t="s">
        <v>42</v>
      </c>
      <c r="S872" s="5" t="s">
        <v>765</v>
      </c>
      <c r="T872" s="5" t="s">
        <v>44</v>
      </c>
      <c r="U872" s="5" t="s">
        <v>44</v>
      </c>
      <c r="V872" s="5" t="s">
        <v>44</v>
      </c>
      <c r="W872" s="5" t="s">
        <v>36</v>
      </c>
      <c r="X872" s="5" t="s">
        <v>767</v>
      </c>
      <c r="Y872" s="5" t="s">
        <v>46</v>
      </c>
      <c r="Z872" s="5" t="s">
        <v>47</v>
      </c>
      <c r="AA872" s="5" t="s">
        <v>64</v>
      </c>
      <c r="AB872" s="5" t="s">
        <v>4153</v>
      </c>
      <c r="AC872" s="6" t="s">
        <v>56</v>
      </c>
      <c r="AD872" s="6">
        <v>1082.0</v>
      </c>
    </row>
    <row r="873" ht="56.25" customHeight="1">
      <c r="A873" s="5" t="s">
        <v>4142</v>
      </c>
      <c r="B873" s="6" t="str">
        <f>IMAGE("https://storage.googleapis.com/acdb/miscellaneous/FtrPicnicbasket_Remake_2_0.png")</f>
        <v/>
      </c>
      <c r="C873" s="5" t="s">
        <v>114</v>
      </c>
      <c r="D873" s="5" t="s">
        <v>34</v>
      </c>
      <c r="E873" s="5" t="s">
        <v>34</v>
      </c>
      <c r="F873" s="5" t="s">
        <v>34</v>
      </c>
      <c r="G873" s="5" t="s">
        <v>36</v>
      </c>
      <c r="H873" s="5" t="s">
        <v>36</v>
      </c>
      <c r="I873" s="5" t="s">
        <v>36</v>
      </c>
      <c r="J873" s="6" t="s">
        <v>34</v>
      </c>
      <c r="K873" s="6">
        <v>1300.0</v>
      </c>
      <c r="L873" s="6">
        <v>325.0</v>
      </c>
      <c r="M873" s="5" t="s">
        <v>52</v>
      </c>
      <c r="N873" s="5" t="s">
        <v>114</v>
      </c>
      <c r="O873" s="6" t="s">
        <v>40</v>
      </c>
      <c r="P873" s="5" t="s">
        <v>59</v>
      </c>
      <c r="Q873" s="5" t="s">
        <v>554</v>
      </c>
      <c r="R873" s="6" t="s">
        <v>42</v>
      </c>
      <c r="S873" s="5" t="s">
        <v>765</v>
      </c>
      <c r="T873" s="5" t="s">
        <v>44</v>
      </c>
      <c r="U873" s="5" t="s">
        <v>44</v>
      </c>
      <c r="V873" s="5" t="s">
        <v>44</v>
      </c>
      <c r="W873" s="5" t="s">
        <v>36</v>
      </c>
      <c r="X873" s="5" t="s">
        <v>767</v>
      </c>
      <c r="Y873" s="5" t="s">
        <v>46</v>
      </c>
      <c r="Z873" s="5" t="s">
        <v>47</v>
      </c>
      <c r="AA873" s="5" t="s">
        <v>64</v>
      </c>
      <c r="AB873" s="5" t="s">
        <v>4162</v>
      </c>
      <c r="AC873" s="6" t="s">
        <v>67</v>
      </c>
      <c r="AD873" s="6">
        <v>1082.0</v>
      </c>
    </row>
    <row r="874" ht="56.25" customHeight="1">
      <c r="A874" s="5" t="s">
        <v>4142</v>
      </c>
      <c r="B874" s="6" t="str">
        <f>IMAGE("https://storage.googleapis.com/acdb/miscellaneous/FtrPicnicbasket_Remake_3_0.png")</f>
        <v/>
      </c>
      <c r="C874" s="5" t="s">
        <v>96</v>
      </c>
      <c r="D874" s="5" t="s">
        <v>34</v>
      </c>
      <c r="E874" s="5" t="s">
        <v>34</v>
      </c>
      <c r="F874" s="5" t="s">
        <v>34</v>
      </c>
      <c r="G874" s="5" t="s">
        <v>36</v>
      </c>
      <c r="H874" s="5" t="s">
        <v>36</v>
      </c>
      <c r="I874" s="5" t="s">
        <v>36</v>
      </c>
      <c r="J874" s="6" t="s">
        <v>34</v>
      </c>
      <c r="K874" s="6">
        <v>1300.0</v>
      </c>
      <c r="L874" s="6">
        <v>325.0</v>
      </c>
      <c r="M874" s="5" t="s">
        <v>39</v>
      </c>
      <c r="N874" s="5" t="s">
        <v>96</v>
      </c>
      <c r="O874" s="6" t="s">
        <v>40</v>
      </c>
      <c r="P874" s="5" t="s">
        <v>59</v>
      </c>
      <c r="Q874" s="5" t="s">
        <v>554</v>
      </c>
      <c r="R874" s="6" t="s">
        <v>42</v>
      </c>
      <c r="S874" s="5" t="s">
        <v>765</v>
      </c>
      <c r="T874" s="5" t="s">
        <v>44</v>
      </c>
      <c r="U874" s="5" t="s">
        <v>44</v>
      </c>
      <c r="V874" s="5" t="s">
        <v>44</v>
      </c>
      <c r="W874" s="5" t="s">
        <v>36</v>
      </c>
      <c r="X874" s="5" t="s">
        <v>767</v>
      </c>
      <c r="Y874" s="5" t="s">
        <v>46</v>
      </c>
      <c r="Z874" s="5" t="s">
        <v>47</v>
      </c>
      <c r="AA874" s="5" t="s">
        <v>64</v>
      </c>
      <c r="AB874" s="5" t="s">
        <v>4168</v>
      </c>
      <c r="AC874" s="6" t="s">
        <v>71</v>
      </c>
      <c r="AD874" s="6">
        <v>1082.0</v>
      </c>
    </row>
    <row r="875" ht="56.25" customHeight="1">
      <c r="A875" s="5" t="s">
        <v>4142</v>
      </c>
      <c r="B875" s="6" t="str">
        <f>IMAGE("https://storage.googleapis.com/acdb/miscellaneous/FtrPicnicbasket_Remake_4_0.png")</f>
        <v/>
      </c>
      <c r="C875" s="5" t="s">
        <v>57</v>
      </c>
      <c r="D875" s="5" t="s">
        <v>34</v>
      </c>
      <c r="E875" s="5" t="s">
        <v>34</v>
      </c>
      <c r="F875" s="5" t="s">
        <v>34</v>
      </c>
      <c r="G875" s="5" t="s">
        <v>36</v>
      </c>
      <c r="H875" s="5" t="s">
        <v>36</v>
      </c>
      <c r="I875" s="5" t="s">
        <v>36</v>
      </c>
      <c r="J875" s="6" t="s">
        <v>34</v>
      </c>
      <c r="K875" s="6">
        <v>1300.0</v>
      </c>
      <c r="L875" s="6">
        <v>325.0</v>
      </c>
      <c r="M875" s="5" t="s">
        <v>38</v>
      </c>
      <c r="N875" s="5" t="s">
        <v>83</v>
      </c>
      <c r="O875" s="6" t="s">
        <v>40</v>
      </c>
      <c r="P875" s="5" t="s">
        <v>59</v>
      </c>
      <c r="Q875" s="5" t="s">
        <v>554</v>
      </c>
      <c r="R875" s="6" t="s">
        <v>42</v>
      </c>
      <c r="S875" s="5" t="s">
        <v>765</v>
      </c>
      <c r="T875" s="5" t="s">
        <v>44</v>
      </c>
      <c r="U875" s="5" t="s">
        <v>44</v>
      </c>
      <c r="V875" s="5" t="s">
        <v>44</v>
      </c>
      <c r="W875" s="5" t="s">
        <v>36</v>
      </c>
      <c r="X875" s="5" t="s">
        <v>767</v>
      </c>
      <c r="Y875" s="5" t="s">
        <v>46</v>
      </c>
      <c r="Z875" s="5" t="s">
        <v>47</v>
      </c>
      <c r="AA875" s="5" t="s">
        <v>64</v>
      </c>
      <c r="AB875" s="5" t="s">
        <v>4172</v>
      </c>
      <c r="AC875" s="6" t="s">
        <v>75</v>
      </c>
      <c r="AD875" s="6">
        <v>1082.0</v>
      </c>
    </row>
    <row r="876" ht="56.25" customHeight="1">
      <c r="A876" s="5" t="s">
        <v>4142</v>
      </c>
      <c r="B876" s="6" t="str">
        <f>IMAGE("https://storage.googleapis.com/acdb/miscellaneous/FtrPicnicbasket_Remake_5_0.png")</f>
        <v/>
      </c>
      <c r="C876" s="5" t="s">
        <v>95</v>
      </c>
      <c r="D876" s="5" t="s">
        <v>34</v>
      </c>
      <c r="E876" s="5" t="s">
        <v>34</v>
      </c>
      <c r="F876" s="5" t="s">
        <v>34</v>
      </c>
      <c r="G876" s="5" t="s">
        <v>36</v>
      </c>
      <c r="H876" s="5" t="s">
        <v>36</v>
      </c>
      <c r="I876" s="5" t="s">
        <v>36</v>
      </c>
      <c r="J876" s="6" t="s">
        <v>34</v>
      </c>
      <c r="K876" s="6">
        <v>1300.0</v>
      </c>
      <c r="L876" s="6">
        <v>325.0</v>
      </c>
      <c r="M876" s="5" t="s">
        <v>95</v>
      </c>
      <c r="N876" s="5" t="s">
        <v>57</v>
      </c>
      <c r="O876" s="6" t="s">
        <v>40</v>
      </c>
      <c r="P876" s="5" t="s">
        <v>59</v>
      </c>
      <c r="Q876" s="5" t="s">
        <v>554</v>
      </c>
      <c r="R876" s="6" t="s">
        <v>42</v>
      </c>
      <c r="S876" s="5" t="s">
        <v>765</v>
      </c>
      <c r="T876" s="5" t="s">
        <v>44</v>
      </c>
      <c r="U876" s="5" t="s">
        <v>44</v>
      </c>
      <c r="V876" s="5" t="s">
        <v>44</v>
      </c>
      <c r="W876" s="5" t="s">
        <v>36</v>
      </c>
      <c r="X876" s="5" t="s">
        <v>767</v>
      </c>
      <c r="Y876" s="5" t="s">
        <v>46</v>
      </c>
      <c r="Z876" s="5" t="s">
        <v>47</v>
      </c>
      <c r="AA876" s="5" t="s">
        <v>64</v>
      </c>
      <c r="AB876" s="5" t="s">
        <v>4182</v>
      </c>
      <c r="AC876" s="6" t="s">
        <v>79</v>
      </c>
      <c r="AD876" s="6">
        <v>1082.0</v>
      </c>
    </row>
    <row r="877" ht="56.25" customHeight="1">
      <c r="A877" s="5" t="s">
        <v>4185</v>
      </c>
      <c r="B877" s="16" t="str">
        <f>IMAGE("https://storage.googleapis.com/acdb/miscellaneous/FtrFishPaikuToy.png")</f>
        <v/>
      </c>
      <c r="C877" s="5" t="s">
        <v>34</v>
      </c>
      <c r="D877" s="5" t="s">
        <v>34</v>
      </c>
      <c r="E877" s="5" t="s">
        <v>34</v>
      </c>
      <c r="F877" s="5" t="s">
        <v>34</v>
      </c>
      <c r="G877" s="5" t="s">
        <v>36</v>
      </c>
      <c r="H877" s="5" t="s">
        <v>36</v>
      </c>
      <c r="I877" s="5" t="s">
        <v>36</v>
      </c>
      <c r="J877" s="6" t="s">
        <v>34</v>
      </c>
      <c r="K877" s="6" t="s">
        <v>37</v>
      </c>
      <c r="L877" s="6">
        <v>5400.0</v>
      </c>
      <c r="M877" s="5" t="s">
        <v>96</v>
      </c>
      <c r="N877" s="5" t="s">
        <v>54</v>
      </c>
      <c r="O877" s="6" t="s">
        <v>40</v>
      </c>
      <c r="P877" s="5" t="s">
        <v>213</v>
      </c>
      <c r="Q877" s="5" t="s">
        <v>215</v>
      </c>
      <c r="R877" s="6" t="s">
        <v>42</v>
      </c>
      <c r="S877" s="5" t="s">
        <v>44</v>
      </c>
      <c r="T877" s="5" t="s">
        <v>44</v>
      </c>
      <c r="U877" s="5" t="s">
        <v>44</v>
      </c>
      <c r="V877" s="5" t="s">
        <v>44</v>
      </c>
      <c r="W877" s="5" t="s">
        <v>36</v>
      </c>
      <c r="X877" s="5" t="s">
        <v>219</v>
      </c>
      <c r="Y877" s="5" t="s">
        <v>46</v>
      </c>
      <c r="Z877" s="5" t="s">
        <v>47</v>
      </c>
      <c r="AA877" s="5" t="s">
        <v>48</v>
      </c>
      <c r="AB877" s="5" t="s">
        <v>4190</v>
      </c>
      <c r="AC877" s="6" t="s">
        <v>34</v>
      </c>
      <c r="AD877" s="6">
        <v>7004.0</v>
      </c>
    </row>
    <row r="878" ht="56.25" customHeight="1">
      <c r="A878" s="5" t="s">
        <v>4191</v>
      </c>
      <c r="B878" s="16" t="str">
        <f>IMAGE("https://storage.googleapis.com/acdb/miscellaneous/FtrInsectDangomushiToy.png")</f>
        <v/>
      </c>
      <c r="C878" s="5" t="s">
        <v>34</v>
      </c>
      <c r="D878" s="5" t="s">
        <v>34</v>
      </c>
      <c r="E878" s="5" t="s">
        <v>34</v>
      </c>
      <c r="F878" s="5" t="s">
        <v>34</v>
      </c>
      <c r="G878" s="5" t="s">
        <v>36</v>
      </c>
      <c r="H878" s="5" t="s">
        <v>36</v>
      </c>
      <c r="I878" s="5" t="s">
        <v>36</v>
      </c>
      <c r="J878" s="6" t="s">
        <v>34</v>
      </c>
      <c r="K878" s="6" t="s">
        <v>37</v>
      </c>
      <c r="L878" s="6">
        <v>750.0</v>
      </c>
      <c r="M878" s="5" t="s">
        <v>54</v>
      </c>
      <c r="N878" s="5" t="s">
        <v>54</v>
      </c>
      <c r="O878" s="6" t="s">
        <v>40</v>
      </c>
      <c r="P878" s="5" t="s">
        <v>107</v>
      </c>
      <c r="Q878" s="5" t="s">
        <v>108</v>
      </c>
      <c r="R878" s="6" t="s">
        <v>42</v>
      </c>
      <c r="S878" s="5" t="s">
        <v>44</v>
      </c>
      <c r="T878" s="5" t="s">
        <v>44</v>
      </c>
      <c r="U878" s="5" t="s">
        <v>44</v>
      </c>
      <c r="V878" s="5" t="s">
        <v>44</v>
      </c>
      <c r="W878" s="5" t="s">
        <v>36</v>
      </c>
      <c r="X878" s="5" t="s">
        <v>109</v>
      </c>
      <c r="Y878" s="5" t="s">
        <v>46</v>
      </c>
      <c r="Z878" s="5" t="s">
        <v>47</v>
      </c>
      <c r="AA878" s="5" t="s">
        <v>48</v>
      </c>
      <c r="AB878" s="5" t="s">
        <v>4197</v>
      </c>
      <c r="AC878" s="6" t="s">
        <v>34</v>
      </c>
      <c r="AD878" s="6">
        <v>7054.0</v>
      </c>
    </row>
    <row r="879" ht="56.25" customHeight="1">
      <c r="A879" s="5" t="s">
        <v>4198</v>
      </c>
      <c r="B879" s="16" t="str">
        <f>IMAGE("https://storage.googleapis.com/acdb/miscellaneous/FtrBonsaiPine.png")</f>
        <v/>
      </c>
      <c r="C879" s="5" t="s">
        <v>34</v>
      </c>
      <c r="D879" s="5" t="s">
        <v>34</v>
      </c>
      <c r="E879" s="5" t="s">
        <v>34</v>
      </c>
      <c r="F879" s="5" t="s">
        <v>34</v>
      </c>
      <c r="G879" s="5" t="s">
        <v>35</v>
      </c>
      <c r="H879" s="5" t="s">
        <v>36</v>
      </c>
      <c r="I879" s="5" t="s">
        <v>36</v>
      </c>
      <c r="J879" s="6" t="s">
        <v>34</v>
      </c>
      <c r="K879" s="6" t="s">
        <v>37</v>
      </c>
      <c r="L879" s="6">
        <v>4200.0</v>
      </c>
      <c r="M879" s="5" t="s">
        <v>96</v>
      </c>
      <c r="N879" s="5" t="s">
        <v>39</v>
      </c>
      <c r="O879" s="6" t="s">
        <v>40</v>
      </c>
      <c r="P879" s="5" t="s">
        <v>41</v>
      </c>
      <c r="Q879" s="5" t="s">
        <v>2446</v>
      </c>
      <c r="R879" s="6" t="s">
        <v>42</v>
      </c>
      <c r="S879" s="5" t="s">
        <v>266</v>
      </c>
      <c r="T879" s="5" t="s">
        <v>44</v>
      </c>
      <c r="U879" s="5" t="s">
        <v>44</v>
      </c>
      <c r="V879" s="5" t="s">
        <v>44</v>
      </c>
      <c r="W879" s="5" t="s">
        <v>36</v>
      </c>
      <c r="X879" s="5" t="s">
        <v>244</v>
      </c>
      <c r="Y879" s="5" t="s">
        <v>46</v>
      </c>
      <c r="Z879" s="5" t="s">
        <v>47</v>
      </c>
      <c r="AA879" s="5" t="s">
        <v>48</v>
      </c>
      <c r="AB879" s="5" t="s">
        <v>4201</v>
      </c>
      <c r="AC879" s="6" t="s">
        <v>34</v>
      </c>
      <c r="AD879" s="6">
        <v>3802.0</v>
      </c>
    </row>
    <row r="880" ht="56.25" customHeight="1">
      <c r="A880" s="5" t="s">
        <v>4203</v>
      </c>
      <c r="B880" s="16" t="str">
        <f>IMAGE("https://storage.googleapis.com/acdb/miscellaneous/FtrFishPiraniaToy.png")</f>
        <v/>
      </c>
      <c r="C880" s="5" t="s">
        <v>34</v>
      </c>
      <c r="D880" s="5" t="s">
        <v>34</v>
      </c>
      <c r="E880" s="5" t="s">
        <v>34</v>
      </c>
      <c r="F880" s="5" t="s">
        <v>34</v>
      </c>
      <c r="G880" s="5" t="s">
        <v>36</v>
      </c>
      <c r="H880" s="5" t="s">
        <v>36</v>
      </c>
      <c r="I880" s="5" t="s">
        <v>36</v>
      </c>
      <c r="J880" s="6" t="s">
        <v>34</v>
      </c>
      <c r="K880" s="6" t="s">
        <v>37</v>
      </c>
      <c r="L880" s="6">
        <v>7500.0</v>
      </c>
      <c r="M880" s="5" t="s">
        <v>96</v>
      </c>
      <c r="N880" s="5" t="s">
        <v>54</v>
      </c>
      <c r="O880" s="6" t="s">
        <v>40</v>
      </c>
      <c r="P880" s="5" t="s">
        <v>213</v>
      </c>
      <c r="Q880" s="5" t="s">
        <v>215</v>
      </c>
      <c r="R880" s="6" t="s">
        <v>42</v>
      </c>
      <c r="S880" s="5" t="s">
        <v>44</v>
      </c>
      <c r="T880" s="5" t="s">
        <v>44</v>
      </c>
      <c r="U880" s="5" t="s">
        <v>44</v>
      </c>
      <c r="V880" s="5" t="s">
        <v>44</v>
      </c>
      <c r="W880" s="5" t="s">
        <v>36</v>
      </c>
      <c r="X880" s="5" t="s">
        <v>219</v>
      </c>
      <c r="Y880" s="5" t="s">
        <v>46</v>
      </c>
      <c r="Z880" s="5" t="s">
        <v>47</v>
      </c>
      <c r="AA880" s="5" t="s">
        <v>48</v>
      </c>
      <c r="AB880" s="5" t="s">
        <v>4207</v>
      </c>
      <c r="AC880" s="6" t="s">
        <v>34</v>
      </c>
      <c r="AD880" s="6">
        <v>7005.0</v>
      </c>
    </row>
    <row r="881" ht="56.25" customHeight="1">
      <c r="A881" s="5" t="s">
        <v>4208</v>
      </c>
      <c r="B881" s="16" t="str">
        <f>IMAGE("https://storage.googleapis.com/acdb/miscellaneous/FtrPlasmaball.png")</f>
        <v/>
      </c>
      <c r="C881" s="5" t="s">
        <v>34</v>
      </c>
      <c r="D881" s="5" t="s">
        <v>34</v>
      </c>
      <c r="E881" s="5" t="s">
        <v>34</v>
      </c>
      <c r="F881" s="5" t="s">
        <v>34</v>
      </c>
      <c r="G881" s="5" t="s">
        <v>36</v>
      </c>
      <c r="H881" s="5" t="s">
        <v>36</v>
      </c>
      <c r="I881" s="5" t="s">
        <v>36</v>
      </c>
      <c r="J881" s="6" t="s">
        <v>34</v>
      </c>
      <c r="K881" s="6">
        <v>2600.0</v>
      </c>
      <c r="L881" s="6">
        <v>650.0</v>
      </c>
      <c r="M881" s="5" t="s">
        <v>83</v>
      </c>
      <c r="N881" s="5" t="s">
        <v>54</v>
      </c>
      <c r="O881" s="6" t="s">
        <v>40</v>
      </c>
      <c r="P881" s="5" t="s">
        <v>59</v>
      </c>
      <c r="Q881" s="5" t="s">
        <v>60</v>
      </c>
      <c r="R881" s="6" t="s">
        <v>42</v>
      </c>
      <c r="S881" s="5" t="s">
        <v>99</v>
      </c>
      <c r="T881" s="5" t="s">
        <v>90</v>
      </c>
      <c r="U881" s="5" t="s">
        <v>44</v>
      </c>
      <c r="V881" s="5" t="s">
        <v>44</v>
      </c>
      <c r="W881" s="5" t="s">
        <v>35</v>
      </c>
      <c r="X881" s="5" t="s">
        <v>356</v>
      </c>
      <c r="Y881" s="5" t="s">
        <v>46</v>
      </c>
      <c r="Z881" s="5" t="s">
        <v>47</v>
      </c>
      <c r="AA881" s="5" t="s">
        <v>64</v>
      </c>
      <c r="AB881" s="5" t="s">
        <v>4214</v>
      </c>
      <c r="AC881" s="6" t="s">
        <v>34</v>
      </c>
      <c r="AD881" s="6">
        <v>4105.0</v>
      </c>
    </row>
    <row r="882" ht="56.25" customHeight="1">
      <c r="A882" s="5" t="s">
        <v>4215</v>
      </c>
      <c r="B882" s="6" t="str">
        <f>IMAGE("https://storage.googleapis.com/acdb/miscellaneous/FtrPolytank_Remake_0_0.png")</f>
        <v/>
      </c>
      <c r="C882" s="5" t="s">
        <v>52</v>
      </c>
      <c r="D882" s="5" t="s">
        <v>34</v>
      </c>
      <c r="E882" s="5" t="s">
        <v>34</v>
      </c>
      <c r="F882" s="5" t="s">
        <v>34</v>
      </c>
      <c r="G882" s="5" t="s">
        <v>36</v>
      </c>
      <c r="H882" s="5" t="s">
        <v>36</v>
      </c>
      <c r="I882" s="5" t="s">
        <v>36</v>
      </c>
      <c r="J882" s="6" t="s">
        <v>34</v>
      </c>
      <c r="K882" s="6">
        <v>630.0</v>
      </c>
      <c r="L882" s="6">
        <v>170.0</v>
      </c>
      <c r="M882" s="5" t="s">
        <v>52</v>
      </c>
      <c r="N882" s="5" t="s">
        <v>57</v>
      </c>
      <c r="O882" s="6" t="s">
        <v>40</v>
      </c>
      <c r="P882" s="5" t="s">
        <v>59</v>
      </c>
      <c r="Q882" s="5" t="s">
        <v>554</v>
      </c>
      <c r="R882" s="6" t="s">
        <v>42</v>
      </c>
      <c r="S882" s="5" t="s">
        <v>416</v>
      </c>
      <c r="T882" s="5" t="s">
        <v>172</v>
      </c>
      <c r="U882" s="5" t="s">
        <v>44</v>
      </c>
      <c r="V882" s="5" t="s">
        <v>44</v>
      </c>
      <c r="W882" s="5" t="s">
        <v>36</v>
      </c>
      <c r="X882" s="5" t="s">
        <v>767</v>
      </c>
      <c r="Y882" s="5" t="s">
        <v>46</v>
      </c>
      <c r="Z882" s="5" t="s">
        <v>47</v>
      </c>
      <c r="AA882" s="5" t="s">
        <v>64</v>
      </c>
      <c r="AB882" s="5" t="s">
        <v>4222</v>
      </c>
      <c r="AC882" s="6" t="s">
        <v>50</v>
      </c>
      <c r="AD882" s="6">
        <v>1881.0</v>
      </c>
    </row>
    <row r="883" ht="56.25" customHeight="1">
      <c r="A883" s="5" t="s">
        <v>4215</v>
      </c>
      <c r="B883" s="6" t="str">
        <f>IMAGE("https://storage.googleapis.com/acdb/miscellaneous/FtrPolytank_Remake_1_0.png")</f>
        <v/>
      </c>
      <c r="C883" s="5" t="s">
        <v>68</v>
      </c>
      <c r="D883" s="5" t="s">
        <v>34</v>
      </c>
      <c r="E883" s="5" t="s">
        <v>34</v>
      </c>
      <c r="F883" s="5" t="s">
        <v>34</v>
      </c>
      <c r="G883" s="5" t="s">
        <v>36</v>
      </c>
      <c r="H883" s="5" t="s">
        <v>36</v>
      </c>
      <c r="I883" s="5" t="s">
        <v>36</v>
      </c>
      <c r="J883" s="6" t="s">
        <v>34</v>
      </c>
      <c r="K883" s="6">
        <v>630.0</v>
      </c>
      <c r="L883" s="6">
        <v>170.0</v>
      </c>
      <c r="M883" s="5" t="s">
        <v>83</v>
      </c>
      <c r="N883" s="5" t="s">
        <v>57</v>
      </c>
      <c r="O883" s="6" t="s">
        <v>40</v>
      </c>
      <c r="P883" s="5" t="s">
        <v>59</v>
      </c>
      <c r="Q883" s="5" t="s">
        <v>554</v>
      </c>
      <c r="R883" s="6" t="s">
        <v>42</v>
      </c>
      <c r="S883" s="5" t="s">
        <v>416</v>
      </c>
      <c r="T883" s="5" t="s">
        <v>172</v>
      </c>
      <c r="U883" s="5" t="s">
        <v>44</v>
      </c>
      <c r="V883" s="5" t="s">
        <v>44</v>
      </c>
      <c r="W883" s="5" t="s">
        <v>36</v>
      </c>
      <c r="X883" s="5" t="s">
        <v>767</v>
      </c>
      <c r="Y883" s="5" t="s">
        <v>46</v>
      </c>
      <c r="Z883" s="5" t="s">
        <v>47</v>
      </c>
      <c r="AA883" s="5" t="s">
        <v>64</v>
      </c>
      <c r="AB883" s="5" t="s">
        <v>4230</v>
      </c>
      <c r="AC883" s="6" t="s">
        <v>56</v>
      </c>
      <c r="AD883" s="6">
        <v>1881.0</v>
      </c>
    </row>
    <row r="884" ht="56.25" customHeight="1">
      <c r="A884" s="5" t="s">
        <v>4215</v>
      </c>
      <c r="B884" s="6" t="str">
        <f>IMAGE("https://storage.googleapis.com/acdb/miscellaneous/FtrPolytank_Remake_2_0.png")</f>
        <v/>
      </c>
      <c r="C884" s="5" t="s">
        <v>96</v>
      </c>
      <c r="D884" s="5" t="s">
        <v>34</v>
      </c>
      <c r="E884" s="5" t="s">
        <v>34</v>
      </c>
      <c r="F884" s="5" t="s">
        <v>34</v>
      </c>
      <c r="G884" s="5" t="s">
        <v>36</v>
      </c>
      <c r="H884" s="5" t="s">
        <v>36</v>
      </c>
      <c r="I884" s="5" t="s">
        <v>36</v>
      </c>
      <c r="J884" s="6" t="s">
        <v>34</v>
      </c>
      <c r="K884" s="6">
        <v>630.0</v>
      </c>
      <c r="L884" s="6">
        <v>170.0</v>
      </c>
      <c r="M884" s="5" t="s">
        <v>96</v>
      </c>
      <c r="N884" s="5" t="s">
        <v>95</v>
      </c>
      <c r="O884" s="6" t="s">
        <v>40</v>
      </c>
      <c r="P884" s="5" t="s">
        <v>59</v>
      </c>
      <c r="Q884" s="5" t="s">
        <v>554</v>
      </c>
      <c r="R884" s="6" t="s">
        <v>42</v>
      </c>
      <c r="S884" s="5" t="s">
        <v>416</v>
      </c>
      <c r="T884" s="5" t="s">
        <v>172</v>
      </c>
      <c r="U884" s="5" t="s">
        <v>44</v>
      </c>
      <c r="V884" s="5" t="s">
        <v>44</v>
      </c>
      <c r="W884" s="5" t="s">
        <v>36</v>
      </c>
      <c r="X884" s="5" t="s">
        <v>767</v>
      </c>
      <c r="Y884" s="5" t="s">
        <v>46</v>
      </c>
      <c r="Z884" s="5" t="s">
        <v>47</v>
      </c>
      <c r="AA884" s="5" t="s">
        <v>64</v>
      </c>
      <c r="AB884" s="5" t="s">
        <v>4233</v>
      </c>
      <c r="AC884" s="6" t="s">
        <v>67</v>
      </c>
      <c r="AD884" s="6">
        <v>1881.0</v>
      </c>
    </row>
    <row r="885" ht="56.25" customHeight="1">
      <c r="A885" s="5" t="s">
        <v>4215</v>
      </c>
      <c r="B885" s="6" t="str">
        <f>IMAGE("https://storage.googleapis.com/acdb/miscellaneous/FtrPolytank_Remake_3_0.png")</f>
        <v/>
      </c>
      <c r="C885" s="5" t="s">
        <v>57</v>
      </c>
      <c r="D885" s="5" t="s">
        <v>34</v>
      </c>
      <c r="E885" s="5" t="s">
        <v>34</v>
      </c>
      <c r="F885" s="5" t="s">
        <v>34</v>
      </c>
      <c r="G885" s="5" t="s">
        <v>36</v>
      </c>
      <c r="H885" s="5" t="s">
        <v>36</v>
      </c>
      <c r="I885" s="5" t="s">
        <v>36</v>
      </c>
      <c r="J885" s="6" t="s">
        <v>34</v>
      </c>
      <c r="K885" s="6">
        <v>630.0</v>
      </c>
      <c r="L885" s="6">
        <v>170.0</v>
      </c>
      <c r="M885" s="5" t="s">
        <v>38</v>
      </c>
      <c r="N885" s="5" t="s">
        <v>96</v>
      </c>
      <c r="O885" s="6" t="s">
        <v>40</v>
      </c>
      <c r="P885" s="5" t="s">
        <v>59</v>
      </c>
      <c r="Q885" s="5" t="s">
        <v>554</v>
      </c>
      <c r="R885" s="6" t="s">
        <v>42</v>
      </c>
      <c r="S885" s="5" t="s">
        <v>416</v>
      </c>
      <c r="T885" s="5" t="s">
        <v>172</v>
      </c>
      <c r="U885" s="5" t="s">
        <v>44</v>
      </c>
      <c r="V885" s="5" t="s">
        <v>44</v>
      </c>
      <c r="W885" s="5" t="s">
        <v>36</v>
      </c>
      <c r="X885" s="5" t="s">
        <v>767</v>
      </c>
      <c r="Y885" s="5" t="s">
        <v>46</v>
      </c>
      <c r="Z885" s="5" t="s">
        <v>47</v>
      </c>
      <c r="AA885" s="5" t="s">
        <v>64</v>
      </c>
      <c r="AB885" s="5" t="s">
        <v>4237</v>
      </c>
      <c r="AC885" s="6" t="s">
        <v>71</v>
      </c>
      <c r="AD885" s="6">
        <v>1881.0</v>
      </c>
    </row>
    <row r="886" ht="56.25" customHeight="1">
      <c r="A886" s="5" t="s">
        <v>4215</v>
      </c>
      <c r="B886" s="6" t="str">
        <f>IMAGE("https://storage.googleapis.com/acdb/miscellaneous/FtrPolytank_Remake_4_0.png")</f>
        <v/>
      </c>
      <c r="C886" s="5" t="s">
        <v>95</v>
      </c>
      <c r="D886" s="5" t="s">
        <v>34</v>
      </c>
      <c r="E886" s="5" t="s">
        <v>34</v>
      </c>
      <c r="F886" s="5" t="s">
        <v>34</v>
      </c>
      <c r="G886" s="5" t="s">
        <v>36</v>
      </c>
      <c r="H886" s="5" t="s">
        <v>36</v>
      </c>
      <c r="I886" s="5" t="s">
        <v>36</v>
      </c>
      <c r="J886" s="6" t="s">
        <v>34</v>
      </c>
      <c r="K886" s="6">
        <v>630.0</v>
      </c>
      <c r="L886" s="6">
        <v>170.0</v>
      </c>
      <c r="M886" s="5" t="s">
        <v>96</v>
      </c>
      <c r="N886" s="5" t="s">
        <v>54</v>
      </c>
      <c r="O886" s="6" t="s">
        <v>40</v>
      </c>
      <c r="P886" s="5" t="s">
        <v>59</v>
      </c>
      <c r="Q886" s="5" t="s">
        <v>554</v>
      </c>
      <c r="R886" s="6" t="s">
        <v>42</v>
      </c>
      <c r="S886" s="5" t="s">
        <v>416</v>
      </c>
      <c r="T886" s="5" t="s">
        <v>172</v>
      </c>
      <c r="U886" s="5" t="s">
        <v>44</v>
      </c>
      <c r="V886" s="5" t="s">
        <v>44</v>
      </c>
      <c r="W886" s="5" t="s">
        <v>36</v>
      </c>
      <c r="X886" s="5" t="s">
        <v>767</v>
      </c>
      <c r="Y886" s="5" t="s">
        <v>46</v>
      </c>
      <c r="Z886" s="5" t="s">
        <v>47</v>
      </c>
      <c r="AA886" s="5" t="s">
        <v>64</v>
      </c>
      <c r="AB886" s="5" t="s">
        <v>4244</v>
      </c>
      <c r="AC886" s="6" t="s">
        <v>75</v>
      </c>
      <c r="AD886" s="6">
        <v>1881.0</v>
      </c>
    </row>
    <row r="887" ht="56.25" customHeight="1">
      <c r="A887" s="5" t="s">
        <v>4245</v>
      </c>
      <c r="B887" s="6" t="str">
        <f>IMAGE("https://storage.googleapis.com/acdb/miscellaneous/FtrCompassCarB_Remake_0_0.png")</f>
        <v/>
      </c>
      <c r="C887" s="5" t="s">
        <v>4248</v>
      </c>
      <c r="D887" s="21" t="s">
        <v>4249</v>
      </c>
      <c r="E887" s="5" t="s">
        <v>34</v>
      </c>
      <c r="F887" s="5" t="s">
        <v>34</v>
      </c>
      <c r="G887" s="5" t="s">
        <v>36</v>
      </c>
      <c r="H887" s="5" t="s">
        <v>35</v>
      </c>
      <c r="I887" s="5" t="s">
        <v>36</v>
      </c>
      <c r="J887" s="6">
        <v>1.0</v>
      </c>
      <c r="K887" s="6">
        <v>1500.0</v>
      </c>
      <c r="L887" s="6">
        <v>375.0</v>
      </c>
      <c r="M887" s="5" t="s">
        <v>114</v>
      </c>
      <c r="N887" s="5" t="s">
        <v>52</v>
      </c>
      <c r="O887" s="6" t="s">
        <v>40</v>
      </c>
      <c r="P887" s="5" t="s">
        <v>1234</v>
      </c>
      <c r="Q887" s="5" t="s">
        <v>1235</v>
      </c>
      <c r="R887" s="6" t="s">
        <v>98</v>
      </c>
      <c r="S887" s="5" t="s">
        <v>99</v>
      </c>
      <c r="T887" s="5" t="s">
        <v>44</v>
      </c>
      <c r="U887" s="5" t="s">
        <v>44</v>
      </c>
      <c r="V887" s="5" t="s">
        <v>44</v>
      </c>
      <c r="W887" s="5" t="s">
        <v>36</v>
      </c>
      <c r="X887" s="5" t="s">
        <v>1236</v>
      </c>
      <c r="Y887" s="5" t="s">
        <v>46</v>
      </c>
      <c r="Z887" s="5" t="s">
        <v>47</v>
      </c>
      <c r="AA887" s="5" t="s">
        <v>1237</v>
      </c>
      <c r="AB887" s="5" t="s">
        <v>4257</v>
      </c>
      <c r="AC887" s="6" t="s">
        <v>50</v>
      </c>
      <c r="AD887" s="6">
        <v>12372.0</v>
      </c>
    </row>
    <row r="888" ht="56.25" customHeight="1">
      <c r="A888" s="5" t="s">
        <v>4245</v>
      </c>
      <c r="B888" s="6" t="str">
        <f>IMAGE("https://storage.googleapis.com/acdb/miscellaneous/FtrCompassCarB_Remake_1_0.png")</f>
        <v/>
      </c>
      <c r="C888" s="5" t="s">
        <v>4259</v>
      </c>
      <c r="D888" s="21" t="s">
        <v>4249</v>
      </c>
      <c r="E888" s="5" t="s">
        <v>34</v>
      </c>
      <c r="F888" s="5" t="s">
        <v>34</v>
      </c>
      <c r="G888" s="5" t="s">
        <v>36</v>
      </c>
      <c r="H888" s="5" t="s">
        <v>35</v>
      </c>
      <c r="I888" s="5" t="s">
        <v>36</v>
      </c>
      <c r="J888" s="6">
        <v>1.0</v>
      </c>
      <c r="K888" s="6">
        <v>1500.0</v>
      </c>
      <c r="L888" s="6">
        <v>375.0</v>
      </c>
      <c r="M888" s="5"/>
      <c r="N888" s="5"/>
      <c r="O888" s="6" t="s">
        <v>40</v>
      </c>
      <c r="P888" s="5" t="s">
        <v>1234</v>
      </c>
      <c r="Q888" s="5" t="s">
        <v>1235</v>
      </c>
      <c r="R888" s="6" t="s">
        <v>98</v>
      </c>
      <c r="S888" s="5" t="s">
        <v>99</v>
      </c>
      <c r="T888" s="5" t="s">
        <v>44</v>
      </c>
      <c r="U888" s="5" t="s">
        <v>44</v>
      </c>
      <c r="V888" s="5" t="s">
        <v>44</v>
      </c>
      <c r="W888" s="5" t="s">
        <v>36</v>
      </c>
      <c r="X888" s="5" t="s">
        <v>1236</v>
      </c>
      <c r="Y888" s="5" t="s">
        <v>46</v>
      </c>
      <c r="Z888" s="5" t="s">
        <v>47</v>
      </c>
      <c r="AA888" s="5" t="s">
        <v>1237</v>
      </c>
      <c r="AB888" s="5" t="s">
        <v>4264</v>
      </c>
      <c r="AC888" s="6" t="s">
        <v>56</v>
      </c>
      <c r="AD888" s="6">
        <v>12372.0</v>
      </c>
    </row>
    <row r="889" ht="56.25" customHeight="1">
      <c r="A889" s="5" t="s">
        <v>4245</v>
      </c>
      <c r="B889" s="6" t="str">
        <f>IMAGE("https://storage.googleapis.com/acdb/miscellaneous/FtrCompassCarB_Remake_2_0.png")</f>
        <v/>
      </c>
      <c r="C889" s="5" t="s">
        <v>4268</v>
      </c>
      <c r="D889" s="21" t="s">
        <v>4249</v>
      </c>
      <c r="E889" s="5" t="s">
        <v>34</v>
      </c>
      <c r="F889" s="5" t="s">
        <v>34</v>
      </c>
      <c r="G889" s="5" t="s">
        <v>36</v>
      </c>
      <c r="H889" s="5" t="s">
        <v>35</v>
      </c>
      <c r="I889" s="5" t="s">
        <v>36</v>
      </c>
      <c r="J889" s="6">
        <v>1.0</v>
      </c>
      <c r="K889" s="6">
        <v>1500.0</v>
      </c>
      <c r="L889" s="6">
        <v>375.0</v>
      </c>
      <c r="M889" s="5"/>
      <c r="N889" s="5"/>
      <c r="O889" s="6" t="s">
        <v>40</v>
      </c>
      <c r="P889" s="5" t="s">
        <v>1234</v>
      </c>
      <c r="Q889" s="5" t="s">
        <v>1235</v>
      </c>
      <c r="R889" s="6" t="s">
        <v>98</v>
      </c>
      <c r="S889" s="5" t="s">
        <v>99</v>
      </c>
      <c r="T889" s="5" t="s">
        <v>44</v>
      </c>
      <c r="U889" s="5" t="s">
        <v>44</v>
      </c>
      <c r="V889" s="5" t="s">
        <v>44</v>
      </c>
      <c r="W889" s="5" t="s">
        <v>36</v>
      </c>
      <c r="X889" s="5" t="s">
        <v>1236</v>
      </c>
      <c r="Y889" s="5" t="s">
        <v>46</v>
      </c>
      <c r="Z889" s="5" t="s">
        <v>47</v>
      </c>
      <c r="AA889" s="5" t="s">
        <v>1237</v>
      </c>
      <c r="AB889" s="5" t="s">
        <v>4270</v>
      </c>
      <c r="AC889" s="6" t="s">
        <v>67</v>
      </c>
      <c r="AD889" s="6">
        <v>12372.0</v>
      </c>
    </row>
    <row r="890" ht="56.25" customHeight="1">
      <c r="A890" s="5" t="s">
        <v>4245</v>
      </c>
      <c r="B890" s="6" t="str">
        <f>IMAGE("https://storage.googleapis.com/acdb/miscellaneous/FtrCompassCarB_Remake_3_0.png")</f>
        <v/>
      </c>
      <c r="C890" s="5" t="s">
        <v>4273</v>
      </c>
      <c r="D890" s="21" t="s">
        <v>4249</v>
      </c>
      <c r="E890" s="5" t="s">
        <v>34</v>
      </c>
      <c r="F890" s="5" t="s">
        <v>34</v>
      </c>
      <c r="G890" s="5" t="s">
        <v>36</v>
      </c>
      <c r="H890" s="5" t="s">
        <v>35</v>
      </c>
      <c r="I890" s="5" t="s">
        <v>36</v>
      </c>
      <c r="J890" s="6">
        <v>1.0</v>
      </c>
      <c r="K890" s="6">
        <v>1500.0</v>
      </c>
      <c r="L890" s="6">
        <v>375.0</v>
      </c>
      <c r="M890" s="5"/>
      <c r="N890" s="5"/>
      <c r="O890" s="6" t="s">
        <v>40</v>
      </c>
      <c r="P890" s="5" t="s">
        <v>1234</v>
      </c>
      <c r="Q890" s="5" t="s">
        <v>1235</v>
      </c>
      <c r="R890" s="6" t="s">
        <v>98</v>
      </c>
      <c r="S890" s="5" t="s">
        <v>99</v>
      </c>
      <c r="T890" s="5" t="s">
        <v>44</v>
      </c>
      <c r="U890" s="5" t="s">
        <v>44</v>
      </c>
      <c r="V890" s="5" t="s">
        <v>44</v>
      </c>
      <c r="W890" s="5" t="s">
        <v>36</v>
      </c>
      <c r="X890" s="5" t="s">
        <v>1236</v>
      </c>
      <c r="Y890" s="5" t="s">
        <v>46</v>
      </c>
      <c r="Z890" s="5" t="s">
        <v>47</v>
      </c>
      <c r="AA890" s="5" t="s">
        <v>1237</v>
      </c>
      <c r="AB890" s="5" t="s">
        <v>4276</v>
      </c>
      <c r="AC890" s="6" t="s">
        <v>71</v>
      </c>
      <c r="AD890" s="6">
        <v>12372.0</v>
      </c>
    </row>
    <row r="891" ht="56.25" customHeight="1">
      <c r="A891" s="5" t="s">
        <v>4245</v>
      </c>
      <c r="B891" s="6" t="str">
        <f>IMAGE("https://storage.googleapis.com/acdb/miscellaneous/FtrCompassCarB_Remake_4_0.png")</f>
        <v/>
      </c>
      <c r="C891" s="5" t="s">
        <v>4279</v>
      </c>
      <c r="D891" s="21" t="s">
        <v>4249</v>
      </c>
      <c r="E891" s="5" t="s">
        <v>34</v>
      </c>
      <c r="F891" s="5" t="s">
        <v>34</v>
      </c>
      <c r="G891" s="5" t="s">
        <v>36</v>
      </c>
      <c r="H891" s="5" t="s">
        <v>35</v>
      </c>
      <c r="I891" s="5" t="s">
        <v>36</v>
      </c>
      <c r="J891" s="6">
        <v>1.0</v>
      </c>
      <c r="K891" s="6">
        <v>1500.0</v>
      </c>
      <c r="L891" s="6">
        <v>375.0</v>
      </c>
      <c r="M891" s="5"/>
      <c r="N891" s="5"/>
      <c r="O891" s="6" t="s">
        <v>40</v>
      </c>
      <c r="P891" s="5" t="s">
        <v>1234</v>
      </c>
      <c r="Q891" s="5" t="s">
        <v>1235</v>
      </c>
      <c r="R891" s="6" t="s">
        <v>98</v>
      </c>
      <c r="S891" s="5" t="s">
        <v>99</v>
      </c>
      <c r="T891" s="5" t="s">
        <v>44</v>
      </c>
      <c r="U891" s="5" t="s">
        <v>44</v>
      </c>
      <c r="V891" s="5" t="s">
        <v>44</v>
      </c>
      <c r="W891" s="5" t="s">
        <v>36</v>
      </c>
      <c r="X891" s="5" t="s">
        <v>1236</v>
      </c>
      <c r="Y891" s="5" t="s">
        <v>46</v>
      </c>
      <c r="Z891" s="5" t="s">
        <v>47</v>
      </c>
      <c r="AA891" s="5" t="s">
        <v>1237</v>
      </c>
      <c r="AB891" s="5" t="s">
        <v>4282</v>
      </c>
      <c r="AC891" s="6" t="s">
        <v>75</v>
      </c>
      <c r="AD891" s="6">
        <v>12372.0</v>
      </c>
    </row>
    <row r="892" ht="56.25" customHeight="1">
      <c r="A892" s="5" t="s">
        <v>4245</v>
      </c>
      <c r="B892" s="6" t="str">
        <f>IMAGE("https://storage.googleapis.com/acdb/miscellaneous/FtrCompassCarB_Remake_5_0.png")</f>
        <v/>
      </c>
      <c r="C892" s="5" t="s">
        <v>4284</v>
      </c>
      <c r="D892" s="21" t="s">
        <v>4249</v>
      </c>
      <c r="E892" s="5" t="s">
        <v>34</v>
      </c>
      <c r="F892" s="5" t="s">
        <v>34</v>
      </c>
      <c r="G892" s="5" t="s">
        <v>36</v>
      </c>
      <c r="H892" s="5" t="s">
        <v>35</v>
      </c>
      <c r="I892" s="5" t="s">
        <v>36</v>
      </c>
      <c r="J892" s="6">
        <v>1.0</v>
      </c>
      <c r="K892" s="6">
        <v>1500.0</v>
      </c>
      <c r="L892" s="6">
        <v>375.0</v>
      </c>
      <c r="M892" s="5"/>
      <c r="N892" s="5"/>
      <c r="O892" s="6" t="s">
        <v>40</v>
      </c>
      <c r="P892" s="5" t="s">
        <v>1234</v>
      </c>
      <c r="Q892" s="5" t="s">
        <v>1235</v>
      </c>
      <c r="R892" s="6" t="s">
        <v>98</v>
      </c>
      <c r="S892" s="5" t="s">
        <v>99</v>
      </c>
      <c r="T892" s="5" t="s">
        <v>44</v>
      </c>
      <c r="U892" s="5" t="s">
        <v>44</v>
      </c>
      <c r="V892" s="5" t="s">
        <v>44</v>
      </c>
      <c r="W892" s="5" t="s">
        <v>36</v>
      </c>
      <c r="X892" s="5" t="s">
        <v>1236</v>
      </c>
      <c r="Y892" s="5" t="s">
        <v>46</v>
      </c>
      <c r="Z892" s="5" t="s">
        <v>47</v>
      </c>
      <c r="AA892" s="5" t="s">
        <v>1237</v>
      </c>
      <c r="AB892" s="5" t="s">
        <v>4288</v>
      </c>
      <c r="AC892" s="6" t="s">
        <v>79</v>
      </c>
      <c r="AD892" s="6">
        <v>12372.0</v>
      </c>
    </row>
    <row r="893" ht="56.25" customHeight="1">
      <c r="A893" s="5" t="s">
        <v>4289</v>
      </c>
      <c r="B893" s="6" t="str">
        <f>IMAGE("https://storage.googleapis.com/acdb/miscellaneous/FtrCompassCarA_Remake_0_0.png")</f>
        <v/>
      </c>
      <c r="C893" s="5" t="s">
        <v>4293</v>
      </c>
      <c r="D893" s="21" t="s">
        <v>4249</v>
      </c>
      <c r="E893" s="5" t="s">
        <v>34</v>
      </c>
      <c r="F893" s="5" t="s">
        <v>34</v>
      </c>
      <c r="G893" s="5" t="s">
        <v>36</v>
      </c>
      <c r="H893" s="5" t="s">
        <v>35</v>
      </c>
      <c r="I893" s="5" t="s">
        <v>36</v>
      </c>
      <c r="J893" s="6">
        <v>1.0</v>
      </c>
      <c r="K893" s="6">
        <v>1500.0</v>
      </c>
      <c r="L893" s="6">
        <v>375.0</v>
      </c>
      <c r="M893" s="5" t="s">
        <v>52</v>
      </c>
      <c r="N893" s="5" t="s">
        <v>57</v>
      </c>
      <c r="O893" s="6" t="s">
        <v>40</v>
      </c>
      <c r="P893" s="5" t="s">
        <v>1234</v>
      </c>
      <c r="Q893" s="5" t="s">
        <v>1235</v>
      </c>
      <c r="R893" s="6" t="s">
        <v>98</v>
      </c>
      <c r="S893" s="5" t="s">
        <v>99</v>
      </c>
      <c r="T893" s="5" t="s">
        <v>44</v>
      </c>
      <c r="U893" s="5" t="s">
        <v>44</v>
      </c>
      <c r="V893" s="5" t="s">
        <v>44</v>
      </c>
      <c r="W893" s="5" t="s">
        <v>36</v>
      </c>
      <c r="X893" s="5" t="s">
        <v>1236</v>
      </c>
      <c r="Y893" s="5" t="s">
        <v>46</v>
      </c>
      <c r="Z893" s="5" t="s">
        <v>47</v>
      </c>
      <c r="AA893" s="5" t="s">
        <v>1237</v>
      </c>
      <c r="AB893" s="5" t="s">
        <v>4298</v>
      </c>
      <c r="AC893" s="6" t="s">
        <v>50</v>
      </c>
      <c r="AD893" s="6">
        <v>12373.0</v>
      </c>
    </row>
    <row r="894" ht="56.25" customHeight="1">
      <c r="A894" s="5" t="s">
        <v>4289</v>
      </c>
      <c r="B894" s="6" t="str">
        <f>IMAGE("https://storage.googleapis.com/acdb/miscellaneous/FtrCompassCarA_Remake_1_0.png")</f>
        <v/>
      </c>
      <c r="C894" s="5" t="s">
        <v>4299</v>
      </c>
      <c r="D894" s="21" t="s">
        <v>4249</v>
      </c>
      <c r="E894" s="5" t="s">
        <v>34</v>
      </c>
      <c r="F894" s="5" t="s">
        <v>34</v>
      </c>
      <c r="G894" s="5" t="s">
        <v>36</v>
      </c>
      <c r="H894" s="5" t="s">
        <v>35</v>
      </c>
      <c r="I894" s="5" t="s">
        <v>36</v>
      </c>
      <c r="J894" s="6">
        <v>1.0</v>
      </c>
      <c r="K894" s="6">
        <v>1500.0</v>
      </c>
      <c r="L894" s="6">
        <v>375.0</v>
      </c>
      <c r="M894" s="5"/>
      <c r="N894" s="5"/>
      <c r="O894" s="6" t="s">
        <v>40</v>
      </c>
      <c r="P894" s="5" t="s">
        <v>1234</v>
      </c>
      <c r="Q894" s="5" t="s">
        <v>1235</v>
      </c>
      <c r="R894" s="6" t="s">
        <v>98</v>
      </c>
      <c r="S894" s="5" t="s">
        <v>99</v>
      </c>
      <c r="T894" s="5" t="s">
        <v>44</v>
      </c>
      <c r="U894" s="5" t="s">
        <v>44</v>
      </c>
      <c r="V894" s="5" t="s">
        <v>44</v>
      </c>
      <c r="W894" s="5" t="s">
        <v>36</v>
      </c>
      <c r="X894" s="5" t="s">
        <v>1236</v>
      </c>
      <c r="Y894" s="5" t="s">
        <v>46</v>
      </c>
      <c r="Z894" s="5" t="s">
        <v>47</v>
      </c>
      <c r="AA894" s="5" t="s">
        <v>1237</v>
      </c>
      <c r="AB894" s="5" t="s">
        <v>4306</v>
      </c>
      <c r="AC894" s="6" t="s">
        <v>56</v>
      </c>
      <c r="AD894" s="6">
        <v>12373.0</v>
      </c>
    </row>
    <row r="895" ht="56.25" customHeight="1">
      <c r="A895" s="5" t="s">
        <v>4289</v>
      </c>
      <c r="B895" s="6" t="str">
        <f>IMAGE("https://storage.googleapis.com/acdb/miscellaneous/FtrCompassCarA_Remake_2_0.png")</f>
        <v/>
      </c>
      <c r="C895" s="5" t="s">
        <v>4308</v>
      </c>
      <c r="D895" s="21" t="s">
        <v>4249</v>
      </c>
      <c r="E895" s="5" t="s">
        <v>34</v>
      </c>
      <c r="F895" s="5" t="s">
        <v>34</v>
      </c>
      <c r="G895" s="5" t="s">
        <v>36</v>
      </c>
      <c r="H895" s="5" t="s">
        <v>35</v>
      </c>
      <c r="I895" s="5" t="s">
        <v>36</v>
      </c>
      <c r="J895" s="6">
        <v>1.0</v>
      </c>
      <c r="K895" s="6">
        <v>1500.0</v>
      </c>
      <c r="L895" s="6">
        <v>375.0</v>
      </c>
      <c r="M895" s="5"/>
      <c r="N895" s="5"/>
      <c r="O895" s="6" t="s">
        <v>40</v>
      </c>
      <c r="P895" s="5" t="s">
        <v>1234</v>
      </c>
      <c r="Q895" s="5" t="s">
        <v>1235</v>
      </c>
      <c r="R895" s="6" t="s">
        <v>98</v>
      </c>
      <c r="S895" s="5" t="s">
        <v>99</v>
      </c>
      <c r="T895" s="5" t="s">
        <v>44</v>
      </c>
      <c r="U895" s="5" t="s">
        <v>44</v>
      </c>
      <c r="V895" s="5" t="s">
        <v>44</v>
      </c>
      <c r="W895" s="5" t="s">
        <v>36</v>
      </c>
      <c r="X895" s="5" t="s">
        <v>1236</v>
      </c>
      <c r="Y895" s="5" t="s">
        <v>46</v>
      </c>
      <c r="Z895" s="5" t="s">
        <v>47</v>
      </c>
      <c r="AA895" s="5" t="s">
        <v>1237</v>
      </c>
      <c r="AB895" s="5" t="s">
        <v>4314</v>
      </c>
      <c r="AC895" s="6" t="s">
        <v>67</v>
      </c>
      <c r="AD895" s="6">
        <v>12373.0</v>
      </c>
    </row>
    <row r="896" ht="56.25" customHeight="1">
      <c r="A896" s="5" t="s">
        <v>4289</v>
      </c>
      <c r="B896" s="6" t="str">
        <f>IMAGE("https://storage.googleapis.com/acdb/miscellaneous/FtrCompassCarA_Remake_3_0.png")</f>
        <v/>
      </c>
      <c r="C896" s="5" t="s">
        <v>4316</v>
      </c>
      <c r="D896" s="21" t="s">
        <v>4249</v>
      </c>
      <c r="E896" s="5" t="s">
        <v>34</v>
      </c>
      <c r="F896" s="5" t="s">
        <v>34</v>
      </c>
      <c r="G896" s="5" t="s">
        <v>36</v>
      </c>
      <c r="H896" s="5" t="s">
        <v>35</v>
      </c>
      <c r="I896" s="5" t="s">
        <v>36</v>
      </c>
      <c r="J896" s="6">
        <v>1.0</v>
      </c>
      <c r="K896" s="6">
        <v>1500.0</v>
      </c>
      <c r="L896" s="6">
        <v>375.0</v>
      </c>
      <c r="M896" s="5"/>
      <c r="N896" s="5"/>
      <c r="O896" s="6" t="s">
        <v>40</v>
      </c>
      <c r="P896" s="5" t="s">
        <v>1234</v>
      </c>
      <c r="Q896" s="5" t="s">
        <v>1235</v>
      </c>
      <c r="R896" s="6" t="s">
        <v>98</v>
      </c>
      <c r="S896" s="5" t="s">
        <v>99</v>
      </c>
      <c r="T896" s="5" t="s">
        <v>44</v>
      </c>
      <c r="U896" s="5" t="s">
        <v>44</v>
      </c>
      <c r="V896" s="5" t="s">
        <v>44</v>
      </c>
      <c r="W896" s="5" t="s">
        <v>36</v>
      </c>
      <c r="X896" s="5" t="s">
        <v>1236</v>
      </c>
      <c r="Y896" s="5" t="s">
        <v>46</v>
      </c>
      <c r="Z896" s="5" t="s">
        <v>47</v>
      </c>
      <c r="AA896" s="5" t="s">
        <v>1237</v>
      </c>
      <c r="AB896" s="5" t="s">
        <v>4321</v>
      </c>
      <c r="AC896" s="6" t="s">
        <v>71</v>
      </c>
      <c r="AD896" s="6">
        <v>12373.0</v>
      </c>
    </row>
    <row r="897" ht="56.25" customHeight="1">
      <c r="A897" s="5" t="s">
        <v>4289</v>
      </c>
      <c r="B897" s="6" t="str">
        <f>IMAGE("https://storage.googleapis.com/acdb/miscellaneous/FtrCompassCarA_Remake_4_0.png")</f>
        <v/>
      </c>
      <c r="C897" s="5" t="s">
        <v>4324</v>
      </c>
      <c r="D897" s="21" t="s">
        <v>4249</v>
      </c>
      <c r="E897" s="5" t="s">
        <v>34</v>
      </c>
      <c r="F897" s="5" t="s">
        <v>34</v>
      </c>
      <c r="G897" s="5" t="s">
        <v>36</v>
      </c>
      <c r="H897" s="5" t="s">
        <v>35</v>
      </c>
      <c r="I897" s="5" t="s">
        <v>36</v>
      </c>
      <c r="J897" s="6">
        <v>1.0</v>
      </c>
      <c r="K897" s="6">
        <v>1500.0</v>
      </c>
      <c r="L897" s="6">
        <v>375.0</v>
      </c>
      <c r="M897" s="5"/>
      <c r="N897" s="5"/>
      <c r="O897" s="6" t="s">
        <v>40</v>
      </c>
      <c r="P897" s="5" t="s">
        <v>1234</v>
      </c>
      <c r="Q897" s="5" t="s">
        <v>1235</v>
      </c>
      <c r="R897" s="6" t="s">
        <v>98</v>
      </c>
      <c r="S897" s="5" t="s">
        <v>99</v>
      </c>
      <c r="T897" s="5" t="s">
        <v>44</v>
      </c>
      <c r="U897" s="5" t="s">
        <v>44</v>
      </c>
      <c r="V897" s="5" t="s">
        <v>44</v>
      </c>
      <c r="W897" s="5" t="s">
        <v>36</v>
      </c>
      <c r="X897" s="5" t="s">
        <v>1236</v>
      </c>
      <c r="Y897" s="5" t="s">
        <v>46</v>
      </c>
      <c r="Z897" s="5" t="s">
        <v>47</v>
      </c>
      <c r="AA897" s="5" t="s">
        <v>1237</v>
      </c>
      <c r="AB897" s="5" t="s">
        <v>4329</v>
      </c>
      <c r="AC897" s="6" t="s">
        <v>75</v>
      </c>
      <c r="AD897" s="6">
        <v>12373.0</v>
      </c>
    </row>
    <row r="898" ht="56.25" customHeight="1">
      <c r="A898" s="5" t="s">
        <v>4289</v>
      </c>
      <c r="B898" s="6" t="str">
        <f>IMAGE("https://storage.googleapis.com/acdb/miscellaneous/FtrCompassCarA_Remake_5_0.png")</f>
        <v/>
      </c>
      <c r="C898" s="5" t="s">
        <v>4331</v>
      </c>
      <c r="D898" s="21" t="s">
        <v>4249</v>
      </c>
      <c r="E898" s="5" t="s">
        <v>34</v>
      </c>
      <c r="F898" s="5" t="s">
        <v>34</v>
      </c>
      <c r="G898" s="5" t="s">
        <v>36</v>
      </c>
      <c r="H898" s="5" t="s">
        <v>35</v>
      </c>
      <c r="I898" s="5" t="s">
        <v>36</v>
      </c>
      <c r="J898" s="6">
        <v>1.0</v>
      </c>
      <c r="K898" s="6">
        <v>1500.0</v>
      </c>
      <c r="L898" s="6">
        <v>375.0</v>
      </c>
      <c r="M898" s="5"/>
      <c r="N898" s="5"/>
      <c r="O898" s="6" t="s">
        <v>40</v>
      </c>
      <c r="P898" s="5" t="s">
        <v>1234</v>
      </c>
      <c r="Q898" s="5" t="s">
        <v>1235</v>
      </c>
      <c r="R898" s="6" t="s">
        <v>98</v>
      </c>
      <c r="S898" s="5" t="s">
        <v>99</v>
      </c>
      <c r="T898" s="5" t="s">
        <v>44</v>
      </c>
      <c r="U898" s="5" t="s">
        <v>44</v>
      </c>
      <c r="V898" s="5" t="s">
        <v>44</v>
      </c>
      <c r="W898" s="5" t="s">
        <v>36</v>
      </c>
      <c r="X898" s="5" t="s">
        <v>1236</v>
      </c>
      <c r="Y898" s="5" t="s">
        <v>46</v>
      </c>
      <c r="Z898" s="5" t="s">
        <v>47</v>
      </c>
      <c r="AA898" s="5" t="s">
        <v>1237</v>
      </c>
      <c r="AB898" s="5" t="s">
        <v>4335</v>
      </c>
      <c r="AC898" s="6" t="s">
        <v>79</v>
      </c>
      <c r="AD898" s="6">
        <v>12373.0</v>
      </c>
    </row>
    <row r="899" ht="56.25" customHeight="1">
      <c r="A899" s="5" t="s">
        <v>4336</v>
      </c>
      <c r="B899" s="16" t="str">
        <f>IMAGE("https://storage.googleapis.com/acdb/miscellaneous/FtrFishWakasagiToy.png")</f>
        <v/>
      </c>
      <c r="C899" s="5" t="s">
        <v>34</v>
      </c>
      <c r="D899" s="5" t="s">
        <v>34</v>
      </c>
      <c r="E899" s="5" t="s">
        <v>34</v>
      </c>
      <c r="F899" s="5" t="s">
        <v>34</v>
      </c>
      <c r="G899" s="5" t="s">
        <v>36</v>
      </c>
      <c r="H899" s="5" t="s">
        <v>36</v>
      </c>
      <c r="I899" s="5" t="s">
        <v>36</v>
      </c>
      <c r="J899" s="6" t="s">
        <v>34</v>
      </c>
      <c r="K899" s="6" t="s">
        <v>37</v>
      </c>
      <c r="L899" s="6">
        <v>1200.0</v>
      </c>
      <c r="M899" s="5" t="s">
        <v>142</v>
      </c>
      <c r="N899" s="5" t="s">
        <v>54</v>
      </c>
      <c r="O899" s="6" t="s">
        <v>40</v>
      </c>
      <c r="P899" s="5" t="s">
        <v>213</v>
      </c>
      <c r="Q899" s="5" t="s">
        <v>215</v>
      </c>
      <c r="R899" s="6" t="s">
        <v>42</v>
      </c>
      <c r="S899" s="5" t="s">
        <v>44</v>
      </c>
      <c r="T899" s="5" t="s">
        <v>44</v>
      </c>
      <c r="U899" s="5" t="s">
        <v>44</v>
      </c>
      <c r="V899" s="5" t="s">
        <v>44</v>
      </c>
      <c r="W899" s="5" t="s">
        <v>36</v>
      </c>
      <c r="X899" s="5" t="s">
        <v>219</v>
      </c>
      <c r="Y899" s="5" t="s">
        <v>46</v>
      </c>
      <c r="Z899" s="5" t="s">
        <v>47</v>
      </c>
      <c r="AA899" s="5" t="s">
        <v>48</v>
      </c>
      <c r="AB899" s="5" t="s">
        <v>4341</v>
      </c>
      <c r="AC899" s="6" t="s">
        <v>34</v>
      </c>
      <c r="AD899" s="6">
        <v>7026.0</v>
      </c>
    </row>
    <row r="900" ht="56.25" customHeight="1">
      <c r="A900" s="5" t="s">
        <v>4343</v>
      </c>
      <c r="B900" s="16" t="str">
        <f>IMAGE("https://storage.googleapis.com/acdb/miscellaneous/FtrInsectAmenboToy.png")</f>
        <v/>
      </c>
      <c r="C900" s="5" t="s">
        <v>34</v>
      </c>
      <c r="D900" s="5" t="s">
        <v>34</v>
      </c>
      <c r="E900" s="5" t="s">
        <v>34</v>
      </c>
      <c r="F900" s="5" t="s">
        <v>34</v>
      </c>
      <c r="G900" s="5" t="s">
        <v>36</v>
      </c>
      <c r="H900" s="5" t="s">
        <v>36</v>
      </c>
      <c r="I900" s="5" t="s">
        <v>36</v>
      </c>
      <c r="J900" s="6" t="s">
        <v>34</v>
      </c>
      <c r="K900" s="6" t="s">
        <v>37</v>
      </c>
      <c r="L900" s="6">
        <v>390.0</v>
      </c>
      <c r="M900" s="5" t="s">
        <v>54</v>
      </c>
      <c r="N900" s="5" t="s">
        <v>54</v>
      </c>
      <c r="O900" s="6" t="s">
        <v>40</v>
      </c>
      <c r="P900" s="5" t="s">
        <v>107</v>
      </c>
      <c r="Q900" s="5" t="s">
        <v>108</v>
      </c>
      <c r="R900" s="6" t="s">
        <v>42</v>
      </c>
      <c r="S900" s="5" t="s">
        <v>44</v>
      </c>
      <c r="T900" s="5" t="s">
        <v>44</v>
      </c>
      <c r="U900" s="5" t="s">
        <v>44</v>
      </c>
      <c r="V900" s="5" t="s">
        <v>44</v>
      </c>
      <c r="W900" s="5" t="s">
        <v>36</v>
      </c>
      <c r="X900" s="5" t="s">
        <v>109</v>
      </c>
      <c r="Y900" s="5" t="s">
        <v>46</v>
      </c>
      <c r="Z900" s="5" t="s">
        <v>47</v>
      </c>
      <c r="AA900" s="5" t="s">
        <v>48</v>
      </c>
      <c r="AB900" s="5" t="s">
        <v>4351</v>
      </c>
      <c r="AC900" s="6" t="s">
        <v>34</v>
      </c>
      <c r="AD900" s="6">
        <v>7052.0</v>
      </c>
    </row>
    <row r="901" ht="56.25" customHeight="1">
      <c r="A901" s="5" t="s">
        <v>4352</v>
      </c>
      <c r="B901" s="16" t="str">
        <f>IMAGE("https://storage.googleapis.com/acdb/miscellaneous/FtrFishDemekinToy.png")</f>
        <v/>
      </c>
      <c r="C901" s="5" t="s">
        <v>34</v>
      </c>
      <c r="D901" s="5" t="s">
        <v>34</v>
      </c>
      <c r="E901" s="5" t="s">
        <v>34</v>
      </c>
      <c r="F901" s="5" t="s">
        <v>34</v>
      </c>
      <c r="G901" s="5" t="s">
        <v>36</v>
      </c>
      <c r="H901" s="5" t="s">
        <v>36</v>
      </c>
      <c r="I901" s="5" t="s">
        <v>36</v>
      </c>
      <c r="J901" s="6" t="s">
        <v>34</v>
      </c>
      <c r="K901" s="6" t="s">
        <v>37</v>
      </c>
      <c r="L901" s="6">
        <v>3900.0</v>
      </c>
      <c r="M901" s="5" t="s">
        <v>54</v>
      </c>
      <c r="N901" s="5" t="s">
        <v>54</v>
      </c>
      <c r="O901" s="6" t="s">
        <v>40</v>
      </c>
      <c r="P901" s="5" t="s">
        <v>213</v>
      </c>
      <c r="Q901" s="5" t="s">
        <v>215</v>
      </c>
      <c r="R901" s="6" t="s">
        <v>42</v>
      </c>
      <c r="S901" s="5" t="s">
        <v>44</v>
      </c>
      <c r="T901" s="5" t="s">
        <v>44</v>
      </c>
      <c r="U901" s="5" t="s">
        <v>44</v>
      </c>
      <c r="V901" s="5" t="s">
        <v>44</v>
      </c>
      <c r="W901" s="5" t="s">
        <v>36</v>
      </c>
      <c r="X901" s="5" t="s">
        <v>219</v>
      </c>
      <c r="Y901" s="5" t="s">
        <v>46</v>
      </c>
      <c r="Z901" s="5" t="s">
        <v>47</v>
      </c>
      <c r="AA901" s="5" t="s">
        <v>48</v>
      </c>
      <c r="AB901" s="5" t="s">
        <v>4357</v>
      </c>
      <c r="AC901" s="6" t="s">
        <v>34</v>
      </c>
      <c r="AD901" s="6">
        <v>6942.0</v>
      </c>
    </row>
    <row r="902" ht="56.25" customHeight="1">
      <c r="A902" s="5" t="s">
        <v>4358</v>
      </c>
      <c r="B902" s="6" t="str">
        <f>IMAGE("https://storage.googleapis.com/acdb/miscellaneous/FtrToaster_Remake_0_0.png")</f>
        <v/>
      </c>
      <c r="C902" s="5" t="s">
        <v>57</v>
      </c>
      <c r="D902" s="5" t="s">
        <v>34</v>
      </c>
      <c r="E902" s="5" t="s">
        <v>34</v>
      </c>
      <c r="F902" s="5" t="s">
        <v>34</v>
      </c>
      <c r="G902" s="5" t="s">
        <v>36</v>
      </c>
      <c r="H902" s="5" t="s">
        <v>36</v>
      </c>
      <c r="I902" s="5" t="s">
        <v>36</v>
      </c>
      <c r="J902" s="6" t="s">
        <v>34</v>
      </c>
      <c r="K902" s="6">
        <v>2300.0</v>
      </c>
      <c r="L902" s="6">
        <v>575.0</v>
      </c>
      <c r="M902" s="5" t="s">
        <v>57</v>
      </c>
      <c r="N902" s="5" t="s">
        <v>142</v>
      </c>
      <c r="O902" s="6" t="s">
        <v>40</v>
      </c>
      <c r="P902" s="5" t="s">
        <v>59</v>
      </c>
      <c r="Q902" s="5" t="s">
        <v>60</v>
      </c>
      <c r="R902" s="6" t="s">
        <v>42</v>
      </c>
      <c r="S902" s="5" t="s">
        <v>159</v>
      </c>
      <c r="T902" s="5" t="s">
        <v>62</v>
      </c>
      <c r="U902" s="5" t="s">
        <v>44</v>
      </c>
      <c r="V902" s="5" t="s">
        <v>44</v>
      </c>
      <c r="W902" s="5" t="s">
        <v>35</v>
      </c>
      <c r="X902" s="5" t="s">
        <v>521</v>
      </c>
      <c r="Y902" s="5" t="s">
        <v>46</v>
      </c>
      <c r="Z902" s="5" t="s">
        <v>47</v>
      </c>
      <c r="AA902" s="5" t="s">
        <v>64</v>
      </c>
      <c r="AB902" s="5" t="s">
        <v>4364</v>
      </c>
      <c r="AC902" s="6" t="s">
        <v>50</v>
      </c>
      <c r="AD902" s="6">
        <v>3282.0</v>
      </c>
    </row>
    <row r="903" ht="56.25" customHeight="1">
      <c r="A903" s="5" t="s">
        <v>4358</v>
      </c>
      <c r="B903" s="6" t="str">
        <f>IMAGE("https://storage.googleapis.com/acdb/miscellaneous/FtrToaster_Remake_1_0.png")</f>
        <v/>
      </c>
      <c r="C903" s="5" t="s">
        <v>114</v>
      </c>
      <c r="D903" s="5" t="s">
        <v>34</v>
      </c>
      <c r="E903" s="5" t="s">
        <v>34</v>
      </c>
      <c r="F903" s="5" t="s">
        <v>34</v>
      </c>
      <c r="G903" s="5" t="s">
        <v>36</v>
      </c>
      <c r="H903" s="5" t="s">
        <v>36</v>
      </c>
      <c r="I903" s="5" t="s">
        <v>36</v>
      </c>
      <c r="J903" s="6" t="s">
        <v>34</v>
      </c>
      <c r="K903" s="6">
        <v>2300.0</v>
      </c>
      <c r="L903" s="6">
        <v>575.0</v>
      </c>
      <c r="M903" s="5" t="s">
        <v>114</v>
      </c>
      <c r="N903" s="5" t="s">
        <v>142</v>
      </c>
      <c r="O903" s="6" t="s">
        <v>40</v>
      </c>
      <c r="P903" s="5" t="s">
        <v>59</v>
      </c>
      <c r="Q903" s="5" t="s">
        <v>60</v>
      </c>
      <c r="R903" s="6" t="s">
        <v>42</v>
      </c>
      <c r="S903" s="5" t="s">
        <v>159</v>
      </c>
      <c r="T903" s="5" t="s">
        <v>62</v>
      </c>
      <c r="U903" s="5" t="s">
        <v>44</v>
      </c>
      <c r="V903" s="5" t="s">
        <v>44</v>
      </c>
      <c r="W903" s="5" t="s">
        <v>35</v>
      </c>
      <c r="X903" s="5" t="s">
        <v>521</v>
      </c>
      <c r="Y903" s="5" t="s">
        <v>46</v>
      </c>
      <c r="Z903" s="5" t="s">
        <v>47</v>
      </c>
      <c r="AA903" s="5" t="s">
        <v>64</v>
      </c>
      <c r="AB903" s="5" t="s">
        <v>4371</v>
      </c>
      <c r="AC903" s="6" t="s">
        <v>56</v>
      </c>
      <c r="AD903" s="6">
        <v>3282.0</v>
      </c>
    </row>
    <row r="904" ht="56.25" customHeight="1">
      <c r="A904" s="5" t="s">
        <v>4358</v>
      </c>
      <c r="B904" s="6" t="str">
        <f>IMAGE("https://storage.googleapis.com/acdb/miscellaneous/FtrToaster_Remake_2_0.png")</f>
        <v/>
      </c>
      <c r="C904" s="5" t="s">
        <v>83</v>
      </c>
      <c r="D904" s="5" t="s">
        <v>34</v>
      </c>
      <c r="E904" s="5" t="s">
        <v>34</v>
      </c>
      <c r="F904" s="5" t="s">
        <v>34</v>
      </c>
      <c r="G904" s="5" t="s">
        <v>36</v>
      </c>
      <c r="H904" s="5" t="s">
        <v>36</v>
      </c>
      <c r="I904" s="5" t="s">
        <v>36</v>
      </c>
      <c r="J904" s="6" t="s">
        <v>34</v>
      </c>
      <c r="K904" s="6">
        <v>2300.0</v>
      </c>
      <c r="L904" s="6">
        <v>575.0</v>
      </c>
      <c r="M904" s="5" t="s">
        <v>83</v>
      </c>
      <c r="N904" s="5" t="s">
        <v>142</v>
      </c>
      <c r="O904" s="6" t="s">
        <v>40</v>
      </c>
      <c r="P904" s="5" t="s">
        <v>59</v>
      </c>
      <c r="Q904" s="5" t="s">
        <v>60</v>
      </c>
      <c r="R904" s="6" t="s">
        <v>42</v>
      </c>
      <c r="S904" s="5" t="s">
        <v>159</v>
      </c>
      <c r="T904" s="5" t="s">
        <v>62</v>
      </c>
      <c r="U904" s="5" t="s">
        <v>44</v>
      </c>
      <c r="V904" s="5" t="s">
        <v>44</v>
      </c>
      <c r="W904" s="5" t="s">
        <v>35</v>
      </c>
      <c r="X904" s="5" t="s">
        <v>521</v>
      </c>
      <c r="Y904" s="5" t="s">
        <v>46</v>
      </c>
      <c r="Z904" s="5" t="s">
        <v>47</v>
      </c>
      <c r="AA904" s="5" t="s">
        <v>64</v>
      </c>
      <c r="AB904" s="5" t="s">
        <v>4377</v>
      </c>
      <c r="AC904" s="6" t="s">
        <v>67</v>
      </c>
      <c r="AD904" s="6">
        <v>3282.0</v>
      </c>
    </row>
    <row r="905" ht="56.25" customHeight="1">
      <c r="A905" s="5" t="s">
        <v>4358</v>
      </c>
      <c r="B905" s="6" t="str">
        <f>IMAGE("https://storage.googleapis.com/acdb/miscellaneous/FtrToaster_Remake_3_0.png")</f>
        <v/>
      </c>
      <c r="C905" s="5" t="s">
        <v>96</v>
      </c>
      <c r="D905" s="5" t="s">
        <v>34</v>
      </c>
      <c r="E905" s="5" t="s">
        <v>34</v>
      </c>
      <c r="F905" s="5" t="s">
        <v>34</v>
      </c>
      <c r="G905" s="5" t="s">
        <v>36</v>
      </c>
      <c r="H905" s="5" t="s">
        <v>36</v>
      </c>
      <c r="I905" s="5" t="s">
        <v>36</v>
      </c>
      <c r="J905" s="6" t="s">
        <v>34</v>
      </c>
      <c r="K905" s="6">
        <v>2300.0</v>
      </c>
      <c r="L905" s="6">
        <v>575.0</v>
      </c>
      <c r="M905" s="5" t="s">
        <v>96</v>
      </c>
      <c r="N905" s="5" t="s">
        <v>142</v>
      </c>
      <c r="O905" s="6" t="s">
        <v>40</v>
      </c>
      <c r="P905" s="5" t="s">
        <v>59</v>
      </c>
      <c r="Q905" s="5" t="s">
        <v>60</v>
      </c>
      <c r="R905" s="6" t="s">
        <v>42</v>
      </c>
      <c r="S905" s="5" t="s">
        <v>159</v>
      </c>
      <c r="T905" s="5" t="s">
        <v>62</v>
      </c>
      <c r="U905" s="5" t="s">
        <v>44</v>
      </c>
      <c r="V905" s="5" t="s">
        <v>44</v>
      </c>
      <c r="W905" s="5" t="s">
        <v>35</v>
      </c>
      <c r="X905" s="5" t="s">
        <v>521</v>
      </c>
      <c r="Y905" s="5" t="s">
        <v>46</v>
      </c>
      <c r="Z905" s="5" t="s">
        <v>47</v>
      </c>
      <c r="AA905" s="5" t="s">
        <v>64</v>
      </c>
      <c r="AB905" s="5" t="s">
        <v>4381</v>
      </c>
      <c r="AC905" s="6" t="s">
        <v>71</v>
      </c>
      <c r="AD905" s="6">
        <v>3282.0</v>
      </c>
    </row>
    <row r="906" ht="56.25" customHeight="1">
      <c r="A906" s="5" t="s">
        <v>4358</v>
      </c>
      <c r="B906" s="6" t="str">
        <f>IMAGE("https://storage.googleapis.com/acdb/miscellaneous/FtrToaster_Remake_4_0.png")</f>
        <v/>
      </c>
      <c r="C906" s="5" t="s">
        <v>52</v>
      </c>
      <c r="D906" s="5" t="s">
        <v>34</v>
      </c>
      <c r="E906" s="5" t="s">
        <v>34</v>
      </c>
      <c r="F906" s="5" t="s">
        <v>34</v>
      </c>
      <c r="G906" s="5" t="s">
        <v>36</v>
      </c>
      <c r="H906" s="5" t="s">
        <v>36</v>
      </c>
      <c r="I906" s="5" t="s">
        <v>36</v>
      </c>
      <c r="J906" s="6" t="s">
        <v>34</v>
      </c>
      <c r="K906" s="6">
        <v>2300.0</v>
      </c>
      <c r="L906" s="6">
        <v>575.0</v>
      </c>
      <c r="M906" s="5" t="s">
        <v>52</v>
      </c>
      <c r="N906" s="5" t="s">
        <v>142</v>
      </c>
      <c r="O906" s="6" t="s">
        <v>40</v>
      </c>
      <c r="P906" s="5" t="s">
        <v>59</v>
      </c>
      <c r="Q906" s="5" t="s">
        <v>60</v>
      </c>
      <c r="R906" s="6" t="s">
        <v>42</v>
      </c>
      <c r="S906" s="5" t="s">
        <v>159</v>
      </c>
      <c r="T906" s="5" t="s">
        <v>62</v>
      </c>
      <c r="U906" s="5" t="s">
        <v>44</v>
      </c>
      <c r="V906" s="5" t="s">
        <v>44</v>
      </c>
      <c r="W906" s="5" t="s">
        <v>35</v>
      </c>
      <c r="X906" s="5" t="s">
        <v>521</v>
      </c>
      <c r="Y906" s="5" t="s">
        <v>46</v>
      </c>
      <c r="Z906" s="5" t="s">
        <v>47</v>
      </c>
      <c r="AA906" s="5" t="s">
        <v>64</v>
      </c>
      <c r="AB906" s="5" t="s">
        <v>4386</v>
      </c>
      <c r="AC906" s="6" t="s">
        <v>75</v>
      </c>
      <c r="AD906" s="6">
        <v>3282.0</v>
      </c>
    </row>
    <row r="907" ht="56.25" customHeight="1">
      <c r="A907" s="5" t="s">
        <v>4358</v>
      </c>
      <c r="B907" s="6" t="str">
        <f>IMAGE("https://storage.googleapis.com/acdb/miscellaneous/FtrToaster_Remake_5_0.png")</f>
        <v/>
      </c>
      <c r="C907" s="5" t="s">
        <v>146</v>
      </c>
      <c r="D907" s="5" t="s">
        <v>34</v>
      </c>
      <c r="E907" s="5" t="s">
        <v>34</v>
      </c>
      <c r="F907" s="5" t="s">
        <v>34</v>
      </c>
      <c r="G907" s="5" t="s">
        <v>36</v>
      </c>
      <c r="H907" s="5" t="s">
        <v>36</v>
      </c>
      <c r="I907" s="5" t="s">
        <v>36</v>
      </c>
      <c r="J907" s="6" t="s">
        <v>34</v>
      </c>
      <c r="K907" s="6">
        <v>2300.0</v>
      </c>
      <c r="L907" s="6">
        <v>575.0</v>
      </c>
      <c r="M907" s="5" t="s">
        <v>95</v>
      </c>
      <c r="N907" s="5" t="s">
        <v>142</v>
      </c>
      <c r="O907" s="6" t="s">
        <v>40</v>
      </c>
      <c r="P907" s="5" t="s">
        <v>59</v>
      </c>
      <c r="Q907" s="5" t="s">
        <v>60</v>
      </c>
      <c r="R907" s="6" t="s">
        <v>42</v>
      </c>
      <c r="S907" s="5" t="s">
        <v>159</v>
      </c>
      <c r="T907" s="5" t="s">
        <v>62</v>
      </c>
      <c r="U907" s="5" t="s">
        <v>44</v>
      </c>
      <c r="V907" s="5" t="s">
        <v>44</v>
      </c>
      <c r="W907" s="5" t="s">
        <v>35</v>
      </c>
      <c r="X907" s="5" t="s">
        <v>521</v>
      </c>
      <c r="Y907" s="5" t="s">
        <v>46</v>
      </c>
      <c r="Z907" s="5" t="s">
        <v>47</v>
      </c>
      <c r="AA907" s="5" t="s">
        <v>64</v>
      </c>
      <c r="AB907" s="5" t="s">
        <v>4392</v>
      </c>
      <c r="AC907" s="6" t="s">
        <v>79</v>
      </c>
      <c r="AD907" s="6">
        <v>3282.0</v>
      </c>
    </row>
    <row r="908" ht="56.25" customHeight="1">
      <c r="A908" s="5" t="s">
        <v>4393</v>
      </c>
      <c r="B908" s="6" t="str">
        <f>IMAGE("https://storage.googleapis.com/acdb/miscellaneous/FtrPortableradio_Remake_0_0.png")</f>
        <v/>
      </c>
      <c r="C908" s="5" t="s">
        <v>57</v>
      </c>
      <c r="D908" s="5" t="s">
        <v>34</v>
      </c>
      <c r="E908" s="5" t="s">
        <v>34</v>
      </c>
      <c r="F908" s="5" t="s">
        <v>34</v>
      </c>
      <c r="G908" s="5" t="s">
        <v>36</v>
      </c>
      <c r="H908" s="5" t="s">
        <v>36</v>
      </c>
      <c r="I908" s="5" t="s">
        <v>36</v>
      </c>
      <c r="J908" s="6" t="s">
        <v>34</v>
      </c>
      <c r="K908" s="6">
        <v>1500.0</v>
      </c>
      <c r="L908" s="6">
        <v>375.0</v>
      </c>
      <c r="M908" s="5" t="s">
        <v>57</v>
      </c>
      <c r="N908" s="5" t="s">
        <v>54</v>
      </c>
      <c r="O908" s="6" t="s">
        <v>40</v>
      </c>
      <c r="P908" s="5" t="s">
        <v>1479</v>
      </c>
      <c r="Q908" s="5"/>
      <c r="R908" s="6" t="s">
        <v>42</v>
      </c>
      <c r="S908" s="5" t="s">
        <v>765</v>
      </c>
      <c r="T908" s="5" t="s">
        <v>44</v>
      </c>
      <c r="U908" s="5" t="s">
        <v>44</v>
      </c>
      <c r="V908" s="5" t="s">
        <v>44</v>
      </c>
      <c r="W908" s="5" t="s">
        <v>35</v>
      </c>
      <c r="X908" s="5" t="s">
        <v>746</v>
      </c>
      <c r="Y908" s="5" t="s">
        <v>46</v>
      </c>
      <c r="Z908" s="5" t="s">
        <v>47</v>
      </c>
      <c r="AA908" s="5" t="s">
        <v>64</v>
      </c>
      <c r="AB908" s="5" t="s">
        <v>4400</v>
      </c>
      <c r="AC908" s="6" t="s">
        <v>50</v>
      </c>
      <c r="AD908" s="6">
        <v>3697.0</v>
      </c>
    </row>
    <row r="909" ht="56.25" customHeight="1">
      <c r="A909" s="5" t="s">
        <v>4393</v>
      </c>
      <c r="B909" s="6" t="str">
        <f>IMAGE("https://storage.googleapis.com/acdb/miscellaneous/FtrPortableradio_Remake_1_0.png")</f>
        <v/>
      </c>
      <c r="C909" s="5" t="s">
        <v>114</v>
      </c>
      <c r="D909" s="5" t="s">
        <v>34</v>
      </c>
      <c r="E909" s="5" t="s">
        <v>34</v>
      </c>
      <c r="F909" s="5" t="s">
        <v>34</v>
      </c>
      <c r="G909" s="5" t="s">
        <v>36</v>
      </c>
      <c r="H909" s="5" t="s">
        <v>36</v>
      </c>
      <c r="I909" s="5" t="s">
        <v>36</v>
      </c>
      <c r="J909" s="6" t="s">
        <v>34</v>
      </c>
      <c r="K909" s="6">
        <v>1500.0</v>
      </c>
      <c r="L909" s="6">
        <v>375.0</v>
      </c>
      <c r="M909" s="5" t="s">
        <v>114</v>
      </c>
      <c r="N909" s="5" t="s">
        <v>54</v>
      </c>
      <c r="O909" s="6" t="s">
        <v>40</v>
      </c>
      <c r="P909" s="5" t="s">
        <v>1479</v>
      </c>
      <c r="Q909" s="5"/>
      <c r="R909" s="6" t="s">
        <v>42</v>
      </c>
      <c r="S909" s="5" t="s">
        <v>765</v>
      </c>
      <c r="T909" s="5" t="s">
        <v>44</v>
      </c>
      <c r="U909" s="5" t="s">
        <v>44</v>
      </c>
      <c r="V909" s="5" t="s">
        <v>44</v>
      </c>
      <c r="W909" s="5" t="s">
        <v>35</v>
      </c>
      <c r="X909" s="5" t="s">
        <v>746</v>
      </c>
      <c r="Y909" s="5" t="s">
        <v>46</v>
      </c>
      <c r="Z909" s="5" t="s">
        <v>47</v>
      </c>
      <c r="AA909" s="5" t="s">
        <v>64</v>
      </c>
      <c r="AB909" s="5" t="s">
        <v>4406</v>
      </c>
      <c r="AC909" s="6" t="s">
        <v>56</v>
      </c>
      <c r="AD909" s="6">
        <v>3697.0</v>
      </c>
    </row>
    <row r="910" ht="56.25" customHeight="1">
      <c r="A910" s="5" t="s">
        <v>4393</v>
      </c>
      <c r="B910" s="6" t="str">
        <f>IMAGE("https://storage.googleapis.com/acdb/miscellaneous/FtrPortableradio_Remake_2_0.png")</f>
        <v/>
      </c>
      <c r="C910" s="5" t="s">
        <v>52</v>
      </c>
      <c r="D910" s="5" t="s">
        <v>34</v>
      </c>
      <c r="E910" s="5" t="s">
        <v>34</v>
      </c>
      <c r="F910" s="5" t="s">
        <v>34</v>
      </c>
      <c r="G910" s="5" t="s">
        <v>36</v>
      </c>
      <c r="H910" s="5" t="s">
        <v>36</v>
      </c>
      <c r="I910" s="5" t="s">
        <v>36</v>
      </c>
      <c r="J910" s="6" t="s">
        <v>34</v>
      </c>
      <c r="K910" s="6">
        <v>1500.0</v>
      </c>
      <c r="L910" s="6">
        <v>375.0</v>
      </c>
      <c r="M910" s="5" t="s">
        <v>52</v>
      </c>
      <c r="N910" s="5" t="s">
        <v>54</v>
      </c>
      <c r="O910" s="6" t="s">
        <v>40</v>
      </c>
      <c r="P910" s="5" t="s">
        <v>1479</v>
      </c>
      <c r="Q910" s="5"/>
      <c r="R910" s="6" t="s">
        <v>42</v>
      </c>
      <c r="S910" s="5" t="s">
        <v>765</v>
      </c>
      <c r="T910" s="5" t="s">
        <v>44</v>
      </c>
      <c r="U910" s="5" t="s">
        <v>44</v>
      </c>
      <c r="V910" s="5" t="s">
        <v>44</v>
      </c>
      <c r="W910" s="5" t="s">
        <v>35</v>
      </c>
      <c r="X910" s="5" t="s">
        <v>746</v>
      </c>
      <c r="Y910" s="5" t="s">
        <v>46</v>
      </c>
      <c r="Z910" s="5" t="s">
        <v>47</v>
      </c>
      <c r="AA910" s="5" t="s">
        <v>64</v>
      </c>
      <c r="AB910" s="5" t="s">
        <v>4410</v>
      </c>
      <c r="AC910" s="6" t="s">
        <v>67</v>
      </c>
      <c r="AD910" s="6">
        <v>3697.0</v>
      </c>
    </row>
    <row r="911" ht="56.25" customHeight="1">
      <c r="A911" s="5" t="s">
        <v>4393</v>
      </c>
      <c r="B911" s="6" t="str">
        <f>IMAGE("https://storage.googleapis.com/acdb/miscellaneous/FtrPortableradio_Remake_3_0.png")</f>
        <v/>
      </c>
      <c r="C911" s="5" t="s">
        <v>69</v>
      </c>
      <c r="D911" s="5" t="s">
        <v>34</v>
      </c>
      <c r="E911" s="5" t="s">
        <v>34</v>
      </c>
      <c r="F911" s="5" t="s">
        <v>34</v>
      </c>
      <c r="G911" s="5" t="s">
        <v>36</v>
      </c>
      <c r="H911" s="5" t="s">
        <v>36</v>
      </c>
      <c r="I911" s="5" t="s">
        <v>36</v>
      </c>
      <c r="J911" s="6" t="s">
        <v>34</v>
      </c>
      <c r="K911" s="6">
        <v>1500.0</v>
      </c>
      <c r="L911" s="6">
        <v>375.0</v>
      </c>
      <c r="M911" s="5" t="s">
        <v>69</v>
      </c>
      <c r="N911" s="5" t="s">
        <v>54</v>
      </c>
      <c r="O911" s="6" t="s">
        <v>40</v>
      </c>
      <c r="P911" s="5" t="s">
        <v>1479</v>
      </c>
      <c r="Q911" s="5"/>
      <c r="R911" s="6" t="s">
        <v>42</v>
      </c>
      <c r="S911" s="5" t="s">
        <v>765</v>
      </c>
      <c r="T911" s="5" t="s">
        <v>44</v>
      </c>
      <c r="U911" s="5" t="s">
        <v>44</v>
      </c>
      <c r="V911" s="5" t="s">
        <v>44</v>
      </c>
      <c r="W911" s="5" t="s">
        <v>35</v>
      </c>
      <c r="X911" s="5" t="s">
        <v>746</v>
      </c>
      <c r="Y911" s="5" t="s">
        <v>46</v>
      </c>
      <c r="Z911" s="5" t="s">
        <v>47</v>
      </c>
      <c r="AA911" s="5" t="s">
        <v>64</v>
      </c>
      <c r="AB911" s="5" t="s">
        <v>4416</v>
      </c>
      <c r="AC911" s="6" t="s">
        <v>71</v>
      </c>
      <c r="AD911" s="6">
        <v>3697.0</v>
      </c>
    </row>
    <row r="912" ht="56.25" customHeight="1">
      <c r="A912" s="5" t="s">
        <v>4393</v>
      </c>
      <c r="B912" s="6" t="str">
        <f>IMAGE("https://storage.googleapis.com/acdb/miscellaneous/FtrPortableradio_Remake_4_0.png")</f>
        <v/>
      </c>
      <c r="C912" s="5" t="s">
        <v>68</v>
      </c>
      <c r="D912" s="5" t="s">
        <v>34</v>
      </c>
      <c r="E912" s="5" t="s">
        <v>34</v>
      </c>
      <c r="F912" s="5" t="s">
        <v>34</v>
      </c>
      <c r="G912" s="5" t="s">
        <v>36</v>
      </c>
      <c r="H912" s="5" t="s">
        <v>36</v>
      </c>
      <c r="I912" s="5" t="s">
        <v>36</v>
      </c>
      <c r="J912" s="6" t="s">
        <v>34</v>
      </c>
      <c r="K912" s="6">
        <v>1500.0</v>
      </c>
      <c r="L912" s="6">
        <v>375.0</v>
      </c>
      <c r="M912" s="5" t="s">
        <v>68</v>
      </c>
      <c r="N912" s="5" t="s">
        <v>54</v>
      </c>
      <c r="O912" s="6" t="s">
        <v>40</v>
      </c>
      <c r="P912" s="5" t="s">
        <v>1479</v>
      </c>
      <c r="Q912" s="5"/>
      <c r="R912" s="6" t="s">
        <v>42</v>
      </c>
      <c r="S912" s="5" t="s">
        <v>765</v>
      </c>
      <c r="T912" s="5" t="s">
        <v>44</v>
      </c>
      <c r="U912" s="5" t="s">
        <v>44</v>
      </c>
      <c r="V912" s="5" t="s">
        <v>44</v>
      </c>
      <c r="W912" s="5" t="s">
        <v>35</v>
      </c>
      <c r="X912" s="5" t="s">
        <v>746</v>
      </c>
      <c r="Y912" s="5" t="s">
        <v>46</v>
      </c>
      <c r="Z912" s="5" t="s">
        <v>47</v>
      </c>
      <c r="AA912" s="5" t="s">
        <v>64</v>
      </c>
      <c r="AB912" s="5" t="s">
        <v>4420</v>
      </c>
      <c r="AC912" s="6" t="s">
        <v>75</v>
      </c>
      <c r="AD912" s="6">
        <v>3697.0</v>
      </c>
    </row>
    <row r="913" ht="56.25" customHeight="1">
      <c r="A913" s="5" t="s">
        <v>4393</v>
      </c>
      <c r="B913" s="6" t="str">
        <f>IMAGE("https://storage.googleapis.com/acdb/miscellaneous/FtrPortableradio_Remake_5_0.png")</f>
        <v/>
      </c>
      <c r="C913" s="5" t="s">
        <v>83</v>
      </c>
      <c r="D913" s="5" t="s">
        <v>34</v>
      </c>
      <c r="E913" s="5" t="s">
        <v>34</v>
      </c>
      <c r="F913" s="5" t="s">
        <v>34</v>
      </c>
      <c r="G913" s="5" t="s">
        <v>36</v>
      </c>
      <c r="H913" s="5" t="s">
        <v>36</v>
      </c>
      <c r="I913" s="5" t="s">
        <v>36</v>
      </c>
      <c r="J913" s="6" t="s">
        <v>34</v>
      </c>
      <c r="K913" s="6">
        <v>1500.0</v>
      </c>
      <c r="L913" s="6">
        <v>375.0</v>
      </c>
      <c r="M913" s="5" t="s">
        <v>83</v>
      </c>
      <c r="N913" s="5" t="s">
        <v>54</v>
      </c>
      <c r="O913" s="6" t="s">
        <v>40</v>
      </c>
      <c r="P913" s="5" t="s">
        <v>1479</v>
      </c>
      <c r="Q913" s="5"/>
      <c r="R913" s="6" t="s">
        <v>42</v>
      </c>
      <c r="S913" s="5" t="s">
        <v>765</v>
      </c>
      <c r="T913" s="5" t="s">
        <v>44</v>
      </c>
      <c r="U913" s="5" t="s">
        <v>44</v>
      </c>
      <c r="V913" s="5" t="s">
        <v>44</v>
      </c>
      <c r="W913" s="5" t="s">
        <v>35</v>
      </c>
      <c r="X913" s="5" t="s">
        <v>746</v>
      </c>
      <c r="Y913" s="5" t="s">
        <v>46</v>
      </c>
      <c r="Z913" s="5" t="s">
        <v>47</v>
      </c>
      <c r="AA913" s="5" t="s">
        <v>64</v>
      </c>
      <c r="AB913" s="5" t="s">
        <v>4425</v>
      </c>
      <c r="AC913" s="6" t="s">
        <v>79</v>
      </c>
      <c r="AD913" s="6">
        <v>3697.0</v>
      </c>
    </row>
    <row r="914" ht="56.25" customHeight="1">
      <c r="A914" s="5" t="s">
        <v>4393</v>
      </c>
      <c r="B914" s="6" t="str">
        <f>IMAGE("https://storage.googleapis.com/acdb/miscellaneous/FtrPortableradio_Remake_6_0.png")</f>
        <v/>
      </c>
      <c r="C914" s="5" t="s">
        <v>96</v>
      </c>
      <c r="D914" s="5" t="s">
        <v>34</v>
      </c>
      <c r="E914" s="5" t="s">
        <v>34</v>
      </c>
      <c r="F914" s="5" t="s">
        <v>34</v>
      </c>
      <c r="G914" s="5" t="s">
        <v>36</v>
      </c>
      <c r="H914" s="5" t="s">
        <v>36</v>
      </c>
      <c r="I914" s="5" t="s">
        <v>36</v>
      </c>
      <c r="J914" s="6" t="s">
        <v>34</v>
      </c>
      <c r="K914" s="6">
        <v>1500.0</v>
      </c>
      <c r="L914" s="6">
        <v>375.0</v>
      </c>
      <c r="M914" s="5" t="s">
        <v>96</v>
      </c>
      <c r="N914" s="5" t="s">
        <v>54</v>
      </c>
      <c r="O914" s="6" t="s">
        <v>40</v>
      </c>
      <c r="P914" s="5" t="s">
        <v>1479</v>
      </c>
      <c r="Q914" s="5"/>
      <c r="R914" s="6" t="s">
        <v>42</v>
      </c>
      <c r="S914" s="5" t="s">
        <v>765</v>
      </c>
      <c r="T914" s="5" t="s">
        <v>44</v>
      </c>
      <c r="U914" s="5" t="s">
        <v>44</v>
      </c>
      <c r="V914" s="5" t="s">
        <v>44</v>
      </c>
      <c r="W914" s="5" t="s">
        <v>35</v>
      </c>
      <c r="X914" s="5" t="s">
        <v>746</v>
      </c>
      <c r="Y914" s="5" t="s">
        <v>46</v>
      </c>
      <c r="Z914" s="5" t="s">
        <v>47</v>
      </c>
      <c r="AA914" s="5" t="s">
        <v>64</v>
      </c>
      <c r="AB914" s="5" t="s">
        <v>4431</v>
      </c>
      <c r="AC914" s="6" t="s">
        <v>86</v>
      </c>
      <c r="AD914" s="6">
        <v>3697.0</v>
      </c>
    </row>
    <row r="915" ht="56.25" customHeight="1">
      <c r="A915" s="5" t="s">
        <v>4393</v>
      </c>
      <c r="B915" s="6" t="str">
        <f>IMAGE("https://storage.googleapis.com/acdb/miscellaneous/FtrPortableradio_Remake_7_0.png")</f>
        <v/>
      </c>
      <c r="C915" s="5" t="s">
        <v>54</v>
      </c>
      <c r="D915" s="5" t="s">
        <v>34</v>
      </c>
      <c r="E915" s="5" t="s">
        <v>34</v>
      </c>
      <c r="F915" s="5" t="s">
        <v>34</v>
      </c>
      <c r="G915" s="5" t="s">
        <v>36</v>
      </c>
      <c r="H915" s="5" t="s">
        <v>36</v>
      </c>
      <c r="I915" s="5" t="s">
        <v>36</v>
      </c>
      <c r="J915" s="6" t="s">
        <v>34</v>
      </c>
      <c r="K915" s="6">
        <v>1500.0</v>
      </c>
      <c r="L915" s="6">
        <v>375.0</v>
      </c>
      <c r="M915" s="5" t="s">
        <v>54</v>
      </c>
      <c r="N915" s="5" t="s">
        <v>54</v>
      </c>
      <c r="O915" s="6" t="s">
        <v>40</v>
      </c>
      <c r="P915" s="5" t="s">
        <v>1479</v>
      </c>
      <c r="Q915" s="5"/>
      <c r="R915" s="6" t="s">
        <v>42</v>
      </c>
      <c r="S915" s="5" t="s">
        <v>765</v>
      </c>
      <c r="T915" s="5" t="s">
        <v>44</v>
      </c>
      <c r="U915" s="5" t="s">
        <v>44</v>
      </c>
      <c r="V915" s="5" t="s">
        <v>44</v>
      </c>
      <c r="W915" s="5" t="s">
        <v>35</v>
      </c>
      <c r="X915" s="5" t="s">
        <v>746</v>
      </c>
      <c r="Y915" s="5" t="s">
        <v>46</v>
      </c>
      <c r="Z915" s="5" t="s">
        <v>47</v>
      </c>
      <c r="AA915" s="5" t="s">
        <v>64</v>
      </c>
      <c r="AB915" s="5" t="s">
        <v>4436</v>
      </c>
      <c r="AC915" s="6" t="s">
        <v>208</v>
      </c>
      <c r="AD915" s="6">
        <v>3697.0</v>
      </c>
    </row>
    <row r="916" ht="56.25" customHeight="1">
      <c r="A916" s="5" t="s">
        <v>4437</v>
      </c>
      <c r="B916" s="6" t="str">
        <f>IMAGE("https://storage.googleapis.com/acdb/miscellaneous/FtrPortablerecordplayer_Remake_0_0.png")</f>
        <v/>
      </c>
      <c r="C916" s="5" t="s">
        <v>52</v>
      </c>
      <c r="D916" s="5" t="s">
        <v>34</v>
      </c>
      <c r="E916" s="5" t="s">
        <v>34</v>
      </c>
      <c r="F916" s="5" t="s">
        <v>34</v>
      </c>
      <c r="G916" s="5" t="s">
        <v>36</v>
      </c>
      <c r="H916" s="5" t="s">
        <v>36</v>
      </c>
      <c r="I916" s="5" t="s">
        <v>36</v>
      </c>
      <c r="J916" s="6" t="s">
        <v>34</v>
      </c>
      <c r="K916" s="6">
        <v>4000.0</v>
      </c>
      <c r="L916" s="6">
        <v>1000.0</v>
      </c>
      <c r="M916" s="5" t="s">
        <v>52</v>
      </c>
      <c r="N916" s="5" t="s">
        <v>57</v>
      </c>
      <c r="O916" s="6" t="s">
        <v>40</v>
      </c>
      <c r="P916" s="5" t="s">
        <v>59</v>
      </c>
      <c r="Q916" s="5" t="s">
        <v>60</v>
      </c>
      <c r="R916" s="6" t="s">
        <v>42</v>
      </c>
      <c r="S916" s="5" t="s">
        <v>62</v>
      </c>
      <c r="T916" s="5" t="s">
        <v>90</v>
      </c>
      <c r="U916" s="5" t="s">
        <v>44</v>
      </c>
      <c r="V916" s="5" t="s">
        <v>44</v>
      </c>
      <c r="W916" s="5" t="s">
        <v>35</v>
      </c>
      <c r="X916" s="5" t="s">
        <v>746</v>
      </c>
      <c r="Y916" s="5" t="s">
        <v>885</v>
      </c>
      <c r="Z916" s="5" t="s">
        <v>47</v>
      </c>
      <c r="AA916" s="5" t="s">
        <v>64</v>
      </c>
      <c r="AB916" s="5" t="s">
        <v>4441</v>
      </c>
      <c r="AC916" s="6" t="s">
        <v>50</v>
      </c>
      <c r="AD916" s="6">
        <v>4338.0</v>
      </c>
    </row>
    <row r="917" ht="56.25" customHeight="1">
      <c r="A917" s="5" t="s">
        <v>4437</v>
      </c>
      <c r="B917" s="6" t="str">
        <f>IMAGE("https://storage.googleapis.com/acdb/miscellaneous/FtrPortablerecordplayer_Remake_1_0.png")</f>
        <v/>
      </c>
      <c r="C917" s="5" t="s">
        <v>114</v>
      </c>
      <c r="D917" s="5" t="s">
        <v>34</v>
      </c>
      <c r="E917" s="5" t="s">
        <v>34</v>
      </c>
      <c r="F917" s="5" t="s">
        <v>34</v>
      </c>
      <c r="G917" s="5" t="s">
        <v>36</v>
      </c>
      <c r="H917" s="5" t="s">
        <v>36</v>
      </c>
      <c r="I917" s="5" t="s">
        <v>36</v>
      </c>
      <c r="J917" s="6" t="s">
        <v>34</v>
      </c>
      <c r="K917" s="6">
        <v>4000.0</v>
      </c>
      <c r="L917" s="6">
        <v>1000.0</v>
      </c>
      <c r="M917" s="5" t="s">
        <v>114</v>
      </c>
      <c r="N917" s="5" t="s">
        <v>54</v>
      </c>
      <c r="O917" s="6" t="s">
        <v>40</v>
      </c>
      <c r="P917" s="5" t="s">
        <v>59</v>
      </c>
      <c r="Q917" s="5" t="s">
        <v>60</v>
      </c>
      <c r="R917" s="6" t="s">
        <v>42</v>
      </c>
      <c r="S917" s="5" t="s">
        <v>62</v>
      </c>
      <c r="T917" s="5" t="s">
        <v>90</v>
      </c>
      <c r="U917" s="5" t="s">
        <v>44</v>
      </c>
      <c r="V917" s="5" t="s">
        <v>44</v>
      </c>
      <c r="W917" s="5" t="s">
        <v>35</v>
      </c>
      <c r="X917" s="5" t="s">
        <v>746</v>
      </c>
      <c r="Y917" s="5" t="s">
        <v>885</v>
      </c>
      <c r="Z917" s="5" t="s">
        <v>47</v>
      </c>
      <c r="AA917" s="5" t="s">
        <v>64</v>
      </c>
      <c r="AB917" s="5" t="s">
        <v>4447</v>
      </c>
      <c r="AC917" s="6" t="s">
        <v>56</v>
      </c>
      <c r="AD917" s="6">
        <v>4338.0</v>
      </c>
    </row>
    <row r="918" ht="56.25" customHeight="1">
      <c r="A918" s="5" t="s">
        <v>4437</v>
      </c>
      <c r="B918" s="6" t="str">
        <f>IMAGE("https://storage.googleapis.com/acdb/miscellaneous/FtrPortablerecordplayer_Remake_2_0.png")</f>
        <v/>
      </c>
      <c r="C918" s="5" t="s">
        <v>68</v>
      </c>
      <c r="D918" s="5" t="s">
        <v>34</v>
      </c>
      <c r="E918" s="5" t="s">
        <v>34</v>
      </c>
      <c r="F918" s="5" t="s">
        <v>34</v>
      </c>
      <c r="G918" s="5" t="s">
        <v>36</v>
      </c>
      <c r="H918" s="5" t="s">
        <v>36</v>
      </c>
      <c r="I918" s="5" t="s">
        <v>36</v>
      </c>
      <c r="J918" s="6" t="s">
        <v>34</v>
      </c>
      <c r="K918" s="6">
        <v>4000.0</v>
      </c>
      <c r="L918" s="6">
        <v>1000.0</v>
      </c>
      <c r="M918" s="5" t="s">
        <v>83</v>
      </c>
      <c r="N918" s="5" t="s">
        <v>54</v>
      </c>
      <c r="O918" s="6" t="s">
        <v>40</v>
      </c>
      <c r="P918" s="5" t="s">
        <v>59</v>
      </c>
      <c r="Q918" s="5" t="s">
        <v>60</v>
      </c>
      <c r="R918" s="6" t="s">
        <v>42</v>
      </c>
      <c r="S918" s="5" t="s">
        <v>62</v>
      </c>
      <c r="T918" s="5" t="s">
        <v>90</v>
      </c>
      <c r="U918" s="5" t="s">
        <v>44</v>
      </c>
      <c r="V918" s="5" t="s">
        <v>44</v>
      </c>
      <c r="W918" s="5" t="s">
        <v>35</v>
      </c>
      <c r="X918" s="5" t="s">
        <v>746</v>
      </c>
      <c r="Y918" s="5" t="s">
        <v>885</v>
      </c>
      <c r="Z918" s="5" t="s">
        <v>47</v>
      </c>
      <c r="AA918" s="5" t="s">
        <v>64</v>
      </c>
      <c r="AB918" s="5" t="s">
        <v>4452</v>
      </c>
      <c r="AC918" s="6" t="s">
        <v>67</v>
      </c>
      <c r="AD918" s="6">
        <v>4338.0</v>
      </c>
    </row>
    <row r="919" ht="56.25" customHeight="1">
      <c r="A919" s="5" t="s">
        <v>4437</v>
      </c>
      <c r="B919" s="6" t="str">
        <f>IMAGE("https://storage.googleapis.com/acdb/miscellaneous/FtrPortablerecordplayer_Remake_3_0.png")</f>
        <v/>
      </c>
      <c r="C919" s="5" t="s">
        <v>96</v>
      </c>
      <c r="D919" s="5" t="s">
        <v>34</v>
      </c>
      <c r="E919" s="5" t="s">
        <v>34</v>
      </c>
      <c r="F919" s="5" t="s">
        <v>34</v>
      </c>
      <c r="G919" s="5" t="s">
        <v>36</v>
      </c>
      <c r="H919" s="5" t="s">
        <v>36</v>
      </c>
      <c r="I919" s="5" t="s">
        <v>36</v>
      </c>
      <c r="J919" s="6" t="s">
        <v>34</v>
      </c>
      <c r="K919" s="6">
        <v>4000.0</v>
      </c>
      <c r="L919" s="6">
        <v>1000.0</v>
      </c>
      <c r="M919" s="5" t="s">
        <v>96</v>
      </c>
      <c r="N919" s="5" t="s">
        <v>54</v>
      </c>
      <c r="O919" s="6" t="s">
        <v>40</v>
      </c>
      <c r="P919" s="5" t="s">
        <v>59</v>
      </c>
      <c r="Q919" s="5" t="s">
        <v>60</v>
      </c>
      <c r="R919" s="6" t="s">
        <v>42</v>
      </c>
      <c r="S919" s="5" t="s">
        <v>62</v>
      </c>
      <c r="T919" s="5" t="s">
        <v>90</v>
      </c>
      <c r="U919" s="5" t="s">
        <v>44</v>
      </c>
      <c r="V919" s="5" t="s">
        <v>44</v>
      </c>
      <c r="W919" s="5" t="s">
        <v>35</v>
      </c>
      <c r="X919" s="5" t="s">
        <v>746</v>
      </c>
      <c r="Y919" s="5" t="s">
        <v>885</v>
      </c>
      <c r="Z919" s="5" t="s">
        <v>47</v>
      </c>
      <c r="AA919" s="5" t="s">
        <v>64</v>
      </c>
      <c r="AB919" s="5" t="s">
        <v>4457</v>
      </c>
      <c r="AC919" s="6" t="s">
        <v>71</v>
      </c>
      <c r="AD919" s="6">
        <v>4338.0</v>
      </c>
    </row>
    <row r="920" ht="56.25" customHeight="1">
      <c r="A920" s="5" t="s">
        <v>4437</v>
      </c>
      <c r="B920" s="6" t="str">
        <f>IMAGE("https://storage.googleapis.com/acdb/miscellaneous/FtrPortablerecordplayer_Remake_4_0.png")</f>
        <v/>
      </c>
      <c r="C920" s="5" t="s">
        <v>69</v>
      </c>
      <c r="D920" s="5" t="s">
        <v>34</v>
      </c>
      <c r="E920" s="5" t="s">
        <v>34</v>
      </c>
      <c r="F920" s="5" t="s">
        <v>34</v>
      </c>
      <c r="G920" s="5" t="s">
        <v>36</v>
      </c>
      <c r="H920" s="5" t="s">
        <v>36</v>
      </c>
      <c r="I920" s="5" t="s">
        <v>36</v>
      </c>
      <c r="J920" s="6" t="s">
        <v>34</v>
      </c>
      <c r="K920" s="6">
        <v>4000.0</v>
      </c>
      <c r="L920" s="6">
        <v>1000.0</v>
      </c>
      <c r="M920" s="5" t="s">
        <v>69</v>
      </c>
      <c r="N920" s="5" t="s">
        <v>57</v>
      </c>
      <c r="O920" s="6" t="s">
        <v>40</v>
      </c>
      <c r="P920" s="5" t="s">
        <v>59</v>
      </c>
      <c r="Q920" s="5" t="s">
        <v>60</v>
      </c>
      <c r="R920" s="6" t="s">
        <v>42</v>
      </c>
      <c r="S920" s="5" t="s">
        <v>62</v>
      </c>
      <c r="T920" s="5" t="s">
        <v>90</v>
      </c>
      <c r="U920" s="5" t="s">
        <v>44</v>
      </c>
      <c r="V920" s="5" t="s">
        <v>44</v>
      </c>
      <c r="W920" s="5" t="s">
        <v>35</v>
      </c>
      <c r="X920" s="5" t="s">
        <v>746</v>
      </c>
      <c r="Y920" s="5" t="s">
        <v>885</v>
      </c>
      <c r="Z920" s="5" t="s">
        <v>47</v>
      </c>
      <c r="AA920" s="5" t="s">
        <v>64</v>
      </c>
      <c r="AB920" s="5" t="s">
        <v>4462</v>
      </c>
      <c r="AC920" s="6" t="s">
        <v>75</v>
      </c>
      <c r="AD920" s="6">
        <v>4338.0</v>
      </c>
    </row>
    <row r="921" ht="56.25" customHeight="1">
      <c r="A921" s="5" t="s">
        <v>4437</v>
      </c>
      <c r="B921" s="6" t="str">
        <f>IMAGE("https://storage.googleapis.com/acdb/miscellaneous/FtrPortablerecordplayer_Remake_5_0.png")</f>
        <v/>
      </c>
      <c r="C921" s="5" t="s">
        <v>54</v>
      </c>
      <c r="D921" s="5" t="s">
        <v>34</v>
      </c>
      <c r="E921" s="5" t="s">
        <v>34</v>
      </c>
      <c r="F921" s="5" t="s">
        <v>34</v>
      </c>
      <c r="G921" s="5" t="s">
        <v>36</v>
      </c>
      <c r="H921" s="5" t="s">
        <v>36</v>
      </c>
      <c r="I921" s="5" t="s">
        <v>36</v>
      </c>
      <c r="J921" s="6" t="s">
        <v>34</v>
      </c>
      <c r="K921" s="6">
        <v>4000.0</v>
      </c>
      <c r="L921" s="6">
        <v>1000.0</v>
      </c>
      <c r="M921" s="5" t="s">
        <v>54</v>
      </c>
      <c r="N921" s="5" t="s">
        <v>52</v>
      </c>
      <c r="O921" s="6" t="s">
        <v>40</v>
      </c>
      <c r="P921" s="5" t="s">
        <v>59</v>
      </c>
      <c r="Q921" s="5" t="s">
        <v>60</v>
      </c>
      <c r="R921" s="6" t="s">
        <v>42</v>
      </c>
      <c r="S921" s="5" t="s">
        <v>62</v>
      </c>
      <c r="T921" s="5" t="s">
        <v>90</v>
      </c>
      <c r="U921" s="5" t="s">
        <v>44</v>
      </c>
      <c r="V921" s="5" t="s">
        <v>44</v>
      </c>
      <c r="W921" s="5" t="s">
        <v>35</v>
      </c>
      <c r="X921" s="5" t="s">
        <v>746</v>
      </c>
      <c r="Y921" s="5" t="s">
        <v>885</v>
      </c>
      <c r="Z921" s="5" t="s">
        <v>47</v>
      </c>
      <c r="AA921" s="5" t="s">
        <v>64</v>
      </c>
      <c r="AB921" s="5" t="s">
        <v>4466</v>
      </c>
      <c r="AC921" s="6" t="s">
        <v>79</v>
      </c>
      <c r="AD921" s="6">
        <v>4338.0</v>
      </c>
    </row>
    <row r="922" ht="56.25" customHeight="1">
      <c r="A922" s="5" t="s">
        <v>4437</v>
      </c>
      <c r="B922" s="6" t="str">
        <f>IMAGE("https://storage.googleapis.com/acdb/miscellaneous/FtrPortablerecordplayer_Remake_6_0.png")</f>
        <v/>
      </c>
      <c r="C922" s="5" t="s">
        <v>142</v>
      </c>
      <c r="D922" s="5" t="s">
        <v>34</v>
      </c>
      <c r="E922" s="5" t="s">
        <v>34</v>
      </c>
      <c r="F922" s="5" t="s">
        <v>34</v>
      </c>
      <c r="G922" s="5" t="s">
        <v>36</v>
      </c>
      <c r="H922" s="5" t="s">
        <v>36</v>
      </c>
      <c r="I922" s="5" t="s">
        <v>36</v>
      </c>
      <c r="J922" s="6" t="s">
        <v>34</v>
      </c>
      <c r="K922" s="6">
        <v>4000.0</v>
      </c>
      <c r="L922" s="6">
        <v>1000.0</v>
      </c>
      <c r="M922" s="5" t="s">
        <v>142</v>
      </c>
      <c r="N922" s="5" t="s">
        <v>57</v>
      </c>
      <c r="O922" s="6" t="s">
        <v>40</v>
      </c>
      <c r="P922" s="5" t="s">
        <v>59</v>
      </c>
      <c r="Q922" s="5" t="s">
        <v>60</v>
      </c>
      <c r="R922" s="6" t="s">
        <v>42</v>
      </c>
      <c r="S922" s="5" t="s">
        <v>62</v>
      </c>
      <c r="T922" s="5" t="s">
        <v>90</v>
      </c>
      <c r="U922" s="5" t="s">
        <v>44</v>
      </c>
      <c r="V922" s="5" t="s">
        <v>44</v>
      </c>
      <c r="W922" s="5" t="s">
        <v>35</v>
      </c>
      <c r="X922" s="5" t="s">
        <v>746</v>
      </c>
      <c r="Y922" s="5" t="s">
        <v>885</v>
      </c>
      <c r="Z922" s="5" t="s">
        <v>47</v>
      </c>
      <c r="AA922" s="5" t="s">
        <v>64</v>
      </c>
      <c r="AB922" s="5" t="s">
        <v>4470</v>
      </c>
      <c r="AC922" s="6" t="s">
        <v>86</v>
      </c>
      <c r="AD922" s="6">
        <v>4338.0</v>
      </c>
    </row>
    <row r="923" ht="56.25" customHeight="1">
      <c r="A923" s="5" t="s">
        <v>4472</v>
      </c>
      <c r="B923" s="6" t="str">
        <f>IMAGE("https://storage.googleapis.com/acdb/miscellaneous/FtrKame_Remake_0_0.png")</f>
        <v/>
      </c>
      <c r="C923" s="5" t="s">
        <v>39</v>
      </c>
      <c r="D923" s="5" t="s">
        <v>373</v>
      </c>
      <c r="E923" s="5" t="s">
        <v>34</v>
      </c>
      <c r="F923" s="5" t="s">
        <v>34</v>
      </c>
      <c r="G923" s="5" t="s">
        <v>35</v>
      </c>
      <c r="H923" s="5" t="s">
        <v>35</v>
      </c>
      <c r="I923" s="5" t="s">
        <v>36</v>
      </c>
      <c r="J923" s="6">
        <v>2.0</v>
      </c>
      <c r="K923" s="6" t="s">
        <v>37</v>
      </c>
      <c r="L923" s="6">
        <v>1000.0</v>
      </c>
      <c r="M923" s="5" t="s">
        <v>39</v>
      </c>
      <c r="N923" s="5" t="s">
        <v>38</v>
      </c>
      <c r="O923" s="6" t="s">
        <v>40</v>
      </c>
      <c r="P923" s="5" t="s">
        <v>41</v>
      </c>
      <c r="Q923" s="5"/>
      <c r="R923" s="6" t="s">
        <v>42</v>
      </c>
      <c r="S923" s="5" t="s">
        <v>266</v>
      </c>
      <c r="T923" s="5" t="s">
        <v>416</v>
      </c>
      <c r="U923" s="5" t="s">
        <v>44</v>
      </c>
      <c r="V923" s="5" t="s">
        <v>44</v>
      </c>
      <c r="W923" s="5" t="s">
        <v>36</v>
      </c>
      <c r="X923" s="5" t="s">
        <v>650</v>
      </c>
      <c r="Y923" s="5" t="s">
        <v>46</v>
      </c>
      <c r="Z923" s="5" t="s">
        <v>47</v>
      </c>
      <c r="AA923" s="5" t="s">
        <v>48</v>
      </c>
      <c r="AB923" s="5" t="s">
        <v>4477</v>
      </c>
      <c r="AC923" s="6" t="s">
        <v>50</v>
      </c>
      <c r="AD923" s="6">
        <v>2559.0</v>
      </c>
    </row>
    <row r="924" ht="56.25" customHeight="1">
      <c r="A924" s="5" t="s">
        <v>4472</v>
      </c>
      <c r="B924" s="6" t="str">
        <f>IMAGE("https://storage.googleapis.com/acdb/miscellaneous/FtrKame_Remake_1_0.png")</f>
        <v/>
      </c>
      <c r="C924" s="5" t="s">
        <v>57</v>
      </c>
      <c r="D924" s="5" t="s">
        <v>373</v>
      </c>
      <c r="E924" s="5" t="s">
        <v>34</v>
      </c>
      <c r="F924" s="5" t="s">
        <v>34</v>
      </c>
      <c r="G924" s="5" t="s">
        <v>35</v>
      </c>
      <c r="H924" s="5" t="s">
        <v>35</v>
      </c>
      <c r="I924" s="5" t="s">
        <v>36</v>
      </c>
      <c r="J924" s="6">
        <v>2.0</v>
      </c>
      <c r="K924" s="6" t="s">
        <v>37</v>
      </c>
      <c r="L924" s="6">
        <v>1000.0</v>
      </c>
      <c r="M924" s="5" t="s">
        <v>57</v>
      </c>
      <c r="N924" s="5" t="s">
        <v>57</v>
      </c>
      <c r="O924" s="6" t="s">
        <v>40</v>
      </c>
      <c r="P924" s="5" t="s">
        <v>41</v>
      </c>
      <c r="Q924" s="5"/>
      <c r="R924" s="6" t="s">
        <v>42</v>
      </c>
      <c r="S924" s="5" t="s">
        <v>266</v>
      </c>
      <c r="T924" s="5" t="s">
        <v>416</v>
      </c>
      <c r="U924" s="5" t="s">
        <v>44</v>
      </c>
      <c r="V924" s="5" t="s">
        <v>44</v>
      </c>
      <c r="W924" s="5" t="s">
        <v>36</v>
      </c>
      <c r="X924" s="5" t="s">
        <v>650</v>
      </c>
      <c r="Y924" s="5" t="s">
        <v>46</v>
      </c>
      <c r="Z924" s="5" t="s">
        <v>47</v>
      </c>
      <c r="AA924" s="5" t="s">
        <v>48</v>
      </c>
      <c r="AB924" s="5" t="s">
        <v>4482</v>
      </c>
      <c r="AC924" s="6" t="s">
        <v>56</v>
      </c>
      <c r="AD924" s="6">
        <v>2559.0</v>
      </c>
    </row>
    <row r="925" ht="56.25" customHeight="1">
      <c r="A925" s="5" t="s">
        <v>4472</v>
      </c>
      <c r="B925" s="6" t="str">
        <f>IMAGE("https://storage.googleapis.com/acdb/miscellaneous/FtrKame_Remake_2_0.png")</f>
        <v/>
      </c>
      <c r="C925" s="5" t="s">
        <v>54</v>
      </c>
      <c r="D925" s="5" t="s">
        <v>373</v>
      </c>
      <c r="E925" s="5" t="s">
        <v>34</v>
      </c>
      <c r="F925" s="5" t="s">
        <v>34</v>
      </c>
      <c r="G925" s="5" t="s">
        <v>35</v>
      </c>
      <c r="H925" s="5" t="s">
        <v>35</v>
      </c>
      <c r="I925" s="5" t="s">
        <v>36</v>
      </c>
      <c r="J925" s="6">
        <v>2.0</v>
      </c>
      <c r="K925" s="6" t="s">
        <v>37</v>
      </c>
      <c r="L925" s="6">
        <v>1000.0</v>
      </c>
      <c r="M925" s="5" t="s">
        <v>54</v>
      </c>
      <c r="N925" s="5" t="s">
        <v>54</v>
      </c>
      <c r="O925" s="6" t="s">
        <v>40</v>
      </c>
      <c r="P925" s="5" t="s">
        <v>41</v>
      </c>
      <c r="Q925" s="5"/>
      <c r="R925" s="6" t="s">
        <v>42</v>
      </c>
      <c r="S925" s="5" t="s">
        <v>266</v>
      </c>
      <c r="T925" s="5" t="s">
        <v>416</v>
      </c>
      <c r="U925" s="5" t="s">
        <v>44</v>
      </c>
      <c r="V925" s="5" t="s">
        <v>44</v>
      </c>
      <c r="W925" s="5" t="s">
        <v>36</v>
      </c>
      <c r="X925" s="5" t="s">
        <v>650</v>
      </c>
      <c r="Y925" s="5" t="s">
        <v>46</v>
      </c>
      <c r="Z925" s="5" t="s">
        <v>47</v>
      </c>
      <c r="AA925" s="5" t="s">
        <v>48</v>
      </c>
      <c r="AB925" s="5" t="s">
        <v>4488</v>
      </c>
      <c r="AC925" s="6" t="s">
        <v>67</v>
      </c>
      <c r="AD925" s="6">
        <v>2559.0</v>
      </c>
    </row>
    <row r="926" ht="56.25" customHeight="1">
      <c r="A926" s="5" t="s">
        <v>4472</v>
      </c>
      <c r="B926" s="6" t="str">
        <f>IMAGE("https://storage.googleapis.com/acdb/miscellaneous/FtrKame_Remake_3_0.png")</f>
        <v/>
      </c>
      <c r="C926" s="5" t="s">
        <v>38</v>
      </c>
      <c r="D926" s="5" t="s">
        <v>373</v>
      </c>
      <c r="E926" s="5" t="s">
        <v>34</v>
      </c>
      <c r="F926" s="5" t="s">
        <v>34</v>
      </c>
      <c r="G926" s="5" t="s">
        <v>35</v>
      </c>
      <c r="H926" s="5" t="s">
        <v>35</v>
      </c>
      <c r="I926" s="5" t="s">
        <v>36</v>
      </c>
      <c r="J926" s="6">
        <v>2.0</v>
      </c>
      <c r="K926" s="6" t="s">
        <v>37</v>
      </c>
      <c r="L926" s="6">
        <v>1000.0</v>
      </c>
      <c r="M926" s="5" t="s">
        <v>38</v>
      </c>
      <c r="N926" s="5" t="s">
        <v>38</v>
      </c>
      <c r="O926" s="6" t="s">
        <v>40</v>
      </c>
      <c r="P926" s="5" t="s">
        <v>41</v>
      </c>
      <c r="Q926" s="5"/>
      <c r="R926" s="6" t="s">
        <v>42</v>
      </c>
      <c r="S926" s="5" t="s">
        <v>266</v>
      </c>
      <c r="T926" s="5" t="s">
        <v>416</v>
      </c>
      <c r="U926" s="5" t="s">
        <v>44</v>
      </c>
      <c r="V926" s="5" t="s">
        <v>44</v>
      </c>
      <c r="W926" s="5" t="s">
        <v>36</v>
      </c>
      <c r="X926" s="5" t="s">
        <v>650</v>
      </c>
      <c r="Y926" s="5" t="s">
        <v>46</v>
      </c>
      <c r="Z926" s="5" t="s">
        <v>47</v>
      </c>
      <c r="AA926" s="5" t="s">
        <v>48</v>
      </c>
      <c r="AB926" s="5" t="s">
        <v>4497</v>
      </c>
      <c r="AC926" s="6" t="s">
        <v>71</v>
      </c>
      <c r="AD926" s="6">
        <v>2559.0</v>
      </c>
    </row>
    <row r="927" ht="56.25" customHeight="1">
      <c r="A927" s="5" t="s">
        <v>4472</v>
      </c>
      <c r="B927" s="6" t="str">
        <f>IMAGE("https://storage.googleapis.com/acdb/miscellaneous/FtrKame_Remake_4_0.png")</f>
        <v/>
      </c>
      <c r="C927" s="5" t="s">
        <v>95</v>
      </c>
      <c r="D927" s="5" t="s">
        <v>373</v>
      </c>
      <c r="E927" s="5" t="s">
        <v>34</v>
      </c>
      <c r="F927" s="5" t="s">
        <v>34</v>
      </c>
      <c r="G927" s="5" t="s">
        <v>35</v>
      </c>
      <c r="H927" s="5" t="s">
        <v>35</v>
      </c>
      <c r="I927" s="5" t="s">
        <v>36</v>
      </c>
      <c r="J927" s="6">
        <v>2.0</v>
      </c>
      <c r="K927" s="6" t="s">
        <v>37</v>
      </c>
      <c r="L927" s="6">
        <v>1000.0</v>
      </c>
      <c r="M927" s="5" t="s">
        <v>57</v>
      </c>
      <c r="N927" s="5" t="s">
        <v>68</v>
      </c>
      <c r="O927" s="6" t="s">
        <v>40</v>
      </c>
      <c r="P927" s="5" t="s">
        <v>41</v>
      </c>
      <c r="Q927" s="5"/>
      <c r="R927" s="6" t="s">
        <v>42</v>
      </c>
      <c r="S927" s="5" t="s">
        <v>266</v>
      </c>
      <c r="T927" s="5" t="s">
        <v>416</v>
      </c>
      <c r="U927" s="5" t="s">
        <v>44</v>
      </c>
      <c r="V927" s="5" t="s">
        <v>44</v>
      </c>
      <c r="W927" s="5" t="s">
        <v>36</v>
      </c>
      <c r="X927" s="5" t="s">
        <v>650</v>
      </c>
      <c r="Y927" s="5" t="s">
        <v>46</v>
      </c>
      <c r="Z927" s="5" t="s">
        <v>47</v>
      </c>
      <c r="AA927" s="5" t="s">
        <v>48</v>
      </c>
      <c r="AB927" s="5" t="s">
        <v>4502</v>
      </c>
      <c r="AC927" s="6" t="s">
        <v>75</v>
      </c>
      <c r="AD927" s="6">
        <v>2559.0</v>
      </c>
    </row>
    <row r="928" ht="56.25" customHeight="1">
      <c r="A928" s="5" t="s">
        <v>4503</v>
      </c>
      <c r="B928" s="6" t="str">
        <f>IMAGE("https://storage.googleapis.com/acdb/miscellaneous/FtrReelrecorder_Remake_0_0.png")</f>
        <v/>
      </c>
      <c r="C928" s="5" t="s">
        <v>95</v>
      </c>
      <c r="D928" s="5" t="s">
        <v>34</v>
      </c>
      <c r="E928" s="5" t="s">
        <v>34</v>
      </c>
      <c r="F928" s="5" t="s">
        <v>34</v>
      </c>
      <c r="G928" s="5" t="s">
        <v>36</v>
      </c>
      <c r="H928" s="5" t="s">
        <v>36</v>
      </c>
      <c r="I928" s="5" t="s">
        <v>36</v>
      </c>
      <c r="J928" s="6" t="s">
        <v>34</v>
      </c>
      <c r="K928" s="6">
        <v>5400.0</v>
      </c>
      <c r="L928" s="6">
        <v>1350.0</v>
      </c>
      <c r="M928" s="5" t="s">
        <v>54</v>
      </c>
      <c r="N928" s="5" t="s">
        <v>95</v>
      </c>
      <c r="O928" s="6" t="s">
        <v>40</v>
      </c>
      <c r="P928" s="5" t="s">
        <v>59</v>
      </c>
      <c r="Q928" s="5" t="s">
        <v>60</v>
      </c>
      <c r="R928" s="6" t="s">
        <v>42</v>
      </c>
      <c r="S928" s="5" t="s">
        <v>90</v>
      </c>
      <c r="T928" s="5" t="s">
        <v>141</v>
      </c>
      <c r="U928" s="5" t="s">
        <v>44</v>
      </c>
      <c r="V928" s="5" t="s">
        <v>44</v>
      </c>
      <c r="W928" s="5" t="s">
        <v>35</v>
      </c>
      <c r="X928" s="5" t="s">
        <v>746</v>
      </c>
      <c r="Y928" s="5" t="s">
        <v>164</v>
      </c>
      <c r="Z928" s="5" t="s">
        <v>47</v>
      </c>
      <c r="AA928" s="5" t="s">
        <v>64</v>
      </c>
      <c r="AB928" s="5" t="s">
        <v>4508</v>
      </c>
      <c r="AC928" s="6" t="s">
        <v>50</v>
      </c>
      <c r="AD928" s="6">
        <v>3822.0</v>
      </c>
    </row>
    <row r="929" ht="56.25" customHeight="1">
      <c r="A929" s="5" t="s">
        <v>4503</v>
      </c>
      <c r="B929" s="6" t="str">
        <f>IMAGE("https://storage.googleapis.com/acdb/miscellaneous/FtrReelrecorder_Remake_1_0.png")</f>
        <v/>
      </c>
      <c r="C929" s="5" t="s">
        <v>39</v>
      </c>
      <c r="D929" s="5" t="s">
        <v>34</v>
      </c>
      <c r="E929" s="5" t="s">
        <v>34</v>
      </c>
      <c r="F929" s="5" t="s">
        <v>34</v>
      </c>
      <c r="G929" s="5" t="s">
        <v>36</v>
      </c>
      <c r="H929" s="5" t="s">
        <v>36</v>
      </c>
      <c r="I929" s="5" t="s">
        <v>36</v>
      </c>
      <c r="J929" s="6" t="s">
        <v>34</v>
      </c>
      <c r="K929" s="6">
        <v>5400.0</v>
      </c>
      <c r="L929" s="6">
        <v>1350.0</v>
      </c>
      <c r="M929" s="5" t="s">
        <v>39</v>
      </c>
      <c r="N929" s="5" t="s">
        <v>52</v>
      </c>
      <c r="O929" s="6" t="s">
        <v>40</v>
      </c>
      <c r="P929" s="5" t="s">
        <v>59</v>
      </c>
      <c r="Q929" s="5" t="s">
        <v>60</v>
      </c>
      <c r="R929" s="6" t="s">
        <v>42</v>
      </c>
      <c r="S929" s="5" t="s">
        <v>90</v>
      </c>
      <c r="T929" s="5" t="s">
        <v>141</v>
      </c>
      <c r="U929" s="5" t="s">
        <v>44</v>
      </c>
      <c r="V929" s="5" t="s">
        <v>44</v>
      </c>
      <c r="W929" s="5" t="s">
        <v>35</v>
      </c>
      <c r="X929" s="5" t="s">
        <v>746</v>
      </c>
      <c r="Y929" s="5" t="s">
        <v>164</v>
      </c>
      <c r="Z929" s="5" t="s">
        <v>47</v>
      </c>
      <c r="AA929" s="5" t="s">
        <v>64</v>
      </c>
      <c r="AB929" s="5" t="s">
        <v>4514</v>
      </c>
      <c r="AC929" s="6" t="s">
        <v>56</v>
      </c>
      <c r="AD929" s="6">
        <v>3822.0</v>
      </c>
    </row>
    <row r="930" ht="56.25" customHeight="1">
      <c r="A930" s="5" t="s">
        <v>4503</v>
      </c>
      <c r="B930" s="6" t="str">
        <f>IMAGE("https://storage.googleapis.com/acdb/miscellaneous/FtrReelrecorder_Remake_2_0.png")</f>
        <v/>
      </c>
      <c r="C930" s="5" t="s">
        <v>54</v>
      </c>
      <c r="D930" s="5" t="s">
        <v>34</v>
      </c>
      <c r="E930" s="5" t="s">
        <v>34</v>
      </c>
      <c r="F930" s="5" t="s">
        <v>34</v>
      </c>
      <c r="G930" s="5" t="s">
        <v>36</v>
      </c>
      <c r="H930" s="5" t="s">
        <v>36</v>
      </c>
      <c r="I930" s="5" t="s">
        <v>36</v>
      </c>
      <c r="J930" s="6" t="s">
        <v>34</v>
      </c>
      <c r="K930" s="6">
        <v>5400.0</v>
      </c>
      <c r="L930" s="6">
        <v>1350.0</v>
      </c>
      <c r="M930" s="5" t="s">
        <v>54</v>
      </c>
      <c r="N930" s="5" t="s">
        <v>68</v>
      </c>
      <c r="O930" s="6" t="s">
        <v>40</v>
      </c>
      <c r="P930" s="5" t="s">
        <v>59</v>
      </c>
      <c r="Q930" s="5" t="s">
        <v>60</v>
      </c>
      <c r="R930" s="6" t="s">
        <v>42</v>
      </c>
      <c r="S930" s="5" t="s">
        <v>90</v>
      </c>
      <c r="T930" s="5" t="s">
        <v>141</v>
      </c>
      <c r="U930" s="5" t="s">
        <v>44</v>
      </c>
      <c r="V930" s="5" t="s">
        <v>44</v>
      </c>
      <c r="W930" s="5" t="s">
        <v>35</v>
      </c>
      <c r="X930" s="5" t="s">
        <v>746</v>
      </c>
      <c r="Y930" s="5" t="s">
        <v>164</v>
      </c>
      <c r="Z930" s="5" t="s">
        <v>47</v>
      </c>
      <c r="AA930" s="5" t="s">
        <v>64</v>
      </c>
      <c r="AB930" s="5" t="s">
        <v>4519</v>
      </c>
      <c r="AC930" s="6" t="s">
        <v>67</v>
      </c>
      <c r="AD930" s="6">
        <v>3822.0</v>
      </c>
    </row>
    <row r="931" ht="56.25" customHeight="1">
      <c r="A931" s="5" t="s">
        <v>4520</v>
      </c>
      <c r="B931" s="6" t="str">
        <f>IMAGE("https://storage.googleapis.com/acdb/miscellaneous/FtrProtein_Remake_0_0.png")</f>
        <v/>
      </c>
      <c r="C931" s="5" t="s">
        <v>811</v>
      </c>
      <c r="D931" s="5" t="s">
        <v>34</v>
      </c>
      <c r="E931" s="5" t="s">
        <v>34</v>
      </c>
      <c r="F931" s="5" t="s">
        <v>34</v>
      </c>
      <c r="G931" s="5" t="s">
        <v>36</v>
      </c>
      <c r="H931" s="5" t="s">
        <v>36</v>
      </c>
      <c r="I931" s="5" t="s">
        <v>36</v>
      </c>
      <c r="J931" s="6" t="s">
        <v>34</v>
      </c>
      <c r="K931" s="6">
        <v>1400.0</v>
      </c>
      <c r="L931" s="6">
        <v>350.0</v>
      </c>
      <c r="M931" s="5" t="s">
        <v>52</v>
      </c>
      <c r="N931" s="5" t="s">
        <v>68</v>
      </c>
      <c r="O931" s="6" t="s">
        <v>40</v>
      </c>
      <c r="P931" s="5" t="s">
        <v>59</v>
      </c>
      <c r="Q931" s="5" t="s">
        <v>60</v>
      </c>
      <c r="R931" s="6" t="s">
        <v>42</v>
      </c>
      <c r="S931" s="5" t="s">
        <v>159</v>
      </c>
      <c r="T931" s="5" t="s">
        <v>474</v>
      </c>
      <c r="U931" s="5" t="s">
        <v>44</v>
      </c>
      <c r="V931" s="5" t="s">
        <v>44</v>
      </c>
      <c r="W931" s="5" t="s">
        <v>36</v>
      </c>
      <c r="X931" s="5" t="s">
        <v>475</v>
      </c>
      <c r="Y931" s="5" t="s">
        <v>46</v>
      </c>
      <c r="Z931" s="5" t="s">
        <v>47</v>
      </c>
      <c r="AA931" s="5" t="s">
        <v>64</v>
      </c>
      <c r="AB931" s="5" t="s">
        <v>4527</v>
      </c>
      <c r="AC931" s="6" t="s">
        <v>50</v>
      </c>
      <c r="AD931" s="6">
        <v>7800.0</v>
      </c>
    </row>
    <row r="932" ht="56.25" customHeight="1">
      <c r="A932" s="5" t="s">
        <v>4520</v>
      </c>
      <c r="B932" s="6" t="str">
        <f>IMAGE("https://storage.googleapis.com/acdb/miscellaneous/FtrProtein_Remake_1_0.png")</f>
        <v/>
      </c>
      <c r="C932" s="5" t="s">
        <v>4529</v>
      </c>
      <c r="D932" s="5" t="s">
        <v>34</v>
      </c>
      <c r="E932" s="5" t="s">
        <v>34</v>
      </c>
      <c r="F932" s="5" t="s">
        <v>34</v>
      </c>
      <c r="G932" s="5" t="s">
        <v>36</v>
      </c>
      <c r="H932" s="5" t="s">
        <v>36</v>
      </c>
      <c r="I932" s="5" t="s">
        <v>36</v>
      </c>
      <c r="J932" s="6" t="s">
        <v>34</v>
      </c>
      <c r="K932" s="6">
        <v>1400.0</v>
      </c>
      <c r="L932" s="6">
        <v>350.0</v>
      </c>
      <c r="M932" s="5" t="s">
        <v>68</v>
      </c>
      <c r="N932" s="5" t="s">
        <v>54</v>
      </c>
      <c r="O932" s="6" t="s">
        <v>40</v>
      </c>
      <c r="P932" s="5" t="s">
        <v>59</v>
      </c>
      <c r="Q932" s="5" t="s">
        <v>60</v>
      </c>
      <c r="R932" s="6" t="s">
        <v>42</v>
      </c>
      <c r="S932" s="5" t="s">
        <v>159</v>
      </c>
      <c r="T932" s="5" t="s">
        <v>474</v>
      </c>
      <c r="U932" s="5" t="s">
        <v>44</v>
      </c>
      <c r="V932" s="5" t="s">
        <v>44</v>
      </c>
      <c r="W932" s="5" t="s">
        <v>36</v>
      </c>
      <c r="X932" s="5" t="s">
        <v>475</v>
      </c>
      <c r="Y932" s="5" t="s">
        <v>46</v>
      </c>
      <c r="Z932" s="5" t="s">
        <v>47</v>
      </c>
      <c r="AA932" s="5" t="s">
        <v>64</v>
      </c>
      <c r="AB932" s="5" t="s">
        <v>4536</v>
      </c>
      <c r="AC932" s="6" t="s">
        <v>56</v>
      </c>
      <c r="AD932" s="6">
        <v>7800.0</v>
      </c>
    </row>
    <row r="933" ht="56.25" customHeight="1">
      <c r="A933" s="5" t="s">
        <v>4520</v>
      </c>
      <c r="B933" s="6" t="str">
        <f>IMAGE("https://storage.googleapis.com/acdb/miscellaneous/FtrProtein_Remake_2_0.png")</f>
        <v/>
      </c>
      <c r="C933" s="5" t="s">
        <v>4538</v>
      </c>
      <c r="D933" s="5" t="s">
        <v>34</v>
      </c>
      <c r="E933" s="5" t="s">
        <v>34</v>
      </c>
      <c r="F933" s="5" t="s">
        <v>34</v>
      </c>
      <c r="G933" s="5" t="s">
        <v>36</v>
      </c>
      <c r="H933" s="5" t="s">
        <v>36</v>
      </c>
      <c r="I933" s="5" t="s">
        <v>36</v>
      </c>
      <c r="J933" s="6" t="s">
        <v>34</v>
      </c>
      <c r="K933" s="6">
        <v>1400.0</v>
      </c>
      <c r="L933" s="6">
        <v>350.0</v>
      </c>
      <c r="M933" s="5" t="s">
        <v>96</v>
      </c>
      <c r="N933" s="5" t="s">
        <v>96</v>
      </c>
      <c r="O933" s="6" t="s">
        <v>40</v>
      </c>
      <c r="P933" s="5" t="s">
        <v>59</v>
      </c>
      <c r="Q933" s="5" t="s">
        <v>60</v>
      </c>
      <c r="R933" s="6" t="s">
        <v>42</v>
      </c>
      <c r="S933" s="5" t="s">
        <v>159</v>
      </c>
      <c r="T933" s="5" t="s">
        <v>474</v>
      </c>
      <c r="U933" s="5" t="s">
        <v>44</v>
      </c>
      <c r="V933" s="5" t="s">
        <v>44</v>
      </c>
      <c r="W933" s="5" t="s">
        <v>36</v>
      </c>
      <c r="X933" s="5" t="s">
        <v>475</v>
      </c>
      <c r="Y933" s="5" t="s">
        <v>46</v>
      </c>
      <c r="Z933" s="5" t="s">
        <v>47</v>
      </c>
      <c r="AA933" s="5" t="s">
        <v>64</v>
      </c>
      <c r="AB933" s="5" t="s">
        <v>4544</v>
      </c>
      <c r="AC933" s="6" t="s">
        <v>67</v>
      </c>
      <c r="AD933" s="6">
        <v>7800.0</v>
      </c>
    </row>
    <row r="934" ht="56.25" customHeight="1">
      <c r="A934" s="5" t="s">
        <v>4520</v>
      </c>
      <c r="B934" s="6" t="str">
        <f>IMAGE("https://storage.googleapis.com/acdb/miscellaneous/FtrProtein_Remake_3_0.png")</f>
        <v/>
      </c>
      <c r="C934" s="5" t="s">
        <v>4545</v>
      </c>
      <c r="D934" s="5" t="s">
        <v>34</v>
      </c>
      <c r="E934" s="5" t="s">
        <v>34</v>
      </c>
      <c r="F934" s="5" t="s">
        <v>34</v>
      </c>
      <c r="G934" s="5" t="s">
        <v>36</v>
      </c>
      <c r="H934" s="5" t="s">
        <v>36</v>
      </c>
      <c r="I934" s="5" t="s">
        <v>36</v>
      </c>
      <c r="J934" s="6" t="s">
        <v>34</v>
      </c>
      <c r="K934" s="6">
        <v>1400.0</v>
      </c>
      <c r="L934" s="6">
        <v>350.0</v>
      </c>
      <c r="M934" s="5" t="s">
        <v>69</v>
      </c>
      <c r="N934" s="5" t="s">
        <v>69</v>
      </c>
      <c r="O934" s="6" t="s">
        <v>40</v>
      </c>
      <c r="P934" s="5" t="s">
        <v>59</v>
      </c>
      <c r="Q934" s="5" t="s">
        <v>60</v>
      </c>
      <c r="R934" s="6" t="s">
        <v>42</v>
      </c>
      <c r="S934" s="5" t="s">
        <v>159</v>
      </c>
      <c r="T934" s="5" t="s">
        <v>474</v>
      </c>
      <c r="U934" s="5" t="s">
        <v>44</v>
      </c>
      <c r="V934" s="5" t="s">
        <v>44</v>
      </c>
      <c r="W934" s="5" t="s">
        <v>36</v>
      </c>
      <c r="X934" s="5" t="s">
        <v>475</v>
      </c>
      <c r="Y934" s="5" t="s">
        <v>46</v>
      </c>
      <c r="Z934" s="5" t="s">
        <v>47</v>
      </c>
      <c r="AA934" s="5" t="s">
        <v>64</v>
      </c>
      <c r="AB934" s="5" t="s">
        <v>4549</v>
      </c>
      <c r="AC934" s="6" t="s">
        <v>71</v>
      </c>
      <c r="AD934" s="6">
        <v>7800.0</v>
      </c>
    </row>
    <row r="935" ht="56.25" customHeight="1">
      <c r="A935" s="5" t="s">
        <v>4550</v>
      </c>
      <c r="B935" s="16" t="str">
        <f>IMAGE("https://storage.googleapis.com/acdb/miscellaneous/FtrFishHarisenbonToy.png")</f>
        <v/>
      </c>
      <c r="C935" s="5" t="s">
        <v>34</v>
      </c>
      <c r="D935" s="5" t="s">
        <v>34</v>
      </c>
      <c r="E935" s="5" t="s">
        <v>34</v>
      </c>
      <c r="F935" s="5" t="s">
        <v>34</v>
      </c>
      <c r="G935" s="5" t="s">
        <v>36</v>
      </c>
      <c r="H935" s="5" t="s">
        <v>36</v>
      </c>
      <c r="I935" s="5" t="s">
        <v>36</v>
      </c>
      <c r="J935" s="6" t="s">
        <v>34</v>
      </c>
      <c r="K935" s="6" t="s">
        <v>37</v>
      </c>
      <c r="L935" s="6">
        <v>750.0</v>
      </c>
      <c r="M935" s="5" t="s">
        <v>38</v>
      </c>
      <c r="N935" s="5" t="s">
        <v>54</v>
      </c>
      <c r="O935" s="6" t="s">
        <v>40</v>
      </c>
      <c r="P935" s="5" t="s">
        <v>213</v>
      </c>
      <c r="Q935" s="5" t="s">
        <v>215</v>
      </c>
      <c r="R935" s="6" t="s">
        <v>42</v>
      </c>
      <c r="S935" s="5" t="s">
        <v>44</v>
      </c>
      <c r="T935" s="5" t="s">
        <v>44</v>
      </c>
      <c r="U935" s="5" t="s">
        <v>44</v>
      </c>
      <c r="V935" s="5" t="s">
        <v>44</v>
      </c>
      <c r="W935" s="5" t="s">
        <v>36</v>
      </c>
      <c r="X935" s="5" t="s">
        <v>219</v>
      </c>
      <c r="Y935" s="5" t="s">
        <v>46</v>
      </c>
      <c r="Z935" s="5" t="s">
        <v>47</v>
      </c>
      <c r="AA935" s="5" t="s">
        <v>48</v>
      </c>
      <c r="AB935" s="5" t="s">
        <v>4556</v>
      </c>
      <c r="AC935" s="6" t="s">
        <v>34</v>
      </c>
      <c r="AD935" s="6">
        <v>6956.0</v>
      </c>
    </row>
    <row r="936" ht="56.25" customHeight="1">
      <c r="A936" s="5" t="s">
        <v>4557</v>
      </c>
      <c r="B936" s="6" t="str">
        <f>IMAGE("https://storage.googleapis.com/acdb/miscellaneous/FtrInsectAkaeritoribaneagehaToy.png")</f>
        <v/>
      </c>
      <c r="C936" s="5" t="s">
        <v>34</v>
      </c>
      <c r="D936" s="5" t="s">
        <v>34</v>
      </c>
      <c r="E936" s="5" t="s">
        <v>34</v>
      </c>
      <c r="F936" s="5" t="s">
        <v>34</v>
      </c>
      <c r="G936" s="5" t="s">
        <v>36</v>
      </c>
      <c r="H936" s="5" t="s">
        <v>36</v>
      </c>
      <c r="I936" s="5" t="s">
        <v>36</v>
      </c>
      <c r="J936" s="6" t="s">
        <v>34</v>
      </c>
      <c r="K936" s="6" t="s">
        <v>37</v>
      </c>
      <c r="L936" s="6">
        <v>7500.0</v>
      </c>
      <c r="M936" s="5" t="s">
        <v>54</v>
      </c>
      <c r="N936" s="5" t="s">
        <v>96</v>
      </c>
      <c r="O936" s="6" t="s">
        <v>40</v>
      </c>
      <c r="P936" s="5" t="s">
        <v>107</v>
      </c>
      <c r="Q936" s="5" t="s">
        <v>108</v>
      </c>
      <c r="R936" s="6" t="s">
        <v>42</v>
      </c>
      <c r="S936" s="5" t="s">
        <v>44</v>
      </c>
      <c r="T936" s="5" t="s">
        <v>44</v>
      </c>
      <c r="U936" s="5" t="s">
        <v>44</v>
      </c>
      <c r="V936" s="5" t="s">
        <v>44</v>
      </c>
      <c r="W936" s="5" t="s">
        <v>36</v>
      </c>
      <c r="X936" s="5" t="s">
        <v>109</v>
      </c>
      <c r="Y936" s="5" t="s">
        <v>46</v>
      </c>
      <c r="Z936" s="5" t="s">
        <v>47</v>
      </c>
      <c r="AA936" s="5" t="s">
        <v>48</v>
      </c>
      <c r="AB936" s="5" t="s">
        <v>4561</v>
      </c>
      <c r="AC936" s="6" t="s">
        <v>34</v>
      </c>
      <c r="AD936" s="6">
        <v>7049.0</v>
      </c>
    </row>
    <row r="937" ht="56.25" customHeight="1">
      <c r="A937" s="5" t="s">
        <v>4562</v>
      </c>
      <c r="B937" s="16" t="str">
        <f>IMAGE("https://storage.googleapis.com/acdb/miscellaneous/FtrInsectNijiirokuwagataToy.png")</f>
        <v/>
      </c>
      <c r="C937" s="5" t="s">
        <v>34</v>
      </c>
      <c r="D937" s="5" t="s">
        <v>34</v>
      </c>
      <c r="E937" s="5" t="s">
        <v>34</v>
      </c>
      <c r="F937" s="5" t="s">
        <v>34</v>
      </c>
      <c r="G937" s="5" t="s">
        <v>36</v>
      </c>
      <c r="H937" s="5" t="s">
        <v>36</v>
      </c>
      <c r="I937" s="5" t="s">
        <v>36</v>
      </c>
      <c r="J937" s="6" t="s">
        <v>34</v>
      </c>
      <c r="K937" s="6" t="s">
        <v>37</v>
      </c>
      <c r="L937" s="6">
        <v>18000.0</v>
      </c>
      <c r="M937" s="5" t="s">
        <v>39</v>
      </c>
      <c r="N937" s="5" t="s">
        <v>58</v>
      </c>
      <c r="O937" s="6" t="s">
        <v>40</v>
      </c>
      <c r="P937" s="5" t="s">
        <v>107</v>
      </c>
      <c r="Q937" s="5" t="s">
        <v>108</v>
      </c>
      <c r="R937" s="6" t="s">
        <v>42</v>
      </c>
      <c r="S937" s="5" t="s">
        <v>44</v>
      </c>
      <c r="T937" s="5" t="s">
        <v>44</v>
      </c>
      <c r="U937" s="5" t="s">
        <v>44</v>
      </c>
      <c r="V937" s="5" t="s">
        <v>44</v>
      </c>
      <c r="W937" s="5" t="s">
        <v>36</v>
      </c>
      <c r="X937" s="5" t="s">
        <v>109</v>
      </c>
      <c r="Y937" s="5" t="s">
        <v>46</v>
      </c>
      <c r="Z937" s="5" t="s">
        <v>47</v>
      </c>
      <c r="AA937" s="5" t="s">
        <v>48</v>
      </c>
      <c r="AB937" s="5" t="s">
        <v>4565</v>
      </c>
      <c r="AC937" s="6" t="s">
        <v>34</v>
      </c>
      <c r="AD937" s="6">
        <v>7088.0</v>
      </c>
    </row>
    <row r="938" ht="56.25" customHeight="1">
      <c r="A938" s="5" t="s">
        <v>4567</v>
      </c>
      <c r="B938" s="16" t="str">
        <f>IMAGE("https://storage.googleapis.com/acdb/miscellaneous/FtrFishRainbowfishToy.png")</f>
        <v/>
      </c>
      <c r="C938" s="5" t="s">
        <v>34</v>
      </c>
      <c r="D938" s="5" t="s">
        <v>34</v>
      </c>
      <c r="E938" s="5" t="s">
        <v>34</v>
      </c>
      <c r="F938" s="5" t="s">
        <v>34</v>
      </c>
      <c r="G938" s="5" t="s">
        <v>36</v>
      </c>
      <c r="H938" s="5" t="s">
        <v>36</v>
      </c>
      <c r="I938" s="5" t="s">
        <v>36</v>
      </c>
      <c r="J938" s="6" t="s">
        <v>34</v>
      </c>
      <c r="K938" s="6" t="s">
        <v>37</v>
      </c>
      <c r="L938" s="6">
        <v>2400.0</v>
      </c>
      <c r="M938" s="5" t="s">
        <v>142</v>
      </c>
      <c r="N938" s="5" t="s">
        <v>54</v>
      </c>
      <c r="O938" s="6" t="s">
        <v>40</v>
      </c>
      <c r="P938" s="5" t="s">
        <v>213</v>
      </c>
      <c r="Q938" s="5" t="s">
        <v>215</v>
      </c>
      <c r="R938" s="6" t="s">
        <v>42</v>
      </c>
      <c r="S938" s="5" t="s">
        <v>44</v>
      </c>
      <c r="T938" s="5" t="s">
        <v>44</v>
      </c>
      <c r="U938" s="5" t="s">
        <v>44</v>
      </c>
      <c r="V938" s="5" t="s">
        <v>44</v>
      </c>
      <c r="W938" s="5" t="s">
        <v>36</v>
      </c>
      <c r="X938" s="5" t="s">
        <v>219</v>
      </c>
      <c r="Y938" s="5" t="s">
        <v>46</v>
      </c>
      <c r="Z938" s="5" t="s">
        <v>47</v>
      </c>
      <c r="AA938" s="5" t="s">
        <v>48</v>
      </c>
      <c r="AB938" s="5" t="s">
        <v>4571</v>
      </c>
      <c r="AC938" s="6" t="s">
        <v>34</v>
      </c>
      <c r="AD938" s="6">
        <v>7008.0</v>
      </c>
    </row>
    <row r="939" ht="56.25" customHeight="1">
      <c r="A939" s="5" t="s">
        <v>4574</v>
      </c>
      <c r="B939" s="16" t="str">
        <f>IMAGE("https://storage.googleapis.com/acdb/miscellaneous/FtrFishRanchuToy.png")</f>
        <v/>
      </c>
      <c r="C939" s="5" t="s">
        <v>34</v>
      </c>
      <c r="D939" s="5" t="s">
        <v>34</v>
      </c>
      <c r="E939" s="5" t="s">
        <v>34</v>
      </c>
      <c r="F939" s="5" t="s">
        <v>34</v>
      </c>
      <c r="G939" s="5" t="s">
        <v>36</v>
      </c>
      <c r="H939" s="5" t="s">
        <v>36</v>
      </c>
      <c r="I939" s="5" t="s">
        <v>36</v>
      </c>
      <c r="J939" s="6" t="s">
        <v>34</v>
      </c>
      <c r="K939" s="6" t="s">
        <v>37</v>
      </c>
      <c r="L939" s="6">
        <v>13500.0</v>
      </c>
      <c r="M939" s="5" t="s">
        <v>52</v>
      </c>
      <c r="N939" s="5" t="s">
        <v>54</v>
      </c>
      <c r="O939" s="6" t="s">
        <v>40</v>
      </c>
      <c r="P939" s="5" t="s">
        <v>213</v>
      </c>
      <c r="Q939" s="5" t="s">
        <v>215</v>
      </c>
      <c r="R939" s="6" t="s">
        <v>42</v>
      </c>
      <c r="S939" s="5" t="s">
        <v>44</v>
      </c>
      <c r="T939" s="5" t="s">
        <v>44</v>
      </c>
      <c r="U939" s="5" t="s">
        <v>44</v>
      </c>
      <c r="V939" s="5" t="s">
        <v>44</v>
      </c>
      <c r="W939" s="5" t="s">
        <v>36</v>
      </c>
      <c r="X939" s="5" t="s">
        <v>219</v>
      </c>
      <c r="Y939" s="5" t="s">
        <v>46</v>
      </c>
      <c r="Z939" s="5" t="s">
        <v>47</v>
      </c>
      <c r="AA939" s="5" t="s">
        <v>48</v>
      </c>
      <c r="AB939" s="5" t="s">
        <v>4579</v>
      </c>
      <c r="AC939" s="6" t="s">
        <v>34</v>
      </c>
      <c r="AD939" s="6">
        <v>7009.0</v>
      </c>
    </row>
    <row r="940" ht="56.25" customHeight="1">
      <c r="A940" s="5" t="s">
        <v>4581</v>
      </c>
      <c r="B940" s="6" t="str">
        <f>IMAGE("https://storage.googleapis.com/acdb/miscellaneous/FtrRattanLamp_Remake_0_0.png")</f>
        <v/>
      </c>
      <c r="C940" s="5" t="s">
        <v>39</v>
      </c>
      <c r="D940" s="5" t="s">
        <v>34</v>
      </c>
      <c r="E940" s="5" t="s">
        <v>34</v>
      </c>
      <c r="F940" s="5" t="s">
        <v>34</v>
      </c>
      <c r="G940" s="5" t="s">
        <v>36</v>
      </c>
      <c r="H940" s="5" t="s">
        <v>36</v>
      </c>
      <c r="I940" s="5" t="s">
        <v>36</v>
      </c>
      <c r="J940" s="6" t="s">
        <v>34</v>
      </c>
      <c r="K940" s="6">
        <v>1500.0</v>
      </c>
      <c r="L940" s="6">
        <v>375.0</v>
      </c>
      <c r="M940" s="5" t="s">
        <v>39</v>
      </c>
      <c r="N940" s="5" t="s">
        <v>39</v>
      </c>
      <c r="O940" s="6" t="s">
        <v>40</v>
      </c>
      <c r="P940" s="5" t="s">
        <v>59</v>
      </c>
      <c r="Q940" s="5" t="s">
        <v>122</v>
      </c>
      <c r="R940" s="6" t="s">
        <v>42</v>
      </c>
      <c r="S940" s="5" t="s">
        <v>90</v>
      </c>
      <c r="T940" s="5" t="s">
        <v>44</v>
      </c>
      <c r="U940" s="5" t="s">
        <v>4533</v>
      </c>
      <c r="V940" s="5" t="s">
        <v>44</v>
      </c>
      <c r="W940" s="5" t="s">
        <v>35</v>
      </c>
      <c r="X940" s="5" t="s">
        <v>467</v>
      </c>
      <c r="Y940" s="5" t="s">
        <v>46</v>
      </c>
      <c r="Z940" s="5" t="s">
        <v>502</v>
      </c>
      <c r="AA940" s="5" t="s">
        <v>64</v>
      </c>
      <c r="AB940" s="5" t="s">
        <v>4585</v>
      </c>
      <c r="AC940" s="6" t="s">
        <v>50</v>
      </c>
      <c r="AD940" s="6">
        <v>4050.0</v>
      </c>
    </row>
    <row r="941" ht="56.25" customHeight="1">
      <c r="A941" s="5" t="s">
        <v>4581</v>
      </c>
      <c r="B941" s="6" t="str">
        <f>IMAGE("https://storage.googleapis.com/acdb/miscellaneous/FtrRattanLamp_Remake_1_0.png")</f>
        <v/>
      </c>
      <c r="C941" s="5" t="s">
        <v>4586</v>
      </c>
      <c r="D941" s="5" t="s">
        <v>34</v>
      </c>
      <c r="E941" s="5" t="s">
        <v>34</v>
      </c>
      <c r="F941" s="5" t="s">
        <v>34</v>
      </c>
      <c r="G941" s="5" t="s">
        <v>36</v>
      </c>
      <c r="H941" s="5" t="s">
        <v>36</v>
      </c>
      <c r="I941" s="5" t="s">
        <v>36</v>
      </c>
      <c r="J941" s="6" t="s">
        <v>34</v>
      </c>
      <c r="K941" s="6">
        <v>1500.0</v>
      </c>
      <c r="L941" s="6">
        <v>375.0</v>
      </c>
      <c r="M941" s="5" t="s">
        <v>142</v>
      </c>
      <c r="N941" s="5" t="s">
        <v>39</v>
      </c>
      <c r="O941" s="6" t="s">
        <v>40</v>
      </c>
      <c r="P941" s="5" t="s">
        <v>59</v>
      </c>
      <c r="Q941" s="5" t="s">
        <v>122</v>
      </c>
      <c r="R941" s="6" t="s">
        <v>42</v>
      </c>
      <c r="S941" s="5" t="s">
        <v>90</v>
      </c>
      <c r="T941" s="5" t="s">
        <v>44</v>
      </c>
      <c r="U941" s="5" t="s">
        <v>4533</v>
      </c>
      <c r="V941" s="5" t="s">
        <v>44</v>
      </c>
      <c r="W941" s="5" t="s">
        <v>35</v>
      </c>
      <c r="X941" s="5" t="s">
        <v>467</v>
      </c>
      <c r="Y941" s="5" t="s">
        <v>46</v>
      </c>
      <c r="Z941" s="5" t="s">
        <v>502</v>
      </c>
      <c r="AA941" s="5" t="s">
        <v>64</v>
      </c>
      <c r="AB941" s="5" t="s">
        <v>4590</v>
      </c>
      <c r="AC941" s="6" t="s">
        <v>56</v>
      </c>
      <c r="AD941" s="6">
        <v>4050.0</v>
      </c>
    </row>
    <row r="942" ht="56.25" customHeight="1">
      <c r="A942" s="5" t="s">
        <v>4581</v>
      </c>
      <c r="B942" s="6" t="str">
        <f>IMAGE("https://storage.googleapis.com/acdb/miscellaneous/FtrRattanLamp_Remake_2_0.png")</f>
        <v/>
      </c>
      <c r="C942" s="5" t="s">
        <v>935</v>
      </c>
      <c r="D942" s="5" t="s">
        <v>34</v>
      </c>
      <c r="E942" s="5" t="s">
        <v>34</v>
      </c>
      <c r="F942" s="5" t="s">
        <v>34</v>
      </c>
      <c r="G942" s="5" t="s">
        <v>36</v>
      </c>
      <c r="H942" s="5" t="s">
        <v>36</v>
      </c>
      <c r="I942" s="5" t="s">
        <v>36</v>
      </c>
      <c r="J942" s="6" t="s">
        <v>34</v>
      </c>
      <c r="K942" s="6">
        <v>1500.0</v>
      </c>
      <c r="L942" s="6">
        <v>375.0</v>
      </c>
      <c r="M942" s="5" t="s">
        <v>114</v>
      </c>
      <c r="N942" s="5" t="s">
        <v>39</v>
      </c>
      <c r="O942" s="6" t="s">
        <v>40</v>
      </c>
      <c r="P942" s="5" t="s">
        <v>59</v>
      </c>
      <c r="Q942" s="5" t="s">
        <v>122</v>
      </c>
      <c r="R942" s="6" t="s">
        <v>42</v>
      </c>
      <c r="S942" s="5" t="s">
        <v>90</v>
      </c>
      <c r="T942" s="5" t="s">
        <v>44</v>
      </c>
      <c r="U942" s="5" t="s">
        <v>4533</v>
      </c>
      <c r="V942" s="5" t="s">
        <v>44</v>
      </c>
      <c r="W942" s="5" t="s">
        <v>35</v>
      </c>
      <c r="X942" s="5" t="s">
        <v>467</v>
      </c>
      <c r="Y942" s="5" t="s">
        <v>46</v>
      </c>
      <c r="Z942" s="5" t="s">
        <v>502</v>
      </c>
      <c r="AA942" s="5" t="s">
        <v>64</v>
      </c>
      <c r="AB942" s="5" t="s">
        <v>4595</v>
      </c>
      <c r="AC942" s="6" t="s">
        <v>67</v>
      </c>
      <c r="AD942" s="6">
        <v>4050.0</v>
      </c>
    </row>
    <row r="943" ht="56.25" customHeight="1">
      <c r="A943" s="5" t="s">
        <v>4581</v>
      </c>
      <c r="B943" s="6" t="str">
        <f>IMAGE("https://storage.googleapis.com/acdb/miscellaneous/FtrRattanLamp_Remake_3_0.png")</f>
        <v/>
      </c>
      <c r="C943" s="5" t="s">
        <v>57</v>
      </c>
      <c r="D943" s="5" t="s">
        <v>34</v>
      </c>
      <c r="E943" s="5" t="s">
        <v>34</v>
      </c>
      <c r="F943" s="5" t="s">
        <v>34</v>
      </c>
      <c r="G943" s="5" t="s">
        <v>36</v>
      </c>
      <c r="H943" s="5" t="s">
        <v>36</v>
      </c>
      <c r="I943" s="5" t="s">
        <v>36</v>
      </c>
      <c r="J943" s="6" t="s">
        <v>34</v>
      </c>
      <c r="K943" s="6">
        <v>1500.0</v>
      </c>
      <c r="L943" s="6">
        <v>375.0</v>
      </c>
      <c r="M943" s="5" t="s">
        <v>57</v>
      </c>
      <c r="N943" s="5" t="s">
        <v>57</v>
      </c>
      <c r="O943" s="6" t="s">
        <v>40</v>
      </c>
      <c r="P943" s="5" t="s">
        <v>59</v>
      </c>
      <c r="Q943" s="5" t="s">
        <v>122</v>
      </c>
      <c r="R943" s="6" t="s">
        <v>42</v>
      </c>
      <c r="S943" s="5" t="s">
        <v>90</v>
      </c>
      <c r="T943" s="5" t="s">
        <v>44</v>
      </c>
      <c r="U943" s="5" t="s">
        <v>4533</v>
      </c>
      <c r="V943" s="5" t="s">
        <v>44</v>
      </c>
      <c r="W943" s="5" t="s">
        <v>35</v>
      </c>
      <c r="X943" s="5" t="s">
        <v>467</v>
      </c>
      <c r="Y943" s="5" t="s">
        <v>46</v>
      </c>
      <c r="Z943" s="5" t="s">
        <v>502</v>
      </c>
      <c r="AA943" s="5" t="s">
        <v>64</v>
      </c>
      <c r="AB943" s="5" t="s">
        <v>4600</v>
      </c>
      <c r="AC943" s="6" t="s">
        <v>71</v>
      </c>
      <c r="AD943" s="6">
        <v>4050.0</v>
      </c>
    </row>
    <row r="944" ht="56.25" customHeight="1">
      <c r="A944" s="5" t="s">
        <v>4581</v>
      </c>
      <c r="B944" s="6" t="str">
        <f>IMAGE("https://storage.googleapis.com/acdb/miscellaneous/FtrRattanLamp_Remake_4_0.png")</f>
        <v/>
      </c>
      <c r="C944" s="5" t="s">
        <v>95</v>
      </c>
      <c r="D944" s="5" t="s">
        <v>34</v>
      </c>
      <c r="E944" s="5" t="s">
        <v>34</v>
      </c>
      <c r="F944" s="5" t="s">
        <v>34</v>
      </c>
      <c r="G944" s="5" t="s">
        <v>36</v>
      </c>
      <c r="H944" s="5" t="s">
        <v>36</v>
      </c>
      <c r="I944" s="5" t="s">
        <v>36</v>
      </c>
      <c r="J944" s="6" t="s">
        <v>34</v>
      </c>
      <c r="K944" s="6">
        <v>1500.0</v>
      </c>
      <c r="L944" s="6">
        <v>375.0</v>
      </c>
      <c r="M944" s="5" t="s">
        <v>68</v>
      </c>
      <c r="N944" s="5" t="s">
        <v>54</v>
      </c>
      <c r="O944" s="6" t="s">
        <v>40</v>
      </c>
      <c r="P944" s="5" t="s">
        <v>59</v>
      </c>
      <c r="Q944" s="5" t="s">
        <v>122</v>
      </c>
      <c r="R944" s="6" t="s">
        <v>42</v>
      </c>
      <c r="S944" s="5" t="s">
        <v>90</v>
      </c>
      <c r="T944" s="5" t="s">
        <v>44</v>
      </c>
      <c r="U944" s="5" t="s">
        <v>4533</v>
      </c>
      <c r="V944" s="5" t="s">
        <v>44</v>
      </c>
      <c r="W944" s="5" t="s">
        <v>35</v>
      </c>
      <c r="X944" s="5" t="s">
        <v>467</v>
      </c>
      <c r="Y944" s="5" t="s">
        <v>46</v>
      </c>
      <c r="Z944" s="5" t="s">
        <v>502</v>
      </c>
      <c r="AA944" s="5" t="s">
        <v>64</v>
      </c>
      <c r="AB944" s="5" t="s">
        <v>4607</v>
      </c>
      <c r="AC944" s="6" t="s">
        <v>75</v>
      </c>
      <c r="AD944" s="6">
        <v>4050.0</v>
      </c>
    </row>
    <row r="945" ht="56.25" customHeight="1">
      <c r="A945" s="5" t="s">
        <v>4581</v>
      </c>
      <c r="B945" s="6" t="str">
        <f>IMAGE("https://storage.googleapis.com/acdb/miscellaneous/FtrRattanLamp_Remake_5_0.png")</f>
        <v/>
      </c>
      <c r="C945" s="5" t="s">
        <v>54</v>
      </c>
      <c r="D945" s="5" t="s">
        <v>34</v>
      </c>
      <c r="E945" s="5" t="s">
        <v>34</v>
      </c>
      <c r="F945" s="5" t="s">
        <v>34</v>
      </c>
      <c r="G945" s="5" t="s">
        <v>36</v>
      </c>
      <c r="H945" s="5" t="s">
        <v>36</v>
      </c>
      <c r="I945" s="5" t="s">
        <v>36</v>
      </c>
      <c r="J945" s="6" t="s">
        <v>34</v>
      </c>
      <c r="K945" s="6">
        <v>1500.0</v>
      </c>
      <c r="L945" s="6">
        <v>375.0</v>
      </c>
      <c r="M945" s="5" t="s">
        <v>54</v>
      </c>
      <c r="N945" s="5" t="s">
        <v>54</v>
      </c>
      <c r="O945" s="6" t="s">
        <v>40</v>
      </c>
      <c r="P945" s="5" t="s">
        <v>59</v>
      </c>
      <c r="Q945" s="5" t="s">
        <v>122</v>
      </c>
      <c r="R945" s="6" t="s">
        <v>42</v>
      </c>
      <c r="S945" s="5" t="s">
        <v>90</v>
      </c>
      <c r="T945" s="5" t="s">
        <v>44</v>
      </c>
      <c r="U945" s="5" t="s">
        <v>4533</v>
      </c>
      <c r="V945" s="5" t="s">
        <v>44</v>
      </c>
      <c r="W945" s="5" t="s">
        <v>35</v>
      </c>
      <c r="X945" s="5" t="s">
        <v>467</v>
      </c>
      <c r="Y945" s="5" t="s">
        <v>46</v>
      </c>
      <c r="Z945" s="5" t="s">
        <v>502</v>
      </c>
      <c r="AA945" s="5" t="s">
        <v>64</v>
      </c>
      <c r="AB945" s="5" t="s">
        <v>4613</v>
      </c>
      <c r="AC945" s="6" t="s">
        <v>79</v>
      </c>
      <c r="AD945" s="6">
        <v>4050.0</v>
      </c>
    </row>
    <row r="946" ht="56.25" customHeight="1">
      <c r="A946" s="5" t="s">
        <v>4614</v>
      </c>
      <c r="B946" s="6" t="str">
        <f>IMAGE("https://storage.googleapis.com/acdb/miscellaneous/FtrRattanBasket_Remake_0_0.png")</f>
        <v/>
      </c>
      <c r="C946" s="5" t="s">
        <v>39</v>
      </c>
      <c r="D946" s="5" t="s">
        <v>34</v>
      </c>
      <c r="E946" s="5" t="s">
        <v>34</v>
      </c>
      <c r="F946" s="5" t="s">
        <v>34</v>
      </c>
      <c r="G946" s="5" t="s">
        <v>36</v>
      </c>
      <c r="H946" s="5" t="s">
        <v>36</v>
      </c>
      <c r="I946" s="5" t="s">
        <v>36</v>
      </c>
      <c r="J946" s="6" t="s">
        <v>34</v>
      </c>
      <c r="K946" s="6">
        <v>1800.0</v>
      </c>
      <c r="L946" s="6">
        <v>450.0</v>
      </c>
      <c r="M946" s="5" t="s">
        <v>39</v>
      </c>
      <c r="N946" s="5" t="s">
        <v>57</v>
      </c>
      <c r="O946" s="6" t="s">
        <v>40</v>
      </c>
      <c r="P946" s="5" t="s">
        <v>59</v>
      </c>
      <c r="Q946" s="5" t="s">
        <v>122</v>
      </c>
      <c r="R946" s="6" t="s">
        <v>42</v>
      </c>
      <c r="S946" s="5" t="s">
        <v>288</v>
      </c>
      <c r="T946" s="5" t="s">
        <v>90</v>
      </c>
      <c r="U946" s="5" t="s">
        <v>4533</v>
      </c>
      <c r="V946" s="5" t="s">
        <v>44</v>
      </c>
      <c r="W946" s="5" t="s">
        <v>36</v>
      </c>
      <c r="X946" s="5" t="s">
        <v>289</v>
      </c>
      <c r="Y946" s="5" t="s">
        <v>46</v>
      </c>
      <c r="Z946" s="5" t="s">
        <v>47</v>
      </c>
      <c r="AA946" s="5" t="s">
        <v>64</v>
      </c>
      <c r="AB946" s="5" t="s">
        <v>4619</v>
      </c>
      <c r="AC946" s="6" t="s">
        <v>50</v>
      </c>
      <c r="AD946" s="6">
        <v>4048.0</v>
      </c>
    </row>
    <row r="947" ht="56.25" customHeight="1">
      <c r="A947" s="5" t="s">
        <v>4614</v>
      </c>
      <c r="B947" s="6" t="str">
        <f>IMAGE("https://storage.googleapis.com/acdb/miscellaneous/FtrRattanBasket_Remake_1_0.png")</f>
        <v/>
      </c>
      <c r="C947" s="5" t="s">
        <v>4586</v>
      </c>
      <c r="D947" s="5" t="s">
        <v>34</v>
      </c>
      <c r="E947" s="5" t="s">
        <v>34</v>
      </c>
      <c r="F947" s="5" t="s">
        <v>34</v>
      </c>
      <c r="G947" s="5" t="s">
        <v>36</v>
      </c>
      <c r="H947" s="5" t="s">
        <v>36</v>
      </c>
      <c r="I947" s="5" t="s">
        <v>36</v>
      </c>
      <c r="J947" s="6" t="s">
        <v>34</v>
      </c>
      <c r="K947" s="6">
        <v>1800.0</v>
      </c>
      <c r="L947" s="6">
        <v>450.0</v>
      </c>
      <c r="M947" s="5" t="s">
        <v>142</v>
      </c>
      <c r="N947" s="5" t="s">
        <v>57</v>
      </c>
      <c r="O947" s="6" t="s">
        <v>40</v>
      </c>
      <c r="P947" s="5" t="s">
        <v>59</v>
      </c>
      <c r="Q947" s="5" t="s">
        <v>122</v>
      </c>
      <c r="R947" s="6" t="s">
        <v>42</v>
      </c>
      <c r="S947" s="5" t="s">
        <v>288</v>
      </c>
      <c r="T947" s="5" t="s">
        <v>90</v>
      </c>
      <c r="U947" s="5" t="s">
        <v>4533</v>
      </c>
      <c r="V947" s="5" t="s">
        <v>44</v>
      </c>
      <c r="W947" s="5" t="s">
        <v>36</v>
      </c>
      <c r="X947" s="5" t="s">
        <v>289</v>
      </c>
      <c r="Y947" s="5" t="s">
        <v>46</v>
      </c>
      <c r="Z947" s="5" t="s">
        <v>47</v>
      </c>
      <c r="AA947" s="5" t="s">
        <v>64</v>
      </c>
      <c r="AB947" s="5" t="s">
        <v>4623</v>
      </c>
      <c r="AC947" s="6" t="s">
        <v>56</v>
      </c>
      <c r="AD947" s="6">
        <v>4048.0</v>
      </c>
    </row>
    <row r="948" ht="56.25" customHeight="1">
      <c r="A948" s="5" t="s">
        <v>4614</v>
      </c>
      <c r="B948" s="6" t="str">
        <f>IMAGE("https://storage.googleapis.com/acdb/miscellaneous/FtrRattanBasket_Remake_2_0.png")</f>
        <v/>
      </c>
      <c r="C948" s="5" t="s">
        <v>935</v>
      </c>
      <c r="D948" s="5" t="s">
        <v>34</v>
      </c>
      <c r="E948" s="5" t="s">
        <v>34</v>
      </c>
      <c r="F948" s="5" t="s">
        <v>34</v>
      </c>
      <c r="G948" s="5" t="s">
        <v>36</v>
      </c>
      <c r="H948" s="5" t="s">
        <v>36</v>
      </c>
      <c r="I948" s="5" t="s">
        <v>36</v>
      </c>
      <c r="J948" s="6" t="s">
        <v>34</v>
      </c>
      <c r="K948" s="6">
        <v>1800.0</v>
      </c>
      <c r="L948" s="6">
        <v>450.0</v>
      </c>
      <c r="M948" s="5" t="s">
        <v>114</v>
      </c>
      <c r="N948" s="5" t="s">
        <v>57</v>
      </c>
      <c r="O948" s="6" t="s">
        <v>40</v>
      </c>
      <c r="P948" s="5" t="s">
        <v>59</v>
      </c>
      <c r="Q948" s="5" t="s">
        <v>122</v>
      </c>
      <c r="R948" s="6" t="s">
        <v>42</v>
      </c>
      <c r="S948" s="5" t="s">
        <v>288</v>
      </c>
      <c r="T948" s="5" t="s">
        <v>90</v>
      </c>
      <c r="U948" s="5" t="s">
        <v>4533</v>
      </c>
      <c r="V948" s="5" t="s">
        <v>44</v>
      </c>
      <c r="W948" s="5" t="s">
        <v>36</v>
      </c>
      <c r="X948" s="5" t="s">
        <v>289</v>
      </c>
      <c r="Y948" s="5" t="s">
        <v>46</v>
      </c>
      <c r="Z948" s="5" t="s">
        <v>47</v>
      </c>
      <c r="AA948" s="5" t="s">
        <v>64</v>
      </c>
      <c r="AB948" s="5" t="s">
        <v>4627</v>
      </c>
      <c r="AC948" s="6" t="s">
        <v>67</v>
      </c>
      <c r="AD948" s="6">
        <v>4048.0</v>
      </c>
    </row>
    <row r="949" ht="56.25" customHeight="1">
      <c r="A949" s="5" t="s">
        <v>4614</v>
      </c>
      <c r="B949" s="6" t="str">
        <f>IMAGE("https://storage.googleapis.com/acdb/miscellaneous/FtrRattanBasket_Remake_3_0.png")</f>
        <v/>
      </c>
      <c r="C949" s="5" t="s">
        <v>57</v>
      </c>
      <c r="D949" s="5" t="s">
        <v>34</v>
      </c>
      <c r="E949" s="5" t="s">
        <v>34</v>
      </c>
      <c r="F949" s="5" t="s">
        <v>34</v>
      </c>
      <c r="G949" s="5" t="s">
        <v>36</v>
      </c>
      <c r="H949" s="5" t="s">
        <v>36</v>
      </c>
      <c r="I949" s="5" t="s">
        <v>36</v>
      </c>
      <c r="J949" s="6" t="s">
        <v>34</v>
      </c>
      <c r="K949" s="6">
        <v>1800.0</v>
      </c>
      <c r="L949" s="6">
        <v>450.0</v>
      </c>
      <c r="M949" s="5" t="s">
        <v>57</v>
      </c>
      <c r="N949" s="5" t="s">
        <v>95</v>
      </c>
      <c r="O949" s="6" t="s">
        <v>40</v>
      </c>
      <c r="P949" s="5" t="s">
        <v>59</v>
      </c>
      <c r="Q949" s="5" t="s">
        <v>122</v>
      </c>
      <c r="R949" s="6" t="s">
        <v>42</v>
      </c>
      <c r="S949" s="5" t="s">
        <v>288</v>
      </c>
      <c r="T949" s="5" t="s">
        <v>90</v>
      </c>
      <c r="U949" s="5" t="s">
        <v>4533</v>
      </c>
      <c r="V949" s="5" t="s">
        <v>44</v>
      </c>
      <c r="W949" s="5" t="s">
        <v>36</v>
      </c>
      <c r="X949" s="5" t="s">
        <v>289</v>
      </c>
      <c r="Y949" s="5" t="s">
        <v>46</v>
      </c>
      <c r="Z949" s="5" t="s">
        <v>47</v>
      </c>
      <c r="AA949" s="5" t="s">
        <v>64</v>
      </c>
      <c r="AB949" s="5" t="s">
        <v>4631</v>
      </c>
      <c r="AC949" s="6" t="s">
        <v>71</v>
      </c>
      <c r="AD949" s="6">
        <v>4048.0</v>
      </c>
    </row>
    <row r="950" ht="56.25" customHeight="1">
      <c r="A950" s="5" t="s">
        <v>4614</v>
      </c>
      <c r="B950" s="6" t="str">
        <f>IMAGE("https://storage.googleapis.com/acdb/miscellaneous/FtrRattanBasket_Remake_4_0.png")</f>
        <v/>
      </c>
      <c r="C950" s="5" t="s">
        <v>95</v>
      </c>
      <c r="D950" s="5" t="s">
        <v>34</v>
      </c>
      <c r="E950" s="5" t="s">
        <v>34</v>
      </c>
      <c r="F950" s="5" t="s">
        <v>34</v>
      </c>
      <c r="G950" s="5" t="s">
        <v>36</v>
      </c>
      <c r="H950" s="5" t="s">
        <v>36</v>
      </c>
      <c r="I950" s="5" t="s">
        <v>36</v>
      </c>
      <c r="J950" s="6" t="s">
        <v>34</v>
      </c>
      <c r="K950" s="6">
        <v>1800.0</v>
      </c>
      <c r="L950" s="6">
        <v>450.0</v>
      </c>
      <c r="M950" s="5" t="s">
        <v>68</v>
      </c>
      <c r="N950" s="5" t="s">
        <v>57</v>
      </c>
      <c r="O950" s="6" t="s">
        <v>40</v>
      </c>
      <c r="P950" s="5" t="s">
        <v>59</v>
      </c>
      <c r="Q950" s="5" t="s">
        <v>122</v>
      </c>
      <c r="R950" s="6" t="s">
        <v>42</v>
      </c>
      <c r="S950" s="5" t="s">
        <v>288</v>
      </c>
      <c r="T950" s="5" t="s">
        <v>90</v>
      </c>
      <c r="U950" s="5" t="s">
        <v>4533</v>
      </c>
      <c r="V950" s="5" t="s">
        <v>44</v>
      </c>
      <c r="W950" s="5" t="s">
        <v>36</v>
      </c>
      <c r="X950" s="5" t="s">
        <v>289</v>
      </c>
      <c r="Y950" s="5" t="s">
        <v>46</v>
      </c>
      <c r="Z950" s="5" t="s">
        <v>47</v>
      </c>
      <c r="AA950" s="5" t="s">
        <v>64</v>
      </c>
      <c r="AB950" s="5" t="s">
        <v>4639</v>
      </c>
      <c r="AC950" s="6" t="s">
        <v>75</v>
      </c>
      <c r="AD950" s="6">
        <v>4048.0</v>
      </c>
    </row>
    <row r="951" ht="56.25" customHeight="1">
      <c r="A951" s="5" t="s">
        <v>4614</v>
      </c>
      <c r="B951" s="6" t="str">
        <f>IMAGE("https://storage.googleapis.com/acdb/miscellaneous/FtrRattanBasket_Remake_5_0.png")</f>
        <v/>
      </c>
      <c r="C951" s="5" t="s">
        <v>54</v>
      </c>
      <c r="D951" s="5" t="s">
        <v>34</v>
      </c>
      <c r="E951" s="5" t="s">
        <v>34</v>
      </c>
      <c r="F951" s="5" t="s">
        <v>34</v>
      </c>
      <c r="G951" s="5" t="s">
        <v>36</v>
      </c>
      <c r="H951" s="5" t="s">
        <v>36</v>
      </c>
      <c r="I951" s="5" t="s">
        <v>36</v>
      </c>
      <c r="J951" s="6" t="s">
        <v>34</v>
      </c>
      <c r="K951" s="6">
        <v>1800.0</v>
      </c>
      <c r="L951" s="6">
        <v>450.0</v>
      </c>
      <c r="M951" s="5" t="s">
        <v>54</v>
      </c>
      <c r="N951" s="5" t="s">
        <v>95</v>
      </c>
      <c r="O951" s="6" t="s">
        <v>40</v>
      </c>
      <c r="P951" s="5" t="s">
        <v>59</v>
      </c>
      <c r="Q951" s="5" t="s">
        <v>122</v>
      </c>
      <c r="R951" s="6" t="s">
        <v>42</v>
      </c>
      <c r="S951" s="5" t="s">
        <v>288</v>
      </c>
      <c r="T951" s="5" t="s">
        <v>90</v>
      </c>
      <c r="U951" s="5" t="s">
        <v>4533</v>
      </c>
      <c r="V951" s="5" t="s">
        <v>44</v>
      </c>
      <c r="W951" s="5" t="s">
        <v>36</v>
      </c>
      <c r="X951" s="5" t="s">
        <v>289</v>
      </c>
      <c r="Y951" s="5" t="s">
        <v>46</v>
      </c>
      <c r="Z951" s="5" t="s">
        <v>47</v>
      </c>
      <c r="AA951" s="5" t="s">
        <v>64</v>
      </c>
      <c r="AB951" s="5" t="s">
        <v>4643</v>
      </c>
      <c r="AC951" s="6" t="s">
        <v>79</v>
      </c>
      <c r="AD951" s="6">
        <v>4048.0</v>
      </c>
    </row>
    <row r="952" ht="56.25" customHeight="1">
      <c r="A952" s="5" t="s">
        <v>4646</v>
      </c>
      <c r="B952" s="16" t="str">
        <f>IMAGE("https://storage.googleapis.com/acdb/miscellaneous/FtrFishEiToy.png")</f>
        <v/>
      </c>
      <c r="C952" s="5" t="s">
        <v>34</v>
      </c>
      <c r="D952" s="5" t="s">
        <v>34</v>
      </c>
      <c r="E952" s="5" t="s">
        <v>34</v>
      </c>
      <c r="F952" s="5" t="s">
        <v>34</v>
      </c>
      <c r="G952" s="5" t="s">
        <v>36</v>
      </c>
      <c r="H952" s="5" t="s">
        <v>36</v>
      </c>
      <c r="I952" s="5" t="s">
        <v>36</v>
      </c>
      <c r="J952" s="6" t="s">
        <v>34</v>
      </c>
      <c r="K952" s="6" t="s">
        <v>37</v>
      </c>
      <c r="L952" s="6">
        <v>9000.0</v>
      </c>
      <c r="M952" s="5" t="s">
        <v>39</v>
      </c>
      <c r="N952" s="5" t="s">
        <v>54</v>
      </c>
      <c r="O952" s="6" t="s">
        <v>40</v>
      </c>
      <c r="P952" s="5" t="s">
        <v>213</v>
      </c>
      <c r="Q952" s="5" t="s">
        <v>215</v>
      </c>
      <c r="R952" s="6" t="s">
        <v>42</v>
      </c>
      <c r="S952" s="5" t="s">
        <v>44</v>
      </c>
      <c r="T952" s="5" t="s">
        <v>44</v>
      </c>
      <c r="U952" s="5" t="s">
        <v>44</v>
      </c>
      <c r="V952" s="5" t="s">
        <v>44</v>
      </c>
      <c r="W952" s="5" t="s">
        <v>36</v>
      </c>
      <c r="X952" s="5" t="s">
        <v>219</v>
      </c>
      <c r="Y952" s="5" t="s">
        <v>46</v>
      </c>
      <c r="Z952" s="5" t="s">
        <v>47</v>
      </c>
      <c r="AA952" s="5" t="s">
        <v>48</v>
      </c>
      <c r="AB952" s="5" t="s">
        <v>4650</v>
      </c>
      <c r="AC952" s="6" t="s">
        <v>34</v>
      </c>
      <c r="AD952" s="6">
        <v>6949.0</v>
      </c>
    </row>
    <row r="953" ht="56.25" customHeight="1">
      <c r="A953" s="5" t="s">
        <v>4651</v>
      </c>
      <c r="B953" s="6" t="str">
        <f>IMAGE("https://storage.googleapis.com/acdb/miscellaneous/FtrRecordbox_Remake_0_0.png")</f>
        <v/>
      </c>
      <c r="C953" s="5" t="s">
        <v>54</v>
      </c>
      <c r="D953" s="5" t="s">
        <v>34</v>
      </c>
      <c r="E953" s="5" t="s">
        <v>44</v>
      </c>
      <c r="F953" s="5" t="s">
        <v>4652</v>
      </c>
      <c r="G953" s="5" t="s">
        <v>36</v>
      </c>
      <c r="H953" s="5" t="s">
        <v>36</v>
      </c>
      <c r="I953" s="5" t="s">
        <v>35</v>
      </c>
      <c r="J953" s="6">
        <v>1.0</v>
      </c>
      <c r="K953" s="6">
        <v>2600.0</v>
      </c>
      <c r="L953" s="6">
        <v>650.0</v>
      </c>
      <c r="M953" s="5" t="s">
        <v>54</v>
      </c>
      <c r="N953" s="5" t="s">
        <v>54</v>
      </c>
      <c r="O953" s="6" t="s">
        <v>40</v>
      </c>
      <c r="P953" s="5" t="s">
        <v>59</v>
      </c>
      <c r="Q953" s="5" t="s">
        <v>60</v>
      </c>
      <c r="R953" s="6" t="s">
        <v>42</v>
      </c>
      <c r="S953" s="5" t="s">
        <v>129</v>
      </c>
      <c r="T953" s="5" t="s">
        <v>90</v>
      </c>
      <c r="U953" s="5" t="s">
        <v>44</v>
      </c>
      <c r="V953" s="5" t="s">
        <v>44</v>
      </c>
      <c r="W953" s="5" t="s">
        <v>36</v>
      </c>
      <c r="X953" s="5" t="s">
        <v>45</v>
      </c>
      <c r="Y953" s="5" t="s">
        <v>46</v>
      </c>
      <c r="Z953" s="5" t="s">
        <v>47</v>
      </c>
      <c r="AA953" s="5" t="s">
        <v>64</v>
      </c>
      <c r="AB953" s="5" t="s">
        <v>4657</v>
      </c>
      <c r="AC953" s="6" t="s">
        <v>50</v>
      </c>
      <c r="AD953" s="6">
        <v>8096.0</v>
      </c>
    </row>
    <row r="954" ht="56.25" customHeight="1">
      <c r="A954" s="5" t="s">
        <v>4651</v>
      </c>
      <c r="B954" s="6" t="str">
        <f>IMAGE("https://storage.googleapis.com/acdb/miscellaneous/FtrRecordbox_Remake_0_1.png")</f>
        <v/>
      </c>
      <c r="C954" s="5" t="s">
        <v>54</v>
      </c>
      <c r="D954" s="5" t="s">
        <v>34</v>
      </c>
      <c r="E954" s="5" t="s">
        <v>4660</v>
      </c>
      <c r="F954" s="5" t="s">
        <v>4652</v>
      </c>
      <c r="G954" s="5" t="s">
        <v>36</v>
      </c>
      <c r="H954" s="5" t="s">
        <v>36</v>
      </c>
      <c r="I954" s="5" t="s">
        <v>35</v>
      </c>
      <c r="J954" s="6">
        <v>1.0</v>
      </c>
      <c r="K954" s="6">
        <v>2600.0</v>
      </c>
      <c r="L954" s="6">
        <v>650.0</v>
      </c>
      <c r="M954" s="5" t="s">
        <v>54</v>
      </c>
      <c r="N954" s="5" t="s">
        <v>142</v>
      </c>
      <c r="O954" s="6" t="s">
        <v>40</v>
      </c>
      <c r="P954" s="5" t="s">
        <v>59</v>
      </c>
      <c r="Q954" s="5" t="s">
        <v>60</v>
      </c>
      <c r="R954" s="6" t="s">
        <v>42</v>
      </c>
      <c r="S954" s="5" t="s">
        <v>129</v>
      </c>
      <c r="T954" s="5" t="s">
        <v>90</v>
      </c>
      <c r="U954" s="5" t="s">
        <v>44</v>
      </c>
      <c r="V954" s="5" t="s">
        <v>44</v>
      </c>
      <c r="W954" s="5" t="s">
        <v>36</v>
      </c>
      <c r="X954" s="5" t="s">
        <v>45</v>
      </c>
      <c r="Y954" s="5" t="s">
        <v>46</v>
      </c>
      <c r="Z954" s="5" t="s">
        <v>47</v>
      </c>
      <c r="AA954" s="5" t="s">
        <v>64</v>
      </c>
      <c r="AB954" s="5" t="s">
        <v>4664</v>
      </c>
      <c r="AC954" s="6" t="s">
        <v>217</v>
      </c>
      <c r="AD954" s="6">
        <v>8096.0</v>
      </c>
    </row>
    <row r="955" ht="56.25" customHeight="1">
      <c r="A955" s="5" t="s">
        <v>4651</v>
      </c>
      <c r="B955" s="6" t="str">
        <f>IMAGE("https://storage.googleapis.com/acdb/miscellaneous/FtrRecordbox_Remake_0_2.png")</f>
        <v/>
      </c>
      <c r="C955" s="5" t="s">
        <v>54</v>
      </c>
      <c r="D955" s="5" t="s">
        <v>34</v>
      </c>
      <c r="E955" s="5" t="s">
        <v>4665</v>
      </c>
      <c r="F955" s="5" t="s">
        <v>4652</v>
      </c>
      <c r="G955" s="5" t="s">
        <v>36</v>
      </c>
      <c r="H955" s="5" t="s">
        <v>36</v>
      </c>
      <c r="I955" s="5" t="s">
        <v>35</v>
      </c>
      <c r="J955" s="6">
        <v>1.0</v>
      </c>
      <c r="K955" s="6">
        <v>2600.0</v>
      </c>
      <c r="L955" s="6">
        <v>650.0</v>
      </c>
      <c r="M955" s="5" t="s">
        <v>54</v>
      </c>
      <c r="N955" s="5" t="s">
        <v>106</v>
      </c>
      <c r="O955" s="6" t="s">
        <v>40</v>
      </c>
      <c r="P955" s="5" t="s">
        <v>59</v>
      </c>
      <c r="Q955" s="5" t="s">
        <v>60</v>
      </c>
      <c r="R955" s="6" t="s">
        <v>42</v>
      </c>
      <c r="S955" s="5" t="s">
        <v>129</v>
      </c>
      <c r="T955" s="5" t="s">
        <v>90</v>
      </c>
      <c r="U955" s="5" t="s">
        <v>44</v>
      </c>
      <c r="V955" s="5" t="s">
        <v>44</v>
      </c>
      <c r="W955" s="5" t="s">
        <v>36</v>
      </c>
      <c r="X955" s="5" t="s">
        <v>45</v>
      </c>
      <c r="Y955" s="5" t="s">
        <v>46</v>
      </c>
      <c r="Z955" s="5" t="s">
        <v>47</v>
      </c>
      <c r="AA955" s="5" t="s">
        <v>64</v>
      </c>
      <c r="AB955" s="5" t="s">
        <v>4669</v>
      </c>
      <c r="AC955" s="6" t="s">
        <v>347</v>
      </c>
      <c r="AD955" s="6">
        <v>8096.0</v>
      </c>
    </row>
    <row r="956" ht="56.25" customHeight="1">
      <c r="A956" s="5" t="s">
        <v>4651</v>
      </c>
      <c r="B956" s="6" t="str">
        <f>IMAGE("https://storage.googleapis.com/acdb/miscellaneous/FtrRecordbox_Remake_0_3.png")</f>
        <v/>
      </c>
      <c r="C956" s="5" t="s">
        <v>54</v>
      </c>
      <c r="D956" s="5" t="s">
        <v>34</v>
      </c>
      <c r="E956" s="5" t="s">
        <v>4671</v>
      </c>
      <c r="F956" s="5" t="s">
        <v>4652</v>
      </c>
      <c r="G956" s="5" t="s">
        <v>36</v>
      </c>
      <c r="H956" s="5" t="s">
        <v>36</v>
      </c>
      <c r="I956" s="5" t="s">
        <v>35</v>
      </c>
      <c r="J956" s="6">
        <v>1.0</v>
      </c>
      <c r="K956" s="6">
        <v>2600.0</v>
      </c>
      <c r="L956" s="6">
        <v>650.0</v>
      </c>
      <c r="M956" s="5" t="s">
        <v>54</v>
      </c>
      <c r="N956" s="5" t="s">
        <v>58</v>
      </c>
      <c r="O956" s="6" t="s">
        <v>40</v>
      </c>
      <c r="P956" s="5" t="s">
        <v>59</v>
      </c>
      <c r="Q956" s="5" t="s">
        <v>60</v>
      </c>
      <c r="R956" s="6" t="s">
        <v>42</v>
      </c>
      <c r="S956" s="5" t="s">
        <v>129</v>
      </c>
      <c r="T956" s="5" t="s">
        <v>90</v>
      </c>
      <c r="U956" s="5" t="s">
        <v>44</v>
      </c>
      <c r="V956" s="5" t="s">
        <v>44</v>
      </c>
      <c r="W956" s="5" t="s">
        <v>36</v>
      </c>
      <c r="X956" s="5" t="s">
        <v>45</v>
      </c>
      <c r="Y956" s="5" t="s">
        <v>46</v>
      </c>
      <c r="Z956" s="5" t="s">
        <v>47</v>
      </c>
      <c r="AA956" s="5" t="s">
        <v>64</v>
      </c>
      <c r="AB956" s="5" t="s">
        <v>4674</v>
      </c>
      <c r="AC956" s="6" t="s">
        <v>354</v>
      </c>
      <c r="AD956" s="6">
        <v>8096.0</v>
      </c>
    </row>
    <row r="957" ht="56.25" customHeight="1">
      <c r="A957" s="5" t="s">
        <v>4651</v>
      </c>
      <c r="B957" s="6" t="str">
        <f>IMAGE("https://storage.googleapis.com/acdb/miscellaneous/FtrRecordbox_Remake_1_0.png")</f>
        <v/>
      </c>
      <c r="C957" s="5" t="s">
        <v>57</v>
      </c>
      <c r="D957" s="5" t="s">
        <v>34</v>
      </c>
      <c r="E957" s="5" t="s">
        <v>44</v>
      </c>
      <c r="F957" s="5" t="s">
        <v>4652</v>
      </c>
      <c r="G957" s="5" t="s">
        <v>36</v>
      </c>
      <c r="H957" s="5" t="s">
        <v>36</v>
      </c>
      <c r="I957" s="5" t="s">
        <v>35</v>
      </c>
      <c r="J957" s="6">
        <v>1.0</v>
      </c>
      <c r="K957" s="6">
        <v>2600.0</v>
      </c>
      <c r="L957" s="6">
        <v>650.0</v>
      </c>
      <c r="M957" s="5" t="s">
        <v>57</v>
      </c>
      <c r="N957" s="5" t="s">
        <v>57</v>
      </c>
      <c r="O957" s="6" t="s">
        <v>40</v>
      </c>
      <c r="P957" s="5" t="s">
        <v>59</v>
      </c>
      <c r="Q957" s="5" t="s">
        <v>60</v>
      </c>
      <c r="R957" s="6" t="s">
        <v>42</v>
      </c>
      <c r="S957" s="5" t="s">
        <v>129</v>
      </c>
      <c r="T957" s="5" t="s">
        <v>90</v>
      </c>
      <c r="U957" s="5" t="s">
        <v>44</v>
      </c>
      <c r="V957" s="5" t="s">
        <v>44</v>
      </c>
      <c r="W957" s="5" t="s">
        <v>36</v>
      </c>
      <c r="X957" s="5" t="s">
        <v>45</v>
      </c>
      <c r="Y957" s="5" t="s">
        <v>46</v>
      </c>
      <c r="Z957" s="5" t="s">
        <v>47</v>
      </c>
      <c r="AA957" s="5" t="s">
        <v>64</v>
      </c>
      <c r="AB957" s="5" t="s">
        <v>4677</v>
      </c>
      <c r="AC957" s="6" t="s">
        <v>56</v>
      </c>
      <c r="AD957" s="6">
        <v>8096.0</v>
      </c>
    </row>
    <row r="958" ht="56.25" customHeight="1">
      <c r="A958" s="5" t="s">
        <v>4651</v>
      </c>
      <c r="B958" s="6" t="str">
        <f>IMAGE("https://storage.googleapis.com/acdb/miscellaneous/FtrRecordbox_Remake_1_1.png")</f>
        <v/>
      </c>
      <c r="C958" s="5" t="s">
        <v>57</v>
      </c>
      <c r="D958" s="5" t="s">
        <v>34</v>
      </c>
      <c r="E958" s="5" t="s">
        <v>4660</v>
      </c>
      <c r="F958" s="5" t="s">
        <v>4652</v>
      </c>
      <c r="G958" s="5" t="s">
        <v>36</v>
      </c>
      <c r="H958" s="5" t="s">
        <v>36</v>
      </c>
      <c r="I958" s="5" t="s">
        <v>35</v>
      </c>
      <c r="J958" s="6">
        <v>1.0</v>
      </c>
      <c r="K958" s="6">
        <v>2600.0</v>
      </c>
      <c r="L958" s="6">
        <v>650.0</v>
      </c>
      <c r="M958" s="5" t="s">
        <v>57</v>
      </c>
      <c r="N958" s="5" t="s">
        <v>142</v>
      </c>
      <c r="O958" s="6" t="s">
        <v>40</v>
      </c>
      <c r="P958" s="5" t="s">
        <v>59</v>
      </c>
      <c r="Q958" s="5" t="s">
        <v>60</v>
      </c>
      <c r="R958" s="6" t="s">
        <v>42</v>
      </c>
      <c r="S958" s="5" t="s">
        <v>129</v>
      </c>
      <c r="T958" s="5" t="s">
        <v>90</v>
      </c>
      <c r="U958" s="5" t="s">
        <v>44</v>
      </c>
      <c r="V958" s="5" t="s">
        <v>44</v>
      </c>
      <c r="W958" s="5" t="s">
        <v>36</v>
      </c>
      <c r="X958" s="5" t="s">
        <v>45</v>
      </c>
      <c r="Y958" s="5" t="s">
        <v>46</v>
      </c>
      <c r="Z958" s="5" t="s">
        <v>47</v>
      </c>
      <c r="AA958" s="5" t="s">
        <v>64</v>
      </c>
      <c r="AB958" s="5" t="s">
        <v>4681</v>
      </c>
      <c r="AC958" s="6" t="s">
        <v>234</v>
      </c>
      <c r="AD958" s="6">
        <v>8096.0</v>
      </c>
    </row>
    <row r="959" ht="56.25" customHeight="1">
      <c r="A959" s="5" t="s">
        <v>4651</v>
      </c>
      <c r="B959" s="6" t="str">
        <f>IMAGE("https://storage.googleapis.com/acdb/miscellaneous/FtrRecordbox_Remake_1_2.png")</f>
        <v/>
      </c>
      <c r="C959" s="5" t="s">
        <v>57</v>
      </c>
      <c r="D959" s="5" t="s">
        <v>34</v>
      </c>
      <c r="E959" s="5" t="s">
        <v>4665</v>
      </c>
      <c r="F959" s="5" t="s">
        <v>4652</v>
      </c>
      <c r="G959" s="5" t="s">
        <v>36</v>
      </c>
      <c r="H959" s="5" t="s">
        <v>36</v>
      </c>
      <c r="I959" s="5" t="s">
        <v>35</v>
      </c>
      <c r="J959" s="6">
        <v>1.0</v>
      </c>
      <c r="K959" s="6">
        <v>2600.0</v>
      </c>
      <c r="L959" s="6">
        <v>650.0</v>
      </c>
      <c r="M959" s="5" t="s">
        <v>57</v>
      </c>
      <c r="N959" s="5" t="s">
        <v>106</v>
      </c>
      <c r="O959" s="6" t="s">
        <v>40</v>
      </c>
      <c r="P959" s="5" t="s">
        <v>59</v>
      </c>
      <c r="Q959" s="5" t="s">
        <v>60</v>
      </c>
      <c r="R959" s="6" t="s">
        <v>42</v>
      </c>
      <c r="S959" s="5" t="s">
        <v>129</v>
      </c>
      <c r="T959" s="5" t="s">
        <v>90</v>
      </c>
      <c r="U959" s="5" t="s">
        <v>44</v>
      </c>
      <c r="V959" s="5" t="s">
        <v>44</v>
      </c>
      <c r="W959" s="5" t="s">
        <v>36</v>
      </c>
      <c r="X959" s="5" t="s">
        <v>45</v>
      </c>
      <c r="Y959" s="5" t="s">
        <v>46</v>
      </c>
      <c r="Z959" s="5" t="s">
        <v>47</v>
      </c>
      <c r="AA959" s="5" t="s">
        <v>64</v>
      </c>
      <c r="AB959" s="5" t="s">
        <v>4686</v>
      </c>
      <c r="AC959" s="6" t="s">
        <v>370</v>
      </c>
      <c r="AD959" s="6">
        <v>8096.0</v>
      </c>
    </row>
    <row r="960" ht="56.25" customHeight="1">
      <c r="A960" s="5" t="s">
        <v>4651</v>
      </c>
      <c r="B960" s="6" t="str">
        <f>IMAGE("https://storage.googleapis.com/acdb/miscellaneous/FtrRecordbox_Remake_1_3.png")</f>
        <v/>
      </c>
      <c r="C960" s="5" t="s">
        <v>57</v>
      </c>
      <c r="D960" s="5" t="s">
        <v>34</v>
      </c>
      <c r="E960" s="5" t="s">
        <v>4671</v>
      </c>
      <c r="F960" s="5" t="s">
        <v>4652</v>
      </c>
      <c r="G960" s="5" t="s">
        <v>36</v>
      </c>
      <c r="H960" s="5" t="s">
        <v>36</v>
      </c>
      <c r="I960" s="5" t="s">
        <v>35</v>
      </c>
      <c r="J960" s="6">
        <v>1.0</v>
      </c>
      <c r="K960" s="6">
        <v>2600.0</v>
      </c>
      <c r="L960" s="6">
        <v>650.0</v>
      </c>
      <c r="M960" s="5" t="s">
        <v>57</v>
      </c>
      <c r="N960" s="5" t="s">
        <v>58</v>
      </c>
      <c r="O960" s="6" t="s">
        <v>40</v>
      </c>
      <c r="P960" s="5" t="s">
        <v>59</v>
      </c>
      <c r="Q960" s="5" t="s">
        <v>60</v>
      </c>
      <c r="R960" s="6" t="s">
        <v>42</v>
      </c>
      <c r="S960" s="5" t="s">
        <v>129</v>
      </c>
      <c r="T960" s="5" t="s">
        <v>90</v>
      </c>
      <c r="U960" s="5" t="s">
        <v>44</v>
      </c>
      <c r="V960" s="5" t="s">
        <v>44</v>
      </c>
      <c r="W960" s="5" t="s">
        <v>36</v>
      </c>
      <c r="X960" s="5" t="s">
        <v>45</v>
      </c>
      <c r="Y960" s="5" t="s">
        <v>46</v>
      </c>
      <c r="Z960" s="5" t="s">
        <v>47</v>
      </c>
      <c r="AA960" s="5" t="s">
        <v>64</v>
      </c>
      <c r="AB960" s="5" t="s">
        <v>4690</v>
      </c>
      <c r="AC960" s="6" t="s">
        <v>377</v>
      </c>
      <c r="AD960" s="6">
        <v>8096.0</v>
      </c>
    </row>
    <row r="961" ht="56.25" customHeight="1">
      <c r="A961" s="5" t="s">
        <v>4651</v>
      </c>
      <c r="B961" s="6" t="str">
        <f>IMAGE("https://storage.googleapis.com/acdb/miscellaneous/FtrRecordbox_Remake_2_0.png")</f>
        <v/>
      </c>
      <c r="C961" s="5" t="s">
        <v>52</v>
      </c>
      <c r="D961" s="5" t="s">
        <v>34</v>
      </c>
      <c r="E961" s="5" t="s">
        <v>44</v>
      </c>
      <c r="F961" s="5" t="s">
        <v>4652</v>
      </c>
      <c r="G961" s="5" t="s">
        <v>36</v>
      </c>
      <c r="H961" s="5" t="s">
        <v>36</v>
      </c>
      <c r="I961" s="5" t="s">
        <v>35</v>
      </c>
      <c r="J961" s="6">
        <v>1.0</v>
      </c>
      <c r="K961" s="6">
        <v>2600.0</v>
      </c>
      <c r="L961" s="6">
        <v>650.0</v>
      </c>
      <c r="M961" s="5" t="s">
        <v>52</v>
      </c>
      <c r="N961" s="5" t="s">
        <v>52</v>
      </c>
      <c r="O961" s="6" t="s">
        <v>40</v>
      </c>
      <c r="P961" s="5" t="s">
        <v>59</v>
      </c>
      <c r="Q961" s="5" t="s">
        <v>60</v>
      </c>
      <c r="R961" s="6" t="s">
        <v>42</v>
      </c>
      <c r="S961" s="5" t="s">
        <v>129</v>
      </c>
      <c r="T961" s="5" t="s">
        <v>90</v>
      </c>
      <c r="U961" s="5" t="s">
        <v>44</v>
      </c>
      <c r="V961" s="5" t="s">
        <v>44</v>
      </c>
      <c r="W961" s="5" t="s">
        <v>36</v>
      </c>
      <c r="X961" s="5" t="s">
        <v>45</v>
      </c>
      <c r="Y961" s="5" t="s">
        <v>46</v>
      </c>
      <c r="Z961" s="5" t="s">
        <v>47</v>
      </c>
      <c r="AA961" s="5" t="s">
        <v>64</v>
      </c>
      <c r="AB961" s="5" t="s">
        <v>4694</v>
      </c>
      <c r="AC961" s="6" t="s">
        <v>67</v>
      </c>
      <c r="AD961" s="6">
        <v>8096.0</v>
      </c>
    </row>
    <row r="962" ht="56.25" customHeight="1">
      <c r="A962" s="5" t="s">
        <v>4651</v>
      </c>
      <c r="B962" s="6" t="str">
        <f>IMAGE("https://storage.googleapis.com/acdb/miscellaneous/FtrRecordbox_Remake_2_1.png")</f>
        <v/>
      </c>
      <c r="C962" s="5" t="s">
        <v>52</v>
      </c>
      <c r="D962" s="5" t="s">
        <v>34</v>
      </c>
      <c r="E962" s="5" t="s">
        <v>4660</v>
      </c>
      <c r="F962" s="5" t="s">
        <v>4652</v>
      </c>
      <c r="G962" s="5" t="s">
        <v>36</v>
      </c>
      <c r="H962" s="5" t="s">
        <v>36</v>
      </c>
      <c r="I962" s="5" t="s">
        <v>35</v>
      </c>
      <c r="J962" s="6">
        <v>1.0</v>
      </c>
      <c r="K962" s="6">
        <v>2600.0</v>
      </c>
      <c r="L962" s="6">
        <v>650.0</v>
      </c>
      <c r="M962" s="5" t="s">
        <v>52</v>
      </c>
      <c r="N962" s="5" t="s">
        <v>142</v>
      </c>
      <c r="O962" s="6" t="s">
        <v>40</v>
      </c>
      <c r="P962" s="5" t="s">
        <v>59</v>
      </c>
      <c r="Q962" s="5" t="s">
        <v>60</v>
      </c>
      <c r="R962" s="6" t="s">
        <v>42</v>
      </c>
      <c r="S962" s="5" t="s">
        <v>129</v>
      </c>
      <c r="T962" s="5" t="s">
        <v>90</v>
      </c>
      <c r="U962" s="5" t="s">
        <v>44</v>
      </c>
      <c r="V962" s="5" t="s">
        <v>44</v>
      </c>
      <c r="W962" s="5" t="s">
        <v>36</v>
      </c>
      <c r="X962" s="5" t="s">
        <v>45</v>
      </c>
      <c r="Y962" s="5" t="s">
        <v>46</v>
      </c>
      <c r="Z962" s="5" t="s">
        <v>47</v>
      </c>
      <c r="AA962" s="5" t="s">
        <v>64</v>
      </c>
      <c r="AB962" s="5" t="s">
        <v>4699</v>
      </c>
      <c r="AC962" s="6" t="s">
        <v>247</v>
      </c>
      <c r="AD962" s="6">
        <v>8096.0</v>
      </c>
    </row>
    <row r="963" ht="56.25" customHeight="1">
      <c r="A963" s="5" t="s">
        <v>4651</v>
      </c>
      <c r="B963" s="6" t="str">
        <f>IMAGE("https://storage.googleapis.com/acdb/miscellaneous/FtrRecordbox_Remake_2_2.png")</f>
        <v/>
      </c>
      <c r="C963" s="5" t="s">
        <v>52</v>
      </c>
      <c r="D963" s="5" t="s">
        <v>34</v>
      </c>
      <c r="E963" s="5" t="s">
        <v>4665</v>
      </c>
      <c r="F963" s="5" t="s">
        <v>4652</v>
      </c>
      <c r="G963" s="5" t="s">
        <v>36</v>
      </c>
      <c r="H963" s="5" t="s">
        <v>36</v>
      </c>
      <c r="I963" s="5" t="s">
        <v>35</v>
      </c>
      <c r="J963" s="6">
        <v>1.0</v>
      </c>
      <c r="K963" s="6">
        <v>2600.0</v>
      </c>
      <c r="L963" s="6">
        <v>650.0</v>
      </c>
      <c r="M963" s="5" t="s">
        <v>52</v>
      </c>
      <c r="N963" s="5" t="s">
        <v>106</v>
      </c>
      <c r="O963" s="6" t="s">
        <v>40</v>
      </c>
      <c r="P963" s="5" t="s">
        <v>59</v>
      </c>
      <c r="Q963" s="5" t="s">
        <v>60</v>
      </c>
      <c r="R963" s="6" t="s">
        <v>42</v>
      </c>
      <c r="S963" s="5" t="s">
        <v>129</v>
      </c>
      <c r="T963" s="5" t="s">
        <v>90</v>
      </c>
      <c r="U963" s="5" t="s">
        <v>44</v>
      </c>
      <c r="V963" s="5" t="s">
        <v>44</v>
      </c>
      <c r="W963" s="5" t="s">
        <v>36</v>
      </c>
      <c r="X963" s="5" t="s">
        <v>45</v>
      </c>
      <c r="Y963" s="5" t="s">
        <v>46</v>
      </c>
      <c r="Z963" s="5" t="s">
        <v>47</v>
      </c>
      <c r="AA963" s="5" t="s">
        <v>64</v>
      </c>
      <c r="AB963" s="5" t="s">
        <v>4702</v>
      </c>
      <c r="AC963" s="6" t="s">
        <v>390</v>
      </c>
      <c r="AD963" s="6">
        <v>8096.0</v>
      </c>
    </row>
    <row r="964" ht="56.25" customHeight="1">
      <c r="A964" s="5" t="s">
        <v>4651</v>
      </c>
      <c r="B964" s="6" t="str">
        <f>IMAGE("https://storage.googleapis.com/acdb/miscellaneous/FtrRecordbox_Remake_2_3.png")</f>
        <v/>
      </c>
      <c r="C964" s="5" t="s">
        <v>52</v>
      </c>
      <c r="D964" s="5" t="s">
        <v>34</v>
      </c>
      <c r="E964" s="5" t="s">
        <v>4671</v>
      </c>
      <c r="F964" s="5" t="s">
        <v>4652</v>
      </c>
      <c r="G964" s="5" t="s">
        <v>36</v>
      </c>
      <c r="H964" s="5" t="s">
        <v>36</v>
      </c>
      <c r="I964" s="5" t="s">
        <v>35</v>
      </c>
      <c r="J964" s="6">
        <v>1.0</v>
      </c>
      <c r="K964" s="6">
        <v>2600.0</v>
      </c>
      <c r="L964" s="6">
        <v>650.0</v>
      </c>
      <c r="M964" s="5" t="s">
        <v>52</v>
      </c>
      <c r="N964" s="5" t="s">
        <v>58</v>
      </c>
      <c r="O964" s="6" t="s">
        <v>40</v>
      </c>
      <c r="P964" s="5" t="s">
        <v>59</v>
      </c>
      <c r="Q964" s="5" t="s">
        <v>60</v>
      </c>
      <c r="R964" s="6" t="s">
        <v>42</v>
      </c>
      <c r="S964" s="5" t="s">
        <v>129</v>
      </c>
      <c r="T964" s="5" t="s">
        <v>90</v>
      </c>
      <c r="U964" s="5" t="s">
        <v>44</v>
      </c>
      <c r="V964" s="5" t="s">
        <v>44</v>
      </c>
      <c r="W964" s="5" t="s">
        <v>36</v>
      </c>
      <c r="X964" s="5" t="s">
        <v>45</v>
      </c>
      <c r="Y964" s="5" t="s">
        <v>46</v>
      </c>
      <c r="Z964" s="5" t="s">
        <v>47</v>
      </c>
      <c r="AA964" s="5" t="s">
        <v>64</v>
      </c>
      <c r="AB964" s="5" t="s">
        <v>4707</v>
      </c>
      <c r="AC964" s="6" t="s">
        <v>396</v>
      </c>
      <c r="AD964" s="6">
        <v>8096.0</v>
      </c>
    </row>
    <row r="965" ht="56.25" customHeight="1">
      <c r="A965" s="5" t="s">
        <v>4651</v>
      </c>
      <c r="B965" s="6" t="str">
        <f>IMAGE("https://storage.googleapis.com/acdb/miscellaneous/FtrRecordbox_Remake_3_0.png")</f>
        <v/>
      </c>
      <c r="C965" s="5" t="s">
        <v>114</v>
      </c>
      <c r="D965" s="5" t="s">
        <v>34</v>
      </c>
      <c r="E965" s="5" t="s">
        <v>44</v>
      </c>
      <c r="F965" s="5" t="s">
        <v>4652</v>
      </c>
      <c r="G965" s="5" t="s">
        <v>36</v>
      </c>
      <c r="H965" s="5" t="s">
        <v>36</v>
      </c>
      <c r="I965" s="5" t="s">
        <v>35</v>
      </c>
      <c r="J965" s="6">
        <v>1.0</v>
      </c>
      <c r="K965" s="6">
        <v>2600.0</v>
      </c>
      <c r="L965" s="6">
        <v>650.0</v>
      </c>
      <c r="M965" s="5" t="s">
        <v>114</v>
      </c>
      <c r="N965" s="5" t="s">
        <v>114</v>
      </c>
      <c r="O965" s="6" t="s">
        <v>40</v>
      </c>
      <c r="P965" s="5" t="s">
        <v>59</v>
      </c>
      <c r="Q965" s="5" t="s">
        <v>60</v>
      </c>
      <c r="R965" s="6" t="s">
        <v>42</v>
      </c>
      <c r="S965" s="5" t="s">
        <v>129</v>
      </c>
      <c r="T965" s="5" t="s">
        <v>90</v>
      </c>
      <c r="U965" s="5" t="s">
        <v>44</v>
      </c>
      <c r="V965" s="5" t="s">
        <v>44</v>
      </c>
      <c r="W965" s="5" t="s">
        <v>36</v>
      </c>
      <c r="X965" s="5" t="s">
        <v>45</v>
      </c>
      <c r="Y965" s="5" t="s">
        <v>46</v>
      </c>
      <c r="Z965" s="5" t="s">
        <v>47</v>
      </c>
      <c r="AA965" s="5" t="s">
        <v>64</v>
      </c>
      <c r="AB965" s="5" t="s">
        <v>4712</v>
      </c>
      <c r="AC965" s="6" t="s">
        <v>71</v>
      </c>
      <c r="AD965" s="6">
        <v>8096.0</v>
      </c>
    </row>
    <row r="966" ht="56.25" customHeight="1">
      <c r="A966" s="5" t="s">
        <v>4651</v>
      </c>
      <c r="B966" s="6" t="str">
        <f>IMAGE("https://storage.googleapis.com/acdb/miscellaneous/FtrRecordbox_Remake_3_1.png")</f>
        <v/>
      </c>
      <c r="C966" s="5" t="s">
        <v>114</v>
      </c>
      <c r="D966" s="5" t="s">
        <v>34</v>
      </c>
      <c r="E966" s="5" t="s">
        <v>4660</v>
      </c>
      <c r="F966" s="5" t="s">
        <v>4652</v>
      </c>
      <c r="G966" s="5" t="s">
        <v>36</v>
      </c>
      <c r="H966" s="5" t="s">
        <v>36</v>
      </c>
      <c r="I966" s="5" t="s">
        <v>35</v>
      </c>
      <c r="J966" s="6">
        <v>1.0</v>
      </c>
      <c r="K966" s="6">
        <v>2600.0</v>
      </c>
      <c r="L966" s="6">
        <v>650.0</v>
      </c>
      <c r="M966" s="5" t="s">
        <v>114</v>
      </c>
      <c r="N966" s="5" t="s">
        <v>142</v>
      </c>
      <c r="O966" s="6" t="s">
        <v>40</v>
      </c>
      <c r="P966" s="5" t="s">
        <v>59</v>
      </c>
      <c r="Q966" s="5" t="s">
        <v>60</v>
      </c>
      <c r="R966" s="6" t="s">
        <v>42</v>
      </c>
      <c r="S966" s="5" t="s">
        <v>129</v>
      </c>
      <c r="T966" s="5" t="s">
        <v>90</v>
      </c>
      <c r="U966" s="5" t="s">
        <v>44</v>
      </c>
      <c r="V966" s="5" t="s">
        <v>44</v>
      </c>
      <c r="W966" s="5" t="s">
        <v>36</v>
      </c>
      <c r="X966" s="5" t="s">
        <v>45</v>
      </c>
      <c r="Y966" s="5" t="s">
        <v>46</v>
      </c>
      <c r="Z966" s="5" t="s">
        <v>47</v>
      </c>
      <c r="AA966" s="5" t="s">
        <v>64</v>
      </c>
      <c r="AB966" s="5" t="s">
        <v>4716</v>
      </c>
      <c r="AC966" s="6" t="s">
        <v>257</v>
      </c>
      <c r="AD966" s="6">
        <v>8096.0</v>
      </c>
    </row>
    <row r="967" ht="56.25" customHeight="1">
      <c r="A967" s="5" t="s">
        <v>4651</v>
      </c>
      <c r="B967" s="6" t="str">
        <f>IMAGE("https://storage.googleapis.com/acdb/miscellaneous/FtrRecordbox_Remake_3_2.png")</f>
        <v/>
      </c>
      <c r="C967" s="5" t="s">
        <v>114</v>
      </c>
      <c r="D967" s="5" t="s">
        <v>34</v>
      </c>
      <c r="E967" s="5" t="s">
        <v>4665</v>
      </c>
      <c r="F967" s="5" t="s">
        <v>4652</v>
      </c>
      <c r="G967" s="5" t="s">
        <v>36</v>
      </c>
      <c r="H967" s="5" t="s">
        <v>36</v>
      </c>
      <c r="I967" s="5" t="s">
        <v>35</v>
      </c>
      <c r="J967" s="6">
        <v>1.0</v>
      </c>
      <c r="K967" s="6">
        <v>2600.0</v>
      </c>
      <c r="L967" s="6">
        <v>650.0</v>
      </c>
      <c r="M967" s="5" t="s">
        <v>114</v>
      </c>
      <c r="N967" s="5" t="s">
        <v>106</v>
      </c>
      <c r="O967" s="6" t="s">
        <v>40</v>
      </c>
      <c r="P967" s="5" t="s">
        <v>59</v>
      </c>
      <c r="Q967" s="5" t="s">
        <v>60</v>
      </c>
      <c r="R967" s="6" t="s">
        <v>42</v>
      </c>
      <c r="S967" s="5" t="s">
        <v>129</v>
      </c>
      <c r="T967" s="5" t="s">
        <v>90</v>
      </c>
      <c r="U967" s="5" t="s">
        <v>44</v>
      </c>
      <c r="V967" s="5" t="s">
        <v>44</v>
      </c>
      <c r="W967" s="5" t="s">
        <v>36</v>
      </c>
      <c r="X967" s="5" t="s">
        <v>45</v>
      </c>
      <c r="Y967" s="5" t="s">
        <v>46</v>
      </c>
      <c r="Z967" s="5" t="s">
        <v>47</v>
      </c>
      <c r="AA967" s="5" t="s">
        <v>64</v>
      </c>
      <c r="AB967" s="5" t="s">
        <v>4719</v>
      </c>
      <c r="AC967" s="6" t="s">
        <v>414</v>
      </c>
      <c r="AD967" s="6">
        <v>8096.0</v>
      </c>
    </row>
    <row r="968" ht="56.25" customHeight="1">
      <c r="A968" s="5" t="s">
        <v>4651</v>
      </c>
      <c r="B968" s="6" t="str">
        <f>IMAGE("https://storage.googleapis.com/acdb/miscellaneous/FtrRecordbox_Remake_3_3.png")</f>
        <v/>
      </c>
      <c r="C968" s="5" t="s">
        <v>114</v>
      </c>
      <c r="D968" s="5" t="s">
        <v>34</v>
      </c>
      <c r="E968" s="5" t="s">
        <v>4671</v>
      </c>
      <c r="F968" s="5" t="s">
        <v>4652</v>
      </c>
      <c r="G968" s="5" t="s">
        <v>36</v>
      </c>
      <c r="H968" s="5" t="s">
        <v>36</v>
      </c>
      <c r="I968" s="5" t="s">
        <v>35</v>
      </c>
      <c r="J968" s="6">
        <v>1.0</v>
      </c>
      <c r="K968" s="6">
        <v>2600.0</v>
      </c>
      <c r="L968" s="6">
        <v>650.0</v>
      </c>
      <c r="M968" s="5" t="s">
        <v>114</v>
      </c>
      <c r="N968" s="5" t="s">
        <v>58</v>
      </c>
      <c r="O968" s="6" t="s">
        <v>40</v>
      </c>
      <c r="P968" s="5" t="s">
        <v>59</v>
      </c>
      <c r="Q968" s="5" t="s">
        <v>60</v>
      </c>
      <c r="R968" s="6" t="s">
        <v>42</v>
      </c>
      <c r="S968" s="5" t="s">
        <v>129</v>
      </c>
      <c r="T968" s="5" t="s">
        <v>90</v>
      </c>
      <c r="U968" s="5" t="s">
        <v>44</v>
      </c>
      <c r="V968" s="5" t="s">
        <v>44</v>
      </c>
      <c r="W968" s="5" t="s">
        <v>36</v>
      </c>
      <c r="X968" s="5" t="s">
        <v>45</v>
      </c>
      <c r="Y968" s="5" t="s">
        <v>46</v>
      </c>
      <c r="Z968" s="5" t="s">
        <v>47</v>
      </c>
      <c r="AA968" s="5" t="s">
        <v>64</v>
      </c>
      <c r="AB968" s="5" t="s">
        <v>4723</v>
      </c>
      <c r="AC968" s="6" t="s">
        <v>418</v>
      </c>
      <c r="AD968" s="6">
        <v>8096.0</v>
      </c>
    </row>
    <row r="969" ht="56.25" customHeight="1">
      <c r="A969" s="5" t="s">
        <v>4651</v>
      </c>
      <c r="B969" s="6" t="str">
        <f>IMAGE("https://storage.googleapis.com/acdb/miscellaneous/FtrRecordbox_Remake_4_0.png")</f>
        <v/>
      </c>
      <c r="C969" s="5" t="s">
        <v>96</v>
      </c>
      <c r="D969" s="5" t="s">
        <v>34</v>
      </c>
      <c r="E969" s="5" t="s">
        <v>44</v>
      </c>
      <c r="F969" s="5" t="s">
        <v>4652</v>
      </c>
      <c r="G969" s="5" t="s">
        <v>36</v>
      </c>
      <c r="H969" s="5" t="s">
        <v>36</v>
      </c>
      <c r="I969" s="5" t="s">
        <v>35</v>
      </c>
      <c r="J969" s="6">
        <v>1.0</v>
      </c>
      <c r="K969" s="6">
        <v>2600.0</v>
      </c>
      <c r="L969" s="6">
        <v>650.0</v>
      </c>
      <c r="M969" s="5" t="s">
        <v>96</v>
      </c>
      <c r="N969" s="5" t="s">
        <v>96</v>
      </c>
      <c r="O969" s="6" t="s">
        <v>40</v>
      </c>
      <c r="P969" s="5" t="s">
        <v>59</v>
      </c>
      <c r="Q969" s="5" t="s">
        <v>60</v>
      </c>
      <c r="R969" s="6" t="s">
        <v>42</v>
      </c>
      <c r="S969" s="5" t="s">
        <v>129</v>
      </c>
      <c r="T969" s="5" t="s">
        <v>90</v>
      </c>
      <c r="U969" s="5" t="s">
        <v>44</v>
      </c>
      <c r="V969" s="5" t="s">
        <v>44</v>
      </c>
      <c r="W969" s="5" t="s">
        <v>36</v>
      </c>
      <c r="X969" s="5" t="s">
        <v>45</v>
      </c>
      <c r="Y969" s="5" t="s">
        <v>46</v>
      </c>
      <c r="Z969" s="5" t="s">
        <v>47</v>
      </c>
      <c r="AA969" s="5" t="s">
        <v>64</v>
      </c>
      <c r="AB969" s="5" t="s">
        <v>4728</v>
      </c>
      <c r="AC969" s="6" t="s">
        <v>75</v>
      </c>
      <c r="AD969" s="6">
        <v>8096.0</v>
      </c>
    </row>
    <row r="970" ht="56.25" customHeight="1">
      <c r="A970" s="5" t="s">
        <v>4651</v>
      </c>
      <c r="B970" s="6" t="str">
        <f>IMAGE("https://storage.googleapis.com/acdb/miscellaneous/FtrRecordbox_Remake_4_1.png")</f>
        <v/>
      </c>
      <c r="C970" s="5" t="s">
        <v>96</v>
      </c>
      <c r="D970" s="5" t="s">
        <v>34</v>
      </c>
      <c r="E970" s="5" t="s">
        <v>4660</v>
      </c>
      <c r="F970" s="5" t="s">
        <v>4652</v>
      </c>
      <c r="G970" s="5" t="s">
        <v>36</v>
      </c>
      <c r="H970" s="5" t="s">
        <v>36</v>
      </c>
      <c r="I970" s="5" t="s">
        <v>35</v>
      </c>
      <c r="J970" s="6">
        <v>1.0</v>
      </c>
      <c r="K970" s="6">
        <v>2600.0</v>
      </c>
      <c r="L970" s="6">
        <v>650.0</v>
      </c>
      <c r="M970" s="5" t="s">
        <v>96</v>
      </c>
      <c r="N970" s="5" t="s">
        <v>142</v>
      </c>
      <c r="O970" s="6" t="s">
        <v>40</v>
      </c>
      <c r="P970" s="5" t="s">
        <v>59</v>
      </c>
      <c r="Q970" s="5" t="s">
        <v>60</v>
      </c>
      <c r="R970" s="6" t="s">
        <v>42</v>
      </c>
      <c r="S970" s="5" t="s">
        <v>129</v>
      </c>
      <c r="T970" s="5" t="s">
        <v>90</v>
      </c>
      <c r="U970" s="5" t="s">
        <v>44</v>
      </c>
      <c r="V970" s="5" t="s">
        <v>44</v>
      </c>
      <c r="W970" s="5" t="s">
        <v>36</v>
      </c>
      <c r="X970" s="5" t="s">
        <v>45</v>
      </c>
      <c r="Y970" s="5" t="s">
        <v>46</v>
      </c>
      <c r="Z970" s="5" t="s">
        <v>47</v>
      </c>
      <c r="AA970" s="5" t="s">
        <v>64</v>
      </c>
      <c r="AB970" s="5" t="s">
        <v>4733</v>
      </c>
      <c r="AC970" s="6" t="s">
        <v>429</v>
      </c>
      <c r="AD970" s="6">
        <v>8096.0</v>
      </c>
    </row>
    <row r="971" ht="56.25" customHeight="1">
      <c r="A971" s="5" t="s">
        <v>4651</v>
      </c>
      <c r="B971" s="6" t="str">
        <f>IMAGE("https://storage.googleapis.com/acdb/miscellaneous/FtrRecordbox_Remake_4_2.png")</f>
        <v/>
      </c>
      <c r="C971" s="5" t="s">
        <v>96</v>
      </c>
      <c r="D971" s="5" t="s">
        <v>34</v>
      </c>
      <c r="E971" s="5" t="s">
        <v>4665</v>
      </c>
      <c r="F971" s="5" t="s">
        <v>4652</v>
      </c>
      <c r="G971" s="5" t="s">
        <v>36</v>
      </c>
      <c r="H971" s="5" t="s">
        <v>36</v>
      </c>
      <c r="I971" s="5" t="s">
        <v>35</v>
      </c>
      <c r="J971" s="6">
        <v>1.0</v>
      </c>
      <c r="K971" s="6">
        <v>2600.0</v>
      </c>
      <c r="L971" s="6">
        <v>650.0</v>
      </c>
      <c r="M971" s="5" t="s">
        <v>96</v>
      </c>
      <c r="N971" s="5" t="s">
        <v>106</v>
      </c>
      <c r="O971" s="6" t="s">
        <v>40</v>
      </c>
      <c r="P971" s="5" t="s">
        <v>59</v>
      </c>
      <c r="Q971" s="5" t="s">
        <v>60</v>
      </c>
      <c r="R971" s="6" t="s">
        <v>42</v>
      </c>
      <c r="S971" s="5" t="s">
        <v>129</v>
      </c>
      <c r="T971" s="5" t="s">
        <v>90</v>
      </c>
      <c r="U971" s="5" t="s">
        <v>44</v>
      </c>
      <c r="V971" s="5" t="s">
        <v>44</v>
      </c>
      <c r="W971" s="5" t="s">
        <v>36</v>
      </c>
      <c r="X971" s="5" t="s">
        <v>45</v>
      </c>
      <c r="Y971" s="5" t="s">
        <v>46</v>
      </c>
      <c r="Z971" s="5" t="s">
        <v>47</v>
      </c>
      <c r="AA971" s="5" t="s">
        <v>64</v>
      </c>
      <c r="AB971" s="5" t="s">
        <v>4737</v>
      </c>
      <c r="AC971" s="6" t="s">
        <v>434</v>
      </c>
      <c r="AD971" s="6">
        <v>8096.0</v>
      </c>
    </row>
    <row r="972" ht="56.25" customHeight="1">
      <c r="A972" s="5" t="s">
        <v>4651</v>
      </c>
      <c r="B972" s="6" t="str">
        <f>IMAGE("https://storage.googleapis.com/acdb/miscellaneous/FtrRecordbox_Remake_4_3.png")</f>
        <v/>
      </c>
      <c r="C972" s="5" t="s">
        <v>96</v>
      </c>
      <c r="D972" s="5" t="s">
        <v>34</v>
      </c>
      <c r="E972" s="5" t="s">
        <v>4671</v>
      </c>
      <c r="F972" s="5" t="s">
        <v>4652</v>
      </c>
      <c r="G972" s="5" t="s">
        <v>36</v>
      </c>
      <c r="H972" s="5" t="s">
        <v>36</v>
      </c>
      <c r="I972" s="5" t="s">
        <v>35</v>
      </c>
      <c r="J972" s="6">
        <v>1.0</v>
      </c>
      <c r="K972" s="6">
        <v>2600.0</v>
      </c>
      <c r="L972" s="6">
        <v>650.0</v>
      </c>
      <c r="M972" s="5" t="s">
        <v>96</v>
      </c>
      <c r="N972" s="5" t="s">
        <v>58</v>
      </c>
      <c r="O972" s="6" t="s">
        <v>40</v>
      </c>
      <c r="P972" s="5" t="s">
        <v>59</v>
      </c>
      <c r="Q972" s="5" t="s">
        <v>60</v>
      </c>
      <c r="R972" s="6" t="s">
        <v>42</v>
      </c>
      <c r="S972" s="5" t="s">
        <v>129</v>
      </c>
      <c r="T972" s="5" t="s">
        <v>90</v>
      </c>
      <c r="U972" s="5" t="s">
        <v>44</v>
      </c>
      <c r="V972" s="5" t="s">
        <v>44</v>
      </c>
      <c r="W972" s="5" t="s">
        <v>36</v>
      </c>
      <c r="X972" s="5" t="s">
        <v>45</v>
      </c>
      <c r="Y972" s="5" t="s">
        <v>46</v>
      </c>
      <c r="Z972" s="5" t="s">
        <v>47</v>
      </c>
      <c r="AA972" s="5" t="s">
        <v>64</v>
      </c>
      <c r="AB972" s="5" t="s">
        <v>4742</v>
      </c>
      <c r="AC972" s="6" t="s">
        <v>438</v>
      </c>
      <c r="AD972" s="6">
        <v>8096.0</v>
      </c>
    </row>
    <row r="973" ht="56.25" customHeight="1">
      <c r="A973" s="5" t="s">
        <v>4651</v>
      </c>
      <c r="B973" s="6" t="str">
        <f>IMAGE("https://storage.googleapis.com/acdb/miscellaneous/FtrRecordbox_Remake_5_0.png")</f>
        <v/>
      </c>
      <c r="C973" s="5" t="s">
        <v>68</v>
      </c>
      <c r="D973" s="5" t="s">
        <v>34</v>
      </c>
      <c r="E973" s="5" t="s">
        <v>44</v>
      </c>
      <c r="F973" s="5" t="s">
        <v>4652</v>
      </c>
      <c r="G973" s="5" t="s">
        <v>36</v>
      </c>
      <c r="H973" s="5" t="s">
        <v>36</v>
      </c>
      <c r="I973" s="5" t="s">
        <v>35</v>
      </c>
      <c r="J973" s="6">
        <v>1.0</v>
      </c>
      <c r="K973" s="6">
        <v>2600.0</v>
      </c>
      <c r="L973" s="6">
        <v>650.0</v>
      </c>
      <c r="M973" s="5" t="s">
        <v>68</v>
      </c>
      <c r="N973" s="5" t="s">
        <v>68</v>
      </c>
      <c r="O973" s="6" t="s">
        <v>40</v>
      </c>
      <c r="P973" s="5" t="s">
        <v>59</v>
      </c>
      <c r="Q973" s="5" t="s">
        <v>60</v>
      </c>
      <c r="R973" s="6" t="s">
        <v>42</v>
      </c>
      <c r="S973" s="5" t="s">
        <v>129</v>
      </c>
      <c r="T973" s="5" t="s">
        <v>90</v>
      </c>
      <c r="U973" s="5" t="s">
        <v>44</v>
      </c>
      <c r="V973" s="5" t="s">
        <v>44</v>
      </c>
      <c r="W973" s="5" t="s">
        <v>36</v>
      </c>
      <c r="X973" s="5" t="s">
        <v>45</v>
      </c>
      <c r="Y973" s="5" t="s">
        <v>46</v>
      </c>
      <c r="Z973" s="5" t="s">
        <v>47</v>
      </c>
      <c r="AA973" s="5" t="s">
        <v>64</v>
      </c>
      <c r="AB973" s="5" t="s">
        <v>4750</v>
      </c>
      <c r="AC973" s="6" t="s">
        <v>79</v>
      </c>
      <c r="AD973" s="6">
        <v>8096.0</v>
      </c>
    </row>
    <row r="974" ht="56.25" customHeight="1">
      <c r="A974" s="5" t="s">
        <v>4651</v>
      </c>
      <c r="B974" s="6" t="str">
        <f>IMAGE("https://storage.googleapis.com/acdb/miscellaneous/FtrRecordbox_Remake_5_1.png")</f>
        <v/>
      </c>
      <c r="C974" s="5" t="s">
        <v>68</v>
      </c>
      <c r="D974" s="5" t="s">
        <v>34</v>
      </c>
      <c r="E974" s="5" t="s">
        <v>4660</v>
      </c>
      <c r="F974" s="5" t="s">
        <v>4652</v>
      </c>
      <c r="G974" s="5" t="s">
        <v>36</v>
      </c>
      <c r="H974" s="5" t="s">
        <v>36</v>
      </c>
      <c r="I974" s="5" t="s">
        <v>35</v>
      </c>
      <c r="J974" s="6">
        <v>1.0</v>
      </c>
      <c r="K974" s="6">
        <v>2600.0</v>
      </c>
      <c r="L974" s="6">
        <v>650.0</v>
      </c>
      <c r="M974" s="5" t="s">
        <v>68</v>
      </c>
      <c r="N974" s="5" t="s">
        <v>142</v>
      </c>
      <c r="O974" s="6" t="s">
        <v>40</v>
      </c>
      <c r="P974" s="5" t="s">
        <v>59</v>
      </c>
      <c r="Q974" s="5" t="s">
        <v>60</v>
      </c>
      <c r="R974" s="6" t="s">
        <v>42</v>
      </c>
      <c r="S974" s="5" t="s">
        <v>129</v>
      </c>
      <c r="T974" s="5" t="s">
        <v>90</v>
      </c>
      <c r="U974" s="5" t="s">
        <v>44</v>
      </c>
      <c r="V974" s="5" t="s">
        <v>44</v>
      </c>
      <c r="W974" s="5" t="s">
        <v>36</v>
      </c>
      <c r="X974" s="5" t="s">
        <v>45</v>
      </c>
      <c r="Y974" s="5" t="s">
        <v>46</v>
      </c>
      <c r="Z974" s="5" t="s">
        <v>47</v>
      </c>
      <c r="AA974" s="5" t="s">
        <v>64</v>
      </c>
      <c r="AB974" s="5" t="s">
        <v>4754</v>
      </c>
      <c r="AC974" s="6" t="s">
        <v>448</v>
      </c>
      <c r="AD974" s="6">
        <v>8096.0</v>
      </c>
    </row>
    <row r="975" ht="56.25" customHeight="1">
      <c r="A975" s="5" t="s">
        <v>4651</v>
      </c>
      <c r="B975" s="6" t="str">
        <f>IMAGE("https://storage.googleapis.com/acdb/miscellaneous/FtrRecordbox_Remake_5_2.png")</f>
        <v/>
      </c>
      <c r="C975" s="5" t="s">
        <v>68</v>
      </c>
      <c r="D975" s="5" t="s">
        <v>34</v>
      </c>
      <c r="E975" s="5" t="s">
        <v>4665</v>
      </c>
      <c r="F975" s="5" t="s">
        <v>4652</v>
      </c>
      <c r="G975" s="5" t="s">
        <v>36</v>
      </c>
      <c r="H975" s="5" t="s">
        <v>36</v>
      </c>
      <c r="I975" s="5" t="s">
        <v>35</v>
      </c>
      <c r="J975" s="6">
        <v>1.0</v>
      </c>
      <c r="K975" s="6">
        <v>2600.0</v>
      </c>
      <c r="L975" s="6">
        <v>650.0</v>
      </c>
      <c r="M975" s="5" t="s">
        <v>68</v>
      </c>
      <c r="N975" s="5" t="s">
        <v>106</v>
      </c>
      <c r="O975" s="6" t="s">
        <v>40</v>
      </c>
      <c r="P975" s="5" t="s">
        <v>59</v>
      </c>
      <c r="Q975" s="5" t="s">
        <v>60</v>
      </c>
      <c r="R975" s="6" t="s">
        <v>42</v>
      </c>
      <c r="S975" s="5" t="s">
        <v>129</v>
      </c>
      <c r="T975" s="5" t="s">
        <v>90</v>
      </c>
      <c r="U975" s="5" t="s">
        <v>44</v>
      </c>
      <c r="V975" s="5" t="s">
        <v>44</v>
      </c>
      <c r="W975" s="5" t="s">
        <v>36</v>
      </c>
      <c r="X975" s="5" t="s">
        <v>45</v>
      </c>
      <c r="Y975" s="5" t="s">
        <v>46</v>
      </c>
      <c r="Z975" s="5" t="s">
        <v>47</v>
      </c>
      <c r="AA975" s="5" t="s">
        <v>64</v>
      </c>
      <c r="AB975" s="5" t="s">
        <v>4758</v>
      </c>
      <c r="AC975" s="6" t="s">
        <v>452</v>
      </c>
      <c r="AD975" s="6">
        <v>8096.0</v>
      </c>
    </row>
    <row r="976" ht="56.25" customHeight="1">
      <c r="A976" s="5" t="s">
        <v>4651</v>
      </c>
      <c r="B976" s="6" t="str">
        <f>IMAGE("https://storage.googleapis.com/acdb/miscellaneous/FtrRecordbox_Remake_5_3.png")</f>
        <v/>
      </c>
      <c r="C976" s="5" t="s">
        <v>68</v>
      </c>
      <c r="D976" s="5" t="s">
        <v>34</v>
      </c>
      <c r="E976" s="5" t="s">
        <v>4671</v>
      </c>
      <c r="F976" s="5" t="s">
        <v>4652</v>
      </c>
      <c r="G976" s="5" t="s">
        <v>36</v>
      </c>
      <c r="H976" s="5" t="s">
        <v>36</v>
      </c>
      <c r="I976" s="5" t="s">
        <v>35</v>
      </c>
      <c r="J976" s="6">
        <v>1.0</v>
      </c>
      <c r="K976" s="6">
        <v>2600.0</v>
      </c>
      <c r="L976" s="6">
        <v>650.0</v>
      </c>
      <c r="M976" s="5" t="s">
        <v>68</v>
      </c>
      <c r="N976" s="5" t="s">
        <v>58</v>
      </c>
      <c r="O976" s="6" t="s">
        <v>40</v>
      </c>
      <c r="P976" s="5" t="s">
        <v>59</v>
      </c>
      <c r="Q976" s="5" t="s">
        <v>60</v>
      </c>
      <c r="R976" s="6" t="s">
        <v>42</v>
      </c>
      <c r="S976" s="5" t="s">
        <v>129</v>
      </c>
      <c r="T976" s="5" t="s">
        <v>90</v>
      </c>
      <c r="U976" s="5" t="s">
        <v>44</v>
      </c>
      <c r="V976" s="5" t="s">
        <v>44</v>
      </c>
      <c r="W976" s="5" t="s">
        <v>36</v>
      </c>
      <c r="X976" s="5" t="s">
        <v>45</v>
      </c>
      <c r="Y976" s="5" t="s">
        <v>46</v>
      </c>
      <c r="Z976" s="5" t="s">
        <v>47</v>
      </c>
      <c r="AA976" s="5" t="s">
        <v>64</v>
      </c>
      <c r="AB976" s="5" t="s">
        <v>4761</v>
      </c>
      <c r="AC976" s="6" t="s">
        <v>455</v>
      </c>
      <c r="AD976" s="6">
        <v>8096.0</v>
      </c>
    </row>
    <row r="977" ht="56.25" customHeight="1">
      <c r="A977" s="5" t="s">
        <v>4651</v>
      </c>
      <c r="B977" s="6" t="str">
        <f>IMAGE("https://storage.googleapis.com/acdb/miscellaneous/FtrRecordbox_Remake_6_0.png")</f>
        <v/>
      </c>
      <c r="C977" s="5" t="s">
        <v>95</v>
      </c>
      <c r="D977" s="5" t="s">
        <v>34</v>
      </c>
      <c r="E977" s="5" t="s">
        <v>44</v>
      </c>
      <c r="F977" s="5" t="s">
        <v>4652</v>
      </c>
      <c r="G977" s="5" t="s">
        <v>36</v>
      </c>
      <c r="H977" s="5" t="s">
        <v>36</v>
      </c>
      <c r="I977" s="5" t="s">
        <v>35</v>
      </c>
      <c r="J977" s="6">
        <v>1.0</v>
      </c>
      <c r="K977" s="6">
        <v>2600.0</v>
      </c>
      <c r="L977" s="6">
        <v>650.0</v>
      </c>
      <c r="M977" s="5" t="s">
        <v>95</v>
      </c>
      <c r="N977" s="5" t="s">
        <v>95</v>
      </c>
      <c r="O977" s="6" t="s">
        <v>40</v>
      </c>
      <c r="P977" s="5" t="s">
        <v>59</v>
      </c>
      <c r="Q977" s="5" t="s">
        <v>60</v>
      </c>
      <c r="R977" s="6" t="s">
        <v>42</v>
      </c>
      <c r="S977" s="5" t="s">
        <v>129</v>
      </c>
      <c r="T977" s="5" t="s">
        <v>90</v>
      </c>
      <c r="U977" s="5" t="s">
        <v>44</v>
      </c>
      <c r="V977" s="5" t="s">
        <v>44</v>
      </c>
      <c r="W977" s="5" t="s">
        <v>36</v>
      </c>
      <c r="X977" s="5" t="s">
        <v>45</v>
      </c>
      <c r="Y977" s="5" t="s">
        <v>46</v>
      </c>
      <c r="Z977" s="5" t="s">
        <v>47</v>
      </c>
      <c r="AA977" s="5" t="s">
        <v>64</v>
      </c>
      <c r="AB977" s="5" t="s">
        <v>4764</v>
      </c>
      <c r="AC977" s="6" t="s">
        <v>86</v>
      </c>
      <c r="AD977" s="6">
        <v>8096.0</v>
      </c>
    </row>
    <row r="978" ht="56.25" customHeight="1">
      <c r="A978" s="5" t="s">
        <v>4651</v>
      </c>
      <c r="B978" s="6" t="str">
        <f>IMAGE("https://storage.googleapis.com/acdb/miscellaneous/FtrRecordbox_Remake_6_1.png")</f>
        <v/>
      </c>
      <c r="C978" s="5" t="s">
        <v>95</v>
      </c>
      <c r="D978" s="5" t="s">
        <v>34</v>
      </c>
      <c r="E978" s="5" t="s">
        <v>4660</v>
      </c>
      <c r="F978" s="5" t="s">
        <v>4652</v>
      </c>
      <c r="G978" s="5" t="s">
        <v>36</v>
      </c>
      <c r="H978" s="5" t="s">
        <v>36</v>
      </c>
      <c r="I978" s="5" t="s">
        <v>35</v>
      </c>
      <c r="J978" s="6">
        <v>1.0</v>
      </c>
      <c r="K978" s="6">
        <v>2600.0</v>
      </c>
      <c r="L978" s="6">
        <v>650.0</v>
      </c>
      <c r="M978" s="5" t="s">
        <v>95</v>
      </c>
      <c r="N978" s="5" t="s">
        <v>142</v>
      </c>
      <c r="O978" s="6" t="s">
        <v>40</v>
      </c>
      <c r="P978" s="5" t="s">
        <v>59</v>
      </c>
      <c r="Q978" s="5" t="s">
        <v>60</v>
      </c>
      <c r="R978" s="6" t="s">
        <v>42</v>
      </c>
      <c r="S978" s="5" t="s">
        <v>129</v>
      </c>
      <c r="T978" s="5" t="s">
        <v>90</v>
      </c>
      <c r="U978" s="5" t="s">
        <v>44</v>
      </c>
      <c r="V978" s="5" t="s">
        <v>44</v>
      </c>
      <c r="W978" s="5" t="s">
        <v>36</v>
      </c>
      <c r="X978" s="5" t="s">
        <v>45</v>
      </c>
      <c r="Y978" s="5" t="s">
        <v>46</v>
      </c>
      <c r="Z978" s="5" t="s">
        <v>47</v>
      </c>
      <c r="AA978" s="5" t="s">
        <v>64</v>
      </c>
      <c r="AB978" s="5" t="s">
        <v>4768</v>
      </c>
      <c r="AC978" s="6" t="s">
        <v>620</v>
      </c>
      <c r="AD978" s="6">
        <v>8096.0</v>
      </c>
    </row>
    <row r="979" ht="56.25" customHeight="1">
      <c r="A979" s="5" t="s">
        <v>4651</v>
      </c>
      <c r="B979" s="6" t="str">
        <f>IMAGE("https://storage.googleapis.com/acdb/miscellaneous/FtrRecordbox_Remake_6_2.png")</f>
        <v/>
      </c>
      <c r="C979" s="5" t="s">
        <v>95</v>
      </c>
      <c r="D979" s="5" t="s">
        <v>34</v>
      </c>
      <c r="E979" s="5" t="s">
        <v>4665</v>
      </c>
      <c r="F979" s="5" t="s">
        <v>4652</v>
      </c>
      <c r="G979" s="5" t="s">
        <v>36</v>
      </c>
      <c r="H979" s="5" t="s">
        <v>36</v>
      </c>
      <c r="I979" s="5" t="s">
        <v>35</v>
      </c>
      <c r="J979" s="6">
        <v>1.0</v>
      </c>
      <c r="K979" s="6">
        <v>2600.0</v>
      </c>
      <c r="L979" s="6">
        <v>650.0</v>
      </c>
      <c r="M979" s="5" t="s">
        <v>95</v>
      </c>
      <c r="N979" s="5" t="s">
        <v>106</v>
      </c>
      <c r="O979" s="6" t="s">
        <v>40</v>
      </c>
      <c r="P979" s="5" t="s">
        <v>59</v>
      </c>
      <c r="Q979" s="5" t="s">
        <v>60</v>
      </c>
      <c r="R979" s="6" t="s">
        <v>42</v>
      </c>
      <c r="S979" s="5" t="s">
        <v>129</v>
      </c>
      <c r="T979" s="5" t="s">
        <v>90</v>
      </c>
      <c r="U979" s="5" t="s">
        <v>44</v>
      </c>
      <c r="V979" s="5" t="s">
        <v>44</v>
      </c>
      <c r="W979" s="5" t="s">
        <v>36</v>
      </c>
      <c r="X979" s="5" t="s">
        <v>45</v>
      </c>
      <c r="Y979" s="5" t="s">
        <v>46</v>
      </c>
      <c r="Z979" s="5" t="s">
        <v>47</v>
      </c>
      <c r="AA979" s="5" t="s">
        <v>64</v>
      </c>
      <c r="AB979" s="5" t="s">
        <v>4771</v>
      </c>
      <c r="AC979" s="6" t="s">
        <v>626</v>
      </c>
      <c r="AD979" s="6">
        <v>8096.0</v>
      </c>
    </row>
    <row r="980" ht="56.25" customHeight="1">
      <c r="A980" s="5" t="s">
        <v>4651</v>
      </c>
      <c r="B980" s="6" t="str">
        <f>IMAGE("https://storage.googleapis.com/acdb/miscellaneous/FtrRecordbox_Remake_6_3.png")</f>
        <v/>
      </c>
      <c r="C980" s="5" t="s">
        <v>95</v>
      </c>
      <c r="D980" s="5" t="s">
        <v>34</v>
      </c>
      <c r="E980" s="5" t="s">
        <v>4671</v>
      </c>
      <c r="F980" s="5" t="s">
        <v>4652</v>
      </c>
      <c r="G980" s="5" t="s">
        <v>36</v>
      </c>
      <c r="H980" s="5" t="s">
        <v>36</v>
      </c>
      <c r="I980" s="5" t="s">
        <v>35</v>
      </c>
      <c r="J980" s="6">
        <v>1.0</v>
      </c>
      <c r="K980" s="6">
        <v>2600.0</v>
      </c>
      <c r="L980" s="6">
        <v>650.0</v>
      </c>
      <c r="M980" s="5" t="s">
        <v>95</v>
      </c>
      <c r="N980" s="5" t="s">
        <v>58</v>
      </c>
      <c r="O980" s="6" t="s">
        <v>40</v>
      </c>
      <c r="P980" s="5" t="s">
        <v>59</v>
      </c>
      <c r="Q980" s="5" t="s">
        <v>60</v>
      </c>
      <c r="R980" s="6" t="s">
        <v>42</v>
      </c>
      <c r="S980" s="5" t="s">
        <v>129</v>
      </c>
      <c r="T980" s="5" t="s">
        <v>90</v>
      </c>
      <c r="U980" s="5" t="s">
        <v>44</v>
      </c>
      <c r="V980" s="5" t="s">
        <v>44</v>
      </c>
      <c r="W980" s="5" t="s">
        <v>36</v>
      </c>
      <c r="X980" s="5" t="s">
        <v>45</v>
      </c>
      <c r="Y980" s="5" t="s">
        <v>46</v>
      </c>
      <c r="Z980" s="5" t="s">
        <v>47</v>
      </c>
      <c r="AA980" s="5" t="s">
        <v>64</v>
      </c>
      <c r="AB980" s="5" t="s">
        <v>4776</v>
      </c>
      <c r="AC980" s="6" t="s">
        <v>634</v>
      </c>
      <c r="AD980" s="6">
        <v>8096.0</v>
      </c>
    </row>
    <row r="981" ht="56.25" customHeight="1">
      <c r="A981" s="5" t="s">
        <v>4651</v>
      </c>
      <c r="B981" s="6" t="str">
        <f>IMAGE("https://storage.googleapis.com/acdb/miscellaneous/FtrRecordbox_Remake_7_0.png")</f>
        <v/>
      </c>
      <c r="C981" s="5" t="s">
        <v>69</v>
      </c>
      <c r="D981" s="5" t="s">
        <v>34</v>
      </c>
      <c r="E981" s="5" t="s">
        <v>44</v>
      </c>
      <c r="F981" s="5" t="s">
        <v>4652</v>
      </c>
      <c r="G981" s="5" t="s">
        <v>36</v>
      </c>
      <c r="H981" s="5" t="s">
        <v>36</v>
      </c>
      <c r="I981" s="5" t="s">
        <v>35</v>
      </c>
      <c r="J981" s="6">
        <v>1.0</v>
      </c>
      <c r="K981" s="6">
        <v>2600.0</v>
      </c>
      <c r="L981" s="6">
        <v>650.0</v>
      </c>
      <c r="M981" s="5" t="s">
        <v>69</v>
      </c>
      <c r="N981" s="5" t="s">
        <v>69</v>
      </c>
      <c r="O981" s="6" t="s">
        <v>40</v>
      </c>
      <c r="P981" s="5" t="s">
        <v>59</v>
      </c>
      <c r="Q981" s="5" t="s">
        <v>60</v>
      </c>
      <c r="R981" s="6" t="s">
        <v>42</v>
      </c>
      <c r="S981" s="5" t="s">
        <v>129</v>
      </c>
      <c r="T981" s="5" t="s">
        <v>90</v>
      </c>
      <c r="U981" s="5" t="s">
        <v>44</v>
      </c>
      <c r="V981" s="5" t="s">
        <v>44</v>
      </c>
      <c r="W981" s="5" t="s">
        <v>36</v>
      </c>
      <c r="X981" s="5" t="s">
        <v>45</v>
      </c>
      <c r="Y981" s="5" t="s">
        <v>46</v>
      </c>
      <c r="Z981" s="5" t="s">
        <v>47</v>
      </c>
      <c r="AA981" s="5" t="s">
        <v>64</v>
      </c>
      <c r="AB981" s="5" t="s">
        <v>4781</v>
      </c>
      <c r="AC981" s="6" t="s">
        <v>208</v>
      </c>
      <c r="AD981" s="6">
        <v>8096.0</v>
      </c>
    </row>
    <row r="982" ht="56.25" customHeight="1">
      <c r="A982" s="5" t="s">
        <v>4651</v>
      </c>
      <c r="B982" s="6" t="str">
        <f>IMAGE("https://storage.googleapis.com/acdb/miscellaneous/FtrRecordbox_Remake_7_1.png")</f>
        <v/>
      </c>
      <c r="C982" s="5" t="s">
        <v>69</v>
      </c>
      <c r="D982" s="5" t="s">
        <v>34</v>
      </c>
      <c r="E982" s="5" t="s">
        <v>4660</v>
      </c>
      <c r="F982" s="5" t="s">
        <v>4652</v>
      </c>
      <c r="G982" s="5" t="s">
        <v>36</v>
      </c>
      <c r="H982" s="5" t="s">
        <v>36</v>
      </c>
      <c r="I982" s="5" t="s">
        <v>35</v>
      </c>
      <c r="J982" s="6">
        <v>1.0</v>
      </c>
      <c r="K982" s="6">
        <v>2600.0</v>
      </c>
      <c r="L982" s="6">
        <v>650.0</v>
      </c>
      <c r="M982" s="5" t="s">
        <v>69</v>
      </c>
      <c r="N982" s="5" t="s">
        <v>142</v>
      </c>
      <c r="O982" s="6" t="s">
        <v>40</v>
      </c>
      <c r="P982" s="5" t="s">
        <v>59</v>
      </c>
      <c r="Q982" s="5" t="s">
        <v>60</v>
      </c>
      <c r="R982" s="6" t="s">
        <v>42</v>
      </c>
      <c r="S982" s="5" t="s">
        <v>129</v>
      </c>
      <c r="T982" s="5" t="s">
        <v>90</v>
      </c>
      <c r="U982" s="5" t="s">
        <v>44</v>
      </c>
      <c r="V982" s="5" t="s">
        <v>44</v>
      </c>
      <c r="W982" s="5" t="s">
        <v>36</v>
      </c>
      <c r="X982" s="5" t="s">
        <v>45</v>
      </c>
      <c r="Y982" s="5" t="s">
        <v>46</v>
      </c>
      <c r="Z982" s="5" t="s">
        <v>47</v>
      </c>
      <c r="AA982" s="5" t="s">
        <v>64</v>
      </c>
      <c r="AB982" s="5" t="s">
        <v>4788</v>
      </c>
      <c r="AC982" s="6" t="s">
        <v>1892</v>
      </c>
      <c r="AD982" s="6">
        <v>8096.0</v>
      </c>
    </row>
    <row r="983" ht="56.25" customHeight="1">
      <c r="A983" s="5" t="s">
        <v>4651</v>
      </c>
      <c r="B983" s="6" t="str">
        <f>IMAGE("https://storage.googleapis.com/acdb/miscellaneous/FtrRecordbox_Remake_7_2.png")</f>
        <v/>
      </c>
      <c r="C983" s="5" t="s">
        <v>69</v>
      </c>
      <c r="D983" s="5" t="s">
        <v>34</v>
      </c>
      <c r="E983" s="5" t="s">
        <v>4665</v>
      </c>
      <c r="F983" s="5" t="s">
        <v>4652</v>
      </c>
      <c r="G983" s="5" t="s">
        <v>36</v>
      </c>
      <c r="H983" s="5" t="s">
        <v>36</v>
      </c>
      <c r="I983" s="5" t="s">
        <v>35</v>
      </c>
      <c r="J983" s="6">
        <v>1.0</v>
      </c>
      <c r="K983" s="6">
        <v>2600.0</v>
      </c>
      <c r="L983" s="6">
        <v>650.0</v>
      </c>
      <c r="M983" s="5" t="s">
        <v>69</v>
      </c>
      <c r="N983" s="5" t="s">
        <v>106</v>
      </c>
      <c r="O983" s="6" t="s">
        <v>40</v>
      </c>
      <c r="P983" s="5" t="s">
        <v>59</v>
      </c>
      <c r="Q983" s="5" t="s">
        <v>60</v>
      </c>
      <c r="R983" s="6" t="s">
        <v>42</v>
      </c>
      <c r="S983" s="5" t="s">
        <v>129</v>
      </c>
      <c r="T983" s="5" t="s">
        <v>90</v>
      </c>
      <c r="U983" s="5" t="s">
        <v>44</v>
      </c>
      <c r="V983" s="5" t="s">
        <v>44</v>
      </c>
      <c r="W983" s="5" t="s">
        <v>36</v>
      </c>
      <c r="X983" s="5" t="s">
        <v>45</v>
      </c>
      <c r="Y983" s="5" t="s">
        <v>46</v>
      </c>
      <c r="Z983" s="5" t="s">
        <v>47</v>
      </c>
      <c r="AA983" s="5" t="s">
        <v>64</v>
      </c>
      <c r="AB983" s="5" t="s">
        <v>4795</v>
      </c>
      <c r="AC983" s="6" t="s">
        <v>1901</v>
      </c>
      <c r="AD983" s="6">
        <v>8096.0</v>
      </c>
    </row>
    <row r="984" ht="56.25" customHeight="1">
      <c r="A984" s="5" t="s">
        <v>4651</v>
      </c>
      <c r="B984" s="6" t="str">
        <f>IMAGE("https://storage.googleapis.com/acdb/miscellaneous/FtrRecordbox_Remake_7_3.png")</f>
        <v/>
      </c>
      <c r="C984" s="5" t="s">
        <v>69</v>
      </c>
      <c r="D984" s="5" t="s">
        <v>34</v>
      </c>
      <c r="E984" s="5" t="s">
        <v>4671</v>
      </c>
      <c r="F984" s="5" t="s">
        <v>4652</v>
      </c>
      <c r="G984" s="5" t="s">
        <v>36</v>
      </c>
      <c r="H984" s="5" t="s">
        <v>36</v>
      </c>
      <c r="I984" s="5" t="s">
        <v>35</v>
      </c>
      <c r="J984" s="6">
        <v>1.0</v>
      </c>
      <c r="K984" s="6">
        <v>2600.0</v>
      </c>
      <c r="L984" s="6">
        <v>650.0</v>
      </c>
      <c r="M984" s="5" t="s">
        <v>69</v>
      </c>
      <c r="N984" s="5" t="s">
        <v>58</v>
      </c>
      <c r="O984" s="6" t="s">
        <v>40</v>
      </c>
      <c r="P984" s="5" t="s">
        <v>59</v>
      </c>
      <c r="Q984" s="5" t="s">
        <v>60</v>
      </c>
      <c r="R984" s="6" t="s">
        <v>42</v>
      </c>
      <c r="S984" s="5" t="s">
        <v>129</v>
      </c>
      <c r="T984" s="5" t="s">
        <v>90</v>
      </c>
      <c r="U984" s="5" t="s">
        <v>44</v>
      </c>
      <c r="V984" s="5" t="s">
        <v>44</v>
      </c>
      <c r="W984" s="5" t="s">
        <v>36</v>
      </c>
      <c r="X984" s="5" t="s">
        <v>45</v>
      </c>
      <c r="Y984" s="5" t="s">
        <v>46</v>
      </c>
      <c r="Z984" s="5" t="s">
        <v>47</v>
      </c>
      <c r="AA984" s="5" t="s">
        <v>64</v>
      </c>
      <c r="AB984" s="5" t="s">
        <v>4802</v>
      </c>
      <c r="AC984" s="6" t="s">
        <v>1906</v>
      </c>
      <c r="AD984" s="6">
        <v>8096.0</v>
      </c>
    </row>
    <row r="985" ht="56.25" customHeight="1">
      <c r="A985" s="5" t="s">
        <v>4804</v>
      </c>
      <c r="B985" s="6" t="str">
        <f>IMAGE("https://storage.googleapis.com/acdb/miscellaneous/FtrKalimbaCan_Remake_0_0.png")</f>
        <v/>
      </c>
      <c r="C985" s="5" t="s">
        <v>4805</v>
      </c>
      <c r="D985" s="5" t="s">
        <v>4806</v>
      </c>
      <c r="E985" s="5" t="s">
        <v>34</v>
      </c>
      <c r="F985" s="5" t="s">
        <v>34</v>
      </c>
      <c r="G985" s="5" t="s">
        <v>35</v>
      </c>
      <c r="H985" s="5" t="s">
        <v>35</v>
      </c>
      <c r="I985" s="5" t="s">
        <v>36</v>
      </c>
      <c r="J985" s="6">
        <v>2.0</v>
      </c>
      <c r="K985" s="6" t="s">
        <v>37</v>
      </c>
      <c r="L985" s="6">
        <v>890.0</v>
      </c>
      <c r="M985" s="5" t="s">
        <v>95</v>
      </c>
      <c r="N985" s="5" t="s">
        <v>114</v>
      </c>
      <c r="O985" s="6" t="s">
        <v>40</v>
      </c>
      <c r="P985" s="5" t="s">
        <v>41</v>
      </c>
      <c r="Q985" s="5"/>
      <c r="R985" s="6" t="s">
        <v>42</v>
      </c>
      <c r="S985" s="5" t="s">
        <v>129</v>
      </c>
      <c r="T985" s="5" t="s">
        <v>44</v>
      </c>
      <c r="U985" s="5" t="s">
        <v>44</v>
      </c>
      <c r="V985" s="5" t="s">
        <v>44</v>
      </c>
      <c r="W985" s="5" t="s">
        <v>35</v>
      </c>
      <c r="X985" s="5" t="s">
        <v>45</v>
      </c>
      <c r="Y985" s="5" t="s">
        <v>46</v>
      </c>
      <c r="Z985" s="5" t="s">
        <v>47</v>
      </c>
      <c r="AA985" s="5" t="s">
        <v>48</v>
      </c>
      <c r="AB985" s="5" t="s">
        <v>4811</v>
      </c>
      <c r="AC985" s="6" t="s">
        <v>50</v>
      </c>
      <c r="AD985" s="6">
        <v>7045.0</v>
      </c>
    </row>
    <row r="986" ht="56.25" customHeight="1">
      <c r="A986" s="5" t="s">
        <v>4804</v>
      </c>
      <c r="B986" s="6" t="str">
        <f>IMAGE("https://storage.googleapis.com/acdb/miscellaneous/FtrKalimbaCan_Remake_1_0.png")</f>
        <v/>
      </c>
      <c r="C986" s="5" t="s">
        <v>4814</v>
      </c>
      <c r="D986" s="5" t="s">
        <v>4806</v>
      </c>
      <c r="E986" s="5" t="s">
        <v>34</v>
      </c>
      <c r="F986" s="5" t="s">
        <v>34</v>
      </c>
      <c r="G986" s="5" t="s">
        <v>35</v>
      </c>
      <c r="H986" s="5" t="s">
        <v>35</v>
      </c>
      <c r="I986" s="5" t="s">
        <v>36</v>
      </c>
      <c r="J986" s="6">
        <v>2.0</v>
      </c>
      <c r="K986" s="6" t="s">
        <v>37</v>
      </c>
      <c r="L986" s="6">
        <v>890.0</v>
      </c>
      <c r="M986" s="5" t="s">
        <v>114</v>
      </c>
      <c r="N986" s="5" t="s">
        <v>96</v>
      </c>
      <c r="O986" s="6" t="s">
        <v>40</v>
      </c>
      <c r="P986" s="5" t="s">
        <v>41</v>
      </c>
      <c r="Q986" s="5"/>
      <c r="R986" s="6" t="s">
        <v>42</v>
      </c>
      <c r="S986" s="5" t="s">
        <v>129</v>
      </c>
      <c r="T986" s="5" t="s">
        <v>44</v>
      </c>
      <c r="U986" s="5" t="s">
        <v>44</v>
      </c>
      <c r="V986" s="5" t="s">
        <v>44</v>
      </c>
      <c r="W986" s="5" t="s">
        <v>35</v>
      </c>
      <c r="X986" s="5" t="s">
        <v>45</v>
      </c>
      <c r="Y986" s="5" t="s">
        <v>46</v>
      </c>
      <c r="Z986" s="5" t="s">
        <v>47</v>
      </c>
      <c r="AA986" s="5" t="s">
        <v>48</v>
      </c>
      <c r="AB986" s="5" t="s">
        <v>4817</v>
      </c>
      <c r="AC986" s="6" t="s">
        <v>56</v>
      </c>
      <c r="AD986" s="6">
        <v>7045.0</v>
      </c>
    </row>
    <row r="987" ht="56.25" customHeight="1">
      <c r="A987" s="5" t="s">
        <v>4804</v>
      </c>
      <c r="B987" s="6" t="str">
        <f>IMAGE("https://storage.googleapis.com/acdb/miscellaneous/FtrKalimbaCan_Remake_2_0.png")</f>
        <v/>
      </c>
      <c r="C987" s="5" t="s">
        <v>4819</v>
      </c>
      <c r="D987" s="5" t="s">
        <v>4806</v>
      </c>
      <c r="E987" s="5" t="s">
        <v>34</v>
      </c>
      <c r="F987" s="5" t="s">
        <v>34</v>
      </c>
      <c r="G987" s="5" t="s">
        <v>35</v>
      </c>
      <c r="H987" s="5" t="s">
        <v>35</v>
      </c>
      <c r="I987" s="5" t="s">
        <v>36</v>
      </c>
      <c r="J987" s="6">
        <v>2.0</v>
      </c>
      <c r="K987" s="6" t="s">
        <v>37</v>
      </c>
      <c r="L987" s="6">
        <v>890.0</v>
      </c>
      <c r="M987" s="5" t="s">
        <v>96</v>
      </c>
      <c r="N987" s="5" t="s">
        <v>142</v>
      </c>
      <c r="O987" s="6" t="s">
        <v>40</v>
      </c>
      <c r="P987" s="5" t="s">
        <v>41</v>
      </c>
      <c r="Q987" s="5"/>
      <c r="R987" s="6" t="s">
        <v>42</v>
      </c>
      <c r="S987" s="5" t="s">
        <v>129</v>
      </c>
      <c r="T987" s="5" t="s">
        <v>44</v>
      </c>
      <c r="U987" s="5" t="s">
        <v>44</v>
      </c>
      <c r="V987" s="5" t="s">
        <v>44</v>
      </c>
      <c r="W987" s="5" t="s">
        <v>35</v>
      </c>
      <c r="X987" s="5" t="s">
        <v>45</v>
      </c>
      <c r="Y987" s="5" t="s">
        <v>46</v>
      </c>
      <c r="Z987" s="5" t="s">
        <v>47</v>
      </c>
      <c r="AA987" s="5" t="s">
        <v>48</v>
      </c>
      <c r="AB987" s="5" t="s">
        <v>4821</v>
      </c>
      <c r="AC987" s="6" t="s">
        <v>67</v>
      </c>
      <c r="AD987" s="6">
        <v>7045.0</v>
      </c>
    </row>
    <row r="988" ht="56.25" customHeight="1">
      <c r="A988" s="5" t="s">
        <v>4804</v>
      </c>
      <c r="B988" s="6" t="str">
        <f>IMAGE("https://storage.googleapis.com/acdb/miscellaneous/FtrKalimbaCan_Remake_3_0.png")</f>
        <v/>
      </c>
      <c r="C988" s="5" t="s">
        <v>4825</v>
      </c>
      <c r="D988" s="5" t="s">
        <v>4806</v>
      </c>
      <c r="E988" s="5" t="s">
        <v>34</v>
      </c>
      <c r="F988" s="5" t="s">
        <v>34</v>
      </c>
      <c r="G988" s="5" t="s">
        <v>35</v>
      </c>
      <c r="H988" s="5" t="s">
        <v>35</v>
      </c>
      <c r="I988" s="5" t="s">
        <v>36</v>
      </c>
      <c r="J988" s="6">
        <v>2.0</v>
      </c>
      <c r="K988" s="6" t="s">
        <v>37</v>
      </c>
      <c r="L988" s="6">
        <v>890.0</v>
      </c>
      <c r="M988" s="5" t="s">
        <v>68</v>
      </c>
      <c r="N988" s="5" t="s">
        <v>142</v>
      </c>
      <c r="O988" s="6" t="s">
        <v>40</v>
      </c>
      <c r="P988" s="5" t="s">
        <v>41</v>
      </c>
      <c r="Q988" s="5"/>
      <c r="R988" s="6" t="s">
        <v>42</v>
      </c>
      <c r="S988" s="5" t="s">
        <v>129</v>
      </c>
      <c r="T988" s="5" t="s">
        <v>44</v>
      </c>
      <c r="U988" s="5" t="s">
        <v>44</v>
      </c>
      <c r="V988" s="5" t="s">
        <v>44</v>
      </c>
      <c r="W988" s="5" t="s">
        <v>35</v>
      </c>
      <c r="X988" s="5" t="s">
        <v>45</v>
      </c>
      <c r="Y988" s="5" t="s">
        <v>46</v>
      </c>
      <c r="Z988" s="5" t="s">
        <v>47</v>
      </c>
      <c r="AA988" s="5" t="s">
        <v>48</v>
      </c>
      <c r="AB988" s="5" t="s">
        <v>4827</v>
      </c>
      <c r="AC988" s="6" t="s">
        <v>71</v>
      </c>
      <c r="AD988" s="6">
        <v>7045.0</v>
      </c>
    </row>
    <row r="989" ht="56.25" customHeight="1">
      <c r="A989" s="5" t="s">
        <v>4804</v>
      </c>
      <c r="B989" s="6" t="str">
        <f>IMAGE("https://storage.googleapis.com/acdb/miscellaneous/FtrKalimbaCan_Remake_4_0.png")</f>
        <v/>
      </c>
      <c r="C989" s="5" t="s">
        <v>4830</v>
      </c>
      <c r="D989" s="5" t="s">
        <v>4806</v>
      </c>
      <c r="E989" s="5" t="s">
        <v>34</v>
      </c>
      <c r="F989" s="5" t="s">
        <v>34</v>
      </c>
      <c r="G989" s="5" t="s">
        <v>35</v>
      </c>
      <c r="H989" s="5" t="s">
        <v>35</v>
      </c>
      <c r="I989" s="5" t="s">
        <v>36</v>
      </c>
      <c r="J989" s="6">
        <v>2.0</v>
      </c>
      <c r="K989" s="6" t="s">
        <v>37</v>
      </c>
      <c r="L989" s="6">
        <v>890.0</v>
      </c>
      <c r="M989" s="5" t="s">
        <v>52</v>
      </c>
      <c r="N989" s="5" t="s">
        <v>39</v>
      </c>
      <c r="O989" s="6" t="s">
        <v>40</v>
      </c>
      <c r="P989" s="5" t="s">
        <v>41</v>
      </c>
      <c r="Q989" s="5"/>
      <c r="R989" s="6" t="s">
        <v>42</v>
      </c>
      <c r="S989" s="5" t="s">
        <v>129</v>
      </c>
      <c r="T989" s="5" t="s">
        <v>44</v>
      </c>
      <c r="U989" s="5" t="s">
        <v>44</v>
      </c>
      <c r="V989" s="5" t="s">
        <v>44</v>
      </c>
      <c r="W989" s="5" t="s">
        <v>35</v>
      </c>
      <c r="X989" s="5" t="s">
        <v>45</v>
      </c>
      <c r="Y989" s="5" t="s">
        <v>46</v>
      </c>
      <c r="Z989" s="5" t="s">
        <v>47</v>
      </c>
      <c r="AA989" s="5" t="s">
        <v>48</v>
      </c>
      <c r="AB989" s="5" t="s">
        <v>4832</v>
      </c>
      <c r="AC989" s="6" t="s">
        <v>75</v>
      </c>
      <c r="AD989" s="6">
        <v>7045.0</v>
      </c>
    </row>
    <row r="990" ht="56.25" customHeight="1">
      <c r="A990" s="5" t="s">
        <v>4804</v>
      </c>
      <c r="B990" s="6" t="str">
        <f>IMAGE("https://storage.googleapis.com/acdb/miscellaneous/FtrKalimbaCan_Remake_5_0.png")</f>
        <v/>
      </c>
      <c r="C990" s="5" t="s">
        <v>4834</v>
      </c>
      <c r="D990" s="5" t="s">
        <v>4806</v>
      </c>
      <c r="E990" s="5" t="s">
        <v>34</v>
      </c>
      <c r="F990" s="5" t="s">
        <v>34</v>
      </c>
      <c r="G990" s="5" t="s">
        <v>35</v>
      </c>
      <c r="H990" s="5" t="s">
        <v>35</v>
      </c>
      <c r="I990" s="5" t="s">
        <v>36</v>
      </c>
      <c r="J990" s="6">
        <v>2.0</v>
      </c>
      <c r="K990" s="6" t="s">
        <v>37</v>
      </c>
      <c r="L990" s="6">
        <v>890.0</v>
      </c>
      <c r="M990" s="5" t="s">
        <v>54</v>
      </c>
      <c r="N990" s="5" t="s">
        <v>39</v>
      </c>
      <c r="O990" s="6" t="s">
        <v>40</v>
      </c>
      <c r="P990" s="5" t="s">
        <v>41</v>
      </c>
      <c r="Q990" s="5"/>
      <c r="R990" s="6" t="s">
        <v>42</v>
      </c>
      <c r="S990" s="5" t="s">
        <v>129</v>
      </c>
      <c r="T990" s="5" t="s">
        <v>44</v>
      </c>
      <c r="U990" s="5" t="s">
        <v>44</v>
      </c>
      <c r="V990" s="5" t="s">
        <v>44</v>
      </c>
      <c r="W990" s="5" t="s">
        <v>35</v>
      </c>
      <c r="X990" s="5" t="s">
        <v>45</v>
      </c>
      <c r="Y990" s="5" t="s">
        <v>46</v>
      </c>
      <c r="Z990" s="5" t="s">
        <v>47</v>
      </c>
      <c r="AA990" s="5" t="s">
        <v>48</v>
      </c>
      <c r="AB990" s="5" t="s">
        <v>4838</v>
      </c>
      <c r="AC990" s="6" t="s">
        <v>79</v>
      </c>
      <c r="AD990" s="6">
        <v>7045.0</v>
      </c>
    </row>
    <row r="991" ht="56.25" customHeight="1">
      <c r="A991" s="5" t="s">
        <v>4839</v>
      </c>
      <c r="B991" s="16" t="str">
        <f>IMAGE("https://storage.googleapis.com/acdb/miscellaneous/FtrInsectAkiakaneToy.png")</f>
        <v/>
      </c>
      <c r="C991" s="5" t="s">
        <v>34</v>
      </c>
      <c r="D991" s="5" t="s">
        <v>34</v>
      </c>
      <c r="E991" s="5" t="s">
        <v>34</v>
      </c>
      <c r="F991" s="5" t="s">
        <v>34</v>
      </c>
      <c r="G991" s="5" t="s">
        <v>36</v>
      </c>
      <c r="H991" s="5" t="s">
        <v>36</v>
      </c>
      <c r="I991" s="5" t="s">
        <v>36</v>
      </c>
      <c r="J991" s="6" t="s">
        <v>34</v>
      </c>
      <c r="K991" s="6" t="s">
        <v>37</v>
      </c>
      <c r="L991" s="6">
        <v>540.0</v>
      </c>
      <c r="M991" s="5" t="s">
        <v>52</v>
      </c>
      <c r="N991" s="5" t="s">
        <v>52</v>
      </c>
      <c r="O991" s="6" t="s">
        <v>40</v>
      </c>
      <c r="P991" s="5" t="s">
        <v>107</v>
      </c>
      <c r="Q991" s="5" t="s">
        <v>108</v>
      </c>
      <c r="R991" s="6" t="s">
        <v>42</v>
      </c>
      <c r="S991" s="5" t="s">
        <v>44</v>
      </c>
      <c r="T991" s="5" t="s">
        <v>44</v>
      </c>
      <c r="U991" s="5" t="s">
        <v>44</v>
      </c>
      <c r="V991" s="5" t="s">
        <v>44</v>
      </c>
      <c r="W991" s="5" t="s">
        <v>36</v>
      </c>
      <c r="X991" s="5" t="s">
        <v>109</v>
      </c>
      <c r="Y991" s="5" t="s">
        <v>46</v>
      </c>
      <c r="Z991" s="5" t="s">
        <v>47</v>
      </c>
      <c r="AA991" s="5" t="s">
        <v>48</v>
      </c>
      <c r="AB991" s="5" t="s">
        <v>4844</v>
      </c>
      <c r="AC991" s="6" t="s">
        <v>34</v>
      </c>
      <c r="AD991" s="6">
        <v>7050.0</v>
      </c>
    </row>
    <row r="992" ht="56.25" customHeight="1">
      <c r="A992" s="5" t="s">
        <v>4845</v>
      </c>
      <c r="B992" s="16" t="str">
        <f>IMAGE("https://storage.googleapis.com/acdb/miscellaneous/FtrFishTaiToy.png")</f>
        <v/>
      </c>
      <c r="C992" s="5" t="s">
        <v>34</v>
      </c>
      <c r="D992" s="5" t="s">
        <v>34</v>
      </c>
      <c r="E992" s="5" t="s">
        <v>34</v>
      </c>
      <c r="F992" s="5" t="s">
        <v>34</v>
      </c>
      <c r="G992" s="5" t="s">
        <v>36</v>
      </c>
      <c r="H992" s="5" t="s">
        <v>36</v>
      </c>
      <c r="I992" s="5" t="s">
        <v>36</v>
      </c>
      <c r="J992" s="6" t="s">
        <v>34</v>
      </c>
      <c r="K992" s="6" t="s">
        <v>37</v>
      </c>
      <c r="L992" s="6">
        <v>9000.0</v>
      </c>
      <c r="M992" s="5" t="s">
        <v>52</v>
      </c>
      <c r="N992" s="5" t="s">
        <v>54</v>
      </c>
      <c r="O992" s="6" t="s">
        <v>40</v>
      </c>
      <c r="P992" s="5" t="s">
        <v>213</v>
      </c>
      <c r="Q992" s="5" t="s">
        <v>215</v>
      </c>
      <c r="R992" s="6" t="s">
        <v>42</v>
      </c>
      <c r="S992" s="5" t="s">
        <v>44</v>
      </c>
      <c r="T992" s="5" t="s">
        <v>44</v>
      </c>
      <c r="U992" s="5" t="s">
        <v>44</v>
      </c>
      <c r="V992" s="5" t="s">
        <v>44</v>
      </c>
      <c r="W992" s="5" t="s">
        <v>36</v>
      </c>
      <c r="X992" s="5" t="s">
        <v>219</v>
      </c>
      <c r="Y992" s="5" t="s">
        <v>46</v>
      </c>
      <c r="Z992" s="5" t="s">
        <v>47</v>
      </c>
      <c r="AA992" s="5" t="s">
        <v>48</v>
      </c>
      <c r="AB992" s="5" t="s">
        <v>4850</v>
      </c>
      <c r="AC992" s="6" t="s">
        <v>34</v>
      </c>
      <c r="AD992" s="6">
        <v>7020.0</v>
      </c>
    </row>
    <row r="993" ht="56.25" customHeight="1">
      <c r="A993" s="5" t="s">
        <v>4851</v>
      </c>
      <c r="B993" s="6" t="str">
        <f>IMAGE("https://storage.googleapis.com/acdb/miscellaneous/FtrSeasoning_Remake_0_0.png")</f>
        <v/>
      </c>
      <c r="C993" s="5" t="s">
        <v>39</v>
      </c>
      <c r="D993" s="5" t="s">
        <v>34</v>
      </c>
      <c r="E993" s="5" t="s">
        <v>34</v>
      </c>
      <c r="F993" s="5" t="s">
        <v>34</v>
      </c>
      <c r="G993" s="5" t="s">
        <v>36</v>
      </c>
      <c r="H993" s="5" t="s">
        <v>36</v>
      </c>
      <c r="I993" s="5" t="s">
        <v>36</v>
      </c>
      <c r="J993" s="6" t="s">
        <v>34</v>
      </c>
      <c r="K993" s="6">
        <v>1400.0</v>
      </c>
      <c r="L993" s="6">
        <v>350.0</v>
      </c>
      <c r="M993" s="5" t="s">
        <v>38</v>
      </c>
      <c r="N993" s="5" t="s">
        <v>57</v>
      </c>
      <c r="O993" s="6" t="s">
        <v>40</v>
      </c>
      <c r="P993" s="5" t="s">
        <v>59</v>
      </c>
      <c r="Q993" s="5" t="s">
        <v>60</v>
      </c>
      <c r="R993" s="6" t="s">
        <v>42</v>
      </c>
      <c r="S993" s="5" t="s">
        <v>159</v>
      </c>
      <c r="T993" s="5" t="s">
        <v>62</v>
      </c>
      <c r="U993" s="5" t="s">
        <v>44</v>
      </c>
      <c r="V993" s="5" t="s">
        <v>44</v>
      </c>
      <c r="W993" s="5" t="s">
        <v>36</v>
      </c>
      <c r="X993" s="5" t="s">
        <v>160</v>
      </c>
      <c r="Y993" s="5" t="s">
        <v>46</v>
      </c>
      <c r="Z993" s="5" t="s">
        <v>47</v>
      </c>
      <c r="AA993" s="5" t="s">
        <v>64</v>
      </c>
      <c r="AB993" s="5" t="s">
        <v>4853</v>
      </c>
      <c r="AC993" s="6" t="s">
        <v>50</v>
      </c>
      <c r="AD993" s="6">
        <v>1125.0</v>
      </c>
    </row>
    <row r="994" ht="56.25" customHeight="1">
      <c r="A994" s="5" t="s">
        <v>4851</v>
      </c>
      <c r="B994" s="6" t="str">
        <f>IMAGE("https://storage.googleapis.com/acdb/miscellaneous/FtrSeasoning_Remake_1_0.png")</f>
        <v/>
      </c>
      <c r="C994" s="5" t="s">
        <v>142</v>
      </c>
      <c r="D994" s="5" t="s">
        <v>34</v>
      </c>
      <c r="E994" s="5" t="s">
        <v>34</v>
      </c>
      <c r="F994" s="5" t="s">
        <v>34</v>
      </c>
      <c r="G994" s="5" t="s">
        <v>36</v>
      </c>
      <c r="H994" s="5" t="s">
        <v>36</v>
      </c>
      <c r="I994" s="5" t="s">
        <v>36</v>
      </c>
      <c r="J994" s="6" t="s">
        <v>34</v>
      </c>
      <c r="K994" s="6">
        <v>1400.0</v>
      </c>
      <c r="L994" s="6">
        <v>350.0</v>
      </c>
      <c r="M994" s="5" t="s">
        <v>142</v>
      </c>
      <c r="N994" s="5" t="s">
        <v>58</v>
      </c>
      <c r="O994" s="6" t="s">
        <v>40</v>
      </c>
      <c r="P994" s="5" t="s">
        <v>59</v>
      </c>
      <c r="Q994" s="5" t="s">
        <v>60</v>
      </c>
      <c r="R994" s="6" t="s">
        <v>42</v>
      </c>
      <c r="S994" s="5" t="s">
        <v>159</v>
      </c>
      <c r="T994" s="5" t="s">
        <v>62</v>
      </c>
      <c r="U994" s="5" t="s">
        <v>44</v>
      </c>
      <c r="V994" s="5" t="s">
        <v>44</v>
      </c>
      <c r="W994" s="5" t="s">
        <v>36</v>
      </c>
      <c r="X994" s="5" t="s">
        <v>160</v>
      </c>
      <c r="Y994" s="5" t="s">
        <v>46</v>
      </c>
      <c r="Z994" s="5" t="s">
        <v>47</v>
      </c>
      <c r="AA994" s="5" t="s">
        <v>64</v>
      </c>
      <c r="AB994" s="5" t="s">
        <v>4857</v>
      </c>
      <c r="AC994" s="6" t="s">
        <v>56</v>
      </c>
      <c r="AD994" s="6">
        <v>1125.0</v>
      </c>
    </row>
    <row r="995" ht="56.25" customHeight="1">
      <c r="A995" s="5" t="s">
        <v>4851</v>
      </c>
      <c r="B995" s="6" t="str">
        <f>IMAGE("https://storage.googleapis.com/acdb/miscellaneous/FtrSeasoning_Remake_2_0.png")</f>
        <v/>
      </c>
      <c r="C995" s="5" t="s">
        <v>57</v>
      </c>
      <c r="D995" s="5" t="s">
        <v>34</v>
      </c>
      <c r="E995" s="5" t="s">
        <v>34</v>
      </c>
      <c r="F995" s="5" t="s">
        <v>34</v>
      </c>
      <c r="G995" s="5" t="s">
        <v>36</v>
      </c>
      <c r="H995" s="5" t="s">
        <v>36</v>
      </c>
      <c r="I995" s="5" t="s">
        <v>36</v>
      </c>
      <c r="J995" s="6" t="s">
        <v>34</v>
      </c>
      <c r="K995" s="6">
        <v>1400.0</v>
      </c>
      <c r="L995" s="6">
        <v>350.0</v>
      </c>
      <c r="M995" s="5" t="s">
        <v>57</v>
      </c>
      <c r="N995" s="5" t="s">
        <v>54</v>
      </c>
      <c r="O995" s="6" t="s">
        <v>40</v>
      </c>
      <c r="P995" s="5" t="s">
        <v>59</v>
      </c>
      <c r="Q995" s="5" t="s">
        <v>60</v>
      </c>
      <c r="R995" s="6" t="s">
        <v>42</v>
      </c>
      <c r="S995" s="5" t="s">
        <v>159</v>
      </c>
      <c r="T995" s="5" t="s">
        <v>62</v>
      </c>
      <c r="U995" s="5" t="s">
        <v>44</v>
      </c>
      <c r="V995" s="5" t="s">
        <v>44</v>
      </c>
      <c r="W995" s="5" t="s">
        <v>36</v>
      </c>
      <c r="X995" s="5" t="s">
        <v>160</v>
      </c>
      <c r="Y995" s="5" t="s">
        <v>46</v>
      </c>
      <c r="Z995" s="5" t="s">
        <v>47</v>
      </c>
      <c r="AA995" s="5" t="s">
        <v>64</v>
      </c>
      <c r="AB995" s="5" t="s">
        <v>4860</v>
      </c>
      <c r="AC995" s="6" t="s">
        <v>67</v>
      </c>
      <c r="AD995" s="6">
        <v>1125.0</v>
      </c>
    </row>
    <row r="996" ht="56.25" customHeight="1">
      <c r="A996" s="5" t="s">
        <v>4861</v>
      </c>
      <c r="B996" s="16" t="str">
        <f>IMAGE("https://storage.googleapis.com/acdb/miscellaneous/FtrFishHanahigeutuboToy.png")</f>
        <v/>
      </c>
      <c r="C996" s="5" t="s">
        <v>34</v>
      </c>
      <c r="D996" s="5" t="s">
        <v>34</v>
      </c>
      <c r="E996" s="5" t="s">
        <v>34</v>
      </c>
      <c r="F996" s="5" t="s">
        <v>34</v>
      </c>
      <c r="G996" s="5" t="s">
        <v>36</v>
      </c>
      <c r="H996" s="5" t="s">
        <v>36</v>
      </c>
      <c r="I996" s="5" t="s">
        <v>36</v>
      </c>
      <c r="J996" s="6" t="s">
        <v>34</v>
      </c>
      <c r="K996" s="6" t="s">
        <v>37</v>
      </c>
      <c r="L996" s="6">
        <v>1800.0</v>
      </c>
      <c r="M996" s="5" t="s">
        <v>68</v>
      </c>
      <c r="N996" s="5" t="s">
        <v>54</v>
      </c>
      <c r="O996" s="6" t="s">
        <v>40</v>
      </c>
      <c r="P996" s="5" t="s">
        <v>213</v>
      </c>
      <c r="Q996" s="5" t="s">
        <v>215</v>
      </c>
      <c r="R996" s="6" t="s">
        <v>42</v>
      </c>
      <c r="S996" s="5" t="s">
        <v>44</v>
      </c>
      <c r="T996" s="5" t="s">
        <v>44</v>
      </c>
      <c r="U996" s="5" t="s">
        <v>44</v>
      </c>
      <c r="V996" s="5" t="s">
        <v>44</v>
      </c>
      <c r="W996" s="5" t="s">
        <v>36</v>
      </c>
      <c r="X996" s="5" t="s">
        <v>219</v>
      </c>
      <c r="Y996" s="5" t="s">
        <v>46</v>
      </c>
      <c r="Z996" s="5" t="s">
        <v>47</v>
      </c>
      <c r="AA996" s="5" t="s">
        <v>48</v>
      </c>
      <c r="AB996" s="5" t="s">
        <v>4866</v>
      </c>
      <c r="AC996" s="6" t="s">
        <v>34</v>
      </c>
      <c r="AD996" s="6">
        <v>6955.0</v>
      </c>
    </row>
    <row r="997" ht="56.25" customHeight="1">
      <c r="A997" s="5" t="s">
        <v>4867</v>
      </c>
      <c r="B997" s="6" t="str">
        <f>IMAGE("https://storage.googleapis.com/acdb/miscellaneous/FtrRiceCooker_Remake_0_0.png")</f>
        <v/>
      </c>
      <c r="C997" s="5" t="s">
        <v>57</v>
      </c>
      <c r="D997" s="5" t="s">
        <v>34</v>
      </c>
      <c r="E997" s="5" t="s">
        <v>34</v>
      </c>
      <c r="F997" s="5" t="s">
        <v>34</v>
      </c>
      <c r="G997" s="5" t="s">
        <v>36</v>
      </c>
      <c r="H997" s="5" t="s">
        <v>36</v>
      </c>
      <c r="I997" s="5" t="s">
        <v>36</v>
      </c>
      <c r="J997" s="6" t="s">
        <v>34</v>
      </c>
      <c r="K997" s="6">
        <v>2500.0</v>
      </c>
      <c r="L997" s="6">
        <v>625.0</v>
      </c>
      <c r="M997" s="5" t="s">
        <v>57</v>
      </c>
      <c r="N997" s="5" t="s">
        <v>95</v>
      </c>
      <c r="O997" s="6" t="s">
        <v>40</v>
      </c>
      <c r="P997" s="5" t="s">
        <v>59</v>
      </c>
      <c r="Q997" s="5" t="s">
        <v>60</v>
      </c>
      <c r="R997" s="6" t="s">
        <v>42</v>
      </c>
      <c r="S997" s="5" t="s">
        <v>159</v>
      </c>
      <c r="T997" s="5" t="s">
        <v>62</v>
      </c>
      <c r="U997" s="5" t="s">
        <v>44</v>
      </c>
      <c r="V997" s="5" t="s">
        <v>44</v>
      </c>
      <c r="W997" s="5" t="s">
        <v>35</v>
      </c>
      <c r="X997" s="5" t="s">
        <v>160</v>
      </c>
      <c r="Y997" s="5" t="s">
        <v>46</v>
      </c>
      <c r="Z997" s="5" t="s">
        <v>47</v>
      </c>
      <c r="AA997" s="5" t="s">
        <v>64</v>
      </c>
      <c r="AB997" s="5" t="s">
        <v>4871</v>
      </c>
      <c r="AC997" s="6" t="s">
        <v>50</v>
      </c>
      <c r="AD997" s="6">
        <v>1888.0</v>
      </c>
    </row>
    <row r="998" ht="56.25" customHeight="1">
      <c r="A998" s="5" t="s">
        <v>4867</v>
      </c>
      <c r="B998" s="6" t="str">
        <f>IMAGE("https://storage.googleapis.com/acdb/miscellaneous/FtrRiceCooker_Remake_1_0.png")</f>
        <v/>
      </c>
      <c r="C998" s="5" t="s">
        <v>146</v>
      </c>
      <c r="D998" s="5" t="s">
        <v>34</v>
      </c>
      <c r="E998" s="5" t="s">
        <v>34</v>
      </c>
      <c r="F998" s="5" t="s">
        <v>34</v>
      </c>
      <c r="G998" s="5" t="s">
        <v>36</v>
      </c>
      <c r="H998" s="5" t="s">
        <v>36</v>
      </c>
      <c r="I998" s="5" t="s">
        <v>36</v>
      </c>
      <c r="J998" s="6" t="s">
        <v>34</v>
      </c>
      <c r="K998" s="6">
        <v>2500.0</v>
      </c>
      <c r="L998" s="6">
        <v>625.0</v>
      </c>
      <c r="M998" s="5" t="s">
        <v>95</v>
      </c>
      <c r="N998" s="5" t="s">
        <v>57</v>
      </c>
      <c r="O998" s="6" t="s">
        <v>40</v>
      </c>
      <c r="P998" s="5" t="s">
        <v>59</v>
      </c>
      <c r="Q998" s="5" t="s">
        <v>60</v>
      </c>
      <c r="R998" s="6" t="s">
        <v>42</v>
      </c>
      <c r="S998" s="5" t="s">
        <v>159</v>
      </c>
      <c r="T998" s="5" t="s">
        <v>62</v>
      </c>
      <c r="U998" s="5" t="s">
        <v>44</v>
      </c>
      <c r="V998" s="5" t="s">
        <v>44</v>
      </c>
      <c r="W998" s="5" t="s">
        <v>35</v>
      </c>
      <c r="X998" s="5" t="s">
        <v>160</v>
      </c>
      <c r="Y998" s="5" t="s">
        <v>46</v>
      </c>
      <c r="Z998" s="5" t="s">
        <v>47</v>
      </c>
      <c r="AA998" s="5" t="s">
        <v>64</v>
      </c>
      <c r="AB998" s="5" t="s">
        <v>4876</v>
      </c>
      <c r="AC998" s="6" t="s">
        <v>56</v>
      </c>
      <c r="AD998" s="6">
        <v>1888.0</v>
      </c>
    </row>
    <row r="999" ht="56.25" customHeight="1">
      <c r="A999" s="5" t="s">
        <v>4867</v>
      </c>
      <c r="B999" s="6" t="str">
        <f>IMAGE("https://storage.googleapis.com/acdb/miscellaneous/FtrRiceCooker_Remake_2_0.png")</f>
        <v/>
      </c>
      <c r="C999" s="5" t="s">
        <v>39</v>
      </c>
      <c r="D999" s="5" t="s">
        <v>34</v>
      </c>
      <c r="E999" s="5" t="s">
        <v>34</v>
      </c>
      <c r="F999" s="5" t="s">
        <v>34</v>
      </c>
      <c r="G999" s="5" t="s">
        <v>36</v>
      </c>
      <c r="H999" s="5" t="s">
        <v>36</v>
      </c>
      <c r="I999" s="5" t="s">
        <v>36</v>
      </c>
      <c r="J999" s="6" t="s">
        <v>34</v>
      </c>
      <c r="K999" s="6">
        <v>2500.0</v>
      </c>
      <c r="L999" s="6">
        <v>625.0</v>
      </c>
      <c r="M999" s="5" t="s">
        <v>39</v>
      </c>
      <c r="N999" s="5" t="s">
        <v>39</v>
      </c>
      <c r="O999" s="6" t="s">
        <v>40</v>
      </c>
      <c r="P999" s="5" t="s">
        <v>59</v>
      </c>
      <c r="Q999" s="5" t="s">
        <v>60</v>
      </c>
      <c r="R999" s="6" t="s">
        <v>42</v>
      </c>
      <c r="S999" s="5" t="s">
        <v>159</v>
      </c>
      <c r="T999" s="5" t="s">
        <v>62</v>
      </c>
      <c r="U999" s="5" t="s">
        <v>44</v>
      </c>
      <c r="V999" s="5" t="s">
        <v>44</v>
      </c>
      <c r="W999" s="5" t="s">
        <v>35</v>
      </c>
      <c r="X999" s="5" t="s">
        <v>160</v>
      </c>
      <c r="Y999" s="5" t="s">
        <v>46</v>
      </c>
      <c r="Z999" s="5" t="s">
        <v>47</v>
      </c>
      <c r="AA999" s="5" t="s">
        <v>64</v>
      </c>
      <c r="AB999" s="5" t="s">
        <v>4880</v>
      </c>
      <c r="AC999" s="6" t="s">
        <v>67</v>
      </c>
      <c r="AD999" s="6">
        <v>1888.0</v>
      </c>
    </row>
    <row r="1000" ht="56.25" customHeight="1">
      <c r="A1000" s="5" t="s">
        <v>4867</v>
      </c>
      <c r="B1000" s="6" t="str">
        <f>IMAGE("https://storage.googleapis.com/acdb/miscellaneous/FtrRiceCooker_Remake_3_0.png")</f>
        <v/>
      </c>
      <c r="C1000" s="5" t="s">
        <v>4883</v>
      </c>
      <c r="D1000" s="5" t="s">
        <v>34</v>
      </c>
      <c r="E1000" s="5" t="s">
        <v>34</v>
      </c>
      <c r="F1000" s="5" t="s">
        <v>34</v>
      </c>
      <c r="G1000" s="5" t="s">
        <v>36</v>
      </c>
      <c r="H1000" s="5" t="s">
        <v>36</v>
      </c>
      <c r="I1000" s="5" t="s">
        <v>36</v>
      </c>
      <c r="J1000" s="6" t="s">
        <v>34</v>
      </c>
      <c r="K1000" s="6">
        <v>2500.0</v>
      </c>
      <c r="L1000" s="6">
        <v>625.0</v>
      </c>
      <c r="M1000" s="5" t="s">
        <v>52</v>
      </c>
      <c r="N1000" s="5" t="s">
        <v>52</v>
      </c>
      <c r="O1000" s="6" t="s">
        <v>40</v>
      </c>
      <c r="P1000" s="5" t="s">
        <v>59</v>
      </c>
      <c r="Q1000" s="5" t="s">
        <v>60</v>
      </c>
      <c r="R1000" s="6" t="s">
        <v>42</v>
      </c>
      <c r="S1000" s="5" t="s">
        <v>159</v>
      </c>
      <c r="T1000" s="5" t="s">
        <v>62</v>
      </c>
      <c r="U1000" s="5" t="s">
        <v>44</v>
      </c>
      <c r="V1000" s="5" t="s">
        <v>44</v>
      </c>
      <c r="W1000" s="5" t="s">
        <v>35</v>
      </c>
      <c r="X1000" s="5" t="s">
        <v>160</v>
      </c>
      <c r="Y1000" s="5" t="s">
        <v>46</v>
      </c>
      <c r="Z1000" s="5" t="s">
        <v>47</v>
      </c>
      <c r="AA1000" s="5" t="s">
        <v>64</v>
      </c>
      <c r="AB1000" s="5" t="s">
        <v>4887</v>
      </c>
      <c r="AC1000" s="6" t="s">
        <v>71</v>
      </c>
      <c r="AD1000" s="6">
        <v>1888.0</v>
      </c>
    </row>
    <row r="1001" ht="56.25" customHeight="1">
      <c r="A1001" s="5" t="s">
        <v>4867</v>
      </c>
      <c r="B1001" s="6" t="str">
        <f>IMAGE("https://storage.googleapis.com/acdb/miscellaneous/FtrRiceCooker_Remake_4_0.png")</f>
        <v/>
      </c>
      <c r="C1001" s="5" t="s">
        <v>54</v>
      </c>
      <c r="D1001" s="5" t="s">
        <v>34</v>
      </c>
      <c r="E1001" s="5" t="s">
        <v>34</v>
      </c>
      <c r="F1001" s="5" t="s">
        <v>34</v>
      </c>
      <c r="G1001" s="5" t="s">
        <v>36</v>
      </c>
      <c r="H1001" s="5" t="s">
        <v>36</v>
      </c>
      <c r="I1001" s="5" t="s">
        <v>36</v>
      </c>
      <c r="J1001" s="6" t="s">
        <v>34</v>
      </c>
      <c r="K1001" s="6">
        <v>2500.0</v>
      </c>
      <c r="L1001" s="6">
        <v>625.0</v>
      </c>
      <c r="M1001" s="5" t="s">
        <v>54</v>
      </c>
      <c r="N1001" s="5" t="s">
        <v>54</v>
      </c>
      <c r="O1001" s="6" t="s">
        <v>40</v>
      </c>
      <c r="P1001" s="5" t="s">
        <v>59</v>
      </c>
      <c r="Q1001" s="5" t="s">
        <v>60</v>
      </c>
      <c r="R1001" s="6" t="s">
        <v>42</v>
      </c>
      <c r="S1001" s="5" t="s">
        <v>159</v>
      </c>
      <c r="T1001" s="5" t="s">
        <v>62</v>
      </c>
      <c r="U1001" s="5" t="s">
        <v>44</v>
      </c>
      <c r="V1001" s="5" t="s">
        <v>44</v>
      </c>
      <c r="W1001" s="5" t="s">
        <v>35</v>
      </c>
      <c r="X1001" s="5" t="s">
        <v>160</v>
      </c>
      <c r="Y1001" s="5" t="s">
        <v>46</v>
      </c>
      <c r="Z1001" s="5" t="s">
        <v>47</v>
      </c>
      <c r="AA1001" s="5" t="s">
        <v>64</v>
      </c>
      <c r="AB1001" s="5" t="s">
        <v>4892</v>
      </c>
      <c r="AC1001" s="6" t="s">
        <v>75</v>
      </c>
      <c r="AD1001" s="6">
        <v>1888.0</v>
      </c>
    </row>
    <row r="1002" ht="56.25" customHeight="1">
      <c r="A1002" s="5" t="s">
        <v>4893</v>
      </c>
      <c r="B1002" s="16" t="str">
        <f>IMAGE("https://storage.googleapis.com/acdb/miscellaneous/FtrInsectInagoToy.png")</f>
        <v/>
      </c>
      <c r="C1002" s="5" t="s">
        <v>34</v>
      </c>
      <c r="D1002" s="5" t="s">
        <v>34</v>
      </c>
      <c r="E1002" s="5" t="s">
        <v>34</v>
      </c>
      <c r="F1002" s="5" t="s">
        <v>34</v>
      </c>
      <c r="G1002" s="5" t="s">
        <v>36</v>
      </c>
      <c r="H1002" s="5" t="s">
        <v>36</v>
      </c>
      <c r="I1002" s="5" t="s">
        <v>36</v>
      </c>
      <c r="J1002" s="6" t="s">
        <v>34</v>
      </c>
      <c r="K1002" s="6" t="s">
        <v>37</v>
      </c>
      <c r="L1002" s="6">
        <v>1200.0</v>
      </c>
      <c r="M1002" s="5" t="s">
        <v>96</v>
      </c>
      <c r="N1002" s="5" t="s">
        <v>96</v>
      </c>
      <c r="O1002" s="6" t="s">
        <v>40</v>
      </c>
      <c r="P1002" s="5" t="s">
        <v>107</v>
      </c>
      <c r="Q1002" s="5" t="s">
        <v>108</v>
      </c>
      <c r="R1002" s="6" t="s">
        <v>42</v>
      </c>
      <c r="S1002" s="5" t="s">
        <v>44</v>
      </c>
      <c r="T1002" s="5" t="s">
        <v>44</v>
      </c>
      <c r="U1002" s="5" t="s">
        <v>44</v>
      </c>
      <c r="V1002" s="5" t="s">
        <v>44</v>
      </c>
      <c r="W1002" s="5" t="s">
        <v>36</v>
      </c>
      <c r="X1002" s="5" t="s">
        <v>109</v>
      </c>
      <c r="Y1002" s="5" t="s">
        <v>46</v>
      </c>
      <c r="Z1002" s="5" t="s">
        <v>47</v>
      </c>
      <c r="AA1002" s="5" t="s">
        <v>48</v>
      </c>
      <c r="AB1002" s="5" t="s">
        <v>4898</v>
      </c>
      <c r="AC1002" s="6" t="s">
        <v>34</v>
      </c>
      <c r="AD1002" s="6">
        <v>7067.0</v>
      </c>
    </row>
    <row r="1003" ht="56.25" customHeight="1">
      <c r="A1003" s="5" t="s">
        <v>4901</v>
      </c>
      <c r="B1003" s="6" t="str">
        <f>IMAGE("https://storage.googleapis.com/acdb/miscellaneous/FtrRing_Remake_0_0.png")</f>
        <v/>
      </c>
      <c r="C1003" s="5" t="s">
        <v>52</v>
      </c>
      <c r="D1003" s="5" t="s">
        <v>34</v>
      </c>
      <c r="E1003" s="5" t="s">
        <v>34</v>
      </c>
      <c r="F1003" s="5" t="s">
        <v>34</v>
      </c>
      <c r="G1003" s="5" t="s">
        <v>36</v>
      </c>
      <c r="H1003" s="5" t="s">
        <v>36</v>
      </c>
      <c r="I1003" s="5" t="s">
        <v>36</v>
      </c>
      <c r="J1003" s="6" t="s">
        <v>34</v>
      </c>
      <c r="K1003" s="6">
        <v>69000.0</v>
      </c>
      <c r="L1003" s="6">
        <v>17250.0</v>
      </c>
      <c r="M1003" s="5" t="s">
        <v>52</v>
      </c>
      <c r="N1003" s="5" t="s">
        <v>83</v>
      </c>
      <c r="O1003" s="6" t="s">
        <v>40</v>
      </c>
      <c r="P1003" s="5" t="s">
        <v>59</v>
      </c>
      <c r="Q1003" s="5" t="s">
        <v>115</v>
      </c>
      <c r="R1003" s="6" t="s">
        <v>42</v>
      </c>
      <c r="S1003" s="5" t="s">
        <v>116</v>
      </c>
      <c r="T1003" s="5" t="s">
        <v>61</v>
      </c>
      <c r="U1003" s="5" t="s">
        <v>44</v>
      </c>
      <c r="V1003" s="5" t="s">
        <v>44</v>
      </c>
      <c r="W1003" s="5" t="s">
        <v>35</v>
      </c>
      <c r="X1003" s="5" t="s">
        <v>63</v>
      </c>
      <c r="Y1003" s="5" t="s">
        <v>46</v>
      </c>
      <c r="Z1003" s="5" t="s">
        <v>47</v>
      </c>
      <c r="AA1003" s="5" t="s">
        <v>64</v>
      </c>
      <c r="AB1003" s="5" t="s">
        <v>4905</v>
      </c>
      <c r="AC1003" s="6" t="s">
        <v>50</v>
      </c>
      <c r="AD1003" s="6">
        <v>1889.0</v>
      </c>
    </row>
    <row r="1004" ht="56.25" customHeight="1">
      <c r="A1004" s="5" t="s">
        <v>4901</v>
      </c>
      <c r="B1004" s="6" t="str">
        <f>IMAGE("https://storage.googleapis.com/acdb/miscellaneous/FtrRing_Remake_1_0.png")</f>
        <v/>
      </c>
      <c r="C1004" s="5" t="s">
        <v>68</v>
      </c>
      <c r="D1004" s="5" t="s">
        <v>34</v>
      </c>
      <c r="E1004" s="5" t="s">
        <v>34</v>
      </c>
      <c r="F1004" s="5" t="s">
        <v>34</v>
      </c>
      <c r="G1004" s="5" t="s">
        <v>36</v>
      </c>
      <c r="H1004" s="5" t="s">
        <v>36</v>
      </c>
      <c r="I1004" s="5" t="s">
        <v>36</v>
      </c>
      <c r="J1004" s="6" t="s">
        <v>34</v>
      </c>
      <c r="K1004" s="6">
        <v>69000.0</v>
      </c>
      <c r="L1004" s="6">
        <v>17250.0</v>
      </c>
      <c r="M1004" s="5" t="s">
        <v>68</v>
      </c>
      <c r="N1004" s="5" t="s">
        <v>83</v>
      </c>
      <c r="O1004" s="6" t="s">
        <v>40</v>
      </c>
      <c r="P1004" s="5" t="s">
        <v>59</v>
      </c>
      <c r="Q1004" s="5" t="s">
        <v>115</v>
      </c>
      <c r="R1004" s="6" t="s">
        <v>42</v>
      </c>
      <c r="S1004" s="5" t="s">
        <v>116</v>
      </c>
      <c r="T1004" s="5" t="s">
        <v>61</v>
      </c>
      <c r="U1004" s="5" t="s">
        <v>44</v>
      </c>
      <c r="V1004" s="5" t="s">
        <v>44</v>
      </c>
      <c r="W1004" s="5" t="s">
        <v>35</v>
      </c>
      <c r="X1004" s="5" t="s">
        <v>63</v>
      </c>
      <c r="Y1004" s="5" t="s">
        <v>46</v>
      </c>
      <c r="Z1004" s="5" t="s">
        <v>47</v>
      </c>
      <c r="AA1004" s="5" t="s">
        <v>64</v>
      </c>
      <c r="AB1004" s="5" t="s">
        <v>4909</v>
      </c>
      <c r="AC1004" s="6" t="s">
        <v>56</v>
      </c>
      <c r="AD1004" s="6">
        <v>1889.0</v>
      </c>
    </row>
    <row r="1005" ht="56.25" customHeight="1">
      <c r="A1005" s="5" t="s">
        <v>4901</v>
      </c>
      <c r="B1005" s="6" t="str">
        <f>IMAGE("https://storage.googleapis.com/acdb/miscellaneous/FtrRing_Remake_2_0.png")</f>
        <v/>
      </c>
      <c r="C1005" s="5" t="s">
        <v>96</v>
      </c>
      <c r="D1005" s="5" t="s">
        <v>34</v>
      </c>
      <c r="E1005" s="5" t="s">
        <v>34</v>
      </c>
      <c r="F1005" s="5" t="s">
        <v>34</v>
      </c>
      <c r="G1005" s="5" t="s">
        <v>36</v>
      </c>
      <c r="H1005" s="5" t="s">
        <v>36</v>
      </c>
      <c r="I1005" s="5" t="s">
        <v>36</v>
      </c>
      <c r="J1005" s="6" t="s">
        <v>34</v>
      </c>
      <c r="K1005" s="6">
        <v>69000.0</v>
      </c>
      <c r="L1005" s="6">
        <v>17250.0</v>
      </c>
      <c r="M1005" s="5" t="s">
        <v>96</v>
      </c>
      <c r="N1005" s="5" t="s">
        <v>52</v>
      </c>
      <c r="O1005" s="6" t="s">
        <v>40</v>
      </c>
      <c r="P1005" s="5" t="s">
        <v>59</v>
      </c>
      <c r="Q1005" s="5" t="s">
        <v>115</v>
      </c>
      <c r="R1005" s="6" t="s">
        <v>42</v>
      </c>
      <c r="S1005" s="5" t="s">
        <v>116</v>
      </c>
      <c r="T1005" s="5" t="s">
        <v>61</v>
      </c>
      <c r="U1005" s="5" t="s">
        <v>44</v>
      </c>
      <c r="V1005" s="5" t="s">
        <v>44</v>
      </c>
      <c r="W1005" s="5" t="s">
        <v>35</v>
      </c>
      <c r="X1005" s="5" t="s">
        <v>63</v>
      </c>
      <c r="Y1005" s="5" t="s">
        <v>46</v>
      </c>
      <c r="Z1005" s="5" t="s">
        <v>47</v>
      </c>
      <c r="AA1005" s="5" t="s">
        <v>64</v>
      </c>
      <c r="AB1005" s="5" t="s">
        <v>4915</v>
      </c>
      <c r="AC1005" s="6" t="s">
        <v>67</v>
      </c>
      <c r="AD1005" s="6">
        <v>1889.0</v>
      </c>
    </row>
    <row r="1006" ht="56.25" customHeight="1">
      <c r="A1006" s="5" t="s">
        <v>4901</v>
      </c>
      <c r="B1006" s="6" t="str">
        <f>IMAGE("https://storage.googleapis.com/acdb/miscellaneous/FtrRing_Remake_3_0.png")</f>
        <v/>
      </c>
      <c r="C1006" s="5" t="s">
        <v>57</v>
      </c>
      <c r="D1006" s="5" t="s">
        <v>34</v>
      </c>
      <c r="E1006" s="5" t="s">
        <v>34</v>
      </c>
      <c r="F1006" s="5" t="s">
        <v>34</v>
      </c>
      <c r="G1006" s="5" t="s">
        <v>36</v>
      </c>
      <c r="H1006" s="5" t="s">
        <v>36</v>
      </c>
      <c r="I1006" s="5" t="s">
        <v>36</v>
      </c>
      <c r="J1006" s="6" t="s">
        <v>34</v>
      </c>
      <c r="K1006" s="6">
        <v>69000.0</v>
      </c>
      <c r="L1006" s="6">
        <v>17250.0</v>
      </c>
      <c r="M1006" s="5" t="s">
        <v>57</v>
      </c>
      <c r="N1006" s="5" t="s">
        <v>69</v>
      </c>
      <c r="O1006" s="6" t="s">
        <v>40</v>
      </c>
      <c r="P1006" s="5" t="s">
        <v>59</v>
      </c>
      <c r="Q1006" s="5" t="s">
        <v>115</v>
      </c>
      <c r="R1006" s="6" t="s">
        <v>42</v>
      </c>
      <c r="S1006" s="5" t="s">
        <v>116</v>
      </c>
      <c r="T1006" s="5" t="s">
        <v>61</v>
      </c>
      <c r="U1006" s="5" t="s">
        <v>44</v>
      </c>
      <c r="V1006" s="5" t="s">
        <v>44</v>
      </c>
      <c r="W1006" s="5" t="s">
        <v>35</v>
      </c>
      <c r="X1006" s="5" t="s">
        <v>63</v>
      </c>
      <c r="Y1006" s="5" t="s">
        <v>46</v>
      </c>
      <c r="Z1006" s="5" t="s">
        <v>47</v>
      </c>
      <c r="AA1006" s="5" t="s">
        <v>64</v>
      </c>
      <c r="AB1006" s="5" t="s">
        <v>4920</v>
      </c>
      <c r="AC1006" s="6" t="s">
        <v>71</v>
      </c>
      <c r="AD1006" s="6">
        <v>1889.0</v>
      </c>
    </row>
    <row r="1007" ht="56.25" customHeight="1">
      <c r="A1007" s="5" t="s">
        <v>4901</v>
      </c>
      <c r="B1007" s="6" t="str">
        <f>IMAGE("https://storage.googleapis.com/acdb/miscellaneous/FtrRing_Remake_4_0.png")</f>
        <v/>
      </c>
      <c r="C1007" s="5" t="s">
        <v>1174</v>
      </c>
      <c r="D1007" s="5" t="s">
        <v>34</v>
      </c>
      <c r="E1007" s="5" t="s">
        <v>34</v>
      </c>
      <c r="F1007" s="5" t="s">
        <v>34</v>
      </c>
      <c r="G1007" s="5" t="s">
        <v>36</v>
      </c>
      <c r="H1007" s="5" t="s">
        <v>36</v>
      </c>
      <c r="I1007" s="5" t="s">
        <v>36</v>
      </c>
      <c r="J1007" s="6" t="s">
        <v>34</v>
      </c>
      <c r="K1007" s="6">
        <v>69000.0</v>
      </c>
      <c r="L1007" s="6">
        <v>17250.0</v>
      </c>
      <c r="M1007" s="5" t="s">
        <v>83</v>
      </c>
      <c r="N1007" s="5" t="s">
        <v>114</v>
      </c>
      <c r="O1007" s="6" t="s">
        <v>40</v>
      </c>
      <c r="P1007" s="5" t="s">
        <v>59</v>
      </c>
      <c r="Q1007" s="5" t="s">
        <v>115</v>
      </c>
      <c r="R1007" s="6" t="s">
        <v>42</v>
      </c>
      <c r="S1007" s="5" t="s">
        <v>116</v>
      </c>
      <c r="T1007" s="5" t="s">
        <v>61</v>
      </c>
      <c r="U1007" s="5" t="s">
        <v>44</v>
      </c>
      <c r="V1007" s="5" t="s">
        <v>44</v>
      </c>
      <c r="W1007" s="5" t="s">
        <v>35</v>
      </c>
      <c r="X1007" s="5" t="s">
        <v>63</v>
      </c>
      <c r="Y1007" s="5" t="s">
        <v>46</v>
      </c>
      <c r="Z1007" s="5" t="s">
        <v>47</v>
      </c>
      <c r="AA1007" s="5" t="s">
        <v>64</v>
      </c>
      <c r="AB1007" s="5" t="s">
        <v>4926</v>
      </c>
      <c r="AC1007" s="6" t="s">
        <v>75</v>
      </c>
      <c r="AD1007" s="6">
        <v>1889.0</v>
      </c>
    </row>
    <row r="1008" ht="56.25" customHeight="1">
      <c r="A1008" s="5" t="s">
        <v>4901</v>
      </c>
      <c r="B1008" s="6" t="str">
        <f>IMAGE("https://storage.googleapis.com/acdb/miscellaneous/FtrRing_Remake_5_0.png")</f>
        <v/>
      </c>
      <c r="C1008" s="5" t="s">
        <v>39</v>
      </c>
      <c r="D1008" s="5" t="s">
        <v>34</v>
      </c>
      <c r="E1008" s="5" t="s">
        <v>34</v>
      </c>
      <c r="F1008" s="5" t="s">
        <v>34</v>
      </c>
      <c r="G1008" s="5" t="s">
        <v>36</v>
      </c>
      <c r="H1008" s="5" t="s">
        <v>36</v>
      </c>
      <c r="I1008" s="5" t="s">
        <v>36</v>
      </c>
      <c r="J1008" s="6" t="s">
        <v>34</v>
      </c>
      <c r="K1008" s="6">
        <v>69000.0</v>
      </c>
      <c r="L1008" s="6">
        <v>17250.0</v>
      </c>
      <c r="M1008" s="5" t="s">
        <v>39</v>
      </c>
      <c r="N1008" s="5" t="s">
        <v>96</v>
      </c>
      <c r="O1008" s="6" t="s">
        <v>40</v>
      </c>
      <c r="P1008" s="5" t="s">
        <v>59</v>
      </c>
      <c r="Q1008" s="5" t="s">
        <v>115</v>
      </c>
      <c r="R1008" s="6" t="s">
        <v>42</v>
      </c>
      <c r="S1008" s="5" t="s">
        <v>116</v>
      </c>
      <c r="T1008" s="5" t="s">
        <v>61</v>
      </c>
      <c r="U1008" s="5" t="s">
        <v>44</v>
      </c>
      <c r="V1008" s="5" t="s">
        <v>44</v>
      </c>
      <c r="W1008" s="5" t="s">
        <v>35</v>
      </c>
      <c r="X1008" s="5" t="s">
        <v>63</v>
      </c>
      <c r="Y1008" s="5" t="s">
        <v>46</v>
      </c>
      <c r="Z1008" s="5" t="s">
        <v>47</v>
      </c>
      <c r="AA1008" s="5" t="s">
        <v>64</v>
      </c>
      <c r="AB1008" s="5" t="s">
        <v>4933</v>
      </c>
      <c r="AC1008" s="6" t="s">
        <v>79</v>
      </c>
      <c r="AD1008" s="6">
        <v>1889.0</v>
      </c>
    </row>
    <row r="1009" ht="56.25" customHeight="1">
      <c r="A1009" s="5" t="s">
        <v>4901</v>
      </c>
      <c r="B1009" s="6" t="str">
        <f>IMAGE("https://storage.googleapis.com/acdb/miscellaneous/FtrRing_Remake_6_0.png")</f>
        <v/>
      </c>
      <c r="C1009" s="5" t="s">
        <v>54</v>
      </c>
      <c r="D1009" s="5" t="s">
        <v>34</v>
      </c>
      <c r="E1009" s="5" t="s">
        <v>34</v>
      </c>
      <c r="F1009" s="5" t="s">
        <v>34</v>
      </c>
      <c r="G1009" s="5" t="s">
        <v>36</v>
      </c>
      <c r="H1009" s="5" t="s">
        <v>36</v>
      </c>
      <c r="I1009" s="5" t="s">
        <v>36</v>
      </c>
      <c r="J1009" s="6" t="s">
        <v>34</v>
      </c>
      <c r="K1009" s="6">
        <v>69000.0</v>
      </c>
      <c r="L1009" s="6">
        <v>17250.0</v>
      </c>
      <c r="M1009" s="5" t="s">
        <v>54</v>
      </c>
      <c r="N1009" s="5" t="s">
        <v>54</v>
      </c>
      <c r="O1009" s="6" t="s">
        <v>40</v>
      </c>
      <c r="P1009" s="5" t="s">
        <v>59</v>
      </c>
      <c r="Q1009" s="5" t="s">
        <v>115</v>
      </c>
      <c r="R1009" s="6" t="s">
        <v>42</v>
      </c>
      <c r="S1009" s="5" t="s">
        <v>116</v>
      </c>
      <c r="T1009" s="5" t="s">
        <v>61</v>
      </c>
      <c r="U1009" s="5" t="s">
        <v>44</v>
      </c>
      <c r="V1009" s="5" t="s">
        <v>44</v>
      </c>
      <c r="W1009" s="5" t="s">
        <v>35</v>
      </c>
      <c r="X1009" s="5" t="s">
        <v>63</v>
      </c>
      <c r="Y1009" s="5" t="s">
        <v>46</v>
      </c>
      <c r="Z1009" s="5" t="s">
        <v>47</v>
      </c>
      <c r="AA1009" s="5" t="s">
        <v>64</v>
      </c>
      <c r="AB1009" s="5" t="s">
        <v>4940</v>
      </c>
      <c r="AC1009" s="6" t="s">
        <v>86</v>
      </c>
      <c r="AD1009" s="6">
        <v>1889.0</v>
      </c>
    </row>
    <row r="1010" ht="56.25" customHeight="1">
      <c r="A1010" s="5" t="s">
        <v>4901</v>
      </c>
      <c r="B1010" s="6" t="str">
        <f>IMAGE("https://storage.googleapis.com/acdb/miscellaneous/FtrRing_Remake_7_0.png")</f>
        <v/>
      </c>
      <c r="C1010" s="5" t="s">
        <v>69</v>
      </c>
      <c r="D1010" s="5" t="s">
        <v>34</v>
      </c>
      <c r="E1010" s="5" t="s">
        <v>34</v>
      </c>
      <c r="F1010" s="5" t="s">
        <v>34</v>
      </c>
      <c r="G1010" s="5" t="s">
        <v>36</v>
      </c>
      <c r="H1010" s="5" t="s">
        <v>36</v>
      </c>
      <c r="I1010" s="5" t="s">
        <v>36</v>
      </c>
      <c r="J1010" s="6" t="s">
        <v>34</v>
      </c>
      <c r="K1010" s="6">
        <v>69000.0</v>
      </c>
      <c r="L1010" s="6">
        <v>17250.0</v>
      </c>
      <c r="M1010" s="5" t="s">
        <v>69</v>
      </c>
      <c r="N1010" s="5" t="s">
        <v>83</v>
      </c>
      <c r="O1010" s="6" t="s">
        <v>40</v>
      </c>
      <c r="P1010" s="5" t="s">
        <v>59</v>
      </c>
      <c r="Q1010" s="5" t="s">
        <v>115</v>
      </c>
      <c r="R1010" s="6" t="s">
        <v>42</v>
      </c>
      <c r="S1010" s="5" t="s">
        <v>116</v>
      </c>
      <c r="T1010" s="5" t="s">
        <v>61</v>
      </c>
      <c r="U1010" s="5" t="s">
        <v>44</v>
      </c>
      <c r="V1010" s="5" t="s">
        <v>44</v>
      </c>
      <c r="W1010" s="5" t="s">
        <v>35</v>
      </c>
      <c r="X1010" s="5" t="s">
        <v>63</v>
      </c>
      <c r="Y1010" s="5" t="s">
        <v>46</v>
      </c>
      <c r="Z1010" s="5" t="s">
        <v>47</v>
      </c>
      <c r="AA1010" s="5" t="s">
        <v>64</v>
      </c>
      <c r="AB1010" s="5" t="s">
        <v>4946</v>
      </c>
      <c r="AC1010" s="6" t="s">
        <v>208</v>
      </c>
      <c r="AD1010" s="6">
        <v>1889.0</v>
      </c>
    </row>
    <row r="1011" ht="56.25" customHeight="1">
      <c r="A1011" s="5" t="s">
        <v>4947</v>
      </c>
      <c r="B1011" s="6" t="str">
        <f>IMAGE("https://storage.googleapis.com/acdb/miscellaneous/FtrQuoits_Remake_0_0.png")</f>
        <v/>
      </c>
      <c r="C1011" s="5" t="s">
        <v>32</v>
      </c>
      <c r="D1011" s="5" t="s">
        <v>748</v>
      </c>
      <c r="E1011" s="5" t="s">
        <v>34</v>
      </c>
      <c r="F1011" s="5" t="s">
        <v>34</v>
      </c>
      <c r="G1011" s="5" t="s">
        <v>35</v>
      </c>
      <c r="H1011" s="5" t="s">
        <v>35</v>
      </c>
      <c r="I1011" s="5" t="s">
        <v>36</v>
      </c>
      <c r="J1011" s="6">
        <v>1.0</v>
      </c>
      <c r="K1011" s="6" t="s">
        <v>37</v>
      </c>
      <c r="L1011" s="6">
        <v>480.0</v>
      </c>
      <c r="M1011" s="5" t="s">
        <v>142</v>
      </c>
      <c r="N1011" s="5" t="s">
        <v>38</v>
      </c>
      <c r="O1011" s="6" t="s">
        <v>40</v>
      </c>
      <c r="P1011" s="5" t="s">
        <v>41</v>
      </c>
      <c r="Q1011" s="5"/>
      <c r="R1011" s="6" t="s">
        <v>42</v>
      </c>
      <c r="S1011" s="5" t="s">
        <v>99</v>
      </c>
      <c r="T1011" s="5" t="s">
        <v>61</v>
      </c>
      <c r="U1011" s="5" t="s">
        <v>44</v>
      </c>
      <c r="V1011" s="5" t="s">
        <v>44</v>
      </c>
      <c r="W1011" s="5" t="s">
        <v>36</v>
      </c>
      <c r="X1011" s="5" t="s">
        <v>356</v>
      </c>
      <c r="Y1011" s="5" t="s">
        <v>46</v>
      </c>
      <c r="Z1011" s="5" t="s">
        <v>47</v>
      </c>
      <c r="AA1011" s="5" t="s">
        <v>48</v>
      </c>
      <c r="AB1011" s="5" t="s">
        <v>4953</v>
      </c>
      <c r="AC1011" s="6" t="s">
        <v>50</v>
      </c>
      <c r="AD1011" s="6">
        <v>88.0</v>
      </c>
    </row>
    <row r="1012" ht="56.25" customHeight="1">
      <c r="A1012" s="5" t="s">
        <v>4947</v>
      </c>
      <c r="B1012" s="6" t="str">
        <f>IMAGE("https://storage.googleapis.com/acdb/miscellaneous/FtrQuoits_Remake_1_0.png")</f>
        <v/>
      </c>
      <c r="C1012" s="5" t="s">
        <v>58</v>
      </c>
      <c r="D1012" s="5" t="s">
        <v>748</v>
      </c>
      <c r="E1012" s="5" t="s">
        <v>34</v>
      </c>
      <c r="F1012" s="5" t="s">
        <v>34</v>
      </c>
      <c r="G1012" s="5" t="s">
        <v>35</v>
      </c>
      <c r="H1012" s="5" t="s">
        <v>35</v>
      </c>
      <c r="I1012" s="5" t="s">
        <v>36</v>
      </c>
      <c r="J1012" s="6">
        <v>1.0</v>
      </c>
      <c r="K1012" s="6" t="s">
        <v>37</v>
      </c>
      <c r="L1012" s="6">
        <v>480.0</v>
      </c>
      <c r="M1012" s="5" t="s">
        <v>52</v>
      </c>
      <c r="N1012" s="5" t="s">
        <v>58</v>
      </c>
      <c r="O1012" s="6" t="s">
        <v>40</v>
      </c>
      <c r="P1012" s="5" t="s">
        <v>41</v>
      </c>
      <c r="Q1012" s="5"/>
      <c r="R1012" s="6" t="s">
        <v>42</v>
      </c>
      <c r="S1012" s="5" t="s">
        <v>99</v>
      </c>
      <c r="T1012" s="5" t="s">
        <v>61</v>
      </c>
      <c r="U1012" s="5" t="s">
        <v>44</v>
      </c>
      <c r="V1012" s="5" t="s">
        <v>44</v>
      </c>
      <c r="W1012" s="5" t="s">
        <v>36</v>
      </c>
      <c r="X1012" s="5" t="s">
        <v>356</v>
      </c>
      <c r="Y1012" s="5" t="s">
        <v>46</v>
      </c>
      <c r="Z1012" s="5" t="s">
        <v>47</v>
      </c>
      <c r="AA1012" s="5" t="s">
        <v>48</v>
      </c>
      <c r="AB1012" s="5" t="s">
        <v>4957</v>
      </c>
      <c r="AC1012" s="6" t="s">
        <v>56</v>
      </c>
      <c r="AD1012" s="6">
        <v>88.0</v>
      </c>
    </row>
    <row r="1013" ht="56.25" customHeight="1">
      <c r="A1013" s="5" t="s">
        <v>4947</v>
      </c>
      <c r="B1013" s="6" t="str">
        <f>IMAGE("https://storage.googleapis.com/acdb/miscellaneous/FtrQuoits_Remake_2_0.png")</f>
        <v/>
      </c>
      <c r="C1013" s="5" t="s">
        <v>688</v>
      </c>
      <c r="D1013" s="5" t="s">
        <v>748</v>
      </c>
      <c r="E1013" s="5" t="s">
        <v>34</v>
      </c>
      <c r="F1013" s="5" t="s">
        <v>34</v>
      </c>
      <c r="G1013" s="5" t="s">
        <v>35</v>
      </c>
      <c r="H1013" s="5" t="s">
        <v>35</v>
      </c>
      <c r="I1013" s="5" t="s">
        <v>36</v>
      </c>
      <c r="J1013" s="6">
        <v>1.0</v>
      </c>
      <c r="K1013" s="6" t="s">
        <v>37</v>
      </c>
      <c r="L1013" s="6">
        <v>480.0</v>
      </c>
      <c r="M1013" s="5" t="s">
        <v>69</v>
      </c>
      <c r="N1013" s="5" t="s">
        <v>58</v>
      </c>
      <c r="O1013" s="6" t="s">
        <v>40</v>
      </c>
      <c r="P1013" s="5" t="s">
        <v>41</v>
      </c>
      <c r="Q1013" s="5"/>
      <c r="R1013" s="6" t="s">
        <v>42</v>
      </c>
      <c r="S1013" s="5" t="s">
        <v>99</v>
      </c>
      <c r="T1013" s="5" t="s">
        <v>61</v>
      </c>
      <c r="U1013" s="5" t="s">
        <v>44</v>
      </c>
      <c r="V1013" s="5" t="s">
        <v>44</v>
      </c>
      <c r="W1013" s="5" t="s">
        <v>36</v>
      </c>
      <c r="X1013" s="5" t="s">
        <v>356</v>
      </c>
      <c r="Y1013" s="5" t="s">
        <v>46</v>
      </c>
      <c r="Z1013" s="5" t="s">
        <v>47</v>
      </c>
      <c r="AA1013" s="5" t="s">
        <v>48</v>
      </c>
      <c r="AB1013" s="5" t="s">
        <v>4964</v>
      </c>
      <c r="AC1013" s="6" t="s">
        <v>67</v>
      </c>
      <c r="AD1013" s="6">
        <v>88.0</v>
      </c>
    </row>
    <row r="1014" ht="56.25" customHeight="1">
      <c r="A1014" s="5" t="s">
        <v>4947</v>
      </c>
      <c r="B1014" s="6" t="str">
        <f>IMAGE("https://storage.googleapis.com/acdb/miscellaneous/FtrQuoits_Remake_3_0.png")</f>
        <v/>
      </c>
      <c r="C1014" s="5" t="s">
        <v>1952</v>
      </c>
      <c r="D1014" s="5" t="s">
        <v>748</v>
      </c>
      <c r="E1014" s="5" t="s">
        <v>34</v>
      </c>
      <c r="F1014" s="5" t="s">
        <v>34</v>
      </c>
      <c r="G1014" s="5" t="s">
        <v>35</v>
      </c>
      <c r="H1014" s="5" t="s">
        <v>35</v>
      </c>
      <c r="I1014" s="5" t="s">
        <v>36</v>
      </c>
      <c r="J1014" s="6">
        <v>1.0</v>
      </c>
      <c r="K1014" s="6" t="s">
        <v>37</v>
      </c>
      <c r="L1014" s="6">
        <v>480.0</v>
      </c>
      <c r="M1014" s="5" t="s">
        <v>68</v>
      </c>
      <c r="N1014" s="5" t="s">
        <v>58</v>
      </c>
      <c r="O1014" s="6" t="s">
        <v>40</v>
      </c>
      <c r="P1014" s="5" t="s">
        <v>41</v>
      </c>
      <c r="Q1014" s="5"/>
      <c r="R1014" s="6" t="s">
        <v>42</v>
      </c>
      <c r="S1014" s="5" t="s">
        <v>99</v>
      </c>
      <c r="T1014" s="5" t="s">
        <v>61</v>
      </c>
      <c r="U1014" s="5" t="s">
        <v>44</v>
      </c>
      <c r="V1014" s="5" t="s">
        <v>44</v>
      </c>
      <c r="W1014" s="5" t="s">
        <v>36</v>
      </c>
      <c r="X1014" s="5" t="s">
        <v>356</v>
      </c>
      <c r="Y1014" s="5" t="s">
        <v>46</v>
      </c>
      <c r="Z1014" s="5" t="s">
        <v>47</v>
      </c>
      <c r="AA1014" s="5" t="s">
        <v>48</v>
      </c>
      <c r="AB1014" s="5" t="s">
        <v>4972</v>
      </c>
      <c r="AC1014" s="6" t="s">
        <v>71</v>
      </c>
      <c r="AD1014" s="6">
        <v>88.0</v>
      </c>
    </row>
    <row r="1015" ht="56.25" customHeight="1">
      <c r="A1015" s="5" t="s">
        <v>4973</v>
      </c>
      <c r="B1015" s="16" t="str">
        <f>IMAGE("https://storage.googleapis.com/acdb/miscellaneous/FtrInsectMinminzemiToy.png")</f>
        <v/>
      </c>
      <c r="C1015" s="5" t="s">
        <v>34</v>
      </c>
      <c r="D1015" s="5" t="s">
        <v>34</v>
      </c>
      <c r="E1015" s="5" t="s">
        <v>34</v>
      </c>
      <c r="F1015" s="5" t="s">
        <v>34</v>
      </c>
      <c r="G1015" s="5" t="s">
        <v>36</v>
      </c>
      <c r="H1015" s="5" t="s">
        <v>36</v>
      </c>
      <c r="I1015" s="5" t="s">
        <v>36</v>
      </c>
      <c r="J1015" s="6" t="s">
        <v>34</v>
      </c>
      <c r="K1015" s="6" t="s">
        <v>37</v>
      </c>
      <c r="L1015" s="6">
        <v>900.0</v>
      </c>
      <c r="M1015" s="5" t="s">
        <v>54</v>
      </c>
      <c r="N1015" s="5" t="s">
        <v>54</v>
      </c>
      <c r="O1015" s="6" t="s">
        <v>40</v>
      </c>
      <c r="P1015" s="5" t="s">
        <v>107</v>
      </c>
      <c r="Q1015" s="5" t="s">
        <v>108</v>
      </c>
      <c r="R1015" s="6" t="s">
        <v>42</v>
      </c>
      <c r="S1015" s="5" t="s">
        <v>44</v>
      </c>
      <c r="T1015" s="5" t="s">
        <v>44</v>
      </c>
      <c r="U1015" s="5" t="s">
        <v>44</v>
      </c>
      <c r="V1015" s="5" t="s">
        <v>44</v>
      </c>
      <c r="W1015" s="5" t="s">
        <v>36</v>
      </c>
      <c r="X1015" s="5" t="s">
        <v>109</v>
      </c>
      <c r="Y1015" s="5" t="s">
        <v>46</v>
      </c>
      <c r="Z1015" s="5" t="s">
        <v>47</v>
      </c>
      <c r="AA1015" s="5" t="s">
        <v>48</v>
      </c>
      <c r="AB1015" s="5" t="s">
        <v>4979</v>
      </c>
      <c r="AC1015" s="6" t="s">
        <v>34</v>
      </c>
      <c r="AD1015" s="6">
        <v>7081.0</v>
      </c>
    </row>
    <row r="1016" ht="56.25" customHeight="1">
      <c r="A1016" s="5" t="s">
        <v>4980</v>
      </c>
      <c r="B1016" s="16" t="str">
        <f>IMAGE("https://storage.googleapis.com/acdb/miscellaneous/FtrInsectRuriboshikamikiriToy.png")</f>
        <v/>
      </c>
      <c r="C1016" s="5" t="s">
        <v>34</v>
      </c>
      <c r="D1016" s="5" t="s">
        <v>34</v>
      </c>
      <c r="E1016" s="5" t="s">
        <v>34</v>
      </c>
      <c r="F1016" s="5" t="s">
        <v>34</v>
      </c>
      <c r="G1016" s="5" t="s">
        <v>36</v>
      </c>
      <c r="H1016" s="5" t="s">
        <v>36</v>
      </c>
      <c r="I1016" s="5" t="s">
        <v>36</v>
      </c>
      <c r="J1016" s="6" t="s">
        <v>34</v>
      </c>
      <c r="K1016" s="6" t="s">
        <v>37</v>
      </c>
      <c r="L1016" s="6">
        <v>9000.0</v>
      </c>
      <c r="M1016" s="5" t="s">
        <v>68</v>
      </c>
      <c r="N1016" s="5" t="s">
        <v>54</v>
      </c>
      <c r="O1016" s="6" t="s">
        <v>40</v>
      </c>
      <c r="P1016" s="5" t="s">
        <v>107</v>
      </c>
      <c r="Q1016" s="5" t="s">
        <v>108</v>
      </c>
      <c r="R1016" s="6" t="s">
        <v>42</v>
      </c>
      <c r="S1016" s="5" t="s">
        <v>44</v>
      </c>
      <c r="T1016" s="5" t="s">
        <v>44</v>
      </c>
      <c r="U1016" s="5" t="s">
        <v>44</v>
      </c>
      <c r="V1016" s="5" t="s">
        <v>44</v>
      </c>
      <c r="W1016" s="5" t="s">
        <v>36</v>
      </c>
      <c r="X1016" s="5" t="s">
        <v>109</v>
      </c>
      <c r="Y1016" s="5" t="s">
        <v>46</v>
      </c>
      <c r="Z1016" s="5" t="s">
        <v>47</v>
      </c>
      <c r="AA1016" s="5" t="s">
        <v>48</v>
      </c>
      <c r="AB1016" s="5" t="s">
        <v>4987</v>
      </c>
      <c r="AC1016" s="6" t="s">
        <v>34</v>
      </c>
      <c r="AD1016" s="6">
        <v>7119.0</v>
      </c>
    </row>
    <row r="1017" ht="56.25" customHeight="1">
      <c r="A1017" s="5" t="s">
        <v>4988</v>
      </c>
      <c r="B1017" s="6" t="str">
        <f>IMAGE("https://storage.googleapis.com/acdb/miscellaneous/FtrPhoneDial_Remake_0_0.png")</f>
        <v/>
      </c>
      <c r="C1017" s="5" t="s">
        <v>54</v>
      </c>
      <c r="D1017" s="5" t="s">
        <v>34</v>
      </c>
      <c r="E1017" s="5" t="s">
        <v>34</v>
      </c>
      <c r="F1017" s="5" t="s">
        <v>34</v>
      </c>
      <c r="G1017" s="5" t="s">
        <v>36</v>
      </c>
      <c r="H1017" s="5" t="s">
        <v>36</v>
      </c>
      <c r="I1017" s="5" t="s">
        <v>36</v>
      </c>
      <c r="J1017" s="6" t="s">
        <v>34</v>
      </c>
      <c r="K1017" s="6">
        <v>640.0</v>
      </c>
      <c r="L1017" s="6">
        <v>160.0</v>
      </c>
      <c r="M1017" s="5" t="s">
        <v>54</v>
      </c>
      <c r="N1017" s="5" t="s">
        <v>54</v>
      </c>
      <c r="O1017" s="6" t="s">
        <v>40</v>
      </c>
      <c r="P1017" s="5" t="s">
        <v>59</v>
      </c>
      <c r="Q1017" s="5" t="s">
        <v>60</v>
      </c>
      <c r="R1017" s="6" t="s">
        <v>42</v>
      </c>
      <c r="S1017" s="5" t="s">
        <v>90</v>
      </c>
      <c r="T1017" s="5" t="s">
        <v>44</v>
      </c>
      <c r="U1017" s="5" t="s">
        <v>44</v>
      </c>
      <c r="V1017" s="5" t="s">
        <v>44</v>
      </c>
      <c r="W1017" s="5" t="s">
        <v>36</v>
      </c>
      <c r="X1017" s="5" t="s">
        <v>182</v>
      </c>
      <c r="Y1017" s="5" t="s">
        <v>46</v>
      </c>
      <c r="Z1017" s="5" t="s">
        <v>47</v>
      </c>
      <c r="AA1017" s="5" t="s">
        <v>64</v>
      </c>
      <c r="AB1017" s="5" t="s">
        <v>4994</v>
      </c>
      <c r="AC1017" s="6" t="s">
        <v>50</v>
      </c>
      <c r="AD1017" s="6">
        <v>4029.0</v>
      </c>
    </row>
    <row r="1018" ht="56.25" customHeight="1">
      <c r="A1018" s="5" t="s">
        <v>4988</v>
      </c>
      <c r="B1018" s="6" t="str">
        <f>IMAGE("https://storage.googleapis.com/acdb/miscellaneous/FtrPhoneDial_Remake_1_0.png")</f>
        <v/>
      </c>
      <c r="C1018" s="5" t="s">
        <v>57</v>
      </c>
      <c r="D1018" s="5" t="s">
        <v>34</v>
      </c>
      <c r="E1018" s="5" t="s">
        <v>34</v>
      </c>
      <c r="F1018" s="5" t="s">
        <v>34</v>
      </c>
      <c r="G1018" s="5" t="s">
        <v>36</v>
      </c>
      <c r="H1018" s="5" t="s">
        <v>36</v>
      </c>
      <c r="I1018" s="5" t="s">
        <v>36</v>
      </c>
      <c r="J1018" s="6" t="s">
        <v>34</v>
      </c>
      <c r="K1018" s="6">
        <v>640.0</v>
      </c>
      <c r="L1018" s="6">
        <v>160.0</v>
      </c>
      <c r="M1018" s="5" t="s">
        <v>38</v>
      </c>
      <c r="N1018" s="5" t="s">
        <v>38</v>
      </c>
      <c r="O1018" s="6" t="s">
        <v>40</v>
      </c>
      <c r="P1018" s="5" t="s">
        <v>59</v>
      </c>
      <c r="Q1018" s="5" t="s">
        <v>60</v>
      </c>
      <c r="R1018" s="6" t="s">
        <v>42</v>
      </c>
      <c r="S1018" s="5" t="s">
        <v>90</v>
      </c>
      <c r="T1018" s="5" t="s">
        <v>44</v>
      </c>
      <c r="U1018" s="5" t="s">
        <v>44</v>
      </c>
      <c r="V1018" s="5" t="s">
        <v>44</v>
      </c>
      <c r="W1018" s="5" t="s">
        <v>36</v>
      </c>
      <c r="X1018" s="5" t="s">
        <v>182</v>
      </c>
      <c r="Y1018" s="5" t="s">
        <v>46</v>
      </c>
      <c r="Z1018" s="5" t="s">
        <v>47</v>
      </c>
      <c r="AA1018" s="5" t="s">
        <v>64</v>
      </c>
      <c r="AB1018" s="5" t="s">
        <v>5001</v>
      </c>
      <c r="AC1018" s="6" t="s">
        <v>56</v>
      </c>
      <c r="AD1018" s="6">
        <v>4029.0</v>
      </c>
    </row>
    <row r="1019" ht="56.25" customHeight="1">
      <c r="A1019" s="5" t="s">
        <v>4988</v>
      </c>
      <c r="B1019" s="6" t="str">
        <f>IMAGE("https://storage.googleapis.com/acdb/miscellaneous/FtrPhoneDial_Remake_2_0.png")</f>
        <v/>
      </c>
      <c r="C1019" s="5" t="s">
        <v>96</v>
      </c>
      <c r="D1019" s="5" t="s">
        <v>34</v>
      </c>
      <c r="E1019" s="5" t="s">
        <v>34</v>
      </c>
      <c r="F1019" s="5" t="s">
        <v>34</v>
      </c>
      <c r="G1019" s="5" t="s">
        <v>36</v>
      </c>
      <c r="H1019" s="5" t="s">
        <v>36</v>
      </c>
      <c r="I1019" s="5" t="s">
        <v>36</v>
      </c>
      <c r="J1019" s="6" t="s">
        <v>34</v>
      </c>
      <c r="K1019" s="6">
        <v>640.0</v>
      </c>
      <c r="L1019" s="6">
        <v>160.0</v>
      </c>
      <c r="M1019" s="5" t="s">
        <v>96</v>
      </c>
      <c r="N1019" s="5" t="s">
        <v>96</v>
      </c>
      <c r="O1019" s="6" t="s">
        <v>40</v>
      </c>
      <c r="P1019" s="5" t="s">
        <v>59</v>
      </c>
      <c r="Q1019" s="5" t="s">
        <v>60</v>
      </c>
      <c r="R1019" s="6" t="s">
        <v>42</v>
      </c>
      <c r="S1019" s="5" t="s">
        <v>90</v>
      </c>
      <c r="T1019" s="5" t="s">
        <v>44</v>
      </c>
      <c r="U1019" s="5" t="s">
        <v>44</v>
      </c>
      <c r="V1019" s="5" t="s">
        <v>44</v>
      </c>
      <c r="W1019" s="5" t="s">
        <v>36</v>
      </c>
      <c r="X1019" s="5" t="s">
        <v>182</v>
      </c>
      <c r="Y1019" s="5" t="s">
        <v>46</v>
      </c>
      <c r="Z1019" s="5" t="s">
        <v>47</v>
      </c>
      <c r="AA1019" s="5" t="s">
        <v>64</v>
      </c>
      <c r="AB1019" s="5" t="s">
        <v>5008</v>
      </c>
      <c r="AC1019" s="6" t="s">
        <v>67</v>
      </c>
      <c r="AD1019" s="6">
        <v>4029.0</v>
      </c>
    </row>
    <row r="1020" ht="56.25" customHeight="1">
      <c r="A1020" s="5" t="s">
        <v>4988</v>
      </c>
      <c r="B1020" s="6" t="str">
        <f>IMAGE("https://storage.googleapis.com/acdb/miscellaneous/FtrPhoneDial_Remake_3_0.png")</f>
        <v/>
      </c>
      <c r="C1020" s="5" t="s">
        <v>68</v>
      </c>
      <c r="D1020" s="5" t="s">
        <v>34</v>
      </c>
      <c r="E1020" s="5" t="s">
        <v>34</v>
      </c>
      <c r="F1020" s="5" t="s">
        <v>34</v>
      </c>
      <c r="G1020" s="5" t="s">
        <v>36</v>
      </c>
      <c r="H1020" s="5" t="s">
        <v>36</v>
      </c>
      <c r="I1020" s="5" t="s">
        <v>36</v>
      </c>
      <c r="J1020" s="6" t="s">
        <v>34</v>
      </c>
      <c r="K1020" s="6">
        <v>640.0</v>
      </c>
      <c r="L1020" s="6">
        <v>160.0</v>
      </c>
      <c r="M1020" s="5" t="s">
        <v>68</v>
      </c>
      <c r="N1020" s="5" t="s">
        <v>68</v>
      </c>
      <c r="O1020" s="6" t="s">
        <v>40</v>
      </c>
      <c r="P1020" s="5" t="s">
        <v>59</v>
      </c>
      <c r="Q1020" s="5" t="s">
        <v>60</v>
      </c>
      <c r="R1020" s="6" t="s">
        <v>42</v>
      </c>
      <c r="S1020" s="5" t="s">
        <v>90</v>
      </c>
      <c r="T1020" s="5" t="s">
        <v>44</v>
      </c>
      <c r="U1020" s="5" t="s">
        <v>44</v>
      </c>
      <c r="V1020" s="5" t="s">
        <v>44</v>
      </c>
      <c r="W1020" s="5" t="s">
        <v>36</v>
      </c>
      <c r="X1020" s="5" t="s">
        <v>182</v>
      </c>
      <c r="Y1020" s="5" t="s">
        <v>46</v>
      </c>
      <c r="Z1020" s="5" t="s">
        <v>47</v>
      </c>
      <c r="AA1020" s="5" t="s">
        <v>64</v>
      </c>
      <c r="AB1020" s="5" t="s">
        <v>5016</v>
      </c>
      <c r="AC1020" s="6" t="s">
        <v>71</v>
      </c>
      <c r="AD1020" s="6">
        <v>4029.0</v>
      </c>
    </row>
    <row r="1021" ht="56.25" customHeight="1">
      <c r="A1021" s="5" t="s">
        <v>4988</v>
      </c>
      <c r="B1021" s="6" t="str">
        <f>IMAGE("https://storage.googleapis.com/acdb/miscellaneous/FtrPhoneDial_Remake_4_0.png")</f>
        <v/>
      </c>
      <c r="C1021" s="5" t="s">
        <v>52</v>
      </c>
      <c r="D1021" s="5" t="s">
        <v>34</v>
      </c>
      <c r="E1021" s="5" t="s">
        <v>34</v>
      </c>
      <c r="F1021" s="5" t="s">
        <v>34</v>
      </c>
      <c r="G1021" s="5" t="s">
        <v>36</v>
      </c>
      <c r="H1021" s="5" t="s">
        <v>36</v>
      </c>
      <c r="I1021" s="5" t="s">
        <v>36</v>
      </c>
      <c r="J1021" s="6" t="s">
        <v>34</v>
      </c>
      <c r="K1021" s="6">
        <v>640.0</v>
      </c>
      <c r="L1021" s="6">
        <v>160.0</v>
      </c>
      <c r="M1021" s="5" t="s">
        <v>52</v>
      </c>
      <c r="N1021" s="5" t="s">
        <v>52</v>
      </c>
      <c r="O1021" s="6" t="s">
        <v>40</v>
      </c>
      <c r="P1021" s="5" t="s">
        <v>59</v>
      </c>
      <c r="Q1021" s="5" t="s">
        <v>60</v>
      </c>
      <c r="R1021" s="6" t="s">
        <v>42</v>
      </c>
      <c r="S1021" s="5" t="s">
        <v>90</v>
      </c>
      <c r="T1021" s="5" t="s">
        <v>44</v>
      </c>
      <c r="U1021" s="5" t="s">
        <v>44</v>
      </c>
      <c r="V1021" s="5" t="s">
        <v>44</v>
      </c>
      <c r="W1021" s="5" t="s">
        <v>36</v>
      </c>
      <c r="X1021" s="5" t="s">
        <v>182</v>
      </c>
      <c r="Y1021" s="5" t="s">
        <v>46</v>
      </c>
      <c r="Z1021" s="5" t="s">
        <v>47</v>
      </c>
      <c r="AA1021" s="5" t="s">
        <v>64</v>
      </c>
      <c r="AB1021" s="5" t="s">
        <v>5026</v>
      </c>
      <c r="AC1021" s="6" t="s">
        <v>75</v>
      </c>
      <c r="AD1021" s="6">
        <v>4029.0</v>
      </c>
    </row>
    <row r="1022" ht="56.25" customHeight="1">
      <c r="A1022" s="5" t="s">
        <v>4988</v>
      </c>
      <c r="B1022" s="6" t="str">
        <f>IMAGE("https://storage.googleapis.com/acdb/miscellaneous/FtrPhoneDial_Remake_5_0.png")</f>
        <v/>
      </c>
      <c r="C1022" s="5" t="s">
        <v>114</v>
      </c>
      <c r="D1022" s="5" t="s">
        <v>34</v>
      </c>
      <c r="E1022" s="5" t="s">
        <v>34</v>
      </c>
      <c r="F1022" s="5" t="s">
        <v>34</v>
      </c>
      <c r="G1022" s="5" t="s">
        <v>36</v>
      </c>
      <c r="H1022" s="5" t="s">
        <v>36</v>
      </c>
      <c r="I1022" s="5" t="s">
        <v>36</v>
      </c>
      <c r="J1022" s="6" t="s">
        <v>34</v>
      </c>
      <c r="K1022" s="6">
        <v>640.0</v>
      </c>
      <c r="L1022" s="6">
        <v>160.0</v>
      </c>
      <c r="M1022" s="5" t="s">
        <v>114</v>
      </c>
      <c r="N1022" s="5" t="s">
        <v>54</v>
      </c>
      <c r="O1022" s="6" t="s">
        <v>40</v>
      </c>
      <c r="P1022" s="5" t="s">
        <v>59</v>
      </c>
      <c r="Q1022" s="5" t="s">
        <v>60</v>
      </c>
      <c r="R1022" s="6" t="s">
        <v>42</v>
      </c>
      <c r="S1022" s="5" t="s">
        <v>90</v>
      </c>
      <c r="T1022" s="5" t="s">
        <v>44</v>
      </c>
      <c r="U1022" s="5" t="s">
        <v>44</v>
      </c>
      <c r="V1022" s="5" t="s">
        <v>44</v>
      </c>
      <c r="W1022" s="5" t="s">
        <v>36</v>
      </c>
      <c r="X1022" s="5" t="s">
        <v>182</v>
      </c>
      <c r="Y1022" s="5" t="s">
        <v>46</v>
      </c>
      <c r="Z1022" s="5" t="s">
        <v>47</v>
      </c>
      <c r="AA1022" s="5" t="s">
        <v>64</v>
      </c>
      <c r="AB1022" s="5" t="s">
        <v>5032</v>
      </c>
      <c r="AC1022" s="6" t="s">
        <v>79</v>
      </c>
      <c r="AD1022" s="6">
        <v>4029.0</v>
      </c>
    </row>
    <row r="1023" ht="56.25" customHeight="1">
      <c r="A1023" s="5" t="s">
        <v>4988</v>
      </c>
      <c r="B1023" s="6" t="str">
        <f>IMAGE("https://storage.googleapis.com/acdb/miscellaneous/FtrPhoneDial_Remake_6_0.png")</f>
        <v/>
      </c>
      <c r="C1023" s="5" t="s">
        <v>142</v>
      </c>
      <c r="D1023" s="5" t="s">
        <v>34</v>
      </c>
      <c r="E1023" s="5" t="s">
        <v>34</v>
      </c>
      <c r="F1023" s="5" t="s">
        <v>34</v>
      </c>
      <c r="G1023" s="5" t="s">
        <v>36</v>
      </c>
      <c r="H1023" s="5" t="s">
        <v>36</v>
      </c>
      <c r="I1023" s="5" t="s">
        <v>36</v>
      </c>
      <c r="J1023" s="6" t="s">
        <v>34</v>
      </c>
      <c r="K1023" s="6">
        <v>640.0</v>
      </c>
      <c r="L1023" s="6">
        <v>160.0</v>
      </c>
      <c r="M1023" s="5" t="s">
        <v>142</v>
      </c>
      <c r="N1023" s="5" t="s">
        <v>54</v>
      </c>
      <c r="O1023" s="6" t="s">
        <v>40</v>
      </c>
      <c r="P1023" s="5" t="s">
        <v>59</v>
      </c>
      <c r="Q1023" s="5" t="s">
        <v>60</v>
      </c>
      <c r="R1023" s="6" t="s">
        <v>42</v>
      </c>
      <c r="S1023" s="5" t="s">
        <v>90</v>
      </c>
      <c r="T1023" s="5" t="s">
        <v>44</v>
      </c>
      <c r="U1023" s="5" t="s">
        <v>44</v>
      </c>
      <c r="V1023" s="5" t="s">
        <v>44</v>
      </c>
      <c r="W1023" s="5" t="s">
        <v>36</v>
      </c>
      <c r="X1023" s="5" t="s">
        <v>182</v>
      </c>
      <c r="Y1023" s="5" t="s">
        <v>46</v>
      </c>
      <c r="Z1023" s="5" t="s">
        <v>47</v>
      </c>
      <c r="AA1023" s="5" t="s">
        <v>64</v>
      </c>
      <c r="AB1023" s="5" t="s">
        <v>5043</v>
      </c>
      <c r="AC1023" s="6" t="s">
        <v>86</v>
      </c>
      <c r="AD1023" s="6">
        <v>4029.0</v>
      </c>
    </row>
    <row r="1024" ht="56.25" customHeight="1">
      <c r="A1024" s="5" t="s">
        <v>4988</v>
      </c>
      <c r="B1024" s="6" t="str">
        <f>IMAGE("https://storage.googleapis.com/acdb/miscellaneous/FtrPhoneDial_Remake_7_0.png")</f>
        <v/>
      </c>
      <c r="C1024" s="5" t="s">
        <v>146</v>
      </c>
      <c r="D1024" s="5" t="s">
        <v>34</v>
      </c>
      <c r="E1024" s="5" t="s">
        <v>34</v>
      </c>
      <c r="F1024" s="5" t="s">
        <v>34</v>
      </c>
      <c r="G1024" s="5" t="s">
        <v>36</v>
      </c>
      <c r="H1024" s="5" t="s">
        <v>36</v>
      </c>
      <c r="I1024" s="5" t="s">
        <v>36</v>
      </c>
      <c r="J1024" s="6" t="s">
        <v>34</v>
      </c>
      <c r="K1024" s="6">
        <v>640.0</v>
      </c>
      <c r="L1024" s="6">
        <v>160.0</v>
      </c>
      <c r="M1024" s="5" t="s">
        <v>57</v>
      </c>
      <c r="N1024" s="5" t="s">
        <v>57</v>
      </c>
      <c r="O1024" s="6" t="s">
        <v>40</v>
      </c>
      <c r="P1024" s="5" t="s">
        <v>59</v>
      </c>
      <c r="Q1024" s="5" t="s">
        <v>60</v>
      </c>
      <c r="R1024" s="6" t="s">
        <v>42</v>
      </c>
      <c r="S1024" s="5" t="s">
        <v>90</v>
      </c>
      <c r="T1024" s="5" t="s">
        <v>44</v>
      </c>
      <c r="U1024" s="5" t="s">
        <v>44</v>
      </c>
      <c r="V1024" s="5" t="s">
        <v>44</v>
      </c>
      <c r="W1024" s="5" t="s">
        <v>36</v>
      </c>
      <c r="X1024" s="5" t="s">
        <v>182</v>
      </c>
      <c r="Y1024" s="5" t="s">
        <v>46</v>
      </c>
      <c r="Z1024" s="5" t="s">
        <v>47</v>
      </c>
      <c r="AA1024" s="5" t="s">
        <v>64</v>
      </c>
      <c r="AB1024" s="5" t="s">
        <v>5049</v>
      </c>
      <c r="AC1024" s="6" t="s">
        <v>208</v>
      </c>
      <c r="AD1024" s="6">
        <v>4029.0</v>
      </c>
    </row>
    <row r="1025" ht="56.25" customHeight="1">
      <c r="A1025" s="5" t="s">
        <v>5050</v>
      </c>
      <c r="B1025" s="16" t="str">
        <f>IMAGE("https://storage.googleapis.com/acdb/miscellaneous/FtrFishEndorikeriiToy.png")</f>
        <v/>
      </c>
      <c r="C1025" s="5" t="s">
        <v>34</v>
      </c>
      <c r="D1025" s="5" t="s">
        <v>34</v>
      </c>
      <c r="E1025" s="5" t="s">
        <v>34</v>
      </c>
      <c r="F1025" s="5" t="s">
        <v>34</v>
      </c>
      <c r="G1025" s="5" t="s">
        <v>36</v>
      </c>
      <c r="H1025" s="5" t="s">
        <v>36</v>
      </c>
      <c r="I1025" s="5" t="s">
        <v>36</v>
      </c>
      <c r="J1025" s="6" t="s">
        <v>34</v>
      </c>
      <c r="K1025" s="6" t="s">
        <v>37</v>
      </c>
      <c r="L1025" s="6">
        <v>12000.0</v>
      </c>
      <c r="M1025" s="5" t="s">
        <v>39</v>
      </c>
      <c r="N1025" s="5" t="s">
        <v>54</v>
      </c>
      <c r="O1025" s="6" t="s">
        <v>40</v>
      </c>
      <c r="P1025" s="5" t="s">
        <v>213</v>
      </c>
      <c r="Q1025" s="5" t="s">
        <v>215</v>
      </c>
      <c r="R1025" s="6" t="s">
        <v>42</v>
      </c>
      <c r="S1025" s="5" t="s">
        <v>44</v>
      </c>
      <c r="T1025" s="5" t="s">
        <v>44</v>
      </c>
      <c r="U1025" s="5" t="s">
        <v>44</v>
      </c>
      <c r="V1025" s="5" t="s">
        <v>44</v>
      </c>
      <c r="W1025" s="5" t="s">
        <v>36</v>
      </c>
      <c r="X1025" s="5" t="s">
        <v>219</v>
      </c>
      <c r="Y1025" s="5" t="s">
        <v>46</v>
      </c>
      <c r="Z1025" s="5" t="s">
        <v>47</v>
      </c>
      <c r="AA1025" s="5" t="s">
        <v>48</v>
      </c>
      <c r="AB1025" s="5" t="s">
        <v>5058</v>
      </c>
      <c r="AC1025" s="6" t="s">
        <v>34</v>
      </c>
      <c r="AD1025" s="6">
        <v>6950.0</v>
      </c>
    </row>
    <row r="1026" ht="56.25" customHeight="1">
      <c r="A1026" s="5" t="s">
        <v>5060</v>
      </c>
      <c r="B1026" s="16" t="str">
        <f>IMAGE("https://storage.googleapis.com/acdb/miscellaneous/FtrFishSakeToy.png")</f>
        <v/>
      </c>
      <c r="C1026" s="5" t="s">
        <v>34</v>
      </c>
      <c r="D1026" s="5" t="s">
        <v>34</v>
      </c>
      <c r="E1026" s="5" t="s">
        <v>34</v>
      </c>
      <c r="F1026" s="5" t="s">
        <v>34</v>
      </c>
      <c r="G1026" s="5" t="s">
        <v>36</v>
      </c>
      <c r="H1026" s="5" t="s">
        <v>36</v>
      </c>
      <c r="I1026" s="5" t="s">
        <v>36</v>
      </c>
      <c r="J1026" s="6" t="s">
        <v>34</v>
      </c>
      <c r="K1026" s="6" t="s">
        <v>37</v>
      </c>
      <c r="L1026" s="6">
        <v>2100.0</v>
      </c>
      <c r="M1026" s="5" t="s">
        <v>39</v>
      </c>
      <c r="N1026" s="5" t="s">
        <v>54</v>
      </c>
      <c r="O1026" s="6" t="s">
        <v>40</v>
      </c>
      <c r="P1026" s="5" t="s">
        <v>213</v>
      </c>
      <c r="Q1026" s="5" t="s">
        <v>215</v>
      </c>
      <c r="R1026" s="6" t="s">
        <v>42</v>
      </c>
      <c r="S1026" s="5" t="s">
        <v>44</v>
      </c>
      <c r="T1026" s="5" t="s">
        <v>44</v>
      </c>
      <c r="U1026" s="5" t="s">
        <v>44</v>
      </c>
      <c r="V1026" s="5" t="s">
        <v>44</v>
      </c>
      <c r="W1026" s="5" t="s">
        <v>36</v>
      </c>
      <c r="X1026" s="5" t="s">
        <v>219</v>
      </c>
      <c r="Y1026" s="5" t="s">
        <v>46</v>
      </c>
      <c r="Z1026" s="5" t="s">
        <v>47</v>
      </c>
      <c r="AA1026" s="5" t="s">
        <v>48</v>
      </c>
      <c r="AB1026" s="5" t="s">
        <v>5067</v>
      </c>
      <c r="AC1026" s="6" t="s">
        <v>34</v>
      </c>
      <c r="AD1026" s="6">
        <v>7012.0</v>
      </c>
    </row>
    <row r="1027" ht="56.25" customHeight="1">
      <c r="A1027" s="5" t="s">
        <v>5068</v>
      </c>
      <c r="B1027" s="16" t="str">
        <f>IMAGE("https://storage.googleapis.com/acdb/miscellaneous/FtrFishNokogirizameToy.png")</f>
        <v/>
      </c>
      <c r="C1027" s="5" t="s">
        <v>34</v>
      </c>
      <c r="D1027" s="5" t="s">
        <v>34</v>
      </c>
      <c r="E1027" s="5" t="s">
        <v>34</v>
      </c>
      <c r="F1027" s="5" t="s">
        <v>34</v>
      </c>
      <c r="G1027" s="5" t="s">
        <v>36</v>
      </c>
      <c r="H1027" s="5" t="s">
        <v>36</v>
      </c>
      <c r="I1027" s="5" t="s">
        <v>36</v>
      </c>
      <c r="J1027" s="6" t="s">
        <v>34</v>
      </c>
      <c r="K1027" s="6" t="s">
        <v>37</v>
      </c>
      <c r="L1027" s="6">
        <v>36000.0</v>
      </c>
      <c r="M1027" s="5" t="s">
        <v>39</v>
      </c>
      <c r="N1027" s="5" t="s">
        <v>54</v>
      </c>
      <c r="O1027" s="6" t="s">
        <v>40</v>
      </c>
      <c r="P1027" s="5" t="s">
        <v>213</v>
      </c>
      <c r="Q1027" s="5" t="s">
        <v>215</v>
      </c>
      <c r="R1027" s="6" t="s">
        <v>42</v>
      </c>
      <c r="S1027" s="5" t="s">
        <v>44</v>
      </c>
      <c r="T1027" s="5" t="s">
        <v>44</v>
      </c>
      <c r="U1027" s="5" t="s">
        <v>44</v>
      </c>
      <c r="V1027" s="5" t="s">
        <v>44</v>
      </c>
      <c r="W1027" s="5" t="s">
        <v>36</v>
      </c>
      <c r="X1027" s="5" t="s">
        <v>219</v>
      </c>
      <c r="Y1027" s="5" t="s">
        <v>46</v>
      </c>
      <c r="Z1027" s="5" t="s">
        <v>47</v>
      </c>
      <c r="AA1027" s="5" t="s">
        <v>48</v>
      </c>
      <c r="AB1027" s="5" t="s">
        <v>5072</v>
      </c>
      <c r="AC1027" s="6" t="s">
        <v>34</v>
      </c>
      <c r="AD1027" s="6">
        <v>7002.0</v>
      </c>
    </row>
    <row r="1028" ht="56.25" customHeight="1">
      <c r="A1028" s="5" t="s">
        <v>5074</v>
      </c>
      <c r="B1028" s="16" t="str">
        <f>IMAGE("https://storage.googleapis.com/acdb/miscellaneous/FtrInsectNokogirikuwagataToy.png")</f>
        <v/>
      </c>
      <c r="C1028" s="5" t="s">
        <v>34</v>
      </c>
      <c r="D1028" s="5" t="s">
        <v>34</v>
      </c>
      <c r="E1028" s="5" t="s">
        <v>34</v>
      </c>
      <c r="F1028" s="5" t="s">
        <v>34</v>
      </c>
      <c r="G1028" s="5" t="s">
        <v>36</v>
      </c>
      <c r="H1028" s="5" t="s">
        <v>36</v>
      </c>
      <c r="I1028" s="5" t="s">
        <v>36</v>
      </c>
      <c r="J1028" s="6" t="s">
        <v>34</v>
      </c>
      <c r="K1028" s="6" t="s">
        <v>37</v>
      </c>
      <c r="L1028" s="6">
        <v>6000.0</v>
      </c>
      <c r="M1028" s="5" t="s">
        <v>39</v>
      </c>
      <c r="N1028" s="5" t="s">
        <v>39</v>
      </c>
      <c r="O1028" s="6" t="s">
        <v>40</v>
      </c>
      <c r="P1028" s="5" t="s">
        <v>107</v>
      </c>
      <c r="Q1028" s="5" t="s">
        <v>108</v>
      </c>
      <c r="R1028" s="6" t="s">
        <v>42</v>
      </c>
      <c r="S1028" s="5" t="s">
        <v>44</v>
      </c>
      <c r="T1028" s="5" t="s">
        <v>44</v>
      </c>
      <c r="U1028" s="5" t="s">
        <v>44</v>
      </c>
      <c r="V1028" s="5" t="s">
        <v>44</v>
      </c>
      <c r="W1028" s="5" t="s">
        <v>36</v>
      </c>
      <c r="X1028" s="5" t="s">
        <v>109</v>
      </c>
      <c r="Y1028" s="5" t="s">
        <v>46</v>
      </c>
      <c r="Z1028" s="5" t="s">
        <v>47</v>
      </c>
      <c r="AA1028" s="5" t="s">
        <v>48</v>
      </c>
      <c r="AB1028" s="5" t="s">
        <v>5079</v>
      </c>
      <c r="AC1028" s="6" t="s">
        <v>34</v>
      </c>
      <c r="AD1028" s="6">
        <v>5922.0</v>
      </c>
    </row>
    <row r="1029" ht="56.25" customHeight="1">
      <c r="A1029" s="5" t="s">
        <v>5080</v>
      </c>
      <c r="B1029" s="16" t="str">
        <f>IMAGE("https://storage.googleapis.com/acdb/miscellaneous/FtrInsectPurachinakoganeToy.png")</f>
        <v/>
      </c>
      <c r="C1029" s="5" t="s">
        <v>34</v>
      </c>
      <c r="D1029" s="5" t="s">
        <v>34</v>
      </c>
      <c r="E1029" s="5" t="s">
        <v>34</v>
      </c>
      <c r="F1029" s="5" t="s">
        <v>34</v>
      </c>
      <c r="G1029" s="5" t="s">
        <v>36</v>
      </c>
      <c r="H1029" s="5" t="s">
        <v>36</v>
      </c>
      <c r="I1029" s="5" t="s">
        <v>36</v>
      </c>
      <c r="J1029" s="6" t="s">
        <v>34</v>
      </c>
      <c r="K1029" s="6" t="s">
        <v>37</v>
      </c>
      <c r="L1029" s="6">
        <v>30000.0</v>
      </c>
      <c r="M1029" s="5" t="s">
        <v>38</v>
      </c>
      <c r="N1029" s="5" t="s">
        <v>38</v>
      </c>
      <c r="O1029" s="6" t="s">
        <v>40</v>
      </c>
      <c r="P1029" s="5" t="s">
        <v>107</v>
      </c>
      <c r="Q1029" s="5" t="s">
        <v>108</v>
      </c>
      <c r="R1029" s="6" t="s">
        <v>42</v>
      </c>
      <c r="S1029" s="5" t="s">
        <v>44</v>
      </c>
      <c r="T1029" s="5" t="s">
        <v>44</v>
      </c>
      <c r="U1029" s="5" t="s">
        <v>44</v>
      </c>
      <c r="V1029" s="5" t="s">
        <v>44</v>
      </c>
      <c r="W1029" s="5" t="s">
        <v>36</v>
      </c>
      <c r="X1029" s="5" t="s">
        <v>109</v>
      </c>
      <c r="Y1029" s="5" t="s">
        <v>46</v>
      </c>
      <c r="Z1029" s="5" t="s">
        <v>47</v>
      </c>
      <c r="AA1029" s="5" t="s">
        <v>48</v>
      </c>
      <c r="AB1029" s="5" t="s">
        <v>5084</v>
      </c>
      <c r="AC1029" s="6" t="s">
        <v>34</v>
      </c>
      <c r="AD1029" s="6">
        <v>5929.0</v>
      </c>
    </row>
    <row r="1030" ht="56.25" customHeight="1">
      <c r="A1030" s="5" t="s">
        <v>5085</v>
      </c>
      <c r="B1030" s="16" t="str">
        <f>IMAGE("https://storage.googleapis.com/acdb/miscellaneous/FtrZodiacScorpio.png")</f>
        <v/>
      </c>
      <c r="C1030" s="5" t="s">
        <v>34</v>
      </c>
      <c r="D1030" s="5" t="s">
        <v>34</v>
      </c>
      <c r="E1030" s="5" t="s">
        <v>34</v>
      </c>
      <c r="F1030" s="5" t="s">
        <v>34</v>
      </c>
      <c r="G1030" s="5" t="s">
        <v>35</v>
      </c>
      <c r="H1030" s="5" t="s">
        <v>36</v>
      </c>
      <c r="I1030" s="5" t="s">
        <v>36</v>
      </c>
      <c r="J1030" s="6" t="s">
        <v>34</v>
      </c>
      <c r="K1030" s="6" t="s">
        <v>37</v>
      </c>
      <c r="L1030" s="6">
        <v>22125.0</v>
      </c>
      <c r="M1030" s="5" t="s">
        <v>114</v>
      </c>
      <c r="N1030" s="5" t="s">
        <v>57</v>
      </c>
      <c r="O1030" s="6" t="s">
        <v>40</v>
      </c>
      <c r="P1030" s="5" t="s">
        <v>41</v>
      </c>
      <c r="Q1030" s="5"/>
      <c r="R1030" s="6" t="s">
        <v>42</v>
      </c>
      <c r="S1030" s="5" t="s">
        <v>116</v>
      </c>
      <c r="T1030" s="5" t="s">
        <v>732</v>
      </c>
      <c r="U1030" s="5" t="s">
        <v>349</v>
      </c>
      <c r="V1030" s="5" t="s">
        <v>44</v>
      </c>
      <c r="W1030" s="5" t="s">
        <v>35</v>
      </c>
      <c r="X1030" s="5" t="s">
        <v>467</v>
      </c>
      <c r="Y1030" s="5" t="s">
        <v>46</v>
      </c>
      <c r="Z1030" s="5" t="s">
        <v>502</v>
      </c>
      <c r="AA1030" s="5" t="s">
        <v>48</v>
      </c>
      <c r="AB1030" s="5" t="s">
        <v>5091</v>
      </c>
      <c r="AC1030" s="6" t="s">
        <v>34</v>
      </c>
      <c r="AD1030" s="6">
        <v>5962.0</v>
      </c>
    </row>
    <row r="1031" ht="56.25" customHeight="1">
      <c r="A1031" s="5" t="s">
        <v>5092</v>
      </c>
      <c r="B1031" s="16" t="str">
        <f>IMAGE("https://storage.googleapis.com/acdb/miscellaneous/FtrInsectSasoriToy.png")</f>
        <v/>
      </c>
      <c r="C1031" s="5" t="s">
        <v>34</v>
      </c>
      <c r="D1031" s="5" t="s">
        <v>34</v>
      </c>
      <c r="E1031" s="5" t="s">
        <v>34</v>
      </c>
      <c r="F1031" s="5" t="s">
        <v>34</v>
      </c>
      <c r="G1031" s="5" t="s">
        <v>36</v>
      </c>
      <c r="H1031" s="5" t="s">
        <v>36</v>
      </c>
      <c r="I1031" s="5" t="s">
        <v>36</v>
      </c>
      <c r="J1031" s="6" t="s">
        <v>34</v>
      </c>
      <c r="K1031" s="6" t="s">
        <v>37</v>
      </c>
      <c r="L1031" s="6">
        <v>24000.0</v>
      </c>
      <c r="M1031" s="5" t="s">
        <v>54</v>
      </c>
      <c r="N1031" s="5" t="s">
        <v>54</v>
      </c>
      <c r="O1031" s="6" t="s">
        <v>40</v>
      </c>
      <c r="P1031" s="5" t="s">
        <v>107</v>
      </c>
      <c r="Q1031" s="5" t="s">
        <v>108</v>
      </c>
      <c r="R1031" s="6" t="s">
        <v>42</v>
      </c>
      <c r="S1031" s="5" t="s">
        <v>44</v>
      </c>
      <c r="T1031" s="5" t="s">
        <v>44</v>
      </c>
      <c r="U1031" s="5" t="s">
        <v>44</v>
      </c>
      <c r="V1031" s="5" t="s">
        <v>44</v>
      </c>
      <c r="W1031" s="5" t="s">
        <v>36</v>
      </c>
      <c r="X1031" s="5" t="s">
        <v>109</v>
      </c>
      <c r="Y1031" s="5" t="s">
        <v>46</v>
      </c>
      <c r="Z1031" s="5" t="s">
        <v>47</v>
      </c>
      <c r="AA1031" s="5" t="s">
        <v>48</v>
      </c>
      <c r="AB1031" s="5" t="s">
        <v>5096</v>
      </c>
      <c r="AC1031" s="6" t="s">
        <v>34</v>
      </c>
      <c r="AD1031" s="6">
        <v>7094.0</v>
      </c>
    </row>
    <row r="1032" ht="56.25" customHeight="1">
      <c r="A1032" s="5" t="s">
        <v>5097</v>
      </c>
      <c r="B1032" s="16" t="str">
        <f>IMAGE("https://storage.googleapis.com/acdb/miscellaneous/FtrFishSuzukiToy.png")</f>
        <v/>
      </c>
      <c r="C1032" s="5" t="s">
        <v>34</v>
      </c>
      <c r="D1032" s="5" t="s">
        <v>34</v>
      </c>
      <c r="E1032" s="5" t="s">
        <v>34</v>
      </c>
      <c r="F1032" s="5" t="s">
        <v>34</v>
      </c>
      <c r="G1032" s="5" t="s">
        <v>36</v>
      </c>
      <c r="H1032" s="5" t="s">
        <v>36</v>
      </c>
      <c r="I1032" s="5" t="s">
        <v>36</v>
      </c>
      <c r="J1032" s="6" t="s">
        <v>34</v>
      </c>
      <c r="K1032" s="6" t="s">
        <v>37</v>
      </c>
      <c r="L1032" s="6">
        <v>1200.0</v>
      </c>
      <c r="M1032" s="5" t="s">
        <v>95</v>
      </c>
      <c r="N1032" s="5" t="s">
        <v>54</v>
      </c>
      <c r="O1032" s="6" t="s">
        <v>40</v>
      </c>
      <c r="P1032" s="5" t="s">
        <v>213</v>
      </c>
      <c r="Q1032" s="5" t="s">
        <v>215</v>
      </c>
      <c r="R1032" s="6" t="s">
        <v>42</v>
      </c>
      <c r="S1032" s="5" t="s">
        <v>44</v>
      </c>
      <c r="T1032" s="5" t="s">
        <v>44</v>
      </c>
      <c r="U1032" s="5" t="s">
        <v>44</v>
      </c>
      <c r="V1032" s="5" t="s">
        <v>44</v>
      </c>
      <c r="W1032" s="5" t="s">
        <v>36</v>
      </c>
      <c r="X1032" s="5" t="s">
        <v>219</v>
      </c>
      <c r="Y1032" s="5" t="s">
        <v>46</v>
      </c>
      <c r="Z1032" s="5" t="s">
        <v>47</v>
      </c>
      <c r="AA1032" s="5" t="s">
        <v>48</v>
      </c>
      <c r="AB1032" s="5" t="s">
        <v>5103</v>
      </c>
      <c r="AC1032" s="6" t="s">
        <v>34</v>
      </c>
      <c r="AD1032" s="6">
        <v>7018.0</v>
      </c>
    </row>
    <row r="1033" ht="56.25" customHeight="1">
      <c r="A1033" s="5" t="s">
        <v>5104</v>
      </c>
      <c r="B1033" s="16" t="str">
        <f>IMAGE("https://storage.googleapis.com/acdb/miscellaneous/FtrFishKurioneToy.png")</f>
        <v/>
      </c>
      <c r="C1033" s="5" t="s">
        <v>34</v>
      </c>
      <c r="D1033" s="5" t="s">
        <v>34</v>
      </c>
      <c r="E1033" s="5" t="s">
        <v>34</v>
      </c>
      <c r="F1033" s="5" t="s">
        <v>34</v>
      </c>
      <c r="G1033" s="5" t="s">
        <v>36</v>
      </c>
      <c r="H1033" s="5" t="s">
        <v>36</v>
      </c>
      <c r="I1033" s="5" t="s">
        <v>36</v>
      </c>
      <c r="J1033" s="6" t="s">
        <v>34</v>
      </c>
      <c r="K1033" s="6" t="s">
        <v>37</v>
      </c>
      <c r="L1033" s="6">
        <v>3000.0</v>
      </c>
      <c r="M1033" s="5" t="s">
        <v>57</v>
      </c>
      <c r="N1033" s="5" t="s">
        <v>54</v>
      </c>
      <c r="O1033" s="6" t="s">
        <v>40</v>
      </c>
      <c r="P1033" s="5" t="s">
        <v>213</v>
      </c>
      <c r="Q1033" s="5" t="s">
        <v>215</v>
      </c>
      <c r="R1033" s="6" t="s">
        <v>42</v>
      </c>
      <c r="S1033" s="5" t="s">
        <v>44</v>
      </c>
      <c r="T1033" s="5" t="s">
        <v>44</v>
      </c>
      <c r="U1033" s="5" t="s">
        <v>44</v>
      </c>
      <c r="V1033" s="5" t="s">
        <v>44</v>
      </c>
      <c r="W1033" s="5" t="s">
        <v>36</v>
      </c>
      <c r="X1033" s="5" t="s">
        <v>219</v>
      </c>
      <c r="Y1033" s="5" t="s">
        <v>46</v>
      </c>
      <c r="Z1033" s="5" t="s">
        <v>47</v>
      </c>
      <c r="AA1033" s="5" t="s">
        <v>48</v>
      </c>
      <c r="AB1033" s="5" t="s">
        <v>5111</v>
      </c>
      <c r="AC1033" s="6" t="s">
        <v>34</v>
      </c>
      <c r="AD1033" s="6">
        <v>6982.0</v>
      </c>
    </row>
    <row r="1034" ht="56.25" customHeight="1">
      <c r="A1034" s="5" t="s">
        <v>5112</v>
      </c>
      <c r="B1034" s="16" t="str">
        <f>IMAGE("https://storage.googleapis.com/acdb/miscellaneous/FtrSeaglobe.png")</f>
        <v/>
      </c>
      <c r="C1034" s="5" t="s">
        <v>34</v>
      </c>
      <c r="D1034" s="5" t="s">
        <v>34</v>
      </c>
      <c r="E1034" s="5" t="s">
        <v>34</v>
      </c>
      <c r="F1034" s="5" t="s">
        <v>34</v>
      </c>
      <c r="G1034" s="5" t="s">
        <v>36</v>
      </c>
      <c r="H1034" s="5" t="s">
        <v>36</v>
      </c>
      <c r="I1034" s="5" t="s">
        <v>36</v>
      </c>
      <c r="J1034" s="6" t="s">
        <v>34</v>
      </c>
      <c r="K1034" s="6">
        <v>1200.0</v>
      </c>
      <c r="L1034" s="6">
        <v>300.0</v>
      </c>
      <c r="M1034" s="5" t="s">
        <v>83</v>
      </c>
      <c r="N1034" s="5" t="s">
        <v>58</v>
      </c>
      <c r="O1034" s="6" t="s">
        <v>40</v>
      </c>
      <c r="P1034" s="5" t="s">
        <v>59</v>
      </c>
      <c r="Q1034" s="5" t="s">
        <v>60</v>
      </c>
      <c r="R1034" s="6" t="s">
        <v>42</v>
      </c>
      <c r="S1034" s="5" t="s">
        <v>90</v>
      </c>
      <c r="T1034" s="5" t="s">
        <v>138</v>
      </c>
      <c r="U1034" s="5" t="s">
        <v>44</v>
      </c>
      <c r="V1034" s="5" t="s">
        <v>44</v>
      </c>
      <c r="W1034" s="5" t="s">
        <v>35</v>
      </c>
      <c r="X1034" s="5" t="s">
        <v>590</v>
      </c>
      <c r="Y1034" s="5" t="s">
        <v>46</v>
      </c>
      <c r="Z1034" s="5" t="s">
        <v>47</v>
      </c>
      <c r="AA1034" s="5" t="s">
        <v>64</v>
      </c>
      <c r="AB1034" s="5" t="s">
        <v>5116</v>
      </c>
      <c r="AC1034" s="6" t="s">
        <v>34</v>
      </c>
      <c r="AD1034" s="6">
        <v>1124.0</v>
      </c>
    </row>
    <row r="1035" ht="56.25" customHeight="1">
      <c r="A1035" s="5" t="s">
        <v>5117</v>
      </c>
      <c r="B1035" s="16" t="str">
        <f>IMAGE("https://storage.googleapis.com/acdb/miscellaneous/FtrFishTatsunootoshigoToy.png")</f>
        <v/>
      </c>
      <c r="C1035" s="5" t="s">
        <v>34</v>
      </c>
      <c r="D1035" s="5" t="s">
        <v>34</v>
      </c>
      <c r="E1035" s="5" t="s">
        <v>34</v>
      </c>
      <c r="F1035" s="5" t="s">
        <v>34</v>
      </c>
      <c r="G1035" s="5" t="s">
        <v>36</v>
      </c>
      <c r="H1035" s="5" t="s">
        <v>36</v>
      </c>
      <c r="I1035" s="5" t="s">
        <v>36</v>
      </c>
      <c r="J1035" s="6" t="s">
        <v>34</v>
      </c>
      <c r="K1035" s="6" t="s">
        <v>37</v>
      </c>
      <c r="L1035" s="6">
        <v>3300.0</v>
      </c>
      <c r="M1035" s="5" t="s">
        <v>142</v>
      </c>
      <c r="N1035" s="5" t="s">
        <v>54</v>
      </c>
      <c r="O1035" s="6" t="s">
        <v>40</v>
      </c>
      <c r="P1035" s="5" t="s">
        <v>213</v>
      </c>
      <c r="Q1035" s="5" t="s">
        <v>215</v>
      </c>
      <c r="R1035" s="6" t="s">
        <v>42</v>
      </c>
      <c r="S1035" s="5" t="s">
        <v>44</v>
      </c>
      <c r="T1035" s="5" t="s">
        <v>44</v>
      </c>
      <c r="U1035" s="5" t="s">
        <v>44</v>
      </c>
      <c r="V1035" s="5" t="s">
        <v>44</v>
      </c>
      <c r="W1035" s="5" t="s">
        <v>36</v>
      </c>
      <c r="X1035" s="5" t="s">
        <v>219</v>
      </c>
      <c r="Y1035" s="5" t="s">
        <v>46</v>
      </c>
      <c r="Z1035" s="5" t="s">
        <v>47</v>
      </c>
      <c r="AA1035" s="5" t="s">
        <v>48</v>
      </c>
      <c r="AB1035" s="5" t="s">
        <v>5123</v>
      </c>
      <c r="AC1035" s="6" t="s">
        <v>34</v>
      </c>
      <c r="AD1035" s="6">
        <v>7021.0</v>
      </c>
    </row>
    <row r="1036" ht="56.25" customHeight="1">
      <c r="A1036" s="5" t="s">
        <v>5125</v>
      </c>
      <c r="B1036" s="6" t="str">
        <f>IMAGE("https://storage.googleapis.com/acdb/miscellaneous/FtrSewingmachine_Remake_0_0.png")</f>
        <v/>
      </c>
      <c r="C1036" s="5" t="s">
        <v>57</v>
      </c>
      <c r="D1036" s="5" t="s">
        <v>34</v>
      </c>
      <c r="E1036" s="5" t="s">
        <v>34</v>
      </c>
      <c r="F1036" s="5" t="s">
        <v>34</v>
      </c>
      <c r="G1036" s="5" t="s">
        <v>36</v>
      </c>
      <c r="H1036" s="5" t="s">
        <v>36</v>
      </c>
      <c r="I1036" s="5" t="s">
        <v>36</v>
      </c>
      <c r="J1036" s="6" t="s">
        <v>34</v>
      </c>
      <c r="K1036" s="6">
        <v>2100.0</v>
      </c>
      <c r="L1036" s="6">
        <v>525.0</v>
      </c>
      <c r="M1036" s="5" t="s">
        <v>57</v>
      </c>
      <c r="N1036" s="5" t="s">
        <v>95</v>
      </c>
      <c r="O1036" s="6" t="s">
        <v>40</v>
      </c>
      <c r="P1036" s="5" t="s">
        <v>59</v>
      </c>
      <c r="Q1036" s="5" t="s">
        <v>60</v>
      </c>
      <c r="R1036" s="6" t="s">
        <v>42</v>
      </c>
      <c r="S1036" s="5" t="s">
        <v>90</v>
      </c>
      <c r="T1036" s="5" t="s">
        <v>44</v>
      </c>
      <c r="U1036" s="5" t="s">
        <v>44</v>
      </c>
      <c r="V1036" s="5" t="s">
        <v>44</v>
      </c>
      <c r="W1036" s="5" t="s">
        <v>35</v>
      </c>
      <c r="X1036" s="5" t="s">
        <v>5130</v>
      </c>
      <c r="Y1036" s="5" t="s">
        <v>46</v>
      </c>
      <c r="Z1036" s="5" t="s">
        <v>47</v>
      </c>
      <c r="AA1036" s="5" t="s">
        <v>64</v>
      </c>
      <c r="AB1036" s="5" t="s">
        <v>5131</v>
      </c>
      <c r="AC1036" s="6" t="s">
        <v>50</v>
      </c>
      <c r="AD1036" s="6">
        <v>1128.0</v>
      </c>
    </row>
    <row r="1037" ht="56.25" customHeight="1">
      <c r="A1037" s="5" t="s">
        <v>5125</v>
      </c>
      <c r="B1037" s="6" t="str">
        <f>IMAGE("https://storage.googleapis.com/acdb/miscellaneous/FtrSewingmachine_Remake_1_0.png")</f>
        <v/>
      </c>
      <c r="C1037" s="5" t="s">
        <v>68</v>
      </c>
      <c r="D1037" s="5" t="s">
        <v>34</v>
      </c>
      <c r="E1037" s="5" t="s">
        <v>34</v>
      </c>
      <c r="F1037" s="5" t="s">
        <v>34</v>
      </c>
      <c r="G1037" s="5" t="s">
        <v>36</v>
      </c>
      <c r="H1037" s="5" t="s">
        <v>36</v>
      </c>
      <c r="I1037" s="5" t="s">
        <v>36</v>
      </c>
      <c r="J1037" s="6" t="s">
        <v>34</v>
      </c>
      <c r="K1037" s="6">
        <v>2100.0</v>
      </c>
      <c r="L1037" s="6">
        <v>525.0</v>
      </c>
      <c r="M1037" s="5" t="s">
        <v>83</v>
      </c>
      <c r="N1037" s="5" t="s">
        <v>68</v>
      </c>
      <c r="O1037" s="6" t="s">
        <v>40</v>
      </c>
      <c r="P1037" s="5" t="s">
        <v>59</v>
      </c>
      <c r="Q1037" s="5" t="s">
        <v>60</v>
      </c>
      <c r="R1037" s="6" t="s">
        <v>42</v>
      </c>
      <c r="S1037" s="5" t="s">
        <v>90</v>
      </c>
      <c r="T1037" s="5" t="s">
        <v>44</v>
      </c>
      <c r="U1037" s="5" t="s">
        <v>44</v>
      </c>
      <c r="V1037" s="5" t="s">
        <v>44</v>
      </c>
      <c r="W1037" s="5" t="s">
        <v>35</v>
      </c>
      <c r="X1037" s="5" t="s">
        <v>5130</v>
      </c>
      <c r="Y1037" s="5" t="s">
        <v>46</v>
      </c>
      <c r="Z1037" s="5" t="s">
        <v>47</v>
      </c>
      <c r="AA1037" s="5" t="s">
        <v>64</v>
      </c>
      <c r="AB1037" s="5" t="s">
        <v>5136</v>
      </c>
      <c r="AC1037" s="6" t="s">
        <v>56</v>
      </c>
      <c r="AD1037" s="6">
        <v>1128.0</v>
      </c>
    </row>
    <row r="1038" ht="56.25" customHeight="1">
      <c r="A1038" s="5" t="s">
        <v>5125</v>
      </c>
      <c r="B1038" s="6" t="str">
        <f>IMAGE("https://storage.googleapis.com/acdb/miscellaneous/FtrSewingmachine_Remake_2_0.png")</f>
        <v/>
      </c>
      <c r="C1038" s="5" t="s">
        <v>52</v>
      </c>
      <c r="D1038" s="5" t="s">
        <v>34</v>
      </c>
      <c r="E1038" s="5" t="s">
        <v>34</v>
      </c>
      <c r="F1038" s="5" t="s">
        <v>34</v>
      </c>
      <c r="G1038" s="5" t="s">
        <v>36</v>
      </c>
      <c r="H1038" s="5" t="s">
        <v>36</v>
      </c>
      <c r="I1038" s="5" t="s">
        <v>36</v>
      </c>
      <c r="J1038" s="6" t="s">
        <v>34</v>
      </c>
      <c r="K1038" s="6">
        <v>2100.0</v>
      </c>
      <c r="L1038" s="6">
        <v>525.0</v>
      </c>
      <c r="M1038" s="5" t="s">
        <v>52</v>
      </c>
      <c r="N1038" s="5" t="s">
        <v>57</v>
      </c>
      <c r="O1038" s="6" t="s">
        <v>40</v>
      </c>
      <c r="P1038" s="5" t="s">
        <v>59</v>
      </c>
      <c r="Q1038" s="5" t="s">
        <v>60</v>
      </c>
      <c r="R1038" s="6" t="s">
        <v>42</v>
      </c>
      <c r="S1038" s="5" t="s">
        <v>90</v>
      </c>
      <c r="T1038" s="5" t="s">
        <v>44</v>
      </c>
      <c r="U1038" s="5" t="s">
        <v>44</v>
      </c>
      <c r="V1038" s="5" t="s">
        <v>44</v>
      </c>
      <c r="W1038" s="5" t="s">
        <v>35</v>
      </c>
      <c r="X1038" s="5" t="s">
        <v>5130</v>
      </c>
      <c r="Y1038" s="5" t="s">
        <v>46</v>
      </c>
      <c r="Z1038" s="5" t="s">
        <v>47</v>
      </c>
      <c r="AA1038" s="5" t="s">
        <v>64</v>
      </c>
      <c r="AB1038" s="5" t="s">
        <v>5141</v>
      </c>
      <c r="AC1038" s="6" t="s">
        <v>67</v>
      </c>
      <c r="AD1038" s="6">
        <v>1128.0</v>
      </c>
    </row>
    <row r="1039" ht="56.25" customHeight="1">
      <c r="A1039" s="5" t="s">
        <v>5125</v>
      </c>
      <c r="B1039" s="6" t="str">
        <f>IMAGE("https://storage.googleapis.com/acdb/miscellaneous/FtrSewingmachine_Remake_3_0.png")</f>
        <v/>
      </c>
      <c r="C1039" s="5" t="s">
        <v>69</v>
      </c>
      <c r="D1039" s="5" t="s">
        <v>34</v>
      </c>
      <c r="E1039" s="5" t="s">
        <v>34</v>
      </c>
      <c r="F1039" s="5" t="s">
        <v>34</v>
      </c>
      <c r="G1039" s="5" t="s">
        <v>36</v>
      </c>
      <c r="H1039" s="5" t="s">
        <v>36</v>
      </c>
      <c r="I1039" s="5" t="s">
        <v>36</v>
      </c>
      <c r="J1039" s="6" t="s">
        <v>34</v>
      </c>
      <c r="K1039" s="6">
        <v>2100.0</v>
      </c>
      <c r="L1039" s="6">
        <v>525.0</v>
      </c>
      <c r="M1039" s="5" t="s">
        <v>69</v>
      </c>
      <c r="N1039" s="5" t="s">
        <v>57</v>
      </c>
      <c r="O1039" s="6" t="s">
        <v>40</v>
      </c>
      <c r="P1039" s="5" t="s">
        <v>59</v>
      </c>
      <c r="Q1039" s="5" t="s">
        <v>60</v>
      </c>
      <c r="R1039" s="6" t="s">
        <v>42</v>
      </c>
      <c r="S1039" s="5" t="s">
        <v>90</v>
      </c>
      <c r="T1039" s="5" t="s">
        <v>44</v>
      </c>
      <c r="U1039" s="5" t="s">
        <v>44</v>
      </c>
      <c r="V1039" s="5" t="s">
        <v>44</v>
      </c>
      <c r="W1039" s="5" t="s">
        <v>35</v>
      </c>
      <c r="X1039" s="5" t="s">
        <v>5130</v>
      </c>
      <c r="Y1039" s="5" t="s">
        <v>46</v>
      </c>
      <c r="Z1039" s="5" t="s">
        <v>47</v>
      </c>
      <c r="AA1039" s="5" t="s">
        <v>64</v>
      </c>
      <c r="AB1039" s="5" t="s">
        <v>5144</v>
      </c>
      <c r="AC1039" s="6" t="s">
        <v>71</v>
      </c>
      <c r="AD1039" s="6">
        <v>1128.0</v>
      </c>
    </row>
    <row r="1040" ht="56.25" customHeight="1">
      <c r="A1040" s="5" t="s">
        <v>5125</v>
      </c>
      <c r="B1040" s="6" t="str">
        <f>IMAGE("https://storage.googleapis.com/acdb/miscellaneous/FtrSewingmachine_Remake_4_0.png")</f>
        <v/>
      </c>
      <c r="C1040" s="5" t="s">
        <v>114</v>
      </c>
      <c r="D1040" s="5" t="s">
        <v>34</v>
      </c>
      <c r="E1040" s="5" t="s">
        <v>34</v>
      </c>
      <c r="F1040" s="5" t="s">
        <v>34</v>
      </c>
      <c r="G1040" s="5" t="s">
        <v>36</v>
      </c>
      <c r="H1040" s="5" t="s">
        <v>36</v>
      </c>
      <c r="I1040" s="5" t="s">
        <v>36</v>
      </c>
      <c r="J1040" s="6" t="s">
        <v>34</v>
      </c>
      <c r="K1040" s="6">
        <v>2100.0</v>
      </c>
      <c r="L1040" s="6">
        <v>525.0</v>
      </c>
      <c r="M1040" s="5" t="s">
        <v>114</v>
      </c>
      <c r="N1040" s="5" t="s">
        <v>57</v>
      </c>
      <c r="O1040" s="6" t="s">
        <v>40</v>
      </c>
      <c r="P1040" s="5" t="s">
        <v>59</v>
      </c>
      <c r="Q1040" s="5" t="s">
        <v>60</v>
      </c>
      <c r="R1040" s="6" t="s">
        <v>42</v>
      </c>
      <c r="S1040" s="5" t="s">
        <v>90</v>
      </c>
      <c r="T1040" s="5" t="s">
        <v>44</v>
      </c>
      <c r="U1040" s="5" t="s">
        <v>44</v>
      </c>
      <c r="V1040" s="5" t="s">
        <v>44</v>
      </c>
      <c r="W1040" s="5" t="s">
        <v>35</v>
      </c>
      <c r="X1040" s="5" t="s">
        <v>5130</v>
      </c>
      <c r="Y1040" s="5" t="s">
        <v>46</v>
      </c>
      <c r="Z1040" s="5" t="s">
        <v>47</v>
      </c>
      <c r="AA1040" s="5" t="s">
        <v>64</v>
      </c>
      <c r="AB1040" s="5" t="s">
        <v>5151</v>
      </c>
      <c r="AC1040" s="6" t="s">
        <v>75</v>
      </c>
      <c r="AD1040" s="6">
        <v>1128.0</v>
      </c>
    </row>
    <row r="1041" ht="56.25" customHeight="1">
      <c r="A1041" s="5" t="s">
        <v>5125</v>
      </c>
      <c r="B1041" s="6" t="str">
        <f>IMAGE("https://storage.googleapis.com/acdb/miscellaneous/FtrSewingmachine_Remake_5_0.png")</f>
        <v/>
      </c>
      <c r="C1041" s="5" t="s">
        <v>96</v>
      </c>
      <c r="D1041" s="5" t="s">
        <v>34</v>
      </c>
      <c r="E1041" s="5" t="s">
        <v>34</v>
      </c>
      <c r="F1041" s="5" t="s">
        <v>34</v>
      </c>
      <c r="G1041" s="5" t="s">
        <v>36</v>
      </c>
      <c r="H1041" s="5" t="s">
        <v>36</v>
      </c>
      <c r="I1041" s="5" t="s">
        <v>36</v>
      </c>
      <c r="J1041" s="6" t="s">
        <v>34</v>
      </c>
      <c r="K1041" s="6">
        <v>2100.0</v>
      </c>
      <c r="L1041" s="6">
        <v>525.0</v>
      </c>
      <c r="M1041" s="5" t="s">
        <v>96</v>
      </c>
      <c r="N1041" s="5" t="s">
        <v>57</v>
      </c>
      <c r="O1041" s="6" t="s">
        <v>40</v>
      </c>
      <c r="P1041" s="5" t="s">
        <v>59</v>
      </c>
      <c r="Q1041" s="5" t="s">
        <v>60</v>
      </c>
      <c r="R1041" s="6" t="s">
        <v>42</v>
      </c>
      <c r="S1041" s="5" t="s">
        <v>90</v>
      </c>
      <c r="T1041" s="5" t="s">
        <v>44</v>
      </c>
      <c r="U1041" s="5" t="s">
        <v>44</v>
      </c>
      <c r="V1041" s="5" t="s">
        <v>44</v>
      </c>
      <c r="W1041" s="5" t="s">
        <v>35</v>
      </c>
      <c r="X1041" s="5" t="s">
        <v>5130</v>
      </c>
      <c r="Y1041" s="5" t="s">
        <v>46</v>
      </c>
      <c r="Z1041" s="5" t="s">
        <v>47</v>
      </c>
      <c r="AA1041" s="5" t="s">
        <v>64</v>
      </c>
      <c r="AB1041" s="5" t="s">
        <v>5156</v>
      </c>
      <c r="AC1041" s="6" t="s">
        <v>79</v>
      </c>
      <c r="AD1041" s="6">
        <v>1128.0</v>
      </c>
    </row>
    <row r="1042" ht="56.25" customHeight="1">
      <c r="A1042" s="5" t="s">
        <v>5125</v>
      </c>
      <c r="B1042" s="6" t="str">
        <f>IMAGE("https://storage.googleapis.com/acdb/miscellaneous/FtrSewingmachine_Remake_6_0.png")</f>
        <v/>
      </c>
      <c r="C1042" s="5" t="s">
        <v>54</v>
      </c>
      <c r="D1042" s="5" t="s">
        <v>34</v>
      </c>
      <c r="E1042" s="5" t="s">
        <v>34</v>
      </c>
      <c r="F1042" s="5" t="s">
        <v>34</v>
      </c>
      <c r="G1042" s="5" t="s">
        <v>36</v>
      </c>
      <c r="H1042" s="5" t="s">
        <v>36</v>
      </c>
      <c r="I1042" s="5" t="s">
        <v>36</v>
      </c>
      <c r="J1042" s="6" t="s">
        <v>34</v>
      </c>
      <c r="K1042" s="6">
        <v>2100.0</v>
      </c>
      <c r="L1042" s="6">
        <v>525.0</v>
      </c>
      <c r="M1042" s="5" t="s">
        <v>54</v>
      </c>
      <c r="N1042" s="5" t="s">
        <v>95</v>
      </c>
      <c r="O1042" s="6" t="s">
        <v>40</v>
      </c>
      <c r="P1042" s="5" t="s">
        <v>59</v>
      </c>
      <c r="Q1042" s="5" t="s">
        <v>60</v>
      </c>
      <c r="R1042" s="6" t="s">
        <v>42</v>
      </c>
      <c r="S1042" s="5" t="s">
        <v>90</v>
      </c>
      <c r="T1042" s="5" t="s">
        <v>44</v>
      </c>
      <c r="U1042" s="5" t="s">
        <v>44</v>
      </c>
      <c r="V1042" s="5" t="s">
        <v>44</v>
      </c>
      <c r="W1042" s="5" t="s">
        <v>35</v>
      </c>
      <c r="X1042" s="5" t="s">
        <v>5130</v>
      </c>
      <c r="Y1042" s="5" t="s">
        <v>46</v>
      </c>
      <c r="Z1042" s="5" t="s">
        <v>47</v>
      </c>
      <c r="AA1042" s="5" t="s">
        <v>64</v>
      </c>
      <c r="AB1042" s="5" t="s">
        <v>5162</v>
      </c>
      <c r="AC1042" s="6" t="s">
        <v>86</v>
      </c>
      <c r="AD1042" s="6">
        <v>1128.0</v>
      </c>
    </row>
    <row r="1043" ht="56.25" customHeight="1">
      <c r="A1043" s="5" t="s">
        <v>5163</v>
      </c>
      <c r="B1043" s="6" t="str">
        <f>IMAGE("https://storage.googleapis.com/acdb/miscellaneous/FtrSewingset_Remake_0_0.png")</f>
        <v/>
      </c>
      <c r="C1043" s="5" t="s">
        <v>114</v>
      </c>
      <c r="D1043" s="5" t="s">
        <v>34</v>
      </c>
      <c r="E1043" s="5" t="s">
        <v>34</v>
      </c>
      <c r="F1043" s="5" t="s">
        <v>34</v>
      </c>
      <c r="G1043" s="5" t="s">
        <v>36</v>
      </c>
      <c r="H1043" s="5" t="s">
        <v>36</v>
      </c>
      <c r="I1043" s="5" t="s">
        <v>36</v>
      </c>
      <c r="J1043" s="6" t="s">
        <v>34</v>
      </c>
      <c r="K1043" s="6">
        <v>430.0</v>
      </c>
      <c r="L1043" s="6">
        <v>107.0</v>
      </c>
      <c r="M1043" s="5" t="s">
        <v>114</v>
      </c>
      <c r="N1043" s="5" t="s">
        <v>83</v>
      </c>
      <c r="O1043" s="6" t="s">
        <v>40</v>
      </c>
      <c r="P1043" s="5" t="s">
        <v>59</v>
      </c>
      <c r="Q1043" s="5" t="s">
        <v>60</v>
      </c>
      <c r="R1043" s="6" t="s">
        <v>42</v>
      </c>
      <c r="S1043" s="5" t="s">
        <v>90</v>
      </c>
      <c r="T1043" s="5" t="s">
        <v>44</v>
      </c>
      <c r="U1043" s="5" t="s">
        <v>44</v>
      </c>
      <c r="V1043" s="5" t="s">
        <v>44</v>
      </c>
      <c r="W1043" s="5" t="s">
        <v>36</v>
      </c>
      <c r="X1043" s="5" t="s">
        <v>5130</v>
      </c>
      <c r="Y1043" s="5" t="s">
        <v>46</v>
      </c>
      <c r="Z1043" s="5" t="s">
        <v>47</v>
      </c>
      <c r="AA1043" s="5" t="s">
        <v>64</v>
      </c>
      <c r="AB1043" s="5" t="s">
        <v>5169</v>
      </c>
      <c r="AC1043" s="6" t="s">
        <v>50</v>
      </c>
      <c r="AD1043" s="6">
        <v>3443.0</v>
      </c>
    </row>
    <row r="1044" ht="56.25" customHeight="1">
      <c r="A1044" s="5" t="s">
        <v>5163</v>
      </c>
      <c r="B1044" s="6" t="str">
        <f>IMAGE("https://storage.googleapis.com/acdb/miscellaneous/FtrSewingset_Remake_1_0.png")</f>
        <v/>
      </c>
      <c r="C1044" s="5" t="s">
        <v>96</v>
      </c>
      <c r="D1044" s="5" t="s">
        <v>34</v>
      </c>
      <c r="E1044" s="5" t="s">
        <v>34</v>
      </c>
      <c r="F1044" s="5" t="s">
        <v>34</v>
      </c>
      <c r="G1044" s="5" t="s">
        <v>36</v>
      </c>
      <c r="H1044" s="5" t="s">
        <v>36</v>
      </c>
      <c r="I1044" s="5" t="s">
        <v>36</v>
      </c>
      <c r="J1044" s="6" t="s">
        <v>34</v>
      </c>
      <c r="K1044" s="6">
        <v>430.0</v>
      </c>
      <c r="L1044" s="6">
        <v>107.0</v>
      </c>
      <c r="M1044" s="5" t="s">
        <v>96</v>
      </c>
      <c r="N1044" s="5" t="s">
        <v>114</v>
      </c>
      <c r="O1044" s="6" t="s">
        <v>40</v>
      </c>
      <c r="P1044" s="5" t="s">
        <v>59</v>
      </c>
      <c r="Q1044" s="5" t="s">
        <v>60</v>
      </c>
      <c r="R1044" s="6" t="s">
        <v>42</v>
      </c>
      <c r="S1044" s="5" t="s">
        <v>90</v>
      </c>
      <c r="T1044" s="5" t="s">
        <v>44</v>
      </c>
      <c r="U1044" s="5" t="s">
        <v>44</v>
      </c>
      <c r="V1044" s="5" t="s">
        <v>44</v>
      </c>
      <c r="W1044" s="5" t="s">
        <v>36</v>
      </c>
      <c r="X1044" s="5" t="s">
        <v>5130</v>
      </c>
      <c r="Y1044" s="5" t="s">
        <v>46</v>
      </c>
      <c r="Z1044" s="5" t="s">
        <v>47</v>
      </c>
      <c r="AA1044" s="5" t="s">
        <v>64</v>
      </c>
      <c r="AB1044" s="5" t="s">
        <v>5176</v>
      </c>
      <c r="AC1044" s="6" t="s">
        <v>56</v>
      </c>
      <c r="AD1044" s="6">
        <v>3443.0</v>
      </c>
    </row>
    <row r="1045" ht="56.25" customHeight="1">
      <c r="A1045" s="5" t="s">
        <v>5163</v>
      </c>
      <c r="B1045" s="6" t="str">
        <f>IMAGE("https://storage.googleapis.com/acdb/miscellaneous/FtrSewingset_Remake_2_0.png")</f>
        <v/>
      </c>
      <c r="C1045" s="5" t="s">
        <v>68</v>
      </c>
      <c r="D1045" s="5" t="s">
        <v>34</v>
      </c>
      <c r="E1045" s="5" t="s">
        <v>34</v>
      </c>
      <c r="F1045" s="5" t="s">
        <v>34</v>
      </c>
      <c r="G1045" s="5" t="s">
        <v>36</v>
      </c>
      <c r="H1045" s="5" t="s">
        <v>36</v>
      </c>
      <c r="I1045" s="5" t="s">
        <v>36</v>
      </c>
      <c r="J1045" s="6" t="s">
        <v>34</v>
      </c>
      <c r="K1045" s="6">
        <v>430.0</v>
      </c>
      <c r="L1045" s="6">
        <v>107.0</v>
      </c>
      <c r="M1045" s="5" t="s">
        <v>83</v>
      </c>
      <c r="N1045" s="5" t="s">
        <v>68</v>
      </c>
      <c r="O1045" s="6" t="s">
        <v>40</v>
      </c>
      <c r="P1045" s="5" t="s">
        <v>59</v>
      </c>
      <c r="Q1045" s="5" t="s">
        <v>60</v>
      </c>
      <c r="R1045" s="6" t="s">
        <v>42</v>
      </c>
      <c r="S1045" s="5" t="s">
        <v>90</v>
      </c>
      <c r="T1045" s="5" t="s">
        <v>44</v>
      </c>
      <c r="U1045" s="5" t="s">
        <v>44</v>
      </c>
      <c r="V1045" s="5" t="s">
        <v>44</v>
      </c>
      <c r="W1045" s="5" t="s">
        <v>36</v>
      </c>
      <c r="X1045" s="5" t="s">
        <v>5130</v>
      </c>
      <c r="Y1045" s="5" t="s">
        <v>46</v>
      </c>
      <c r="Z1045" s="5" t="s">
        <v>47</v>
      </c>
      <c r="AA1045" s="5" t="s">
        <v>64</v>
      </c>
      <c r="AB1045" s="5" t="s">
        <v>5184</v>
      </c>
      <c r="AC1045" s="6" t="s">
        <v>67</v>
      </c>
      <c r="AD1045" s="6">
        <v>3443.0</v>
      </c>
    </row>
    <row r="1046" ht="56.25" customHeight="1">
      <c r="A1046" s="5" t="s">
        <v>5163</v>
      </c>
      <c r="B1046" s="6" t="str">
        <f>IMAGE("https://storage.googleapis.com/acdb/miscellaneous/FtrSewingset_Remake_3_0.png")</f>
        <v/>
      </c>
      <c r="C1046" s="5" t="s">
        <v>186</v>
      </c>
      <c r="D1046" s="5" t="s">
        <v>34</v>
      </c>
      <c r="E1046" s="5" t="s">
        <v>34</v>
      </c>
      <c r="F1046" s="5" t="s">
        <v>34</v>
      </c>
      <c r="G1046" s="5" t="s">
        <v>36</v>
      </c>
      <c r="H1046" s="5" t="s">
        <v>36</v>
      </c>
      <c r="I1046" s="5" t="s">
        <v>36</v>
      </c>
      <c r="J1046" s="6" t="s">
        <v>34</v>
      </c>
      <c r="K1046" s="6">
        <v>430.0</v>
      </c>
      <c r="L1046" s="6">
        <v>107.0</v>
      </c>
      <c r="M1046" s="5" t="s">
        <v>114</v>
      </c>
      <c r="N1046" s="5" t="s">
        <v>39</v>
      </c>
      <c r="O1046" s="6" t="s">
        <v>40</v>
      </c>
      <c r="P1046" s="5" t="s">
        <v>59</v>
      </c>
      <c r="Q1046" s="5" t="s">
        <v>60</v>
      </c>
      <c r="R1046" s="6" t="s">
        <v>42</v>
      </c>
      <c r="S1046" s="5" t="s">
        <v>90</v>
      </c>
      <c r="T1046" s="5" t="s">
        <v>44</v>
      </c>
      <c r="U1046" s="5" t="s">
        <v>44</v>
      </c>
      <c r="V1046" s="5" t="s">
        <v>44</v>
      </c>
      <c r="W1046" s="5" t="s">
        <v>36</v>
      </c>
      <c r="X1046" s="5" t="s">
        <v>5130</v>
      </c>
      <c r="Y1046" s="5" t="s">
        <v>46</v>
      </c>
      <c r="Z1046" s="5" t="s">
        <v>47</v>
      </c>
      <c r="AA1046" s="5" t="s">
        <v>64</v>
      </c>
      <c r="AB1046" s="5" t="s">
        <v>5190</v>
      </c>
      <c r="AC1046" s="6" t="s">
        <v>71</v>
      </c>
      <c r="AD1046" s="6">
        <v>3443.0</v>
      </c>
    </row>
    <row r="1047" ht="56.25" customHeight="1">
      <c r="A1047" s="5" t="s">
        <v>5163</v>
      </c>
      <c r="B1047" s="6" t="str">
        <f>IMAGE("https://storage.googleapis.com/acdb/miscellaneous/FtrSewingset_Remake_4_0.png")</f>
        <v/>
      </c>
      <c r="C1047" s="5" t="s">
        <v>69</v>
      </c>
      <c r="D1047" s="5" t="s">
        <v>34</v>
      </c>
      <c r="E1047" s="5" t="s">
        <v>34</v>
      </c>
      <c r="F1047" s="5" t="s">
        <v>34</v>
      </c>
      <c r="G1047" s="5" t="s">
        <v>36</v>
      </c>
      <c r="H1047" s="5" t="s">
        <v>36</v>
      </c>
      <c r="I1047" s="5" t="s">
        <v>36</v>
      </c>
      <c r="J1047" s="6" t="s">
        <v>34</v>
      </c>
      <c r="K1047" s="6">
        <v>430.0</v>
      </c>
      <c r="L1047" s="6">
        <v>107.0</v>
      </c>
      <c r="M1047" s="5" t="s">
        <v>69</v>
      </c>
      <c r="N1047" s="5" t="s">
        <v>83</v>
      </c>
      <c r="O1047" s="6" t="s">
        <v>40</v>
      </c>
      <c r="P1047" s="5" t="s">
        <v>59</v>
      </c>
      <c r="Q1047" s="5" t="s">
        <v>60</v>
      </c>
      <c r="R1047" s="6" t="s">
        <v>42</v>
      </c>
      <c r="S1047" s="5" t="s">
        <v>90</v>
      </c>
      <c r="T1047" s="5" t="s">
        <v>44</v>
      </c>
      <c r="U1047" s="5" t="s">
        <v>44</v>
      </c>
      <c r="V1047" s="5" t="s">
        <v>44</v>
      </c>
      <c r="W1047" s="5" t="s">
        <v>36</v>
      </c>
      <c r="X1047" s="5" t="s">
        <v>5130</v>
      </c>
      <c r="Y1047" s="5" t="s">
        <v>46</v>
      </c>
      <c r="Z1047" s="5" t="s">
        <v>47</v>
      </c>
      <c r="AA1047" s="5" t="s">
        <v>64</v>
      </c>
      <c r="AB1047" s="5" t="s">
        <v>5196</v>
      </c>
      <c r="AC1047" s="6" t="s">
        <v>75</v>
      </c>
      <c r="AD1047" s="6">
        <v>3443.0</v>
      </c>
    </row>
    <row r="1048" ht="56.25" customHeight="1">
      <c r="A1048" s="5" t="s">
        <v>5163</v>
      </c>
      <c r="B1048" s="6" t="str">
        <f>IMAGE("https://storage.googleapis.com/acdb/miscellaneous/FtrSewingset_Remake_5_0.png")</f>
        <v/>
      </c>
      <c r="C1048" s="5" t="s">
        <v>54</v>
      </c>
      <c r="D1048" s="5" t="s">
        <v>34</v>
      </c>
      <c r="E1048" s="5" t="s">
        <v>34</v>
      </c>
      <c r="F1048" s="5" t="s">
        <v>34</v>
      </c>
      <c r="G1048" s="5" t="s">
        <v>36</v>
      </c>
      <c r="H1048" s="5" t="s">
        <v>36</v>
      </c>
      <c r="I1048" s="5" t="s">
        <v>36</v>
      </c>
      <c r="J1048" s="6" t="s">
        <v>34</v>
      </c>
      <c r="K1048" s="6">
        <v>430.0</v>
      </c>
      <c r="L1048" s="6">
        <v>107.0</v>
      </c>
      <c r="M1048" s="5" t="s">
        <v>54</v>
      </c>
      <c r="N1048" s="5" t="s">
        <v>57</v>
      </c>
      <c r="O1048" s="6" t="s">
        <v>40</v>
      </c>
      <c r="P1048" s="5" t="s">
        <v>59</v>
      </c>
      <c r="Q1048" s="5" t="s">
        <v>60</v>
      </c>
      <c r="R1048" s="6" t="s">
        <v>42</v>
      </c>
      <c r="S1048" s="5" t="s">
        <v>90</v>
      </c>
      <c r="T1048" s="5" t="s">
        <v>44</v>
      </c>
      <c r="U1048" s="5" t="s">
        <v>44</v>
      </c>
      <c r="V1048" s="5" t="s">
        <v>44</v>
      </c>
      <c r="W1048" s="5" t="s">
        <v>36</v>
      </c>
      <c r="X1048" s="5" t="s">
        <v>5130</v>
      </c>
      <c r="Y1048" s="5" t="s">
        <v>46</v>
      </c>
      <c r="Z1048" s="5" t="s">
        <v>47</v>
      </c>
      <c r="AA1048" s="5" t="s">
        <v>64</v>
      </c>
      <c r="AB1048" s="5" t="s">
        <v>5201</v>
      </c>
      <c r="AC1048" s="6" t="s">
        <v>79</v>
      </c>
      <c r="AD1048" s="6">
        <v>3443.0</v>
      </c>
    </row>
    <row r="1049" ht="56.25" customHeight="1">
      <c r="A1049" s="5" t="s">
        <v>5202</v>
      </c>
      <c r="B1049" s="6" t="str">
        <f>IMAGE("https://storage.googleapis.com/acdb/miscellaneous/FtrIcemachine_Remake_0_0.png")</f>
        <v/>
      </c>
      <c r="C1049" s="5" t="s">
        <v>96</v>
      </c>
      <c r="D1049" s="5" t="s">
        <v>34</v>
      </c>
      <c r="E1049" s="5" t="s">
        <v>34</v>
      </c>
      <c r="F1049" s="5" t="s">
        <v>34</v>
      </c>
      <c r="G1049" s="5" t="s">
        <v>36</v>
      </c>
      <c r="H1049" s="5" t="s">
        <v>36</v>
      </c>
      <c r="I1049" s="5" t="s">
        <v>36</v>
      </c>
      <c r="J1049" s="6" t="s">
        <v>34</v>
      </c>
      <c r="K1049" s="6">
        <v>1400.0</v>
      </c>
      <c r="L1049" s="6">
        <v>350.0</v>
      </c>
      <c r="M1049" s="5" t="s">
        <v>83</v>
      </c>
      <c r="N1049" s="5" t="s">
        <v>68</v>
      </c>
      <c r="O1049" s="6" t="s">
        <v>40</v>
      </c>
      <c r="P1049" s="5" t="s">
        <v>59</v>
      </c>
      <c r="Q1049" s="5" t="s">
        <v>60</v>
      </c>
      <c r="R1049" s="6" t="s">
        <v>42</v>
      </c>
      <c r="S1049" s="5" t="s">
        <v>159</v>
      </c>
      <c r="T1049" s="5" t="s">
        <v>138</v>
      </c>
      <c r="U1049" s="5" t="s">
        <v>44</v>
      </c>
      <c r="V1049" s="5" t="s">
        <v>44</v>
      </c>
      <c r="W1049" s="5" t="s">
        <v>35</v>
      </c>
      <c r="X1049" s="5" t="s">
        <v>160</v>
      </c>
      <c r="Y1049" s="5" t="s">
        <v>46</v>
      </c>
      <c r="Z1049" s="5" t="s">
        <v>47</v>
      </c>
      <c r="AA1049" s="5" t="s">
        <v>64</v>
      </c>
      <c r="AB1049" s="5" t="s">
        <v>5208</v>
      </c>
      <c r="AC1049" s="6" t="s">
        <v>50</v>
      </c>
      <c r="AD1049" s="6">
        <v>667.0</v>
      </c>
    </row>
    <row r="1050" ht="56.25" customHeight="1">
      <c r="A1050" s="5" t="s">
        <v>5202</v>
      </c>
      <c r="B1050" s="6" t="str">
        <f>IMAGE("https://storage.googleapis.com/acdb/miscellaneous/FtrIcemachine_Remake_1_0.png")</f>
        <v/>
      </c>
      <c r="C1050" s="5" t="s">
        <v>146</v>
      </c>
      <c r="D1050" s="5" t="s">
        <v>34</v>
      </c>
      <c r="E1050" s="5" t="s">
        <v>34</v>
      </c>
      <c r="F1050" s="5" t="s">
        <v>34</v>
      </c>
      <c r="G1050" s="5" t="s">
        <v>36</v>
      </c>
      <c r="H1050" s="5" t="s">
        <v>36</v>
      </c>
      <c r="I1050" s="5" t="s">
        <v>36</v>
      </c>
      <c r="J1050" s="6" t="s">
        <v>34</v>
      </c>
      <c r="K1050" s="6">
        <v>1400.0</v>
      </c>
      <c r="L1050" s="6">
        <v>350.0</v>
      </c>
      <c r="M1050" s="5"/>
      <c r="N1050" s="5"/>
      <c r="O1050" s="6" t="s">
        <v>40</v>
      </c>
      <c r="P1050" s="5" t="s">
        <v>59</v>
      </c>
      <c r="Q1050" s="5" t="s">
        <v>60</v>
      </c>
      <c r="R1050" s="6" t="s">
        <v>42</v>
      </c>
      <c r="S1050" s="5" t="s">
        <v>159</v>
      </c>
      <c r="T1050" s="5" t="s">
        <v>138</v>
      </c>
      <c r="U1050" s="5" t="s">
        <v>44</v>
      </c>
      <c r="V1050" s="5" t="s">
        <v>44</v>
      </c>
      <c r="W1050" s="5" t="s">
        <v>35</v>
      </c>
      <c r="X1050" s="5" t="s">
        <v>160</v>
      </c>
      <c r="Y1050" s="5" t="s">
        <v>46</v>
      </c>
      <c r="Z1050" s="5" t="s">
        <v>47</v>
      </c>
      <c r="AA1050" s="5" t="s">
        <v>64</v>
      </c>
      <c r="AB1050" s="5" t="s">
        <v>5214</v>
      </c>
      <c r="AC1050" s="6" t="s">
        <v>56</v>
      </c>
      <c r="AD1050" s="6">
        <v>667.0</v>
      </c>
    </row>
    <row r="1051" ht="56.25" customHeight="1">
      <c r="A1051" s="5" t="s">
        <v>5215</v>
      </c>
      <c r="B1051" s="6" t="str">
        <f>IMAGE("https://storage.googleapis.com/acdb/miscellaneous/FtrShellLamp_Remake_0_0.png")</f>
        <v/>
      </c>
      <c r="C1051" s="5" t="s">
        <v>57</v>
      </c>
      <c r="D1051" s="5" t="s">
        <v>5216</v>
      </c>
      <c r="E1051" s="5" t="s">
        <v>34</v>
      </c>
      <c r="F1051" s="5" t="s">
        <v>34</v>
      </c>
      <c r="G1051" s="5" t="s">
        <v>35</v>
      </c>
      <c r="H1051" s="5" t="s">
        <v>35</v>
      </c>
      <c r="I1051" s="5" t="s">
        <v>36</v>
      </c>
      <c r="J1051" s="6">
        <v>6.0</v>
      </c>
      <c r="K1051" s="6" t="s">
        <v>37</v>
      </c>
      <c r="L1051" s="6">
        <v>4200.0</v>
      </c>
      <c r="M1051" s="5" t="s">
        <v>57</v>
      </c>
      <c r="N1051" s="5" t="s">
        <v>57</v>
      </c>
      <c r="O1051" s="6" t="s">
        <v>40</v>
      </c>
      <c r="P1051" s="5" t="s">
        <v>41</v>
      </c>
      <c r="Q1051" s="5"/>
      <c r="R1051" s="6" t="s">
        <v>42</v>
      </c>
      <c r="S1051" s="5" t="s">
        <v>138</v>
      </c>
      <c r="T1051" s="5" t="s">
        <v>44</v>
      </c>
      <c r="U1051" s="5" t="s">
        <v>2112</v>
      </c>
      <c r="V1051" s="5" t="s">
        <v>44</v>
      </c>
      <c r="W1051" s="5" t="s">
        <v>35</v>
      </c>
      <c r="X1051" s="5" t="s">
        <v>467</v>
      </c>
      <c r="Y1051" s="5" t="s">
        <v>46</v>
      </c>
      <c r="Z1051" s="5" t="s">
        <v>502</v>
      </c>
      <c r="AA1051" s="5" t="s">
        <v>48</v>
      </c>
      <c r="AB1051" s="5" t="s">
        <v>5219</v>
      </c>
      <c r="AC1051" s="6" t="s">
        <v>50</v>
      </c>
      <c r="AD1051" s="6">
        <v>3984.0</v>
      </c>
    </row>
    <row r="1052" ht="56.25" customHeight="1">
      <c r="A1052" s="5" t="s">
        <v>5215</v>
      </c>
      <c r="B1052" s="6" t="str">
        <f>IMAGE("https://storage.googleapis.com/acdb/miscellaneous/FtrShellLamp_Remake_1_0.png")</f>
        <v/>
      </c>
      <c r="C1052" s="5" t="s">
        <v>39</v>
      </c>
      <c r="D1052" s="5" t="s">
        <v>5216</v>
      </c>
      <c r="E1052" s="5" t="s">
        <v>34</v>
      </c>
      <c r="F1052" s="5" t="s">
        <v>34</v>
      </c>
      <c r="G1052" s="5" t="s">
        <v>35</v>
      </c>
      <c r="H1052" s="5" t="s">
        <v>35</v>
      </c>
      <c r="I1052" s="5" t="s">
        <v>36</v>
      </c>
      <c r="J1052" s="6">
        <v>6.0</v>
      </c>
      <c r="K1052" s="6" t="s">
        <v>37</v>
      </c>
      <c r="L1052" s="6">
        <v>4200.0</v>
      </c>
      <c r="M1052" s="5" t="s">
        <v>39</v>
      </c>
      <c r="N1052" s="5" t="s">
        <v>39</v>
      </c>
      <c r="O1052" s="6" t="s">
        <v>40</v>
      </c>
      <c r="P1052" s="5" t="s">
        <v>41</v>
      </c>
      <c r="Q1052" s="5"/>
      <c r="R1052" s="6" t="s">
        <v>42</v>
      </c>
      <c r="S1052" s="5" t="s">
        <v>138</v>
      </c>
      <c r="T1052" s="5" t="s">
        <v>44</v>
      </c>
      <c r="U1052" s="5" t="s">
        <v>2112</v>
      </c>
      <c r="V1052" s="5" t="s">
        <v>44</v>
      </c>
      <c r="W1052" s="5" t="s">
        <v>35</v>
      </c>
      <c r="X1052" s="5" t="s">
        <v>467</v>
      </c>
      <c r="Y1052" s="5" t="s">
        <v>46</v>
      </c>
      <c r="Z1052" s="5" t="s">
        <v>502</v>
      </c>
      <c r="AA1052" s="5" t="s">
        <v>48</v>
      </c>
      <c r="AB1052" s="5" t="s">
        <v>5223</v>
      </c>
      <c r="AC1052" s="6" t="s">
        <v>56</v>
      </c>
      <c r="AD1052" s="6">
        <v>3984.0</v>
      </c>
    </row>
    <row r="1053" ht="56.25" customHeight="1">
      <c r="A1053" s="5" t="s">
        <v>5215</v>
      </c>
      <c r="B1053" s="6" t="str">
        <f>IMAGE("https://storage.googleapis.com/acdb/miscellaneous/FtrShellLamp_Remake_2_0.png")</f>
        <v/>
      </c>
      <c r="C1053" s="5" t="s">
        <v>69</v>
      </c>
      <c r="D1053" s="5" t="s">
        <v>5216</v>
      </c>
      <c r="E1053" s="5" t="s">
        <v>34</v>
      </c>
      <c r="F1053" s="5" t="s">
        <v>34</v>
      </c>
      <c r="G1053" s="5" t="s">
        <v>35</v>
      </c>
      <c r="H1053" s="5" t="s">
        <v>35</v>
      </c>
      <c r="I1053" s="5" t="s">
        <v>36</v>
      </c>
      <c r="J1053" s="6">
        <v>6.0</v>
      </c>
      <c r="K1053" s="6" t="s">
        <v>37</v>
      </c>
      <c r="L1053" s="6">
        <v>4200.0</v>
      </c>
      <c r="M1053" s="5" t="s">
        <v>69</v>
      </c>
      <c r="N1053" s="5" t="s">
        <v>69</v>
      </c>
      <c r="O1053" s="6" t="s">
        <v>40</v>
      </c>
      <c r="P1053" s="5" t="s">
        <v>41</v>
      </c>
      <c r="Q1053" s="5"/>
      <c r="R1053" s="6" t="s">
        <v>42</v>
      </c>
      <c r="S1053" s="5" t="s">
        <v>138</v>
      </c>
      <c r="T1053" s="5" t="s">
        <v>44</v>
      </c>
      <c r="U1053" s="5" t="s">
        <v>2112</v>
      </c>
      <c r="V1053" s="5" t="s">
        <v>44</v>
      </c>
      <c r="W1053" s="5" t="s">
        <v>35</v>
      </c>
      <c r="X1053" s="5" t="s">
        <v>467</v>
      </c>
      <c r="Y1053" s="5" t="s">
        <v>46</v>
      </c>
      <c r="Z1053" s="5" t="s">
        <v>502</v>
      </c>
      <c r="AA1053" s="5" t="s">
        <v>48</v>
      </c>
      <c r="AB1053" s="5" t="s">
        <v>5229</v>
      </c>
      <c r="AC1053" s="6" t="s">
        <v>67</v>
      </c>
      <c r="AD1053" s="6">
        <v>3984.0</v>
      </c>
    </row>
    <row r="1054" ht="56.25" customHeight="1">
      <c r="A1054" s="5" t="s">
        <v>5215</v>
      </c>
      <c r="B1054" s="6" t="str">
        <f>IMAGE("https://storage.googleapis.com/acdb/miscellaneous/FtrShellLamp_Remake_3_0.png")</f>
        <v/>
      </c>
      <c r="C1054" s="5" t="s">
        <v>114</v>
      </c>
      <c r="D1054" s="5" t="s">
        <v>5216</v>
      </c>
      <c r="E1054" s="5" t="s">
        <v>34</v>
      </c>
      <c r="F1054" s="5" t="s">
        <v>34</v>
      </c>
      <c r="G1054" s="5" t="s">
        <v>35</v>
      </c>
      <c r="H1054" s="5" t="s">
        <v>35</v>
      </c>
      <c r="I1054" s="5" t="s">
        <v>36</v>
      </c>
      <c r="J1054" s="6">
        <v>6.0</v>
      </c>
      <c r="K1054" s="6" t="s">
        <v>37</v>
      </c>
      <c r="L1054" s="6">
        <v>4200.0</v>
      </c>
      <c r="M1054" s="5" t="s">
        <v>114</v>
      </c>
      <c r="N1054" s="5" t="s">
        <v>114</v>
      </c>
      <c r="O1054" s="6" t="s">
        <v>40</v>
      </c>
      <c r="P1054" s="5" t="s">
        <v>41</v>
      </c>
      <c r="Q1054" s="5"/>
      <c r="R1054" s="6" t="s">
        <v>42</v>
      </c>
      <c r="S1054" s="5" t="s">
        <v>138</v>
      </c>
      <c r="T1054" s="5" t="s">
        <v>44</v>
      </c>
      <c r="U1054" s="5" t="s">
        <v>2112</v>
      </c>
      <c r="V1054" s="5" t="s">
        <v>44</v>
      </c>
      <c r="W1054" s="5" t="s">
        <v>35</v>
      </c>
      <c r="X1054" s="5" t="s">
        <v>467</v>
      </c>
      <c r="Y1054" s="5" t="s">
        <v>46</v>
      </c>
      <c r="Z1054" s="5" t="s">
        <v>502</v>
      </c>
      <c r="AA1054" s="5" t="s">
        <v>48</v>
      </c>
      <c r="AB1054" s="5" t="s">
        <v>5232</v>
      </c>
      <c r="AC1054" s="6" t="s">
        <v>71</v>
      </c>
      <c r="AD1054" s="6">
        <v>3984.0</v>
      </c>
    </row>
    <row r="1055" ht="56.25" customHeight="1">
      <c r="A1055" s="5" t="s">
        <v>5215</v>
      </c>
      <c r="B1055" s="6" t="str">
        <f>IMAGE("https://storage.googleapis.com/acdb/miscellaneous/FtrShellLamp_Remake_4_0.png")</f>
        <v/>
      </c>
      <c r="C1055" s="5" t="s">
        <v>106</v>
      </c>
      <c r="D1055" s="5" t="s">
        <v>5216</v>
      </c>
      <c r="E1055" s="5" t="s">
        <v>34</v>
      </c>
      <c r="F1055" s="5" t="s">
        <v>34</v>
      </c>
      <c r="G1055" s="5" t="s">
        <v>35</v>
      </c>
      <c r="H1055" s="5" t="s">
        <v>35</v>
      </c>
      <c r="I1055" s="5" t="s">
        <v>36</v>
      </c>
      <c r="J1055" s="6">
        <v>6.0</v>
      </c>
      <c r="K1055" s="6" t="s">
        <v>37</v>
      </c>
      <c r="L1055" s="6">
        <v>4200.0</v>
      </c>
      <c r="M1055" s="5" t="s">
        <v>106</v>
      </c>
      <c r="N1055" s="5" t="s">
        <v>106</v>
      </c>
      <c r="O1055" s="6" t="s">
        <v>40</v>
      </c>
      <c r="P1055" s="5" t="s">
        <v>41</v>
      </c>
      <c r="Q1055" s="5"/>
      <c r="R1055" s="6" t="s">
        <v>42</v>
      </c>
      <c r="S1055" s="5" t="s">
        <v>138</v>
      </c>
      <c r="T1055" s="5" t="s">
        <v>44</v>
      </c>
      <c r="U1055" s="5" t="s">
        <v>2112</v>
      </c>
      <c r="V1055" s="5" t="s">
        <v>44</v>
      </c>
      <c r="W1055" s="5" t="s">
        <v>35</v>
      </c>
      <c r="X1055" s="5" t="s">
        <v>467</v>
      </c>
      <c r="Y1055" s="5" t="s">
        <v>46</v>
      </c>
      <c r="Z1055" s="5" t="s">
        <v>502</v>
      </c>
      <c r="AA1055" s="5" t="s">
        <v>48</v>
      </c>
      <c r="AB1055" s="5" t="s">
        <v>5236</v>
      </c>
      <c r="AC1055" s="6" t="s">
        <v>75</v>
      </c>
      <c r="AD1055" s="6">
        <v>3984.0</v>
      </c>
    </row>
    <row r="1056" ht="56.25" customHeight="1">
      <c r="A1056" s="5" t="s">
        <v>5215</v>
      </c>
      <c r="B1056" s="6" t="str">
        <f>IMAGE("https://storage.googleapis.com/acdb/miscellaneous/FtrShellLamp_Remake_5_0.png")</f>
        <v/>
      </c>
      <c r="C1056" s="5" t="s">
        <v>5239</v>
      </c>
      <c r="D1056" s="5" t="s">
        <v>5216</v>
      </c>
      <c r="E1056" s="5" t="s">
        <v>34</v>
      </c>
      <c r="F1056" s="5" t="s">
        <v>34</v>
      </c>
      <c r="G1056" s="5" t="s">
        <v>35</v>
      </c>
      <c r="H1056" s="5" t="s">
        <v>35</v>
      </c>
      <c r="I1056" s="5" t="s">
        <v>36</v>
      </c>
      <c r="J1056" s="6">
        <v>6.0</v>
      </c>
      <c r="K1056" s="6" t="s">
        <v>37</v>
      </c>
      <c r="L1056" s="6">
        <v>4200.0</v>
      </c>
      <c r="M1056" s="5" t="s">
        <v>57</v>
      </c>
      <c r="N1056" s="5" t="s">
        <v>57</v>
      </c>
      <c r="O1056" s="6" t="s">
        <v>40</v>
      </c>
      <c r="P1056" s="5" t="s">
        <v>41</v>
      </c>
      <c r="Q1056" s="5"/>
      <c r="R1056" s="6" t="s">
        <v>42</v>
      </c>
      <c r="S1056" s="5" t="s">
        <v>138</v>
      </c>
      <c r="T1056" s="5" t="s">
        <v>44</v>
      </c>
      <c r="U1056" s="5" t="s">
        <v>2112</v>
      </c>
      <c r="V1056" s="5" t="s">
        <v>44</v>
      </c>
      <c r="W1056" s="5" t="s">
        <v>35</v>
      </c>
      <c r="X1056" s="5" t="s">
        <v>467</v>
      </c>
      <c r="Y1056" s="5" t="s">
        <v>46</v>
      </c>
      <c r="Z1056" s="5" t="s">
        <v>502</v>
      </c>
      <c r="AA1056" s="5" t="s">
        <v>48</v>
      </c>
      <c r="AB1056" s="5" t="s">
        <v>5243</v>
      </c>
      <c r="AC1056" s="6" t="s">
        <v>79</v>
      </c>
      <c r="AD1056" s="6">
        <v>3984.0</v>
      </c>
    </row>
    <row r="1057" ht="56.25" customHeight="1">
      <c r="A1057" s="5" t="s">
        <v>5246</v>
      </c>
      <c r="B1057" s="6" t="str">
        <f>IMAGE("https://storage.googleapis.com/acdb/miscellaneous/FtrShellMusic_Remake_0_0.png")</f>
        <v/>
      </c>
      <c r="C1057" s="5" t="s">
        <v>57</v>
      </c>
      <c r="D1057" s="5" t="s">
        <v>5216</v>
      </c>
      <c r="E1057" s="5" t="s">
        <v>34</v>
      </c>
      <c r="F1057" s="5" t="s">
        <v>34</v>
      </c>
      <c r="G1057" s="5" t="s">
        <v>35</v>
      </c>
      <c r="H1057" s="5" t="s">
        <v>35</v>
      </c>
      <c r="I1057" s="5" t="s">
        <v>36</v>
      </c>
      <c r="J1057" s="6">
        <v>7.0</v>
      </c>
      <c r="K1057" s="6" t="s">
        <v>37</v>
      </c>
      <c r="L1057" s="6">
        <v>5700.0</v>
      </c>
      <c r="M1057" s="5" t="s">
        <v>57</v>
      </c>
      <c r="N1057" s="5" t="s">
        <v>57</v>
      </c>
      <c r="O1057" s="6" t="s">
        <v>40</v>
      </c>
      <c r="P1057" s="5" t="s">
        <v>41</v>
      </c>
      <c r="Q1057" s="5"/>
      <c r="R1057" s="6" t="s">
        <v>42</v>
      </c>
      <c r="S1057" s="5" t="s">
        <v>138</v>
      </c>
      <c r="T1057" s="5" t="s">
        <v>44</v>
      </c>
      <c r="U1057" s="5" t="s">
        <v>2112</v>
      </c>
      <c r="V1057" s="5" t="s">
        <v>44</v>
      </c>
      <c r="W1057" s="5" t="s">
        <v>35</v>
      </c>
      <c r="X1057" s="5" t="s">
        <v>746</v>
      </c>
      <c r="Y1057" s="5" t="s">
        <v>885</v>
      </c>
      <c r="Z1057" s="5" t="s">
        <v>47</v>
      </c>
      <c r="AA1057" s="5" t="s">
        <v>48</v>
      </c>
      <c r="AB1057" s="5" t="s">
        <v>5250</v>
      </c>
      <c r="AC1057" s="6" t="s">
        <v>50</v>
      </c>
      <c r="AD1057" s="6">
        <v>5150.0</v>
      </c>
    </row>
    <row r="1058" ht="56.25" customHeight="1">
      <c r="A1058" s="5" t="s">
        <v>5246</v>
      </c>
      <c r="B1058" s="6" t="str">
        <f>IMAGE("https://storage.googleapis.com/acdb/miscellaneous/FtrShellMusic_Remake_1_0.png")</f>
        <v/>
      </c>
      <c r="C1058" s="5" t="s">
        <v>39</v>
      </c>
      <c r="D1058" s="5" t="s">
        <v>5216</v>
      </c>
      <c r="E1058" s="5" t="s">
        <v>34</v>
      </c>
      <c r="F1058" s="5" t="s">
        <v>34</v>
      </c>
      <c r="G1058" s="5" t="s">
        <v>35</v>
      </c>
      <c r="H1058" s="5" t="s">
        <v>35</v>
      </c>
      <c r="I1058" s="5" t="s">
        <v>36</v>
      </c>
      <c r="J1058" s="6">
        <v>7.0</v>
      </c>
      <c r="K1058" s="6" t="s">
        <v>37</v>
      </c>
      <c r="L1058" s="6">
        <v>5700.0</v>
      </c>
      <c r="M1058" s="5" t="s">
        <v>39</v>
      </c>
      <c r="N1058" s="5" t="s">
        <v>39</v>
      </c>
      <c r="O1058" s="6" t="s">
        <v>40</v>
      </c>
      <c r="P1058" s="5" t="s">
        <v>41</v>
      </c>
      <c r="Q1058" s="5"/>
      <c r="R1058" s="6" t="s">
        <v>42</v>
      </c>
      <c r="S1058" s="5" t="s">
        <v>138</v>
      </c>
      <c r="T1058" s="5" t="s">
        <v>44</v>
      </c>
      <c r="U1058" s="5" t="s">
        <v>2112</v>
      </c>
      <c r="V1058" s="5" t="s">
        <v>44</v>
      </c>
      <c r="W1058" s="5" t="s">
        <v>35</v>
      </c>
      <c r="X1058" s="5" t="s">
        <v>746</v>
      </c>
      <c r="Y1058" s="5" t="s">
        <v>885</v>
      </c>
      <c r="Z1058" s="5" t="s">
        <v>47</v>
      </c>
      <c r="AA1058" s="5" t="s">
        <v>48</v>
      </c>
      <c r="AB1058" s="5" t="s">
        <v>5254</v>
      </c>
      <c r="AC1058" s="6" t="s">
        <v>56</v>
      </c>
      <c r="AD1058" s="6">
        <v>5150.0</v>
      </c>
    </row>
    <row r="1059" ht="56.25" customHeight="1">
      <c r="A1059" s="5" t="s">
        <v>5246</v>
      </c>
      <c r="B1059" s="6" t="str">
        <f>IMAGE("https://storage.googleapis.com/acdb/miscellaneous/FtrShellMusic_Remake_2_0.png")</f>
        <v/>
      </c>
      <c r="C1059" s="5" t="s">
        <v>69</v>
      </c>
      <c r="D1059" s="5" t="s">
        <v>5216</v>
      </c>
      <c r="E1059" s="5" t="s">
        <v>34</v>
      </c>
      <c r="F1059" s="5" t="s">
        <v>34</v>
      </c>
      <c r="G1059" s="5" t="s">
        <v>35</v>
      </c>
      <c r="H1059" s="5" t="s">
        <v>35</v>
      </c>
      <c r="I1059" s="5" t="s">
        <v>36</v>
      </c>
      <c r="J1059" s="6">
        <v>7.0</v>
      </c>
      <c r="K1059" s="6" t="s">
        <v>37</v>
      </c>
      <c r="L1059" s="6">
        <v>5700.0</v>
      </c>
      <c r="M1059" s="5" t="s">
        <v>69</v>
      </c>
      <c r="N1059" s="5" t="s">
        <v>69</v>
      </c>
      <c r="O1059" s="6" t="s">
        <v>40</v>
      </c>
      <c r="P1059" s="5" t="s">
        <v>41</v>
      </c>
      <c r="Q1059" s="5"/>
      <c r="R1059" s="6" t="s">
        <v>42</v>
      </c>
      <c r="S1059" s="5" t="s">
        <v>138</v>
      </c>
      <c r="T1059" s="5" t="s">
        <v>44</v>
      </c>
      <c r="U1059" s="5" t="s">
        <v>2112</v>
      </c>
      <c r="V1059" s="5" t="s">
        <v>44</v>
      </c>
      <c r="W1059" s="5" t="s">
        <v>35</v>
      </c>
      <c r="X1059" s="5" t="s">
        <v>746</v>
      </c>
      <c r="Y1059" s="5" t="s">
        <v>885</v>
      </c>
      <c r="Z1059" s="5" t="s">
        <v>47</v>
      </c>
      <c r="AA1059" s="5" t="s">
        <v>48</v>
      </c>
      <c r="AB1059" s="5" t="s">
        <v>5259</v>
      </c>
      <c r="AC1059" s="6" t="s">
        <v>67</v>
      </c>
      <c r="AD1059" s="6">
        <v>5150.0</v>
      </c>
    </row>
    <row r="1060" ht="56.25" customHeight="1">
      <c r="A1060" s="5" t="s">
        <v>5246</v>
      </c>
      <c r="B1060" s="6" t="str">
        <f>IMAGE("https://storage.googleapis.com/acdb/miscellaneous/FtrShellMusic_Remake_3_0.png")</f>
        <v/>
      </c>
      <c r="C1060" s="5" t="s">
        <v>114</v>
      </c>
      <c r="D1060" s="5" t="s">
        <v>5216</v>
      </c>
      <c r="E1060" s="5" t="s">
        <v>34</v>
      </c>
      <c r="F1060" s="5" t="s">
        <v>34</v>
      </c>
      <c r="G1060" s="5" t="s">
        <v>35</v>
      </c>
      <c r="H1060" s="5" t="s">
        <v>35</v>
      </c>
      <c r="I1060" s="5" t="s">
        <v>36</v>
      </c>
      <c r="J1060" s="6">
        <v>7.0</v>
      </c>
      <c r="K1060" s="6" t="s">
        <v>37</v>
      </c>
      <c r="L1060" s="6">
        <v>5700.0</v>
      </c>
      <c r="M1060" s="5" t="s">
        <v>114</v>
      </c>
      <c r="N1060" s="5" t="s">
        <v>114</v>
      </c>
      <c r="O1060" s="6" t="s">
        <v>40</v>
      </c>
      <c r="P1060" s="5" t="s">
        <v>41</v>
      </c>
      <c r="Q1060" s="5"/>
      <c r="R1060" s="6" t="s">
        <v>42</v>
      </c>
      <c r="S1060" s="5" t="s">
        <v>138</v>
      </c>
      <c r="T1060" s="5" t="s">
        <v>44</v>
      </c>
      <c r="U1060" s="5" t="s">
        <v>2112</v>
      </c>
      <c r="V1060" s="5" t="s">
        <v>44</v>
      </c>
      <c r="W1060" s="5" t="s">
        <v>35</v>
      </c>
      <c r="X1060" s="5" t="s">
        <v>746</v>
      </c>
      <c r="Y1060" s="5" t="s">
        <v>885</v>
      </c>
      <c r="Z1060" s="5" t="s">
        <v>47</v>
      </c>
      <c r="AA1060" s="5" t="s">
        <v>48</v>
      </c>
      <c r="AB1060" s="5" t="s">
        <v>5264</v>
      </c>
      <c r="AC1060" s="6" t="s">
        <v>71</v>
      </c>
      <c r="AD1060" s="6">
        <v>5150.0</v>
      </c>
    </row>
    <row r="1061" ht="56.25" customHeight="1">
      <c r="A1061" s="5" t="s">
        <v>5246</v>
      </c>
      <c r="B1061" s="6" t="str">
        <f>IMAGE("https://storage.googleapis.com/acdb/miscellaneous/FtrShellMusic_Remake_4_0.png")</f>
        <v/>
      </c>
      <c r="C1061" s="5" t="s">
        <v>106</v>
      </c>
      <c r="D1061" s="5" t="s">
        <v>5216</v>
      </c>
      <c r="E1061" s="5" t="s">
        <v>34</v>
      </c>
      <c r="F1061" s="5" t="s">
        <v>34</v>
      </c>
      <c r="G1061" s="5" t="s">
        <v>35</v>
      </c>
      <c r="H1061" s="5" t="s">
        <v>35</v>
      </c>
      <c r="I1061" s="5" t="s">
        <v>36</v>
      </c>
      <c r="J1061" s="6">
        <v>7.0</v>
      </c>
      <c r="K1061" s="6" t="s">
        <v>37</v>
      </c>
      <c r="L1061" s="6">
        <v>5700.0</v>
      </c>
      <c r="M1061" s="5" t="s">
        <v>106</v>
      </c>
      <c r="N1061" s="5" t="s">
        <v>106</v>
      </c>
      <c r="O1061" s="6" t="s">
        <v>40</v>
      </c>
      <c r="P1061" s="5" t="s">
        <v>41</v>
      </c>
      <c r="Q1061" s="5"/>
      <c r="R1061" s="6" t="s">
        <v>42</v>
      </c>
      <c r="S1061" s="5" t="s">
        <v>138</v>
      </c>
      <c r="T1061" s="5" t="s">
        <v>44</v>
      </c>
      <c r="U1061" s="5" t="s">
        <v>2112</v>
      </c>
      <c r="V1061" s="5" t="s">
        <v>44</v>
      </c>
      <c r="W1061" s="5" t="s">
        <v>35</v>
      </c>
      <c r="X1061" s="5" t="s">
        <v>746</v>
      </c>
      <c r="Y1061" s="5" t="s">
        <v>885</v>
      </c>
      <c r="Z1061" s="5" t="s">
        <v>47</v>
      </c>
      <c r="AA1061" s="5" t="s">
        <v>48</v>
      </c>
      <c r="AB1061" s="5" t="s">
        <v>5269</v>
      </c>
      <c r="AC1061" s="6" t="s">
        <v>75</v>
      </c>
      <c r="AD1061" s="6">
        <v>5150.0</v>
      </c>
    </row>
    <row r="1062" ht="56.25" customHeight="1">
      <c r="A1062" s="5" t="s">
        <v>5246</v>
      </c>
      <c r="B1062" s="6" t="str">
        <f>IMAGE("https://storage.googleapis.com/acdb/miscellaneous/FtrShellMusic_Remake_5_0.png")</f>
        <v/>
      </c>
      <c r="C1062" s="5" t="s">
        <v>5239</v>
      </c>
      <c r="D1062" s="5" t="s">
        <v>5216</v>
      </c>
      <c r="E1062" s="5" t="s">
        <v>34</v>
      </c>
      <c r="F1062" s="5" t="s">
        <v>34</v>
      </c>
      <c r="G1062" s="5" t="s">
        <v>35</v>
      </c>
      <c r="H1062" s="5" t="s">
        <v>35</v>
      </c>
      <c r="I1062" s="5" t="s">
        <v>36</v>
      </c>
      <c r="J1062" s="6">
        <v>7.0</v>
      </c>
      <c r="K1062" s="6" t="s">
        <v>37</v>
      </c>
      <c r="L1062" s="6">
        <v>5700.0</v>
      </c>
      <c r="M1062" s="5" t="s">
        <v>57</v>
      </c>
      <c r="N1062" s="5" t="s">
        <v>57</v>
      </c>
      <c r="O1062" s="6" t="s">
        <v>40</v>
      </c>
      <c r="P1062" s="5" t="s">
        <v>41</v>
      </c>
      <c r="Q1062" s="5"/>
      <c r="R1062" s="6" t="s">
        <v>42</v>
      </c>
      <c r="S1062" s="5" t="s">
        <v>138</v>
      </c>
      <c r="T1062" s="5" t="s">
        <v>44</v>
      </c>
      <c r="U1062" s="5" t="s">
        <v>2112</v>
      </c>
      <c r="V1062" s="5" t="s">
        <v>44</v>
      </c>
      <c r="W1062" s="5" t="s">
        <v>35</v>
      </c>
      <c r="X1062" s="5" t="s">
        <v>746</v>
      </c>
      <c r="Y1062" s="5" t="s">
        <v>885</v>
      </c>
      <c r="Z1062" s="5" t="s">
        <v>47</v>
      </c>
      <c r="AA1062" s="5" t="s">
        <v>48</v>
      </c>
      <c r="AB1062" s="5" t="s">
        <v>5273</v>
      </c>
      <c r="AC1062" s="6" t="s">
        <v>79</v>
      </c>
      <c r="AD1062" s="6">
        <v>5150.0</v>
      </c>
    </row>
    <row r="1063" ht="56.25" customHeight="1">
      <c r="A1063" s="5" t="s">
        <v>5274</v>
      </c>
      <c r="B1063" s="16" t="str">
        <f>IMAGE("https://storage.googleapis.com/acdb/miscellaneous/FtrTrophyInsectSilver.png")</f>
        <v/>
      </c>
      <c r="C1063" s="5" t="s">
        <v>34</v>
      </c>
      <c r="D1063" s="5" t="s">
        <v>34</v>
      </c>
      <c r="E1063" s="5" t="s">
        <v>34</v>
      </c>
      <c r="F1063" s="5" t="s">
        <v>34</v>
      </c>
      <c r="G1063" s="5" t="s">
        <v>36</v>
      </c>
      <c r="H1063" s="5" t="s">
        <v>36</v>
      </c>
      <c r="I1063" s="5" t="s">
        <v>36</v>
      </c>
      <c r="J1063" s="6" t="s">
        <v>34</v>
      </c>
      <c r="K1063" s="6" t="s">
        <v>37</v>
      </c>
      <c r="L1063" s="6">
        <v>425.0</v>
      </c>
      <c r="M1063" s="5" t="s">
        <v>95</v>
      </c>
      <c r="N1063" s="5" t="s">
        <v>39</v>
      </c>
      <c r="O1063" s="6" t="s">
        <v>40</v>
      </c>
      <c r="P1063" s="5" t="s">
        <v>393</v>
      </c>
      <c r="Q1063" s="5"/>
      <c r="R1063" s="6" t="s">
        <v>42</v>
      </c>
      <c r="S1063" s="5" t="s">
        <v>116</v>
      </c>
      <c r="T1063" s="5" t="s">
        <v>44</v>
      </c>
      <c r="U1063" s="5" t="s">
        <v>44</v>
      </c>
      <c r="V1063" s="5" t="s">
        <v>44</v>
      </c>
      <c r="W1063" s="5" t="s">
        <v>36</v>
      </c>
      <c r="X1063" s="5" t="s">
        <v>206</v>
      </c>
      <c r="Y1063" s="5" t="s">
        <v>46</v>
      </c>
      <c r="Z1063" s="5" t="s">
        <v>47</v>
      </c>
      <c r="AA1063" s="5" t="s">
        <v>48</v>
      </c>
      <c r="AB1063" s="5" t="s">
        <v>5276</v>
      </c>
      <c r="AC1063" s="6" t="s">
        <v>34</v>
      </c>
      <c r="AD1063" s="6">
        <v>1204.0</v>
      </c>
    </row>
    <row r="1064" ht="56.25" customHeight="1">
      <c r="A1064" s="5" t="s">
        <v>5278</v>
      </c>
      <c r="B1064" s="16" t="str">
        <f>IMAGE("https://storage.googleapis.com/acdb/miscellaneous/FtrTrophyFishSilver.png")</f>
        <v/>
      </c>
      <c r="C1064" s="5" t="s">
        <v>34</v>
      </c>
      <c r="D1064" s="5" t="s">
        <v>34</v>
      </c>
      <c r="E1064" s="5" t="s">
        <v>34</v>
      </c>
      <c r="F1064" s="5" t="s">
        <v>34</v>
      </c>
      <c r="G1064" s="5" t="s">
        <v>36</v>
      </c>
      <c r="H1064" s="5" t="s">
        <v>36</v>
      </c>
      <c r="I1064" s="5" t="s">
        <v>36</v>
      </c>
      <c r="J1064" s="6" t="s">
        <v>34</v>
      </c>
      <c r="K1064" s="6" t="s">
        <v>37</v>
      </c>
      <c r="L1064" s="6">
        <v>425.0</v>
      </c>
      <c r="M1064" s="5" t="s">
        <v>95</v>
      </c>
      <c r="N1064" s="5" t="s">
        <v>39</v>
      </c>
      <c r="O1064" s="6" t="s">
        <v>40</v>
      </c>
      <c r="P1064" s="5" t="s">
        <v>137</v>
      </c>
      <c r="Q1064" s="5"/>
      <c r="R1064" s="6" t="s">
        <v>42</v>
      </c>
      <c r="S1064" s="5" t="s">
        <v>116</v>
      </c>
      <c r="T1064" s="5" t="s">
        <v>44</v>
      </c>
      <c r="U1064" s="5" t="s">
        <v>44</v>
      </c>
      <c r="V1064" s="5" t="s">
        <v>44</v>
      </c>
      <c r="W1064" s="5" t="s">
        <v>36</v>
      </c>
      <c r="X1064" s="5" t="s">
        <v>206</v>
      </c>
      <c r="Y1064" s="5" t="s">
        <v>46</v>
      </c>
      <c r="Z1064" s="5" t="s">
        <v>47</v>
      </c>
      <c r="AA1064" s="5" t="s">
        <v>48</v>
      </c>
      <c r="AB1064" s="5" t="s">
        <v>5280</v>
      </c>
      <c r="AC1064" s="6" t="s">
        <v>34</v>
      </c>
      <c r="AD1064" s="6">
        <v>1201.0</v>
      </c>
    </row>
    <row r="1065" ht="56.25" customHeight="1">
      <c r="A1065" s="5" t="s">
        <v>5281</v>
      </c>
      <c r="B1065" s="16" t="str">
        <f>IMAGE("https://storage.googleapis.com/acdb/miscellaneous/FtrTrophyHhaSilver.png")</f>
        <v/>
      </c>
      <c r="C1065" s="5" t="s">
        <v>34</v>
      </c>
      <c r="D1065" s="5" t="s">
        <v>34</v>
      </c>
      <c r="E1065" s="5" t="s">
        <v>34</v>
      </c>
      <c r="F1065" s="5" t="s">
        <v>34</v>
      </c>
      <c r="G1065" s="5" t="s">
        <v>36</v>
      </c>
      <c r="H1065" s="5" t="s">
        <v>36</v>
      </c>
      <c r="I1065" s="5" t="s">
        <v>36</v>
      </c>
      <c r="J1065" s="6" t="s">
        <v>34</v>
      </c>
      <c r="K1065" s="6" t="s">
        <v>37</v>
      </c>
      <c r="L1065" s="6">
        <v>425.0</v>
      </c>
      <c r="M1065" s="5" t="s">
        <v>95</v>
      </c>
      <c r="N1065" s="5" t="s">
        <v>39</v>
      </c>
      <c r="O1065" s="6" t="s">
        <v>40</v>
      </c>
      <c r="P1065" s="5" t="s">
        <v>423</v>
      </c>
      <c r="Q1065" s="5"/>
      <c r="R1065" s="6" t="s">
        <v>42</v>
      </c>
      <c r="S1065" s="5" t="s">
        <v>116</v>
      </c>
      <c r="T1065" s="5" t="s">
        <v>44</v>
      </c>
      <c r="U1065" s="5" t="s">
        <v>44</v>
      </c>
      <c r="V1065" s="5" t="s">
        <v>44</v>
      </c>
      <c r="W1065" s="5" t="s">
        <v>36</v>
      </c>
      <c r="X1065" s="5" t="s">
        <v>206</v>
      </c>
      <c r="Y1065" s="5" t="s">
        <v>46</v>
      </c>
      <c r="Z1065" s="5" t="s">
        <v>47</v>
      </c>
      <c r="AA1065" s="5" t="s">
        <v>48</v>
      </c>
      <c r="AB1065" s="5" t="s">
        <v>5283</v>
      </c>
      <c r="AC1065" s="6" t="s">
        <v>34</v>
      </c>
      <c r="AD1065" s="6">
        <v>7100.0</v>
      </c>
    </row>
    <row r="1066" ht="56.25" customHeight="1">
      <c r="A1066" s="5" t="s">
        <v>5285</v>
      </c>
      <c r="B1066" s="6" t="str">
        <f>IMAGE("https://storage.googleapis.com/acdb/miscellaneous/FtrKettle_Remake_0_0.png")</f>
        <v/>
      </c>
      <c r="C1066" s="5" t="s">
        <v>52</v>
      </c>
      <c r="D1066" s="5" t="s">
        <v>34</v>
      </c>
      <c r="E1066" s="5" t="s">
        <v>34</v>
      </c>
      <c r="F1066" s="5" t="s">
        <v>34</v>
      </c>
      <c r="G1066" s="5" t="s">
        <v>36</v>
      </c>
      <c r="H1066" s="5" t="s">
        <v>36</v>
      </c>
      <c r="I1066" s="5" t="s">
        <v>36</v>
      </c>
      <c r="J1066" s="6" t="s">
        <v>34</v>
      </c>
      <c r="K1066" s="6">
        <v>1300.0</v>
      </c>
      <c r="L1066" s="6">
        <v>325.0</v>
      </c>
      <c r="M1066" s="5" t="s">
        <v>52</v>
      </c>
      <c r="N1066" s="5" t="s">
        <v>142</v>
      </c>
      <c r="O1066" s="6" t="s">
        <v>40</v>
      </c>
      <c r="P1066" s="5" t="s">
        <v>59</v>
      </c>
      <c r="Q1066" s="5" t="s">
        <v>60</v>
      </c>
      <c r="R1066" s="6" t="s">
        <v>42</v>
      </c>
      <c r="S1066" s="5" t="s">
        <v>159</v>
      </c>
      <c r="T1066" s="5" t="s">
        <v>62</v>
      </c>
      <c r="U1066" s="5" t="s">
        <v>44</v>
      </c>
      <c r="V1066" s="5" t="s">
        <v>44</v>
      </c>
      <c r="W1066" s="5" t="s">
        <v>36</v>
      </c>
      <c r="X1066" s="5" t="s">
        <v>160</v>
      </c>
      <c r="Y1066" s="5" t="s">
        <v>46</v>
      </c>
      <c r="Z1066" s="5" t="s">
        <v>47</v>
      </c>
      <c r="AA1066" s="5" t="s">
        <v>64</v>
      </c>
      <c r="AB1066" s="5" t="s">
        <v>5289</v>
      </c>
      <c r="AC1066" s="6" t="s">
        <v>50</v>
      </c>
      <c r="AD1066" s="6">
        <v>1845.0</v>
      </c>
    </row>
    <row r="1067" ht="56.25" customHeight="1">
      <c r="A1067" s="5" t="s">
        <v>5285</v>
      </c>
      <c r="B1067" s="6" t="str">
        <f>IMAGE("https://storage.googleapis.com/acdb/miscellaneous/FtrKettle_Remake_1_0.png")</f>
        <v/>
      </c>
      <c r="C1067" s="5" t="s">
        <v>114</v>
      </c>
      <c r="D1067" s="5" t="s">
        <v>34</v>
      </c>
      <c r="E1067" s="5" t="s">
        <v>34</v>
      </c>
      <c r="F1067" s="5" t="s">
        <v>34</v>
      </c>
      <c r="G1067" s="5" t="s">
        <v>36</v>
      </c>
      <c r="H1067" s="5" t="s">
        <v>36</v>
      </c>
      <c r="I1067" s="5" t="s">
        <v>36</v>
      </c>
      <c r="J1067" s="6" t="s">
        <v>34</v>
      </c>
      <c r="K1067" s="6">
        <v>1300.0</v>
      </c>
      <c r="L1067" s="6">
        <v>325.0</v>
      </c>
      <c r="M1067" s="5" t="s">
        <v>114</v>
      </c>
      <c r="N1067" s="5" t="s">
        <v>142</v>
      </c>
      <c r="O1067" s="6" t="s">
        <v>40</v>
      </c>
      <c r="P1067" s="5" t="s">
        <v>59</v>
      </c>
      <c r="Q1067" s="5" t="s">
        <v>60</v>
      </c>
      <c r="R1067" s="6" t="s">
        <v>42</v>
      </c>
      <c r="S1067" s="5" t="s">
        <v>159</v>
      </c>
      <c r="T1067" s="5" t="s">
        <v>62</v>
      </c>
      <c r="U1067" s="5" t="s">
        <v>44</v>
      </c>
      <c r="V1067" s="5" t="s">
        <v>44</v>
      </c>
      <c r="W1067" s="5" t="s">
        <v>36</v>
      </c>
      <c r="X1067" s="5" t="s">
        <v>160</v>
      </c>
      <c r="Y1067" s="5" t="s">
        <v>46</v>
      </c>
      <c r="Z1067" s="5" t="s">
        <v>47</v>
      </c>
      <c r="AA1067" s="5" t="s">
        <v>64</v>
      </c>
      <c r="AB1067" s="5" t="s">
        <v>5297</v>
      </c>
      <c r="AC1067" s="6" t="s">
        <v>56</v>
      </c>
      <c r="AD1067" s="6">
        <v>1845.0</v>
      </c>
    </row>
    <row r="1068" ht="56.25" customHeight="1">
      <c r="A1068" s="5" t="s">
        <v>5285</v>
      </c>
      <c r="B1068" s="6" t="str">
        <f>IMAGE("https://storage.googleapis.com/acdb/miscellaneous/FtrKettle_Remake_2_0.png")</f>
        <v/>
      </c>
      <c r="C1068" s="5" t="s">
        <v>96</v>
      </c>
      <c r="D1068" s="5" t="s">
        <v>34</v>
      </c>
      <c r="E1068" s="5" t="s">
        <v>34</v>
      </c>
      <c r="F1068" s="5" t="s">
        <v>34</v>
      </c>
      <c r="G1068" s="5" t="s">
        <v>36</v>
      </c>
      <c r="H1068" s="5" t="s">
        <v>36</v>
      </c>
      <c r="I1068" s="5" t="s">
        <v>36</v>
      </c>
      <c r="J1068" s="6" t="s">
        <v>34</v>
      </c>
      <c r="K1068" s="6">
        <v>1300.0</v>
      </c>
      <c r="L1068" s="6">
        <v>325.0</v>
      </c>
      <c r="M1068" s="5" t="s">
        <v>96</v>
      </c>
      <c r="N1068" s="5" t="s">
        <v>142</v>
      </c>
      <c r="O1068" s="6" t="s">
        <v>40</v>
      </c>
      <c r="P1068" s="5" t="s">
        <v>59</v>
      </c>
      <c r="Q1068" s="5" t="s">
        <v>60</v>
      </c>
      <c r="R1068" s="6" t="s">
        <v>42</v>
      </c>
      <c r="S1068" s="5" t="s">
        <v>159</v>
      </c>
      <c r="T1068" s="5" t="s">
        <v>62</v>
      </c>
      <c r="U1068" s="5" t="s">
        <v>44</v>
      </c>
      <c r="V1068" s="5" t="s">
        <v>44</v>
      </c>
      <c r="W1068" s="5" t="s">
        <v>36</v>
      </c>
      <c r="X1068" s="5" t="s">
        <v>160</v>
      </c>
      <c r="Y1068" s="5" t="s">
        <v>46</v>
      </c>
      <c r="Z1068" s="5" t="s">
        <v>47</v>
      </c>
      <c r="AA1068" s="5" t="s">
        <v>64</v>
      </c>
      <c r="AB1068" s="5" t="s">
        <v>5304</v>
      </c>
      <c r="AC1068" s="6" t="s">
        <v>67</v>
      </c>
      <c r="AD1068" s="6">
        <v>1845.0</v>
      </c>
    </row>
    <row r="1069" ht="56.25" customHeight="1">
      <c r="A1069" s="5" t="s">
        <v>5285</v>
      </c>
      <c r="B1069" s="6" t="str">
        <f>IMAGE("https://storage.googleapis.com/acdb/miscellaneous/FtrKettle_Remake_3_0.png")</f>
        <v/>
      </c>
      <c r="C1069" s="5" t="s">
        <v>68</v>
      </c>
      <c r="D1069" s="5" t="s">
        <v>34</v>
      </c>
      <c r="E1069" s="5" t="s">
        <v>34</v>
      </c>
      <c r="F1069" s="5" t="s">
        <v>34</v>
      </c>
      <c r="G1069" s="5" t="s">
        <v>36</v>
      </c>
      <c r="H1069" s="5" t="s">
        <v>36</v>
      </c>
      <c r="I1069" s="5" t="s">
        <v>36</v>
      </c>
      <c r="J1069" s="6" t="s">
        <v>34</v>
      </c>
      <c r="K1069" s="6">
        <v>1300.0</v>
      </c>
      <c r="L1069" s="6">
        <v>325.0</v>
      </c>
      <c r="M1069" s="5" t="s">
        <v>83</v>
      </c>
      <c r="N1069" s="5" t="s">
        <v>39</v>
      </c>
      <c r="O1069" s="6" t="s">
        <v>40</v>
      </c>
      <c r="P1069" s="5" t="s">
        <v>59</v>
      </c>
      <c r="Q1069" s="5" t="s">
        <v>60</v>
      </c>
      <c r="R1069" s="6" t="s">
        <v>42</v>
      </c>
      <c r="S1069" s="5" t="s">
        <v>159</v>
      </c>
      <c r="T1069" s="5" t="s">
        <v>62</v>
      </c>
      <c r="U1069" s="5" t="s">
        <v>44</v>
      </c>
      <c r="V1069" s="5" t="s">
        <v>44</v>
      </c>
      <c r="W1069" s="5" t="s">
        <v>36</v>
      </c>
      <c r="X1069" s="5" t="s">
        <v>160</v>
      </c>
      <c r="Y1069" s="5" t="s">
        <v>46</v>
      </c>
      <c r="Z1069" s="5" t="s">
        <v>47</v>
      </c>
      <c r="AA1069" s="5" t="s">
        <v>64</v>
      </c>
      <c r="AB1069" s="5" t="s">
        <v>5311</v>
      </c>
      <c r="AC1069" s="6" t="s">
        <v>71</v>
      </c>
      <c r="AD1069" s="6">
        <v>1845.0</v>
      </c>
    </row>
    <row r="1070" ht="56.25" customHeight="1">
      <c r="A1070" s="5" t="s">
        <v>5285</v>
      </c>
      <c r="B1070" s="6" t="str">
        <f>IMAGE("https://storage.googleapis.com/acdb/miscellaneous/FtrKettle_Remake_4_0.png")</f>
        <v/>
      </c>
      <c r="C1070" s="5" t="s">
        <v>54</v>
      </c>
      <c r="D1070" s="5" t="s">
        <v>34</v>
      </c>
      <c r="E1070" s="5" t="s">
        <v>34</v>
      </c>
      <c r="F1070" s="5" t="s">
        <v>34</v>
      </c>
      <c r="G1070" s="5" t="s">
        <v>36</v>
      </c>
      <c r="H1070" s="5" t="s">
        <v>36</v>
      </c>
      <c r="I1070" s="5" t="s">
        <v>36</v>
      </c>
      <c r="J1070" s="6" t="s">
        <v>34</v>
      </c>
      <c r="K1070" s="6">
        <v>1300.0</v>
      </c>
      <c r="L1070" s="6">
        <v>325.0</v>
      </c>
      <c r="M1070" s="5" t="s">
        <v>54</v>
      </c>
      <c r="N1070" s="5" t="s">
        <v>39</v>
      </c>
      <c r="O1070" s="6" t="s">
        <v>40</v>
      </c>
      <c r="P1070" s="5" t="s">
        <v>59</v>
      </c>
      <c r="Q1070" s="5" t="s">
        <v>60</v>
      </c>
      <c r="R1070" s="6" t="s">
        <v>42</v>
      </c>
      <c r="S1070" s="5" t="s">
        <v>159</v>
      </c>
      <c r="T1070" s="5" t="s">
        <v>62</v>
      </c>
      <c r="U1070" s="5" t="s">
        <v>44</v>
      </c>
      <c r="V1070" s="5" t="s">
        <v>44</v>
      </c>
      <c r="W1070" s="5" t="s">
        <v>36</v>
      </c>
      <c r="X1070" s="5" t="s">
        <v>160</v>
      </c>
      <c r="Y1070" s="5" t="s">
        <v>46</v>
      </c>
      <c r="Z1070" s="5" t="s">
        <v>47</v>
      </c>
      <c r="AA1070" s="5" t="s">
        <v>64</v>
      </c>
      <c r="AB1070" s="5" t="s">
        <v>5319</v>
      </c>
      <c r="AC1070" s="6" t="s">
        <v>75</v>
      </c>
      <c r="AD1070" s="6">
        <v>1845.0</v>
      </c>
    </row>
    <row r="1071" ht="56.25" customHeight="1">
      <c r="A1071" s="5" t="s">
        <v>5285</v>
      </c>
      <c r="B1071" s="6" t="str">
        <f>IMAGE("https://storage.googleapis.com/acdb/miscellaneous/FtrKettle_Remake_5_0.png")</f>
        <v/>
      </c>
      <c r="C1071" s="5" t="s">
        <v>1187</v>
      </c>
      <c r="D1071" s="5" t="s">
        <v>34</v>
      </c>
      <c r="E1071" s="5" t="s">
        <v>34</v>
      </c>
      <c r="F1071" s="5" t="s">
        <v>34</v>
      </c>
      <c r="G1071" s="5" t="s">
        <v>36</v>
      </c>
      <c r="H1071" s="5" t="s">
        <v>36</v>
      </c>
      <c r="I1071" s="5" t="s">
        <v>36</v>
      </c>
      <c r="J1071" s="6" t="s">
        <v>34</v>
      </c>
      <c r="K1071" s="6">
        <v>1300.0</v>
      </c>
      <c r="L1071" s="6">
        <v>325.0</v>
      </c>
      <c r="M1071" s="5" t="s">
        <v>68</v>
      </c>
      <c r="N1071" s="5" t="s">
        <v>39</v>
      </c>
      <c r="O1071" s="6" t="s">
        <v>40</v>
      </c>
      <c r="P1071" s="5" t="s">
        <v>59</v>
      </c>
      <c r="Q1071" s="5" t="s">
        <v>60</v>
      </c>
      <c r="R1071" s="6" t="s">
        <v>42</v>
      </c>
      <c r="S1071" s="5" t="s">
        <v>159</v>
      </c>
      <c r="T1071" s="5" t="s">
        <v>62</v>
      </c>
      <c r="U1071" s="5" t="s">
        <v>44</v>
      </c>
      <c r="V1071" s="5" t="s">
        <v>44</v>
      </c>
      <c r="W1071" s="5" t="s">
        <v>36</v>
      </c>
      <c r="X1071" s="5" t="s">
        <v>160</v>
      </c>
      <c r="Y1071" s="5" t="s">
        <v>46</v>
      </c>
      <c r="Z1071" s="5" t="s">
        <v>47</v>
      </c>
      <c r="AA1071" s="5" t="s">
        <v>64</v>
      </c>
      <c r="AB1071" s="5" t="s">
        <v>5325</v>
      </c>
      <c r="AC1071" s="6" t="s">
        <v>79</v>
      </c>
      <c r="AD1071" s="6">
        <v>1845.0</v>
      </c>
    </row>
    <row r="1072" ht="56.25" customHeight="1">
      <c r="A1072" s="5" t="s">
        <v>5285</v>
      </c>
      <c r="B1072" s="6" t="str">
        <f>IMAGE("https://storage.googleapis.com/acdb/miscellaneous/FtrKettle_Remake_6_0.png")</f>
        <v/>
      </c>
      <c r="C1072" s="5" t="s">
        <v>57</v>
      </c>
      <c r="D1072" s="5" t="s">
        <v>34</v>
      </c>
      <c r="E1072" s="5" t="s">
        <v>34</v>
      </c>
      <c r="F1072" s="5" t="s">
        <v>34</v>
      </c>
      <c r="G1072" s="5" t="s">
        <v>36</v>
      </c>
      <c r="H1072" s="5" t="s">
        <v>36</v>
      </c>
      <c r="I1072" s="5" t="s">
        <v>36</v>
      </c>
      <c r="J1072" s="6" t="s">
        <v>34</v>
      </c>
      <c r="K1072" s="6">
        <v>1300.0</v>
      </c>
      <c r="L1072" s="6">
        <v>325.0</v>
      </c>
      <c r="M1072" s="5" t="s">
        <v>57</v>
      </c>
      <c r="N1072" s="5" t="s">
        <v>52</v>
      </c>
      <c r="O1072" s="6" t="s">
        <v>40</v>
      </c>
      <c r="P1072" s="5" t="s">
        <v>59</v>
      </c>
      <c r="Q1072" s="5" t="s">
        <v>60</v>
      </c>
      <c r="R1072" s="6" t="s">
        <v>42</v>
      </c>
      <c r="S1072" s="5" t="s">
        <v>159</v>
      </c>
      <c r="T1072" s="5" t="s">
        <v>62</v>
      </c>
      <c r="U1072" s="5" t="s">
        <v>44</v>
      </c>
      <c r="V1072" s="5" t="s">
        <v>44</v>
      </c>
      <c r="W1072" s="5" t="s">
        <v>36</v>
      </c>
      <c r="X1072" s="5" t="s">
        <v>160</v>
      </c>
      <c r="Y1072" s="5" t="s">
        <v>46</v>
      </c>
      <c r="Z1072" s="5" t="s">
        <v>47</v>
      </c>
      <c r="AA1072" s="5" t="s">
        <v>64</v>
      </c>
      <c r="AB1072" s="5" t="s">
        <v>5331</v>
      </c>
      <c r="AC1072" s="6" t="s">
        <v>86</v>
      </c>
      <c r="AD1072" s="6">
        <v>1845.0</v>
      </c>
    </row>
    <row r="1073" ht="56.25" customHeight="1">
      <c r="A1073" s="5" t="s">
        <v>5332</v>
      </c>
      <c r="B1073" s="16" t="str">
        <f>IMAGE("https://storage.googleapis.com/acdb/miscellaneous/FtrInsectKatatsumuriToy.png")</f>
        <v/>
      </c>
      <c r="C1073" s="5" t="s">
        <v>34</v>
      </c>
      <c r="D1073" s="5" t="s">
        <v>34</v>
      </c>
      <c r="E1073" s="5" t="s">
        <v>34</v>
      </c>
      <c r="F1073" s="5" t="s">
        <v>34</v>
      </c>
      <c r="G1073" s="5" t="s">
        <v>36</v>
      </c>
      <c r="H1073" s="5" t="s">
        <v>36</v>
      </c>
      <c r="I1073" s="5" t="s">
        <v>36</v>
      </c>
      <c r="J1073" s="6" t="s">
        <v>34</v>
      </c>
      <c r="K1073" s="6" t="s">
        <v>37</v>
      </c>
      <c r="L1073" s="6">
        <v>750.0</v>
      </c>
      <c r="M1073" s="5" t="s">
        <v>38</v>
      </c>
      <c r="N1073" s="5" t="s">
        <v>38</v>
      </c>
      <c r="O1073" s="6" t="s">
        <v>40</v>
      </c>
      <c r="P1073" s="5" t="s">
        <v>107</v>
      </c>
      <c r="Q1073" s="5" t="s">
        <v>108</v>
      </c>
      <c r="R1073" s="6" t="s">
        <v>42</v>
      </c>
      <c r="S1073" s="5" t="s">
        <v>44</v>
      </c>
      <c r="T1073" s="5" t="s">
        <v>44</v>
      </c>
      <c r="U1073" s="5" t="s">
        <v>44</v>
      </c>
      <c r="V1073" s="5" t="s">
        <v>44</v>
      </c>
      <c r="W1073" s="5" t="s">
        <v>36</v>
      </c>
      <c r="X1073" s="5" t="s">
        <v>109</v>
      </c>
      <c r="Y1073" s="5" t="s">
        <v>46</v>
      </c>
      <c r="Z1073" s="5" t="s">
        <v>47</v>
      </c>
      <c r="AA1073" s="5" t="s">
        <v>48</v>
      </c>
      <c r="AB1073" s="5" t="s">
        <v>5338</v>
      </c>
      <c r="AC1073" s="6" t="s">
        <v>34</v>
      </c>
      <c r="AD1073" s="6">
        <v>7072.0</v>
      </c>
    </row>
    <row r="1074" ht="56.25" customHeight="1">
      <c r="A1074" s="5" t="s">
        <v>5339</v>
      </c>
      <c r="B1074" s="16" t="str">
        <f>IMAGE("https://storage.googleapis.com/acdb/miscellaneous/FtrFishKamitsukigameToy.png")</f>
        <v/>
      </c>
      <c r="C1074" s="5" t="s">
        <v>34</v>
      </c>
      <c r="D1074" s="5" t="s">
        <v>34</v>
      </c>
      <c r="E1074" s="5" t="s">
        <v>34</v>
      </c>
      <c r="F1074" s="5" t="s">
        <v>34</v>
      </c>
      <c r="G1074" s="5" t="s">
        <v>36</v>
      </c>
      <c r="H1074" s="5" t="s">
        <v>36</v>
      </c>
      <c r="I1074" s="5" t="s">
        <v>36</v>
      </c>
      <c r="J1074" s="6" t="s">
        <v>34</v>
      </c>
      <c r="K1074" s="6" t="s">
        <v>37</v>
      </c>
      <c r="L1074" s="6">
        <v>15000.0</v>
      </c>
      <c r="M1074" s="5" t="s">
        <v>39</v>
      </c>
      <c r="N1074" s="5" t="s">
        <v>54</v>
      </c>
      <c r="O1074" s="6" t="s">
        <v>40</v>
      </c>
      <c r="P1074" s="5" t="s">
        <v>213</v>
      </c>
      <c r="Q1074" s="5" t="s">
        <v>215</v>
      </c>
      <c r="R1074" s="6" t="s">
        <v>42</v>
      </c>
      <c r="S1074" s="5" t="s">
        <v>44</v>
      </c>
      <c r="T1074" s="5" t="s">
        <v>44</v>
      </c>
      <c r="U1074" s="5" t="s">
        <v>44</v>
      </c>
      <c r="V1074" s="5" t="s">
        <v>44</v>
      </c>
      <c r="W1074" s="5" t="s">
        <v>36</v>
      </c>
      <c r="X1074" s="5" t="s">
        <v>219</v>
      </c>
      <c r="Y1074" s="5" t="s">
        <v>46</v>
      </c>
      <c r="Z1074" s="5" t="s">
        <v>47</v>
      </c>
      <c r="AA1074" s="5" t="s">
        <v>48</v>
      </c>
      <c r="AB1074" s="5" t="s">
        <v>5347</v>
      </c>
      <c r="AC1074" s="6" t="s">
        <v>34</v>
      </c>
      <c r="AD1074" s="6">
        <v>6964.0</v>
      </c>
    </row>
    <row r="1075" ht="56.25" customHeight="1">
      <c r="A1075" s="5" t="s">
        <v>5349</v>
      </c>
      <c r="B1075" s="16" t="str">
        <f>IMAGE("https://storage.googleapis.com/acdb/miscellaneous/FtrSnowglobe.png")</f>
        <v/>
      </c>
      <c r="C1075" s="5" t="s">
        <v>34</v>
      </c>
      <c r="D1075" s="5" t="s">
        <v>34</v>
      </c>
      <c r="E1075" s="5" t="s">
        <v>34</v>
      </c>
      <c r="F1075" s="5" t="s">
        <v>34</v>
      </c>
      <c r="G1075" s="5" t="s">
        <v>36</v>
      </c>
      <c r="H1075" s="5" t="s">
        <v>36</v>
      </c>
      <c r="I1075" s="5" t="s">
        <v>36</v>
      </c>
      <c r="J1075" s="6" t="s">
        <v>34</v>
      </c>
      <c r="K1075" s="6">
        <v>1300.0</v>
      </c>
      <c r="L1075" s="6">
        <v>325.0</v>
      </c>
      <c r="M1075" s="5" t="s">
        <v>57</v>
      </c>
      <c r="N1075" s="5" t="s">
        <v>58</v>
      </c>
      <c r="O1075" s="6" t="s">
        <v>40</v>
      </c>
      <c r="P1075" s="5" t="s">
        <v>59</v>
      </c>
      <c r="Q1075" s="5" t="s">
        <v>60</v>
      </c>
      <c r="R1075" s="6" t="s">
        <v>42</v>
      </c>
      <c r="S1075" s="5" t="s">
        <v>90</v>
      </c>
      <c r="T1075" s="5" t="s">
        <v>1894</v>
      </c>
      <c r="U1075" s="5" t="s">
        <v>44</v>
      </c>
      <c r="V1075" s="5" t="s">
        <v>44</v>
      </c>
      <c r="W1075" s="5" t="s">
        <v>35</v>
      </c>
      <c r="X1075" s="5" t="s">
        <v>590</v>
      </c>
      <c r="Y1075" s="5" t="s">
        <v>46</v>
      </c>
      <c r="Z1075" s="5" t="s">
        <v>47</v>
      </c>
      <c r="AA1075" s="5" t="s">
        <v>64</v>
      </c>
      <c r="AB1075" s="5" t="s">
        <v>5352</v>
      </c>
      <c r="AC1075" s="6" t="s">
        <v>34</v>
      </c>
      <c r="AD1075" s="6">
        <v>1145.0</v>
      </c>
    </row>
    <row r="1076" ht="56.25" customHeight="1">
      <c r="A1076" s="5" t="s">
        <v>5353</v>
      </c>
      <c r="B1076" s="16" t="str">
        <f>IMAGE("https://storage.googleapis.com/acdb/miscellaneous/FtrFishSupponToy.png")</f>
        <v/>
      </c>
      <c r="C1076" s="5" t="s">
        <v>34</v>
      </c>
      <c r="D1076" s="5" t="s">
        <v>34</v>
      </c>
      <c r="E1076" s="5" t="s">
        <v>34</v>
      </c>
      <c r="F1076" s="5" t="s">
        <v>34</v>
      </c>
      <c r="G1076" s="5" t="s">
        <v>36</v>
      </c>
      <c r="H1076" s="5" t="s">
        <v>36</v>
      </c>
      <c r="I1076" s="5" t="s">
        <v>36</v>
      </c>
      <c r="J1076" s="6" t="s">
        <v>34</v>
      </c>
      <c r="K1076" s="6" t="s">
        <v>37</v>
      </c>
      <c r="L1076" s="6">
        <v>11250.0</v>
      </c>
      <c r="M1076" s="5" t="s">
        <v>96</v>
      </c>
      <c r="N1076" s="5" t="s">
        <v>54</v>
      </c>
      <c r="O1076" s="6" t="s">
        <v>40</v>
      </c>
      <c r="P1076" s="5" t="s">
        <v>213</v>
      </c>
      <c r="Q1076" s="5" t="s">
        <v>215</v>
      </c>
      <c r="R1076" s="6" t="s">
        <v>42</v>
      </c>
      <c r="S1076" s="5" t="s">
        <v>44</v>
      </c>
      <c r="T1076" s="5" t="s">
        <v>44</v>
      </c>
      <c r="U1076" s="5" t="s">
        <v>44</v>
      </c>
      <c r="V1076" s="5" t="s">
        <v>44</v>
      </c>
      <c r="W1076" s="5" t="s">
        <v>36</v>
      </c>
      <c r="X1076" s="5" t="s">
        <v>219</v>
      </c>
      <c r="Y1076" s="5" t="s">
        <v>46</v>
      </c>
      <c r="Z1076" s="5" t="s">
        <v>47</v>
      </c>
      <c r="AA1076" s="5" t="s">
        <v>48</v>
      </c>
      <c r="AB1076" s="5" t="s">
        <v>5355</v>
      </c>
      <c r="AC1076" s="6" t="s">
        <v>34</v>
      </c>
      <c r="AD1076" s="6">
        <v>7017.0</v>
      </c>
    </row>
    <row r="1077" ht="56.25" customHeight="1">
      <c r="A1077" s="5" t="s">
        <v>5357</v>
      </c>
      <c r="B1077" s="6" t="str">
        <f>IMAGE("https://storage.googleapis.com/acdb/miscellaneous/FtrSoupjar_Remake_0_0.png")</f>
        <v/>
      </c>
      <c r="C1077" s="5" t="s">
        <v>5359</v>
      </c>
      <c r="D1077" s="5" t="s">
        <v>34</v>
      </c>
      <c r="E1077" s="5" t="s">
        <v>34</v>
      </c>
      <c r="F1077" s="5" t="s">
        <v>34</v>
      </c>
      <c r="G1077" s="5" t="s">
        <v>36</v>
      </c>
      <c r="H1077" s="5" t="s">
        <v>36</v>
      </c>
      <c r="I1077" s="5" t="s">
        <v>36</v>
      </c>
      <c r="J1077" s="6" t="s">
        <v>34</v>
      </c>
      <c r="K1077" s="6">
        <v>3300.0</v>
      </c>
      <c r="L1077" s="6">
        <v>825.0</v>
      </c>
      <c r="M1077" s="5" t="s">
        <v>114</v>
      </c>
      <c r="N1077" s="5" t="s">
        <v>54</v>
      </c>
      <c r="O1077" s="6" t="s">
        <v>40</v>
      </c>
      <c r="P1077" s="5" t="s">
        <v>59</v>
      </c>
      <c r="Q1077" s="5" t="s">
        <v>60</v>
      </c>
      <c r="R1077" s="6" t="s">
        <v>42</v>
      </c>
      <c r="S1077" s="5" t="s">
        <v>159</v>
      </c>
      <c r="T1077" s="5" t="s">
        <v>62</v>
      </c>
      <c r="U1077" s="5" t="s">
        <v>44</v>
      </c>
      <c r="V1077" s="5" t="s">
        <v>44</v>
      </c>
      <c r="W1077" s="5" t="s">
        <v>36</v>
      </c>
      <c r="X1077" s="5" t="s">
        <v>160</v>
      </c>
      <c r="Y1077" s="5" t="s">
        <v>46</v>
      </c>
      <c r="Z1077" s="5" t="s">
        <v>47</v>
      </c>
      <c r="AA1077" s="5" t="s">
        <v>64</v>
      </c>
      <c r="AB1077" s="5" t="s">
        <v>5362</v>
      </c>
      <c r="AC1077" s="6" t="s">
        <v>50</v>
      </c>
      <c r="AD1077" s="6">
        <v>3619.0</v>
      </c>
    </row>
    <row r="1078" ht="56.25" customHeight="1">
      <c r="A1078" s="5" t="s">
        <v>5357</v>
      </c>
      <c r="B1078" s="6" t="str">
        <f>IMAGE("https://storage.googleapis.com/acdb/miscellaneous/FtrSoupjar_Remake_1_0.png")</f>
        <v/>
      </c>
      <c r="C1078" s="5" t="s">
        <v>5364</v>
      </c>
      <c r="D1078" s="5" t="s">
        <v>34</v>
      </c>
      <c r="E1078" s="5" t="s">
        <v>34</v>
      </c>
      <c r="F1078" s="5" t="s">
        <v>34</v>
      </c>
      <c r="G1078" s="5" t="s">
        <v>36</v>
      </c>
      <c r="H1078" s="5" t="s">
        <v>36</v>
      </c>
      <c r="I1078" s="5" t="s">
        <v>36</v>
      </c>
      <c r="J1078" s="6" t="s">
        <v>34</v>
      </c>
      <c r="K1078" s="6">
        <v>3300.0</v>
      </c>
      <c r="L1078" s="6">
        <v>825.0</v>
      </c>
      <c r="M1078" s="5" t="s">
        <v>57</v>
      </c>
      <c r="N1078" s="5" t="s">
        <v>54</v>
      </c>
      <c r="O1078" s="6" t="s">
        <v>40</v>
      </c>
      <c r="P1078" s="5" t="s">
        <v>59</v>
      </c>
      <c r="Q1078" s="5" t="s">
        <v>60</v>
      </c>
      <c r="R1078" s="6" t="s">
        <v>42</v>
      </c>
      <c r="S1078" s="5" t="s">
        <v>159</v>
      </c>
      <c r="T1078" s="5" t="s">
        <v>62</v>
      </c>
      <c r="U1078" s="5" t="s">
        <v>44</v>
      </c>
      <c r="V1078" s="5" t="s">
        <v>44</v>
      </c>
      <c r="W1078" s="5" t="s">
        <v>36</v>
      </c>
      <c r="X1078" s="5" t="s">
        <v>160</v>
      </c>
      <c r="Y1078" s="5" t="s">
        <v>46</v>
      </c>
      <c r="Z1078" s="5" t="s">
        <v>47</v>
      </c>
      <c r="AA1078" s="5" t="s">
        <v>64</v>
      </c>
      <c r="AB1078" s="5" t="s">
        <v>5368</v>
      </c>
      <c r="AC1078" s="6" t="s">
        <v>56</v>
      </c>
      <c r="AD1078" s="6">
        <v>3619.0</v>
      </c>
    </row>
    <row r="1079" ht="56.25" customHeight="1">
      <c r="A1079" s="5" t="s">
        <v>5357</v>
      </c>
      <c r="B1079" s="6" t="str">
        <f>IMAGE("https://storage.googleapis.com/acdb/miscellaneous/FtrSoupjar_Remake_2_0.png")</f>
        <v/>
      </c>
      <c r="C1079" s="5" t="s">
        <v>5370</v>
      </c>
      <c r="D1079" s="5" t="s">
        <v>34</v>
      </c>
      <c r="E1079" s="5" t="s">
        <v>34</v>
      </c>
      <c r="F1079" s="5" t="s">
        <v>34</v>
      </c>
      <c r="G1079" s="5" t="s">
        <v>36</v>
      </c>
      <c r="H1079" s="5" t="s">
        <v>36</v>
      </c>
      <c r="I1079" s="5" t="s">
        <v>36</v>
      </c>
      <c r="J1079" s="6" t="s">
        <v>34</v>
      </c>
      <c r="K1079" s="6">
        <v>3300.0</v>
      </c>
      <c r="L1079" s="6">
        <v>825.0</v>
      </c>
      <c r="M1079" s="5" t="s">
        <v>39</v>
      </c>
      <c r="N1079" s="5" t="s">
        <v>54</v>
      </c>
      <c r="O1079" s="6" t="s">
        <v>40</v>
      </c>
      <c r="P1079" s="5" t="s">
        <v>59</v>
      </c>
      <c r="Q1079" s="5" t="s">
        <v>60</v>
      </c>
      <c r="R1079" s="6" t="s">
        <v>42</v>
      </c>
      <c r="S1079" s="5" t="s">
        <v>159</v>
      </c>
      <c r="T1079" s="5" t="s">
        <v>62</v>
      </c>
      <c r="U1079" s="5" t="s">
        <v>44</v>
      </c>
      <c r="V1079" s="5" t="s">
        <v>44</v>
      </c>
      <c r="W1079" s="5" t="s">
        <v>36</v>
      </c>
      <c r="X1079" s="5" t="s">
        <v>160</v>
      </c>
      <c r="Y1079" s="5" t="s">
        <v>46</v>
      </c>
      <c r="Z1079" s="5" t="s">
        <v>47</v>
      </c>
      <c r="AA1079" s="5" t="s">
        <v>64</v>
      </c>
      <c r="AB1079" s="5" t="s">
        <v>5373</v>
      </c>
      <c r="AC1079" s="6" t="s">
        <v>67</v>
      </c>
      <c r="AD1079" s="6">
        <v>3619.0</v>
      </c>
    </row>
    <row r="1080" ht="56.25" customHeight="1">
      <c r="A1080" s="5" t="s">
        <v>5357</v>
      </c>
      <c r="B1080" s="6" t="str">
        <f>IMAGE("https://storage.googleapis.com/acdb/miscellaneous/FtrSoupjar_Remake_3_0.png")</f>
        <v/>
      </c>
      <c r="C1080" s="5" t="s">
        <v>5374</v>
      </c>
      <c r="D1080" s="5" t="s">
        <v>34</v>
      </c>
      <c r="E1080" s="5" t="s">
        <v>34</v>
      </c>
      <c r="F1080" s="5" t="s">
        <v>34</v>
      </c>
      <c r="G1080" s="5" t="s">
        <v>36</v>
      </c>
      <c r="H1080" s="5" t="s">
        <v>36</v>
      </c>
      <c r="I1080" s="5" t="s">
        <v>36</v>
      </c>
      <c r="J1080" s="6" t="s">
        <v>34</v>
      </c>
      <c r="K1080" s="6">
        <v>3300.0</v>
      </c>
      <c r="L1080" s="6">
        <v>825.0</v>
      </c>
      <c r="M1080" s="5" t="s">
        <v>142</v>
      </c>
      <c r="N1080" s="5" t="s">
        <v>54</v>
      </c>
      <c r="O1080" s="6" t="s">
        <v>40</v>
      </c>
      <c r="P1080" s="5" t="s">
        <v>59</v>
      </c>
      <c r="Q1080" s="5" t="s">
        <v>60</v>
      </c>
      <c r="R1080" s="6" t="s">
        <v>42</v>
      </c>
      <c r="S1080" s="5" t="s">
        <v>159</v>
      </c>
      <c r="T1080" s="5" t="s">
        <v>62</v>
      </c>
      <c r="U1080" s="5" t="s">
        <v>44</v>
      </c>
      <c r="V1080" s="5" t="s">
        <v>44</v>
      </c>
      <c r="W1080" s="5" t="s">
        <v>36</v>
      </c>
      <c r="X1080" s="5" t="s">
        <v>160</v>
      </c>
      <c r="Y1080" s="5" t="s">
        <v>46</v>
      </c>
      <c r="Z1080" s="5" t="s">
        <v>47</v>
      </c>
      <c r="AA1080" s="5" t="s">
        <v>64</v>
      </c>
      <c r="AB1080" s="5" t="s">
        <v>5377</v>
      </c>
      <c r="AC1080" s="6" t="s">
        <v>71</v>
      </c>
      <c r="AD1080" s="6">
        <v>3619.0</v>
      </c>
    </row>
    <row r="1081" ht="56.25" customHeight="1">
      <c r="A1081" s="5" t="s">
        <v>5357</v>
      </c>
      <c r="B1081" s="6" t="str">
        <f>IMAGE("https://storage.googleapis.com/acdb/miscellaneous/FtrSoupjar_Remake_4_0.png")</f>
        <v/>
      </c>
      <c r="C1081" s="5" t="s">
        <v>5378</v>
      </c>
      <c r="D1081" s="5" t="s">
        <v>34</v>
      </c>
      <c r="E1081" s="5" t="s">
        <v>34</v>
      </c>
      <c r="F1081" s="5" t="s">
        <v>34</v>
      </c>
      <c r="G1081" s="5" t="s">
        <v>36</v>
      </c>
      <c r="H1081" s="5" t="s">
        <v>36</v>
      </c>
      <c r="I1081" s="5" t="s">
        <v>36</v>
      </c>
      <c r="J1081" s="6" t="s">
        <v>34</v>
      </c>
      <c r="K1081" s="6">
        <v>3300.0</v>
      </c>
      <c r="L1081" s="6">
        <v>825.0</v>
      </c>
      <c r="M1081" s="5" t="s">
        <v>52</v>
      </c>
      <c r="N1081" s="5" t="s">
        <v>54</v>
      </c>
      <c r="O1081" s="6" t="s">
        <v>40</v>
      </c>
      <c r="P1081" s="5" t="s">
        <v>59</v>
      </c>
      <c r="Q1081" s="5" t="s">
        <v>60</v>
      </c>
      <c r="R1081" s="6" t="s">
        <v>42</v>
      </c>
      <c r="S1081" s="5" t="s">
        <v>159</v>
      </c>
      <c r="T1081" s="5" t="s">
        <v>62</v>
      </c>
      <c r="U1081" s="5" t="s">
        <v>44</v>
      </c>
      <c r="V1081" s="5" t="s">
        <v>44</v>
      </c>
      <c r="W1081" s="5" t="s">
        <v>36</v>
      </c>
      <c r="X1081" s="5" t="s">
        <v>160</v>
      </c>
      <c r="Y1081" s="5" t="s">
        <v>46</v>
      </c>
      <c r="Z1081" s="5" t="s">
        <v>47</v>
      </c>
      <c r="AA1081" s="5" t="s">
        <v>64</v>
      </c>
      <c r="AB1081" s="5" t="s">
        <v>5381</v>
      </c>
      <c r="AC1081" s="6" t="s">
        <v>75</v>
      </c>
      <c r="AD1081" s="6">
        <v>3619.0</v>
      </c>
    </row>
    <row r="1082" ht="56.25" customHeight="1">
      <c r="A1082" s="5" t="s">
        <v>5357</v>
      </c>
      <c r="B1082" s="6" t="str">
        <f>IMAGE("https://storage.googleapis.com/acdb/miscellaneous/FtrSoupjar_Remake_5_0.png")</f>
        <v/>
      </c>
      <c r="C1082" s="5" t="s">
        <v>5383</v>
      </c>
      <c r="D1082" s="5" t="s">
        <v>34</v>
      </c>
      <c r="E1082" s="5" t="s">
        <v>34</v>
      </c>
      <c r="F1082" s="5" t="s">
        <v>34</v>
      </c>
      <c r="G1082" s="5" t="s">
        <v>36</v>
      </c>
      <c r="H1082" s="5" t="s">
        <v>36</v>
      </c>
      <c r="I1082" s="5" t="s">
        <v>36</v>
      </c>
      <c r="J1082" s="6" t="s">
        <v>34</v>
      </c>
      <c r="K1082" s="6">
        <v>3300.0</v>
      </c>
      <c r="L1082" s="6">
        <v>825.0</v>
      </c>
      <c r="M1082" s="5" t="s">
        <v>96</v>
      </c>
      <c r="N1082" s="5" t="s">
        <v>54</v>
      </c>
      <c r="O1082" s="6" t="s">
        <v>40</v>
      </c>
      <c r="P1082" s="5" t="s">
        <v>59</v>
      </c>
      <c r="Q1082" s="5" t="s">
        <v>60</v>
      </c>
      <c r="R1082" s="6" t="s">
        <v>42</v>
      </c>
      <c r="S1082" s="5" t="s">
        <v>159</v>
      </c>
      <c r="T1082" s="5" t="s">
        <v>62</v>
      </c>
      <c r="U1082" s="5" t="s">
        <v>44</v>
      </c>
      <c r="V1082" s="5" t="s">
        <v>44</v>
      </c>
      <c r="W1082" s="5" t="s">
        <v>36</v>
      </c>
      <c r="X1082" s="5" t="s">
        <v>160</v>
      </c>
      <c r="Y1082" s="5" t="s">
        <v>46</v>
      </c>
      <c r="Z1082" s="5" t="s">
        <v>47</v>
      </c>
      <c r="AA1082" s="5" t="s">
        <v>64</v>
      </c>
      <c r="AB1082" s="5" t="s">
        <v>5385</v>
      </c>
      <c r="AC1082" s="6" t="s">
        <v>79</v>
      </c>
      <c r="AD1082" s="6">
        <v>3619.0</v>
      </c>
    </row>
    <row r="1083" ht="56.25" customHeight="1">
      <c r="A1083" s="5" t="s">
        <v>5357</v>
      </c>
      <c r="B1083" s="6" t="str">
        <f>IMAGE("https://storage.googleapis.com/acdb/miscellaneous/FtrSoupjar_Remake_6_0.png")</f>
        <v/>
      </c>
      <c r="C1083" s="5" t="s">
        <v>5387</v>
      </c>
      <c r="D1083" s="5" t="s">
        <v>34</v>
      </c>
      <c r="E1083" s="5" t="s">
        <v>34</v>
      </c>
      <c r="F1083" s="5" t="s">
        <v>34</v>
      </c>
      <c r="G1083" s="5" t="s">
        <v>36</v>
      </c>
      <c r="H1083" s="5" t="s">
        <v>36</v>
      </c>
      <c r="I1083" s="5" t="s">
        <v>36</v>
      </c>
      <c r="J1083" s="6" t="s">
        <v>34</v>
      </c>
      <c r="K1083" s="6">
        <v>3300.0</v>
      </c>
      <c r="L1083" s="6">
        <v>825.0</v>
      </c>
      <c r="M1083" s="5" t="s">
        <v>142</v>
      </c>
      <c r="N1083" s="5" t="s">
        <v>54</v>
      </c>
      <c r="O1083" s="6" t="s">
        <v>40</v>
      </c>
      <c r="P1083" s="5" t="s">
        <v>59</v>
      </c>
      <c r="Q1083" s="5" t="s">
        <v>60</v>
      </c>
      <c r="R1083" s="6" t="s">
        <v>42</v>
      </c>
      <c r="S1083" s="5" t="s">
        <v>159</v>
      </c>
      <c r="T1083" s="5" t="s">
        <v>62</v>
      </c>
      <c r="U1083" s="5" t="s">
        <v>44</v>
      </c>
      <c r="V1083" s="5" t="s">
        <v>44</v>
      </c>
      <c r="W1083" s="5" t="s">
        <v>36</v>
      </c>
      <c r="X1083" s="5" t="s">
        <v>160</v>
      </c>
      <c r="Y1083" s="5" t="s">
        <v>46</v>
      </c>
      <c r="Z1083" s="5" t="s">
        <v>47</v>
      </c>
      <c r="AA1083" s="5" t="s">
        <v>64</v>
      </c>
      <c r="AB1083" s="5" t="s">
        <v>5392</v>
      </c>
      <c r="AC1083" s="6" t="s">
        <v>86</v>
      </c>
      <c r="AD1083" s="6">
        <v>3619.0</v>
      </c>
    </row>
    <row r="1084" ht="56.25" customHeight="1">
      <c r="A1084" s="5" t="s">
        <v>5357</v>
      </c>
      <c r="B1084" s="6" t="str">
        <f>IMAGE("https://storage.googleapis.com/acdb/miscellaneous/FtrSoupjar_Remake_7_0.png")</f>
        <v/>
      </c>
      <c r="C1084" s="5" t="s">
        <v>5393</v>
      </c>
      <c r="D1084" s="5" t="s">
        <v>34</v>
      </c>
      <c r="E1084" s="5" t="s">
        <v>34</v>
      </c>
      <c r="F1084" s="5" t="s">
        <v>34</v>
      </c>
      <c r="G1084" s="5" t="s">
        <v>36</v>
      </c>
      <c r="H1084" s="5" t="s">
        <v>36</v>
      </c>
      <c r="I1084" s="5" t="s">
        <v>36</v>
      </c>
      <c r="J1084" s="6" t="s">
        <v>34</v>
      </c>
      <c r="K1084" s="6">
        <v>3300.0</v>
      </c>
      <c r="L1084" s="6">
        <v>825.0</v>
      </c>
      <c r="M1084" s="5" t="s">
        <v>57</v>
      </c>
      <c r="N1084" s="5" t="s">
        <v>54</v>
      </c>
      <c r="O1084" s="6" t="s">
        <v>40</v>
      </c>
      <c r="P1084" s="5" t="s">
        <v>59</v>
      </c>
      <c r="Q1084" s="5" t="s">
        <v>60</v>
      </c>
      <c r="R1084" s="6" t="s">
        <v>42</v>
      </c>
      <c r="S1084" s="5" t="s">
        <v>159</v>
      </c>
      <c r="T1084" s="5" t="s">
        <v>62</v>
      </c>
      <c r="U1084" s="5" t="s">
        <v>44</v>
      </c>
      <c r="V1084" s="5" t="s">
        <v>44</v>
      </c>
      <c r="W1084" s="5" t="s">
        <v>36</v>
      </c>
      <c r="X1084" s="5" t="s">
        <v>160</v>
      </c>
      <c r="Y1084" s="5" t="s">
        <v>46</v>
      </c>
      <c r="Z1084" s="5" t="s">
        <v>47</v>
      </c>
      <c r="AA1084" s="5" t="s">
        <v>64</v>
      </c>
      <c r="AB1084" s="5" t="s">
        <v>5398</v>
      </c>
      <c r="AC1084" s="6" t="s">
        <v>208</v>
      </c>
      <c r="AD1084" s="6">
        <v>3619.0</v>
      </c>
    </row>
    <row r="1085" ht="56.25" customHeight="1">
      <c r="A1085" s="5" t="s">
        <v>5399</v>
      </c>
      <c r="B1085" s="16" t="str">
        <f>IMAGE("https://storage.googleapis.com/acdb/miscellaneous/FtrInsectKumoToy.png")</f>
        <v/>
      </c>
      <c r="C1085" s="5" t="s">
        <v>34</v>
      </c>
      <c r="D1085" s="5" t="s">
        <v>34</v>
      </c>
      <c r="E1085" s="5" t="s">
        <v>34</v>
      </c>
      <c r="F1085" s="5" t="s">
        <v>34</v>
      </c>
      <c r="G1085" s="5" t="s">
        <v>36</v>
      </c>
      <c r="H1085" s="5" t="s">
        <v>36</v>
      </c>
      <c r="I1085" s="5" t="s">
        <v>36</v>
      </c>
      <c r="J1085" s="6" t="s">
        <v>34</v>
      </c>
      <c r="K1085" s="6" t="s">
        <v>37</v>
      </c>
      <c r="L1085" s="6">
        <v>1800.0</v>
      </c>
      <c r="M1085" s="5" t="s">
        <v>54</v>
      </c>
      <c r="N1085" s="5" t="s">
        <v>114</v>
      </c>
      <c r="O1085" s="6" t="s">
        <v>40</v>
      </c>
      <c r="P1085" s="5" t="s">
        <v>107</v>
      </c>
      <c r="Q1085" s="5" t="s">
        <v>108</v>
      </c>
      <c r="R1085" s="6" t="s">
        <v>42</v>
      </c>
      <c r="S1085" s="5" t="s">
        <v>44</v>
      </c>
      <c r="T1085" s="5" t="s">
        <v>44</v>
      </c>
      <c r="U1085" s="5" t="s">
        <v>44</v>
      </c>
      <c r="V1085" s="5" t="s">
        <v>44</v>
      </c>
      <c r="W1085" s="5" t="s">
        <v>36</v>
      </c>
      <c r="X1085" s="5" t="s">
        <v>109</v>
      </c>
      <c r="Y1085" s="5" t="s">
        <v>46</v>
      </c>
      <c r="Z1085" s="5" t="s">
        <v>47</v>
      </c>
      <c r="AA1085" s="5" t="s">
        <v>48</v>
      </c>
      <c r="AB1085" s="5" t="s">
        <v>5402</v>
      </c>
      <c r="AC1085" s="6" t="s">
        <v>34</v>
      </c>
      <c r="AD1085" s="6">
        <v>7079.0</v>
      </c>
    </row>
    <row r="1086" ht="56.25" customHeight="1">
      <c r="A1086" s="5" t="s">
        <v>5403</v>
      </c>
      <c r="B1086" s="16" t="str">
        <f>IMAGE("https://storage.googleapis.com/acdb/miscellaneous/FtrFishIkaToy.png")</f>
        <v/>
      </c>
      <c r="C1086" s="5" t="s">
        <v>34</v>
      </c>
      <c r="D1086" s="5" t="s">
        <v>34</v>
      </c>
      <c r="E1086" s="5" t="s">
        <v>34</v>
      </c>
      <c r="F1086" s="5" t="s">
        <v>34</v>
      </c>
      <c r="G1086" s="5" t="s">
        <v>36</v>
      </c>
      <c r="H1086" s="5" t="s">
        <v>36</v>
      </c>
      <c r="I1086" s="5" t="s">
        <v>36</v>
      </c>
      <c r="J1086" s="6" t="s">
        <v>34</v>
      </c>
      <c r="K1086" s="6" t="s">
        <v>37</v>
      </c>
      <c r="L1086" s="6">
        <v>1500.0</v>
      </c>
      <c r="M1086" s="5" t="s">
        <v>38</v>
      </c>
      <c r="N1086" s="5" t="s">
        <v>54</v>
      </c>
      <c r="O1086" s="6" t="s">
        <v>40</v>
      </c>
      <c r="P1086" s="5" t="s">
        <v>213</v>
      </c>
      <c r="Q1086" s="5" t="s">
        <v>215</v>
      </c>
      <c r="R1086" s="6" t="s">
        <v>42</v>
      </c>
      <c r="S1086" s="5" t="s">
        <v>44</v>
      </c>
      <c r="T1086" s="5" t="s">
        <v>44</v>
      </c>
      <c r="U1086" s="5" t="s">
        <v>44</v>
      </c>
      <c r="V1086" s="5" t="s">
        <v>44</v>
      </c>
      <c r="W1086" s="5" t="s">
        <v>36</v>
      </c>
      <c r="X1086" s="5" t="s">
        <v>219</v>
      </c>
      <c r="Y1086" s="5" t="s">
        <v>46</v>
      </c>
      <c r="Z1086" s="5" t="s">
        <v>47</v>
      </c>
      <c r="AA1086" s="5" t="s">
        <v>48</v>
      </c>
      <c r="AB1086" s="5" t="s">
        <v>5407</v>
      </c>
      <c r="AC1086" s="6" t="s">
        <v>34</v>
      </c>
      <c r="AD1086" s="6">
        <v>6958.0</v>
      </c>
    </row>
    <row r="1087" ht="56.25" customHeight="1">
      <c r="A1087" s="5" t="s">
        <v>5409</v>
      </c>
      <c r="B1087" s="6" t="str">
        <f>IMAGE("https://storage.googleapis.com/acdb/miscellaneous/FtrBooks_Remake_0_0.png")</f>
        <v/>
      </c>
      <c r="C1087" s="5" t="s">
        <v>5410</v>
      </c>
      <c r="D1087" s="5" t="s">
        <v>5411</v>
      </c>
      <c r="E1087" s="5" t="s">
        <v>34</v>
      </c>
      <c r="F1087" s="5" t="s">
        <v>34</v>
      </c>
      <c r="G1087" s="5" t="s">
        <v>35</v>
      </c>
      <c r="H1087" s="5" t="s">
        <v>35</v>
      </c>
      <c r="I1087" s="5" t="s">
        <v>36</v>
      </c>
      <c r="J1087" s="6">
        <v>1.0</v>
      </c>
      <c r="K1087" s="6" t="s">
        <v>37</v>
      </c>
      <c r="L1087" s="6">
        <v>725.0</v>
      </c>
      <c r="M1087" s="5" t="s">
        <v>58</v>
      </c>
      <c r="N1087" s="5" t="s">
        <v>57</v>
      </c>
      <c r="O1087" s="6" t="s">
        <v>40</v>
      </c>
      <c r="P1087" s="5" t="s">
        <v>41</v>
      </c>
      <c r="Q1087" s="5"/>
      <c r="R1087" s="6" t="s">
        <v>42</v>
      </c>
      <c r="S1087" s="5" t="s">
        <v>202</v>
      </c>
      <c r="T1087" s="5" t="s">
        <v>90</v>
      </c>
      <c r="U1087" s="5" t="s">
        <v>44</v>
      </c>
      <c r="V1087" s="5" t="s">
        <v>44</v>
      </c>
      <c r="W1087" s="5" t="s">
        <v>36</v>
      </c>
      <c r="X1087" s="5" t="s">
        <v>203</v>
      </c>
      <c r="Y1087" s="5" t="s">
        <v>46</v>
      </c>
      <c r="Z1087" s="5" t="s">
        <v>47</v>
      </c>
      <c r="AA1087" s="5" t="s">
        <v>48</v>
      </c>
      <c r="AB1087" s="5" t="s">
        <v>5415</v>
      </c>
      <c r="AC1087" s="6" t="s">
        <v>50</v>
      </c>
      <c r="AD1087" s="6">
        <v>1759.0</v>
      </c>
    </row>
    <row r="1088" ht="56.25" customHeight="1">
      <c r="A1088" s="5" t="s">
        <v>5409</v>
      </c>
      <c r="B1088" s="6" t="str">
        <f>IMAGE("https://storage.googleapis.com/acdb/miscellaneous/FtrBooks_Remake_1_0.png")</f>
        <v/>
      </c>
      <c r="C1088" s="5" t="s">
        <v>2850</v>
      </c>
      <c r="D1088" s="5" t="s">
        <v>5411</v>
      </c>
      <c r="E1088" s="5" t="s">
        <v>34</v>
      </c>
      <c r="F1088" s="5" t="s">
        <v>34</v>
      </c>
      <c r="G1088" s="5" t="s">
        <v>35</v>
      </c>
      <c r="H1088" s="5" t="s">
        <v>35</v>
      </c>
      <c r="I1088" s="5" t="s">
        <v>36</v>
      </c>
      <c r="J1088" s="6">
        <v>1.0</v>
      </c>
      <c r="K1088" s="6" t="s">
        <v>37</v>
      </c>
      <c r="L1088" s="6">
        <v>725.0</v>
      </c>
      <c r="M1088" s="5" t="s">
        <v>58</v>
      </c>
      <c r="N1088" s="5" t="s">
        <v>57</v>
      </c>
      <c r="O1088" s="6" t="s">
        <v>40</v>
      </c>
      <c r="P1088" s="5" t="s">
        <v>41</v>
      </c>
      <c r="Q1088" s="5"/>
      <c r="R1088" s="6" t="s">
        <v>42</v>
      </c>
      <c r="S1088" s="5" t="s">
        <v>202</v>
      </c>
      <c r="T1088" s="5" t="s">
        <v>90</v>
      </c>
      <c r="U1088" s="5" t="s">
        <v>44</v>
      </c>
      <c r="V1088" s="5" t="s">
        <v>44</v>
      </c>
      <c r="W1088" s="5" t="s">
        <v>36</v>
      </c>
      <c r="X1088" s="5" t="s">
        <v>203</v>
      </c>
      <c r="Y1088" s="5" t="s">
        <v>46</v>
      </c>
      <c r="Z1088" s="5" t="s">
        <v>47</v>
      </c>
      <c r="AA1088" s="5" t="s">
        <v>48</v>
      </c>
      <c r="AB1088" s="5" t="s">
        <v>5418</v>
      </c>
      <c r="AC1088" s="6" t="s">
        <v>56</v>
      </c>
      <c r="AD1088" s="6">
        <v>1759.0</v>
      </c>
    </row>
    <row r="1089" ht="56.25" customHeight="1">
      <c r="A1089" s="5" t="s">
        <v>5409</v>
      </c>
      <c r="B1089" s="6" t="str">
        <f>IMAGE("https://storage.googleapis.com/acdb/miscellaneous/FtrBooks_Remake_2_0.png")</f>
        <v/>
      </c>
      <c r="C1089" s="5" t="s">
        <v>5419</v>
      </c>
      <c r="D1089" s="5" t="s">
        <v>5411</v>
      </c>
      <c r="E1089" s="5" t="s">
        <v>34</v>
      </c>
      <c r="F1089" s="5" t="s">
        <v>34</v>
      </c>
      <c r="G1089" s="5" t="s">
        <v>35</v>
      </c>
      <c r="H1089" s="5" t="s">
        <v>35</v>
      </c>
      <c r="I1089" s="5" t="s">
        <v>36</v>
      </c>
      <c r="J1089" s="6">
        <v>1.0</v>
      </c>
      <c r="K1089" s="6" t="s">
        <v>37</v>
      </c>
      <c r="L1089" s="6">
        <v>725.0</v>
      </c>
      <c r="M1089" s="5" t="s">
        <v>58</v>
      </c>
      <c r="N1089" s="5" t="s">
        <v>57</v>
      </c>
      <c r="O1089" s="6" t="s">
        <v>40</v>
      </c>
      <c r="P1089" s="5" t="s">
        <v>41</v>
      </c>
      <c r="Q1089" s="5"/>
      <c r="R1089" s="6" t="s">
        <v>42</v>
      </c>
      <c r="S1089" s="5" t="s">
        <v>202</v>
      </c>
      <c r="T1089" s="5" t="s">
        <v>90</v>
      </c>
      <c r="U1089" s="5" t="s">
        <v>44</v>
      </c>
      <c r="V1089" s="5" t="s">
        <v>44</v>
      </c>
      <c r="W1089" s="5" t="s">
        <v>36</v>
      </c>
      <c r="X1089" s="5" t="s">
        <v>203</v>
      </c>
      <c r="Y1089" s="5" t="s">
        <v>46</v>
      </c>
      <c r="Z1089" s="5" t="s">
        <v>47</v>
      </c>
      <c r="AA1089" s="5" t="s">
        <v>48</v>
      </c>
      <c r="AB1089" s="5" t="s">
        <v>5422</v>
      </c>
      <c r="AC1089" s="6" t="s">
        <v>67</v>
      </c>
      <c r="AD1089" s="6">
        <v>1759.0</v>
      </c>
    </row>
    <row r="1090" ht="56.25" customHeight="1">
      <c r="A1090" s="5" t="s">
        <v>5409</v>
      </c>
      <c r="B1090" s="6" t="str">
        <f>IMAGE("https://storage.googleapis.com/acdb/miscellaneous/FtrBooks_Remake_3_0.png")</f>
        <v/>
      </c>
      <c r="C1090" s="5" t="s">
        <v>1531</v>
      </c>
      <c r="D1090" s="5" t="s">
        <v>5411</v>
      </c>
      <c r="E1090" s="5" t="s">
        <v>34</v>
      </c>
      <c r="F1090" s="5" t="s">
        <v>34</v>
      </c>
      <c r="G1090" s="5" t="s">
        <v>35</v>
      </c>
      <c r="H1090" s="5" t="s">
        <v>35</v>
      </c>
      <c r="I1090" s="5" t="s">
        <v>36</v>
      </c>
      <c r="J1090" s="6">
        <v>1.0</v>
      </c>
      <c r="K1090" s="6" t="s">
        <v>37</v>
      </c>
      <c r="L1090" s="6">
        <v>725.0</v>
      </c>
      <c r="M1090" s="5" t="s">
        <v>38</v>
      </c>
      <c r="N1090" s="5" t="s">
        <v>114</v>
      </c>
      <c r="O1090" s="6" t="s">
        <v>40</v>
      </c>
      <c r="P1090" s="5" t="s">
        <v>41</v>
      </c>
      <c r="Q1090" s="5"/>
      <c r="R1090" s="6" t="s">
        <v>42</v>
      </c>
      <c r="S1090" s="5" t="s">
        <v>202</v>
      </c>
      <c r="T1090" s="5" t="s">
        <v>90</v>
      </c>
      <c r="U1090" s="5" t="s">
        <v>44</v>
      </c>
      <c r="V1090" s="5" t="s">
        <v>44</v>
      </c>
      <c r="W1090" s="5" t="s">
        <v>36</v>
      </c>
      <c r="X1090" s="5" t="s">
        <v>203</v>
      </c>
      <c r="Y1090" s="5" t="s">
        <v>46</v>
      </c>
      <c r="Z1090" s="5" t="s">
        <v>47</v>
      </c>
      <c r="AA1090" s="5" t="s">
        <v>48</v>
      </c>
      <c r="AB1090" s="5" t="s">
        <v>5426</v>
      </c>
      <c r="AC1090" s="6" t="s">
        <v>71</v>
      </c>
      <c r="AD1090" s="6">
        <v>1759.0</v>
      </c>
    </row>
    <row r="1091" ht="56.25" customHeight="1">
      <c r="A1091" s="5" t="s">
        <v>5427</v>
      </c>
      <c r="B1091" s="6" t="str">
        <f>IMAGE("https://storage.googleapis.com/acdb/miscellaneous/FtrMagagine_Remake_0_0.png")</f>
        <v/>
      </c>
      <c r="C1091" s="5" t="s">
        <v>34</v>
      </c>
      <c r="D1091" s="5" t="s">
        <v>34</v>
      </c>
      <c r="E1091" s="5" t="s">
        <v>5429</v>
      </c>
      <c r="F1091" s="5" t="s">
        <v>5430</v>
      </c>
      <c r="G1091" s="5" t="s">
        <v>35</v>
      </c>
      <c r="H1091" s="5" t="s">
        <v>36</v>
      </c>
      <c r="I1091" s="5" t="s">
        <v>35</v>
      </c>
      <c r="J1091" s="6">
        <v>2.0</v>
      </c>
      <c r="K1091" s="6" t="s">
        <v>37</v>
      </c>
      <c r="L1091" s="6">
        <v>630.0</v>
      </c>
      <c r="M1091" s="5" t="s">
        <v>58</v>
      </c>
      <c r="N1091" s="5" t="s">
        <v>96</v>
      </c>
      <c r="O1091" s="6" t="s">
        <v>40</v>
      </c>
      <c r="P1091" s="5" t="s">
        <v>41</v>
      </c>
      <c r="Q1091" s="5"/>
      <c r="R1091" s="6" t="s">
        <v>42</v>
      </c>
      <c r="S1091" s="5" t="s">
        <v>416</v>
      </c>
      <c r="T1091" s="5" t="s">
        <v>99</v>
      </c>
      <c r="U1091" s="5" t="s">
        <v>44</v>
      </c>
      <c r="V1091" s="5" t="s">
        <v>44</v>
      </c>
      <c r="W1091" s="5" t="s">
        <v>36</v>
      </c>
      <c r="X1091" s="5" t="s">
        <v>203</v>
      </c>
      <c r="Y1091" s="5" t="s">
        <v>46</v>
      </c>
      <c r="Z1091" s="5" t="s">
        <v>47</v>
      </c>
      <c r="AA1091" s="5" t="s">
        <v>48</v>
      </c>
      <c r="AB1091" s="5" t="s">
        <v>5432</v>
      </c>
      <c r="AC1091" s="6" t="s">
        <v>50</v>
      </c>
      <c r="AD1091" s="6">
        <v>1861.0</v>
      </c>
    </row>
    <row r="1092" ht="56.25" customHeight="1">
      <c r="A1092" s="5" t="s">
        <v>5427</v>
      </c>
      <c r="B1092" s="6" t="str">
        <f>IMAGE("https://storage.googleapis.com/acdb/miscellaneous/FtrMagagine_Remake_0_1.png")</f>
        <v/>
      </c>
      <c r="C1092" s="5" t="s">
        <v>34</v>
      </c>
      <c r="D1092" s="5" t="s">
        <v>34</v>
      </c>
      <c r="E1092" s="5" t="s">
        <v>2826</v>
      </c>
      <c r="F1092" s="5" t="s">
        <v>5430</v>
      </c>
      <c r="G1092" s="5" t="s">
        <v>35</v>
      </c>
      <c r="H1092" s="5" t="s">
        <v>36</v>
      </c>
      <c r="I1092" s="5" t="s">
        <v>35</v>
      </c>
      <c r="J1092" s="6">
        <v>2.0</v>
      </c>
      <c r="K1092" s="6" t="s">
        <v>37</v>
      </c>
      <c r="L1092" s="6">
        <v>630.0</v>
      </c>
      <c r="M1092" s="5" t="s">
        <v>58</v>
      </c>
      <c r="N1092" s="5" t="s">
        <v>52</v>
      </c>
      <c r="O1092" s="6" t="s">
        <v>40</v>
      </c>
      <c r="P1092" s="5" t="s">
        <v>41</v>
      </c>
      <c r="Q1092" s="5"/>
      <c r="R1092" s="6" t="s">
        <v>42</v>
      </c>
      <c r="S1092" s="5" t="s">
        <v>416</v>
      </c>
      <c r="T1092" s="5" t="s">
        <v>99</v>
      </c>
      <c r="U1092" s="5" t="s">
        <v>44</v>
      </c>
      <c r="V1092" s="5" t="s">
        <v>44</v>
      </c>
      <c r="W1092" s="5" t="s">
        <v>36</v>
      </c>
      <c r="X1092" s="5" t="s">
        <v>203</v>
      </c>
      <c r="Y1092" s="5" t="s">
        <v>46</v>
      </c>
      <c r="Z1092" s="5" t="s">
        <v>47</v>
      </c>
      <c r="AA1092" s="5" t="s">
        <v>48</v>
      </c>
      <c r="AB1092" s="5" t="s">
        <v>5435</v>
      </c>
      <c r="AC1092" s="6" t="s">
        <v>217</v>
      </c>
      <c r="AD1092" s="6">
        <v>1861.0</v>
      </c>
    </row>
    <row r="1093" ht="56.25" customHeight="1">
      <c r="A1093" s="5" t="s">
        <v>5427</v>
      </c>
      <c r="B1093" s="6" t="str">
        <f>IMAGE("https://storage.googleapis.com/acdb/miscellaneous/FtrMagagine_Remake_0_2.png")</f>
        <v/>
      </c>
      <c r="C1093" s="5" t="s">
        <v>34</v>
      </c>
      <c r="D1093" s="5" t="s">
        <v>34</v>
      </c>
      <c r="E1093" s="5" t="s">
        <v>2774</v>
      </c>
      <c r="F1093" s="5" t="s">
        <v>5430</v>
      </c>
      <c r="G1093" s="5" t="s">
        <v>35</v>
      </c>
      <c r="H1093" s="5" t="s">
        <v>36</v>
      </c>
      <c r="I1093" s="5" t="s">
        <v>35</v>
      </c>
      <c r="J1093" s="6">
        <v>2.0</v>
      </c>
      <c r="K1093" s="6" t="s">
        <v>37</v>
      </c>
      <c r="L1093" s="6">
        <v>630.0</v>
      </c>
      <c r="M1093" s="5" t="s">
        <v>58</v>
      </c>
      <c r="N1093" s="5" t="s">
        <v>95</v>
      </c>
      <c r="O1093" s="6" t="s">
        <v>40</v>
      </c>
      <c r="P1093" s="5" t="s">
        <v>41</v>
      </c>
      <c r="Q1093" s="5"/>
      <c r="R1093" s="6" t="s">
        <v>42</v>
      </c>
      <c r="S1093" s="5" t="s">
        <v>416</v>
      </c>
      <c r="T1093" s="5" t="s">
        <v>99</v>
      </c>
      <c r="U1093" s="5" t="s">
        <v>44</v>
      </c>
      <c r="V1093" s="5" t="s">
        <v>44</v>
      </c>
      <c r="W1093" s="5" t="s">
        <v>36</v>
      </c>
      <c r="X1093" s="5" t="s">
        <v>203</v>
      </c>
      <c r="Y1093" s="5" t="s">
        <v>46</v>
      </c>
      <c r="Z1093" s="5" t="s">
        <v>47</v>
      </c>
      <c r="AA1093" s="5" t="s">
        <v>48</v>
      </c>
      <c r="AB1093" s="5" t="s">
        <v>5437</v>
      </c>
      <c r="AC1093" s="6" t="s">
        <v>347</v>
      </c>
      <c r="AD1093" s="6">
        <v>1861.0</v>
      </c>
    </row>
    <row r="1094" ht="56.25" customHeight="1">
      <c r="A1094" s="5" t="s">
        <v>5427</v>
      </c>
      <c r="B1094" s="6" t="str">
        <f>IMAGE("https://storage.googleapis.com/acdb/miscellaneous/FtrMagagine_Remake_0_3.png")</f>
        <v/>
      </c>
      <c r="C1094" s="5" t="s">
        <v>34</v>
      </c>
      <c r="D1094" s="5" t="s">
        <v>34</v>
      </c>
      <c r="E1094" s="5" t="s">
        <v>475</v>
      </c>
      <c r="F1094" s="5" t="s">
        <v>5430</v>
      </c>
      <c r="G1094" s="5" t="s">
        <v>35</v>
      </c>
      <c r="H1094" s="5" t="s">
        <v>36</v>
      </c>
      <c r="I1094" s="5" t="s">
        <v>35</v>
      </c>
      <c r="J1094" s="6">
        <v>2.0</v>
      </c>
      <c r="K1094" s="6" t="s">
        <v>37</v>
      </c>
      <c r="L1094" s="6">
        <v>630.0</v>
      </c>
      <c r="M1094" s="5" t="s">
        <v>58</v>
      </c>
      <c r="N1094" s="5" t="s">
        <v>58</v>
      </c>
      <c r="O1094" s="6" t="s">
        <v>40</v>
      </c>
      <c r="P1094" s="5" t="s">
        <v>41</v>
      </c>
      <c r="Q1094" s="5"/>
      <c r="R1094" s="6" t="s">
        <v>42</v>
      </c>
      <c r="S1094" s="5" t="s">
        <v>416</v>
      </c>
      <c r="T1094" s="5" t="s">
        <v>99</v>
      </c>
      <c r="U1094" s="5" t="s">
        <v>44</v>
      </c>
      <c r="V1094" s="5" t="s">
        <v>44</v>
      </c>
      <c r="W1094" s="5" t="s">
        <v>36</v>
      </c>
      <c r="X1094" s="5" t="s">
        <v>203</v>
      </c>
      <c r="Y1094" s="5" t="s">
        <v>46</v>
      </c>
      <c r="Z1094" s="5" t="s">
        <v>47</v>
      </c>
      <c r="AA1094" s="5" t="s">
        <v>48</v>
      </c>
      <c r="AB1094" s="5" t="s">
        <v>5442</v>
      </c>
      <c r="AC1094" s="6" t="s">
        <v>354</v>
      </c>
      <c r="AD1094" s="6">
        <v>1861.0</v>
      </c>
    </row>
    <row r="1095" ht="56.25" customHeight="1">
      <c r="A1095" s="5" t="s">
        <v>5427</v>
      </c>
      <c r="B1095" s="6" t="str">
        <f>IMAGE("https://storage.googleapis.com/acdb/miscellaneous/FtrMagagine_Remake_0_4.png")</f>
        <v/>
      </c>
      <c r="C1095" s="5" t="s">
        <v>34</v>
      </c>
      <c r="D1095" s="5" t="s">
        <v>34</v>
      </c>
      <c r="E1095" s="5" t="s">
        <v>2850</v>
      </c>
      <c r="F1095" s="5" t="s">
        <v>5430</v>
      </c>
      <c r="G1095" s="5" t="s">
        <v>35</v>
      </c>
      <c r="H1095" s="5" t="s">
        <v>36</v>
      </c>
      <c r="I1095" s="5" t="s">
        <v>35</v>
      </c>
      <c r="J1095" s="6">
        <v>2.0</v>
      </c>
      <c r="K1095" s="6" t="s">
        <v>37</v>
      </c>
      <c r="L1095" s="6">
        <v>630.0</v>
      </c>
      <c r="M1095" s="5" t="s">
        <v>58</v>
      </c>
      <c r="N1095" s="5" t="s">
        <v>58</v>
      </c>
      <c r="O1095" s="6" t="s">
        <v>40</v>
      </c>
      <c r="P1095" s="5" t="s">
        <v>41</v>
      </c>
      <c r="Q1095" s="5"/>
      <c r="R1095" s="6" t="s">
        <v>42</v>
      </c>
      <c r="S1095" s="5" t="s">
        <v>416</v>
      </c>
      <c r="T1095" s="5" t="s">
        <v>99</v>
      </c>
      <c r="U1095" s="5" t="s">
        <v>44</v>
      </c>
      <c r="V1095" s="5" t="s">
        <v>44</v>
      </c>
      <c r="W1095" s="5" t="s">
        <v>36</v>
      </c>
      <c r="X1095" s="5" t="s">
        <v>203</v>
      </c>
      <c r="Y1095" s="5" t="s">
        <v>46</v>
      </c>
      <c r="Z1095" s="5" t="s">
        <v>47</v>
      </c>
      <c r="AA1095" s="5" t="s">
        <v>48</v>
      </c>
      <c r="AB1095" s="5" t="s">
        <v>5445</v>
      </c>
      <c r="AC1095" s="6" t="s">
        <v>486</v>
      </c>
      <c r="AD1095" s="6">
        <v>1861.0</v>
      </c>
    </row>
    <row r="1096" ht="56.25" customHeight="1">
      <c r="A1096" s="5" t="s">
        <v>5427</v>
      </c>
      <c r="B1096" s="6" t="str">
        <f>IMAGE("https://storage.googleapis.com/acdb/miscellaneous/FtrMagagine_Remake_0_5.png")</f>
        <v/>
      </c>
      <c r="C1096" s="5" t="s">
        <v>34</v>
      </c>
      <c r="D1096" s="5" t="s">
        <v>34</v>
      </c>
      <c r="E1096" s="5" t="s">
        <v>2858</v>
      </c>
      <c r="F1096" s="5" t="s">
        <v>5430</v>
      </c>
      <c r="G1096" s="5" t="s">
        <v>35</v>
      </c>
      <c r="H1096" s="5" t="s">
        <v>36</v>
      </c>
      <c r="I1096" s="5" t="s">
        <v>35</v>
      </c>
      <c r="J1096" s="6">
        <v>2.0</v>
      </c>
      <c r="K1096" s="6" t="s">
        <v>37</v>
      </c>
      <c r="L1096" s="6">
        <v>630.0</v>
      </c>
      <c r="M1096" s="5" t="s">
        <v>58</v>
      </c>
      <c r="N1096" s="5" t="s">
        <v>69</v>
      </c>
      <c r="O1096" s="6" t="s">
        <v>40</v>
      </c>
      <c r="P1096" s="5" t="s">
        <v>41</v>
      </c>
      <c r="Q1096" s="5"/>
      <c r="R1096" s="6" t="s">
        <v>42</v>
      </c>
      <c r="S1096" s="5" t="s">
        <v>416</v>
      </c>
      <c r="T1096" s="5" t="s">
        <v>99</v>
      </c>
      <c r="U1096" s="5" t="s">
        <v>44</v>
      </c>
      <c r="V1096" s="5" t="s">
        <v>44</v>
      </c>
      <c r="W1096" s="5" t="s">
        <v>36</v>
      </c>
      <c r="X1096" s="5" t="s">
        <v>203</v>
      </c>
      <c r="Y1096" s="5" t="s">
        <v>46</v>
      </c>
      <c r="Z1096" s="5" t="s">
        <v>47</v>
      </c>
      <c r="AA1096" s="5" t="s">
        <v>48</v>
      </c>
      <c r="AB1096" s="5" t="s">
        <v>5449</v>
      </c>
      <c r="AC1096" s="6" t="s">
        <v>934</v>
      </c>
      <c r="AD1096" s="6">
        <v>1861.0</v>
      </c>
    </row>
    <row r="1097" ht="56.25" customHeight="1">
      <c r="A1097" s="5" t="s">
        <v>5427</v>
      </c>
      <c r="B1097" s="6" t="str">
        <f>IMAGE("https://storage.googleapis.com/acdb/miscellaneous/FtrMagagine_Remake_0_6.png")</f>
        <v/>
      </c>
      <c r="C1097" s="5" t="s">
        <v>34</v>
      </c>
      <c r="D1097" s="5" t="s">
        <v>34</v>
      </c>
      <c r="E1097" s="5" t="s">
        <v>2862</v>
      </c>
      <c r="F1097" s="5" t="s">
        <v>5430</v>
      </c>
      <c r="G1097" s="5" t="s">
        <v>35</v>
      </c>
      <c r="H1097" s="5" t="s">
        <v>36</v>
      </c>
      <c r="I1097" s="5" t="s">
        <v>35</v>
      </c>
      <c r="J1097" s="6">
        <v>2.0</v>
      </c>
      <c r="K1097" s="6" t="s">
        <v>37</v>
      </c>
      <c r="L1097" s="6">
        <v>630.0</v>
      </c>
      <c r="M1097" s="5" t="s">
        <v>58</v>
      </c>
      <c r="N1097" s="5" t="s">
        <v>58</v>
      </c>
      <c r="O1097" s="6" t="s">
        <v>40</v>
      </c>
      <c r="P1097" s="5" t="s">
        <v>41</v>
      </c>
      <c r="Q1097" s="5"/>
      <c r="R1097" s="6" t="s">
        <v>42</v>
      </c>
      <c r="S1097" s="5" t="s">
        <v>416</v>
      </c>
      <c r="T1097" s="5" t="s">
        <v>99</v>
      </c>
      <c r="U1097" s="5" t="s">
        <v>44</v>
      </c>
      <c r="V1097" s="5" t="s">
        <v>44</v>
      </c>
      <c r="W1097" s="5" t="s">
        <v>36</v>
      </c>
      <c r="X1097" s="5" t="s">
        <v>203</v>
      </c>
      <c r="Y1097" s="5" t="s">
        <v>46</v>
      </c>
      <c r="Z1097" s="5" t="s">
        <v>47</v>
      </c>
      <c r="AA1097" s="5" t="s">
        <v>48</v>
      </c>
      <c r="AB1097" s="5" t="s">
        <v>5453</v>
      </c>
      <c r="AC1097" s="6" t="s">
        <v>938</v>
      </c>
      <c r="AD1097" s="6">
        <v>1861.0</v>
      </c>
    </row>
    <row r="1098" ht="56.25" customHeight="1">
      <c r="A1098" s="5" t="s">
        <v>5454</v>
      </c>
      <c r="B1098" s="6" t="str">
        <f>IMAGE("https://storage.googleapis.com/acdb/miscellaneous/FtrStandmixer_Remake_0_0.png")</f>
        <v/>
      </c>
      <c r="C1098" s="5" t="s">
        <v>95</v>
      </c>
      <c r="D1098" s="5" t="s">
        <v>34</v>
      </c>
      <c r="E1098" s="5" t="s">
        <v>34</v>
      </c>
      <c r="F1098" s="5" t="s">
        <v>34</v>
      </c>
      <c r="G1098" s="5" t="s">
        <v>36</v>
      </c>
      <c r="H1098" s="5" t="s">
        <v>36</v>
      </c>
      <c r="I1098" s="5" t="s">
        <v>36</v>
      </c>
      <c r="J1098" s="6" t="s">
        <v>34</v>
      </c>
      <c r="K1098" s="6">
        <v>1400.0</v>
      </c>
      <c r="L1098" s="6">
        <v>350.0</v>
      </c>
      <c r="M1098" s="5" t="s">
        <v>95</v>
      </c>
      <c r="N1098" s="5" t="s">
        <v>54</v>
      </c>
      <c r="O1098" s="6" t="s">
        <v>40</v>
      </c>
      <c r="P1098" s="5" t="s">
        <v>59</v>
      </c>
      <c r="Q1098" s="5" t="s">
        <v>60</v>
      </c>
      <c r="R1098" s="6" t="s">
        <v>42</v>
      </c>
      <c r="S1098" s="5" t="s">
        <v>159</v>
      </c>
      <c r="T1098" s="5" t="s">
        <v>62</v>
      </c>
      <c r="U1098" s="5" t="s">
        <v>44</v>
      </c>
      <c r="V1098" s="5" t="s">
        <v>44</v>
      </c>
      <c r="W1098" s="5" t="s">
        <v>35</v>
      </c>
      <c r="X1098" s="5" t="s">
        <v>160</v>
      </c>
      <c r="Y1098" s="5" t="s">
        <v>46</v>
      </c>
      <c r="Z1098" s="5" t="s">
        <v>47</v>
      </c>
      <c r="AA1098" s="5" t="s">
        <v>64</v>
      </c>
      <c r="AB1098" s="5" t="s">
        <v>5459</v>
      </c>
      <c r="AC1098" s="6" t="s">
        <v>50</v>
      </c>
      <c r="AD1098" s="6">
        <v>4019.0</v>
      </c>
    </row>
    <row r="1099" ht="56.25" customHeight="1">
      <c r="A1099" s="5" t="s">
        <v>5454</v>
      </c>
      <c r="B1099" s="6" t="str">
        <f>IMAGE("https://storage.googleapis.com/acdb/miscellaneous/FtrStandmixer_Remake_1_0.png")</f>
        <v/>
      </c>
      <c r="C1099" s="5" t="s">
        <v>52</v>
      </c>
      <c r="D1099" s="5" t="s">
        <v>34</v>
      </c>
      <c r="E1099" s="5" t="s">
        <v>34</v>
      </c>
      <c r="F1099" s="5" t="s">
        <v>34</v>
      </c>
      <c r="G1099" s="5" t="s">
        <v>36</v>
      </c>
      <c r="H1099" s="5" t="s">
        <v>36</v>
      </c>
      <c r="I1099" s="5" t="s">
        <v>36</v>
      </c>
      <c r="J1099" s="6" t="s">
        <v>34</v>
      </c>
      <c r="K1099" s="6">
        <v>1400.0</v>
      </c>
      <c r="L1099" s="6">
        <v>350.0</v>
      </c>
      <c r="M1099" s="5" t="s">
        <v>52</v>
      </c>
      <c r="N1099" s="5" t="s">
        <v>54</v>
      </c>
      <c r="O1099" s="6" t="s">
        <v>40</v>
      </c>
      <c r="P1099" s="5" t="s">
        <v>59</v>
      </c>
      <c r="Q1099" s="5" t="s">
        <v>60</v>
      </c>
      <c r="R1099" s="6" t="s">
        <v>42</v>
      </c>
      <c r="S1099" s="5" t="s">
        <v>159</v>
      </c>
      <c r="T1099" s="5" t="s">
        <v>62</v>
      </c>
      <c r="U1099" s="5" t="s">
        <v>44</v>
      </c>
      <c r="V1099" s="5" t="s">
        <v>44</v>
      </c>
      <c r="W1099" s="5" t="s">
        <v>35</v>
      </c>
      <c r="X1099" s="5" t="s">
        <v>160</v>
      </c>
      <c r="Y1099" s="5" t="s">
        <v>46</v>
      </c>
      <c r="Z1099" s="5" t="s">
        <v>47</v>
      </c>
      <c r="AA1099" s="5" t="s">
        <v>64</v>
      </c>
      <c r="AB1099" s="5" t="s">
        <v>5462</v>
      </c>
      <c r="AC1099" s="6" t="s">
        <v>56</v>
      </c>
      <c r="AD1099" s="6">
        <v>4019.0</v>
      </c>
    </row>
    <row r="1100" ht="56.25" customHeight="1">
      <c r="A1100" s="5" t="s">
        <v>5454</v>
      </c>
      <c r="B1100" s="6" t="str">
        <f>IMAGE("https://storage.googleapis.com/acdb/miscellaneous/FtrStandmixer_Remake_2_0.png")</f>
        <v/>
      </c>
      <c r="C1100" s="5" t="s">
        <v>69</v>
      </c>
      <c r="D1100" s="5" t="s">
        <v>34</v>
      </c>
      <c r="E1100" s="5" t="s">
        <v>34</v>
      </c>
      <c r="F1100" s="5" t="s">
        <v>34</v>
      </c>
      <c r="G1100" s="5" t="s">
        <v>36</v>
      </c>
      <c r="H1100" s="5" t="s">
        <v>36</v>
      </c>
      <c r="I1100" s="5" t="s">
        <v>36</v>
      </c>
      <c r="J1100" s="6" t="s">
        <v>34</v>
      </c>
      <c r="K1100" s="6">
        <v>1400.0</v>
      </c>
      <c r="L1100" s="6">
        <v>350.0</v>
      </c>
      <c r="M1100" s="5" t="s">
        <v>69</v>
      </c>
      <c r="N1100" s="5" t="s">
        <v>54</v>
      </c>
      <c r="O1100" s="6" t="s">
        <v>40</v>
      </c>
      <c r="P1100" s="5" t="s">
        <v>59</v>
      </c>
      <c r="Q1100" s="5" t="s">
        <v>60</v>
      </c>
      <c r="R1100" s="6" t="s">
        <v>42</v>
      </c>
      <c r="S1100" s="5" t="s">
        <v>159</v>
      </c>
      <c r="T1100" s="5" t="s">
        <v>62</v>
      </c>
      <c r="U1100" s="5" t="s">
        <v>44</v>
      </c>
      <c r="V1100" s="5" t="s">
        <v>44</v>
      </c>
      <c r="W1100" s="5" t="s">
        <v>35</v>
      </c>
      <c r="X1100" s="5" t="s">
        <v>160</v>
      </c>
      <c r="Y1100" s="5" t="s">
        <v>46</v>
      </c>
      <c r="Z1100" s="5" t="s">
        <v>47</v>
      </c>
      <c r="AA1100" s="5" t="s">
        <v>64</v>
      </c>
      <c r="AB1100" s="5" t="s">
        <v>5464</v>
      </c>
      <c r="AC1100" s="6" t="s">
        <v>67</v>
      </c>
      <c r="AD1100" s="6">
        <v>4019.0</v>
      </c>
    </row>
    <row r="1101" ht="56.25" customHeight="1">
      <c r="A1101" s="5" t="s">
        <v>5454</v>
      </c>
      <c r="B1101" s="6" t="str">
        <f>IMAGE("https://storage.googleapis.com/acdb/miscellaneous/FtrStandmixer_Remake_3_0.png")</f>
        <v/>
      </c>
      <c r="C1101" s="5" t="s">
        <v>83</v>
      </c>
      <c r="D1101" s="5" t="s">
        <v>34</v>
      </c>
      <c r="E1101" s="5" t="s">
        <v>34</v>
      </c>
      <c r="F1101" s="5" t="s">
        <v>34</v>
      </c>
      <c r="G1101" s="5" t="s">
        <v>36</v>
      </c>
      <c r="H1101" s="5" t="s">
        <v>36</v>
      </c>
      <c r="I1101" s="5" t="s">
        <v>36</v>
      </c>
      <c r="J1101" s="6" t="s">
        <v>34</v>
      </c>
      <c r="K1101" s="6">
        <v>1400.0</v>
      </c>
      <c r="L1101" s="6">
        <v>350.0</v>
      </c>
      <c r="M1101" s="5" t="s">
        <v>83</v>
      </c>
      <c r="N1101" s="5" t="s">
        <v>54</v>
      </c>
      <c r="O1101" s="6" t="s">
        <v>40</v>
      </c>
      <c r="P1101" s="5" t="s">
        <v>59</v>
      </c>
      <c r="Q1101" s="5" t="s">
        <v>60</v>
      </c>
      <c r="R1101" s="6" t="s">
        <v>42</v>
      </c>
      <c r="S1101" s="5" t="s">
        <v>159</v>
      </c>
      <c r="T1101" s="5" t="s">
        <v>62</v>
      </c>
      <c r="U1101" s="5" t="s">
        <v>44</v>
      </c>
      <c r="V1101" s="5" t="s">
        <v>44</v>
      </c>
      <c r="W1101" s="5" t="s">
        <v>35</v>
      </c>
      <c r="X1101" s="5" t="s">
        <v>160</v>
      </c>
      <c r="Y1101" s="5" t="s">
        <v>46</v>
      </c>
      <c r="Z1101" s="5" t="s">
        <v>47</v>
      </c>
      <c r="AA1101" s="5" t="s">
        <v>64</v>
      </c>
      <c r="AB1101" s="5" t="s">
        <v>5469</v>
      </c>
      <c r="AC1101" s="6" t="s">
        <v>71</v>
      </c>
      <c r="AD1101" s="6">
        <v>4019.0</v>
      </c>
    </row>
    <row r="1102" ht="56.25" customHeight="1">
      <c r="A1102" s="5" t="s">
        <v>5454</v>
      </c>
      <c r="B1102" s="6" t="str">
        <f>IMAGE("https://storage.googleapis.com/acdb/miscellaneous/FtrStandmixer_Remake_4_0.png")</f>
        <v/>
      </c>
      <c r="C1102" s="5" t="s">
        <v>114</v>
      </c>
      <c r="D1102" s="5" t="s">
        <v>34</v>
      </c>
      <c r="E1102" s="5" t="s">
        <v>34</v>
      </c>
      <c r="F1102" s="5" t="s">
        <v>34</v>
      </c>
      <c r="G1102" s="5" t="s">
        <v>36</v>
      </c>
      <c r="H1102" s="5" t="s">
        <v>36</v>
      </c>
      <c r="I1102" s="5" t="s">
        <v>36</v>
      </c>
      <c r="J1102" s="6" t="s">
        <v>34</v>
      </c>
      <c r="K1102" s="6">
        <v>1400.0</v>
      </c>
      <c r="L1102" s="6">
        <v>350.0</v>
      </c>
      <c r="M1102" s="5" t="s">
        <v>114</v>
      </c>
      <c r="N1102" s="5" t="s">
        <v>54</v>
      </c>
      <c r="O1102" s="6" t="s">
        <v>40</v>
      </c>
      <c r="P1102" s="5" t="s">
        <v>59</v>
      </c>
      <c r="Q1102" s="5" t="s">
        <v>60</v>
      </c>
      <c r="R1102" s="6" t="s">
        <v>42</v>
      </c>
      <c r="S1102" s="5" t="s">
        <v>159</v>
      </c>
      <c r="T1102" s="5" t="s">
        <v>62</v>
      </c>
      <c r="U1102" s="5" t="s">
        <v>44</v>
      </c>
      <c r="V1102" s="5" t="s">
        <v>44</v>
      </c>
      <c r="W1102" s="5" t="s">
        <v>35</v>
      </c>
      <c r="X1102" s="5" t="s">
        <v>160</v>
      </c>
      <c r="Y1102" s="5" t="s">
        <v>46</v>
      </c>
      <c r="Z1102" s="5" t="s">
        <v>47</v>
      </c>
      <c r="AA1102" s="5" t="s">
        <v>64</v>
      </c>
      <c r="AB1102" s="5" t="s">
        <v>5474</v>
      </c>
      <c r="AC1102" s="6" t="s">
        <v>75</v>
      </c>
      <c r="AD1102" s="6">
        <v>4019.0</v>
      </c>
    </row>
    <row r="1103" ht="56.25" customHeight="1">
      <c r="A1103" s="5" t="s">
        <v>5454</v>
      </c>
      <c r="B1103" s="6" t="str">
        <f>IMAGE("https://storage.googleapis.com/acdb/miscellaneous/FtrStandmixer_Remake_5_0.png")</f>
        <v/>
      </c>
      <c r="C1103" s="5" t="s">
        <v>54</v>
      </c>
      <c r="D1103" s="5" t="s">
        <v>34</v>
      </c>
      <c r="E1103" s="5" t="s">
        <v>34</v>
      </c>
      <c r="F1103" s="5" t="s">
        <v>34</v>
      </c>
      <c r="G1103" s="5" t="s">
        <v>36</v>
      </c>
      <c r="H1103" s="5" t="s">
        <v>36</v>
      </c>
      <c r="I1103" s="5" t="s">
        <v>36</v>
      </c>
      <c r="J1103" s="6" t="s">
        <v>34</v>
      </c>
      <c r="K1103" s="6">
        <v>1400.0</v>
      </c>
      <c r="L1103" s="6">
        <v>350.0</v>
      </c>
      <c r="M1103" s="5" t="s">
        <v>54</v>
      </c>
      <c r="N1103" s="5" t="s">
        <v>54</v>
      </c>
      <c r="O1103" s="6" t="s">
        <v>40</v>
      </c>
      <c r="P1103" s="5" t="s">
        <v>59</v>
      </c>
      <c r="Q1103" s="5" t="s">
        <v>60</v>
      </c>
      <c r="R1103" s="6" t="s">
        <v>42</v>
      </c>
      <c r="S1103" s="5" t="s">
        <v>159</v>
      </c>
      <c r="T1103" s="5" t="s">
        <v>62</v>
      </c>
      <c r="U1103" s="5" t="s">
        <v>44</v>
      </c>
      <c r="V1103" s="5" t="s">
        <v>44</v>
      </c>
      <c r="W1103" s="5" t="s">
        <v>35</v>
      </c>
      <c r="X1103" s="5" t="s">
        <v>160</v>
      </c>
      <c r="Y1103" s="5" t="s">
        <v>46</v>
      </c>
      <c r="Z1103" s="5" t="s">
        <v>47</v>
      </c>
      <c r="AA1103" s="5" t="s">
        <v>64</v>
      </c>
      <c r="AB1103" s="5" t="s">
        <v>5478</v>
      </c>
      <c r="AC1103" s="6" t="s">
        <v>79</v>
      </c>
      <c r="AD1103" s="6">
        <v>4019.0</v>
      </c>
    </row>
    <row r="1104" ht="56.25" customHeight="1">
      <c r="A1104" s="5" t="s">
        <v>5479</v>
      </c>
      <c r="B1104" s="6" t="str">
        <f>IMAGE("https://storage.googleapis.com/acdb/miscellaneous/FtrStarClock_Remake_0_0.png")</f>
        <v/>
      </c>
      <c r="C1104" s="5" t="s">
        <v>114</v>
      </c>
      <c r="D1104" s="5" t="s">
        <v>135</v>
      </c>
      <c r="E1104" s="5" t="s">
        <v>34</v>
      </c>
      <c r="F1104" s="5" t="s">
        <v>34</v>
      </c>
      <c r="G1104" s="5" t="s">
        <v>35</v>
      </c>
      <c r="H1104" s="5" t="s">
        <v>35</v>
      </c>
      <c r="I1104" s="5" t="s">
        <v>36</v>
      </c>
      <c r="J1104" s="6">
        <v>3.0</v>
      </c>
      <c r="K1104" s="6" t="s">
        <v>37</v>
      </c>
      <c r="L1104" s="6">
        <v>2250.0</v>
      </c>
      <c r="M1104" s="5" t="s">
        <v>114</v>
      </c>
      <c r="N1104" s="5" t="s">
        <v>114</v>
      </c>
      <c r="O1104" s="6" t="s">
        <v>40</v>
      </c>
      <c r="P1104" s="5" t="s">
        <v>41</v>
      </c>
      <c r="Q1104" s="5"/>
      <c r="R1104" s="6" t="s">
        <v>42</v>
      </c>
      <c r="S1104" s="5" t="s">
        <v>401</v>
      </c>
      <c r="T1104" s="5" t="s">
        <v>61</v>
      </c>
      <c r="U1104" s="5" t="s">
        <v>349</v>
      </c>
      <c r="V1104" s="5" t="s">
        <v>44</v>
      </c>
      <c r="W1104" s="5" t="s">
        <v>35</v>
      </c>
      <c r="X1104" s="5" t="s">
        <v>260</v>
      </c>
      <c r="Y1104" s="5" t="s">
        <v>46</v>
      </c>
      <c r="Z1104" s="5" t="s">
        <v>502</v>
      </c>
      <c r="AA1104" s="5" t="s">
        <v>48</v>
      </c>
      <c r="AB1104" s="5" t="s">
        <v>5483</v>
      </c>
      <c r="AC1104" s="6" t="s">
        <v>50</v>
      </c>
      <c r="AD1104" s="6">
        <v>7253.0</v>
      </c>
    </row>
    <row r="1105" ht="56.25" customHeight="1">
      <c r="A1105" s="5" t="s">
        <v>5479</v>
      </c>
      <c r="B1105" s="6" t="str">
        <f>IMAGE("https://storage.googleapis.com/acdb/miscellaneous/FtrStarClock_Remake_1_0.png")</f>
        <v/>
      </c>
      <c r="C1105" s="5" t="s">
        <v>96</v>
      </c>
      <c r="D1105" s="5" t="s">
        <v>135</v>
      </c>
      <c r="E1105" s="5" t="s">
        <v>34</v>
      </c>
      <c r="F1105" s="5" t="s">
        <v>34</v>
      </c>
      <c r="G1105" s="5" t="s">
        <v>35</v>
      </c>
      <c r="H1105" s="5" t="s">
        <v>35</v>
      </c>
      <c r="I1105" s="5" t="s">
        <v>36</v>
      </c>
      <c r="J1105" s="6">
        <v>3.0</v>
      </c>
      <c r="K1105" s="6" t="s">
        <v>37</v>
      </c>
      <c r="L1105" s="6">
        <v>2250.0</v>
      </c>
      <c r="M1105" s="5" t="s">
        <v>96</v>
      </c>
      <c r="N1105" s="5" t="s">
        <v>96</v>
      </c>
      <c r="O1105" s="6" t="s">
        <v>40</v>
      </c>
      <c r="P1105" s="5" t="s">
        <v>41</v>
      </c>
      <c r="Q1105" s="5"/>
      <c r="R1105" s="6" t="s">
        <v>42</v>
      </c>
      <c r="S1105" s="5" t="s">
        <v>401</v>
      </c>
      <c r="T1105" s="5" t="s">
        <v>61</v>
      </c>
      <c r="U1105" s="5" t="s">
        <v>349</v>
      </c>
      <c r="V1105" s="5" t="s">
        <v>44</v>
      </c>
      <c r="W1105" s="5" t="s">
        <v>35</v>
      </c>
      <c r="X1105" s="5" t="s">
        <v>260</v>
      </c>
      <c r="Y1105" s="5" t="s">
        <v>46</v>
      </c>
      <c r="Z1105" s="5" t="s">
        <v>502</v>
      </c>
      <c r="AA1105" s="5" t="s">
        <v>48</v>
      </c>
      <c r="AB1105" s="5" t="s">
        <v>5487</v>
      </c>
      <c r="AC1105" s="6" t="s">
        <v>56</v>
      </c>
      <c r="AD1105" s="6">
        <v>7253.0</v>
      </c>
    </row>
    <row r="1106" ht="56.25" customHeight="1">
      <c r="A1106" s="5" t="s">
        <v>5479</v>
      </c>
      <c r="B1106" s="6" t="str">
        <f>IMAGE("https://storage.googleapis.com/acdb/miscellaneous/FtrStarClock_Remake_2_0.png")</f>
        <v/>
      </c>
      <c r="C1106" s="5" t="s">
        <v>68</v>
      </c>
      <c r="D1106" s="5" t="s">
        <v>135</v>
      </c>
      <c r="E1106" s="5" t="s">
        <v>34</v>
      </c>
      <c r="F1106" s="5" t="s">
        <v>34</v>
      </c>
      <c r="G1106" s="5" t="s">
        <v>35</v>
      </c>
      <c r="H1106" s="5" t="s">
        <v>35</v>
      </c>
      <c r="I1106" s="5" t="s">
        <v>36</v>
      </c>
      <c r="J1106" s="6">
        <v>3.0</v>
      </c>
      <c r="K1106" s="6" t="s">
        <v>37</v>
      </c>
      <c r="L1106" s="6">
        <v>2250.0</v>
      </c>
      <c r="M1106" s="5" t="s">
        <v>83</v>
      </c>
      <c r="N1106" s="5" t="s">
        <v>83</v>
      </c>
      <c r="O1106" s="6" t="s">
        <v>40</v>
      </c>
      <c r="P1106" s="5" t="s">
        <v>41</v>
      </c>
      <c r="Q1106" s="5"/>
      <c r="R1106" s="6" t="s">
        <v>42</v>
      </c>
      <c r="S1106" s="5" t="s">
        <v>401</v>
      </c>
      <c r="T1106" s="5" t="s">
        <v>61</v>
      </c>
      <c r="U1106" s="5" t="s">
        <v>349</v>
      </c>
      <c r="V1106" s="5" t="s">
        <v>44</v>
      </c>
      <c r="W1106" s="5" t="s">
        <v>35</v>
      </c>
      <c r="X1106" s="5" t="s">
        <v>260</v>
      </c>
      <c r="Y1106" s="5" t="s">
        <v>46</v>
      </c>
      <c r="Z1106" s="5" t="s">
        <v>502</v>
      </c>
      <c r="AA1106" s="5" t="s">
        <v>48</v>
      </c>
      <c r="AB1106" s="5" t="s">
        <v>5491</v>
      </c>
      <c r="AC1106" s="6" t="s">
        <v>67</v>
      </c>
      <c r="AD1106" s="6">
        <v>7253.0</v>
      </c>
    </row>
    <row r="1107" ht="56.25" customHeight="1">
      <c r="A1107" s="5" t="s">
        <v>5479</v>
      </c>
      <c r="B1107" s="6" t="str">
        <f>IMAGE("https://storage.googleapis.com/acdb/miscellaneous/FtrStarClock_Remake_3_0.png")</f>
        <v/>
      </c>
      <c r="C1107" s="5" t="s">
        <v>106</v>
      </c>
      <c r="D1107" s="5" t="s">
        <v>135</v>
      </c>
      <c r="E1107" s="5" t="s">
        <v>34</v>
      </c>
      <c r="F1107" s="5" t="s">
        <v>34</v>
      </c>
      <c r="G1107" s="5" t="s">
        <v>35</v>
      </c>
      <c r="H1107" s="5" t="s">
        <v>35</v>
      </c>
      <c r="I1107" s="5" t="s">
        <v>36</v>
      </c>
      <c r="J1107" s="6">
        <v>3.0</v>
      </c>
      <c r="K1107" s="6" t="s">
        <v>37</v>
      </c>
      <c r="L1107" s="6">
        <v>2250.0</v>
      </c>
      <c r="M1107" s="5" t="s">
        <v>106</v>
      </c>
      <c r="N1107" s="5" t="s">
        <v>106</v>
      </c>
      <c r="O1107" s="6" t="s">
        <v>40</v>
      </c>
      <c r="P1107" s="5" t="s">
        <v>41</v>
      </c>
      <c r="Q1107" s="5"/>
      <c r="R1107" s="6" t="s">
        <v>42</v>
      </c>
      <c r="S1107" s="5" t="s">
        <v>401</v>
      </c>
      <c r="T1107" s="5" t="s">
        <v>61</v>
      </c>
      <c r="U1107" s="5" t="s">
        <v>349</v>
      </c>
      <c r="V1107" s="5" t="s">
        <v>44</v>
      </c>
      <c r="W1107" s="5" t="s">
        <v>35</v>
      </c>
      <c r="X1107" s="5" t="s">
        <v>260</v>
      </c>
      <c r="Y1107" s="5" t="s">
        <v>46</v>
      </c>
      <c r="Z1107" s="5" t="s">
        <v>502</v>
      </c>
      <c r="AA1107" s="5" t="s">
        <v>48</v>
      </c>
      <c r="AB1107" s="5" t="s">
        <v>5494</v>
      </c>
      <c r="AC1107" s="6" t="s">
        <v>71</v>
      </c>
      <c r="AD1107" s="6">
        <v>7253.0</v>
      </c>
    </row>
    <row r="1108" ht="56.25" customHeight="1">
      <c r="A1108" s="5" t="s">
        <v>5479</v>
      </c>
      <c r="B1108" s="6" t="str">
        <f>IMAGE("https://storage.googleapis.com/acdb/miscellaneous/FtrStarClock_Remake_4_0.png")</f>
        <v/>
      </c>
      <c r="C1108" s="5" t="s">
        <v>69</v>
      </c>
      <c r="D1108" s="5" t="s">
        <v>135</v>
      </c>
      <c r="E1108" s="5" t="s">
        <v>34</v>
      </c>
      <c r="F1108" s="5" t="s">
        <v>34</v>
      </c>
      <c r="G1108" s="5" t="s">
        <v>35</v>
      </c>
      <c r="H1108" s="5" t="s">
        <v>35</v>
      </c>
      <c r="I1108" s="5" t="s">
        <v>36</v>
      </c>
      <c r="J1108" s="6">
        <v>3.0</v>
      </c>
      <c r="K1108" s="6" t="s">
        <v>37</v>
      </c>
      <c r="L1108" s="6">
        <v>2250.0</v>
      </c>
      <c r="M1108" s="5" t="s">
        <v>69</v>
      </c>
      <c r="N1108" s="5" t="s">
        <v>69</v>
      </c>
      <c r="O1108" s="6" t="s">
        <v>40</v>
      </c>
      <c r="P1108" s="5" t="s">
        <v>41</v>
      </c>
      <c r="Q1108" s="5"/>
      <c r="R1108" s="6" t="s">
        <v>42</v>
      </c>
      <c r="S1108" s="5" t="s">
        <v>401</v>
      </c>
      <c r="T1108" s="5" t="s">
        <v>61</v>
      </c>
      <c r="U1108" s="5" t="s">
        <v>349</v>
      </c>
      <c r="V1108" s="5" t="s">
        <v>44</v>
      </c>
      <c r="W1108" s="5" t="s">
        <v>35</v>
      </c>
      <c r="X1108" s="5" t="s">
        <v>260</v>
      </c>
      <c r="Y1108" s="5" t="s">
        <v>46</v>
      </c>
      <c r="Z1108" s="5" t="s">
        <v>502</v>
      </c>
      <c r="AA1108" s="5" t="s">
        <v>48</v>
      </c>
      <c r="AB1108" s="5" t="s">
        <v>5499</v>
      </c>
      <c r="AC1108" s="6" t="s">
        <v>75</v>
      </c>
      <c r="AD1108" s="6">
        <v>7253.0</v>
      </c>
    </row>
    <row r="1109" ht="56.25" customHeight="1">
      <c r="A1109" s="5" t="s">
        <v>5479</v>
      </c>
      <c r="B1109" s="6" t="str">
        <f>IMAGE("https://storage.googleapis.com/acdb/miscellaneous/FtrStarClock_Remake_5_0.png")</f>
        <v/>
      </c>
      <c r="C1109" s="5" t="s">
        <v>142</v>
      </c>
      <c r="D1109" s="5" t="s">
        <v>135</v>
      </c>
      <c r="E1109" s="5" t="s">
        <v>34</v>
      </c>
      <c r="F1109" s="5" t="s">
        <v>34</v>
      </c>
      <c r="G1109" s="5" t="s">
        <v>35</v>
      </c>
      <c r="H1109" s="5" t="s">
        <v>35</v>
      </c>
      <c r="I1109" s="5" t="s">
        <v>36</v>
      </c>
      <c r="J1109" s="6">
        <v>3.0</v>
      </c>
      <c r="K1109" s="6" t="s">
        <v>37</v>
      </c>
      <c r="L1109" s="6">
        <v>2250.0</v>
      </c>
      <c r="M1109" s="5" t="s">
        <v>142</v>
      </c>
      <c r="N1109" s="5" t="s">
        <v>142</v>
      </c>
      <c r="O1109" s="6" t="s">
        <v>40</v>
      </c>
      <c r="P1109" s="5" t="s">
        <v>41</v>
      </c>
      <c r="Q1109" s="5"/>
      <c r="R1109" s="6" t="s">
        <v>42</v>
      </c>
      <c r="S1109" s="5" t="s">
        <v>401</v>
      </c>
      <c r="T1109" s="5" t="s">
        <v>61</v>
      </c>
      <c r="U1109" s="5" t="s">
        <v>349</v>
      </c>
      <c r="V1109" s="5" t="s">
        <v>44</v>
      </c>
      <c r="W1109" s="5" t="s">
        <v>35</v>
      </c>
      <c r="X1109" s="5" t="s">
        <v>260</v>
      </c>
      <c r="Y1109" s="5" t="s">
        <v>46</v>
      </c>
      <c r="Z1109" s="5" t="s">
        <v>502</v>
      </c>
      <c r="AA1109" s="5" t="s">
        <v>48</v>
      </c>
      <c r="AB1109" s="5" t="s">
        <v>5503</v>
      </c>
      <c r="AC1109" s="6" t="s">
        <v>79</v>
      </c>
      <c r="AD1109" s="6">
        <v>7253.0</v>
      </c>
    </row>
    <row r="1110" ht="56.25" customHeight="1">
      <c r="A1110" s="5" t="s">
        <v>5479</v>
      </c>
      <c r="B1110" s="6" t="str">
        <f>IMAGE("https://storage.googleapis.com/acdb/miscellaneous/FtrStarClock_Remake_6_0.png")</f>
        <v/>
      </c>
      <c r="C1110" s="5" t="s">
        <v>57</v>
      </c>
      <c r="D1110" s="5" t="s">
        <v>135</v>
      </c>
      <c r="E1110" s="5" t="s">
        <v>34</v>
      </c>
      <c r="F1110" s="5" t="s">
        <v>34</v>
      </c>
      <c r="G1110" s="5" t="s">
        <v>35</v>
      </c>
      <c r="H1110" s="5" t="s">
        <v>35</v>
      </c>
      <c r="I1110" s="5" t="s">
        <v>36</v>
      </c>
      <c r="J1110" s="6">
        <v>3.0</v>
      </c>
      <c r="K1110" s="6" t="s">
        <v>37</v>
      </c>
      <c r="L1110" s="6">
        <v>2250.0</v>
      </c>
      <c r="M1110" s="5" t="s">
        <v>57</v>
      </c>
      <c r="N1110" s="5" t="s">
        <v>57</v>
      </c>
      <c r="O1110" s="6" t="s">
        <v>40</v>
      </c>
      <c r="P1110" s="5" t="s">
        <v>41</v>
      </c>
      <c r="Q1110" s="5"/>
      <c r="R1110" s="6" t="s">
        <v>42</v>
      </c>
      <c r="S1110" s="5" t="s">
        <v>401</v>
      </c>
      <c r="T1110" s="5" t="s">
        <v>61</v>
      </c>
      <c r="U1110" s="5" t="s">
        <v>349</v>
      </c>
      <c r="V1110" s="5" t="s">
        <v>44</v>
      </c>
      <c r="W1110" s="5" t="s">
        <v>35</v>
      </c>
      <c r="X1110" s="5" t="s">
        <v>260</v>
      </c>
      <c r="Y1110" s="5" t="s">
        <v>46</v>
      </c>
      <c r="Z1110" s="5" t="s">
        <v>502</v>
      </c>
      <c r="AA1110" s="5" t="s">
        <v>48</v>
      </c>
      <c r="AB1110" s="5" t="s">
        <v>5505</v>
      </c>
      <c r="AC1110" s="6" t="s">
        <v>86</v>
      </c>
      <c r="AD1110" s="6">
        <v>7253.0</v>
      </c>
    </row>
    <row r="1111" ht="56.25" customHeight="1">
      <c r="A1111" s="5" t="s">
        <v>5506</v>
      </c>
      <c r="B1111" s="16" t="str">
        <f>IMAGE("https://storage.googleapis.com/acdb/miscellaneous/FtrBasketsteamer.png")</f>
        <v/>
      </c>
      <c r="C1111" s="5" t="s">
        <v>34</v>
      </c>
      <c r="D1111" s="5" t="s">
        <v>34</v>
      </c>
      <c r="E1111" s="5" t="s">
        <v>34</v>
      </c>
      <c r="F1111" s="5" t="s">
        <v>34</v>
      </c>
      <c r="G1111" s="5" t="s">
        <v>35</v>
      </c>
      <c r="H1111" s="5" t="s">
        <v>36</v>
      </c>
      <c r="I1111" s="5" t="s">
        <v>36</v>
      </c>
      <c r="J1111" s="6" t="s">
        <v>34</v>
      </c>
      <c r="K1111" s="6" t="s">
        <v>37</v>
      </c>
      <c r="L1111" s="6">
        <v>2400.0</v>
      </c>
      <c r="M1111" s="5" t="s">
        <v>38</v>
      </c>
      <c r="N1111" s="5" t="s">
        <v>38</v>
      </c>
      <c r="O1111" s="6" t="s">
        <v>40</v>
      </c>
      <c r="P1111" s="5" t="s">
        <v>41</v>
      </c>
      <c r="Q1111" s="5" t="s">
        <v>265</v>
      </c>
      <c r="R1111" s="6" t="s">
        <v>42</v>
      </c>
      <c r="S1111" s="5" t="s">
        <v>266</v>
      </c>
      <c r="T1111" s="5" t="s">
        <v>62</v>
      </c>
      <c r="U1111" s="5" t="s">
        <v>44</v>
      </c>
      <c r="V1111" s="5" t="s">
        <v>44</v>
      </c>
      <c r="W1111" s="5" t="s">
        <v>36</v>
      </c>
      <c r="X1111" s="5" t="s">
        <v>160</v>
      </c>
      <c r="Y1111" s="5" t="s">
        <v>46</v>
      </c>
      <c r="Z1111" s="5" t="s">
        <v>47</v>
      </c>
      <c r="AA1111" s="5" t="s">
        <v>48</v>
      </c>
      <c r="AB1111" s="5" t="s">
        <v>5510</v>
      </c>
      <c r="AC1111" s="6" t="s">
        <v>34</v>
      </c>
      <c r="AD1111" s="6">
        <v>3344.0</v>
      </c>
    </row>
    <row r="1112" ht="56.25" customHeight="1">
      <c r="A1112" s="5" t="s">
        <v>5511</v>
      </c>
      <c r="B1112" s="16" t="str">
        <f>IMAGE("https://storage.googleapis.com/acdb/miscellaneous/FtrInsectKamemushiToy.png")</f>
        <v/>
      </c>
      <c r="C1112" s="5" t="s">
        <v>34</v>
      </c>
      <c r="D1112" s="5" t="s">
        <v>34</v>
      </c>
      <c r="E1112" s="5" t="s">
        <v>34</v>
      </c>
      <c r="F1112" s="5" t="s">
        <v>34</v>
      </c>
      <c r="G1112" s="5" t="s">
        <v>36</v>
      </c>
      <c r="H1112" s="5" t="s">
        <v>36</v>
      </c>
      <c r="I1112" s="5" t="s">
        <v>36</v>
      </c>
      <c r="J1112" s="6" t="s">
        <v>34</v>
      </c>
      <c r="K1112" s="6" t="s">
        <v>37</v>
      </c>
      <c r="L1112" s="6">
        <v>360.0</v>
      </c>
      <c r="M1112" s="5" t="s">
        <v>96</v>
      </c>
      <c r="N1112" s="5" t="s">
        <v>96</v>
      </c>
      <c r="O1112" s="6" t="s">
        <v>40</v>
      </c>
      <c r="P1112" s="5" t="s">
        <v>107</v>
      </c>
      <c r="Q1112" s="5" t="s">
        <v>108</v>
      </c>
      <c r="R1112" s="6" t="s">
        <v>42</v>
      </c>
      <c r="S1112" s="5" t="s">
        <v>44</v>
      </c>
      <c r="T1112" s="5" t="s">
        <v>44</v>
      </c>
      <c r="U1112" s="5" t="s">
        <v>44</v>
      </c>
      <c r="V1112" s="5" t="s">
        <v>44</v>
      </c>
      <c r="W1112" s="5" t="s">
        <v>36</v>
      </c>
      <c r="X1112" s="5" t="s">
        <v>109</v>
      </c>
      <c r="Y1112" s="5" t="s">
        <v>46</v>
      </c>
      <c r="Z1112" s="5" t="s">
        <v>47</v>
      </c>
      <c r="AA1112" s="5" t="s">
        <v>48</v>
      </c>
      <c r="AB1112" s="5" t="s">
        <v>5517</v>
      </c>
      <c r="AC1112" s="6" t="s">
        <v>34</v>
      </c>
      <c r="AD1112" s="6">
        <v>7069.0</v>
      </c>
    </row>
    <row r="1113" ht="56.25" customHeight="1">
      <c r="A1113" s="5" t="s">
        <v>5518</v>
      </c>
      <c r="B1113" s="6" t="str">
        <f>IMAGE("https://storage.googleapis.com/acdb/miscellaneous/FtrEspressomaker_Remake_0_0.png")</f>
        <v/>
      </c>
      <c r="C1113" s="5" t="s">
        <v>146</v>
      </c>
      <c r="D1113" s="5" t="s">
        <v>34</v>
      </c>
      <c r="E1113" s="5" t="s">
        <v>34</v>
      </c>
      <c r="F1113" s="5" t="s">
        <v>34</v>
      </c>
      <c r="G1113" s="5" t="s">
        <v>36</v>
      </c>
      <c r="H1113" s="5" t="s">
        <v>36</v>
      </c>
      <c r="I1113" s="5" t="s">
        <v>36</v>
      </c>
      <c r="J1113" s="6" t="s">
        <v>34</v>
      </c>
      <c r="K1113" s="6">
        <v>1700.0</v>
      </c>
      <c r="L1113" s="6">
        <v>425.0</v>
      </c>
      <c r="M1113" s="5" t="s">
        <v>95</v>
      </c>
      <c r="N1113" s="5" t="s">
        <v>54</v>
      </c>
      <c r="O1113" s="6" t="s">
        <v>40</v>
      </c>
      <c r="P1113" s="5" t="s">
        <v>59</v>
      </c>
      <c r="Q1113" s="5" t="s">
        <v>60</v>
      </c>
      <c r="R1113" s="6" t="s">
        <v>42</v>
      </c>
      <c r="S1113" s="5" t="s">
        <v>159</v>
      </c>
      <c r="T1113" s="5" t="s">
        <v>62</v>
      </c>
      <c r="U1113" s="5" t="s">
        <v>44</v>
      </c>
      <c r="V1113" s="5" t="s">
        <v>44</v>
      </c>
      <c r="W1113" s="5" t="s">
        <v>36</v>
      </c>
      <c r="X1113" s="5" t="s">
        <v>160</v>
      </c>
      <c r="Y1113" s="5" t="s">
        <v>46</v>
      </c>
      <c r="Z1113" s="5" t="s">
        <v>47</v>
      </c>
      <c r="AA1113" s="5" t="s">
        <v>64</v>
      </c>
      <c r="AB1113" s="5" t="s">
        <v>5523</v>
      </c>
      <c r="AC1113" s="6" t="s">
        <v>50</v>
      </c>
      <c r="AD1113" s="6">
        <v>8297.0</v>
      </c>
    </row>
    <row r="1114" ht="56.25" customHeight="1">
      <c r="A1114" s="5" t="s">
        <v>5518</v>
      </c>
      <c r="B1114" s="6" t="str">
        <f>IMAGE("https://storage.googleapis.com/acdb/miscellaneous/FtrEspressomaker_Remake_1_0.png")</f>
        <v/>
      </c>
      <c r="C1114" s="5" t="s">
        <v>54</v>
      </c>
      <c r="D1114" s="5" t="s">
        <v>34</v>
      </c>
      <c r="E1114" s="5" t="s">
        <v>34</v>
      </c>
      <c r="F1114" s="5" t="s">
        <v>34</v>
      </c>
      <c r="G1114" s="5" t="s">
        <v>36</v>
      </c>
      <c r="H1114" s="5" t="s">
        <v>36</v>
      </c>
      <c r="I1114" s="5" t="s">
        <v>36</v>
      </c>
      <c r="J1114" s="6" t="s">
        <v>34</v>
      </c>
      <c r="K1114" s="6">
        <v>1700.0</v>
      </c>
      <c r="L1114" s="6">
        <v>425.0</v>
      </c>
      <c r="M1114" s="5" t="s">
        <v>54</v>
      </c>
      <c r="N1114" s="5" t="s">
        <v>95</v>
      </c>
      <c r="O1114" s="6" t="s">
        <v>40</v>
      </c>
      <c r="P1114" s="5" t="s">
        <v>59</v>
      </c>
      <c r="Q1114" s="5" t="s">
        <v>60</v>
      </c>
      <c r="R1114" s="6" t="s">
        <v>42</v>
      </c>
      <c r="S1114" s="5" t="s">
        <v>159</v>
      </c>
      <c r="T1114" s="5" t="s">
        <v>62</v>
      </c>
      <c r="U1114" s="5" t="s">
        <v>44</v>
      </c>
      <c r="V1114" s="5" t="s">
        <v>44</v>
      </c>
      <c r="W1114" s="5" t="s">
        <v>36</v>
      </c>
      <c r="X1114" s="5" t="s">
        <v>160</v>
      </c>
      <c r="Y1114" s="5" t="s">
        <v>46</v>
      </c>
      <c r="Z1114" s="5" t="s">
        <v>47</v>
      </c>
      <c r="AA1114" s="5" t="s">
        <v>64</v>
      </c>
      <c r="AB1114" s="5" t="s">
        <v>5527</v>
      </c>
      <c r="AC1114" s="6" t="s">
        <v>56</v>
      </c>
      <c r="AD1114" s="6">
        <v>8297.0</v>
      </c>
    </row>
    <row r="1115" ht="56.25" customHeight="1">
      <c r="A1115" s="5" t="s">
        <v>5518</v>
      </c>
      <c r="B1115" s="6" t="str">
        <f>IMAGE("https://storage.googleapis.com/acdb/miscellaneous/FtrEspressomaker_Remake_2_0.png")</f>
        <v/>
      </c>
      <c r="C1115" s="5" t="s">
        <v>52</v>
      </c>
      <c r="D1115" s="5" t="s">
        <v>34</v>
      </c>
      <c r="E1115" s="5" t="s">
        <v>34</v>
      </c>
      <c r="F1115" s="5" t="s">
        <v>34</v>
      </c>
      <c r="G1115" s="5" t="s">
        <v>36</v>
      </c>
      <c r="H1115" s="5" t="s">
        <v>36</v>
      </c>
      <c r="I1115" s="5" t="s">
        <v>36</v>
      </c>
      <c r="J1115" s="6" t="s">
        <v>34</v>
      </c>
      <c r="K1115" s="6">
        <v>1700.0</v>
      </c>
      <c r="L1115" s="6">
        <v>425.0</v>
      </c>
      <c r="M1115" s="5" t="s">
        <v>52</v>
      </c>
      <c r="N1115" s="5" t="s">
        <v>54</v>
      </c>
      <c r="O1115" s="6" t="s">
        <v>40</v>
      </c>
      <c r="P1115" s="5" t="s">
        <v>59</v>
      </c>
      <c r="Q1115" s="5" t="s">
        <v>60</v>
      </c>
      <c r="R1115" s="6" t="s">
        <v>42</v>
      </c>
      <c r="S1115" s="5" t="s">
        <v>159</v>
      </c>
      <c r="T1115" s="5" t="s">
        <v>62</v>
      </c>
      <c r="U1115" s="5" t="s">
        <v>44</v>
      </c>
      <c r="V1115" s="5" t="s">
        <v>44</v>
      </c>
      <c r="W1115" s="5" t="s">
        <v>36</v>
      </c>
      <c r="X1115" s="5" t="s">
        <v>160</v>
      </c>
      <c r="Y1115" s="5" t="s">
        <v>46</v>
      </c>
      <c r="Z1115" s="5" t="s">
        <v>47</v>
      </c>
      <c r="AA1115" s="5" t="s">
        <v>64</v>
      </c>
      <c r="AB1115" s="5" t="s">
        <v>5532</v>
      </c>
      <c r="AC1115" s="6" t="s">
        <v>67</v>
      </c>
      <c r="AD1115" s="6">
        <v>8297.0</v>
      </c>
    </row>
    <row r="1116" ht="56.25" customHeight="1">
      <c r="A1116" s="5" t="s">
        <v>5533</v>
      </c>
      <c r="B1116" s="16" t="str">
        <f>IMAGE("https://storage.googleapis.com/acdb/miscellaneous/FtrFishItouToy.png")</f>
        <v/>
      </c>
      <c r="C1116" s="5" t="s">
        <v>34</v>
      </c>
      <c r="D1116" s="5" t="s">
        <v>34</v>
      </c>
      <c r="E1116" s="5" t="s">
        <v>34</v>
      </c>
      <c r="F1116" s="5" t="s">
        <v>34</v>
      </c>
      <c r="G1116" s="5" t="s">
        <v>36</v>
      </c>
      <c r="H1116" s="5" t="s">
        <v>36</v>
      </c>
      <c r="I1116" s="5" t="s">
        <v>36</v>
      </c>
      <c r="J1116" s="6" t="s">
        <v>34</v>
      </c>
      <c r="K1116" s="6" t="s">
        <v>37</v>
      </c>
      <c r="L1116" s="6">
        <v>45000.0</v>
      </c>
      <c r="M1116" s="5" t="s">
        <v>39</v>
      </c>
      <c r="N1116" s="5" t="s">
        <v>54</v>
      </c>
      <c r="O1116" s="6" t="s">
        <v>40</v>
      </c>
      <c r="P1116" s="5" t="s">
        <v>213</v>
      </c>
      <c r="Q1116" s="5" t="s">
        <v>215</v>
      </c>
      <c r="R1116" s="6" t="s">
        <v>42</v>
      </c>
      <c r="S1116" s="5" t="s">
        <v>44</v>
      </c>
      <c r="T1116" s="5" t="s">
        <v>44</v>
      </c>
      <c r="U1116" s="5" t="s">
        <v>44</v>
      </c>
      <c r="V1116" s="5" t="s">
        <v>44</v>
      </c>
      <c r="W1116" s="5" t="s">
        <v>36</v>
      </c>
      <c r="X1116" s="5" t="s">
        <v>219</v>
      </c>
      <c r="Y1116" s="5" t="s">
        <v>46</v>
      </c>
      <c r="Z1116" s="5" t="s">
        <v>47</v>
      </c>
      <c r="AA1116" s="5" t="s">
        <v>48</v>
      </c>
      <c r="AB1116" s="5" t="s">
        <v>5537</v>
      </c>
      <c r="AC1116" s="6" t="s">
        <v>34</v>
      </c>
      <c r="AD1116" s="6">
        <v>6960.0</v>
      </c>
    </row>
    <row r="1117" ht="56.25" customHeight="1">
      <c r="A1117" s="5" t="s">
        <v>5539</v>
      </c>
      <c r="B1117" s="6" t="str">
        <f>IMAGE("https://storage.googleapis.com/acdb/miscellaneous/FtrSewingbox_Remake_0_0.png")</f>
        <v/>
      </c>
      <c r="C1117" s="5" t="s">
        <v>32</v>
      </c>
      <c r="D1117" s="5" t="s">
        <v>34</v>
      </c>
      <c r="E1117" s="5" t="s">
        <v>34</v>
      </c>
      <c r="F1117" s="5" t="s">
        <v>34</v>
      </c>
      <c r="G1117" s="5" t="s">
        <v>36</v>
      </c>
      <c r="H1117" s="5" t="s">
        <v>36</v>
      </c>
      <c r="I1117" s="5" t="s">
        <v>36</v>
      </c>
      <c r="J1117" s="6" t="s">
        <v>34</v>
      </c>
      <c r="K1117" s="6">
        <v>1000.0</v>
      </c>
      <c r="L1117" s="6">
        <v>250.0</v>
      </c>
      <c r="M1117" s="5" t="s">
        <v>38</v>
      </c>
      <c r="N1117" s="5" t="s">
        <v>142</v>
      </c>
      <c r="O1117" s="6" t="s">
        <v>40</v>
      </c>
      <c r="P1117" s="5" t="s">
        <v>59</v>
      </c>
      <c r="Q1117" s="5" t="s">
        <v>60</v>
      </c>
      <c r="R1117" s="6" t="s">
        <v>42</v>
      </c>
      <c r="S1117" s="5" t="s">
        <v>90</v>
      </c>
      <c r="T1117" s="5" t="s">
        <v>44</v>
      </c>
      <c r="U1117" s="5" t="s">
        <v>44</v>
      </c>
      <c r="V1117" s="5" t="s">
        <v>44</v>
      </c>
      <c r="W1117" s="5" t="s">
        <v>35</v>
      </c>
      <c r="X1117" s="5" t="s">
        <v>5130</v>
      </c>
      <c r="Y1117" s="5" t="s">
        <v>46</v>
      </c>
      <c r="Z1117" s="5" t="s">
        <v>47</v>
      </c>
      <c r="AA1117" s="5" t="s">
        <v>64</v>
      </c>
      <c r="AB1117" s="5" t="s">
        <v>5543</v>
      </c>
      <c r="AC1117" s="6" t="s">
        <v>50</v>
      </c>
      <c r="AD1117" s="6">
        <v>3442.0</v>
      </c>
    </row>
    <row r="1118" ht="56.25" customHeight="1">
      <c r="A1118" s="5" t="s">
        <v>5539</v>
      </c>
      <c r="B1118" s="6" t="str">
        <f>IMAGE("https://storage.googleapis.com/acdb/miscellaneous/FtrSewingbox_Remake_1_0.png")</f>
        <v/>
      </c>
      <c r="C1118" s="5" t="s">
        <v>39</v>
      </c>
      <c r="D1118" s="5" t="s">
        <v>34</v>
      </c>
      <c r="E1118" s="5" t="s">
        <v>34</v>
      </c>
      <c r="F1118" s="5" t="s">
        <v>34</v>
      </c>
      <c r="G1118" s="5" t="s">
        <v>36</v>
      </c>
      <c r="H1118" s="5" t="s">
        <v>36</v>
      </c>
      <c r="I1118" s="5" t="s">
        <v>36</v>
      </c>
      <c r="J1118" s="6" t="s">
        <v>34</v>
      </c>
      <c r="K1118" s="6">
        <v>1000.0</v>
      </c>
      <c r="L1118" s="6">
        <v>250.0</v>
      </c>
      <c r="M1118" s="5" t="s">
        <v>142</v>
      </c>
      <c r="N1118" s="5" t="s">
        <v>39</v>
      </c>
      <c r="O1118" s="6" t="s">
        <v>40</v>
      </c>
      <c r="P1118" s="5" t="s">
        <v>59</v>
      </c>
      <c r="Q1118" s="5" t="s">
        <v>60</v>
      </c>
      <c r="R1118" s="6" t="s">
        <v>42</v>
      </c>
      <c r="S1118" s="5" t="s">
        <v>90</v>
      </c>
      <c r="T1118" s="5" t="s">
        <v>44</v>
      </c>
      <c r="U1118" s="5" t="s">
        <v>44</v>
      </c>
      <c r="V1118" s="5" t="s">
        <v>44</v>
      </c>
      <c r="W1118" s="5" t="s">
        <v>35</v>
      </c>
      <c r="X1118" s="5" t="s">
        <v>5130</v>
      </c>
      <c r="Y1118" s="5" t="s">
        <v>46</v>
      </c>
      <c r="Z1118" s="5" t="s">
        <v>47</v>
      </c>
      <c r="AA1118" s="5" t="s">
        <v>64</v>
      </c>
      <c r="AB1118" s="5" t="s">
        <v>5547</v>
      </c>
      <c r="AC1118" s="6" t="s">
        <v>56</v>
      </c>
      <c r="AD1118" s="6">
        <v>3442.0</v>
      </c>
    </row>
    <row r="1119" ht="56.25" customHeight="1">
      <c r="A1119" s="5" t="s">
        <v>5539</v>
      </c>
      <c r="B1119" s="6" t="str">
        <f>IMAGE("https://storage.googleapis.com/acdb/miscellaneous/FtrSewingbox_Remake_2_0.png")</f>
        <v/>
      </c>
      <c r="C1119" s="5" t="s">
        <v>387</v>
      </c>
      <c r="D1119" s="5" t="s">
        <v>34</v>
      </c>
      <c r="E1119" s="5" t="s">
        <v>34</v>
      </c>
      <c r="F1119" s="5" t="s">
        <v>34</v>
      </c>
      <c r="G1119" s="5" t="s">
        <v>36</v>
      </c>
      <c r="H1119" s="5" t="s">
        <v>36</v>
      </c>
      <c r="I1119" s="5" t="s">
        <v>36</v>
      </c>
      <c r="J1119" s="6" t="s">
        <v>34</v>
      </c>
      <c r="K1119" s="6">
        <v>1000.0</v>
      </c>
      <c r="L1119" s="6">
        <v>250.0</v>
      </c>
      <c r="M1119" s="5" t="s">
        <v>39</v>
      </c>
      <c r="N1119" s="5" t="s">
        <v>142</v>
      </c>
      <c r="O1119" s="6" t="s">
        <v>40</v>
      </c>
      <c r="P1119" s="5" t="s">
        <v>59</v>
      </c>
      <c r="Q1119" s="5" t="s">
        <v>60</v>
      </c>
      <c r="R1119" s="6" t="s">
        <v>42</v>
      </c>
      <c r="S1119" s="5" t="s">
        <v>90</v>
      </c>
      <c r="T1119" s="5" t="s">
        <v>44</v>
      </c>
      <c r="U1119" s="5" t="s">
        <v>44</v>
      </c>
      <c r="V1119" s="5" t="s">
        <v>44</v>
      </c>
      <c r="W1119" s="5" t="s">
        <v>35</v>
      </c>
      <c r="X1119" s="5" t="s">
        <v>5130</v>
      </c>
      <c r="Y1119" s="5" t="s">
        <v>46</v>
      </c>
      <c r="Z1119" s="5" t="s">
        <v>47</v>
      </c>
      <c r="AA1119" s="5" t="s">
        <v>64</v>
      </c>
      <c r="AB1119" s="5" t="s">
        <v>5551</v>
      </c>
      <c r="AC1119" s="6" t="s">
        <v>67</v>
      </c>
      <c r="AD1119" s="6">
        <v>3442.0</v>
      </c>
    </row>
    <row r="1120" ht="56.25" customHeight="1">
      <c r="A1120" s="5" t="s">
        <v>5539</v>
      </c>
      <c r="B1120" s="6" t="str">
        <f>IMAGE("https://storage.googleapis.com/acdb/miscellaneous/FtrSewingbox_Remake_3_0.png")</f>
        <v/>
      </c>
      <c r="C1120" s="5" t="s">
        <v>57</v>
      </c>
      <c r="D1120" s="5" t="s">
        <v>34</v>
      </c>
      <c r="E1120" s="5" t="s">
        <v>34</v>
      </c>
      <c r="F1120" s="5" t="s">
        <v>34</v>
      </c>
      <c r="G1120" s="5" t="s">
        <v>36</v>
      </c>
      <c r="H1120" s="5" t="s">
        <v>36</v>
      </c>
      <c r="I1120" s="5" t="s">
        <v>36</v>
      </c>
      <c r="J1120" s="6" t="s">
        <v>34</v>
      </c>
      <c r="K1120" s="6">
        <v>1000.0</v>
      </c>
      <c r="L1120" s="6">
        <v>250.0</v>
      </c>
      <c r="M1120" s="5" t="s">
        <v>57</v>
      </c>
      <c r="N1120" s="5" t="s">
        <v>52</v>
      </c>
      <c r="O1120" s="6" t="s">
        <v>40</v>
      </c>
      <c r="P1120" s="5" t="s">
        <v>59</v>
      </c>
      <c r="Q1120" s="5" t="s">
        <v>60</v>
      </c>
      <c r="R1120" s="6" t="s">
        <v>42</v>
      </c>
      <c r="S1120" s="5" t="s">
        <v>90</v>
      </c>
      <c r="T1120" s="5" t="s">
        <v>44</v>
      </c>
      <c r="U1120" s="5" t="s">
        <v>44</v>
      </c>
      <c r="V1120" s="5" t="s">
        <v>44</v>
      </c>
      <c r="W1120" s="5" t="s">
        <v>35</v>
      </c>
      <c r="X1120" s="5" t="s">
        <v>5130</v>
      </c>
      <c r="Y1120" s="5" t="s">
        <v>46</v>
      </c>
      <c r="Z1120" s="5" t="s">
        <v>47</v>
      </c>
      <c r="AA1120" s="5" t="s">
        <v>64</v>
      </c>
      <c r="AB1120" s="5" t="s">
        <v>5555</v>
      </c>
      <c r="AC1120" s="6" t="s">
        <v>71</v>
      </c>
      <c r="AD1120" s="6">
        <v>3442.0</v>
      </c>
    </row>
    <row r="1121" ht="56.25" customHeight="1">
      <c r="A1121" s="5" t="s">
        <v>5539</v>
      </c>
      <c r="B1121" s="6" t="str">
        <f>IMAGE("https://storage.googleapis.com/acdb/miscellaneous/FtrSewingbox_Remake_4_0.png")</f>
        <v/>
      </c>
      <c r="C1121" s="5" t="s">
        <v>1187</v>
      </c>
      <c r="D1121" s="5" t="s">
        <v>34</v>
      </c>
      <c r="E1121" s="5" t="s">
        <v>34</v>
      </c>
      <c r="F1121" s="5" t="s">
        <v>34</v>
      </c>
      <c r="G1121" s="5" t="s">
        <v>36</v>
      </c>
      <c r="H1121" s="5" t="s">
        <v>36</v>
      </c>
      <c r="I1121" s="5" t="s">
        <v>36</v>
      </c>
      <c r="J1121" s="6" t="s">
        <v>34</v>
      </c>
      <c r="K1121" s="6">
        <v>1000.0</v>
      </c>
      <c r="L1121" s="6">
        <v>250.0</v>
      </c>
      <c r="M1121" s="5" t="s">
        <v>68</v>
      </c>
      <c r="N1121" s="5" t="s">
        <v>57</v>
      </c>
      <c r="O1121" s="6" t="s">
        <v>40</v>
      </c>
      <c r="P1121" s="5" t="s">
        <v>59</v>
      </c>
      <c r="Q1121" s="5" t="s">
        <v>60</v>
      </c>
      <c r="R1121" s="6" t="s">
        <v>42</v>
      </c>
      <c r="S1121" s="5" t="s">
        <v>90</v>
      </c>
      <c r="T1121" s="5" t="s">
        <v>44</v>
      </c>
      <c r="U1121" s="5" t="s">
        <v>44</v>
      </c>
      <c r="V1121" s="5" t="s">
        <v>44</v>
      </c>
      <c r="W1121" s="5" t="s">
        <v>35</v>
      </c>
      <c r="X1121" s="5" t="s">
        <v>5130</v>
      </c>
      <c r="Y1121" s="5" t="s">
        <v>46</v>
      </c>
      <c r="Z1121" s="5" t="s">
        <v>47</v>
      </c>
      <c r="AA1121" s="5" t="s">
        <v>64</v>
      </c>
      <c r="AB1121" s="5" t="s">
        <v>5559</v>
      </c>
      <c r="AC1121" s="6" t="s">
        <v>75</v>
      </c>
      <c r="AD1121" s="6">
        <v>3442.0</v>
      </c>
    </row>
    <row r="1122" ht="56.25" customHeight="1">
      <c r="A1122" s="5" t="s">
        <v>5539</v>
      </c>
      <c r="B1122" s="6" t="str">
        <f>IMAGE("https://storage.googleapis.com/acdb/miscellaneous/FtrSewingbox_Remake_5_0.png")</f>
        <v/>
      </c>
      <c r="C1122" s="5" t="s">
        <v>54</v>
      </c>
      <c r="D1122" s="5" t="s">
        <v>34</v>
      </c>
      <c r="E1122" s="5" t="s">
        <v>34</v>
      </c>
      <c r="F1122" s="5" t="s">
        <v>34</v>
      </c>
      <c r="G1122" s="5" t="s">
        <v>36</v>
      </c>
      <c r="H1122" s="5" t="s">
        <v>36</v>
      </c>
      <c r="I1122" s="5" t="s">
        <v>36</v>
      </c>
      <c r="J1122" s="6" t="s">
        <v>34</v>
      </c>
      <c r="K1122" s="6">
        <v>1000.0</v>
      </c>
      <c r="L1122" s="6">
        <v>250.0</v>
      </c>
      <c r="M1122" s="5" t="s">
        <v>54</v>
      </c>
      <c r="N1122" s="5" t="s">
        <v>54</v>
      </c>
      <c r="O1122" s="6" t="s">
        <v>40</v>
      </c>
      <c r="P1122" s="5" t="s">
        <v>59</v>
      </c>
      <c r="Q1122" s="5" t="s">
        <v>60</v>
      </c>
      <c r="R1122" s="6" t="s">
        <v>42</v>
      </c>
      <c r="S1122" s="5" t="s">
        <v>90</v>
      </c>
      <c r="T1122" s="5" t="s">
        <v>44</v>
      </c>
      <c r="U1122" s="5" t="s">
        <v>44</v>
      </c>
      <c r="V1122" s="5" t="s">
        <v>44</v>
      </c>
      <c r="W1122" s="5" t="s">
        <v>35</v>
      </c>
      <c r="X1122" s="5" t="s">
        <v>5130</v>
      </c>
      <c r="Y1122" s="5" t="s">
        <v>46</v>
      </c>
      <c r="Z1122" s="5" t="s">
        <v>47</v>
      </c>
      <c r="AA1122" s="5" t="s">
        <v>64</v>
      </c>
      <c r="AB1122" s="5" t="s">
        <v>5563</v>
      </c>
      <c r="AC1122" s="6" t="s">
        <v>79</v>
      </c>
      <c r="AD1122" s="6">
        <v>3442.0</v>
      </c>
    </row>
    <row r="1123" ht="56.25" customHeight="1">
      <c r="A1123" s="5" t="s">
        <v>5564</v>
      </c>
      <c r="B1123" s="16" t="str">
        <f>IMAGE("https://storage.googleapis.com/acdb/miscellaneous/FtrFishTyouzameToy.png")</f>
        <v/>
      </c>
      <c r="C1123" s="5" t="s">
        <v>34</v>
      </c>
      <c r="D1123" s="5" t="s">
        <v>34</v>
      </c>
      <c r="E1123" s="5" t="s">
        <v>34</v>
      </c>
      <c r="F1123" s="5" t="s">
        <v>34</v>
      </c>
      <c r="G1123" s="5" t="s">
        <v>36</v>
      </c>
      <c r="H1123" s="5" t="s">
        <v>36</v>
      </c>
      <c r="I1123" s="5" t="s">
        <v>36</v>
      </c>
      <c r="J1123" s="6" t="s">
        <v>34</v>
      </c>
      <c r="K1123" s="6" t="s">
        <v>37</v>
      </c>
      <c r="L1123" s="6">
        <v>30000.0</v>
      </c>
      <c r="M1123" s="5" t="s">
        <v>54</v>
      </c>
      <c r="N1123" s="5" t="s">
        <v>54</v>
      </c>
      <c r="O1123" s="6" t="s">
        <v>40</v>
      </c>
      <c r="P1123" s="5" t="s">
        <v>213</v>
      </c>
      <c r="Q1123" s="5" t="s">
        <v>215</v>
      </c>
      <c r="R1123" s="6" t="s">
        <v>42</v>
      </c>
      <c r="S1123" s="5" t="s">
        <v>44</v>
      </c>
      <c r="T1123" s="5" t="s">
        <v>44</v>
      </c>
      <c r="U1123" s="5" t="s">
        <v>44</v>
      </c>
      <c r="V1123" s="5" t="s">
        <v>44</v>
      </c>
      <c r="W1123" s="5" t="s">
        <v>36</v>
      </c>
      <c r="X1123" s="5" t="s">
        <v>219</v>
      </c>
      <c r="Y1123" s="5" t="s">
        <v>46</v>
      </c>
      <c r="Z1123" s="5" t="s">
        <v>47</v>
      </c>
      <c r="AA1123" s="5" t="s">
        <v>48</v>
      </c>
      <c r="AB1123" s="5" t="s">
        <v>5567</v>
      </c>
      <c r="AC1123" s="6" t="s">
        <v>34</v>
      </c>
      <c r="AD1123" s="6">
        <v>7023.0</v>
      </c>
    </row>
    <row r="1124" ht="56.25" customHeight="1">
      <c r="A1124" s="5" t="s">
        <v>5568</v>
      </c>
      <c r="B1124" s="16" t="str">
        <f>IMAGE("https://storage.googleapis.com/acdb/miscellaneous/FtrPlantSucculents.png")</f>
        <v/>
      </c>
      <c r="C1124" s="5" t="s">
        <v>34</v>
      </c>
      <c r="D1124" s="5" t="s">
        <v>34</v>
      </c>
      <c r="E1124" s="5" t="s">
        <v>34</v>
      </c>
      <c r="F1124" s="5" t="s">
        <v>34</v>
      </c>
      <c r="G1124" s="5" t="s">
        <v>35</v>
      </c>
      <c r="H1124" s="5" t="s">
        <v>36</v>
      </c>
      <c r="I1124" s="5" t="s">
        <v>36</v>
      </c>
      <c r="J1124" s="6" t="s">
        <v>34</v>
      </c>
      <c r="K1124" s="6" t="s">
        <v>37</v>
      </c>
      <c r="L1124" s="6">
        <v>220.0</v>
      </c>
      <c r="M1124" s="5" t="s">
        <v>58</v>
      </c>
      <c r="N1124" s="5" t="s">
        <v>95</v>
      </c>
      <c r="O1124" s="6" t="s">
        <v>40</v>
      </c>
      <c r="P1124" s="5" t="s">
        <v>41</v>
      </c>
      <c r="Q1124" s="5"/>
      <c r="R1124" s="6" t="s">
        <v>42</v>
      </c>
      <c r="S1124" s="5" t="s">
        <v>90</v>
      </c>
      <c r="T1124" s="5" t="s">
        <v>44</v>
      </c>
      <c r="U1124" s="5" t="s">
        <v>44</v>
      </c>
      <c r="V1124" s="5" t="s">
        <v>44</v>
      </c>
      <c r="W1124" s="5" t="s">
        <v>36</v>
      </c>
      <c r="X1124" s="5" t="s">
        <v>244</v>
      </c>
      <c r="Y1124" s="5" t="s">
        <v>46</v>
      </c>
      <c r="Z1124" s="5" t="s">
        <v>47</v>
      </c>
      <c r="AA1124" s="5" t="s">
        <v>48</v>
      </c>
      <c r="AB1124" s="5" t="s">
        <v>5571</v>
      </c>
      <c r="AC1124" s="6" t="s">
        <v>34</v>
      </c>
      <c r="AD1124" s="6">
        <v>132.0</v>
      </c>
    </row>
    <row r="1125" ht="56.25" customHeight="1">
      <c r="A1125" s="5" t="s">
        <v>5573</v>
      </c>
      <c r="B1125" s="16" t="str">
        <f>IMAGE("https://storage.googleapis.com/acdb/miscellaneous/FtrFishKobanzameToy.png")</f>
        <v/>
      </c>
      <c r="C1125" s="5" t="s">
        <v>34</v>
      </c>
      <c r="D1125" s="5" t="s">
        <v>34</v>
      </c>
      <c r="E1125" s="5" t="s">
        <v>34</v>
      </c>
      <c r="F1125" s="5" t="s">
        <v>34</v>
      </c>
      <c r="G1125" s="5" t="s">
        <v>36</v>
      </c>
      <c r="H1125" s="5" t="s">
        <v>36</v>
      </c>
      <c r="I1125" s="5" t="s">
        <v>36</v>
      </c>
      <c r="J1125" s="6" t="s">
        <v>34</v>
      </c>
      <c r="K1125" s="6" t="s">
        <v>37</v>
      </c>
      <c r="L1125" s="6">
        <v>4500.0</v>
      </c>
      <c r="M1125" s="5" t="s">
        <v>54</v>
      </c>
      <c r="N1125" s="5" t="s">
        <v>54</v>
      </c>
      <c r="O1125" s="6" t="s">
        <v>40</v>
      </c>
      <c r="P1125" s="5" t="s">
        <v>213</v>
      </c>
      <c r="Q1125" s="5" t="s">
        <v>215</v>
      </c>
      <c r="R1125" s="6" t="s">
        <v>42</v>
      </c>
      <c r="S1125" s="5" t="s">
        <v>44</v>
      </c>
      <c r="T1125" s="5" t="s">
        <v>44</v>
      </c>
      <c r="U1125" s="5" t="s">
        <v>44</v>
      </c>
      <c r="V1125" s="5" t="s">
        <v>44</v>
      </c>
      <c r="W1125" s="5" t="s">
        <v>36</v>
      </c>
      <c r="X1125" s="5" t="s">
        <v>219</v>
      </c>
      <c r="Y1125" s="5" t="s">
        <v>46</v>
      </c>
      <c r="Z1125" s="5" t="s">
        <v>47</v>
      </c>
      <c r="AA1125" s="5" t="s">
        <v>48</v>
      </c>
      <c r="AB1125" s="5" t="s">
        <v>5578</v>
      </c>
      <c r="AC1125" s="6" t="s">
        <v>34</v>
      </c>
      <c r="AD1125" s="6">
        <v>6979.0</v>
      </c>
    </row>
    <row r="1126" ht="56.25" customHeight="1">
      <c r="A1126" s="5" t="s">
        <v>5579</v>
      </c>
      <c r="B1126" s="16" t="str">
        <f>IMAGE("https://storage.googleapis.com/acdb/miscellaneous/FtrFishNanyouhagiToy.png")</f>
        <v/>
      </c>
      <c r="C1126" s="5" t="s">
        <v>34</v>
      </c>
      <c r="D1126" s="5" t="s">
        <v>34</v>
      </c>
      <c r="E1126" s="5" t="s">
        <v>34</v>
      </c>
      <c r="F1126" s="5" t="s">
        <v>34</v>
      </c>
      <c r="G1126" s="5" t="s">
        <v>36</v>
      </c>
      <c r="H1126" s="5" t="s">
        <v>36</v>
      </c>
      <c r="I1126" s="5" t="s">
        <v>36</v>
      </c>
      <c r="J1126" s="6" t="s">
        <v>34</v>
      </c>
      <c r="K1126" s="6" t="s">
        <v>37</v>
      </c>
      <c r="L1126" s="6">
        <v>3000.0</v>
      </c>
      <c r="M1126" s="5" t="s">
        <v>68</v>
      </c>
      <c r="N1126" s="5" t="s">
        <v>54</v>
      </c>
      <c r="O1126" s="6" t="s">
        <v>40</v>
      </c>
      <c r="P1126" s="5" t="s">
        <v>213</v>
      </c>
      <c r="Q1126" s="5" t="s">
        <v>215</v>
      </c>
      <c r="R1126" s="6" t="s">
        <v>42</v>
      </c>
      <c r="S1126" s="5" t="s">
        <v>44</v>
      </c>
      <c r="T1126" s="5" t="s">
        <v>44</v>
      </c>
      <c r="U1126" s="5" t="s">
        <v>44</v>
      </c>
      <c r="V1126" s="5" t="s">
        <v>44</v>
      </c>
      <c r="W1126" s="5" t="s">
        <v>36</v>
      </c>
      <c r="X1126" s="5" t="s">
        <v>219</v>
      </c>
      <c r="Y1126" s="5" t="s">
        <v>46</v>
      </c>
      <c r="Z1126" s="5" t="s">
        <v>47</v>
      </c>
      <c r="AA1126" s="5" t="s">
        <v>48</v>
      </c>
      <c r="AB1126" s="5" t="s">
        <v>5582</v>
      </c>
      <c r="AC1126" s="6" t="s">
        <v>34</v>
      </c>
      <c r="AD1126" s="6">
        <v>6988.0</v>
      </c>
    </row>
    <row r="1127" ht="56.25" customHeight="1">
      <c r="A1127" s="5" t="s">
        <v>5583</v>
      </c>
      <c r="B1127" s="16" t="str">
        <f>IMAGE("https://storage.googleapis.com/acdb/miscellaneous/FtrFishAyuToy.png")</f>
        <v/>
      </c>
      <c r="C1127" s="5" t="s">
        <v>34</v>
      </c>
      <c r="D1127" s="5" t="s">
        <v>34</v>
      </c>
      <c r="E1127" s="5" t="s">
        <v>34</v>
      </c>
      <c r="F1127" s="5" t="s">
        <v>34</v>
      </c>
      <c r="G1127" s="5" t="s">
        <v>36</v>
      </c>
      <c r="H1127" s="5" t="s">
        <v>36</v>
      </c>
      <c r="I1127" s="5" t="s">
        <v>36</v>
      </c>
      <c r="J1127" s="6" t="s">
        <v>34</v>
      </c>
      <c r="K1127" s="6" t="s">
        <v>37</v>
      </c>
      <c r="L1127" s="6">
        <v>2700.0</v>
      </c>
      <c r="M1127" s="5" t="s">
        <v>96</v>
      </c>
      <c r="N1127" s="5" t="s">
        <v>54</v>
      </c>
      <c r="O1127" s="6" t="s">
        <v>40</v>
      </c>
      <c r="P1127" s="5" t="s">
        <v>213</v>
      </c>
      <c r="Q1127" s="5" t="s">
        <v>215</v>
      </c>
      <c r="R1127" s="6" t="s">
        <v>42</v>
      </c>
      <c r="S1127" s="5" t="s">
        <v>44</v>
      </c>
      <c r="T1127" s="5" t="s">
        <v>44</v>
      </c>
      <c r="U1127" s="5" t="s">
        <v>44</v>
      </c>
      <c r="V1127" s="5" t="s">
        <v>44</v>
      </c>
      <c r="W1127" s="5" t="s">
        <v>36</v>
      </c>
      <c r="X1127" s="5" t="s">
        <v>219</v>
      </c>
      <c r="Y1127" s="5" t="s">
        <v>46</v>
      </c>
      <c r="Z1127" s="5" t="s">
        <v>47</v>
      </c>
      <c r="AA1127" s="5" t="s">
        <v>48</v>
      </c>
      <c r="AB1127" s="5" t="s">
        <v>5586</v>
      </c>
      <c r="AC1127" s="6" t="s">
        <v>34</v>
      </c>
      <c r="AD1127" s="6">
        <v>6936.0</v>
      </c>
    </row>
    <row r="1128" ht="56.25" customHeight="1">
      <c r="A1128" s="5" t="s">
        <v>5588</v>
      </c>
      <c r="B1128" s="6" t="str">
        <f>IMAGE("https://storage.googleapis.com/acdb/miscellaneous/FtrLampDesk_Remake_0_0.png")</f>
        <v/>
      </c>
      <c r="C1128" s="5" t="s">
        <v>34</v>
      </c>
      <c r="D1128" s="5" t="s">
        <v>34</v>
      </c>
      <c r="E1128" s="5" t="s">
        <v>57</v>
      </c>
      <c r="F1128" s="5" t="s">
        <v>4305</v>
      </c>
      <c r="G1128" s="5" t="s">
        <v>36</v>
      </c>
      <c r="H1128" s="5" t="s">
        <v>36</v>
      </c>
      <c r="I1128" s="5" t="s">
        <v>35</v>
      </c>
      <c r="J1128" s="6">
        <v>1.0</v>
      </c>
      <c r="K1128" s="6">
        <v>1100.0</v>
      </c>
      <c r="L1128" s="6">
        <v>275.0</v>
      </c>
      <c r="M1128" s="5" t="s">
        <v>38</v>
      </c>
      <c r="N1128" s="5" t="s">
        <v>57</v>
      </c>
      <c r="O1128" s="6" t="s">
        <v>40</v>
      </c>
      <c r="P1128" s="5" t="s">
        <v>59</v>
      </c>
      <c r="Q1128" s="5" t="s">
        <v>60</v>
      </c>
      <c r="R1128" s="6" t="s">
        <v>42</v>
      </c>
      <c r="S1128" s="5" t="s">
        <v>202</v>
      </c>
      <c r="T1128" s="5" t="s">
        <v>99</v>
      </c>
      <c r="U1128" s="5" t="s">
        <v>44</v>
      </c>
      <c r="V1128" s="5" t="s">
        <v>44</v>
      </c>
      <c r="W1128" s="5" t="s">
        <v>35</v>
      </c>
      <c r="X1128" s="5" t="s">
        <v>467</v>
      </c>
      <c r="Y1128" s="5" t="s">
        <v>46</v>
      </c>
      <c r="Z1128" s="5" t="s">
        <v>502</v>
      </c>
      <c r="AA1128" s="5" t="s">
        <v>64</v>
      </c>
      <c r="AB1128" s="5" t="s">
        <v>5591</v>
      </c>
      <c r="AC1128" s="6" t="s">
        <v>50</v>
      </c>
      <c r="AD1128" s="6">
        <v>4069.0</v>
      </c>
    </row>
    <row r="1129" ht="56.25" customHeight="1">
      <c r="A1129" s="5" t="s">
        <v>5588</v>
      </c>
      <c r="B1129" s="6" t="str">
        <f>IMAGE("https://storage.googleapis.com/acdb/miscellaneous/FtrLampDesk_Remake_0_1.png")</f>
        <v/>
      </c>
      <c r="C1129" s="5" t="s">
        <v>34</v>
      </c>
      <c r="D1129" s="5" t="s">
        <v>34</v>
      </c>
      <c r="E1129" s="5" t="s">
        <v>54</v>
      </c>
      <c r="F1129" s="5" t="s">
        <v>4305</v>
      </c>
      <c r="G1129" s="5" t="s">
        <v>36</v>
      </c>
      <c r="H1129" s="5" t="s">
        <v>36</v>
      </c>
      <c r="I1129" s="5" t="s">
        <v>35</v>
      </c>
      <c r="J1129" s="6">
        <v>1.0</v>
      </c>
      <c r="K1129" s="6">
        <v>1100.0</v>
      </c>
      <c r="L1129" s="6">
        <v>275.0</v>
      </c>
      <c r="M1129" s="5" t="s">
        <v>38</v>
      </c>
      <c r="N1129" s="5" t="s">
        <v>54</v>
      </c>
      <c r="O1129" s="6" t="s">
        <v>40</v>
      </c>
      <c r="P1129" s="5" t="s">
        <v>59</v>
      </c>
      <c r="Q1129" s="5" t="s">
        <v>60</v>
      </c>
      <c r="R1129" s="6" t="s">
        <v>42</v>
      </c>
      <c r="S1129" s="5" t="s">
        <v>202</v>
      </c>
      <c r="T1129" s="5" t="s">
        <v>99</v>
      </c>
      <c r="U1129" s="5" t="s">
        <v>44</v>
      </c>
      <c r="V1129" s="5" t="s">
        <v>44</v>
      </c>
      <c r="W1129" s="5" t="s">
        <v>35</v>
      </c>
      <c r="X1129" s="5" t="s">
        <v>467</v>
      </c>
      <c r="Y1129" s="5" t="s">
        <v>46</v>
      </c>
      <c r="Z1129" s="5" t="s">
        <v>502</v>
      </c>
      <c r="AA1129" s="5" t="s">
        <v>64</v>
      </c>
      <c r="AB1129" s="5" t="s">
        <v>5595</v>
      </c>
      <c r="AC1129" s="6" t="s">
        <v>217</v>
      </c>
      <c r="AD1129" s="6">
        <v>4069.0</v>
      </c>
    </row>
    <row r="1130" ht="56.25" customHeight="1">
      <c r="A1130" s="5" t="s">
        <v>5588</v>
      </c>
      <c r="B1130" s="6" t="str">
        <f>IMAGE("https://storage.googleapis.com/acdb/miscellaneous/FtrLampDesk_Remake_0_2.png")</f>
        <v/>
      </c>
      <c r="C1130" s="5" t="s">
        <v>34</v>
      </c>
      <c r="D1130" s="5" t="s">
        <v>34</v>
      </c>
      <c r="E1130" s="5" t="s">
        <v>5598</v>
      </c>
      <c r="F1130" s="5" t="s">
        <v>4305</v>
      </c>
      <c r="G1130" s="5" t="s">
        <v>36</v>
      </c>
      <c r="H1130" s="5" t="s">
        <v>36</v>
      </c>
      <c r="I1130" s="5" t="s">
        <v>35</v>
      </c>
      <c r="J1130" s="6">
        <v>1.0</v>
      </c>
      <c r="K1130" s="6">
        <v>1100.0</v>
      </c>
      <c r="L1130" s="6">
        <v>275.0</v>
      </c>
      <c r="M1130" s="5" t="s">
        <v>38</v>
      </c>
      <c r="N1130" s="5" t="s">
        <v>52</v>
      </c>
      <c r="O1130" s="6" t="s">
        <v>40</v>
      </c>
      <c r="P1130" s="5" t="s">
        <v>59</v>
      </c>
      <c r="Q1130" s="5" t="s">
        <v>60</v>
      </c>
      <c r="R1130" s="6" t="s">
        <v>42</v>
      </c>
      <c r="S1130" s="5" t="s">
        <v>202</v>
      </c>
      <c r="T1130" s="5" t="s">
        <v>99</v>
      </c>
      <c r="U1130" s="5" t="s">
        <v>44</v>
      </c>
      <c r="V1130" s="5" t="s">
        <v>44</v>
      </c>
      <c r="W1130" s="5" t="s">
        <v>35</v>
      </c>
      <c r="X1130" s="5" t="s">
        <v>467</v>
      </c>
      <c r="Y1130" s="5" t="s">
        <v>46</v>
      </c>
      <c r="Z1130" s="5" t="s">
        <v>502</v>
      </c>
      <c r="AA1130" s="5" t="s">
        <v>64</v>
      </c>
      <c r="AB1130" s="5" t="s">
        <v>5600</v>
      </c>
      <c r="AC1130" s="6" t="s">
        <v>347</v>
      </c>
      <c r="AD1130" s="6">
        <v>4069.0</v>
      </c>
    </row>
    <row r="1131" ht="56.25" customHeight="1">
      <c r="A1131" s="5" t="s">
        <v>5588</v>
      </c>
      <c r="B1131" s="6" t="str">
        <f>IMAGE("https://storage.googleapis.com/acdb/miscellaneous/FtrLampDesk_Remake_0_3.png")</f>
        <v/>
      </c>
      <c r="C1131" s="5" t="s">
        <v>34</v>
      </c>
      <c r="D1131" s="5" t="s">
        <v>34</v>
      </c>
      <c r="E1131" s="5" t="s">
        <v>5604</v>
      </c>
      <c r="F1131" s="5" t="s">
        <v>4305</v>
      </c>
      <c r="G1131" s="5" t="s">
        <v>36</v>
      </c>
      <c r="H1131" s="5" t="s">
        <v>36</v>
      </c>
      <c r="I1131" s="5" t="s">
        <v>35</v>
      </c>
      <c r="J1131" s="6">
        <v>1.0</v>
      </c>
      <c r="K1131" s="6">
        <v>1100.0</v>
      </c>
      <c r="L1131" s="6">
        <v>275.0</v>
      </c>
      <c r="M1131" s="5" t="s">
        <v>38</v>
      </c>
      <c r="N1131" s="5" t="s">
        <v>68</v>
      </c>
      <c r="O1131" s="6" t="s">
        <v>40</v>
      </c>
      <c r="P1131" s="5" t="s">
        <v>59</v>
      </c>
      <c r="Q1131" s="5" t="s">
        <v>60</v>
      </c>
      <c r="R1131" s="6" t="s">
        <v>42</v>
      </c>
      <c r="S1131" s="5" t="s">
        <v>202</v>
      </c>
      <c r="T1131" s="5" t="s">
        <v>99</v>
      </c>
      <c r="U1131" s="5" t="s">
        <v>44</v>
      </c>
      <c r="V1131" s="5" t="s">
        <v>44</v>
      </c>
      <c r="W1131" s="5" t="s">
        <v>35</v>
      </c>
      <c r="X1131" s="5" t="s">
        <v>467</v>
      </c>
      <c r="Y1131" s="5" t="s">
        <v>46</v>
      </c>
      <c r="Z1131" s="5" t="s">
        <v>502</v>
      </c>
      <c r="AA1131" s="5" t="s">
        <v>64</v>
      </c>
      <c r="AB1131" s="5" t="s">
        <v>5607</v>
      </c>
      <c r="AC1131" s="6" t="s">
        <v>354</v>
      </c>
      <c r="AD1131" s="6">
        <v>4069.0</v>
      </c>
    </row>
    <row r="1132" ht="56.25" customHeight="1">
      <c r="A1132" s="5" t="s">
        <v>5588</v>
      </c>
      <c r="B1132" s="6" t="str">
        <f>IMAGE("https://storage.googleapis.com/acdb/miscellaneous/FtrLampDesk_Remake_0_4.png")</f>
        <v/>
      </c>
      <c r="C1132" s="5" t="s">
        <v>34</v>
      </c>
      <c r="D1132" s="5" t="s">
        <v>34</v>
      </c>
      <c r="E1132" s="5" t="s">
        <v>5609</v>
      </c>
      <c r="F1132" s="5" t="s">
        <v>4305</v>
      </c>
      <c r="G1132" s="5" t="s">
        <v>36</v>
      </c>
      <c r="H1132" s="5" t="s">
        <v>36</v>
      </c>
      <c r="I1132" s="5" t="s">
        <v>35</v>
      </c>
      <c r="J1132" s="6">
        <v>1.0</v>
      </c>
      <c r="K1132" s="6">
        <v>1100.0</v>
      </c>
      <c r="L1132" s="6">
        <v>275.0</v>
      </c>
      <c r="M1132" s="5" t="s">
        <v>38</v>
      </c>
      <c r="N1132" s="5" t="s">
        <v>96</v>
      </c>
      <c r="O1132" s="6" t="s">
        <v>40</v>
      </c>
      <c r="P1132" s="5" t="s">
        <v>59</v>
      </c>
      <c r="Q1132" s="5" t="s">
        <v>60</v>
      </c>
      <c r="R1132" s="6" t="s">
        <v>42</v>
      </c>
      <c r="S1132" s="5" t="s">
        <v>202</v>
      </c>
      <c r="T1132" s="5" t="s">
        <v>99</v>
      </c>
      <c r="U1132" s="5" t="s">
        <v>44</v>
      </c>
      <c r="V1132" s="5" t="s">
        <v>44</v>
      </c>
      <c r="W1132" s="5" t="s">
        <v>35</v>
      </c>
      <c r="X1132" s="5" t="s">
        <v>467</v>
      </c>
      <c r="Y1132" s="5" t="s">
        <v>46</v>
      </c>
      <c r="Z1132" s="5" t="s">
        <v>502</v>
      </c>
      <c r="AA1132" s="5" t="s">
        <v>64</v>
      </c>
      <c r="AB1132" s="5" t="s">
        <v>5612</v>
      </c>
      <c r="AC1132" s="6" t="s">
        <v>486</v>
      </c>
      <c r="AD1132" s="6">
        <v>4069.0</v>
      </c>
    </row>
    <row r="1133" ht="56.25" customHeight="1">
      <c r="A1133" s="5" t="s">
        <v>5588</v>
      </c>
      <c r="B1133" s="6" t="str">
        <f>IMAGE("https://storage.googleapis.com/acdb/miscellaneous/FtrLampDesk_Remake_0_5.png")</f>
        <v/>
      </c>
      <c r="C1133" s="5" t="s">
        <v>34</v>
      </c>
      <c r="D1133" s="5" t="s">
        <v>34</v>
      </c>
      <c r="E1133" s="5" t="s">
        <v>5614</v>
      </c>
      <c r="F1133" s="5" t="s">
        <v>4305</v>
      </c>
      <c r="G1133" s="5" t="s">
        <v>36</v>
      </c>
      <c r="H1133" s="5" t="s">
        <v>36</v>
      </c>
      <c r="I1133" s="5" t="s">
        <v>35</v>
      </c>
      <c r="J1133" s="6">
        <v>1.0</v>
      </c>
      <c r="K1133" s="6">
        <v>1100.0</v>
      </c>
      <c r="L1133" s="6">
        <v>275.0</v>
      </c>
      <c r="M1133" s="5" t="s">
        <v>38</v>
      </c>
      <c r="N1133" s="5" t="s">
        <v>114</v>
      </c>
      <c r="O1133" s="6" t="s">
        <v>40</v>
      </c>
      <c r="P1133" s="5" t="s">
        <v>59</v>
      </c>
      <c r="Q1133" s="5" t="s">
        <v>60</v>
      </c>
      <c r="R1133" s="6" t="s">
        <v>42</v>
      </c>
      <c r="S1133" s="5" t="s">
        <v>202</v>
      </c>
      <c r="T1133" s="5" t="s">
        <v>99</v>
      </c>
      <c r="U1133" s="5" t="s">
        <v>44</v>
      </c>
      <c r="V1133" s="5" t="s">
        <v>44</v>
      </c>
      <c r="W1133" s="5" t="s">
        <v>35</v>
      </c>
      <c r="X1133" s="5" t="s">
        <v>467</v>
      </c>
      <c r="Y1133" s="5" t="s">
        <v>46</v>
      </c>
      <c r="Z1133" s="5" t="s">
        <v>502</v>
      </c>
      <c r="AA1133" s="5" t="s">
        <v>64</v>
      </c>
      <c r="AB1133" s="5" t="s">
        <v>5617</v>
      </c>
      <c r="AC1133" s="6" t="s">
        <v>934</v>
      </c>
      <c r="AD1133" s="6">
        <v>4069.0</v>
      </c>
    </row>
    <row r="1134" ht="56.25" customHeight="1">
      <c r="A1134" s="5" t="s">
        <v>5588</v>
      </c>
      <c r="B1134" s="6" t="str">
        <f>IMAGE("https://storage.googleapis.com/acdb/miscellaneous/FtrLampDesk_Remake_0_6.png")</f>
        <v/>
      </c>
      <c r="C1134" s="5" t="s">
        <v>34</v>
      </c>
      <c r="D1134" s="5" t="s">
        <v>34</v>
      </c>
      <c r="E1134" s="5" t="s">
        <v>5620</v>
      </c>
      <c r="F1134" s="5" t="s">
        <v>4305</v>
      </c>
      <c r="G1134" s="5" t="s">
        <v>36</v>
      </c>
      <c r="H1134" s="5" t="s">
        <v>36</v>
      </c>
      <c r="I1134" s="5" t="s">
        <v>35</v>
      </c>
      <c r="J1134" s="6">
        <v>1.0</v>
      </c>
      <c r="K1134" s="6">
        <v>1100.0</v>
      </c>
      <c r="L1134" s="6">
        <v>275.0</v>
      </c>
      <c r="M1134" s="5" t="s">
        <v>38</v>
      </c>
      <c r="N1134" s="5" t="s">
        <v>69</v>
      </c>
      <c r="O1134" s="6" t="s">
        <v>40</v>
      </c>
      <c r="P1134" s="5" t="s">
        <v>59</v>
      </c>
      <c r="Q1134" s="5" t="s">
        <v>60</v>
      </c>
      <c r="R1134" s="6" t="s">
        <v>42</v>
      </c>
      <c r="S1134" s="5" t="s">
        <v>202</v>
      </c>
      <c r="T1134" s="5" t="s">
        <v>99</v>
      </c>
      <c r="U1134" s="5" t="s">
        <v>44</v>
      </c>
      <c r="V1134" s="5" t="s">
        <v>44</v>
      </c>
      <c r="W1134" s="5" t="s">
        <v>35</v>
      </c>
      <c r="X1134" s="5" t="s">
        <v>467</v>
      </c>
      <c r="Y1134" s="5" t="s">
        <v>46</v>
      </c>
      <c r="Z1134" s="5" t="s">
        <v>502</v>
      </c>
      <c r="AA1134" s="5" t="s">
        <v>64</v>
      </c>
      <c r="AB1134" s="5" t="s">
        <v>5621</v>
      </c>
      <c r="AC1134" s="6" t="s">
        <v>938</v>
      </c>
      <c r="AD1134" s="6">
        <v>4069.0</v>
      </c>
    </row>
    <row r="1135" ht="56.25" customHeight="1">
      <c r="A1135" s="5" t="s">
        <v>5622</v>
      </c>
      <c r="B1135" s="6" t="str">
        <f>IMAGE("https://storage.googleapis.com/acdb/miscellaneous/FtrTablesetting_Remake_0_0.png")</f>
        <v/>
      </c>
      <c r="C1135" s="5" t="s">
        <v>57</v>
      </c>
      <c r="D1135" s="5" t="s">
        <v>34</v>
      </c>
      <c r="E1135" s="5" t="s">
        <v>57</v>
      </c>
      <c r="F1135" s="5" t="s">
        <v>5624</v>
      </c>
      <c r="G1135" s="5" t="s">
        <v>36</v>
      </c>
      <c r="H1135" s="5" t="s">
        <v>36</v>
      </c>
      <c r="I1135" s="5" t="s">
        <v>35</v>
      </c>
      <c r="J1135" s="6">
        <v>1.0</v>
      </c>
      <c r="K1135" s="6">
        <v>720.0</v>
      </c>
      <c r="L1135" s="6">
        <v>180.0</v>
      </c>
      <c r="M1135" s="5" t="s">
        <v>57</v>
      </c>
      <c r="N1135" s="5" t="s">
        <v>38</v>
      </c>
      <c r="O1135" s="6" t="s">
        <v>40</v>
      </c>
      <c r="P1135" s="5" t="s">
        <v>59</v>
      </c>
      <c r="Q1135" s="5" t="s">
        <v>122</v>
      </c>
      <c r="R1135" s="6" t="s">
        <v>42</v>
      </c>
      <c r="S1135" s="5" t="s">
        <v>62</v>
      </c>
      <c r="T1135" s="5" t="s">
        <v>116</v>
      </c>
      <c r="U1135" s="5" t="s">
        <v>44</v>
      </c>
      <c r="V1135" s="5" t="s">
        <v>44</v>
      </c>
      <c r="W1135" s="5" t="s">
        <v>36</v>
      </c>
      <c r="X1135" s="5" t="s">
        <v>521</v>
      </c>
      <c r="Y1135" s="5" t="s">
        <v>46</v>
      </c>
      <c r="Z1135" s="5" t="s">
        <v>47</v>
      </c>
      <c r="AA1135" s="5" t="s">
        <v>64</v>
      </c>
      <c r="AB1135" s="5" t="s">
        <v>5626</v>
      </c>
      <c r="AC1135" s="6" t="s">
        <v>50</v>
      </c>
      <c r="AD1135" s="6">
        <v>4068.0</v>
      </c>
    </row>
    <row r="1136" ht="56.25" customHeight="1">
      <c r="A1136" s="5" t="s">
        <v>5622</v>
      </c>
      <c r="B1136" s="6" t="str">
        <f>IMAGE("https://storage.googleapis.com/acdb/miscellaneous/FtrTablesetting_Remake_0_1.png")</f>
        <v/>
      </c>
      <c r="C1136" s="5" t="s">
        <v>57</v>
      </c>
      <c r="D1136" s="5" t="s">
        <v>34</v>
      </c>
      <c r="E1136" s="5" t="s">
        <v>1187</v>
      </c>
      <c r="F1136" s="5" t="s">
        <v>5624</v>
      </c>
      <c r="G1136" s="5" t="s">
        <v>36</v>
      </c>
      <c r="H1136" s="5" t="s">
        <v>36</v>
      </c>
      <c r="I1136" s="5" t="s">
        <v>35</v>
      </c>
      <c r="J1136" s="6">
        <v>1.0</v>
      </c>
      <c r="K1136" s="6">
        <v>720.0</v>
      </c>
      <c r="L1136" s="6">
        <v>180.0</v>
      </c>
      <c r="M1136" s="5" t="s">
        <v>57</v>
      </c>
      <c r="N1136" s="5" t="s">
        <v>68</v>
      </c>
      <c r="O1136" s="6" t="s">
        <v>40</v>
      </c>
      <c r="P1136" s="5" t="s">
        <v>59</v>
      </c>
      <c r="Q1136" s="5" t="s">
        <v>122</v>
      </c>
      <c r="R1136" s="6" t="s">
        <v>42</v>
      </c>
      <c r="S1136" s="5" t="s">
        <v>62</v>
      </c>
      <c r="T1136" s="5" t="s">
        <v>116</v>
      </c>
      <c r="U1136" s="5" t="s">
        <v>44</v>
      </c>
      <c r="V1136" s="5" t="s">
        <v>44</v>
      </c>
      <c r="W1136" s="5" t="s">
        <v>36</v>
      </c>
      <c r="X1136" s="5" t="s">
        <v>521</v>
      </c>
      <c r="Y1136" s="5" t="s">
        <v>46</v>
      </c>
      <c r="Z1136" s="5" t="s">
        <v>47</v>
      </c>
      <c r="AA1136" s="5" t="s">
        <v>64</v>
      </c>
      <c r="AB1136" s="5" t="s">
        <v>5629</v>
      </c>
      <c r="AC1136" s="6" t="s">
        <v>217</v>
      </c>
      <c r="AD1136" s="6">
        <v>4068.0</v>
      </c>
    </row>
    <row r="1137" ht="56.25" customHeight="1">
      <c r="A1137" s="5" t="s">
        <v>5622</v>
      </c>
      <c r="B1137" s="6" t="str">
        <f>IMAGE("https://storage.googleapis.com/acdb/miscellaneous/FtrTablesetting_Remake_0_2.png")</f>
        <v/>
      </c>
      <c r="C1137" s="5" t="s">
        <v>57</v>
      </c>
      <c r="D1137" s="5" t="s">
        <v>34</v>
      </c>
      <c r="E1137" s="5" t="s">
        <v>69</v>
      </c>
      <c r="F1137" s="5" t="s">
        <v>5624</v>
      </c>
      <c r="G1137" s="5" t="s">
        <v>36</v>
      </c>
      <c r="H1137" s="5" t="s">
        <v>36</v>
      </c>
      <c r="I1137" s="5" t="s">
        <v>35</v>
      </c>
      <c r="J1137" s="6">
        <v>1.0</v>
      </c>
      <c r="K1137" s="6">
        <v>720.0</v>
      </c>
      <c r="L1137" s="6">
        <v>180.0</v>
      </c>
      <c r="M1137" s="5" t="s">
        <v>57</v>
      </c>
      <c r="N1137" s="5" t="s">
        <v>69</v>
      </c>
      <c r="O1137" s="6" t="s">
        <v>40</v>
      </c>
      <c r="P1137" s="5" t="s">
        <v>59</v>
      </c>
      <c r="Q1137" s="5" t="s">
        <v>122</v>
      </c>
      <c r="R1137" s="6" t="s">
        <v>42</v>
      </c>
      <c r="S1137" s="5" t="s">
        <v>62</v>
      </c>
      <c r="T1137" s="5" t="s">
        <v>116</v>
      </c>
      <c r="U1137" s="5" t="s">
        <v>44</v>
      </c>
      <c r="V1137" s="5" t="s">
        <v>44</v>
      </c>
      <c r="W1137" s="5" t="s">
        <v>36</v>
      </c>
      <c r="X1137" s="5" t="s">
        <v>521</v>
      </c>
      <c r="Y1137" s="5" t="s">
        <v>46</v>
      </c>
      <c r="Z1137" s="5" t="s">
        <v>47</v>
      </c>
      <c r="AA1137" s="5" t="s">
        <v>64</v>
      </c>
      <c r="AB1137" s="5" t="s">
        <v>5632</v>
      </c>
      <c r="AC1137" s="6" t="s">
        <v>347</v>
      </c>
      <c r="AD1137" s="6">
        <v>4068.0</v>
      </c>
    </row>
    <row r="1138" ht="56.25" customHeight="1">
      <c r="A1138" s="5" t="s">
        <v>5622</v>
      </c>
      <c r="B1138" s="6" t="str">
        <f>IMAGE("https://storage.googleapis.com/acdb/miscellaneous/FtrTablesetting_Remake_0_3.png")</f>
        <v/>
      </c>
      <c r="C1138" s="5" t="s">
        <v>57</v>
      </c>
      <c r="D1138" s="5" t="s">
        <v>34</v>
      </c>
      <c r="E1138" s="5" t="s">
        <v>142</v>
      </c>
      <c r="F1138" s="5" t="s">
        <v>5624</v>
      </c>
      <c r="G1138" s="5" t="s">
        <v>36</v>
      </c>
      <c r="H1138" s="5" t="s">
        <v>36</v>
      </c>
      <c r="I1138" s="5" t="s">
        <v>35</v>
      </c>
      <c r="J1138" s="6">
        <v>1.0</v>
      </c>
      <c r="K1138" s="6">
        <v>720.0</v>
      </c>
      <c r="L1138" s="6">
        <v>180.0</v>
      </c>
      <c r="M1138" s="5" t="s">
        <v>57</v>
      </c>
      <c r="N1138" s="5" t="s">
        <v>114</v>
      </c>
      <c r="O1138" s="6" t="s">
        <v>40</v>
      </c>
      <c r="P1138" s="5" t="s">
        <v>59</v>
      </c>
      <c r="Q1138" s="5" t="s">
        <v>122</v>
      </c>
      <c r="R1138" s="6" t="s">
        <v>42</v>
      </c>
      <c r="S1138" s="5" t="s">
        <v>62</v>
      </c>
      <c r="T1138" s="5" t="s">
        <v>116</v>
      </c>
      <c r="U1138" s="5" t="s">
        <v>44</v>
      </c>
      <c r="V1138" s="5" t="s">
        <v>44</v>
      </c>
      <c r="W1138" s="5" t="s">
        <v>36</v>
      </c>
      <c r="X1138" s="5" t="s">
        <v>521</v>
      </c>
      <c r="Y1138" s="5" t="s">
        <v>46</v>
      </c>
      <c r="Z1138" s="5" t="s">
        <v>47</v>
      </c>
      <c r="AA1138" s="5" t="s">
        <v>64</v>
      </c>
      <c r="AB1138" s="5" t="s">
        <v>5635</v>
      </c>
      <c r="AC1138" s="6" t="s">
        <v>354</v>
      </c>
      <c r="AD1138" s="6">
        <v>4068.0</v>
      </c>
    </row>
    <row r="1139" ht="56.25" customHeight="1">
      <c r="A1139" s="5" t="s">
        <v>5622</v>
      </c>
      <c r="B1139" s="6" t="str">
        <f>IMAGE("https://storage.googleapis.com/acdb/miscellaneous/FtrTablesetting_Remake_0_4.png")</f>
        <v/>
      </c>
      <c r="C1139" s="5" t="s">
        <v>57</v>
      </c>
      <c r="D1139" s="5" t="s">
        <v>34</v>
      </c>
      <c r="E1139" s="5" t="s">
        <v>96</v>
      </c>
      <c r="F1139" s="5" t="s">
        <v>5624</v>
      </c>
      <c r="G1139" s="5" t="s">
        <v>36</v>
      </c>
      <c r="H1139" s="5" t="s">
        <v>36</v>
      </c>
      <c r="I1139" s="5" t="s">
        <v>35</v>
      </c>
      <c r="J1139" s="6">
        <v>1.0</v>
      </c>
      <c r="K1139" s="6">
        <v>720.0</v>
      </c>
      <c r="L1139" s="6">
        <v>180.0</v>
      </c>
      <c r="M1139" s="5" t="s">
        <v>57</v>
      </c>
      <c r="N1139" s="5" t="s">
        <v>96</v>
      </c>
      <c r="O1139" s="6" t="s">
        <v>40</v>
      </c>
      <c r="P1139" s="5" t="s">
        <v>59</v>
      </c>
      <c r="Q1139" s="5" t="s">
        <v>122</v>
      </c>
      <c r="R1139" s="6" t="s">
        <v>42</v>
      </c>
      <c r="S1139" s="5" t="s">
        <v>62</v>
      </c>
      <c r="T1139" s="5" t="s">
        <v>116</v>
      </c>
      <c r="U1139" s="5" t="s">
        <v>44</v>
      </c>
      <c r="V1139" s="5" t="s">
        <v>44</v>
      </c>
      <c r="W1139" s="5" t="s">
        <v>36</v>
      </c>
      <c r="X1139" s="5" t="s">
        <v>521</v>
      </c>
      <c r="Y1139" s="5" t="s">
        <v>46</v>
      </c>
      <c r="Z1139" s="5" t="s">
        <v>47</v>
      </c>
      <c r="AA1139" s="5" t="s">
        <v>64</v>
      </c>
      <c r="AB1139" s="5" t="s">
        <v>5638</v>
      </c>
      <c r="AC1139" s="6" t="s">
        <v>486</v>
      </c>
      <c r="AD1139" s="6">
        <v>4068.0</v>
      </c>
    </row>
    <row r="1140" ht="56.25" customHeight="1">
      <c r="A1140" s="5" t="s">
        <v>5622</v>
      </c>
      <c r="B1140" s="6" t="str">
        <f>IMAGE("https://storage.googleapis.com/acdb/miscellaneous/FtrTablesetting_Remake_1_0.png")</f>
        <v/>
      </c>
      <c r="C1140" s="5" t="s">
        <v>69</v>
      </c>
      <c r="D1140" s="5" t="s">
        <v>34</v>
      </c>
      <c r="E1140" s="5" t="s">
        <v>57</v>
      </c>
      <c r="F1140" s="5" t="s">
        <v>5624</v>
      </c>
      <c r="G1140" s="5" t="s">
        <v>36</v>
      </c>
      <c r="H1140" s="5" t="s">
        <v>36</v>
      </c>
      <c r="I1140" s="5" t="s">
        <v>35</v>
      </c>
      <c r="J1140" s="6">
        <v>1.0</v>
      </c>
      <c r="K1140" s="6">
        <v>720.0</v>
      </c>
      <c r="L1140" s="6">
        <v>180.0</v>
      </c>
      <c r="M1140" s="5" t="s">
        <v>69</v>
      </c>
      <c r="N1140" s="5" t="s">
        <v>38</v>
      </c>
      <c r="O1140" s="6" t="s">
        <v>40</v>
      </c>
      <c r="P1140" s="5" t="s">
        <v>59</v>
      </c>
      <c r="Q1140" s="5" t="s">
        <v>122</v>
      </c>
      <c r="R1140" s="6" t="s">
        <v>42</v>
      </c>
      <c r="S1140" s="5" t="s">
        <v>62</v>
      </c>
      <c r="T1140" s="5" t="s">
        <v>116</v>
      </c>
      <c r="U1140" s="5" t="s">
        <v>44</v>
      </c>
      <c r="V1140" s="5" t="s">
        <v>44</v>
      </c>
      <c r="W1140" s="5" t="s">
        <v>36</v>
      </c>
      <c r="X1140" s="5" t="s">
        <v>521</v>
      </c>
      <c r="Y1140" s="5" t="s">
        <v>46</v>
      </c>
      <c r="Z1140" s="5" t="s">
        <v>47</v>
      </c>
      <c r="AA1140" s="5" t="s">
        <v>64</v>
      </c>
      <c r="AB1140" s="5" t="s">
        <v>5641</v>
      </c>
      <c r="AC1140" s="6" t="s">
        <v>56</v>
      </c>
      <c r="AD1140" s="6">
        <v>4068.0</v>
      </c>
    </row>
    <row r="1141" ht="56.25" customHeight="1">
      <c r="A1141" s="5" t="s">
        <v>5622</v>
      </c>
      <c r="B1141" s="6" t="str">
        <f>IMAGE("https://storage.googleapis.com/acdb/miscellaneous/FtrTablesetting_Remake_1_1.png")</f>
        <v/>
      </c>
      <c r="C1141" s="5" t="s">
        <v>69</v>
      </c>
      <c r="D1141" s="5" t="s">
        <v>34</v>
      </c>
      <c r="E1141" s="5" t="s">
        <v>1187</v>
      </c>
      <c r="F1141" s="5" t="s">
        <v>5624</v>
      </c>
      <c r="G1141" s="5" t="s">
        <v>36</v>
      </c>
      <c r="H1141" s="5" t="s">
        <v>36</v>
      </c>
      <c r="I1141" s="5" t="s">
        <v>35</v>
      </c>
      <c r="J1141" s="6">
        <v>1.0</v>
      </c>
      <c r="K1141" s="6">
        <v>720.0</v>
      </c>
      <c r="L1141" s="6">
        <v>180.0</v>
      </c>
      <c r="M1141" s="5" t="s">
        <v>69</v>
      </c>
      <c r="N1141" s="5" t="s">
        <v>68</v>
      </c>
      <c r="O1141" s="6" t="s">
        <v>40</v>
      </c>
      <c r="P1141" s="5" t="s">
        <v>59</v>
      </c>
      <c r="Q1141" s="5" t="s">
        <v>122</v>
      </c>
      <c r="R1141" s="6" t="s">
        <v>42</v>
      </c>
      <c r="S1141" s="5" t="s">
        <v>62</v>
      </c>
      <c r="T1141" s="5" t="s">
        <v>116</v>
      </c>
      <c r="U1141" s="5" t="s">
        <v>44</v>
      </c>
      <c r="V1141" s="5" t="s">
        <v>44</v>
      </c>
      <c r="W1141" s="5" t="s">
        <v>36</v>
      </c>
      <c r="X1141" s="5" t="s">
        <v>521</v>
      </c>
      <c r="Y1141" s="5" t="s">
        <v>46</v>
      </c>
      <c r="Z1141" s="5" t="s">
        <v>47</v>
      </c>
      <c r="AA1141" s="5" t="s">
        <v>64</v>
      </c>
      <c r="AB1141" s="5" t="s">
        <v>5645</v>
      </c>
      <c r="AC1141" s="6" t="s">
        <v>234</v>
      </c>
      <c r="AD1141" s="6">
        <v>4068.0</v>
      </c>
    </row>
    <row r="1142" ht="56.25" customHeight="1">
      <c r="A1142" s="5" t="s">
        <v>5622</v>
      </c>
      <c r="B1142" s="6" t="str">
        <f>IMAGE("https://storage.googleapis.com/acdb/miscellaneous/FtrTablesetting_Remake_1_2.png")</f>
        <v/>
      </c>
      <c r="C1142" s="5" t="s">
        <v>69</v>
      </c>
      <c r="D1142" s="5" t="s">
        <v>34</v>
      </c>
      <c r="E1142" s="5" t="s">
        <v>69</v>
      </c>
      <c r="F1142" s="5" t="s">
        <v>5624</v>
      </c>
      <c r="G1142" s="5" t="s">
        <v>36</v>
      </c>
      <c r="H1142" s="5" t="s">
        <v>36</v>
      </c>
      <c r="I1142" s="5" t="s">
        <v>35</v>
      </c>
      <c r="J1142" s="6">
        <v>1.0</v>
      </c>
      <c r="K1142" s="6">
        <v>720.0</v>
      </c>
      <c r="L1142" s="6">
        <v>180.0</v>
      </c>
      <c r="M1142" s="5" t="s">
        <v>69</v>
      </c>
      <c r="N1142" s="5" t="s">
        <v>69</v>
      </c>
      <c r="O1142" s="6" t="s">
        <v>40</v>
      </c>
      <c r="P1142" s="5" t="s">
        <v>59</v>
      </c>
      <c r="Q1142" s="5" t="s">
        <v>122</v>
      </c>
      <c r="R1142" s="6" t="s">
        <v>42</v>
      </c>
      <c r="S1142" s="5" t="s">
        <v>62</v>
      </c>
      <c r="T1142" s="5" t="s">
        <v>116</v>
      </c>
      <c r="U1142" s="5" t="s">
        <v>44</v>
      </c>
      <c r="V1142" s="5" t="s">
        <v>44</v>
      </c>
      <c r="W1142" s="5" t="s">
        <v>36</v>
      </c>
      <c r="X1142" s="5" t="s">
        <v>521</v>
      </c>
      <c r="Y1142" s="5" t="s">
        <v>46</v>
      </c>
      <c r="Z1142" s="5" t="s">
        <v>47</v>
      </c>
      <c r="AA1142" s="5" t="s">
        <v>64</v>
      </c>
      <c r="AB1142" s="5" t="s">
        <v>5647</v>
      </c>
      <c r="AC1142" s="6" t="s">
        <v>370</v>
      </c>
      <c r="AD1142" s="6">
        <v>4068.0</v>
      </c>
    </row>
    <row r="1143" ht="56.25" customHeight="1">
      <c r="A1143" s="5" t="s">
        <v>5622</v>
      </c>
      <c r="B1143" s="6" t="str">
        <f>IMAGE("https://storage.googleapis.com/acdb/miscellaneous/FtrTablesetting_Remake_1_3.png")</f>
        <v/>
      </c>
      <c r="C1143" s="5" t="s">
        <v>69</v>
      </c>
      <c r="D1143" s="5" t="s">
        <v>34</v>
      </c>
      <c r="E1143" s="5" t="s">
        <v>142</v>
      </c>
      <c r="F1143" s="5" t="s">
        <v>5624</v>
      </c>
      <c r="G1143" s="5" t="s">
        <v>36</v>
      </c>
      <c r="H1143" s="5" t="s">
        <v>36</v>
      </c>
      <c r="I1143" s="5" t="s">
        <v>35</v>
      </c>
      <c r="J1143" s="6">
        <v>1.0</v>
      </c>
      <c r="K1143" s="6">
        <v>720.0</v>
      </c>
      <c r="L1143" s="6">
        <v>180.0</v>
      </c>
      <c r="M1143" s="5" t="s">
        <v>69</v>
      </c>
      <c r="N1143" s="5" t="s">
        <v>114</v>
      </c>
      <c r="O1143" s="6" t="s">
        <v>40</v>
      </c>
      <c r="P1143" s="5" t="s">
        <v>59</v>
      </c>
      <c r="Q1143" s="5" t="s">
        <v>122</v>
      </c>
      <c r="R1143" s="6" t="s">
        <v>42</v>
      </c>
      <c r="S1143" s="5" t="s">
        <v>62</v>
      </c>
      <c r="T1143" s="5" t="s">
        <v>116</v>
      </c>
      <c r="U1143" s="5" t="s">
        <v>44</v>
      </c>
      <c r="V1143" s="5" t="s">
        <v>44</v>
      </c>
      <c r="W1143" s="5" t="s">
        <v>36</v>
      </c>
      <c r="X1143" s="5" t="s">
        <v>521</v>
      </c>
      <c r="Y1143" s="5" t="s">
        <v>46</v>
      </c>
      <c r="Z1143" s="5" t="s">
        <v>47</v>
      </c>
      <c r="AA1143" s="5" t="s">
        <v>64</v>
      </c>
      <c r="AB1143" s="5" t="s">
        <v>5649</v>
      </c>
      <c r="AC1143" s="6" t="s">
        <v>377</v>
      </c>
      <c r="AD1143" s="6">
        <v>4068.0</v>
      </c>
    </row>
    <row r="1144" ht="56.25" customHeight="1">
      <c r="A1144" s="5" t="s">
        <v>5622</v>
      </c>
      <c r="B1144" s="6" t="str">
        <f>IMAGE("https://storage.googleapis.com/acdb/miscellaneous/FtrTablesetting_Remake_1_4.png")</f>
        <v/>
      </c>
      <c r="C1144" s="5" t="s">
        <v>69</v>
      </c>
      <c r="D1144" s="5" t="s">
        <v>34</v>
      </c>
      <c r="E1144" s="5" t="s">
        <v>96</v>
      </c>
      <c r="F1144" s="5" t="s">
        <v>5624</v>
      </c>
      <c r="G1144" s="5" t="s">
        <v>36</v>
      </c>
      <c r="H1144" s="5" t="s">
        <v>36</v>
      </c>
      <c r="I1144" s="5" t="s">
        <v>35</v>
      </c>
      <c r="J1144" s="6">
        <v>1.0</v>
      </c>
      <c r="K1144" s="6">
        <v>720.0</v>
      </c>
      <c r="L1144" s="6">
        <v>180.0</v>
      </c>
      <c r="M1144" s="5" t="s">
        <v>69</v>
      </c>
      <c r="N1144" s="5" t="s">
        <v>96</v>
      </c>
      <c r="O1144" s="6" t="s">
        <v>40</v>
      </c>
      <c r="P1144" s="5" t="s">
        <v>59</v>
      </c>
      <c r="Q1144" s="5" t="s">
        <v>122</v>
      </c>
      <c r="R1144" s="6" t="s">
        <v>42</v>
      </c>
      <c r="S1144" s="5" t="s">
        <v>62</v>
      </c>
      <c r="T1144" s="5" t="s">
        <v>116</v>
      </c>
      <c r="U1144" s="5" t="s">
        <v>44</v>
      </c>
      <c r="V1144" s="5" t="s">
        <v>44</v>
      </c>
      <c r="W1144" s="5" t="s">
        <v>36</v>
      </c>
      <c r="X1144" s="5" t="s">
        <v>521</v>
      </c>
      <c r="Y1144" s="5" t="s">
        <v>46</v>
      </c>
      <c r="Z1144" s="5" t="s">
        <v>47</v>
      </c>
      <c r="AA1144" s="5" t="s">
        <v>64</v>
      </c>
      <c r="AB1144" s="5" t="s">
        <v>5652</v>
      </c>
      <c r="AC1144" s="6" t="s">
        <v>520</v>
      </c>
      <c r="AD1144" s="6">
        <v>4068.0</v>
      </c>
    </row>
    <row r="1145" ht="56.25" customHeight="1">
      <c r="A1145" s="5" t="s">
        <v>5622</v>
      </c>
      <c r="B1145" s="6" t="str">
        <f>IMAGE("https://storage.googleapis.com/acdb/miscellaneous/FtrTablesetting_Remake_2_0.png")</f>
        <v/>
      </c>
      <c r="C1145" s="5" t="s">
        <v>114</v>
      </c>
      <c r="D1145" s="5" t="s">
        <v>34</v>
      </c>
      <c r="E1145" s="5" t="s">
        <v>57</v>
      </c>
      <c r="F1145" s="5" t="s">
        <v>5624</v>
      </c>
      <c r="G1145" s="5" t="s">
        <v>36</v>
      </c>
      <c r="H1145" s="5" t="s">
        <v>36</v>
      </c>
      <c r="I1145" s="5" t="s">
        <v>35</v>
      </c>
      <c r="J1145" s="6">
        <v>1.0</v>
      </c>
      <c r="K1145" s="6">
        <v>720.0</v>
      </c>
      <c r="L1145" s="6">
        <v>180.0</v>
      </c>
      <c r="M1145" s="5" t="s">
        <v>114</v>
      </c>
      <c r="N1145" s="5" t="s">
        <v>38</v>
      </c>
      <c r="O1145" s="6" t="s">
        <v>40</v>
      </c>
      <c r="P1145" s="5" t="s">
        <v>59</v>
      </c>
      <c r="Q1145" s="5" t="s">
        <v>122</v>
      </c>
      <c r="R1145" s="6" t="s">
        <v>42</v>
      </c>
      <c r="S1145" s="5" t="s">
        <v>62</v>
      </c>
      <c r="T1145" s="5" t="s">
        <v>116</v>
      </c>
      <c r="U1145" s="5" t="s">
        <v>44</v>
      </c>
      <c r="V1145" s="5" t="s">
        <v>44</v>
      </c>
      <c r="W1145" s="5" t="s">
        <v>36</v>
      </c>
      <c r="X1145" s="5" t="s">
        <v>521</v>
      </c>
      <c r="Y1145" s="5" t="s">
        <v>46</v>
      </c>
      <c r="Z1145" s="5" t="s">
        <v>47</v>
      </c>
      <c r="AA1145" s="5" t="s">
        <v>64</v>
      </c>
      <c r="AB1145" s="5" t="s">
        <v>5656</v>
      </c>
      <c r="AC1145" s="6" t="s">
        <v>67</v>
      </c>
      <c r="AD1145" s="6">
        <v>4068.0</v>
      </c>
    </row>
    <row r="1146" ht="56.25" customHeight="1">
      <c r="A1146" s="5" t="s">
        <v>5622</v>
      </c>
      <c r="B1146" s="6" t="str">
        <f>IMAGE("https://storage.googleapis.com/acdb/miscellaneous/FtrTablesetting_Remake_2_1.png")</f>
        <v/>
      </c>
      <c r="C1146" s="5" t="s">
        <v>114</v>
      </c>
      <c r="D1146" s="5" t="s">
        <v>34</v>
      </c>
      <c r="E1146" s="5" t="s">
        <v>1187</v>
      </c>
      <c r="F1146" s="5" t="s">
        <v>5624</v>
      </c>
      <c r="G1146" s="5" t="s">
        <v>36</v>
      </c>
      <c r="H1146" s="5" t="s">
        <v>36</v>
      </c>
      <c r="I1146" s="5" t="s">
        <v>35</v>
      </c>
      <c r="J1146" s="6">
        <v>1.0</v>
      </c>
      <c r="K1146" s="6">
        <v>720.0</v>
      </c>
      <c r="L1146" s="6">
        <v>180.0</v>
      </c>
      <c r="M1146" s="5" t="s">
        <v>114</v>
      </c>
      <c r="N1146" s="5" t="s">
        <v>68</v>
      </c>
      <c r="O1146" s="6" t="s">
        <v>40</v>
      </c>
      <c r="P1146" s="5" t="s">
        <v>59</v>
      </c>
      <c r="Q1146" s="5" t="s">
        <v>122</v>
      </c>
      <c r="R1146" s="6" t="s">
        <v>42</v>
      </c>
      <c r="S1146" s="5" t="s">
        <v>62</v>
      </c>
      <c r="T1146" s="5" t="s">
        <v>116</v>
      </c>
      <c r="U1146" s="5" t="s">
        <v>44</v>
      </c>
      <c r="V1146" s="5" t="s">
        <v>44</v>
      </c>
      <c r="W1146" s="5" t="s">
        <v>36</v>
      </c>
      <c r="X1146" s="5" t="s">
        <v>521</v>
      </c>
      <c r="Y1146" s="5" t="s">
        <v>46</v>
      </c>
      <c r="Z1146" s="5" t="s">
        <v>47</v>
      </c>
      <c r="AA1146" s="5" t="s">
        <v>64</v>
      </c>
      <c r="AB1146" s="5" t="s">
        <v>5659</v>
      </c>
      <c r="AC1146" s="6" t="s">
        <v>247</v>
      </c>
      <c r="AD1146" s="6">
        <v>4068.0</v>
      </c>
    </row>
    <row r="1147" ht="56.25" customHeight="1">
      <c r="A1147" s="5" t="s">
        <v>5622</v>
      </c>
      <c r="B1147" s="6" t="str">
        <f>IMAGE("https://storage.googleapis.com/acdb/miscellaneous/FtrTablesetting_Remake_2_2.png")</f>
        <v/>
      </c>
      <c r="C1147" s="5" t="s">
        <v>114</v>
      </c>
      <c r="D1147" s="5" t="s">
        <v>34</v>
      </c>
      <c r="E1147" s="5" t="s">
        <v>69</v>
      </c>
      <c r="F1147" s="5" t="s">
        <v>5624</v>
      </c>
      <c r="G1147" s="5" t="s">
        <v>36</v>
      </c>
      <c r="H1147" s="5" t="s">
        <v>36</v>
      </c>
      <c r="I1147" s="5" t="s">
        <v>35</v>
      </c>
      <c r="J1147" s="6">
        <v>1.0</v>
      </c>
      <c r="K1147" s="6">
        <v>720.0</v>
      </c>
      <c r="L1147" s="6">
        <v>180.0</v>
      </c>
      <c r="M1147" s="5" t="s">
        <v>114</v>
      </c>
      <c r="N1147" s="5" t="s">
        <v>69</v>
      </c>
      <c r="O1147" s="6" t="s">
        <v>40</v>
      </c>
      <c r="P1147" s="5" t="s">
        <v>59</v>
      </c>
      <c r="Q1147" s="5" t="s">
        <v>122</v>
      </c>
      <c r="R1147" s="6" t="s">
        <v>42</v>
      </c>
      <c r="S1147" s="5" t="s">
        <v>62</v>
      </c>
      <c r="T1147" s="5" t="s">
        <v>116</v>
      </c>
      <c r="U1147" s="5" t="s">
        <v>44</v>
      </c>
      <c r="V1147" s="5" t="s">
        <v>44</v>
      </c>
      <c r="W1147" s="5" t="s">
        <v>36</v>
      </c>
      <c r="X1147" s="5" t="s">
        <v>521</v>
      </c>
      <c r="Y1147" s="5" t="s">
        <v>46</v>
      </c>
      <c r="Z1147" s="5" t="s">
        <v>47</v>
      </c>
      <c r="AA1147" s="5" t="s">
        <v>64</v>
      </c>
      <c r="AB1147" s="5" t="s">
        <v>5662</v>
      </c>
      <c r="AC1147" s="6" t="s">
        <v>390</v>
      </c>
      <c r="AD1147" s="6">
        <v>4068.0</v>
      </c>
    </row>
    <row r="1148" ht="56.25" customHeight="1">
      <c r="A1148" s="5" t="s">
        <v>5622</v>
      </c>
      <c r="B1148" s="6" t="str">
        <f>IMAGE("https://storage.googleapis.com/acdb/miscellaneous/FtrTablesetting_Remake_2_3.png")</f>
        <v/>
      </c>
      <c r="C1148" s="5" t="s">
        <v>114</v>
      </c>
      <c r="D1148" s="5" t="s">
        <v>34</v>
      </c>
      <c r="E1148" s="5" t="s">
        <v>142</v>
      </c>
      <c r="F1148" s="5" t="s">
        <v>5624</v>
      </c>
      <c r="G1148" s="5" t="s">
        <v>36</v>
      </c>
      <c r="H1148" s="5" t="s">
        <v>36</v>
      </c>
      <c r="I1148" s="5" t="s">
        <v>35</v>
      </c>
      <c r="J1148" s="6">
        <v>1.0</v>
      </c>
      <c r="K1148" s="6">
        <v>720.0</v>
      </c>
      <c r="L1148" s="6">
        <v>180.0</v>
      </c>
      <c r="M1148" s="5" t="s">
        <v>114</v>
      </c>
      <c r="N1148" s="5" t="s">
        <v>114</v>
      </c>
      <c r="O1148" s="6" t="s">
        <v>40</v>
      </c>
      <c r="P1148" s="5" t="s">
        <v>59</v>
      </c>
      <c r="Q1148" s="5" t="s">
        <v>122</v>
      </c>
      <c r="R1148" s="6" t="s">
        <v>42</v>
      </c>
      <c r="S1148" s="5" t="s">
        <v>62</v>
      </c>
      <c r="T1148" s="5" t="s">
        <v>116</v>
      </c>
      <c r="U1148" s="5" t="s">
        <v>44</v>
      </c>
      <c r="V1148" s="5" t="s">
        <v>44</v>
      </c>
      <c r="W1148" s="5" t="s">
        <v>36</v>
      </c>
      <c r="X1148" s="5" t="s">
        <v>521</v>
      </c>
      <c r="Y1148" s="5" t="s">
        <v>46</v>
      </c>
      <c r="Z1148" s="5" t="s">
        <v>47</v>
      </c>
      <c r="AA1148" s="5" t="s">
        <v>64</v>
      </c>
      <c r="AB1148" s="5" t="s">
        <v>5665</v>
      </c>
      <c r="AC1148" s="6" t="s">
        <v>396</v>
      </c>
      <c r="AD1148" s="6">
        <v>4068.0</v>
      </c>
    </row>
    <row r="1149" ht="56.25" customHeight="1">
      <c r="A1149" s="5" t="s">
        <v>5622</v>
      </c>
      <c r="B1149" s="6" t="str">
        <f>IMAGE("https://storage.googleapis.com/acdb/miscellaneous/FtrTablesetting_Remake_2_4.png")</f>
        <v/>
      </c>
      <c r="C1149" s="5" t="s">
        <v>114</v>
      </c>
      <c r="D1149" s="5" t="s">
        <v>34</v>
      </c>
      <c r="E1149" s="5" t="s">
        <v>96</v>
      </c>
      <c r="F1149" s="5" t="s">
        <v>5624</v>
      </c>
      <c r="G1149" s="5" t="s">
        <v>36</v>
      </c>
      <c r="H1149" s="5" t="s">
        <v>36</v>
      </c>
      <c r="I1149" s="5" t="s">
        <v>35</v>
      </c>
      <c r="J1149" s="6">
        <v>1.0</v>
      </c>
      <c r="K1149" s="6">
        <v>720.0</v>
      </c>
      <c r="L1149" s="6">
        <v>180.0</v>
      </c>
      <c r="M1149" s="5" t="s">
        <v>114</v>
      </c>
      <c r="N1149" s="5" t="s">
        <v>96</v>
      </c>
      <c r="O1149" s="6" t="s">
        <v>40</v>
      </c>
      <c r="P1149" s="5" t="s">
        <v>59</v>
      </c>
      <c r="Q1149" s="5" t="s">
        <v>122</v>
      </c>
      <c r="R1149" s="6" t="s">
        <v>42</v>
      </c>
      <c r="S1149" s="5" t="s">
        <v>62</v>
      </c>
      <c r="T1149" s="5" t="s">
        <v>116</v>
      </c>
      <c r="U1149" s="5" t="s">
        <v>44</v>
      </c>
      <c r="V1149" s="5" t="s">
        <v>44</v>
      </c>
      <c r="W1149" s="5" t="s">
        <v>36</v>
      </c>
      <c r="X1149" s="5" t="s">
        <v>521</v>
      </c>
      <c r="Y1149" s="5" t="s">
        <v>46</v>
      </c>
      <c r="Z1149" s="5" t="s">
        <v>47</v>
      </c>
      <c r="AA1149" s="5" t="s">
        <v>64</v>
      </c>
      <c r="AB1149" s="5" t="s">
        <v>5669</v>
      </c>
      <c r="AC1149" s="6" t="s">
        <v>541</v>
      </c>
      <c r="AD1149" s="6">
        <v>4068.0</v>
      </c>
    </row>
    <row r="1150" ht="56.25" customHeight="1">
      <c r="A1150" s="5" t="s">
        <v>5622</v>
      </c>
      <c r="B1150" s="6" t="str">
        <f>IMAGE("https://storage.googleapis.com/acdb/miscellaneous/FtrTablesetting_Remake_3_0.png")</f>
        <v/>
      </c>
      <c r="C1150" s="5" t="s">
        <v>83</v>
      </c>
      <c r="D1150" s="5" t="s">
        <v>34</v>
      </c>
      <c r="E1150" s="5" t="s">
        <v>57</v>
      </c>
      <c r="F1150" s="5" t="s">
        <v>5624</v>
      </c>
      <c r="G1150" s="5" t="s">
        <v>36</v>
      </c>
      <c r="H1150" s="5" t="s">
        <v>36</v>
      </c>
      <c r="I1150" s="5" t="s">
        <v>35</v>
      </c>
      <c r="J1150" s="6">
        <v>1.0</v>
      </c>
      <c r="K1150" s="6">
        <v>720.0</v>
      </c>
      <c r="L1150" s="6">
        <v>180.0</v>
      </c>
      <c r="M1150" s="5" t="s">
        <v>83</v>
      </c>
      <c r="N1150" s="5" t="s">
        <v>38</v>
      </c>
      <c r="O1150" s="6" t="s">
        <v>40</v>
      </c>
      <c r="P1150" s="5" t="s">
        <v>59</v>
      </c>
      <c r="Q1150" s="5" t="s">
        <v>122</v>
      </c>
      <c r="R1150" s="6" t="s">
        <v>42</v>
      </c>
      <c r="S1150" s="5" t="s">
        <v>62</v>
      </c>
      <c r="T1150" s="5" t="s">
        <v>116</v>
      </c>
      <c r="U1150" s="5" t="s">
        <v>44</v>
      </c>
      <c r="V1150" s="5" t="s">
        <v>44</v>
      </c>
      <c r="W1150" s="5" t="s">
        <v>36</v>
      </c>
      <c r="X1150" s="5" t="s">
        <v>521</v>
      </c>
      <c r="Y1150" s="5" t="s">
        <v>46</v>
      </c>
      <c r="Z1150" s="5" t="s">
        <v>47</v>
      </c>
      <c r="AA1150" s="5" t="s">
        <v>64</v>
      </c>
      <c r="AB1150" s="5" t="s">
        <v>5672</v>
      </c>
      <c r="AC1150" s="6" t="s">
        <v>71</v>
      </c>
      <c r="AD1150" s="6">
        <v>4068.0</v>
      </c>
    </row>
    <row r="1151" ht="56.25" customHeight="1">
      <c r="A1151" s="5" t="s">
        <v>5622</v>
      </c>
      <c r="B1151" s="6" t="str">
        <f>IMAGE("https://storage.googleapis.com/acdb/miscellaneous/FtrTablesetting_Remake_3_1.png")</f>
        <v/>
      </c>
      <c r="C1151" s="5" t="s">
        <v>83</v>
      </c>
      <c r="D1151" s="5" t="s">
        <v>34</v>
      </c>
      <c r="E1151" s="5" t="s">
        <v>1187</v>
      </c>
      <c r="F1151" s="5" t="s">
        <v>5624</v>
      </c>
      <c r="G1151" s="5" t="s">
        <v>36</v>
      </c>
      <c r="H1151" s="5" t="s">
        <v>36</v>
      </c>
      <c r="I1151" s="5" t="s">
        <v>35</v>
      </c>
      <c r="J1151" s="6">
        <v>1.0</v>
      </c>
      <c r="K1151" s="6">
        <v>720.0</v>
      </c>
      <c r="L1151" s="6">
        <v>180.0</v>
      </c>
      <c r="M1151" s="5" t="s">
        <v>83</v>
      </c>
      <c r="N1151" s="5" t="s">
        <v>68</v>
      </c>
      <c r="O1151" s="6" t="s">
        <v>40</v>
      </c>
      <c r="P1151" s="5" t="s">
        <v>59</v>
      </c>
      <c r="Q1151" s="5" t="s">
        <v>122</v>
      </c>
      <c r="R1151" s="6" t="s">
        <v>42</v>
      </c>
      <c r="S1151" s="5" t="s">
        <v>62</v>
      </c>
      <c r="T1151" s="5" t="s">
        <v>116</v>
      </c>
      <c r="U1151" s="5" t="s">
        <v>44</v>
      </c>
      <c r="V1151" s="5" t="s">
        <v>44</v>
      </c>
      <c r="W1151" s="5" t="s">
        <v>36</v>
      </c>
      <c r="X1151" s="5" t="s">
        <v>521</v>
      </c>
      <c r="Y1151" s="5" t="s">
        <v>46</v>
      </c>
      <c r="Z1151" s="5" t="s">
        <v>47</v>
      </c>
      <c r="AA1151" s="5" t="s">
        <v>64</v>
      </c>
      <c r="AB1151" s="5" t="s">
        <v>5675</v>
      </c>
      <c r="AC1151" s="6" t="s">
        <v>257</v>
      </c>
      <c r="AD1151" s="6">
        <v>4068.0</v>
      </c>
    </row>
    <row r="1152" ht="56.25" customHeight="1">
      <c r="A1152" s="5" t="s">
        <v>5622</v>
      </c>
      <c r="B1152" s="6" t="str">
        <f>IMAGE("https://storage.googleapis.com/acdb/miscellaneous/FtrTablesetting_Remake_3_2.png")</f>
        <v/>
      </c>
      <c r="C1152" s="5" t="s">
        <v>83</v>
      </c>
      <c r="D1152" s="5" t="s">
        <v>34</v>
      </c>
      <c r="E1152" s="5" t="s">
        <v>69</v>
      </c>
      <c r="F1152" s="5" t="s">
        <v>5624</v>
      </c>
      <c r="G1152" s="5" t="s">
        <v>36</v>
      </c>
      <c r="H1152" s="5" t="s">
        <v>36</v>
      </c>
      <c r="I1152" s="5" t="s">
        <v>35</v>
      </c>
      <c r="J1152" s="6">
        <v>1.0</v>
      </c>
      <c r="K1152" s="6">
        <v>720.0</v>
      </c>
      <c r="L1152" s="6">
        <v>180.0</v>
      </c>
      <c r="M1152" s="5" t="s">
        <v>83</v>
      </c>
      <c r="N1152" s="5" t="s">
        <v>69</v>
      </c>
      <c r="O1152" s="6" t="s">
        <v>40</v>
      </c>
      <c r="P1152" s="5" t="s">
        <v>59</v>
      </c>
      <c r="Q1152" s="5" t="s">
        <v>122</v>
      </c>
      <c r="R1152" s="6" t="s">
        <v>42</v>
      </c>
      <c r="S1152" s="5" t="s">
        <v>62</v>
      </c>
      <c r="T1152" s="5" t="s">
        <v>116</v>
      </c>
      <c r="U1152" s="5" t="s">
        <v>44</v>
      </c>
      <c r="V1152" s="5" t="s">
        <v>44</v>
      </c>
      <c r="W1152" s="5" t="s">
        <v>36</v>
      </c>
      <c r="X1152" s="5" t="s">
        <v>521</v>
      </c>
      <c r="Y1152" s="5" t="s">
        <v>46</v>
      </c>
      <c r="Z1152" s="5" t="s">
        <v>47</v>
      </c>
      <c r="AA1152" s="5" t="s">
        <v>64</v>
      </c>
      <c r="AB1152" s="5" t="s">
        <v>5679</v>
      </c>
      <c r="AC1152" s="6" t="s">
        <v>414</v>
      </c>
      <c r="AD1152" s="6">
        <v>4068.0</v>
      </c>
    </row>
    <row r="1153" ht="56.25" customHeight="1">
      <c r="A1153" s="5" t="s">
        <v>5622</v>
      </c>
      <c r="B1153" s="6" t="str">
        <f>IMAGE("https://storage.googleapis.com/acdb/miscellaneous/FtrTablesetting_Remake_3_3.png")</f>
        <v/>
      </c>
      <c r="C1153" s="5" t="s">
        <v>83</v>
      </c>
      <c r="D1153" s="5" t="s">
        <v>34</v>
      </c>
      <c r="E1153" s="5" t="s">
        <v>142</v>
      </c>
      <c r="F1153" s="5" t="s">
        <v>5624</v>
      </c>
      <c r="G1153" s="5" t="s">
        <v>36</v>
      </c>
      <c r="H1153" s="5" t="s">
        <v>36</v>
      </c>
      <c r="I1153" s="5" t="s">
        <v>35</v>
      </c>
      <c r="J1153" s="6">
        <v>1.0</v>
      </c>
      <c r="K1153" s="6">
        <v>720.0</v>
      </c>
      <c r="L1153" s="6">
        <v>180.0</v>
      </c>
      <c r="M1153" s="5" t="s">
        <v>83</v>
      </c>
      <c r="N1153" s="5" t="s">
        <v>114</v>
      </c>
      <c r="O1153" s="6" t="s">
        <v>40</v>
      </c>
      <c r="P1153" s="5" t="s">
        <v>59</v>
      </c>
      <c r="Q1153" s="5" t="s">
        <v>122</v>
      </c>
      <c r="R1153" s="6" t="s">
        <v>42</v>
      </c>
      <c r="S1153" s="5" t="s">
        <v>62</v>
      </c>
      <c r="T1153" s="5" t="s">
        <v>116</v>
      </c>
      <c r="U1153" s="5" t="s">
        <v>44</v>
      </c>
      <c r="V1153" s="5" t="s">
        <v>44</v>
      </c>
      <c r="W1153" s="5" t="s">
        <v>36</v>
      </c>
      <c r="X1153" s="5" t="s">
        <v>521</v>
      </c>
      <c r="Y1153" s="5" t="s">
        <v>46</v>
      </c>
      <c r="Z1153" s="5" t="s">
        <v>47</v>
      </c>
      <c r="AA1153" s="5" t="s">
        <v>64</v>
      </c>
      <c r="AB1153" s="5" t="s">
        <v>5684</v>
      </c>
      <c r="AC1153" s="6" t="s">
        <v>418</v>
      </c>
      <c r="AD1153" s="6">
        <v>4068.0</v>
      </c>
    </row>
    <row r="1154" ht="56.25" customHeight="1">
      <c r="A1154" s="5" t="s">
        <v>5622</v>
      </c>
      <c r="B1154" s="6" t="str">
        <f>IMAGE("https://storage.googleapis.com/acdb/miscellaneous/FtrTablesetting_Remake_3_4.png")</f>
        <v/>
      </c>
      <c r="C1154" s="5" t="s">
        <v>83</v>
      </c>
      <c r="D1154" s="5" t="s">
        <v>34</v>
      </c>
      <c r="E1154" s="5" t="s">
        <v>96</v>
      </c>
      <c r="F1154" s="5" t="s">
        <v>5624</v>
      </c>
      <c r="G1154" s="5" t="s">
        <v>36</v>
      </c>
      <c r="H1154" s="5" t="s">
        <v>36</v>
      </c>
      <c r="I1154" s="5" t="s">
        <v>35</v>
      </c>
      <c r="J1154" s="6">
        <v>1.0</v>
      </c>
      <c r="K1154" s="6">
        <v>720.0</v>
      </c>
      <c r="L1154" s="6">
        <v>180.0</v>
      </c>
      <c r="M1154" s="5" t="s">
        <v>83</v>
      </c>
      <c r="N1154" s="5" t="s">
        <v>96</v>
      </c>
      <c r="O1154" s="6" t="s">
        <v>40</v>
      </c>
      <c r="P1154" s="5" t="s">
        <v>59</v>
      </c>
      <c r="Q1154" s="5" t="s">
        <v>122</v>
      </c>
      <c r="R1154" s="6" t="s">
        <v>42</v>
      </c>
      <c r="S1154" s="5" t="s">
        <v>62</v>
      </c>
      <c r="T1154" s="5" t="s">
        <v>116</v>
      </c>
      <c r="U1154" s="5" t="s">
        <v>44</v>
      </c>
      <c r="V1154" s="5" t="s">
        <v>44</v>
      </c>
      <c r="W1154" s="5" t="s">
        <v>36</v>
      </c>
      <c r="X1154" s="5" t="s">
        <v>521</v>
      </c>
      <c r="Y1154" s="5" t="s">
        <v>46</v>
      </c>
      <c r="Z1154" s="5" t="s">
        <v>47</v>
      </c>
      <c r="AA1154" s="5" t="s">
        <v>64</v>
      </c>
      <c r="AB1154" s="5" t="s">
        <v>5688</v>
      </c>
      <c r="AC1154" s="6" t="s">
        <v>563</v>
      </c>
      <c r="AD1154" s="6">
        <v>4068.0</v>
      </c>
    </row>
    <row r="1155" ht="56.25" customHeight="1">
      <c r="A1155" s="5" t="s">
        <v>5622</v>
      </c>
      <c r="B1155" s="6" t="str">
        <f>IMAGE("https://storage.googleapis.com/acdb/miscellaneous/FtrTablesetting_Remake_4_0.png")</f>
        <v/>
      </c>
      <c r="C1155" s="5" t="s">
        <v>54</v>
      </c>
      <c r="D1155" s="5" t="s">
        <v>34</v>
      </c>
      <c r="E1155" s="5" t="s">
        <v>57</v>
      </c>
      <c r="F1155" s="5" t="s">
        <v>5624</v>
      </c>
      <c r="G1155" s="5" t="s">
        <v>36</v>
      </c>
      <c r="H1155" s="5" t="s">
        <v>36</v>
      </c>
      <c r="I1155" s="5" t="s">
        <v>35</v>
      </c>
      <c r="J1155" s="6">
        <v>1.0</v>
      </c>
      <c r="K1155" s="6">
        <v>720.0</v>
      </c>
      <c r="L1155" s="6">
        <v>180.0</v>
      </c>
      <c r="M1155" s="5" t="s">
        <v>54</v>
      </c>
      <c r="N1155" s="5" t="s">
        <v>38</v>
      </c>
      <c r="O1155" s="6" t="s">
        <v>40</v>
      </c>
      <c r="P1155" s="5" t="s">
        <v>59</v>
      </c>
      <c r="Q1155" s="5" t="s">
        <v>122</v>
      </c>
      <c r="R1155" s="6" t="s">
        <v>42</v>
      </c>
      <c r="S1155" s="5" t="s">
        <v>62</v>
      </c>
      <c r="T1155" s="5" t="s">
        <v>116</v>
      </c>
      <c r="U1155" s="5" t="s">
        <v>44</v>
      </c>
      <c r="V1155" s="5" t="s">
        <v>44</v>
      </c>
      <c r="W1155" s="5" t="s">
        <v>36</v>
      </c>
      <c r="X1155" s="5" t="s">
        <v>521</v>
      </c>
      <c r="Y1155" s="5" t="s">
        <v>46</v>
      </c>
      <c r="Z1155" s="5" t="s">
        <v>47</v>
      </c>
      <c r="AA1155" s="5" t="s">
        <v>64</v>
      </c>
      <c r="AB1155" s="5" t="s">
        <v>5692</v>
      </c>
      <c r="AC1155" s="6" t="s">
        <v>75</v>
      </c>
      <c r="AD1155" s="6">
        <v>4068.0</v>
      </c>
    </row>
    <row r="1156" ht="56.25" customHeight="1">
      <c r="A1156" s="5" t="s">
        <v>5622</v>
      </c>
      <c r="B1156" s="6" t="str">
        <f>IMAGE("https://storage.googleapis.com/acdb/miscellaneous/FtrTablesetting_Remake_4_1.png")</f>
        <v/>
      </c>
      <c r="C1156" s="5" t="s">
        <v>54</v>
      </c>
      <c r="D1156" s="5" t="s">
        <v>34</v>
      </c>
      <c r="E1156" s="5" t="s">
        <v>1187</v>
      </c>
      <c r="F1156" s="5" t="s">
        <v>5624</v>
      </c>
      <c r="G1156" s="5" t="s">
        <v>36</v>
      </c>
      <c r="H1156" s="5" t="s">
        <v>36</v>
      </c>
      <c r="I1156" s="5" t="s">
        <v>35</v>
      </c>
      <c r="J1156" s="6">
        <v>1.0</v>
      </c>
      <c r="K1156" s="6">
        <v>720.0</v>
      </c>
      <c r="L1156" s="6">
        <v>180.0</v>
      </c>
      <c r="M1156" s="5" t="s">
        <v>54</v>
      </c>
      <c r="N1156" s="5" t="s">
        <v>68</v>
      </c>
      <c r="O1156" s="6" t="s">
        <v>40</v>
      </c>
      <c r="P1156" s="5" t="s">
        <v>59</v>
      </c>
      <c r="Q1156" s="5" t="s">
        <v>122</v>
      </c>
      <c r="R1156" s="6" t="s">
        <v>42</v>
      </c>
      <c r="S1156" s="5" t="s">
        <v>62</v>
      </c>
      <c r="T1156" s="5" t="s">
        <v>116</v>
      </c>
      <c r="U1156" s="5" t="s">
        <v>44</v>
      </c>
      <c r="V1156" s="5" t="s">
        <v>44</v>
      </c>
      <c r="W1156" s="5" t="s">
        <v>36</v>
      </c>
      <c r="X1156" s="5" t="s">
        <v>521</v>
      </c>
      <c r="Y1156" s="5" t="s">
        <v>46</v>
      </c>
      <c r="Z1156" s="5" t="s">
        <v>47</v>
      </c>
      <c r="AA1156" s="5" t="s">
        <v>64</v>
      </c>
      <c r="AB1156" s="5" t="s">
        <v>5697</v>
      </c>
      <c r="AC1156" s="6" t="s">
        <v>429</v>
      </c>
      <c r="AD1156" s="6">
        <v>4068.0</v>
      </c>
    </row>
    <row r="1157" ht="56.25" customHeight="1">
      <c r="A1157" s="5" t="s">
        <v>5622</v>
      </c>
      <c r="B1157" s="6" t="str">
        <f>IMAGE("https://storage.googleapis.com/acdb/miscellaneous/FtrTablesetting_Remake_4_2.png")</f>
        <v/>
      </c>
      <c r="C1157" s="5" t="s">
        <v>54</v>
      </c>
      <c r="D1157" s="5" t="s">
        <v>34</v>
      </c>
      <c r="E1157" s="5" t="s">
        <v>69</v>
      </c>
      <c r="F1157" s="5" t="s">
        <v>5624</v>
      </c>
      <c r="G1157" s="5" t="s">
        <v>36</v>
      </c>
      <c r="H1157" s="5" t="s">
        <v>36</v>
      </c>
      <c r="I1157" s="5" t="s">
        <v>35</v>
      </c>
      <c r="J1157" s="6">
        <v>1.0</v>
      </c>
      <c r="K1157" s="6">
        <v>720.0</v>
      </c>
      <c r="L1157" s="6">
        <v>180.0</v>
      </c>
      <c r="M1157" s="5" t="s">
        <v>54</v>
      </c>
      <c r="N1157" s="5" t="s">
        <v>69</v>
      </c>
      <c r="O1157" s="6" t="s">
        <v>40</v>
      </c>
      <c r="P1157" s="5" t="s">
        <v>59</v>
      </c>
      <c r="Q1157" s="5" t="s">
        <v>122</v>
      </c>
      <c r="R1157" s="6" t="s">
        <v>42</v>
      </c>
      <c r="S1157" s="5" t="s">
        <v>62</v>
      </c>
      <c r="T1157" s="5" t="s">
        <v>116</v>
      </c>
      <c r="U1157" s="5" t="s">
        <v>44</v>
      </c>
      <c r="V1157" s="5" t="s">
        <v>44</v>
      </c>
      <c r="W1157" s="5" t="s">
        <v>36</v>
      </c>
      <c r="X1157" s="5" t="s">
        <v>521</v>
      </c>
      <c r="Y1157" s="5" t="s">
        <v>46</v>
      </c>
      <c r="Z1157" s="5" t="s">
        <v>47</v>
      </c>
      <c r="AA1157" s="5" t="s">
        <v>64</v>
      </c>
      <c r="AB1157" s="5" t="s">
        <v>5700</v>
      </c>
      <c r="AC1157" s="6" t="s">
        <v>434</v>
      </c>
      <c r="AD1157" s="6">
        <v>4068.0</v>
      </c>
    </row>
    <row r="1158" ht="56.25" customHeight="1">
      <c r="A1158" s="5" t="s">
        <v>5622</v>
      </c>
      <c r="B1158" s="6" t="str">
        <f>IMAGE("https://storage.googleapis.com/acdb/miscellaneous/FtrTablesetting_Remake_4_3.png")</f>
        <v/>
      </c>
      <c r="C1158" s="5" t="s">
        <v>54</v>
      </c>
      <c r="D1158" s="5" t="s">
        <v>34</v>
      </c>
      <c r="E1158" s="5" t="s">
        <v>142</v>
      </c>
      <c r="F1158" s="5" t="s">
        <v>5624</v>
      </c>
      <c r="G1158" s="5" t="s">
        <v>36</v>
      </c>
      <c r="H1158" s="5" t="s">
        <v>36</v>
      </c>
      <c r="I1158" s="5" t="s">
        <v>35</v>
      </c>
      <c r="J1158" s="6">
        <v>1.0</v>
      </c>
      <c r="K1158" s="6">
        <v>720.0</v>
      </c>
      <c r="L1158" s="6">
        <v>180.0</v>
      </c>
      <c r="M1158" s="5" t="s">
        <v>54</v>
      </c>
      <c r="N1158" s="5" t="s">
        <v>114</v>
      </c>
      <c r="O1158" s="6" t="s">
        <v>40</v>
      </c>
      <c r="P1158" s="5" t="s">
        <v>59</v>
      </c>
      <c r="Q1158" s="5" t="s">
        <v>122</v>
      </c>
      <c r="R1158" s="6" t="s">
        <v>42</v>
      </c>
      <c r="S1158" s="5" t="s">
        <v>62</v>
      </c>
      <c r="T1158" s="5" t="s">
        <v>116</v>
      </c>
      <c r="U1158" s="5" t="s">
        <v>44</v>
      </c>
      <c r="V1158" s="5" t="s">
        <v>44</v>
      </c>
      <c r="W1158" s="5" t="s">
        <v>36</v>
      </c>
      <c r="X1158" s="5" t="s">
        <v>521</v>
      </c>
      <c r="Y1158" s="5" t="s">
        <v>46</v>
      </c>
      <c r="Z1158" s="5" t="s">
        <v>47</v>
      </c>
      <c r="AA1158" s="5" t="s">
        <v>64</v>
      </c>
      <c r="AB1158" s="5" t="s">
        <v>5703</v>
      </c>
      <c r="AC1158" s="6" t="s">
        <v>438</v>
      </c>
      <c r="AD1158" s="6">
        <v>4068.0</v>
      </c>
    </row>
    <row r="1159" ht="56.25" customHeight="1">
      <c r="A1159" s="5" t="s">
        <v>5622</v>
      </c>
      <c r="B1159" s="6" t="str">
        <f>IMAGE("https://storage.googleapis.com/acdb/miscellaneous/FtrTablesetting_Remake_4_4.png")</f>
        <v/>
      </c>
      <c r="C1159" s="5" t="s">
        <v>54</v>
      </c>
      <c r="D1159" s="5" t="s">
        <v>34</v>
      </c>
      <c r="E1159" s="5" t="s">
        <v>96</v>
      </c>
      <c r="F1159" s="5" t="s">
        <v>5624</v>
      </c>
      <c r="G1159" s="5" t="s">
        <v>36</v>
      </c>
      <c r="H1159" s="5" t="s">
        <v>36</v>
      </c>
      <c r="I1159" s="5" t="s">
        <v>35</v>
      </c>
      <c r="J1159" s="6">
        <v>1.0</v>
      </c>
      <c r="K1159" s="6">
        <v>720.0</v>
      </c>
      <c r="L1159" s="6">
        <v>180.0</v>
      </c>
      <c r="M1159" s="5" t="s">
        <v>54</v>
      </c>
      <c r="N1159" s="5" t="s">
        <v>96</v>
      </c>
      <c r="O1159" s="6" t="s">
        <v>40</v>
      </c>
      <c r="P1159" s="5" t="s">
        <v>59</v>
      </c>
      <c r="Q1159" s="5" t="s">
        <v>122</v>
      </c>
      <c r="R1159" s="6" t="s">
        <v>42</v>
      </c>
      <c r="S1159" s="5" t="s">
        <v>62</v>
      </c>
      <c r="T1159" s="5" t="s">
        <v>116</v>
      </c>
      <c r="U1159" s="5" t="s">
        <v>44</v>
      </c>
      <c r="V1159" s="5" t="s">
        <v>44</v>
      </c>
      <c r="W1159" s="5" t="s">
        <v>36</v>
      </c>
      <c r="X1159" s="5" t="s">
        <v>521</v>
      </c>
      <c r="Y1159" s="5" t="s">
        <v>46</v>
      </c>
      <c r="Z1159" s="5" t="s">
        <v>47</v>
      </c>
      <c r="AA1159" s="5" t="s">
        <v>64</v>
      </c>
      <c r="AB1159" s="5" t="s">
        <v>5705</v>
      </c>
      <c r="AC1159" s="6" t="s">
        <v>585</v>
      </c>
      <c r="AD1159" s="6">
        <v>4068.0</v>
      </c>
    </row>
    <row r="1160" ht="56.25" customHeight="1">
      <c r="A1160" s="5" t="s">
        <v>5706</v>
      </c>
      <c r="B1160" s="6" t="str">
        <f>IMAGE("https://storage.googleapis.com/acdb/miscellaneous/FtrTreeXmasMini_Remake_0_0.png")</f>
        <v/>
      </c>
      <c r="C1160" s="5" t="s">
        <v>58</v>
      </c>
      <c r="D1160" s="5" t="s">
        <v>373</v>
      </c>
      <c r="E1160" s="5" t="s">
        <v>34</v>
      </c>
      <c r="F1160" s="5" t="s">
        <v>34</v>
      </c>
      <c r="G1160" s="5" t="s">
        <v>35</v>
      </c>
      <c r="H1160" s="5" t="s">
        <v>35</v>
      </c>
      <c r="I1160" s="5" t="s">
        <v>36</v>
      </c>
      <c r="J1160" s="6">
        <v>2.0</v>
      </c>
      <c r="K1160" s="6" t="s">
        <v>37</v>
      </c>
      <c r="L1160" s="6">
        <v>930.0</v>
      </c>
      <c r="M1160" s="5" t="s">
        <v>96</v>
      </c>
      <c r="N1160" s="5" t="s">
        <v>58</v>
      </c>
      <c r="O1160" s="6" t="s">
        <v>40</v>
      </c>
      <c r="P1160" s="5" t="s">
        <v>41</v>
      </c>
      <c r="Q1160" s="5" t="s">
        <v>969</v>
      </c>
      <c r="R1160" s="6" t="s">
        <v>42</v>
      </c>
      <c r="S1160" s="5" t="s">
        <v>465</v>
      </c>
      <c r="T1160" s="5" t="s">
        <v>61</v>
      </c>
      <c r="U1160" s="5" t="s">
        <v>970</v>
      </c>
      <c r="V1160" s="5" t="s">
        <v>44</v>
      </c>
      <c r="W1160" s="5" t="s">
        <v>35</v>
      </c>
      <c r="X1160" s="5" t="s">
        <v>590</v>
      </c>
      <c r="Y1160" s="5" t="s">
        <v>46</v>
      </c>
      <c r="Z1160" s="5" t="s">
        <v>47</v>
      </c>
      <c r="AA1160" s="5" t="s">
        <v>48</v>
      </c>
      <c r="AB1160" s="5" t="s">
        <v>5710</v>
      </c>
      <c r="AC1160" s="6" t="s">
        <v>50</v>
      </c>
      <c r="AD1160" s="6">
        <v>4067.0</v>
      </c>
    </row>
    <row r="1161" ht="56.25" customHeight="1">
      <c r="A1161" s="5" t="s">
        <v>5706</v>
      </c>
      <c r="B1161" s="6" t="str">
        <f>IMAGE("https://storage.googleapis.com/acdb/miscellaneous/FtrTreeXmasMini_Remake_1_0.png")</f>
        <v/>
      </c>
      <c r="C1161" s="5" t="s">
        <v>68</v>
      </c>
      <c r="D1161" s="5" t="s">
        <v>373</v>
      </c>
      <c r="E1161" s="5" t="s">
        <v>34</v>
      </c>
      <c r="F1161" s="5" t="s">
        <v>34</v>
      </c>
      <c r="G1161" s="5" t="s">
        <v>35</v>
      </c>
      <c r="H1161" s="5" t="s">
        <v>35</v>
      </c>
      <c r="I1161" s="5" t="s">
        <v>36</v>
      </c>
      <c r="J1161" s="6">
        <v>2.0</v>
      </c>
      <c r="K1161" s="6" t="s">
        <v>37</v>
      </c>
      <c r="L1161" s="6">
        <v>930.0</v>
      </c>
      <c r="M1161" s="5" t="s">
        <v>96</v>
      </c>
      <c r="N1161" s="5" t="s">
        <v>68</v>
      </c>
      <c r="O1161" s="6" t="s">
        <v>40</v>
      </c>
      <c r="P1161" s="5" t="s">
        <v>41</v>
      </c>
      <c r="Q1161" s="5" t="s">
        <v>969</v>
      </c>
      <c r="R1161" s="6" t="s">
        <v>42</v>
      </c>
      <c r="S1161" s="5" t="s">
        <v>465</v>
      </c>
      <c r="T1161" s="5" t="s">
        <v>61</v>
      </c>
      <c r="U1161" s="5" t="s">
        <v>970</v>
      </c>
      <c r="V1161" s="5" t="s">
        <v>44</v>
      </c>
      <c r="W1161" s="5" t="s">
        <v>35</v>
      </c>
      <c r="X1161" s="5" t="s">
        <v>590</v>
      </c>
      <c r="Y1161" s="5" t="s">
        <v>46</v>
      </c>
      <c r="Z1161" s="5" t="s">
        <v>47</v>
      </c>
      <c r="AA1161" s="5" t="s">
        <v>48</v>
      </c>
      <c r="AB1161" s="5" t="s">
        <v>5713</v>
      </c>
      <c r="AC1161" s="6" t="s">
        <v>56</v>
      </c>
      <c r="AD1161" s="6">
        <v>4067.0</v>
      </c>
    </row>
    <row r="1162" ht="56.25" customHeight="1">
      <c r="A1162" s="5" t="s">
        <v>5706</v>
      </c>
      <c r="B1162" s="6" t="str">
        <f>IMAGE("https://storage.googleapis.com/acdb/miscellaneous/FtrTreeXmasMini_Remake_2_0.png")</f>
        <v/>
      </c>
      <c r="C1162" s="5" t="s">
        <v>52</v>
      </c>
      <c r="D1162" s="5" t="s">
        <v>373</v>
      </c>
      <c r="E1162" s="5" t="s">
        <v>34</v>
      </c>
      <c r="F1162" s="5" t="s">
        <v>34</v>
      </c>
      <c r="G1162" s="5" t="s">
        <v>35</v>
      </c>
      <c r="H1162" s="5" t="s">
        <v>35</v>
      </c>
      <c r="I1162" s="5" t="s">
        <v>36</v>
      </c>
      <c r="J1162" s="6">
        <v>2.0</v>
      </c>
      <c r="K1162" s="6" t="s">
        <v>37</v>
      </c>
      <c r="L1162" s="6">
        <v>930.0</v>
      </c>
      <c r="M1162" s="5" t="s">
        <v>96</v>
      </c>
      <c r="N1162" s="5" t="s">
        <v>52</v>
      </c>
      <c r="O1162" s="6" t="s">
        <v>40</v>
      </c>
      <c r="P1162" s="5" t="s">
        <v>41</v>
      </c>
      <c r="Q1162" s="5" t="s">
        <v>969</v>
      </c>
      <c r="R1162" s="6" t="s">
        <v>42</v>
      </c>
      <c r="S1162" s="5" t="s">
        <v>465</v>
      </c>
      <c r="T1162" s="5" t="s">
        <v>61</v>
      </c>
      <c r="U1162" s="5" t="s">
        <v>970</v>
      </c>
      <c r="V1162" s="5" t="s">
        <v>44</v>
      </c>
      <c r="W1162" s="5" t="s">
        <v>35</v>
      </c>
      <c r="X1162" s="5" t="s">
        <v>590</v>
      </c>
      <c r="Y1162" s="5" t="s">
        <v>46</v>
      </c>
      <c r="Z1162" s="5" t="s">
        <v>47</v>
      </c>
      <c r="AA1162" s="5" t="s">
        <v>48</v>
      </c>
      <c r="AB1162" s="5" t="s">
        <v>5717</v>
      </c>
      <c r="AC1162" s="6" t="s">
        <v>67</v>
      </c>
      <c r="AD1162" s="6">
        <v>4067.0</v>
      </c>
    </row>
    <row r="1163" ht="56.25" customHeight="1">
      <c r="A1163" s="5" t="s">
        <v>5706</v>
      </c>
      <c r="B1163" s="6" t="str">
        <f>IMAGE("https://storage.googleapis.com/acdb/miscellaneous/FtrTreeXmasMini_Remake_3_0.png")</f>
        <v/>
      </c>
      <c r="C1163" s="5" t="s">
        <v>69</v>
      </c>
      <c r="D1163" s="5" t="s">
        <v>373</v>
      </c>
      <c r="E1163" s="5" t="s">
        <v>34</v>
      </c>
      <c r="F1163" s="5" t="s">
        <v>34</v>
      </c>
      <c r="G1163" s="5" t="s">
        <v>35</v>
      </c>
      <c r="H1163" s="5" t="s">
        <v>35</v>
      </c>
      <c r="I1163" s="5" t="s">
        <v>36</v>
      </c>
      <c r="J1163" s="6">
        <v>2.0</v>
      </c>
      <c r="K1163" s="6" t="s">
        <v>37</v>
      </c>
      <c r="L1163" s="6">
        <v>930.0</v>
      </c>
      <c r="M1163" s="5" t="s">
        <v>69</v>
      </c>
      <c r="N1163" s="5" t="s">
        <v>57</v>
      </c>
      <c r="O1163" s="6" t="s">
        <v>40</v>
      </c>
      <c r="P1163" s="5" t="s">
        <v>41</v>
      </c>
      <c r="Q1163" s="5" t="s">
        <v>969</v>
      </c>
      <c r="R1163" s="6" t="s">
        <v>42</v>
      </c>
      <c r="S1163" s="5" t="s">
        <v>465</v>
      </c>
      <c r="T1163" s="5" t="s">
        <v>61</v>
      </c>
      <c r="U1163" s="5" t="s">
        <v>970</v>
      </c>
      <c r="V1163" s="5" t="s">
        <v>44</v>
      </c>
      <c r="W1163" s="5" t="s">
        <v>35</v>
      </c>
      <c r="X1163" s="5" t="s">
        <v>590</v>
      </c>
      <c r="Y1163" s="5" t="s">
        <v>46</v>
      </c>
      <c r="Z1163" s="5" t="s">
        <v>47</v>
      </c>
      <c r="AA1163" s="5" t="s">
        <v>48</v>
      </c>
      <c r="AB1163" s="5" t="s">
        <v>5721</v>
      </c>
      <c r="AC1163" s="6" t="s">
        <v>71</v>
      </c>
      <c r="AD1163" s="6">
        <v>4067.0</v>
      </c>
    </row>
    <row r="1164" ht="56.25" customHeight="1">
      <c r="A1164" s="5" t="s">
        <v>5706</v>
      </c>
      <c r="B1164" s="6" t="str">
        <f>IMAGE("https://storage.googleapis.com/acdb/miscellaneous/FtrTreeXmasMini_Remake_4_0.png")</f>
        <v/>
      </c>
      <c r="C1164" s="5" t="s">
        <v>151</v>
      </c>
      <c r="D1164" s="5" t="s">
        <v>373</v>
      </c>
      <c r="E1164" s="5" t="s">
        <v>34</v>
      </c>
      <c r="F1164" s="5" t="s">
        <v>34</v>
      </c>
      <c r="G1164" s="5" t="s">
        <v>35</v>
      </c>
      <c r="H1164" s="5" t="s">
        <v>35</v>
      </c>
      <c r="I1164" s="5" t="s">
        <v>36</v>
      </c>
      <c r="J1164" s="6">
        <v>2.0</v>
      </c>
      <c r="K1164" s="6" t="s">
        <v>37</v>
      </c>
      <c r="L1164" s="6">
        <v>930.0</v>
      </c>
      <c r="M1164" s="5" t="s">
        <v>96</v>
      </c>
      <c r="N1164" s="5" t="s">
        <v>114</v>
      </c>
      <c r="O1164" s="6" t="s">
        <v>40</v>
      </c>
      <c r="P1164" s="5" t="s">
        <v>41</v>
      </c>
      <c r="Q1164" s="5" t="s">
        <v>969</v>
      </c>
      <c r="R1164" s="6" t="s">
        <v>42</v>
      </c>
      <c r="S1164" s="5" t="s">
        <v>465</v>
      </c>
      <c r="T1164" s="5" t="s">
        <v>61</v>
      </c>
      <c r="U1164" s="5" t="s">
        <v>970</v>
      </c>
      <c r="V1164" s="5" t="s">
        <v>44</v>
      </c>
      <c r="W1164" s="5" t="s">
        <v>35</v>
      </c>
      <c r="X1164" s="5" t="s">
        <v>590</v>
      </c>
      <c r="Y1164" s="5" t="s">
        <v>46</v>
      </c>
      <c r="Z1164" s="5" t="s">
        <v>47</v>
      </c>
      <c r="AA1164" s="5" t="s">
        <v>48</v>
      </c>
      <c r="AB1164" s="5" t="s">
        <v>5724</v>
      </c>
      <c r="AC1164" s="6" t="s">
        <v>75</v>
      </c>
      <c r="AD1164" s="6">
        <v>4067.0</v>
      </c>
    </row>
    <row r="1165" ht="56.25" customHeight="1">
      <c r="A1165" s="5" t="s">
        <v>5706</v>
      </c>
      <c r="B1165" s="6" t="str">
        <f>IMAGE("https://storage.googleapis.com/acdb/miscellaneous/FtrTreeXmasMini_Remake_5_0.png")</f>
        <v/>
      </c>
      <c r="C1165" s="5" t="s">
        <v>57</v>
      </c>
      <c r="D1165" s="5" t="s">
        <v>373</v>
      </c>
      <c r="E1165" s="5" t="s">
        <v>34</v>
      </c>
      <c r="F1165" s="5" t="s">
        <v>34</v>
      </c>
      <c r="G1165" s="5" t="s">
        <v>35</v>
      </c>
      <c r="H1165" s="5" t="s">
        <v>35</v>
      </c>
      <c r="I1165" s="5" t="s">
        <v>36</v>
      </c>
      <c r="J1165" s="6">
        <v>2.0</v>
      </c>
      <c r="K1165" s="6" t="s">
        <v>37</v>
      </c>
      <c r="L1165" s="6">
        <v>930.0</v>
      </c>
      <c r="M1165" s="5" t="s">
        <v>57</v>
      </c>
      <c r="N1165" s="5" t="s">
        <v>114</v>
      </c>
      <c r="O1165" s="6" t="s">
        <v>40</v>
      </c>
      <c r="P1165" s="5" t="s">
        <v>41</v>
      </c>
      <c r="Q1165" s="5" t="s">
        <v>969</v>
      </c>
      <c r="R1165" s="6" t="s">
        <v>42</v>
      </c>
      <c r="S1165" s="5" t="s">
        <v>465</v>
      </c>
      <c r="T1165" s="5" t="s">
        <v>61</v>
      </c>
      <c r="U1165" s="5" t="s">
        <v>970</v>
      </c>
      <c r="V1165" s="5" t="s">
        <v>44</v>
      </c>
      <c r="W1165" s="5" t="s">
        <v>35</v>
      </c>
      <c r="X1165" s="5" t="s">
        <v>590</v>
      </c>
      <c r="Y1165" s="5" t="s">
        <v>46</v>
      </c>
      <c r="Z1165" s="5" t="s">
        <v>47</v>
      </c>
      <c r="AA1165" s="5" t="s">
        <v>48</v>
      </c>
      <c r="AB1165" s="5" t="s">
        <v>5726</v>
      </c>
      <c r="AC1165" s="6" t="s">
        <v>79</v>
      </c>
      <c r="AD1165" s="6">
        <v>4067.0</v>
      </c>
    </row>
    <row r="1166" ht="56.25" customHeight="1">
      <c r="A1166" s="5" t="s">
        <v>5727</v>
      </c>
      <c r="B1166" s="16" t="str">
        <f>IMAGE("https://storage.googleapis.com/acdb/miscellaneous/FtrFishOtamajakusiToy.png")</f>
        <v/>
      </c>
      <c r="C1166" s="5" t="s">
        <v>34</v>
      </c>
      <c r="D1166" s="5" t="s">
        <v>34</v>
      </c>
      <c r="E1166" s="5" t="s">
        <v>34</v>
      </c>
      <c r="F1166" s="5" t="s">
        <v>34</v>
      </c>
      <c r="G1166" s="5" t="s">
        <v>36</v>
      </c>
      <c r="H1166" s="5" t="s">
        <v>36</v>
      </c>
      <c r="I1166" s="5" t="s">
        <v>36</v>
      </c>
      <c r="J1166" s="6" t="s">
        <v>34</v>
      </c>
      <c r="K1166" s="6" t="s">
        <v>37</v>
      </c>
      <c r="L1166" s="6">
        <v>300.0</v>
      </c>
      <c r="M1166" s="5" t="s">
        <v>54</v>
      </c>
      <c r="N1166" s="5" t="s">
        <v>54</v>
      </c>
      <c r="O1166" s="6" t="s">
        <v>40</v>
      </c>
      <c r="P1166" s="5" t="s">
        <v>213</v>
      </c>
      <c r="Q1166" s="5" t="s">
        <v>215</v>
      </c>
      <c r="R1166" s="6" t="s">
        <v>42</v>
      </c>
      <c r="S1166" s="5" t="s">
        <v>44</v>
      </c>
      <c r="T1166" s="5" t="s">
        <v>44</v>
      </c>
      <c r="U1166" s="5" t="s">
        <v>44</v>
      </c>
      <c r="V1166" s="5" t="s">
        <v>44</v>
      </c>
      <c r="W1166" s="5" t="s">
        <v>36</v>
      </c>
      <c r="X1166" s="5" t="s">
        <v>219</v>
      </c>
      <c r="Y1166" s="5" t="s">
        <v>46</v>
      </c>
      <c r="Z1166" s="5" t="s">
        <v>47</v>
      </c>
      <c r="AA1166" s="5" t="s">
        <v>48</v>
      </c>
      <c r="AB1166" s="5" t="s">
        <v>5730</v>
      </c>
      <c r="AC1166" s="6" t="s">
        <v>34</v>
      </c>
      <c r="AD1166" s="6">
        <v>7001.0</v>
      </c>
    </row>
    <row r="1167" ht="56.25" customHeight="1">
      <c r="A1167" s="5" t="s">
        <v>5731</v>
      </c>
      <c r="B1167" s="6" t="str">
        <f>IMAGE("https://storage.googleapis.com/acdb/miscellaneous/FtrRadicase_Remake_0_0.png")</f>
        <v/>
      </c>
      <c r="C1167" s="5" t="s">
        <v>146</v>
      </c>
      <c r="D1167" s="5" t="s">
        <v>34</v>
      </c>
      <c r="E1167" s="5" t="s">
        <v>34</v>
      </c>
      <c r="F1167" s="5" t="s">
        <v>34</v>
      </c>
      <c r="G1167" s="5" t="s">
        <v>36</v>
      </c>
      <c r="H1167" s="5" t="s">
        <v>36</v>
      </c>
      <c r="I1167" s="5" t="s">
        <v>36</v>
      </c>
      <c r="J1167" s="6" t="s">
        <v>34</v>
      </c>
      <c r="K1167" s="6">
        <v>2900.0</v>
      </c>
      <c r="L1167" s="6">
        <v>725.0</v>
      </c>
      <c r="M1167" s="5" t="s">
        <v>95</v>
      </c>
      <c r="N1167" s="5" t="s">
        <v>68</v>
      </c>
      <c r="O1167" s="6" t="s">
        <v>40</v>
      </c>
      <c r="P1167" s="5" t="s">
        <v>59</v>
      </c>
      <c r="Q1167" s="5" t="s">
        <v>60</v>
      </c>
      <c r="R1167" s="6" t="s">
        <v>42</v>
      </c>
      <c r="S1167" s="5" t="s">
        <v>90</v>
      </c>
      <c r="T1167" s="5" t="s">
        <v>44</v>
      </c>
      <c r="U1167" s="5" t="s">
        <v>44</v>
      </c>
      <c r="V1167" s="5" t="s">
        <v>44</v>
      </c>
      <c r="W1167" s="5" t="s">
        <v>35</v>
      </c>
      <c r="X1167" s="5" t="s">
        <v>746</v>
      </c>
      <c r="Y1167" s="5" t="s">
        <v>885</v>
      </c>
      <c r="Z1167" s="5" t="s">
        <v>47</v>
      </c>
      <c r="AA1167" s="5" t="s">
        <v>64</v>
      </c>
      <c r="AB1167" s="5" t="s">
        <v>5736</v>
      </c>
      <c r="AC1167" s="6" t="s">
        <v>50</v>
      </c>
      <c r="AD1167" s="6">
        <v>787.0</v>
      </c>
    </row>
    <row r="1168" ht="56.25" customHeight="1">
      <c r="A1168" s="5" t="s">
        <v>5731</v>
      </c>
      <c r="B1168" s="6" t="str">
        <f>IMAGE("https://storage.googleapis.com/acdb/miscellaneous/FtrRadicase_Remake_1_0.png")</f>
        <v/>
      </c>
      <c r="C1168" s="5" t="s">
        <v>142</v>
      </c>
      <c r="D1168" s="5" t="s">
        <v>34</v>
      </c>
      <c r="E1168" s="5" t="s">
        <v>34</v>
      </c>
      <c r="F1168" s="5" t="s">
        <v>34</v>
      </c>
      <c r="G1168" s="5" t="s">
        <v>36</v>
      </c>
      <c r="H1168" s="5" t="s">
        <v>36</v>
      </c>
      <c r="I1168" s="5" t="s">
        <v>36</v>
      </c>
      <c r="J1168" s="6" t="s">
        <v>34</v>
      </c>
      <c r="K1168" s="6">
        <v>2900.0</v>
      </c>
      <c r="L1168" s="6">
        <v>725.0</v>
      </c>
      <c r="M1168" s="5" t="s">
        <v>142</v>
      </c>
      <c r="N1168" s="5" t="s">
        <v>54</v>
      </c>
      <c r="O1168" s="6" t="s">
        <v>40</v>
      </c>
      <c r="P1168" s="5" t="s">
        <v>59</v>
      </c>
      <c r="Q1168" s="5" t="s">
        <v>60</v>
      </c>
      <c r="R1168" s="6" t="s">
        <v>42</v>
      </c>
      <c r="S1168" s="5" t="s">
        <v>90</v>
      </c>
      <c r="T1168" s="5" t="s">
        <v>44</v>
      </c>
      <c r="U1168" s="5" t="s">
        <v>44</v>
      </c>
      <c r="V1168" s="5" t="s">
        <v>44</v>
      </c>
      <c r="W1168" s="5" t="s">
        <v>35</v>
      </c>
      <c r="X1168" s="5" t="s">
        <v>746</v>
      </c>
      <c r="Y1168" s="5" t="s">
        <v>885</v>
      </c>
      <c r="Z1168" s="5" t="s">
        <v>47</v>
      </c>
      <c r="AA1168" s="5" t="s">
        <v>64</v>
      </c>
      <c r="AB1168" s="5" t="s">
        <v>5741</v>
      </c>
      <c r="AC1168" s="6" t="s">
        <v>56</v>
      </c>
      <c r="AD1168" s="6">
        <v>787.0</v>
      </c>
    </row>
    <row r="1169" ht="56.25" customHeight="1">
      <c r="A1169" s="5" t="s">
        <v>5731</v>
      </c>
      <c r="B1169" s="6" t="str">
        <f>IMAGE("https://storage.googleapis.com/acdb/miscellaneous/FtrRadicase_Remake_2_0.png")</f>
        <v/>
      </c>
      <c r="C1169" s="5" t="s">
        <v>57</v>
      </c>
      <c r="D1169" s="5" t="s">
        <v>34</v>
      </c>
      <c r="E1169" s="5" t="s">
        <v>34</v>
      </c>
      <c r="F1169" s="5" t="s">
        <v>34</v>
      </c>
      <c r="G1169" s="5" t="s">
        <v>36</v>
      </c>
      <c r="H1169" s="5" t="s">
        <v>36</v>
      </c>
      <c r="I1169" s="5" t="s">
        <v>36</v>
      </c>
      <c r="J1169" s="6" t="s">
        <v>34</v>
      </c>
      <c r="K1169" s="6">
        <v>2900.0</v>
      </c>
      <c r="L1169" s="6">
        <v>725.0</v>
      </c>
      <c r="M1169" s="5" t="s">
        <v>57</v>
      </c>
      <c r="N1169" s="5" t="s">
        <v>54</v>
      </c>
      <c r="O1169" s="6" t="s">
        <v>40</v>
      </c>
      <c r="P1169" s="5" t="s">
        <v>59</v>
      </c>
      <c r="Q1169" s="5" t="s">
        <v>60</v>
      </c>
      <c r="R1169" s="6" t="s">
        <v>42</v>
      </c>
      <c r="S1169" s="5" t="s">
        <v>90</v>
      </c>
      <c r="T1169" s="5" t="s">
        <v>44</v>
      </c>
      <c r="U1169" s="5" t="s">
        <v>44</v>
      </c>
      <c r="V1169" s="5" t="s">
        <v>44</v>
      </c>
      <c r="W1169" s="5" t="s">
        <v>35</v>
      </c>
      <c r="X1169" s="5" t="s">
        <v>746</v>
      </c>
      <c r="Y1169" s="5" t="s">
        <v>885</v>
      </c>
      <c r="Z1169" s="5" t="s">
        <v>47</v>
      </c>
      <c r="AA1169" s="5" t="s">
        <v>64</v>
      </c>
      <c r="AB1169" s="5" t="s">
        <v>5747</v>
      </c>
      <c r="AC1169" s="6" t="s">
        <v>67</v>
      </c>
      <c r="AD1169" s="6">
        <v>787.0</v>
      </c>
    </row>
    <row r="1170" ht="56.25" customHeight="1">
      <c r="A1170" s="5" t="s">
        <v>5731</v>
      </c>
      <c r="B1170" s="6" t="str">
        <f>IMAGE("https://storage.googleapis.com/acdb/miscellaneous/FtrRadicase_Remake_3_0.png")</f>
        <v/>
      </c>
      <c r="C1170" s="5" t="s">
        <v>54</v>
      </c>
      <c r="D1170" s="5" t="s">
        <v>34</v>
      </c>
      <c r="E1170" s="5" t="s">
        <v>34</v>
      </c>
      <c r="F1170" s="5" t="s">
        <v>34</v>
      </c>
      <c r="G1170" s="5" t="s">
        <v>36</v>
      </c>
      <c r="H1170" s="5" t="s">
        <v>36</v>
      </c>
      <c r="I1170" s="5" t="s">
        <v>36</v>
      </c>
      <c r="J1170" s="6" t="s">
        <v>34</v>
      </c>
      <c r="K1170" s="6">
        <v>2900.0</v>
      </c>
      <c r="L1170" s="6">
        <v>725.0</v>
      </c>
      <c r="M1170" s="5" t="s">
        <v>54</v>
      </c>
      <c r="N1170" s="5" t="s">
        <v>95</v>
      </c>
      <c r="O1170" s="6" t="s">
        <v>40</v>
      </c>
      <c r="P1170" s="5" t="s">
        <v>59</v>
      </c>
      <c r="Q1170" s="5" t="s">
        <v>60</v>
      </c>
      <c r="R1170" s="6" t="s">
        <v>42</v>
      </c>
      <c r="S1170" s="5" t="s">
        <v>90</v>
      </c>
      <c r="T1170" s="5" t="s">
        <v>44</v>
      </c>
      <c r="U1170" s="5" t="s">
        <v>44</v>
      </c>
      <c r="V1170" s="5" t="s">
        <v>44</v>
      </c>
      <c r="W1170" s="5" t="s">
        <v>35</v>
      </c>
      <c r="X1170" s="5" t="s">
        <v>746</v>
      </c>
      <c r="Y1170" s="5" t="s">
        <v>885</v>
      </c>
      <c r="Z1170" s="5" t="s">
        <v>47</v>
      </c>
      <c r="AA1170" s="5" t="s">
        <v>64</v>
      </c>
      <c r="AB1170" s="5" t="s">
        <v>5751</v>
      </c>
      <c r="AC1170" s="6" t="s">
        <v>71</v>
      </c>
      <c r="AD1170" s="6">
        <v>787.0</v>
      </c>
    </row>
    <row r="1171" ht="56.25" customHeight="1">
      <c r="A1171" s="5" t="s">
        <v>5752</v>
      </c>
      <c r="B1171" s="16" t="str">
        <f>IMAGE("https://storage.googleapis.com/acdb/miscellaneous/FtrInsectTaranchuraToy.png")</f>
        <v/>
      </c>
      <c r="C1171" s="5" t="s">
        <v>34</v>
      </c>
      <c r="D1171" s="5" t="s">
        <v>34</v>
      </c>
      <c r="E1171" s="5" t="s">
        <v>34</v>
      </c>
      <c r="F1171" s="5" t="s">
        <v>34</v>
      </c>
      <c r="G1171" s="5" t="s">
        <v>36</v>
      </c>
      <c r="H1171" s="5" t="s">
        <v>36</v>
      </c>
      <c r="I1171" s="5" t="s">
        <v>36</v>
      </c>
      <c r="J1171" s="6" t="s">
        <v>34</v>
      </c>
      <c r="K1171" s="6" t="s">
        <v>37</v>
      </c>
      <c r="L1171" s="6">
        <v>24000.0</v>
      </c>
      <c r="M1171" s="5" t="s">
        <v>39</v>
      </c>
      <c r="N1171" s="5" t="s">
        <v>39</v>
      </c>
      <c r="O1171" s="6" t="s">
        <v>40</v>
      </c>
      <c r="P1171" s="5" t="s">
        <v>107</v>
      </c>
      <c r="Q1171" s="5" t="s">
        <v>108</v>
      </c>
      <c r="R1171" s="6" t="s">
        <v>42</v>
      </c>
      <c r="S1171" s="5" t="s">
        <v>44</v>
      </c>
      <c r="T1171" s="5" t="s">
        <v>44</v>
      </c>
      <c r="U1171" s="5" t="s">
        <v>44</v>
      </c>
      <c r="V1171" s="5" t="s">
        <v>44</v>
      </c>
      <c r="W1171" s="5" t="s">
        <v>36</v>
      </c>
      <c r="X1171" s="5" t="s">
        <v>109</v>
      </c>
      <c r="Y1171" s="5" t="s">
        <v>46</v>
      </c>
      <c r="Z1171" s="5" t="s">
        <v>47</v>
      </c>
      <c r="AA1171" s="5" t="s">
        <v>48</v>
      </c>
      <c r="AB1171" s="5" t="s">
        <v>5756</v>
      </c>
      <c r="AC1171" s="6" t="s">
        <v>34</v>
      </c>
      <c r="AD1171" s="6">
        <v>7101.0</v>
      </c>
    </row>
    <row r="1172" ht="56.25" customHeight="1">
      <c r="A1172" s="5" t="s">
        <v>5757</v>
      </c>
      <c r="B1172" s="6" t="str">
        <f>IMAGE("https://storage.googleapis.com/acdb/miscellaneous/FtrTeaset_Remake_0_0.png")</f>
        <v/>
      </c>
      <c r="C1172" s="5" t="s">
        <v>96</v>
      </c>
      <c r="D1172" s="5" t="s">
        <v>34</v>
      </c>
      <c r="E1172" s="5" t="s">
        <v>114</v>
      </c>
      <c r="F1172" s="5" t="s">
        <v>5759</v>
      </c>
      <c r="G1172" s="5" t="s">
        <v>36</v>
      </c>
      <c r="H1172" s="5" t="s">
        <v>36</v>
      </c>
      <c r="I1172" s="5" t="s">
        <v>35</v>
      </c>
      <c r="J1172" s="6">
        <v>1.0</v>
      </c>
      <c r="K1172" s="6">
        <v>1000.0</v>
      </c>
      <c r="L1172" s="6">
        <v>250.0</v>
      </c>
      <c r="M1172" s="5" t="s">
        <v>96</v>
      </c>
      <c r="N1172" s="5" t="s">
        <v>114</v>
      </c>
      <c r="O1172" s="6" t="s">
        <v>40</v>
      </c>
      <c r="P1172" s="5" t="s">
        <v>59</v>
      </c>
      <c r="Q1172" s="5" t="s">
        <v>60</v>
      </c>
      <c r="R1172" s="6" t="s">
        <v>42</v>
      </c>
      <c r="S1172" s="5" t="s">
        <v>159</v>
      </c>
      <c r="T1172" s="5" t="s">
        <v>62</v>
      </c>
      <c r="U1172" s="5" t="s">
        <v>44</v>
      </c>
      <c r="V1172" s="5" t="s">
        <v>44</v>
      </c>
      <c r="W1172" s="5" t="s">
        <v>36</v>
      </c>
      <c r="X1172" s="5" t="s">
        <v>521</v>
      </c>
      <c r="Y1172" s="5" t="s">
        <v>46</v>
      </c>
      <c r="Z1172" s="5" t="s">
        <v>47</v>
      </c>
      <c r="AA1172" s="5" t="s">
        <v>64</v>
      </c>
      <c r="AB1172" s="5" t="s">
        <v>5761</v>
      </c>
      <c r="AC1172" s="6" t="s">
        <v>50</v>
      </c>
      <c r="AD1172" s="6">
        <v>3467.0</v>
      </c>
    </row>
    <row r="1173" ht="56.25" customHeight="1">
      <c r="A1173" s="5" t="s">
        <v>5757</v>
      </c>
      <c r="B1173" s="6" t="str">
        <f>IMAGE("https://storage.googleapis.com/acdb/miscellaneous/FtrTeaset_Remake_0_1.png")</f>
        <v/>
      </c>
      <c r="C1173" s="5" t="s">
        <v>96</v>
      </c>
      <c r="D1173" s="5" t="s">
        <v>34</v>
      </c>
      <c r="E1173" s="5" t="s">
        <v>68</v>
      </c>
      <c r="F1173" s="5" t="s">
        <v>5759</v>
      </c>
      <c r="G1173" s="5" t="s">
        <v>36</v>
      </c>
      <c r="H1173" s="5" t="s">
        <v>36</v>
      </c>
      <c r="I1173" s="5" t="s">
        <v>35</v>
      </c>
      <c r="J1173" s="6">
        <v>1.0</v>
      </c>
      <c r="K1173" s="6">
        <v>1000.0</v>
      </c>
      <c r="L1173" s="6">
        <v>250.0</v>
      </c>
      <c r="M1173" s="5" t="s">
        <v>96</v>
      </c>
      <c r="N1173" s="5" t="s">
        <v>68</v>
      </c>
      <c r="O1173" s="6" t="s">
        <v>40</v>
      </c>
      <c r="P1173" s="5" t="s">
        <v>59</v>
      </c>
      <c r="Q1173" s="5" t="s">
        <v>60</v>
      </c>
      <c r="R1173" s="6" t="s">
        <v>42</v>
      </c>
      <c r="S1173" s="5" t="s">
        <v>159</v>
      </c>
      <c r="T1173" s="5" t="s">
        <v>62</v>
      </c>
      <c r="U1173" s="5" t="s">
        <v>44</v>
      </c>
      <c r="V1173" s="5" t="s">
        <v>44</v>
      </c>
      <c r="W1173" s="5" t="s">
        <v>36</v>
      </c>
      <c r="X1173" s="5" t="s">
        <v>521</v>
      </c>
      <c r="Y1173" s="5" t="s">
        <v>46</v>
      </c>
      <c r="Z1173" s="5" t="s">
        <v>47</v>
      </c>
      <c r="AA1173" s="5" t="s">
        <v>64</v>
      </c>
      <c r="AB1173" s="5" t="s">
        <v>5767</v>
      </c>
      <c r="AC1173" s="6" t="s">
        <v>217</v>
      </c>
      <c r="AD1173" s="6">
        <v>3467.0</v>
      </c>
    </row>
    <row r="1174" ht="56.25" customHeight="1">
      <c r="A1174" s="5" t="s">
        <v>5757</v>
      </c>
      <c r="B1174" s="6" t="str">
        <f>IMAGE("https://storage.googleapis.com/acdb/miscellaneous/FtrTeaset_Remake_0_2.png")</f>
        <v/>
      </c>
      <c r="C1174" s="5" t="s">
        <v>96</v>
      </c>
      <c r="D1174" s="5" t="s">
        <v>34</v>
      </c>
      <c r="E1174" s="5" t="s">
        <v>52</v>
      </c>
      <c r="F1174" s="5" t="s">
        <v>5759</v>
      </c>
      <c r="G1174" s="5" t="s">
        <v>36</v>
      </c>
      <c r="H1174" s="5" t="s">
        <v>36</v>
      </c>
      <c r="I1174" s="5" t="s">
        <v>35</v>
      </c>
      <c r="J1174" s="6">
        <v>1.0</v>
      </c>
      <c r="K1174" s="6">
        <v>1000.0</v>
      </c>
      <c r="L1174" s="6">
        <v>250.0</v>
      </c>
      <c r="M1174" s="5" t="s">
        <v>96</v>
      </c>
      <c r="N1174" s="5" t="s">
        <v>52</v>
      </c>
      <c r="O1174" s="6" t="s">
        <v>40</v>
      </c>
      <c r="P1174" s="5" t="s">
        <v>59</v>
      </c>
      <c r="Q1174" s="5" t="s">
        <v>60</v>
      </c>
      <c r="R1174" s="6" t="s">
        <v>42</v>
      </c>
      <c r="S1174" s="5" t="s">
        <v>159</v>
      </c>
      <c r="T1174" s="5" t="s">
        <v>62</v>
      </c>
      <c r="U1174" s="5" t="s">
        <v>44</v>
      </c>
      <c r="V1174" s="5" t="s">
        <v>44</v>
      </c>
      <c r="W1174" s="5" t="s">
        <v>36</v>
      </c>
      <c r="X1174" s="5" t="s">
        <v>521</v>
      </c>
      <c r="Y1174" s="5" t="s">
        <v>46</v>
      </c>
      <c r="Z1174" s="5" t="s">
        <v>47</v>
      </c>
      <c r="AA1174" s="5" t="s">
        <v>64</v>
      </c>
      <c r="AB1174" s="5" t="s">
        <v>5770</v>
      </c>
      <c r="AC1174" s="6" t="s">
        <v>347</v>
      </c>
      <c r="AD1174" s="6">
        <v>3467.0</v>
      </c>
    </row>
    <row r="1175" ht="56.25" customHeight="1">
      <c r="A1175" s="5" t="s">
        <v>5757</v>
      </c>
      <c r="B1175" s="6" t="str">
        <f>IMAGE("https://storage.googleapis.com/acdb/miscellaneous/FtrTeaset_Remake_0_3.png")</f>
        <v/>
      </c>
      <c r="C1175" s="5" t="s">
        <v>96</v>
      </c>
      <c r="D1175" s="5" t="s">
        <v>34</v>
      </c>
      <c r="E1175" s="5" t="s">
        <v>95</v>
      </c>
      <c r="F1175" s="5" t="s">
        <v>5759</v>
      </c>
      <c r="G1175" s="5" t="s">
        <v>36</v>
      </c>
      <c r="H1175" s="5" t="s">
        <v>36</v>
      </c>
      <c r="I1175" s="5" t="s">
        <v>35</v>
      </c>
      <c r="J1175" s="6">
        <v>1.0</v>
      </c>
      <c r="K1175" s="6">
        <v>1000.0</v>
      </c>
      <c r="L1175" s="6">
        <v>250.0</v>
      </c>
      <c r="M1175" s="5" t="s">
        <v>96</v>
      </c>
      <c r="N1175" s="5" t="s">
        <v>95</v>
      </c>
      <c r="O1175" s="6" t="s">
        <v>40</v>
      </c>
      <c r="P1175" s="5" t="s">
        <v>59</v>
      </c>
      <c r="Q1175" s="5" t="s">
        <v>60</v>
      </c>
      <c r="R1175" s="6" t="s">
        <v>42</v>
      </c>
      <c r="S1175" s="5" t="s">
        <v>159</v>
      </c>
      <c r="T1175" s="5" t="s">
        <v>62</v>
      </c>
      <c r="U1175" s="5" t="s">
        <v>44</v>
      </c>
      <c r="V1175" s="5" t="s">
        <v>44</v>
      </c>
      <c r="W1175" s="5" t="s">
        <v>36</v>
      </c>
      <c r="X1175" s="5" t="s">
        <v>521</v>
      </c>
      <c r="Y1175" s="5" t="s">
        <v>46</v>
      </c>
      <c r="Z1175" s="5" t="s">
        <v>47</v>
      </c>
      <c r="AA1175" s="5" t="s">
        <v>64</v>
      </c>
      <c r="AB1175" s="5" t="s">
        <v>5773</v>
      </c>
      <c r="AC1175" s="6" t="s">
        <v>354</v>
      </c>
      <c r="AD1175" s="6">
        <v>3467.0</v>
      </c>
    </row>
    <row r="1176" ht="56.25" customHeight="1">
      <c r="A1176" s="5" t="s">
        <v>5757</v>
      </c>
      <c r="B1176" s="6" t="str">
        <f>IMAGE("https://storage.googleapis.com/acdb/miscellaneous/FtrTeaset_Remake_1_0.png")</f>
        <v/>
      </c>
      <c r="C1176" s="5" t="s">
        <v>68</v>
      </c>
      <c r="D1176" s="5" t="s">
        <v>34</v>
      </c>
      <c r="E1176" s="5" t="s">
        <v>114</v>
      </c>
      <c r="F1176" s="5" t="s">
        <v>5759</v>
      </c>
      <c r="G1176" s="5" t="s">
        <v>36</v>
      </c>
      <c r="H1176" s="5" t="s">
        <v>36</v>
      </c>
      <c r="I1176" s="5" t="s">
        <v>35</v>
      </c>
      <c r="J1176" s="6">
        <v>1.0</v>
      </c>
      <c r="K1176" s="6">
        <v>1000.0</v>
      </c>
      <c r="L1176" s="6">
        <v>250.0</v>
      </c>
      <c r="M1176" s="5" t="s">
        <v>68</v>
      </c>
      <c r="N1176" s="5" t="s">
        <v>114</v>
      </c>
      <c r="O1176" s="6" t="s">
        <v>40</v>
      </c>
      <c r="P1176" s="5" t="s">
        <v>59</v>
      </c>
      <c r="Q1176" s="5" t="s">
        <v>60</v>
      </c>
      <c r="R1176" s="6" t="s">
        <v>42</v>
      </c>
      <c r="S1176" s="5" t="s">
        <v>159</v>
      </c>
      <c r="T1176" s="5" t="s">
        <v>62</v>
      </c>
      <c r="U1176" s="5" t="s">
        <v>44</v>
      </c>
      <c r="V1176" s="5" t="s">
        <v>44</v>
      </c>
      <c r="W1176" s="5" t="s">
        <v>36</v>
      </c>
      <c r="X1176" s="5" t="s">
        <v>521</v>
      </c>
      <c r="Y1176" s="5" t="s">
        <v>46</v>
      </c>
      <c r="Z1176" s="5" t="s">
        <v>47</v>
      </c>
      <c r="AA1176" s="5" t="s">
        <v>64</v>
      </c>
      <c r="AB1176" s="5" t="s">
        <v>5777</v>
      </c>
      <c r="AC1176" s="6" t="s">
        <v>56</v>
      </c>
      <c r="AD1176" s="6">
        <v>3467.0</v>
      </c>
    </row>
    <row r="1177" ht="56.25" customHeight="1">
      <c r="A1177" s="5" t="s">
        <v>5757</v>
      </c>
      <c r="B1177" s="6" t="str">
        <f>IMAGE("https://storage.googleapis.com/acdb/miscellaneous/FtrTeaset_Remake_1_1.png")</f>
        <v/>
      </c>
      <c r="C1177" s="5" t="s">
        <v>68</v>
      </c>
      <c r="D1177" s="5" t="s">
        <v>34</v>
      </c>
      <c r="E1177" s="5" t="s">
        <v>68</v>
      </c>
      <c r="F1177" s="5" t="s">
        <v>5759</v>
      </c>
      <c r="G1177" s="5" t="s">
        <v>36</v>
      </c>
      <c r="H1177" s="5" t="s">
        <v>36</v>
      </c>
      <c r="I1177" s="5" t="s">
        <v>35</v>
      </c>
      <c r="J1177" s="6">
        <v>1.0</v>
      </c>
      <c r="K1177" s="6">
        <v>1000.0</v>
      </c>
      <c r="L1177" s="6">
        <v>250.0</v>
      </c>
      <c r="M1177" s="5" t="s">
        <v>68</v>
      </c>
      <c r="N1177" s="5" t="s">
        <v>68</v>
      </c>
      <c r="O1177" s="6" t="s">
        <v>40</v>
      </c>
      <c r="P1177" s="5" t="s">
        <v>59</v>
      </c>
      <c r="Q1177" s="5" t="s">
        <v>60</v>
      </c>
      <c r="R1177" s="6" t="s">
        <v>42</v>
      </c>
      <c r="S1177" s="5" t="s">
        <v>159</v>
      </c>
      <c r="T1177" s="5" t="s">
        <v>62</v>
      </c>
      <c r="U1177" s="5" t="s">
        <v>44</v>
      </c>
      <c r="V1177" s="5" t="s">
        <v>44</v>
      </c>
      <c r="W1177" s="5" t="s">
        <v>36</v>
      </c>
      <c r="X1177" s="5" t="s">
        <v>521</v>
      </c>
      <c r="Y1177" s="5" t="s">
        <v>46</v>
      </c>
      <c r="Z1177" s="5" t="s">
        <v>47</v>
      </c>
      <c r="AA1177" s="5" t="s">
        <v>64</v>
      </c>
      <c r="AB1177" s="5" t="s">
        <v>5781</v>
      </c>
      <c r="AC1177" s="6" t="s">
        <v>234</v>
      </c>
      <c r="AD1177" s="6">
        <v>3467.0</v>
      </c>
    </row>
    <row r="1178" ht="56.25" customHeight="1">
      <c r="A1178" s="5" t="s">
        <v>5757</v>
      </c>
      <c r="B1178" s="6" t="str">
        <f>IMAGE("https://storage.googleapis.com/acdb/miscellaneous/FtrTeaset_Remake_1_2.png")</f>
        <v/>
      </c>
      <c r="C1178" s="5" t="s">
        <v>68</v>
      </c>
      <c r="D1178" s="5" t="s">
        <v>34</v>
      </c>
      <c r="E1178" s="5" t="s">
        <v>52</v>
      </c>
      <c r="F1178" s="5" t="s">
        <v>5759</v>
      </c>
      <c r="G1178" s="5" t="s">
        <v>36</v>
      </c>
      <c r="H1178" s="5" t="s">
        <v>36</v>
      </c>
      <c r="I1178" s="5" t="s">
        <v>35</v>
      </c>
      <c r="J1178" s="6">
        <v>1.0</v>
      </c>
      <c r="K1178" s="6">
        <v>1000.0</v>
      </c>
      <c r="L1178" s="6">
        <v>250.0</v>
      </c>
      <c r="M1178" s="5" t="s">
        <v>68</v>
      </c>
      <c r="N1178" s="5" t="s">
        <v>52</v>
      </c>
      <c r="O1178" s="6" t="s">
        <v>40</v>
      </c>
      <c r="P1178" s="5" t="s">
        <v>59</v>
      </c>
      <c r="Q1178" s="5" t="s">
        <v>60</v>
      </c>
      <c r="R1178" s="6" t="s">
        <v>42</v>
      </c>
      <c r="S1178" s="5" t="s">
        <v>159</v>
      </c>
      <c r="T1178" s="5" t="s">
        <v>62</v>
      </c>
      <c r="U1178" s="5" t="s">
        <v>44</v>
      </c>
      <c r="V1178" s="5" t="s">
        <v>44</v>
      </c>
      <c r="W1178" s="5" t="s">
        <v>36</v>
      </c>
      <c r="X1178" s="5" t="s">
        <v>521</v>
      </c>
      <c r="Y1178" s="5" t="s">
        <v>46</v>
      </c>
      <c r="Z1178" s="5" t="s">
        <v>47</v>
      </c>
      <c r="AA1178" s="5" t="s">
        <v>64</v>
      </c>
      <c r="AB1178" s="5" t="s">
        <v>5784</v>
      </c>
      <c r="AC1178" s="6" t="s">
        <v>370</v>
      </c>
      <c r="AD1178" s="6">
        <v>3467.0</v>
      </c>
    </row>
    <row r="1179" ht="56.25" customHeight="1">
      <c r="A1179" s="5" t="s">
        <v>5757</v>
      </c>
      <c r="B1179" s="6" t="str">
        <f>IMAGE("https://storage.googleapis.com/acdb/miscellaneous/FtrTeaset_Remake_1_3.png")</f>
        <v/>
      </c>
      <c r="C1179" s="5" t="s">
        <v>68</v>
      </c>
      <c r="D1179" s="5" t="s">
        <v>34</v>
      </c>
      <c r="E1179" s="5" t="s">
        <v>95</v>
      </c>
      <c r="F1179" s="5" t="s">
        <v>5759</v>
      </c>
      <c r="G1179" s="5" t="s">
        <v>36</v>
      </c>
      <c r="H1179" s="5" t="s">
        <v>36</v>
      </c>
      <c r="I1179" s="5" t="s">
        <v>35</v>
      </c>
      <c r="J1179" s="6">
        <v>1.0</v>
      </c>
      <c r="K1179" s="6">
        <v>1000.0</v>
      </c>
      <c r="L1179" s="6">
        <v>250.0</v>
      </c>
      <c r="M1179" s="5" t="s">
        <v>68</v>
      </c>
      <c r="N1179" s="5" t="s">
        <v>95</v>
      </c>
      <c r="O1179" s="6" t="s">
        <v>40</v>
      </c>
      <c r="P1179" s="5" t="s">
        <v>59</v>
      </c>
      <c r="Q1179" s="5" t="s">
        <v>60</v>
      </c>
      <c r="R1179" s="6" t="s">
        <v>42</v>
      </c>
      <c r="S1179" s="5" t="s">
        <v>159</v>
      </c>
      <c r="T1179" s="5" t="s">
        <v>62</v>
      </c>
      <c r="U1179" s="5" t="s">
        <v>44</v>
      </c>
      <c r="V1179" s="5" t="s">
        <v>44</v>
      </c>
      <c r="W1179" s="5" t="s">
        <v>36</v>
      </c>
      <c r="X1179" s="5" t="s">
        <v>521</v>
      </c>
      <c r="Y1179" s="5" t="s">
        <v>46</v>
      </c>
      <c r="Z1179" s="5" t="s">
        <v>47</v>
      </c>
      <c r="AA1179" s="5" t="s">
        <v>64</v>
      </c>
      <c r="AB1179" s="5" t="s">
        <v>5789</v>
      </c>
      <c r="AC1179" s="6" t="s">
        <v>377</v>
      </c>
      <c r="AD1179" s="6">
        <v>3467.0</v>
      </c>
    </row>
    <row r="1180" ht="56.25" customHeight="1">
      <c r="A1180" s="5" t="s">
        <v>5757</v>
      </c>
      <c r="B1180" s="6" t="str">
        <f>IMAGE("https://storage.googleapis.com/acdb/miscellaneous/FtrTeaset_Remake_2_0.png")</f>
        <v/>
      </c>
      <c r="C1180" s="5" t="s">
        <v>52</v>
      </c>
      <c r="D1180" s="5" t="s">
        <v>34</v>
      </c>
      <c r="E1180" s="5" t="s">
        <v>114</v>
      </c>
      <c r="F1180" s="5" t="s">
        <v>5759</v>
      </c>
      <c r="G1180" s="5" t="s">
        <v>36</v>
      </c>
      <c r="H1180" s="5" t="s">
        <v>36</v>
      </c>
      <c r="I1180" s="5" t="s">
        <v>35</v>
      </c>
      <c r="J1180" s="6">
        <v>1.0</v>
      </c>
      <c r="K1180" s="6">
        <v>1000.0</v>
      </c>
      <c r="L1180" s="6">
        <v>250.0</v>
      </c>
      <c r="M1180" s="5" t="s">
        <v>52</v>
      </c>
      <c r="N1180" s="5" t="s">
        <v>114</v>
      </c>
      <c r="O1180" s="6" t="s">
        <v>40</v>
      </c>
      <c r="P1180" s="5" t="s">
        <v>59</v>
      </c>
      <c r="Q1180" s="5" t="s">
        <v>60</v>
      </c>
      <c r="R1180" s="6" t="s">
        <v>42</v>
      </c>
      <c r="S1180" s="5" t="s">
        <v>159</v>
      </c>
      <c r="T1180" s="5" t="s">
        <v>62</v>
      </c>
      <c r="U1180" s="5" t="s">
        <v>44</v>
      </c>
      <c r="V1180" s="5" t="s">
        <v>44</v>
      </c>
      <c r="W1180" s="5" t="s">
        <v>36</v>
      </c>
      <c r="X1180" s="5" t="s">
        <v>521</v>
      </c>
      <c r="Y1180" s="5" t="s">
        <v>46</v>
      </c>
      <c r="Z1180" s="5" t="s">
        <v>47</v>
      </c>
      <c r="AA1180" s="5" t="s">
        <v>64</v>
      </c>
      <c r="AB1180" s="5" t="s">
        <v>5794</v>
      </c>
      <c r="AC1180" s="6" t="s">
        <v>67</v>
      </c>
      <c r="AD1180" s="6">
        <v>3467.0</v>
      </c>
    </row>
    <row r="1181" ht="56.25" customHeight="1">
      <c r="A1181" s="5" t="s">
        <v>5757</v>
      </c>
      <c r="B1181" s="6" t="str">
        <f>IMAGE("https://storage.googleapis.com/acdb/miscellaneous/FtrTeaset_Remake_2_1.png")</f>
        <v/>
      </c>
      <c r="C1181" s="5" t="s">
        <v>52</v>
      </c>
      <c r="D1181" s="5" t="s">
        <v>34</v>
      </c>
      <c r="E1181" s="5" t="s">
        <v>68</v>
      </c>
      <c r="F1181" s="5" t="s">
        <v>5759</v>
      </c>
      <c r="G1181" s="5" t="s">
        <v>36</v>
      </c>
      <c r="H1181" s="5" t="s">
        <v>36</v>
      </c>
      <c r="I1181" s="5" t="s">
        <v>35</v>
      </c>
      <c r="J1181" s="6">
        <v>1.0</v>
      </c>
      <c r="K1181" s="6">
        <v>1000.0</v>
      </c>
      <c r="L1181" s="6">
        <v>250.0</v>
      </c>
      <c r="M1181" s="5" t="s">
        <v>52</v>
      </c>
      <c r="N1181" s="5" t="s">
        <v>68</v>
      </c>
      <c r="O1181" s="6" t="s">
        <v>40</v>
      </c>
      <c r="P1181" s="5" t="s">
        <v>59</v>
      </c>
      <c r="Q1181" s="5" t="s">
        <v>60</v>
      </c>
      <c r="R1181" s="6" t="s">
        <v>42</v>
      </c>
      <c r="S1181" s="5" t="s">
        <v>159</v>
      </c>
      <c r="T1181" s="5" t="s">
        <v>62</v>
      </c>
      <c r="U1181" s="5" t="s">
        <v>44</v>
      </c>
      <c r="V1181" s="5" t="s">
        <v>44</v>
      </c>
      <c r="W1181" s="5" t="s">
        <v>36</v>
      </c>
      <c r="X1181" s="5" t="s">
        <v>521</v>
      </c>
      <c r="Y1181" s="5" t="s">
        <v>46</v>
      </c>
      <c r="Z1181" s="5" t="s">
        <v>47</v>
      </c>
      <c r="AA1181" s="5" t="s">
        <v>64</v>
      </c>
      <c r="AB1181" s="5" t="s">
        <v>5799</v>
      </c>
      <c r="AC1181" s="6" t="s">
        <v>247</v>
      </c>
      <c r="AD1181" s="6">
        <v>3467.0</v>
      </c>
    </row>
    <row r="1182" ht="56.25" customHeight="1">
      <c r="A1182" s="5" t="s">
        <v>5757</v>
      </c>
      <c r="B1182" s="6" t="str">
        <f>IMAGE("https://storage.googleapis.com/acdb/miscellaneous/FtrTeaset_Remake_2_2.png")</f>
        <v/>
      </c>
      <c r="C1182" s="5" t="s">
        <v>52</v>
      </c>
      <c r="D1182" s="5" t="s">
        <v>34</v>
      </c>
      <c r="E1182" s="5" t="s">
        <v>52</v>
      </c>
      <c r="F1182" s="5" t="s">
        <v>5759</v>
      </c>
      <c r="G1182" s="5" t="s">
        <v>36</v>
      </c>
      <c r="H1182" s="5" t="s">
        <v>36</v>
      </c>
      <c r="I1182" s="5" t="s">
        <v>35</v>
      </c>
      <c r="J1182" s="6">
        <v>1.0</v>
      </c>
      <c r="K1182" s="6">
        <v>1000.0</v>
      </c>
      <c r="L1182" s="6">
        <v>250.0</v>
      </c>
      <c r="M1182" s="5" t="s">
        <v>52</v>
      </c>
      <c r="N1182" s="5" t="s">
        <v>52</v>
      </c>
      <c r="O1182" s="6" t="s">
        <v>40</v>
      </c>
      <c r="P1182" s="5" t="s">
        <v>59</v>
      </c>
      <c r="Q1182" s="5" t="s">
        <v>60</v>
      </c>
      <c r="R1182" s="6" t="s">
        <v>42</v>
      </c>
      <c r="S1182" s="5" t="s">
        <v>159</v>
      </c>
      <c r="T1182" s="5" t="s">
        <v>62</v>
      </c>
      <c r="U1182" s="5" t="s">
        <v>44</v>
      </c>
      <c r="V1182" s="5" t="s">
        <v>44</v>
      </c>
      <c r="W1182" s="5" t="s">
        <v>36</v>
      </c>
      <c r="X1182" s="5" t="s">
        <v>521</v>
      </c>
      <c r="Y1182" s="5" t="s">
        <v>46</v>
      </c>
      <c r="Z1182" s="5" t="s">
        <v>47</v>
      </c>
      <c r="AA1182" s="5" t="s">
        <v>64</v>
      </c>
      <c r="AB1182" s="5" t="s">
        <v>5802</v>
      </c>
      <c r="AC1182" s="6" t="s">
        <v>390</v>
      </c>
      <c r="AD1182" s="6">
        <v>3467.0</v>
      </c>
    </row>
    <row r="1183" ht="56.25" customHeight="1">
      <c r="A1183" s="5" t="s">
        <v>5757</v>
      </c>
      <c r="B1183" s="6" t="str">
        <f>IMAGE("https://storage.googleapis.com/acdb/miscellaneous/FtrTeaset_Remake_2_3.png")</f>
        <v/>
      </c>
      <c r="C1183" s="5" t="s">
        <v>52</v>
      </c>
      <c r="D1183" s="5" t="s">
        <v>34</v>
      </c>
      <c r="E1183" s="5" t="s">
        <v>95</v>
      </c>
      <c r="F1183" s="5" t="s">
        <v>5759</v>
      </c>
      <c r="G1183" s="5" t="s">
        <v>36</v>
      </c>
      <c r="H1183" s="5" t="s">
        <v>36</v>
      </c>
      <c r="I1183" s="5" t="s">
        <v>35</v>
      </c>
      <c r="J1183" s="6">
        <v>1.0</v>
      </c>
      <c r="K1183" s="6">
        <v>1000.0</v>
      </c>
      <c r="L1183" s="6">
        <v>250.0</v>
      </c>
      <c r="M1183" s="5" t="s">
        <v>52</v>
      </c>
      <c r="N1183" s="5" t="s">
        <v>95</v>
      </c>
      <c r="O1183" s="6" t="s">
        <v>40</v>
      </c>
      <c r="P1183" s="5" t="s">
        <v>59</v>
      </c>
      <c r="Q1183" s="5" t="s">
        <v>60</v>
      </c>
      <c r="R1183" s="6" t="s">
        <v>42</v>
      </c>
      <c r="S1183" s="5" t="s">
        <v>159</v>
      </c>
      <c r="T1183" s="5" t="s">
        <v>62</v>
      </c>
      <c r="U1183" s="5" t="s">
        <v>44</v>
      </c>
      <c r="V1183" s="5" t="s">
        <v>44</v>
      </c>
      <c r="W1183" s="5" t="s">
        <v>36</v>
      </c>
      <c r="X1183" s="5" t="s">
        <v>521</v>
      </c>
      <c r="Y1183" s="5" t="s">
        <v>46</v>
      </c>
      <c r="Z1183" s="5" t="s">
        <v>47</v>
      </c>
      <c r="AA1183" s="5" t="s">
        <v>64</v>
      </c>
      <c r="AB1183" s="5" t="s">
        <v>5805</v>
      </c>
      <c r="AC1183" s="6" t="s">
        <v>396</v>
      </c>
      <c r="AD1183" s="6">
        <v>3467.0</v>
      </c>
    </row>
    <row r="1184" ht="56.25" customHeight="1">
      <c r="A1184" s="5" t="s">
        <v>5757</v>
      </c>
      <c r="B1184" s="6" t="str">
        <f>IMAGE("https://storage.googleapis.com/acdb/miscellaneous/FtrTeaset_Remake_3_0.png")</f>
        <v/>
      </c>
      <c r="C1184" s="5" t="s">
        <v>57</v>
      </c>
      <c r="D1184" s="5" t="s">
        <v>34</v>
      </c>
      <c r="E1184" s="5" t="s">
        <v>114</v>
      </c>
      <c r="F1184" s="5" t="s">
        <v>5759</v>
      </c>
      <c r="G1184" s="5" t="s">
        <v>36</v>
      </c>
      <c r="H1184" s="5" t="s">
        <v>36</v>
      </c>
      <c r="I1184" s="5" t="s">
        <v>35</v>
      </c>
      <c r="J1184" s="6">
        <v>1.0</v>
      </c>
      <c r="K1184" s="6">
        <v>1000.0</v>
      </c>
      <c r="L1184" s="6">
        <v>250.0</v>
      </c>
      <c r="M1184" s="5" t="s">
        <v>114</v>
      </c>
      <c r="N1184" s="5" t="s">
        <v>114</v>
      </c>
      <c r="O1184" s="6" t="s">
        <v>40</v>
      </c>
      <c r="P1184" s="5" t="s">
        <v>59</v>
      </c>
      <c r="Q1184" s="5" t="s">
        <v>60</v>
      </c>
      <c r="R1184" s="6" t="s">
        <v>42</v>
      </c>
      <c r="S1184" s="5" t="s">
        <v>159</v>
      </c>
      <c r="T1184" s="5" t="s">
        <v>62</v>
      </c>
      <c r="U1184" s="5" t="s">
        <v>44</v>
      </c>
      <c r="V1184" s="5" t="s">
        <v>44</v>
      </c>
      <c r="W1184" s="5" t="s">
        <v>36</v>
      </c>
      <c r="X1184" s="5" t="s">
        <v>521</v>
      </c>
      <c r="Y1184" s="5" t="s">
        <v>46</v>
      </c>
      <c r="Z1184" s="5" t="s">
        <v>47</v>
      </c>
      <c r="AA1184" s="5" t="s">
        <v>64</v>
      </c>
      <c r="AB1184" s="5" t="s">
        <v>5809</v>
      </c>
      <c r="AC1184" s="6" t="s">
        <v>71</v>
      </c>
      <c r="AD1184" s="6">
        <v>3467.0</v>
      </c>
    </row>
    <row r="1185" ht="56.25" customHeight="1">
      <c r="A1185" s="5" t="s">
        <v>5757</v>
      </c>
      <c r="B1185" s="6" t="str">
        <f>IMAGE("https://storage.googleapis.com/acdb/miscellaneous/FtrTeaset_Remake_3_1.png")</f>
        <v/>
      </c>
      <c r="C1185" s="5" t="s">
        <v>57</v>
      </c>
      <c r="D1185" s="5" t="s">
        <v>34</v>
      </c>
      <c r="E1185" s="5" t="s">
        <v>68</v>
      </c>
      <c r="F1185" s="5" t="s">
        <v>5759</v>
      </c>
      <c r="G1185" s="5" t="s">
        <v>36</v>
      </c>
      <c r="H1185" s="5" t="s">
        <v>36</v>
      </c>
      <c r="I1185" s="5" t="s">
        <v>35</v>
      </c>
      <c r="J1185" s="6">
        <v>1.0</v>
      </c>
      <c r="K1185" s="6">
        <v>1000.0</v>
      </c>
      <c r="L1185" s="6">
        <v>250.0</v>
      </c>
      <c r="M1185" s="5" t="s">
        <v>114</v>
      </c>
      <c r="N1185" s="5" t="s">
        <v>68</v>
      </c>
      <c r="O1185" s="6" t="s">
        <v>40</v>
      </c>
      <c r="P1185" s="5" t="s">
        <v>59</v>
      </c>
      <c r="Q1185" s="5" t="s">
        <v>60</v>
      </c>
      <c r="R1185" s="6" t="s">
        <v>42</v>
      </c>
      <c r="S1185" s="5" t="s">
        <v>159</v>
      </c>
      <c r="T1185" s="5" t="s">
        <v>62</v>
      </c>
      <c r="U1185" s="5" t="s">
        <v>44</v>
      </c>
      <c r="V1185" s="5" t="s">
        <v>44</v>
      </c>
      <c r="W1185" s="5" t="s">
        <v>36</v>
      </c>
      <c r="X1185" s="5" t="s">
        <v>521</v>
      </c>
      <c r="Y1185" s="5" t="s">
        <v>46</v>
      </c>
      <c r="Z1185" s="5" t="s">
        <v>47</v>
      </c>
      <c r="AA1185" s="5" t="s">
        <v>64</v>
      </c>
      <c r="AB1185" s="5" t="s">
        <v>5813</v>
      </c>
      <c r="AC1185" s="6" t="s">
        <v>257</v>
      </c>
      <c r="AD1185" s="6">
        <v>3467.0</v>
      </c>
    </row>
    <row r="1186" ht="56.25" customHeight="1">
      <c r="A1186" s="5" t="s">
        <v>5757</v>
      </c>
      <c r="B1186" s="6" t="str">
        <f>IMAGE("https://storage.googleapis.com/acdb/miscellaneous/FtrTeaset_Remake_3_2.png")</f>
        <v/>
      </c>
      <c r="C1186" s="5" t="s">
        <v>57</v>
      </c>
      <c r="D1186" s="5" t="s">
        <v>34</v>
      </c>
      <c r="E1186" s="5" t="s">
        <v>52</v>
      </c>
      <c r="F1186" s="5" t="s">
        <v>5759</v>
      </c>
      <c r="G1186" s="5" t="s">
        <v>36</v>
      </c>
      <c r="H1186" s="5" t="s">
        <v>36</v>
      </c>
      <c r="I1186" s="5" t="s">
        <v>35</v>
      </c>
      <c r="J1186" s="6">
        <v>1.0</v>
      </c>
      <c r="K1186" s="6">
        <v>1000.0</v>
      </c>
      <c r="L1186" s="6">
        <v>250.0</v>
      </c>
      <c r="M1186" s="5" t="s">
        <v>114</v>
      </c>
      <c r="N1186" s="5" t="s">
        <v>52</v>
      </c>
      <c r="O1186" s="6" t="s">
        <v>40</v>
      </c>
      <c r="P1186" s="5" t="s">
        <v>59</v>
      </c>
      <c r="Q1186" s="5" t="s">
        <v>60</v>
      </c>
      <c r="R1186" s="6" t="s">
        <v>42</v>
      </c>
      <c r="S1186" s="5" t="s">
        <v>159</v>
      </c>
      <c r="T1186" s="5" t="s">
        <v>62</v>
      </c>
      <c r="U1186" s="5" t="s">
        <v>44</v>
      </c>
      <c r="V1186" s="5" t="s">
        <v>44</v>
      </c>
      <c r="W1186" s="5" t="s">
        <v>36</v>
      </c>
      <c r="X1186" s="5" t="s">
        <v>521</v>
      </c>
      <c r="Y1186" s="5" t="s">
        <v>46</v>
      </c>
      <c r="Z1186" s="5" t="s">
        <v>47</v>
      </c>
      <c r="AA1186" s="5" t="s">
        <v>64</v>
      </c>
      <c r="AB1186" s="5" t="s">
        <v>5815</v>
      </c>
      <c r="AC1186" s="6" t="s">
        <v>414</v>
      </c>
      <c r="AD1186" s="6">
        <v>3467.0</v>
      </c>
    </row>
    <row r="1187" ht="56.25" customHeight="1">
      <c r="A1187" s="5" t="s">
        <v>5757</v>
      </c>
      <c r="B1187" s="6" t="str">
        <f>IMAGE("https://storage.googleapis.com/acdb/miscellaneous/FtrTeaset_Remake_3_3.png")</f>
        <v/>
      </c>
      <c r="C1187" s="5" t="s">
        <v>57</v>
      </c>
      <c r="D1187" s="5" t="s">
        <v>34</v>
      </c>
      <c r="E1187" s="5" t="s">
        <v>95</v>
      </c>
      <c r="F1187" s="5" t="s">
        <v>5759</v>
      </c>
      <c r="G1187" s="5" t="s">
        <v>36</v>
      </c>
      <c r="H1187" s="5" t="s">
        <v>36</v>
      </c>
      <c r="I1187" s="5" t="s">
        <v>35</v>
      </c>
      <c r="J1187" s="6">
        <v>1.0</v>
      </c>
      <c r="K1187" s="6">
        <v>1000.0</v>
      </c>
      <c r="L1187" s="6">
        <v>250.0</v>
      </c>
      <c r="M1187" s="5" t="s">
        <v>114</v>
      </c>
      <c r="N1187" s="5" t="s">
        <v>95</v>
      </c>
      <c r="O1187" s="6" t="s">
        <v>40</v>
      </c>
      <c r="P1187" s="5" t="s">
        <v>59</v>
      </c>
      <c r="Q1187" s="5" t="s">
        <v>60</v>
      </c>
      <c r="R1187" s="6" t="s">
        <v>42</v>
      </c>
      <c r="S1187" s="5" t="s">
        <v>159</v>
      </c>
      <c r="T1187" s="5" t="s">
        <v>62</v>
      </c>
      <c r="U1187" s="5" t="s">
        <v>44</v>
      </c>
      <c r="V1187" s="5" t="s">
        <v>44</v>
      </c>
      <c r="W1187" s="5" t="s">
        <v>36</v>
      </c>
      <c r="X1187" s="5" t="s">
        <v>521</v>
      </c>
      <c r="Y1187" s="5" t="s">
        <v>46</v>
      </c>
      <c r="Z1187" s="5" t="s">
        <v>47</v>
      </c>
      <c r="AA1187" s="5" t="s">
        <v>64</v>
      </c>
      <c r="AB1187" s="5" t="s">
        <v>5821</v>
      </c>
      <c r="AC1187" s="6" t="s">
        <v>418</v>
      </c>
      <c r="AD1187" s="6">
        <v>3467.0</v>
      </c>
    </row>
    <row r="1188" ht="56.25" customHeight="1">
      <c r="A1188" s="5" t="s">
        <v>5822</v>
      </c>
      <c r="B1188" s="6" t="str">
        <f>IMAGE("https://storage.googleapis.com/acdb/miscellaneous/FtrTerrarium_Remake_0_0.png")</f>
        <v/>
      </c>
      <c r="C1188" s="5" t="s">
        <v>54</v>
      </c>
      <c r="D1188" s="5" t="s">
        <v>1327</v>
      </c>
      <c r="E1188" s="5" t="s">
        <v>34</v>
      </c>
      <c r="F1188" s="5" t="s">
        <v>34</v>
      </c>
      <c r="G1188" s="5" t="s">
        <v>35</v>
      </c>
      <c r="H1188" s="5" t="s">
        <v>35</v>
      </c>
      <c r="I1188" s="5" t="s">
        <v>36</v>
      </c>
      <c r="J1188" s="6">
        <v>3.0</v>
      </c>
      <c r="K1188" s="6" t="s">
        <v>37</v>
      </c>
      <c r="L1188" s="6">
        <v>1740.0</v>
      </c>
      <c r="M1188" s="5" t="s">
        <v>54</v>
      </c>
      <c r="N1188" s="5" t="s">
        <v>96</v>
      </c>
      <c r="O1188" s="6" t="s">
        <v>40</v>
      </c>
      <c r="P1188" s="5" t="s">
        <v>41</v>
      </c>
      <c r="Q1188" s="5"/>
      <c r="R1188" s="6" t="s">
        <v>42</v>
      </c>
      <c r="S1188" s="5" t="s">
        <v>90</v>
      </c>
      <c r="T1188" s="5" t="s">
        <v>44</v>
      </c>
      <c r="U1188" s="5" t="s">
        <v>44</v>
      </c>
      <c r="V1188" s="5" t="s">
        <v>44</v>
      </c>
      <c r="W1188" s="5" t="s">
        <v>36</v>
      </c>
      <c r="X1188" s="5" t="s">
        <v>244</v>
      </c>
      <c r="Y1188" s="5" t="s">
        <v>46</v>
      </c>
      <c r="Z1188" s="5" t="s">
        <v>47</v>
      </c>
      <c r="AA1188" s="5" t="s">
        <v>48</v>
      </c>
      <c r="AB1188" s="5" t="s">
        <v>5825</v>
      </c>
      <c r="AC1188" s="6" t="s">
        <v>50</v>
      </c>
      <c r="AD1188" s="6">
        <v>3773.0</v>
      </c>
    </row>
    <row r="1189" ht="56.25" customHeight="1">
      <c r="A1189" s="5" t="s">
        <v>5822</v>
      </c>
      <c r="B1189" s="6" t="str">
        <f>IMAGE("https://storage.googleapis.com/acdb/miscellaneous/FtrTerrarium_Remake_1_0.png")</f>
        <v/>
      </c>
      <c r="C1189" s="5" t="s">
        <v>151</v>
      </c>
      <c r="D1189" s="5" t="s">
        <v>1327</v>
      </c>
      <c r="E1189" s="5" t="s">
        <v>34</v>
      </c>
      <c r="F1189" s="5" t="s">
        <v>34</v>
      </c>
      <c r="G1189" s="5" t="s">
        <v>35</v>
      </c>
      <c r="H1189" s="5" t="s">
        <v>35</v>
      </c>
      <c r="I1189" s="5" t="s">
        <v>36</v>
      </c>
      <c r="J1189" s="6">
        <v>3.0</v>
      </c>
      <c r="K1189" s="6" t="s">
        <v>37</v>
      </c>
      <c r="L1189" s="6">
        <v>1740.0</v>
      </c>
      <c r="M1189" s="5" t="s">
        <v>38</v>
      </c>
      <c r="N1189" s="5" t="s">
        <v>96</v>
      </c>
      <c r="O1189" s="6" t="s">
        <v>40</v>
      </c>
      <c r="P1189" s="5" t="s">
        <v>41</v>
      </c>
      <c r="Q1189" s="5"/>
      <c r="R1189" s="6" t="s">
        <v>42</v>
      </c>
      <c r="S1189" s="5" t="s">
        <v>90</v>
      </c>
      <c r="T1189" s="5" t="s">
        <v>44</v>
      </c>
      <c r="U1189" s="5" t="s">
        <v>44</v>
      </c>
      <c r="V1189" s="5" t="s">
        <v>44</v>
      </c>
      <c r="W1189" s="5" t="s">
        <v>36</v>
      </c>
      <c r="X1189" s="5" t="s">
        <v>244</v>
      </c>
      <c r="Y1189" s="5" t="s">
        <v>46</v>
      </c>
      <c r="Z1189" s="5" t="s">
        <v>47</v>
      </c>
      <c r="AA1189" s="5" t="s">
        <v>48</v>
      </c>
      <c r="AB1189" s="5" t="s">
        <v>5830</v>
      </c>
      <c r="AC1189" s="6" t="s">
        <v>56</v>
      </c>
      <c r="AD1189" s="6">
        <v>3773.0</v>
      </c>
    </row>
    <row r="1190" ht="56.25" customHeight="1">
      <c r="A1190" s="5" t="s">
        <v>5822</v>
      </c>
      <c r="B1190" s="6" t="str">
        <f>IMAGE("https://storage.googleapis.com/acdb/miscellaneous/FtrTerrarium_Remake_2_0.png")</f>
        <v/>
      </c>
      <c r="C1190" s="5" t="s">
        <v>39</v>
      </c>
      <c r="D1190" s="5" t="s">
        <v>1327</v>
      </c>
      <c r="E1190" s="5" t="s">
        <v>34</v>
      </c>
      <c r="F1190" s="5" t="s">
        <v>34</v>
      </c>
      <c r="G1190" s="5" t="s">
        <v>35</v>
      </c>
      <c r="H1190" s="5" t="s">
        <v>35</v>
      </c>
      <c r="I1190" s="5" t="s">
        <v>36</v>
      </c>
      <c r="J1190" s="6">
        <v>3.0</v>
      </c>
      <c r="K1190" s="6" t="s">
        <v>37</v>
      </c>
      <c r="L1190" s="6">
        <v>1740.0</v>
      </c>
      <c r="M1190" s="5" t="s">
        <v>39</v>
      </c>
      <c r="N1190" s="5" t="s">
        <v>96</v>
      </c>
      <c r="O1190" s="6" t="s">
        <v>40</v>
      </c>
      <c r="P1190" s="5" t="s">
        <v>41</v>
      </c>
      <c r="Q1190" s="5"/>
      <c r="R1190" s="6" t="s">
        <v>42</v>
      </c>
      <c r="S1190" s="5" t="s">
        <v>90</v>
      </c>
      <c r="T1190" s="5" t="s">
        <v>44</v>
      </c>
      <c r="U1190" s="5" t="s">
        <v>44</v>
      </c>
      <c r="V1190" s="5" t="s">
        <v>44</v>
      </c>
      <c r="W1190" s="5" t="s">
        <v>36</v>
      </c>
      <c r="X1190" s="5" t="s">
        <v>244</v>
      </c>
      <c r="Y1190" s="5" t="s">
        <v>46</v>
      </c>
      <c r="Z1190" s="5" t="s">
        <v>47</v>
      </c>
      <c r="AA1190" s="5" t="s">
        <v>48</v>
      </c>
      <c r="AB1190" s="5" t="s">
        <v>5835</v>
      </c>
      <c r="AC1190" s="6" t="s">
        <v>67</v>
      </c>
      <c r="AD1190" s="6">
        <v>3773.0</v>
      </c>
    </row>
    <row r="1191" ht="56.25" customHeight="1">
      <c r="A1191" s="5" t="s">
        <v>5837</v>
      </c>
      <c r="B1191" s="6" t="str">
        <f>IMAGE("https://storage.googleapis.com/acdb/miscellaneous/FtrBoyBox_Remake_0_0.png")</f>
        <v/>
      </c>
      <c r="C1191" s="5" t="s">
        <v>96</v>
      </c>
      <c r="D1191" s="5" t="s">
        <v>34</v>
      </c>
      <c r="E1191" s="5" t="s">
        <v>34</v>
      </c>
      <c r="F1191" s="5" t="s">
        <v>34</v>
      </c>
      <c r="G1191" s="5" t="s">
        <v>36</v>
      </c>
      <c r="H1191" s="5" t="s">
        <v>36</v>
      </c>
      <c r="I1191" s="5" t="s">
        <v>36</v>
      </c>
      <c r="J1191" s="6" t="s">
        <v>34</v>
      </c>
      <c r="K1191" s="6">
        <v>2000.0</v>
      </c>
      <c r="L1191" s="6">
        <v>500.0</v>
      </c>
      <c r="M1191" s="5" t="s">
        <v>114</v>
      </c>
      <c r="N1191" s="5" t="s">
        <v>96</v>
      </c>
      <c r="O1191" s="6" t="s">
        <v>40</v>
      </c>
      <c r="P1191" s="5" t="s">
        <v>59</v>
      </c>
      <c r="Q1191" s="5" t="s">
        <v>122</v>
      </c>
      <c r="R1191" s="6" t="s">
        <v>42</v>
      </c>
      <c r="S1191" s="5" t="s">
        <v>99</v>
      </c>
      <c r="T1191" s="5" t="s">
        <v>44</v>
      </c>
      <c r="U1191" s="5" t="s">
        <v>2359</v>
      </c>
      <c r="V1191" s="5" t="s">
        <v>44</v>
      </c>
      <c r="W1191" s="5" t="s">
        <v>36</v>
      </c>
      <c r="X1191" s="5" t="s">
        <v>356</v>
      </c>
      <c r="Y1191" s="5" t="s">
        <v>46</v>
      </c>
      <c r="Z1191" s="5" t="s">
        <v>47</v>
      </c>
      <c r="AA1191" s="5" t="s">
        <v>64</v>
      </c>
      <c r="AB1191" s="5" t="s">
        <v>5840</v>
      </c>
      <c r="AC1191" s="6" t="s">
        <v>50</v>
      </c>
      <c r="AD1191" s="6">
        <v>4762.0</v>
      </c>
    </row>
    <row r="1192" ht="56.25" customHeight="1">
      <c r="A1192" s="5" t="s">
        <v>5837</v>
      </c>
      <c r="B1192" s="6" t="str">
        <f>IMAGE("https://storage.googleapis.com/acdb/miscellaneous/FtrBoyBox_Remake_1_0.png")</f>
        <v/>
      </c>
      <c r="C1192" s="5" t="s">
        <v>52</v>
      </c>
      <c r="D1192" s="5" t="s">
        <v>34</v>
      </c>
      <c r="E1192" s="5" t="s">
        <v>34</v>
      </c>
      <c r="F1192" s="5" t="s">
        <v>34</v>
      </c>
      <c r="G1192" s="5" t="s">
        <v>36</v>
      </c>
      <c r="H1192" s="5" t="s">
        <v>36</v>
      </c>
      <c r="I1192" s="5" t="s">
        <v>36</v>
      </c>
      <c r="J1192" s="6" t="s">
        <v>34</v>
      </c>
      <c r="K1192" s="6">
        <v>2000.0</v>
      </c>
      <c r="L1192" s="6">
        <v>500.0</v>
      </c>
      <c r="M1192" s="5" t="s">
        <v>52</v>
      </c>
      <c r="N1192" s="5" t="s">
        <v>57</v>
      </c>
      <c r="O1192" s="6" t="s">
        <v>40</v>
      </c>
      <c r="P1192" s="5" t="s">
        <v>59</v>
      </c>
      <c r="Q1192" s="5" t="s">
        <v>122</v>
      </c>
      <c r="R1192" s="6" t="s">
        <v>42</v>
      </c>
      <c r="S1192" s="5" t="s">
        <v>99</v>
      </c>
      <c r="T1192" s="5" t="s">
        <v>44</v>
      </c>
      <c r="U1192" s="5" t="s">
        <v>2359</v>
      </c>
      <c r="V1192" s="5" t="s">
        <v>44</v>
      </c>
      <c r="W1192" s="5" t="s">
        <v>36</v>
      </c>
      <c r="X1192" s="5" t="s">
        <v>356</v>
      </c>
      <c r="Y1192" s="5" t="s">
        <v>46</v>
      </c>
      <c r="Z1192" s="5" t="s">
        <v>47</v>
      </c>
      <c r="AA1192" s="5" t="s">
        <v>64</v>
      </c>
      <c r="AB1192" s="5" t="s">
        <v>5843</v>
      </c>
      <c r="AC1192" s="6" t="s">
        <v>56</v>
      </c>
      <c r="AD1192" s="6">
        <v>4762.0</v>
      </c>
    </row>
    <row r="1193" ht="56.25" customHeight="1">
      <c r="A1193" s="5" t="s">
        <v>5837</v>
      </c>
      <c r="B1193" s="6" t="str">
        <f>IMAGE("https://storage.googleapis.com/acdb/miscellaneous/FtrBoyBox_Remake_2_0.png")</f>
        <v/>
      </c>
      <c r="C1193" s="5" t="s">
        <v>68</v>
      </c>
      <c r="D1193" s="5" t="s">
        <v>34</v>
      </c>
      <c r="E1193" s="5" t="s">
        <v>34</v>
      </c>
      <c r="F1193" s="5" t="s">
        <v>34</v>
      </c>
      <c r="G1193" s="5" t="s">
        <v>36</v>
      </c>
      <c r="H1193" s="5" t="s">
        <v>36</v>
      </c>
      <c r="I1193" s="5" t="s">
        <v>36</v>
      </c>
      <c r="J1193" s="6" t="s">
        <v>34</v>
      </c>
      <c r="K1193" s="6">
        <v>2000.0</v>
      </c>
      <c r="L1193" s="6">
        <v>500.0</v>
      </c>
      <c r="M1193" s="5" t="s">
        <v>68</v>
      </c>
      <c r="N1193" s="5" t="s">
        <v>57</v>
      </c>
      <c r="O1193" s="6" t="s">
        <v>40</v>
      </c>
      <c r="P1193" s="5" t="s">
        <v>59</v>
      </c>
      <c r="Q1193" s="5" t="s">
        <v>122</v>
      </c>
      <c r="R1193" s="6" t="s">
        <v>42</v>
      </c>
      <c r="S1193" s="5" t="s">
        <v>99</v>
      </c>
      <c r="T1193" s="5" t="s">
        <v>44</v>
      </c>
      <c r="U1193" s="5" t="s">
        <v>2359</v>
      </c>
      <c r="V1193" s="5" t="s">
        <v>44</v>
      </c>
      <c r="W1193" s="5" t="s">
        <v>36</v>
      </c>
      <c r="X1193" s="5" t="s">
        <v>356</v>
      </c>
      <c r="Y1193" s="5" t="s">
        <v>46</v>
      </c>
      <c r="Z1193" s="5" t="s">
        <v>47</v>
      </c>
      <c r="AA1193" s="5" t="s">
        <v>64</v>
      </c>
      <c r="AB1193" s="5" t="s">
        <v>5846</v>
      </c>
      <c r="AC1193" s="6" t="s">
        <v>67</v>
      </c>
      <c r="AD1193" s="6">
        <v>4762.0</v>
      </c>
    </row>
    <row r="1194" ht="56.25" customHeight="1">
      <c r="A1194" s="5" t="s">
        <v>5837</v>
      </c>
      <c r="B1194" s="6" t="str">
        <f>IMAGE("https://storage.googleapis.com/acdb/miscellaneous/FtrBoyBox_Remake_3_0.png")</f>
        <v/>
      </c>
      <c r="C1194" s="5" t="s">
        <v>114</v>
      </c>
      <c r="D1194" s="5" t="s">
        <v>34</v>
      </c>
      <c r="E1194" s="5" t="s">
        <v>34</v>
      </c>
      <c r="F1194" s="5" t="s">
        <v>34</v>
      </c>
      <c r="G1194" s="5" t="s">
        <v>36</v>
      </c>
      <c r="H1194" s="5" t="s">
        <v>36</v>
      </c>
      <c r="I1194" s="5" t="s">
        <v>36</v>
      </c>
      <c r="J1194" s="6" t="s">
        <v>34</v>
      </c>
      <c r="K1194" s="6">
        <v>2000.0</v>
      </c>
      <c r="L1194" s="6">
        <v>500.0</v>
      </c>
      <c r="M1194" s="5" t="s">
        <v>114</v>
      </c>
      <c r="N1194" s="5" t="s">
        <v>95</v>
      </c>
      <c r="O1194" s="6" t="s">
        <v>40</v>
      </c>
      <c r="P1194" s="5" t="s">
        <v>59</v>
      </c>
      <c r="Q1194" s="5" t="s">
        <v>122</v>
      </c>
      <c r="R1194" s="6" t="s">
        <v>42</v>
      </c>
      <c r="S1194" s="5" t="s">
        <v>99</v>
      </c>
      <c r="T1194" s="5" t="s">
        <v>44</v>
      </c>
      <c r="U1194" s="5" t="s">
        <v>2359</v>
      </c>
      <c r="V1194" s="5" t="s">
        <v>44</v>
      </c>
      <c r="W1194" s="5" t="s">
        <v>36</v>
      </c>
      <c r="X1194" s="5" t="s">
        <v>356</v>
      </c>
      <c r="Y1194" s="5" t="s">
        <v>46</v>
      </c>
      <c r="Z1194" s="5" t="s">
        <v>47</v>
      </c>
      <c r="AA1194" s="5" t="s">
        <v>64</v>
      </c>
      <c r="AB1194" s="5" t="s">
        <v>5849</v>
      </c>
      <c r="AC1194" s="6" t="s">
        <v>71</v>
      </c>
      <c r="AD1194" s="6">
        <v>4762.0</v>
      </c>
    </row>
    <row r="1195" ht="56.25" customHeight="1">
      <c r="A1195" s="5" t="s">
        <v>5837</v>
      </c>
      <c r="B1195" s="6" t="str">
        <f>IMAGE("https://storage.googleapis.com/acdb/miscellaneous/FtrBoyBox_Remake_4_0.png")</f>
        <v/>
      </c>
      <c r="C1195" s="5" t="s">
        <v>83</v>
      </c>
      <c r="D1195" s="5" t="s">
        <v>34</v>
      </c>
      <c r="E1195" s="5" t="s">
        <v>34</v>
      </c>
      <c r="F1195" s="5" t="s">
        <v>34</v>
      </c>
      <c r="G1195" s="5" t="s">
        <v>36</v>
      </c>
      <c r="H1195" s="5" t="s">
        <v>36</v>
      </c>
      <c r="I1195" s="5" t="s">
        <v>36</v>
      </c>
      <c r="J1195" s="6" t="s">
        <v>34</v>
      </c>
      <c r="K1195" s="6">
        <v>2000.0</v>
      </c>
      <c r="L1195" s="6">
        <v>500.0</v>
      </c>
      <c r="M1195" s="5" t="s">
        <v>83</v>
      </c>
      <c r="N1195" s="5" t="s">
        <v>114</v>
      </c>
      <c r="O1195" s="6" t="s">
        <v>40</v>
      </c>
      <c r="P1195" s="5" t="s">
        <v>59</v>
      </c>
      <c r="Q1195" s="5" t="s">
        <v>122</v>
      </c>
      <c r="R1195" s="6" t="s">
        <v>42</v>
      </c>
      <c r="S1195" s="5" t="s">
        <v>99</v>
      </c>
      <c r="T1195" s="5" t="s">
        <v>44</v>
      </c>
      <c r="U1195" s="5" t="s">
        <v>2359</v>
      </c>
      <c r="V1195" s="5" t="s">
        <v>44</v>
      </c>
      <c r="W1195" s="5" t="s">
        <v>36</v>
      </c>
      <c r="X1195" s="5" t="s">
        <v>356</v>
      </c>
      <c r="Y1195" s="5" t="s">
        <v>46</v>
      </c>
      <c r="Z1195" s="5" t="s">
        <v>47</v>
      </c>
      <c r="AA1195" s="5" t="s">
        <v>64</v>
      </c>
      <c r="AB1195" s="5" t="s">
        <v>5851</v>
      </c>
      <c r="AC1195" s="6" t="s">
        <v>75</v>
      </c>
      <c r="AD1195" s="6">
        <v>4762.0</v>
      </c>
    </row>
    <row r="1196" ht="56.25" customHeight="1">
      <c r="A1196" s="5" t="s">
        <v>5837</v>
      </c>
      <c r="B1196" s="6" t="str">
        <f>IMAGE("https://storage.googleapis.com/acdb/miscellaneous/FtrBoyBox_Remake_5_0.png")</f>
        <v/>
      </c>
      <c r="C1196" s="5" t="s">
        <v>57</v>
      </c>
      <c r="D1196" s="5" t="s">
        <v>34</v>
      </c>
      <c r="E1196" s="5" t="s">
        <v>34</v>
      </c>
      <c r="F1196" s="5" t="s">
        <v>34</v>
      </c>
      <c r="G1196" s="5" t="s">
        <v>36</v>
      </c>
      <c r="H1196" s="5" t="s">
        <v>36</v>
      </c>
      <c r="I1196" s="5" t="s">
        <v>36</v>
      </c>
      <c r="J1196" s="6" t="s">
        <v>34</v>
      </c>
      <c r="K1196" s="6">
        <v>2000.0</v>
      </c>
      <c r="L1196" s="6">
        <v>500.0</v>
      </c>
      <c r="M1196" s="5" t="s">
        <v>57</v>
      </c>
      <c r="N1196" s="5" t="s">
        <v>142</v>
      </c>
      <c r="O1196" s="6" t="s">
        <v>40</v>
      </c>
      <c r="P1196" s="5" t="s">
        <v>59</v>
      </c>
      <c r="Q1196" s="5" t="s">
        <v>122</v>
      </c>
      <c r="R1196" s="6" t="s">
        <v>42</v>
      </c>
      <c r="S1196" s="5" t="s">
        <v>99</v>
      </c>
      <c r="T1196" s="5" t="s">
        <v>44</v>
      </c>
      <c r="U1196" s="5" t="s">
        <v>2359</v>
      </c>
      <c r="V1196" s="5" t="s">
        <v>44</v>
      </c>
      <c r="W1196" s="5" t="s">
        <v>36</v>
      </c>
      <c r="X1196" s="5" t="s">
        <v>356</v>
      </c>
      <c r="Y1196" s="5" t="s">
        <v>46</v>
      </c>
      <c r="Z1196" s="5" t="s">
        <v>47</v>
      </c>
      <c r="AA1196" s="5" t="s">
        <v>64</v>
      </c>
      <c r="AB1196" s="5" t="s">
        <v>5854</v>
      </c>
      <c r="AC1196" s="6" t="s">
        <v>79</v>
      </c>
      <c r="AD1196" s="6">
        <v>4762.0</v>
      </c>
    </row>
    <row r="1197" ht="56.25" customHeight="1">
      <c r="A1197" s="5" t="s">
        <v>5837</v>
      </c>
      <c r="B1197" s="6" t="str">
        <f>IMAGE("https://storage.googleapis.com/acdb/miscellaneous/FtrBoyBox_Remake_6_0.png")</f>
        <v/>
      </c>
      <c r="C1197" s="5" t="s">
        <v>54</v>
      </c>
      <c r="D1197" s="5" t="s">
        <v>34</v>
      </c>
      <c r="E1197" s="5" t="s">
        <v>34</v>
      </c>
      <c r="F1197" s="5" t="s">
        <v>34</v>
      </c>
      <c r="G1197" s="5" t="s">
        <v>36</v>
      </c>
      <c r="H1197" s="5" t="s">
        <v>36</v>
      </c>
      <c r="I1197" s="5" t="s">
        <v>36</v>
      </c>
      <c r="J1197" s="6" t="s">
        <v>34</v>
      </c>
      <c r="K1197" s="6">
        <v>2000.0</v>
      </c>
      <c r="L1197" s="6">
        <v>500.0</v>
      </c>
      <c r="M1197" s="5" t="s">
        <v>54</v>
      </c>
      <c r="N1197" s="5" t="s">
        <v>95</v>
      </c>
      <c r="O1197" s="6" t="s">
        <v>40</v>
      </c>
      <c r="P1197" s="5" t="s">
        <v>59</v>
      </c>
      <c r="Q1197" s="5" t="s">
        <v>122</v>
      </c>
      <c r="R1197" s="6" t="s">
        <v>42</v>
      </c>
      <c r="S1197" s="5" t="s">
        <v>99</v>
      </c>
      <c r="T1197" s="5" t="s">
        <v>44</v>
      </c>
      <c r="U1197" s="5" t="s">
        <v>2359</v>
      </c>
      <c r="V1197" s="5" t="s">
        <v>44</v>
      </c>
      <c r="W1197" s="5" t="s">
        <v>36</v>
      </c>
      <c r="X1197" s="5" t="s">
        <v>356</v>
      </c>
      <c r="Y1197" s="5" t="s">
        <v>46</v>
      </c>
      <c r="Z1197" s="5" t="s">
        <v>47</v>
      </c>
      <c r="AA1197" s="5" t="s">
        <v>64</v>
      </c>
      <c r="AB1197" s="5" t="s">
        <v>5857</v>
      </c>
      <c r="AC1197" s="6" t="s">
        <v>86</v>
      </c>
      <c r="AD1197" s="6">
        <v>4762.0</v>
      </c>
    </row>
    <row r="1198" ht="56.25" customHeight="1">
      <c r="A1198" s="5" t="s">
        <v>5858</v>
      </c>
      <c r="B1198" s="6" t="str">
        <f>IMAGE("https://storage.googleapis.com/acdb/miscellaneous/FtrBoyMirror_Remake_0_0.png")</f>
        <v/>
      </c>
      <c r="C1198" s="5" t="s">
        <v>54</v>
      </c>
      <c r="D1198" s="5" t="s">
        <v>34</v>
      </c>
      <c r="E1198" s="5" t="s">
        <v>34</v>
      </c>
      <c r="F1198" s="5" t="s">
        <v>34</v>
      </c>
      <c r="G1198" s="5" t="s">
        <v>36</v>
      </c>
      <c r="H1198" s="5" t="s">
        <v>36</v>
      </c>
      <c r="I1198" s="5" t="s">
        <v>36</v>
      </c>
      <c r="J1198" s="6" t="s">
        <v>34</v>
      </c>
      <c r="K1198" s="6">
        <v>1800.0</v>
      </c>
      <c r="L1198" s="6">
        <v>450.0</v>
      </c>
      <c r="M1198" s="5" t="s">
        <v>54</v>
      </c>
      <c r="N1198" s="5" t="s">
        <v>95</v>
      </c>
      <c r="O1198" s="6" t="s">
        <v>40</v>
      </c>
      <c r="P1198" s="5" t="s">
        <v>59</v>
      </c>
      <c r="Q1198" s="5" t="s">
        <v>60</v>
      </c>
      <c r="R1198" s="6" t="s">
        <v>42</v>
      </c>
      <c r="S1198" s="5" t="s">
        <v>99</v>
      </c>
      <c r="T1198" s="5" t="s">
        <v>732</v>
      </c>
      <c r="U1198" s="5" t="s">
        <v>2359</v>
      </c>
      <c r="V1198" s="5" t="s">
        <v>44</v>
      </c>
      <c r="W1198" s="5" t="s">
        <v>35</v>
      </c>
      <c r="X1198" s="5" t="s">
        <v>309</v>
      </c>
      <c r="Y1198" s="5" t="s">
        <v>46</v>
      </c>
      <c r="Z1198" s="5" t="s">
        <v>47</v>
      </c>
      <c r="AA1198" s="5" t="s">
        <v>64</v>
      </c>
      <c r="AB1198" s="5" t="s">
        <v>5859</v>
      </c>
      <c r="AC1198" s="6" t="s">
        <v>50</v>
      </c>
      <c r="AD1198" s="6">
        <v>4754.0</v>
      </c>
    </row>
    <row r="1199" ht="56.25" customHeight="1">
      <c r="A1199" s="5" t="s">
        <v>5858</v>
      </c>
      <c r="B1199" s="6" t="str">
        <f>IMAGE("https://storage.googleapis.com/acdb/miscellaneous/FtrBoyMirror_Remake_1_0.png")</f>
        <v/>
      </c>
      <c r="C1199" s="5" t="s">
        <v>57</v>
      </c>
      <c r="D1199" s="5" t="s">
        <v>34</v>
      </c>
      <c r="E1199" s="5" t="s">
        <v>34</v>
      </c>
      <c r="F1199" s="5" t="s">
        <v>34</v>
      </c>
      <c r="G1199" s="5" t="s">
        <v>36</v>
      </c>
      <c r="H1199" s="5" t="s">
        <v>36</v>
      </c>
      <c r="I1199" s="5" t="s">
        <v>36</v>
      </c>
      <c r="J1199" s="6" t="s">
        <v>34</v>
      </c>
      <c r="K1199" s="6">
        <v>1800.0</v>
      </c>
      <c r="L1199" s="6">
        <v>450.0</v>
      </c>
      <c r="M1199" s="5" t="s">
        <v>57</v>
      </c>
      <c r="N1199" s="5" t="s">
        <v>95</v>
      </c>
      <c r="O1199" s="6" t="s">
        <v>40</v>
      </c>
      <c r="P1199" s="5" t="s">
        <v>59</v>
      </c>
      <c r="Q1199" s="5" t="s">
        <v>60</v>
      </c>
      <c r="R1199" s="6" t="s">
        <v>42</v>
      </c>
      <c r="S1199" s="5" t="s">
        <v>99</v>
      </c>
      <c r="T1199" s="5" t="s">
        <v>732</v>
      </c>
      <c r="U1199" s="5" t="s">
        <v>2359</v>
      </c>
      <c r="V1199" s="5" t="s">
        <v>44</v>
      </c>
      <c r="W1199" s="5" t="s">
        <v>35</v>
      </c>
      <c r="X1199" s="5" t="s">
        <v>309</v>
      </c>
      <c r="Y1199" s="5" t="s">
        <v>46</v>
      </c>
      <c r="Z1199" s="5" t="s">
        <v>47</v>
      </c>
      <c r="AA1199" s="5" t="s">
        <v>64</v>
      </c>
      <c r="AB1199" s="5" t="s">
        <v>5863</v>
      </c>
      <c r="AC1199" s="6" t="s">
        <v>56</v>
      </c>
      <c r="AD1199" s="6">
        <v>4754.0</v>
      </c>
    </row>
    <row r="1200" ht="56.25" customHeight="1">
      <c r="A1200" s="5" t="s">
        <v>5858</v>
      </c>
      <c r="B1200" s="6" t="str">
        <f>IMAGE("https://storage.googleapis.com/acdb/miscellaneous/FtrBoyMirror_Remake_2_0.png")</f>
        <v/>
      </c>
      <c r="C1200" s="5" t="s">
        <v>52</v>
      </c>
      <c r="D1200" s="5" t="s">
        <v>34</v>
      </c>
      <c r="E1200" s="5" t="s">
        <v>34</v>
      </c>
      <c r="F1200" s="5" t="s">
        <v>34</v>
      </c>
      <c r="G1200" s="5" t="s">
        <v>36</v>
      </c>
      <c r="H1200" s="5" t="s">
        <v>36</v>
      </c>
      <c r="I1200" s="5" t="s">
        <v>36</v>
      </c>
      <c r="J1200" s="6" t="s">
        <v>34</v>
      </c>
      <c r="K1200" s="6">
        <v>1800.0</v>
      </c>
      <c r="L1200" s="6">
        <v>450.0</v>
      </c>
      <c r="M1200" s="5" t="s">
        <v>52</v>
      </c>
      <c r="N1200" s="5" t="s">
        <v>95</v>
      </c>
      <c r="O1200" s="6" t="s">
        <v>40</v>
      </c>
      <c r="P1200" s="5" t="s">
        <v>59</v>
      </c>
      <c r="Q1200" s="5" t="s">
        <v>60</v>
      </c>
      <c r="R1200" s="6" t="s">
        <v>42</v>
      </c>
      <c r="S1200" s="5" t="s">
        <v>99</v>
      </c>
      <c r="T1200" s="5" t="s">
        <v>732</v>
      </c>
      <c r="U1200" s="5" t="s">
        <v>2359</v>
      </c>
      <c r="V1200" s="5" t="s">
        <v>44</v>
      </c>
      <c r="W1200" s="5" t="s">
        <v>35</v>
      </c>
      <c r="X1200" s="5" t="s">
        <v>309</v>
      </c>
      <c r="Y1200" s="5" t="s">
        <v>46</v>
      </c>
      <c r="Z1200" s="5" t="s">
        <v>47</v>
      </c>
      <c r="AA1200" s="5" t="s">
        <v>64</v>
      </c>
      <c r="AB1200" s="5" t="s">
        <v>5866</v>
      </c>
      <c r="AC1200" s="6" t="s">
        <v>67</v>
      </c>
      <c r="AD1200" s="6">
        <v>4754.0</v>
      </c>
    </row>
    <row r="1201" ht="56.25" customHeight="1">
      <c r="A1201" s="5" t="s">
        <v>5867</v>
      </c>
      <c r="B1201" s="6" t="str">
        <f>IMAGE("https://storage.googleapis.com/acdb/miscellaneous/FtrBoyAudio_Remake_0_0.png")</f>
        <v/>
      </c>
      <c r="C1201" s="5" t="s">
        <v>57</v>
      </c>
      <c r="D1201" s="5" t="s">
        <v>34</v>
      </c>
      <c r="E1201" s="5" t="s">
        <v>34</v>
      </c>
      <c r="F1201" s="5" t="s">
        <v>34</v>
      </c>
      <c r="G1201" s="5" t="s">
        <v>36</v>
      </c>
      <c r="H1201" s="5" t="s">
        <v>36</v>
      </c>
      <c r="I1201" s="5" t="s">
        <v>36</v>
      </c>
      <c r="J1201" s="6" t="s">
        <v>34</v>
      </c>
      <c r="K1201" s="6">
        <v>3200.0</v>
      </c>
      <c r="L1201" s="6">
        <v>800.0</v>
      </c>
      <c r="M1201" s="5" t="s">
        <v>57</v>
      </c>
      <c r="N1201" s="5" t="s">
        <v>69</v>
      </c>
      <c r="O1201" s="6" t="s">
        <v>40</v>
      </c>
      <c r="P1201" s="5" t="s">
        <v>59</v>
      </c>
      <c r="Q1201" s="5" t="s">
        <v>60</v>
      </c>
      <c r="R1201" s="6" t="s">
        <v>42</v>
      </c>
      <c r="S1201" s="5" t="s">
        <v>99</v>
      </c>
      <c r="T1201" s="5" t="s">
        <v>732</v>
      </c>
      <c r="U1201" s="5" t="s">
        <v>2359</v>
      </c>
      <c r="V1201" s="5" t="s">
        <v>44</v>
      </c>
      <c r="W1201" s="5" t="s">
        <v>35</v>
      </c>
      <c r="X1201" s="5" t="s">
        <v>746</v>
      </c>
      <c r="Y1201" s="5" t="s">
        <v>885</v>
      </c>
      <c r="Z1201" s="5" t="s">
        <v>47</v>
      </c>
      <c r="AA1201" s="5" t="s">
        <v>64</v>
      </c>
      <c r="AB1201" s="5" t="s">
        <v>5870</v>
      </c>
      <c r="AC1201" s="6" t="s">
        <v>50</v>
      </c>
      <c r="AD1201" s="6">
        <v>4757.0</v>
      </c>
    </row>
    <row r="1202" ht="56.25" customHeight="1">
      <c r="A1202" s="5" t="s">
        <v>5867</v>
      </c>
      <c r="B1202" s="6" t="str">
        <f>IMAGE("https://storage.googleapis.com/acdb/miscellaneous/FtrBoyAudio_Remake_1_0.png")</f>
        <v/>
      </c>
      <c r="C1202" s="5" t="s">
        <v>52</v>
      </c>
      <c r="D1202" s="5" t="s">
        <v>34</v>
      </c>
      <c r="E1202" s="5" t="s">
        <v>34</v>
      </c>
      <c r="F1202" s="5" t="s">
        <v>34</v>
      </c>
      <c r="G1202" s="5" t="s">
        <v>36</v>
      </c>
      <c r="H1202" s="5" t="s">
        <v>36</v>
      </c>
      <c r="I1202" s="5" t="s">
        <v>36</v>
      </c>
      <c r="J1202" s="6" t="s">
        <v>34</v>
      </c>
      <c r="K1202" s="6">
        <v>3200.0</v>
      </c>
      <c r="L1202" s="6">
        <v>800.0</v>
      </c>
      <c r="M1202" s="5" t="s">
        <v>52</v>
      </c>
      <c r="N1202" s="5" t="s">
        <v>69</v>
      </c>
      <c r="O1202" s="6" t="s">
        <v>40</v>
      </c>
      <c r="P1202" s="5" t="s">
        <v>59</v>
      </c>
      <c r="Q1202" s="5" t="s">
        <v>60</v>
      </c>
      <c r="R1202" s="6" t="s">
        <v>42</v>
      </c>
      <c r="S1202" s="5" t="s">
        <v>99</v>
      </c>
      <c r="T1202" s="5" t="s">
        <v>732</v>
      </c>
      <c r="U1202" s="5" t="s">
        <v>2359</v>
      </c>
      <c r="V1202" s="5" t="s">
        <v>44</v>
      </c>
      <c r="W1202" s="5" t="s">
        <v>35</v>
      </c>
      <c r="X1202" s="5" t="s">
        <v>746</v>
      </c>
      <c r="Y1202" s="5" t="s">
        <v>885</v>
      </c>
      <c r="Z1202" s="5" t="s">
        <v>47</v>
      </c>
      <c r="AA1202" s="5" t="s">
        <v>64</v>
      </c>
      <c r="AB1202" s="5" t="s">
        <v>5874</v>
      </c>
      <c r="AC1202" s="6" t="s">
        <v>56</v>
      </c>
      <c r="AD1202" s="6">
        <v>4757.0</v>
      </c>
    </row>
    <row r="1203" ht="56.25" customHeight="1">
      <c r="A1203" s="5" t="s">
        <v>5867</v>
      </c>
      <c r="B1203" s="6" t="str">
        <f>IMAGE("https://storage.googleapis.com/acdb/miscellaneous/FtrBoyAudio_Remake_2_0.png")</f>
        <v/>
      </c>
      <c r="C1203" s="5" t="s">
        <v>54</v>
      </c>
      <c r="D1203" s="5" t="s">
        <v>34</v>
      </c>
      <c r="E1203" s="5" t="s">
        <v>34</v>
      </c>
      <c r="F1203" s="5" t="s">
        <v>34</v>
      </c>
      <c r="G1203" s="5" t="s">
        <v>36</v>
      </c>
      <c r="H1203" s="5" t="s">
        <v>36</v>
      </c>
      <c r="I1203" s="5" t="s">
        <v>36</v>
      </c>
      <c r="J1203" s="6" t="s">
        <v>34</v>
      </c>
      <c r="K1203" s="6">
        <v>3200.0</v>
      </c>
      <c r="L1203" s="6">
        <v>800.0</v>
      </c>
      <c r="M1203" s="5" t="s">
        <v>54</v>
      </c>
      <c r="N1203" s="5" t="s">
        <v>69</v>
      </c>
      <c r="O1203" s="6" t="s">
        <v>40</v>
      </c>
      <c r="P1203" s="5" t="s">
        <v>59</v>
      </c>
      <c r="Q1203" s="5" t="s">
        <v>60</v>
      </c>
      <c r="R1203" s="6" t="s">
        <v>42</v>
      </c>
      <c r="S1203" s="5" t="s">
        <v>99</v>
      </c>
      <c r="T1203" s="5" t="s">
        <v>732</v>
      </c>
      <c r="U1203" s="5" t="s">
        <v>2359</v>
      </c>
      <c r="V1203" s="5" t="s">
        <v>44</v>
      </c>
      <c r="W1203" s="5" t="s">
        <v>35</v>
      </c>
      <c r="X1203" s="5" t="s">
        <v>746</v>
      </c>
      <c r="Y1203" s="5" t="s">
        <v>885</v>
      </c>
      <c r="Z1203" s="5" t="s">
        <v>47</v>
      </c>
      <c r="AA1203" s="5" t="s">
        <v>64</v>
      </c>
      <c r="AB1203" s="5" t="s">
        <v>5878</v>
      </c>
      <c r="AC1203" s="6" t="s">
        <v>67</v>
      </c>
      <c r="AD1203" s="6">
        <v>4757.0</v>
      </c>
    </row>
    <row r="1204" ht="56.25" customHeight="1">
      <c r="A1204" s="5" t="s">
        <v>5867</v>
      </c>
      <c r="B1204" s="6" t="str">
        <f>IMAGE("https://storage.googleapis.com/acdb/miscellaneous/FtrBoyAudio_Remake_3_0.png")</f>
        <v/>
      </c>
      <c r="C1204" s="5" t="s">
        <v>755</v>
      </c>
      <c r="D1204" s="5" t="s">
        <v>34</v>
      </c>
      <c r="E1204" s="5" t="s">
        <v>34</v>
      </c>
      <c r="F1204" s="5" t="s">
        <v>34</v>
      </c>
      <c r="G1204" s="5" t="s">
        <v>36</v>
      </c>
      <c r="H1204" s="5" t="s">
        <v>36</v>
      </c>
      <c r="I1204" s="5" t="s">
        <v>36</v>
      </c>
      <c r="J1204" s="6" t="s">
        <v>34</v>
      </c>
      <c r="K1204" s="6">
        <v>3200.0</v>
      </c>
      <c r="L1204" s="6">
        <v>800.0</v>
      </c>
      <c r="M1204" s="5" t="s">
        <v>38</v>
      </c>
      <c r="N1204" s="5" t="s">
        <v>69</v>
      </c>
      <c r="O1204" s="6" t="s">
        <v>40</v>
      </c>
      <c r="P1204" s="5" t="s">
        <v>59</v>
      </c>
      <c r="Q1204" s="5" t="s">
        <v>60</v>
      </c>
      <c r="R1204" s="6" t="s">
        <v>42</v>
      </c>
      <c r="S1204" s="5" t="s">
        <v>99</v>
      </c>
      <c r="T1204" s="5" t="s">
        <v>732</v>
      </c>
      <c r="U1204" s="5" t="s">
        <v>2359</v>
      </c>
      <c r="V1204" s="5" t="s">
        <v>44</v>
      </c>
      <c r="W1204" s="5" t="s">
        <v>35</v>
      </c>
      <c r="X1204" s="5" t="s">
        <v>746</v>
      </c>
      <c r="Y1204" s="5" t="s">
        <v>885</v>
      </c>
      <c r="Z1204" s="5" t="s">
        <v>47</v>
      </c>
      <c r="AA1204" s="5" t="s">
        <v>64</v>
      </c>
      <c r="AB1204" s="5" t="s">
        <v>5882</v>
      </c>
      <c r="AC1204" s="6" t="s">
        <v>71</v>
      </c>
      <c r="AD1204" s="6">
        <v>4757.0</v>
      </c>
    </row>
    <row r="1205" ht="56.25" customHeight="1">
      <c r="A1205" s="5" t="s">
        <v>5867</v>
      </c>
      <c r="B1205" s="6" t="str">
        <f>IMAGE("https://storage.googleapis.com/acdb/miscellaneous/FtrBoyAudio_Remake_4_0.png")</f>
        <v/>
      </c>
      <c r="C1205" s="5" t="s">
        <v>96</v>
      </c>
      <c r="D1205" s="5" t="s">
        <v>34</v>
      </c>
      <c r="E1205" s="5" t="s">
        <v>34</v>
      </c>
      <c r="F1205" s="5" t="s">
        <v>34</v>
      </c>
      <c r="G1205" s="5" t="s">
        <v>36</v>
      </c>
      <c r="H1205" s="5" t="s">
        <v>36</v>
      </c>
      <c r="I1205" s="5" t="s">
        <v>36</v>
      </c>
      <c r="J1205" s="6" t="s">
        <v>34</v>
      </c>
      <c r="K1205" s="6">
        <v>3200.0</v>
      </c>
      <c r="L1205" s="6">
        <v>800.0</v>
      </c>
      <c r="M1205" s="5" t="s">
        <v>96</v>
      </c>
      <c r="N1205" s="5" t="s">
        <v>69</v>
      </c>
      <c r="O1205" s="6" t="s">
        <v>40</v>
      </c>
      <c r="P1205" s="5" t="s">
        <v>59</v>
      </c>
      <c r="Q1205" s="5" t="s">
        <v>60</v>
      </c>
      <c r="R1205" s="6" t="s">
        <v>42</v>
      </c>
      <c r="S1205" s="5" t="s">
        <v>99</v>
      </c>
      <c r="T1205" s="5" t="s">
        <v>732</v>
      </c>
      <c r="U1205" s="5" t="s">
        <v>2359</v>
      </c>
      <c r="V1205" s="5" t="s">
        <v>44</v>
      </c>
      <c r="W1205" s="5" t="s">
        <v>35</v>
      </c>
      <c r="X1205" s="5" t="s">
        <v>746</v>
      </c>
      <c r="Y1205" s="5" t="s">
        <v>885</v>
      </c>
      <c r="Z1205" s="5" t="s">
        <v>47</v>
      </c>
      <c r="AA1205" s="5" t="s">
        <v>64</v>
      </c>
      <c r="AB1205" s="5" t="s">
        <v>5885</v>
      </c>
      <c r="AC1205" s="6" t="s">
        <v>75</v>
      </c>
      <c r="AD1205" s="6">
        <v>4757.0</v>
      </c>
    </row>
    <row r="1206" ht="56.25" customHeight="1">
      <c r="A1206" s="5" t="s">
        <v>5867</v>
      </c>
      <c r="B1206" s="6" t="str">
        <f>IMAGE("https://storage.googleapis.com/acdb/miscellaneous/FtrBoyAudio_Remake_5_0.png")</f>
        <v/>
      </c>
      <c r="C1206" s="5" t="s">
        <v>95</v>
      </c>
      <c r="D1206" s="5" t="s">
        <v>34</v>
      </c>
      <c r="E1206" s="5" t="s">
        <v>34</v>
      </c>
      <c r="F1206" s="5" t="s">
        <v>34</v>
      </c>
      <c r="G1206" s="5" t="s">
        <v>36</v>
      </c>
      <c r="H1206" s="5" t="s">
        <v>36</v>
      </c>
      <c r="I1206" s="5" t="s">
        <v>36</v>
      </c>
      <c r="J1206" s="6" t="s">
        <v>34</v>
      </c>
      <c r="K1206" s="6">
        <v>3200.0</v>
      </c>
      <c r="L1206" s="6">
        <v>800.0</v>
      </c>
      <c r="M1206" s="5" t="s">
        <v>95</v>
      </c>
      <c r="N1206" s="5" t="s">
        <v>69</v>
      </c>
      <c r="O1206" s="6" t="s">
        <v>40</v>
      </c>
      <c r="P1206" s="5" t="s">
        <v>59</v>
      </c>
      <c r="Q1206" s="5" t="s">
        <v>60</v>
      </c>
      <c r="R1206" s="6" t="s">
        <v>42</v>
      </c>
      <c r="S1206" s="5" t="s">
        <v>99</v>
      </c>
      <c r="T1206" s="5" t="s">
        <v>732</v>
      </c>
      <c r="U1206" s="5" t="s">
        <v>2359</v>
      </c>
      <c r="V1206" s="5" t="s">
        <v>44</v>
      </c>
      <c r="W1206" s="5" t="s">
        <v>35</v>
      </c>
      <c r="X1206" s="5" t="s">
        <v>746</v>
      </c>
      <c r="Y1206" s="5" t="s">
        <v>885</v>
      </c>
      <c r="Z1206" s="5" t="s">
        <v>47</v>
      </c>
      <c r="AA1206" s="5" t="s">
        <v>64</v>
      </c>
      <c r="AB1206" s="5" t="s">
        <v>5888</v>
      </c>
      <c r="AC1206" s="6" t="s">
        <v>79</v>
      </c>
      <c r="AD1206" s="6">
        <v>4757.0</v>
      </c>
    </row>
    <row r="1207" ht="56.25" customHeight="1">
      <c r="A1207" s="5" t="s">
        <v>5889</v>
      </c>
      <c r="B1207" s="6" t="str">
        <f>IMAGE("https://storage.googleapis.com/acdb/miscellaneous/FtrBoyFigure_Remake_0_0.png")</f>
        <v/>
      </c>
      <c r="C1207" s="5" t="s">
        <v>52</v>
      </c>
      <c r="D1207" s="5" t="s">
        <v>34</v>
      </c>
      <c r="E1207" s="5" t="s">
        <v>34</v>
      </c>
      <c r="F1207" s="5" t="s">
        <v>34</v>
      </c>
      <c r="G1207" s="5" t="s">
        <v>36</v>
      </c>
      <c r="H1207" s="5" t="s">
        <v>36</v>
      </c>
      <c r="I1207" s="5" t="s">
        <v>36</v>
      </c>
      <c r="J1207" s="6" t="s">
        <v>34</v>
      </c>
      <c r="K1207" s="6">
        <v>1400.0</v>
      </c>
      <c r="L1207" s="6">
        <v>350.0</v>
      </c>
      <c r="M1207" s="5" t="s">
        <v>52</v>
      </c>
      <c r="N1207" s="5" t="s">
        <v>38</v>
      </c>
      <c r="O1207" s="6" t="s">
        <v>40</v>
      </c>
      <c r="P1207" s="5" t="s">
        <v>59</v>
      </c>
      <c r="Q1207" s="5" t="s">
        <v>60</v>
      </c>
      <c r="R1207" s="6" t="s">
        <v>42</v>
      </c>
      <c r="S1207" s="5" t="s">
        <v>99</v>
      </c>
      <c r="T1207" s="5" t="s">
        <v>44</v>
      </c>
      <c r="U1207" s="5" t="s">
        <v>2359</v>
      </c>
      <c r="V1207" s="5" t="s">
        <v>44</v>
      </c>
      <c r="W1207" s="5" t="s">
        <v>35</v>
      </c>
      <c r="X1207" s="5" t="s">
        <v>356</v>
      </c>
      <c r="Y1207" s="5" t="s">
        <v>46</v>
      </c>
      <c r="Z1207" s="5" t="s">
        <v>47</v>
      </c>
      <c r="AA1207" s="5" t="s">
        <v>64</v>
      </c>
      <c r="AB1207" s="5" t="s">
        <v>5891</v>
      </c>
      <c r="AC1207" s="6" t="s">
        <v>50</v>
      </c>
      <c r="AD1207" s="6">
        <v>4753.0</v>
      </c>
    </row>
    <row r="1208" ht="56.25" customHeight="1">
      <c r="A1208" s="5" t="s">
        <v>5889</v>
      </c>
      <c r="B1208" s="6" t="str">
        <f>IMAGE("https://storage.googleapis.com/acdb/miscellaneous/FtrBoyFigure_Remake_1_0.png")</f>
        <v/>
      </c>
      <c r="C1208" s="5" t="s">
        <v>68</v>
      </c>
      <c r="D1208" s="5" t="s">
        <v>34</v>
      </c>
      <c r="E1208" s="5" t="s">
        <v>34</v>
      </c>
      <c r="F1208" s="5" t="s">
        <v>34</v>
      </c>
      <c r="G1208" s="5" t="s">
        <v>36</v>
      </c>
      <c r="H1208" s="5" t="s">
        <v>36</v>
      </c>
      <c r="I1208" s="5" t="s">
        <v>36</v>
      </c>
      <c r="J1208" s="6" t="s">
        <v>34</v>
      </c>
      <c r="K1208" s="6">
        <v>1400.0</v>
      </c>
      <c r="L1208" s="6">
        <v>350.0</v>
      </c>
      <c r="M1208" s="5" t="s">
        <v>68</v>
      </c>
      <c r="N1208" s="5" t="s">
        <v>38</v>
      </c>
      <c r="O1208" s="6" t="s">
        <v>40</v>
      </c>
      <c r="P1208" s="5" t="s">
        <v>59</v>
      </c>
      <c r="Q1208" s="5" t="s">
        <v>60</v>
      </c>
      <c r="R1208" s="6" t="s">
        <v>42</v>
      </c>
      <c r="S1208" s="5" t="s">
        <v>99</v>
      </c>
      <c r="T1208" s="5" t="s">
        <v>44</v>
      </c>
      <c r="U1208" s="5" t="s">
        <v>2359</v>
      </c>
      <c r="V1208" s="5" t="s">
        <v>44</v>
      </c>
      <c r="W1208" s="5" t="s">
        <v>35</v>
      </c>
      <c r="X1208" s="5" t="s">
        <v>356</v>
      </c>
      <c r="Y1208" s="5" t="s">
        <v>46</v>
      </c>
      <c r="Z1208" s="5" t="s">
        <v>47</v>
      </c>
      <c r="AA1208" s="5" t="s">
        <v>64</v>
      </c>
      <c r="AB1208" s="5" t="s">
        <v>5895</v>
      </c>
      <c r="AC1208" s="6" t="s">
        <v>56</v>
      </c>
      <c r="AD1208" s="6">
        <v>4753.0</v>
      </c>
    </row>
    <row r="1209" ht="56.25" customHeight="1">
      <c r="A1209" s="5" t="s">
        <v>5889</v>
      </c>
      <c r="B1209" s="6" t="str">
        <f>IMAGE("https://storage.googleapis.com/acdb/miscellaneous/FtrBoyFigure_Remake_2_0.png")</f>
        <v/>
      </c>
      <c r="C1209" s="5" t="s">
        <v>96</v>
      </c>
      <c r="D1209" s="5" t="s">
        <v>34</v>
      </c>
      <c r="E1209" s="5" t="s">
        <v>34</v>
      </c>
      <c r="F1209" s="5" t="s">
        <v>34</v>
      </c>
      <c r="G1209" s="5" t="s">
        <v>36</v>
      </c>
      <c r="H1209" s="5" t="s">
        <v>36</v>
      </c>
      <c r="I1209" s="5" t="s">
        <v>36</v>
      </c>
      <c r="J1209" s="6" t="s">
        <v>34</v>
      </c>
      <c r="K1209" s="6">
        <v>1400.0</v>
      </c>
      <c r="L1209" s="6">
        <v>350.0</v>
      </c>
      <c r="M1209" s="5" t="s">
        <v>96</v>
      </c>
      <c r="N1209" s="5" t="s">
        <v>38</v>
      </c>
      <c r="O1209" s="6" t="s">
        <v>40</v>
      </c>
      <c r="P1209" s="5" t="s">
        <v>59</v>
      </c>
      <c r="Q1209" s="5" t="s">
        <v>60</v>
      </c>
      <c r="R1209" s="6" t="s">
        <v>42</v>
      </c>
      <c r="S1209" s="5" t="s">
        <v>99</v>
      </c>
      <c r="T1209" s="5" t="s">
        <v>44</v>
      </c>
      <c r="U1209" s="5" t="s">
        <v>2359</v>
      </c>
      <c r="V1209" s="5" t="s">
        <v>44</v>
      </c>
      <c r="W1209" s="5" t="s">
        <v>35</v>
      </c>
      <c r="X1209" s="5" t="s">
        <v>356</v>
      </c>
      <c r="Y1209" s="5" t="s">
        <v>46</v>
      </c>
      <c r="Z1209" s="5" t="s">
        <v>47</v>
      </c>
      <c r="AA1209" s="5" t="s">
        <v>64</v>
      </c>
      <c r="AB1209" s="5" t="s">
        <v>5897</v>
      </c>
      <c r="AC1209" s="6" t="s">
        <v>67</v>
      </c>
      <c r="AD1209" s="6">
        <v>4753.0</v>
      </c>
    </row>
    <row r="1210" ht="56.25" customHeight="1">
      <c r="A1210" s="5" t="s">
        <v>5889</v>
      </c>
      <c r="B1210" s="6" t="str">
        <f>IMAGE("https://storage.googleapis.com/acdb/miscellaneous/FtrBoyFigure_Remake_3_0.png")</f>
        <v/>
      </c>
      <c r="C1210" s="5" t="s">
        <v>69</v>
      </c>
      <c r="D1210" s="5" t="s">
        <v>34</v>
      </c>
      <c r="E1210" s="5" t="s">
        <v>34</v>
      </c>
      <c r="F1210" s="5" t="s">
        <v>34</v>
      </c>
      <c r="G1210" s="5" t="s">
        <v>36</v>
      </c>
      <c r="H1210" s="5" t="s">
        <v>36</v>
      </c>
      <c r="I1210" s="5" t="s">
        <v>36</v>
      </c>
      <c r="J1210" s="6" t="s">
        <v>34</v>
      </c>
      <c r="K1210" s="6">
        <v>1400.0</v>
      </c>
      <c r="L1210" s="6">
        <v>350.0</v>
      </c>
      <c r="M1210" s="5" t="s">
        <v>69</v>
      </c>
      <c r="N1210" s="5" t="s">
        <v>38</v>
      </c>
      <c r="O1210" s="6" t="s">
        <v>40</v>
      </c>
      <c r="P1210" s="5" t="s">
        <v>59</v>
      </c>
      <c r="Q1210" s="5" t="s">
        <v>60</v>
      </c>
      <c r="R1210" s="6" t="s">
        <v>42</v>
      </c>
      <c r="S1210" s="5" t="s">
        <v>99</v>
      </c>
      <c r="T1210" s="5" t="s">
        <v>44</v>
      </c>
      <c r="U1210" s="5" t="s">
        <v>2359</v>
      </c>
      <c r="V1210" s="5" t="s">
        <v>44</v>
      </c>
      <c r="W1210" s="5" t="s">
        <v>35</v>
      </c>
      <c r="X1210" s="5" t="s">
        <v>356</v>
      </c>
      <c r="Y1210" s="5" t="s">
        <v>46</v>
      </c>
      <c r="Z1210" s="5" t="s">
        <v>47</v>
      </c>
      <c r="AA1210" s="5" t="s">
        <v>64</v>
      </c>
      <c r="AB1210" s="5" t="s">
        <v>5900</v>
      </c>
      <c r="AC1210" s="6" t="s">
        <v>71</v>
      </c>
      <c r="AD1210" s="6">
        <v>4753.0</v>
      </c>
    </row>
    <row r="1211" ht="56.25" customHeight="1">
      <c r="A1211" s="5" t="s">
        <v>5889</v>
      </c>
      <c r="B1211" s="6" t="str">
        <f>IMAGE("https://storage.googleapis.com/acdb/miscellaneous/FtrBoyFigure_Remake_4_0.png")</f>
        <v/>
      </c>
      <c r="C1211" s="5" t="s">
        <v>54</v>
      </c>
      <c r="D1211" s="5" t="s">
        <v>34</v>
      </c>
      <c r="E1211" s="5" t="s">
        <v>34</v>
      </c>
      <c r="F1211" s="5" t="s">
        <v>34</v>
      </c>
      <c r="G1211" s="5" t="s">
        <v>36</v>
      </c>
      <c r="H1211" s="5" t="s">
        <v>36</v>
      </c>
      <c r="I1211" s="5" t="s">
        <v>36</v>
      </c>
      <c r="J1211" s="6" t="s">
        <v>34</v>
      </c>
      <c r="K1211" s="6">
        <v>1400.0</v>
      </c>
      <c r="L1211" s="6">
        <v>350.0</v>
      </c>
      <c r="M1211" s="5" t="s">
        <v>54</v>
      </c>
      <c r="N1211" s="5" t="s">
        <v>38</v>
      </c>
      <c r="O1211" s="6" t="s">
        <v>40</v>
      </c>
      <c r="P1211" s="5" t="s">
        <v>59</v>
      </c>
      <c r="Q1211" s="5" t="s">
        <v>60</v>
      </c>
      <c r="R1211" s="6" t="s">
        <v>42</v>
      </c>
      <c r="S1211" s="5" t="s">
        <v>99</v>
      </c>
      <c r="T1211" s="5" t="s">
        <v>44</v>
      </c>
      <c r="U1211" s="5" t="s">
        <v>2359</v>
      </c>
      <c r="V1211" s="5" t="s">
        <v>44</v>
      </c>
      <c r="W1211" s="5" t="s">
        <v>35</v>
      </c>
      <c r="X1211" s="5" t="s">
        <v>356</v>
      </c>
      <c r="Y1211" s="5" t="s">
        <v>46</v>
      </c>
      <c r="Z1211" s="5" t="s">
        <v>47</v>
      </c>
      <c r="AA1211" s="5" t="s">
        <v>64</v>
      </c>
      <c r="AB1211" s="5" t="s">
        <v>5902</v>
      </c>
      <c r="AC1211" s="6" t="s">
        <v>75</v>
      </c>
      <c r="AD1211" s="6">
        <v>4753.0</v>
      </c>
    </row>
    <row r="1212" ht="56.25" customHeight="1">
      <c r="A1212" s="5" t="s">
        <v>5889</v>
      </c>
      <c r="B1212" s="6" t="str">
        <f>IMAGE("https://storage.googleapis.com/acdb/miscellaneous/FtrBoyFigure_Remake_5_0.png")</f>
        <v/>
      </c>
      <c r="C1212" s="5" t="s">
        <v>151</v>
      </c>
      <c r="D1212" s="5" t="s">
        <v>34</v>
      </c>
      <c r="E1212" s="5" t="s">
        <v>34</v>
      </c>
      <c r="F1212" s="5" t="s">
        <v>34</v>
      </c>
      <c r="G1212" s="5" t="s">
        <v>36</v>
      </c>
      <c r="H1212" s="5" t="s">
        <v>36</v>
      </c>
      <c r="I1212" s="5" t="s">
        <v>36</v>
      </c>
      <c r="J1212" s="6" t="s">
        <v>34</v>
      </c>
      <c r="K1212" s="6">
        <v>1400.0</v>
      </c>
      <c r="L1212" s="6">
        <v>350.0</v>
      </c>
      <c r="M1212" s="5" t="s">
        <v>114</v>
      </c>
      <c r="N1212" s="5" t="s">
        <v>38</v>
      </c>
      <c r="O1212" s="6" t="s">
        <v>40</v>
      </c>
      <c r="P1212" s="5" t="s">
        <v>59</v>
      </c>
      <c r="Q1212" s="5" t="s">
        <v>60</v>
      </c>
      <c r="R1212" s="6" t="s">
        <v>42</v>
      </c>
      <c r="S1212" s="5" t="s">
        <v>99</v>
      </c>
      <c r="T1212" s="5" t="s">
        <v>44</v>
      </c>
      <c r="U1212" s="5" t="s">
        <v>2359</v>
      </c>
      <c r="V1212" s="5" t="s">
        <v>44</v>
      </c>
      <c r="W1212" s="5" t="s">
        <v>35</v>
      </c>
      <c r="X1212" s="5" t="s">
        <v>356</v>
      </c>
      <c r="Y1212" s="5" t="s">
        <v>46</v>
      </c>
      <c r="Z1212" s="5" t="s">
        <v>47</v>
      </c>
      <c r="AA1212" s="5" t="s">
        <v>64</v>
      </c>
      <c r="AB1212" s="5" t="s">
        <v>5905</v>
      </c>
      <c r="AC1212" s="6" t="s">
        <v>79</v>
      </c>
      <c r="AD1212" s="6">
        <v>4753.0</v>
      </c>
    </row>
    <row r="1213" ht="56.25" customHeight="1">
      <c r="A1213" s="5" t="s">
        <v>5906</v>
      </c>
      <c r="B1213" s="16" t="str">
        <f>IMAGE("https://storage.googleapis.com/acdb/miscellaneous/FtrInsectHanmyouToy.png")</f>
        <v/>
      </c>
      <c r="C1213" s="5" t="s">
        <v>34</v>
      </c>
      <c r="D1213" s="5" t="s">
        <v>34</v>
      </c>
      <c r="E1213" s="5" t="s">
        <v>34</v>
      </c>
      <c r="F1213" s="5" t="s">
        <v>34</v>
      </c>
      <c r="G1213" s="5" t="s">
        <v>36</v>
      </c>
      <c r="H1213" s="5" t="s">
        <v>36</v>
      </c>
      <c r="I1213" s="5" t="s">
        <v>36</v>
      </c>
      <c r="J1213" s="6" t="s">
        <v>34</v>
      </c>
      <c r="K1213" s="6" t="s">
        <v>37</v>
      </c>
      <c r="L1213" s="6">
        <v>4500.0</v>
      </c>
      <c r="M1213" s="5" t="s">
        <v>96</v>
      </c>
      <c r="N1213" s="5" t="s">
        <v>54</v>
      </c>
      <c r="O1213" s="6" t="s">
        <v>40</v>
      </c>
      <c r="P1213" s="5" t="s">
        <v>107</v>
      </c>
      <c r="Q1213" s="5" t="s">
        <v>108</v>
      </c>
      <c r="R1213" s="6" t="s">
        <v>42</v>
      </c>
      <c r="S1213" s="5" t="s">
        <v>44</v>
      </c>
      <c r="T1213" s="5" t="s">
        <v>44</v>
      </c>
      <c r="U1213" s="5" t="s">
        <v>44</v>
      </c>
      <c r="V1213" s="5" t="s">
        <v>44</v>
      </c>
      <c r="W1213" s="5" t="s">
        <v>36</v>
      </c>
      <c r="X1213" s="5" t="s">
        <v>109</v>
      </c>
      <c r="Y1213" s="5" t="s">
        <v>46</v>
      </c>
      <c r="Z1213" s="5" t="s">
        <v>47</v>
      </c>
      <c r="AA1213" s="5" t="s">
        <v>48</v>
      </c>
      <c r="AB1213" s="5" t="s">
        <v>5911</v>
      </c>
      <c r="AC1213" s="6" t="s">
        <v>34</v>
      </c>
      <c r="AD1213" s="6">
        <v>7062.0</v>
      </c>
    </row>
    <row r="1214" ht="56.25" customHeight="1">
      <c r="A1214" s="5" t="s">
        <v>5912</v>
      </c>
      <c r="B1214" s="16" t="str">
        <f>IMAGE("https://storage.googleapis.com/acdb/miscellaneous/FtrInsectAgehachoToy.png")</f>
        <v/>
      </c>
      <c r="C1214" s="5" t="s">
        <v>34</v>
      </c>
      <c r="D1214" s="5" t="s">
        <v>34</v>
      </c>
      <c r="E1214" s="5" t="s">
        <v>34</v>
      </c>
      <c r="F1214" s="5" t="s">
        <v>34</v>
      </c>
      <c r="G1214" s="5" t="s">
        <v>36</v>
      </c>
      <c r="H1214" s="5" t="s">
        <v>36</v>
      </c>
      <c r="I1214" s="5" t="s">
        <v>36</v>
      </c>
      <c r="J1214" s="6" t="s">
        <v>34</v>
      </c>
      <c r="K1214" s="6" t="s">
        <v>37</v>
      </c>
      <c r="L1214" s="6">
        <v>720.0</v>
      </c>
      <c r="M1214" s="5" t="s">
        <v>114</v>
      </c>
      <c r="N1214" s="5" t="s">
        <v>54</v>
      </c>
      <c r="O1214" s="6" t="s">
        <v>40</v>
      </c>
      <c r="P1214" s="5" t="s">
        <v>107</v>
      </c>
      <c r="Q1214" s="5" t="s">
        <v>108</v>
      </c>
      <c r="R1214" s="6" t="s">
        <v>42</v>
      </c>
      <c r="S1214" s="5" t="s">
        <v>44</v>
      </c>
      <c r="T1214" s="5" t="s">
        <v>44</v>
      </c>
      <c r="U1214" s="5" t="s">
        <v>44</v>
      </c>
      <c r="V1214" s="5" t="s">
        <v>44</v>
      </c>
      <c r="W1214" s="5" t="s">
        <v>36</v>
      </c>
      <c r="X1214" s="5" t="s">
        <v>109</v>
      </c>
      <c r="Y1214" s="5" t="s">
        <v>46</v>
      </c>
      <c r="Z1214" s="5" t="s">
        <v>47</v>
      </c>
      <c r="AA1214" s="5" t="s">
        <v>48</v>
      </c>
      <c r="AB1214" s="5" t="s">
        <v>5913</v>
      </c>
      <c r="AC1214" s="6" t="s">
        <v>34</v>
      </c>
      <c r="AD1214" s="6">
        <v>5944.0</v>
      </c>
    </row>
    <row r="1215" ht="56.25" customHeight="1">
      <c r="A1215" s="5" t="s">
        <v>5916</v>
      </c>
      <c r="B1215" s="16" t="str">
        <f>IMAGE("https://storage.googleapis.com/acdb/miscellaneous/FtrFishThirapiaToy.png")</f>
        <v/>
      </c>
      <c r="C1215" s="5" t="s">
        <v>34</v>
      </c>
      <c r="D1215" s="5" t="s">
        <v>34</v>
      </c>
      <c r="E1215" s="5" t="s">
        <v>34</v>
      </c>
      <c r="F1215" s="5" t="s">
        <v>34</v>
      </c>
      <c r="G1215" s="5" t="s">
        <v>36</v>
      </c>
      <c r="H1215" s="5" t="s">
        <v>36</v>
      </c>
      <c r="I1215" s="5" t="s">
        <v>36</v>
      </c>
      <c r="J1215" s="6" t="s">
        <v>34</v>
      </c>
      <c r="K1215" s="6" t="s">
        <v>37</v>
      </c>
      <c r="L1215" s="6">
        <v>2400.0</v>
      </c>
      <c r="M1215" s="5" t="s">
        <v>54</v>
      </c>
      <c r="N1215" s="5" t="s">
        <v>54</v>
      </c>
      <c r="O1215" s="6" t="s">
        <v>40</v>
      </c>
      <c r="P1215" s="5" t="s">
        <v>213</v>
      </c>
      <c r="Q1215" s="5" t="s">
        <v>215</v>
      </c>
      <c r="R1215" s="6" t="s">
        <v>42</v>
      </c>
      <c r="S1215" s="5" t="s">
        <v>44</v>
      </c>
      <c r="T1215" s="5" t="s">
        <v>44</v>
      </c>
      <c r="U1215" s="5" t="s">
        <v>44</v>
      </c>
      <c r="V1215" s="5" t="s">
        <v>44</v>
      </c>
      <c r="W1215" s="5" t="s">
        <v>36</v>
      </c>
      <c r="X1215" s="5" t="s">
        <v>219</v>
      </c>
      <c r="Y1215" s="5" t="s">
        <v>46</v>
      </c>
      <c r="Z1215" s="5" t="s">
        <v>47</v>
      </c>
      <c r="AA1215" s="5" t="s">
        <v>48</v>
      </c>
      <c r="AB1215" s="5" t="s">
        <v>5917</v>
      </c>
      <c r="AC1215" s="6" t="s">
        <v>34</v>
      </c>
      <c r="AD1215" s="6">
        <v>7022.0</v>
      </c>
    </row>
    <row r="1216" ht="56.25" customHeight="1">
      <c r="A1216" s="5" t="s">
        <v>5918</v>
      </c>
      <c r="B1216" s="16" t="str">
        <f>IMAGE("https://storage.googleapis.com/acdb/miscellaneous/FtrBucket.png")</f>
        <v/>
      </c>
      <c r="C1216" s="5" t="s">
        <v>34</v>
      </c>
      <c r="D1216" s="5" t="s">
        <v>34</v>
      </c>
      <c r="E1216" s="5" t="s">
        <v>34</v>
      </c>
      <c r="F1216" s="5" t="s">
        <v>34</v>
      </c>
      <c r="G1216" s="5" t="s">
        <v>36</v>
      </c>
      <c r="H1216" s="5" t="s">
        <v>36</v>
      </c>
      <c r="I1216" s="5" t="s">
        <v>36</v>
      </c>
      <c r="J1216" s="6" t="s">
        <v>34</v>
      </c>
      <c r="K1216" s="6">
        <v>1000.0</v>
      </c>
      <c r="L1216" s="6">
        <v>250.0</v>
      </c>
      <c r="M1216" s="5" t="s">
        <v>95</v>
      </c>
      <c r="N1216" s="5" t="s">
        <v>95</v>
      </c>
      <c r="O1216" s="6" t="s">
        <v>40</v>
      </c>
      <c r="P1216" s="5" t="s">
        <v>59</v>
      </c>
      <c r="Q1216" s="5" t="s">
        <v>554</v>
      </c>
      <c r="R1216" s="6" t="s">
        <v>42</v>
      </c>
      <c r="S1216" s="5" t="s">
        <v>416</v>
      </c>
      <c r="T1216" s="5" t="s">
        <v>44</v>
      </c>
      <c r="U1216" s="5" t="s">
        <v>44</v>
      </c>
      <c r="V1216" s="5" t="s">
        <v>44</v>
      </c>
      <c r="W1216" s="5" t="s">
        <v>36</v>
      </c>
      <c r="X1216" s="5" t="s">
        <v>1010</v>
      </c>
      <c r="Y1216" s="5" t="s">
        <v>46</v>
      </c>
      <c r="Z1216" s="5" t="s">
        <v>47</v>
      </c>
      <c r="AA1216" s="5" t="s">
        <v>64</v>
      </c>
      <c r="AB1216" s="5" t="s">
        <v>5921</v>
      </c>
      <c r="AC1216" s="6" t="s">
        <v>34</v>
      </c>
      <c r="AD1216" s="6">
        <v>2592.0</v>
      </c>
    </row>
    <row r="1217" ht="56.25" customHeight="1">
      <c r="A1217" s="5" t="s">
        <v>5922</v>
      </c>
      <c r="B1217" s="6" t="str">
        <f>IMAGE("https://storage.googleapis.com/acdb/miscellaneous/FtrTissuebox_Remake_0_0.png")</f>
        <v/>
      </c>
      <c r="C1217" s="5" t="s">
        <v>52</v>
      </c>
      <c r="D1217" s="5" t="s">
        <v>34</v>
      </c>
      <c r="E1217" s="5" t="s">
        <v>34</v>
      </c>
      <c r="F1217" s="5" t="s">
        <v>34</v>
      </c>
      <c r="G1217" s="5" t="s">
        <v>36</v>
      </c>
      <c r="H1217" s="5" t="s">
        <v>36</v>
      </c>
      <c r="I1217" s="5" t="s">
        <v>36</v>
      </c>
      <c r="J1217" s="6" t="s">
        <v>34</v>
      </c>
      <c r="K1217" s="6">
        <v>180.0</v>
      </c>
      <c r="L1217" s="6">
        <v>45.0</v>
      </c>
      <c r="M1217" s="5" t="s">
        <v>52</v>
      </c>
      <c r="N1217" s="5" t="s">
        <v>57</v>
      </c>
      <c r="O1217" s="6" t="s">
        <v>40</v>
      </c>
      <c r="P1217" s="5" t="s">
        <v>59</v>
      </c>
      <c r="Q1217" s="5" t="s">
        <v>554</v>
      </c>
      <c r="R1217" s="6" t="s">
        <v>42</v>
      </c>
      <c r="S1217" s="5" t="s">
        <v>90</v>
      </c>
      <c r="T1217" s="5" t="s">
        <v>91</v>
      </c>
      <c r="U1217" s="5" t="s">
        <v>44</v>
      </c>
      <c r="V1217" s="5" t="s">
        <v>44</v>
      </c>
      <c r="W1217" s="5" t="s">
        <v>36</v>
      </c>
      <c r="X1217" s="5" t="s">
        <v>432</v>
      </c>
      <c r="Y1217" s="5" t="s">
        <v>46</v>
      </c>
      <c r="Z1217" s="5" t="s">
        <v>47</v>
      </c>
      <c r="AA1217" s="5" t="s">
        <v>64</v>
      </c>
      <c r="AB1217" s="5" t="s">
        <v>5927</v>
      </c>
      <c r="AC1217" s="6" t="s">
        <v>50</v>
      </c>
      <c r="AD1217" s="6">
        <v>4114.0</v>
      </c>
    </row>
    <row r="1218" ht="56.25" customHeight="1">
      <c r="A1218" s="5" t="s">
        <v>5922</v>
      </c>
      <c r="B1218" s="6" t="str">
        <f>IMAGE("https://storage.googleapis.com/acdb/miscellaneous/FtrTissuebox_Remake_1_0.png")</f>
        <v/>
      </c>
      <c r="C1218" s="5" t="s">
        <v>114</v>
      </c>
      <c r="D1218" s="5" t="s">
        <v>34</v>
      </c>
      <c r="E1218" s="5" t="s">
        <v>34</v>
      </c>
      <c r="F1218" s="5" t="s">
        <v>34</v>
      </c>
      <c r="G1218" s="5" t="s">
        <v>36</v>
      </c>
      <c r="H1218" s="5" t="s">
        <v>36</v>
      </c>
      <c r="I1218" s="5" t="s">
        <v>36</v>
      </c>
      <c r="J1218" s="6" t="s">
        <v>34</v>
      </c>
      <c r="K1218" s="6">
        <v>180.0</v>
      </c>
      <c r="L1218" s="6">
        <v>45.0</v>
      </c>
      <c r="M1218" s="5" t="s">
        <v>114</v>
      </c>
      <c r="N1218" s="5" t="s">
        <v>57</v>
      </c>
      <c r="O1218" s="6" t="s">
        <v>40</v>
      </c>
      <c r="P1218" s="5" t="s">
        <v>59</v>
      </c>
      <c r="Q1218" s="5" t="s">
        <v>554</v>
      </c>
      <c r="R1218" s="6" t="s">
        <v>42</v>
      </c>
      <c r="S1218" s="5" t="s">
        <v>90</v>
      </c>
      <c r="T1218" s="5" t="s">
        <v>91</v>
      </c>
      <c r="U1218" s="5" t="s">
        <v>44</v>
      </c>
      <c r="V1218" s="5" t="s">
        <v>44</v>
      </c>
      <c r="W1218" s="5" t="s">
        <v>36</v>
      </c>
      <c r="X1218" s="5" t="s">
        <v>432</v>
      </c>
      <c r="Y1218" s="5" t="s">
        <v>46</v>
      </c>
      <c r="Z1218" s="5" t="s">
        <v>47</v>
      </c>
      <c r="AA1218" s="5" t="s">
        <v>64</v>
      </c>
      <c r="AB1218" s="5" t="s">
        <v>5930</v>
      </c>
      <c r="AC1218" s="6" t="s">
        <v>56</v>
      </c>
      <c r="AD1218" s="6">
        <v>4114.0</v>
      </c>
    </row>
    <row r="1219" ht="56.25" customHeight="1">
      <c r="A1219" s="5" t="s">
        <v>5922</v>
      </c>
      <c r="B1219" s="6" t="str">
        <f>IMAGE("https://storage.googleapis.com/acdb/miscellaneous/FtrTissuebox_Remake_2_0.png")</f>
        <v/>
      </c>
      <c r="C1219" s="5" t="s">
        <v>68</v>
      </c>
      <c r="D1219" s="5" t="s">
        <v>34</v>
      </c>
      <c r="E1219" s="5" t="s">
        <v>34</v>
      </c>
      <c r="F1219" s="5" t="s">
        <v>34</v>
      </c>
      <c r="G1219" s="5" t="s">
        <v>36</v>
      </c>
      <c r="H1219" s="5" t="s">
        <v>36</v>
      </c>
      <c r="I1219" s="5" t="s">
        <v>36</v>
      </c>
      <c r="J1219" s="6" t="s">
        <v>34</v>
      </c>
      <c r="K1219" s="6">
        <v>180.0</v>
      </c>
      <c r="L1219" s="6">
        <v>45.0</v>
      </c>
      <c r="M1219" s="5" t="s">
        <v>83</v>
      </c>
      <c r="N1219" s="5" t="s">
        <v>57</v>
      </c>
      <c r="O1219" s="6" t="s">
        <v>40</v>
      </c>
      <c r="P1219" s="5" t="s">
        <v>59</v>
      </c>
      <c r="Q1219" s="5" t="s">
        <v>554</v>
      </c>
      <c r="R1219" s="6" t="s">
        <v>42</v>
      </c>
      <c r="S1219" s="5" t="s">
        <v>90</v>
      </c>
      <c r="T1219" s="5" t="s">
        <v>91</v>
      </c>
      <c r="U1219" s="5" t="s">
        <v>44</v>
      </c>
      <c r="V1219" s="5" t="s">
        <v>44</v>
      </c>
      <c r="W1219" s="5" t="s">
        <v>36</v>
      </c>
      <c r="X1219" s="5" t="s">
        <v>432</v>
      </c>
      <c r="Y1219" s="5" t="s">
        <v>46</v>
      </c>
      <c r="Z1219" s="5" t="s">
        <v>47</v>
      </c>
      <c r="AA1219" s="5" t="s">
        <v>64</v>
      </c>
      <c r="AB1219" s="5" t="s">
        <v>5933</v>
      </c>
      <c r="AC1219" s="6" t="s">
        <v>67</v>
      </c>
      <c r="AD1219" s="6">
        <v>4114.0</v>
      </c>
    </row>
    <row r="1220" ht="56.25" customHeight="1">
      <c r="A1220" s="5" t="s">
        <v>5922</v>
      </c>
      <c r="B1220" s="6" t="str">
        <f>IMAGE("https://storage.googleapis.com/acdb/miscellaneous/FtrTissuebox_Remake_3_0.png")</f>
        <v/>
      </c>
      <c r="C1220" s="5" t="s">
        <v>57</v>
      </c>
      <c r="D1220" s="5" t="s">
        <v>34</v>
      </c>
      <c r="E1220" s="5" t="s">
        <v>34</v>
      </c>
      <c r="F1220" s="5" t="s">
        <v>34</v>
      </c>
      <c r="G1220" s="5" t="s">
        <v>36</v>
      </c>
      <c r="H1220" s="5" t="s">
        <v>36</v>
      </c>
      <c r="I1220" s="5" t="s">
        <v>36</v>
      </c>
      <c r="J1220" s="6" t="s">
        <v>34</v>
      </c>
      <c r="K1220" s="6">
        <v>180.0</v>
      </c>
      <c r="L1220" s="6">
        <v>45.0</v>
      </c>
      <c r="M1220" s="5" t="s">
        <v>38</v>
      </c>
      <c r="N1220" s="5" t="s">
        <v>57</v>
      </c>
      <c r="O1220" s="6" t="s">
        <v>40</v>
      </c>
      <c r="P1220" s="5" t="s">
        <v>59</v>
      </c>
      <c r="Q1220" s="5" t="s">
        <v>554</v>
      </c>
      <c r="R1220" s="6" t="s">
        <v>42</v>
      </c>
      <c r="S1220" s="5" t="s">
        <v>90</v>
      </c>
      <c r="T1220" s="5" t="s">
        <v>91</v>
      </c>
      <c r="U1220" s="5" t="s">
        <v>44</v>
      </c>
      <c r="V1220" s="5" t="s">
        <v>44</v>
      </c>
      <c r="W1220" s="5" t="s">
        <v>36</v>
      </c>
      <c r="X1220" s="5" t="s">
        <v>432</v>
      </c>
      <c r="Y1220" s="5" t="s">
        <v>46</v>
      </c>
      <c r="Z1220" s="5" t="s">
        <v>47</v>
      </c>
      <c r="AA1220" s="5" t="s">
        <v>64</v>
      </c>
      <c r="AB1220" s="5" t="s">
        <v>5936</v>
      </c>
      <c r="AC1220" s="6" t="s">
        <v>71</v>
      </c>
      <c r="AD1220" s="6">
        <v>4114.0</v>
      </c>
    </row>
    <row r="1221" ht="56.25" customHeight="1">
      <c r="A1221" s="5" t="s">
        <v>5922</v>
      </c>
      <c r="B1221" s="6" t="str">
        <f>IMAGE("https://storage.googleapis.com/acdb/miscellaneous/FtrTissuebox_Remake_4_0.png")</f>
        <v/>
      </c>
      <c r="C1221" s="5" t="s">
        <v>366</v>
      </c>
      <c r="D1221" s="5" t="s">
        <v>34</v>
      </c>
      <c r="E1221" s="5" t="s">
        <v>34</v>
      </c>
      <c r="F1221" s="5" t="s">
        <v>34</v>
      </c>
      <c r="G1221" s="5" t="s">
        <v>36</v>
      </c>
      <c r="H1221" s="5" t="s">
        <v>36</v>
      </c>
      <c r="I1221" s="5" t="s">
        <v>36</v>
      </c>
      <c r="J1221" s="6" t="s">
        <v>34</v>
      </c>
      <c r="K1221" s="6">
        <v>180.0</v>
      </c>
      <c r="L1221" s="6">
        <v>45.0</v>
      </c>
      <c r="M1221" s="5" t="s">
        <v>142</v>
      </c>
      <c r="N1221" s="5" t="s">
        <v>57</v>
      </c>
      <c r="O1221" s="6" t="s">
        <v>40</v>
      </c>
      <c r="P1221" s="5" t="s">
        <v>59</v>
      </c>
      <c r="Q1221" s="5" t="s">
        <v>554</v>
      </c>
      <c r="R1221" s="6" t="s">
        <v>42</v>
      </c>
      <c r="S1221" s="5" t="s">
        <v>90</v>
      </c>
      <c r="T1221" s="5" t="s">
        <v>91</v>
      </c>
      <c r="U1221" s="5" t="s">
        <v>44</v>
      </c>
      <c r="V1221" s="5" t="s">
        <v>44</v>
      </c>
      <c r="W1221" s="5" t="s">
        <v>36</v>
      </c>
      <c r="X1221" s="5" t="s">
        <v>432</v>
      </c>
      <c r="Y1221" s="5" t="s">
        <v>46</v>
      </c>
      <c r="Z1221" s="5" t="s">
        <v>47</v>
      </c>
      <c r="AA1221" s="5" t="s">
        <v>64</v>
      </c>
      <c r="AB1221" s="5" t="s">
        <v>5938</v>
      </c>
      <c r="AC1221" s="6" t="s">
        <v>75</v>
      </c>
      <c r="AD1221" s="6">
        <v>4114.0</v>
      </c>
    </row>
    <row r="1222" ht="56.25" customHeight="1">
      <c r="A1222" s="5" t="s">
        <v>5922</v>
      </c>
      <c r="B1222" s="6" t="str">
        <f>IMAGE("https://storage.googleapis.com/acdb/miscellaneous/FtrTissuebox_Remake_5_0.png")</f>
        <v/>
      </c>
      <c r="C1222" s="5" t="s">
        <v>5940</v>
      </c>
      <c r="D1222" s="5" t="s">
        <v>34</v>
      </c>
      <c r="E1222" s="5" t="s">
        <v>34</v>
      </c>
      <c r="F1222" s="5" t="s">
        <v>34</v>
      </c>
      <c r="G1222" s="5" t="s">
        <v>36</v>
      </c>
      <c r="H1222" s="5" t="s">
        <v>36</v>
      </c>
      <c r="I1222" s="5" t="s">
        <v>36</v>
      </c>
      <c r="J1222" s="6" t="s">
        <v>34</v>
      </c>
      <c r="K1222" s="6">
        <v>180.0</v>
      </c>
      <c r="L1222" s="6">
        <v>45.0</v>
      </c>
      <c r="M1222" s="5" t="s">
        <v>39</v>
      </c>
      <c r="N1222" s="5" t="s">
        <v>57</v>
      </c>
      <c r="O1222" s="6" t="s">
        <v>40</v>
      </c>
      <c r="P1222" s="5" t="s">
        <v>59</v>
      </c>
      <c r="Q1222" s="5" t="s">
        <v>554</v>
      </c>
      <c r="R1222" s="6" t="s">
        <v>42</v>
      </c>
      <c r="S1222" s="5" t="s">
        <v>90</v>
      </c>
      <c r="T1222" s="5" t="s">
        <v>91</v>
      </c>
      <c r="U1222" s="5" t="s">
        <v>44</v>
      </c>
      <c r="V1222" s="5" t="s">
        <v>44</v>
      </c>
      <c r="W1222" s="5" t="s">
        <v>36</v>
      </c>
      <c r="X1222" s="5" t="s">
        <v>432</v>
      </c>
      <c r="Y1222" s="5" t="s">
        <v>46</v>
      </c>
      <c r="Z1222" s="5" t="s">
        <v>47</v>
      </c>
      <c r="AA1222" s="5" t="s">
        <v>64</v>
      </c>
      <c r="AB1222" s="5" t="s">
        <v>5943</v>
      </c>
      <c r="AC1222" s="6" t="s">
        <v>79</v>
      </c>
      <c r="AD1222" s="6">
        <v>4114.0</v>
      </c>
    </row>
    <row r="1223" ht="56.25" customHeight="1">
      <c r="A1223" s="5" t="s">
        <v>5944</v>
      </c>
      <c r="B1223" s="6" t="str">
        <f>IMAGE("https://storage.googleapis.com/acdb/miscellaneous/FtrToolbox_Remake_0_0.png")</f>
        <v/>
      </c>
      <c r="C1223" s="5" t="s">
        <v>52</v>
      </c>
      <c r="D1223" s="5" t="s">
        <v>34</v>
      </c>
      <c r="E1223" s="5" t="s">
        <v>34</v>
      </c>
      <c r="F1223" s="5" t="s">
        <v>34</v>
      </c>
      <c r="G1223" s="5" t="s">
        <v>36</v>
      </c>
      <c r="H1223" s="5" t="s">
        <v>36</v>
      </c>
      <c r="I1223" s="5" t="s">
        <v>36</v>
      </c>
      <c r="J1223" s="6" t="s">
        <v>34</v>
      </c>
      <c r="K1223" s="6">
        <v>1800.0</v>
      </c>
      <c r="L1223" s="6">
        <v>450.0</v>
      </c>
      <c r="M1223" s="5" t="s">
        <v>52</v>
      </c>
      <c r="N1223" s="5" t="s">
        <v>95</v>
      </c>
      <c r="O1223" s="6" t="s">
        <v>40</v>
      </c>
      <c r="P1223" s="5" t="s">
        <v>59</v>
      </c>
      <c r="Q1223" s="5" t="s">
        <v>554</v>
      </c>
      <c r="R1223" s="6" t="s">
        <v>42</v>
      </c>
      <c r="S1223" s="5" t="s">
        <v>416</v>
      </c>
      <c r="T1223" s="5" t="s">
        <v>44</v>
      </c>
      <c r="U1223" s="5" t="s">
        <v>44</v>
      </c>
      <c r="V1223" s="5" t="s">
        <v>44</v>
      </c>
      <c r="W1223" s="5" t="s">
        <v>35</v>
      </c>
      <c r="X1223" s="5" t="s">
        <v>432</v>
      </c>
      <c r="Y1223" s="5" t="s">
        <v>46</v>
      </c>
      <c r="Z1223" s="5" t="s">
        <v>47</v>
      </c>
      <c r="AA1223" s="5" t="s">
        <v>64</v>
      </c>
      <c r="AB1223" s="5" t="s">
        <v>5947</v>
      </c>
      <c r="AC1223" s="6" t="s">
        <v>50</v>
      </c>
      <c r="AD1223" s="6">
        <v>4687.0</v>
      </c>
    </row>
    <row r="1224" ht="56.25" customHeight="1">
      <c r="A1224" s="5" t="s">
        <v>5944</v>
      </c>
      <c r="B1224" s="6" t="str">
        <f>IMAGE("https://storage.googleapis.com/acdb/miscellaneous/FtrToolbox_Remake_1_0.png")</f>
        <v/>
      </c>
      <c r="C1224" s="5" t="s">
        <v>96</v>
      </c>
      <c r="D1224" s="5" t="s">
        <v>34</v>
      </c>
      <c r="E1224" s="5" t="s">
        <v>34</v>
      </c>
      <c r="F1224" s="5" t="s">
        <v>34</v>
      </c>
      <c r="G1224" s="5" t="s">
        <v>36</v>
      </c>
      <c r="H1224" s="5" t="s">
        <v>36</v>
      </c>
      <c r="I1224" s="5" t="s">
        <v>36</v>
      </c>
      <c r="J1224" s="6" t="s">
        <v>34</v>
      </c>
      <c r="K1224" s="6">
        <v>1800.0</v>
      </c>
      <c r="L1224" s="6">
        <v>450.0</v>
      </c>
      <c r="M1224" s="5" t="s">
        <v>96</v>
      </c>
      <c r="N1224" s="5" t="s">
        <v>38</v>
      </c>
      <c r="O1224" s="6" t="s">
        <v>40</v>
      </c>
      <c r="P1224" s="5" t="s">
        <v>59</v>
      </c>
      <c r="Q1224" s="5" t="s">
        <v>554</v>
      </c>
      <c r="R1224" s="6" t="s">
        <v>42</v>
      </c>
      <c r="S1224" s="5" t="s">
        <v>416</v>
      </c>
      <c r="T1224" s="5" t="s">
        <v>44</v>
      </c>
      <c r="U1224" s="5" t="s">
        <v>44</v>
      </c>
      <c r="V1224" s="5" t="s">
        <v>44</v>
      </c>
      <c r="W1224" s="5" t="s">
        <v>35</v>
      </c>
      <c r="X1224" s="5" t="s">
        <v>432</v>
      </c>
      <c r="Y1224" s="5" t="s">
        <v>46</v>
      </c>
      <c r="Z1224" s="5" t="s">
        <v>47</v>
      </c>
      <c r="AA1224" s="5" t="s">
        <v>64</v>
      </c>
      <c r="AB1224" s="5" t="s">
        <v>5950</v>
      </c>
      <c r="AC1224" s="6" t="s">
        <v>56</v>
      </c>
      <c r="AD1224" s="6">
        <v>4687.0</v>
      </c>
    </row>
    <row r="1225" ht="56.25" customHeight="1">
      <c r="A1225" s="5" t="s">
        <v>5944</v>
      </c>
      <c r="B1225" s="6" t="str">
        <f>IMAGE("https://storage.googleapis.com/acdb/miscellaneous/FtrToolbox_Remake_2_0.png")</f>
        <v/>
      </c>
      <c r="C1225" s="5" t="s">
        <v>68</v>
      </c>
      <c r="D1225" s="5" t="s">
        <v>34</v>
      </c>
      <c r="E1225" s="5" t="s">
        <v>34</v>
      </c>
      <c r="F1225" s="5" t="s">
        <v>34</v>
      </c>
      <c r="G1225" s="5" t="s">
        <v>36</v>
      </c>
      <c r="H1225" s="5" t="s">
        <v>36</v>
      </c>
      <c r="I1225" s="5" t="s">
        <v>36</v>
      </c>
      <c r="J1225" s="6" t="s">
        <v>34</v>
      </c>
      <c r="K1225" s="6">
        <v>1800.0</v>
      </c>
      <c r="L1225" s="6">
        <v>450.0</v>
      </c>
      <c r="M1225" s="5" t="s">
        <v>68</v>
      </c>
      <c r="N1225" s="5" t="s">
        <v>57</v>
      </c>
      <c r="O1225" s="6" t="s">
        <v>40</v>
      </c>
      <c r="P1225" s="5" t="s">
        <v>59</v>
      </c>
      <c r="Q1225" s="5" t="s">
        <v>554</v>
      </c>
      <c r="R1225" s="6" t="s">
        <v>42</v>
      </c>
      <c r="S1225" s="5" t="s">
        <v>416</v>
      </c>
      <c r="T1225" s="5" t="s">
        <v>44</v>
      </c>
      <c r="U1225" s="5" t="s">
        <v>44</v>
      </c>
      <c r="V1225" s="5" t="s">
        <v>44</v>
      </c>
      <c r="W1225" s="5" t="s">
        <v>35</v>
      </c>
      <c r="X1225" s="5" t="s">
        <v>432</v>
      </c>
      <c r="Y1225" s="5" t="s">
        <v>46</v>
      </c>
      <c r="Z1225" s="5" t="s">
        <v>47</v>
      </c>
      <c r="AA1225" s="5" t="s">
        <v>64</v>
      </c>
      <c r="AB1225" s="5" t="s">
        <v>5954</v>
      </c>
      <c r="AC1225" s="6" t="s">
        <v>67</v>
      </c>
      <c r="AD1225" s="6">
        <v>4687.0</v>
      </c>
    </row>
    <row r="1226" ht="56.25" customHeight="1">
      <c r="A1226" s="5" t="s">
        <v>5944</v>
      </c>
      <c r="B1226" s="6" t="str">
        <f>IMAGE("https://storage.googleapis.com/acdb/miscellaneous/FtrToolbox_Remake_3_0.png")</f>
        <v/>
      </c>
      <c r="C1226" s="5" t="s">
        <v>142</v>
      </c>
      <c r="D1226" s="5" t="s">
        <v>34</v>
      </c>
      <c r="E1226" s="5" t="s">
        <v>34</v>
      </c>
      <c r="F1226" s="5" t="s">
        <v>34</v>
      </c>
      <c r="G1226" s="5" t="s">
        <v>36</v>
      </c>
      <c r="H1226" s="5" t="s">
        <v>36</v>
      </c>
      <c r="I1226" s="5" t="s">
        <v>36</v>
      </c>
      <c r="J1226" s="6" t="s">
        <v>34</v>
      </c>
      <c r="K1226" s="6">
        <v>1800.0</v>
      </c>
      <c r="L1226" s="6">
        <v>450.0</v>
      </c>
      <c r="M1226" s="5" t="s">
        <v>142</v>
      </c>
      <c r="N1226" s="5" t="s">
        <v>54</v>
      </c>
      <c r="O1226" s="6" t="s">
        <v>40</v>
      </c>
      <c r="P1226" s="5" t="s">
        <v>59</v>
      </c>
      <c r="Q1226" s="5" t="s">
        <v>554</v>
      </c>
      <c r="R1226" s="6" t="s">
        <v>42</v>
      </c>
      <c r="S1226" s="5" t="s">
        <v>416</v>
      </c>
      <c r="T1226" s="5" t="s">
        <v>44</v>
      </c>
      <c r="U1226" s="5" t="s">
        <v>44</v>
      </c>
      <c r="V1226" s="5" t="s">
        <v>44</v>
      </c>
      <c r="W1226" s="5" t="s">
        <v>35</v>
      </c>
      <c r="X1226" s="5" t="s">
        <v>432</v>
      </c>
      <c r="Y1226" s="5" t="s">
        <v>46</v>
      </c>
      <c r="Z1226" s="5" t="s">
        <v>47</v>
      </c>
      <c r="AA1226" s="5" t="s">
        <v>64</v>
      </c>
      <c r="AB1226" s="5" t="s">
        <v>5957</v>
      </c>
      <c r="AC1226" s="6" t="s">
        <v>71</v>
      </c>
      <c r="AD1226" s="6">
        <v>4687.0</v>
      </c>
    </row>
    <row r="1227" ht="56.25" customHeight="1">
      <c r="A1227" s="5" t="s">
        <v>5944</v>
      </c>
      <c r="B1227" s="6" t="str">
        <f>IMAGE("https://storage.googleapis.com/acdb/miscellaneous/FtrToolbox_Remake_4_0.png")</f>
        <v/>
      </c>
      <c r="C1227" s="5" t="s">
        <v>1174</v>
      </c>
      <c r="D1227" s="5" t="s">
        <v>34</v>
      </c>
      <c r="E1227" s="5" t="s">
        <v>34</v>
      </c>
      <c r="F1227" s="5" t="s">
        <v>34</v>
      </c>
      <c r="G1227" s="5" t="s">
        <v>36</v>
      </c>
      <c r="H1227" s="5" t="s">
        <v>36</v>
      </c>
      <c r="I1227" s="5" t="s">
        <v>36</v>
      </c>
      <c r="J1227" s="6" t="s">
        <v>34</v>
      </c>
      <c r="K1227" s="6">
        <v>1800.0</v>
      </c>
      <c r="L1227" s="6">
        <v>450.0</v>
      </c>
      <c r="M1227" s="5" t="s">
        <v>83</v>
      </c>
      <c r="N1227" s="5" t="s">
        <v>142</v>
      </c>
      <c r="O1227" s="6" t="s">
        <v>40</v>
      </c>
      <c r="P1227" s="5" t="s">
        <v>59</v>
      </c>
      <c r="Q1227" s="5" t="s">
        <v>554</v>
      </c>
      <c r="R1227" s="6" t="s">
        <v>42</v>
      </c>
      <c r="S1227" s="5" t="s">
        <v>416</v>
      </c>
      <c r="T1227" s="5" t="s">
        <v>44</v>
      </c>
      <c r="U1227" s="5" t="s">
        <v>44</v>
      </c>
      <c r="V1227" s="5" t="s">
        <v>44</v>
      </c>
      <c r="W1227" s="5" t="s">
        <v>35</v>
      </c>
      <c r="X1227" s="5" t="s">
        <v>432</v>
      </c>
      <c r="Y1227" s="5" t="s">
        <v>46</v>
      </c>
      <c r="Z1227" s="5" t="s">
        <v>47</v>
      </c>
      <c r="AA1227" s="5" t="s">
        <v>64</v>
      </c>
      <c r="AB1227" s="5" t="s">
        <v>5959</v>
      </c>
      <c r="AC1227" s="6" t="s">
        <v>75</v>
      </c>
      <c r="AD1227" s="6">
        <v>4687.0</v>
      </c>
    </row>
    <row r="1228" ht="56.25" customHeight="1">
      <c r="A1228" s="5" t="s">
        <v>5944</v>
      </c>
      <c r="B1228" s="6" t="str">
        <f>IMAGE("https://storage.googleapis.com/acdb/miscellaneous/FtrToolbox_Remake_5_0.png")</f>
        <v/>
      </c>
      <c r="C1228" s="5" t="s">
        <v>69</v>
      </c>
      <c r="D1228" s="5" t="s">
        <v>34</v>
      </c>
      <c r="E1228" s="5" t="s">
        <v>34</v>
      </c>
      <c r="F1228" s="5" t="s">
        <v>34</v>
      </c>
      <c r="G1228" s="5" t="s">
        <v>36</v>
      </c>
      <c r="H1228" s="5" t="s">
        <v>36</v>
      </c>
      <c r="I1228" s="5" t="s">
        <v>36</v>
      </c>
      <c r="J1228" s="6" t="s">
        <v>34</v>
      </c>
      <c r="K1228" s="6">
        <v>1800.0</v>
      </c>
      <c r="L1228" s="6">
        <v>450.0</v>
      </c>
      <c r="M1228" s="5" t="s">
        <v>69</v>
      </c>
      <c r="N1228" s="5" t="s">
        <v>69</v>
      </c>
      <c r="O1228" s="6" t="s">
        <v>40</v>
      </c>
      <c r="P1228" s="5" t="s">
        <v>59</v>
      </c>
      <c r="Q1228" s="5" t="s">
        <v>554</v>
      </c>
      <c r="R1228" s="6" t="s">
        <v>42</v>
      </c>
      <c r="S1228" s="5" t="s">
        <v>416</v>
      </c>
      <c r="T1228" s="5" t="s">
        <v>44</v>
      </c>
      <c r="U1228" s="5" t="s">
        <v>44</v>
      </c>
      <c r="V1228" s="5" t="s">
        <v>44</v>
      </c>
      <c r="W1228" s="5" t="s">
        <v>35</v>
      </c>
      <c r="X1228" s="5" t="s">
        <v>432</v>
      </c>
      <c r="Y1228" s="5" t="s">
        <v>46</v>
      </c>
      <c r="Z1228" s="5" t="s">
        <v>47</v>
      </c>
      <c r="AA1228" s="5" t="s">
        <v>64</v>
      </c>
      <c r="AB1228" s="5" t="s">
        <v>5963</v>
      </c>
      <c r="AC1228" s="6" t="s">
        <v>79</v>
      </c>
      <c r="AD1228" s="6">
        <v>4687.0</v>
      </c>
    </row>
    <row r="1229" ht="56.25" customHeight="1">
      <c r="A1229" s="5" t="s">
        <v>5964</v>
      </c>
      <c r="B1229" s="6" t="str">
        <f>IMAGE("https://storage.googleapis.com/acdb/miscellaneous/FtrToybox_Remake_0_0.png")</f>
        <v/>
      </c>
      <c r="C1229" s="5" t="s">
        <v>96</v>
      </c>
      <c r="D1229" s="5" t="s">
        <v>34</v>
      </c>
      <c r="E1229" s="5" t="s">
        <v>34</v>
      </c>
      <c r="F1229" s="5" t="s">
        <v>34</v>
      </c>
      <c r="G1229" s="5" t="s">
        <v>36</v>
      </c>
      <c r="H1229" s="5" t="s">
        <v>36</v>
      </c>
      <c r="I1229" s="5" t="s">
        <v>36</v>
      </c>
      <c r="J1229" s="6" t="s">
        <v>34</v>
      </c>
      <c r="K1229" s="6">
        <v>2500.0</v>
      </c>
      <c r="L1229" s="6">
        <v>625.0</v>
      </c>
      <c r="M1229" s="5" t="s">
        <v>96</v>
      </c>
      <c r="N1229" s="5" t="s">
        <v>58</v>
      </c>
      <c r="O1229" s="6" t="s">
        <v>40</v>
      </c>
      <c r="P1229" s="5" t="s">
        <v>59</v>
      </c>
      <c r="Q1229" s="5" t="s">
        <v>60</v>
      </c>
      <c r="R1229" s="6" t="s">
        <v>42</v>
      </c>
      <c r="S1229" s="5" t="s">
        <v>99</v>
      </c>
      <c r="T1229" s="5" t="s">
        <v>61</v>
      </c>
      <c r="U1229" s="5" t="s">
        <v>44</v>
      </c>
      <c r="V1229" s="5" t="s">
        <v>44</v>
      </c>
      <c r="W1229" s="5" t="s">
        <v>36</v>
      </c>
      <c r="X1229" s="5" t="s">
        <v>356</v>
      </c>
      <c r="Y1229" s="5" t="s">
        <v>46</v>
      </c>
      <c r="Z1229" s="5" t="s">
        <v>47</v>
      </c>
      <c r="AA1229" s="5" t="s">
        <v>64</v>
      </c>
      <c r="AB1229" s="5" t="s">
        <v>5968</v>
      </c>
      <c r="AC1229" s="6" t="s">
        <v>50</v>
      </c>
      <c r="AD1229" s="6">
        <v>3623.0</v>
      </c>
    </row>
    <row r="1230" ht="56.25" customHeight="1">
      <c r="A1230" s="5" t="s">
        <v>5964</v>
      </c>
      <c r="B1230" s="6" t="str">
        <f>IMAGE("https://storage.googleapis.com/acdb/miscellaneous/FtrToybox_Remake_1_0.png")</f>
        <v/>
      </c>
      <c r="C1230" s="5" t="s">
        <v>69</v>
      </c>
      <c r="D1230" s="5" t="s">
        <v>34</v>
      </c>
      <c r="E1230" s="5" t="s">
        <v>34</v>
      </c>
      <c r="F1230" s="5" t="s">
        <v>34</v>
      </c>
      <c r="G1230" s="5" t="s">
        <v>36</v>
      </c>
      <c r="H1230" s="5" t="s">
        <v>36</v>
      </c>
      <c r="I1230" s="5" t="s">
        <v>36</v>
      </c>
      <c r="J1230" s="6" t="s">
        <v>34</v>
      </c>
      <c r="K1230" s="6">
        <v>2500.0</v>
      </c>
      <c r="L1230" s="6">
        <v>625.0</v>
      </c>
      <c r="M1230" s="5" t="s">
        <v>69</v>
      </c>
      <c r="N1230" s="5" t="s">
        <v>58</v>
      </c>
      <c r="O1230" s="6" t="s">
        <v>40</v>
      </c>
      <c r="P1230" s="5" t="s">
        <v>59</v>
      </c>
      <c r="Q1230" s="5" t="s">
        <v>60</v>
      </c>
      <c r="R1230" s="6" t="s">
        <v>42</v>
      </c>
      <c r="S1230" s="5" t="s">
        <v>99</v>
      </c>
      <c r="T1230" s="5" t="s">
        <v>61</v>
      </c>
      <c r="U1230" s="5" t="s">
        <v>44</v>
      </c>
      <c r="V1230" s="5" t="s">
        <v>44</v>
      </c>
      <c r="W1230" s="5" t="s">
        <v>36</v>
      </c>
      <c r="X1230" s="5" t="s">
        <v>356</v>
      </c>
      <c r="Y1230" s="5" t="s">
        <v>46</v>
      </c>
      <c r="Z1230" s="5" t="s">
        <v>47</v>
      </c>
      <c r="AA1230" s="5" t="s">
        <v>64</v>
      </c>
      <c r="AB1230" s="5" t="s">
        <v>5970</v>
      </c>
      <c r="AC1230" s="6" t="s">
        <v>56</v>
      </c>
      <c r="AD1230" s="6">
        <v>3623.0</v>
      </c>
    </row>
    <row r="1231" ht="56.25" customHeight="1">
      <c r="A1231" s="5" t="s">
        <v>5964</v>
      </c>
      <c r="B1231" s="6" t="str">
        <f>IMAGE("https://storage.googleapis.com/acdb/miscellaneous/FtrToybox_Remake_2_0.png")</f>
        <v/>
      </c>
      <c r="C1231" s="5" t="s">
        <v>68</v>
      </c>
      <c r="D1231" s="5" t="s">
        <v>34</v>
      </c>
      <c r="E1231" s="5" t="s">
        <v>34</v>
      </c>
      <c r="F1231" s="5" t="s">
        <v>34</v>
      </c>
      <c r="G1231" s="5" t="s">
        <v>36</v>
      </c>
      <c r="H1231" s="5" t="s">
        <v>36</v>
      </c>
      <c r="I1231" s="5" t="s">
        <v>36</v>
      </c>
      <c r="J1231" s="6" t="s">
        <v>34</v>
      </c>
      <c r="K1231" s="6">
        <v>2500.0</v>
      </c>
      <c r="L1231" s="6">
        <v>625.0</v>
      </c>
      <c r="M1231" s="5" t="s">
        <v>68</v>
      </c>
      <c r="N1231" s="5" t="s">
        <v>58</v>
      </c>
      <c r="O1231" s="6" t="s">
        <v>40</v>
      </c>
      <c r="P1231" s="5" t="s">
        <v>59</v>
      </c>
      <c r="Q1231" s="5" t="s">
        <v>60</v>
      </c>
      <c r="R1231" s="6" t="s">
        <v>42</v>
      </c>
      <c r="S1231" s="5" t="s">
        <v>99</v>
      </c>
      <c r="T1231" s="5" t="s">
        <v>61</v>
      </c>
      <c r="U1231" s="5" t="s">
        <v>44</v>
      </c>
      <c r="V1231" s="5" t="s">
        <v>44</v>
      </c>
      <c r="W1231" s="5" t="s">
        <v>36</v>
      </c>
      <c r="X1231" s="5" t="s">
        <v>356</v>
      </c>
      <c r="Y1231" s="5" t="s">
        <v>46</v>
      </c>
      <c r="Z1231" s="5" t="s">
        <v>47</v>
      </c>
      <c r="AA1231" s="5" t="s">
        <v>64</v>
      </c>
      <c r="AB1231" s="5" t="s">
        <v>5973</v>
      </c>
      <c r="AC1231" s="6" t="s">
        <v>67</v>
      </c>
      <c r="AD1231" s="6">
        <v>3623.0</v>
      </c>
    </row>
    <row r="1232" ht="56.25" customHeight="1">
      <c r="A1232" s="5" t="s">
        <v>5964</v>
      </c>
      <c r="B1232" s="6" t="str">
        <f>IMAGE("https://storage.googleapis.com/acdb/miscellaneous/FtrToybox_Remake_3_0.png")</f>
        <v/>
      </c>
      <c r="C1232" s="5" t="s">
        <v>95</v>
      </c>
      <c r="D1232" s="5" t="s">
        <v>34</v>
      </c>
      <c r="E1232" s="5" t="s">
        <v>34</v>
      </c>
      <c r="F1232" s="5" t="s">
        <v>34</v>
      </c>
      <c r="G1232" s="5" t="s">
        <v>36</v>
      </c>
      <c r="H1232" s="5" t="s">
        <v>36</v>
      </c>
      <c r="I1232" s="5" t="s">
        <v>36</v>
      </c>
      <c r="J1232" s="6" t="s">
        <v>34</v>
      </c>
      <c r="K1232" s="6">
        <v>2500.0</v>
      </c>
      <c r="L1232" s="6">
        <v>625.0</v>
      </c>
      <c r="M1232" s="5" t="s">
        <v>95</v>
      </c>
      <c r="N1232" s="5" t="s">
        <v>58</v>
      </c>
      <c r="O1232" s="6" t="s">
        <v>40</v>
      </c>
      <c r="P1232" s="5" t="s">
        <v>59</v>
      </c>
      <c r="Q1232" s="5" t="s">
        <v>60</v>
      </c>
      <c r="R1232" s="6" t="s">
        <v>42</v>
      </c>
      <c r="S1232" s="5" t="s">
        <v>99</v>
      </c>
      <c r="T1232" s="5" t="s">
        <v>61</v>
      </c>
      <c r="U1232" s="5" t="s">
        <v>44</v>
      </c>
      <c r="V1232" s="5" t="s">
        <v>44</v>
      </c>
      <c r="W1232" s="5" t="s">
        <v>36</v>
      </c>
      <c r="X1232" s="5" t="s">
        <v>356</v>
      </c>
      <c r="Y1232" s="5" t="s">
        <v>46</v>
      </c>
      <c r="Z1232" s="5" t="s">
        <v>47</v>
      </c>
      <c r="AA1232" s="5" t="s">
        <v>64</v>
      </c>
      <c r="AB1232" s="5" t="s">
        <v>5977</v>
      </c>
      <c r="AC1232" s="6" t="s">
        <v>71</v>
      </c>
      <c r="AD1232" s="6">
        <v>3623.0</v>
      </c>
    </row>
    <row r="1233" ht="56.25" customHeight="1">
      <c r="A1233" s="5" t="s">
        <v>5978</v>
      </c>
      <c r="B1233" s="16" t="str">
        <f>IMAGE("https://storage.googleapis.com/acdb/miscellaneous/FtrCentipedefake.png")</f>
        <v/>
      </c>
      <c r="C1233" s="5" t="s">
        <v>34</v>
      </c>
      <c r="D1233" s="5" t="s">
        <v>34</v>
      </c>
      <c r="E1233" s="5" t="s">
        <v>34</v>
      </c>
      <c r="F1233" s="5" t="s">
        <v>34</v>
      </c>
      <c r="G1233" s="5" t="s">
        <v>36</v>
      </c>
      <c r="H1233" s="5" t="s">
        <v>36</v>
      </c>
      <c r="I1233" s="5" t="s">
        <v>36</v>
      </c>
      <c r="J1233" s="6" t="s">
        <v>34</v>
      </c>
      <c r="K1233" s="6" t="s">
        <v>37</v>
      </c>
      <c r="L1233" s="6">
        <v>50.0</v>
      </c>
      <c r="M1233" s="5" t="s">
        <v>39</v>
      </c>
      <c r="N1233" s="5" t="s">
        <v>39</v>
      </c>
      <c r="O1233" s="6" t="s">
        <v>40</v>
      </c>
      <c r="P1233" s="5" t="s">
        <v>393</v>
      </c>
      <c r="Q1233" s="5"/>
      <c r="R1233" s="6" t="s">
        <v>42</v>
      </c>
      <c r="S1233" s="5" t="s">
        <v>99</v>
      </c>
      <c r="T1233" s="5" t="s">
        <v>732</v>
      </c>
      <c r="U1233" s="5" t="s">
        <v>44</v>
      </c>
      <c r="V1233" s="5" t="s">
        <v>44</v>
      </c>
      <c r="W1233" s="5" t="s">
        <v>35</v>
      </c>
      <c r="X1233" s="5" t="s">
        <v>109</v>
      </c>
      <c r="Y1233" s="5" t="s">
        <v>46</v>
      </c>
      <c r="Z1233" s="5" t="s">
        <v>47</v>
      </c>
      <c r="AA1233" s="5" t="s">
        <v>48</v>
      </c>
      <c r="AB1233" s="5" t="s">
        <v>5982</v>
      </c>
      <c r="AC1233" s="6" t="s">
        <v>34</v>
      </c>
      <c r="AD1233" s="6">
        <v>3969.0</v>
      </c>
    </row>
    <row r="1234" ht="56.25" customHeight="1">
      <c r="A1234" s="5" t="s">
        <v>5983</v>
      </c>
      <c r="B1234" s="16" t="str">
        <f>IMAGE("https://storage.googleapis.com/acdb/miscellaneous/FtrCockroachfake.png")</f>
        <v/>
      </c>
      <c r="C1234" s="5" t="s">
        <v>34</v>
      </c>
      <c r="D1234" s="5" t="s">
        <v>34</v>
      </c>
      <c r="E1234" s="5" t="s">
        <v>34</v>
      </c>
      <c r="F1234" s="5" t="s">
        <v>34</v>
      </c>
      <c r="G1234" s="5" t="s">
        <v>36</v>
      </c>
      <c r="H1234" s="5" t="s">
        <v>36</v>
      </c>
      <c r="I1234" s="5" t="s">
        <v>36</v>
      </c>
      <c r="J1234" s="6" t="s">
        <v>34</v>
      </c>
      <c r="K1234" s="6" t="s">
        <v>37</v>
      </c>
      <c r="L1234" s="6">
        <v>70.0</v>
      </c>
      <c r="M1234" s="5" t="s">
        <v>39</v>
      </c>
      <c r="N1234" s="5" t="s">
        <v>39</v>
      </c>
      <c r="O1234" s="6" t="s">
        <v>40</v>
      </c>
      <c r="P1234" s="5" t="s">
        <v>393</v>
      </c>
      <c r="Q1234" s="5"/>
      <c r="R1234" s="6" t="s">
        <v>42</v>
      </c>
      <c r="S1234" s="5" t="s">
        <v>99</v>
      </c>
      <c r="T1234" s="5" t="s">
        <v>732</v>
      </c>
      <c r="U1234" s="5" t="s">
        <v>44</v>
      </c>
      <c r="V1234" s="5" t="s">
        <v>44</v>
      </c>
      <c r="W1234" s="5" t="s">
        <v>35</v>
      </c>
      <c r="X1234" s="5" t="s">
        <v>109</v>
      </c>
      <c r="Y1234" s="5" t="s">
        <v>46</v>
      </c>
      <c r="Z1234" s="5" t="s">
        <v>47</v>
      </c>
      <c r="AA1234" s="5" t="s">
        <v>48</v>
      </c>
      <c r="AB1234" s="5" t="s">
        <v>5986</v>
      </c>
      <c r="AC1234" s="6" t="s">
        <v>34</v>
      </c>
      <c r="AD1234" s="6">
        <v>3620.0</v>
      </c>
    </row>
    <row r="1235" ht="56.25" customHeight="1">
      <c r="A1235" s="5" t="s">
        <v>5987</v>
      </c>
      <c r="B1235" s="16" t="str">
        <f>IMAGE("https://storage.googleapis.com/acdb/miscellaneous/FtrBalancingtoy.png")</f>
        <v/>
      </c>
      <c r="C1235" s="5" t="s">
        <v>34</v>
      </c>
      <c r="D1235" s="5" t="s">
        <v>34</v>
      </c>
      <c r="E1235" s="5" t="s">
        <v>34</v>
      </c>
      <c r="F1235" s="5" t="s">
        <v>34</v>
      </c>
      <c r="G1235" s="5" t="s">
        <v>35</v>
      </c>
      <c r="H1235" s="5" t="s">
        <v>36</v>
      </c>
      <c r="I1235" s="5" t="s">
        <v>36</v>
      </c>
      <c r="J1235" s="6" t="s">
        <v>34</v>
      </c>
      <c r="K1235" s="6" t="s">
        <v>37</v>
      </c>
      <c r="L1235" s="6">
        <v>1840.0</v>
      </c>
      <c r="M1235" s="5" t="s">
        <v>39</v>
      </c>
      <c r="N1235" s="5" t="s">
        <v>142</v>
      </c>
      <c r="O1235" s="6" t="s">
        <v>40</v>
      </c>
      <c r="P1235" s="5" t="s">
        <v>41</v>
      </c>
      <c r="Q1235" s="5" t="s">
        <v>2446</v>
      </c>
      <c r="R1235" s="6" t="s">
        <v>42</v>
      </c>
      <c r="S1235" s="5" t="s">
        <v>99</v>
      </c>
      <c r="T1235" s="5" t="s">
        <v>61</v>
      </c>
      <c r="U1235" s="5" t="s">
        <v>2448</v>
      </c>
      <c r="V1235" s="5" t="s">
        <v>44</v>
      </c>
      <c r="W1235" s="5" t="s">
        <v>35</v>
      </c>
      <c r="X1235" s="5" t="s">
        <v>356</v>
      </c>
      <c r="Y1235" s="5" t="s">
        <v>46</v>
      </c>
      <c r="Z1235" s="5" t="s">
        <v>47</v>
      </c>
      <c r="AA1235" s="5" t="s">
        <v>48</v>
      </c>
      <c r="AB1235" s="5" t="s">
        <v>5990</v>
      </c>
      <c r="AC1235" s="6" t="s">
        <v>34</v>
      </c>
      <c r="AD1235" s="6">
        <v>5975.0</v>
      </c>
    </row>
    <row r="1236" ht="56.25" customHeight="1">
      <c r="A1236" s="5" t="s">
        <v>5991</v>
      </c>
      <c r="B1236" s="6" t="str">
        <f>IMAGE("https://storage.googleapis.com/acdb/miscellaneous/FtrTeasetChina_Remake_0_0.png")</f>
        <v/>
      </c>
      <c r="C1236" s="5" t="s">
        <v>811</v>
      </c>
      <c r="D1236" s="5" t="s">
        <v>34</v>
      </c>
      <c r="E1236" s="5" t="s">
        <v>34</v>
      </c>
      <c r="F1236" s="5" t="s">
        <v>34</v>
      </c>
      <c r="G1236" s="5" t="s">
        <v>36</v>
      </c>
      <c r="H1236" s="5" t="s">
        <v>36</v>
      </c>
      <c r="I1236" s="5" t="s">
        <v>36</v>
      </c>
      <c r="J1236" s="6" t="s">
        <v>34</v>
      </c>
      <c r="K1236" s="6">
        <v>1000.0</v>
      </c>
      <c r="L1236" s="6">
        <v>250.0</v>
      </c>
      <c r="M1236" s="5" t="s">
        <v>142</v>
      </c>
      <c r="N1236" s="5" t="s">
        <v>57</v>
      </c>
      <c r="O1236" s="6" t="s">
        <v>40</v>
      </c>
      <c r="P1236" s="5" t="s">
        <v>59</v>
      </c>
      <c r="Q1236" s="5" t="s">
        <v>60</v>
      </c>
      <c r="R1236" s="6" t="s">
        <v>42</v>
      </c>
      <c r="S1236" s="5" t="s">
        <v>266</v>
      </c>
      <c r="T1236" s="5" t="s">
        <v>62</v>
      </c>
      <c r="U1236" s="5" t="s">
        <v>44</v>
      </c>
      <c r="V1236" s="5" t="s">
        <v>44</v>
      </c>
      <c r="W1236" s="5" t="s">
        <v>36</v>
      </c>
      <c r="X1236" s="5" t="s">
        <v>521</v>
      </c>
      <c r="Y1236" s="5" t="s">
        <v>46</v>
      </c>
      <c r="Z1236" s="5" t="s">
        <v>47</v>
      </c>
      <c r="AA1236" s="5" t="s">
        <v>64</v>
      </c>
      <c r="AB1236" s="5" t="s">
        <v>5994</v>
      </c>
      <c r="AC1236" s="6" t="s">
        <v>50</v>
      </c>
      <c r="AD1236" s="6">
        <v>4033.0</v>
      </c>
    </row>
    <row r="1237" ht="56.25" customHeight="1">
      <c r="A1237" s="5" t="s">
        <v>5991</v>
      </c>
      <c r="B1237" s="6" t="str">
        <f>IMAGE("https://storage.googleapis.com/acdb/miscellaneous/FtrTeasetChina_Remake_1_0.png")</f>
        <v/>
      </c>
      <c r="C1237" s="5" t="s">
        <v>5996</v>
      </c>
      <c r="D1237" s="5" t="s">
        <v>34</v>
      </c>
      <c r="E1237" s="5" t="s">
        <v>34</v>
      </c>
      <c r="F1237" s="5" t="s">
        <v>34</v>
      </c>
      <c r="G1237" s="5" t="s">
        <v>36</v>
      </c>
      <c r="H1237" s="5" t="s">
        <v>36</v>
      </c>
      <c r="I1237" s="5" t="s">
        <v>36</v>
      </c>
      <c r="J1237" s="6" t="s">
        <v>34</v>
      </c>
      <c r="K1237" s="6">
        <v>1000.0</v>
      </c>
      <c r="L1237" s="6">
        <v>250.0</v>
      </c>
      <c r="M1237" s="5" t="s">
        <v>39</v>
      </c>
      <c r="N1237" s="5" t="s">
        <v>57</v>
      </c>
      <c r="O1237" s="6" t="s">
        <v>40</v>
      </c>
      <c r="P1237" s="5" t="s">
        <v>59</v>
      </c>
      <c r="Q1237" s="5" t="s">
        <v>60</v>
      </c>
      <c r="R1237" s="6" t="s">
        <v>42</v>
      </c>
      <c r="S1237" s="5" t="s">
        <v>266</v>
      </c>
      <c r="T1237" s="5" t="s">
        <v>62</v>
      </c>
      <c r="U1237" s="5" t="s">
        <v>44</v>
      </c>
      <c r="V1237" s="5" t="s">
        <v>44</v>
      </c>
      <c r="W1237" s="5" t="s">
        <v>36</v>
      </c>
      <c r="X1237" s="5" t="s">
        <v>521</v>
      </c>
      <c r="Y1237" s="5" t="s">
        <v>46</v>
      </c>
      <c r="Z1237" s="5" t="s">
        <v>47</v>
      </c>
      <c r="AA1237" s="5" t="s">
        <v>64</v>
      </c>
      <c r="AB1237" s="5" t="s">
        <v>5999</v>
      </c>
      <c r="AC1237" s="6" t="s">
        <v>56</v>
      </c>
      <c r="AD1237" s="6">
        <v>4033.0</v>
      </c>
    </row>
    <row r="1238" ht="56.25" customHeight="1">
      <c r="A1238" s="5" t="s">
        <v>5991</v>
      </c>
      <c r="B1238" s="6" t="str">
        <f>IMAGE("https://storage.googleapis.com/acdb/miscellaneous/FtrTeasetChina_Remake_2_0.png")</f>
        <v/>
      </c>
      <c r="C1238" s="5" t="s">
        <v>400</v>
      </c>
      <c r="D1238" s="5" t="s">
        <v>34</v>
      </c>
      <c r="E1238" s="5" t="s">
        <v>34</v>
      </c>
      <c r="F1238" s="5" t="s">
        <v>34</v>
      </c>
      <c r="G1238" s="5" t="s">
        <v>36</v>
      </c>
      <c r="H1238" s="5" t="s">
        <v>36</v>
      </c>
      <c r="I1238" s="5" t="s">
        <v>36</v>
      </c>
      <c r="J1238" s="6" t="s">
        <v>34</v>
      </c>
      <c r="K1238" s="6">
        <v>1000.0</v>
      </c>
      <c r="L1238" s="6">
        <v>250.0</v>
      </c>
      <c r="M1238" s="5" t="s">
        <v>54</v>
      </c>
      <c r="N1238" s="5" t="s">
        <v>57</v>
      </c>
      <c r="O1238" s="6" t="s">
        <v>40</v>
      </c>
      <c r="P1238" s="5" t="s">
        <v>59</v>
      </c>
      <c r="Q1238" s="5" t="s">
        <v>60</v>
      </c>
      <c r="R1238" s="6" t="s">
        <v>42</v>
      </c>
      <c r="S1238" s="5" t="s">
        <v>266</v>
      </c>
      <c r="T1238" s="5" t="s">
        <v>62</v>
      </c>
      <c r="U1238" s="5" t="s">
        <v>44</v>
      </c>
      <c r="V1238" s="5" t="s">
        <v>44</v>
      </c>
      <c r="W1238" s="5" t="s">
        <v>36</v>
      </c>
      <c r="X1238" s="5" t="s">
        <v>521</v>
      </c>
      <c r="Y1238" s="5" t="s">
        <v>46</v>
      </c>
      <c r="Z1238" s="5" t="s">
        <v>47</v>
      </c>
      <c r="AA1238" s="5" t="s">
        <v>64</v>
      </c>
      <c r="AB1238" s="5" t="s">
        <v>6004</v>
      </c>
      <c r="AC1238" s="6" t="s">
        <v>67</v>
      </c>
      <c r="AD1238" s="6">
        <v>4033.0</v>
      </c>
    </row>
    <row r="1239" ht="56.25" customHeight="1">
      <c r="A1239" s="5" t="s">
        <v>6005</v>
      </c>
      <c r="B1239" s="6" t="str">
        <f>IMAGE("https://storage.googleapis.com/acdb/miscellaneous/FtrGarbagebag_Remake_0_0.png")</f>
        <v/>
      </c>
      <c r="C1239" s="5" t="s">
        <v>54</v>
      </c>
      <c r="D1239" s="5" t="s">
        <v>6006</v>
      </c>
      <c r="E1239" s="5" t="s">
        <v>34</v>
      </c>
      <c r="F1239" s="5" t="s">
        <v>34</v>
      </c>
      <c r="G1239" s="5" t="s">
        <v>35</v>
      </c>
      <c r="H1239" s="5" t="s">
        <v>35</v>
      </c>
      <c r="I1239" s="5" t="s">
        <v>36</v>
      </c>
      <c r="J1239" s="6">
        <v>1.0</v>
      </c>
      <c r="K1239" s="6" t="s">
        <v>37</v>
      </c>
      <c r="L1239" s="6">
        <v>60.0</v>
      </c>
      <c r="M1239" s="5" t="s">
        <v>54</v>
      </c>
      <c r="N1239" s="5" t="s">
        <v>54</v>
      </c>
      <c r="O1239" s="6" t="s">
        <v>40</v>
      </c>
      <c r="P1239" s="5" t="s">
        <v>41</v>
      </c>
      <c r="Q1239" s="5"/>
      <c r="R1239" s="6" t="s">
        <v>42</v>
      </c>
      <c r="S1239" s="5" t="s">
        <v>416</v>
      </c>
      <c r="T1239" s="5" t="s">
        <v>44</v>
      </c>
      <c r="U1239" s="5" t="s">
        <v>44</v>
      </c>
      <c r="V1239" s="5" t="s">
        <v>44</v>
      </c>
      <c r="W1239" s="5" t="s">
        <v>36</v>
      </c>
      <c r="X1239" s="5" t="s">
        <v>432</v>
      </c>
      <c r="Y1239" s="5" t="s">
        <v>46</v>
      </c>
      <c r="Z1239" s="5" t="s">
        <v>47</v>
      </c>
      <c r="AA1239" s="5" t="s">
        <v>48</v>
      </c>
      <c r="AB1239" s="5" t="s">
        <v>6008</v>
      </c>
      <c r="AC1239" s="6" t="s">
        <v>50</v>
      </c>
      <c r="AD1239" s="6">
        <v>1823.0</v>
      </c>
    </row>
    <row r="1240" ht="56.25" customHeight="1">
      <c r="A1240" s="5" t="s">
        <v>6005</v>
      </c>
      <c r="B1240" s="6" t="str">
        <f>IMAGE("https://storage.googleapis.com/acdb/miscellaneous/FtrGarbagebag_Remake_1_0.png")</f>
        <v/>
      </c>
      <c r="C1240" s="5" t="s">
        <v>57</v>
      </c>
      <c r="D1240" s="5" t="s">
        <v>6006</v>
      </c>
      <c r="E1240" s="5" t="s">
        <v>34</v>
      </c>
      <c r="F1240" s="5" t="s">
        <v>34</v>
      </c>
      <c r="G1240" s="5" t="s">
        <v>35</v>
      </c>
      <c r="H1240" s="5" t="s">
        <v>35</v>
      </c>
      <c r="I1240" s="5" t="s">
        <v>36</v>
      </c>
      <c r="J1240" s="6">
        <v>1.0</v>
      </c>
      <c r="K1240" s="6" t="s">
        <v>37</v>
      </c>
      <c r="L1240" s="6">
        <v>60.0</v>
      </c>
      <c r="M1240" s="5" t="s">
        <v>57</v>
      </c>
      <c r="N1240" s="5" t="s">
        <v>57</v>
      </c>
      <c r="O1240" s="6" t="s">
        <v>40</v>
      </c>
      <c r="P1240" s="5" t="s">
        <v>41</v>
      </c>
      <c r="Q1240" s="5"/>
      <c r="R1240" s="6" t="s">
        <v>42</v>
      </c>
      <c r="S1240" s="5" t="s">
        <v>416</v>
      </c>
      <c r="T1240" s="5" t="s">
        <v>44</v>
      </c>
      <c r="U1240" s="5" t="s">
        <v>44</v>
      </c>
      <c r="V1240" s="5" t="s">
        <v>44</v>
      </c>
      <c r="W1240" s="5" t="s">
        <v>36</v>
      </c>
      <c r="X1240" s="5" t="s">
        <v>432</v>
      </c>
      <c r="Y1240" s="5" t="s">
        <v>46</v>
      </c>
      <c r="Z1240" s="5" t="s">
        <v>47</v>
      </c>
      <c r="AA1240" s="5" t="s">
        <v>48</v>
      </c>
      <c r="AB1240" s="5" t="s">
        <v>6011</v>
      </c>
      <c r="AC1240" s="6" t="s">
        <v>56</v>
      </c>
      <c r="AD1240" s="6">
        <v>1823.0</v>
      </c>
    </row>
    <row r="1241" ht="56.25" customHeight="1">
      <c r="A1241" s="5" t="s">
        <v>6005</v>
      </c>
      <c r="B1241" s="6" t="str">
        <f>IMAGE("https://storage.googleapis.com/acdb/miscellaneous/FtrGarbagebag_Remake_2_0.png")</f>
        <v/>
      </c>
      <c r="C1241" s="5" t="s">
        <v>68</v>
      </c>
      <c r="D1241" s="5" t="s">
        <v>6006</v>
      </c>
      <c r="E1241" s="5" t="s">
        <v>34</v>
      </c>
      <c r="F1241" s="5" t="s">
        <v>34</v>
      </c>
      <c r="G1241" s="5" t="s">
        <v>35</v>
      </c>
      <c r="H1241" s="5" t="s">
        <v>35</v>
      </c>
      <c r="I1241" s="5" t="s">
        <v>36</v>
      </c>
      <c r="J1241" s="6">
        <v>1.0</v>
      </c>
      <c r="K1241" s="6" t="s">
        <v>37</v>
      </c>
      <c r="L1241" s="6">
        <v>60.0</v>
      </c>
      <c r="M1241" s="5" t="s">
        <v>68</v>
      </c>
      <c r="N1241" s="5" t="s">
        <v>68</v>
      </c>
      <c r="O1241" s="6" t="s">
        <v>40</v>
      </c>
      <c r="P1241" s="5" t="s">
        <v>41</v>
      </c>
      <c r="Q1241" s="5"/>
      <c r="R1241" s="6" t="s">
        <v>42</v>
      </c>
      <c r="S1241" s="5" t="s">
        <v>416</v>
      </c>
      <c r="T1241" s="5" t="s">
        <v>44</v>
      </c>
      <c r="U1241" s="5" t="s">
        <v>44</v>
      </c>
      <c r="V1241" s="5" t="s">
        <v>44</v>
      </c>
      <c r="W1241" s="5" t="s">
        <v>36</v>
      </c>
      <c r="X1241" s="5" t="s">
        <v>432</v>
      </c>
      <c r="Y1241" s="5" t="s">
        <v>46</v>
      </c>
      <c r="Z1241" s="5" t="s">
        <v>47</v>
      </c>
      <c r="AA1241" s="5" t="s">
        <v>48</v>
      </c>
      <c r="AB1241" s="5" t="s">
        <v>6014</v>
      </c>
      <c r="AC1241" s="6" t="s">
        <v>67</v>
      </c>
      <c r="AD1241" s="6">
        <v>1823.0</v>
      </c>
    </row>
    <row r="1242" ht="56.25" customHeight="1">
      <c r="A1242" s="5" t="s">
        <v>6005</v>
      </c>
      <c r="B1242" s="6" t="str">
        <f>IMAGE("https://storage.googleapis.com/acdb/miscellaneous/FtrGarbagebag_Remake_3_0.png")</f>
        <v/>
      </c>
      <c r="C1242" s="5" t="s">
        <v>114</v>
      </c>
      <c r="D1242" s="5" t="s">
        <v>6006</v>
      </c>
      <c r="E1242" s="5" t="s">
        <v>34</v>
      </c>
      <c r="F1242" s="5" t="s">
        <v>34</v>
      </c>
      <c r="G1242" s="5" t="s">
        <v>35</v>
      </c>
      <c r="H1242" s="5" t="s">
        <v>35</v>
      </c>
      <c r="I1242" s="5" t="s">
        <v>36</v>
      </c>
      <c r="J1242" s="6">
        <v>1.0</v>
      </c>
      <c r="K1242" s="6" t="s">
        <v>37</v>
      </c>
      <c r="L1242" s="6">
        <v>60.0</v>
      </c>
      <c r="M1242" s="5" t="s">
        <v>114</v>
      </c>
      <c r="N1242" s="5" t="s">
        <v>114</v>
      </c>
      <c r="O1242" s="6" t="s">
        <v>40</v>
      </c>
      <c r="P1242" s="5" t="s">
        <v>41</v>
      </c>
      <c r="Q1242" s="5"/>
      <c r="R1242" s="6" t="s">
        <v>42</v>
      </c>
      <c r="S1242" s="5" t="s">
        <v>416</v>
      </c>
      <c r="T1242" s="5" t="s">
        <v>44</v>
      </c>
      <c r="U1242" s="5" t="s">
        <v>44</v>
      </c>
      <c r="V1242" s="5" t="s">
        <v>44</v>
      </c>
      <c r="W1242" s="5" t="s">
        <v>36</v>
      </c>
      <c r="X1242" s="5" t="s">
        <v>432</v>
      </c>
      <c r="Y1242" s="5" t="s">
        <v>46</v>
      </c>
      <c r="Z1242" s="5" t="s">
        <v>47</v>
      </c>
      <c r="AA1242" s="5" t="s">
        <v>48</v>
      </c>
      <c r="AB1242" s="5" t="s">
        <v>6017</v>
      </c>
      <c r="AC1242" s="6" t="s">
        <v>71</v>
      </c>
      <c r="AD1242" s="6">
        <v>1823.0</v>
      </c>
    </row>
    <row r="1243" ht="56.25" customHeight="1">
      <c r="A1243" s="5" t="s">
        <v>6018</v>
      </c>
      <c r="B1243" s="6" t="str">
        <f>IMAGE("https://storage.googleapis.com/acdb/miscellaneous/FtrNutLamp_Remake_0_0.png")</f>
        <v/>
      </c>
      <c r="C1243" s="5" t="s">
        <v>52</v>
      </c>
      <c r="D1243" s="5" t="s">
        <v>2444</v>
      </c>
      <c r="E1243" s="5" t="s">
        <v>34</v>
      </c>
      <c r="F1243" s="5" t="s">
        <v>34</v>
      </c>
      <c r="G1243" s="5" t="s">
        <v>35</v>
      </c>
      <c r="H1243" s="5" t="s">
        <v>35</v>
      </c>
      <c r="I1243" s="5" t="s">
        <v>36</v>
      </c>
      <c r="J1243" s="6">
        <v>5.0</v>
      </c>
      <c r="K1243" s="6" t="s">
        <v>37</v>
      </c>
      <c r="L1243" s="6">
        <v>3200.0</v>
      </c>
      <c r="M1243" s="5" t="s">
        <v>39</v>
      </c>
      <c r="N1243" s="5" t="s">
        <v>52</v>
      </c>
      <c r="O1243" s="6" t="s">
        <v>40</v>
      </c>
      <c r="P1243" s="5" t="s">
        <v>41</v>
      </c>
      <c r="Q1243" s="5" t="s">
        <v>2446</v>
      </c>
      <c r="R1243" s="6" t="s">
        <v>42</v>
      </c>
      <c r="S1243" s="5" t="s">
        <v>61</v>
      </c>
      <c r="T1243" s="5" t="s">
        <v>44</v>
      </c>
      <c r="U1243" s="5" t="s">
        <v>2448</v>
      </c>
      <c r="V1243" s="5" t="s">
        <v>44</v>
      </c>
      <c r="W1243" s="5" t="s">
        <v>35</v>
      </c>
      <c r="X1243" s="5" t="s">
        <v>467</v>
      </c>
      <c r="Y1243" s="5" t="s">
        <v>46</v>
      </c>
      <c r="Z1243" s="5" t="s">
        <v>502</v>
      </c>
      <c r="AA1243" s="5" t="s">
        <v>48</v>
      </c>
      <c r="AB1243" s="5" t="s">
        <v>6021</v>
      </c>
      <c r="AC1243" s="6" t="s">
        <v>50</v>
      </c>
      <c r="AD1243" s="6">
        <v>6078.0</v>
      </c>
    </row>
    <row r="1244" ht="56.25" customHeight="1">
      <c r="A1244" s="5" t="s">
        <v>6018</v>
      </c>
      <c r="B1244" s="6" t="str">
        <f>IMAGE("https://storage.googleapis.com/acdb/miscellaneous/FtrNutLamp_Remake_1_0.png")</f>
        <v/>
      </c>
      <c r="C1244" s="5" t="s">
        <v>57</v>
      </c>
      <c r="D1244" s="5" t="s">
        <v>2444</v>
      </c>
      <c r="E1244" s="5" t="s">
        <v>34</v>
      </c>
      <c r="F1244" s="5" t="s">
        <v>34</v>
      </c>
      <c r="G1244" s="5" t="s">
        <v>35</v>
      </c>
      <c r="H1244" s="5" t="s">
        <v>35</v>
      </c>
      <c r="I1244" s="5" t="s">
        <v>36</v>
      </c>
      <c r="J1244" s="6">
        <v>5.0</v>
      </c>
      <c r="K1244" s="6" t="s">
        <v>37</v>
      </c>
      <c r="L1244" s="6">
        <v>3200.0</v>
      </c>
      <c r="M1244" s="5" t="s">
        <v>38</v>
      </c>
      <c r="N1244" s="5" t="s">
        <v>57</v>
      </c>
      <c r="O1244" s="6" t="s">
        <v>40</v>
      </c>
      <c r="P1244" s="5" t="s">
        <v>41</v>
      </c>
      <c r="Q1244" s="5" t="s">
        <v>2446</v>
      </c>
      <c r="R1244" s="6" t="s">
        <v>42</v>
      </c>
      <c r="S1244" s="5" t="s">
        <v>61</v>
      </c>
      <c r="T1244" s="5" t="s">
        <v>44</v>
      </c>
      <c r="U1244" s="5" t="s">
        <v>2448</v>
      </c>
      <c r="V1244" s="5" t="s">
        <v>44</v>
      </c>
      <c r="W1244" s="5" t="s">
        <v>35</v>
      </c>
      <c r="X1244" s="5" t="s">
        <v>467</v>
      </c>
      <c r="Y1244" s="5" t="s">
        <v>46</v>
      </c>
      <c r="Z1244" s="5" t="s">
        <v>502</v>
      </c>
      <c r="AA1244" s="5" t="s">
        <v>48</v>
      </c>
      <c r="AB1244" s="5" t="s">
        <v>6025</v>
      </c>
      <c r="AC1244" s="6" t="s">
        <v>56</v>
      </c>
      <c r="AD1244" s="6">
        <v>6078.0</v>
      </c>
    </row>
    <row r="1245" ht="56.25" customHeight="1">
      <c r="A1245" s="5" t="s">
        <v>6027</v>
      </c>
      <c r="B1245" s="6" t="str">
        <f>IMAGE("https://storage.googleapis.com/acdb/miscellaneous/FtrNutTreeS_Remake_0_0.png")</f>
        <v/>
      </c>
      <c r="C1245" s="5" t="s">
        <v>39</v>
      </c>
      <c r="D1245" s="5" t="s">
        <v>2444</v>
      </c>
      <c r="E1245" s="5" t="s">
        <v>34</v>
      </c>
      <c r="F1245" s="5" t="s">
        <v>34</v>
      </c>
      <c r="G1245" s="5" t="s">
        <v>35</v>
      </c>
      <c r="H1245" s="5" t="s">
        <v>35</v>
      </c>
      <c r="I1245" s="5" t="s">
        <v>36</v>
      </c>
      <c r="J1245" s="6">
        <v>6.0</v>
      </c>
      <c r="K1245" s="6" t="s">
        <v>37</v>
      </c>
      <c r="L1245" s="6">
        <v>4120.0</v>
      </c>
      <c r="M1245" s="5" t="s">
        <v>39</v>
      </c>
      <c r="N1245" s="5" t="s">
        <v>58</v>
      </c>
      <c r="O1245" s="6" t="s">
        <v>40</v>
      </c>
      <c r="P1245" s="5" t="s">
        <v>41</v>
      </c>
      <c r="Q1245" s="5" t="s">
        <v>2446</v>
      </c>
      <c r="R1245" s="6" t="s">
        <v>42</v>
      </c>
      <c r="S1245" s="5" t="s">
        <v>465</v>
      </c>
      <c r="T1245" s="5" t="s">
        <v>61</v>
      </c>
      <c r="U1245" s="5" t="s">
        <v>2448</v>
      </c>
      <c r="V1245" s="5" t="s">
        <v>44</v>
      </c>
      <c r="W1245" s="5" t="s">
        <v>36</v>
      </c>
      <c r="X1245" s="5" t="s">
        <v>590</v>
      </c>
      <c r="Y1245" s="5" t="s">
        <v>46</v>
      </c>
      <c r="Z1245" s="5" t="s">
        <v>47</v>
      </c>
      <c r="AA1245" s="5" t="s">
        <v>48</v>
      </c>
      <c r="AB1245" s="5" t="s">
        <v>6029</v>
      </c>
      <c r="AC1245" s="6" t="s">
        <v>50</v>
      </c>
      <c r="AD1245" s="6">
        <v>6079.0</v>
      </c>
    </row>
    <row r="1246" ht="56.25" customHeight="1">
      <c r="A1246" s="5" t="s">
        <v>6027</v>
      </c>
      <c r="B1246" s="6" t="str">
        <f>IMAGE("https://storage.googleapis.com/acdb/miscellaneous/FtrNutTreeS_Remake_1_0.png")</f>
        <v/>
      </c>
      <c r="C1246" s="5" t="s">
        <v>57</v>
      </c>
      <c r="D1246" s="5" t="s">
        <v>2444</v>
      </c>
      <c r="E1246" s="5" t="s">
        <v>34</v>
      </c>
      <c r="F1246" s="5" t="s">
        <v>34</v>
      </c>
      <c r="G1246" s="5" t="s">
        <v>35</v>
      </c>
      <c r="H1246" s="5" t="s">
        <v>35</v>
      </c>
      <c r="I1246" s="5" t="s">
        <v>36</v>
      </c>
      <c r="J1246" s="6">
        <v>6.0</v>
      </c>
      <c r="K1246" s="6" t="s">
        <v>37</v>
      </c>
      <c r="L1246" s="6">
        <v>4120.0</v>
      </c>
      <c r="M1246" s="5" t="s">
        <v>57</v>
      </c>
      <c r="N1246" s="5" t="s">
        <v>58</v>
      </c>
      <c r="O1246" s="6" t="s">
        <v>40</v>
      </c>
      <c r="P1246" s="5" t="s">
        <v>41</v>
      </c>
      <c r="Q1246" s="5" t="s">
        <v>2446</v>
      </c>
      <c r="R1246" s="6" t="s">
        <v>42</v>
      </c>
      <c r="S1246" s="5" t="s">
        <v>465</v>
      </c>
      <c r="T1246" s="5" t="s">
        <v>61</v>
      </c>
      <c r="U1246" s="5" t="s">
        <v>2448</v>
      </c>
      <c r="V1246" s="5" t="s">
        <v>44</v>
      </c>
      <c r="W1246" s="5" t="s">
        <v>36</v>
      </c>
      <c r="X1246" s="5" t="s">
        <v>590</v>
      </c>
      <c r="Y1246" s="5" t="s">
        <v>46</v>
      </c>
      <c r="Z1246" s="5" t="s">
        <v>47</v>
      </c>
      <c r="AA1246" s="5" t="s">
        <v>48</v>
      </c>
      <c r="AB1246" s="5" t="s">
        <v>6032</v>
      </c>
      <c r="AC1246" s="6" t="s">
        <v>56</v>
      </c>
      <c r="AD1246" s="6">
        <v>6079.0</v>
      </c>
    </row>
    <row r="1247" ht="56.25" customHeight="1">
      <c r="A1247" s="5" t="s">
        <v>6033</v>
      </c>
      <c r="B1247" s="16" t="str">
        <f>IMAGE("https://storage.googleapis.com/acdb/miscellaneous/FtrFishMaguroToy.png")</f>
        <v/>
      </c>
      <c r="C1247" s="5" t="s">
        <v>34</v>
      </c>
      <c r="D1247" s="5" t="s">
        <v>34</v>
      </c>
      <c r="E1247" s="5" t="s">
        <v>34</v>
      </c>
      <c r="F1247" s="5" t="s">
        <v>34</v>
      </c>
      <c r="G1247" s="5" t="s">
        <v>36</v>
      </c>
      <c r="H1247" s="5" t="s">
        <v>36</v>
      </c>
      <c r="I1247" s="5" t="s">
        <v>36</v>
      </c>
      <c r="J1247" s="6" t="s">
        <v>34</v>
      </c>
      <c r="K1247" s="6" t="s">
        <v>37</v>
      </c>
      <c r="L1247" s="6">
        <v>21000.0</v>
      </c>
      <c r="M1247" s="5" t="s">
        <v>68</v>
      </c>
      <c r="N1247" s="5" t="s">
        <v>54</v>
      </c>
      <c r="O1247" s="6" t="s">
        <v>40</v>
      </c>
      <c r="P1247" s="5" t="s">
        <v>213</v>
      </c>
      <c r="Q1247" s="5" t="s">
        <v>215</v>
      </c>
      <c r="R1247" s="6" t="s">
        <v>42</v>
      </c>
      <c r="S1247" s="5" t="s">
        <v>44</v>
      </c>
      <c r="T1247" s="5" t="s">
        <v>44</v>
      </c>
      <c r="U1247" s="5" t="s">
        <v>44</v>
      </c>
      <c r="V1247" s="5" t="s">
        <v>44</v>
      </c>
      <c r="W1247" s="5" t="s">
        <v>36</v>
      </c>
      <c r="X1247" s="5" t="s">
        <v>219</v>
      </c>
      <c r="Y1247" s="5" t="s">
        <v>46</v>
      </c>
      <c r="Z1247" s="5" t="s">
        <v>47</v>
      </c>
      <c r="AA1247" s="5" t="s">
        <v>48</v>
      </c>
      <c r="AB1247" s="5" t="s">
        <v>6036</v>
      </c>
      <c r="AC1247" s="6" t="s">
        <v>34</v>
      </c>
      <c r="AD1247" s="6">
        <v>6983.0</v>
      </c>
    </row>
    <row r="1248" ht="56.25" customHeight="1">
      <c r="A1248" s="5" t="s">
        <v>6037</v>
      </c>
      <c r="B1248" s="6" t="str">
        <f>IMAGE("https://storage.googleapis.com/acdb/miscellaneous/FtrTypewriter_Remake_0_0.png")</f>
        <v/>
      </c>
      <c r="C1248" s="5" t="s">
        <v>54</v>
      </c>
      <c r="D1248" s="5" t="s">
        <v>34</v>
      </c>
      <c r="E1248" s="5" t="s">
        <v>34</v>
      </c>
      <c r="F1248" s="5" t="s">
        <v>34</v>
      </c>
      <c r="G1248" s="5" t="s">
        <v>36</v>
      </c>
      <c r="H1248" s="5" t="s">
        <v>36</v>
      </c>
      <c r="I1248" s="5" t="s">
        <v>36</v>
      </c>
      <c r="J1248" s="6" t="s">
        <v>34</v>
      </c>
      <c r="K1248" s="6">
        <v>2000.0</v>
      </c>
      <c r="L1248" s="6">
        <v>500.0</v>
      </c>
      <c r="M1248" s="5" t="s">
        <v>54</v>
      </c>
      <c r="N1248" s="5" t="s">
        <v>114</v>
      </c>
      <c r="O1248" s="6" t="s">
        <v>40</v>
      </c>
      <c r="P1248" s="5" t="s">
        <v>59</v>
      </c>
      <c r="Q1248" s="5" t="s">
        <v>60</v>
      </c>
      <c r="R1248" s="6" t="s">
        <v>42</v>
      </c>
      <c r="S1248" s="5" t="s">
        <v>91</v>
      </c>
      <c r="T1248" s="5" t="s">
        <v>202</v>
      </c>
      <c r="U1248" s="5" t="s">
        <v>44</v>
      </c>
      <c r="V1248" s="5" t="s">
        <v>44</v>
      </c>
      <c r="W1248" s="5" t="s">
        <v>35</v>
      </c>
      <c r="X1248" s="5" t="s">
        <v>117</v>
      </c>
      <c r="Y1248" s="5" t="s">
        <v>46</v>
      </c>
      <c r="Z1248" s="5" t="s">
        <v>47</v>
      </c>
      <c r="AA1248" s="5" t="s">
        <v>64</v>
      </c>
      <c r="AB1248" s="5" t="s">
        <v>6040</v>
      </c>
      <c r="AC1248" s="6" t="s">
        <v>50</v>
      </c>
      <c r="AD1248" s="6">
        <v>1211.0</v>
      </c>
    </row>
    <row r="1249" ht="56.25" customHeight="1">
      <c r="A1249" s="5" t="s">
        <v>6037</v>
      </c>
      <c r="B1249" s="6" t="str">
        <f>IMAGE("https://storage.googleapis.com/acdb/miscellaneous/FtrTypewriter_Remake_1_0.png")</f>
        <v/>
      </c>
      <c r="C1249" s="5" t="s">
        <v>68</v>
      </c>
      <c r="D1249" s="5" t="s">
        <v>34</v>
      </c>
      <c r="E1249" s="5" t="s">
        <v>34</v>
      </c>
      <c r="F1249" s="5" t="s">
        <v>34</v>
      </c>
      <c r="G1249" s="5" t="s">
        <v>36</v>
      </c>
      <c r="H1249" s="5" t="s">
        <v>36</v>
      </c>
      <c r="I1249" s="5" t="s">
        <v>36</v>
      </c>
      <c r="J1249" s="6" t="s">
        <v>34</v>
      </c>
      <c r="K1249" s="6">
        <v>2000.0</v>
      </c>
      <c r="L1249" s="6">
        <v>500.0</v>
      </c>
      <c r="M1249" s="5" t="s">
        <v>68</v>
      </c>
      <c r="N1249" s="5" t="s">
        <v>95</v>
      </c>
      <c r="O1249" s="6" t="s">
        <v>40</v>
      </c>
      <c r="P1249" s="5" t="s">
        <v>59</v>
      </c>
      <c r="Q1249" s="5" t="s">
        <v>60</v>
      </c>
      <c r="R1249" s="6" t="s">
        <v>42</v>
      </c>
      <c r="S1249" s="5" t="s">
        <v>91</v>
      </c>
      <c r="T1249" s="5" t="s">
        <v>202</v>
      </c>
      <c r="U1249" s="5" t="s">
        <v>44</v>
      </c>
      <c r="V1249" s="5" t="s">
        <v>44</v>
      </c>
      <c r="W1249" s="5" t="s">
        <v>35</v>
      </c>
      <c r="X1249" s="5" t="s">
        <v>117</v>
      </c>
      <c r="Y1249" s="5" t="s">
        <v>46</v>
      </c>
      <c r="Z1249" s="5" t="s">
        <v>47</v>
      </c>
      <c r="AA1249" s="5" t="s">
        <v>64</v>
      </c>
      <c r="AB1249" s="5" t="s">
        <v>6043</v>
      </c>
      <c r="AC1249" s="6" t="s">
        <v>56</v>
      </c>
      <c r="AD1249" s="6">
        <v>1211.0</v>
      </c>
    </row>
    <row r="1250" ht="56.25" customHeight="1">
      <c r="A1250" s="5" t="s">
        <v>6037</v>
      </c>
      <c r="B1250" s="6" t="str">
        <f>IMAGE("https://storage.googleapis.com/acdb/miscellaneous/FtrTypewriter_Remake_2_0.png")</f>
        <v/>
      </c>
      <c r="C1250" s="5" t="s">
        <v>39</v>
      </c>
      <c r="D1250" s="5" t="s">
        <v>34</v>
      </c>
      <c r="E1250" s="5" t="s">
        <v>34</v>
      </c>
      <c r="F1250" s="5" t="s">
        <v>34</v>
      </c>
      <c r="G1250" s="5" t="s">
        <v>36</v>
      </c>
      <c r="H1250" s="5" t="s">
        <v>36</v>
      </c>
      <c r="I1250" s="5" t="s">
        <v>36</v>
      </c>
      <c r="J1250" s="6" t="s">
        <v>34</v>
      </c>
      <c r="K1250" s="6">
        <v>2000.0</v>
      </c>
      <c r="L1250" s="6">
        <v>500.0</v>
      </c>
      <c r="M1250" s="5" t="s">
        <v>39</v>
      </c>
      <c r="N1250" s="5" t="s">
        <v>114</v>
      </c>
      <c r="O1250" s="6" t="s">
        <v>40</v>
      </c>
      <c r="P1250" s="5" t="s">
        <v>59</v>
      </c>
      <c r="Q1250" s="5" t="s">
        <v>60</v>
      </c>
      <c r="R1250" s="6" t="s">
        <v>42</v>
      </c>
      <c r="S1250" s="5" t="s">
        <v>91</v>
      </c>
      <c r="T1250" s="5" t="s">
        <v>202</v>
      </c>
      <c r="U1250" s="5" t="s">
        <v>44</v>
      </c>
      <c r="V1250" s="5" t="s">
        <v>44</v>
      </c>
      <c r="W1250" s="5" t="s">
        <v>35</v>
      </c>
      <c r="X1250" s="5" t="s">
        <v>117</v>
      </c>
      <c r="Y1250" s="5" t="s">
        <v>46</v>
      </c>
      <c r="Z1250" s="5" t="s">
        <v>47</v>
      </c>
      <c r="AA1250" s="5" t="s">
        <v>64</v>
      </c>
      <c r="AB1250" s="5" t="s">
        <v>6045</v>
      </c>
      <c r="AC1250" s="6" t="s">
        <v>67</v>
      </c>
      <c r="AD1250" s="6">
        <v>1211.0</v>
      </c>
    </row>
    <row r="1251" ht="56.25" customHeight="1">
      <c r="A1251" s="5" t="s">
        <v>6037</v>
      </c>
      <c r="B1251" s="6" t="str">
        <f>IMAGE("https://storage.googleapis.com/acdb/miscellaneous/FtrTypewriter_Remake_3_0.png")</f>
        <v/>
      </c>
      <c r="C1251" s="5" t="s">
        <v>96</v>
      </c>
      <c r="D1251" s="5" t="s">
        <v>34</v>
      </c>
      <c r="E1251" s="5" t="s">
        <v>34</v>
      </c>
      <c r="F1251" s="5" t="s">
        <v>34</v>
      </c>
      <c r="G1251" s="5" t="s">
        <v>36</v>
      </c>
      <c r="H1251" s="5" t="s">
        <v>36</v>
      </c>
      <c r="I1251" s="5" t="s">
        <v>36</v>
      </c>
      <c r="J1251" s="6" t="s">
        <v>34</v>
      </c>
      <c r="K1251" s="6">
        <v>2000.0</v>
      </c>
      <c r="L1251" s="6">
        <v>500.0</v>
      </c>
      <c r="M1251" s="5" t="s">
        <v>96</v>
      </c>
      <c r="N1251" s="5" t="s">
        <v>95</v>
      </c>
      <c r="O1251" s="6" t="s">
        <v>40</v>
      </c>
      <c r="P1251" s="5" t="s">
        <v>59</v>
      </c>
      <c r="Q1251" s="5" t="s">
        <v>60</v>
      </c>
      <c r="R1251" s="6" t="s">
        <v>42</v>
      </c>
      <c r="S1251" s="5" t="s">
        <v>91</v>
      </c>
      <c r="T1251" s="5" t="s">
        <v>202</v>
      </c>
      <c r="U1251" s="5" t="s">
        <v>44</v>
      </c>
      <c r="V1251" s="5" t="s">
        <v>44</v>
      </c>
      <c r="W1251" s="5" t="s">
        <v>35</v>
      </c>
      <c r="X1251" s="5" t="s">
        <v>117</v>
      </c>
      <c r="Y1251" s="5" t="s">
        <v>46</v>
      </c>
      <c r="Z1251" s="5" t="s">
        <v>47</v>
      </c>
      <c r="AA1251" s="5" t="s">
        <v>64</v>
      </c>
      <c r="AB1251" s="5" t="s">
        <v>6051</v>
      </c>
      <c r="AC1251" s="6" t="s">
        <v>71</v>
      </c>
      <c r="AD1251" s="6">
        <v>1211.0</v>
      </c>
    </row>
    <row r="1252" ht="56.25" customHeight="1">
      <c r="A1252" s="5" t="s">
        <v>6037</v>
      </c>
      <c r="B1252" s="6" t="str">
        <f>IMAGE("https://storage.googleapis.com/acdb/miscellaneous/FtrTypewriter_Remake_4_0.png")</f>
        <v/>
      </c>
      <c r="C1252" s="5" t="s">
        <v>151</v>
      </c>
      <c r="D1252" s="5" t="s">
        <v>34</v>
      </c>
      <c r="E1252" s="5" t="s">
        <v>34</v>
      </c>
      <c r="F1252" s="5" t="s">
        <v>34</v>
      </c>
      <c r="G1252" s="5" t="s">
        <v>36</v>
      </c>
      <c r="H1252" s="5" t="s">
        <v>36</v>
      </c>
      <c r="I1252" s="5" t="s">
        <v>36</v>
      </c>
      <c r="J1252" s="6" t="s">
        <v>34</v>
      </c>
      <c r="K1252" s="6">
        <v>2000.0</v>
      </c>
      <c r="L1252" s="6">
        <v>500.0</v>
      </c>
      <c r="M1252" s="5" t="s">
        <v>114</v>
      </c>
      <c r="N1252" s="5" t="s">
        <v>95</v>
      </c>
      <c r="O1252" s="6" t="s">
        <v>40</v>
      </c>
      <c r="P1252" s="5" t="s">
        <v>59</v>
      </c>
      <c r="Q1252" s="5" t="s">
        <v>60</v>
      </c>
      <c r="R1252" s="6" t="s">
        <v>42</v>
      </c>
      <c r="S1252" s="5" t="s">
        <v>91</v>
      </c>
      <c r="T1252" s="5" t="s">
        <v>202</v>
      </c>
      <c r="U1252" s="5" t="s">
        <v>44</v>
      </c>
      <c r="V1252" s="5" t="s">
        <v>44</v>
      </c>
      <c r="W1252" s="5" t="s">
        <v>35</v>
      </c>
      <c r="X1252" s="5" t="s">
        <v>117</v>
      </c>
      <c r="Y1252" s="5" t="s">
        <v>46</v>
      </c>
      <c r="Z1252" s="5" t="s">
        <v>47</v>
      </c>
      <c r="AA1252" s="5" t="s">
        <v>64</v>
      </c>
      <c r="AB1252" s="5" t="s">
        <v>6054</v>
      </c>
      <c r="AC1252" s="6" t="s">
        <v>75</v>
      </c>
      <c r="AD1252" s="6">
        <v>1211.0</v>
      </c>
    </row>
    <row r="1253" ht="56.25" customHeight="1">
      <c r="A1253" s="5" t="s">
        <v>6037</v>
      </c>
      <c r="B1253" s="6" t="str">
        <f>IMAGE("https://storage.googleapis.com/acdb/miscellaneous/FtrTypewriter_Remake_5_0.png")</f>
        <v/>
      </c>
      <c r="C1253" s="5" t="s">
        <v>146</v>
      </c>
      <c r="D1253" s="5" t="s">
        <v>34</v>
      </c>
      <c r="E1253" s="5" t="s">
        <v>34</v>
      </c>
      <c r="F1253" s="5" t="s">
        <v>34</v>
      </c>
      <c r="G1253" s="5" t="s">
        <v>36</v>
      </c>
      <c r="H1253" s="5" t="s">
        <v>36</v>
      </c>
      <c r="I1253" s="5" t="s">
        <v>36</v>
      </c>
      <c r="J1253" s="6" t="s">
        <v>34</v>
      </c>
      <c r="K1253" s="6">
        <v>2000.0</v>
      </c>
      <c r="L1253" s="6">
        <v>500.0</v>
      </c>
      <c r="M1253" s="5" t="s">
        <v>57</v>
      </c>
      <c r="N1253" s="5" t="s">
        <v>83</v>
      </c>
      <c r="O1253" s="6" t="s">
        <v>40</v>
      </c>
      <c r="P1253" s="5" t="s">
        <v>59</v>
      </c>
      <c r="Q1253" s="5" t="s">
        <v>60</v>
      </c>
      <c r="R1253" s="6" t="s">
        <v>42</v>
      </c>
      <c r="S1253" s="5" t="s">
        <v>91</v>
      </c>
      <c r="T1253" s="5" t="s">
        <v>202</v>
      </c>
      <c r="U1253" s="5" t="s">
        <v>44</v>
      </c>
      <c r="V1253" s="5" t="s">
        <v>44</v>
      </c>
      <c r="W1253" s="5" t="s">
        <v>35</v>
      </c>
      <c r="X1253" s="5" t="s">
        <v>117</v>
      </c>
      <c r="Y1253" s="5" t="s">
        <v>46</v>
      </c>
      <c r="Z1253" s="5" t="s">
        <v>47</v>
      </c>
      <c r="AA1253" s="5" t="s">
        <v>64</v>
      </c>
      <c r="AB1253" s="5" t="s">
        <v>6059</v>
      </c>
      <c r="AC1253" s="6" t="s">
        <v>79</v>
      </c>
      <c r="AD1253" s="6">
        <v>1211.0</v>
      </c>
    </row>
    <row r="1254" ht="56.25" customHeight="1">
      <c r="A1254" s="5" t="s">
        <v>6060</v>
      </c>
      <c r="B1254" s="6" t="str">
        <f>IMAGE("https://storage.googleapis.com/acdb/miscellaneous/FtrUkulele_Remake_0_0.png")</f>
        <v/>
      </c>
      <c r="C1254" s="5" t="s">
        <v>32</v>
      </c>
      <c r="D1254" s="5" t="s">
        <v>33</v>
      </c>
      <c r="E1254" s="5" t="s">
        <v>34</v>
      </c>
      <c r="F1254" s="5" t="s">
        <v>34</v>
      </c>
      <c r="G1254" s="5" t="s">
        <v>35</v>
      </c>
      <c r="H1254" s="5" t="s">
        <v>35</v>
      </c>
      <c r="I1254" s="5" t="s">
        <v>36</v>
      </c>
      <c r="J1254" s="6">
        <v>1.0</v>
      </c>
      <c r="K1254" s="6" t="s">
        <v>37</v>
      </c>
      <c r="L1254" s="6">
        <v>600.0</v>
      </c>
      <c r="M1254" s="5" t="s">
        <v>38</v>
      </c>
      <c r="N1254" s="5" t="s">
        <v>39</v>
      </c>
      <c r="O1254" s="6" t="s">
        <v>40</v>
      </c>
      <c r="P1254" s="5" t="s">
        <v>41</v>
      </c>
      <c r="Q1254" s="5"/>
      <c r="R1254" s="6" t="s">
        <v>42</v>
      </c>
      <c r="S1254" s="5" t="s">
        <v>138</v>
      </c>
      <c r="T1254" s="5" t="s">
        <v>44</v>
      </c>
      <c r="U1254" s="5" t="s">
        <v>44</v>
      </c>
      <c r="V1254" s="5" t="s">
        <v>44</v>
      </c>
      <c r="W1254" s="5" t="s">
        <v>35</v>
      </c>
      <c r="X1254" s="5" t="s">
        <v>45</v>
      </c>
      <c r="Y1254" s="5" t="s">
        <v>46</v>
      </c>
      <c r="Z1254" s="5" t="s">
        <v>47</v>
      </c>
      <c r="AA1254" s="5" t="s">
        <v>48</v>
      </c>
      <c r="AB1254" s="5" t="s">
        <v>6063</v>
      </c>
      <c r="AC1254" s="6" t="s">
        <v>50</v>
      </c>
      <c r="AD1254" s="6">
        <v>669.0</v>
      </c>
    </row>
    <row r="1255" ht="56.25" customHeight="1">
      <c r="A1255" s="5" t="s">
        <v>6060</v>
      </c>
      <c r="B1255" s="6" t="str">
        <f>IMAGE("https://storage.googleapis.com/acdb/miscellaneous/FtrUkulele_Remake_1_0.png")</f>
        <v/>
      </c>
      <c r="C1255" s="5" t="s">
        <v>39</v>
      </c>
      <c r="D1255" s="5" t="s">
        <v>33</v>
      </c>
      <c r="E1255" s="5" t="s">
        <v>34</v>
      </c>
      <c r="F1255" s="5" t="s">
        <v>34</v>
      </c>
      <c r="G1255" s="5" t="s">
        <v>35</v>
      </c>
      <c r="H1255" s="5" t="s">
        <v>35</v>
      </c>
      <c r="I1255" s="5" t="s">
        <v>36</v>
      </c>
      <c r="J1255" s="6">
        <v>1.0</v>
      </c>
      <c r="K1255" s="6" t="s">
        <v>37</v>
      </c>
      <c r="L1255" s="6">
        <v>600.0</v>
      </c>
      <c r="M1255" s="5" t="s">
        <v>39</v>
      </c>
      <c r="N1255" s="5" t="s">
        <v>39</v>
      </c>
      <c r="O1255" s="6" t="s">
        <v>40</v>
      </c>
      <c r="P1255" s="5" t="s">
        <v>41</v>
      </c>
      <c r="Q1255" s="5"/>
      <c r="R1255" s="6" t="s">
        <v>42</v>
      </c>
      <c r="S1255" s="5" t="s">
        <v>138</v>
      </c>
      <c r="T1255" s="5" t="s">
        <v>44</v>
      </c>
      <c r="U1255" s="5" t="s">
        <v>44</v>
      </c>
      <c r="V1255" s="5" t="s">
        <v>44</v>
      </c>
      <c r="W1255" s="5" t="s">
        <v>35</v>
      </c>
      <c r="X1255" s="5" t="s">
        <v>45</v>
      </c>
      <c r="Y1255" s="5" t="s">
        <v>46</v>
      </c>
      <c r="Z1255" s="5" t="s">
        <v>47</v>
      </c>
      <c r="AA1255" s="5" t="s">
        <v>48</v>
      </c>
      <c r="AB1255" s="5" t="s">
        <v>6065</v>
      </c>
      <c r="AC1255" s="6" t="s">
        <v>56</v>
      </c>
      <c r="AD1255" s="6">
        <v>669.0</v>
      </c>
    </row>
    <row r="1256" ht="56.25" customHeight="1">
      <c r="A1256" s="5" t="s">
        <v>6060</v>
      </c>
      <c r="B1256" s="6" t="str">
        <f>IMAGE("https://storage.googleapis.com/acdb/miscellaneous/FtrUkulele_Remake_2_0.png")</f>
        <v/>
      </c>
      <c r="C1256" s="5" t="s">
        <v>57</v>
      </c>
      <c r="D1256" s="5" t="s">
        <v>33</v>
      </c>
      <c r="E1256" s="5" t="s">
        <v>34</v>
      </c>
      <c r="F1256" s="5" t="s">
        <v>34</v>
      </c>
      <c r="G1256" s="5" t="s">
        <v>35</v>
      </c>
      <c r="H1256" s="5" t="s">
        <v>35</v>
      </c>
      <c r="I1256" s="5" t="s">
        <v>36</v>
      </c>
      <c r="J1256" s="6">
        <v>1.0</v>
      </c>
      <c r="K1256" s="6" t="s">
        <v>37</v>
      </c>
      <c r="L1256" s="6">
        <v>600.0</v>
      </c>
      <c r="M1256" s="5" t="s">
        <v>57</v>
      </c>
      <c r="N1256" s="5" t="s">
        <v>38</v>
      </c>
      <c r="O1256" s="6" t="s">
        <v>40</v>
      </c>
      <c r="P1256" s="5" t="s">
        <v>41</v>
      </c>
      <c r="Q1256" s="5"/>
      <c r="R1256" s="6" t="s">
        <v>42</v>
      </c>
      <c r="S1256" s="5" t="s">
        <v>138</v>
      </c>
      <c r="T1256" s="5" t="s">
        <v>44</v>
      </c>
      <c r="U1256" s="5" t="s">
        <v>44</v>
      </c>
      <c r="V1256" s="5" t="s">
        <v>44</v>
      </c>
      <c r="W1256" s="5" t="s">
        <v>35</v>
      </c>
      <c r="X1256" s="5" t="s">
        <v>45</v>
      </c>
      <c r="Y1256" s="5" t="s">
        <v>46</v>
      </c>
      <c r="Z1256" s="5" t="s">
        <v>47</v>
      </c>
      <c r="AA1256" s="5" t="s">
        <v>48</v>
      </c>
      <c r="AB1256" s="5" t="s">
        <v>6069</v>
      </c>
      <c r="AC1256" s="6" t="s">
        <v>67</v>
      </c>
      <c r="AD1256" s="6">
        <v>669.0</v>
      </c>
    </row>
    <row r="1257" ht="56.25" customHeight="1">
      <c r="A1257" s="5" t="s">
        <v>6060</v>
      </c>
      <c r="B1257" s="6" t="str">
        <f>IMAGE("https://storage.googleapis.com/acdb/miscellaneous/FtrUkulele_Remake_3_0.png")</f>
        <v/>
      </c>
      <c r="C1257" s="5" t="s">
        <v>6070</v>
      </c>
      <c r="D1257" s="5" t="s">
        <v>33</v>
      </c>
      <c r="E1257" s="5" t="s">
        <v>34</v>
      </c>
      <c r="F1257" s="5" t="s">
        <v>34</v>
      </c>
      <c r="G1257" s="5" t="s">
        <v>35</v>
      </c>
      <c r="H1257" s="5" t="s">
        <v>35</v>
      </c>
      <c r="I1257" s="5" t="s">
        <v>36</v>
      </c>
      <c r="J1257" s="6">
        <v>1.0</v>
      </c>
      <c r="K1257" s="6" t="s">
        <v>37</v>
      </c>
      <c r="L1257" s="6">
        <v>600.0</v>
      </c>
      <c r="M1257" s="5" t="s">
        <v>68</v>
      </c>
      <c r="N1257" s="5" t="s">
        <v>54</v>
      </c>
      <c r="O1257" s="6" t="s">
        <v>40</v>
      </c>
      <c r="P1257" s="5" t="s">
        <v>41</v>
      </c>
      <c r="Q1257" s="5"/>
      <c r="R1257" s="6" t="s">
        <v>42</v>
      </c>
      <c r="S1257" s="5" t="s">
        <v>138</v>
      </c>
      <c r="T1257" s="5" t="s">
        <v>44</v>
      </c>
      <c r="U1257" s="5" t="s">
        <v>44</v>
      </c>
      <c r="V1257" s="5" t="s">
        <v>44</v>
      </c>
      <c r="W1257" s="5" t="s">
        <v>35</v>
      </c>
      <c r="X1257" s="5" t="s">
        <v>45</v>
      </c>
      <c r="Y1257" s="5" t="s">
        <v>46</v>
      </c>
      <c r="Z1257" s="5" t="s">
        <v>47</v>
      </c>
      <c r="AA1257" s="5" t="s">
        <v>48</v>
      </c>
      <c r="AB1257" s="5" t="s">
        <v>6073</v>
      </c>
      <c r="AC1257" s="6" t="s">
        <v>71</v>
      </c>
      <c r="AD1257" s="6">
        <v>669.0</v>
      </c>
    </row>
    <row r="1258" ht="56.25" customHeight="1">
      <c r="A1258" s="5" t="s">
        <v>6074</v>
      </c>
      <c r="B1258" s="6" t="str">
        <f>IMAGE("https://storage.googleapis.com/acdb/miscellaneous/FtrPuzzle_Remake_0_0.png")</f>
        <v/>
      </c>
      <c r="C1258" s="5" t="s">
        <v>34</v>
      </c>
      <c r="D1258" s="5" t="s">
        <v>34</v>
      </c>
      <c r="E1258" s="5" t="s">
        <v>4665</v>
      </c>
      <c r="F1258" s="5" t="s">
        <v>6075</v>
      </c>
      <c r="G1258" s="5" t="s">
        <v>36</v>
      </c>
      <c r="H1258" s="5" t="s">
        <v>36</v>
      </c>
      <c r="I1258" s="5" t="s">
        <v>35</v>
      </c>
      <c r="J1258" s="6">
        <v>1.0</v>
      </c>
      <c r="K1258" s="6">
        <v>290.0</v>
      </c>
      <c r="L1258" s="6">
        <v>72.0</v>
      </c>
      <c r="M1258" s="5" t="s">
        <v>114</v>
      </c>
      <c r="N1258" s="5" t="s">
        <v>106</v>
      </c>
      <c r="O1258" s="6" t="s">
        <v>40</v>
      </c>
      <c r="P1258" s="5" t="s">
        <v>59</v>
      </c>
      <c r="Q1258" s="5" t="s">
        <v>60</v>
      </c>
      <c r="R1258" s="6" t="s">
        <v>42</v>
      </c>
      <c r="S1258" s="5" t="s">
        <v>99</v>
      </c>
      <c r="T1258" s="5" t="s">
        <v>44</v>
      </c>
      <c r="U1258" s="5" t="s">
        <v>44</v>
      </c>
      <c r="V1258" s="5" t="s">
        <v>44</v>
      </c>
      <c r="W1258" s="5" t="s">
        <v>36</v>
      </c>
      <c r="X1258" s="5" t="s">
        <v>356</v>
      </c>
      <c r="Y1258" s="5" t="s">
        <v>46</v>
      </c>
      <c r="Z1258" s="5" t="s">
        <v>47</v>
      </c>
      <c r="AA1258" s="5" t="s">
        <v>64</v>
      </c>
      <c r="AB1258" s="5" t="s">
        <v>6077</v>
      </c>
      <c r="AC1258" s="6" t="s">
        <v>50</v>
      </c>
      <c r="AD1258" s="6">
        <v>4308.0</v>
      </c>
    </row>
    <row r="1259" ht="56.25" customHeight="1">
      <c r="A1259" s="5" t="s">
        <v>6074</v>
      </c>
      <c r="B1259" s="6" t="str">
        <f>IMAGE("https://storage.googleapis.com/acdb/miscellaneous/FtrPuzzle_Remake_0_1.png")</f>
        <v/>
      </c>
      <c r="C1259" s="5" t="s">
        <v>34</v>
      </c>
      <c r="D1259" s="5" t="s">
        <v>34</v>
      </c>
      <c r="E1259" s="5" t="s">
        <v>6079</v>
      </c>
      <c r="F1259" s="5" t="s">
        <v>6075</v>
      </c>
      <c r="G1259" s="5" t="s">
        <v>36</v>
      </c>
      <c r="H1259" s="5" t="s">
        <v>36</v>
      </c>
      <c r="I1259" s="5" t="s">
        <v>35</v>
      </c>
      <c r="J1259" s="6">
        <v>1.0</v>
      </c>
      <c r="K1259" s="6">
        <v>290.0</v>
      </c>
      <c r="L1259" s="6">
        <v>72.0</v>
      </c>
      <c r="M1259" s="5" t="s">
        <v>114</v>
      </c>
      <c r="N1259" s="5" t="s">
        <v>96</v>
      </c>
      <c r="O1259" s="6" t="s">
        <v>40</v>
      </c>
      <c r="P1259" s="5" t="s">
        <v>59</v>
      </c>
      <c r="Q1259" s="5" t="s">
        <v>60</v>
      </c>
      <c r="R1259" s="6" t="s">
        <v>42</v>
      </c>
      <c r="S1259" s="5" t="s">
        <v>99</v>
      </c>
      <c r="T1259" s="5" t="s">
        <v>44</v>
      </c>
      <c r="U1259" s="5" t="s">
        <v>44</v>
      </c>
      <c r="V1259" s="5" t="s">
        <v>44</v>
      </c>
      <c r="W1259" s="5" t="s">
        <v>36</v>
      </c>
      <c r="X1259" s="5" t="s">
        <v>356</v>
      </c>
      <c r="Y1259" s="5" t="s">
        <v>46</v>
      </c>
      <c r="Z1259" s="5" t="s">
        <v>47</v>
      </c>
      <c r="AA1259" s="5" t="s">
        <v>64</v>
      </c>
      <c r="AB1259" s="5" t="s">
        <v>6082</v>
      </c>
      <c r="AC1259" s="6" t="s">
        <v>217</v>
      </c>
      <c r="AD1259" s="6">
        <v>4308.0</v>
      </c>
    </row>
    <row r="1260" ht="56.25" customHeight="1">
      <c r="A1260" s="5" t="s">
        <v>6074</v>
      </c>
      <c r="B1260" s="6" t="str">
        <f>IMAGE("https://storage.googleapis.com/acdb/miscellaneous/FtrPuzzle_Remake_0_2.png")</f>
        <v/>
      </c>
      <c r="C1260" s="5" t="s">
        <v>34</v>
      </c>
      <c r="D1260" s="5" t="s">
        <v>34</v>
      </c>
      <c r="E1260" s="5" t="s">
        <v>2351</v>
      </c>
      <c r="F1260" s="5" t="s">
        <v>6075</v>
      </c>
      <c r="G1260" s="5" t="s">
        <v>36</v>
      </c>
      <c r="H1260" s="5" t="s">
        <v>36</v>
      </c>
      <c r="I1260" s="5" t="s">
        <v>35</v>
      </c>
      <c r="J1260" s="6">
        <v>1.0</v>
      </c>
      <c r="K1260" s="6">
        <v>290.0</v>
      </c>
      <c r="L1260" s="6">
        <v>72.0</v>
      </c>
      <c r="M1260" s="5" t="s">
        <v>95</v>
      </c>
      <c r="N1260" s="5" t="s">
        <v>57</v>
      </c>
      <c r="O1260" s="6" t="s">
        <v>40</v>
      </c>
      <c r="P1260" s="5" t="s">
        <v>59</v>
      </c>
      <c r="Q1260" s="5" t="s">
        <v>60</v>
      </c>
      <c r="R1260" s="6" t="s">
        <v>42</v>
      </c>
      <c r="S1260" s="5" t="s">
        <v>99</v>
      </c>
      <c r="T1260" s="5" t="s">
        <v>44</v>
      </c>
      <c r="U1260" s="5" t="s">
        <v>44</v>
      </c>
      <c r="V1260" s="5" t="s">
        <v>44</v>
      </c>
      <c r="W1260" s="5" t="s">
        <v>36</v>
      </c>
      <c r="X1260" s="5" t="s">
        <v>356</v>
      </c>
      <c r="Y1260" s="5" t="s">
        <v>46</v>
      </c>
      <c r="Z1260" s="5" t="s">
        <v>47</v>
      </c>
      <c r="AA1260" s="5" t="s">
        <v>64</v>
      </c>
      <c r="AB1260" s="5" t="s">
        <v>6086</v>
      </c>
      <c r="AC1260" s="6" t="s">
        <v>347</v>
      </c>
      <c r="AD1260" s="6">
        <v>4308.0</v>
      </c>
    </row>
    <row r="1261" ht="56.25" customHeight="1">
      <c r="A1261" s="5" t="s">
        <v>6074</v>
      </c>
      <c r="B1261" s="6" t="str">
        <f>IMAGE("https://storage.googleapis.com/acdb/miscellaneous/FtrPuzzle_Remake_0_3.png")</f>
        <v/>
      </c>
      <c r="C1261" s="5" t="s">
        <v>34</v>
      </c>
      <c r="D1261" s="5" t="s">
        <v>34</v>
      </c>
      <c r="E1261" s="5" t="s">
        <v>6087</v>
      </c>
      <c r="F1261" s="5" t="s">
        <v>6075</v>
      </c>
      <c r="G1261" s="5" t="s">
        <v>36</v>
      </c>
      <c r="H1261" s="5" t="s">
        <v>36</v>
      </c>
      <c r="I1261" s="5" t="s">
        <v>35</v>
      </c>
      <c r="J1261" s="6">
        <v>1.0</v>
      </c>
      <c r="K1261" s="6">
        <v>290.0</v>
      </c>
      <c r="L1261" s="6">
        <v>72.0</v>
      </c>
      <c r="M1261" s="5" t="s">
        <v>38</v>
      </c>
      <c r="N1261" s="5" t="s">
        <v>39</v>
      </c>
      <c r="O1261" s="6" t="s">
        <v>40</v>
      </c>
      <c r="P1261" s="5" t="s">
        <v>59</v>
      </c>
      <c r="Q1261" s="5" t="s">
        <v>60</v>
      </c>
      <c r="R1261" s="6" t="s">
        <v>42</v>
      </c>
      <c r="S1261" s="5" t="s">
        <v>99</v>
      </c>
      <c r="T1261" s="5" t="s">
        <v>44</v>
      </c>
      <c r="U1261" s="5" t="s">
        <v>44</v>
      </c>
      <c r="V1261" s="5" t="s">
        <v>44</v>
      </c>
      <c r="W1261" s="5" t="s">
        <v>36</v>
      </c>
      <c r="X1261" s="5" t="s">
        <v>356</v>
      </c>
      <c r="Y1261" s="5" t="s">
        <v>46</v>
      </c>
      <c r="Z1261" s="5" t="s">
        <v>47</v>
      </c>
      <c r="AA1261" s="5" t="s">
        <v>64</v>
      </c>
      <c r="AB1261" s="5" t="s">
        <v>6091</v>
      </c>
      <c r="AC1261" s="6" t="s">
        <v>354</v>
      </c>
      <c r="AD1261" s="6">
        <v>4308.0</v>
      </c>
    </row>
    <row r="1262" ht="56.25" customHeight="1">
      <c r="A1262" s="5" t="s">
        <v>6074</v>
      </c>
      <c r="B1262" s="6" t="str">
        <f>IMAGE("https://storage.googleapis.com/acdb/miscellaneous/FtrPuzzle_Remake_0_4.png")</f>
        <v/>
      </c>
      <c r="C1262" s="5" t="s">
        <v>34</v>
      </c>
      <c r="D1262" s="5" t="s">
        <v>34</v>
      </c>
      <c r="E1262" s="5" t="s">
        <v>6092</v>
      </c>
      <c r="F1262" s="5" t="s">
        <v>6075</v>
      </c>
      <c r="G1262" s="5" t="s">
        <v>36</v>
      </c>
      <c r="H1262" s="5" t="s">
        <v>36</v>
      </c>
      <c r="I1262" s="5" t="s">
        <v>35</v>
      </c>
      <c r="J1262" s="6">
        <v>1.0</v>
      </c>
      <c r="K1262" s="6">
        <v>290.0</v>
      </c>
      <c r="L1262" s="6">
        <v>72.0</v>
      </c>
      <c r="M1262" s="5" t="s">
        <v>83</v>
      </c>
      <c r="N1262" s="5" t="s">
        <v>68</v>
      </c>
      <c r="O1262" s="6" t="s">
        <v>40</v>
      </c>
      <c r="P1262" s="5" t="s">
        <v>59</v>
      </c>
      <c r="Q1262" s="5" t="s">
        <v>60</v>
      </c>
      <c r="R1262" s="6" t="s">
        <v>42</v>
      </c>
      <c r="S1262" s="5" t="s">
        <v>99</v>
      </c>
      <c r="T1262" s="5" t="s">
        <v>44</v>
      </c>
      <c r="U1262" s="5" t="s">
        <v>44</v>
      </c>
      <c r="V1262" s="5" t="s">
        <v>44</v>
      </c>
      <c r="W1262" s="5" t="s">
        <v>36</v>
      </c>
      <c r="X1262" s="5" t="s">
        <v>356</v>
      </c>
      <c r="Y1262" s="5" t="s">
        <v>46</v>
      </c>
      <c r="Z1262" s="5" t="s">
        <v>47</v>
      </c>
      <c r="AA1262" s="5" t="s">
        <v>64</v>
      </c>
      <c r="AB1262" s="5" t="s">
        <v>6095</v>
      </c>
      <c r="AC1262" s="6" t="s">
        <v>486</v>
      </c>
      <c r="AD1262" s="6">
        <v>4308.0</v>
      </c>
    </row>
    <row r="1263" ht="56.25" customHeight="1">
      <c r="A1263" s="5" t="s">
        <v>6096</v>
      </c>
      <c r="B1263" s="6" t="str">
        <f>IMAGE("https://storage.googleapis.com/acdb/miscellaneous/FtrDishesUnglazed_Remake_0_0.png")</f>
        <v/>
      </c>
      <c r="C1263" s="5" t="s">
        <v>992</v>
      </c>
      <c r="D1263" s="5" t="s">
        <v>373</v>
      </c>
      <c r="E1263" s="5" t="s">
        <v>34</v>
      </c>
      <c r="F1263" s="5" t="s">
        <v>34</v>
      </c>
      <c r="G1263" s="5" t="s">
        <v>35</v>
      </c>
      <c r="H1263" s="5" t="s">
        <v>35</v>
      </c>
      <c r="I1263" s="5" t="s">
        <v>36</v>
      </c>
      <c r="J1263" s="6">
        <v>1.0</v>
      </c>
      <c r="K1263" s="6" t="s">
        <v>37</v>
      </c>
      <c r="L1263" s="6">
        <v>600.0</v>
      </c>
      <c r="M1263" s="5" t="s">
        <v>142</v>
      </c>
      <c r="N1263" s="5" t="s">
        <v>57</v>
      </c>
      <c r="O1263" s="6" t="s">
        <v>40</v>
      </c>
      <c r="P1263" s="5" t="s">
        <v>41</v>
      </c>
      <c r="Q1263" s="5"/>
      <c r="R1263" s="6" t="s">
        <v>42</v>
      </c>
      <c r="S1263" s="5" t="s">
        <v>159</v>
      </c>
      <c r="T1263" s="5" t="s">
        <v>62</v>
      </c>
      <c r="U1263" s="5" t="s">
        <v>44</v>
      </c>
      <c r="V1263" s="5" t="s">
        <v>44</v>
      </c>
      <c r="W1263" s="5" t="s">
        <v>36</v>
      </c>
      <c r="X1263" s="5" t="s">
        <v>521</v>
      </c>
      <c r="Y1263" s="5" t="s">
        <v>46</v>
      </c>
      <c r="Z1263" s="5" t="s">
        <v>47</v>
      </c>
      <c r="AA1263" s="5" t="s">
        <v>48</v>
      </c>
      <c r="AB1263" s="5" t="s">
        <v>6098</v>
      </c>
      <c r="AC1263" s="6" t="s">
        <v>50</v>
      </c>
      <c r="AD1263" s="6">
        <v>4025.0</v>
      </c>
    </row>
    <row r="1264" ht="56.25" customHeight="1">
      <c r="A1264" s="5" t="s">
        <v>6096</v>
      </c>
      <c r="B1264" s="6" t="str">
        <f>IMAGE("https://storage.googleapis.com/acdb/miscellaneous/FtrDishesUnglazed_Remake_1_0.png")</f>
        <v/>
      </c>
      <c r="C1264" s="5" t="s">
        <v>6101</v>
      </c>
      <c r="D1264" s="5" t="s">
        <v>373</v>
      </c>
      <c r="E1264" s="5" t="s">
        <v>34</v>
      </c>
      <c r="F1264" s="5" t="s">
        <v>34</v>
      </c>
      <c r="G1264" s="5" t="s">
        <v>35</v>
      </c>
      <c r="H1264" s="5" t="s">
        <v>35</v>
      </c>
      <c r="I1264" s="5" t="s">
        <v>36</v>
      </c>
      <c r="J1264" s="6">
        <v>1.0</v>
      </c>
      <c r="K1264" s="6" t="s">
        <v>37</v>
      </c>
      <c r="L1264" s="6">
        <v>600.0</v>
      </c>
      <c r="M1264" s="5" t="s">
        <v>57</v>
      </c>
      <c r="N1264" s="5" t="s">
        <v>39</v>
      </c>
      <c r="O1264" s="6" t="s">
        <v>40</v>
      </c>
      <c r="P1264" s="5" t="s">
        <v>41</v>
      </c>
      <c r="Q1264" s="5"/>
      <c r="R1264" s="6" t="s">
        <v>42</v>
      </c>
      <c r="S1264" s="5" t="s">
        <v>159</v>
      </c>
      <c r="T1264" s="5" t="s">
        <v>62</v>
      </c>
      <c r="U1264" s="5" t="s">
        <v>44</v>
      </c>
      <c r="V1264" s="5" t="s">
        <v>44</v>
      </c>
      <c r="W1264" s="5" t="s">
        <v>36</v>
      </c>
      <c r="X1264" s="5" t="s">
        <v>521</v>
      </c>
      <c r="Y1264" s="5" t="s">
        <v>46</v>
      </c>
      <c r="Z1264" s="5" t="s">
        <v>47</v>
      </c>
      <c r="AA1264" s="5" t="s">
        <v>48</v>
      </c>
      <c r="AB1264" s="5" t="s">
        <v>6104</v>
      </c>
      <c r="AC1264" s="6" t="s">
        <v>56</v>
      </c>
      <c r="AD1264" s="6">
        <v>4025.0</v>
      </c>
    </row>
    <row r="1265" ht="56.25" customHeight="1">
      <c r="A1265" s="5" t="s">
        <v>6096</v>
      </c>
      <c r="B1265" s="6" t="str">
        <f>IMAGE("https://storage.googleapis.com/acdb/miscellaneous/FtrDishesUnglazed_Remake_2_0.png")</f>
        <v/>
      </c>
      <c r="C1265" s="5" t="s">
        <v>4507</v>
      </c>
      <c r="D1265" s="5" t="s">
        <v>373</v>
      </c>
      <c r="E1265" s="5" t="s">
        <v>34</v>
      </c>
      <c r="F1265" s="5" t="s">
        <v>34</v>
      </c>
      <c r="G1265" s="5" t="s">
        <v>35</v>
      </c>
      <c r="H1265" s="5" t="s">
        <v>35</v>
      </c>
      <c r="I1265" s="5" t="s">
        <v>36</v>
      </c>
      <c r="J1265" s="6">
        <v>1.0</v>
      </c>
      <c r="K1265" s="6" t="s">
        <v>37</v>
      </c>
      <c r="L1265" s="6">
        <v>600.0</v>
      </c>
      <c r="M1265" s="5" t="s">
        <v>68</v>
      </c>
      <c r="N1265" s="5" t="s">
        <v>38</v>
      </c>
      <c r="O1265" s="6" t="s">
        <v>40</v>
      </c>
      <c r="P1265" s="5" t="s">
        <v>41</v>
      </c>
      <c r="Q1265" s="5"/>
      <c r="R1265" s="6" t="s">
        <v>42</v>
      </c>
      <c r="S1265" s="5" t="s">
        <v>159</v>
      </c>
      <c r="T1265" s="5" t="s">
        <v>62</v>
      </c>
      <c r="U1265" s="5" t="s">
        <v>44</v>
      </c>
      <c r="V1265" s="5" t="s">
        <v>44</v>
      </c>
      <c r="W1265" s="5" t="s">
        <v>36</v>
      </c>
      <c r="X1265" s="5" t="s">
        <v>521</v>
      </c>
      <c r="Y1265" s="5" t="s">
        <v>46</v>
      </c>
      <c r="Z1265" s="5" t="s">
        <v>47</v>
      </c>
      <c r="AA1265" s="5" t="s">
        <v>48</v>
      </c>
      <c r="AB1265" s="5" t="s">
        <v>6107</v>
      </c>
      <c r="AC1265" s="6" t="s">
        <v>67</v>
      </c>
      <c r="AD1265" s="6">
        <v>4025.0</v>
      </c>
    </row>
    <row r="1266" ht="56.25" customHeight="1">
      <c r="A1266" s="5" t="s">
        <v>6096</v>
      </c>
      <c r="B1266" s="6" t="str">
        <f>IMAGE("https://storage.googleapis.com/acdb/miscellaneous/FtrDishesUnglazed_Remake_3_0.png")</f>
        <v/>
      </c>
      <c r="C1266" s="5" t="s">
        <v>6108</v>
      </c>
      <c r="D1266" s="5" t="s">
        <v>373</v>
      </c>
      <c r="E1266" s="5" t="s">
        <v>34</v>
      </c>
      <c r="F1266" s="5" t="s">
        <v>34</v>
      </c>
      <c r="G1266" s="5" t="s">
        <v>35</v>
      </c>
      <c r="H1266" s="5" t="s">
        <v>35</v>
      </c>
      <c r="I1266" s="5" t="s">
        <v>36</v>
      </c>
      <c r="J1266" s="6">
        <v>1.0</v>
      </c>
      <c r="K1266" s="6" t="s">
        <v>37</v>
      </c>
      <c r="L1266" s="6">
        <v>600.0</v>
      </c>
      <c r="M1266" s="5" t="s">
        <v>96</v>
      </c>
      <c r="N1266" s="5" t="s">
        <v>39</v>
      </c>
      <c r="O1266" s="6" t="s">
        <v>40</v>
      </c>
      <c r="P1266" s="5" t="s">
        <v>41</v>
      </c>
      <c r="Q1266" s="5"/>
      <c r="R1266" s="6" t="s">
        <v>42</v>
      </c>
      <c r="S1266" s="5" t="s">
        <v>159</v>
      </c>
      <c r="T1266" s="5" t="s">
        <v>62</v>
      </c>
      <c r="U1266" s="5" t="s">
        <v>44</v>
      </c>
      <c r="V1266" s="5" t="s">
        <v>44</v>
      </c>
      <c r="W1266" s="5" t="s">
        <v>36</v>
      </c>
      <c r="X1266" s="5" t="s">
        <v>521</v>
      </c>
      <c r="Y1266" s="5" t="s">
        <v>46</v>
      </c>
      <c r="Z1266" s="5" t="s">
        <v>47</v>
      </c>
      <c r="AA1266" s="5" t="s">
        <v>48</v>
      </c>
      <c r="AB1266" s="5" t="s">
        <v>6113</v>
      </c>
      <c r="AC1266" s="6" t="s">
        <v>71</v>
      </c>
      <c r="AD1266" s="6">
        <v>4025.0</v>
      </c>
    </row>
    <row r="1267" ht="56.25" customHeight="1">
      <c r="A1267" s="5" t="s">
        <v>6096</v>
      </c>
      <c r="B1267" s="6" t="str">
        <f>IMAGE("https://storage.googleapis.com/acdb/miscellaneous/FtrDishesUnglazed_Remake_4_0.png")</f>
        <v/>
      </c>
      <c r="C1267" s="5" t="s">
        <v>6115</v>
      </c>
      <c r="D1267" s="5" t="s">
        <v>373</v>
      </c>
      <c r="E1267" s="5" t="s">
        <v>34</v>
      </c>
      <c r="F1267" s="5" t="s">
        <v>34</v>
      </c>
      <c r="G1267" s="5" t="s">
        <v>35</v>
      </c>
      <c r="H1267" s="5" t="s">
        <v>35</v>
      </c>
      <c r="I1267" s="5" t="s">
        <v>36</v>
      </c>
      <c r="J1267" s="6">
        <v>1.0</v>
      </c>
      <c r="K1267" s="6" t="s">
        <v>37</v>
      </c>
      <c r="L1267" s="6">
        <v>600.0</v>
      </c>
      <c r="M1267" s="5" t="s">
        <v>57</v>
      </c>
      <c r="N1267" s="5" t="s">
        <v>83</v>
      </c>
      <c r="O1267" s="6" t="s">
        <v>40</v>
      </c>
      <c r="P1267" s="5" t="s">
        <v>41</v>
      </c>
      <c r="Q1267" s="5"/>
      <c r="R1267" s="6" t="s">
        <v>42</v>
      </c>
      <c r="S1267" s="5" t="s">
        <v>159</v>
      </c>
      <c r="T1267" s="5" t="s">
        <v>62</v>
      </c>
      <c r="U1267" s="5" t="s">
        <v>44</v>
      </c>
      <c r="V1267" s="5" t="s">
        <v>44</v>
      </c>
      <c r="W1267" s="5" t="s">
        <v>36</v>
      </c>
      <c r="X1267" s="5" t="s">
        <v>521</v>
      </c>
      <c r="Y1267" s="5" t="s">
        <v>46</v>
      </c>
      <c r="Z1267" s="5" t="s">
        <v>47</v>
      </c>
      <c r="AA1267" s="5" t="s">
        <v>48</v>
      </c>
      <c r="AB1267" s="5" t="s">
        <v>6118</v>
      </c>
      <c r="AC1267" s="6" t="s">
        <v>75</v>
      </c>
      <c r="AD1267" s="6">
        <v>4025.0</v>
      </c>
    </row>
    <row r="1268" ht="56.25" customHeight="1">
      <c r="A1268" s="5" t="s">
        <v>6096</v>
      </c>
      <c r="B1268" s="6" t="str">
        <f>IMAGE("https://storage.googleapis.com/acdb/miscellaneous/FtrDishesUnglazed_Remake_5_0.png")</f>
        <v/>
      </c>
      <c r="C1268" s="5" t="s">
        <v>3509</v>
      </c>
      <c r="D1268" s="5" t="s">
        <v>373</v>
      </c>
      <c r="E1268" s="5" t="s">
        <v>34</v>
      </c>
      <c r="F1268" s="5" t="s">
        <v>34</v>
      </c>
      <c r="G1268" s="5" t="s">
        <v>35</v>
      </c>
      <c r="H1268" s="5" t="s">
        <v>35</v>
      </c>
      <c r="I1268" s="5" t="s">
        <v>36</v>
      </c>
      <c r="J1268" s="6">
        <v>1.0</v>
      </c>
      <c r="K1268" s="6" t="s">
        <v>37</v>
      </c>
      <c r="L1268" s="6">
        <v>600.0</v>
      </c>
      <c r="M1268" s="5" t="s">
        <v>57</v>
      </c>
      <c r="N1268" s="5" t="s">
        <v>68</v>
      </c>
      <c r="O1268" s="6" t="s">
        <v>40</v>
      </c>
      <c r="P1268" s="5" t="s">
        <v>41</v>
      </c>
      <c r="Q1268" s="5"/>
      <c r="R1268" s="6" t="s">
        <v>42</v>
      </c>
      <c r="S1268" s="5" t="s">
        <v>159</v>
      </c>
      <c r="T1268" s="5" t="s">
        <v>62</v>
      </c>
      <c r="U1268" s="5" t="s">
        <v>44</v>
      </c>
      <c r="V1268" s="5" t="s">
        <v>44</v>
      </c>
      <c r="W1268" s="5" t="s">
        <v>36</v>
      </c>
      <c r="X1268" s="5" t="s">
        <v>521</v>
      </c>
      <c r="Y1268" s="5" t="s">
        <v>46</v>
      </c>
      <c r="Z1268" s="5" t="s">
        <v>47</v>
      </c>
      <c r="AA1268" s="5" t="s">
        <v>48</v>
      </c>
      <c r="AB1268" s="5" t="s">
        <v>6121</v>
      </c>
      <c r="AC1268" s="6" t="s">
        <v>79</v>
      </c>
      <c r="AD1268" s="6">
        <v>4025.0</v>
      </c>
    </row>
    <row r="1269" ht="56.25" customHeight="1">
      <c r="A1269" s="5" t="s">
        <v>6122</v>
      </c>
      <c r="B1269" s="16" t="str">
        <f>IMAGE("https://storage.googleapis.com/acdb/miscellaneous/FtrInsectBaiorinmushiToy.png")</f>
        <v/>
      </c>
      <c r="C1269" s="5" t="s">
        <v>34</v>
      </c>
      <c r="D1269" s="5" t="s">
        <v>34</v>
      </c>
      <c r="E1269" s="5" t="s">
        <v>34</v>
      </c>
      <c r="F1269" s="5" t="s">
        <v>34</v>
      </c>
      <c r="G1269" s="5" t="s">
        <v>36</v>
      </c>
      <c r="H1269" s="5" t="s">
        <v>36</v>
      </c>
      <c r="I1269" s="5" t="s">
        <v>36</v>
      </c>
      <c r="J1269" s="6" t="s">
        <v>34</v>
      </c>
      <c r="K1269" s="6" t="s">
        <v>37</v>
      </c>
      <c r="L1269" s="6">
        <v>1350.0</v>
      </c>
      <c r="M1269" s="5" t="s">
        <v>39</v>
      </c>
      <c r="N1269" s="5" t="s">
        <v>54</v>
      </c>
      <c r="O1269" s="6" t="s">
        <v>40</v>
      </c>
      <c r="P1269" s="5" t="s">
        <v>107</v>
      </c>
      <c r="Q1269" s="5" t="s">
        <v>108</v>
      </c>
      <c r="R1269" s="6" t="s">
        <v>42</v>
      </c>
      <c r="S1269" s="5" t="s">
        <v>44</v>
      </c>
      <c r="T1269" s="5" t="s">
        <v>44</v>
      </c>
      <c r="U1269" s="5" t="s">
        <v>44</v>
      </c>
      <c r="V1269" s="5" t="s">
        <v>44</v>
      </c>
      <c r="W1269" s="5" t="s">
        <v>36</v>
      </c>
      <c r="X1269" s="5" t="s">
        <v>109</v>
      </c>
      <c r="Y1269" s="5" t="s">
        <v>46</v>
      </c>
      <c r="Z1269" s="5" t="s">
        <v>47</v>
      </c>
      <c r="AA1269" s="5" t="s">
        <v>48</v>
      </c>
      <c r="AB1269" s="5" t="s">
        <v>6125</v>
      </c>
      <c r="AC1269" s="6" t="s">
        <v>34</v>
      </c>
      <c r="AD1269" s="6">
        <v>7105.0</v>
      </c>
    </row>
    <row r="1270" ht="56.25" customHeight="1">
      <c r="A1270" s="5" t="s">
        <v>6126</v>
      </c>
      <c r="B1270" s="16" t="str">
        <f>IMAGE("https://storage.googleapis.com/acdb/miscellaneous/FtrInsectTsukutsukuhousiToy.png")</f>
        <v/>
      </c>
      <c r="C1270" s="5" t="s">
        <v>34</v>
      </c>
      <c r="D1270" s="5" t="s">
        <v>34</v>
      </c>
      <c r="E1270" s="5" t="s">
        <v>34</v>
      </c>
      <c r="F1270" s="5" t="s">
        <v>34</v>
      </c>
      <c r="G1270" s="5" t="s">
        <v>36</v>
      </c>
      <c r="H1270" s="5" t="s">
        <v>36</v>
      </c>
      <c r="I1270" s="5" t="s">
        <v>36</v>
      </c>
      <c r="J1270" s="6" t="s">
        <v>34</v>
      </c>
      <c r="K1270" s="6" t="s">
        <v>37</v>
      </c>
      <c r="L1270" s="6">
        <v>1200.0</v>
      </c>
      <c r="M1270" s="5" t="s">
        <v>54</v>
      </c>
      <c r="N1270" s="5" t="s">
        <v>54</v>
      </c>
      <c r="O1270" s="6" t="s">
        <v>40</v>
      </c>
      <c r="P1270" s="5" t="s">
        <v>107</v>
      </c>
      <c r="Q1270" s="5" t="s">
        <v>108</v>
      </c>
      <c r="R1270" s="6" t="s">
        <v>42</v>
      </c>
      <c r="S1270" s="5" t="s">
        <v>44</v>
      </c>
      <c r="T1270" s="5" t="s">
        <v>44</v>
      </c>
      <c r="U1270" s="5" t="s">
        <v>44</v>
      </c>
      <c r="V1270" s="5" t="s">
        <v>44</v>
      </c>
      <c r="W1270" s="5" t="s">
        <v>36</v>
      </c>
      <c r="X1270" s="5" t="s">
        <v>109</v>
      </c>
      <c r="Y1270" s="5" t="s">
        <v>46</v>
      </c>
      <c r="Z1270" s="5" t="s">
        <v>47</v>
      </c>
      <c r="AA1270" s="5" t="s">
        <v>48</v>
      </c>
      <c r="AB1270" s="5" t="s">
        <v>6128</v>
      </c>
      <c r="AC1270" s="6" t="s">
        <v>34</v>
      </c>
      <c r="AD1270" s="6">
        <v>7104.0</v>
      </c>
    </row>
    <row r="1271" ht="56.25" customHeight="1">
      <c r="A1271" s="5" t="s">
        <v>6129</v>
      </c>
      <c r="B1271" s="16" t="str">
        <f>IMAGE("https://storage.googleapis.com/acdb/miscellaneous/FtrInsectKonohamushiToy.png")</f>
        <v/>
      </c>
      <c r="C1271" s="5" t="s">
        <v>34</v>
      </c>
      <c r="D1271" s="5" t="s">
        <v>34</v>
      </c>
      <c r="E1271" s="5" t="s">
        <v>34</v>
      </c>
      <c r="F1271" s="5" t="s">
        <v>34</v>
      </c>
      <c r="G1271" s="5" t="s">
        <v>36</v>
      </c>
      <c r="H1271" s="5" t="s">
        <v>36</v>
      </c>
      <c r="I1271" s="5" t="s">
        <v>36</v>
      </c>
      <c r="J1271" s="6" t="s">
        <v>34</v>
      </c>
      <c r="K1271" s="6" t="s">
        <v>37</v>
      </c>
      <c r="L1271" s="6">
        <v>1800.0</v>
      </c>
      <c r="M1271" s="5" t="s">
        <v>96</v>
      </c>
      <c r="N1271" s="5" t="s">
        <v>96</v>
      </c>
      <c r="O1271" s="6" t="s">
        <v>40</v>
      </c>
      <c r="P1271" s="5" t="s">
        <v>107</v>
      </c>
      <c r="Q1271" s="5" t="s">
        <v>108</v>
      </c>
      <c r="R1271" s="6" t="s">
        <v>42</v>
      </c>
      <c r="S1271" s="5" t="s">
        <v>44</v>
      </c>
      <c r="T1271" s="5" t="s">
        <v>44</v>
      </c>
      <c r="U1271" s="5" t="s">
        <v>44</v>
      </c>
      <c r="V1271" s="5" t="s">
        <v>44</v>
      </c>
      <c r="W1271" s="5" t="s">
        <v>36</v>
      </c>
      <c r="X1271" s="5" t="s">
        <v>109</v>
      </c>
      <c r="Y1271" s="5" t="s">
        <v>46</v>
      </c>
      <c r="Z1271" s="5" t="s">
        <v>47</v>
      </c>
      <c r="AA1271" s="5" t="s">
        <v>48</v>
      </c>
      <c r="AB1271" s="5" t="s">
        <v>6132</v>
      </c>
      <c r="AC1271" s="6" t="s">
        <v>34</v>
      </c>
      <c r="AD1271" s="6">
        <v>7076.0</v>
      </c>
    </row>
    <row r="1272" ht="56.25" customHeight="1">
      <c r="A1272" s="5" t="s">
        <v>6133</v>
      </c>
      <c r="B1272" s="16" t="str">
        <f>IMAGE("https://storage.googleapis.com/acdb/miscellaneous/FtrInsectNanafushiToy.png")</f>
        <v/>
      </c>
      <c r="C1272" s="5" t="s">
        <v>34</v>
      </c>
      <c r="D1272" s="5" t="s">
        <v>34</v>
      </c>
      <c r="E1272" s="5" t="s">
        <v>34</v>
      </c>
      <c r="F1272" s="5" t="s">
        <v>34</v>
      </c>
      <c r="G1272" s="5" t="s">
        <v>36</v>
      </c>
      <c r="H1272" s="5" t="s">
        <v>36</v>
      </c>
      <c r="I1272" s="5" t="s">
        <v>36</v>
      </c>
      <c r="J1272" s="6" t="s">
        <v>34</v>
      </c>
      <c r="K1272" s="6" t="s">
        <v>37</v>
      </c>
      <c r="L1272" s="6">
        <v>1800.0</v>
      </c>
      <c r="M1272" s="5" t="s">
        <v>39</v>
      </c>
      <c r="N1272" s="5" t="s">
        <v>39</v>
      </c>
      <c r="O1272" s="6" t="s">
        <v>40</v>
      </c>
      <c r="P1272" s="5" t="s">
        <v>107</v>
      </c>
      <c r="Q1272" s="5" t="s">
        <v>108</v>
      </c>
      <c r="R1272" s="6" t="s">
        <v>42</v>
      </c>
      <c r="S1272" s="5" t="s">
        <v>44</v>
      </c>
      <c r="T1272" s="5" t="s">
        <v>44</v>
      </c>
      <c r="U1272" s="5" t="s">
        <v>44</v>
      </c>
      <c r="V1272" s="5" t="s">
        <v>44</v>
      </c>
      <c r="W1272" s="5" t="s">
        <v>36</v>
      </c>
      <c r="X1272" s="5" t="s">
        <v>109</v>
      </c>
      <c r="Y1272" s="5" t="s">
        <v>46</v>
      </c>
      <c r="Z1272" s="5" t="s">
        <v>47</v>
      </c>
      <c r="AA1272" s="5" t="s">
        <v>48</v>
      </c>
      <c r="AB1272" s="5" t="s">
        <v>6136</v>
      </c>
      <c r="AC1272" s="6" t="s">
        <v>34</v>
      </c>
      <c r="AD1272" s="6">
        <v>7087.0</v>
      </c>
    </row>
    <row r="1273" ht="56.25" customHeight="1">
      <c r="A1273" s="5" t="s">
        <v>6137</v>
      </c>
      <c r="B1273" s="16" t="str">
        <f>IMAGE("https://storage.googleapis.com/acdb/miscellaneous/FtrInsectHachiToy.png")</f>
        <v/>
      </c>
      <c r="C1273" s="5" t="s">
        <v>34</v>
      </c>
      <c r="D1273" s="5" t="s">
        <v>34</v>
      </c>
      <c r="E1273" s="5" t="s">
        <v>34</v>
      </c>
      <c r="F1273" s="5" t="s">
        <v>34</v>
      </c>
      <c r="G1273" s="5" t="s">
        <v>36</v>
      </c>
      <c r="H1273" s="5" t="s">
        <v>36</v>
      </c>
      <c r="I1273" s="5" t="s">
        <v>36</v>
      </c>
      <c r="J1273" s="6" t="s">
        <v>34</v>
      </c>
      <c r="K1273" s="6" t="s">
        <v>37</v>
      </c>
      <c r="L1273" s="6">
        <v>7500.0</v>
      </c>
      <c r="M1273" s="5" t="s">
        <v>114</v>
      </c>
      <c r="N1273" s="5" t="s">
        <v>54</v>
      </c>
      <c r="O1273" s="6" t="s">
        <v>40</v>
      </c>
      <c r="P1273" s="5" t="s">
        <v>107</v>
      </c>
      <c r="Q1273" s="5" t="s">
        <v>108</v>
      </c>
      <c r="R1273" s="6" t="s">
        <v>42</v>
      </c>
      <c r="S1273" s="5" t="s">
        <v>44</v>
      </c>
      <c r="T1273" s="5" t="s">
        <v>44</v>
      </c>
      <c r="U1273" s="5" t="s">
        <v>44</v>
      </c>
      <c r="V1273" s="5" t="s">
        <v>44</v>
      </c>
      <c r="W1273" s="5" t="s">
        <v>36</v>
      </c>
      <c r="X1273" s="5" t="s">
        <v>109</v>
      </c>
      <c r="Y1273" s="5" t="s">
        <v>46</v>
      </c>
      <c r="Z1273" s="5" t="s">
        <v>47</v>
      </c>
      <c r="AA1273" s="5" t="s">
        <v>48</v>
      </c>
      <c r="AB1273" s="5" t="s">
        <v>6141</v>
      </c>
      <c r="AC1273" s="6" t="s">
        <v>34</v>
      </c>
      <c r="AD1273" s="6">
        <v>5927.0</v>
      </c>
    </row>
    <row r="1274" ht="56.25" customHeight="1">
      <c r="A1274" s="5" t="s">
        <v>6143</v>
      </c>
      <c r="B1274" s="6" t="str">
        <f>IMAGE("https://storage.googleapis.com/acdb/miscellaneous/FtrFishJinbeezameToy.png")</f>
        <v/>
      </c>
      <c r="C1274" s="5" t="s">
        <v>34</v>
      </c>
      <c r="D1274" s="5" t="s">
        <v>34</v>
      </c>
      <c r="E1274" s="5" t="s">
        <v>34</v>
      </c>
      <c r="F1274" s="5" t="s">
        <v>34</v>
      </c>
      <c r="G1274" s="5" t="s">
        <v>36</v>
      </c>
      <c r="H1274" s="5" t="s">
        <v>36</v>
      </c>
      <c r="I1274" s="5" t="s">
        <v>36</v>
      </c>
      <c r="J1274" s="6" t="s">
        <v>34</v>
      </c>
      <c r="K1274" s="6" t="s">
        <v>37</v>
      </c>
      <c r="L1274" s="6">
        <v>39000.0</v>
      </c>
      <c r="M1274" s="5" t="s">
        <v>54</v>
      </c>
      <c r="N1274" s="5" t="s">
        <v>54</v>
      </c>
      <c r="O1274" s="6" t="s">
        <v>276</v>
      </c>
      <c r="P1274" s="5" t="s">
        <v>213</v>
      </c>
      <c r="Q1274" s="5" t="s">
        <v>215</v>
      </c>
      <c r="R1274" s="6" t="s">
        <v>42</v>
      </c>
      <c r="S1274" s="5" t="s">
        <v>44</v>
      </c>
      <c r="T1274" s="5" t="s">
        <v>44</v>
      </c>
      <c r="U1274" s="5" t="s">
        <v>44</v>
      </c>
      <c r="V1274" s="5" t="s">
        <v>44</v>
      </c>
      <c r="W1274" s="5" t="s">
        <v>36</v>
      </c>
      <c r="X1274" s="5" t="s">
        <v>219</v>
      </c>
      <c r="Y1274" s="5" t="s">
        <v>46</v>
      </c>
      <c r="Z1274" s="5" t="s">
        <v>47</v>
      </c>
      <c r="AA1274" s="5" t="s">
        <v>48</v>
      </c>
      <c r="AB1274" s="5" t="s">
        <v>6148</v>
      </c>
      <c r="AC1274" s="6" t="s">
        <v>34</v>
      </c>
      <c r="AD1274" s="6">
        <v>6961.0</v>
      </c>
    </row>
    <row r="1275" ht="56.25" customHeight="1">
      <c r="A1275" s="5" t="s">
        <v>6149</v>
      </c>
      <c r="B1275" s="16" t="str">
        <f>IMAGE("https://storage.googleapis.com/acdb/miscellaneous/FtrInsectFunamushiToy.png")</f>
        <v/>
      </c>
      <c r="C1275" s="5" t="s">
        <v>34</v>
      </c>
      <c r="D1275" s="5" t="s">
        <v>34</v>
      </c>
      <c r="E1275" s="5" t="s">
        <v>34</v>
      </c>
      <c r="F1275" s="5" t="s">
        <v>34</v>
      </c>
      <c r="G1275" s="5" t="s">
        <v>36</v>
      </c>
      <c r="H1275" s="5" t="s">
        <v>36</v>
      </c>
      <c r="I1275" s="5" t="s">
        <v>36</v>
      </c>
      <c r="J1275" s="6" t="s">
        <v>34</v>
      </c>
      <c r="K1275" s="6" t="s">
        <v>37</v>
      </c>
      <c r="L1275" s="6">
        <v>600.0</v>
      </c>
      <c r="M1275" s="5" t="s">
        <v>38</v>
      </c>
      <c r="N1275" s="5" t="s">
        <v>38</v>
      </c>
      <c r="O1275" s="6" t="s">
        <v>40</v>
      </c>
      <c r="P1275" s="5" t="s">
        <v>107</v>
      </c>
      <c r="Q1275" s="5" t="s">
        <v>108</v>
      </c>
      <c r="R1275" s="6" t="s">
        <v>42</v>
      </c>
      <c r="S1275" s="5" t="s">
        <v>44</v>
      </c>
      <c r="T1275" s="5" t="s">
        <v>44</v>
      </c>
      <c r="U1275" s="5" t="s">
        <v>44</v>
      </c>
      <c r="V1275" s="5" t="s">
        <v>44</v>
      </c>
      <c r="W1275" s="5" t="s">
        <v>36</v>
      </c>
      <c r="X1275" s="5" t="s">
        <v>109</v>
      </c>
      <c r="Y1275" s="5" t="s">
        <v>46</v>
      </c>
      <c r="Z1275" s="5" t="s">
        <v>47</v>
      </c>
      <c r="AA1275" s="5" t="s">
        <v>48</v>
      </c>
      <c r="AB1275" s="5" t="s">
        <v>6152</v>
      </c>
      <c r="AC1275" s="6" t="s">
        <v>34</v>
      </c>
      <c r="AD1275" s="6">
        <v>7055.0</v>
      </c>
    </row>
    <row r="1276" ht="56.25" customHeight="1">
      <c r="A1276" s="5" t="s">
        <v>6153</v>
      </c>
      <c r="B1276" s="6" t="str">
        <f>IMAGE("https://storage.googleapis.com/acdb/miscellaneous/FtrFlowerFan_Remake_0_0.png")</f>
        <v/>
      </c>
      <c r="C1276" s="5" t="s">
        <v>52</v>
      </c>
      <c r="D1276" s="5" t="s">
        <v>2163</v>
      </c>
      <c r="E1276" s="5" t="s">
        <v>34</v>
      </c>
      <c r="F1276" s="5" t="s">
        <v>34</v>
      </c>
      <c r="G1276" s="5" t="s">
        <v>35</v>
      </c>
      <c r="H1276" s="5" t="s">
        <v>35</v>
      </c>
      <c r="I1276" s="5" t="s">
        <v>36</v>
      </c>
      <c r="J1276" s="6">
        <v>3.0</v>
      </c>
      <c r="K1276" s="6" t="s">
        <v>37</v>
      </c>
      <c r="L1276" s="6">
        <v>1740.0</v>
      </c>
      <c r="M1276" s="5" t="s">
        <v>52</v>
      </c>
      <c r="N1276" s="5" t="s">
        <v>96</v>
      </c>
      <c r="O1276" s="6" t="s">
        <v>40</v>
      </c>
      <c r="P1276" s="5" t="s">
        <v>41</v>
      </c>
      <c r="Q1276" s="5"/>
      <c r="R1276" s="6" t="s">
        <v>42</v>
      </c>
      <c r="S1276" s="5" t="s">
        <v>61</v>
      </c>
      <c r="T1276" s="5" t="s">
        <v>44</v>
      </c>
      <c r="U1276" s="5" t="s">
        <v>311</v>
      </c>
      <c r="V1276" s="5" t="s">
        <v>44</v>
      </c>
      <c r="W1276" s="5" t="s">
        <v>35</v>
      </c>
      <c r="X1276" s="5" t="s">
        <v>92</v>
      </c>
      <c r="Y1276" s="5" t="s">
        <v>46</v>
      </c>
      <c r="Z1276" s="5" t="s">
        <v>47</v>
      </c>
      <c r="AA1276" s="5" t="s">
        <v>48</v>
      </c>
      <c r="AB1276" s="5" t="s">
        <v>6155</v>
      </c>
      <c r="AC1276" s="6" t="s">
        <v>50</v>
      </c>
      <c r="AD1276" s="6">
        <v>7233.0</v>
      </c>
    </row>
    <row r="1277" ht="56.25" customHeight="1">
      <c r="A1277" s="5" t="s">
        <v>6153</v>
      </c>
      <c r="B1277" s="6" t="str">
        <f>IMAGE("https://storage.googleapis.com/acdb/miscellaneous/FtrFlowerFan_Remake_1_0.png")</f>
        <v/>
      </c>
      <c r="C1277" s="5" t="s">
        <v>69</v>
      </c>
      <c r="D1277" s="5" t="s">
        <v>2163</v>
      </c>
      <c r="E1277" s="5" t="s">
        <v>34</v>
      </c>
      <c r="F1277" s="5" t="s">
        <v>34</v>
      </c>
      <c r="G1277" s="5" t="s">
        <v>35</v>
      </c>
      <c r="H1277" s="5" t="s">
        <v>35</v>
      </c>
      <c r="I1277" s="5" t="s">
        <v>36</v>
      </c>
      <c r="J1277" s="6">
        <v>3.0</v>
      </c>
      <c r="K1277" s="6" t="s">
        <v>37</v>
      </c>
      <c r="L1277" s="6">
        <v>1740.0</v>
      </c>
      <c r="M1277" s="5" t="s">
        <v>69</v>
      </c>
      <c r="N1277" s="5" t="s">
        <v>96</v>
      </c>
      <c r="O1277" s="6" t="s">
        <v>40</v>
      </c>
      <c r="P1277" s="5" t="s">
        <v>41</v>
      </c>
      <c r="Q1277" s="5"/>
      <c r="R1277" s="6" t="s">
        <v>42</v>
      </c>
      <c r="S1277" s="5" t="s">
        <v>61</v>
      </c>
      <c r="T1277" s="5" t="s">
        <v>44</v>
      </c>
      <c r="U1277" s="5" t="s">
        <v>311</v>
      </c>
      <c r="V1277" s="5" t="s">
        <v>44</v>
      </c>
      <c r="W1277" s="5" t="s">
        <v>35</v>
      </c>
      <c r="X1277" s="5" t="s">
        <v>92</v>
      </c>
      <c r="Y1277" s="5" t="s">
        <v>46</v>
      </c>
      <c r="Z1277" s="5" t="s">
        <v>47</v>
      </c>
      <c r="AA1277" s="5" t="s">
        <v>48</v>
      </c>
      <c r="AB1277" s="5" t="s">
        <v>6158</v>
      </c>
      <c r="AC1277" s="6" t="s">
        <v>56</v>
      </c>
      <c r="AD1277" s="6">
        <v>7233.0</v>
      </c>
    </row>
    <row r="1278" ht="56.25" customHeight="1">
      <c r="A1278" s="5" t="s">
        <v>6153</v>
      </c>
      <c r="B1278" s="6" t="str">
        <f>IMAGE("https://storage.googleapis.com/acdb/miscellaneous/FtrFlowerFan_Remake_2_0.png")</f>
        <v/>
      </c>
      <c r="C1278" s="5" t="s">
        <v>106</v>
      </c>
      <c r="D1278" s="5" t="s">
        <v>2163</v>
      </c>
      <c r="E1278" s="5" t="s">
        <v>34</v>
      </c>
      <c r="F1278" s="5" t="s">
        <v>34</v>
      </c>
      <c r="G1278" s="5" t="s">
        <v>35</v>
      </c>
      <c r="H1278" s="5" t="s">
        <v>35</v>
      </c>
      <c r="I1278" s="5" t="s">
        <v>36</v>
      </c>
      <c r="J1278" s="6">
        <v>3.0</v>
      </c>
      <c r="K1278" s="6" t="s">
        <v>37</v>
      </c>
      <c r="L1278" s="6">
        <v>1740.0</v>
      </c>
      <c r="M1278" s="5" t="s">
        <v>106</v>
      </c>
      <c r="N1278" s="5" t="s">
        <v>96</v>
      </c>
      <c r="O1278" s="6" t="s">
        <v>40</v>
      </c>
      <c r="P1278" s="5" t="s">
        <v>41</v>
      </c>
      <c r="Q1278" s="5"/>
      <c r="R1278" s="6" t="s">
        <v>42</v>
      </c>
      <c r="S1278" s="5" t="s">
        <v>61</v>
      </c>
      <c r="T1278" s="5" t="s">
        <v>44</v>
      </c>
      <c r="U1278" s="5" t="s">
        <v>311</v>
      </c>
      <c r="V1278" s="5" t="s">
        <v>44</v>
      </c>
      <c r="W1278" s="5" t="s">
        <v>35</v>
      </c>
      <c r="X1278" s="5" t="s">
        <v>92</v>
      </c>
      <c r="Y1278" s="5" t="s">
        <v>46</v>
      </c>
      <c r="Z1278" s="5" t="s">
        <v>47</v>
      </c>
      <c r="AA1278" s="5" t="s">
        <v>48</v>
      </c>
      <c r="AB1278" s="5" t="s">
        <v>6162</v>
      </c>
      <c r="AC1278" s="6" t="s">
        <v>67</v>
      </c>
      <c r="AD1278" s="6">
        <v>7233.0</v>
      </c>
    </row>
    <row r="1279" ht="56.25" customHeight="1">
      <c r="A1279" s="5" t="s">
        <v>6163</v>
      </c>
      <c r="B1279" s="6" t="str">
        <f>IMAGE("https://storage.googleapis.com/acdb/miscellaneous/FtrDollPyn.png")</f>
        <v/>
      </c>
      <c r="C1279" s="5" t="s">
        <v>34</v>
      </c>
      <c r="D1279" s="5" t="s">
        <v>34</v>
      </c>
      <c r="E1279" s="5" t="s">
        <v>34</v>
      </c>
      <c r="F1279" s="5" t="s">
        <v>34</v>
      </c>
      <c r="G1279" s="5" t="s">
        <v>35</v>
      </c>
      <c r="H1279" s="5" t="s">
        <v>36</v>
      </c>
      <c r="I1279" s="5" t="s">
        <v>36</v>
      </c>
      <c r="J1279" s="6" t="s">
        <v>34</v>
      </c>
      <c r="K1279" s="6" t="s">
        <v>37</v>
      </c>
      <c r="L1279" s="6">
        <v>9600.0</v>
      </c>
      <c r="M1279" s="5" t="s">
        <v>114</v>
      </c>
      <c r="N1279" s="5" t="s">
        <v>83</v>
      </c>
      <c r="O1279" s="6" t="s">
        <v>40</v>
      </c>
      <c r="P1279" s="5" t="s">
        <v>41</v>
      </c>
      <c r="Q1279" s="5" t="s">
        <v>6164</v>
      </c>
      <c r="R1279" s="6" t="s">
        <v>98</v>
      </c>
      <c r="S1279" s="5" t="s">
        <v>61</v>
      </c>
      <c r="T1279" s="5" t="s">
        <v>99</v>
      </c>
      <c r="U1279" s="5" t="s">
        <v>466</v>
      </c>
      <c r="V1279" s="5" t="s">
        <v>44</v>
      </c>
      <c r="W1279" s="5" t="s">
        <v>35</v>
      </c>
      <c r="X1279" s="5" t="s">
        <v>750</v>
      </c>
      <c r="Y1279" s="5" t="s">
        <v>46</v>
      </c>
      <c r="Z1279" s="5" t="s">
        <v>47</v>
      </c>
      <c r="AA1279" s="5" t="s">
        <v>48</v>
      </c>
      <c r="AB1279" s="5" t="s">
        <v>6165</v>
      </c>
      <c r="AC1279" s="6" t="s">
        <v>34</v>
      </c>
      <c r="AD1279" s="6">
        <v>12412.0</v>
      </c>
    </row>
    <row r="1280" ht="56.25" customHeight="1">
      <c r="A1280" s="5" t="s">
        <v>6167</v>
      </c>
      <c r="B1280" s="6" t="str">
        <f>IMAGE("https://storage.googleapis.com/acdb/miscellaneous/FtrMokugyo_Remake_0_0.png")</f>
        <v/>
      </c>
      <c r="C1280" s="5" t="s">
        <v>6168</v>
      </c>
      <c r="D1280" s="5" t="s">
        <v>1455</v>
      </c>
      <c r="E1280" s="5" t="s">
        <v>34</v>
      </c>
      <c r="F1280" s="5" t="s">
        <v>34</v>
      </c>
      <c r="G1280" s="5" t="s">
        <v>35</v>
      </c>
      <c r="H1280" s="5" t="s">
        <v>35</v>
      </c>
      <c r="I1280" s="5" t="s">
        <v>36</v>
      </c>
      <c r="J1280" s="6">
        <v>1.0</v>
      </c>
      <c r="K1280" s="6" t="s">
        <v>37</v>
      </c>
      <c r="L1280" s="6">
        <v>360.0</v>
      </c>
      <c r="M1280" s="5" t="s">
        <v>142</v>
      </c>
      <c r="N1280" s="5" t="s">
        <v>52</v>
      </c>
      <c r="O1280" s="6" t="s">
        <v>40</v>
      </c>
      <c r="P1280" s="5" t="s">
        <v>41</v>
      </c>
      <c r="Q1280" s="5"/>
      <c r="R1280" s="6" t="s">
        <v>42</v>
      </c>
      <c r="S1280" s="5" t="s">
        <v>266</v>
      </c>
      <c r="T1280" s="5" t="s">
        <v>44</v>
      </c>
      <c r="U1280" s="5" t="s">
        <v>44</v>
      </c>
      <c r="V1280" s="5" t="s">
        <v>44</v>
      </c>
      <c r="W1280" s="5" t="s">
        <v>35</v>
      </c>
      <c r="X1280" s="5" t="s">
        <v>45</v>
      </c>
      <c r="Y1280" s="5" t="s">
        <v>46</v>
      </c>
      <c r="Z1280" s="5" t="s">
        <v>47</v>
      </c>
      <c r="AA1280" s="5" t="s">
        <v>48</v>
      </c>
      <c r="AB1280" s="5" t="s">
        <v>6171</v>
      </c>
      <c r="AC1280" s="6" t="s">
        <v>50</v>
      </c>
      <c r="AD1280" s="6">
        <v>4124.0</v>
      </c>
    </row>
    <row r="1281" ht="56.25" customHeight="1">
      <c r="A1281" s="5" t="s">
        <v>6167</v>
      </c>
      <c r="B1281" s="6" t="str">
        <f>IMAGE("https://storage.googleapis.com/acdb/miscellaneous/FtrMokugyo_Remake_1_0.png")</f>
        <v/>
      </c>
      <c r="C1281" s="5" t="s">
        <v>6173</v>
      </c>
      <c r="D1281" s="5" t="s">
        <v>1455</v>
      </c>
      <c r="E1281" s="5" t="s">
        <v>34</v>
      </c>
      <c r="F1281" s="5" t="s">
        <v>34</v>
      </c>
      <c r="G1281" s="5" t="s">
        <v>35</v>
      </c>
      <c r="H1281" s="5" t="s">
        <v>35</v>
      </c>
      <c r="I1281" s="5" t="s">
        <v>36</v>
      </c>
      <c r="J1281" s="6">
        <v>1.0</v>
      </c>
      <c r="K1281" s="6" t="s">
        <v>37</v>
      </c>
      <c r="L1281" s="6">
        <v>360.0</v>
      </c>
      <c r="M1281" s="5" t="s">
        <v>38</v>
      </c>
      <c r="N1281" s="5" t="s">
        <v>52</v>
      </c>
      <c r="O1281" s="6" t="s">
        <v>40</v>
      </c>
      <c r="P1281" s="5" t="s">
        <v>41</v>
      </c>
      <c r="Q1281" s="5"/>
      <c r="R1281" s="6" t="s">
        <v>42</v>
      </c>
      <c r="S1281" s="5" t="s">
        <v>266</v>
      </c>
      <c r="T1281" s="5" t="s">
        <v>44</v>
      </c>
      <c r="U1281" s="5" t="s">
        <v>44</v>
      </c>
      <c r="V1281" s="5" t="s">
        <v>44</v>
      </c>
      <c r="W1281" s="5" t="s">
        <v>35</v>
      </c>
      <c r="X1281" s="5" t="s">
        <v>45</v>
      </c>
      <c r="Y1281" s="5" t="s">
        <v>46</v>
      </c>
      <c r="Z1281" s="5" t="s">
        <v>47</v>
      </c>
      <c r="AA1281" s="5" t="s">
        <v>48</v>
      </c>
      <c r="AB1281" s="5" t="s">
        <v>6175</v>
      </c>
      <c r="AC1281" s="6" t="s">
        <v>56</v>
      </c>
      <c r="AD1281" s="6">
        <v>4124.0</v>
      </c>
    </row>
    <row r="1282" ht="56.25" customHeight="1">
      <c r="A1282" s="5" t="s">
        <v>6167</v>
      </c>
      <c r="B1282" s="6" t="str">
        <f>IMAGE("https://storage.googleapis.com/acdb/miscellaneous/FtrMokugyo_Remake_2_0.png")</f>
        <v/>
      </c>
      <c r="C1282" s="5" t="s">
        <v>6177</v>
      </c>
      <c r="D1282" s="5" t="s">
        <v>1455</v>
      </c>
      <c r="E1282" s="5" t="s">
        <v>34</v>
      </c>
      <c r="F1282" s="5" t="s">
        <v>34</v>
      </c>
      <c r="G1282" s="5" t="s">
        <v>35</v>
      </c>
      <c r="H1282" s="5" t="s">
        <v>35</v>
      </c>
      <c r="I1282" s="5" t="s">
        <v>36</v>
      </c>
      <c r="J1282" s="6">
        <v>1.0</v>
      </c>
      <c r="K1282" s="6" t="s">
        <v>37</v>
      </c>
      <c r="L1282" s="6">
        <v>360.0</v>
      </c>
      <c r="M1282" s="5" t="s">
        <v>39</v>
      </c>
      <c r="N1282" s="5" t="s">
        <v>114</v>
      </c>
      <c r="O1282" s="6" t="s">
        <v>40</v>
      </c>
      <c r="P1282" s="5" t="s">
        <v>41</v>
      </c>
      <c r="Q1282" s="5"/>
      <c r="R1282" s="6" t="s">
        <v>42</v>
      </c>
      <c r="S1282" s="5" t="s">
        <v>266</v>
      </c>
      <c r="T1282" s="5" t="s">
        <v>44</v>
      </c>
      <c r="U1282" s="5" t="s">
        <v>44</v>
      </c>
      <c r="V1282" s="5" t="s">
        <v>44</v>
      </c>
      <c r="W1282" s="5" t="s">
        <v>35</v>
      </c>
      <c r="X1282" s="5" t="s">
        <v>45</v>
      </c>
      <c r="Y1282" s="5" t="s">
        <v>46</v>
      </c>
      <c r="Z1282" s="5" t="s">
        <v>47</v>
      </c>
      <c r="AA1282" s="5" t="s">
        <v>48</v>
      </c>
      <c r="AB1282" s="5" t="s">
        <v>6179</v>
      </c>
      <c r="AC1282" s="6" t="s">
        <v>67</v>
      </c>
      <c r="AD1282" s="6">
        <v>4124.0</v>
      </c>
    </row>
    <row r="1283" ht="56.25" customHeight="1">
      <c r="A1283" s="5" t="s">
        <v>6182</v>
      </c>
      <c r="B1283" s="6" t="str">
        <f>IMAGE("https://storage.googleapis.com/acdb/miscellaneous/FtrWoodenMirrorS_Remake_0_0.png")</f>
        <v/>
      </c>
      <c r="C1283" s="5" t="s">
        <v>1137</v>
      </c>
      <c r="D1283" s="5" t="s">
        <v>748</v>
      </c>
      <c r="E1283" s="5" t="s">
        <v>34</v>
      </c>
      <c r="F1283" s="5" t="s">
        <v>34</v>
      </c>
      <c r="G1283" s="5" t="s">
        <v>35</v>
      </c>
      <c r="H1283" s="5" t="s">
        <v>35</v>
      </c>
      <c r="I1283" s="5" t="s">
        <v>36</v>
      </c>
      <c r="J1283" s="6">
        <v>2.0</v>
      </c>
      <c r="K1283" s="6" t="s">
        <v>37</v>
      </c>
      <c r="L1283" s="6">
        <v>1110.0</v>
      </c>
      <c r="M1283" s="5" t="s">
        <v>114</v>
      </c>
      <c r="N1283" s="5" t="s">
        <v>114</v>
      </c>
      <c r="O1283" s="6" t="s">
        <v>40</v>
      </c>
      <c r="P1283" s="5" t="s">
        <v>41</v>
      </c>
      <c r="Q1283" s="5"/>
      <c r="R1283" s="6" t="s">
        <v>42</v>
      </c>
      <c r="S1283" s="5" t="s">
        <v>99</v>
      </c>
      <c r="T1283" s="5" t="s">
        <v>90</v>
      </c>
      <c r="U1283" s="5" t="s">
        <v>6186</v>
      </c>
      <c r="V1283" s="5" t="s">
        <v>44</v>
      </c>
      <c r="W1283" s="5" t="s">
        <v>35</v>
      </c>
      <c r="X1283" s="5" t="s">
        <v>309</v>
      </c>
      <c r="Y1283" s="5" t="s">
        <v>46</v>
      </c>
      <c r="Z1283" s="5" t="s">
        <v>47</v>
      </c>
      <c r="AA1283" s="5" t="s">
        <v>48</v>
      </c>
      <c r="AB1283" s="5" t="s">
        <v>6187</v>
      </c>
      <c r="AC1283" s="6" t="s">
        <v>50</v>
      </c>
      <c r="AD1283" s="6">
        <v>8826.0</v>
      </c>
    </row>
    <row r="1284" ht="56.25" customHeight="1">
      <c r="A1284" s="5" t="s">
        <v>6182</v>
      </c>
      <c r="B1284" s="6" t="str">
        <f>IMAGE("https://storage.googleapis.com/acdb/miscellaneous/FtrWoodenMirrorS_Remake_1_0.png")</f>
        <v/>
      </c>
      <c r="C1284" s="5" t="s">
        <v>1595</v>
      </c>
      <c r="D1284" s="5" t="s">
        <v>748</v>
      </c>
      <c r="E1284" s="5" t="s">
        <v>34</v>
      </c>
      <c r="F1284" s="5" t="s">
        <v>34</v>
      </c>
      <c r="G1284" s="5" t="s">
        <v>35</v>
      </c>
      <c r="H1284" s="5" t="s">
        <v>35</v>
      </c>
      <c r="I1284" s="5" t="s">
        <v>36</v>
      </c>
      <c r="J1284" s="6">
        <v>2.0</v>
      </c>
      <c r="K1284" s="6" t="s">
        <v>37</v>
      </c>
      <c r="L1284" s="6">
        <v>1110.0</v>
      </c>
      <c r="M1284" s="5" t="s">
        <v>38</v>
      </c>
      <c r="N1284" s="5" t="s">
        <v>38</v>
      </c>
      <c r="O1284" s="6" t="s">
        <v>40</v>
      </c>
      <c r="P1284" s="5" t="s">
        <v>41</v>
      </c>
      <c r="Q1284" s="5"/>
      <c r="R1284" s="6" t="s">
        <v>42</v>
      </c>
      <c r="S1284" s="5" t="s">
        <v>99</v>
      </c>
      <c r="T1284" s="5" t="s">
        <v>90</v>
      </c>
      <c r="U1284" s="5" t="s">
        <v>6186</v>
      </c>
      <c r="V1284" s="5" t="s">
        <v>44</v>
      </c>
      <c r="W1284" s="5" t="s">
        <v>35</v>
      </c>
      <c r="X1284" s="5" t="s">
        <v>309</v>
      </c>
      <c r="Y1284" s="5" t="s">
        <v>46</v>
      </c>
      <c r="Z1284" s="5" t="s">
        <v>47</v>
      </c>
      <c r="AA1284" s="5" t="s">
        <v>48</v>
      </c>
      <c r="AB1284" s="5" t="s">
        <v>6190</v>
      </c>
      <c r="AC1284" s="6" t="s">
        <v>56</v>
      </c>
      <c r="AD1284" s="6">
        <v>8826.0</v>
      </c>
    </row>
    <row r="1285" ht="56.25" customHeight="1">
      <c r="A1285" s="5" t="s">
        <v>6182</v>
      </c>
      <c r="B1285" s="6" t="str">
        <f>IMAGE("https://storage.googleapis.com/acdb/miscellaneous/FtrWoodenMirrorS_Remake_2_0.png")</f>
        <v/>
      </c>
      <c r="C1285" s="5" t="s">
        <v>6192</v>
      </c>
      <c r="D1285" s="5" t="s">
        <v>748</v>
      </c>
      <c r="E1285" s="5" t="s">
        <v>34</v>
      </c>
      <c r="F1285" s="5" t="s">
        <v>34</v>
      </c>
      <c r="G1285" s="5" t="s">
        <v>35</v>
      </c>
      <c r="H1285" s="5" t="s">
        <v>35</v>
      </c>
      <c r="I1285" s="5" t="s">
        <v>36</v>
      </c>
      <c r="J1285" s="6">
        <v>2.0</v>
      </c>
      <c r="K1285" s="6" t="s">
        <v>37</v>
      </c>
      <c r="L1285" s="6">
        <v>1110.0</v>
      </c>
      <c r="M1285" s="5" t="s">
        <v>142</v>
      </c>
      <c r="N1285" s="5" t="s">
        <v>142</v>
      </c>
      <c r="O1285" s="6" t="s">
        <v>40</v>
      </c>
      <c r="P1285" s="5" t="s">
        <v>41</v>
      </c>
      <c r="Q1285" s="5"/>
      <c r="R1285" s="6" t="s">
        <v>42</v>
      </c>
      <c r="S1285" s="5" t="s">
        <v>99</v>
      </c>
      <c r="T1285" s="5" t="s">
        <v>90</v>
      </c>
      <c r="U1285" s="5" t="s">
        <v>6186</v>
      </c>
      <c r="V1285" s="5" t="s">
        <v>44</v>
      </c>
      <c r="W1285" s="5" t="s">
        <v>35</v>
      </c>
      <c r="X1285" s="5" t="s">
        <v>309</v>
      </c>
      <c r="Y1285" s="5" t="s">
        <v>46</v>
      </c>
      <c r="Z1285" s="5" t="s">
        <v>47</v>
      </c>
      <c r="AA1285" s="5" t="s">
        <v>48</v>
      </c>
      <c r="AB1285" s="5" t="s">
        <v>6195</v>
      </c>
      <c r="AC1285" s="6" t="s">
        <v>67</v>
      </c>
      <c r="AD1285" s="6">
        <v>8826.0</v>
      </c>
    </row>
    <row r="1286" ht="56.25" customHeight="1">
      <c r="A1286" s="5" t="s">
        <v>6182</v>
      </c>
      <c r="B1286" s="6" t="str">
        <f>IMAGE("https://storage.googleapis.com/acdb/miscellaneous/FtrWoodenMirrorS_Remake_3_0.png")</f>
        <v/>
      </c>
      <c r="C1286" s="5" t="s">
        <v>1132</v>
      </c>
      <c r="D1286" s="5" t="s">
        <v>748</v>
      </c>
      <c r="E1286" s="5" t="s">
        <v>34</v>
      </c>
      <c r="F1286" s="5" t="s">
        <v>34</v>
      </c>
      <c r="G1286" s="5" t="s">
        <v>35</v>
      </c>
      <c r="H1286" s="5" t="s">
        <v>35</v>
      </c>
      <c r="I1286" s="5" t="s">
        <v>36</v>
      </c>
      <c r="J1286" s="6">
        <v>2.0</v>
      </c>
      <c r="K1286" s="6" t="s">
        <v>37</v>
      </c>
      <c r="L1286" s="6">
        <v>1110.0</v>
      </c>
      <c r="M1286" s="5" t="s">
        <v>39</v>
      </c>
      <c r="N1286" s="5" t="s">
        <v>39</v>
      </c>
      <c r="O1286" s="6" t="s">
        <v>40</v>
      </c>
      <c r="P1286" s="5" t="s">
        <v>41</v>
      </c>
      <c r="Q1286" s="5"/>
      <c r="R1286" s="6" t="s">
        <v>42</v>
      </c>
      <c r="S1286" s="5" t="s">
        <v>99</v>
      </c>
      <c r="T1286" s="5" t="s">
        <v>90</v>
      </c>
      <c r="U1286" s="5" t="s">
        <v>6186</v>
      </c>
      <c r="V1286" s="5" t="s">
        <v>44</v>
      </c>
      <c r="W1286" s="5" t="s">
        <v>35</v>
      </c>
      <c r="X1286" s="5" t="s">
        <v>309</v>
      </c>
      <c r="Y1286" s="5" t="s">
        <v>46</v>
      </c>
      <c r="Z1286" s="5" t="s">
        <v>47</v>
      </c>
      <c r="AA1286" s="5" t="s">
        <v>48</v>
      </c>
      <c r="AB1286" s="5" t="s">
        <v>6200</v>
      </c>
      <c r="AC1286" s="6" t="s">
        <v>71</v>
      </c>
      <c r="AD1286" s="6">
        <v>8826.0</v>
      </c>
    </row>
    <row r="1287" ht="56.25" customHeight="1">
      <c r="A1287" s="5" t="s">
        <v>6182</v>
      </c>
      <c r="B1287" s="6" t="str">
        <f>IMAGE("https://storage.googleapis.com/acdb/miscellaneous/FtrWoodenMirrorS_Remake_4_0.png")</f>
        <v/>
      </c>
      <c r="C1287" s="5" t="s">
        <v>54</v>
      </c>
      <c r="D1287" s="5" t="s">
        <v>748</v>
      </c>
      <c r="E1287" s="5" t="s">
        <v>34</v>
      </c>
      <c r="F1287" s="5" t="s">
        <v>34</v>
      </c>
      <c r="G1287" s="5" t="s">
        <v>35</v>
      </c>
      <c r="H1287" s="5" t="s">
        <v>35</v>
      </c>
      <c r="I1287" s="5" t="s">
        <v>36</v>
      </c>
      <c r="J1287" s="6">
        <v>2.0</v>
      </c>
      <c r="K1287" s="6" t="s">
        <v>37</v>
      </c>
      <c r="L1287" s="6">
        <v>1110.0</v>
      </c>
      <c r="M1287" s="5" t="s">
        <v>54</v>
      </c>
      <c r="N1287" s="5" t="s">
        <v>54</v>
      </c>
      <c r="O1287" s="6" t="s">
        <v>40</v>
      </c>
      <c r="P1287" s="5" t="s">
        <v>41</v>
      </c>
      <c r="Q1287" s="5"/>
      <c r="R1287" s="6" t="s">
        <v>42</v>
      </c>
      <c r="S1287" s="5" t="s">
        <v>99</v>
      </c>
      <c r="T1287" s="5" t="s">
        <v>90</v>
      </c>
      <c r="U1287" s="5" t="s">
        <v>6186</v>
      </c>
      <c r="V1287" s="5" t="s">
        <v>44</v>
      </c>
      <c r="W1287" s="5" t="s">
        <v>35</v>
      </c>
      <c r="X1287" s="5" t="s">
        <v>309</v>
      </c>
      <c r="Y1287" s="5" t="s">
        <v>46</v>
      </c>
      <c r="Z1287" s="5" t="s">
        <v>47</v>
      </c>
      <c r="AA1287" s="5" t="s">
        <v>48</v>
      </c>
      <c r="AB1287" s="5" t="s">
        <v>6205</v>
      </c>
      <c r="AC1287" s="6" t="s">
        <v>75</v>
      </c>
      <c r="AD1287" s="6">
        <v>8826.0</v>
      </c>
    </row>
    <row r="1288" ht="56.25" customHeight="1">
      <c r="A1288" s="5" t="s">
        <v>6182</v>
      </c>
      <c r="B1288" s="6" t="str">
        <f>IMAGE("https://storage.googleapis.com/acdb/miscellaneous/FtrWoodenMirrorS_Remake_5_0.png")</f>
        <v/>
      </c>
      <c r="C1288" s="5" t="s">
        <v>96</v>
      </c>
      <c r="D1288" s="5" t="s">
        <v>748</v>
      </c>
      <c r="E1288" s="5" t="s">
        <v>34</v>
      </c>
      <c r="F1288" s="5" t="s">
        <v>34</v>
      </c>
      <c r="G1288" s="5" t="s">
        <v>35</v>
      </c>
      <c r="H1288" s="5" t="s">
        <v>35</v>
      </c>
      <c r="I1288" s="5" t="s">
        <v>36</v>
      </c>
      <c r="J1288" s="6">
        <v>2.0</v>
      </c>
      <c r="K1288" s="6" t="s">
        <v>37</v>
      </c>
      <c r="L1288" s="6">
        <v>1110.0</v>
      </c>
      <c r="M1288" s="5" t="s">
        <v>96</v>
      </c>
      <c r="N1288" s="5" t="s">
        <v>96</v>
      </c>
      <c r="O1288" s="6" t="s">
        <v>40</v>
      </c>
      <c r="P1288" s="5" t="s">
        <v>41</v>
      </c>
      <c r="Q1288" s="5"/>
      <c r="R1288" s="6" t="s">
        <v>42</v>
      </c>
      <c r="S1288" s="5" t="s">
        <v>99</v>
      </c>
      <c r="T1288" s="5" t="s">
        <v>90</v>
      </c>
      <c r="U1288" s="5" t="s">
        <v>6186</v>
      </c>
      <c r="V1288" s="5" t="s">
        <v>44</v>
      </c>
      <c r="W1288" s="5" t="s">
        <v>35</v>
      </c>
      <c r="X1288" s="5" t="s">
        <v>309</v>
      </c>
      <c r="Y1288" s="5" t="s">
        <v>46</v>
      </c>
      <c r="Z1288" s="5" t="s">
        <v>47</v>
      </c>
      <c r="AA1288" s="5" t="s">
        <v>48</v>
      </c>
      <c r="AB1288" s="5" t="s">
        <v>6210</v>
      </c>
      <c r="AC1288" s="6" t="s">
        <v>79</v>
      </c>
      <c r="AD1288" s="6">
        <v>8826.0</v>
      </c>
    </row>
    <row r="1289" ht="56.25" customHeight="1">
      <c r="A1289" s="5" t="s">
        <v>6182</v>
      </c>
      <c r="B1289" s="6" t="str">
        <f>IMAGE("https://storage.googleapis.com/acdb/miscellaneous/FtrWoodenMirrorS_Remake_6_0.png")</f>
        <v/>
      </c>
      <c r="C1289" s="5" t="s">
        <v>68</v>
      </c>
      <c r="D1289" s="5" t="s">
        <v>748</v>
      </c>
      <c r="E1289" s="5" t="s">
        <v>34</v>
      </c>
      <c r="F1289" s="5" t="s">
        <v>34</v>
      </c>
      <c r="G1289" s="5" t="s">
        <v>35</v>
      </c>
      <c r="H1289" s="5" t="s">
        <v>35</v>
      </c>
      <c r="I1289" s="5" t="s">
        <v>36</v>
      </c>
      <c r="J1289" s="6">
        <v>2.0</v>
      </c>
      <c r="K1289" s="6" t="s">
        <v>37</v>
      </c>
      <c r="L1289" s="6">
        <v>1110.0</v>
      </c>
      <c r="M1289" s="5" t="s">
        <v>68</v>
      </c>
      <c r="N1289" s="5" t="s">
        <v>68</v>
      </c>
      <c r="O1289" s="6" t="s">
        <v>40</v>
      </c>
      <c r="P1289" s="5" t="s">
        <v>41</v>
      </c>
      <c r="Q1289" s="5"/>
      <c r="R1289" s="6" t="s">
        <v>42</v>
      </c>
      <c r="S1289" s="5" t="s">
        <v>99</v>
      </c>
      <c r="T1289" s="5" t="s">
        <v>90</v>
      </c>
      <c r="U1289" s="5" t="s">
        <v>6186</v>
      </c>
      <c r="V1289" s="5" t="s">
        <v>44</v>
      </c>
      <c r="W1289" s="5" t="s">
        <v>35</v>
      </c>
      <c r="X1289" s="5" t="s">
        <v>309</v>
      </c>
      <c r="Y1289" s="5" t="s">
        <v>46</v>
      </c>
      <c r="Z1289" s="5" t="s">
        <v>47</v>
      </c>
      <c r="AA1289" s="5" t="s">
        <v>48</v>
      </c>
      <c r="AB1289" s="5" t="s">
        <v>6213</v>
      </c>
      <c r="AC1289" s="6" t="s">
        <v>86</v>
      </c>
      <c r="AD1289" s="6">
        <v>8826.0</v>
      </c>
    </row>
    <row r="1290" ht="56.25" customHeight="1">
      <c r="A1290" s="5" t="s">
        <v>6182</v>
      </c>
      <c r="B1290" s="6" t="str">
        <f>IMAGE("https://storage.googleapis.com/acdb/miscellaneous/FtrWoodenMirrorS_Remake_7_0.png")</f>
        <v/>
      </c>
      <c r="C1290" s="5" t="s">
        <v>6214</v>
      </c>
      <c r="D1290" s="5" t="s">
        <v>748</v>
      </c>
      <c r="E1290" s="5" t="s">
        <v>34</v>
      </c>
      <c r="F1290" s="5" t="s">
        <v>34</v>
      </c>
      <c r="G1290" s="5" t="s">
        <v>35</v>
      </c>
      <c r="H1290" s="5" t="s">
        <v>35</v>
      </c>
      <c r="I1290" s="5" t="s">
        <v>36</v>
      </c>
      <c r="J1290" s="6">
        <v>2.0</v>
      </c>
      <c r="K1290" s="6" t="s">
        <v>37</v>
      </c>
      <c r="L1290" s="6">
        <v>1110.0</v>
      </c>
      <c r="M1290" s="5" t="s">
        <v>69</v>
      </c>
      <c r="N1290" s="5" t="s">
        <v>69</v>
      </c>
      <c r="O1290" s="6" t="s">
        <v>40</v>
      </c>
      <c r="P1290" s="5" t="s">
        <v>41</v>
      </c>
      <c r="Q1290" s="5"/>
      <c r="R1290" s="6" t="s">
        <v>42</v>
      </c>
      <c r="S1290" s="5" t="s">
        <v>99</v>
      </c>
      <c r="T1290" s="5" t="s">
        <v>90</v>
      </c>
      <c r="U1290" s="5" t="s">
        <v>6186</v>
      </c>
      <c r="V1290" s="5" t="s">
        <v>44</v>
      </c>
      <c r="W1290" s="5" t="s">
        <v>35</v>
      </c>
      <c r="X1290" s="5" t="s">
        <v>309</v>
      </c>
      <c r="Y1290" s="5" t="s">
        <v>46</v>
      </c>
      <c r="Z1290" s="5" t="s">
        <v>47</v>
      </c>
      <c r="AA1290" s="5" t="s">
        <v>48</v>
      </c>
      <c r="AB1290" s="5" t="s">
        <v>6217</v>
      </c>
      <c r="AC1290" s="6" t="s">
        <v>208</v>
      </c>
      <c r="AD1290" s="6">
        <v>8826.0</v>
      </c>
    </row>
    <row r="1291" ht="56.25" customHeight="1">
      <c r="A1291" s="5" t="s">
        <v>6218</v>
      </c>
      <c r="B1291" s="6" t="str">
        <f>IMAGE("https://storage.googleapis.com/acdb/miscellaneous/FtrToolboxWood_Remake_0_0.png")</f>
        <v/>
      </c>
      <c r="C1291" s="5" t="s">
        <v>32</v>
      </c>
      <c r="D1291" s="5" t="s">
        <v>135</v>
      </c>
      <c r="E1291" s="5" t="s">
        <v>34</v>
      </c>
      <c r="F1291" s="5" t="s">
        <v>34</v>
      </c>
      <c r="G1291" s="5" t="s">
        <v>35</v>
      </c>
      <c r="H1291" s="5" t="s">
        <v>35</v>
      </c>
      <c r="I1291" s="5" t="s">
        <v>36</v>
      </c>
      <c r="J1291" s="6">
        <v>3.0</v>
      </c>
      <c r="K1291" s="6" t="s">
        <v>37</v>
      </c>
      <c r="L1291" s="6">
        <v>1980.0</v>
      </c>
      <c r="M1291" s="5" t="s">
        <v>38</v>
      </c>
      <c r="N1291" s="5" t="s">
        <v>58</v>
      </c>
      <c r="O1291" s="6" t="s">
        <v>40</v>
      </c>
      <c r="P1291" s="5" t="s">
        <v>41</v>
      </c>
      <c r="Q1291" s="5"/>
      <c r="R1291" s="6" t="s">
        <v>42</v>
      </c>
      <c r="S1291" s="5" t="s">
        <v>416</v>
      </c>
      <c r="T1291" s="5" t="s">
        <v>44</v>
      </c>
      <c r="U1291" s="5" t="s">
        <v>6186</v>
      </c>
      <c r="V1291" s="5" t="s">
        <v>44</v>
      </c>
      <c r="W1291" s="5" t="s">
        <v>36</v>
      </c>
      <c r="X1291" s="5" t="s">
        <v>432</v>
      </c>
      <c r="Y1291" s="5" t="s">
        <v>46</v>
      </c>
      <c r="Z1291" s="5" t="s">
        <v>47</v>
      </c>
      <c r="AA1291" s="5" t="s">
        <v>48</v>
      </c>
      <c r="AB1291" s="5" t="s">
        <v>6221</v>
      </c>
      <c r="AC1291" s="6" t="s">
        <v>50</v>
      </c>
      <c r="AD1291" s="6">
        <v>7454.0</v>
      </c>
    </row>
    <row r="1292" ht="56.25" customHeight="1">
      <c r="A1292" s="5" t="s">
        <v>6218</v>
      </c>
      <c r="B1292" s="6" t="str">
        <f>IMAGE("https://storage.googleapis.com/acdb/miscellaneous/FtrToolboxWood_Remake_1_0.png")</f>
        <v/>
      </c>
      <c r="C1292" s="5" t="s">
        <v>387</v>
      </c>
      <c r="D1292" s="5" t="s">
        <v>135</v>
      </c>
      <c r="E1292" s="5" t="s">
        <v>34</v>
      </c>
      <c r="F1292" s="5" t="s">
        <v>34</v>
      </c>
      <c r="G1292" s="5" t="s">
        <v>35</v>
      </c>
      <c r="H1292" s="5" t="s">
        <v>35</v>
      </c>
      <c r="I1292" s="5" t="s">
        <v>36</v>
      </c>
      <c r="J1292" s="6">
        <v>3.0</v>
      </c>
      <c r="K1292" s="6" t="s">
        <v>37</v>
      </c>
      <c r="L1292" s="6">
        <v>1980.0</v>
      </c>
      <c r="M1292" s="5" t="s">
        <v>39</v>
      </c>
      <c r="N1292" s="5" t="s">
        <v>58</v>
      </c>
      <c r="O1292" s="6" t="s">
        <v>40</v>
      </c>
      <c r="P1292" s="5" t="s">
        <v>41</v>
      </c>
      <c r="Q1292" s="5"/>
      <c r="R1292" s="6" t="s">
        <v>42</v>
      </c>
      <c r="S1292" s="5" t="s">
        <v>416</v>
      </c>
      <c r="T1292" s="5" t="s">
        <v>44</v>
      </c>
      <c r="U1292" s="5" t="s">
        <v>6186</v>
      </c>
      <c r="V1292" s="5" t="s">
        <v>44</v>
      </c>
      <c r="W1292" s="5" t="s">
        <v>36</v>
      </c>
      <c r="X1292" s="5" t="s">
        <v>432</v>
      </c>
      <c r="Y1292" s="5" t="s">
        <v>46</v>
      </c>
      <c r="Z1292" s="5" t="s">
        <v>47</v>
      </c>
      <c r="AA1292" s="5" t="s">
        <v>48</v>
      </c>
      <c r="AB1292" s="5" t="s">
        <v>6225</v>
      </c>
      <c r="AC1292" s="6" t="s">
        <v>56</v>
      </c>
      <c r="AD1292" s="6">
        <v>7454.0</v>
      </c>
    </row>
    <row r="1293" ht="56.25" customHeight="1">
      <c r="A1293" s="5" t="s">
        <v>6218</v>
      </c>
      <c r="B1293" s="6" t="str">
        <f>IMAGE("https://storage.googleapis.com/acdb/miscellaneous/FtrToolboxWood_Remake_2_0.png")</f>
        <v/>
      </c>
      <c r="C1293" s="5" t="s">
        <v>688</v>
      </c>
      <c r="D1293" s="5" t="s">
        <v>135</v>
      </c>
      <c r="E1293" s="5" t="s">
        <v>34</v>
      </c>
      <c r="F1293" s="5" t="s">
        <v>34</v>
      </c>
      <c r="G1293" s="5" t="s">
        <v>35</v>
      </c>
      <c r="H1293" s="5" t="s">
        <v>35</v>
      </c>
      <c r="I1293" s="5" t="s">
        <v>36</v>
      </c>
      <c r="J1293" s="6">
        <v>3.0</v>
      </c>
      <c r="K1293" s="6" t="s">
        <v>37</v>
      </c>
      <c r="L1293" s="6">
        <v>1980.0</v>
      </c>
      <c r="M1293" s="5" t="s">
        <v>58</v>
      </c>
      <c r="N1293" s="5" t="s">
        <v>58</v>
      </c>
      <c r="O1293" s="6" t="s">
        <v>40</v>
      </c>
      <c r="P1293" s="5" t="s">
        <v>41</v>
      </c>
      <c r="Q1293" s="5"/>
      <c r="R1293" s="6" t="s">
        <v>42</v>
      </c>
      <c r="S1293" s="5" t="s">
        <v>416</v>
      </c>
      <c r="T1293" s="5" t="s">
        <v>44</v>
      </c>
      <c r="U1293" s="5" t="s">
        <v>6186</v>
      </c>
      <c r="V1293" s="5" t="s">
        <v>44</v>
      </c>
      <c r="W1293" s="5" t="s">
        <v>36</v>
      </c>
      <c r="X1293" s="5" t="s">
        <v>432</v>
      </c>
      <c r="Y1293" s="5" t="s">
        <v>46</v>
      </c>
      <c r="Z1293" s="5" t="s">
        <v>47</v>
      </c>
      <c r="AA1293" s="5" t="s">
        <v>48</v>
      </c>
      <c r="AB1293" s="5" t="s">
        <v>6228</v>
      </c>
      <c r="AC1293" s="6" t="s">
        <v>67</v>
      </c>
      <c r="AD1293" s="6">
        <v>7454.0</v>
      </c>
    </row>
    <row r="1294" ht="56.25" customHeight="1">
      <c r="A1294" s="5" t="s">
        <v>6218</v>
      </c>
      <c r="B1294" s="6" t="str">
        <f>IMAGE("https://storage.googleapis.com/acdb/miscellaneous/FtrToolboxWood_Remake_3_0.png")</f>
        <v/>
      </c>
      <c r="C1294" s="5" t="s">
        <v>2222</v>
      </c>
      <c r="D1294" s="5" t="s">
        <v>135</v>
      </c>
      <c r="E1294" s="5" t="s">
        <v>34</v>
      </c>
      <c r="F1294" s="5" t="s">
        <v>34</v>
      </c>
      <c r="G1294" s="5" t="s">
        <v>35</v>
      </c>
      <c r="H1294" s="5" t="s">
        <v>35</v>
      </c>
      <c r="I1294" s="5" t="s">
        <v>36</v>
      </c>
      <c r="J1294" s="6">
        <v>3.0</v>
      </c>
      <c r="K1294" s="6" t="s">
        <v>37</v>
      </c>
      <c r="L1294" s="6">
        <v>1980.0</v>
      </c>
      <c r="M1294" s="5" t="s">
        <v>96</v>
      </c>
      <c r="N1294" s="5" t="s">
        <v>58</v>
      </c>
      <c r="O1294" s="6" t="s">
        <v>40</v>
      </c>
      <c r="P1294" s="5" t="s">
        <v>41</v>
      </c>
      <c r="Q1294" s="5"/>
      <c r="R1294" s="6" t="s">
        <v>42</v>
      </c>
      <c r="S1294" s="5" t="s">
        <v>416</v>
      </c>
      <c r="T1294" s="5" t="s">
        <v>44</v>
      </c>
      <c r="U1294" s="5" t="s">
        <v>6186</v>
      </c>
      <c r="V1294" s="5" t="s">
        <v>44</v>
      </c>
      <c r="W1294" s="5" t="s">
        <v>36</v>
      </c>
      <c r="X1294" s="5" t="s">
        <v>432</v>
      </c>
      <c r="Y1294" s="5" t="s">
        <v>46</v>
      </c>
      <c r="Z1294" s="5" t="s">
        <v>47</v>
      </c>
      <c r="AA1294" s="5" t="s">
        <v>48</v>
      </c>
      <c r="AB1294" s="5" t="s">
        <v>6232</v>
      </c>
      <c r="AC1294" s="6" t="s">
        <v>71</v>
      </c>
      <c r="AD1294" s="6">
        <v>7454.0</v>
      </c>
    </row>
    <row r="1295" ht="56.25" customHeight="1">
      <c r="A1295" s="5" t="s">
        <v>6233</v>
      </c>
      <c r="B1295" s="6" t="str">
        <f>IMAGE("https://storage.googleapis.com/acdb/miscellaneous/FtrBlockBrick_Remake_0_0.png")</f>
        <v/>
      </c>
      <c r="C1295" s="5" t="s">
        <v>32</v>
      </c>
      <c r="D1295" s="5" t="s">
        <v>2683</v>
      </c>
      <c r="E1295" s="5" t="s">
        <v>34</v>
      </c>
      <c r="F1295" s="5" t="s">
        <v>34</v>
      </c>
      <c r="G1295" s="5" t="s">
        <v>35</v>
      </c>
      <c r="H1295" s="5" t="s">
        <v>35</v>
      </c>
      <c r="I1295" s="5" t="s">
        <v>36</v>
      </c>
      <c r="J1295" s="6">
        <v>1.0</v>
      </c>
      <c r="K1295" s="6" t="s">
        <v>37</v>
      </c>
      <c r="L1295" s="6">
        <v>360.0</v>
      </c>
      <c r="M1295" s="5" t="s">
        <v>38</v>
      </c>
      <c r="N1295" s="5" t="s">
        <v>38</v>
      </c>
      <c r="O1295" s="6" t="s">
        <v>40</v>
      </c>
      <c r="P1295" s="5" t="s">
        <v>41</v>
      </c>
      <c r="Q1295" s="5"/>
      <c r="R1295" s="6" t="s">
        <v>42</v>
      </c>
      <c r="S1295" s="5" t="s">
        <v>99</v>
      </c>
      <c r="T1295" s="5" t="s">
        <v>44</v>
      </c>
      <c r="U1295" s="5" t="s">
        <v>2684</v>
      </c>
      <c r="V1295" s="5" t="s">
        <v>44</v>
      </c>
      <c r="W1295" s="5" t="s">
        <v>36</v>
      </c>
      <c r="X1295" s="5" t="s">
        <v>356</v>
      </c>
      <c r="Y1295" s="5" t="s">
        <v>46</v>
      </c>
      <c r="Z1295" s="5" t="s">
        <v>47</v>
      </c>
      <c r="AA1295" s="5" t="s">
        <v>48</v>
      </c>
      <c r="AB1295" s="5" t="s">
        <v>6236</v>
      </c>
      <c r="AC1295" s="6" t="s">
        <v>50</v>
      </c>
      <c r="AD1295" s="6">
        <v>3206.0</v>
      </c>
    </row>
    <row r="1296" ht="56.25" customHeight="1">
      <c r="A1296" s="5" t="s">
        <v>6233</v>
      </c>
      <c r="B1296" s="6" t="str">
        <f>IMAGE("https://storage.googleapis.com/acdb/miscellaneous/FtrBlockBrick_Remake_1_0.png")</f>
        <v/>
      </c>
      <c r="C1296" s="5" t="s">
        <v>2688</v>
      </c>
      <c r="D1296" s="5" t="s">
        <v>2683</v>
      </c>
      <c r="E1296" s="5" t="s">
        <v>34</v>
      </c>
      <c r="F1296" s="5" t="s">
        <v>34</v>
      </c>
      <c r="G1296" s="5" t="s">
        <v>35</v>
      </c>
      <c r="H1296" s="5" t="s">
        <v>35</v>
      </c>
      <c r="I1296" s="5" t="s">
        <v>36</v>
      </c>
      <c r="J1296" s="6">
        <v>1.0</v>
      </c>
      <c r="K1296" s="6" t="s">
        <v>37</v>
      </c>
      <c r="L1296" s="6">
        <v>360.0</v>
      </c>
      <c r="M1296" s="5" t="s">
        <v>39</v>
      </c>
      <c r="N1296" s="5" t="s">
        <v>54</v>
      </c>
      <c r="O1296" s="6" t="s">
        <v>40</v>
      </c>
      <c r="P1296" s="5" t="s">
        <v>41</v>
      </c>
      <c r="Q1296" s="5"/>
      <c r="R1296" s="6" t="s">
        <v>42</v>
      </c>
      <c r="S1296" s="5" t="s">
        <v>99</v>
      </c>
      <c r="T1296" s="5" t="s">
        <v>44</v>
      </c>
      <c r="U1296" s="5" t="s">
        <v>2684</v>
      </c>
      <c r="V1296" s="5" t="s">
        <v>44</v>
      </c>
      <c r="W1296" s="5" t="s">
        <v>36</v>
      </c>
      <c r="X1296" s="5" t="s">
        <v>356</v>
      </c>
      <c r="Y1296" s="5" t="s">
        <v>46</v>
      </c>
      <c r="Z1296" s="5" t="s">
        <v>47</v>
      </c>
      <c r="AA1296" s="5" t="s">
        <v>48</v>
      </c>
      <c r="AB1296" s="5" t="s">
        <v>6239</v>
      </c>
      <c r="AC1296" s="6" t="s">
        <v>56</v>
      </c>
      <c r="AD1296" s="6">
        <v>3206.0</v>
      </c>
    </row>
    <row r="1297" ht="56.25" customHeight="1">
      <c r="A1297" s="5" t="s">
        <v>6233</v>
      </c>
      <c r="B1297" s="6" t="str">
        <f>IMAGE("https://storage.googleapis.com/acdb/miscellaneous/FtrBlockBrick_Remake_2_0.png")</f>
        <v/>
      </c>
      <c r="C1297" s="5" t="s">
        <v>58</v>
      </c>
      <c r="D1297" s="5" t="s">
        <v>2683</v>
      </c>
      <c r="E1297" s="5" t="s">
        <v>34</v>
      </c>
      <c r="F1297" s="5" t="s">
        <v>34</v>
      </c>
      <c r="G1297" s="5" t="s">
        <v>35</v>
      </c>
      <c r="H1297" s="5" t="s">
        <v>35</v>
      </c>
      <c r="I1297" s="5" t="s">
        <v>36</v>
      </c>
      <c r="J1297" s="6">
        <v>1.0</v>
      </c>
      <c r="K1297" s="6" t="s">
        <v>37</v>
      </c>
      <c r="L1297" s="6">
        <v>360.0</v>
      </c>
      <c r="M1297" s="5" t="s">
        <v>96</v>
      </c>
      <c r="N1297" s="5" t="s">
        <v>58</v>
      </c>
      <c r="O1297" s="6" t="s">
        <v>40</v>
      </c>
      <c r="P1297" s="5" t="s">
        <v>41</v>
      </c>
      <c r="Q1297" s="5"/>
      <c r="R1297" s="6" t="s">
        <v>42</v>
      </c>
      <c r="S1297" s="5" t="s">
        <v>99</v>
      </c>
      <c r="T1297" s="5" t="s">
        <v>44</v>
      </c>
      <c r="U1297" s="5" t="s">
        <v>2684</v>
      </c>
      <c r="V1297" s="5" t="s">
        <v>44</v>
      </c>
      <c r="W1297" s="5" t="s">
        <v>36</v>
      </c>
      <c r="X1297" s="5" t="s">
        <v>356</v>
      </c>
      <c r="Y1297" s="5" t="s">
        <v>46</v>
      </c>
      <c r="Z1297" s="5" t="s">
        <v>47</v>
      </c>
      <c r="AA1297" s="5" t="s">
        <v>48</v>
      </c>
      <c r="AB1297" s="5" t="s">
        <v>6244</v>
      </c>
      <c r="AC1297" s="6" t="s">
        <v>67</v>
      </c>
      <c r="AD1297" s="6">
        <v>3206.0</v>
      </c>
    </row>
    <row r="1298" ht="56.25" customHeight="1">
      <c r="A1298" s="5" t="s">
        <v>6233</v>
      </c>
      <c r="B1298" s="6" t="str">
        <f>IMAGE("https://storage.googleapis.com/acdb/miscellaneous/FtrBlockBrick_Remake_3_0.png")</f>
        <v/>
      </c>
      <c r="C1298" s="5" t="s">
        <v>688</v>
      </c>
      <c r="D1298" s="5" t="s">
        <v>2683</v>
      </c>
      <c r="E1298" s="5" t="s">
        <v>34</v>
      </c>
      <c r="F1298" s="5" t="s">
        <v>34</v>
      </c>
      <c r="G1298" s="5" t="s">
        <v>35</v>
      </c>
      <c r="H1298" s="5" t="s">
        <v>35</v>
      </c>
      <c r="I1298" s="5" t="s">
        <v>36</v>
      </c>
      <c r="J1298" s="6">
        <v>1.0</v>
      </c>
      <c r="K1298" s="6" t="s">
        <v>37</v>
      </c>
      <c r="L1298" s="6">
        <v>360.0</v>
      </c>
      <c r="M1298" s="5" t="s">
        <v>83</v>
      </c>
      <c r="N1298" s="5" t="s">
        <v>58</v>
      </c>
      <c r="O1298" s="6" t="s">
        <v>40</v>
      </c>
      <c r="P1298" s="5" t="s">
        <v>41</v>
      </c>
      <c r="Q1298" s="5"/>
      <c r="R1298" s="6" t="s">
        <v>42</v>
      </c>
      <c r="S1298" s="5" t="s">
        <v>99</v>
      </c>
      <c r="T1298" s="5" t="s">
        <v>44</v>
      </c>
      <c r="U1298" s="5" t="s">
        <v>2684</v>
      </c>
      <c r="V1298" s="5" t="s">
        <v>44</v>
      </c>
      <c r="W1298" s="5" t="s">
        <v>36</v>
      </c>
      <c r="X1298" s="5" t="s">
        <v>356</v>
      </c>
      <c r="Y1298" s="5" t="s">
        <v>46</v>
      </c>
      <c r="Z1298" s="5" t="s">
        <v>47</v>
      </c>
      <c r="AA1298" s="5" t="s">
        <v>48</v>
      </c>
      <c r="AB1298" s="5" t="s">
        <v>6247</v>
      </c>
      <c r="AC1298" s="6" t="s">
        <v>71</v>
      </c>
      <c r="AD1298" s="6">
        <v>3206.0</v>
      </c>
    </row>
    <row r="1299" ht="56.25" customHeight="1">
      <c r="A1299" s="5" t="s">
        <v>6233</v>
      </c>
      <c r="B1299" s="6" t="str">
        <f>IMAGE("https://storage.googleapis.com/acdb/miscellaneous/FtrBlockBrick_Remake_4_0.png")</f>
        <v/>
      </c>
      <c r="C1299" s="5" t="s">
        <v>2702</v>
      </c>
      <c r="D1299" s="5" t="s">
        <v>2683</v>
      </c>
      <c r="E1299" s="5" t="s">
        <v>34</v>
      </c>
      <c r="F1299" s="5" t="s">
        <v>34</v>
      </c>
      <c r="G1299" s="5" t="s">
        <v>35</v>
      </c>
      <c r="H1299" s="5" t="s">
        <v>35</v>
      </c>
      <c r="I1299" s="5" t="s">
        <v>36</v>
      </c>
      <c r="J1299" s="6">
        <v>1.0</v>
      </c>
      <c r="K1299" s="6" t="s">
        <v>37</v>
      </c>
      <c r="L1299" s="6">
        <v>360.0</v>
      </c>
      <c r="M1299" s="5" t="s">
        <v>52</v>
      </c>
      <c r="N1299" s="5" t="s">
        <v>58</v>
      </c>
      <c r="O1299" s="6" t="s">
        <v>40</v>
      </c>
      <c r="P1299" s="5" t="s">
        <v>41</v>
      </c>
      <c r="Q1299" s="5"/>
      <c r="R1299" s="6" t="s">
        <v>42</v>
      </c>
      <c r="S1299" s="5" t="s">
        <v>99</v>
      </c>
      <c r="T1299" s="5" t="s">
        <v>44</v>
      </c>
      <c r="U1299" s="5" t="s">
        <v>2684</v>
      </c>
      <c r="V1299" s="5" t="s">
        <v>44</v>
      </c>
      <c r="W1299" s="5" t="s">
        <v>36</v>
      </c>
      <c r="X1299" s="5" t="s">
        <v>356</v>
      </c>
      <c r="Y1299" s="5" t="s">
        <v>46</v>
      </c>
      <c r="Z1299" s="5" t="s">
        <v>47</v>
      </c>
      <c r="AA1299" s="5" t="s">
        <v>48</v>
      </c>
      <c r="AB1299" s="5" t="s">
        <v>6252</v>
      </c>
      <c r="AC1299" s="6" t="s">
        <v>75</v>
      </c>
      <c r="AD1299" s="6">
        <v>3206.0</v>
      </c>
    </row>
    <row r="1300" ht="56.25" customHeight="1">
      <c r="A1300" s="5" t="s">
        <v>6253</v>
      </c>
      <c r="B1300" s="16" t="str">
        <f>IMAGE("https://storage.googleapis.com/acdb/miscellaneous/FtrInsectMonkichoToy.png")</f>
        <v/>
      </c>
      <c r="C1300" s="5" t="s">
        <v>34</v>
      </c>
      <c r="D1300" s="5" t="s">
        <v>34</v>
      </c>
      <c r="E1300" s="5" t="s">
        <v>34</v>
      </c>
      <c r="F1300" s="5" t="s">
        <v>34</v>
      </c>
      <c r="G1300" s="5" t="s">
        <v>36</v>
      </c>
      <c r="H1300" s="5" t="s">
        <v>36</v>
      </c>
      <c r="I1300" s="5" t="s">
        <v>36</v>
      </c>
      <c r="J1300" s="6" t="s">
        <v>34</v>
      </c>
      <c r="K1300" s="6" t="s">
        <v>37</v>
      </c>
      <c r="L1300" s="6">
        <v>480.0</v>
      </c>
      <c r="M1300" s="5" t="s">
        <v>114</v>
      </c>
      <c r="N1300" s="5" t="s">
        <v>54</v>
      </c>
      <c r="O1300" s="6" t="s">
        <v>40</v>
      </c>
      <c r="P1300" s="5" t="s">
        <v>107</v>
      </c>
      <c r="Q1300" s="5" t="s">
        <v>108</v>
      </c>
      <c r="R1300" s="6" t="s">
        <v>42</v>
      </c>
      <c r="S1300" s="5" t="s">
        <v>44</v>
      </c>
      <c r="T1300" s="5" t="s">
        <v>44</v>
      </c>
      <c r="U1300" s="5" t="s">
        <v>44</v>
      </c>
      <c r="V1300" s="5" t="s">
        <v>44</v>
      </c>
      <c r="W1300" s="5" t="s">
        <v>36</v>
      </c>
      <c r="X1300" s="5" t="s">
        <v>109</v>
      </c>
      <c r="Y1300" s="5" t="s">
        <v>46</v>
      </c>
      <c r="Z1300" s="5" t="s">
        <v>47</v>
      </c>
      <c r="AA1300" s="5" t="s">
        <v>48</v>
      </c>
      <c r="AB1300" s="5" t="s">
        <v>6256</v>
      </c>
      <c r="AC1300" s="6" t="s">
        <v>34</v>
      </c>
      <c r="AD1300" s="6">
        <v>7084.0</v>
      </c>
    </row>
    <row r="1301" ht="56.25" customHeight="1">
      <c r="A1301" s="5" t="s">
        <v>6257</v>
      </c>
      <c r="B1301" s="16" t="str">
        <f>IMAGE("https://storage.googleapis.com/acdb/miscellaneous/FtrFishYellowparchToy.png")</f>
        <v/>
      </c>
      <c r="C1301" s="5" t="s">
        <v>34</v>
      </c>
      <c r="D1301" s="5" t="s">
        <v>34</v>
      </c>
      <c r="E1301" s="5" t="s">
        <v>34</v>
      </c>
      <c r="F1301" s="5" t="s">
        <v>34</v>
      </c>
      <c r="G1301" s="5" t="s">
        <v>36</v>
      </c>
      <c r="H1301" s="5" t="s">
        <v>36</v>
      </c>
      <c r="I1301" s="5" t="s">
        <v>36</v>
      </c>
      <c r="J1301" s="6" t="s">
        <v>34</v>
      </c>
      <c r="K1301" s="6" t="s">
        <v>37</v>
      </c>
      <c r="L1301" s="6">
        <v>900.0</v>
      </c>
      <c r="M1301" s="5" t="s">
        <v>114</v>
      </c>
      <c r="N1301" s="5" t="s">
        <v>54</v>
      </c>
      <c r="O1301" s="6" t="s">
        <v>40</v>
      </c>
      <c r="P1301" s="5" t="s">
        <v>213</v>
      </c>
      <c r="Q1301" s="5" t="s">
        <v>215</v>
      </c>
      <c r="R1301" s="6" t="s">
        <v>42</v>
      </c>
      <c r="S1301" s="5" t="s">
        <v>44</v>
      </c>
      <c r="T1301" s="5" t="s">
        <v>44</v>
      </c>
      <c r="U1301" s="5" t="s">
        <v>44</v>
      </c>
      <c r="V1301" s="5" t="s">
        <v>44</v>
      </c>
      <c r="W1301" s="5" t="s">
        <v>36</v>
      </c>
      <c r="X1301" s="5" t="s">
        <v>219</v>
      </c>
      <c r="Y1301" s="5" t="s">
        <v>46</v>
      </c>
      <c r="Z1301" s="5" t="s">
        <v>47</v>
      </c>
      <c r="AA1301" s="5" t="s">
        <v>48</v>
      </c>
      <c r="AB1301" s="5" t="s">
        <v>6260</v>
      </c>
      <c r="AC1301" s="6" t="s">
        <v>34</v>
      </c>
      <c r="AD1301" s="6">
        <v>7028.0</v>
      </c>
    </row>
    <row r="1302" ht="56.25" customHeight="1">
      <c r="A1302" s="5" t="s">
        <v>6262</v>
      </c>
      <c r="B1302" s="16" t="str">
        <f>IMAGE("https://storage.googleapis.com/acdb/miscellaneous/FtrFishMinokasagoToy.png")</f>
        <v/>
      </c>
      <c r="C1302" s="5" t="s">
        <v>34</v>
      </c>
      <c r="D1302" s="5" t="s">
        <v>34</v>
      </c>
      <c r="E1302" s="5" t="s">
        <v>34</v>
      </c>
      <c r="F1302" s="5" t="s">
        <v>34</v>
      </c>
      <c r="G1302" s="5" t="s">
        <v>36</v>
      </c>
      <c r="H1302" s="5" t="s">
        <v>36</v>
      </c>
      <c r="I1302" s="5" t="s">
        <v>36</v>
      </c>
      <c r="J1302" s="6" t="s">
        <v>34</v>
      </c>
      <c r="K1302" s="6" t="s">
        <v>37</v>
      </c>
      <c r="L1302" s="6">
        <v>1500.0</v>
      </c>
      <c r="M1302" s="5" t="s">
        <v>52</v>
      </c>
      <c r="N1302" s="5" t="s">
        <v>54</v>
      </c>
      <c r="O1302" s="6" t="s">
        <v>40</v>
      </c>
      <c r="P1302" s="5" t="s">
        <v>213</v>
      </c>
      <c r="Q1302" s="5" t="s">
        <v>215</v>
      </c>
      <c r="R1302" s="6" t="s">
        <v>42</v>
      </c>
      <c r="S1302" s="5" t="s">
        <v>44</v>
      </c>
      <c r="T1302" s="5" t="s">
        <v>44</v>
      </c>
      <c r="U1302" s="5" t="s">
        <v>44</v>
      </c>
      <c r="V1302" s="5" t="s">
        <v>44</v>
      </c>
      <c r="W1302" s="5" t="s">
        <v>36</v>
      </c>
      <c r="X1302" s="5" t="s">
        <v>219</v>
      </c>
      <c r="Y1302" s="5" t="s">
        <v>46</v>
      </c>
      <c r="Z1302" s="5" t="s">
        <v>47</v>
      </c>
      <c r="AA1302" s="5" t="s">
        <v>48</v>
      </c>
      <c r="AB1302" s="5" t="s">
        <v>6264</v>
      </c>
      <c r="AC1302" s="6" t="s">
        <v>34</v>
      </c>
      <c r="AD1302" s="6">
        <v>7836.0</v>
      </c>
    </row>
  </sheetData>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6" width="10.86"/>
    <col customWidth="1" min="7" max="7" width="4.43"/>
    <col customWidth="1" min="8" max="9" width="10.86"/>
    <col customWidth="1" min="10" max="10" width="5.14"/>
    <col customWidth="1" min="11" max="12" width="5.86"/>
    <col customWidth="1" min="13" max="14" width="8.0"/>
    <col customWidth="1" min="15" max="15" width="5.14"/>
    <col customWidth="1" min="16" max="16" width="12.29"/>
    <col customWidth="1" min="17" max="17" width="25.14"/>
    <col customWidth="1" min="18" max="18" width="8.0"/>
    <col customWidth="1" min="19" max="20" width="10.14"/>
    <col customWidth="1" min="21" max="22" width="9.43"/>
    <col customWidth="1" min="23" max="23" width="8.0"/>
    <col customWidth="1" min="24" max="24" width="11.57"/>
    <col customWidth="1" min="25" max="25" width="9.43"/>
    <col customWidth="1" min="26" max="26" width="6.57"/>
    <col customWidth="1" min="27" max="27" width="8.0"/>
    <col customWidth="1" min="28" max="28" width="10.86"/>
    <col customWidth="1" min="29" max="30" width="8.0"/>
  </cols>
  <sheetData>
    <row r="1" ht="26.25" customHeight="1">
      <c r="A1" s="1" t="s">
        <v>0</v>
      </c>
      <c r="B1" s="2" t="s">
        <v>1</v>
      </c>
      <c r="C1" s="1" t="s">
        <v>2</v>
      </c>
      <c r="D1" s="1" t="s">
        <v>3</v>
      </c>
      <c r="E1" s="1" t="s">
        <v>4</v>
      </c>
      <c r="F1" s="1" t="s">
        <v>5</v>
      </c>
      <c r="G1" s="1" t="s">
        <v>6</v>
      </c>
      <c r="H1" s="1" t="s">
        <v>7</v>
      </c>
      <c r="I1" s="1" t="s">
        <v>8</v>
      </c>
      <c r="J1" s="2" t="s">
        <v>9</v>
      </c>
      <c r="K1" s="2" t="s">
        <v>10</v>
      </c>
      <c r="L1" s="2" t="s">
        <v>11</v>
      </c>
      <c r="M1" s="1" t="s">
        <v>12</v>
      </c>
      <c r="N1" s="1" t="s">
        <v>13</v>
      </c>
      <c r="O1" s="2" t="s">
        <v>14</v>
      </c>
      <c r="P1" s="1" t="s">
        <v>15</v>
      </c>
      <c r="Q1" s="1" t="s">
        <v>16</v>
      </c>
      <c r="R1" s="2" t="s">
        <v>17</v>
      </c>
      <c r="S1" s="1" t="s">
        <v>18</v>
      </c>
      <c r="T1" s="1" t="s">
        <v>19</v>
      </c>
      <c r="U1" s="1" t="s">
        <v>20</v>
      </c>
      <c r="V1" s="1" t="s">
        <v>21</v>
      </c>
      <c r="W1" s="1" t="s">
        <v>22</v>
      </c>
      <c r="X1" s="1" t="s">
        <v>23</v>
      </c>
      <c r="Y1" s="1" t="s">
        <v>25</v>
      </c>
      <c r="Z1" s="1" t="s">
        <v>125</v>
      </c>
      <c r="AA1" s="1" t="s">
        <v>26</v>
      </c>
      <c r="AB1" s="1" t="s">
        <v>27</v>
      </c>
      <c r="AC1" s="2" t="s">
        <v>28</v>
      </c>
      <c r="AD1" s="2" t="s">
        <v>29</v>
      </c>
    </row>
    <row r="2" ht="56.25" customHeight="1">
      <c r="A2" s="5" t="s">
        <v>128</v>
      </c>
      <c r="B2" s="6" t="str">
        <f>IMAGE("https://storage.googleapis.com/acdb/wall-mounted/FtrAirconditioner_Remake_0_0.png")</f>
        <v/>
      </c>
      <c r="C2" s="5" t="s">
        <v>57</v>
      </c>
      <c r="D2" s="5" t="s">
        <v>34</v>
      </c>
      <c r="E2" s="5" t="s">
        <v>34</v>
      </c>
      <c r="F2" s="5" t="s">
        <v>34</v>
      </c>
      <c r="G2" s="5" t="s">
        <v>36</v>
      </c>
      <c r="H2" s="5" t="s">
        <v>36</v>
      </c>
      <c r="I2" s="5" t="s">
        <v>36</v>
      </c>
      <c r="J2" s="6" t="s">
        <v>34</v>
      </c>
      <c r="K2" s="6">
        <v>63000.0</v>
      </c>
      <c r="L2" s="6">
        <v>15750.0</v>
      </c>
      <c r="M2" s="5" t="s">
        <v>57</v>
      </c>
      <c r="N2" s="5" t="s">
        <v>57</v>
      </c>
      <c r="O2" s="6" t="s">
        <v>136</v>
      </c>
      <c r="P2" s="5" t="s">
        <v>59</v>
      </c>
      <c r="Q2" s="5" t="s">
        <v>115</v>
      </c>
      <c r="R2" s="17" t="s">
        <v>42</v>
      </c>
      <c r="S2" s="5" t="s">
        <v>91</v>
      </c>
      <c r="T2" s="5" t="s">
        <v>141</v>
      </c>
      <c r="U2" s="5" t="s">
        <v>44</v>
      </c>
      <c r="V2" s="5" t="s">
        <v>44</v>
      </c>
      <c r="W2" s="5" t="s">
        <v>35</v>
      </c>
      <c r="X2" s="5" t="s">
        <v>144</v>
      </c>
      <c r="Y2" s="5" t="s">
        <v>47</v>
      </c>
      <c r="Z2" s="5" t="s">
        <v>36</v>
      </c>
      <c r="AA2" s="5" t="s">
        <v>64</v>
      </c>
      <c r="AB2" s="5" t="s">
        <v>145</v>
      </c>
      <c r="AC2" s="6" t="s">
        <v>50</v>
      </c>
      <c r="AD2" s="6">
        <v>929.0</v>
      </c>
    </row>
    <row r="3" ht="56.25" customHeight="1">
      <c r="A3" s="5" t="s">
        <v>128</v>
      </c>
      <c r="B3" s="6" t="str">
        <f>IMAGE("https://storage.googleapis.com/acdb/wall-mounted/FtrAirconditioner_Remake_1_0.png")</f>
        <v/>
      </c>
      <c r="C3" s="5" t="s">
        <v>95</v>
      </c>
      <c r="D3" s="5" t="s">
        <v>34</v>
      </c>
      <c r="E3" s="5" t="s">
        <v>34</v>
      </c>
      <c r="F3" s="5" t="s">
        <v>34</v>
      </c>
      <c r="G3" s="5" t="s">
        <v>36</v>
      </c>
      <c r="H3" s="5" t="s">
        <v>36</v>
      </c>
      <c r="I3" s="5" t="s">
        <v>36</v>
      </c>
      <c r="J3" s="6" t="s">
        <v>34</v>
      </c>
      <c r="K3" s="6">
        <v>63000.0</v>
      </c>
      <c r="L3" s="6">
        <v>15750.0</v>
      </c>
      <c r="M3" s="5" t="s">
        <v>95</v>
      </c>
      <c r="N3" s="5" t="s">
        <v>95</v>
      </c>
      <c r="O3" s="6" t="s">
        <v>136</v>
      </c>
      <c r="P3" s="5" t="s">
        <v>59</v>
      </c>
      <c r="Q3" s="5" t="s">
        <v>115</v>
      </c>
      <c r="R3" s="17" t="s">
        <v>42</v>
      </c>
      <c r="S3" s="5" t="s">
        <v>91</v>
      </c>
      <c r="T3" s="5" t="s">
        <v>141</v>
      </c>
      <c r="U3" s="5" t="s">
        <v>44</v>
      </c>
      <c r="V3" s="5" t="s">
        <v>44</v>
      </c>
      <c r="W3" s="5" t="s">
        <v>35</v>
      </c>
      <c r="X3" s="5" t="s">
        <v>144</v>
      </c>
      <c r="Y3" s="5" t="s">
        <v>47</v>
      </c>
      <c r="Z3" s="5" t="s">
        <v>36</v>
      </c>
      <c r="AA3" s="5" t="s">
        <v>64</v>
      </c>
      <c r="AB3" s="5" t="s">
        <v>150</v>
      </c>
      <c r="AC3" s="6" t="s">
        <v>56</v>
      </c>
      <c r="AD3" s="6">
        <v>929.0</v>
      </c>
    </row>
    <row r="4" ht="56.25" customHeight="1">
      <c r="A4" s="5" t="s">
        <v>128</v>
      </c>
      <c r="B4" s="6" t="str">
        <f>IMAGE("https://storage.googleapis.com/acdb/wall-mounted/FtrAirconditioner_Remake_2_0.png")</f>
        <v/>
      </c>
      <c r="C4" s="5" t="s">
        <v>54</v>
      </c>
      <c r="D4" s="5" t="s">
        <v>34</v>
      </c>
      <c r="E4" s="5" t="s">
        <v>34</v>
      </c>
      <c r="F4" s="5" t="s">
        <v>34</v>
      </c>
      <c r="G4" s="5" t="s">
        <v>36</v>
      </c>
      <c r="H4" s="5" t="s">
        <v>36</v>
      </c>
      <c r="I4" s="5" t="s">
        <v>36</v>
      </c>
      <c r="J4" s="6" t="s">
        <v>34</v>
      </c>
      <c r="K4" s="6">
        <v>63000.0</v>
      </c>
      <c r="L4" s="6">
        <v>15750.0</v>
      </c>
      <c r="M4" s="5" t="s">
        <v>54</v>
      </c>
      <c r="N4" s="5" t="s">
        <v>54</v>
      </c>
      <c r="O4" s="6" t="s">
        <v>136</v>
      </c>
      <c r="P4" s="5" t="s">
        <v>59</v>
      </c>
      <c r="Q4" s="5" t="s">
        <v>115</v>
      </c>
      <c r="R4" s="17" t="s">
        <v>42</v>
      </c>
      <c r="S4" s="5" t="s">
        <v>91</v>
      </c>
      <c r="T4" s="5" t="s">
        <v>141</v>
      </c>
      <c r="U4" s="5" t="s">
        <v>44</v>
      </c>
      <c r="V4" s="5" t="s">
        <v>44</v>
      </c>
      <c r="W4" s="5" t="s">
        <v>35</v>
      </c>
      <c r="X4" s="5" t="s">
        <v>144</v>
      </c>
      <c r="Y4" s="5" t="s">
        <v>47</v>
      </c>
      <c r="Z4" s="5" t="s">
        <v>36</v>
      </c>
      <c r="AA4" s="5" t="s">
        <v>64</v>
      </c>
      <c r="AB4" s="5" t="s">
        <v>155</v>
      </c>
      <c r="AC4" s="6" t="s">
        <v>67</v>
      </c>
      <c r="AD4" s="6">
        <v>929.0</v>
      </c>
    </row>
    <row r="5" ht="56.25" customHeight="1">
      <c r="A5" s="5" t="s">
        <v>128</v>
      </c>
      <c r="B5" s="6" t="str">
        <f>IMAGE("https://storage.googleapis.com/acdb/wall-mounted/FtrAirconditioner_Remake_3_0.png")</f>
        <v/>
      </c>
      <c r="C5" s="5" t="s">
        <v>69</v>
      </c>
      <c r="D5" s="5" t="s">
        <v>34</v>
      </c>
      <c r="E5" s="5" t="s">
        <v>34</v>
      </c>
      <c r="F5" s="5" t="s">
        <v>34</v>
      </c>
      <c r="G5" s="5" t="s">
        <v>36</v>
      </c>
      <c r="H5" s="5" t="s">
        <v>36</v>
      </c>
      <c r="I5" s="5" t="s">
        <v>36</v>
      </c>
      <c r="J5" s="6" t="s">
        <v>34</v>
      </c>
      <c r="K5" s="6">
        <v>63000.0</v>
      </c>
      <c r="L5" s="6">
        <v>15750.0</v>
      </c>
      <c r="M5" s="5" t="s">
        <v>69</v>
      </c>
      <c r="N5" s="5" t="s">
        <v>69</v>
      </c>
      <c r="O5" s="6" t="s">
        <v>136</v>
      </c>
      <c r="P5" s="5" t="s">
        <v>59</v>
      </c>
      <c r="Q5" s="5" t="s">
        <v>115</v>
      </c>
      <c r="R5" s="17" t="s">
        <v>42</v>
      </c>
      <c r="S5" s="5" t="s">
        <v>91</v>
      </c>
      <c r="T5" s="5" t="s">
        <v>141</v>
      </c>
      <c r="U5" s="5" t="s">
        <v>44</v>
      </c>
      <c r="V5" s="5" t="s">
        <v>44</v>
      </c>
      <c r="W5" s="5" t="s">
        <v>35</v>
      </c>
      <c r="X5" s="5" t="s">
        <v>144</v>
      </c>
      <c r="Y5" s="5" t="s">
        <v>47</v>
      </c>
      <c r="Z5" s="5" t="s">
        <v>36</v>
      </c>
      <c r="AA5" s="5" t="s">
        <v>64</v>
      </c>
      <c r="AB5" s="5" t="s">
        <v>162</v>
      </c>
      <c r="AC5" s="6" t="s">
        <v>71</v>
      </c>
      <c r="AD5" s="6">
        <v>929.0</v>
      </c>
    </row>
    <row r="6" ht="56.25" customHeight="1">
      <c r="A6" s="5" t="s">
        <v>128</v>
      </c>
      <c r="B6" s="6" t="str">
        <f>IMAGE("https://storage.googleapis.com/acdb/wall-mounted/FtrAirconditioner_Remake_4_0.png")</f>
        <v/>
      </c>
      <c r="C6" s="5" t="s">
        <v>68</v>
      </c>
      <c r="D6" s="5" t="s">
        <v>34</v>
      </c>
      <c r="E6" s="5" t="s">
        <v>34</v>
      </c>
      <c r="F6" s="5" t="s">
        <v>34</v>
      </c>
      <c r="G6" s="5" t="s">
        <v>36</v>
      </c>
      <c r="H6" s="5" t="s">
        <v>36</v>
      </c>
      <c r="I6" s="5" t="s">
        <v>36</v>
      </c>
      <c r="J6" s="6" t="s">
        <v>34</v>
      </c>
      <c r="K6" s="6">
        <v>63000.0</v>
      </c>
      <c r="L6" s="6">
        <v>15750.0</v>
      </c>
      <c r="M6" s="5" t="s">
        <v>83</v>
      </c>
      <c r="N6" s="5" t="s">
        <v>83</v>
      </c>
      <c r="O6" s="6" t="s">
        <v>136</v>
      </c>
      <c r="P6" s="5" t="s">
        <v>59</v>
      </c>
      <c r="Q6" s="5" t="s">
        <v>115</v>
      </c>
      <c r="R6" s="17" t="s">
        <v>42</v>
      </c>
      <c r="S6" s="5" t="s">
        <v>91</v>
      </c>
      <c r="T6" s="5" t="s">
        <v>141</v>
      </c>
      <c r="U6" s="5" t="s">
        <v>44</v>
      </c>
      <c r="V6" s="5" t="s">
        <v>44</v>
      </c>
      <c r="W6" s="5" t="s">
        <v>35</v>
      </c>
      <c r="X6" s="5" t="s">
        <v>144</v>
      </c>
      <c r="Y6" s="5" t="s">
        <v>47</v>
      </c>
      <c r="Z6" s="5" t="s">
        <v>36</v>
      </c>
      <c r="AA6" s="5" t="s">
        <v>64</v>
      </c>
      <c r="AB6" s="5" t="s">
        <v>168</v>
      </c>
      <c r="AC6" s="6" t="s">
        <v>75</v>
      </c>
      <c r="AD6" s="6">
        <v>929.0</v>
      </c>
    </row>
    <row r="7" ht="56.25" customHeight="1">
      <c r="A7" s="5" t="s">
        <v>128</v>
      </c>
      <c r="B7" s="6" t="str">
        <f>IMAGE("https://storage.googleapis.com/acdb/wall-mounted/FtrAirconditioner_Remake_5_0.png")</f>
        <v/>
      </c>
      <c r="C7" s="5" t="s">
        <v>39</v>
      </c>
      <c r="D7" s="5" t="s">
        <v>34</v>
      </c>
      <c r="E7" s="5" t="s">
        <v>34</v>
      </c>
      <c r="F7" s="5" t="s">
        <v>34</v>
      </c>
      <c r="G7" s="5" t="s">
        <v>36</v>
      </c>
      <c r="H7" s="5" t="s">
        <v>36</v>
      </c>
      <c r="I7" s="5" t="s">
        <v>36</v>
      </c>
      <c r="J7" s="6" t="s">
        <v>34</v>
      </c>
      <c r="K7" s="6">
        <v>63000.0</v>
      </c>
      <c r="L7" s="6">
        <v>15750.0</v>
      </c>
      <c r="M7" s="5" t="s">
        <v>39</v>
      </c>
      <c r="N7" s="5" t="s">
        <v>39</v>
      </c>
      <c r="O7" s="6" t="s">
        <v>136</v>
      </c>
      <c r="P7" s="5" t="s">
        <v>59</v>
      </c>
      <c r="Q7" s="5" t="s">
        <v>115</v>
      </c>
      <c r="R7" s="17" t="s">
        <v>42</v>
      </c>
      <c r="S7" s="5" t="s">
        <v>91</v>
      </c>
      <c r="T7" s="5" t="s">
        <v>141</v>
      </c>
      <c r="U7" s="5" t="s">
        <v>44</v>
      </c>
      <c r="V7" s="5" t="s">
        <v>44</v>
      </c>
      <c r="W7" s="5" t="s">
        <v>35</v>
      </c>
      <c r="X7" s="5" t="s">
        <v>144</v>
      </c>
      <c r="Y7" s="5" t="s">
        <v>47</v>
      </c>
      <c r="Z7" s="5" t="s">
        <v>36</v>
      </c>
      <c r="AA7" s="5" t="s">
        <v>64</v>
      </c>
      <c r="AB7" s="5" t="s">
        <v>175</v>
      </c>
      <c r="AC7" s="6" t="s">
        <v>79</v>
      </c>
      <c r="AD7" s="6">
        <v>929.0</v>
      </c>
    </row>
    <row r="8" ht="56.25" customHeight="1">
      <c r="A8" s="5" t="s">
        <v>177</v>
      </c>
      <c r="B8" s="6" t="str">
        <f>IMAGE("https://storage.googleapis.com/acdb/wall-mounted/FtrAntiquePhoneW_Remake_0_0.png")</f>
        <v/>
      </c>
      <c r="C8" s="5" t="s">
        <v>39</v>
      </c>
      <c r="D8" s="5" t="s">
        <v>34</v>
      </c>
      <c r="E8" s="5" t="s">
        <v>34</v>
      </c>
      <c r="F8" s="5" t="s">
        <v>34</v>
      </c>
      <c r="G8" s="5" t="s">
        <v>36</v>
      </c>
      <c r="H8" s="5" t="s">
        <v>36</v>
      </c>
      <c r="I8" s="5" t="s">
        <v>36</v>
      </c>
      <c r="J8" s="6" t="s">
        <v>34</v>
      </c>
      <c r="K8" s="6">
        <v>16000.0</v>
      </c>
      <c r="L8" s="6">
        <v>4000.0</v>
      </c>
      <c r="M8" s="5" t="s">
        <v>39</v>
      </c>
      <c r="N8" s="5" t="s">
        <v>114</v>
      </c>
      <c r="O8" s="6" t="s">
        <v>179</v>
      </c>
      <c r="P8" s="5" t="s">
        <v>59</v>
      </c>
      <c r="Q8" s="5" t="s">
        <v>115</v>
      </c>
      <c r="R8" s="17" t="s">
        <v>42</v>
      </c>
      <c r="S8" s="5" t="s">
        <v>90</v>
      </c>
      <c r="T8" s="5" t="s">
        <v>116</v>
      </c>
      <c r="U8" s="5" t="s">
        <v>181</v>
      </c>
      <c r="V8" s="5" t="s">
        <v>44</v>
      </c>
      <c r="W8" s="5" t="s">
        <v>36</v>
      </c>
      <c r="X8" s="5" t="s">
        <v>182</v>
      </c>
      <c r="Y8" s="5" t="s">
        <v>47</v>
      </c>
      <c r="Z8" s="5" t="s">
        <v>36</v>
      </c>
      <c r="AA8" s="5" t="s">
        <v>64</v>
      </c>
      <c r="AB8" s="5" t="s">
        <v>185</v>
      </c>
      <c r="AC8" s="6" t="s">
        <v>50</v>
      </c>
      <c r="AD8" s="6">
        <v>3953.0</v>
      </c>
    </row>
    <row r="9" ht="56.25" customHeight="1">
      <c r="A9" s="5" t="s">
        <v>177</v>
      </c>
      <c r="B9" s="6" t="str">
        <f>IMAGE("https://storage.googleapis.com/acdb/wall-mounted/FtrAntiquePhoneW_Remake_1_0.png")</f>
        <v/>
      </c>
      <c r="C9" s="5" t="s">
        <v>32</v>
      </c>
      <c r="D9" s="5" t="s">
        <v>34</v>
      </c>
      <c r="E9" s="5" t="s">
        <v>34</v>
      </c>
      <c r="F9" s="5" t="s">
        <v>34</v>
      </c>
      <c r="G9" s="5" t="s">
        <v>36</v>
      </c>
      <c r="H9" s="5" t="s">
        <v>36</v>
      </c>
      <c r="I9" s="5" t="s">
        <v>36</v>
      </c>
      <c r="J9" s="6" t="s">
        <v>34</v>
      </c>
      <c r="K9" s="6">
        <v>16000.0</v>
      </c>
      <c r="L9" s="6">
        <v>4000.0</v>
      </c>
      <c r="M9" s="5" t="s">
        <v>38</v>
      </c>
      <c r="N9" s="5" t="s">
        <v>114</v>
      </c>
      <c r="O9" s="6" t="s">
        <v>179</v>
      </c>
      <c r="P9" s="5" t="s">
        <v>59</v>
      </c>
      <c r="Q9" s="5" t="s">
        <v>115</v>
      </c>
      <c r="R9" s="17" t="s">
        <v>42</v>
      </c>
      <c r="S9" s="5" t="s">
        <v>90</v>
      </c>
      <c r="T9" s="5" t="s">
        <v>116</v>
      </c>
      <c r="U9" s="5" t="s">
        <v>181</v>
      </c>
      <c r="V9" s="5" t="s">
        <v>44</v>
      </c>
      <c r="W9" s="5" t="s">
        <v>36</v>
      </c>
      <c r="X9" s="5" t="s">
        <v>182</v>
      </c>
      <c r="Y9" s="5" t="s">
        <v>47</v>
      </c>
      <c r="Z9" s="5" t="s">
        <v>36</v>
      </c>
      <c r="AA9" s="5" t="s">
        <v>64</v>
      </c>
      <c r="AB9" s="5" t="s">
        <v>191</v>
      </c>
      <c r="AC9" s="6" t="s">
        <v>56</v>
      </c>
      <c r="AD9" s="6">
        <v>3953.0</v>
      </c>
    </row>
    <row r="10" ht="56.25" customHeight="1">
      <c r="A10" s="5" t="s">
        <v>177</v>
      </c>
      <c r="B10" s="6" t="str">
        <f>IMAGE("https://storage.googleapis.com/acdb/wall-mounted/FtrAntiquePhoneW_Remake_2_0.png")</f>
        <v/>
      </c>
      <c r="C10" s="5" t="s">
        <v>54</v>
      </c>
      <c r="D10" s="5" t="s">
        <v>34</v>
      </c>
      <c r="E10" s="5" t="s">
        <v>34</v>
      </c>
      <c r="F10" s="5" t="s">
        <v>34</v>
      </c>
      <c r="G10" s="5" t="s">
        <v>36</v>
      </c>
      <c r="H10" s="5" t="s">
        <v>36</v>
      </c>
      <c r="I10" s="5" t="s">
        <v>36</v>
      </c>
      <c r="J10" s="6" t="s">
        <v>34</v>
      </c>
      <c r="K10" s="6">
        <v>16000.0</v>
      </c>
      <c r="L10" s="6">
        <v>4000.0</v>
      </c>
      <c r="M10" s="5" t="s">
        <v>54</v>
      </c>
      <c r="N10" s="5" t="s">
        <v>114</v>
      </c>
      <c r="O10" s="6" t="s">
        <v>179</v>
      </c>
      <c r="P10" s="5" t="s">
        <v>59</v>
      </c>
      <c r="Q10" s="5" t="s">
        <v>115</v>
      </c>
      <c r="R10" s="17" t="s">
        <v>42</v>
      </c>
      <c r="S10" s="5" t="s">
        <v>90</v>
      </c>
      <c r="T10" s="5" t="s">
        <v>116</v>
      </c>
      <c r="U10" s="5" t="s">
        <v>181</v>
      </c>
      <c r="V10" s="5" t="s">
        <v>44</v>
      </c>
      <c r="W10" s="5" t="s">
        <v>36</v>
      </c>
      <c r="X10" s="5" t="s">
        <v>182</v>
      </c>
      <c r="Y10" s="5" t="s">
        <v>47</v>
      </c>
      <c r="Z10" s="5" t="s">
        <v>36</v>
      </c>
      <c r="AA10" s="5" t="s">
        <v>64</v>
      </c>
      <c r="AB10" s="5" t="s">
        <v>195</v>
      </c>
      <c r="AC10" s="6" t="s">
        <v>67</v>
      </c>
      <c r="AD10" s="6">
        <v>3953.0</v>
      </c>
    </row>
    <row r="11" ht="56.25" customHeight="1">
      <c r="A11" s="5" t="s">
        <v>196</v>
      </c>
      <c r="B11" s="6" t="str">
        <f>IMAGE("https://storage.googleapis.com/acdb/wall-mounted/FtrAutograph_Remake_0_0.png")</f>
        <v/>
      </c>
      <c r="C11" s="5" t="s">
        <v>198</v>
      </c>
      <c r="D11" s="5" t="s">
        <v>34</v>
      </c>
      <c r="E11" s="5" t="s">
        <v>200</v>
      </c>
      <c r="F11" s="5" t="s">
        <v>198</v>
      </c>
      <c r="G11" s="5" t="s">
        <v>36</v>
      </c>
      <c r="H11" s="5" t="s">
        <v>36</v>
      </c>
      <c r="I11" s="5" t="s">
        <v>35</v>
      </c>
      <c r="J11" s="6">
        <v>1.0</v>
      </c>
      <c r="K11" s="6">
        <v>1400.0</v>
      </c>
      <c r="L11" s="6">
        <v>350.0</v>
      </c>
      <c r="M11" s="5" t="s">
        <v>57</v>
      </c>
      <c r="N11" s="5" t="s">
        <v>57</v>
      </c>
      <c r="O11" s="6" t="s">
        <v>136</v>
      </c>
      <c r="P11" s="5" t="s">
        <v>59</v>
      </c>
      <c r="Q11" s="5" t="s">
        <v>122</v>
      </c>
      <c r="R11" s="17" t="s">
        <v>42</v>
      </c>
      <c r="S11" s="5" t="s">
        <v>130</v>
      </c>
      <c r="T11" s="5" t="s">
        <v>202</v>
      </c>
      <c r="U11" s="5" t="s">
        <v>44</v>
      </c>
      <c r="V11" s="5" t="s">
        <v>44</v>
      </c>
      <c r="W11" s="5" t="s">
        <v>36</v>
      </c>
      <c r="X11" s="5" t="s">
        <v>203</v>
      </c>
      <c r="Y11" s="5" t="s">
        <v>47</v>
      </c>
      <c r="Z11" s="5" t="s">
        <v>36</v>
      </c>
      <c r="AA11" s="5" t="s">
        <v>64</v>
      </c>
      <c r="AB11" s="5" t="s">
        <v>205</v>
      </c>
      <c r="AC11" s="6" t="s">
        <v>50</v>
      </c>
      <c r="AD11" s="6">
        <v>1899.0</v>
      </c>
    </row>
    <row r="12" ht="56.25" customHeight="1">
      <c r="A12" s="5" t="s">
        <v>196</v>
      </c>
      <c r="B12" s="6" t="str">
        <f>IMAGE("https://storage.googleapis.com/acdb/wall-mounted/FtrAutograph_Remake_0_1.png")</f>
        <v/>
      </c>
      <c r="C12" s="5" t="s">
        <v>198</v>
      </c>
      <c r="D12" s="5" t="s">
        <v>34</v>
      </c>
      <c r="E12" s="5" t="s">
        <v>210</v>
      </c>
      <c r="F12" s="5" t="s">
        <v>198</v>
      </c>
      <c r="G12" s="5" t="s">
        <v>36</v>
      </c>
      <c r="H12" s="5" t="s">
        <v>36</v>
      </c>
      <c r="I12" s="5" t="s">
        <v>35</v>
      </c>
      <c r="J12" s="6">
        <v>1.0</v>
      </c>
      <c r="K12" s="6">
        <v>1400.0</v>
      </c>
      <c r="L12" s="6">
        <v>350.0</v>
      </c>
      <c r="M12" s="5" t="s">
        <v>57</v>
      </c>
      <c r="N12" s="5" t="s">
        <v>57</v>
      </c>
      <c r="O12" s="6" t="s">
        <v>136</v>
      </c>
      <c r="P12" s="5" t="s">
        <v>59</v>
      </c>
      <c r="Q12" s="5" t="s">
        <v>122</v>
      </c>
      <c r="R12" s="17" t="s">
        <v>42</v>
      </c>
      <c r="S12" s="5" t="s">
        <v>130</v>
      </c>
      <c r="T12" s="5" t="s">
        <v>202</v>
      </c>
      <c r="U12" s="5" t="s">
        <v>44</v>
      </c>
      <c r="V12" s="5" t="s">
        <v>44</v>
      </c>
      <c r="W12" s="5" t="s">
        <v>36</v>
      </c>
      <c r="X12" s="5" t="s">
        <v>203</v>
      </c>
      <c r="Y12" s="5" t="s">
        <v>47</v>
      </c>
      <c r="Z12" s="5" t="s">
        <v>36</v>
      </c>
      <c r="AA12" s="5" t="s">
        <v>64</v>
      </c>
      <c r="AB12" s="5" t="s">
        <v>216</v>
      </c>
      <c r="AC12" s="6" t="s">
        <v>217</v>
      </c>
      <c r="AD12" s="6">
        <v>1899.0</v>
      </c>
    </row>
    <row r="13" ht="56.25" customHeight="1">
      <c r="A13" s="5" t="s">
        <v>196</v>
      </c>
      <c r="B13" s="6" t="str">
        <f>IMAGE("https://storage.googleapis.com/acdb/wall-mounted/FtrAutograph_Remake_1_0.png")</f>
        <v/>
      </c>
      <c r="C13" s="5" t="s">
        <v>223</v>
      </c>
      <c r="D13" s="5" t="s">
        <v>34</v>
      </c>
      <c r="E13" s="5" t="s">
        <v>200</v>
      </c>
      <c r="F13" s="5" t="s">
        <v>198</v>
      </c>
      <c r="G13" s="5" t="s">
        <v>36</v>
      </c>
      <c r="H13" s="5" t="s">
        <v>36</v>
      </c>
      <c r="I13" s="5" t="s">
        <v>35</v>
      </c>
      <c r="J13" s="6">
        <v>1.0</v>
      </c>
      <c r="K13" s="6">
        <v>1400.0</v>
      </c>
      <c r="L13" s="6">
        <v>350.0</v>
      </c>
      <c r="M13" s="5" t="s">
        <v>38</v>
      </c>
      <c r="N13" s="5" t="s">
        <v>57</v>
      </c>
      <c r="O13" s="6" t="s">
        <v>136</v>
      </c>
      <c r="P13" s="5" t="s">
        <v>59</v>
      </c>
      <c r="Q13" s="5" t="s">
        <v>122</v>
      </c>
      <c r="R13" s="17" t="s">
        <v>42</v>
      </c>
      <c r="S13" s="5" t="s">
        <v>130</v>
      </c>
      <c r="T13" s="5" t="s">
        <v>202</v>
      </c>
      <c r="U13" s="5" t="s">
        <v>44</v>
      </c>
      <c r="V13" s="5" t="s">
        <v>44</v>
      </c>
      <c r="W13" s="5" t="s">
        <v>36</v>
      </c>
      <c r="X13" s="5" t="s">
        <v>203</v>
      </c>
      <c r="Y13" s="5" t="s">
        <v>47</v>
      </c>
      <c r="Z13" s="5" t="s">
        <v>36</v>
      </c>
      <c r="AA13" s="5" t="s">
        <v>64</v>
      </c>
      <c r="AB13" s="5" t="s">
        <v>225</v>
      </c>
      <c r="AC13" s="6" t="s">
        <v>56</v>
      </c>
      <c r="AD13" s="6">
        <v>1899.0</v>
      </c>
    </row>
    <row r="14" ht="56.25" customHeight="1">
      <c r="A14" s="5" t="s">
        <v>196</v>
      </c>
      <c r="B14" s="6" t="str">
        <f>IMAGE("https://storage.googleapis.com/acdb/wall-mounted/FtrAutograph_Remake_1_1.png")</f>
        <v/>
      </c>
      <c r="C14" s="5" t="s">
        <v>223</v>
      </c>
      <c r="D14" s="5" t="s">
        <v>34</v>
      </c>
      <c r="E14" s="5" t="s">
        <v>210</v>
      </c>
      <c r="F14" s="5" t="s">
        <v>198</v>
      </c>
      <c r="G14" s="5" t="s">
        <v>36</v>
      </c>
      <c r="H14" s="5" t="s">
        <v>36</v>
      </c>
      <c r="I14" s="5" t="s">
        <v>35</v>
      </c>
      <c r="J14" s="6">
        <v>1.0</v>
      </c>
      <c r="K14" s="6">
        <v>1400.0</v>
      </c>
      <c r="L14" s="6">
        <v>350.0</v>
      </c>
      <c r="M14" s="5" t="s">
        <v>38</v>
      </c>
      <c r="N14" s="5" t="s">
        <v>57</v>
      </c>
      <c r="O14" s="6" t="s">
        <v>136</v>
      </c>
      <c r="P14" s="5" t="s">
        <v>59</v>
      </c>
      <c r="Q14" s="5" t="s">
        <v>122</v>
      </c>
      <c r="R14" s="17" t="s">
        <v>42</v>
      </c>
      <c r="S14" s="5" t="s">
        <v>130</v>
      </c>
      <c r="T14" s="5" t="s">
        <v>202</v>
      </c>
      <c r="U14" s="5" t="s">
        <v>44</v>
      </c>
      <c r="V14" s="5" t="s">
        <v>44</v>
      </c>
      <c r="W14" s="5" t="s">
        <v>36</v>
      </c>
      <c r="X14" s="5" t="s">
        <v>203</v>
      </c>
      <c r="Y14" s="5" t="s">
        <v>47</v>
      </c>
      <c r="Z14" s="5" t="s">
        <v>36</v>
      </c>
      <c r="AA14" s="5" t="s">
        <v>64</v>
      </c>
      <c r="AB14" s="5" t="s">
        <v>233</v>
      </c>
      <c r="AC14" s="6" t="s">
        <v>234</v>
      </c>
      <c r="AD14" s="6">
        <v>1899.0</v>
      </c>
    </row>
    <row r="15" ht="56.25" customHeight="1">
      <c r="A15" s="5" t="s">
        <v>196</v>
      </c>
      <c r="B15" s="6" t="str">
        <f>IMAGE("https://storage.googleapis.com/acdb/wall-mounted/FtrAutograph_Remake_2_0.png")</f>
        <v/>
      </c>
      <c r="C15" s="5" t="s">
        <v>237</v>
      </c>
      <c r="D15" s="5" t="s">
        <v>34</v>
      </c>
      <c r="E15" s="5" t="s">
        <v>200</v>
      </c>
      <c r="F15" s="5" t="s">
        <v>198</v>
      </c>
      <c r="G15" s="5" t="s">
        <v>36</v>
      </c>
      <c r="H15" s="5" t="s">
        <v>36</v>
      </c>
      <c r="I15" s="5" t="s">
        <v>35</v>
      </c>
      <c r="J15" s="6">
        <v>1.0</v>
      </c>
      <c r="K15" s="6">
        <v>1400.0</v>
      </c>
      <c r="L15" s="6">
        <v>350.0</v>
      </c>
      <c r="M15" s="5" t="s">
        <v>38</v>
      </c>
      <c r="N15" s="5" t="s">
        <v>57</v>
      </c>
      <c r="O15" s="6" t="s">
        <v>136</v>
      </c>
      <c r="P15" s="5" t="s">
        <v>59</v>
      </c>
      <c r="Q15" s="5" t="s">
        <v>122</v>
      </c>
      <c r="R15" s="17" t="s">
        <v>42</v>
      </c>
      <c r="S15" s="5" t="s">
        <v>130</v>
      </c>
      <c r="T15" s="5" t="s">
        <v>202</v>
      </c>
      <c r="U15" s="5" t="s">
        <v>44</v>
      </c>
      <c r="V15" s="5" t="s">
        <v>44</v>
      </c>
      <c r="W15" s="5" t="s">
        <v>36</v>
      </c>
      <c r="X15" s="5" t="s">
        <v>203</v>
      </c>
      <c r="Y15" s="5" t="s">
        <v>47</v>
      </c>
      <c r="Z15" s="5" t="s">
        <v>36</v>
      </c>
      <c r="AA15" s="5" t="s">
        <v>64</v>
      </c>
      <c r="AB15" s="5" t="s">
        <v>239</v>
      </c>
      <c r="AC15" s="6" t="s">
        <v>67</v>
      </c>
      <c r="AD15" s="6">
        <v>1899.0</v>
      </c>
    </row>
    <row r="16" ht="56.25" customHeight="1">
      <c r="A16" s="5" t="s">
        <v>196</v>
      </c>
      <c r="B16" s="6" t="str">
        <f>IMAGE("https://storage.googleapis.com/acdb/wall-mounted/FtrAutograph_Remake_2_1.png")</f>
        <v/>
      </c>
      <c r="C16" s="5" t="s">
        <v>237</v>
      </c>
      <c r="D16" s="5" t="s">
        <v>34</v>
      </c>
      <c r="E16" s="5" t="s">
        <v>210</v>
      </c>
      <c r="F16" s="5" t="s">
        <v>198</v>
      </c>
      <c r="G16" s="5" t="s">
        <v>36</v>
      </c>
      <c r="H16" s="5" t="s">
        <v>36</v>
      </c>
      <c r="I16" s="5" t="s">
        <v>35</v>
      </c>
      <c r="J16" s="6">
        <v>1.0</v>
      </c>
      <c r="K16" s="6">
        <v>1400.0</v>
      </c>
      <c r="L16" s="6">
        <v>350.0</v>
      </c>
      <c r="M16" s="5" t="s">
        <v>38</v>
      </c>
      <c r="N16" s="5" t="s">
        <v>57</v>
      </c>
      <c r="O16" s="6" t="s">
        <v>136</v>
      </c>
      <c r="P16" s="5" t="s">
        <v>59</v>
      </c>
      <c r="Q16" s="5" t="s">
        <v>122</v>
      </c>
      <c r="R16" s="17" t="s">
        <v>42</v>
      </c>
      <c r="S16" s="5" t="s">
        <v>130</v>
      </c>
      <c r="T16" s="5" t="s">
        <v>202</v>
      </c>
      <c r="U16" s="5" t="s">
        <v>44</v>
      </c>
      <c r="V16" s="5" t="s">
        <v>44</v>
      </c>
      <c r="W16" s="5" t="s">
        <v>36</v>
      </c>
      <c r="X16" s="5" t="s">
        <v>203</v>
      </c>
      <c r="Y16" s="5" t="s">
        <v>47</v>
      </c>
      <c r="Z16" s="5" t="s">
        <v>36</v>
      </c>
      <c r="AA16" s="5" t="s">
        <v>64</v>
      </c>
      <c r="AB16" s="5" t="s">
        <v>245</v>
      </c>
      <c r="AC16" s="6" t="s">
        <v>247</v>
      </c>
      <c r="AD16" s="6">
        <v>1899.0</v>
      </c>
    </row>
    <row r="17" ht="56.25" customHeight="1">
      <c r="A17" s="5" t="s">
        <v>196</v>
      </c>
      <c r="B17" s="6" t="str">
        <f>IMAGE("https://storage.googleapis.com/acdb/wall-mounted/FtrAutograph_Remake_3_0.png")</f>
        <v/>
      </c>
      <c r="C17" s="5" t="s">
        <v>250</v>
      </c>
      <c r="D17" s="5" t="s">
        <v>34</v>
      </c>
      <c r="E17" s="5" t="s">
        <v>200</v>
      </c>
      <c r="F17" s="5" t="s">
        <v>198</v>
      </c>
      <c r="G17" s="5" t="s">
        <v>36</v>
      </c>
      <c r="H17" s="5" t="s">
        <v>36</v>
      </c>
      <c r="I17" s="5" t="s">
        <v>35</v>
      </c>
      <c r="J17" s="6">
        <v>1.0</v>
      </c>
      <c r="K17" s="6">
        <v>1400.0</v>
      </c>
      <c r="L17" s="6">
        <v>350.0</v>
      </c>
      <c r="M17" s="5" t="s">
        <v>38</v>
      </c>
      <c r="N17" s="5" t="s">
        <v>57</v>
      </c>
      <c r="O17" s="6" t="s">
        <v>136</v>
      </c>
      <c r="P17" s="5" t="s">
        <v>59</v>
      </c>
      <c r="Q17" s="5" t="s">
        <v>122</v>
      </c>
      <c r="R17" s="17" t="s">
        <v>42</v>
      </c>
      <c r="S17" s="5" t="s">
        <v>130</v>
      </c>
      <c r="T17" s="5" t="s">
        <v>202</v>
      </c>
      <c r="U17" s="5" t="s">
        <v>44</v>
      </c>
      <c r="V17" s="5" t="s">
        <v>44</v>
      </c>
      <c r="W17" s="5" t="s">
        <v>36</v>
      </c>
      <c r="X17" s="5" t="s">
        <v>203</v>
      </c>
      <c r="Y17" s="5" t="s">
        <v>47</v>
      </c>
      <c r="Z17" s="5" t="s">
        <v>36</v>
      </c>
      <c r="AA17" s="5" t="s">
        <v>64</v>
      </c>
      <c r="AB17" s="5" t="s">
        <v>253</v>
      </c>
      <c r="AC17" s="6" t="s">
        <v>71</v>
      </c>
      <c r="AD17" s="6">
        <v>1899.0</v>
      </c>
    </row>
    <row r="18" ht="56.25" customHeight="1">
      <c r="A18" s="5" t="s">
        <v>196</v>
      </c>
      <c r="B18" s="6" t="str">
        <f>IMAGE("https://storage.googleapis.com/acdb/wall-mounted/FtrAutograph_Remake_3_1.png")</f>
        <v/>
      </c>
      <c r="C18" s="5" t="s">
        <v>250</v>
      </c>
      <c r="D18" s="5" t="s">
        <v>34</v>
      </c>
      <c r="E18" s="5" t="s">
        <v>210</v>
      </c>
      <c r="F18" s="5" t="s">
        <v>198</v>
      </c>
      <c r="G18" s="5" t="s">
        <v>36</v>
      </c>
      <c r="H18" s="5" t="s">
        <v>36</v>
      </c>
      <c r="I18" s="5" t="s">
        <v>35</v>
      </c>
      <c r="J18" s="6">
        <v>1.0</v>
      </c>
      <c r="K18" s="6">
        <v>1400.0</v>
      </c>
      <c r="L18" s="6">
        <v>350.0</v>
      </c>
      <c r="M18" s="5" t="s">
        <v>38</v>
      </c>
      <c r="N18" s="5" t="s">
        <v>57</v>
      </c>
      <c r="O18" s="6" t="s">
        <v>136</v>
      </c>
      <c r="P18" s="5" t="s">
        <v>59</v>
      </c>
      <c r="Q18" s="5" t="s">
        <v>122</v>
      </c>
      <c r="R18" s="17" t="s">
        <v>42</v>
      </c>
      <c r="S18" s="5" t="s">
        <v>130</v>
      </c>
      <c r="T18" s="5" t="s">
        <v>202</v>
      </c>
      <c r="U18" s="5" t="s">
        <v>44</v>
      </c>
      <c r="V18" s="5" t="s">
        <v>44</v>
      </c>
      <c r="W18" s="5" t="s">
        <v>36</v>
      </c>
      <c r="X18" s="5" t="s">
        <v>203</v>
      </c>
      <c r="Y18" s="5" t="s">
        <v>47</v>
      </c>
      <c r="Z18" s="5" t="s">
        <v>36</v>
      </c>
      <c r="AA18" s="5" t="s">
        <v>64</v>
      </c>
      <c r="AB18" s="5" t="s">
        <v>256</v>
      </c>
      <c r="AC18" s="6" t="s">
        <v>257</v>
      </c>
      <c r="AD18" s="6">
        <v>1899.0</v>
      </c>
    </row>
    <row r="19" ht="56.25" customHeight="1">
      <c r="A19" s="5" t="s">
        <v>259</v>
      </c>
      <c r="B19" s="6" t="str">
        <f>IMAGE("https://storage.googleapis.com/acdb/wall-mounted/FtrBambooFlowerwall_Remake_0_0.png")</f>
        <v/>
      </c>
      <c r="C19" s="5" t="s">
        <v>261</v>
      </c>
      <c r="D19" s="5" t="s">
        <v>262</v>
      </c>
      <c r="E19" s="5" t="s">
        <v>34</v>
      </c>
      <c r="F19" s="5" t="s">
        <v>34</v>
      </c>
      <c r="G19" s="5" t="s">
        <v>35</v>
      </c>
      <c r="H19" s="5" t="s">
        <v>35</v>
      </c>
      <c r="I19" s="5" t="s">
        <v>36</v>
      </c>
      <c r="J19" s="6">
        <v>1.0</v>
      </c>
      <c r="K19" s="6" t="s">
        <v>37</v>
      </c>
      <c r="L19" s="6">
        <v>160.0</v>
      </c>
      <c r="M19" s="5" t="s">
        <v>96</v>
      </c>
      <c r="N19" s="5" t="s">
        <v>52</v>
      </c>
      <c r="O19" s="6" t="s">
        <v>264</v>
      </c>
      <c r="P19" s="5" t="s">
        <v>41</v>
      </c>
      <c r="Q19" s="5" t="s">
        <v>265</v>
      </c>
      <c r="R19" s="17" t="s">
        <v>42</v>
      </c>
      <c r="S19" s="5" t="s">
        <v>266</v>
      </c>
      <c r="T19" s="5" t="s">
        <v>44</v>
      </c>
      <c r="U19" s="5" t="s">
        <v>267</v>
      </c>
      <c r="V19" s="5" t="s">
        <v>44</v>
      </c>
      <c r="W19" s="5" t="s">
        <v>36</v>
      </c>
      <c r="X19" s="5" t="s">
        <v>244</v>
      </c>
      <c r="Y19" s="5" t="s">
        <v>47</v>
      </c>
      <c r="Z19" s="5" t="s">
        <v>36</v>
      </c>
      <c r="AA19" s="5" t="s">
        <v>48</v>
      </c>
      <c r="AB19" s="5" t="s">
        <v>268</v>
      </c>
      <c r="AC19" s="6" t="s">
        <v>50</v>
      </c>
      <c r="AD19" s="6">
        <v>3558.0</v>
      </c>
    </row>
    <row r="20" ht="56.25" customHeight="1">
      <c r="A20" s="5" t="s">
        <v>259</v>
      </c>
      <c r="B20" s="6" t="str">
        <f>IMAGE("https://storage.googleapis.com/acdb/wall-mounted/FtrBambooFlowerwall_Remake_1_0.png")</f>
        <v/>
      </c>
      <c r="C20" s="5" t="s">
        <v>271</v>
      </c>
      <c r="D20" s="5" t="s">
        <v>262</v>
      </c>
      <c r="E20" s="5" t="s">
        <v>34</v>
      </c>
      <c r="F20" s="5" t="s">
        <v>34</v>
      </c>
      <c r="G20" s="5" t="s">
        <v>35</v>
      </c>
      <c r="H20" s="5" t="s">
        <v>35</v>
      </c>
      <c r="I20" s="5" t="s">
        <v>36</v>
      </c>
      <c r="J20" s="6">
        <v>1.0</v>
      </c>
      <c r="K20" s="6" t="s">
        <v>37</v>
      </c>
      <c r="L20" s="6">
        <v>160.0</v>
      </c>
      <c r="M20" s="5" t="s">
        <v>114</v>
      </c>
      <c r="N20" s="5" t="s">
        <v>52</v>
      </c>
      <c r="O20" s="6" t="s">
        <v>264</v>
      </c>
      <c r="P20" s="5" t="s">
        <v>41</v>
      </c>
      <c r="Q20" s="5" t="s">
        <v>265</v>
      </c>
      <c r="R20" s="17" t="s">
        <v>42</v>
      </c>
      <c r="S20" s="5" t="s">
        <v>266</v>
      </c>
      <c r="T20" s="5" t="s">
        <v>44</v>
      </c>
      <c r="U20" s="5" t="s">
        <v>267</v>
      </c>
      <c r="V20" s="5" t="s">
        <v>44</v>
      </c>
      <c r="W20" s="5" t="s">
        <v>36</v>
      </c>
      <c r="X20" s="5" t="s">
        <v>244</v>
      </c>
      <c r="Y20" s="5" t="s">
        <v>47</v>
      </c>
      <c r="Z20" s="5" t="s">
        <v>36</v>
      </c>
      <c r="AA20" s="5" t="s">
        <v>48</v>
      </c>
      <c r="AB20" s="5" t="s">
        <v>274</v>
      </c>
      <c r="AC20" s="6" t="s">
        <v>56</v>
      </c>
      <c r="AD20" s="6">
        <v>3558.0</v>
      </c>
    </row>
    <row r="21" ht="56.25" customHeight="1">
      <c r="A21" s="5" t="s">
        <v>259</v>
      </c>
      <c r="B21" s="6" t="str">
        <f>IMAGE("https://storage.googleapis.com/acdb/wall-mounted/FtrBambooFlowerwall_Remake_2_0.png")</f>
        <v/>
      </c>
      <c r="C21" s="5" t="s">
        <v>279</v>
      </c>
      <c r="D21" s="5" t="s">
        <v>262</v>
      </c>
      <c r="E21" s="5" t="s">
        <v>34</v>
      </c>
      <c r="F21" s="5" t="s">
        <v>34</v>
      </c>
      <c r="G21" s="5" t="s">
        <v>35</v>
      </c>
      <c r="H21" s="5" t="s">
        <v>35</v>
      </c>
      <c r="I21" s="5" t="s">
        <v>36</v>
      </c>
      <c r="J21" s="6">
        <v>1.0</v>
      </c>
      <c r="K21" s="6" t="s">
        <v>37</v>
      </c>
      <c r="L21" s="6">
        <v>160.0</v>
      </c>
      <c r="M21" s="5" t="s">
        <v>39</v>
      </c>
      <c r="N21" s="5" t="s">
        <v>96</v>
      </c>
      <c r="O21" s="6" t="s">
        <v>264</v>
      </c>
      <c r="P21" s="5" t="s">
        <v>41</v>
      </c>
      <c r="Q21" s="5" t="s">
        <v>265</v>
      </c>
      <c r="R21" s="17" t="s">
        <v>42</v>
      </c>
      <c r="S21" s="5" t="s">
        <v>266</v>
      </c>
      <c r="T21" s="5" t="s">
        <v>44</v>
      </c>
      <c r="U21" s="5" t="s">
        <v>267</v>
      </c>
      <c r="V21" s="5" t="s">
        <v>44</v>
      </c>
      <c r="W21" s="5" t="s">
        <v>36</v>
      </c>
      <c r="X21" s="5" t="s">
        <v>244</v>
      </c>
      <c r="Y21" s="5" t="s">
        <v>47</v>
      </c>
      <c r="Z21" s="5" t="s">
        <v>36</v>
      </c>
      <c r="AA21" s="5" t="s">
        <v>48</v>
      </c>
      <c r="AB21" s="5" t="s">
        <v>283</v>
      </c>
      <c r="AC21" s="6" t="s">
        <v>67</v>
      </c>
      <c r="AD21" s="6">
        <v>3558.0</v>
      </c>
    </row>
    <row r="22" ht="56.25" customHeight="1">
      <c r="A22" s="5" t="s">
        <v>285</v>
      </c>
      <c r="B22" s="6" t="str">
        <f>IMAGE("https://storage.googleapis.com/acdb/wall-mounted/FtrTowelrackWall_Remake_0_0.png")</f>
        <v/>
      </c>
      <c r="C22" s="5" t="s">
        <v>146</v>
      </c>
      <c r="D22" s="5" t="s">
        <v>34</v>
      </c>
      <c r="E22" s="5" t="s">
        <v>34</v>
      </c>
      <c r="F22" s="5" t="s">
        <v>34</v>
      </c>
      <c r="G22" s="5" t="s">
        <v>36</v>
      </c>
      <c r="H22" s="5" t="s">
        <v>36</v>
      </c>
      <c r="I22" s="5" t="s">
        <v>36</v>
      </c>
      <c r="J22" s="6" t="s">
        <v>34</v>
      </c>
      <c r="K22" s="6">
        <v>1400.0</v>
      </c>
      <c r="L22" s="6">
        <v>350.0</v>
      </c>
      <c r="M22" s="5" t="s">
        <v>95</v>
      </c>
      <c r="N22" s="5" t="s">
        <v>57</v>
      </c>
      <c r="O22" s="6" t="s">
        <v>179</v>
      </c>
      <c r="P22" s="5" t="s">
        <v>59</v>
      </c>
      <c r="Q22" s="5" t="s">
        <v>89</v>
      </c>
      <c r="R22" s="17" t="s">
        <v>42</v>
      </c>
      <c r="S22" s="5" t="s">
        <v>288</v>
      </c>
      <c r="T22" s="5" t="s">
        <v>44</v>
      </c>
      <c r="U22" s="5" t="s">
        <v>44</v>
      </c>
      <c r="V22" s="5" t="s">
        <v>44</v>
      </c>
      <c r="W22" s="5" t="s">
        <v>36</v>
      </c>
      <c r="X22" s="5" t="s">
        <v>289</v>
      </c>
      <c r="Y22" s="5" t="s">
        <v>47</v>
      </c>
      <c r="Z22" s="5" t="s">
        <v>36</v>
      </c>
      <c r="AA22" s="5" t="s">
        <v>64</v>
      </c>
      <c r="AB22" s="5" t="s">
        <v>290</v>
      </c>
      <c r="AC22" s="6" t="s">
        <v>50</v>
      </c>
      <c r="AD22" s="6">
        <v>4030.0</v>
      </c>
    </row>
    <row r="23" ht="56.25" customHeight="1">
      <c r="A23" s="5" t="s">
        <v>285</v>
      </c>
      <c r="B23" s="6" t="str">
        <f>IMAGE("https://storage.googleapis.com/acdb/wall-mounted/FtrTowelrackWall_Remake_1_0.png")</f>
        <v/>
      </c>
      <c r="C23" s="5" t="s">
        <v>151</v>
      </c>
      <c r="D23" s="5" t="s">
        <v>34</v>
      </c>
      <c r="E23" s="5" t="s">
        <v>34</v>
      </c>
      <c r="F23" s="5" t="s">
        <v>34</v>
      </c>
      <c r="G23" s="5" t="s">
        <v>36</v>
      </c>
      <c r="H23" s="5" t="s">
        <v>36</v>
      </c>
      <c r="I23" s="5" t="s">
        <v>36</v>
      </c>
      <c r="J23" s="6" t="s">
        <v>34</v>
      </c>
      <c r="K23" s="6">
        <v>1400.0</v>
      </c>
      <c r="L23" s="6">
        <v>350.0</v>
      </c>
      <c r="M23" s="5" t="s">
        <v>114</v>
      </c>
      <c r="N23" s="5" t="s">
        <v>39</v>
      </c>
      <c r="O23" s="6" t="s">
        <v>179</v>
      </c>
      <c r="P23" s="5" t="s">
        <v>59</v>
      </c>
      <c r="Q23" s="5" t="s">
        <v>89</v>
      </c>
      <c r="R23" s="17" t="s">
        <v>42</v>
      </c>
      <c r="S23" s="5" t="s">
        <v>288</v>
      </c>
      <c r="T23" s="5" t="s">
        <v>44</v>
      </c>
      <c r="U23" s="5" t="s">
        <v>44</v>
      </c>
      <c r="V23" s="5" t="s">
        <v>44</v>
      </c>
      <c r="W23" s="5" t="s">
        <v>36</v>
      </c>
      <c r="X23" s="5" t="s">
        <v>289</v>
      </c>
      <c r="Y23" s="5" t="s">
        <v>47</v>
      </c>
      <c r="Z23" s="5" t="s">
        <v>36</v>
      </c>
      <c r="AA23" s="5" t="s">
        <v>64</v>
      </c>
      <c r="AB23" s="5" t="s">
        <v>294</v>
      </c>
      <c r="AC23" s="6" t="s">
        <v>56</v>
      </c>
      <c r="AD23" s="6">
        <v>4030.0</v>
      </c>
    </row>
    <row r="24" ht="56.25" customHeight="1">
      <c r="A24" s="5" t="s">
        <v>285</v>
      </c>
      <c r="B24" s="6" t="str">
        <f>IMAGE("https://storage.googleapis.com/acdb/wall-mounted/FtrTowelrackWall_Remake_2_0.png")</f>
        <v/>
      </c>
      <c r="C24" s="5" t="s">
        <v>296</v>
      </c>
      <c r="D24" s="5" t="s">
        <v>34</v>
      </c>
      <c r="E24" s="5" t="s">
        <v>34</v>
      </c>
      <c r="F24" s="5" t="s">
        <v>34</v>
      </c>
      <c r="G24" s="5" t="s">
        <v>36</v>
      </c>
      <c r="H24" s="5" t="s">
        <v>36</v>
      </c>
      <c r="I24" s="5" t="s">
        <v>36</v>
      </c>
      <c r="J24" s="6" t="s">
        <v>34</v>
      </c>
      <c r="K24" s="6">
        <v>1400.0</v>
      </c>
      <c r="L24" s="6">
        <v>350.0</v>
      </c>
      <c r="M24" s="5" t="s">
        <v>39</v>
      </c>
      <c r="N24" s="5" t="s">
        <v>69</v>
      </c>
      <c r="O24" s="6" t="s">
        <v>179</v>
      </c>
      <c r="P24" s="5" t="s">
        <v>59</v>
      </c>
      <c r="Q24" s="5" t="s">
        <v>89</v>
      </c>
      <c r="R24" s="17" t="s">
        <v>42</v>
      </c>
      <c r="S24" s="5" t="s">
        <v>288</v>
      </c>
      <c r="T24" s="5" t="s">
        <v>44</v>
      </c>
      <c r="U24" s="5" t="s">
        <v>44</v>
      </c>
      <c r="V24" s="5" t="s">
        <v>44</v>
      </c>
      <c r="W24" s="5" t="s">
        <v>36</v>
      </c>
      <c r="X24" s="5" t="s">
        <v>289</v>
      </c>
      <c r="Y24" s="5" t="s">
        <v>47</v>
      </c>
      <c r="Z24" s="5" t="s">
        <v>36</v>
      </c>
      <c r="AA24" s="5" t="s">
        <v>64</v>
      </c>
      <c r="AB24" s="5" t="s">
        <v>299</v>
      </c>
      <c r="AC24" s="6" t="s">
        <v>67</v>
      </c>
      <c r="AD24" s="6">
        <v>4030.0</v>
      </c>
    </row>
    <row r="25" ht="56.25" customHeight="1">
      <c r="A25" s="5" t="s">
        <v>285</v>
      </c>
      <c r="B25" s="6" t="str">
        <f>IMAGE("https://storage.googleapis.com/acdb/wall-mounted/FtrTowelrackWall_Remake_3_0.png")</f>
        <v/>
      </c>
      <c r="C25" s="5" t="s">
        <v>54</v>
      </c>
      <c r="D25" s="5" t="s">
        <v>34</v>
      </c>
      <c r="E25" s="5" t="s">
        <v>34</v>
      </c>
      <c r="F25" s="5" t="s">
        <v>34</v>
      </c>
      <c r="G25" s="5" t="s">
        <v>36</v>
      </c>
      <c r="H25" s="5" t="s">
        <v>36</v>
      </c>
      <c r="I25" s="5" t="s">
        <v>36</v>
      </c>
      <c r="J25" s="6" t="s">
        <v>34</v>
      </c>
      <c r="K25" s="6">
        <v>1400.0</v>
      </c>
      <c r="L25" s="6">
        <v>350.0</v>
      </c>
      <c r="M25" s="5" t="s">
        <v>54</v>
      </c>
      <c r="N25" s="5" t="s">
        <v>95</v>
      </c>
      <c r="O25" s="6" t="s">
        <v>179</v>
      </c>
      <c r="P25" s="5" t="s">
        <v>59</v>
      </c>
      <c r="Q25" s="5" t="s">
        <v>89</v>
      </c>
      <c r="R25" s="17" t="s">
        <v>42</v>
      </c>
      <c r="S25" s="5" t="s">
        <v>288</v>
      </c>
      <c r="T25" s="5" t="s">
        <v>44</v>
      </c>
      <c r="U25" s="5" t="s">
        <v>44</v>
      </c>
      <c r="V25" s="5" t="s">
        <v>44</v>
      </c>
      <c r="W25" s="5" t="s">
        <v>36</v>
      </c>
      <c r="X25" s="5" t="s">
        <v>289</v>
      </c>
      <c r="Y25" s="5" t="s">
        <v>47</v>
      </c>
      <c r="Z25" s="5" t="s">
        <v>36</v>
      </c>
      <c r="AA25" s="5" t="s">
        <v>64</v>
      </c>
      <c r="AB25" s="5" t="s">
        <v>304</v>
      </c>
      <c r="AC25" s="6" t="s">
        <v>71</v>
      </c>
      <c r="AD25" s="6">
        <v>4030.0</v>
      </c>
    </row>
    <row r="26" ht="56.25" customHeight="1">
      <c r="A26" s="5" t="s">
        <v>305</v>
      </c>
      <c r="B26" s="6" t="str">
        <f>image("https://storage.googleapis.com/acdb/wall-mounted/FtrDoorOrnamentWreathRoseUrtraRare.png")</f>
        <v/>
      </c>
      <c r="C26" s="5" t="s">
        <v>34</v>
      </c>
      <c r="D26" s="5" t="s">
        <v>34</v>
      </c>
      <c r="E26" s="5" t="s">
        <v>34</v>
      </c>
      <c r="F26" s="5" t="s">
        <v>34</v>
      </c>
      <c r="G26" s="5" t="s">
        <v>35</v>
      </c>
      <c r="H26" s="5" t="s">
        <v>36</v>
      </c>
      <c r="I26" s="5" t="s">
        <v>36</v>
      </c>
      <c r="J26" s="6" t="s">
        <v>34</v>
      </c>
      <c r="K26" s="6" t="s">
        <v>37</v>
      </c>
      <c r="L26" s="6">
        <v>20000.0</v>
      </c>
      <c r="M26" s="5" t="s">
        <v>68</v>
      </c>
      <c r="N26" s="5" t="s">
        <v>68</v>
      </c>
      <c r="O26" s="6" t="s">
        <v>179</v>
      </c>
      <c r="P26" s="5" t="s">
        <v>41</v>
      </c>
      <c r="Q26" s="5"/>
      <c r="R26" s="17" t="s">
        <v>42</v>
      </c>
      <c r="S26" s="5" t="s">
        <v>61</v>
      </c>
      <c r="T26" s="5" t="s">
        <v>44</v>
      </c>
      <c r="U26" s="5" t="s">
        <v>311</v>
      </c>
      <c r="V26" s="5" t="s">
        <v>44</v>
      </c>
      <c r="W26" s="5" t="s">
        <v>36</v>
      </c>
      <c r="X26" s="5" t="s">
        <v>312</v>
      </c>
      <c r="Y26" s="5" t="s">
        <v>47</v>
      </c>
      <c r="Z26" s="5" t="s">
        <v>35</v>
      </c>
      <c r="AA26" s="5" t="s">
        <v>48</v>
      </c>
      <c r="AB26" s="5" t="s">
        <v>314</v>
      </c>
      <c r="AC26" s="6" t="s">
        <v>34</v>
      </c>
      <c r="AD26" s="6">
        <v>5772.0</v>
      </c>
    </row>
    <row r="27" ht="56.25" customHeight="1">
      <c r="A27" s="5" t="s">
        <v>315</v>
      </c>
      <c r="B27" s="6" t="str">
        <f>IMAGE("https://storage.googleapis.com/acdb/wall-mounted/FtrDoorPlateBone_Remake_0_0.png")</f>
        <v/>
      </c>
      <c r="C27" s="5" t="s">
        <v>39</v>
      </c>
      <c r="D27" s="5" t="s">
        <v>135</v>
      </c>
      <c r="E27" s="5" t="s">
        <v>34</v>
      </c>
      <c r="F27" s="5" t="s">
        <v>34</v>
      </c>
      <c r="G27" s="5" t="s">
        <v>35</v>
      </c>
      <c r="H27" s="5" t="s">
        <v>35</v>
      </c>
      <c r="I27" s="5" t="s">
        <v>36</v>
      </c>
      <c r="J27" s="6">
        <v>1.0</v>
      </c>
      <c r="K27" s="6" t="s">
        <v>37</v>
      </c>
      <c r="L27" s="6">
        <v>360.0</v>
      </c>
      <c r="M27" s="5" t="s">
        <v>39</v>
      </c>
      <c r="N27" s="5" t="s">
        <v>38</v>
      </c>
      <c r="O27" s="6" t="s">
        <v>179</v>
      </c>
      <c r="P27" s="5" t="s">
        <v>41</v>
      </c>
      <c r="Q27" s="5"/>
      <c r="R27" s="17" t="s">
        <v>42</v>
      </c>
      <c r="S27" s="5" t="s">
        <v>99</v>
      </c>
      <c r="T27" s="5" t="s">
        <v>90</v>
      </c>
      <c r="U27" s="5" t="s">
        <v>44</v>
      </c>
      <c r="V27" s="5" t="s">
        <v>44</v>
      </c>
      <c r="W27" s="5" t="s">
        <v>36</v>
      </c>
      <c r="X27" s="5" t="s">
        <v>312</v>
      </c>
      <c r="Y27" s="5" t="s">
        <v>47</v>
      </c>
      <c r="Z27" s="5" t="s">
        <v>35</v>
      </c>
      <c r="AA27" s="5" t="s">
        <v>48</v>
      </c>
      <c r="AB27" s="5" t="s">
        <v>320</v>
      </c>
      <c r="AC27" s="6" t="s">
        <v>50</v>
      </c>
      <c r="AD27" s="6">
        <v>4751.0</v>
      </c>
    </row>
    <row r="28" ht="56.25" customHeight="1">
      <c r="A28" s="5" t="s">
        <v>315</v>
      </c>
      <c r="B28" s="6" t="str">
        <f>IMAGE("https://storage.googleapis.com/acdb/wall-mounted/FtrDoorPlateBone_Remake_1_0.png")</f>
        <v/>
      </c>
      <c r="C28" s="5" t="s">
        <v>57</v>
      </c>
      <c r="D28" s="5" t="s">
        <v>135</v>
      </c>
      <c r="E28" s="5" t="s">
        <v>34</v>
      </c>
      <c r="F28" s="5" t="s">
        <v>34</v>
      </c>
      <c r="G28" s="5" t="s">
        <v>35</v>
      </c>
      <c r="H28" s="5" t="s">
        <v>35</v>
      </c>
      <c r="I28" s="5" t="s">
        <v>36</v>
      </c>
      <c r="J28" s="6">
        <v>1.0</v>
      </c>
      <c r="K28" s="6" t="s">
        <v>37</v>
      </c>
      <c r="L28" s="6">
        <v>360.0</v>
      </c>
      <c r="M28" s="5" t="s">
        <v>57</v>
      </c>
      <c r="N28" s="5" t="s">
        <v>52</v>
      </c>
      <c r="O28" s="6" t="s">
        <v>179</v>
      </c>
      <c r="P28" s="5" t="s">
        <v>41</v>
      </c>
      <c r="Q28" s="5"/>
      <c r="R28" s="17" t="s">
        <v>42</v>
      </c>
      <c r="S28" s="5" t="s">
        <v>99</v>
      </c>
      <c r="T28" s="5" t="s">
        <v>90</v>
      </c>
      <c r="U28" s="5" t="s">
        <v>44</v>
      </c>
      <c r="V28" s="5" t="s">
        <v>44</v>
      </c>
      <c r="W28" s="5" t="s">
        <v>36</v>
      </c>
      <c r="X28" s="5" t="s">
        <v>312</v>
      </c>
      <c r="Y28" s="5" t="s">
        <v>47</v>
      </c>
      <c r="Z28" s="5" t="s">
        <v>35</v>
      </c>
      <c r="AA28" s="5" t="s">
        <v>48</v>
      </c>
      <c r="AB28" s="5" t="s">
        <v>326</v>
      </c>
      <c r="AC28" s="6" t="s">
        <v>56</v>
      </c>
      <c r="AD28" s="6">
        <v>4751.0</v>
      </c>
    </row>
    <row r="29" ht="56.25" customHeight="1">
      <c r="A29" s="5" t="s">
        <v>315</v>
      </c>
      <c r="B29" s="6" t="str">
        <f>IMAGE("https://storage.googleapis.com/acdb/wall-mounted/FtrDoorPlateBone_Remake_2_0.png")</f>
        <v/>
      </c>
      <c r="C29" s="5" t="s">
        <v>54</v>
      </c>
      <c r="D29" s="5" t="s">
        <v>135</v>
      </c>
      <c r="E29" s="5" t="s">
        <v>34</v>
      </c>
      <c r="F29" s="5" t="s">
        <v>34</v>
      </c>
      <c r="G29" s="5" t="s">
        <v>35</v>
      </c>
      <c r="H29" s="5" t="s">
        <v>35</v>
      </c>
      <c r="I29" s="5" t="s">
        <v>36</v>
      </c>
      <c r="J29" s="6">
        <v>1.0</v>
      </c>
      <c r="K29" s="6" t="s">
        <v>37</v>
      </c>
      <c r="L29" s="6">
        <v>360.0</v>
      </c>
      <c r="M29" s="5" t="s">
        <v>54</v>
      </c>
      <c r="N29" s="5" t="s">
        <v>38</v>
      </c>
      <c r="O29" s="6" t="s">
        <v>179</v>
      </c>
      <c r="P29" s="5" t="s">
        <v>41</v>
      </c>
      <c r="Q29" s="5"/>
      <c r="R29" s="17" t="s">
        <v>42</v>
      </c>
      <c r="S29" s="5" t="s">
        <v>99</v>
      </c>
      <c r="T29" s="5" t="s">
        <v>90</v>
      </c>
      <c r="U29" s="5" t="s">
        <v>44</v>
      </c>
      <c r="V29" s="5" t="s">
        <v>44</v>
      </c>
      <c r="W29" s="5" t="s">
        <v>36</v>
      </c>
      <c r="X29" s="5" t="s">
        <v>312</v>
      </c>
      <c r="Y29" s="5" t="s">
        <v>47</v>
      </c>
      <c r="Z29" s="5" t="s">
        <v>35</v>
      </c>
      <c r="AA29" s="5" t="s">
        <v>48</v>
      </c>
      <c r="AB29" s="5" t="s">
        <v>332</v>
      </c>
      <c r="AC29" s="6" t="s">
        <v>67</v>
      </c>
      <c r="AD29" s="6">
        <v>4751.0</v>
      </c>
    </row>
    <row r="30" ht="56.25" customHeight="1">
      <c r="A30" s="5" t="s">
        <v>315</v>
      </c>
      <c r="B30" s="6" t="str">
        <f>IMAGE("https://storage.googleapis.com/acdb/wall-mounted/FtrDoorPlateBone_Remake_3_0.png")</f>
        <v/>
      </c>
      <c r="C30" s="5" t="s">
        <v>69</v>
      </c>
      <c r="D30" s="5" t="s">
        <v>135</v>
      </c>
      <c r="E30" s="5" t="s">
        <v>34</v>
      </c>
      <c r="F30" s="5" t="s">
        <v>34</v>
      </c>
      <c r="G30" s="5" t="s">
        <v>35</v>
      </c>
      <c r="H30" s="5" t="s">
        <v>35</v>
      </c>
      <c r="I30" s="5" t="s">
        <v>36</v>
      </c>
      <c r="J30" s="6">
        <v>1.0</v>
      </c>
      <c r="K30" s="6" t="s">
        <v>37</v>
      </c>
      <c r="L30" s="6">
        <v>360.0</v>
      </c>
      <c r="M30" s="5" t="s">
        <v>69</v>
      </c>
      <c r="N30" s="5" t="s">
        <v>52</v>
      </c>
      <c r="O30" s="6" t="s">
        <v>179</v>
      </c>
      <c r="P30" s="5" t="s">
        <v>41</v>
      </c>
      <c r="Q30" s="5"/>
      <c r="R30" s="17" t="s">
        <v>42</v>
      </c>
      <c r="S30" s="5" t="s">
        <v>99</v>
      </c>
      <c r="T30" s="5" t="s">
        <v>90</v>
      </c>
      <c r="U30" s="5" t="s">
        <v>44</v>
      </c>
      <c r="V30" s="5" t="s">
        <v>44</v>
      </c>
      <c r="W30" s="5" t="s">
        <v>36</v>
      </c>
      <c r="X30" s="5" t="s">
        <v>312</v>
      </c>
      <c r="Y30" s="5" t="s">
        <v>47</v>
      </c>
      <c r="Z30" s="5" t="s">
        <v>35</v>
      </c>
      <c r="AA30" s="5" t="s">
        <v>48</v>
      </c>
      <c r="AB30" s="5" t="s">
        <v>343</v>
      </c>
      <c r="AC30" s="6" t="s">
        <v>71</v>
      </c>
      <c r="AD30" s="6">
        <v>4751.0</v>
      </c>
    </row>
    <row r="31" ht="56.25" customHeight="1">
      <c r="A31" s="5" t="s">
        <v>315</v>
      </c>
      <c r="B31" s="6" t="str">
        <f>IMAGE("https://storage.googleapis.com/acdb/wall-mounted/FtrDoorPlateBone_Remake_4_0.png")</f>
        <v/>
      </c>
      <c r="C31" s="5" t="s">
        <v>52</v>
      </c>
      <c r="D31" s="5" t="s">
        <v>135</v>
      </c>
      <c r="E31" s="5" t="s">
        <v>34</v>
      </c>
      <c r="F31" s="5" t="s">
        <v>34</v>
      </c>
      <c r="G31" s="5" t="s">
        <v>35</v>
      </c>
      <c r="H31" s="5" t="s">
        <v>35</v>
      </c>
      <c r="I31" s="5" t="s">
        <v>36</v>
      </c>
      <c r="J31" s="6">
        <v>1.0</v>
      </c>
      <c r="K31" s="6" t="s">
        <v>37</v>
      </c>
      <c r="L31" s="6">
        <v>360.0</v>
      </c>
      <c r="M31" s="5" t="s">
        <v>52</v>
      </c>
      <c r="N31" s="5" t="s">
        <v>38</v>
      </c>
      <c r="O31" s="6" t="s">
        <v>179</v>
      </c>
      <c r="P31" s="5" t="s">
        <v>41</v>
      </c>
      <c r="Q31" s="5"/>
      <c r="R31" s="17" t="s">
        <v>42</v>
      </c>
      <c r="S31" s="5" t="s">
        <v>99</v>
      </c>
      <c r="T31" s="5" t="s">
        <v>90</v>
      </c>
      <c r="U31" s="5" t="s">
        <v>44</v>
      </c>
      <c r="V31" s="5" t="s">
        <v>44</v>
      </c>
      <c r="W31" s="5" t="s">
        <v>36</v>
      </c>
      <c r="X31" s="5" t="s">
        <v>312</v>
      </c>
      <c r="Y31" s="5" t="s">
        <v>47</v>
      </c>
      <c r="Z31" s="5" t="s">
        <v>35</v>
      </c>
      <c r="AA31" s="5" t="s">
        <v>48</v>
      </c>
      <c r="AB31" s="5" t="s">
        <v>350</v>
      </c>
      <c r="AC31" s="6" t="s">
        <v>75</v>
      </c>
      <c r="AD31" s="6">
        <v>4751.0</v>
      </c>
    </row>
    <row r="32" ht="56.25" customHeight="1">
      <c r="A32" s="5" t="s">
        <v>315</v>
      </c>
      <c r="B32" s="6" t="str">
        <f>IMAGE("https://storage.googleapis.com/acdb/wall-mounted/FtrDoorPlateBone_Remake_5_0.png")</f>
        <v/>
      </c>
      <c r="C32" s="5" t="s">
        <v>114</v>
      </c>
      <c r="D32" s="5" t="s">
        <v>135</v>
      </c>
      <c r="E32" s="5" t="s">
        <v>34</v>
      </c>
      <c r="F32" s="5" t="s">
        <v>34</v>
      </c>
      <c r="G32" s="5" t="s">
        <v>35</v>
      </c>
      <c r="H32" s="5" t="s">
        <v>35</v>
      </c>
      <c r="I32" s="5" t="s">
        <v>36</v>
      </c>
      <c r="J32" s="6">
        <v>1.0</v>
      </c>
      <c r="K32" s="6" t="s">
        <v>37</v>
      </c>
      <c r="L32" s="6">
        <v>360.0</v>
      </c>
      <c r="M32" s="5" t="s">
        <v>114</v>
      </c>
      <c r="N32" s="5" t="s">
        <v>39</v>
      </c>
      <c r="O32" s="6" t="s">
        <v>179</v>
      </c>
      <c r="P32" s="5" t="s">
        <v>41</v>
      </c>
      <c r="Q32" s="5"/>
      <c r="R32" s="17" t="s">
        <v>42</v>
      </c>
      <c r="S32" s="5" t="s">
        <v>99</v>
      </c>
      <c r="T32" s="5" t="s">
        <v>90</v>
      </c>
      <c r="U32" s="5" t="s">
        <v>44</v>
      </c>
      <c r="V32" s="5" t="s">
        <v>44</v>
      </c>
      <c r="W32" s="5" t="s">
        <v>36</v>
      </c>
      <c r="X32" s="5" t="s">
        <v>312</v>
      </c>
      <c r="Y32" s="5" t="s">
        <v>47</v>
      </c>
      <c r="Z32" s="5" t="s">
        <v>35</v>
      </c>
      <c r="AA32" s="5" t="s">
        <v>48</v>
      </c>
      <c r="AB32" s="5" t="s">
        <v>360</v>
      </c>
      <c r="AC32" s="6" t="s">
        <v>79</v>
      </c>
      <c r="AD32" s="6">
        <v>4751.0</v>
      </c>
    </row>
    <row r="33" ht="56.25" customHeight="1">
      <c r="A33" s="5" t="s">
        <v>315</v>
      </c>
      <c r="B33" s="6" t="str">
        <f>IMAGE("https://storage.googleapis.com/acdb/wall-mounted/FtrDoorPlateBone_Remake_6_0.png")</f>
        <v/>
      </c>
      <c r="C33" s="5" t="s">
        <v>68</v>
      </c>
      <c r="D33" s="5" t="s">
        <v>135</v>
      </c>
      <c r="E33" s="5" t="s">
        <v>34</v>
      </c>
      <c r="F33" s="5" t="s">
        <v>34</v>
      </c>
      <c r="G33" s="5" t="s">
        <v>35</v>
      </c>
      <c r="H33" s="5" t="s">
        <v>35</v>
      </c>
      <c r="I33" s="5" t="s">
        <v>36</v>
      </c>
      <c r="J33" s="6">
        <v>1.0</v>
      </c>
      <c r="K33" s="6" t="s">
        <v>37</v>
      </c>
      <c r="L33" s="6">
        <v>360.0</v>
      </c>
      <c r="M33" s="5" t="s">
        <v>68</v>
      </c>
      <c r="N33" s="5" t="s">
        <v>57</v>
      </c>
      <c r="O33" s="6" t="s">
        <v>179</v>
      </c>
      <c r="P33" s="5" t="s">
        <v>41</v>
      </c>
      <c r="Q33" s="5"/>
      <c r="R33" s="17" t="s">
        <v>42</v>
      </c>
      <c r="S33" s="5" t="s">
        <v>99</v>
      </c>
      <c r="T33" s="5" t="s">
        <v>90</v>
      </c>
      <c r="U33" s="5" t="s">
        <v>44</v>
      </c>
      <c r="V33" s="5" t="s">
        <v>44</v>
      </c>
      <c r="W33" s="5" t="s">
        <v>36</v>
      </c>
      <c r="X33" s="5" t="s">
        <v>312</v>
      </c>
      <c r="Y33" s="5" t="s">
        <v>47</v>
      </c>
      <c r="Z33" s="5" t="s">
        <v>35</v>
      </c>
      <c r="AA33" s="5" t="s">
        <v>48</v>
      </c>
      <c r="AB33" s="5" t="s">
        <v>364</v>
      </c>
      <c r="AC33" s="6" t="s">
        <v>86</v>
      </c>
      <c r="AD33" s="6">
        <v>4751.0</v>
      </c>
    </row>
    <row r="34" ht="56.25" customHeight="1">
      <c r="A34" s="5" t="s">
        <v>315</v>
      </c>
      <c r="B34" s="6" t="str">
        <f>IMAGE("https://storage.googleapis.com/acdb/wall-mounted/FtrDoorPlateBone_Remake_7_0.png")</f>
        <v/>
      </c>
      <c r="C34" s="5" t="s">
        <v>366</v>
      </c>
      <c r="D34" s="5" t="s">
        <v>135</v>
      </c>
      <c r="E34" s="5" t="s">
        <v>34</v>
      </c>
      <c r="F34" s="5" t="s">
        <v>34</v>
      </c>
      <c r="G34" s="5" t="s">
        <v>35</v>
      </c>
      <c r="H34" s="5" t="s">
        <v>35</v>
      </c>
      <c r="I34" s="5" t="s">
        <v>36</v>
      </c>
      <c r="J34" s="6">
        <v>1.0</v>
      </c>
      <c r="K34" s="6" t="s">
        <v>37</v>
      </c>
      <c r="L34" s="6">
        <v>360.0</v>
      </c>
      <c r="M34" s="5" t="s">
        <v>38</v>
      </c>
      <c r="N34" s="5" t="s">
        <v>39</v>
      </c>
      <c r="O34" s="6" t="s">
        <v>179</v>
      </c>
      <c r="P34" s="5" t="s">
        <v>41</v>
      </c>
      <c r="Q34" s="5"/>
      <c r="R34" s="17" t="s">
        <v>42</v>
      </c>
      <c r="S34" s="5" t="s">
        <v>99</v>
      </c>
      <c r="T34" s="5" t="s">
        <v>90</v>
      </c>
      <c r="U34" s="5" t="s">
        <v>44</v>
      </c>
      <c r="V34" s="5" t="s">
        <v>44</v>
      </c>
      <c r="W34" s="5" t="s">
        <v>36</v>
      </c>
      <c r="X34" s="5" t="s">
        <v>312</v>
      </c>
      <c r="Y34" s="5" t="s">
        <v>47</v>
      </c>
      <c r="Z34" s="5" t="s">
        <v>35</v>
      </c>
      <c r="AA34" s="5" t="s">
        <v>48</v>
      </c>
      <c r="AB34" s="5" t="s">
        <v>371</v>
      </c>
      <c r="AC34" s="6" t="s">
        <v>208</v>
      </c>
      <c r="AD34" s="6">
        <v>4751.0</v>
      </c>
    </row>
    <row r="35" ht="56.25" customHeight="1">
      <c r="A35" s="5" t="s">
        <v>372</v>
      </c>
      <c r="B35" s="6" t="str">
        <f>IMAGE("https://storage.googleapis.com/acdb/wall-mounted/FtrBoomerang_Remake_0_0.png")</f>
        <v/>
      </c>
      <c r="C35" s="5" t="s">
        <v>32</v>
      </c>
      <c r="D35" s="5" t="s">
        <v>373</v>
      </c>
      <c r="E35" s="5" t="s">
        <v>34</v>
      </c>
      <c r="F35" s="5" t="s">
        <v>34</v>
      </c>
      <c r="G35" s="5" t="s">
        <v>35</v>
      </c>
      <c r="H35" s="5" t="s">
        <v>35</v>
      </c>
      <c r="I35" s="5" t="s">
        <v>36</v>
      </c>
      <c r="J35" s="6">
        <v>1.0</v>
      </c>
      <c r="K35" s="6" t="s">
        <v>37</v>
      </c>
      <c r="L35" s="6">
        <v>360.0</v>
      </c>
      <c r="M35" s="5" t="s">
        <v>39</v>
      </c>
      <c r="N35" s="5" t="s">
        <v>38</v>
      </c>
      <c r="O35" s="6" t="s">
        <v>375</v>
      </c>
      <c r="P35" s="5" t="s">
        <v>41</v>
      </c>
      <c r="Q35" s="5"/>
      <c r="R35" s="17" t="s">
        <v>42</v>
      </c>
      <c r="S35" s="5" t="s">
        <v>99</v>
      </c>
      <c r="T35" s="5" t="s">
        <v>44</v>
      </c>
      <c r="U35" s="5" t="s">
        <v>44</v>
      </c>
      <c r="V35" s="5" t="s">
        <v>44</v>
      </c>
      <c r="W35" s="5" t="s">
        <v>36</v>
      </c>
      <c r="X35" s="5" t="s">
        <v>356</v>
      </c>
      <c r="Y35" s="5" t="s">
        <v>47</v>
      </c>
      <c r="Z35" s="5" t="s">
        <v>36</v>
      </c>
      <c r="AA35" s="5" t="s">
        <v>48</v>
      </c>
      <c r="AB35" s="5" t="s">
        <v>378</v>
      </c>
      <c r="AC35" s="6" t="s">
        <v>50</v>
      </c>
      <c r="AD35" s="6">
        <v>682.0</v>
      </c>
    </row>
    <row r="36" ht="56.25" customHeight="1">
      <c r="A36" s="5" t="s">
        <v>372</v>
      </c>
      <c r="B36" s="6" t="str">
        <f>IMAGE("https://storage.googleapis.com/acdb/wall-mounted/FtrBoomerang_Remake_1_0.png")</f>
        <v/>
      </c>
      <c r="C36" s="5" t="s">
        <v>381</v>
      </c>
      <c r="D36" s="5" t="s">
        <v>373</v>
      </c>
      <c r="E36" s="5" t="s">
        <v>34</v>
      </c>
      <c r="F36" s="5" t="s">
        <v>34</v>
      </c>
      <c r="G36" s="5" t="s">
        <v>35</v>
      </c>
      <c r="H36" s="5" t="s">
        <v>35</v>
      </c>
      <c r="I36" s="5" t="s">
        <v>36</v>
      </c>
      <c r="J36" s="6">
        <v>1.0</v>
      </c>
      <c r="K36" s="6" t="s">
        <v>37</v>
      </c>
      <c r="L36" s="6">
        <v>360.0</v>
      </c>
      <c r="M36" s="5" t="s">
        <v>96</v>
      </c>
      <c r="N36" s="5" t="s">
        <v>142</v>
      </c>
      <c r="O36" s="6" t="s">
        <v>375</v>
      </c>
      <c r="P36" s="5" t="s">
        <v>41</v>
      </c>
      <c r="Q36" s="5"/>
      <c r="R36" s="17" t="s">
        <v>42</v>
      </c>
      <c r="S36" s="5" t="s">
        <v>99</v>
      </c>
      <c r="T36" s="5" t="s">
        <v>44</v>
      </c>
      <c r="U36" s="5" t="s">
        <v>44</v>
      </c>
      <c r="V36" s="5" t="s">
        <v>44</v>
      </c>
      <c r="W36" s="5" t="s">
        <v>36</v>
      </c>
      <c r="X36" s="5" t="s">
        <v>356</v>
      </c>
      <c r="Y36" s="5" t="s">
        <v>47</v>
      </c>
      <c r="Z36" s="5" t="s">
        <v>36</v>
      </c>
      <c r="AA36" s="5" t="s">
        <v>48</v>
      </c>
      <c r="AB36" s="5" t="s">
        <v>385</v>
      </c>
      <c r="AC36" s="6" t="s">
        <v>56</v>
      </c>
      <c r="AD36" s="6">
        <v>682.0</v>
      </c>
    </row>
    <row r="37" ht="56.25" customHeight="1">
      <c r="A37" s="5" t="s">
        <v>372</v>
      </c>
      <c r="B37" s="6" t="str">
        <f>IMAGE("https://storage.googleapis.com/acdb/wall-mounted/FtrBoomerang_Remake_2_0.png")</f>
        <v/>
      </c>
      <c r="C37" s="5" t="s">
        <v>387</v>
      </c>
      <c r="D37" s="5" t="s">
        <v>373</v>
      </c>
      <c r="E37" s="5" t="s">
        <v>34</v>
      </c>
      <c r="F37" s="5" t="s">
        <v>34</v>
      </c>
      <c r="G37" s="5" t="s">
        <v>35</v>
      </c>
      <c r="H37" s="5" t="s">
        <v>35</v>
      </c>
      <c r="I37" s="5" t="s">
        <v>36</v>
      </c>
      <c r="J37" s="6">
        <v>1.0</v>
      </c>
      <c r="K37" s="6" t="s">
        <v>37</v>
      </c>
      <c r="L37" s="6">
        <v>360.0</v>
      </c>
      <c r="M37" s="5" t="s">
        <v>39</v>
      </c>
      <c r="N37" s="5" t="s">
        <v>54</v>
      </c>
      <c r="O37" s="6" t="s">
        <v>375</v>
      </c>
      <c r="P37" s="5" t="s">
        <v>41</v>
      </c>
      <c r="Q37" s="5"/>
      <c r="R37" s="17" t="s">
        <v>42</v>
      </c>
      <c r="S37" s="5" t="s">
        <v>99</v>
      </c>
      <c r="T37" s="5" t="s">
        <v>44</v>
      </c>
      <c r="U37" s="5" t="s">
        <v>44</v>
      </c>
      <c r="V37" s="5" t="s">
        <v>44</v>
      </c>
      <c r="W37" s="5" t="s">
        <v>36</v>
      </c>
      <c r="X37" s="5" t="s">
        <v>356</v>
      </c>
      <c r="Y37" s="5" t="s">
        <v>47</v>
      </c>
      <c r="Z37" s="5" t="s">
        <v>36</v>
      </c>
      <c r="AA37" s="5" t="s">
        <v>48</v>
      </c>
      <c r="AB37" s="5" t="s">
        <v>392</v>
      </c>
      <c r="AC37" s="6" t="s">
        <v>67</v>
      </c>
      <c r="AD37" s="6">
        <v>682.0</v>
      </c>
    </row>
    <row r="38" ht="56.25" customHeight="1">
      <c r="A38" s="5" t="s">
        <v>372</v>
      </c>
      <c r="B38" s="6" t="str">
        <f>IMAGE("https://storage.googleapis.com/acdb/wall-mounted/FtrBoomerang_Remake_3_0.png")</f>
        <v/>
      </c>
      <c r="C38" s="5" t="s">
        <v>397</v>
      </c>
      <c r="D38" s="5" t="s">
        <v>373</v>
      </c>
      <c r="E38" s="5" t="s">
        <v>34</v>
      </c>
      <c r="F38" s="5" t="s">
        <v>34</v>
      </c>
      <c r="G38" s="5" t="s">
        <v>35</v>
      </c>
      <c r="H38" s="5" t="s">
        <v>35</v>
      </c>
      <c r="I38" s="5" t="s">
        <v>36</v>
      </c>
      <c r="J38" s="6">
        <v>1.0</v>
      </c>
      <c r="K38" s="6" t="s">
        <v>37</v>
      </c>
      <c r="L38" s="6">
        <v>360.0</v>
      </c>
      <c r="M38" s="5" t="s">
        <v>52</v>
      </c>
      <c r="N38" s="5" t="s">
        <v>54</v>
      </c>
      <c r="O38" s="6" t="s">
        <v>375</v>
      </c>
      <c r="P38" s="5" t="s">
        <v>41</v>
      </c>
      <c r="Q38" s="5"/>
      <c r="R38" s="17" t="s">
        <v>42</v>
      </c>
      <c r="S38" s="5" t="s">
        <v>99</v>
      </c>
      <c r="T38" s="5" t="s">
        <v>44</v>
      </c>
      <c r="U38" s="5" t="s">
        <v>44</v>
      </c>
      <c r="V38" s="5" t="s">
        <v>44</v>
      </c>
      <c r="W38" s="5" t="s">
        <v>36</v>
      </c>
      <c r="X38" s="5" t="s">
        <v>356</v>
      </c>
      <c r="Y38" s="5" t="s">
        <v>47</v>
      </c>
      <c r="Z38" s="5" t="s">
        <v>36</v>
      </c>
      <c r="AA38" s="5" t="s">
        <v>48</v>
      </c>
      <c r="AB38" s="5" t="s">
        <v>404</v>
      </c>
      <c r="AC38" s="6" t="s">
        <v>71</v>
      </c>
      <c r="AD38" s="6">
        <v>682.0</v>
      </c>
    </row>
    <row r="39" ht="56.25" customHeight="1">
      <c r="A39" s="5" t="s">
        <v>372</v>
      </c>
      <c r="B39" s="6" t="str">
        <f>IMAGE("https://storage.googleapis.com/acdb/wall-mounted/FtrBoomerang_Remake_4_0.png")</f>
        <v/>
      </c>
      <c r="C39" s="5" t="s">
        <v>407</v>
      </c>
      <c r="D39" s="5" t="s">
        <v>373</v>
      </c>
      <c r="E39" s="5" t="s">
        <v>34</v>
      </c>
      <c r="F39" s="5" t="s">
        <v>34</v>
      </c>
      <c r="G39" s="5" t="s">
        <v>35</v>
      </c>
      <c r="H39" s="5" t="s">
        <v>35</v>
      </c>
      <c r="I39" s="5" t="s">
        <v>36</v>
      </c>
      <c r="J39" s="6">
        <v>1.0</v>
      </c>
      <c r="K39" s="6" t="s">
        <v>37</v>
      </c>
      <c r="L39" s="6">
        <v>360.0</v>
      </c>
      <c r="M39" s="5" t="s">
        <v>57</v>
      </c>
      <c r="N39" s="5" t="s">
        <v>83</v>
      </c>
      <c r="O39" s="6" t="s">
        <v>375</v>
      </c>
      <c r="P39" s="5" t="s">
        <v>41</v>
      </c>
      <c r="Q39" s="5"/>
      <c r="R39" s="17" t="s">
        <v>42</v>
      </c>
      <c r="S39" s="5" t="s">
        <v>99</v>
      </c>
      <c r="T39" s="5" t="s">
        <v>44</v>
      </c>
      <c r="U39" s="5" t="s">
        <v>44</v>
      </c>
      <c r="V39" s="5" t="s">
        <v>44</v>
      </c>
      <c r="W39" s="5" t="s">
        <v>36</v>
      </c>
      <c r="X39" s="5" t="s">
        <v>356</v>
      </c>
      <c r="Y39" s="5" t="s">
        <v>47</v>
      </c>
      <c r="Z39" s="5" t="s">
        <v>36</v>
      </c>
      <c r="AA39" s="5" t="s">
        <v>48</v>
      </c>
      <c r="AB39" s="5" t="s">
        <v>411</v>
      </c>
      <c r="AC39" s="6" t="s">
        <v>75</v>
      </c>
      <c r="AD39" s="6">
        <v>682.0</v>
      </c>
    </row>
    <row r="40" ht="56.25" customHeight="1">
      <c r="A40" s="5" t="s">
        <v>412</v>
      </c>
      <c r="B40" s="6" t="str">
        <f>IMAGE("https://storage.googleapis.com/acdb/wall-mounted/FtrBreaker.png")</f>
        <v/>
      </c>
      <c r="C40" s="5" t="s">
        <v>34</v>
      </c>
      <c r="D40" s="5" t="s">
        <v>34</v>
      </c>
      <c r="E40" s="5" t="s">
        <v>34</v>
      </c>
      <c r="F40" s="5" t="s">
        <v>34</v>
      </c>
      <c r="G40" s="5" t="s">
        <v>36</v>
      </c>
      <c r="H40" s="5" t="s">
        <v>36</v>
      </c>
      <c r="I40" s="5" t="s">
        <v>36</v>
      </c>
      <c r="J40" s="6" t="s">
        <v>34</v>
      </c>
      <c r="K40" s="6">
        <v>820.0</v>
      </c>
      <c r="L40" s="6">
        <v>205.0</v>
      </c>
      <c r="M40" s="5" t="s">
        <v>57</v>
      </c>
      <c r="N40" s="5" t="s">
        <v>54</v>
      </c>
      <c r="O40" s="6" t="s">
        <v>179</v>
      </c>
      <c r="P40" s="5" t="s">
        <v>59</v>
      </c>
      <c r="Q40" s="5" t="s">
        <v>122</v>
      </c>
      <c r="R40" s="17" t="s">
        <v>42</v>
      </c>
      <c r="S40" s="5" t="s">
        <v>416</v>
      </c>
      <c r="T40" s="5" t="s">
        <v>141</v>
      </c>
      <c r="U40" s="5" t="s">
        <v>44</v>
      </c>
      <c r="V40" s="5" t="s">
        <v>44</v>
      </c>
      <c r="W40" s="5" t="s">
        <v>36</v>
      </c>
      <c r="X40" s="5" t="s">
        <v>182</v>
      </c>
      <c r="Y40" s="5" t="s">
        <v>47</v>
      </c>
      <c r="Z40" s="5" t="s">
        <v>36</v>
      </c>
      <c r="AA40" s="5" t="s">
        <v>64</v>
      </c>
      <c r="AB40" s="5" t="s">
        <v>419</v>
      </c>
      <c r="AC40" s="6" t="s">
        <v>34</v>
      </c>
      <c r="AD40" s="6">
        <v>875.0</v>
      </c>
    </row>
    <row r="41" ht="56.25" customHeight="1">
      <c r="A41" s="5" t="s">
        <v>421</v>
      </c>
      <c r="B41" s="6" t="str">
        <f>IMAGE("https://storage.googleapis.com/acdb/wall-mounted/FtrShieldHhaBronze.png")</f>
        <v/>
      </c>
      <c r="C41" s="5" t="s">
        <v>34</v>
      </c>
      <c r="D41" s="5" t="s">
        <v>34</v>
      </c>
      <c r="E41" s="5" t="s">
        <v>34</v>
      </c>
      <c r="F41" s="5" t="s">
        <v>34</v>
      </c>
      <c r="G41" s="5" t="s">
        <v>36</v>
      </c>
      <c r="H41" s="5" t="s">
        <v>36</v>
      </c>
      <c r="I41" s="5" t="s">
        <v>36</v>
      </c>
      <c r="J41" s="6" t="s">
        <v>34</v>
      </c>
      <c r="K41" s="6" t="s">
        <v>37</v>
      </c>
      <c r="L41" s="6">
        <v>400.0</v>
      </c>
      <c r="M41" s="5" t="s">
        <v>39</v>
      </c>
      <c r="N41" s="5" t="s">
        <v>52</v>
      </c>
      <c r="O41" s="6" t="s">
        <v>179</v>
      </c>
      <c r="P41" s="5" t="s">
        <v>423</v>
      </c>
      <c r="Q41" s="5"/>
      <c r="R41" s="17" t="s">
        <v>42</v>
      </c>
      <c r="S41" s="5" t="s">
        <v>90</v>
      </c>
      <c r="T41" s="5" t="s">
        <v>116</v>
      </c>
      <c r="U41" s="5" t="s">
        <v>44</v>
      </c>
      <c r="V41" s="5" t="s">
        <v>44</v>
      </c>
      <c r="W41" s="5" t="s">
        <v>36</v>
      </c>
      <c r="X41" s="5" t="s">
        <v>206</v>
      </c>
      <c r="Y41" s="5" t="s">
        <v>47</v>
      </c>
      <c r="Z41" s="5" t="s">
        <v>36</v>
      </c>
      <c r="AA41" s="5" t="s">
        <v>48</v>
      </c>
      <c r="AB41" s="5" t="s">
        <v>426</v>
      </c>
      <c r="AC41" s="6" t="s">
        <v>34</v>
      </c>
      <c r="AD41" s="6">
        <v>7037.0</v>
      </c>
    </row>
    <row r="42" ht="56.25" customHeight="1">
      <c r="A42" s="5" t="s">
        <v>427</v>
      </c>
      <c r="B42" s="6" t="str">
        <f>IMAGE("https://storage.googleapis.com/acdb/wall-mounted/FtrCleaningset_Remake_0_0.png")</f>
        <v/>
      </c>
      <c r="C42" s="5" t="s">
        <v>32</v>
      </c>
      <c r="D42" s="5" t="s">
        <v>34</v>
      </c>
      <c r="E42" s="5" t="s">
        <v>34</v>
      </c>
      <c r="F42" s="5" t="s">
        <v>34</v>
      </c>
      <c r="G42" s="5" t="s">
        <v>36</v>
      </c>
      <c r="H42" s="5" t="s">
        <v>36</v>
      </c>
      <c r="I42" s="5" t="s">
        <v>36</v>
      </c>
      <c r="J42" s="6" t="s">
        <v>34</v>
      </c>
      <c r="K42" s="6">
        <v>910.0</v>
      </c>
      <c r="L42" s="6">
        <v>227.0</v>
      </c>
      <c r="M42" s="5" t="s">
        <v>39</v>
      </c>
      <c r="N42" s="5" t="s">
        <v>95</v>
      </c>
      <c r="O42" s="6" t="s">
        <v>431</v>
      </c>
      <c r="P42" s="5" t="s">
        <v>59</v>
      </c>
      <c r="Q42" s="5" t="s">
        <v>89</v>
      </c>
      <c r="R42" s="17" t="s">
        <v>42</v>
      </c>
      <c r="S42" s="5" t="s">
        <v>130</v>
      </c>
      <c r="T42" s="5" t="s">
        <v>44</v>
      </c>
      <c r="U42" s="5" t="s">
        <v>44</v>
      </c>
      <c r="V42" s="5" t="s">
        <v>44</v>
      </c>
      <c r="W42" s="5" t="s">
        <v>36</v>
      </c>
      <c r="X42" s="5" t="s">
        <v>432</v>
      </c>
      <c r="Y42" s="5" t="s">
        <v>47</v>
      </c>
      <c r="Z42" s="5" t="s">
        <v>36</v>
      </c>
      <c r="AA42" s="5" t="s">
        <v>64</v>
      </c>
      <c r="AB42" s="5" t="s">
        <v>435</v>
      </c>
      <c r="AC42" s="6" t="s">
        <v>50</v>
      </c>
      <c r="AD42" s="6">
        <v>3967.0</v>
      </c>
    </row>
    <row r="43" ht="56.25" customHeight="1">
      <c r="A43" s="5" t="s">
        <v>427</v>
      </c>
      <c r="B43" s="6" t="str">
        <f>IMAGE("https://storage.googleapis.com/acdb/wall-mounted/FtrCleaningset_Remake_1_0.png")</f>
        <v/>
      </c>
      <c r="C43" s="5" t="s">
        <v>57</v>
      </c>
      <c r="D43" s="5" t="s">
        <v>34</v>
      </c>
      <c r="E43" s="5" t="s">
        <v>34</v>
      </c>
      <c r="F43" s="5" t="s">
        <v>34</v>
      </c>
      <c r="G43" s="5" t="s">
        <v>36</v>
      </c>
      <c r="H43" s="5" t="s">
        <v>36</v>
      </c>
      <c r="I43" s="5" t="s">
        <v>36</v>
      </c>
      <c r="J43" s="6" t="s">
        <v>34</v>
      </c>
      <c r="K43" s="6">
        <v>910.0</v>
      </c>
      <c r="L43" s="6">
        <v>227.0</v>
      </c>
      <c r="M43" s="5" t="s">
        <v>57</v>
      </c>
      <c r="N43" s="5" t="s">
        <v>95</v>
      </c>
      <c r="O43" s="6" t="s">
        <v>431</v>
      </c>
      <c r="P43" s="5" t="s">
        <v>59</v>
      </c>
      <c r="Q43" s="5" t="s">
        <v>89</v>
      </c>
      <c r="R43" s="17" t="s">
        <v>42</v>
      </c>
      <c r="S43" s="5" t="s">
        <v>130</v>
      </c>
      <c r="T43" s="5" t="s">
        <v>44</v>
      </c>
      <c r="U43" s="5" t="s">
        <v>44</v>
      </c>
      <c r="V43" s="5" t="s">
        <v>44</v>
      </c>
      <c r="W43" s="5" t="s">
        <v>36</v>
      </c>
      <c r="X43" s="5" t="s">
        <v>432</v>
      </c>
      <c r="Y43" s="5" t="s">
        <v>47</v>
      </c>
      <c r="Z43" s="5" t="s">
        <v>36</v>
      </c>
      <c r="AA43" s="5" t="s">
        <v>64</v>
      </c>
      <c r="AB43" s="5" t="s">
        <v>445</v>
      </c>
      <c r="AC43" s="6" t="s">
        <v>56</v>
      </c>
      <c r="AD43" s="6">
        <v>3967.0</v>
      </c>
    </row>
    <row r="44" ht="56.25" customHeight="1">
      <c r="A44" s="5" t="s">
        <v>427</v>
      </c>
      <c r="B44" s="6" t="str">
        <f>IMAGE("https://storage.googleapis.com/acdb/wall-mounted/FtrCleaningset_Remake_2_0.png")</f>
        <v/>
      </c>
      <c r="C44" s="5" t="s">
        <v>387</v>
      </c>
      <c r="D44" s="5" t="s">
        <v>34</v>
      </c>
      <c r="E44" s="5" t="s">
        <v>34</v>
      </c>
      <c r="F44" s="5" t="s">
        <v>34</v>
      </c>
      <c r="G44" s="5" t="s">
        <v>36</v>
      </c>
      <c r="H44" s="5" t="s">
        <v>36</v>
      </c>
      <c r="I44" s="5" t="s">
        <v>36</v>
      </c>
      <c r="J44" s="6" t="s">
        <v>34</v>
      </c>
      <c r="K44" s="6">
        <v>910.0</v>
      </c>
      <c r="L44" s="6">
        <v>227.0</v>
      </c>
      <c r="M44" s="5" t="s">
        <v>39</v>
      </c>
      <c r="N44" s="5" t="s">
        <v>54</v>
      </c>
      <c r="O44" s="6" t="s">
        <v>431</v>
      </c>
      <c r="P44" s="5" t="s">
        <v>59</v>
      </c>
      <c r="Q44" s="5" t="s">
        <v>89</v>
      </c>
      <c r="R44" s="17" t="s">
        <v>42</v>
      </c>
      <c r="S44" s="5" t="s">
        <v>130</v>
      </c>
      <c r="T44" s="5" t="s">
        <v>44</v>
      </c>
      <c r="U44" s="5" t="s">
        <v>44</v>
      </c>
      <c r="V44" s="5" t="s">
        <v>44</v>
      </c>
      <c r="W44" s="5" t="s">
        <v>36</v>
      </c>
      <c r="X44" s="5" t="s">
        <v>432</v>
      </c>
      <c r="Y44" s="5" t="s">
        <v>47</v>
      </c>
      <c r="Z44" s="5" t="s">
        <v>36</v>
      </c>
      <c r="AA44" s="5" t="s">
        <v>64</v>
      </c>
      <c r="AB44" s="5" t="s">
        <v>450</v>
      </c>
      <c r="AC44" s="6" t="s">
        <v>67</v>
      </c>
      <c r="AD44" s="6">
        <v>3967.0</v>
      </c>
    </row>
    <row r="45" ht="56.25" customHeight="1">
      <c r="A45" s="5" t="s">
        <v>427</v>
      </c>
      <c r="B45" s="6" t="str">
        <f>IMAGE("https://storage.googleapis.com/acdb/wall-mounted/FtrCleaningset_Remake_3_0.png")</f>
        <v/>
      </c>
      <c r="C45" s="5" t="s">
        <v>58</v>
      </c>
      <c r="D45" s="5" t="s">
        <v>34</v>
      </c>
      <c r="E45" s="5" t="s">
        <v>34</v>
      </c>
      <c r="F45" s="5" t="s">
        <v>34</v>
      </c>
      <c r="G45" s="5" t="s">
        <v>36</v>
      </c>
      <c r="H45" s="5" t="s">
        <v>36</v>
      </c>
      <c r="I45" s="5" t="s">
        <v>36</v>
      </c>
      <c r="J45" s="6" t="s">
        <v>34</v>
      </c>
      <c r="K45" s="6">
        <v>910.0</v>
      </c>
      <c r="L45" s="6">
        <v>227.0</v>
      </c>
      <c r="M45" s="5" t="s">
        <v>69</v>
      </c>
      <c r="N45" s="5" t="s">
        <v>39</v>
      </c>
      <c r="O45" s="6" t="s">
        <v>431</v>
      </c>
      <c r="P45" s="5" t="s">
        <v>59</v>
      </c>
      <c r="Q45" s="5" t="s">
        <v>89</v>
      </c>
      <c r="R45" s="17" t="s">
        <v>42</v>
      </c>
      <c r="S45" s="5" t="s">
        <v>130</v>
      </c>
      <c r="T45" s="5" t="s">
        <v>44</v>
      </c>
      <c r="U45" s="5" t="s">
        <v>44</v>
      </c>
      <c r="V45" s="5" t="s">
        <v>44</v>
      </c>
      <c r="W45" s="5" t="s">
        <v>36</v>
      </c>
      <c r="X45" s="5" t="s">
        <v>432</v>
      </c>
      <c r="Y45" s="5" t="s">
        <v>47</v>
      </c>
      <c r="Z45" s="5" t="s">
        <v>36</v>
      </c>
      <c r="AA45" s="5" t="s">
        <v>64</v>
      </c>
      <c r="AB45" s="5" t="s">
        <v>457</v>
      </c>
      <c r="AC45" s="6" t="s">
        <v>71</v>
      </c>
      <c r="AD45" s="6">
        <v>3967.0</v>
      </c>
    </row>
    <row r="46" ht="56.25" customHeight="1">
      <c r="A46" s="5" t="s">
        <v>458</v>
      </c>
      <c r="B46" s="6" t="str">
        <f>IMAGE("https://storage.googleapis.com/acdb/wall-mounted/FtrEggLampWall.png")</f>
        <v/>
      </c>
      <c r="C46" s="5" t="s">
        <v>34</v>
      </c>
      <c r="D46" s="5" t="s">
        <v>34</v>
      </c>
      <c r="E46" s="5" t="s">
        <v>34</v>
      </c>
      <c r="F46" s="5" t="s">
        <v>34</v>
      </c>
      <c r="G46" s="5" t="s">
        <v>35</v>
      </c>
      <c r="H46" s="5" t="s">
        <v>36</v>
      </c>
      <c r="I46" s="5" t="s">
        <v>36</v>
      </c>
      <c r="J46" s="6" t="s">
        <v>34</v>
      </c>
      <c r="K46" s="6" t="s">
        <v>37</v>
      </c>
      <c r="L46" s="6">
        <v>2400.0</v>
      </c>
      <c r="M46" s="5" t="s">
        <v>58</v>
      </c>
      <c r="N46" s="5" t="s">
        <v>58</v>
      </c>
      <c r="O46" s="6" t="s">
        <v>276</v>
      </c>
      <c r="P46" s="5" t="s">
        <v>41</v>
      </c>
      <c r="Q46" s="5" t="s">
        <v>461</v>
      </c>
      <c r="R46" s="17" t="s">
        <v>98</v>
      </c>
      <c r="S46" s="18" t="s">
        <v>61</v>
      </c>
      <c r="T46" s="18" t="s">
        <v>465</v>
      </c>
      <c r="U46" s="18" t="s">
        <v>466</v>
      </c>
      <c r="V46" s="18" t="s">
        <v>44</v>
      </c>
      <c r="W46" s="5" t="s">
        <v>35</v>
      </c>
      <c r="X46" s="5" t="s">
        <v>467</v>
      </c>
      <c r="Y46" s="5" t="s">
        <v>102</v>
      </c>
      <c r="Z46" s="5" t="s">
        <v>36</v>
      </c>
      <c r="AA46" s="5" t="s">
        <v>48</v>
      </c>
      <c r="AB46" s="5" t="s">
        <v>468</v>
      </c>
      <c r="AC46" s="6" t="s">
        <v>34</v>
      </c>
      <c r="AD46" s="19">
        <v>12417.0</v>
      </c>
    </row>
    <row r="47" ht="56.25" customHeight="1">
      <c r="A47" s="5" t="s">
        <v>472</v>
      </c>
      <c r="B47" s="6" t="str">
        <f>IMAGE("https://storage.googleapis.com/acdb/wall-mounted/FtrEggClock.png")</f>
        <v/>
      </c>
      <c r="C47" s="5" t="s">
        <v>34</v>
      </c>
      <c r="D47" s="5" t="s">
        <v>34</v>
      </c>
      <c r="E47" s="5" t="s">
        <v>34</v>
      </c>
      <c r="F47" s="5" t="s">
        <v>34</v>
      </c>
      <c r="G47" s="5" t="s">
        <v>35</v>
      </c>
      <c r="H47" s="5" t="s">
        <v>36</v>
      </c>
      <c r="I47" s="5" t="s">
        <v>36</v>
      </c>
      <c r="J47" s="6" t="s">
        <v>34</v>
      </c>
      <c r="K47" s="6" t="s">
        <v>37</v>
      </c>
      <c r="L47" s="6">
        <v>1200.0</v>
      </c>
      <c r="M47" s="5" t="s">
        <v>83</v>
      </c>
      <c r="N47" s="5" t="s">
        <v>58</v>
      </c>
      <c r="O47" s="6" t="s">
        <v>478</v>
      </c>
      <c r="P47" s="5" t="s">
        <v>41</v>
      </c>
      <c r="Q47" s="5" t="s">
        <v>461</v>
      </c>
      <c r="R47" s="17" t="s">
        <v>98</v>
      </c>
      <c r="S47" s="18" t="s">
        <v>61</v>
      </c>
      <c r="T47" s="18" t="s">
        <v>44</v>
      </c>
      <c r="U47" s="18" t="s">
        <v>466</v>
      </c>
      <c r="V47" s="18" t="s">
        <v>44</v>
      </c>
      <c r="W47" s="5" t="s">
        <v>35</v>
      </c>
      <c r="X47" s="5" t="s">
        <v>260</v>
      </c>
      <c r="Y47" s="5" t="s">
        <v>47</v>
      </c>
      <c r="Z47" s="5" t="s">
        <v>36</v>
      </c>
      <c r="AA47" s="5" t="s">
        <v>48</v>
      </c>
      <c r="AB47" s="5" t="s">
        <v>481</v>
      </c>
      <c r="AC47" s="6" t="s">
        <v>34</v>
      </c>
      <c r="AD47" s="19">
        <v>12418.0</v>
      </c>
    </row>
    <row r="48" ht="56.25" customHeight="1">
      <c r="A48" s="5" t="s">
        <v>482</v>
      </c>
      <c r="B48" s="6" t="str">
        <f>IMAGE("https://storage.googleapis.com/acdb/wall-mounted/FtrDoorOrnamentWreathEaster.png")</f>
        <v/>
      </c>
      <c r="C48" s="5" t="s">
        <v>34</v>
      </c>
      <c r="D48" s="5" t="s">
        <v>34</v>
      </c>
      <c r="E48" s="5" t="s">
        <v>34</v>
      </c>
      <c r="F48" s="5" t="s">
        <v>34</v>
      </c>
      <c r="G48" s="5" t="s">
        <v>35</v>
      </c>
      <c r="H48" s="5" t="s">
        <v>36</v>
      </c>
      <c r="I48" s="5" t="s">
        <v>36</v>
      </c>
      <c r="J48" s="6" t="s">
        <v>34</v>
      </c>
      <c r="K48" s="6" t="s">
        <v>37</v>
      </c>
      <c r="L48" s="6">
        <v>2400.0</v>
      </c>
      <c r="M48" s="5" t="s">
        <v>44</v>
      </c>
      <c r="N48" s="5" t="s">
        <v>44</v>
      </c>
      <c r="O48" s="6" t="s">
        <v>40</v>
      </c>
      <c r="P48" s="5" t="s">
        <v>41</v>
      </c>
      <c r="Q48" s="5" t="s">
        <v>461</v>
      </c>
      <c r="R48" s="17" t="s">
        <v>98</v>
      </c>
      <c r="S48" s="18" t="s">
        <v>61</v>
      </c>
      <c r="T48" s="18" t="s">
        <v>465</v>
      </c>
      <c r="U48" s="18" t="s">
        <v>466</v>
      </c>
      <c r="V48" s="18" t="s">
        <v>44</v>
      </c>
      <c r="W48" s="5" t="s">
        <v>36</v>
      </c>
      <c r="X48" s="5" t="s">
        <v>312</v>
      </c>
      <c r="Y48" s="5" t="s">
        <v>47</v>
      </c>
      <c r="Z48" s="5" t="s">
        <v>35</v>
      </c>
      <c r="AA48" s="5" t="s">
        <v>48</v>
      </c>
      <c r="AB48" s="5" t="s">
        <v>488</v>
      </c>
      <c r="AC48" s="6" t="s">
        <v>34</v>
      </c>
      <c r="AD48" s="19">
        <v>12517.0</v>
      </c>
    </row>
    <row r="49" ht="56.25" customHeight="1">
      <c r="A49" s="5" t="s">
        <v>490</v>
      </c>
      <c r="B49" s="6" t="str">
        <f>IMAGE("https://storage.googleapis.com/acdb/wall-mounted/FtrFishChouchouuoWall.png")</f>
        <v/>
      </c>
      <c r="C49" s="5" t="s">
        <v>34</v>
      </c>
      <c r="D49" s="5" t="s">
        <v>34</v>
      </c>
      <c r="E49" s="5" t="s">
        <v>34</v>
      </c>
      <c r="F49" s="5" t="s">
        <v>34</v>
      </c>
      <c r="G49" s="5" t="s">
        <v>36</v>
      </c>
      <c r="H49" s="5" t="s">
        <v>36</v>
      </c>
      <c r="I49" s="5" t="s">
        <v>36</v>
      </c>
      <c r="J49" s="6" t="s">
        <v>34</v>
      </c>
      <c r="K49" s="6">
        <v>1300.0</v>
      </c>
      <c r="L49" s="6">
        <v>325.0</v>
      </c>
      <c r="M49" s="5" t="s">
        <v>114</v>
      </c>
      <c r="N49" s="5" t="s">
        <v>114</v>
      </c>
      <c r="O49" s="6" t="s">
        <v>179</v>
      </c>
      <c r="P49" s="5" t="s">
        <v>59</v>
      </c>
      <c r="Q49" s="5" t="s">
        <v>122</v>
      </c>
      <c r="R49" s="17" t="s">
        <v>42</v>
      </c>
      <c r="S49" s="5" t="s">
        <v>138</v>
      </c>
      <c r="T49" s="5" t="s">
        <v>141</v>
      </c>
      <c r="U49" s="5" t="s">
        <v>44</v>
      </c>
      <c r="V49" s="5" t="s">
        <v>44</v>
      </c>
      <c r="W49" s="5" t="s">
        <v>36</v>
      </c>
      <c r="X49" s="5" t="s">
        <v>494</v>
      </c>
      <c r="Y49" s="5" t="s">
        <v>47</v>
      </c>
      <c r="Z49" s="5" t="s">
        <v>36</v>
      </c>
      <c r="AA49" s="5" t="s">
        <v>64</v>
      </c>
      <c r="AB49" s="5" t="s">
        <v>497</v>
      </c>
      <c r="AC49" s="6" t="s">
        <v>34</v>
      </c>
      <c r="AD49" s="6">
        <v>11182.0</v>
      </c>
    </row>
    <row r="50" ht="56.25" customHeight="1">
      <c r="A50" s="5" t="s">
        <v>498</v>
      </c>
      <c r="B50" s="6" t="str">
        <f>IMAGE("https://storage.googleapis.com/acdb/wall-mounted/FtrFruitsLampW_Remake_0_0.png")</f>
        <v/>
      </c>
      <c r="C50" s="5" t="s">
        <v>51</v>
      </c>
      <c r="D50" s="5" t="s">
        <v>337</v>
      </c>
      <c r="E50" s="5" t="s">
        <v>34</v>
      </c>
      <c r="F50" s="5" t="s">
        <v>34</v>
      </c>
      <c r="G50" s="5" t="s">
        <v>35</v>
      </c>
      <c r="H50" s="5" t="s">
        <v>35</v>
      </c>
      <c r="I50" s="5" t="s">
        <v>36</v>
      </c>
      <c r="J50" s="6">
        <v>4.0</v>
      </c>
      <c r="K50" s="6" t="s">
        <v>37</v>
      </c>
      <c r="L50" s="6">
        <v>2400.0</v>
      </c>
      <c r="M50" s="5" t="s">
        <v>52</v>
      </c>
      <c r="N50" s="5" t="s">
        <v>96</v>
      </c>
      <c r="O50" s="6" t="s">
        <v>179</v>
      </c>
      <c r="P50" s="5" t="s">
        <v>41</v>
      </c>
      <c r="Q50" s="5"/>
      <c r="R50" s="17" t="s">
        <v>42</v>
      </c>
      <c r="S50" s="5" t="s">
        <v>61</v>
      </c>
      <c r="T50" s="5" t="s">
        <v>44</v>
      </c>
      <c r="U50" s="5" t="s">
        <v>338</v>
      </c>
      <c r="V50" s="5" t="s">
        <v>501</v>
      </c>
      <c r="W50" s="5" t="s">
        <v>35</v>
      </c>
      <c r="X50" s="5" t="s">
        <v>467</v>
      </c>
      <c r="Y50" s="5" t="s">
        <v>502</v>
      </c>
      <c r="Z50" s="5" t="s">
        <v>36</v>
      </c>
      <c r="AA50" s="5" t="s">
        <v>48</v>
      </c>
      <c r="AB50" s="5" t="s">
        <v>503</v>
      </c>
      <c r="AC50" s="6" t="s">
        <v>50</v>
      </c>
      <c r="AD50" s="6">
        <v>4012.0</v>
      </c>
    </row>
    <row r="51" ht="56.25" customHeight="1">
      <c r="A51" s="5" t="s">
        <v>498</v>
      </c>
      <c r="B51" s="6" t="str">
        <f>IMAGE("https://storage.googleapis.com/acdb/wall-mounted/FtrFruitsLampW_Remake_1_0.png")</f>
        <v/>
      </c>
      <c r="C51" s="5" t="s">
        <v>506</v>
      </c>
      <c r="D51" s="5" t="s">
        <v>337</v>
      </c>
      <c r="E51" s="5" t="s">
        <v>34</v>
      </c>
      <c r="F51" s="5" t="s">
        <v>34</v>
      </c>
      <c r="G51" s="5" t="s">
        <v>35</v>
      </c>
      <c r="H51" s="5" t="s">
        <v>35</v>
      </c>
      <c r="I51" s="5" t="s">
        <v>36</v>
      </c>
      <c r="J51" s="6">
        <v>4.0</v>
      </c>
      <c r="K51" s="6" t="s">
        <v>37</v>
      </c>
      <c r="L51" s="6">
        <v>2400.0</v>
      </c>
      <c r="M51" s="5" t="s">
        <v>52</v>
      </c>
      <c r="N51" s="5" t="s">
        <v>96</v>
      </c>
      <c r="O51" s="6" t="s">
        <v>179</v>
      </c>
      <c r="P51" s="5" t="s">
        <v>41</v>
      </c>
      <c r="Q51" s="5"/>
      <c r="R51" s="17" t="s">
        <v>42</v>
      </c>
      <c r="S51" s="5" t="s">
        <v>61</v>
      </c>
      <c r="T51" s="5" t="s">
        <v>44</v>
      </c>
      <c r="U51" s="5" t="s">
        <v>338</v>
      </c>
      <c r="V51" s="5" t="s">
        <v>501</v>
      </c>
      <c r="W51" s="5" t="s">
        <v>35</v>
      </c>
      <c r="X51" s="5" t="s">
        <v>467</v>
      </c>
      <c r="Y51" s="5" t="s">
        <v>502</v>
      </c>
      <c r="Z51" s="5" t="s">
        <v>36</v>
      </c>
      <c r="AA51" s="5" t="s">
        <v>48</v>
      </c>
      <c r="AB51" s="5" t="s">
        <v>509</v>
      </c>
      <c r="AC51" s="6" t="s">
        <v>56</v>
      </c>
      <c r="AD51" s="6">
        <v>4012.0</v>
      </c>
    </row>
    <row r="52" ht="56.25" customHeight="1">
      <c r="A52" s="5" t="s">
        <v>510</v>
      </c>
      <c r="B52" s="6" t="str">
        <f>IMAGE("https://storage.googleapis.com/acdb/wall-mounted/FtrSakuraClockW_Remake_0_0.png")</f>
        <v/>
      </c>
      <c r="C52" s="5" t="s">
        <v>69</v>
      </c>
      <c r="D52" s="5" t="s">
        <v>135</v>
      </c>
      <c r="E52" s="5" t="s">
        <v>34</v>
      </c>
      <c r="F52" s="5" t="s">
        <v>34</v>
      </c>
      <c r="G52" s="5" t="s">
        <v>35</v>
      </c>
      <c r="H52" s="5" t="s">
        <v>35</v>
      </c>
      <c r="I52" s="5" t="s">
        <v>36</v>
      </c>
      <c r="J52" s="6">
        <v>4.0</v>
      </c>
      <c r="K52" s="6" t="s">
        <v>37</v>
      </c>
      <c r="L52" s="6">
        <v>2750.0</v>
      </c>
      <c r="M52" s="5" t="s">
        <v>69</v>
      </c>
      <c r="N52" s="5" t="s">
        <v>69</v>
      </c>
      <c r="O52" s="6" t="s">
        <v>179</v>
      </c>
      <c r="P52" s="5" t="s">
        <v>41</v>
      </c>
      <c r="Q52" s="5" t="s">
        <v>513</v>
      </c>
      <c r="R52" s="17" t="s">
        <v>42</v>
      </c>
      <c r="S52" s="5" t="s">
        <v>61</v>
      </c>
      <c r="T52" s="5" t="s">
        <v>44</v>
      </c>
      <c r="U52" s="5" t="s">
        <v>514</v>
      </c>
      <c r="V52" s="5" t="s">
        <v>44</v>
      </c>
      <c r="W52" s="5" t="s">
        <v>35</v>
      </c>
      <c r="X52" s="5" t="s">
        <v>260</v>
      </c>
      <c r="Y52" s="5" t="s">
        <v>47</v>
      </c>
      <c r="Z52" s="5" t="s">
        <v>36</v>
      </c>
      <c r="AA52" s="5" t="s">
        <v>48</v>
      </c>
      <c r="AB52" s="5" t="s">
        <v>515</v>
      </c>
      <c r="AC52" s="6" t="s">
        <v>50</v>
      </c>
      <c r="AD52" s="6">
        <v>6832.0</v>
      </c>
    </row>
    <row r="53" ht="56.25" customHeight="1">
      <c r="A53" s="5" t="s">
        <v>510</v>
      </c>
      <c r="B53" s="6" t="str">
        <f>IMAGE("https://storage.googleapis.com/acdb/wall-mounted/FtrSakuraClockW_Remake_1_0.png")</f>
        <v/>
      </c>
      <c r="C53" s="5" t="s">
        <v>518</v>
      </c>
      <c r="D53" s="5" t="s">
        <v>135</v>
      </c>
      <c r="E53" s="5" t="s">
        <v>34</v>
      </c>
      <c r="F53" s="5" t="s">
        <v>34</v>
      </c>
      <c r="G53" s="5" t="s">
        <v>35</v>
      </c>
      <c r="H53" s="5" t="s">
        <v>35</v>
      </c>
      <c r="I53" s="5" t="s">
        <v>36</v>
      </c>
      <c r="J53" s="6">
        <v>4.0</v>
      </c>
      <c r="K53" s="6" t="s">
        <v>37</v>
      </c>
      <c r="L53" s="6">
        <v>2750.0</v>
      </c>
      <c r="M53" s="5" t="s">
        <v>69</v>
      </c>
      <c r="N53" s="5" t="s">
        <v>57</v>
      </c>
      <c r="O53" s="6" t="s">
        <v>179</v>
      </c>
      <c r="P53" s="5" t="s">
        <v>41</v>
      </c>
      <c r="Q53" s="5" t="s">
        <v>513</v>
      </c>
      <c r="R53" s="17" t="s">
        <v>42</v>
      </c>
      <c r="S53" s="5" t="s">
        <v>61</v>
      </c>
      <c r="T53" s="5" t="s">
        <v>44</v>
      </c>
      <c r="U53" s="5" t="s">
        <v>514</v>
      </c>
      <c r="V53" s="5" t="s">
        <v>44</v>
      </c>
      <c r="W53" s="5" t="s">
        <v>35</v>
      </c>
      <c r="X53" s="5" t="s">
        <v>260</v>
      </c>
      <c r="Y53" s="5" t="s">
        <v>47</v>
      </c>
      <c r="Z53" s="5" t="s">
        <v>36</v>
      </c>
      <c r="AA53" s="5" t="s">
        <v>48</v>
      </c>
      <c r="AB53" s="5" t="s">
        <v>523</v>
      </c>
      <c r="AC53" s="6" t="s">
        <v>56</v>
      </c>
      <c r="AD53" s="6">
        <v>6832.0</v>
      </c>
    </row>
    <row r="54" ht="56.25" customHeight="1">
      <c r="A54" s="5" t="s">
        <v>524</v>
      </c>
      <c r="B54" s="6" t="str">
        <f>IMAGE("https://storage.googleapis.com/acdb/wall-mounted/FtrDoorOrnamentWreathCosmosRare.png")</f>
        <v/>
      </c>
      <c r="C54" s="5" t="s">
        <v>34</v>
      </c>
      <c r="D54" s="5" t="s">
        <v>34</v>
      </c>
      <c r="E54" s="5" t="s">
        <v>34</v>
      </c>
      <c r="F54" s="5" t="s">
        <v>34</v>
      </c>
      <c r="G54" s="5" t="s">
        <v>35</v>
      </c>
      <c r="H54" s="5" t="s">
        <v>36</v>
      </c>
      <c r="I54" s="5" t="s">
        <v>36</v>
      </c>
      <c r="J54" s="6" t="s">
        <v>34</v>
      </c>
      <c r="K54" s="6" t="s">
        <v>37</v>
      </c>
      <c r="L54" s="6">
        <v>4800.0</v>
      </c>
      <c r="M54" s="5" t="s">
        <v>54</v>
      </c>
      <c r="N54" s="5" t="s">
        <v>54</v>
      </c>
      <c r="O54" s="6" t="s">
        <v>179</v>
      </c>
      <c r="P54" s="5" t="s">
        <v>41</v>
      </c>
      <c r="Q54" s="5"/>
      <c r="R54" s="17" t="s">
        <v>42</v>
      </c>
      <c r="S54" s="5" t="s">
        <v>61</v>
      </c>
      <c r="T54" s="5" t="s">
        <v>44</v>
      </c>
      <c r="U54" s="5" t="s">
        <v>311</v>
      </c>
      <c r="V54" s="5" t="s">
        <v>44</v>
      </c>
      <c r="W54" s="5" t="s">
        <v>36</v>
      </c>
      <c r="X54" s="5" t="s">
        <v>312</v>
      </c>
      <c r="Y54" s="5" t="s">
        <v>47</v>
      </c>
      <c r="Z54" s="5" t="s">
        <v>35</v>
      </c>
      <c r="AA54" s="5" t="s">
        <v>48</v>
      </c>
      <c r="AB54" s="5" t="s">
        <v>528</v>
      </c>
      <c r="AC54" s="6" t="s">
        <v>34</v>
      </c>
      <c r="AD54" s="6">
        <v>5764.0</v>
      </c>
    </row>
    <row r="55" ht="56.25" customHeight="1">
      <c r="A55" s="5" t="s">
        <v>529</v>
      </c>
      <c r="B55" s="6" t="str">
        <f>IMAGE("https://storage.googleapis.com/acdb/wall-mounted/FtrDoorOrnamentWreathAnemoneRare.png")</f>
        <v/>
      </c>
      <c r="C55" s="5" t="s">
        <v>34</v>
      </c>
      <c r="D55" s="5" t="s">
        <v>34</v>
      </c>
      <c r="E55" s="5" t="s">
        <v>34</v>
      </c>
      <c r="F55" s="5" t="s">
        <v>34</v>
      </c>
      <c r="G55" s="5" t="s">
        <v>35</v>
      </c>
      <c r="H55" s="5" t="s">
        <v>36</v>
      </c>
      <c r="I55" s="5" t="s">
        <v>36</v>
      </c>
      <c r="J55" s="6" t="s">
        <v>34</v>
      </c>
      <c r="K55" s="6" t="s">
        <v>37</v>
      </c>
      <c r="L55" s="6">
        <v>4800.0</v>
      </c>
      <c r="M55" s="5" t="s">
        <v>106</v>
      </c>
      <c r="N55" s="5" t="s">
        <v>106</v>
      </c>
      <c r="O55" s="6" t="s">
        <v>179</v>
      </c>
      <c r="P55" s="5" t="s">
        <v>41</v>
      </c>
      <c r="Q55" s="5"/>
      <c r="R55" s="17" t="s">
        <v>42</v>
      </c>
      <c r="S55" s="5" t="s">
        <v>61</v>
      </c>
      <c r="T55" s="5" t="s">
        <v>44</v>
      </c>
      <c r="U55" s="5" t="s">
        <v>311</v>
      </c>
      <c r="V55" s="5" t="s">
        <v>44</v>
      </c>
      <c r="W55" s="5" t="s">
        <v>36</v>
      </c>
      <c r="X55" s="5" t="s">
        <v>312</v>
      </c>
      <c r="Y55" s="5" t="s">
        <v>47</v>
      </c>
      <c r="Z55" s="5" t="s">
        <v>35</v>
      </c>
      <c r="AA55" s="5" t="s">
        <v>48</v>
      </c>
      <c r="AB55" s="5" t="s">
        <v>534</v>
      </c>
      <c r="AC55" s="6" t="s">
        <v>34</v>
      </c>
      <c r="AD55" s="6">
        <v>5765.0</v>
      </c>
    </row>
    <row r="56" ht="56.25" customHeight="1">
      <c r="A56" s="5" t="s">
        <v>535</v>
      </c>
      <c r="B56" s="6" t="str">
        <f>IMAGE("https://storage.googleapis.com/acdb/wall-mounted/FtrPlanterPalm.png")</f>
        <v/>
      </c>
      <c r="C56" s="5" t="s">
        <v>34</v>
      </c>
      <c r="D56" s="5" t="s">
        <v>34</v>
      </c>
      <c r="E56" s="5" t="s">
        <v>34</v>
      </c>
      <c r="F56" s="5" t="s">
        <v>34</v>
      </c>
      <c r="G56" s="5" t="s">
        <v>35</v>
      </c>
      <c r="H56" s="5" t="s">
        <v>36</v>
      </c>
      <c r="I56" s="5" t="s">
        <v>36</v>
      </c>
      <c r="J56" s="6" t="s">
        <v>34</v>
      </c>
      <c r="K56" s="6" t="s">
        <v>37</v>
      </c>
      <c r="L56" s="6">
        <v>600.0</v>
      </c>
      <c r="M56" s="5" t="s">
        <v>96</v>
      </c>
      <c r="N56" s="5" t="s">
        <v>38</v>
      </c>
      <c r="O56" s="6" t="s">
        <v>431</v>
      </c>
      <c r="P56" s="5" t="s">
        <v>41</v>
      </c>
      <c r="Q56" s="5"/>
      <c r="R56" s="17" t="s">
        <v>42</v>
      </c>
      <c r="S56" s="5" t="s">
        <v>138</v>
      </c>
      <c r="T56" s="5" t="s">
        <v>90</v>
      </c>
      <c r="U56" s="5" t="s">
        <v>44</v>
      </c>
      <c r="V56" s="5" t="s">
        <v>44</v>
      </c>
      <c r="W56" s="5" t="s">
        <v>36</v>
      </c>
      <c r="X56" s="5" t="s">
        <v>244</v>
      </c>
      <c r="Y56" s="5" t="s">
        <v>47</v>
      </c>
      <c r="Z56" s="5" t="s">
        <v>36</v>
      </c>
      <c r="AA56" s="5" t="s">
        <v>48</v>
      </c>
      <c r="AB56" s="5" t="s">
        <v>542</v>
      </c>
      <c r="AC56" s="6" t="s">
        <v>34</v>
      </c>
      <c r="AD56" s="6">
        <v>4130.0</v>
      </c>
    </row>
    <row r="57" ht="56.25" customHeight="1">
      <c r="A57" s="5" t="s">
        <v>543</v>
      </c>
      <c r="B57" s="6" t="str">
        <f>IMAGE("https://storage.googleapis.com/acdb/wall-mounted/FtrDoorOrnamentWreathHyacinthMix.png")</f>
        <v/>
      </c>
      <c r="C57" s="5" t="s">
        <v>34</v>
      </c>
      <c r="D57" s="5" t="s">
        <v>34</v>
      </c>
      <c r="E57" s="5" t="s">
        <v>34</v>
      </c>
      <c r="F57" s="5" t="s">
        <v>34</v>
      </c>
      <c r="G57" s="5" t="s">
        <v>35</v>
      </c>
      <c r="H57" s="5" t="s">
        <v>36</v>
      </c>
      <c r="I57" s="5" t="s">
        <v>36</v>
      </c>
      <c r="J57" s="6" t="s">
        <v>34</v>
      </c>
      <c r="K57" s="6" t="s">
        <v>37</v>
      </c>
      <c r="L57" s="6">
        <v>1440.0</v>
      </c>
      <c r="M57" s="5" t="s">
        <v>68</v>
      </c>
      <c r="N57" s="5" t="s">
        <v>142</v>
      </c>
      <c r="O57" s="6" t="s">
        <v>179</v>
      </c>
      <c r="P57" s="5" t="s">
        <v>41</v>
      </c>
      <c r="Q57" s="5"/>
      <c r="R57" s="17" t="s">
        <v>42</v>
      </c>
      <c r="S57" s="5" t="s">
        <v>61</v>
      </c>
      <c r="T57" s="5" t="s">
        <v>44</v>
      </c>
      <c r="U57" s="5" t="s">
        <v>311</v>
      </c>
      <c r="V57" s="5" t="s">
        <v>44</v>
      </c>
      <c r="W57" s="5" t="s">
        <v>36</v>
      </c>
      <c r="X57" s="5" t="s">
        <v>312</v>
      </c>
      <c r="Y57" s="5" t="s">
        <v>47</v>
      </c>
      <c r="Z57" s="5" t="s">
        <v>35</v>
      </c>
      <c r="AA57" s="5" t="s">
        <v>48</v>
      </c>
      <c r="AB57" s="5" t="s">
        <v>549</v>
      </c>
      <c r="AC57" s="6" t="s">
        <v>34</v>
      </c>
      <c r="AD57" s="6">
        <v>5750.0</v>
      </c>
    </row>
    <row r="58" ht="56.25" customHeight="1">
      <c r="A58" s="5" t="s">
        <v>550</v>
      </c>
      <c r="B58" s="6" t="str">
        <f>IMAGE("https://storage.googleapis.com/acdb/wall-mounted/FtrDoorOrnamentWreathPansyRare.png")</f>
        <v/>
      </c>
      <c r="C58" s="5" t="s">
        <v>34</v>
      </c>
      <c r="D58" s="5" t="s">
        <v>34</v>
      </c>
      <c r="E58" s="5" t="s">
        <v>34</v>
      </c>
      <c r="F58" s="5" t="s">
        <v>34</v>
      </c>
      <c r="G58" s="5" t="s">
        <v>35</v>
      </c>
      <c r="H58" s="5" t="s">
        <v>36</v>
      </c>
      <c r="I58" s="5" t="s">
        <v>36</v>
      </c>
      <c r="J58" s="6" t="s">
        <v>34</v>
      </c>
      <c r="K58" s="6" t="s">
        <v>37</v>
      </c>
      <c r="L58" s="6">
        <v>4800.0</v>
      </c>
      <c r="M58" s="5" t="s">
        <v>106</v>
      </c>
      <c r="N58" s="5" t="s">
        <v>106</v>
      </c>
      <c r="O58" s="6" t="s">
        <v>179</v>
      </c>
      <c r="P58" s="5" t="s">
        <v>41</v>
      </c>
      <c r="Q58" s="5"/>
      <c r="R58" s="17" t="s">
        <v>42</v>
      </c>
      <c r="S58" s="5" t="s">
        <v>61</v>
      </c>
      <c r="T58" s="5" t="s">
        <v>44</v>
      </c>
      <c r="U58" s="5" t="s">
        <v>311</v>
      </c>
      <c r="V58" s="5" t="s">
        <v>44</v>
      </c>
      <c r="W58" s="5" t="s">
        <v>36</v>
      </c>
      <c r="X58" s="5" t="s">
        <v>312</v>
      </c>
      <c r="Y58" s="5" t="s">
        <v>47</v>
      </c>
      <c r="Z58" s="5" t="s">
        <v>35</v>
      </c>
      <c r="AA58" s="5" t="s">
        <v>48</v>
      </c>
      <c r="AB58" s="5" t="s">
        <v>557</v>
      </c>
      <c r="AC58" s="6" t="s">
        <v>34</v>
      </c>
      <c r="AD58" s="6">
        <v>5767.0</v>
      </c>
    </row>
    <row r="59" ht="56.25" customHeight="1">
      <c r="A59" s="5" t="s">
        <v>558</v>
      </c>
      <c r="B59" s="6" t="str">
        <f>IMAGE("https://storage.googleapis.com/acdb/wall-mounted/FtrDoorOrnamentWreathAnemoneMix.png")</f>
        <v/>
      </c>
      <c r="C59" s="5" t="s">
        <v>34</v>
      </c>
      <c r="D59" s="5" t="s">
        <v>34</v>
      </c>
      <c r="E59" s="5" t="s">
        <v>34</v>
      </c>
      <c r="F59" s="5" t="s">
        <v>34</v>
      </c>
      <c r="G59" s="5" t="s">
        <v>35</v>
      </c>
      <c r="H59" s="5" t="s">
        <v>36</v>
      </c>
      <c r="I59" s="5" t="s">
        <v>36</v>
      </c>
      <c r="J59" s="6" t="s">
        <v>34</v>
      </c>
      <c r="K59" s="6" t="s">
        <v>37</v>
      </c>
      <c r="L59" s="6">
        <v>1200.0</v>
      </c>
      <c r="M59" s="5" t="s">
        <v>68</v>
      </c>
      <c r="N59" s="5" t="s">
        <v>68</v>
      </c>
      <c r="O59" s="6" t="s">
        <v>179</v>
      </c>
      <c r="P59" s="5" t="s">
        <v>41</v>
      </c>
      <c r="Q59" s="5"/>
      <c r="R59" s="17" t="s">
        <v>42</v>
      </c>
      <c r="S59" s="5" t="s">
        <v>61</v>
      </c>
      <c r="T59" s="5" t="s">
        <v>44</v>
      </c>
      <c r="U59" s="5" t="s">
        <v>311</v>
      </c>
      <c r="V59" s="5" t="s">
        <v>44</v>
      </c>
      <c r="W59" s="5" t="s">
        <v>36</v>
      </c>
      <c r="X59" s="5" t="s">
        <v>312</v>
      </c>
      <c r="Y59" s="5" t="s">
        <v>47</v>
      </c>
      <c r="Z59" s="5" t="s">
        <v>35</v>
      </c>
      <c r="AA59" s="5" t="s">
        <v>48</v>
      </c>
      <c r="AB59" s="5" t="s">
        <v>561</v>
      </c>
      <c r="AC59" s="6" t="s">
        <v>34</v>
      </c>
      <c r="AD59" s="6">
        <v>5746.0</v>
      </c>
    </row>
    <row r="60" ht="56.25" customHeight="1">
      <c r="A60" s="5" t="s">
        <v>564</v>
      </c>
      <c r="B60" s="6" t="str">
        <f>IMAGE("https://storage.googleapis.com/acdb/wall-mounted/FtrCorkboard_Remake_0_0.png")</f>
        <v/>
      </c>
      <c r="C60" s="5" t="s">
        <v>32</v>
      </c>
      <c r="D60" s="5" t="s">
        <v>34</v>
      </c>
      <c r="E60" s="5" t="s">
        <v>567</v>
      </c>
      <c r="F60" s="5" t="s">
        <v>568</v>
      </c>
      <c r="G60" s="5" t="s">
        <v>36</v>
      </c>
      <c r="H60" s="5" t="s">
        <v>36</v>
      </c>
      <c r="I60" s="5" t="s">
        <v>35</v>
      </c>
      <c r="J60" s="6">
        <v>1.0</v>
      </c>
      <c r="K60" s="6">
        <v>1400.0</v>
      </c>
      <c r="L60" s="6">
        <v>350.0</v>
      </c>
      <c r="M60" s="5" t="s">
        <v>38</v>
      </c>
      <c r="N60" s="5" t="s">
        <v>52</v>
      </c>
      <c r="O60" s="6" t="s">
        <v>136</v>
      </c>
      <c r="P60" s="5" t="s">
        <v>59</v>
      </c>
      <c r="Q60" s="5" t="s">
        <v>89</v>
      </c>
      <c r="R60" s="17" t="s">
        <v>42</v>
      </c>
      <c r="S60" s="5" t="s">
        <v>130</v>
      </c>
      <c r="T60" s="5" t="s">
        <v>91</v>
      </c>
      <c r="U60" s="5" t="s">
        <v>44</v>
      </c>
      <c r="V60" s="5" t="s">
        <v>44</v>
      </c>
      <c r="W60" s="5" t="s">
        <v>36</v>
      </c>
      <c r="X60" s="5" t="s">
        <v>203</v>
      </c>
      <c r="Y60" s="5" t="s">
        <v>47</v>
      </c>
      <c r="Z60" s="5" t="s">
        <v>36</v>
      </c>
      <c r="AA60" s="5" t="s">
        <v>64</v>
      </c>
      <c r="AB60" s="5" t="s">
        <v>572</v>
      </c>
      <c r="AC60" s="6" t="s">
        <v>50</v>
      </c>
      <c r="AD60" s="6">
        <v>1783.0</v>
      </c>
    </row>
    <row r="61" ht="56.25" customHeight="1">
      <c r="A61" s="5" t="s">
        <v>564</v>
      </c>
      <c r="B61" s="6" t="str">
        <f>IMAGE("https://storage.googleapis.com/acdb/wall-mounted/FtrCorkboard_Remake_0_1.png")</f>
        <v/>
      </c>
      <c r="C61" s="5" t="s">
        <v>32</v>
      </c>
      <c r="D61" s="5" t="s">
        <v>34</v>
      </c>
      <c r="E61" s="5" t="s">
        <v>219</v>
      </c>
      <c r="F61" s="5" t="s">
        <v>568</v>
      </c>
      <c r="G61" s="5" t="s">
        <v>36</v>
      </c>
      <c r="H61" s="5" t="s">
        <v>36</v>
      </c>
      <c r="I61" s="5" t="s">
        <v>35</v>
      </c>
      <c r="J61" s="6">
        <v>1.0</v>
      </c>
      <c r="K61" s="6">
        <v>1400.0</v>
      </c>
      <c r="L61" s="6">
        <v>350.0</v>
      </c>
      <c r="M61" s="5" t="s">
        <v>38</v>
      </c>
      <c r="N61" s="5" t="s">
        <v>68</v>
      </c>
      <c r="O61" s="6" t="s">
        <v>136</v>
      </c>
      <c r="P61" s="5" t="s">
        <v>59</v>
      </c>
      <c r="Q61" s="5" t="s">
        <v>89</v>
      </c>
      <c r="R61" s="17" t="s">
        <v>42</v>
      </c>
      <c r="S61" s="5" t="s">
        <v>130</v>
      </c>
      <c r="T61" s="5" t="s">
        <v>91</v>
      </c>
      <c r="U61" s="5" t="s">
        <v>44</v>
      </c>
      <c r="V61" s="5" t="s">
        <v>44</v>
      </c>
      <c r="W61" s="5" t="s">
        <v>36</v>
      </c>
      <c r="X61" s="5" t="s">
        <v>203</v>
      </c>
      <c r="Y61" s="5" t="s">
        <v>47</v>
      </c>
      <c r="Z61" s="5" t="s">
        <v>36</v>
      </c>
      <c r="AA61" s="5" t="s">
        <v>64</v>
      </c>
      <c r="AB61" s="5" t="s">
        <v>577</v>
      </c>
      <c r="AC61" s="6" t="s">
        <v>217</v>
      </c>
      <c r="AD61" s="6">
        <v>1783.0</v>
      </c>
    </row>
    <row r="62" ht="56.25" customHeight="1">
      <c r="A62" s="5" t="s">
        <v>564</v>
      </c>
      <c r="B62" s="6" t="str">
        <f>IMAGE("https://storage.googleapis.com/acdb/wall-mounted/FtrCorkboard_Remake_0_2.png")</f>
        <v/>
      </c>
      <c r="C62" s="5" t="s">
        <v>32</v>
      </c>
      <c r="D62" s="5" t="s">
        <v>34</v>
      </c>
      <c r="E62" s="5" t="s">
        <v>581</v>
      </c>
      <c r="F62" s="5" t="s">
        <v>568</v>
      </c>
      <c r="G62" s="5" t="s">
        <v>36</v>
      </c>
      <c r="H62" s="5" t="s">
        <v>36</v>
      </c>
      <c r="I62" s="5" t="s">
        <v>35</v>
      </c>
      <c r="J62" s="6">
        <v>1.0</v>
      </c>
      <c r="K62" s="6">
        <v>1400.0</v>
      </c>
      <c r="L62" s="6">
        <v>350.0</v>
      </c>
      <c r="M62" s="5" t="s">
        <v>38</v>
      </c>
      <c r="N62" s="5" t="s">
        <v>96</v>
      </c>
      <c r="O62" s="6" t="s">
        <v>136</v>
      </c>
      <c r="P62" s="5" t="s">
        <v>59</v>
      </c>
      <c r="Q62" s="5" t="s">
        <v>89</v>
      </c>
      <c r="R62" s="17" t="s">
        <v>42</v>
      </c>
      <c r="S62" s="5" t="s">
        <v>130</v>
      </c>
      <c r="T62" s="5" t="s">
        <v>91</v>
      </c>
      <c r="U62" s="5" t="s">
        <v>44</v>
      </c>
      <c r="V62" s="5" t="s">
        <v>44</v>
      </c>
      <c r="W62" s="5" t="s">
        <v>36</v>
      </c>
      <c r="X62" s="5" t="s">
        <v>203</v>
      </c>
      <c r="Y62" s="5" t="s">
        <v>47</v>
      </c>
      <c r="Z62" s="5" t="s">
        <v>36</v>
      </c>
      <c r="AA62" s="5" t="s">
        <v>64</v>
      </c>
      <c r="AB62" s="5" t="s">
        <v>586</v>
      </c>
      <c r="AC62" s="6" t="s">
        <v>347</v>
      </c>
      <c r="AD62" s="6">
        <v>1783.0</v>
      </c>
    </row>
    <row r="63" ht="56.25" customHeight="1">
      <c r="A63" s="5" t="s">
        <v>564</v>
      </c>
      <c r="B63" s="6" t="str">
        <f>IMAGE("https://storage.googleapis.com/acdb/wall-mounted/FtrCorkboard_Remake_1_0.png")</f>
        <v/>
      </c>
      <c r="C63" s="5" t="s">
        <v>57</v>
      </c>
      <c r="D63" s="5" t="s">
        <v>34</v>
      </c>
      <c r="E63" s="5" t="s">
        <v>567</v>
      </c>
      <c r="F63" s="5" t="s">
        <v>568</v>
      </c>
      <c r="G63" s="5" t="s">
        <v>36</v>
      </c>
      <c r="H63" s="5" t="s">
        <v>36</v>
      </c>
      <c r="I63" s="5" t="s">
        <v>35</v>
      </c>
      <c r="J63" s="6">
        <v>1.0</v>
      </c>
      <c r="K63" s="6">
        <v>1400.0</v>
      </c>
      <c r="L63" s="6">
        <v>350.0</v>
      </c>
      <c r="M63" s="5" t="s">
        <v>57</v>
      </c>
      <c r="N63" s="5" t="s">
        <v>52</v>
      </c>
      <c r="O63" s="6" t="s">
        <v>136</v>
      </c>
      <c r="P63" s="5" t="s">
        <v>59</v>
      </c>
      <c r="Q63" s="5" t="s">
        <v>89</v>
      </c>
      <c r="R63" s="17" t="s">
        <v>42</v>
      </c>
      <c r="S63" s="5" t="s">
        <v>130</v>
      </c>
      <c r="T63" s="5" t="s">
        <v>91</v>
      </c>
      <c r="U63" s="5" t="s">
        <v>44</v>
      </c>
      <c r="V63" s="5" t="s">
        <v>44</v>
      </c>
      <c r="W63" s="5" t="s">
        <v>36</v>
      </c>
      <c r="X63" s="5" t="s">
        <v>203</v>
      </c>
      <c r="Y63" s="5" t="s">
        <v>47</v>
      </c>
      <c r="Z63" s="5" t="s">
        <v>36</v>
      </c>
      <c r="AA63" s="5" t="s">
        <v>64</v>
      </c>
      <c r="AB63" s="5" t="s">
        <v>594</v>
      </c>
      <c r="AC63" s="6" t="s">
        <v>56</v>
      </c>
      <c r="AD63" s="6">
        <v>1783.0</v>
      </c>
    </row>
    <row r="64" ht="56.25" customHeight="1">
      <c r="A64" s="5" t="s">
        <v>564</v>
      </c>
      <c r="B64" s="6" t="str">
        <f>IMAGE("https://storage.googleapis.com/acdb/wall-mounted/FtrCorkboard_Remake_1_1.png")</f>
        <v/>
      </c>
      <c r="C64" s="5" t="s">
        <v>57</v>
      </c>
      <c r="D64" s="5" t="s">
        <v>34</v>
      </c>
      <c r="E64" s="5" t="s">
        <v>219</v>
      </c>
      <c r="F64" s="5" t="s">
        <v>568</v>
      </c>
      <c r="G64" s="5" t="s">
        <v>36</v>
      </c>
      <c r="H64" s="5" t="s">
        <v>36</v>
      </c>
      <c r="I64" s="5" t="s">
        <v>35</v>
      </c>
      <c r="J64" s="6">
        <v>1.0</v>
      </c>
      <c r="K64" s="6">
        <v>1400.0</v>
      </c>
      <c r="L64" s="6">
        <v>350.0</v>
      </c>
      <c r="M64" s="5" t="s">
        <v>57</v>
      </c>
      <c r="N64" s="5" t="s">
        <v>68</v>
      </c>
      <c r="O64" s="6" t="s">
        <v>136</v>
      </c>
      <c r="P64" s="5" t="s">
        <v>59</v>
      </c>
      <c r="Q64" s="5" t="s">
        <v>89</v>
      </c>
      <c r="R64" s="17" t="s">
        <v>42</v>
      </c>
      <c r="S64" s="5" t="s">
        <v>130</v>
      </c>
      <c r="T64" s="5" t="s">
        <v>91</v>
      </c>
      <c r="U64" s="5" t="s">
        <v>44</v>
      </c>
      <c r="V64" s="5" t="s">
        <v>44</v>
      </c>
      <c r="W64" s="5" t="s">
        <v>36</v>
      </c>
      <c r="X64" s="5" t="s">
        <v>203</v>
      </c>
      <c r="Y64" s="5" t="s">
        <v>47</v>
      </c>
      <c r="Z64" s="5" t="s">
        <v>36</v>
      </c>
      <c r="AA64" s="5" t="s">
        <v>64</v>
      </c>
      <c r="AB64" s="5" t="s">
        <v>601</v>
      </c>
      <c r="AC64" s="6" t="s">
        <v>234</v>
      </c>
      <c r="AD64" s="6">
        <v>1783.0</v>
      </c>
    </row>
    <row r="65" ht="56.25" customHeight="1">
      <c r="A65" s="5" t="s">
        <v>564</v>
      </c>
      <c r="B65" s="6" t="str">
        <f>IMAGE("https://storage.googleapis.com/acdb/wall-mounted/FtrCorkboard_Remake_1_2.png")</f>
        <v/>
      </c>
      <c r="C65" s="5" t="s">
        <v>57</v>
      </c>
      <c r="D65" s="5" t="s">
        <v>34</v>
      </c>
      <c r="E65" s="5" t="s">
        <v>581</v>
      </c>
      <c r="F65" s="5" t="s">
        <v>568</v>
      </c>
      <c r="G65" s="5" t="s">
        <v>36</v>
      </c>
      <c r="H65" s="5" t="s">
        <v>36</v>
      </c>
      <c r="I65" s="5" t="s">
        <v>35</v>
      </c>
      <c r="J65" s="6">
        <v>1.0</v>
      </c>
      <c r="K65" s="6">
        <v>1400.0</v>
      </c>
      <c r="L65" s="6">
        <v>350.0</v>
      </c>
      <c r="M65" s="5" t="s">
        <v>57</v>
      </c>
      <c r="N65" s="5" t="s">
        <v>96</v>
      </c>
      <c r="O65" s="6" t="s">
        <v>136</v>
      </c>
      <c r="P65" s="5" t="s">
        <v>59</v>
      </c>
      <c r="Q65" s="5" t="s">
        <v>89</v>
      </c>
      <c r="R65" s="17" t="s">
        <v>42</v>
      </c>
      <c r="S65" s="5" t="s">
        <v>130</v>
      </c>
      <c r="T65" s="5" t="s">
        <v>91</v>
      </c>
      <c r="U65" s="5" t="s">
        <v>44</v>
      </c>
      <c r="V65" s="5" t="s">
        <v>44</v>
      </c>
      <c r="W65" s="5" t="s">
        <v>36</v>
      </c>
      <c r="X65" s="5" t="s">
        <v>203</v>
      </c>
      <c r="Y65" s="5" t="s">
        <v>47</v>
      </c>
      <c r="Z65" s="5" t="s">
        <v>36</v>
      </c>
      <c r="AA65" s="5" t="s">
        <v>64</v>
      </c>
      <c r="AB65" s="5" t="s">
        <v>605</v>
      </c>
      <c r="AC65" s="6" t="s">
        <v>370</v>
      </c>
      <c r="AD65" s="6">
        <v>1783.0</v>
      </c>
    </row>
    <row r="66" ht="56.25" customHeight="1">
      <c r="A66" s="5" t="s">
        <v>564</v>
      </c>
      <c r="B66" s="6" t="str">
        <f>IMAGE("https://storage.googleapis.com/acdb/wall-mounted/FtrCorkboard_Remake_2_0.png")</f>
        <v/>
      </c>
      <c r="C66" s="5" t="s">
        <v>68</v>
      </c>
      <c r="D66" s="5" t="s">
        <v>34</v>
      </c>
      <c r="E66" s="5" t="s">
        <v>567</v>
      </c>
      <c r="F66" s="5" t="s">
        <v>568</v>
      </c>
      <c r="G66" s="5" t="s">
        <v>36</v>
      </c>
      <c r="H66" s="5" t="s">
        <v>36</v>
      </c>
      <c r="I66" s="5" t="s">
        <v>35</v>
      </c>
      <c r="J66" s="6">
        <v>1.0</v>
      </c>
      <c r="K66" s="6">
        <v>1400.0</v>
      </c>
      <c r="L66" s="6">
        <v>350.0</v>
      </c>
      <c r="M66" s="5" t="s">
        <v>68</v>
      </c>
      <c r="N66" s="5" t="s">
        <v>52</v>
      </c>
      <c r="O66" s="6" t="s">
        <v>136</v>
      </c>
      <c r="P66" s="5" t="s">
        <v>59</v>
      </c>
      <c r="Q66" s="5" t="s">
        <v>89</v>
      </c>
      <c r="R66" s="17" t="s">
        <v>42</v>
      </c>
      <c r="S66" s="5" t="s">
        <v>130</v>
      </c>
      <c r="T66" s="5" t="s">
        <v>91</v>
      </c>
      <c r="U66" s="5" t="s">
        <v>44</v>
      </c>
      <c r="V66" s="5" t="s">
        <v>44</v>
      </c>
      <c r="W66" s="5" t="s">
        <v>36</v>
      </c>
      <c r="X66" s="5" t="s">
        <v>203</v>
      </c>
      <c r="Y66" s="5" t="s">
        <v>47</v>
      </c>
      <c r="Z66" s="5" t="s">
        <v>36</v>
      </c>
      <c r="AA66" s="5" t="s">
        <v>64</v>
      </c>
      <c r="AB66" s="5" t="s">
        <v>610</v>
      </c>
      <c r="AC66" s="6" t="s">
        <v>67</v>
      </c>
      <c r="AD66" s="6">
        <v>1783.0</v>
      </c>
    </row>
    <row r="67" ht="56.25" customHeight="1">
      <c r="A67" s="5" t="s">
        <v>564</v>
      </c>
      <c r="B67" s="6" t="str">
        <f>IMAGE("https://storage.googleapis.com/acdb/wall-mounted/FtrCorkboard_Remake_2_1.png")</f>
        <v/>
      </c>
      <c r="C67" s="5" t="s">
        <v>68</v>
      </c>
      <c r="D67" s="5" t="s">
        <v>34</v>
      </c>
      <c r="E67" s="5" t="s">
        <v>219</v>
      </c>
      <c r="F67" s="5" t="s">
        <v>568</v>
      </c>
      <c r="G67" s="5" t="s">
        <v>36</v>
      </c>
      <c r="H67" s="5" t="s">
        <v>36</v>
      </c>
      <c r="I67" s="5" t="s">
        <v>35</v>
      </c>
      <c r="J67" s="6">
        <v>1.0</v>
      </c>
      <c r="K67" s="6">
        <v>1400.0</v>
      </c>
      <c r="L67" s="6">
        <v>350.0</v>
      </c>
      <c r="M67" s="5" t="s">
        <v>68</v>
      </c>
      <c r="N67" s="5" t="s">
        <v>68</v>
      </c>
      <c r="O67" s="6" t="s">
        <v>136</v>
      </c>
      <c r="P67" s="5" t="s">
        <v>59</v>
      </c>
      <c r="Q67" s="5" t="s">
        <v>89</v>
      </c>
      <c r="R67" s="17" t="s">
        <v>42</v>
      </c>
      <c r="S67" s="5" t="s">
        <v>130</v>
      </c>
      <c r="T67" s="5" t="s">
        <v>91</v>
      </c>
      <c r="U67" s="5" t="s">
        <v>44</v>
      </c>
      <c r="V67" s="5" t="s">
        <v>44</v>
      </c>
      <c r="W67" s="5" t="s">
        <v>36</v>
      </c>
      <c r="X67" s="5" t="s">
        <v>203</v>
      </c>
      <c r="Y67" s="5" t="s">
        <v>47</v>
      </c>
      <c r="Z67" s="5" t="s">
        <v>36</v>
      </c>
      <c r="AA67" s="5" t="s">
        <v>64</v>
      </c>
      <c r="AB67" s="5" t="s">
        <v>616</v>
      </c>
      <c r="AC67" s="6" t="s">
        <v>247</v>
      </c>
      <c r="AD67" s="6">
        <v>1783.0</v>
      </c>
    </row>
    <row r="68" ht="56.25" customHeight="1">
      <c r="A68" s="5" t="s">
        <v>564</v>
      </c>
      <c r="B68" s="6" t="str">
        <f>IMAGE("https://storage.googleapis.com/acdb/wall-mounted/FtrCorkboard_Remake_2_2.png")</f>
        <v/>
      </c>
      <c r="C68" s="5" t="s">
        <v>68</v>
      </c>
      <c r="D68" s="5" t="s">
        <v>34</v>
      </c>
      <c r="E68" s="5" t="s">
        <v>581</v>
      </c>
      <c r="F68" s="5" t="s">
        <v>568</v>
      </c>
      <c r="G68" s="5" t="s">
        <v>36</v>
      </c>
      <c r="H68" s="5" t="s">
        <v>36</v>
      </c>
      <c r="I68" s="5" t="s">
        <v>35</v>
      </c>
      <c r="J68" s="6">
        <v>1.0</v>
      </c>
      <c r="K68" s="6">
        <v>1400.0</v>
      </c>
      <c r="L68" s="6">
        <v>350.0</v>
      </c>
      <c r="M68" s="5" t="s">
        <v>68</v>
      </c>
      <c r="N68" s="5" t="s">
        <v>96</v>
      </c>
      <c r="O68" s="6" t="s">
        <v>136</v>
      </c>
      <c r="P68" s="5" t="s">
        <v>59</v>
      </c>
      <c r="Q68" s="5" t="s">
        <v>89</v>
      </c>
      <c r="R68" s="17" t="s">
        <v>42</v>
      </c>
      <c r="S68" s="5" t="s">
        <v>130</v>
      </c>
      <c r="T68" s="5" t="s">
        <v>91</v>
      </c>
      <c r="U68" s="5" t="s">
        <v>44</v>
      </c>
      <c r="V68" s="5" t="s">
        <v>44</v>
      </c>
      <c r="W68" s="5" t="s">
        <v>36</v>
      </c>
      <c r="X68" s="5" t="s">
        <v>203</v>
      </c>
      <c r="Y68" s="5" t="s">
        <v>47</v>
      </c>
      <c r="Z68" s="5" t="s">
        <v>36</v>
      </c>
      <c r="AA68" s="5" t="s">
        <v>64</v>
      </c>
      <c r="AB68" s="5" t="s">
        <v>622</v>
      </c>
      <c r="AC68" s="6" t="s">
        <v>390</v>
      </c>
      <c r="AD68" s="6">
        <v>1783.0</v>
      </c>
    </row>
    <row r="69" ht="56.25" customHeight="1">
      <c r="A69" s="5" t="s">
        <v>624</v>
      </c>
      <c r="B69" s="6" t="str">
        <f>IMAGE("https://storage.googleapis.com/acdb/wall-mounted/FtrDoorOrnamentWreathCosmos.png")</f>
        <v/>
      </c>
      <c r="C69" s="5" t="s">
        <v>34</v>
      </c>
      <c r="D69" s="5" t="s">
        <v>34</v>
      </c>
      <c r="E69" s="5" t="s">
        <v>34</v>
      </c>
      <c r="F69" s="5" t="s">
        <v>34</v>
      </c>
      <c r="G69" s="5" t="s">
        <v>35</v>
      </c>
      <c r="H69" s="5" t="s">
        <v>36</v>
      </c>
      <c r="I69" s="5" t="s">
        <v>36</v>
      </c>
      <c r="J69" s="6" t="s">
        <v>34</v>
      </c>
      <c r="K69" s="6" t="s">
        <v>37</v>
      </c>
      <c r="L69" s="6">
        <v>720.0</v>
      </c>
      <c r="M69" s="5" t="s">
        <v>52</v>
      </c>
      <c r="N69" s="5" t="s">
        <v>114</v>
      </c>
      <c r="O69" s="6" t="s">
        <v>179</v>
      </c>
      <c r="P69" s="5" t="s">
        <v>41</v>
      </c>
      <c r="Q69" s="5"/>
      <c r="R69" s="17" t="s">
        <v>42</v>
      </c>
      <c r="S69" s="5" t="s">
        <v>61</v>
      </c>
      <c r="T69" s="5" t="s">
        <v>44</v>
      </c>
      <c r="U69" s="5" t="s">
        <v>311</v>
      </c>
      <c r="V69" s="5" t="s">
        <v>44</v>
      </c>
      <c r="W69" s="5" t="s">
        <v>36</v>
      </c>
      <c r="X69" s="5" t="s">
        <v>312</v>
      </c>
      <c r="Y69" s="5" t="s">
        <v>47</v>
      </c>
      <c r="Z69" s="5" t="s">
        <v>35</v>
      </c>
      <c r="AA69" s="5" t="s">
        <v>48</v>
      </c>
      <c r="AB69" s="5" t="s">
        <v>628</v>
      </c>
      <c r="AC69" s="6" t="s">
        <v>34</v>
      </c>
      <c r="AD69" s="6">
        <v>4293.0</v>
      </c>
    </row>
    <row r="70" ht="56.25" customHeight="1">
      <c r="A70" s="5" t="s">
        <v>630</v>
      </c>
      <c r="B70" s="6" t="str">
        <f>IMAGE("https://storage.googleapis.com/acdb/wall-mounted/FtrDoorOrnamentCrest_Remake_0_0.png")</f>
        <v/>
      </c>
      <c r="C70" s="5" t="s">
        <v>146</v>
      </c>
      <c r="D70" s="5" t="s">
        <v>135</v>
      </c>
      <c r="E70" s="5" t="s">
        <v>34</v>
      </c>
      <c r="F70" s="5" t="s">
        <v>34</v>
      </c>
      <c r="G70" s="5" t="s">
        <v>35</v>
      </c>
      <c r="H70" s="5" t="s">
        <v>35</v>
      </c>
      <c r="I70" s="5" t="s">
        <v>36</v>
      </c>
      <c r="J70" s="6">
        <v>1.0</v>
      </c>
      <c r="K70" s="6" t="s">
        <v>37</v>
      </c>
      <c r="L70" s="6">
        <v>3000.0</v>
      </c>
      <c r="M70" s="5" t="s">
        <v>95</v>
      </c>
      <c r="N70" s="5" t="s">
        <v>54</v>
      </c>
      <c r="O70" s="6" t="s">
        <v>179</v>
      </c>
      <c r="P70" s="5" t="s">
        <v>41</v>
      </c>
      <c r="Q70" s="5"/>
      <c r="R70" s="17" t="s">
        <v>42</v>
      </c>
      <c r="S70" s="5" t="s">
        <v>116</v>
      </c>
      <c r="T70" s="5" t="s">
        <v>44</v>
      </c>
      <c r="U70" s="5" t="s">
        <v>44</v>
      </c>
      <c r="V70" s="5" t="s">
        <v>44</v>
      </c>
      <c r="W70" s="5" t="s">
        <v>36</v>
      </c>
      <c r="X70" s="5" t="s">
        <v>312</v>
      </c>
      <c r="Y70" s="5" t="s">
        <v>47</v>
      </c>
      <c r="Z70" s="5" t="s">
        <v>35</v>
      </c>
      <c r="AA70" s="5" t="s">
        <v>48</v>
      </c>
      <c r="AB70" s="5" t="s">
        <v>635</v>
      </c>
      <c r="AC70" s="6" t="s">
        <v>50</v>
      </c>
      <c r="AD70" s="6">
        <v>5717.0</v>
      </c>
    </row>
    <row r="71" ht="56.25" customHeight="1">
      <c r="A71" s="5" t="s">
        <v>630</v>
      </c>
      <c r="B71" s="6" t="str">
        <f>IMAGE("https://storage.googleapis.com/acdb/wall-mounted/FtrDoorOrnamentCrest_Remake_1_0.png")</f>
        <v/>
      </c>
      <c r="C71" s="5" t="s">
        <v>637</v>
      </c>
      <c r="D71" s="5" t="s">
        <v>135</v>
      </c>
      <c r="E71" s="5" t="s">
        <v>34</v>
      </c>
      <c r="F71" s="5" t="s">
        <v>34</v>
      </c>
      <c r="G71" s="5" t="s">
        <v>35</v>
      </c>
      <c r="H71" s="5" t="s">
        <v>35</v>
      </c>
      <c r="I71" s="5" t="s">
        <v>36</v>
      </c>
      <c r="J71" s="6">
        <v>1.0</v>
      </c>
      <c r="K71" s="6" t="s">
        <v>37</v>
      </c>
      <c r="L71" s="6">
        <v>3000.0</v>
      </c>
      <c r="M71" s="5" t="s">
        <v>114</v>
      </c>
      <c r="N71" s="5" t="s">
        <v>95</v>
      </c>
      <c r="O71" s="6" t="s">
        <v>179</v>
      </c>
      <c r="P71" s="5" t="s">
        <v>41</v>
      </c>
      <c r="Q71" s="5"/>
      <c r="R71" s="17" t="s">
        <v>42</v>
      </c>
      <c r="S71" s="5" t="s">
        <v>116</v>
      </c>
      <c r="T71" s="5" t="s">
        <v>44</v>
      </c>
      <c r="U71" s="5" t="s">
        <v>44</v>
      </c>
      <c r="V71" s="5" t="s">
        <v>44</v>
      </c>
      <c r="W71" s="5" t="s">
        <v>36</v>
      </c>
      <c r="X71" s="5" t="s">
        <v>312</v>
      </c>
      <c r="Y71" s="5" t="s">
        <v>47</v>
      </c>
      <c r="Z71" s="5" t="s">
        <v>35</v>
      </c>
      <c r="AA71" s="5" t="s">
        <v>48</v>
      </c>
      <c r="AB71" s="5" t="s">
        <v>639</v>
      </c>
      <c r="AC71" s="6" t="s">
        <v>56</v>
      </c>
      <c r="AD71" s="6">
        <v>5717.0</v>
      </c>
    </row>
    <row r="72" ht="56.25" customHeight="1">
      <c r="A72" s="5" t="s">
        <v>630</v>
      </c>
      <c r="B72" s="6" t="str">
        <f>IMAGE("https://storage.googleapis.com/acdb/wall-mounted/FtrDoorOrnamentCrest_Remake_2_0.png")</f>
        <v/>
      </c>
      <c r="C72" s="5" t="s">
        <v>644</v>
      </c>
      <c r="D72" s="5" t="s">
        <v>135</v>
      </c>
      <c r="E72" s="5" t="s">
        <v>34</v>
      </c>
      <c r="F72" s="5" t="s">
        <v>34</v>
      </c>
      <c r="G72" s="5" t="s">
        <v>35</v>
      </c>
      <c r="H72" s="5" t="s">
        <v>35</v>
      </c>
      <c r="I72" s="5" t="s">
        <v>36</v>
      </c>
      <c r="J72" s="6">
        <v>1.0</v>
      </c>
      <c r="K72" s="6" t="s">
        <v>37</v>
      </c>
      <c r="L72" s="6">
        <v>3000.0</v>
      </c>
      <c r="M72" s="5" t="s">
        <v>95</v>
      </c>
      <c r="N72" s="5" t="s">
        <v>68</v>
      </c>
      <c r="O72" s="6" t="s">
        <v>179</v>
      </c>
      <c r="P72" s="5" t="s">
        <v>41</v>
      </c>
      <c r="Q72" s="5"/>
      <c r="R72" s="17" t="s">
        <v>42</v>
      </c>
      <c r="S72" s="5" t="s">
        <v>116</v>
      </c>
      <c r="T72" s="5" t="s">
        <v>44</v>
      </c>
      <c r="U72" s="5" t="s">
        <v>44</v>
      </c>
      <c r="V72" s="5" t="s">
        <v>44</v>
      </c>
      <c r="W72" s="5" t="s">
        <v>36</v>
      </c>
      <c r="X72" s="5" t="s">
        <v>312</v>
      </c>
      <c r="Y72" s="5" t="s">
        <v>47</v>
      </c>
      <c r="Z72" s="5" t="s">
        <v>35</v>
      </c>
      <c r="AA72" s="5" t="s">
        <v>48</v>
      </c>
      <c r="AB72" s="5" t="s">
        <v>647</v>
      </c>
      <c r="AC72" s="6" t="s">
        <v>67</v>
      </c>
      <c r="AD72" s="6">
        <v>5717.0</v>
      </c>
    </row>
    <row r="73" ht="56.25" customHeight="1">
      <c r="A73" s="5" t="s">
        <v>630</v>
      </c>
      <c r="B73" s="6" t="str">
        <f>IMAGE("https://storage.googleapis.com/acdb/wall-mounted/FtrDoorOrnamentCrest_Remake_3_0.png")</f>
        <v/>
      </c>
      <c r="C73" s="5" t="s">
        <v>651</v>
      </c>
      <c r="D73" s="5" t="s">
        <v>135</v>
      </c>
      <c r="E73" s="5" t="s">
        <v>34</v>
      </c>
      <c r="F73" s="5" t="s">
        <v>34</v>
      </c>
      <c r="G73" s="5" t="s">
        <v>35</v>
      </c>
      <c r="H73" s="5" t="s">
        <v>35</v>
      </c>
      <c r="I73" s="5" t="s">
        <v>36</v>
      </c>
      <c r="J73" s="6">
        <v>1.0</v>
      </c>
      <c r="K73" s="6" t="s">
        <v>37</v>
      </c>
      <c r="L73" s="6">
        <v>3000.0</v>
      </c>
      <c r="M73" s="5" t="s">
        <v>52</v>
      </c>
      <c r="N73" s="5" t="s">
        <v>57</v>
      </c>
      <c r="O73" s="6" t="s">
        <v>179</v>
      </c>
      <c r="P73" s="5" t="s">
        <v>41</v>
      </c>
      <c r="Q73" s="5"/>
      <c r="R73" s="17" t="s">
        <v>42</v>
      </c>
      <c r="S73" s="5" t="s">
        <v>116</v>
      </c>
      <c r="T73" s="5" t="s">
        <v>44</v>
      </c>
      <c r="U73" s="5" t="s">
        <v>44</v>
      </c>
      <c r="V73" s="5" t="s">
        <v>44</v>
      </c>
      <c r="W73" s="5" t="s">
        <v>36</v>
      </c>
      <c r="X73" s="5" t="s">
        <v>312</v>
      </c>
      <c r="Y73" s="5" t="s">
        <v>47</v>
      </c>
      <c r="Z73" s="5" t="s">
        <v>35</v>
      </c>
      <c r="AA73" s="5" t="s">
        <v>48</v>
      </c>
      <c r="AB73" s="5" t="s">
        <v>654</v>
      </c>
      <c r="AC73" s="6" t="s">
        <v>71</v>
      </c>
      <c r="AD73" s="6">
        <v>5717.0</v>
      </c>
    </row>
    <row r="74" ht="56.25" customHeight="1">
      <c r="A74" s="5" t="s">
        <v>630</v>
      </c>
      <c r="B74" s="6" t="str">
        <f>IMAGE("https://storage.googleapis.com/acdb/wall-mounted/FtrDoorOrnamentCrest_Remake_4_0.png")</f>
        <v/>
      </c>
      <c r="C74" s="5" t="s">
        <v>656</v>
      </c>
      <c r="D74" s="5" t="s">
        <v>135</v>
      </c>
      <c r="E74" s="5" t="s">
        <v>34</v>
      </c>
      <c r="F74" s="5" t="s">
        <v>34</v>
      </c>
      <c r="G74" s="5" t="s">
        <v>35</v>
      </c>
      <c r="H74" s="5" t="s">
        <v>35</v>
      </c>
      <c r="I74" s="5" t="s">
        <v>36</v>
      </c>
      <c r="J74" s="6">
        <v>1.0</v>
      </c>
      <c r="K74" s="6" t="s">
        <v>37</v>
      </c>
      <c r="L74" s="6">
        <v>3000.0</v>
      </c>
      <c r="M74" s="5" t="s">
        <v>95</v>
      </c>
      <c r="N74" s="5" t="s">
        <v>96</v>
      </c>
      <c r="O74" s="6" t="s">
        <v>179</v>
      </c>
      <c r="P74" s="5" t="s">
        <v>41</v>
      </c>
      <c r="Q74" s="5"/>
      <c r="R74" s="17" t="s">
        <v>42</v>
      </c>
      <c r="S74" s="5" t="s">
        <v>116</v>
      </c>
      <c r="T74" s="5" t="s">
        <v>44</v>
      </c>
      <c r="U74" s="5" t="s">
        <v>44</v>
      </c>
      <c r="V74" s="5" t="s">
        <v>44</v>
      </c>
      <c r="W74" s="5" t="s">
        <v>36</v>
      </c>
      <c r="X74" s="5" t="s">
        <v>312</v>
      </c>
      <c r="Y74" s="5" t="s">
        <v>47</v>
      </c>
      <c r="Z74" s="5" t="s">
        <v>35</v>
      </c>
      <c r="AA74" s="5" t="s">
        <v>48</v>
      </c>
      <c r="AB74" s="5" t="s">
        <v>659</v>
      </c>
      <c r="AC74" s="6" t="s">
        <v>75</v>
      </c>
      <c r="AD74" s="6">
        <v>5717.0</v>
      </c>
    </row>
    <row r="75" ht="56.25" customHeight="1">
      <c r="A75" s="5" t="s">
        <v>630</v>
      </c>
      <c r="B75" s="6" t="str">
        <f>IMAGE("https://storage.googleapis.com/acdb/wall-mounted/FtrDoorOrnamentCrest_Remake_5_0.png")</f>
        <v/>
      </c>
      <c r="C75" s="5" t="s">
        <v>58</v>
      </c>
      <c r="D75" s="5" t="s">
        <v>135</v>
      </c>
      <c r="E75" s="5" t="s">
        <v>34</v>
      </c>
      <c r="F75" s="5" t="s">
        <v>34</v>
      </c>
      <c r="G75" s="5" t="s">
        <v>35</v>
      </c>
      <c r="H75" s="5" t="s">
        <v>35</v>
      </c>
      <c r="I75" s="5" t="s">
        <v>36</v>
      </c>
      <c r="J75" s="6">
        <v>1.0</v>
      </c>
      <c r="K75" s="6" t="s">
        <v>37</v>
      </c>
      <c r="L75" s="6">
        <v>3000.0</v>
      </c>
      <c r="M75" s="5"/>
      <c r="N75" s="5"/>
      <c r="O75" s="6" t="s">
        <v>179</v>
      </c>
      <c r="P75" s="5" t="s">
        <v>41</v>
      </c>
      <c r="Q75" s="5"/>
      <c r="R75" s="17" t="s">
        <v>42</v>
      </c>
      <c r="S75" s="5" t="s">
        <v>116</v>
      </c>
      <c r="T75" s="5" t="s">
        <v>44</v>
      </c>
      <c r="U75" s="5" t="s">
        <v>44</v>
      </c>
      <c r="V75" s="5" t="s">
        <v>44</v>
      </c>
      <c r="W75" s="5" t="s">
        <v>36</v>
      </c>
      <c r="X75" s="5" t="s">
        <v>312</v>
      </c>
      <c r="Y75" s="5" t="s">
        <v>47</v>
      </c>
      <c r="Z75" s="5" t="s">
        <v>35</v>
      </c>
      <c r="AA75" s="5" t="s">
        <v>48</v>
      </c>
      <c r="AB75" s="5" t="s">
        <v>662</v>
      </c>
      <c r="AC75" s="6" t="s">
        <v>79</v>
      </c>
      <c r="AD75" s="6">
        <v>5717.0</v>
      </c>
    </row>
    <row r="76" ht="56.25" customHeight="1">
      <c r="A76" s="5" t="s">
        <v>664</v>
      </c>
      <c r="B76" s="6" t="str">
        <f>IMAGE("https://storage.googleapis.com/acdb/wall-mounted/FtrCuckooclock_Remake_0_0.png")</f>
        <v/>
      </c>
      <c r="C76" s="5" t="s">
        <v>32</v>
      </c>
      <c r="D76" s="5" t="s">
        <v>34</v>
      </c>
      <c r="E76" s="5" t="s">
        <v>34</v>
      </c>
      <c r="F76" s="5" t="s">
        <v>34</v>
      </c>
      <c r="G76" s="5" t="s">
        <v>36</v>
      </c>
      <c r="H76" s="5" t="s">
        <v>36</v>
      </c>
      <c r="I76" s="5" t="s">
        <v>36</v>
      </c>
      <c r="J76" s="6" t="s">
        <v>34</v>
      </c>
      <c r="K76" s="6">
        <v>3200.0</v>
      </c>
      <c r="L76" s="6">
        <v>800.0</v>
      </c>
      <c r="M76" s="5" t="s">
        <v>38</v>
      </c>
      <c r="N76" s="5" t="s">
        <v>38</v>
      </c>
      <c r="O76" s="6" t="s">
        <v>431</v>
      </c>
      <c r="P76" s="5" t="s">
        <v>59</v>
      </c>
      <c r="Q76" s="5" t="s">
        <v>89</v>
      </c>
      <c r="R76" s="17" t="s">
        <v>42</v>
      </c>
      <c r="S76" s="5" t="s">
        <v>90</v>
      </c>
      <c r="T76" s="5" t="s">
        <v>99</v>
      </c>
      <c r="U76" s="5" t="s">
        <v>44</v>
      </c>
      <c r="V76" s="5" t="s">
        <v>44</v>
      </c>
      <c r="W76" s="5" t="s">
        <v>35</v>
      </c>
      <c r="X76" s="5" t="s">
        <v>260</v>
      </c>
      <c r="Y76" s="5" t="s">
        <v>47</v>
      </c>
      <c r="Z76" s="5" t="s">
        <v>36</v>
      </c>
      <c r="AA76" s="5" t="s">
        <v>64</v>
      </c>
      <c r="AB76" s="5" t="s">
        <v>670</v>
      </c>
      <c r="AC76" s="6" t="s">
        <v>50</v>
      </c>
      <c r="AD76" s="6">
        <v>915.0</v>
      </c>
    </row>
    <row r="77" ht="56.25" customHeight="1">
      <c r="A77" s="5" t="s">
        <v>664</v>
      </c>
      <c r="B77" s="6" t="str">
        <f>IMAGE("https://storage.googleapis.com/acdb/wall-mounted/FtrCuckooclock_Remake_1_0.png")</f>
        <v/>
      </c>
      <c r="C77" s="5" t="s">
        <v>96</v>
      </c>
      <c r="D77" s="5" t="s">
        <v>34</v>
      </c>
      <c r="E77" s="5" t="s">
        <v>34</v>
      </c>
      <c r="F77" s="5" t="s">
        <v>34</v>
      </c>
      <c r="G77" s="5" t="s">
        <v>36</v>
      </c>
      <c r="H77" s="5" t="s">
        <v>36</v>
      </c>
      <c r="I77" s="5" t="s">
        <v>36</v>
      </c>
      <c r="J77" s="6" t="s">
        <v>34</v>
      </c>
      <c r="K77" s="6">
        <v>3200.0</v>
      </c>
      <c r="L77" s="6">
        <v>800.0</v>
      </c>
      <c r="M77" s="5" t="s">
        <v>96</v>
      </c>
      <c r="N77" s="5" t="s">
        <v>39</v>
      </c>
      <c r="O77" s="6" t="s">
        <v>431</v>
      </c>
      <c r="P77" s="5" t="s">
        <v>59</v>
      </c>
      <c r="Q77" s="5" t="s">
        <v>89</v>
      </c>
      <c r="R77" s="17" t="s">
        <v>42</v>
      </c>
      <c r="S77" s="5" t="s">
        <v>90</v>
      </c>
      <c r="T77" s="5" t="s">
        <v>99</v>
      </c>
      <c r="U77" s="5" t="s">
        <v>44</v>
      </c>
      <c r="V77" s="5" t="s">
        <v>44</v>
      </c>
      <c r="W77" s="5" t="s">
        <v>35</v>
      </c>
      <c r="X77" s="5" t="s">
        <v>260</v>
      </c>
      <c r="Y77" s="5" t="s">
        <v>47</v>
      </c>
      <c r="Z77" s="5" t="s">
        <v>36</v>
      </c>
      <c r="AA77" s="5" t="s">
        <v>64</v>
      </c>
      <c r="AB77" s="5" t="s">
        <v>677</v>
      </c>
      <c r="AC77" s="6" t="s">
        <v>56</v>
      </c>
      <c r="AD77" s="6">
        <v>915.0</v>
      </c>
    </row>
    <row r="78" ht="56.25" customHeight="1">
      <c r="A78" s="5" t="s">
        <v>664</v>
      </c>
      <c r="B78" s="6" t="str">
        <f>IMAGE("https://storage.googleapis.com/acdb/wall-mounted/FtrCuckooclock_Remake_2_0.png")</f>
        <v/>
      </c>
      <c r="C78" s="5" t="s">
        <v>68</v>
      </c>
      <c r="D78" s="5" t="s">
        <v>34</v>
      </c>
      <c r="E78" s="5" t="s">
        <v>34</v>
      </c>
      <c r="F78" s="5" t="s">
        <v>34</v>
      </c>
      <c r="G78" s="5" t="s">
        <v>36</v>
      </c>
      <c r="H78" s="5" t="s">
        <v>36</v>
      </c>
      <c r="I78" s="5" t="s">
        <v>36</v>
      </c>
      <c r="J78" s="6" t="s">
        <v>34</v>
      </c>
      <c r="K78" s="6">
        <v>3200.0</v>
      </c>
      <c r="L78" s="6">
        <v>800.0</v>
      </c>
      <c r="M78" s="5" t="s">
        <v>68</v>
      </c>
      <c r="N78" s="5" t="s">
        <v>39</v>
      </c>
      <c r="O78" s="6" t="s">
        <v>431</v>
      </c>
      <c r="P78" s="5" t="s">
        <v>59</v>
      </c>
      <c r="Q78" s="5" t="s">
        <v>89</v>
      </c>
      <c r="R78" s="17" t="s">
        <v>42</v>
      </c>
      <c r="S78" s="5" t="s">
        <v>90</v>
      </c>
      <c r="T78" s="5" t="s">
        <v>99</v>
      </c>
      <c r="U78" s="5" t="s">
        <v>44</v>
      </c>
      <c r="V78" s="5" t="s">
        <v>44</v>
      </c>
      <c r="W78" s="5" t="s">
        <v>35</v>
      </c>
      <c r="X78" s="5" t="s">
        <v>260</v>
      </c>
      <c r="Y78" s="5" t="s">
        <v>47</v>
      </c>
      <c r="Z78" s="5" t="s">
        <v>36</v>
      </c>
      <c r="AA78" s="5" t="s">
        <v>64</v>
      </c>
      <c r="AB78" s="5" t="s">
        <v>680</v>
      </c>
      <c r="AC78" s="6" t="s">
        <v>67</v>
      </c>
      <c r="AD78" s="6">
        <v>915.0</v>
      </c>
    </row>
    <row r="79" ht="56.25" customHeight="1">
      <c r="A79" s="5" t="s">
        <v>664</v>
      </c>
      <c r="B79" s="6" t="str">
        <f>IMAGE("https://storage.googleapis.com/acdb/wall-mounted/FtrCuckooclock_Remake_3_0.png")</f>
        <v/>
      </c>
      <c r="C79" s="5" t="s">
        <v>114</v>
      </c>
      <c r="D79" s="5" t="s">
        <v>34</v>
      </c>
      <c r="E79" s="5" t="s">
        <v>34</v>
      </c>
      <c r="F79" s="5" t="s">
        <v>34</v>
      </c>
      <c r="G79" s="5" t="s">
        <v>36</v>
      </c>
      <c r="H79" s="5" t="s">
        <v>36</v>
      </c>
      <c r="I79" s="5" t="s">
        <v>36</v>
      </c>
      <c r="J79" s="6" t="s">
        <v>34</v>
      </c>
      <c r="K79" s="6">
        <v>3200.0</v>
      </c>
      <c r="L79" s="6">
        <v>800.0</v>
      </c>
      <c r="M79" s="5" t="s">
        <v>114</v>
      </c>
      <c r="N79" s="5" t="s">
        <v>38</v>
      </c>
      <c r="O79" s="6" t="s">
        <v>431</v>
      </c>
      <c r="P79" s="5" t="s">
        <v>59</v>
      </c>
      <c r="Q79" s="5" t="s">
        <v>89</v>
      </c>
      <c r="R79" s="17" t="s">
        <v>42</v>
      </c>
      <c r="S79" s="5" t="s">
        <v>90</v>
      </c>
      <c r="T79" s="5" t="s">
        <v>99</v>
      </c>
      <c r="U79" s="5" t="s">
        <v>44</v>
      </c>
      <c r="V79" s="5" t="s">
        <v>44</v>
      </c>
      <c r="W79" s="5" t="s">
        <v>35</v>
      </c>
      <c r="X79" s="5" t="s">
        <v>260</v>
      </c>
      <c r="Y79" s="5" t="s">
        <v>47</v>
      </c>
      <c r="Z79" s="5" t="s">
        <v>36</v>
      </c>
      <c r="AA79" s="5" t="s">
        <v>64</v>
      </c>
      <c r="AB79" s="5" t="s">
        <v>684</v>
      </c>
      <c r="AC79" s="6" t="s">
        <v>71</v>
      </c>
      <c r="AD79" s="6">
        <v>915.0</v>
      </c>
    </row>
    <row r="80" ht="56.25" customHeight="1">
      <c r="A80" s="5" t="s">
        <v>664</v>
      </c>
      <c r="B80" s="6" t="str">
        <f>IMAGE("https://storage.googleapis.com/acdb/wall-mounted/FtrCuckooclock_Remake_4_0.png")</f>
        <v/>
      </c>
      <c r="C80" s="5" t="s">
        <v>52</v>
      </c>
      <c r="D80" s="5" t="s">
        <v>34</v>
      </c>
      <c r="E80" s="5" t="s">
        <v>34</v>
      </c>
      <c r="F80" s="5" t="s">
        <v>34</v>
      </c>
      <c r="G80" s="5" t="s">
        <v>36</v>
      </c>
      <c r="H80" s="5" t="s">
        <v>36</v>
      </c>
      <c r="I80" s="5" t="s">
        <v>36</v>
      </c>
      <c r="J80" s="6" t="s">
        <v>34</v>
      </c>
      <c r="K80" s="6">
        <v>3200.0</v>
      </c>
      <c r="L80" s="6">
        <v>800.0</v>
      </c>
      <c r="M80" s="5" t="s">
        <v>52</v>
      </c>
      <c r="N80" s="5" t="s">
        <v>39</v>
      </c>
      <c r="O80" s="6" t="s">
        <v>431</v>
      </c>
      <c r="P80" s="5" t="s">
        <v>59</v>
      </c>
      <c r="Q80" s="5" t="s">
        <v>89</v>
      </c>
      <c r="R80" s="17" t="s">
        <v>42</v>
      </c>
      <c r="S80" s="5" t="s">
        <v>90</v>
      </c>
      <c r="T80" s="5" t="s">
        <v>99</v>
      </c>
      <c r="U80" s="5" t="s">
        <v>44</v>
      </c>
      <c r="V80" s="5" t="s">
        <v>44</v>
      </c>
      <c r="W80" s="5" t="s">
        <v>35</v>
      </c>
      <c r="X80" s="5" t="s">
        <v>260</v>
      </c>
      <c r="Y80" s="5" t="s">
        <v>47</v>
      </c>
      <c r="Z80" s="5" t="s">
        <v>36</v>
      </c>
      <c r="AA80" s="5" t="s">
        <v>64</v>
      </c>
      <c r="AB80" s="5" t="s">
        <v>689</v>
      </c>
      <c r="AC80" s="6" t="s">
        <v>75</v>
      </c>
      <c r="AD80" s="6">
        <v>915.0</v>
      </c>
    </row>
    <row r="81" ht="56.25" customHeight="1">
      <c r="A81" s="5" t="s">
        <v>664</v>
      </c>
      <c r="B81" s="6" t="str">
        <f>IMAGE("https://storage.googleapis.com/acdb/wall-mounted/FtrCuckooclock_Remake_5_0.png")</f>
        <v/>
      </c>
      <c r="C81" s="5" t="s">
        <v>57</v>
      </c>
      <c r="D81" s="5" t="s">
        <v>34</v>
      </c>
      <c r="E81" s="5" t="s">
        <v>34</v>
      </c>
      <c r="F81" s="5" t="s">
        <v>34</v>
      </c>
      <c r="G81" s="5" t="s">
        <v>36</v>
      </c>
      <c r="H81" s="5" t="s">
        <v>36</v>
      </c>
      <c r="I81" s="5" t="s">
        <v>36</v>
      </c>
      <c r="J81" s="6" t="s">
        <v>34</v>
      </c>
      <c r="K81" s="6">
        <v>3200.0</v>
      </c>
      <c r="L81" s="6">
        <v>800.0</v>
      </c>
      <c r="M81" s="5" t="s">
        <v>57</v>
      </c>
      <c r="N81" s="5" t="s">
        <v>57</v>
      </c>
      <c r="O81" s="6" t="s">
        <v>431</v>
      </c>
      <c r="P81" s="5" t="s">
        <v>59</v>
      </c>
      <c r="Q81" s="5" t="s">
        <v>89</v>
      </c>
      <c r="R81" s="17" t="s">
        <v>42</v>
      </c>
      <c r="S81" s="5" t="s">
        <v>90</v>
      </c>
      <c r="T81" s="5" t="s">
        <v>99</v>
      </c>
      <c r="U81" s="5" t="s">
        <v>44</v>
      </c>
      <c r="V81" s="5" t="s">
        <v>44</v>
      </c>
      <c r="W81" s="5" t="s">
        <v>35</v>
      </c>
      <c r="X81" s="5" t="s">
        <v>260</v>
      </c>
      <c r="Y81" s="5" t="s">
        <v>47</v>
      </c>
      <c r="Z81" s="5" t="s">
        <v>36</v>
      </c>
      <c r="AA81" s="5" t="s">
        <v>64</v>
      </c>
      <c r="AB81" s="5" t="s">
        <v>694</v>
      </c>
      <c r="AC81" s="6" t="s">
        <v>79</v>
      </c>
      <c r="AD81" s="6">
        <v>915.0</v>
      </c>
    </row>
    <row r="82" ht="56.25" customHeight="1">
      <c r="A82" s="5" t="s">
        <v>664</v>
      </c>
      <c r="B82" s="6" t="str">
        <f>IMAGE("https://storage.googleapis.com/acdb/wall-mounted/FtrCuckooclock_Remake_6_0.png")</f>
        <v/>
      </c>
      <c r="C82" s="5" t="s">
        <v>54</v>
      </c>
      <c r="D82" s="5" t="s">
        <v>34</v>
      </c>
      <c r="E82" s="5" t="s">
        <v>34</v>
      </c>
      <c r="F82" s="5" t="s">
        <v>34</v>
      </c>
      <c r="G82" s="5" t="s">
        <v>36</v>
      </c>
      <c r="H82" s="5" t="s">
        <v>36</v>
      </c>
      <c r="I82" s="5" t="s">
        <v>36</v>
      </c>
      <c r="J82" s="6" t="s">
        <v>34</v>
      </c>
      <c r="K82" s="6">
        <v>3200.0</v>
      </c>
      <c r="L82" s="6">
        <v>800.0</v>
      </c>
      <c r="M82" s="5" t="s">
        <v>54</v>
      </c>
      <c r="N82" s="5" t="s">
        <v>54</v>
      </c>
      <c r="O82" s="6" t="s">
        <v>431</v>
      </c>
      <c r="P82" s="5" t="s">
        <v>59</v>
      </c>
      <c r="Q82" s="5" t="s">
        <v>89</v>
      </c>
      <c r="R82" s="17" t="s">
        <v>42</v>
      </c>
      <c r="S82" s="5" t="s">
        <v>90</v>
      </c>
      <c r="T82" s="5" t="s">
        <v>99</v>
      </c>
      <c r="U82" s="5" t="s">
        <v>44</v>
      </c>
      <c r="V82" s="5" t="s">
        <v>44</v>
      </c>
      <c r="W82" s="5" t="s">
        <v>35</v>
      </c>
      <c r="X82" s="5" t="s">
        <v>260</v>
      </c>
      <c r="Y82" s="5" t="s">
        <v>47</v>
      </c>
      <c r="Z82" s="5" t="s">
        <v>36</v>
      </c>
      <c r="AA82" s="5" t="s">
        <v>64</v>
      </c>
      <c r="AB82" s="5" t="s">
        <v>699</v>
      </c>
      <c r="AC82" s="6" t="s">
        <v>86</v>
      </c>
      <c r="AD82" s="6">
        <v>915.0</v>
      </c>
    </row>
    <row r="83" ht="56.25" customHeight="1">
      <c r="A83" s="5" t="s">
        <v>700</v>
      </c>
      <c r="B83" s="6" t="str">
        <f>IMAGE("https://storage.googleapis.com/acdb/wall-mounted/FtrCuteClockW_Remake_0_0.png")</f>
        <v/>
      </c>
      <c r="C83" s="5" t="s">
        <v>57</v>
      </c>
      <c r="D83" s="5" t="s">
        <v>34</v>
      </c>
      <c r="E83" s="5" t="s">
        <v>34</v>
      </c>
      <c r="F83" s="5" t="s">
        <v>34</v>
      </c>
      <c r="G83" s="5" t="s">
        <v>36</v>
      </c>
      <c r="H83" s="5" t="s">
        <v>36</v>
      </c>
      <c r="I83" s="5" t="s">
        <v>36</v>
      </c>
      <c r="J83" s="6" t="s">
        <v>34</v>
      </c>
      <c r="K83" s="6">
        <v>1200.0</v>
      </c>
      <c r="L83" s="6">
        <v>300.0</v>
      </c>
      <c r="M83" s="5" t="s">
        <v>57</v>
      </c>
      <c r="N83" s="5" t="s">
        <v>69</v>
      </c>
      <c r="O83" s="6" t="s">
        <v>179</v>
      </c>
      <c r="P83" s="5" t="s">
        <v>59</v>
      </c>
      <c r="Q83" s="5" t="s">
        <v>122</v>
      </c>
      <c r="R83" s="17" t="s">
        <v>42</v>
      </c>
      <c r="S83" s="5" t="s">
        <v>61</v>
      </c>
      <c r="T83" s="5" t="s">
        <v>44</v>
      </c>
      <c r="U83" s="5" t="s">
        <v>704</v>
      </c>
      <c r="V83" s="5" t="s">
        <v>44</v>
      </c>
      <c r="W83" s="5" t="s">
        <v>35</v>
      </c>
      <c r="X83" s="5" t="s">
        <v>260</v>
      </c>
      <c r="Y83" s="5" t="s">
        <v>47</v>
      </c>
      <c r="Z83" s="5" t="s">
        <v>36</v>
      </c>
      <c r="AA83" s="5" t="s">
        <v>64</v>
      </c>
      <c r="AB83" s="5" t="s">
        <v>706</v>
      </c>
      <c r="AC83" s="6" t="s">
        <v>50</v>
      </c>
      <c r="AD83" s="6">
        <v>3996.0</v>
      </c>
    </row>
    <row r="84" ht="56.25" customHeight="1">
      <c r="A84" s="5" t="s">
        <v>700</v>
      </c>
      <c r="B84" s="6" t="str">
        <f>IMAGE("https://storage.googleapis.com/acdb/wall-mounted/FtrCuteClockW_Remake_1_0.png")</f>
        <v/>
      </c>
      <c r="C84" s="5" t="s">
        <v>708</v>
      </c>
      <c r="D84" s="5" t="s">
        <v>34</v>
      </c>
      <c r="E84" s="5" t="s">
        <v>34</v>
      </c>
      <c r="F84" s="5" t="s">
        <v>34</v>
      </c>
      <c r="G84" s="5" t="s">
        <v>36</v>
      </c>
      <c r="H84" s="5" t="s">
        <v>36</v>
      </c>
      <c r="I84" s="5" t="s">
        <v>36</v>
      </c>
      <c r="J84" s="6" t="s">
        <v>34</v>
      </c>
      <c r="K84" s="6">
        <v>1200.0</v>
      </c>
      <c r="L84" s="6">
        <v>300.0</v>
      </c>
      <c r="M84" s="5" t="s">
        <v>83</v>
      </c>
      <c r="N84" s="5" t="s">
        <v>68</v>
      </c>
      <c r="O84" s="6" t="s">
        <v>179</v>
      </c>
      <c r="P84" s="5" t="s">
        <v>59</v>
      </c>
      <c r="Q84" s="5" t="s">
        <v>122</v>
      </c>
      <c r="R84" s="17" t="s">
        <v>42</v>
      </c>
      <c r="S84" s="5" t="s">
        <v>61</v>
      </c>
      <c r="T84" s="5" t="s">
        <v>44</v>
      </c>
      <c r="U84" s="5" t="s">
        <v>704</v>
      </c>
      <c r="V84" s="5" t="s">
        <v>44</v>
      </c>
      <c r="W84" s="5" t="s">
        <v>35</v>
      </c>
      <c r="X84" s="5" t="s">
        <v>260</v>
      </c>
      <c r="Y84" s="5" t="s">
        <v>47</v>
      </c>
      <c r="Z84" s="5" t="s">
        <v>36</v>
      </c>
      <c r="AA84" s="5" t="s">
        <v>64</v>
      </c>
      <c r="AB84" s="5" t="s">
        <v>713</v>
      </c>
      <c r="AC84" s="6" t="s">
        <v>56</v>
      </c>
      <c r="AD84" s="6">
        <v>3996.0</v>
      </c>
    </row>
    <row r="85" ht="56.25" customHeight="1">
      <c r="A85" s="5" t="s">
        <v>700</v>
      </c>
      <c r="B85" s="6" t="str">
        <f>IMAGE("https://storage.googleapis.com/acdb/wall-mounted/FtrCuteClockW_Remake_2_0.png")</f>
        <v/>
      </c>
      <c r="C85" s="5" t="s">
        <v>114</v>
      </c>
      <c r="D85" s="5" t="s">
        <v>34</v>
      </c>
      <c r="E85" s="5" t="s">
        <v>34</v>
      </c>
      <c r="F85" s="5" t="s">
        <v>34</v>
      </c>
      <c r="G85" s="5" t="s">
        <v>36</v>
      </c>
      <c r="H85" s="5" t="s">
        <v>36</v>
      </c>
      <c r="I85" s="5" t="s">
        <v>36</v>
      </c>
      <c r="J85" s="6" t="s">
        <v>34</v>
      </c>
      <c r="K85" s="6">
        <v>1200.0</v>
      </c>
      <c r="L85" s="6">
        <v>300.0</v>
      </c>
      <c r="M85" s="5" t="s">
        <v>114</v>
      </c>
      <c r="N85" s="5" t="s">
        <v>142</v>
      </c>
      <c r="O85" s="6" t="s">
        <v>179</v>
      </c>
      <c r="P85" s="5" t="s">
        <v>59</v>
      </c>
      <c r="Q85" s="5" t="s">
        <v>122</v>
      </c>
      <c r="R85" s="17" t="s">
        <v>42</v>
      </c>
      <c r="S85" s="5" t="s">
        <v>61</v>
      </c>
      <c r="T85" s="5" t="s">
        <v>44</v>
      </c>
      <c r="U85" s="5" t="s">
        <v>704</v>
      </c>
      <c r="V85" s="5" t="s">
        <v>44</v>
      </c>
      <c r="W85" s="5" t="s">
        <v>35</v>
      </c>
      <c r="X85" s="5" t="s">
        <v>260</v>
      </c>
      <c r="Y85" s="5" t="s">
        <v>47</v>
      </c>
      <c r="Z85" s="5" t="s">
        <v>36</v>
      </c>
      <c r="AA85" s="5" t="s">
        <v>64</v>
      </c>
      <c r="AB85" s="5" t="s">
        <v>719</v>
      </c>
      <c r="AC85" s="6" t="s">
        <v>67</v>
      </c>
      <c r="AD85" s="6">
        <v>3996.0</v>
      </c>
    </row>
    <row r="86" ht="56.25" customHeight="1">
      <c r="A86" s="5" t="s">
        <v>700</v>
      </c>
      <c r="B86" s="6" t="str">
        <f>IMAGE("https://storage.googleapis.com/acdb/wall-mounted/FtrCuteClockW_Remake_3_0.png")</f>
        <v/>
      </c>
      <c r="C86" s="5" t="s">
        <v>52</v>
      </c>
      <c r="D86" s="5" t="s">
        <v>34</v>
      </c>
      <c r="E86" s="5" t="s">
        <v>34</v>
      </c>
      <c r="F86" s="5" t="s">
        <v>34</v>
      </c>
      <c r="G86" s="5" t="s">
        <v>36</v>
      </c>
      <c r="H86" s="5" t="s">
        <v>36</v>
      </c>
      <c r="I86" s="5" t="s">
        <v>36</v>
      </c>
      <c r="J86" s="6" t="s">
        <v>34</v>
      </c>
      <c r="K86" s="6">
        <v>1200.0</v>
      </c>
      <c r="L86" s="6">
        <v>300.0</v>
      </c>
      <c r="M86" s="5" t="s">
        <v>52</v>
      </c>
      <c r="N86" s="5" t="s">
        <v>52</v>
      </c>
      <c r="O86" s="6" t="s">
        <v>179</v>
      </c>
      <c r="P86" s="5" t="s">
        <v>59</v>
      </c>
      <c r="Q86" s="5" t="s">
        <v>122</v>
      </c>
      <c r="R86" s="17" t="s">
        <v>42</v>
      </c>
      <c r="S86" s="5" t="s">
        <v>61</v>
      </c>
      <c r="T86" s="5" t="s">
        <v>44</v>
      </c>
      <c r="U86" s="5" t="s">
        <v>704</v>
      </c>
      <c r="V86" s="5" t="s">
        <v>44</v>
      </c>
      <c r="W86" s="5" t="s">
        <v>35</v>
      </c>
      <c r="X86" s="5" t="s">
        <v>260</v>
      </c>
      <c r="Y86" s="5" t="s">
        <v>47</v>
      </c>
      <c r="Z86" s="5" t="s">
        <v>36</v>
      </c>
      <c r="AA86" s="5" t="s">
        <v>64</v>
      </c>
      <c r="AB86" s="5" t="s">
        <v>722</v>
      </c>
      <c r="AC86" s="6" t="s">
        <v>71</v>
      </c>
      <c r="AD86" s="6">
        <v>3996.0</v>
      </c>
    </row>
    <row r="87" ht="56.25" customHeight="1">
      <c r="A87" s="5" t="s">
        <v>700</v>
      </c>
      <c r="B87" s="6" t="str">
        <f>IMAGE("https://storage.googleapis.com/acdb/wall-mounted/FtrCuteClockW_Remake_4_0.png")</f>
        <v/>
      </c>
      <c r="C87" s="5" t="s">
        <v>68</v>
      </c>
      <c r="D87" s="5" t="s">
        <v>34</v>
      </c>
      <c r="E87" s="5" t="s">
        <v>34</v>
      </c>
      <c r="F87" s="5" t="s">
        <v>34</v>
      </c>
      <c r="G87" s="5" t="s">
        <v>36</v>
      </c>
      <c r="H87" s="5" t="s">
        <v>36</v>
      </c>
      <c r="I87" s="5" t="s">
        <v>36</v>
      </c>
      <c r="J87" s="6" t="s">
        <v>34</v>
      </c>
      <c r="K87" s="6">
        <v>1200.0</v>
      </c>
      <c r="L87" s="6">
        <v>300.0</v>
      </c>
      <c r="M87" s="5" t="s">
        <v>68</v>
      </c>
      <c r="N87" s="5" t="s">
        <v>54</v>
      </c>
      <c r="O87" s="6" t="s">
        <v>179</v>
      </c>
      <c r="P87" s="5" t="s">
        <v>59</v>
      </c>
      <c r="Q87" s="5" t="s">
        <v>122</v>
      </c>
      <c r="R87" s="17" t="s">
        <v>42</v>
      </c>
      <c r="S87" s="5" t="s">
        <v>61</v>
      </c>
      <c r="T87" s="5" t="s">
        <v>44</v>
      </c>
      <c r="U87" s="5" t="s">
        <v>704</v>
      </c>
      <c r="V87" s="5" t="s">
        <v>44</v>
      </c>
      <c r="W87" s="5" t="s">
        <v>35</v>
      </c>
      <c r="X87" s="5" t="s">
        <v>260</v>
      </c>
      <c r="Y87" s="5" t="s">
        <v>47</v>
      </c>
      <c r="Z87" s="5" t="s">
        <v>36</v>
      </c>
      <c r="AA87" s="5" t="s">
        <v>64</v>
      </c>
      <c r="AB87" s="5" t="s">
        <v>726</v>
      </c>
      <c r="AC87" s="6" t="s">
        <v>75</v>
      </c>
      <c r="AD87" s="6">
        <v>3996.0</v>
      </c>
    </row>
    <row r="88" ht="56.25" customHeight="1">
      <c r="A88" s="5" t="s">
        <v>727</v>
      </c>
      <c r="B88" s="6" t="str">
        <f>IMAGE("https://storage.googleapis.com/acdb/wall-mounted/FtrDoorOrnamentWreathYuriRare.png")</f>
        <v/>
      </c>
      <c r="C88" s="5" t="s">
        <v>34</v>
      </c>
      <c r="D88" s="5" t="s">
        <v>34</v>
      </c>
      <c r="E88" s="5" t="s">
        <v>34</v>
      </c>
      <c r="F88" s="5" t="s">
        <v>34</v>
      </c>
      <c r="G88" s="5" t="s">
        <v>35</v>
      </c>
      <c r="H88" s="5" t="s">
        <v>36</v>
      </c>
      <c r="I88" s="5" t="s">
        <v>36</v>
      </c>
      <c r="J88" s="6" t="s">
        <v>34</v>
      </c>
      <c r="K88" s="6" t="s">
        <v>37</v>
      </c>
      <c r="L88" s="6">
        <v>1600.0</v>
      </c>
      <c r="M88" s="5" t="s">
        <v>54</v>
      </c>
      <c r="N88" s="5" t="s">
        <v>54</v>
      </c>
      <c r="O88" s="6" t="s">
        <v>179</v>
      </c>
      <c r="P88" s="5" t="s">
        <v>41</v>
      </c>
      <c r="Q88" s="5"/>
      <c r="R88" s="17" t="s">
        <v>42</v>
      </c>
      <c r="S88" s="5" t="s">
        <v>61</v>
      </c>
      <c r="T88" s="5" t="s">
        <v>732</v>
      </c>
      <c r="U88" s="5" t="s">
        <v>311</v>
      </c>
      <c r="V88" s="5" t="s">
        <v>44</v>
      </c>
      <c r="W88" s="5" t="s">
        <v>36</v>
      </c>
      <c r="X88" s="5" t="s">
        <v>312</v>
      </c>
      <c r="Y88" s="5" t="s">
        <v>47</v>
      </c>
      <c r="Z88" s="5" t="s">
        <v>35</v>
      </c>
      <c r="AA88" s="5" t="s">
        <v>48</v>
      </c>
      <c r="AB88" s="5" t="s">
        <v>733</v>
      </c>
      <c r="AC88" s="6" t="s">
        <v>34</v>
      </c>
      <c r="AD88" s="6">
        <v>5770.0</v>
      </c>
    </row>
    <row r="89" ht="56.25" customHeight="1">
      <c r="A89" s="5" t="s">
        <v>734</v>
      </c>
      <c r="B89" s="6" t="str">
        <f>IMAGE("https://storage.googleapis.com/acdb/wall-mounted/FtrDoorOrnamentWreathRoseRare.png")</f>
        <v/>
      </c>
      <c r="C89" s="5" t="s">
        <v>34</v>
      </c>
      <c r="D89" s="5" t="s">
        <v>34</v>
      </c>
      <c r="E89" s="5" t="s">
        <v>34</v>
      </c>
      <c r="F89" s="5" t="s">
        <v>34</v>
      </c>
      <c r="G89" s="5" t="s">
        <v>35</v>
      </c>
      <c r="H89" s="5" t="s">
        <v>36</v>
      </c>
      <c r="I89" s="5" t="s">
        <v>36</v>
      </c>
      <c r="J89" s="6" t="s">
        <v>34</v>
      </c>
      <c r="K89" s="6" t="s">
        <v>37</v>
      </c>
      <c r="L89" s="6">
        <v>4320.0</v>
      </c>
      <c r="M89" s="5" t="s">
        <v>54</v>
      </c>
      <c r="N89" s="5" t="s">
        <v>106</v>
      </c>
      <c r="O89" s="6" t="s">
        <v>179</v>
      </c>
      <c r="P89" s="5" t="s">
        <v>41</v>
      </c>
      <c r="Q89" s="5"/>
      <c r="R89" s="17" t="s">
        <v>42</v>
      </c>
      <c r="S89" s="5" t="s">
        <v>61</v>
      </c>
      <c r="T89" s="5" t="s">
        <v>732</v>
      </c>
      <c r="U89" s="5" t="s">
        <v>311</v>
      </c>
      <c r="V89" s="5" t="s">
        <v>44</v>
      </c>
      <c r="W89" s="5" t="s">
        <v>36</v>
      </c>
      <c r="X89" s="5" t="s">
        <v>312</v>
      </c>
      <c r="Y89" s="5" t="s">
        <v>47</v>
      </c>
      <c r="Z89" s="5" t="s">
        <v>35</v>
      </c>
      <c r="AA89" s="5" t="s">
        <v>48</v>
      </c>
      <c r="AB89" s="5" t="s">
        <v>738</v>
      </c>
      <c r="AC89" s="6" t="s">
        <v>34</v>
      </c>
      <c r="AD89" s="6">
        <v>5766.0</v>
      </c>
    </row>
    <row r="90" ht="56.25" customHeight="1">
      <c r="A90" s="5" t="s">
        <v>739</v>
      </c>
      <c r="B90" s="6" t="str">
        <f>IMAGE("https://storage.googleapis.com/acdb/wall-mounted/FtrDoorOrnamentWreathTulipRare.png")</f>
        <v/>
      </c>
      <c r="C90" s="5" t="s">
        <v>34</v>
      </c>
      <c r="D90" s="5" t="s">
        <v>34</v>
      </c>
      <c r="E90" s="5" t="s">
        <v>34</v>
      </c>
      <c r="F90" s="5" t="s">
        <v>34</v>
      </c>
      <c r="G90" s="5" t="s">
        <v>35</v>
      </c>
      <c r="H90" s="5" t="s">
        <v>36</v>
      </c>
      <c r="I90" s="5" t="s">
        <v>36</v>
      </c>
      <c r="J90" s="6" t="s">
        <v>34</v>
      </c>
      <c r="K90" s="6" t="s">
        <v>37</v>
      </c>
      <c r="L90" s="6">
        <v>1600.0</v>
      </c>
      <c r="M90" s="5" t="s">
        <v>54</v>
      </c>
      <c r="N90" s="5" t="s">
        <v>54</v>
      </c>
      <c r="O90" s="6" t="s">
        <v>179</v>
      </c>
      <c r="P90" s="5" t="s">
        <v>41</v>
      </c>
      <c r="Q90" s="5"/>
      <c r="R90" s="17" t="s">
        <v>42</v>
      </c>
      <c r="S90" s="5" t="s">
        <v>61</v>
      </c>
      <c r="T90" s="5" t="s">
        <v>732</v>
      </c>
      <c r="U90" s="5" t="s">
        <v>311</v>
      </c>
      <c r="V90" s="5" t="s">
        <v>44</v>
      </c>
      <c r="W90" s="5" t="s">
        <v>36</v>
      </c>
      <c r="X90" s="5" t="s">
        <v>312</v>
      </c>
      <c r="Y90" s="5" t="s">
        <v>47</v>
      </c>
      <c r="Z90" s="5" t="s">
        <v>35</v>
      </c>
      <c r="AA90" s="5" t="s">
        <v>48</v>
      </c>
      <c r="AB90" s="5" t="s">
        <v>744</v>
      </c>
      <c r="AC90" s="6" t="s">
        <v>34</v>
      </c>
      <c r="AD90" s="6">
        <v>5771.0</v>
      </c>
    </row>
    <row r="91" ht="56.25" customHeight="1">
      <c r="A91" s="5" t="s">
        <v>745</v>
      </c>
      <c r="B91" s="6" t="str">
        <f>IMAGE("https://storage.googleapis.com/acdb/wall-mounted/FtrHuntingtrophy_Remake_0_0.png")</f>
        <v/>
      </c>
      <c r="C91" s="5" t="s">
        <v>32</v>
      </c>
      <c r="D91" s="5" t="s">
        <v>748</v>
      </c>
      <c r="E91" s="5" t="s">
        <v>34</v>
      </c>
      <c r="F91" s="5" t="s">
        <v>34</v>
      </c>
      <c r="G91" s="5" t="s">
        <v>35</v>
      </c>
      <c r="H91" s="5" t="s">
        <v>35</v>
      </c>
      <c r="I91" s="5" t="s">
        <v>36</v>
      </c>
      <c r="J91" s="6">
        <v>2.0</v>
      </c>
      <c r="K91" s="6" t="s">
        <v>37</v>
      </c>
      <c r="L91" s="6">
        <v>960.0</v>
      </c>
      <c r="M91" s="5" t="s">
        <v>142</v>
      </c>
      <c r="N91" s="5" t="s">
        <v>142</v>
      </c>
      <c r="O91" s="6" t="s">
        <v>431</v>
      </c>
      <c r="P91" s="5" t="s">
        <v>41</v>
      </c>
      <c r="Q91" s="5"/>
      <c r="R91" s="17" t="s">
        <v>42</v>
      </c>
      <c r="S91" s="5" t="s">
        <v>90</v>
      </c>
      <c r="T91" s="5" t="s">
        <v>44</v>
      </c>
      <c r="U91" s="5" t="s">
        <v>44</v>
      </c>
      <c r="V91" s="5" t="s">
        <v>44</v>
      </c>
      <c r="W91" s="5" t="s">
        <v>36</v>
      </c>
      <c r="X91" s="5" t="s">
        <v>330</v>
      </c>
      <c r="Y91" s="5" t="s">
        <v>47</v>
      </c>
      <c r="Z91" s="5" t="s">
        <v>36</v>
      </c>
      <c r="AA91" s="5" t="s">
        <v>48</v>
      </c>
      <c r="AB91" s="5" t="s">
        <v>752</v>
      </c>
      <c r="AC91" s="6" t="s">
        <v>50</v>
      </c>
      <c r="AD91" s="6">
        <v>3340.0</v>
      </c>
    </row>
    <row r="92" ht="56.25" customHeight="1">
      <c r="A92" s="5" t="s">
        <v>745</v>
      </c>
      <c r="B92" s="6" t="str">
        <f>IMAGE("https://storage.googleapis.com/acdb/wall-mounted/FtrHuntingtrophy_Remake_1_0.png")</f>
        <v/>
      </c>
      <c r="C92" s="5" t="s">
        <v>755</v>
      </c>
      <c r="D92" s="5" t="s">
        <v>748</v>
      </c>
      <c r="E92" s="5" t="s">
        <v>34</v>
      </c>
      <c r="F92" s="5" t="s">
        <v>34</v>
      </c>
      <c r="G92" s="5" t="s">
        <v>35</v>
      </c>
      <c r="H92" s="5" t="s">
        <v>35</v>
      </c>
      <c r="I92" s="5" t="s">
        <v>36</v>
      </c>
      <c r="J92" s="6">
        <v>2.0</v>
      </c>
      <c r="K92" s="6" t="s">
        <v>37</v>
      </c>
      <c r="L92" s="6">
        <v>960.0</v>
      </c>
      <c r="M92" s="5" t="s">
        <v>38</v>
      </c>
      <c r="N92" s="5" t="s">
        <v>38</v>
      </c>
      <c r="O92" s="6" t="s">
        <v>431</v>
      </c>
      <c r="P92" s="5" t="s">
        <v>41</v>
      </c>
      <c r="Q92" s="5"/>
      <c r="R92" s="17" t="s">
        <v>42</v>
      </c>
      <c r="S92" s="5" t="s">
        <v>90</v>
      </c>
      <c r="T92" s="5" t="s">
        <v>44</v>
      </c>
      <c r="U92" s="5" t="s">
        <v>44</v>
      </c>
      <c r="V92" s="5" t="s">
        <v>44</v>
      </c>
      <c r="W92" s="5" t="s">
        <v>36</v>
      </c>
      <c r="X92" s="5" t="s">
        <v>330</v>
      </c>
      <c r="Y92" s="5" t="s">
        <v>47</v>
      </c>
      <c r="Z92" s="5" t="s">
        <v>36</v>
      </c>
      <c r="AA92" s="5" t="s">
        <v>48</v>
      </c>
      <c r="AB92" s="5" t="s">
        <v>756</v>
      </c>
      <c r="AC92" s="6" t="s">
        <v>56</v>
      </c>
      <c r="AD92" s="6">
        <v>3340.0</v>
      </c>
    </row>
    <row r="93" ht="56.25" customHeight="1">
      <c r="A93" s="5" t="s">
        <v>745</v>
      </c>
      <c r="B93" s="6" t="str">
        <f>IMAGE("https://storage.googleapis.com/acdb/wall-mounted/FtrHuntingtrophy_Remake_2_0.png")</f>
        <v/>
      </c>
      <c r="C93" s="5" t="s">
        <v>186</v>
      </c>
      <c r="D93" s="5" t="s">
        <v>748</v>
      </c>
      <c r="E93" s="5" t="s">
        <v>34</v>
      </c>
      <c r="F93" s="5" t="s">
        <v>34</v>
      </c>
      <c r="G93" s="5" t="s">
        <v>35</v>
      </c>
      <c r="H93" s="5" t="s">
        <v>35</v>
      </c>
      <c r="I93" s="5" t="s">
        <v>36</v>
      </c>
      <c r="J93" s="6">
        <v>2.0</v>
      </c>
      <c r="K93" s="6" t="s">
        <v>37</v>
      </c>
      <c r="L93" s="6">
        <v>960.0</v>
      </c>
      <c r="M93" s="5" t="s">
        <v>114</v>
      </c>
      <c r="N93" s="5" t="s">
        <v>114</v>
      </c>
      <c r="O93" s="6" t="s">
        <v>431</v>
      </c>
      <c r="P93" s="5" t="s">
        <v>41</v>
      </c>
      <c r="Q93" s="5"/>
      <c r="R93" s="17" t="s">
        <v>42</v>
      </c>
      <c r="S93" s="5" t="s">
        <v>90</v>
      </c>
      <c r="T93" s="5" t="s">
        <v>44</v>
      </c>
      <c r="U93" s="5" t="s">
        <v>44</v>
      </c>
      <c r="V93" s="5" t="s">
        <v>44</v>
      </c>
      <c r="W93" s="5" t="s">
        <v>36</v>
      </c>
      <c r="X93" s="5" t="s">
        <v>330</v>
      </c>
      <c r="Y93" s="5" t="s">
        <v>47</v>
      </c>
      <c r="Z93" s="5" t="s">
        <v>36</v>
      </c>
      <c r="AA93" s="5" t="s">
        <v>48</v>
      </c>
      <c r="AB93" s="5" t="s">
        <v>763</v>
      </c>
      <c r="AC93" s="6" t="s">
        <v>67</v>
      </c>
      <c r="AD93" s="6">
        <v>3340.0</v>
      </c>
    </row>
    <row r="94" ht="56.25" customHeight="1">
      <c r="A94" s="5" t="s">
        <v>745</v>
      </c>
      <c r="B94" s="6" t="str">
        <f>IMAGE("https://storage.googleapis.com/acdb/wall-mounted/FtrHuntingtrophy_Remake_3_0.png")</f>
        <v/>
      </c>
      <c r="C94" s="5" t="s">
        <v>57</v>
      </c>
      <c r="D94" s="5" t="s">
        <v>748</v>
      </c>
      <c r="E94" s="5" t="s">
        <v>34</v>
      </c>
      <c r="F94" s="5" t="s">
        <v>34</v>
      </c>
      <c r="G94" s="5" t="s">
        <v>35</v>
      </c>
      <c r="H94" s="5" t="s">
        <v>35</v>
      </c>
      <c r="I94" s="5" t="s">
        <v>36</v>
      </c>
      <c r="J94" s="6">
        <v>2.0</v>
      </c>
      <c r="K94" s="6" t="s">
        <v>37</v>
      </c>
      <c r="L94" s="6">
        <v>960.0</v>
      </c>
      <c r="M94" s="5" t="s">
        <v>57</v>
      </c>
      <c r="N94" s="5" t="s">
        <v>57</v>
      </c>
      <c r="O94" s="6" t="s">
        <v>431</v>
      </c>
      <c r="P94" s="5" t="s">
        <v>41</v>
      </c>
      <c r="Q94" s="5"/>
      <c r="R94" s="17" t="s">
        <v>42</v>
      </c>
      <c r="S94" s="5" t="s">
        <v>90</v>
      </c>
      <c r="T94" s="5" t="s">
        <v>44</v>
      </c>
      <c r="U94" s="5" t="s">
        <v>44</v>
      </c>
      <c r="V94" s="5" t="s">
        <v>44</v>
      </c>
      <c r="W94" s="5" t="s">
        <v>36</v>
      </c>
      <c r="X94" s="5" t="s">
        <v>330</v>
      </c>
      <c r="Y94" s="5" t="s">
        <v>47</v>
      </c>
      <c r="Z94" s="5" t="s">
        <v>36</v>
      </c>
      <c r="AA94" s="5" t="s">
        <v>48</v>
      </c>
      <c r="AB94" s="5" t="s">
        <v>769</v>
      </c>
      <c r="AC94" s="6" t="s">
        <v>71</v>
      </c>
      <c r="AD94" s="6">
        <v>3340.0</v>
      </c>
    </row>
    <row r="95" ht="56.25" customHeight="1">
      <c r="A95" s="5" t="s">
        <v>745</v>
      </c>
      <c r="B95" s="6" t="str">
        <f>IMAGE("https://storage.googleapis.com/acdb/wall-mounted/FtrHuntingtrophy_Remake_4_0.png")</f>
        <v/>
      </c>
      <c r="C95" s="5" t="s">
        <v>54</v>
      </c>
      <c r="D95" s="5" t="s">
        <v>748</v>
      </c>
      <c r="E95" s="5" t="s">
        <v>34</v>
      </c>
      <c r="F95" s="5" t="s">
        <v>34</v>
      </c>
      <c r="G95" s="5" t="s">
        <v>35</v>
      </c>
      <c r="H95" s="5" t="s">
        <v>35</v>
      </c>
      <c r="I95" s="5" t="s">
        <v>36</v>
      </c>
      <c r="J95" s="6">
        <v>2.0</v>
      </c>
      <c r="K95" s="6" t="s">
        <v>37</v>
      </c>
      <c r="L95" s="6">
        <v>960.0</v>
      </c>
      <c r="M95" s="5" t="s">
        <v>54</v>
      </c>
      <c r="N95" s="5" t="s">
        <v>54</v>
      </c>
      <c r="O95" s="6" t="s">
        <v>431</v>
      </c>
      <c r="P95" s="5" t="s">
        <v>41</v>
      </c>
      <c r="Q95" s="5"/>
      <c r="R95" s="17" t="s">
        <v>42</v>
      </c>
      <c r="S95" s="5" t="s">
        <v>90</v>
      </c>
      <c r="T95" s="5" t="s">
        <v>44</v>
      </c>
      <c r="U95" s="5" t="s">
        <v>44</v>
      </c>
      <c r="V95" s="5" t="s">
        <v>44</v>
      </c>
      <c r="W95" s="5" t="s">
        <v>36</v>
      </c>
      <c r="X95" s="5" t="s">
        <v>330</v>
      </c>
      <c r="Y95" s="5" t="s">
        <v>47</v>
      </c>
      <c r="Z95" s="5" t="s">
        <v>36</v>
      </c>
      <c r="AA95" s="5" t="s">
        <v>48</v>
      </c>
      <c r="AB95" s="5" t="s">
        <v>773</v>
      </c>
      <c r="AC95" s="6" t="s">
        <v>75</v>
      </c>
      <c r="AD95" s="6">
        <v>3340.0</v>
      </c>
    </row>
    <row r="96" ht="56.25" customHeight="1">
      <c r="A96" s="5" t="s">
        <v>774</v>
      </c>
      <c r="B96" s="6" t="str">
        <f>IMAGE("https://storage.googleapis.com/acdb/wall-mounted/FtrAmeretroClock_Remake_0_0.png")</f>
        <v/>
      </c>
      <c r="C96" s="5" t="s">
        <v>52</v>
      </c>
      <c r="D96" s="5" t="s">
        <v>34</v>
      </c>
      <c r="E96" s="5" t="s">
        <v>777</v>
      </c>
      <c r="F96" s="5" t="s">
        <v>778</v>
      </c>
      <c r="G96" s="5" t="s">
        <v>36</v>
      </c>
      <c r="H96" s="5" t="s">
        <v>36</v>
      </c>
      <c r="I96" s="5" t="s">
        <v>35</v>
      </c>
      <c r="J96" s="6">
        <v>1.0</v>
      </c>
      <c r="K96" s="6">
        <v>1500.0</v>
      </c>
      <c r="L96" s="6">
        <v>375.0</v>
      </c>
      <c r="M96" s="5" t="s">
        <v>52</v>
      </c>
      <c r="N96" s="5" t="s">
        <v>58</v>
      </c>
      <c r="O96" s="6" t="s">
        <v>179</v>
      </c>
      <c r="P96" s="5" t="s">
        <v>59</v>
      </c>
      <c r="Q96" s="5" t="s">
        <v>122</v>
      </c>
      <c r="R96" s="17" t="s">
        <v>42</v>
      </c>
      <c r="S96" s="5" t="s">
        <v>62</v>
      </c>
      <c r="T96" s="5" t="s">
        <v>44</v>
      </c>
      <c r="U96" s="5" t="s">
        <v>780</v>
      </c>
      <c r="V96" s="5" t="s">
        <v>44</v>
      </c>
      <c r="W96" s="5" t="s">
        <v>35</v>
      </c>
      <c r="X96" s="5" t="s">
        <v>260</v>
      </c>
      <c r="Y96" s="5" t="s">
        <v>47</v>
      </c>
      <c r="Z96" s="5" t="s">
        <v>36</v>
      </c>
      <c r="AA96" s="5" t="s">
        <v>64</v>
      </c>
      <c r="AB96" s="5" t="s">
        <v>783</v>
      </c>
      <c r="AC96" s="6" t="s">
        <v>50</v>
      </c>
      <c r="AD96" s="6">
        <v>4144.0</v>
      </c>
    </row>
    <row r="97" ht="56.25" customHeight="1">
      <c r="A97" s="5" t="s">
        <v>774</v>
      </c>
      <c r="B97" s="6" t="str">
        <f>IMAGE("https://storage.googleapis.com/acdb/wall-mounted/FtrAmeretroClock_Remake_0_1.png")</f>
        <v/>
      </c>
      <c r="C97" s="5" t="s">
        <v>52</v>
      </c>
      <c r="D97" s="5" t="s">
        <v>34</v>
      </c>
      <c r="E97" s="5" t="s">
        <v>784</v>
      </c>
      <c r="F97" s="5" t="s">
        <v>778</v>
      </c>
      <c r="G97" s="5" t="s">
        <v>36</v>
      </c>
      <c r="H97" s="5" t="s">
        <v>36</v>
      </c>
      <c r="I97" s="5" t="s">
        <v>35</v>
      </c>
      <c r="J97" s="6">
        <v>1.0</v>
      </c>
      <c r="K97" s="6">
        <v>1500.0</v>
      </c>
      <c r="L97" s="6">
        <v>375.0</v>
      </c>
      <c r="M97" s="5" t="s">
        <v>52</v>
      </c>
      <c r="N97" s="5" t="s">
        <v>68</v>
      </c>
      <c r="O97" s="6" t="s">
        <v>179</v>
      </c>
      <c r="P97" s="5" t="s">
        <v>59</v>
      </c>
      <c r="Q97" s="5" t="s">
        <v>122</v>
      </c>
      <c r="R97" s="17" t="s">
        <v>42</v>
      </c>
      <c r="S97" s="5" t="s">
        <v>62</v>
      </c>
      <c r="T97" s="5" t="s">
        <v>44</v>
      </c>
      <c r="U97" s="5" t="s">
        <v>780</v>
      </c>
      <c r="V97" s="5" t="s">
        <v>44</v>
      </c>
      <c r="W97" s="5" t="s">
        <v>35</v>
      </c>
      <c r="X97" s="5" t="s">
        <v>260</v>
      </c>
      <c r="Y97" s="5" t="s">
        <v>47</v>
      </c>
      <c r="Z97" s="5" t="s">
        <v>36</v>
      </c>
      <c r="AA97" s="5" t="s">
        <v>64</v>
      </c>
      <c r="AB97" s="5" t="s">
        <v>788</v>
      </c>
      <c r="AC97" s="6" t="s">
        <v>217</v>
      </c>
      <c r="AD97" s="6">
        <v>4144.0</v>
      </c>
    </row>
    <row r="98" ht="56.25" customHeight="1">
      <c r="A98" s="5" t="s">
        <v>774</v>
      </c>
      <c r="B98" s="6" t="str">
        <f>IMAGE("https://storage.googleapis.com/acdb/wall-mounted/FtrAmeretroClock_Remake_0_2.png")</f>
        <v/>
      </c>
      <c r="C98" s="5" t="s">
        <v>52</v>
      </c>
      <c r="D98" s="5" t="s">
        <v>34</v>
      </c>
      <c r="E98" s="5" t="s">
        <v>789</v>
      </c>
      <c r="F98" s="5" t="s">
        <v>778</v>
      </c>
      <c r="G98" s="5" t="s">
        <v>36</v>
      </c>
      <c r="H98" s="5" t="s">
        <v>36</v>
      </c>
      <c r="I98" s="5" t="s">
        <v>35</v>
      </c>
      <c r="J98" s="6">
        <v>1.0</v>
      </c>
      <c r="K98" s="6">
        <v>1500.0</v>
      </c>
      <c r="L98" s="6">
        <v>375.0</v>
      </c>
      <c r="M98" s="5" t="s">
        <v>52</v>
      </c>
      <c r="N98" s="5" t="s">
        <v>54</v>
      </c>
      <c r="O98" s="6" t="s">
        <v>179</v>
      </c>
      <c r="P98" s="5" t="s">
        <v>59</v>
      </c>
      <c r="Q98" s="5" t="s">
        <v>122</v>
      </c>
      <c r="R98" s="17" t="s">
        <v>42</v>
      </c>
      <c r="S98" s="5" t="s">
        <v>62</v>
      </c>
      <c r="T98" s="5" t="s">
        <v>44</v>
      </c>
      <c r="U98" s="5" t="s">
        <v>780</v>
      </c>
      <c r="V98" s="5" t="s">
        <v>44</v>
      </c>
      <c r="W98" s="5" t="s">
        <v>35</v>
      </c>
      <c r="X98" s="5" t="s">
        <v>260</v>
      </c>
      <c r="Y98" s="5" t="s">
        <v>47</v>
      </c>
      <c r="Z98" s="5" t="s">
        <v>36</v>
      </c>
      <c r="AA98" s="5" t="s">
        <v>64</v>
      </c>
      <c r="AB98" s="5" t="s">
        <v>793</v>
      </c>
      <c r="AC98" s="6" t="s">
        <v>347</v>
      </c>
      <c r="AD98" s="6">
        <v>4144.0</v>
      </c>
    </row>
    <row r="99" ht="56.25" customHeight="1">
      <c r="A99" s="5" t="s">
        <v>774</v>
      </c>
      <c r="B99" s="6" t="str">
        <f>IMAGE("https://storage.googleapis.com/acdb/wall-mounted/FtrAmeretroClock_Remake_1_0.png")</f>
        <v/>
      </c>
      <c r="C99" s="5" t="s">
        <v>68</v>
      </c>
      <c r="D99" s="5" t="s">
        <v>34</v>
      </c>
      <c r="E99" s="5" t="s">
        <v>777</v>
      </c>
      <c r="F99" s="5" t="s">
        <v>778</v>
      </c>
      <c r="G99" s="5" t="s">
        <v>36</v>
      </c>
      <c r="H99" s="5" t="s">
        <v>36</v>
      </c>
      <c r="I99" s="5" t="s">
        <v>35</v>
      </c>
      <c r="J99" s="6">
        <v>1.0</v>
      </c>
      <c r="K99" s="6">
        <v>1500.0</v>
      </c>
      <c r="L99" s="6">
        <v>375.0</v>
      </c>
      <c r="M99" s="5" t="s">
        <v>68</v>
      </c>
      <c r="N99" s="5" t="s">
        <v>58</v>
      </c>
      <c r="O99" s="6" t="s">
        <v>179</v>
      </c>
      <c r="P99" s="5" t="s">
        <v>59</v>
      </c>
      <c r="Q99" s="5" t="s">
        <v>122</v>
      </c>
      <c r="R99" s="17" t="s">
        <v>42</v>
      </c>
      <c r="S99" s="5" t="s">
        <v>62</v>
      </c>
      <c r="T99" s="5" t="s">
        <v>44</v>
      </c>
      <c r="U99" s="5" t="s">
        <v>780</v>
      </c>
      <c r="V99" s="5" t="s">
        <v>44</v>
      </c>
      <c r="W99" s="5" t="s">
        <v>35</v>
      </c>
      <c r="X99" s="5" t="s">
        <v>260</v>
      </c>
      <c r="Y99" s="5" t="s">
        <v>47</v>
      </c>
      <c r="Z99" s="5" t="s">
        <v>36</v>
      </c>
      <c r="AA99" s="5" t="s">
        <v>64</v>
      </c>
      <c r="AB99" s="5" t="s">
        <v>796</v>
      </c>
      <c r="AC99" s="6" t="s">
        <v>56</v>
      </c>
      <c r="AD99" s="6">
        <v>4144.0</v>
      </c>
    </row>
    <row r="100" ht="56.25" customHeight="1">
      <c r="A100" s="5" t="s">
        <v>774</v>
      </c>
      <c r="B100" s="6" t="str">
        <f>IMAGE("https://storage.googleapis.com/acdb/wall-mounted/FtrAmeretroClock_Remake_1_1.png")</f>
        <v/>
      </c>
      <c r="C100" s="5" t="s">
        <v>68</v>
      </c>
      <c r="D100" s="5" t="s">
        <v>34</v>
      </c>
      <c r="E100" s="5" t="s">
        <v>784</v>
      </c>
      <c r="F100" s="5" t="s">
        <v>778</v>
      </c>
      <c r="G100" s="5" t="s">
        <v>36</v>
      </c>
      <c r="H100" s="5" t="s">
        <v>36</v>
      </c>
      <c r="I100" s="5" t="s">
        <v>35</v>
      </c>
      <c r="J100" s="6">
        <v>1.0</v>
      </c>
      <c r="K100" s="6">
        <v>1500.0</v>
      </c>
      <c r="L100" s="6">
        <v>375.0</v>
      </c>
      <c r="M100" s="5" t="s">
        <v>68</v>
      </c>
      <c r="N100" s="5" t="s">
        <v>68</v>
      </c>
      <c r="O100" s="6" t="s">
        <v>179</v>
      </c>
      <c r="P100" s="5" t="s">
        <v>59</v>
      </c>
      <c r="Q100" s="5" t="s">
        <v>122</v>
      </c>
      <c r="R100" s="17" t="s">
        <v>42</v>
      </c>
      <c r="S100" s="5" t="s">
        <v>62</v>
      </c>
      <c r="T100" s="5" t="s">
        <v>44</v>
      </c>
      <c r="U100" s="5" t="s">
        <v>780</v>
      </c>
      <c r="V100" s="5" t="s">
        <v>44</v>
      </c>
      <c r="W100" s="5" t="s">
        <v>35</v>
      </c>
      <c r="X100" s="5" t="s">
        <v>260</v>
      </c>
      <c r="Y100" s="5" t="s">
        <v>47</v>
      </c>
      <c r="Z100" s="5" t="s">
        <v>36</v>
      </c>
      <c r="AA100" s="5" t="s">
        <v>64</v>
      </c>
      <c r="AB100" s="5" t="s">
        <v>799</v>
      </c>
      <c r="AC100" s="6" t="s">
        <v>234</v>
      </c>
      <c r="AD100" s="6">
        <v>4144.0</v>
      </c>
    </row>
    <row r="101" ht="56.25" customHeight="1">
      <c r="A101" s="5" t="s">
        <v>774</v>
      </c>
      <c r="B101" s="6" t="str">
        <f>IMAGE("https://storage.googleapis.com/acdb/wall-mounted/FtrAmeretroClock_Remake_1_2.png")</f>
        <v/>
      </c>
      <c r="C101" s="5" t="s">
        <v>68</v>
      </c>
      <c r="D101" s="5" t="s">
        <v>34</v>
      </c>
      <c r="E101" s="5" t="s">
        <v>789</v>
      </c>
      <c r="F101" s="5" t="s">
        <v>778</v>
      </c>
      <c r="G101" s="5" t="s">
        <v>36</v>
      </c>
      <c r="H101" s="5" t="s">
        <v>36</v>
      </c>
      <c r="I101" s="5" t="s">
        <v>35</v>
      </c>
      <c r="J101" s="6">
        <v>1.0</v>
      </c>
      <c r="K101" s="6">
        <v>1500.0</v>
      </c>
      <c r="L101" s="6">
        <v>375.0</v>
      </c>
      <c r="M101" s="5" t="s">
        <v>68</v>
      </c>
      <c r="N101" s="5" t="s">
        <v>54</v>
      </c>
      <c r="O101" s="6" t="s">
        <v>179</v>
      </c>
      <c r="P101" s="5" t="s">
        <v>59</v>
      </c>
      <c r="Q101" s="5" t="s">
        <v>122</v>
      </c>
      <c r="R101" s="17" t="s">
        <v>42</v>
      </c>
      <c r="S101" s="5" t="s">
        <v>62</v>
      </c>
      <c r="T101" s="5" t="s">
        <v>44</v>
      </c>
      <c r="U101" s="5" t="s">
        <v>780</v>
      </c>
      <c r="V101" s="5" t="s">
        <v>44</v>
      </c>
      <c r="W101" s="5" t="s">
        <v>35</v>
      </c>
      <c r="X101" s="5" t="s">
        <v>260</v>
      </c>
      <c r="Y101" s="5" t="s">
        <v>47</v>
      </c>
      <c r="Z101" s="5" t="s">
        <v>36</v>
      </c>
      <c r="AA101" s="5" t="s">
        <v>64</v>
      </c>
      <c r="AB101" s="5" t="s">
        <v>802</v>
      </c>
      <c r="AC101" s="6" t="s">
        <v>370</v>
      </c>
      <c r="AD101" s="6">
        <v>4144.0</v>
      </c>
    </row>
    <row r="102" ht="56.25" customHeight="1">
      <c r="A102" s="5" t="s">
        <v>774</v>
      </c>
      <c r="B102" s="6" t="str">
        <f>IMAGE("https://storage.googleapis.com/acdb/wall-mounted/FtrAmeretroClock_Remake_2_0.png")</f>
        <v/>
      </c>
      <c r="C102" s="5" t="s">
        <v>114</v>
      </c>
      <c r="D102" s="5" t="s">
        <v>34</v>
      </c>
      <c r="E102" s="5" t="s">
        <v>777</v>
      </c>
      <c r="F102" s="5" t="s">
        <v>778</v>
      </c>
      <c r="G102" s="5" t="s">
        <v>36</v>
      </c>
      <c r="H102" s="5" t="s">
        <v>36</v>
      </c>
      <c r="I102" s="5" t="s">
        <v>35</v>
      </c>
      <c r="J102" s="6">
        <v>1.0</v>
      </c>
      <c r="K102" s="6">
        <v>1500.0</v>
      </c>
      <c r="L102" s="6">
        <v>375.0</v>
      </c>
      <c r="M102" s="5" t="s">
        <v>114</v>
      </c>
      <c r="N102" s="5" t="s">
        <v>58</v>
      </c>
      <c r="O102" s="6" t="s">
        <v>179</v>
      </c>
      <c r="P102" s="5" t="s">
        <v>59</v>
      </c>
      <c r="Q102" s="5" t="s">
        <v>122</v>
      </c>
      <c r="R102" s="17" t="s">
        <v>42</v>
      </c>
      <c r="S102" s="5" t="s">
        <v>62</v>
      </c>
      <c r="T102" s="5" t="s">
        <v>44</v>
      </c>
      <c r="U102" s="5" t="s">
        <v>780</v>
      </c>
      <c r="V102" s="5" t="s">
        <v>44</v>
      </c>
      <c r="W102" s="5" t="s">
        <v>35</v>
      </c>
      <c r="X102" s="5" t="s">
        <v>260</v>
      </c>
      <c r="Y102" s="5" t="s">
        <v>47</v>
      </c>
      <c r="Z102" s="5" t="s">
        <v>36</v>
      </c>
      <c r="AA102" s="5" t="s">
        <v>64</v>
      </c>
      <c r="AB102" s="5" t="s">
        <v>807</v>
      </c>
      <c r="AC102" s="6" t="s">
        <v>67</v>
      </c>
      <c r="AD102" s="6">
        <v>4144.0</v>
      </c>
    </row>
    <row r="103" ht="56.25" customHeight="1">
      <c r="A103" s="5" t="s">
        <v>774</v>
      </c>
      <c r="B103" s="6" t="str">
        <f>IMAGE("https://storage.googleapis.com/acdb/wall-mounted/FtrAmeretroClock_Remake_2_1.png")</f>
        <v/>
      </c>
      <c r="C103" s="5" t="s">
        <v>114</v>
      </c>
      <c r="D103" s="5" t="s">
        <v>34</v>
      </c>
      <c r="E103" s="5" t="s">
        <v>784</v>
      </c>
      <c r="F103" s="5" t="s">
        <v>778</v>
      </c>
      <c r="G103" s="5" t="s">
        <v>36</v>
      </c>
      <c r="H103" s="5" t="s">
        <v>36</v>
      </c>
      <c r="I103" s="5" t="s">
        <v>35</v>
      </c>
      <c r="J103" s="6">
        <v>1.0</v>
      </c>
      <c r="K103" s="6">
        <v>1500.0</v>
      </c>
      <c r="L103" s="6">
        <v>375.0</v>
      </c>
      <c r="M103" s="5" t="s">
        <v>114</v>
      </c>
      <c r="N103" s="5" t="s">
        <v>68</v>
      </c>
      <c r="O103" s="6" t="s">
        <v>179</v>
      </c>
      <c r="P103" s="5" t="s">
        <v>59</v>
      </c>
      <c r="Q103" s="5" t="s">
        <v>122</v>
      </c>
      <c r="R103" s="17" t="s">
        <v>42</v>
      </c>
      <c r="S103" s="5" t="s">
        <v>62</v>
      </c>
      <c r="T103" s="5" t="s">
        <v>44</v>
      </c>
      <c r="U103" s="5" t="s">
        <v>780</v>
      </c>
      <c r="V103" s="5" t="s">
        <v>44</v>
      </c>
      <c r="W103" s="5" t="s">
        <v>35</v>
      </c>
      <c r="X103" s="5" t="s">
        <v>260</v>
      </c>
      <c r="Y103" s="5" t="s">
        <v>47</v>
      </c>
      <c r="Z103" s="5" t="s">
        <v>36</v>
      </c>
      <c r="AA103" s="5" t="s">
        <v>64</v>
      </c>
      <c r="AB103" s="5" t="s">
        <v>812</v>
      </c>
      <c r="AC103" s="6" t="s">
        <v>247</v>
      </c>
      <c r="AD103" s="6">
        <v>4144.0</v>
      </c>
    </row>
    <row r="104" ht="56.25" customHeight="1">
      <c r="A104" s="5" t="s">
        <v>774</v>
      </c>
      <c r="B104" s="6" t="str">
        <f>IMAGE("https://storage.googleapis.com/acdb/wall-mounted/FtrAmeretroClock_Remake_2_2.png")</f>
        <v/>
      </c>
      <c r="C104" s="5" t="s">
        <v>114</v>
      </c>
      <c r="D104" s="5" t="s">
        <v>34</v>
      </c>
      <c r="E104" s="5" t="s">
        <v>789</v>
      </c>
      <c r="F104" s="5" t="s">
        <v>778</v>
      </c>
      <c r="G104" s="5" t="s">
        <v>36</v>
      </c>
      <c r="H104" s="5" t="s">
        <v>36</v>
      </c>
      <c r="I104" s="5" t="s">
        <v>35</v>
      </c>
      <c r="J104" s="6">
        <v>1.0</v>
      </c>
      <c r="K104" s="6">
        <v>1500.0</v>
      </c>
      <c r="L104" s="6">
        <v>375.0</v>
      </c>
      <c r="M104" s="5" t="s">
        <v>114</v>
      </c>
      <c r="N104" s="5" t="s">
        <v>54</v>
      </c>
      <c r="O104" s="6" t="s">
        <v>179</v>
      </c>
      <c r="P104" s="5" t="s">
        <v>59</v>
      </c>
      <c r="Q104" s="5" t="s">
        <v>122</v>
      </c>
      <c r="R104" s="17" t="s">
        <v>42</v>
      </c>
      <c r="S104" s="5" t="s">
        <v>62</v>
      </c>
      <c r="T104" s="5" t="s">
        <v>44</v>
      </c>
      <c r="U104" s="5" t="s">
        <v>780</v>
      </c>
      <c r="V104" s="5" t="s">
        <v>44</v>
      </c>
      <c r="W104" s="5" t="s">
        <v>35</v>
      </c>
      <c r="X104" s="5" t="s">
        <v>260</v>
      </c>
      <c r="Y104" s="5" t="s">
        <v>47</v>
      </c>
      <c r="Z104" s="5" t="s">
        <v>36</v>
      </c>
      <c r="AA104" s="5" t="s">
        <v>64</v>
      </c>
      <c r="AB104" s="5" t="s">
        <v>818</v>
      </c>
      <c r="AC104" s="6" t="s">
        <v>390</v>
      </c>
      <c r="AD104" s="6">
        <v>4144.0</v>
      </c>
    </row>
    <row r="105" ht="56.25" customHeight="1">
      <c r="A105" s="5" t="s">
        <v>774</v>
      </c>
      <c r="B105" s="6" t="str">
        <f>IMAGE("https://storage.googleapis.com/acdb/wall-mounted/FtrAmeretroClock_Remake_3_0.png")</f>
        <v/>
      </c>
      <c r="C105" s="5" t="s">
        <v>819</v>
      </c>
      <c r="D105" s="5" t="s">
        <v>34</v>
      </c>
      <c r="E105" s="5" t="s">
        <v>777</v>
      </c>
      <c r="F105" s="5" t="s">
        <v>778</v>
      </c>
      <c r="G105" s="5" t="s">
        <v>36</v>
      </c>
      <c r="H105" s="5" t="s">
        <v>36</v>
      </c>
      <c r="I105" s="5" t="s">
        <v>35</v>
      </c>
      <c r="J105" s="6">
        <v>1.0</v>
      </c>
      <c r="K105" s="6">
        <v>1500.0</v>
      </c>
      <c r="L105" s="6">
        <v>375.0</v>
      </c>
      <c r="M105" s="5" t="s">
        <v>96</v>
      </c>
      <c r="N105" s="5" t="s">
        <v>58</v>
      </c>
      <c r="O105" s="6" t="s">
        <v>179</v>
      </c>
      <c r="P105" s="5" t="s">
        <v>59</v>
      </c>
      <c r="Q105" s="5" t="s">
        <v>122</v>
      </c>
      <c r="R105" s="17" t="s">
        <v>42</v>
      </c>
      <c r="S105" s="5" t="s">
        <v>62</v>
      </c>
      <c r="T105" s="5" t="s">
        <v>44</v>
      </c>
      <c r="U105" s="5" t="s">
        <v>780</v>
      </c>
      <c r="V105" s="5" t="s">
        <v>44</v>
      </c>
      <c r="W105" s="5" t="s">
        <v>35</v>
      </c>
      <c r="X105" s="5" t="s">
        <v>260</v>
      </c>
      <c r="Y105" s="5" t="s">
        <v>47</v>
      </c>
      <c r="Z105" s="5" t="s">
        <v>36</v>
      </c>
      <c r="AA105" s="5" t="s">
        <v>64</v>
      </c>
      <c r="AB105" s="5" t="s">
        <v>824</v>
      </c>
      <c r="AC105" s="6" t="s">
        <v>71</v>
      </c>
      <c r="AD105" s="6">
        <v>4144.0</v>
      </c>
    </row>
    <row r="106" ht="56.25" customHeight="1">
      <c r="A106" s="5" t="s">
        <v>774</v>
      </c>
      <c r="B106" s="6" t="str">
        <f>IMAGE("https://storage.googleapis.com/acdb/wall-mounted/FtrAmeretroClock_Remake_3_1.png")</f>
        <v/>
      </c>
      <c r="C106" s="5" t="s">
        <v>819</v>
      </c>
      <c r="D106" s="5" t="s">
        <v>34</v>
      </c>
      <c r="E106" s="5" t="s">
        <v>784</v>
      </c>
      <c r="F106" s="5" t="s">
        <v>778</v>
      </c>
      <c r="G106" s="5" t="s">
        <v>36</v>
      </c>
      <c r="H106" s="5" t="s">
        <v>36</v>
      </c>
      <c r="I106" s="5" t="s">
        <v>35</v>
      </c>
      <c r="J106" s="6">
        <v>1.0</v>
      </c>
      <c r="K106" s="6">
        <v>1500.0</v>
      </c>
      <c r="L106" s="6">
        <v>375.0</v>
      </c>
      <c r="M106" s="5" t="s">
        <v>96</v>
      </c>
      <c r="N106" s="5" t="s">
        <v>68</v>
      </c>
      <c r="O106" s="6" t="s">
        <v>179</v>
      </c>
      <c r="P106" s="5" t="s">
        <v>59</v>
      </c>
      <c r="Q106" s="5" t="s">
        <v>122</v>
      </c>
      <c r="R106" s="17" t="s">
        <v>42</v>
      </c>
      <c r="S106" s="5" t="s">
        <v>62</v>
      </c>
      <c r="T106" s="5" t="s">
        <v>44</v>
      </c>
      <c r="U106" s="5" t="s">
        <v>780</v>
      </c>
      <c r="V106" s="5" t="s">
        <v>44</v>
      </c>
      <c r="W106" s="5" t="s">
        <v>35</v>
      </c>
      <c r="X106" s="5" t="s">
        <v>260</v>
      </c>
      <c r="Y106" s="5" t="s">
        <v>47</v>
      </c>
      <c r="Z106" s="5" t="s">
        <v>36</v>
      </c>
      <c r="AA106" s="5" t="s">
        <v>64</v>
      </c>
      <c r="AB106" s="5" t="s">
        <v>832</v>
      </c>
      <c r="AC106" s="6" t="s">
        <v>257</v>
      </c>
      <c r="AD106" s="6">
        <v>4144.0</v>
      </c>
    </row>
    <row r="107" ht="56.25" customHeight="1">
      <c r="A107" s="5" t="s">
        <v>774</v>
      </c>
      <c r="B107" s="6" t="str">
        <f>IMAGE("https://storage.googleapis.com/acdb/wall-mounted/FtrAmeretroClock_Remake_3_2.png")</f>
        <v/>
      </c>
      <c r="C107" s="5" t="s">
        <v>819</v>
      </c>
      <c r="D107" s="5" t="s">
        <v>34</v>
      </c>
      <c r="E107" s="5" t="s">
        <v>789</v>
      </c>
      <c r="F107" s="5" t="s">
        <v>778</v>
      </c>
      <c r="G107" s="5" t="s">
        <v>36</v>
      </c>
      <c r="H107" s="5" t="s">
        <v>36</v>
      </c>
      <c r="I107" s="5" t="s">
        <v>35</v>
      </c>
      <c r="J107" s="6">
        <v>1.0</v>
      </c>
      <c r="K107" s="6">
        <v>1500.0</v>
      </c>
      <c r="L107" s="6">
        <v>375.0</v>
      </c>
      <c r="M107" s="5" t="s">
        <v>96</v>
      </c>
      <c r="N107" s="5" t="s">
        <v>54</v>
      </c>
      <c r="O107" s="6" t="s">
        <v>179</v>
      </c>
      <c r="P107" s="5" t="s">
        <v>59</v>
      </c>
      <c r="Q107" s="5" t="s">
        <v>122</v>
      </c>
      <c r="R107" s="17" t="s">
        <v>42</v>
      </c>
      <c r="S107" s="5" t="s">
        <v>62</v>
      </c>
      <c r="T107" s="5" t="s">
        <v>44</v>
      </c>
      <c r="U107" s="5" t="s">
        <v>780</v>
      </c>
      <c r="V107" s="5" t="s">
        <v>44</v>
      </c>
      <c r="W107" s="5" t="s">
        <v>35</v>
      </c>
      <c r="X107" s="5" t="s">
        <v>260</v>
      </c>
      <c r="Y107" s="5" t="s">
        <v>47</v>
      </c>
      <c r="Z107" s="5" t="s">
        <v>36</v>
      </c>
      <c r="AA107" s="5" t="s">
        <v>64</v>
      </c>
      <c r="AB107" s="5" t="s">
        <v>838</v>
      </c>
      <c r="AC107" s="6" t="s">
        <v>414</v>
      </c>
      <c r="AD107" s="6">
        <v>4144.0</v>
      </c>
    </row>
    <row r="108" ht="56.25" customHeight="1">
      <c r="A108" s="5" t="s">
        <v>774</v>
      </c>
      <c r="B108" s="6" t="str">
        <f>IMAGE("https://storage.googleapis.com/acdb/wall-mounted/FtrAmeretroClock_Remake_4_0.png")</f>
        <v/>
      </c>
      <c r="C108" s="5" t="s">
        <v>69</v>
      </c>
      <c r="D108" s="5" t="s">
        <v>34</v>
      </c>
      <c r="E108" s="5" t="s">
        <v>777</v>
      </c>
      <c r="F108" s="5" t="s">
        <v>778</v>
      </c>
      <c r="G108" s="5" t="s">
        <v>36</v>
      </c>
      <c r="H108" s="5" t="s">
        <v>36</v>
      </c>
      <c r="I108" s="5" t="s">
        <v>35</v>
      </c>
      <c r="J108" s="6">
        <v>1.0</v>
      </c>
      <c r="K108" s="6">
        <v>1500.0</v>
      </c>
      <c r="L108" s="6">
        <v>375.0</v>
      </c>
      <c r="M108" s="5" t="s">
        <v>69</v>
      </c>
      <c r="N108" s="5" t="s">
        <v>58</v>
      </c>
      <c r="O108" s="6" t="s">
        <v>179</v>
      </c>
      <c r="P108" s="5" t="s">
        <v>59</v>
      </c>
      <c r="Q108" s="5" t="s">
        <v>122</v>
      </c>
      <c r="R108" s="17" t="s">
        <v>42</v>
      </c>
      <c r="S108" s="5" t="s">
        <v>62</v>
      </c>
      <c r="T108" s="5" t="s">
        <v>44</v>
      </c>
      <c r="U108" s="5" t="s">
        <v>780</v>
      </c>
      <c r="V108" s="5" t="s">
        <v>44</v>
      </c>
      <c r="W108" s="5" t="s">
        <v>35</v>
      </c>
      <c r="X108" s="5" t="s">
        <v>260</v>
      </c>
      <c r="Y108" s="5" t="s">
        <v>47</v>
      </c>
      <c r="Z108" s="5" t="s">
        <v>36</v>
      </c>
      <c r="AA108" s="5" t="s">
        <v>64</v>
      </c>
      <c r="AB108" s="5" t="s">
        <v>845</v>
      </c>
      <c r="AC108" s="6" t="s">
        <v>75</v>
      </c>
      <c r="AD108" s="6">
        <v>4144.0</v>
      </c>
    </row>
    <row r="109" ht="56.25" customHeight="1">
      <c r="A109" s="5" t="s">
        <v>774</v>
      </c>
      <c r="B109" s="6" t="str">
        <f>IMAGE("https://storage.googleapis.com/acdb/wall-mounted/FtrAmeretroClock_Remake_4_1.png")</f>
        <v/>
      </c>
      <c r="C109" s="5" t="s">
        <v>69</v>
      </c>
      <c r="D109" s="5" t="s">
        <v>34</v>
      </c>
      <c r="E109" s="5" t="s">
        <v>784</v>
      </c>
      <c r="F109" s="5" t="s">
        <v>778</v>
      </c>
      <c r="G109" s="5" t="s">
        <v>36</v>
      </c>
      <c r="H109" s="5" t="s">
        <v>36</v>
      </c>
      <c r="I109" s="5" t="s">
        <v>35</v>
      </c>
      <c r="J109" s="6">
        <v>1.0</v>
      </c>
      <c r="K109" s="6">
        <v>1500.0</v>
      </c>
      <c r="L109" s="6">
        <v>375.0</v>
      </c>
      <c r="M109" s="5" t="s">
        <v>69</v>
      </c>
      <c r="N109" s="5" t="s">
        <v>68</v>
      </c>
      <c r="O109" s="6" t="s">
        <v>179</v>
      </c>
      <c r="P109" s="5" t="s">
        <v>59</v>
      </c>
      <c r="Q109" s="5" t="s">
        <v>122</v>
      </c>
      <c r="R109" s="17" t="s">
        <v>42</v>
      </c>
      <c r="S109" s="5" t="s">
        <v>62</v>
      </c>
      <c r="T109" s="5" t="s">
        <v>44</v>
      </c>
      <c r="U109" s="5" t="s">
        <v>780</v>
      </c>
      <c r="V109" s="5" t="s">
        <v>44</v>
      </c>
      <c r="W109" s="5" t="s">
        <v>35</v>
      </c>
      <c r="X109" s="5" t="s">
        <v>260</v>
      </c>
      <c r="Y109" s="5" t="s">
        <v>47</v>
      </c>
      <c r="Z109" s="5" t="s">
        <v>36</v>
      </c>
      <c r="AA109" s="5" t="s">
        <v>64</v>
      </c>
      <c r="AB109" s="5" t="s">
        <v>853</v>
      </c>
      <c r="AC109" s="6" t="s">
        <v>429</v>
      </c>
      <c r="AD109" s="6">
        <v>4144.0</v>
      </c>
    </row>
    <row r="110" ht="56.25" customHeight="1">
      <c r="A110" s="5" t="s">
        <v>774</v>
      </c>
      <c r="B110" s="6" t="str">
        <f>IMAGE("https://storage.googleapis.com/acdb/wall-mounted/FtrAmeretroClock_Remake_4_2.png")</f>
        <v/>
      </c>
      <c r="C110" s="5" t="s">
        <v>69</v>
      </c>
      <c r="D110" s="5" t="s">
        <v>34</v>
      </c>
      <c r="E110" s="5" t="s">
        <v>789</v>
      </c>
      <c r="F110" s="5" t="s">
        <v>778</v>
      </c>
      <c r="G110" s="5" t="s">
        <v>36</v>
      </c>
      <c r="H110" s="5" t="s">
        <v>36</v>
      </c>
      <c r="I110" s="5" t="s">
        <v>35</v>
      </c>
      <c r="J110" s="6">
        <v>1.0</v>
      </c>
      <c r="K110" s="6">
        <v>1500.0</v>
      </c>
      <c r="L110" s="6">
        <v>375.0</v>
      </c>
      <c r="M110" s="5" t="s">
        <v>69</v>
      </c>
      <c r="N110" s="5" t="s">
        <v>54</v>
      </c>
      <c r="O110" s="6" t="s">
        <v>179</v>
      </c>
      <c r="P110" s="5" t="s">
        <v>59</v>
      </c>
      <c r="Q110" s="5" t="s">
        <v>122</v>
      </c>
      <c r="R110" s="17" t="s">
        <v>42</v>
      </c>
      <c r="S110" s="5" t="s">
        <v>62</v>
      </c>
      <c r="T110" s="5" t="s">
        <v>44</v>
      </c>
      <c r="U110" s="5" t="s">
        <v>780</v>
      </c>
      <c r="V110" s="5" t="s">
        <v>44</v>
      </c>
      <c r="W110" s="5" t="s">
        <v>35</v>
      </c>
      <c r="X110" s="5" t="s">
        <v>260</v>
      </c>
      <c r="Y110" s="5" t="s">
        <v>47</v>
      </c>
      <c r="Z110" s="5" t="s">
        <v>36</v>
      </c>
      <c r="AA110" s="5" t="s">
        <v>64</v>
      </c>
      <c r="AB110" s="5" t="s">
        <v>858</v>
      </c>
      <c r="AC110" s="6" t="s">
        <v>434</v>
      </c>
      <c r="AD110" s="6">
        <v>4144.0</v>
      </c>
    </row>
    <row r="111" ht="56.25" customHeight="1">
      <c r="A111" s="5" t="s">
        <v>774</v>
      </c>
      <c r="B111" s="6" t="str">
        <f>IMAGE("https://storage.googleapis.com/acdb/wall-mounted/FtrAmeretroClock_Remake_5_0.png")</f>
        <v/>
      </c>
      <c r="C111" s="5" t="s">
        <v>307</v>
      </c>
      <c r="D111" s="5" t="s">
        <v>34</v>
      </c>
      <c r="E111" s="5" t="s">
        <v>777</v>
      </c>
      <c r="F111" s="5" t="s">
        <v>778</v>
      </c>
      <c r="G111" s="5" t="s">
        <v>36</v>
      </c>
      <c r="H111" s="5" t="s">
        <v>36</v>
      </c>
      <c r="I111" s="5" t="s">
        <v>35</v>
      </c>
      <c r="J111" s="6">
        <v>1.0</v>
      </c>
      <c r="K111" s="6">
        <v>1500.0</v>
      </c>
      <c r="L111" s="6">
        <v>375.0</v>
      </c>
      <c r="M111" s="5" t="s">
        <v>57</v>
      </c>
      <c r="N111" s="5" t="s">
        <v>58</v>
      </c>
      <c r="O111" s="6" t="s">
        <v>179</v>
      </c>
      <c r="P111" s="5" t="s">
        <v>59</v>
      </c>
      <c r="Q111" s="5" t="s">
        <v>122</v>
      </c>
      <c r="R111" s="17" t="s">
        <v>42</v>
      </c>
      <c r="S111" s="5" t="s">
        <v>62</v>
      </c>
      <c r="T111" s="5" t="s">
        <v>44</v>
      </c>
      <c r="U111" s="5" t="s">
        <v>780</v>
      </c>
      <c r="V111" s="5" t="s">
        <v>44</v>
      </c>
      <c r="W111" s="5" t="s">
        <v>35</v>
      </c>
      <c r="X111" s="5" t="s">
        <v>260</v>
      </c>
      <c r="Y111" s="5" t="s">
        <v>47</v>
      </c>
      <c r="Z111" s="5" t="s">
        <v>36</v>
      </c>
      <c r="AA111" s="5" t="s">
        <v>64</v>
      </c>
      <c r="AB111" s="5" t="s">
        <v>863</v>
      </c>
      <c r="AC111" s="6" t="s">
        <v>79</v>
      </c>
      <c r="AD111" s="6">
        <v>4144.0</v>
      </c>
    </row>
    <row r="112" ht="56.25" customHeight="1">
      <c r="A112" s="5" t="s">
        <v>774</v>
      </c>
      <c r="B112" s="6" t="str">
        <f>IMAGE("https://storage.googleapis.com/acdb/wall-mounted/FtrAmeretroClock_Remake_5_1.png")</f>
        <v/>
      </c>
      <c r="C112" s="5" t="s">
        <v>307</v>
      </c>
      <c r="D112" s="5" t="s">
        <v>34</v>
      </c>
      <c r="E112" s="5" t="s">
        <v>784</v>
      </c>
      <c r="F112" s="5" t="s">
        <v>778</v>
      </c>
      <c r="G112" s="5" t="s">
        <v>36</v>
      </c>
      <c r="H112" s="5" t="s">
        <v>36</v>
      </c>
      <c r="I112" s="5" t="s">
        <v>35</v>
      </c>
      <c r="J112" s="6">
        <v>1.0</v>
      </c>
      <c r="K112" s="6">
        <v>1500.0</v>
      </c>
      <c r="L112" s="6">
        <v>375.0</v>
      </c>
      <c r="M112" s="5" t="s">
        <v>57</v>
      </c>
      <c r="N112" s="5" t="s">
        <v>68</v>
      </c>
      <c r="O112" s="6" t="s">
        <v>179</v>
      </c>
      <c r="P112" s="5" t="s">
        <v>59</v>
      </c>
      <c r="Q112" s="5" t="s">
        <v>122</v>
      </c>
      <c r="R112" s="17" t="s">
        <v>42</v>
      </c>
      <c r="S112" s="5" t="s">
        <v>62</v>
      </c>
      <c r="T112" s="5" t="s">
        <v>44</v>
      </c>
      <c r="U112" s="5" t="s">
        <v>780</v>
      </c>
      <c r="V112" s="5" t="s">
        <v>44</v>
      </c>
      <c r="W112" s="5" t="s">
        <v>35</v>
      </c>
      <c r="X112" s="5" t="s">
        <v>260</v>
      </c>
      <c r="Y112" s="5" t="s">
        <v>47</v>
      </c>
      <c r="Z112" s="5" t="s">
        <v>36</v>
      </c>
      <c r="AA112" s="5" t="s">
        <v>64</v>
      </c>
      <c r="AB112" s="5" t="s">
        <v>867</v>
      </c>
      <c r="AC112" s="6" t="s">
        <v>448</v>
      </c>
      <c r="AD112" s="6">
        <v>4144.0</v>
      </c>
    </row>
    <row r="113" ht="56.25" customHeight="1">
      <c r="A113" s="5" t="s">
        <v>774</v>
      </c>
      <c r="B113" s="6" t="str">
        <f>IMAGE("https://storage.googleapis.com/acdb/wall-mounted/FtrAmeretroClock_Remake_5_2.png")</f>
        <v/>
      </c>
      <c r="C113" s="5" t="s">
        <v>307</v>
      </c>
      <c r="D113" s="5" t="s">
        <v>34</v>
      </c>
      <c r="E113" s="5" t="s">
        <v>789</v>
      </c>
      <c r="F113" s="5" t="s">
        <v>778</v>
      </c>
      <c r="G113" s="5" t="s">
        <v>36</v>
      </c>
      <c r="H113" s="5" t="s">
        <v>36</v>
      </c>
      <c r="I113" s="5" t="s">
        <v>35</v>
      </c>
      <c r="J113" s="6">
        <v>1.0</v>
      </c>
      <c r="K113" s="6">
        <v>1500.0</v>
      </c>
      <c r="L113" s="6">
        <v>375.0</v>
      </c>
      <c r="M113" s="5" t="s">
        <v>57</v>
      </c>
      <c r="N113" s="5" t="s">
        <v>54</v>
      </c>
      <c r="O113" s="6" t="s">
        <v>179</v>
      </c>
      <c r="P113" s="5" t="s">
        <v>59</v>
      </c>
      <c r="Q113" s="5" t="s">
        <v>122</v>
      </c>
      <c r="R113" s="17" t="s">
        <v>42</v>
      </c>
      <c r="S113" s="5" t="s">
        <v>62</v>
      </c>
      <c r="T113" s="5" t="s">
        <v>44</v>
      </c>
      <c r="U113" s="5" t="s">
        <v>780</v>
      </c>
      <c r="V113" s="5" t="s">
        <v>44</v>
      </c>
      <c r="W113" s="5" t="s">
        <v>35</v>
      </c>
      <c r="X113" s="5" t="s">
        <v>260</v>
      </c>
      <c r="Y113" s="5" t="s">
        <v>47</v>
      </c>
      <c r="Z113" s="5" t="s">
        <v>36</v>
      </c>
      <c r="AA113" s="5" t="s">
        <v>64</v>
      </c>
      <c r="AB113" s="5" t="s">
        <v>870</v>
      </c>
      <c r="AC113" s="6" t="s">
        <v>452</v>
      </c>
      <c r="AD113" s="6">
        <v>4144.0</v>
      </c>
    </row>
    <row r="114" ht="56.25" customHeight="1">
      <c r="A114" s="5" t="s">
        <v>774</v>
      </c>
      <c r="B114" s="6" t="str">
        <f>IMAGE("https://storage.googleapis.com/acdb/wall-mounted/FtrAmeretroClock_Remake_6_0.png")</f>
        <v/>
      </c>
      <c r="C114" s="5" t="s">
        <v>106</v>
      </c>
      <c r="D114" s="5" t="s">
        <v>34</v>
      </c>
      <c r="E114" s="5" t="s">
        <v>777</v>
      </c>
      <c r="F114" s="5" t="s">
        <v>778</v>
      </c>
      <c r="G114" s="5" t="s">
        <v>36</v>
      </c>
      <c r="H114" s="5" t="s">
        <v>36</v>
      </c>
      <c r="I114" s="5" t="s">
        <v>35</v>
      </c>
      <c r="J114" s="6">
        <v>1.0</v>
      </c>
      <c r="K114" s="6">
        <v>1500.0</v>
      </c>
      <c r="L114" s="6">
        <v>375.0</v>
      </c>
      <c r="M114" s="5" t="s">
        <v>106</v>
      </c>
      <c r="N114" s="5" t="s">
        <v>58</v>
      </c>
      <c r="O114" s="6" t="s">
        <v>179</v>
      </c>
      <c r="P114" s="5" t="s">
        <v>59</v>
      </c>
      <c r="Q114" s="5" t="s">
        <v>122</v>
      </c>
      <c r="R114" s="17" t="s">
        <v>42</v>
      </c>
      <c r="S114" s="5" t="s">
        <v>62</v>
      </c>
      <c r="T114" s="5" t="s">
        <v>44</v>
      </c>
      <c r="U114" s="5" t="s">
        <v>780</v>
      </c>
      <c r="V114" s="5" t="s">
        <v>44</v>
      </c>
      <c r="W114" s="5" t="s">
        <v>35</v>
      </c>
      <c r="X114" s="5" t="s">
        <v>260</v>
      </c>
      <c r="Y114" s="5" t="s">
        <v>47</v>
      </c>
      <c r="Z114" s="5" t="s">
        <v>36</v>
      </c>
      <c r="AA114" s="5" t="s">
        <v>64</v>
      </c>
      <c r="AB114" s="5" t="s">
        <v>875</v>
      </c>
      <c r="AC114" s="6" t="s">
        <v>86</v>
      </c>
      <c r="AD114" s="6">
        <v>4144.0</v>
      </c>
    </row>
    <row r="115" ht="56.25" customHeight="1">
      <c r="A115" s="5" t="s">
        <v>774</v>
      </c>
      <c r="B115" s="6" t="str">
        <f>IMAGE("https://storage.googleapis.com/acdb/wall-mounted/FtrAmeretroClock_Remake_6_1.png")</f>
        <v/>
      </c>
      <c r="C115" s="5" t="s">
        <v>106</v>
      </c>
      <c r="D115" s="5" t="s">
        <v>34</v>
      </c>
      <c r="E115" s="5" t="s">
        <v>784</v>
      </c>
      <c r="F115" s="5" t="s">
        <v>778</v>
      </c>
      <c r="G115" s="5" t="s">
        <v>36</v>
      </c>
      <c r="H115" s="5" t="s">
        <v>36</v>
      </c>
      <c r="I115" s="5" t="s">
        <v>35</v>
      </c>
      <c r="J115" s="6">
        <v>1.0</v>
      </c>
      <c r="K115" s="6">
        <v>1500.0</v>
      </c>
      <c r="L115" s="6">
        <v>375.0</v>
      </c>
      <c r="M115" s="5" t="s">
        <v>106</v>
      </c>
      <c r="N115" s="5" t="s">
        <v>68</v>
      </c>
      <c r="O115" s="6" t="s">
        <v>179</v>
      </c>
      <c r="P115" s="5" t="s">
        <v>59</v>
      </c>
      <c r="Q115" s="5" t="s">
        <v>122</v>
      </c>
      <c r="R115" s="17" t="s">
        <v>42</v>
      </c>
      <c r="S115" s="5" t="s">
        <v>62</v>
      </c>
      <c r="T115" s="5" t="s">
        <v>44</v>
      </c>
      <c r="U115" s="5" t="s">
        <v>780</v>
      </c>
      <c r="V115" s="5" t="s">
        <v>44</v>
      </c>
      <c r="W115" s="5" t="s">
        <v>35</v>
      </c>
      <c r="X115" s="5" t="s">
        <v>260</v>
      </c>
      <c r="Y115" s="5" t="s">
        <v>47</v>
      </c>
      <c r="Z115" s="5" t="s">
        <v>36</v>
      </c>
      <c r="AA115" s="5" t="s">
        <v>64</v>
      </c>
      <c r="AB115" s="5" t="s">
        <v>878</v>
      </c>
      <c r="AC115" s="6" t="s">
        <v>620</v>
      </c>
      <c r="AD115" s="6">
        <v>4144.0</v>
      </c>
    </row>
    <row r="116" ht="56.25" customHeight="1">
      <c r="A116" s="5" t="s">
        <v>774</v>
      </c>
      <c r="B116" s="6" t="str">
        <f>IMAGE("https://storage.googleapis.com/acdb/wall-mounted/FtrAmeretroClock_Remake_6_2.png")</f>
        <v/>
      </c>
      <c r="C116" s="5" t="s">
        <v>106</v>
      </c>
      <c r="D116" s="5" t="s">
        <v>34</v>
      </c>
      <c r="E116" s="5" t="s">
        <v>789</v>
      </c>
      <c r="F116" s="5" t="s">
        <v>778</v>
      </c>
      <c r="G116" s="5" t="s">
        <v>36</v>
      </c>
      <c r="H116" s="5" t="s">
        <v>36</v>
      </c>
      <c r="I116" s="5" t="s">
        <v>35</v>
      </c>
      <c r="J116" s="6">
        <v>1.0</v>
      </c>
      <c r="K116" s="6">
        <v>1500.0</v>
      </c>
      <c r="L116" s="6">
        <v>375.0</v>
      </c>
      <c r="M116" s="5" t="s">
        <v>106</v>
      </c>
      <c r="N116" s="5" t="s">
        <v>54</v>
      </c>
      <c r="O116" s="6" t="s">
        <v>179</v>
      </c>
      <c r="P116" s="5" t="s">
        <v>59</v>
      </c>
      <c r="Q116" s="5" t="s">
        <v>122</v>
      </c>
      <c r="R116" s="17" t="s">
        <v>42</v>
      </c>
      <c r="S116" s="5" t="s">
        <v>62</v>
      </c>
      <c r="T116" s="5" t="s">
        <v>44</v>
      </c>
      <c r="U116" s="5" t="s">
        <v>780</v>
      </c>
      <c r="V116" s="5" t="s">
        <v>44</v>
      </c>
      <c r="W116" s="5" t="s">
        <v>35</v>
      </c>
      <c r="X116" s="5" t="s">
        <v>260</v>
      </c>
      <c r="Y116" s="5" t="s">
        <v>47</v>
      </c>
      <c r="Z116" s="5" t="s">
        <v>36</v>
      </c>
      <c r="AA116" s="5" t="s">
        <v>64</v>
      </c>
      <c r="AB116" s="5" t="s">
        <v>882</v>
      </c>
      <c r="AC116" s="6" t="s">
        <v>626</v>
      </c>
      <c r="AD116" s="6">
        <v>4144.0</v>
      </c>
    </row>
    <row r="117" ht="56.25" customHeight="1">
      <c r="A117" s="5" t="s">
        <v>883</v>
      </c>
      <c r="B117" s="6" t="str">
        <f>IMAGE("https://storage.googleapis.com/acdb/wall-mounted/FtrBothsideclockWall_Remake_0_0.png")</f>
        <v/>
      </c>
      <c r="C117" s="5" t="s">
        <v>54</v>
      </c>
      <c r="D117" s="5" t="s">
        <v>34</v>
      </c>
      <c r="E117" s="5" t="s">
        <v>34</v>
      </c>
      <c r="F117" s="5" t="s">
        <v>34</v>
      </c>
      <c r="G117" s="5" t="s">
        <v>36</v>
      </c>
      <c r="H117" s="5" t="s">
        <v>36</v>
      </c>
      <c r="I117" s="5" t="s">
        <v>36</v>
      </c>
      <c r="J117" s="6" t="s">
        <v>34</v>
      </c>
      <c r="K117" s="6">
        <v>1100.0</v>
      </c>
      <c r="L117" s="6">
        <v>275.0</v>
      </c>
      <c r="M117" s="5" t="s">
        <v>54</v>
      </c>
      <c r="N117" s="5" t="s">
        <v>57</v>
      </c>
      <c r="O117" s="6" t="s">
        <v>264</v>
      </c>
      <c r="P117" s="5" t="s">
        <v>59</v>
      </c>
      <c r="Q117" s="5" t="s">
        <v>122</v>
      </c>
      <c r="R117" s="17" t="s">
        <v>42</v>
      </c>
      <c r="S117" s="5" t="s">
        <v>141</v>
      </c>
      <c r="T117" s="5" t="s">
        <v>44</v>
      </c>
      <c r="U117" s="5" t="s">
        <v>44</v>
      </c>
      <c r="V117" s="5" t="s">
        <v>44</v>
      </c>
      <c r="W117" s="5" t="s">
        <v>35</v>
      </c>
      <c r="X117" s="5" t="s">
        <v>260</v>
      </c>
      <c r="Y117" s="5" t="s">
        <v>47</v>
      </c>
      <c r="Z117" s="5" t="s">
        <v>36</v>
      </c>
      <c r="AA117" s="5" t="s">
        <v>64</v>
      </c>
      <c r="AB117" s="5" t="s">
        <v>889</v>
      </c>
      <c r="AC117" s="6" t="s">
        <v>50</v>
      </c>
      <c r="AD117" s="6">
        <v>4133.0</v>
      </c>
    </row>
    <row r="118" ht="56.25" customHeight="1">
      <c r="A118" s="5" t="s">
        <v>883</v>
      </c>
      <c r="B118" s="6" t="str">
        <f>IMAGE("https://storage.googleapis.com/acdb/wall-mounted/FtrBothsideclockWall_Remake_1_0.png")</f>
        <v/>
      </c>
      <c r="C118" s="5" t="s">
        <v>57</v>
      </c>
      <c r="D118" s="5" t="s">
        <v>34</v>
      </c>
      <c r="E118" s="5" t="s">
        <v>34</v>
      </c>
      <c r="F118" s="5" t="s">
        <v>34</v>
      </c>
      <c r="G118" s="5" t="s">
        <v>36</v>
      </c>
      <c r="H118" s="5" t="s">
        <v>36</v>
      </c>
      <c r="I118" s="5" t="s">
        <v>36</v>
      </c>
      <c r="J118" s="6" t="s">
        <v>34</v>
      </c>
      <c r="K118" s="6">
        <v>1100.0</v>
      </c>
      <c r="L118" s="6">
        <v>275.0</v>
      </c>
      <c r="M118" s="5" t="s">
        <v>57</v>
      </c>
      <c r="N118" s="5" t="s">
        <v>57</v>
      </c>
      <c r="O118" s="6" t="s">
        <v>264</v>
      </c>
      <c r="P118" s="5" t="s">
        <v>59</v>
      </c>
      <c r="Q118" s="5" t="s">
        <v>122</v>
      </c>
      <c r="R118" s="17" t="s">
        <v>42</v>
      </c>
      <c r="S118" s="5" t="s">
        <v>141</v>
      </c>
      <c r="T118" s="5" t="s">
        <v>44</v>
      </c>
      <c r="U118" s="5" t="s">
        <v>44</v>
      </c>
      <c r="V118" s="5" t="s">
        <v>44</v>
      </c>
      <c r="W118" s="5" t="s">
        <v>35</v>
      </c>
      <c r="X118" s="5" t="s">
        <v>260</v>
      </c>
      <c r="Y118" s="5" t="s">
        <v>47</v>
      </c>
      <c r="Z118" s="5" t="s">
        <v>36</v>
      </c>
      <c r="AA118" s="5" t="s">
        <v>64</v>
      </c>
      <c r="AB118" s="5" t="s">
        <v>893</v>
      </c>
      <c r="AC118" s="6" t="s">
        <v>56</v>
      </c>
      <c r="AD118" s="6">
        <v>4133.0</v>
      </c>
    </row>
    <row r="119" ht="56.25" customHeight="1">
      <c r="A119" s="5" t="s">
        <v>883</v>
      </c>
      <c r="B119" s="6" t="str">
        <f>IMAGE("https://storage.googleapis.com/acdb/wall-mounted/FtrBothsideclockWall_Remake_2_0.png")</f>
        <v/>
      </c>
      <c r="C119" s="5" t="s">
        <v>146</v>
      </c>
      <c r="D119" s="5" t="s">
        <v>34</v>
      </c>
      <c r="E119" s="5" t="s">
        <v>34</v>
      </c>
      <c r="F119" s="5" t="s">
        <v>34</v>
      </c>
      <c r="G119" s="5" t="s">
        <v>36</v>
      </c>
      <c r="H119" s="5" t="s">
        <v>36</v>
      </c>
      <c r="I119" s="5" t="s">
        <v>36</v>
      </c>
      <c r="J119" s="6" t="s">
        <v>34</v>
      </c>
      <c r="K119" s="6">
        <v>1100.0</v>
      </c>
      <c r="L119" s="6">
        <v>275.0</v>
      </c>
      <c r="M119" s="5" t="s">
        <v>95</v>
      </c>
      <c r="N119" s="5" t="s">
        <v>57</v>
      </c>
      <c r="O119" s="6" t="s">
        <v>264</v>
      </c>
      <c r="P119" s="5" t="s">
        <v>59</v>
      </c>
      <c r="Q119" s="5" t="s">
        <v>122</v>
      </c>
      <c r="R119" s="17" t="s">
        <v>42</v>
      </c>
      <c r="S119" s="5" t="s">
        <v>141</v>
      </c>
      <c r="T119" s="5" t="s">
        <v>44</v>
      </c>
      <c r="U119" s="5" t="s">
        <v>44</v>
      </c>
      <c r="V119" s="5" t="s">
        <v>44</v>
      </c>
      <c r="W119" s="5" t="s">
        <v>35</v>
      </c>
      <c r="X119" s="5" t="s">
        <v>260</v>
      </c>
      <c r="Y119" s="5" t="s">
        <v>47</v>
      </c>
      <c r="Z119" s="5" t="s">
        <v>36</v>
      </c>
      <c r="AA119" s="5" t="s">
        <v>64</v>
      </c>
      <c r="AB119" s="5" t="s">
        <v>896</v>
      </c>
      <c r="AC119" s="6" t="s">
        <v>67</v>
      </c>
      <c r="AD119" s="6">
        <v>4133.0</v>
      </c>
    </row>
    <row r="120" ht="56.25" customHeight="1">
      <c r="A120" s="5" t="s">
        <v>883</v>
      </c>
      <c r="B120" s="6" t="str">
        <f>IMAGE("https://storage.googleapis.com/acdb/wall-mounted/FtrBothsideclockWall_Remake_3_0.png")</f>
        <v/>
      </c>
      <c r="C120" s="5" t="s">
        <v>96</v>
      </c>
      <c r="D120" s="5" t="s">
        <v>34</v>
      </c>
      <c r="E120" s="5" t="s">
        <v>34</v>
      </c>
      <c r="F120" s="5" t="s">
        <v>34</v>
      </c>
      <c r="G120" s="5" t="s">
        <v>36</v>
      </c>
      <c r="H120" s="5" t="s">
        <v>36</v>
      </c>
      <c r="I120" s="5" t="s">
        <v>36</v>
      </c>
      <c r="J120" s="6" t="s">
        <v>34</v>
      </c>
      <c r="K120" s="6">
        <v>1100.0</v>
      </c>
      <c r="L120" s="6">
        <v>275.0</v>
      </c>
      <c r="M120" s="5" t="s">
        <v>83</v>
      </c>
      <c r="N120" s="5" t="s">
        <v>57</v>
      </c>
      <c r="O120" s="6" t="s">
        <v>264</v>
      </c>
      <c r="P120" s="5" t="s">
        <v>59</v>
      </c>
      <c r="Q120" s="5" t="s">
        <v>122</v>
      </c>
      <c r="R120" s="17" t="s">
        <v>42</v>
      </c>
      <c r="S120" s="5" t="s">
        <v>141</v>
      </c>
      <c r="T120" s="5" t="s">
        <v>44</v>
      </c>
      <c r="U120" s="5" t="s">
        <v>44</v>
      </c>
      <c r="V120" s="5" t="s">
        <v>44</v>
      </c>
      <c r="W120" s="5" t="s">
        <v>35</v>
      </c>
      <c r="X120" s="5" t="s">
        <v>260</v>
      </c>
      <c r="Y120" s="5" t="s">
        <v>47</v>
      </c>
      <c r="Z120" s="5" t="s">
        <v>36</v>
      </c>
      <c r="AA120" s="5" t="s">
        <v>64</v>
      </c>
      <c r="AB120" s="5" t="s">
        <v>903</v>
      </c>
      <c r="AC120" s="6" t="s">
        <v>71</v>
      </c>
      <c r="AD120" s="6">
        <v>4133.0</v>
      </c>
    </row>
    <row r="121" ht="56.25" customHeight="1">
      <c r="A121" s="5" t="s">
        <v>883</v>
      </c>
      <c r="B121" s="6" t="str">
        <f>IMAGE("https://storage.googleapis.com/acdb/wall-mounted/FtrBothsideclockWall_Remake_4_0.png")</f>
        <v/>
      </c>
      <c r="C121" s="5" t="s">
        <v>52</v>
      </c>
      <c r="D121" s="5" t="s">
        <v>34</v>
      </c>
      <c r="E121" s="5" t="s">
        <v>34</v>
      </c>
      <c r="F121" s="5" t="s">
        <v>34</v>
      </c>
      <c r="G121" s="5" t="s">
        <v>36</v>
      </c>
      <c r="H121" s="5" t="s">
        <v>36</v>
      </c>
      <c r="I121" s="5" t="s">
        <v>36</v>
      </c>
      <c r="J121" s="6" t="s">
        <v>34</v>
      </c>
      <c r="K121" s="6">
        <v>1100.0</v>
      </c>
      <c r="L121" s="6">
        <v>275.0</v>
      </c>
      <c r="M121" s="5" t="s">
        <v>52</v>
      </c>
      <c r="N121" s="5" t="s">
        <v>54</v>
      </c>
      <c r="O121" s="6" t="s">
        <v>264</v>
      </c>
      <c r="P121" s="5" t="s">
        <v>59</v>
      </c>
      <c r="Q121" s="5" t="s">
        <v>122</v>
      </c>
      <c r="R121" s="17" t="s">
        <v>42</v>
      </c>
      <c r="S121" s="5" t="s">
        <v>141</v>
      </c>
      <c r="T121" s="5" t="s">
        <v>44</v>
      </c>
      <c r="U121" s="5" t="s">
        <v>44</v>
      </c>
      <c r="V121" s="5" t="s">
        <v>44</v>
      </c>
      <c r="W121" s="5" t="s">
        <v>35</v>
      </c>
      <c r="X121" s="5" t="s">
        <v>260</v>
      </c>
      <c r="Y121" s="5" t="s">
        <v>47</v>
      </c>
      <c r="Z121" s="5" t="s">
        <v>36</v>
      </c>
      <c r="AA121" s="5" t="s">
        <v>64</v>
      </c>
      <c r="AB121" s="5" t="s">
        <v>910</v>
      </c>
      <c r="AC121" s="6" t="s">
        <v>75</v>
      </c>
      <c r="AD121" s="6">
        <v>4133.0</v>
      </c>
    </row>
    <row r="122" ht="56.25" customHeight="1">
      <c r="A122" s="5" t="s">
        <v>883</v>
      </c>
      <c r="B122" s="6" t="str">
        <f>IMAGE("https://storage.googleapis.com/acdb/wall-mounted/FtrBothsideclockWall_Remake_5_0.png")</f>
        <v/>
      </c>
      <c r="C122" s="5" t="s">
        <v>114</v>
      </c>
      <c r="D122" s="5" t="s">
        <v>34</v>
      </c>
      <c r="E122" s="5" t="s">
        <v>34</v>
      </c>
      <c r="F122" s="5" t="s">
        <v>34</v>
      </c>
      <c r="G122" s="5" t="s">
        <v>36</v>
      </c>
      <c r="H122" s="5" t="s">
        <v>36</v>
      </c>
      <c r="I122" s="5" t="s">
        <v>36</v>
      </c>
      <c r="J122" s="6" t="s">
        <v>34</v>
      </c>
      <c r="K122" s="6">
        <v>1100.0</v>
      </c>
      <c r="L122" s="6">
        <v>275.0</v>
      </c>
      <c r="M122" s="5" t="s">
        <v>114</v>
      </c>
      <c r="N122" s="5" t="s">
        <v>52</v>
      </c>
      <c r="O122" s="6" t="s">
        <v>264</v>
      </c>
      <c r="P122" s="5" t="s">
        <v>59</v>
      </c>
      <c r="Q122" s="5" t="s">
        <v>122</v>
      </c>
      <c r="R122" s="17" t="s">
        <v>42</v>
      </c>
      <c r="S122" s="5" t="s">
        <v>141</v>
      </c>
      <c r="T122" s="5" t="s">
        <v>44</v>
      </c>
      <c r="U122" s="5" t="s">
        <v>44</v>
      </c>
      <c r="V122" s="5" t="s">
        <v>44</v>
      </c>
      <c r="W122" s="5" t="s">
        <v>35</v>
      </c>
      <c r="X122" s="5" t="s">
        <v>260</v>
      </c>
      <c r="Y122" s="5" t="s">
        <v>47</v>
      </c>
      <c r="Z122" s="5" t="s">
        <v>36</v>
      </c>
      <c r="AA122" s="5" t="s">
        <v>64</v>
      </c>
      <c r="AB122" s="5" t="s">
        <v>914</v>
      </c>
      <c r="AC122" s="6" t="s">
        <v>79</v>
      </c>
      <c r="AD122" s="6">
        <v>4133.0</v>
      </c>
    </row>
    <row r="123" ht="56.25" customHeight="1">
      <c r="A123" s="5" t="s">
        <v>916</v>
      </c>
      <c r="B123" s="6" t="str">
        <f>IMAGE("https://storage.googleapis.com/acdb/wall-mounted/FtrExit_Remake_0_0.png")</f>
        <v/>
      </c>
      <c r="C123" s="5" t="s">
        <v>918</v>
      </c>
      <c r="D123" s="5" t="s">
        <v>34</v>
      </c>
      <c r="E123" s="5" t="s">
        <v>34</v>
      </c>
      <c r="F123" s="5" t="s">
        <v>34</v>
      </c>
      <c r="G123" s="5" t="s">
        <v>36</v>
      </c>
      <c r="H123" s="5" t="s">
        <v>36</v>
      </c>
      <c r="I123" s="5" t="s">
        <v>36</v>
      </c>
      <c r="J123" s="6" t="s">
        <v>34</v>
      </c>
      <c r="K123" s="6">
        <v>810.0</v>
      </c>
      <c r="L123" s="6">
        <v>202.0</v>
      </c>
      <c r="M123" s="5" t="s">
        <v>96</v>
      </c>
      <c r="N123" s="5" t="s">
        <v>57</v>
      </c>
      <c r="O123" s="6" t="s">
        <v>375</v>
      </c>
      <c r="P123" s="5" t="s">
        <v>59</v>
      </c>
      <c r="Q123" s="5" t="s">
        <v>89</v>
      </c>
      <c r="R123" s="17" t="s">
        <v>42</v>
      </c>
      <c r="S123" s="5" t="s">
        <v>91</v>
      </c>
      <c r="T123" s="5" t="s">
        <v>141</v>
      </c>
      <c r="U123" s="5" t="s">
        <v>44</v>
      </c>
      <c r="V123" s="5" t="s">
        <v>44</v>
      </c>
      <c r="W123" s="5" t="s">
        <v>35</v>
      </c>
      <c r="X123" s="5" t="s">
        <v>921</v>
      </c>
      <c r="Y123" s="5" t="s">
        <v>47</v>
      </c>
      <c r="Z123" s="5" t="s">
        <v>36</v>
      </c>
      <c r="AA123" s="5" t="s">
        <v>64</v>
      </c>
      <c r="AB123" s="5" t="s">
        <v>922</v>
      </c>
      <c r="AC123" s="6" t="s">
        <v>50</v>
      </c>
      <c r="AD123" s="6">
        <v>955.0</v>
      </c>
    </row>
    <row r="124" ht="56.25" customHeight="1">
      <c r="A124" s="5" t="s">
        <v>916</v>
      </c>
      <c r="B124" s="6" t="str">
        <f>IMAGE("https://storage.googleapis.com/acdb/wall-mounted/FtrExit_Remake_1_0.png")</f>
        <v/>
      </c>
      <c r="C124" s="5" t="s">
        <v>923</v>
      </c>
      <c r="D124" s="5" t="s">
        <v>34</v>
      </c>
      <c r="E124" s="5" t="s">
        <v>34</v>
      </c>
      <c r="F124" s="5" t="s">
        <v>34</v>
      </c>
      <c r="G124" s="5" t="s">
        <v>36</v>
      </c>
      <c r="H124" s="5" t="s">
        <v>36</v>
      </c>
      <c r="I124" s="5" t="s">
        <v>36</v>
      </c>
      <c r="J124" s="6" t="s">
        <v>34</v>
      </c>
      <c r="K124" s="6">
        <v>810.0</v>
      </c>
      <c r="L124" s="6">
        <v>202.0</v>
      </c>
      <c r="M124" s="5" t="s">
        <v>96</v>
      </c>
      <c r="N124" s="5" t="s">
        <v>57</v>
      </c>
      <c r="O124" s="6" t="s">
        <v>375</v>
      </c>
      <c r="P124" s="5" t="s">
        <v>59</v>
      </c>
      <c r="Q124" s="5" t="s">
        <v>89</v>
      </c>
      <c r="R124" s="17" t="s">
        <v>42</v>
      </c>
      <c r="S124" s="5" t="s">
        <v>91</v>
      </c>
      <c r="T124" s="5" t="s">
        <v>141</v>
      </c>
      <c r="U124" s="5" t="s">
        <v>44</v>
      </c>
      <c r="V124" s="5" t="s">
        <v>44</v>
      </c>
      <c r="W124" s="5" t="s">
        <v>35</v>
      </c>
      <c r="X124" s="5" t="s">
        <v>921</v>
      </c>
      <c r="Y124" s="5" t="s">
        <v>47</v>
      </c>
      <c r="Z124" s="5" t="s">
        <v>36</v>
      </c>
      <c r="AA124" s="5" t="s">
        <v>64</v>
      </c>
      <c r="AB124" s="5" t="s">
        <v>927</v>
      </c>
      <c r="AC124" s="6" t="s">
        <v>56</v>
      </c>
      <c r="AD124" s="6">
        <v>955.0</v>
      </c>
    </row>
    <row r="125" ht="56.25" customHeight="1">
      <c r="A125" s="5" t="s">
        <v>916</v>
      </c>
      <c r="B125" s="6" t="str">
        <f>IMAGE("https://storage.googleapis.com/acdb/wall-mounted/FtrExit_Remake_2_0.png")</f>
        <v/>
      </c>
      <c r="C125" s="5" t="s">
        <v>930</v>
      </c>
      <c r="D125" s="5" t="s">
        <v>34</v>
      </c>
      <c r="E125" s="5" t="s">
        <v>34</v>
      </c>
      <c r="F125" s="5" t="s">
        <v>34</v>
      </c>
      <c r="G125" s="5" t="s">
        <v>36</v>
      </c>
      <c r="H125" s="5" t="s">
        <v>36</v>
      </c>
      <c r="I125" s="5" t="s">
        <v>36</v>
      </c>
      <c r="J125" s="6" t="s">
        <v>34</v>
      </c>
      <c r="K125" s="6">
        <v>810.0</v>
      </c>
      <c r="L125" s="6">
        <v>202.0</v>
      </c>
      <c r="M125" s="5" t="s">
        <v>52</v>
      </c>
      <c r="N125" s="5" t="s">
        <v>57</v>
      </c>
      <c r="O125" s="6" t="s">
        <v>375</v>
      </c>
      <c r="P125" s="5" t="s">
        <v>59</v>
      </c>
      <c r="Q125" s="5" t="s">
        <v>89</v>
      </c>
      <c r="R125" s="17" t="s">
        <v>42</v>
      </c>
      <c r="S125" s="5" t="s">
        <v>91</v>
      </c>
      <c r="T125" s="5" t="s">
        <v>141</v>
      </c>
      <c r="U125" s="5" t="s">
        <v>44</v>
      </c>
      <c r="V125" s="5" t="s">
        <v>44</v>
      </c>
      <c r="W125" s="5" t="s">
        <v>35</v>
      </c>
      <c r="X125" s="5" t="s">
        <v>921</v>
      </c>
      <c r="Y125" s="5" t="s">
        <v>47</v>
      </c>
      <c r="Z125" s="5" t="s">
        <v>36</v>
      </c>
      <c r="AA125" s="5" t="s">
        <v>64</v>
      </c>
      <c r="AB125" s="5" t="s">
        <v>940</v>
      </c>
      <c r="AC125" s="6" t="s">
        <v>67</v>
      </c>
      <c r="AD125" s="6">
        <v>955.0</v>
      </c>
    </row>
    <row r="126" ht="56.25" customHeight="1">
      <c r="A126" s="5" t="s">
        <v>916</v>
      </c>
      <c r="B126" s="6" t="str">
        <f>IMAGE("https://storage.googleapis.com/acdb/wall-mounted/FtrExit_Remake_3_0.png")</f>
        <v/>
      </c>
      <c r="C126" s="5" t="s">
        <v>941</v>
      </c>
      <c r="D126" s="5" t="s">
        <v>34</v>
      </c>
      <c r="E126" s="5" t="s">
        <v>34</v>
      </c>
      <c r="F126" s="5" t="s">
        <v>34</v>
      </c>
      <c r="G126" s="5" t="s">
        <v>36</v>
      </c>
      <c r="H126" s="5" t="s">
        <v>36</v>
      </c>
      <c r="I126" s="5" t="s">
        <v>36</v>
      </c>
      <c r="J126" s="6" t="s">
        <v>34</v>
      </c>
      <c r="K126" s="6">
        <v>810.0</v>
      </c>
      <c r="L126" s="6">
        <v>202.0</v>
      </c>
      <c r="M126" s="5" t="s">
        <v>54</v>
      </c>
      <c r="N126" s="5" t="s">
        <v>96</v>
      </c>
      <c r="O126" s="6" t="s">
        <v>375</v>
      </c>
      <c r="P126" s="5" t="s">
        <v>59</v>
      </c>
      <c r="Q126" s="5" t="s">
        <v>89</v>
      </c>
      <c r="R126" s="17" t="s">
        <v>42</v>
      </c>
      <c r="S126" s="5" t="s">
        <v>91</v>
      </c>
      <c r="T126" s="5" t="s">
        <v>141</v>
      </c>
      <c r="U126" s="5" t="s">
        <v>44</v>
      </c>
      <c r="V126" s="5" t="s">
        <v>44</v>
      </c>
      <c r="W126" s="5" t="s">
        <v>35</v>
      </c>
      <c r="X126" s="5" t="s">
        <v>921</v>
      </c>
      <c r="Y126" s="5" t="s">
        <v>47</v>
      </c>
      <c r="Z126" s="5" t="s">
        <v>36</v>
      </c>
      <c r="AA126" s="5" t="s">
        <v>64</v>
      </c>
      <c r="AB126" s="5" t="s">
        <v>945</v>
      </c>
      <c r="AC126" s="6" t="s">
        <v>71</v>
      </c>
      <c r="AD126" s="6">
        <v>955.0</v>
      </c>
    </row>
    <row r="127" ht="56.25" customHeight="1">
      <c r="A127" s="5" t="s">
        <v>946</v>
      </c>
      <c r="B127" s="6" t="str">
        <f>IMAGE("https://storage.googleapis.com/acdb/wall-mounted/FtrDoorOrnamentWreathYuriMix.png")</f>
        <v/>
      </c>
      <c r="C127" s="5" t="s">
        <v>34</v>
      </c>
      <c r="D127" s="5" t="s">
        <v>34</v>
      </c>
      <c r="E127" s="5" t="s">
        <v>34</v>
      </c>
      <c r="F127" s="5" t="s">
        <v>34</v>
      </c>
      <c r="G127" s="5" t="s">
        <v>35</v>
      </c>
      <c r="H127" s="5" t="s">
        <v>36</v>
      </c>
      <c r="I127" s="5" t="s">
        <v>36</v>
      </c>
      <c r="J127" s="6" t="s">
        <v>34</v>
      </c>
      <c r="K127" s="6" t="s">
        <v>37</v>
      </c>
      <c r="L127" s="6">
        <v>1200.0</v>
      </c>
      <c r="M127" s="5" t="s">
        <v>69</v>
      </c>
      <c r="N127" s="5" t="s">
        <v>114</v>
      </c>
      <c r="O127" s="6" t="s">
        <v>179</v>
      </c>
      <c r="P127" s="5" t="s">
        <v>41</v>
      </c>
      <c r="Q127" s="5"/>
      <c r="R127" s="17" t="s">
        <v>42</v>
      </c>
      <c r="S127" s="5" t="s">
        <v>61</v>
      </c>
      <c r="T127" s="5" t="s">
        <v>44</v>
      </c>
      <c r="U127" s="5" t="s">
        <v>311</v>
      </c>
      <c r="V127" s="5" t="s">
        <v>44</v>
      </c>
      <c r="W127" s="5" t="s">
        <v>36</v>
      </c>
      <c r="X127" s="5" t="s">
        <v>312</v>
      </c>
      <c r="Y127" s="5" t="s">
        <v>47</v>
      </c>
      <c r="Z127" s="5" t="s">
        <v>35</v>
      </c>
      <c r="AA127" s="5" t="s">
        <v>48</v>
      </c>
      <c r="AB127" s="5" t="s">
        <v>951</v>
      </c>
      <c r="AC127" s="6" t="s">
        <v>34</v>
      </c>
      <c r="AD127" s="6">
        <v>5677.0</v>
      </c>
    </row>
    <row r="128" ht="56.25" customHeight="1">
      <c r="A128" s="5" t="s">
        <v>953</v>
      </c>
      <c r="B128" s="6" t="str">
        <f>IMAGE("https://storage.googleapis.com/acdb/wall-mounted/FtrDoorOrnamentWreathMumMix.png")</f>
        <v/>
      </c>
      <c r="C128" s="5" t="s">
        <v>34</v>
      </c>
      <c r="D128" s="5" t="s">
        <v>34</v>
      </c>
      <c r="E128" s="5" t="s">
        <v>34</v>
      </c>
      <c r="F128" s="5" t="s">
        <v>34</v>
      </c>
      <c r="G128" s="5" t="s">
        <v>35</v>
      </c>
      <c r="H128" s="5" t="s">
        <v>36</v>
      </c>
      <c r="I128" s="5" t="s">
        <v>36</v>
      </c>
      <c r="J128" s="6" t="s">
        <v>34</v>
      </c>
      <c r="K128" s="6" t="s">
        <v>37</v>
      </c>
      <c r="L128" s="6">
        <v>1200.0</v>
      </c>
      <c r="M128" s="5" t="s">
        <v>69</v>
      </c>
      <c r="N128" s="5" t="s">
        <v>52</v>
      </c>
      <c r="O128" s="6" t="s">
        <v>179</v>
      </c>
      <c r="P128" s="5" t="s">
        <v>41</v>
      </c>
      <c r="Q128" s="5"/>
      <c r="R128" s="17" t="s">
        <v>42</v>
      </c>
      <c r="S128" s="5" t="s">
        <v>61</v>
      </c>
      <c r="T128" s="5" t="s">
        <v>44</v>
      </c>
      <c r="U128" s="5" t="s">
        <v>311</v>
      </c>
      <c r="V128" s="5" t="s">
        <v>44</v>
      </c>
      <c r="W128" s="5" t="s">
        <v>36</v>
      </c>
      <c r="X128" s="5" t="s">
        <v>312</v>
      </c>
      <c r="Y128" s="5" t="s">
        <v>47</v>
      </c>
      <c r="Z128" s="5" t="s">
        <v>35</v>
      </c>
      <c r="AA128" s="5" t="s">
        <v>48</v>
      </c>
      <c r="AB128" s="5" t="s">
        <v>959</v>
      </c>
      <c r="AC128" s="6" t="s">
        <v>34</v>
      </c>
      <c r="AD128" s="6">
        <v>5749.0</v>
      </c>
    </row>
    <row r="129" ht="56.25" customHeight="1">
      <c r="A129" s="5" t="s">
        <v>961</v>
      </c>
      <c r="B129" s="6" t="str">
        <f>IMAGE("https://storage.googleapis.com/acdb/wall-mounted/FtrDoorOrnamentWreathRoseMix.png")</f>
        <v/>
      </c>
      <c r="C129" s="5" t="s">
        <v>34</v>
      </c>
      <c r="D129" s="5" t="s">
        <v>34</v>
      </c>
      <c r="E129" s="5" t="s">
        <v>34</v>
      </c>
      <c r="F129" s="5" t="s">
        <v>34</v>
      </c>
      <c r="G129" s="5" t="s">
        <v>35</v>
      </c>
      <c r="H129" s="5" t="s">
        <v>36</v>
      </c>
      <c r="I129" s="5" t="s">
        <v>36</v>
      </c>
      <c r="J129" s="6" t="s">
        <v>34</v>
      </c>
      <c r="K129" s="6" t="s">
        <v>37</v>
      </c>
      <c r="L129" s="6">
        <v>1200.0</v>
      </c>
      <c r="M129" s="5" t="s">
        <v>69</v>
      </c>
      <c r="N129" s="5" t="s">
        <v>114</v>
      </c>
      <c r="O129" s="6" t="s">
        <v>179</v>
      </c>
      <c r="P129" s="5" t="s">
        <v>41</v>
      </c>
      <c r="Q129" s="5"/>
      <c r="R129" s="17" t="s">
        <v>42</v>
      </c>
      <c r="S129" s="5" t="s">
        <v>61</v>
      </c>
      <c r="T129" s="5" t="s">
        <v>44</v>
      </c>
      <c r="U129" s="5" t="s">
        <v>311</v>
      </c>
      <c r="V129" s="5" t="s">
        <v>44</v>
      </c>
      <c r="W129" s="5" t="s">
        <v>36</v>
      </c>
      <c r="X129" s="5" t="s">
        <v>312</v>
      </c>
      <c r="Y129" s="5" t="s">
        <v>47</v>
      </c>
      <c r="Z129" s="5" t="s">
        <v>35</v>
      </c>
      <c r="AA129" s="5" t="s">
        <v>48</v>
      </c>
      <c r="AB129" s="5" t="s">
        <v>967</v>
      </c>
      <c r="AC129" s="6" t="s">
        <v>34</v>
      </c>
      <c r="AD129" s="6">
        <v>5747.0</v>
      </c>
    </row>
    <row r="130" ht="56.25" customHeight="1">
      <c r="A130" s="5" t="s">
        <v>968</v>
      </c>
      <c r="B130" s="6" t="str">
        <f>IMAGE("https://storage.googleapis.com/acdb/wall-mounted/FtrDoorOrnamentFish_Remake_0_0.png")</f>
        <v/>
      </c>
      <c r="C130" s="5" t="s">
        <v>83</v>
      </c>
      <c r="D130" s="5" t="s">
        <v>135</v>
      </c>
      <c r="E130" s="5" t="s">
        <v>34</v>
      </c>
      <c r="F130" s="5" t="s">
        <v>34</v>
      </c>
      <c r="G130" s="5" t="s">
        <v>36</v>
      </c>
      <c r="H130" s="5" t="s">
        <v>35</v>
      </c>
      <c r="I130" s="5" t="s">
        <v>36</v>
      </c>
      <c r="J130" s="6">
        <v>1.0</v>
      </c>
      <c r="K130" s="6" t="s">
        <v>37</v>
      </c>
      <c r="L130" s="6">
        <v>90.0</v>
      </c>
      <c r="M130" s="5" t="s">
        <v>83</v>
      </c>
      <c r="N130" s="5" t="s">
        <v>57</v>
      </c>
      <c r="O130" s="6" t="s">
        <v>179</v>
      </c>
      <c r="P130" s="5" t="s">
        <v>137</v>
      </c>
      <c r="Q130" s="5"/>
      <c r="R130" s="17" t="s">
        <v>42</v>
      </c>
      <c r="S130" s="5" t="s">
        <v>99</v>
      </c>
      <c r="T130" s="5" t="s">
        <v>61</v>
      </c>
      <c r="U130" s="5" t="s">
        <v>44</v>
      </c>
      <c r="V130" s="5" t="s">
        <v>44</v>
      </c>
      <c r="W130" s="5" t="s">
        <v>36</v>
      </c>
      <c r="X130" s="5" t="s">
        <v>312</v>
      </c>
      <c r="Y130" s="5" t="s">
        <v>47</v>
      </c>
      <c r="Z130" s="5" t="s">
        <v>35</v>
      </c>
      <c r="AA130" s="5" t="s">
        <v>48</v>
      </c>
      <c r="AB130" s="5" t="s">
        <v>974</v>
      </c>
      <c r="AC130" s="6" t="s">
        <v>50</v>
      </c>
      <c r="AD130" s="6">
        <v>4764.0</v>
      </c>
    </row>
    <row r="131" ht="56.25" customHeight="1">
      <c r="A131" s="5" t="s">
        <v>968</v>
      </c>
      <c r="B131" s="6" t="str">
        <f>IMAGE("https://storage.googleapis.com/acdb/wall-mounted/FtrDoorOrnamentFish_Remake_1_0.png")</f>
        <v/>
      </c>
      <c r="C131" s="5" t="s">
        <v>52</v>
      </c>
      <c r="D131" s="5" t="s">
        <v>135</v>
      </c>
      <c r="E131" s="5" t="s">
        <v>34</v>
      </c>
      <c r="F131" s="5" t="s">
        <v>34</v>
      </c>
      <c r="G131" s="5" t="s">
        <v>36</v>
      </c>
      <c r="H131" s="5" t="s">
        <v>35</v>
      </c>
      <c r="I131" s="5" t="s">
        <v>36</v>
      </c>
      <c r="J131" s="6">
        <v>1.0</v>
      </c>
      <c r="K131" s="6" t="s">
        <v>37</v>
      </c>
      <c r="L131" s="6">
        <v>90.0</v>
      </c>
      <c r="M131" s="5" t="s">
        <v>52</v>
      </c>
      <c r="N131" s="5" t="s">
        <v>57</v>
      </c>
      <c r="O131" s="6" t="s">
        <v>179</v>
      </c>
      <c r="P131" s="5" t="s">
        <v>137</v>
      </c>
      <c r="Q131" s="5"/>
      <c r="R131" s="17" t="s">
        <v>42</v>
      </c>
      <c r="S131" s="5" t="s">
        <v>99</v>
      </c>
      <c r="T131" s="5" t="s">
        <v>61</v>
      </c>
      <c r="U131" s="5" t="s">
        <v>44</v>
      </c>
      <c r="V131" s="5" t="s">
        <v>44</v>
      </c>
      <c r="W131" s="5" t="s">
        <v>36</v>
      </c>
      <c r="X131" s="5" t="s">
        <v>312</v>
      </c>
      <c r="Y131" s="5" t="s">
        <v>47</v>
      </c>
      <c r="Z131" s="5" t="s">
        <v>35</v>
      </c>
      <c r="AA131" s="5" t="s">
        <v>48</v>
      </c>
      <c r="AB131" s="5" t="s">
        <v>978</v>
      </c>
      <c r="AC131" s="6" t="s">
        <v>56</v>
      </c>
      <c r="AD131" s="6">
        <v>4764.0</v>
      </c>
    </row>
    <row r="132" ht="56.25" customHeight="1">
      <c r="A132" s="5" t="s">
        <v>968</v>
      </c>
      <c r="B132" s="6" t="str">
        <f>IMAGE("https://storage.googleapis.com/acdb/wall-mounted/FtrDoorOrnamentFish_Remake_2_0.png")</f>
        <v/>
      </c>
      <c r="C132" s="5" t="s">
        <v>142</v>
      </c>
      <c r="D132" s="5" t="s">
        <v>135</v>
      </c>
      <c r="E132" s="5" t="s">
        <v>34</v>
      </c>
      <c r="F132" s="5" t="s">
        <v>34</v>
      </c>
      <c r="G132" s="5" t="s">
        <v>36</v>
      </c>
      <c r="H132" s="5" t="s">
        <v>35</v>
      </c>
      <c r="I132" s="5" t="s">
        <v>36</v>
      </c>
      <c r="J132" s="6">
        <v>1.0</v>
      </c>
      <c r="K132" s="6" t="s">
        <v>37</v>
      </c>
      <c r="L132" s="6">
        <v>90.0</v>
      </c>
      <c r="M132" s="5" t="s">
        <v>142</v>
      </c>
      <c r="N132" s="5" t="s">
        <v>57</v>
      </c>
      <c r="O132" s="6" t="s">
        <v>179</v>
      </c>
      <c r="P132" s="5" t="s">
        <v>137</v>
      </c>
      <c r="Q132" s="5"/>
      <c r="R132" s="17" t="s">
        <v>42</v>
      </c>
      <c r="S132" s="5" t="s">
        <v>99</v>
      </c>
      <c r="T132" s="5" t="s">
        <v>61</v>
      </c>
      <c r="U132" s="5" t="s">
        <v>44</v>
      </c>
      <c r="V132" s="5" t="s">
        <v>44</v>
      </c>
      <c r="W132" s="5" t="s">
        <v>36</v>
      </c>
      <c r="X132" s="5" t="s">
        <v>312</v>
      </c>
      <c r="Y132" s="5" t="s">
        <v>47</v>
      </c>
      <c r="Z132" s="5" t="s">
        <v>35</v>
      </c>
      <c r="AA132" s="5" t="s">
        <v>48</v>
      </c>
      <c r="AB132" s="5" t="s">
        <v>984</v>
      </c>
      <c r="AC132" s="6" t="s">
        <v>67</v>
      </c>
      <c r="AD132" s="6">
        <v>4764.0</v>
      </c>
    </row>
    <row r="133" ht="56.25" customHeight="1">
      <c r="A133" s="5" t="s">
        <v>968</v>
      </c>
      <c r="B133" s="6" t="str">
        <f>IMAGE("https://storage.googleapis.com/acdb/wall-mounted/FtrDoorOrnamentFish_Remake_3_0.png")</f>
        <v/>
      </c>
      <c r="C133" s="5" t="s">
        <v>114</v>
      </c>
      <c r="D133" s="5" t="s">
        <v>135</v>
      </c>
      <c r="E133" s="5" t="s">
        <v>34</v>
      </c>
      <c r="F133" s="5" t="s">
        <v>34</v>
      </c>
      <c r="G133" s="5" t="s">
        <v>36</v>
      </c>
      <c r="H133" s="5" t="s">
        <v>35</v>
      </c>
      <c r="I133" s="5" t="s">
        <v>36</v>
      </c>
      <c r="J133" s="6">
        <v>1.0</v>
      </c>
      <c r="K133" s="6" t="s">
        <v>37</v>
      </c>
      <c r="L133" s="6">
        <v>90.0</v>
      </c>
      <c r="M133" s="5" t="s">
        <v>114</v>
      </c>
      <c r="N133" s="5" t="s">
        <v>57</v>
      </c>
      <c r="O133" s="6" t="s">
        <v>179</v>
      </c>
      <c r="P133" s="5" t="s">
        <v>137</v>
      </c>
      <c r="Q133" s="5"/>
      <c r="R133" s="17" t="s">
        <v>42</v>
      </c>
      <c r="S133" s="5" t="s">
        <v>99</v>
      </c>
      <c r="T133" s="5" t="s">
        <v>61</v>
      </c>
      <c r="U133" s="5" t="s">
        <v>44</v>
      </c>
      <c r="V133" s="5" t="s">
        <v>44</v>
      </c>
      <c r="W133" s="5" t="s">
        <v>36</v>
      </c>
      <c r="X133" s="5" t="s">
        <v>312</v>
      </c>
      <c r="Y133" s="5" t="s">
        <v>47</v>
      </c>
      <c r="Z133" s="5" t="s">
        <v>35</v>
      </c>
      <c r="AA133" s="5" t="s">
        <v>48</v>
      </c>
      <c r="AB133" s="5" t="s">
        <v>989</v>
      </c>
      <c r="AC133" s="6" t="s">
        <v>71</v>
      </c>
      <c r="AD133" s="6">
        <v>4764.0</v>
      </c>
    </row>
    <row r="134" ht="56.25" customHeight="1">
      <c r="A134" s="5" t="s">
        <v>968</v>
      </c>
      <c r="B134" s="6" t="str">
        <f>IMAGE("https://storage.googleapis.com/acdb/wall-mounted/FtrDoorOrnamentFish_Remake_4_0.png")</f>
        <v/>
      </c>
      <c r="C134" s="5" t="s">
        <v>96</v>
      </c>
      <c r="D134" s="5" t="s">
        <v>135</v>
      </c>
      <c r="E134" s="5" t="s">
        <v>34</v>
      </c>
      <c r="F134" s="5" t="s">
        <v>34</v>
      </c>
      <c r="G134" s="5" t="s">
        <v>36</v>
      </c>
      <c r="H134" s="5" t="s">
        <v>35</v>
      </c>
      <c r="I134" s="5" t="s">
        <v>36</v>
      </c>
      <c r="J134" s="6">
        <v>1.0</v>
      </c>
      <c r="K134" s="6" t="s">
        <v>37</v>
      </c>
      <c r="L134" s="6">
        <v>90.0</v>
      </c>
      <c r="M134" s="5" t="s">
        <v>96</v>
      </c>
      <c r="N134" s="5" t="s">
        <v>57</v>
      </c>
      <c r="O134" s="6" t="s">
        <v>179</v>
      </c>
      <c r="P134" s="5" t="s">
        <v>137</v>
      </c>
      <c r="Q134" s="5"/>
      <c r="R134" s="17" t="s">
        <v>42</v>
      </c>
      <c r="S134" s="5" t="s">
        <v>99</v>
      </c>
      <c r="T134" s="5" t="s">
        <v>61</v>
      </c>
      <c r="U134" s="5" t="s">
        <v>44</v>
      </c>
      <c r="V134" s="5" t="s">
        <v>44</v>
      </c>
      <c r="W134" s="5" t="s">
        <v>36</v>
      </c>
      <c r="X134" s="5" t="s">
        <v>312</v>
      </c>
      <c r="Y134" s="5" t="s">
        <v>47</v>
      </c>
      <c r="Z134" s="5" t="s">
        <v>35</v>
      </c>
      <c r="AA134" s="5" t="s">
        <v>48</v>
      </c>
      <c r="AB134" s="5" t="s">
        <v>997</v>
      </c>
      <c r="AC134" s="6" t="s">
        <v>75</v>
      </c>
      <c r="AD134" s="6">
        <v>4764.0</v>
      </c>
    </row>
    <row r="135" ht="56.25" customHeight="1">
      <c r="A135" s="5" t="s">
        <v>968</v>
      </c>
      <c r="B135" s="6" t="str">
        <f>IMAGE("https://storage.googleapis.com/acdb/wall-mounted/FtrDoorOrnamentFish_Remake_5_0.png")</f>
        <v/>
      </c>
      <c r="C135" s="5" t="s">
        <v>68</v>
      </c>
      <c r="D135" s="5" t="s">
        <v>135</v>
      </c>
      <c r="E135" s="5" t="s">
        <v>34</v>
      </c>
      <c r="F135" s="5" t="s">
        <v>34</v>
      </c>
      <c r="G135" s="5" t="s">
        <v>36</v>
      </c>
      <c r="H135" s="5" t="s">
        <v>35</v>
      </c>
      <c r="I135" s="5" t="s">
        <v>36</v>
      </c>
      <c r="J135" s="6">
        <v>1.0</v>
      </c>
      <c r="K135" s="6" t="s">
        <v>37</v>
      </c>
      <c r="L135" s="6">
        <v>90.0</v>
      </c>
      <c r="M135" s="5" t="s">
        <v>106</v>
      </c>
      <c r="N135" s="5" t="s">
        <v>57</v>
      </c>
      <c r="O135" s="6" t="s">
        <v>179</v>
      </c>
      <c r="P135" s="5" t="s">
        <v>137</v>
      </c>
      <c r="Q135" s="5"/>
      <c r="R135" s="17" t="s">
        <v>42</v>
      </c>
      <c r="S135" s="5" t="s">
        <v>99</v>
      </c>
      <c r="T135" s="5" t="s">
        <v>61</v>
      </c>
      <c r="U135" s="5" t="s">
        <v>44</v>
      </c>
      <c r="V135" s="5" t="s">
        <v>44</v>
      </c>
      <c r="W135" s="5" t="s">
        <v>36</v>
      </c>
      <c r="X135" s="5" t="s">
        <v>312</v>
      </c>
      <c r="Y135" s="5" t="s">
        <v>47</v>
      </c>
      <c r="Z135" s="5" t="s">
        <v>35</v>
      </c>
      <c r="AA135" s="5" t="s">
        <v>48</v>
      </c>
      <c r="AB135" s="5" t="s">
        <v>999</v>
      </c>
      <c r="AC135" s="6" t="s">
        <v>79</v>
      </c>
      <c r="AD135" s="6">
        <v>4764.0</v>
      </c>
    </row>
    <row r="136" ht="56.25" customHeight="1">
      <c r="A136" s="5" t="s">
        <v>968</v>
      </c>
      <c r="B136" s="6" t="str">
        <f>IMAGE("https://storage.googleapis.com/acdb/wall-mounted/FtrDoorOrnamentFish_Remake_6_0.png")</f>
        <v/>
      </c>
      <c r="C136" s="5" t="s">
        <v>54</v>
      </c>
      <c r="D136" s="5" t="s">
        <v>135</v>
      </c>
      <c r="E136" s="5" t="s">
        <v>34</v>
      </c>
      <c r="F136" s="5" t="s">
        <v>34</v>
      </c>
      <c r="G136" s="5" t="s">
        <v>36</v>
      </c>
      <c r="H136" s="5" t="s">
        <v>35</v>
      </c>
      <c r="I136" s="5" t="s">
        <v>36</v>
      </c>
      <c r="J136" s="6">
        <v>1.0</v>
      </c>
      <c r="K136" s="6" t="s">
        <v>37</v>
      </c>
      <c r="L136" s="6">
        <v>90.0</v>
      </c>
      <c r="M136" s="5" t="s">
        <v>54</v>
      </c>
      <c r="N136" s="5" t="s">
        <v>57</v>
      </c>
      <c r="O136" s="6" t="s">
        <v>179</v>
      </c>
      <c r="P136" s="5" t="s">
        <v>137</v>
      </c>
      <c r="Q136" s="5"/>
      <c r="R136" s="17" t="s">
        <v>42</v>
      </c>
      <c r="S136" s="5" t="s">
        <v>99</v>
      </c>
      <c r="T136" s="5" t="s">
        <v>61</v>
      </c>
      <c r="U136" s="5" t="s">
        <v>44</v>
      </c>
      <c r="V136" s="5" t="s">
        <v>44</v>
      </c>
      <c r="W136" s="5" t="s">
        <v>36</v>
      </c>
      <c r="X136" s="5" t="s">
        <v>312</v>
      </c>
      <c r="Y136" s="5" t="s">
        <v>47</v>
      </c>
      <c r="Z136" s="5" t="s">
        <v>35</v>
      </c>
      <c r="AA136" s="5" t="s">
        <v>48</v>
      </c>
      <c r="AB136" s="5" t="s">
        <v>1004</v>
      </c>
      <c r="AC136" s="6" t="s">
        <v>86</v>
      </c>
      <c r="AD136" s="6">
        <v>4764.0</v>
      </c>
    </row>
    <row r="137" ht="56.25" customHeight="1">
      <c r="A137" s="5" t="s">
        <v>968</v>
      </c>
      <c r="B137" s="6" t="str">
        <f>IMAGE("https://storage.googleapis.com/acdb/wall-mounted/FtrDoorOrnamentFish_Remake_7_0.png")</f>
        <v/>
      </c>
      <c r="C137" s="5" t="s">
        <v>95</v>
      </c>
      <c r="D137" s="5" t="s">
        <v>135</v>
      </c>
      <c r="E137" s="5" t="s">
        <v>34</v>
      </c>
      <c r="F137" s="5" t="s">
        <v>34</v>
      </c>
      <c r="G137" s="5" t="s">
        <v>36</v>
      </c>
      <c r="H137" s="5" t="s">
        <v>35</v>
      </c>
      <c r="I137" s="5" t="s">
        <v>36</v>
      </c>
      <c r="J137" s="6">
        <v>1.0</v>
      </c>
      <c r="K137" s="6" t="s">
        <v>37</v>
      </c>
      <c r="L137" s="6">
        <v>90.0</v>
      </c>
      <c r="M137" s="5" t="s">
        <v>95</v>
      </c>
      <c r="N137" s="5" t="s">
        <v>57</v>
      </c>
      <c r="O137" s="6" t="s">
        <v>179</v>
      </c>
      <c r="P137" s="5" t="s">
        <v>137</v>
      </c>
      <c r="Q137" s="5"/>
      <c r="R137" s="17" t="s">
        <v>42</v>
      </c>
      <c r="S137" s="5" t="s">
        <v>99</v>
      </c>
      <c r="T137" s="5" t="s">
        <v>61</v>
      </c>
      <c r="U137" s="5" t="s">
        <v>44</v>
      </c>
      <c r="V137" s="5" t="s">
        <v>44</v>
      </c>
      <c r="W137" s="5" t="s">
        <v>36</v>
      </c>
      <c r="X137" s="5" t="s">
        <v>312</v>
      </c>
      <c r="Y137" s="5" t="s">
        <v>47</v>
      </c>
      <c r="Z137" s="5" t="s">
        <v>35</v>
      </c>
      <c r="AA137" s="5" t="s">
        <v>48</v>
      </c>
      <c r="AB137" s="5" t="s">
        <v>1013</v>
      </c>
      <c r="AC137" s="6" t="s">
        <v>208</v>
      </c>
      <c r="AD137" s="6">
        <v>4764.0</v>
      </c>
    </row>
    <row r="138" ht="56.25" customHeight="1">
      <c r="A138" s="5" t="s">
        <v>1014</v>
      </c>
      <c r="B138" s="6" t="str">
        <f>IMAGE("https://storage.googleapis.com/acdb/wall-mounted/FtrFishprint_Remake_0_0.png")</f>
        <v/>
      </c>
      <c r="C138" s="5" t="s">
        <v>1016</v>
      </c>
      <c r="D138" s="5" t="s">
        <v>2</v>
      </c>
      <c r="E138" s="5" t="s">
        <v>34</v>
      </c>
      <c r="F138" s="5" t="s">
        <v>34</v>
      </c>
      <c r="G138" s="5" t="s">
        <v>36</v>
      </c>
      <c r="H138" s="5" t="s">
        <v>35</v>
      </c>
      <c r="I138" s="5" t="s">
        <v>36</v>
      </c>
      <c r="J138" s="6">
        <v>1.0</v>
      </c>
      <c r="K138" s="6" t="s">
        <v>37</v>
      </c>
      <c r="L138" s="6">
        <v>700.0</v>
      </c>
      <c r="M138" s="5" t="s">
        <v>54</v>
      </c>
      <c r="N138" s="5" t="s">
        <v>57</v>
      </c>
      <c r="O138" s="6" t="s">
        <v>136</v>
      </c>
      <c r="P138" s="5" t="s">
        <v>137</v>
      </c>
      <c r="Q138" s="5"/>
      <c r="R138" s="17" t="s">
        <v>42</v>
      </c>
      <c r="S138" s="5" t="s">
        <v>138</v>
      </c>
      <c r="T138" s="5" t="s">
        <v>90</v>
      </c>
      <c r="U138" s="5" t="s">
        <v>44</v>
      </c>
      <c r="V138" s="5" t="s">
        <v>44</v>
      </c>
      <c r="W138" s="5" t="s">
        <v>36</v>
      </c>
      <c r="X138" s="5" t="s">
        <v>140</v>
      </c>
      <c r="Y138" s="5" t="s">
        <v>47</v>
      </c>
      <c r="Z138" s="5" t="s">
        <v>36</v>
      </c>
      <c r="AA138" s="5" t="s">
        <v>48</v>
      </c>
      <c r="AB138" s="5" t="s">
        <v>1020</v>
      </c>
      <c r="AC138" s="6" t="s">
        <v>50</v>
      </c>
      <c r="AD138" s="6">
        <v>3699.0</v>
      </c>
    </row>
    <row r="139" ht="56.25" customHeight="1">
      <c r="A139" s="5" t="s">
        <v>1014</v>
      </c>
      <c r="B139" s="6" t="str">
        <f>IMAGE("https://storage.googleapis.com/acdb/wall-mounted/FtrFishprint_Remake_1_0.png")</f>
        <v/>
      </c>
      <c r="C139" s="5" t="s">
        <v>1021</v>
      </c>
      <c r="D139" s="5" t="s">
        <v>2</v>
      </c>
      <c r="E139" s="5" t="s">
        <v>34</v>
      </c>
      <c r="F139" s="5" t="s">
        <v>34</v>
      </c>
      <c r="G139" s="5" t="s">
        <v>36</v>
      </c>
      <c r="H139" s="5" t="s">
        <v>35</v>
      </c>
      <c r="I139" s="5" t="s">
        <v>36</v>
      </c>
      <c r="J139" s="6">
        <v>1.0</v>
      </c>
      <c r="K139" s="6" t="s">
        <v>37</v>
      </c>
      <c r="L139" s="6">
        <v>700.0</v>
      </c>
      <c r="M139" s="5" t="s">
        <v>52</v>
      </c>
      <c r="N139" s="5" t="s">
        <v>58</v>
      </c>
      <c r="O139" s="6" t="s">
        <v>136</v>
      </c>
      <c r="P139" s="5" t="s">
        <v>137</v>
      </c>
      <c r="Q139" s="5"/>
      <c r="R139" s="17" t="s">
        <v>42</v>
      </c>
      <c r="S139" s="5" t="s">
        <v>138</v>
      </c>
      <c r="T139" s="5" t="s">
        <v>90</v>
      </c>
      <c r="U139" s="5" t="s">
        <v>44</v>
      </c>
      <c r="V139" s="5" t="s">
        <v>44</v>
      </c>
      <c r="W139" s="5" t="s">
        <v>36</v>
      </c>
      <c r="X139" s="5" t="s">
        <v>140</v>
      </c>
      <c r="Y139" s="5" t="s">
        <v>47</v>
      </c>
      <c r="Z139" s="5" t="s">
        <v>36</v>
      </c>
      <c r="AA139" s="5" t="s">
        <v>48</v>
      </c>
      <c r="AB139" s="5" t="s">
        <v>1026</v>
      </c>
      <c r="AC139" s="6" t="s">
        <v>56</v>
      </c>
      <c r="AD139" s="6">
        <v>3699.0</v>
      </c>
    </row>
    <row r="140" ht="56.25" customHeight="1">
      <c r="A140" s="5" t="s">
        <v>1014</v>
      </c>
      <c r="B140" s="6" t="str">
        <f>IMAGE("https://storage.googleapis.com/acdb/wall-mounted/FtrFishprint_Remake_2_0.png")</f>
        <v/>
      </c>
      <c r="C140" s="5" t="s">
        <v>1027</v>
      </c>
      <c r="D140" s="5" t="s">
        <v>2</v>
      </c>
      <c r="E140" s="5" t="s">
        <v>34</v>
      </c>
      <c r="F140" s="5" t="s">
        <v>34</v>
      </c>
      <c r="G140" s="5" t="s">
        <v>36</v>
      </c>
      <c r="H140" s="5" t="s">
        <v>35</v>
      </c>
      <c r="I140" s="5" t="s">
        <v>36</v>
      </c>
      <c r="J140" s="6">
        <v>1.0</v>
      </c>
      <c r="K140" s="6" t="s">
        <v>37</v>
      </c>
      <c r="L140" s="6">
        <v>700.0</v>
      </c>
      <c r="M140" s="5" t="s">
        <v>54</v>
      </c>
      <c r="N140" s="5" t="s">
        <v>57</v>
      </c>
      <c r="O140" s="6" t="s">
        <v>136</v>
      </c>
      <c r="P140" s="5" t="s">
        <v>137</v>
      </c>
      <c r="Q140" s="5"/>
      <c r="R140" s="17" t="s">
        <v>42</v>
      </c>
      <c r="S140" s="5" t="s">
        <v>138</v>
      </c>
      <c r="T140" s="5" t="s">
        <v>90</v>
      </c>
      <c r="U140" s="5" t="s">
        <v>44</v>
      </c>
      <c r="V140" s="5" t="s">
        <v>44</v>
      </c>
      <c r="W140" s="5" t="s">
        <v>36</v>
      </c>
      <c r="X140" s="5" t="s">
        <v>140</v>
      </c>
      <c r="Y140" s="5" t="s">
        <v>47</v>
      </c>
      <c r="Z140" s="5" t="s">
        <v>36</v>
      </c>
      <c r="AA140" s="5" t="s">
        <v>48</v>
      </c>
      <c r="AB140" s="5" t="s">
        <v>1031</v>
      </c>
      <c r="AC140" s="6" t="s">
        <v>67</v>
      </c>
      <c r="AD140" s="6">
        <v>3699.0</v>
      </c>
    </row>
    <row r="141" ht="56.25" customHeight="1">
      <c r="A141" s="5" t="s">
        <v>1014</v>
      </c>
      <c r="B141" s="6" t="str">
        <f>IMAGE("https://storage.googleapis.com/acdb/wall-mounted/FtrFishprint_Remake_3_0.png")</f>
        <v/>
      </c>
      <c r="C141" s="5" t="s">
        <v>1032</v>
      </c>
      <c r="D141" s="5" t="s">
        <v>2</v>
      </c>
      <c r="E141" s="5" t="s">
        <v>34</v>
      </c>
      <c r="F141" s="5" t="s">
        <v>34</v>
      </c>
      <c r="G141" s="5" t="s">
        <v>36</v>
      </c>
      <c r="H141" s="5" t="s">
        <v>35</v>
      </c>
      <c r="I141" s="5" t="s">
        <v>36</v>
      </c>
      <c r="J141" s="6">
        <v>1.0</v>
      </c>
      <c r="K141" s="6" t="s">
        <v>37</v>
      </c>
      <c r="L141" s="6">
        <v>700.0</v>
      </c>
      <c r="M141" s="5" t="s">
        <v>54</v>
      </c>
      <c r="N141" s="5" t="s">
        <v>57</v>
      </c>
      <c r="O141" s="6" t="s">
        <v>136</v>
      </c>
      <c r="P141" s="5" t="s">
        <v>137</v>
      </c>
      <c r="Q141" s="5"/>
      <c r="R141" s="17" t="s">
        <v>42</v>
      </c>
      <c r="S141" s="5" t="s">
        <v>138</v>
      </c>
      <c r="T141" s="5" t="s">
        <v>90</v>
      </c>
      <c r="U141" s="5" t="s">
        <v>44</v>
      </c>
      <c r="V141" s="5" t="s">
        <v>44</v>
      </c>
      <c r="W141" s="5" t="s">
        <v>36</v>
      </c>
      <c r="X141" s="5" t="s">
        <v>140</v>
      </c>
      <c r="Y141" s="5" t="s">
        <v>47</v>
      </c>
      <c r="Z141" s="5" t="s">
        <v>36</v>
      </c>
      <c r="AA141" s="5" t="s">
        <v>48</v>
      </c>
      <c r="AB141" s="5" t="s">
        <v>1036</v>
      </c>
      <c r="AC141" s="6" t="s">
        <v>71</v>
      </c>
      <c r="AD141" s="6">
        <v>3699.0</v>
      </c>
    </row>
    <row r="142" ht="56.25" customHeight="1">
      <c r="A142" s="5" t="s">
        <v>1014</v>
      </c>
      <c r="B142" s="6" t="str">
        <f>IMAGE("https://storage.googleapis.com/acdb/wall-mounted/FtrFishprint_Remake_4_0.png")</f>
        <v/>
      </c>
      <c r="C142" s="5" t="s">
        <v>1037</v>
      </c>
      <c r="D142" s="5" t="s">
        <v>2</v>
      </c>
      <c r="E142" s="5" t="s">
        <v>34</v>
      </c>
      <c r="F142" s="5" t="s">
        <v>34</v>
      </c>
      <c r="G142" s="5" t="s">
        <v>36</v>
      </c>
      <c r="H142" s="5" t="s">
        <v>35</v>
      </c>
      <c r="I142" s="5" t="s">
        <v>36</v>
      </c>
      <c r="J142" s="6">
        <v>1.0</v>
      </c>
      <c r="K142" s="6" t="s">
        <v>37</v>
      </c>
      <c r="L142" s="6">
        <v>700.0</v>
      </c>
      <c r="M142" s="5" t="s">
        <v>54</v>
      </c>
      <c r="N142" s="5" t="s">
        <v>57</v>
      </c>
      <c r="O142" s="6" t="s">
        <v>136</v>
      </c>
      <c r="P142" s="5" t="s">
        <v>137</v>
      </c>
      <c r="Q142" s="5"/>
      <c r="R142" s="17" t="s">
        <v>42</v>
      </c>
      <c r="S142" s="5" t="s">
        <v>138</v>
      </c>
      <c r="T142" s="5" t="s">
        <v>90</v>
      </c>
      <c r="U142" s="5" t="s">
        <v>44</v>
      </c>
      <c r="V142" s="5" t="s">
        <v>44</v>
      </c>
      <c r="W142" s="5" t="s">
        <v>36</v>
      </c>
      <c r="X142" s="5" t="s">
        <v>140</v>
      </c>
      <c r="Y142" s="5" t="s">
        <v>47</v>
      </c>
      <c r="Z142" s="5" t="s">
        <v>36</v>
      </c>
      <c r="AA142" s="5" t="s">
        <v>48</v>
      </c>
      <c r="AB142" s="5" t="s">
        <v>1040</v>
      </c>
      <c r="AC142" s="6" t="s">
        <v>75</v>
      </c>
      <c r="AD142" s="6">
        <v>3699.0</v>
      </c>
    </row>
    <row r="143" ht="56.25" customHeight="1">
      <c r="A143" s="5" t="s">
        <v>1014</v>
      </c>
      <c r="B143" s="6" t="str">
        <f>IMAGE("https://storage.googleapis.com/acdb/wall-mounted/FtrFishprint_Remake_5_0.png")</f>
        <v/>
      </c>
      <c r="C143" s="5" t="s">
        <v>1041</v>
      </c>
      <c r="D143" s="5" t="s">
        <v>2</v>
      </c>
      <c r="E143" s="5" t="s">
        <v>34</v>
      </c>
      <c r="F143" s="5" t="s">
        <v>34</v>
      </c>
      <c r="G143" s="5" t="s">
        <v>36</v>
      </c>
      <c r="H143" s="5" t="s">
        <v>35</v>
      </c>
      <c r="I143" s="5" t="s">
        <v>36</v>
      </c>
      <c r="J143" s="6">
        <v>1.0</v>
      </c>
      <c r="K143" s="6" t="s">
        <v>37</v>
      </c>
      <c r="L143" s="6">
        <v>700.0</v>
      </c>
      <c r="M143" s="5" t="s">
        <v>54</v>
      </c>
      <c r="N143" s="5" t="s">
        <v>57</v>
      </c>
      <c r="O143" s="6" t="s">
        <v>136</v>
      </c>
      <c r="P143" s="5" t="s">
        <v>137</v>
      </c>
      <c r="Q143" s="5"/>
      <c r="R143" s="17" t="s">
        <v>42</v>
      </c>
      <c r="S143" s="5" t="s">
        <v>138</v>
      </c>
      <c r="T143" s="5" t="s">
        <v>90</v>
      </c>
      <c r="U143" s="5" t="s">
        <v>44</v>
      </c>
      <c r="V143" s="5" t="s">
        <v>44</v>
      </c>
      <c r="W143" s="5" t="s">
        <v>36</v>
      </c>
      <c r="X143" s="5" t="s">
        <v>140</v>
      </c>
      <c r="Y143" s="5" t="s">
        <v>47</v>
      </c>
      <c r="Z143" s="5" t="s">
        <v>36</v>
      </c>
      <c r="AA143" s="5" t="s">
        <v>48</v>
      </c>
      <c r="AB143" s="5" t="s">
        <v>1045</v>
      </c>
      <c r="AC143" s="6" t="s">
        <v>79</v>
      </c>
      <c r="AD143" s="6">
        <v>3699.0</v>
      </c>
    </row>
    <row r="144" ht="56.25" customHeight="1">
      <c r="A144" s="5" t="s">
        <v>1014</v>
      </c>
      <c r="B144" s="6" t="str">
        <f>IMAGE("https://storage.googleapis.com/acdb/wall-mounted/FtrFishprint_Remake_6_0.png")</f>
        <v/>
      </c>
      <c r="C144" s="5" t="s">
        <v>1046</v>
      </c>
      <c r="D144" s="5" t="s">
        <v>2</v>
      </c>
      <c r="E144" s="5" t="s">
        <v>34</v>
      </c>
      <c r="F144" s="5" t="s">
        <v>34</v>
      </c>
      <c r="G144" s="5" t="s">
        <v>36</v>
      </c>
      <c r="H144" s="5" t="s">
        <v>35</v>
      </c>
      <c r="I144" s="5" t="s">
        <v>36</v>
      </c>
      <c r="J144" s="6">
        <v>1.0</v>
      </c>
      <c r="K144" s="6" t="s">
        <v>37</v>
      </c>
      <c r="L144" s="6">
        <v>700.0</v>
      </c>
      <c r="M144" s="5" t="s">
        <v>54</v>
      </c>
      <c r="N144" s="5" t="s">
        <v>57</v>
      </c>
      <c r="O144" s="6" t="s">
        <v>136</v>
      </c>
      <c r="P144" s="5" t="s">
        <v>137</v>
      </c>
      <c r="Q144" s="5"/>
      <c r="R144" s="17" t="s">
        <v>42</v>
      </c>
      <c r="S144" s="5" t="s">
        <v>138</v>
      </c>
      <c r="T144" s="5" t="s">
        <v>90</v>
      </c>
      <c r="U144" s="5" t="s">
        <v>44</v>
      </c>
      <c r="V144" s="5" t="s">
        <v>44</v>
      </c>
      <c r="W144" s="5" t="s">
        <v>36</v>
      </c>
      <c r="X144" s="5" t="s">
        <v>140</v>
      </c>
      <c r="Y144" s="5" t="s">
        <v>47</v>
      </c>
      <c r="Z144" s="5" t="s">
        <v>36</v>
      </c>
      <c r="AA144" s="5" t="s">
        <v>48</v>
      </c>
      <c r="AB144" s="5" t="s">
        <v>1051</v>
      </c>
      <c r="AC144" s="6" t="s">
        <v>86</v>
      </c>
      <c r="AD144" s="6">
        <v>3699.0</v>
      </c>
    </row>
    <row r="145" ht="56.25" customHeight="1">
      <c r="A145" s="5" t="s">
        <v>1052</v>
      </c>
      <c r="B145" s="6" t="str">
        <f>IMAGE("https://storage.googleapis.com/acdb/wall-mounted/FtrBigcatchflag_Remake_0_0.png")</f>
        <v/>
      </c>
      <c r="C145" s="5" t="s">
        <v>1055</v>
      </c>
      <c r="D145" s="5" t="s">
        <v>34</v>
      </c>
      <c r="E145" s="5" t="s">
        <v>34</v>
      </c>
      <c r="F145" s="5" t="s">
        <v>34</v>
      </c>
      <c r="G145" s="5" t="s">
        <v>36</v>
      </c>
      <c r="H145" s="5" t="s">
        <v>36</v>
      </c>
      <c r="I145" s="5" t="s">
        <v>36</v>
      </c>
      <c r="J145" s="6" t="s">
        <v>34</v>
      </c>
      <c r="K145" s="6">
        <v>2200.0</v>
      </c>
      <c r="L145" s="6">
        <v>550.0</v>
      </c>
      <c r="M145" s="5" t="s">
        <v>58</v>
      </c>
      <c r="N145" s="5" t="s">
        <v>114</v>
      </c>
      <c r="O145" s="6" t="s">
        <v>1057</v>
      </c>
      <c r="P145" s="5" t="s">
        <v>59</v>
      </c>
      <c r="Q145" s="5" t="s">
        <v>89</v>
      </c>
      <c r="R145" s="17" t="s">
        <v>42</v>
      </c>
      <c r="S145" s="5" t="s">
        <v>138</v>
      </c>
      <c r="T145" s="5" t="s">
        <v>44</v>
      </c>
      <c r="U145" s="5" t="s">
        <v>44</v>
      </c>
      <c r="V145" s="5" t="s">
        <v>44</v>
      </c>
      <c r="W145" s="5" t="s">
        <v>36</v>
      </c>
      <c r="X145" s="5" t="s">
        <v>140</v>
      </c>
      <c r="Y145" s="5" t="s">
        <v>47</v>
      </c>
      <c r="Z145" s="5" t="s">
        <v>36</v>
      </c>
      <c r="AA145" s="5" t="s">
        <v>64</v>
      </c>
      <c r="AB145" s="5" t="s">
        <v>1060</v>
      </c>
      <c r="AC145" s="6" t="s">
        <v>50</v>
      </c>
      <c r="AD145" s="6">
        <v>3583.0</v>
      </c>
    </row>
    <row r="146" ht="56.25" customHeight="1">
      <c r="A146" s="5" t="s">
        <v>1052</v>
      </c>
      <c r="B146" s="6" t="str">
        <f>IMAGE("https://storage.googleapis.com/acdb/wall-mounted/FtrBigcatchflag_Remake_1_0.png")</f>
        <v/>
      </c>
      <c r="C146" s="5" t="s">
        <v>1063</v>
      </c>
      <c r="D146" s="5" t="s">
        <v>34</v>
      </c>
      <c r="E146" s="5" t="s">
        <v>34</v>
      </c>
      <c r="F146" s="5" t="s">
        <v>34</v>
      </c>
      <c r="G146" s="5" t="s">
        <v>36</v>
      </c>
      <c r="H146" s="5" t="s">
        <v>36</v>
      </c>
      <c r="I146" s="5" t="s">
        <v>36</v>
      </c>
      <c r="J146" s="6" t="s">
        <v>34</v>
      </c>
      <c r="K146" s="6">
        <v>2200.0</v>
      </c>
      <c r="L146" s="6">
        <v>550.0</v>
      </c>
      <c r="M146" s="5" t="s">
        <v>58</v>
      </c>
      <c r="N146" s="5" t="s">
        <v>114</v>
      </c>
      <c r="O146" s="6" t="s">
        <v>1057</v>
      </c>
      <c r="P146" s="5" t="s">
        <v>59</v>
      </c>
      <c r="Q146" s="5" t="s">
        <v>89</v>
      </c>
      <c r="R146" s="17" t="s">
        <v>42</v>
      </c>
      <c r="S146" s="5" t="s">
        <v>138</v>
      </c>
      <c r="T146" s="5" t="s">
        <v>44</v>
      </c>
      <c r="U146" s="5" t="s">
        <v>44</v>
      </c>
      <c r="V146" s="5" t="s">
        <v>44</v>
      </c>
      <c r="W146" s="5" t="s">
        <v>36</v>
      </c>
      <c r="X146" s="5" t="s">
        <v>140</v>
      </c>
      <c r="Y146" s="5" t="s">
        <v>47</v>
      </c>
      <c r="Z146" s="5" t="s">
        <v>36</v>
      </c>
      <c r="AA146" s="5" t="s">
        <v>64</v>
      </c>
      <c r="AB146" s="5" t="s">
        <v>1068</v>
      </c>
      <c r="AC146" s="6" t="s">
        <v>56</v>
      </c>
      <c r="AD146" s="6">
        <v>3583.0</v>
      </c>
    </row>
    <row r="147" ht="56.25" customHeight="1">
      <c r="A147" s="5" t="s">
        <v>1052</v>
      </c>
      <c r="B147" s="6" t="str">
        <f>IMAGE("https://storage.googleapis.com/acdb/wall-mounted/FtrBigcatchflag_Remake_2_0.png")</f>
        <v/>
      </c>
      <c r="C147" s="5" t="s">
        <v>1070</v>
      </c>
      <c r="D147" s="5" t="s">
        <v>34</v>
      </c>
      <c r="E147" s="5" t="s">
        <v>34</v>
      </c>
      <c r="F147" s="5" t="s">
        <v>34</v>
      </c>
      <c r="G147" s="5" t="s">
        <v>36</v>
      </c>
      <c r="H147" s="5" t="s">
        <v>36</v>
      </c>
      <c r="I147" s="5" t="s">
        <v>36</v>
      </c>
      <c r="J147" s="6" t="s">
        <v>34</v>
      </c>
      <c r="K147" s="6">
        <v>2200.0</v>
      </c>
      <c r="L147" s="6">
        <v>550.0</v>
      </c>
      <c r="M147" s="5" t="s">
        <v>58</v>
      </c>
      <c r="N147" s="5" t="s">
        <v>114</v>
      </c>
      <c r="O147" s="6" t="s">
        <v>1057</v>
      </c>
      <c r="P147" s="5" t="s">
        <v>59</v>
      </c>
      <c r="Q147" s="5" t="s">
        <v>89</v>
      </c>
      <c r="R147" s="17" t="s">
        <v>42</v>
      </c>
      <c r="S147" s="5" t="s">
        <v>138</v>
      </c>
      <c r="T147" s="5" t="s">
        <v>44</v>
      </c>
      <c r="U147" s="5" t="s">
        <v>44</v>
      </c>
      <c r="V147" s="5" t="s">
        <v>44</v>
      </c>
      <c r="W147" s="5" t="s">
        <v>36</v>
      </c>
      <c r="X147" s="5" t="s">
        <v>140</v>
      </c>
      <c r="Y147" s="5" t="s">
        <v>47</v>
      </c>
      <c r="Z147" s="5" t="s">
        <v>36</v>
      </c>
      <c r="AA147" s="5" t="s">
        <v>64</v>
      </c>
      <c r="AB147" s="5" t="s">
        <v>1073</v>
      </c>
      <c r="AC147" s="6" t="s">
        <v>67</v>
      </c>
      <c r="AD147" s="6">
        <v>3583.0</v>
      </c>
    </row>
    <row r="148" ht="56.25" customHeight="1">
      <c r="A148" s="5" t="s">
        <v>1052</v>
      </c>
      <c r="B148" s="6" t="str">
        <f>IMAGE("https://storage.googleapis.com/acdb/wall-mounted/FtrBigcatchflag_Remake_3_0.png")</f>
        <v/>
      </c>
      <c r="C148" s="5" t="s">
        <v>1077</v>
      </c>
      <c r="D148" s="5" t="s">
        <v>34</v>
      </c>
      <c r="E148" s="5" t="s">
        <v>34</v>
      </c>
      <c r="F148" s="5" t="s">
        <v>34</v>
      </c>
      <c r="G148" s="5" t="s">
        <v>36</v>
      </c>
      <c r="H148" s="5" t="s">
        <v>36</v>
      </c>
      <c r="I148" s="5" t="s">
        <v>36</v>
      </c>
      <c r="J148" s="6" t="s">
        <v>34</v>
      </c>
      <c r="K148" s="6">
        <v>2200.0</v>
      </c>
      <c r="L148" s="6">
        <v>550.0</v>
      </c>
      <c r="M148" s="5" t="s">
        <v>58</v>
      </c>
      <c r="N148" s="5" t="s">
        <v>114</v>
      </c>
      <c r="O148" s="6" t="s">
        <v>1057</v>
      </c>
      <c r="P148" s="5" t="s">
        <v>59</v>
      </c>
      <c r="Q148" s="5" t="s">
        <v>89</v>
      </c>
      <c r="R148" s="17" t="s">
        <v>42</v>
      </c>
      <c r="S148" s="5" t="s">
        <v>138</v>
      </c>
      <c r="T148" s="5" t="s">
        <v>44</v>
      </c>
      <c r="U148" s="5" t="s">
        <v>44</v>
      </c>
      <c r="V148" s="5" t="s">
        <v>44</v>
      </c>
      <c r="W148" s="5" t="s">
        <v>36</v>
      </c>
      <c r="X148" s="5" t="s">
        <v>140</v>
      </c>
      <c r="Y148" s="5" t="s">
        <v>47</v>
      </c>
      <c r="Z148" s="5" t="s">
        <v>36</v>
      </c>
      <c r="AA148" s="5" t="s">
        <v>64</v>
      </c>
      <c r="AB148" s="5" t="s">
        <v>1079</v>
      </c>
      <c r="AC148" s="6" t="s">
        <v>71</v>
      </c>
      <c r="AD148" s="6">
        <v>3583.0</v>
      </c>
    </row>
    <row r="149" ht="56.25" customHeight="1">
      <c r="A149" s="5" t="s">
        <v>1081</v>
      </c>
      <c r="B149" s="6" t="str">
        <f>IMAGE("https://storage.googleapis.com/acdb/wall-mounted/FtrFlowerSwag_Remake_0_0.png")</f>
        <v/>
      </c>
      <c r="C149" s="5" t="s">
        <v>114</v>
      </c>
      <c r="D149" s="5" t="s">
        <v>135</v>
      </c>
      <c r="E149" s="5" t="s">
        <v>34</v>
      </c>
      <c r="F149" s="5" t="s">
        <v>34</v>
      </c>
      <c r="G149" s="5" t="s">
        <v>35</v>
      </c>
      <c r="H149" s="5" t="s">
        <v>35</v>
      </c>
      <c r="I149" s="5" t="s">
        <v>36</v>
      </c>
      <c r="J149" s="6">
        <v>1.0</v>
      </c>
      <c r="K149" s="6" t="s">
        <v>37</v>
      </c>
      <c r="L149" s="6">
        <v>200.0</v>
      </c>
      <c r="M149" s="5" t="s">
        <v>114</v>
      </c>
      <c r="N149" s="5" t="s">
        <v>83</v>
      </c>
      <c r="O149" s="6" t="s">
        <v>179</v>
      </c>
      <c r="P149" s="5" t="s">
        <v>41</v>
      </c>
      <c r="Q149" s="5"/>
      <c r="R149" s="17" t="s">
        <v>42</v>
      </c>
      <c r="S149" s="5" t="s">
        <v>90</v>
      </c>
      <c r="T149" s="5" t="s">
        <v>44</v>
      </c>
      <c r="U149" s="5" t="s">
        <v>44</v>
      </c>
      <c r="V149" s="5" t="s">
        <v>44</v>
      </c>
      <c r="W149" s="5" t="s">
        <v>36</v>
      </c>
      <c r="X149" s="5" t="s">
        <v>244</v>
      </c>
      <c r="Y149" s="5" t="s">
        <v>47</v>
      </c>
      <c r="Z149" s="5" t="s">
        <v>36</v>
      </c>
      <c r="AA149" s="5" t="s">
        <v>48</v>
      </c>
      <c r="AB149" s="5" t="s">
        <v>1085</v>
      </c>
      <c r="AC149" s="6" t="s">
        <v>50</v>
      </c>
      <c r="AD149" s="6">
        <v>4027.0</v>
      </c>
    </row>
    <row r="150" ht="56.25" customHeight="1">
      <c r="A150" s="5" t="s">
        <v>1081</v>
      </c>
      <c r="B150" s="6" t="str">
        <f>IMAGE("https://storage.googleapis.com/acdb/wall-mounted/FtrFlowerSwag_Remake_1_0.png")</f>
        <v/>
      </c>
      <c r="C150" s="5" t="s">
        <v>69</v>
      </c>
      <c r="D150" s="5" t="s">
        <v>135</v>
      </c>
      <c r="E150" s="5" t="s">
        <v>34</v>
      </c>
      <c r="F150" s="5" t="s">
        <v>34</v>
      </c>
      <c r="G150" s="5" t="s">
        <v>35</v>
      </c>
      <c r="H150" s="5" t="s">
        <v>35</v>
      </c>
      <c r="I150" s="5" t="s">
        <v>36</v>
      </c>
      <c r="J150" s="6">
        <v>1.0</v>
      </c>
      <c r="K150" s="6" t="s">
        <v>37</v>
      </c>
      <c r="L150" s="6">
        <v>200.0</v>
      </c>
      <c r="M150" s="5" t="s">
        <v>69</v>
      </c>
      <c r="N150" s="5" t="s">
        <v>96</v>
      </c>
      <c r="O150" s="6" t="s">
        <v>179</v>
      </c>
      <c r="P150" s="5" t="s">
        <v>41</v>
      </c>
      <c r="Q150" s="5"/>
      <c r="R150" s="17" t="s">
        <v>42</v>
      </c>
      <c r="S150" s="5" t="s">
        <v>90</v>
      </c>
      <c r="T150" s="5" t="s">
        <v>44</v>
      </c>
      <c r="U150" s="5" t="s">
        <v>44</v>
      </c>
      <c r="V150" s="5" t="s">
        <v>44</v>
      </c>
      <c r="W150" s="5" t="s">
        <v>36</v>
      </c>
      <c r="X150" s="5" t="s">
        <v>244</v>
      </c>
      <c r="Y150" s="5" t="s">
        <v>47</v>
      </c>
      <c r="Z150" s="5" t="s">
        <v>36</v>
      </c>
      <c r="AA150" s="5" t="s">
        <v>48</v>
      </c>
      <c r="AB150" s="5" t="s">
        <v>1088</v>
      </c>
      <c r="AC150" s="6" t="s">
        <v>56</v>
      </c>
      <c r="AD150" s="6">
        <v>4027.0</v>
      </c>
    </row>
    <row r="151" ht="56.25" customHeight="1">
      <c r="A151" s="5" t="s">
        <v>1081</v>
      </c>
      <c r="B151" s="6" t="str">
        <f>IMAGE("https://storage.googleapis.com/acdb/wall-mounted/FtrFlowerSwag_Remake_2_0.png")</f>
        <v/>
      </c>
      <c r="C151" s="5" t="s">
        <v>68</v>
      </c>
      <c r="D151" s="5" t="s">
        <v>135</v>
      </c>
      <c r="E151" s="5" t="s">
        <v>34</v>
      </c>
      <c r="F151" s="5" t="s">
        <v>34</v>
      </c>
      <c r="G151" s="5" t="s">
        <v>35</v>
      </c>
      <c r="H151" s="5" t="s">
        <v>35</v>
      </c>
      <c r="I151" s="5" t="s">
        <v>36</v>
      </c>
      <c r="J151" s="6">
        <v>1.0</v>
      </c>
      <c r="K151" s="6" t="s">
        <v>37</v>
      </c>
      <c r="L151" s="6">
        <v>200.0</v>
      </c>
      <c r="M151" s="5" t="s">
        <v>106</v>
      </c>
      <c r="N151" s="5" t="s">
        <v>96</v>
      </c>
      <c r="O151" s="6" t="s">
        <v>179</v>
      </c>
      <c r="P151" s="5" t="s">
        <v>41</v>
      </c>
      <c r="Q151" s="5"/>
      <c r="R151" s="17" t="s">
        <v>42</v>
      </c>
      <c r="S151" s="5" t="s">
        <v>90</v>
      </c>
      <c r="T151" s="5" t="s">
        <v>44</v>
      </c>
      <c r="U151" s="5" t="s">
        <v>44</v>
      </c>
      <c r="V151" s="5" t="s">
        <v>44</v>
      </c>
      <c r="W151" s="5" t="s">
        <v>36</v>
      </c>
      <c r="X151" s="5" t="s">
        <v>244</v>
      </c>
      <c r="Y151" s="5" t="s">
        <v>47</v>
      </c>
      <c r="Z151" s="5" t="s">
        <v>36</v>
      </c>
      <c r="AA151" s="5" t="s">
        <v>48</v>
      </c>
      <c r="AB151" s="5" t="s">
        <v>1092</v>
      </c>
      <c r="AC151" s="6" t="s">
        <v>67</v>
      </c>
      <c r="AD151" s="6">
        <v>4027.0</v>
      </c>
    </row>
    <row r="152" ht="56.25" customHeight="1">
      <c r="A152" s="5" t="s">
        <v>1081</v>
      </c>
      <c r="B152" s="6" t="str">
        <f>IMAGE("https://storage.googleapis.com/acdb/wall-mounted/FtrFlowerSwag_Remake_3_0.png")</f>
        <v/>
      </c>
      <c r="C152" s="5" t="s">
        <v>57</v>
      </c>
      <c r="D152" s="5" t="s">
        <v>135</v>
      </c>
      <c r="E152" s="5" t="s">
        <v>34</v>
      </c>
      <c r="F152" s="5" t="s">
        <v>34</v>
      </c>
      <c r="G152" s="5" t="s">
        <v>35</v>
      </c>
      <c r="H152" s="5" t="s">
        <v>35</v>
      </c>
      <c r="I152" s="5" t="s">
        <v>36</v>
      </c>
      <c r="J152" s="6">
        <v>1.0</v>
      </c>
      <c r="K152" s="6" t="s">
        <v>37</v>
      </c>
      <c r="L152" s="6">
        <v>200.0</v>
      </c>
      <c r="M152" s="5" t="s">
        <v>57</v>
      </c>
      <c r="N152" s="5" t="s">
        <v>114</v>
      </c>
      <c r="O152" s="6" t="s">
        <v>179</v>
      </c>
      <c r="P152" s="5" t="s">
        <v>41</v>
      </c>
      <c r="Q152" s="5"/>
      <c r="R152" s="17" t="s">
        <v>42</v>
      </c>
      <c r="S152" s="5" t="s">
        <v>90</v>
      </c>
      <c r="T152" s="5" t="s">
        <v>44</v>
      </c>
      <c r="U152" s="5" t="s">
        <v>44</v>
      </c>
      <c r="V152" s="5" t="s">
        <v>44</v>
      </c>
      <c r="W152" s="5" t="s">
        <v>36</v>
      </c>
      <c r="X152" s="5" t="s">
        <v>244</v>
      </c>
      <c r="Y152" s="5" t="s">
        <v>47</v>
      </c>
      <c r="Z152" s="5" t="s">
        <v>36</v>
      </c>
      <c r="AA152" s="5" t="s">
        <v>48</v>
      </c>
      <c r="AB152" s="5" t="s">
        <v>1095</v>
      </c>
      <c r="AC152" s="6" t="s">
        <v>71</v>
      </c>
      <c r="AD152" s="6">
        <v>4027.0</v>
      </c>
    </row>
    <row r="153" ht="56.25" customHeight="1">
      <c r="A153" s="5" t="s">
        <v>1081</v>
      </c>
      <c r="B153" s="6" t="str">
        <f>IMAGE("https://storage.googleapis.com/acdb/wall-mounted/FtrFlowerSwag_Remake_4_0.png")</f>
        <v/>
      </c>
      <c r="C153" s="5" t="s">
        <v>58</v>
      </c>
      <c r="D153" s="5" t="s">
        <v>135</v>
      </c>
      <c r="E153" s="5" t="s">
        <v>34</v>
      </c>
      <c r="F153" s="5" t="s">
        <v>34</v>
      </c>
      <c r="G153" s="5" t="s">
        <v>35</v>
      </c>
      <c r="H153" s="5" t="s">
        <v>35</v>
      </c>
      <c r="I153" s="5" t="s">
        <v>36</v>
      </c>
      <c r="J153" s="6">
        <v>1.0</v>
      </c>
      <c r="K153" s="6" t="s">
        <v>37</v>
      </c>
      <c r="L153" s="6">
        <v>200.0</v>
      </c>
      <c r="M153" s="5" t="s">
        <v>58</v>
      </c>
      <c r="N153" s="5" t="s">
        <v>96</v>
      </c>
      <c r="O153" s="6" t="s">
        <v>179</v>
      </c>
      <c r="P153" s="5" t="s">
        <v>41</v>
      </c>
      <c r="Q153" s="5"/>
      <c r="R153" s="17" t="s">
        <v>42</v>
      </c>
      <c r="S153" s="5" t="s">
        <v>90</v>
      </c>
      <c r="T153" s="5" t="s">
        <v>44</v>
      </c>
      <c r="U153" s="5" t="s">
        <v>44</v>
      </c>
      <c r="V153" s="5" t="s">
        <v>44</v>
      </c>
      <c r="W153" s="5" t="s">
        <v>36</v>
      </c>
      <c r="X153" s="5" t="s">
        <v>244</v>
      </c>
      <c r="Y153" s="5" t="s">
        <v>47</v>
      </c>
      <c r="Z153" s="5" t="s">
        <v>36</v>
      </c>
      <c r="AA153" s="5" t="s">
        <v>48</v>
      </c>
      <c r="AB153" s="5" t="s">
        <v>1099</v>
      </c>
      <c r="AC153" s="6" t="s">
        <v>75</v>
      </c>
      <c r="AD153" s="6">
        <v>4027.0</v>
      </c>
    </row>
    <row r="154" ht="56.25" customHeight="1">
      <c r="A154" s="5" t="s">
        <v>1100</v>
      </c>
      <c r="B154" s="6" t="str">
        <f>IMAGE("https://storage.googleapis.com/acdb/wall-mounted/FtrTestimonial_Remake_0_0.png")</f>
        <v/>
      </c>
      <c r="C154" s="5" t="s">
        <v>39</v>
      </c>
      <c r="D154" s="5" t="s">
        <v>34</v>
      </c>
      <c r="E154" s="5" t="s">
        <v>34</v>
      </c>
      <c r="F154" s="5" t="s">
        <v>34</v>
      </c>
      <c r="G154" s="5" t="s">
        <v>36</v>
      </c>
      <c r="H154" s="5" t="s">
        <v>36</v>
      </c>
      <c r="I154" s="5" t="s">
        <v>36</v>
      </c>
      <c r="J154" s="6" t="s">
        <v>34</v>
      </c>
      <c r="K154" s="6">
        <v>620.0</v>
      </c>
      <c r="L154" s="6">
        <v>155.0</v>
      </c>
      <c r="M154" s="5" t="s">
        <v>38</v>
      </c>
      <c r="N154" s="5" t="s">
        <v>142</v>
      </c>
      <c r="O154" s="6" t="s">
        <v>179</v>
      </c>
      <c r="P154" s="5" t="s">
        <v>59</v>
      </c>
      <c r="Q154" s="5" t="s">
        <v>89</v>
      </c>
      <c r="R154" s="17" t="s">
        <v>42</v>
      </c>
      <c r="S154" s="5" t="s">
        <v>130</v>
      </c>
      <c r="T154" s="5" t="s">
        <v>202</v>
      </c>
      <c r="U154" s="5" t="s">
        <v>44</v>
      </c>
      <c r="V154" s="5" t="s">
        <v>44</v>
      </c>
      <c r="W154" s="5" t="s">
        <v>36</v>
      </c>
      <c r="X154" s="5" t="s">
        <v>203</v>
      </c>
      <c r="Y154" s="5" t="s">
        <v>47</v>
      </c>
      <c r="Z154" s="5" t="s">
        <v>36</v>
      </c>
      <c r="AA154" s="5" t="s">
        <v>64</v>
      </c>
      <c r="AB154" s="5" t="s">
        <v>1103</v>
      </c>
      <c r="AC154" s="6" t="s">
        <v>50</v>
      </c>
      <c r="AD154" s="6">
        <v>4099.0</v>
      </c>
    </row>
    <row r="155" ht="56.25" customHeight="1">
      <c r="A155" s="5" t="s">
        <v>1100</v>
      </c>
      <c r="B155" s="6" t="str">
        <f>IMAGE("https://storage.googleapis.com/acdb/wall-mounted/FtrTestimonial_Remake_1_0.png")</f>
        <v/>
      </c>
      <c r="C155" s="5" t="s">
        <v>935</v>
      </c>
      <c r="D155" s="5" t="s">
        <v>34</v>
      </c>
      <c r="E155" s="5" t="s">
        <v>34</v>
      </c>
      <c r="F155" s="5" t="s">
        <v>34</v>
      </c>
      <c r="G155" s="5" t="s">
        <v>36</v>
      </c>
      <c r="H155" s="5" t="s">
        <v>36</v>
      </c>
      <c r="I155" s="5" t="s">
        <v>36</v>
      </c>
      <c r="J155" s="6" t="s">
        <v>34</v>
      </c>
      <c r="K155" s="6">
        <v>620.0</v>
      </c>
      <c r="L155" s="6">
        <v>155.0</v>
      </c>
      <c r="M155" s="5" t="s">
        <v>57</v>
      </c>
      <c r="N155" s="5" t="s">
        <v>114</v>
      </c>
      <c r="O155" s="6" t="s">
        <v>179</v>
      </c>
      <c r="P155" s="5" t="s">
        <v>59</v>
      </c>
      <c r="Q155" s="5" t="s">
        <v>89</v>
      </c>
      <c r="R155" s="17" t="s">
        <v>42</v>
      </c>
      <c r="S155" s="5" t="s">
        <v>130</v>
      </c>
      <c r="T155" s="5" t="s">
        <v>202</v>
      </c>
      <c r="U155" s="5" t="s">
        <v>44</v>
      </c>
      <c r="V155" s="5" t="s">
        <v>44</v>
      </c>
      <c r="W155" s="5" t="s">
        <v>36</v>
      </c>
      <c r="X155" s="5" t="s">
        <v>203</v>
      </c>
      <c r="Y155" s="5" t="s">
        <v>47</v>
      </c>
      <c r="Z155" s="5" t="s">
        <v>36</v>
      </c>
      <c r="AA155" s="5" t="s">
        <v>64</v>
      </c>
      <c r="AB155" s="5" t="s">
        <v>1108</v>
      </c>
      <c r="AC155" s="6" t="s">
        <v>56</v>
      </c>
      <c r="AD155" s="6">
        <v>4099.0</v>
      </c>
    </row>
    <row r="156" ht="56.25" customHeight="1">
      <c r="A156" s="5" t="s">
        <v>1100</v>
      </c>
      <c r="B156" s="6" t="str">
        <f>IMAGE("https://storage.googleapis.com/acdb/wall-mounted/FtrTestimonial_Remake_2_0.png")</f>
        <v/>
      </c>
      <c r="C156" s="5" t="s">
        <v>387</v>
      </c>
      <c r="D156" s="5" t="s">
        <v>34</v>
      </c>
      <c r="E156" s="5" t="s">
        <v>34</v>
      </c>
      <c r="F156" s="5" t="s">
        <v>34</v>
      </c>
      <c r="G156" s="5" t="s">
        <v>36</v>
      </c>
      <c r="H156" s="5" t="s">
        <v>36</v>
      </c>
      <c r="I156" s="5" t="s">
        <v>36</v>
      </c>
      <c r="J156" s="6" t="s">
        <v>34</v>
      </c>
      <c r="K156" s="6">
        <v>620.0</v>
      </c>
      <c r="L156" s="6">
        <v>155.0</v>
      </c>
      <c r="M156" s="5" t="s">
        <v>38</v>
      </c>
      <c r="N156" s="5" t="s">
        <v>39</v>
      </c>
      <c r="O156" s="6" t="s">
        <v>179</v>
      </c>
      <c r="P156" s="5" t="s">
        <v>59</v>
      </c>
      <c r="Q156" s="5" t="s">
        <v>89</v>
      </c>
      <c r="R156" s="17" t="s">
        <v>42</v>
      </c>
      <c r="S156" s="5" t="s">
        <v>130</v>
      </c>
      <c r="T156" s="5" t="s">
        <v>202</v>
      </c>
      <c r="U156" s="5" t="s">
        <v>44</v>
      </c>
      <c r="V156" s="5" t="s">
        <v>44</v>
      </c>
      <c r="W156" s="5" t="s">
        <v>36</v>
      </c>
      <c r="X156" s="5" t="s">
        <v>203</v>
      </c>
      <c r="Y156" s="5" t="s">
        <v>47</v>
      </c>
      <c r="Z156" s="5" t="s">
        <v>36</v>
      </c>
      <c r="AA156" s="5" t="s">
        <v>64</v>
      </c>
      <c r="AB156" s="5" t="s">
        <v>1114</v>
      </c>
      <c r="AC156" s="6" t="s">
        <v>67</v>
      </c>
      <c r="AD156" s="6">
        <v>4099.0</v>
      </c>
    </row>
    <row r="157" ht="56.25" customHeight="1">
      <c r="A157" s="5" t="s">
        <v>1115</v>
      </c>
      <c r="B157" s="6" t="str">
        <f>IMAGE("https://storage.googleapis.com/acdb/wall-mounted/FtrDoorOrnamentFossil_Remake_0_0.png")</f>
        <v/>
      </c>
      <c r="C157" s="5" t="s">
        <v>95</v>
      </c>
      <c r="D157" s="5" t="s">
        <v>135</v>
      </c>
      <c r="E157" s="5" t="s">
        <v>34</v>
      </c>
      <c r="F157" s="5" t="s">
        <v>34</v>
      </c>
      <c r="G157" s="5" t="s">
        <v>35</v>
      </c>
      <c r="H157" s="5" t="s">
        <v>35</v>
      </c>
      <c r="I157" s="5" t="s">
        <v>36</v>
      </c>
      <c r="J157" s="6">
        <v>1.0</v>
      </c>
      <c r="K157" s="6" t="s">
        <v>37</v>
      </c>
      <c r="L157" s="6">
        <v>500.0</v>
      </c>
      <c r="M157" s="5" t="s">
        <v>95</v>
      </c>
      <c r="N157" s="5" t="s">
        <v>38</v>
      </c>
      <c r="O157" s="6" t="s">
        <v>179</v>
      </c>
      <c r="P157" s="5" t="s">
        <v>41</v>
      </c>
      <c r="Q157" s="5"/>
      <c r="R157" s="17" t="s">
        <v>42</v>
      </c>
      <c r="S157" s="5" t="s">
        <v>141</v>
      </c>
      <c r="T157" s="5" t="s">
        <v>44</v>
      </c>
      <c r="U157" s="5" t="s">
        <v>44</v>
      </c>
      <c r="V157" s="5" t="s">
        <v>44</v>
      </c>
      <c r="W157" s="5" t="s">
        <v>36</v>
      </c>
      <c r="X157" s="5" t="s">
        <v>312</v>
      </c>
      <c r="Y157" s="5" t="s">
        <v>47</v>
      </c>
      <c r="Z157" s="5" t="s">
        <v>35</v>
      </c>
      <c r="AA157" s="5" t="s">
        <v>48</v>
      </c>
      <c r="AB157" s="5" t="s">
        <v>1118</v>
      </c>
      <c r="AC157" s="6" t="s">
        <v>50</v>
      </c>
      <c r="AD157" s="6">
        <v>5719.0</v>
      </c>
    </row>
    <row r="158" ht="56.25" customHeight="1">
      <c r="A158" s="5" t="s">
        <v>1115</v>
      </c>
      <c r="B158" s="6" t="str">
        <f>IMAGE("https://storage.googleapis.com/acdb/wall-mounted/FtrDoorOrnamentFossil_Remake_1_0.png")</f>
        <v/>
      </c>
      <c r="C158" s="5" t="s">
        <v>68</v>
      </c>
      <c r="D158" s="5" t="s">
        <v>135</v>
      </c>
      <c r="E158" s="5" t="s">
        <v>34</v>
      </c>
      <c r="F158" s="5" t="s">
        <v>34</v>
      </c>
      <c r="G158" s="5" t="s">
        <v>35</v>
      </c>
      <c r="H158" s="5" t="s">
        <v>35</v>
      </c>
      <c r="I158" s="5" t="s">
        <v>36</v>
      </c>
      <c r="J158" s="6">
        <v>1.0</v>
      </c>
      <c r="K158" s="6" t="s">
        <v>37</v>
      </c>
      <c r="L158" s="6">
        <v>500.0</v>
      </c>
      <c r="M158" s="5" t="s">
        <v>68</v>
      </c>
      <c r="N158" s="5" t="s">
        <v>38</v>
      </c>
      <c r="O158" s="6" t="s">
        <v>179</v>
      </c>
      <c r="P158" s="5" t="s">
        <v>41</v>
      </c>
      <c r="Q158" s="5"/>
      <c r="R158" s="17" t="s">
        <v>42</v>
      </c>
      <c r="S158" s="5" t="s">
        <v>141</v>
      </c>
      <c r="T158" s="5" t="s">
        <v>44</v>
      </c>
      <c r="U158" s="5" t="s">
        <v>44</v>
      </c>
      <c r="V158" s="5" t="s">
        <v>44</v>
      </c>
      <c r="W158" s="5" t="s">
        <v>36</v>
      </c>
      <c r="X158" s="5" t="s">
        <v>312</v>
      </c>
      <c r="Y158" s="5" t="s">
        <v>47</v>
      </c>
      <c r="Z158" s="5" t="s">
        <v>35</v>
      </c>
      <c r="AA158" s="5" t="s">
        <v>48</v>
      </c>
      <c r="AB158" s="5" t="s">
        <v>1122</v>
      </c>
      <c r="AC158" s="6" t="s">
        <v>56</v>
      </c>
      <c r="AD158" s="6">
        <v>5719.0</v>
      </c>
    </row>
    <row r="159" ht="56.25" customHeight="1">
      <c r="A159" s="5" t="s">
        <v>1123</v>
      </c>
      <c r="B159" s="6" t="str">
        <f>IMAGE("https://storage.googleapis.com/acdb/wall-mounted/FtrDoorOrnamentWreathFruit.png")</f>
        <v/>
      </c>
      <c r="C159" s="5" t="s">
        <v>34</v>
      </c>
      <c r="D159" s="5" t="s">
        <v>34</v>
      </c>
      <c r="E159" s="5" t="s">
        <v>34</v>
      </c>
      <c r="F159" s="5" t="s">
        <v>34</v>
      </c>
      <c r="G159" s="5" t="s">
        <v>35</v>
      </c>
      <c r="H159" s="5" t="s">
        <v>36</v>
      </c>
      <c r="I159" s="5" t="s">
        <v>36</v>
      </c>
      <c r="J159" s="6" t="s">
        <v>34</v>
      </c>
      <c r="K159" s="6" t="s">
        <v>37</v>
      </c>
      <c r="L159" s="6">
        <v>2000.0</v>
      </c>
      <c r="M159" s="5" t="s">
        <v>58</v>
      </c>
      <c r="N159" s="5" t="s">
        <v>58</v>
      </c>
      <c r="O159" s="6" t="s">
        <v>179</v>
      </c>
      <c r="P159" s="5" t="s">
        <v>41</v>
      </c>
      <c r="Q159" s="5"/>
      <c r="R159" s="17" t="s">
        <v>42</v>
      </c>
      <c r="S159" s="5" t="s">
        <v>61</v>
      </c>
      <c r="T159" s="5" t="s">
        <v>44</v>
      </c>
      <c r="U159" s="5" t="s">
        <v>338</v>
      </c>
      <c r="V159" s="5" t="s">
        <v>44</v>
      </c>
      <c r="W159" s="5" t="s">
        <v>36</v>
      </c>
      <c r="X159" s="5" t="s">
        <v>312</v>
      </c>
      <c r="Y159" s="5" t="s">
        <v>47</v>
      </c>
      <c r="Z159" s="5" t="s">
        <v>35</v>
      </c>
      <c r="AA159" s="5" t="s">
        <v>48</v>
      </c>
      <c r="AB159" s="5" t="s">
        <v>1128</v>
      </c>
      <c r="AC159" s="6" t="s">
        <v>34</v>
      </c>
      <c r="AD159" s="6">
        <v>4378.0</v>
      </c>
    </row>
    <row r="160" ht="56.25" customHeight="1">
      <c r="A160" s="5" t="s">
        <v>1130</v>
      </c>
      <c r="B160" s="6" t="str">
        <f>IMAGE("https://storage.googleapis.com/acdb/wall-mounted/FtrGearWall_Remake_0_0.png")</f>
        <v/>
      </c>
      <c r="C160" s="5" t="s">
        <v>146</v>
      </c>
      <c r="D160" s="5" t="s">
        <v>34</v>
      </c>
      <c r="E160" s="5" t="s">
        <v>34</v>
      </c>
      <c r="F160" s="5" t="s">
        <v>34</v>
      </c>
      <c r="G160" s="5" t="s">
        <v>36</v>
      </c>
      <c r="H160" s="5" t="s">
        <v>36</v>
      </c>
      <c r="I160" s="5" t="s">
        <v>36</v>
      </c>
      <c r="J160" s="6" t="s">
        <v>34</v>
      </c>
      <c r="K160" s="6">
        <v>1500.0</v>
      </c>
      <c r="L160" s="6">
        <v>375.0</v>
      </c>
      <c r="M160" s="5" t="s">
        <v>95</v>
      </c>
      <c r="N160" s="5" t="s">
        <v>95</v>
      </c>
      <c r="O160" s="6" t="s">
        <v>136</v>
      </c>
      <c r="P160" s="5" t="s">
        <v>59</v>
      </c>
      <c r="Q160" s="5" t="s">
        <v>122</v>
      </c>
      <c r="R160" s="17" t="s">
        <v>42</v>
      </c>
      <c r="S160" s="5" t="s">
        <v>141</v>
      </c>
      <c r="T160" s="5" t="s">
        <v>416</v>
      </c>
      <c r="U160" s="5" t="s">
        <v>44</v>
      </c>
      <c r="V160" s="5" t="s">
        <v>44</v>
      </c>
      <c r="W160" s="5" t="s">
        <v>35</v>
      </c>
      <c r="X160" s="5" t="s">
        <v>921</v>
      </c>
      <c r="Y160" s="5" t="s">
        <v>47</v>
      </c>
      <c r="Z160" s="5" t="s">
        <v>36</v>
      </c>
      <c r="AA160" s="5" t="s">
        <v>64</v>
      </c>
      <c r="AB160" s="5" t="s">
        <v>1136</v>
      </c>
      <c r="AC160" s="6" t="s">
        <v>50</v>
      </c>
      <c r="AD160" s="6">
        <v>7280.0</v>
      </c>
    </row>
    <row r="161" ht="56.25" customHeight="1">
      <c r="A161" s="5" t="s">
        <v>1130</v>
      </c>
      <c r="B161" s="6" t="str">
        <f>IMAGE("https://storage.googleapis.com/acdb/wall-mounted/FtrGearWall_Remake_1_0.png")</f>
        <v/>
      </c>
      <c r="C161" s="5" t="s">
        <v>296</v>
      </c>
      <c r="D161" s="5" t="s">
        <v>34</v>
      </c>
      <c r="E161" s="5" t="s">
        <v>34</v>
      </c>
      <c r="F161" s="5" t="s">
        <v>34</v>
      </c>
      <c r="G161" s="5" t="s">
        <v>36</v>
      </c>
      <c r="H161" s="5" t="s">
        <v>36</v>
      </c>
      <c r="I161" s="5" t="s">
        <v>36</v>
      </c>
      <c r="J161" s="6" t="s">
        <v>34</v>
      </c>
      <c r="K161" s="6">
        <v>1500.0</v>
      </c>
      <c r="L161" s="6">
        <v>375.0</v>
      </c>
      <c r="M161" s="5" t="s">
        <v>39</v>
      </c>
      <c r="N161" s="5" t="s">
        <v>39</v>
      </c>
      <c r="O161" s="6" t="s">
        <v>136</v>
      </c>
      <c r="P161" s="5" t="s">
        <v>59</v>
      </c>
      <c r="Q161" s="5" t="s">
        <v>122</v>
      </c>
      <c r="R161" s="17" t="s">
        <v>42</v>
      </c>
      <c r="S161" s="5" t="s">
        <v>141</v>
      </c>
      <c r="T161" s="5" t="s">
        <v>416</v>
      </c>
      <c r="U161" s="5" t="s">
        <v>44</v>
      </c>
      <c r="V161" s="5" t="s">
        <v>44</v>
      </c>
      <c r="W161" s="5" t="s">
        <v>35</v>
      </c>
      <c r="X161" s="5" t="s">
        <v>921</v>
      </c>
      <c r="Y161" s="5" t="s">
        <v>47</v>
      </c>
      <c r="Z161" s="5" t="s">
        <v>36</v>
      </c>
      <c r="AA161" s="5" t="s">
        <v>64</v>
      </c>
      <c r="AB161" s="5" t="s">
        <v>1144</v>
      </c>
      <c r="AC161" s="6" t="s">
        <v>56</v>
      </c>
      <c r="AD161" s="6">
        <v>7280.0</v>
      </c>
    </row>
    <row r="162" ht="56.25" customHeight="1">
      <c r="A162" s="5" t="s">
        <v>1130</v>
      </c>
      <c r="B162" s="6" t="str">
        <f>IMAGE("https://storage.googleapis.com/acdb/wall-mounted/FtrGearWall_Remake_2_0.png")</f>
        <v/>
      </c>
      <c r="C162" s="5" t="s">
        <v>54</v>
      </c>
      <c r="D162" s="5" t="s">
        <v>34</v>
      </c>
      <c r="E162" s="5" t="s">
        <v>34</v>
      </c>
      <c r="F162" s="5" t="s">
        <v>34</v>
      </c>
      <c r="G162" s="5" t="s">
        <v>36</v>
      </c>
      <c r="H162" s="5" t="s">
        <v>36</v>
      </c>
      <c r="I162" s="5" t="s">
        <v>36</v>
      </c>
      <c r="J162" s="6" t="s">
        <v>34</v>
      </c>
      <c r="K162" s="6">
        <v>1500.0</v>
      </c>
      <c r="L162" s="6">
        <v>375.0</v>
      </c>
      <c r="M162" s="5" t="s">
        <v>54</v>
      </c>
      <c r="N162" s="5" t="s">
        <v>54</v>
      </c>
      <c r="O162" s="6" t="s">
        <v>136</v>
      </c>
      <c r="P162" s="5" t="s">
        <v>59</v>
      </c>
      <c r="Q162" s="5" t="s">
        <v>122</v>
      </c>
      <c r="R162" s="17" t="s">
        <v>42</v>
      </c>
      <c r="S162" s="5" t="s">
        <v>141</v>
      </c>
      <c r="T162" s="5" t="s">
        <v>416</v>
      </c>
      <c r="U162" s="5" t="s">
        <v>44</v>
      </c>
      <c r="V162" s="5" t="s">
        <v>44</v>
      </c>
      <c r="W162" s="5" t="s">
        <v>35</v>
      </c>
      <c r="X162" s="5" t="s">
        <v>921</v>
      </c>
      <c r="Y162" s="5" t="s">
        <v>47</v>
      </c>
      <c r="Z162" s="5" t="s">
        <v>36</v>
      </c>
      <c r="AA162" s="5" t="s">
        <v>64</v>
      </c>
      <c r="AB162" s="5" t="s">
        <v>1148</v>
      </c>
      <c r="AC162" s="6" t="s">
        <v>67</v>
      </c>
      <c r="AD162" s="6">
        <v>7280.0</v>
      </c>
    </row>
    <row r="163" ht="56.25" customHeight="1">
      <c r="A163" s="5" t="s">
        <v>1130</v>
      </c>
      <c r="B163" s="6" t="str">
        <f>IMAGE("https://storage.googleapis.com/acdb/wall-mounted/FtrGearWall_Remake_3_0.png")</f>
        <v/>
      </c>
      <c r="C163" s="5" t="s">
        <v>58</v>
      </c>
      <c r="D163" s="5" t="s">
        <v>34</v>
      </c>
      <c r="E163" s="5" t="s">
        <v>34</v>
      </c>
      <c r="F163" s="5" t="s">
        <v>34</v>
      </c>
      <c r="G163" s="5" t="s">
        <v>36</v>
      </c>
      <c r="H163" s="5" t="s">
        <v>36</v>
      </c>
      <c r="I163" s="5" t="s">
        <v>36</v>
      </c>
      <c r="J163" s="6" t="s">
        <v>34</v>
      </c>
      <c r="K163" s="6">
        <v>1500.0</v>
      </c>
      <c r="L163" s="6">
        <v>375.0</v>
      </c>
      <c r="M163" s="5" t="s">
        <v>58</v>
      </c>
      <c r="N163" s="5" t="s">
        <v>58</v>
      </c>
      <c r="O163" s="6" t="s">
        <v>136</v>
      </c>
      <c r="P163" s="5" t="s">
        <v>59</v>
      </c>
      <c r="Q163" s="5" t="s">
        <v>122</v>
      </c>
      <c r="R163" s="17" t="s">
        <v>42</v>
      </c>
      <c r="S163" s="5" t="s">
        <v>141</v>
      </c>
      <c r="T163" s="5" t="s">
        <v>416</v>
      </c>
      <c r="U163" s="5" t="s">
        <v>44</v>
      </c>
      <c r="V163" s="5" t="s">
        <v>44</v>
      </c>
      <c r="W163" s="5" t="s">
        <v>35</v>
      </c>
      <c r="X163" s="5" t="s">
        <v>921</v>
      </c>
      <c r="Y163" s="5" t="s">
        <v>47</v>
      </c>
      <c r="Z163" s="5" t="s">
        <v>36</v>
      </c>
      <c r="AA163" s="5" t="s">
        <v>64</v>
      </c>
      <c r="AB163" s="5" t="s">
        <v>1155</v>
      </c>
      <c r="AC163" s="6" t="s">
        <v>71</v>
      </c>
      <c r="AD163" s="6">
        <v>7280.0</v>
      </c>
    </row>
    <row r="164" ht="56.25" customHeight="1">
      <c r="A164" s="5" t="s">
        <v>1130</v>
      </c>
      <c r="B164" s="6" t="str">
        <f>IMAGE("https://storage.googleapis.com/acdb/wall-mounted/FtrGearWall_Remake_4_0.png")</f>
        <v/>
      </c>
      <c r="C164" s="5" t="s">
        <v>836</v>
      </c>
      <c r="D164" s="5" t="s">
        <v>34</v>
      </c>
      <c r="E164" s="5" t="s">
        <v>34</v>
      </c>
      <c r="F164" s="5" t="s">
        <v>34</v>
      </c>
      <c r="G164" s="5" t="s">
        <v>36</v>
      </c>
      <c r="H164" s="5" t="s">
        <v>36</v>
      </c>
      <c r="I164" s="5" t="s">
        <v>36</v>
      </c>
      <c r="J164" s="6" t="s">
        <v>34</v>
      </c>
      <c r="K164" s="6">
        <v>1500.0</v>
      </c>
      <c r="L164" s="6">
        <v>375.0</v>
      </c>
      <c r="M164" s="5" t="s">
        <v>39</v>
      </c>
      <c r="N164" s="5" t="s">
        <v>38</v>
      </c>
      <c r="O164" s="6" t="s">
        <v>136</v>
      </c>
      <c r="P164" s="5" t="s">
        <v>59</v>
      </c>
      <c r="Q164" s="5" t="s">
        <v>122</v>
      </c>
      <c r="R164" s="17" t="s">
        <v>42</v>
      </c>
      <c r="S164" s="5" t="s">
        <v>141</v>
      </c>
      <c r="T164" s="5" t="s">
        <v>416</v>
      </c>
      <c r="U164" s="5" t="s">
        <v>44</v>
      </c>
      <c r="V164" s="5" t="s">
        <v>44</v>
      </c>
      <c r="W164" s="5" t="s">
        <v>35</v>
      </c>
      <c r="X164" s="5" t="s">
        <v>921</v>
      </c>
      <c r="Y164" s="5" t="s">
        <v>47</v>
      </c>
      <c r="Z164" s="5" t="s">
        <v>36</v>
      </c>
      <c r="AA164" s="5" t="s">
        <v>64</v>
      </c>
      <c r="AB164" s="5" t="s">
        <v>1160</v>
      </c>
      <c r="AC164" s="6" t="s">
        <v>75</v>
      </c>
      <c r="AD164" s="6">
        <v>7280.0</v>
      </c>
    </row>
    <row r="165" ht="56.25" customHeight="1">
      <c r="A165" s="5" t="s">
        <v>1162</v>
      </c>
      <c r="B165" s="6" t="str">
        <f>IMAGE("https://storage.googleapis.com/acdb/wall-mounted/FtrShieldHhaGold.png")</f>
        <v/>
      </c>
      <c r="C165" s="5" t="s">
        <v>34</v>
      </c>
      <c r="D165" s="5" t="s">
        <v>34</v>
      </c>
      <c r="E165" s="5" t="s">
        <v>34</v>
      </c>
      <c r="F165" s="5" t="s">
        <v>34</v>
      </c>
      <c r="G165" s="5" t="s">
        <v>36</v>
      </c>
      <c r="H165" s="5" t="s">
        <v>36</v>
      </c>
      <c r="I165" s="5" t="s">
        <v>36</v>
      </c>
      <c r="J165" s="6" t="s">
        <v>34</v>
      </c>
      <c r="K165" s="6" t="s">
        <v>37</v>
      </c>
      <c r="L165" s="6">
        <v>450.0</v>
      </c>
      <c r="M165" s="5" t="s">
        <v>39</v>
      </c>
      <c r="N165" s="5" t="s">
        <v>114</v>
      </c>
      <c r="O165" s="6" t="s">
        <v>179</v>
      </c>
      <c r="P165" s="5" t="s">
        <v>423</v>
      </c>
      <c r="Q165" s="5"/>
      <c r="R165" s="17" t="s">
        <v>42</v>
      </c>
      <c r="S165" s="5" t="s">
        <v>90</v>
      </c>
      <c r="T165" s="5" t="s">
        <v>116</v>
      </c>
      <c r="U165" s="5" t="s">
        <v>44</v>
      </c>
      <c r="V165" s="5" t="s">
        <v>44</v>
      </c>
      <c r="W165" s="5" t="s">
        <v>36</v>
      </c>
      <c r="X165" s="5" t="s">
        <v>206</v>
      </c>
      <c r="Y165" s="5" t="s">
        <v>47</v>
      </c>
      <c r="Z165" s="5" t="s">
        <v>36</v>
      </c>
      <c r="AA165" s="5" t="s">
        <v>48</v>
      </c>
      <c r="AB165" s="5" t="s">
        <v>1168</v>
      </c>
      <c r="AC165" s="6" t="s">
        <v>34</v>
      </c>
      <c r="AD165" s="6">
        <v>7035.0</v>
      </c>
    </row>
    <row r="166" ht="56.25" customHeight="1">
      <c r="A166" s="5" t="s">
        <v>1169</v>
      </c>
      <c r="B166" s="6" t="str">
        <f>IMAGE("https://storage.googleapis.com/acdb/wall-mounted/FtrDoorOrnamentWreathRoseGold.png")</f>
        <v/>
      </c>
      <c r="C166" s="5" t="s">
        <v>34</v>
      </c>
      <c r="D166" s="5" t="s">
        <v>34</v>
      </c>
      <c r="E166" s="5" t="s">
        <v>34</v>
      </c>
      <c r="F166" s="5" t="s">
        <v>34</v>
      </c>
      <c r="G166" s="5" t="s">
        <v>35</v>
      </c>
      <c r="H166" s="5" t="s">
        <v>36</v>
      </c>
      <c r="I166" s="5" t="s">
        <v>36</v>
      </c>
      <c r="J166" s="6" t="s">
        <v>34</v>
      </c>
      <c r="K166" s="6" t="s">
        <v>37</v>
      </c>
      <c r="L166" s="6">
        <v>20000.0</v>
      </c>
      <c r="M166" s="5" t="s">
        <v>114</v>
      </c>
      <c r="N166" s="5" t="s">
        <v>114</v>
      </c>
      <c r="O166" s="6" t="s">
        <v>179</v>
      </c>
      <c r="P166" s="5" t="s">
        <v>41</v>
      </c>
      <c r="Q166" s="5"/>
      <c r="R166" s="17" t="s">
        <v>42</v>
      </c>
      <c r="S166" s="5" t="s">
        <v>116</v>
      </c>
      <c r="T166" s="5" t="s">
        <v>44</v>
      </c>
      <c r="U166" s="5" t="s">
        <v>311</v>
      </c>
      <c r="V166" s="5" t="s">
        <v>44</v>
      </c>
      <c r="W166" s="5" t="s">
        <v>36</v>
      </c>
      <c r="X166" s="5" t="s">
        <v>312</v>
      </c>
      <c r="Y166" s="5" t="s">
        <v>47</v>
      </c>
      <c r="Z166" s="5" t="s">
        <v>35</v>
      </c>
      <c r="AA166" s="5" t="s">
        <v>48</v>
      </c>
      <c r="AB166" s="5" t="s">
        <v>1178</v>
      </c>
      <c r="AC166" s="6" t="s">
        <v>34</v>
      </c>
      <c r="AD166" s="6">
        <v>5820.0</v>
      </c>
    </row>
    <row r="167" ht="56.25" customHeight="1">
      <c r="A167" s="5" t="s">
        <v>1179</v>
      </c>
      <c r="B167" s="6" t="str">
        <f>IMAGE("https://storage.googleapis.com/acdb/wall-mounted/FtrGearWallGold.png")</f>
        <v/>
      </c>
      <c r="C167" s="5" t="s">
        <v>34</v>
      </c>
      <c r="D167" s="5" t="s">
        <v>34</v>
      </c>
      <c r="E167" s="5" t="s">
        <v>34</v>
      </c>
      <c r="F167" s="5" t="s">
        <v>34</v>
      </c>
      <c r="G167" s="5" t="s">
        <v>35</v>
      </c>
      <c r="H167" s="5" t="s">
        <v>36</v>
      </c>
      <c r="I167" s="5" t="s">
        <v>36</v>
      </c>
      <c r="J167" s="6" t="s">
        <v>34</v>
      </c>
      <c r="K167" s="6" t="s">
        <v>37</v>
      </c>
      <c r="L167" s="6">
        <v>11125.0</v>
      </c>
      <c r="M167" s="5" t="s">
        <v>114</v>
      </c>
      <c r="N167" s="5" t="s">
        <v>114</v>
      </c>
      <c r="O167" s="6" t="s">
        <v>136</v>
      </c>
      <c r="P167" s="5" t="s">
        <v>41</v>
      </c>
      <c r="Q167" s="5"/>
      <c r="R167" s="17" t="s">
        <v>42</v>
      </c>
      <c r="S167" s="5" t="s">
        <v>116</v>
      </c>
      <c r="T167" s="5" t="s">
        <v>44</v>
      </c>
      <c r="U167" s="5" t="s">
        <v>1182</v>
      </c>
      <c r="V167" s="5" t="s">
        <v>44</v>
      </c>
      <c r="W167" s="5" t="s">
        <v>35</v>
      </c>
      <c r="X167" s="5" t="s">
        <v>921</v>
      </c>
      <c r="Y167" s="5" t="s">
        <v>47</v>
      </c>
      <c r="Z167" s="5" t="s">
        <v>36</v>
      </c>
      <c r="AA167" s="5" t="s">
        <v>48</v>
      </c>
      <c r="AB167" s="5" t="s">
        <v>1183</v>
      </c>
      <c r="AC167" s="6" t="s">
        <v>34</v>
      </c>
      <c r="AD167" s="6">
        <v>11261.0</v>
      </c>
    </row>
    <row r="168" ht="56.25" customHeight="1">
      <c r="A168" s="5" t="s">
        <v>1184</v>
      </c>
      <c r="B168" s="6" t="str">
        <f>IMAGE("https://storage.googleapis.com/acdb/wall-mounted/FtrInsectTonosamabattaFace.png")</f>
        <v/>
      </c>
      <c r="C168" s="5" t="s">
        <v>34</v>
      </c>
      <c r="D168" s="5" t="s">
        <v>34</v>
      </c>
      <c r="E168" s="5" t="s">
        <v>34</v>
      </c>
      <c r="F168" s="5" t="s">
        <v>34</v>
      </c>
      <c r="G168" s="5" t="s">
        <v>36</v>
      </c>
      <c r="H168" s="5" t="s">
        <v>36</v>
      </c>
      <c r="I168" s="5" t="s">
        <v>36</v>
      </c>
      <c r="J168" s="6" t="s">
        <v>34</v>
      </c>
      <c r="K168" s="6">
        <v>1400.0</v>
      </c>
      <c r="L168" s="6">
        <v>350.0</v>
      </c>
      <c r="M168" s="5" t="s">
        <v>96</v>
      </c>
      <c r="N168" s="5" t="s">
        <v>96</v>
      </c>
      <c r="O168" s="6" t="s">
        <v>179</v>
      </c>
      <c r="P168" s="5" t="s">
        <v>59</v>
      </c>
      <c r="Q168" s="5" t="s">
        <v>122</v>
      </c>
      <c r="R168" s="17" t="s">
        <v>42</v>
      </c>
      <c r="S168" s="5" t="s">
        <v>141</v>
      </c>
      <c r="T168" s="5" t="s">
        <v>44</v>
      </c>
      <c r="U168" s="5" t="s">
        <v>44</v>
      </c>
      <c r="V168" s="5" t="s">
        <v>44</v>
      </c>
      <c r="W168" s="5" t="s">
        <v>36</v>
      </c>
      <c r="X168" s="5" t="s">
        <v>232</v>
      </c>
      <c r="Y168" s="5" t="s">
        <v>47</v>
      </c>
      <c r="Z168" s="5" t="s">
        <v>36</v>
      </c>
      <c r="AA168" s="5" t="s">
        <v>64</v>
      </c>
      <c r="AB168" s="5" t="s">
        <v>1188</v>
      </c>
      <c r="AC168" s="6" t="s">
        <v>34</v>
      </c>
      <c r="AD168" s="6">
        <v>11099.0</v>
      </c>
    </row>
    <row r="169" ht="56.25" customHeight="1">
      <c r="A169" s="5" t="s">
        <v>1189</v>
      </c>
      <c r="B169" s="6" t="str">
        <f>IMAGE("https://storage.googleapis.com/acdb/wall-mounted/FtrHangingscroll_Remake_0_0.png")</f>
        <v/>
      </c>
      <c r="C169" s="5" t="s">
        <v>96</v>
      </c>
      <c r="D169" s="5" t="s">
        <v>34</v>
      </c>
      <c r="E169" s="5" t="s">
        <v>1192</v>
      </c>
      <c r="F169" s="5" t="s">
        <v>373</v>
      </c>
      <c r="G169" s="5" t="s">
        <v>36</v>
      </c>
      <c r="H169" s="5" t="s">
        <v>36</v>
      </c>
      <c r="I169" s="5" t="s">
        <v>35</v>
      </c>
      <c r="J169" s="6">
        <v>7.0</v>
      </c>
      <c r="K169" s="6">
        <v>140000.0</v>
      </c>
      <c r="L169" s="6">
        <v>35000.0</v>
      </c>
      <c r="M169" s="5" t="s">
        <v>96</v>
      </c>
      <c r="N169" s="5" t="s">
        <v>57</v>
      </c>
      <c r="O169" s="6" t="s">
        <v>1193</v>
      </c>
      <c r="P169" s="5" t="s">
        <v>59</v>
      </c>
      <c r="Q169" s="5" t="s">
        <v>115</v>
      </c>
      <c r="R169" s="17" t="s">
        <v>42</v>
      </c>
      <c r="S169" s="5" t="s">
        <v>266</v>
      </c>
      <c r="T169" s="5" t="s">
        <v>116</v>
      </c>
      <c r="U169" s="5" t="s">
        <v>44</v>
      </c>
      <c r="V169" s="5" t="s">
        <v>44</v>
      </c>
      <c r="W169" s="5" t="s">
        <v>36</v>
      </c>
      <c r="X169" s="5" t="s">
        <v>650</v>
      </c>
      <c r="Y169" s="5" t="s">
        <v>47</v>
      </c>
      <c r="Z169" s="5" t="s">
        <v>36</v>
      </c>
      <c r="AA169" s="5" t="s">
        <v>64</v>
      </c>
      <c r="AB169" s="5" t="s">
        <v>1195</v>
      </c>
      <c r="AC169" s="6" t="s">
        <v>50</v>
      </c>
      <c r="AD169" s="6">
        <v>7282.0</v>
      </c>
    </row>
    <row r="170" ht="56.25" customHeight="1">
      <c r="A170" s="5" t="s">
        <v>1189</v>
      </c>
      <c r="B170" s="6" t="str">
        <f>IMAGE("https://storage.googleapis.com/acdb/wall-mounted/FtrHangingscroll_Remake_0_1.png")</f>
        <v/>
      </c>
      <c r="C170" s="5" t="s">
        <v>96</v>
      </c>
      <c r="D170" s="5" t="s">
        <v>34</v>
      </c>
      <c r="E170" s="5" t="s">
        <v>1198</v>
      </c>
      <c r="F170" s="5" t="s">
        <v>373</v>
      </c>
      <c r="G170" s="5" t="s">
        <v>36</v>
      </c>
      <c r="H170" s="5" t="s">
        <v>36</v>
      </c>
      <c r="I170" s="5" t="s">
        <v>35</v>
      </c>
      <c r="J170" s="6">
        <v>7.0</v>
      </c>
      <c r="K170" s="6">
        <v>140000.0</v>
      </c>
      <c r="L170" s="6">
        <v>35000.0</v>
      </c>
      <c r="M170" s="5" t="s">
        <v>96</v>
      </c>
      <c r="N170" s="5" t="s">
        <v>95</v>
      </c>
      <c r="O170" s="6" t="s">
        <v>1193</v>
      </c>
      <c r="P170" s="5" t="s">
        <v>59</v>
      </c>
      <c r="Q170" s="5" t="s">
        <v>115</v>
      </c>
      <c r="R170" s="17" t="s">
        <v>42</v>
      </c>
      <c r="S170" s="5" t="s">
        <v>266</v>
      </c>
      <c r="T170" s="5" t="s">
        <v>116</v>
      </c>
      <c r="U170" s="5" t="s">
        <v>44</v>
      </c>
      <c r="V170" s="5" t="s">
        <v>44</v>
      </c>
      <c r="W170" s="5" t="s">
        <v>36</v>
      </c>
      <c r="X170" s="5" t="s">
        <v>650</v>
      </c>
      <c r="Y170" s="5" t="s">
        <v>47</v>
      </c>
      <c r="Z170" s="5" t="s">
        <v>36</v>
      </c>
      <c r="AA170" s="5" t="s">
        <v>64</v>
      </c>
      <c r="AB170" s="5" t="s">
        <v>1203</v>
      </c>
      <c r="AC170" s="6" t="s">
        <v>217</v>
      </c>
      <c r="AD170" s="6">
        <v>7282.0</v>
      </c>
    </row>
    <row r="171" ht="56.25" customHeight="1">
      <c r="A171" s="5" t="s">
        <v>1189</v>
      </c>
      <c r="B171" s="6" t="str">
        <f>IMAGE("https://storage.googleapis.com/acdb/wall-mounted/FtrHangingscroll_Remake_0_2.png")</f>
        <v/>
      </c>
      <c r="C171" s="5" t="s">
        <v>96</v>
      </c>
      <c r="D171" s="5" t="s">
        <v>34</v>
      </c>
      <c r="E171" s="5" t="s">
        <v>219</v>
      </c>
      <c r="F171" s="5" t="s">
        <v>373</v>
      </c>
      <c r="G171" s="5" t="s">
        <v>36</v>
      </c>
      <c r="H171" s="5" t="s">
        <v>36</v>
      </c>
      <c r="I171" s="5" t="s">
        <v>35</v>
      </c>
      <c r="J171" s="6">
        <v>7.0</v>
      </c>
      <c r="K171" s="6">
        <v>140000.0</v>
      </c>
      <c r="L171" s="6">
        <v>35000.0</v>
      </c>
      <c r="M171" s="5" t="s">
        <v>96</v>
      </c>
      <c r="N171" s="5" t="s">
        <v>142</v>
      </c>
      <c r="O171" s="6" t="s">
        <v>1193</v>
      </c>
      <c r="P171" s="5" t="s">
        <v>59</v>
      </c>
      <c r="Q171" s="5" t="s">
        <v>115</v>
      </c>
      <c r="R171" s="17" t="s">
        <v>42</v>
      </c>
      <c r="S171" s="5" t="s">
        <v>266</v>
      </c>
      <c r="T171" s="5" t="s">
        <v>116</v>
      </c>
      <c r="U171" s="5" t="s">
        <v>44</v>
      </c>
      <c r="V171" s="5" t="s">
        <v>44</v>
      </c>
      <c r="W171" s="5" t="s">
        <v>36</v>
      </c>
      <c r="X171" s="5" t="s">
        <v>650</v>
      </c>
      <c r="Y171" s="5" t="s">
        <v>47</v>
      </c>
      <c r="Z171" s="5" t="s">
        <v>36</v>
      </c>
      <c r="AA171" s="5" t="s">
        <v>64</v>
      </c>
      <c r="AB171" s="5" t="s">
        <v>1206</v>
      </c>
      <c r="AC171" s="6" t="s">
        <v>347</v>
      </c>
      <c r="AD171" s="6">
        <v>7282.0</v>
      </c>
    </row>
    <row r="172" ht="56.25" customHeight="1">
      <c r="A172" s="5" t="s">
        <v>1189</v>
      </c>
      <c r="B172" s="6" t="str">
        <f>IMAGE("https://storage.googleapis.com/acdb/wall-mounted/FtrHangingscroll_Remake_0_3.png")</f>
        <v/>
      </c>
      <c r="C172" s="5" t="s">
        <v>96</v>
      </c>
      <c r="D172" s="5" t="s">
        <v>34</v>
      </c>
      <c r="E172" s="5" t="s">
        <v>1210</v>
      </c>
      <c r="F172" s="5" t="s">
        <v>373</v>
      </c>
      <c r="G172" s="5" t="s">
        <v>36</v>
      </c>
      <c r="H172" s="5" t="s">
        <v>36</v>
      </c>
      <c r="I172" s="5" t="s">
        <v>35</v>
      </c>
      <c r="J172" s="6">
        <v>7.0</v>
      </c>
      <c r="K172" s="6">
        <v>140000.0</v>
      </c>
      <c r="L172" s="6">
        <v>35000.0</v>
      </c>
      <c r="M172" s="5" t="s">
        <v>96</v>
      </c>
      <c r="N172" s="5" t="s">
        <v>142</v>
      </c>
      <c r="O172" s="6" t="s">
        <v>1193</v>
      </c>
      <c r="P172" s="5" t="s">
        <v>59</v>
      </c>
      <c r="Q172" s="5" t="s">
        <v>115</v>
      </c>
      <c r="R172" s="17" t="s">
        <v>42</v>
      </c>
      <c r="S172" s="5" t="s">
        <v>266</v>
      </c>
      <c r="T172" s="5" t="s">
        <v>116</v>
      </c>
      <c r="U172" s="5" t="s">
        <v>44</v>
      </c>
      <c r="V172" s="5" t="s">
        <v>44</v>
      </c>
      <c r="W172" s="5" t="s">
        <v>36</v>
      </c>
      <c r="X172" s="5" t="s">
        <v>650</v>
      </c>
      <c r="Y172" s="5" t="s">
        <v>47</v>
      </c>
      <c r="Z172" s="5" t="s">
        <v>36</v>
      </c>
      <c r="AA172" s="5" t="s">
        <v>64</v>
      </c>
      <c r="AB172" s="5" t="s">
        <v>1213</v>
      </c>
      <c r="AC172" s="6" t="s">
        <v>354</v>
      </c>
      <c r="AD172" s="6">
        <v>7282.0</v>
      </c>
    </row>
    <row r="173" ht="56.25" customHeight="1">
      <c r="A173" s="5" t="s">
        <v>1189</v>
      </c>
      <c r="B173" s="6" t="str">
        <f>IMAGE("https://storage.googleapis.com/acdb/wall-mounted/FtrHangingscroll_Remake_0_4.png")</f>
        <v/>
      </c>
      <c r="C173" s="5" t="s">
        <v>96</v>
      </c>
      <c r="D173" s="5" t="s">
        <v>34</v>
      </c>
      <c r="E173" s="5" t="s">
        <v>581</v>
      </c>
      <c r="F173" s="5" t="s">
        <v>373</v>
      </c>
      <c r="G173" s="5" t="s">
        <v>36</v>
      </c>
      <c r="H173" s="5" t="s">
        <v>36</v>
      </c>
      <c r="I173" s="5" t="s">
        <v>35</v>
      </c>
      <c r="J173" s="6">
        <v>7.0</v>
      </c>
      <c r="K173" s="6">
        <v>140000.0</v>
      </c>
      <c r="L173" s="6">
        <v>35000.0</v>
      </c>
      <c r="M173" s="5" t="s">
        <v>96</v>
      </c>
      <c r="N173" s="5" t="s">
        <v>38</v>
      </c>
      <c r="O173" s="6" t="s">
        <v>1193</v>
      </c>
      <c r="P173" s="5" t="s">
        <v>59</v>
      </c>
      <c r="Q173" s="5" t="s">
        <v>115</v>
      </c>
      <c r="R173" s="17" t="s">
        <v>42</v>
      </c>
      <c r="S173" s="5" t="s">
        <v>266</v>
      </c>
      <c r="T173" s="5" t="s">
        <v>116</v>
      </c>
      <c r="U173" s="5" t="s">
        <v>44</v>
      </c>
      <c r="V173" s="5" t="s">
        <v>44</v>
      </c>
      <c r="W173" s="5" t="s">
        <v>36</v>
      </c>
      <c r="X173" s="5" t="s">
        <v>650</v>
      </c>
      <c r="Y173" s="5" t="s">
        <v>47</v>
      </c>
      <c r="Z173" s="5" t="s">
        <v>36</v>
      </c>
      <c r="AA173" s="5" t="s">
        <v>64</v>
      </c>
      <c r="AB173" s="5" t="s">
        <v>1218</v>
      </c>
      <c r="AC173" s="6" t="s">
        <v>486</v>
      </c>
      <c r="AD173" s="6">
        <v>7282.0</v>
      </c>
    </row>
    <row r="174" ht="56.25" customHeight="1">
      <c r="A174" s="5" t="s">
        <v>1189</v>
      </c>
      <c r="B174" s="6" t="str">
        <f>IMAGE("https://storage.googleapis.com/acdb/wall-mounted/FtrHangingscroll_Remake_1_0.png")</f>
        <v/>
      </c>
      <c r="C174" s="5" t="s">
        <v>39</v>
      </c>
      <c r="D174" s="5" t="s">
        <v>34</v>
      </c>
      <c r="E174" s="5" t="s">
        <v>1192</v>
      </c>
      <c r="F174" s="5" t="s">
        <v>373</v>
      </c>
      <c r="G174" s="5" t="s">
        <v>36</v>
      </c>
      <c r="H174" s="5" t="s">
        <v>36</v>
      </c>
      <c r="I174" s="5" t="s">
        <v>35</v>
      </c>
      <c r="J174" s="6">
        <v>7.0</v>
      </c>
      <c r="K174" s="6">
        <v>140000.0</v>
      </c>
      <c r="L174" s="6">
        <v>35000.0</v>
      </c>
      <c r="M174" s="5" t="s">
        <v>39</v>
      </c>
      <c r="N174" s="5" t="s">
        <v>57</v>
      </c>
      <c r="O174" s="6" t="s">
        <v>1193</v>
      </c>
      <c r="P174" s="5" t="s">
        <v>59</v>
      </c>
      <c r="Q174" s="5" t="s">
        <v>115</v>
      </c>
      <c r="R174" s="17" t="s">
        <v>42</v>
      </c>
      <c r="S174" s="5" t="s">
        <v>266</v>
      </c>
      <c r="T174" s="5" t="s">
        <v>116</v>
      </c>
      <c r="U174" s="5" t="s">
        <v>44</v>
      </c>
      <c r="V174" s="5" t="s">
        <v>44</v>
      </c>
      <c r="W174" s="5" t="s">
        <v>36</v>
      </c>
      <c r="X174" s="5" t="s">
        <v>650</v>
      </c>
      <c r="Y174" s="5" t="s">
        <v>47</v>
      </c>
      <c r="Z174" s="5" t="s">
        <v>36</v>
      </c>
      <c r="AA174" s="5" t="s">
        <v>64</v>
      </c>
      <c r="AB174" s="5" t="s">
        <v>1221</v>
      </c>
      <c r="AC174" s="6" t="s">
        <v>56</v>
      </c>
      <c r="AD174" s="6">
        <v>7282.0</v>
      </c>
    </row>
    <row r="175" ht="56.25" customHeight="1">
      <c r="A175" s="5" t="s">
        <v>1189</v>
      </c>
      <c r="B175" s="6" t="str">
        <f>IMAGE("https://storage.googleapis.com/acdb/wall-mounted/FtrHangingscroll_Remake_1_1.png")</f>
        <v/>
      </c>
      <c r="C175" s="5" t="s">
        <v>39</v>
      </c>
      <c r="D175" s="5" t="s">
        <v>34</v>
      </c>
      <c r="E175" s="5" t="s">
        <v>1198</v>
      </c>
      <c r="F175" s="5" t="s">
        <v>373</v>
      </c>
      <c r="G175" s="5" t="s">
        <v>36</v>
      </c>
      <c r="H175" s="5" t="s">
        <v>36</v>
      </c>
      <c r="I175" s="5" t="s">
        <v>35</v>
      </c>
      <c r="J175" s="6">
        <v>7.0</v>
      </c>
      <c r="K175" s="6">
        <v>140000.0</v>
      </c>
      <c r="L175" s="6">
        <v>35000.0</v>
      </c>
      <c r="M175" s="5" t="s">
        <v>39</v>
      </c>
      <c r="N175" s="5" t="s">
        <v>95</v>
      </c>
      <c r="O175" s="6" t="s">
        <v>1193</v>
      </c>
      <c r="P175" s="5" t="s">
        <v>59</v>
      </c>
      <c r="Q175" s="5" t="s">
        <v>115</v>
      </c>
      <c r="R175" s="17" t="s">
        <v>42</v>
      </c>
      <c r="S175" s="5" t="s">
        <v>266</v>
      </c>
      <c r="T175" s="5" t="s">
        <v>116</v>
      </c>
      <c r="U175" s="5" t="s">
        <v>44</v>
      </c>
      <c r="V175" s="5" t="s">
        <v>44</v>
      </c>
      <c r="W175" s="5" t="s">
        <v>36</v>
      </c>
      <c r="X175" s="5" t="s">
        <v>650</v>
      </c>
      <c r="Y175" s="5" t="s">
        <v>47</v>
      </c>
      <c r="Z175" s="5" t="s">
        <v>36</v>
      </c>
      <c r="AA175" s="5" t="s">
        <v>64</v>
      </c>
      <c r="AB175" s="5" t="s">
        <v>1225</v>
      </c>
      <c r="AC175" s="6" t="s">
        <v>234</v>
      </c>
      <c r="AD175" s="6">
        <v>7282.0</v>
      </c>
    </row>
    <row r="176" ht="56.25" customHeight="1">
      <c r="A176" s="5" t="s">
        <v>1189</v>
      </c>
      <c r="B176" s="6" t="str">
        <f>IMAGE("https://storage.googleapis.com/acdb/wall-mounted/FtrHangingscroll_Remake_1_2.png")</f>
        <v/>
      </c>
      <c r="C176" s="5" t="s">
        <v>39</v>
      </c>
      <c r="D176" s="5" t="s">
        <v>34</v>
      </c>
      <c r="E176" s="5" t="s">
        <v>219</v>
      </c>
      <c r="F176" s="5" t="s">
        <v>373</v>
      </c>
      <c r="G176" s="5" t="s">
        <v>36</v>
      </c>
      <c r="H176" s="5" t="s">
        <v>36</v>
      </c>
      <c r="I176" s="5" t="s">
        <v>35</v>
      </c>
      <c r="J176" s="6">
        <v>7.0</v>
      </c>
      <c r="K176" s="6">
        <v>140000.0</v>
      </c>
      <c r="L176" s="6">
        <v>35000.0</v>
      </c>
      <c r="M176" s="5" t="s">
        <v>39</v>
      </c>
      <c r="N176" s="5" t="s">
        <v>142</v>
      </c>
      <c r="O176" s="6" t="s">
        <v>1193</v>
      </c>
      <c r="P176" s="5" t="s">
        <v>59</v>
      </c>
      <c r="Q176" s="5" t="s">
        <v>115</v>
      </c>
      <c r="R176" s="17" t="s">
        <v>42</v>
      </c>
      <c r="S176" s="5" t="s">
        <v>266</v>
      </c>
      <c r="T176" s="5" t="s">
        <v>116</v>
      </c>
      <c r="U176" s="5" t="s">
        <v>44</v>
      </c>
      <c r="V176" s="5" t="s">
        <v>44</v>
      </c>
      <c r="W176" s="5" t="s">
        <v>36</v>
      </c>
      <c r="X176" s="5" t="s">
        <v>650</v>
      </c>
      <c r="Y176" s="5" t="s">
        <v>47</v>
      </c>
      <c r="Z176" s="5" t="s">
        <v>36</v>
      </c>
      <c r="AA176" s="5" t="s">
        <v>64</v>
      </c>
      <c r="AB176" s="5" t="s">
        <v>1229</v>
      </c>
      <c r="AC176" s="6" t="s">
        <v>370</v>
      </c>
      <c r="AD176" s="6">
        <v>7282.0</v>
      </c>
    </row>
    <row r="177" ht="56.25" customHeight="1">
      <c r="A177" s="5" t="s">
        <v>1189</v>
      </c>
      <c r="B177" s="6" t="str">
        <f>IMAGE("https://storage.googleapis.com/acdb/wall-mounted/FtrHangingscroll_Remake_1_3.png")</f>
        <v/>
      </c>
      <c r="C177" s="5" t="s">
        <v>39</v>
      </c>
      <c r="D177" s="5" t="s">
        <v>34</v>
      </c>
      <c r="E177" s="5" t="s">
        <v>1210</v>
      </c>
      <c r="F177" s="5" t="s">
        <v>373</v>
      </c>
      <c r="G177" s="5" t="s">
        <v>36</v>
      </c>
      <c r="H177" s="5" t="s">
        <v>36</v>
      </c>
      <c r="I177" s="5" t="s">
        <v>35</v>
      </c>
      <c r="J177" s="6">
        <v>7.0</v>
      </c>
      <c r="K177" s="6">
        <v>140000.0</v>
      </c>
      <c r="L177" s="6">
        <v>35000.0</v>
      </c>
      <c r="M177" s="5" t="s">
        <v>39</v>
      </c>
      <c r="N177" s="5" t="s">
        <v>142</v>
      </c>
      <c r="O177" s="6" t="s">
        <v>1193</v>
      </c>
      <c r="P177" s="5" t="s">
        <v>59</v>
      </c>
      <c r="Q177" s="5" t="s">
        <v>115</v>
      </c>
      <c r="R177" s="17" t="s">
        <v>42</v>
      </c>
      <c r="S177" s="5" t="s">
        <v>266</v>
      </c>
      <c r="T177" s="5" t="s">
        <v>116</v>
      </c>
      <c r="U177" s="5" t="s">
        <v>44</v>
      </c>
      <c r="V177" s="5" t="s">
        <v>44</v>
      </c>
      <c r="W177" s="5" t="s">
        <v>36</v>
      </c>
      <c r="X177" s="5" t="s">
        <v>650</v>
      </c>
      <c r="Y177" s="5" t="s">
        <v>47</v>
      </c>
      <c r="Z177" s="5" t="s">
        <v>36</v>
      </c>
      <c r="AA177" s="5" t="s">
        <v>64</v>
      </c>
      <c r="AB177" s="5" t="s">
        <v>1240</v>
      </c>
      <c r="AC177" s="6" t="s">
        <v>377</v>
      </c>
      <c r="AD177" s="6">
        <v>7282.0</v>
      </c>
    </row>
    <row r="178" ht="56.25" customHeight="1">
      <c r="A178" s="5" t="s">
        <v>1189</v>
      </c>
      <c r="B178" s="6" t="str">
        <f>IMAGE("https://storage.googleapis.com/acdb/wall-mounted/FtrHangingscroll_Remake_1_4.png")</f>
        <v/>
      </c>
      <c r="C178" s="5" t="s">
        <v>39</v>
      </c>
      <c r="D178" s="5" t="s">
        <v>34</v>
      </c>
      <c r="E178" s="5" t="s">
        <v>581</v>
      </c>
      <c r="F178" s="5" t="s">
        <v>373</v>
      </c>
      <c r="G178" s="5" t="s">
        <v>36</v>
      </c>
      <c r="H178" s="5" t="s">
        <v>36</v>
      </c>
      <c r="I178" s="5" t="s">
        <v>35</v>
      </c>
      <c r="J178" s="6">
        <v>7.0</v>
      </c>
      <c r="K178" s="6">
        <v>140000.0</v>
      </c>
      <c r="L178" s="6">
        <v>35000.0</v>
      </c>
      <c r="M178" s="5" t="s">
        <v>39</v>
      </c>
      <c r="N178" s="5" t="s">
        <v>38</v>
      </c>
      <c r="O178" s="6" t="s">
        <v>1193</v>
      </c>
      <c r="P178" s="5" t="s">
        <v>59</v>
      </c>
      <c r="Q178" s="5" t="s">
        <v>115</v>
      </c>
      <c r="R178" s="17" t="s">
        <v>42</v>
      </c>
      <c r="S178" s="5" t="s">
        <v>266</v>
      </c>
      <c r="T178" s="5" t="s">
        <v>116</v>
      </c>
      <c r="U178" s="5" t="s">
        <v>44</v>
      </c>
      <c r="V178" s="5" t="s">
        <v>44</v>
      </c>
      <c r="W178" s="5" t="s">
        <v>36</v>
      </c>
      <c r="X178" s="5" t="s">
        <v>650</v>
      </c>
      <c r="Y178" s="5" t="s">
        <v>47</v>
      </c>
      <c r="Z178" s="5" t="s">
        <v>36</v>
      </c>
      <c r="AA178" s="5" t="s">
        <v>64</v>
      </c>
      <c r="AB178" s="5" t="s">
        <v>1247</v>
      </c>
      <c r="AC178" s="6" t="s">
        <v>520</v>
      </c>
      <c r="AD178" s="6">
        <v>7282.0</v>
      </c>
    </row>
    <row r="179" ht="56.25" customHeight="1">
      <c r="A179" s="5" t="s">
        <v>1189</v>
      </c>
      <c r="B179" s="6" t="str">
        <f>IMAGE("https://storage.googleapis.com/acdb/wall-mounted/FtrHangingscroll_Remake_2_0.png")</f>
        <v/>
      </c>
      <c r="C179" s="5" t="s">
        <v>69</v>
      </c>
      <c r="D179" s="5" t="s">
        <v>34</v>
      </c>
      <c r="E179" s="5" t="s">
        <v>1192</v>
      </c>
      <c r="F179" s="5" t="s">
        <v>373</v>
      </c>
      <c r="G179" s="5" t="s">
        <v>36</v>
      </c>
      <c r="H179" s="5" t="s">
        <v>36</v>
      </c>
      <c r="I179" s="5" t="s">
        <v>35</v>
      </c>
      <c r="J179" s="6">
        <v>7.0</v>
      </c>
      <c r="K179" s="6">
        <v>140000.0</v>
      </c>
      <c r="L179" s="6">
        <v>35000.0</v>
      </c>
      <c r="M179" s="5" t="s">
        <v>69</v>
      </c>
      <c r="N179" s="5" t="s">
        <v>57</v>
      </c>
      <c r="O179" s="6" t="s">
        <v>1193</v>
      </c>
      <c r="P179" s="5" t="s">
        <v>59</v>
      </c>
      <c r="Q179" s="5" t="s">
        <v>115</v>
      </c>
      <c r="R179" s="17" t="s">
        <v>42</v>
      </c>
      <c r="S179" s="5" t="s">
        <v>266</v>
      </c>
      <c r="T179" s="5" t="s">
        <v>116</v>
      </c>
      <c r="U179" s="5" t="s">
        <v>44</v>
      </c>
      <c r="V179" s="5" t="s">
        <v>44</v>
      </c>
      <c r="W179" s="5" t="s">
        <v>36</v>
      </c>
      <c r="X179" s="5" t="s">
        <v>650</v>
      </c>
      <c r="Y179" s="5" t="s">
        <v>47</v>
      </c>
      <c r="Z179" s="5" t="s">
        <v>36</v>
      </c>
      <c r="AA179" s="5" t="s">
        <v>64</v>
      </c>
      <c r="AB179" s="5" t="s">
        <v>1252</v>
      </c>
      <c r="AC179" s="6" t="s">
        <v>67</v>
      </c>
      <c r="AD179" s="6">
        <v>7282.0</v>
      </c>
    </row>
    <row r="180" ht="56.25" customHeight="1">
      <c r="A180" s="5" t="s">
        <v>1189</v>
      </c>
      <c r="B180" s="6" t="str">
        <f>IMAGE("https://storage.googleapis.com/acdb/wall-mounted/FtrHangingscroll_Remake_2_1.png")</f>
        <v/>
      </c>
      <c r="C180" s="5" t="s">
        <v>69</v>
      </c>
      <c r="D180" s="5" t="s">
        <v>34</v>
      </c>
      <c r="E180" s="5" t="s">
        <v>1198</v>
      </c>
      <c r="F180" s="5" t="s">
        <v>373</v>
      </c>
      <c r="G180" s="5" t="s">
        <v>36</v>
      </c>
      <c r="H180" s="5" t="s">
        <v>36</v>
      </c>
      <c r="I180" s="5" t="s">
        <v>35</v>
      </c>
      <c r="J180" s="6">
        <v>7.0</v>
      </c>
      <c r="K180" s="6">
        <v>140000.0</v>
      </c>
      <c r="L180" s="6">
        <v>35000.0</v>
      </c>
      <c r="M180" s="5" t="s">
        <v>69</v>
      </c>
      <c r="N180" s="5" t="s">
        <v>95</v>
      </c>
      <c r="O180" s="6" t="s">
        <v>1193</v>
      </c>
      <c r="P180" s="5" t="s">
        <v>59</v>
      </c>
      <c r="Q180" s="5" t="s">
        <v>115</v>
      </c>
      <c r="R180" s="17" t="s">
        <v>42</v>
      </c>
      <c r="S180" s="5" t="s">
        <v>266</v>
      </c>
      <c r="T180" s="5" t="s">
        <v>116</v>
      </c>
      <c r="U180" s="5" t="s">
        <v>44</v>
      </c>
      <c r="V180" s="5" t="s">
        <v>44</v>
      </c>
      <c r="W180" s="5" t="s">
        <v>36</v>
      </c>
      <c r="X180" s="5" t="s">
        <v>650</v>
      </c>
      <c r="Y180" s="5" t="s">
        <v>47</v>
      </c>
      <c r="Z180" s="5" t="s">
        <v>36</v>
      </c>
      <c r="AA180" s="5" t="s">
        <v>64</v>
      </c>
      <c r="AB180" s="5" t="s">
        <v>1259</v>
      </c>
      <c r="AC180" s="6" t="s">
        <v>247</v>
      </c>
      <c r="AD180" s="6">
        <v>7282.0</v>
      </c>
    </row>
    <row r="181" ht="56.25" customHeight="1">
      <c r="A181" s="5" t="s">
        <v>1189</v>
      </c>
      <c r="B181" s="6" t="str">
        <f>IMAGE("https://storage.googleapis.com/acdb/wall-mounted/FtrHangingscroll_Remake_2_2.png")</f>
        <v/>
      </c>
      <c r="C181" s="5" t="s">
        <v>69</v>
      </c>
      <c r="D181" s="5" t="s">
        <v>34</v>
      </c>
      <c r="E181" s="5" t="s">
        <v>219</v>
      </c>
      <c r="F181" s="5" t="s">
        <v>373</v>
      </c>
      <c r="G181" s="5" t="s">
        <v>36</v>
      </c>
      <c r="H181" s="5" t="s">
        <v>36</v>
      </c>
      <c r="I181" s="5" t="s">
        <v>35</v>
      </c>
      <c r="J181" s="6">
        <v>7.0</v>
      </c>
      <c r="K181" s="6">
        <v>140000.0</v>
      </c>
      <c r="L181" s="6">
        <v>35000.0</v>
      </c>
      <c r="M181" s="5" t="s">
        <v>69</v>
      </c>
      <c r="N181" s="5" t="s">
        <v>142</v>
      </c>
      <c r="O181" s="6" t="s">
        <v>1193</v>
      </c>
      <c r="P181" s="5" t="s">
        <v>59</v>
      </c>
      <c r="Q181" s="5" t="s">
        <v>115</v>
      </c>
      <c r="R181" s="17" t="s">
        <v>42</v>
      </c>
      <c r="S181" s="5" t="s">
        <v>266</v>
      </c>
      <c r="T181" s="5" t="s">
        <v>116</v>
      </c>
      <c r="U181" s="5" t="s">
        <v>44</v>
      </c>
      <c r="V181" s="5" t="s">
        <v>44</v>
      </c>
      <c r="W181" s="5" t="s">
        <v>36</v>
      </c>
      <c r="X181" s="5" t="s">
        <v>650</v>
      </c>
      <c r="Y181" s="5" t="s">
        <v>47</v>
      </c>
      <c r="Z181" s="5" t="s">
        <v>36</v>
      </c>
      <c r="AA181" s="5" t="s">
        <v>64</v>
      </c>
      <c r="AB181" s="5" t="s">
        <v>1266</v>
      </c>
      <c r="AC181" s="6" t="s">
        <v>390</v>
      </c>
      <c r="AD181" s="6">
        <v>7282.0</v>
      </c>
    </row>
    <row r="182" ht="56.25" customHeight="1">
      <c r="A182" s="5" t="s">
        <v>1189</v>
      </c>
      <c r="B182" s="6" t="str">
        <f>IMAGE("https://storage.googleapis.com/acdb/wall-mounted/FtrHangingscroll_Remake_2_3.png")</f>
        <v/>
      </c>
      <c r="C182" s="5" t="s">
        <v>69</v>
      </c>
      <c r="D182" s="5" t="s">
        <v>34</v>
      </c>
      <c r="E182" s="5" t="s">
        <v>1210</v>
      </c>
      <c r="F182" s="5" t="s">
        <v>373</v>
      </c>
      <c r="G182" s="5" t="s">
        <v>36</v>
      </c>
      <c r="H182" s="5" t="s">
        <v>36</v>
      </c>
      <c r="I182" s="5" t="s">
        <v>35</v>
      </c>
      <c r="J182" s="6">
        <v>7.0</v>
      </c>
      <c r="K182" s="6">
        <v>140000.0</v>
      </c>
      <c r="L182" s="6">
        <v>35000.0</v>
      </c>
      <c r="M182" s="5" t="s">
        <v>69</v>
      </c>
      <c r="N182" s="5" t="s">
        <v>142</v>
      </c>
      <c r="O182" s="6" t="s">
        <v>1193</v>
      </c>
      <c r="P182" s="5" t="s">
        <v>59</v>
      </c>
      <c r="Q182" s="5" t="s">
        <v>115</v>
      </c>
      <c r="R182" s="17" t="s">
        <v>42</v>
      </c>
      <c r="S182" s="5" t="s">
        <v>266</v>
      </c>
      <c r="T182" s="5" t="s">
        <v>116</v>
      </c>
      <c r="U182" s="5" t="s">
        <v>44</v>
      </c>
      <c r="V182" s="5" t="s">
        <v>44</v>
      </c>
      <c r="W182" s="5" t="s">
        <v>36</v>
      </c>
      <c r="X182" s="5" t="s">
        <v>650</v>
      </c>
      <c r="Y182" s="5" t="s">
        <v>47</v>
      </c>
      <c r="Z182" s="5" t="s">
        <v>36</v>
      </c>
      <c r="AA182" s="5" t="s">
        <v>64</v>
      </c>
      <c r="AB182" s="5" t="s">
        <v>1270</v>
      </c>
      <c r="AC182" s="6" t="s">
        <v>396</v>
      </c>
      <c r="AD182" s="6">
        <v>7282.0</v>
      </c>
    </row>
    <row r="183" ht="56.25" customHeight="1">
      <c r="A183" s="5" t="s">
        <v>1189</v>
      </c>
      <c r="B183" s="6" t="str">
        <f>IMAGE("https://storage.googleapis.com/acdb/wall-mounted/FtrHangingscroll_Remake_2_4.png")</f>
        <v/>
      </c>
      <c r="C183" s="5" t="s">
        <v>69</v>
      </c>
      <c r="D183" s="5" t="s">
        <v>34</v>
      </c>
      <c r="E183" s="5" t="s">
        <v>581</v>
      </c>
      <c r="F183" s="5" t="s">
        <v>373</v>
      </c>
      <c r="G183" s="5" t="s">
        <v>36</v>
      </c>
      <c r="H183" s="5" t="s">
        <v>36</v>
      </c>
      <c r="I183" s="5" t="s">
        <v>35</v>
      </c>
      <c r="J183" s="6">
        <v>7.0</v>
      </c>
      <c r="K183" s="6">
        <v>140000.0</v>
      </c>
      <c r="L183" s="6">
        <v>35000.0</v>
      </c>
      <c r="M183" s="5" t="s">
        <v>69</v>
      </c>
      <c r="N183" s="5" t="s">
        <v>38</v>
      </c>
      <c r="O183" s="6" t="s">
        <v>1193</v>
      </c>
      <c r="P183" s="5" t="s">
        <v>59</v>
      </c>
      <c r="Q183" s="5" t="s">
        <v>115</v>
      </c>
      <c r="R183" s="17" t="s">
        <v>42</v>
      </c>
      <c r="S183" s="5" t="s">
        <v>266</v>
      </c>
      <c r="T183" s="5" t="s">
        <v>116</v>
      </c>
      <c r="U183" s="5" t="s">
        <v>44</v>
      </c>
      <c r="V183" s="5" t="s">
        <v>44</v>
      </c>
      <c r="W183" s="5" t="s">
        <v>36</v>
      </c>
      <c r="X183" s="5" t="s">
        <v>650</v>
      </c>
      <c r="Y183" s="5" t="s">
        <v>47</v>
      </c>
      <c r="Z183" s="5" t="s">
        <v>36</v>
      </c>
      <c r="AA183" s="5" t="s">
        <v>64</v>
      </c>
      <c r="AB183" s="5" t="s">
        <v>1276</v>
      </c>
      <c r="AC183" s="6" t="s">
        <v>541</v>
      </c>
      <c r="AD183" s="6">
        <v>7282.0</v>
      </c>
    </row>
    <row r="184" ht="56.25" customHeight="1">
      <c r="A184" s="5" t="s">
        <v>1189</v>
      </c>
      <c r="B184" s="6" t="str">
        <f>IMAGE("https://storage.googleapis.com/acdb/wall-mounted/FtrHangingscroll_Remake_3_0.png")</f>
        <v/>
      </c>
      <c r="C184" s="5" t="s">
        <v>68</v>
      </c>
      <c r="D184" s="5" t="s">
        <v>34</v>
      </c>
      <c r="E184" s="5" t="s">
        <v>1192</v>
      </c>
      <c r="F184" s="5" t="s">
        <v>373</v>
      </c>
      <c r="G184" s="5" t="s">
        <v>36</v>
      </c>
      <c r="H184" s="5" t="s">
        <v>36</v>
      </c>
      <c r="I184" s="5" t="s">
        <v>35</v>
      </c>
      <c r="J184" s="6">
        <v>7.0</v>
      </c>
      <c r="K184" s="6">
        <v>140000.0</v>
      </c>
      <c r="L184" s="6">
        <v>35000.0</v>
      </c>
      <c r="M184" s="5" t="s">
        <v>83</v>
      </c>
      <c r="N184" s="5" t="s">
        <v>57</v>
      </c>
      <c r="O184" s="6" t="s">
        <v>1193</v>
      </c>
      <c r="P184" s="5" t="s">
        <v>59</v>
      </c>
      <c r="Q184" s="5" t="s">
        <v>115</v>
      </c>
      <c r="R184" s="17" t="s">
        <v>42</v>
      </c>
      <c r="S184" s="5" t="s">
        <v>266</v>
      </c>
      <c r="T184" s="5" t="s">
        <v>116</v>
      </c>
      <c r="U184" s="5" t="s">
        <v>44</v>
      </c>
      <c r="V184" s="5" t="s">
        <v>44</v>
      </c>
      <c r="W184" s="5" t="s">
        <v>36</v>
      </c>
      <c r="X184" s="5" t="s">
        <v>650</v>
      </c>
      <c r="Y184" s="5" t="s">
        <v>47</v>
      </c>
      <c r="Z184" s="5" t="s">
        <v>36</v>
      </c>
      <c r="AA184" s="5" t="s">
        <v>64</v>
      </c>
      <c r="AB184" s="5" t="s">
        <v>1280</v>
      </c>
      <c r="AC184" s="6" t="s">
        <v>71</v>
      </c>
      <c r="AD184" s="6">
        <v>7282.0</v>
      </c>
    </row>
    <row r="185" ht="56.25" customHeight="1">
      <c r="A185" s="5" t="s">
        <v>1189</v>
      </c>
      <c r="B185" s="6" t="str">
        <f>IMAGE("https://storage.googleapis.com/acdb/wall-mounted/FtrHangingscroll_Remake_3_1.png")</f>
        <v/>
      </c>
      <c r="C185" s="5" t="s">
        <v>68</v>
      </c>
      <c r="D185" s="5" t="s">
        <v>34</v>
      </c>
      <c r="E185" s="5" t="s">
        <v>1198</v>
      </c>
      <c r="F185" s="5" t="s">
        <v>373</v>
      </c>
      <c r="G185" s="5" t="s">
        <v>36</v>
      </c>
      <c r="H185" s="5" t="s">
        <v>36</v>
      </c>
      <c r="I185" s="5" t="s">
        <v>35</v>
      </c>
      <c r="J185" s="6">
        <v>7.0</v>
      </c>
      <c r="K185" s="6">
        <v>140000.0</v>
      </c>
      <c r="L185" s="6">
        <v>35000.0</v>
      </c>
      <c r="M185" s="5" t="s">
        <v>83</v>
      </c>
      <c r="N185" s="5" t="s">
        <v>95</v>
      </c>
      <c r="O185" s="6" t="s">
        <v>1193</v>
      </c>
      <c r="P185" s="5" t="s">
        <v>59</v>
      </c>
      <c r="Q185" s="5" t="s">
        <v>115</v>
      </c>
      <c r="R185" s="17" t="s">
        <v>42</v>
      </c>
      <c r="S185" s="5" t="s">
        <v>266</v>
      </c>
      <c r="T185" s="5" t="s">
        <v>116</v>
      </c>
      <c r="U185" s="5" t="s">
        <v>44</v>
      </c>
      <c r="V185" s="5" t="s">
        <v>44</v>
      </c>
      <c r="W185" s="5" t="s">
        <v>36</v>
      </c>
      <c r="X185" s="5" t="s">
        <v>650</v>
      </c>
      <c r="Y185" s="5" t="s">
        <v>47</v>
      </c>
      <c r="Z185" s="5" t="s">
        <v>36</v>
      </c>
      <c r="AA185" s="5" t="s">
        <v>64</v>
      </c>
      <c r="AB185" s="5" t="s">
        <v>1287</v>
      </c>
      <c r="AC185" s="6" t="s">
        <v>257</v>
      </c>
      <c r="AD185" s="6">
        <v>7282.0</v>
      </c>
    </row>
    <row r="186" ht="56.25" customHeight="1">
      <c r="A186" s="5" t="s">
        <v>1189</v>
      </c>
      <c r="B186" s="6" t="str">
        <f>IMAGE("https://storage.googleapis.com/acdb/wall-mounted/FtrHangingscroll_Remake_3_2.png")</f>
        <v/>
      </c>
      <c r="C186" s="5" t="s">
        <v>68</v>
      </c>
      <c r="D186" s="5" t="s">
        <v>34</v>
      </c>
      <c r="E186" s="5" t="s">
        <v>219</v>
      </c>
      <c r="F186" s="5" t="s">
        <v>373</v>
      </c>
      <c r="G186" s="5" t="s">
        <v>36</v>
      </c>
      <c r="H186" s="5" t="s">
        <v>36</v>
      </c>
      <c r="I186" s="5" t="s">
        <v>35</v>
      </c>
      <c r="J186" s="6">
        <v>7.0</v>
      </c>
      <c r="K186" s="6">
        <v>140000.0</v>
      </c>
      <c r="L186" s="6">
        <v>35000.0</v>
      </c>
      <c r="M186" s="5" t="s">
        <v>83</v>
      </c>
      <c r="N186" s="5" t="s">
        <v>142</v>
      </c>
      <c r="O186" s="6" t="s">
        <v>1193</v>
      </c>
      <c r="P186" s="5" t="s">
        <v>59</v>
      </c>
      <c r="Q186" s="5" t="s">
        <v>115</v>
      </c>
      <c r="R186" s="17" t="s">
        <v>42</v>
      </c>
      <c r="S186" s="5" t="s">
        <v>266</v>
      </c>
      <c r="T186" s="5" t="s">
        <v>116</v>
      </c>
      <c r="U186" s="5" t="s">
        <v>44</v>
      </c>
      <c r="V186" s="5" t="s">
        <v>44</v>
      </c>
      <c r="W186" s="5" t="s">
        <v>36</v>
      </c>
      <c r="X186" s="5" t="s">
        <v>650</v>
      </c>
      <c r="Y186" s="5" t="s">
        <v>47</v>
      </c>
      <c r="Z186" s="5" t="s">
        <v>36</v>
      </c>
      <c r="AA186" s="5" t="s">
        <v>64</v>
      </c>
      <c r="AB186" s="5" t="s">
        <v>1291</v>
      </c>
      <c r="AC186" s="6" t="s">
        <v>414</v>
      </c>
      <c r="AD186" s="6">
        <v>7282.0</v>
      </c>
    </row>
    <row r="187" ht="56.25" customHeight="1">
      <c r="A187" s="5" t="s">
        <v>1189</v>
      </c>
      <c r="B187" s="6" t="str">
        <f>IMAGE("https://storage.googleapis.com/acdb/wall-mounted/FtrHangingscroll_Remake_3_3.png")</f>
        <v/>
      </c>
      <c r="C187" s="5" t="s">
        <v>68</v>
      </c>
      <c r="D187" s="5" t="s">
        <v>34</v>
      </c>
      <c r="E187" s="5" t="s">
        <v>1210</v>
      </c>
      <c r="F187" s="5" t="s">
        <v>373</v>
      </c>
      <c r="G187" s="5" t="s">
        <v>36</v>
      </c>
      <c r="H187" s="5" t="s">
        <v>36</v>
      </c>
      <c r="I187" s="5" t="s">
        <v>35</v>
      </c>
      <c r="J187" s="6">
        <v>7.0</v>
      </c>
      <c r="K187" s="6">
        <v>140000.0</v>
      </c>
      <c r="L187" s="6">
        <v>35000.0</v>
      </c>
      <c r="M187" s="5" t="s">
        <v>83</v>
      </c>
      <c r="N187" s="5" t="s">
        <v>142</v>
      </c>
      <c r="O187" s="6" t="s">
        <v>1193</v>
      </c>
      <c r="P187" s="5" t="s">
        <v>59</v>
      </c>
      <c r="Q187" s="5" t="s">
        <v>115</v>
      </c>
      <c r="R187" s="17" t="s">
        <v>42</v>
      </c>
      <c r="S187" s="5" t="s">
        <v>266</v>
      </c>
      <c r="T187" s="5" t="s">
        <v>116</v>
      </c>
      <c r="U187" s="5" t="s">
        <v>44</v>
      </c>
      <c r="V187" s="5" t="s">
        <v>44</v>
      </c>
      <c r="W187" s="5" t="s">
        <v>36</v>
      </c>
      <c r="X187" s="5" t="s">
        <v>650</v>
      </c>
      <c r="Y187" s="5" t="s">
        <v>47</v>
      </c>
      <c r="Z187" s="5" t="s">
        <v>36</v>
      </c>
      <c r="AA187" s="5" t="s">
        <v>64</v>
      </c>
      <c r="AB187" s="5" t="s">
        <v>1298</v>
      </c>
      <c r="AC187" s="6" t="s">
        <v>418</v>
      </c>
      <c r="AD187" s="6">
        <v>7282.0</v>
      </c>
    </row>
    <row r="188" ht="56.25" customHeight="1">
      <c r="A188" s="5" t="s">
        <v>1189</v>
      </c>
      <c r="B188" s="6" t="str">
        <f>IMAGE("https://storage.googleapis.com/acdb/wall-mounted/FtrHangingscroll_Remake_3_4.png")</f>
        <v/>
      </c>
      <c r="C188" s="5" t="s">
        <v>68</v>
      </c>
      <c r="D188" s="5" t="s">
        <v>34</v>
      </c>
      <c r="E188" s="5" t="s">
        <v>581</v>
      </c>
      <c r="F188" s="5" t="s">
        <v>373</v>
      </c>
      <c r="G188" s="5" t="s">
        <v>36</v>
      </c>
      <c r="H188" s="5" t="s">
        <v>36</v>
      </c>
      <c r="I188" s="5" t="s">
        <v>35</v>
      </c>
      <c r="J188" s="6">
        <v>7.0</v>
      </c>
      <c r="K188" s="6">
        <v>140000.0</v>
      </c>
      <c r="L188" s="6">
        <v>35000.0</v>
      </c>
      <c r="M188" s="5" t="s">
        <v>83</v>
      </c>
      <c r="N188" s="5" t="s">
        <v>38</v>
      </c>
      <c r="O188" s="6" t="s">
        <v>1193</v>
      </c>
      <c r="P188" s="5" t="s">
        <v>59</v>
      </c>
      <c r="Q188" s="5" t="s">
        <v>115</v>
      </c>
      <c r="R188" s="17" t="s">
        <v>42</v>
      </c>
      <c r="S188" s="5" t="s">
        <v>266</v>
      </c>
      <c r="T188" s="5" t="s">
        <v>116</v>
      </c>
      <c r="U188" s="5" t="s">
        <v>44</v>
      </c>
      <c r="V188" s="5" t="s">
        <v>44</v>
      </c>
      <c r="W188" s="5" t="s">
        <v>36</v>
      </c>
      <c r="X188" s="5" t="s">
        <v>650</v>
      </c>
      <c r="Y188" s="5" t="s">
        <v>47</v>
      </c>
      <c r="Z188" s="5" t="s">
        <v>36</v>
      </c>
      <c r="AA188" s="5" t="s">
        <v>64</v>
      </c>
      <c r="AB188" s="5" t="s">
        <v>1302</v>
      </c>
      <c r="AC188" s="6" t="s">
        <v>563</v>
      </c>
      <c r="AD188" s="6">
        <v>7282.0</v>
      </c>
    </row>
    <row r="189" ht="56.25" customHeight="1">
      <c r="A189" s="5" t="s">
        <v>1189</v>
      </c>
      <c r="B189" s="6" t="str">
        <f>IMAGE("https://storage.googleapis.com/acdb/wall-mounted/FtrHangingscroll_Remake_4_0.png")</f>
        <v/>
      </c>
      <c r="C189" s="5" t="s">
        <v>106</v>
      </c>
      <c r="D189" s="5" t="s">
        <v>34</v>
      </c>
      <c r="E189" s="5" t="s">
        <v>1192</v>
      </c>
      <c r="F189" s="5" t="s">
        <v>373</v>
      </c>
      <c r="G189" s="5" t="s">
        <v>36</v>
      </c>
      <c r="H189" s="5" t="s">
        <v>36</v>
      </c>
      <c r="I189" s="5" t="s">
        <v>35</v>
      </c>
      <c r="J189" s="6">
        <v>7.0</v>
      </c>
      <c r="K189" s="6">
        <v>140000.0</v>
      </c>
      <c r="L189" s="6">
        <v>35000.0</v>
      </c>
      <c r="M189" s="5" t="s">
        <v>106</v>
      </c>
      <c r="N189" s="5" t="s">
        <v>57</v>
      </c>
      <c r="O189" s="6" t="s">
        <v>1193</v>
      </c>
      <c r="P189" s="5" t="s">
        <v>59</v>
      </c>
      <c r="Q189" s="5" t="s">
        <v>115</v>
      </c>
      <c r="R189" s="17" t="s">
        <v>42</v>
      </c>
      <c r="S189" s="5" t="s">
        <v>266</v>
      </c>
      <c r="T189" s="5" t="s">
        <v>116</v>
      </c>
      <c r="U189" s="5" t="s">
        <v>44</v>
      </c>
      <c r="V189" s="5" t="s">
        <v>44</v>
      </c>
      <c r="W189" s="5" t="s">
        <v>36</v>
      </c>
      <c r="X189" s="5" t="s">
        <v>650</v>
      </c>
      <c r="Y189" s="5" t="s">
        <v>47</v>
      </c>
      <c r="Z189" s="5" t="s">
        <v>36</v>
      </c>
      <c r="AA189" s="5" t="s">
        <v>64</v>
      </c>
      <c r="AB189" s="5" t="s">
        <v>1305</v>
      </c>
      <c r="AC189" s="6" t="s">
        <v>75</v>
      </c>
      <c r="AD189" s="6">
        <v>7282.0</v>
      </c>
    </row>
    <row r="190" ht="56.25" customHeight="1">
      <c r="A190" s="5" t="s">
        <v>1189</v>
      </c>
      <c r="B190" s="6" t="str">
        <f>IMAGE("https://storage.googleapis.com/acdb/wall-mounted/FtrHangingscroll_Remake_4_1.png")</f>
        <v/>
      </c>
      <c r="C190" s="5" t="s">
        <v>106</v>
      </c>
      <c r="D190" s="5" t="s">
        <v>34</v>
      </c>
      <c r="E190" s="5" t="s">
        <v>1198</v>
      </c>
      <c r="F190" s="5" t="s">
        <v>373</v>
      </c>
      <c r="G190" s="5" t="s">
        <v>36</v>
      </c>
      <c r="H190" s="5" t="s">
        <v>36</v>
      </c>
      <c r="I190" s="5" t="s">
        <v>35</v>
      </c>
      <c r="J190" s="6">
        <v>7.0</v>
      </c>
      <c r="K190" s="6">
        <v>140000.0</v>
      </c>
      <c r="L190" s="6">
        <v>35000.0</v>
      </c>
      <c r="M190" s="5" t="s">
        <v>106</v>
      </c>
      <c r="N190" s="5" t="s">
        <v>95</v>
      </c>
      <c r="O190" s="6" t="s">
        <v>1193</v>
      </c>
      <c r="P190" s="5" t="s">
        <v>59</v>
      </c>
      <c r="Q190" s="5" t="s">
        <v>115</v>
      </c>
      <c r="R190" s="17" t="s">
        <v>42</v>
      </c>
      <c r="S190" s="5" t="s">
        <v>266</v>
      </c>
      <c r="T190" s="5" t="s">
        <v>116</v>
      </c>
      <c r="U190" s="5" t="s">
        <v>44</v>
      </c>
      <c r="V190" s="5" t="s">
        <v>44</v>
      </c>
      <c r="W190" s="5" t="s">
        <v>36</v>
      </c>
      <c r="X190" s="5" t="s">
        <v>650</v>
      </c>
      <c r="Y190" s="5" t="s">
        <v>47</v>
      </c>
      <c r="Z190" s="5" t="s">
        <v>36</v>
      </c>
      <c r="AA190" s="5" t="s">
        <v>64</v>
      </c>
      <c r="AB190" s="5" t="s">
        <v>1310</v>
      </c>
      <c r="AC190" s="6" t="s">
        <v>429</v>
      </c>
      <c r="AD190" s="6">
        <v>7282.0</v>
      </c>
    </row>
    <row r="191" ht="56.25" customHeight="1">
      <c r="A191" s="5" t="s">
        <v>1189</v>
      </c>
      <c r="B191" s="6" t="str">
        <f>IMAGE("https://storage.googleapis.com/acdb/wall-mounted/FtrHangingscroll_Remake_4_2.png")</f>
        <v/>
      </c>
      <c r="C191" s="5" t="s">
        <v>106</v>
      </c>
      <c r="D191" s="5" t="s">
        <v>34</v>
      </c>
      <c r="E191" s="5" t="s">
        <v>219</v>
      </c>
      <c r="F191" s="5" t="s">
        <v>373</v>
      </c>
      <c r="G191" s="5" t="s">
        <v>36</v>
      </c>
      <c r="H191" s="5" t="s">
        <v>36</v>
      </c>
      <c r="I191" s="5" t="s">
        <v>35</v>
      </c>
      <c r="J191" s="6">
        <v>7.0</v>
      </c>
      <c r="K191" s="6">
        <v>140000.0</v>
      </c>
      <c r="L191" s="6">
        <v>35000.0</v>
      </c>
      <c r="M191" s="5" t="s">
        <v>106</v>
      </c>
      <c r="N191" s="5" t="s">
        <v>142</v>
      </c>
      <c r="O191" s="6" t="s">
        <v>1193</v>
      </c>
      <c r="P191" s="5" t="s">
        <v>59</v>
      </c>
      <c r="Q191" s="5" t="s">
        <v>115</v>
      </c>
      <c r="R191" s="17" t="s">
        <v>42</v>
      </c>
      <c r="S191" s="5" t="s">
        <v>266</v>
      </c>
      <c r="T191" s="5" t="s">
        <v>116</v>
      </c>
      <c r="U191" s="5" t="s">
        <v>44</v>
      </c>
      <c r="V191" s="5" t="s">
        <v>44</v>
      </c>
      <c r="W191" s="5" t="s">
        <v>36</v>
      </c>
      <c r="X191" s="5" t="s">
        <v>650</v>
      </c>
      <c r="Y191" s="5" t="s">
        <v>47</v>
      </c>
      <c r="Z191" s="5" t="s">
        <v>36</v>
      </c>
      <c r="AA191" s="5" t="s">
        <v>64</v>
      </c>
      <c r="AB191" s="5" t="s">
        <v>1314</v>
      </c>
      <c r="AC191" s="6" t="s">
        <v>434</v>
      </c>
      <c r="AD191" s="6">
        <v>7282.0</v>
      </c>
    </row>
    <row r="192" ht="56.25" customHeight="1">
      <c r="A192" s="5" t="s">
        <v>1189</v>
      </c>
      <c r="B192" s="6" t="str">
        <f>IMAGE("https://storage.googleapis.com/acdb/wall-mounted/FtrHangingscroll_Remake_4_3.png")</f>
        <v/>
      </c>
      <c r="C192" s="5" t="s">
        <v>106</v>
      </c>
      <c r="D192" s="5" t="s">
        <v>34</v>
      </c>
      <c r="E192" s="5" t="s">
        <v>1210</v>
      </c>
      <c r="F192" s="5" t="s">
        <v>373</v>
      </c>
      <c r="G192" s="5" t="s">
        <v>36</v>
      </c>
      <c r="H192" s="5" t="s">
        <v>36</v>
      </c>
      <c r="I192" s="5" t="s">
        <v>35</v>
      </c>
      <c r="J192" s="6">
        <v>7.0</v>
      </c>
      <c r="K192" s="6">
        <v>140000.0</v>
      </c>
      <c r="L192" s="6">
        <v>35000.0</v>
      </c>
      <c r="M192" s="5" t="s">
        <v>106</v>
      </c>
      <c r="N192" s="5" t="s">
        <v>142</v>
      </c>
      <c r="O192" s="6" t="s">
        <v>1193</v>
      </c>
      <c r="P192" s="5" t="s">
        <v>59</v>
      </c>
      <c r="Q192" s="5" t="s">
        <v>115</v>
      </c>
      <c r="R192" s="17" t="s">
        <v>42</v>
      </c>
      <c r="S192" s="5" t="s">
        <v>266</v>
      </c>
      <c r="T192" s="5" t="s">
        <v>116</v>
      </c>
      <c r="U192" s="5" t="s">
        <v>44</v>
      </c>
      <c r="V192" s="5" t="s">
        <v>44</v>
      </c>
      <c r="W192" s="5" t="s">
        <v>36</v>
      </c>
      <c r="X192" s="5" t="s">
        <v>650</v>
      </c>
      <c r="Y192" s="5" t="s">
        <v>47</v>
      </c>
      <c r="Z192" s="5" t="s">
        <v>36</v>
      </c>
      <c r="AA192" s="5" t="s">
        <v>64</v>
      </c>
      <c r="AB192" s="5" t="s">
        <v>1318</v>
      </c>
      <c r="AC192" s="6" t="s">
        <v>438</v>
      </c>
      <c r="AD192" s="6">
        <v>7282.0</v>
      </c>
    </row>
    <row r="193" ht="56.25" customHeight="1">
      <c r="A193" s="5" t="s">
        <v>1189</v>
      </c>
      <c r="B193" s="6" t="str">
        <f>IMAGE("https://storage.googleapis.com/acdb/wall-mounted/FtrHangingscroll_Remake_4_4.png")</f>
        <v/>
      </c>
      <c r="C193" s="5" t="s">
        <v>106</v>
      </c>
      <c r="D193" s="5" t="s">
        <v>34</v>
      </c>
      <c r="E193" s="5" t="s">
        <v>581</v>
      </c>
      <c r="F193" s="5" t="s">
        <v>373</v>
      </c>
      <c r="G193" s="5" t="s">
        <v>36</v>
      </c>
      <c r="H193" s="5" t="s">
        <v>36</v>
      </c>
      <c r="I193" s="5" t="s">
        <v>35</v>
      </c>
      <c r="J193" s="6">
        <v>7.0</v>
      </c>
      <c r="K193" s="6">
        <v>140000.0</v>
      </c>
      <c r="L193" s="6">
        <v>35000.0</v>
      </c>
      <c r="M193" s="5" t="s">
        <v>106</v>
      </c>
      <c r="N193" s="5" t="s">
        <v>38</v>
      </c>
      <c r="O193" s="6" t="s">
        <v>1193</v>
      </c>
      <c r="P193" s="5" t="s">
        <v>59</v>
      </c>
      <c r="Q193" s="5" t="s">
        <v>115</v>
      </c>
      <c r="R193" s="17" t="s">
        <v>42</v>
      </c>
      <c r="S193" s="5" t="s">
        <v>266</v>
      </c>
      <c r="T193" s="5" t="s">
        <v>116</v>
      </c>
      <c r="U193" s="5" t="s">
        <v>44</v>
      </c>
      <c r="V193" s="5" t="s">
        <v>44</v>
      </c>
      <c r="W193" s="5" t="s">
        <v>36</v>
      </c>
      <c r="X193" s="5" t="s">
        <v>650</v>
      </c>
      <c r="Y193" s="5" t="s">
        <v>47</v>
      </c>
      <c r="Z193" s="5" t="s">
        <v>36</v>
      </c>
      <c r="AA193" s="5" t="s">
        <v>64</v>
      </c>
      <c r="AB193" s="5" t="s">
        <v>1323</v>
      </c>
      <c r="AC193" s="6" t="s">
        <v>585</v>
      </c>
      <c r="AD193" s="6">
        <v>7282.0</v>
      </c>
    </row>
    <row r="194" ht="56.25" customHeight="1">
      <c r="A194" s="5" t="s">
        <v>1324</v>
      </c>
      <c r="B194" s="6" t="str">
        <f>IMAGE("https://storage.googleapis.com/acdb/wall-mounted/FtrTerrariumWall_Remake_0_0.png")</f>
        <v/>
      </c>
      <c r="C194" s="5" t="s">
        <v>54</v>
      </c>
      <c r="D194" s="5" t="s">
        <v>1327</v>
      </c>
      <c r="E194" s="5" t="s">
        <v>34</v>
      </c>
      <c r="F194" s="5" t="s">
        <v>34</v>
      </c>
      <c r="G194" s="5" t="s">
        <v>35</v>
      </c>
      <c r="H194" s="5" t="s">
        <v>35</v>
      </c>
      <c r="I194" s="5" t="s">
        <v>36</v>
      </c>
      <c r="J194" s="6">
        <v>5.0</v>
      </c>
      <c r="K194" s="6" t="s">
        <v>37</v>
      </c>
      <c r="L194" s="6">
        <v>3240.0</v>
      </c>
      <c r="M194" s="5" t="s">
        <v>54</v>
      </c>
      <c r="N194" s="5" t="s">
        <v>96</v>
      </c>
      <c r="O194" s="6" t="s">
        <v>431</v>
      </c>
      <c r="P194" s="5" t="s">
        <v>41</v>
      </c>
      <c r="Q194" s="5"/>
      <c r="R194" s="17" t="s">
        <v>42</v>
      </c>
      <c r="S194" s="5" t="s">
        <v>90</v>
      </c>
      <c r="T194" s="5" t="s">
        <v>44</v>
      </c>
      <c r="U194" s="5" t="s">
        <v>44</v>
      </c>
      <c r="V194" s="5" t="s">
        <v>44</v>
      </c>
      <c r="W194" s="5" t="s">
        <v>36</v>
      </c>
      <c r="X194" s="5" t="s">
        <v>244</v>
      </c>
      <c r="Y194" s="5" t="s">
        <v>47</v>
      </c>
      <c r="Z194" s="5" t="s">
        <v>36</v>
      </c>
      <c r="AA194" s="5" t="s">
        <v>48</v>
      </c>
      <c r="AB194" s="5" t="s">
        <v>1330</v>
      </c>
      <c r="AC194" s="6" t="s">
        <v>50</v>
      </c>
      <c r="AD194" s="6">
        <v>3775.0</v>
      </c>
    </row>
    <row r="195" ht="56.25" customHeight="1">
      <c r="A195" s="5" t="s">
        <v>1324</v>
      </c>
      <c r="B195" s="6" t="str">
        <f>IMAGE("https://storage.googleapis.com/acdb/wall-mounted/FtrTerrariumWall_Remake_1_0.png")</f>
        <v/>
      </c>
      <c r="C195" s="5" t="s">
        <v>151</v>
      </c>
      <c r="D195" s="5" t="s">
        <v>1327</v>
      </c>
      <c r="E195" s="5" t="s">
        <v>34</v>
      </c>
      <c r="F195" s="5" t="s">
        <v>34</v>
      </c>
      <c r="G195" s="5" t="s">
        <v>35</v>
      </c>
      <c r="H195" s="5" t="s">
        <v>35</v>
      </c>
      <c r="I195" s="5" t="s">
        <v>36</v>
      </c>
      <c r="J195" s="6">
        <v>5.0</v>
      </c>
      <c r="K195" s="6" t="s">
        <v>37</v>
      </c>
      <c r="L195" s="6">
        <v>3240.0</v>
      </c>
      <c r="M195" s="5" t="s">
        <v>39</v>
      </c>
      <c r="N195" s="5" t="s">
        <v>96</v>
      </c>
      <c r="O195" s="6" t="s">
        <v>431</v>
      </c>
      <c r="P195" s="5" t="s">
        <v>41</v>
      </c>
      <c r="Q195" s="5"/>
      <c r="R195" s="17" t="s">
        <v>42</v>
      </c>
      <c r="S195" s="5" t="s">
        <v>90</v>
      </c>
      <c r="T195" s="5" t="s">
        <v>44</v>
      </c>
      <c r="U195" s="5" t="s">
        <v>44</v>
      </c>
      <c r="V195" s="5" t="s">
        <v>44</v>
      </c>
      <c r="W195" s="5" t="s">
        <v>36</v>
      </c>
      <c r="X195" s="5" t="s">
        <v>244</v>
      </c>
      <c r="Y195" s="5" t="s">
        <v>47</v>
      </c>
      <c r="Z195" s="5" t="s">
        <v>36</v>
      </c>
      <c r="AA195" s="5" t="s">
        <v>48</v>
      </c>
      <c r="AB195" s="5" t="s">
        <v>1334</v>
      </c>
      <c r="AC195" s="6" t="s">
        <v>56</v>
      </c>
      <c r="AD195" s="6">
        <v>3775.0</v>
      </c>
    </row>
    <row r="196" ht="56.25" customHeight="1">
      <c r="A196" s="5" t="s">
        <v>1324</v>
      </c>
      <c r="B196" s="6" t="str">
        <f>IMAGE("https://storage.googleapis.com/acdb/wall-mounted/FtrTerrariumWall_Remake_2_0.png")</f>
        <v/>
      </c>
      <c r="C196" s="5" t="s">
        <v>39</v>
      </c>
      <c r="D196" s="5" t="s">
        <v>1327</v>
      </c>
      <c r="E196" s="5" t="s">
        <v>34</v>
      </c>
      <c r="F196" s="5" t="s">
        <v>34</v>
      </c>
      <c r="G196" s="5" t="s">
        <v>35</v>
      </c>
      <c r="H196" s="5" t="s">
        <v>35</v>
      </c>
      <c r="I196" s="5" t="s">
        <v>36</v>
      </c>
      <c r="J196" s="6">
        <v>5.0</v>
      </c>
      <c r="K196" s="6" t="s">
        <v>37</v>
      </c>
      <c r="L196" s="6">
        <v>3240.0</v>
      </c>
      <c r="M196" s="5" t="s">
        <v>39</v>
      </c>
      <c r="N196" s="5" t="s">
        <v>96</v>
      </c>
      <c r="O196" s="6" t="s">
        <v>431</v>
      </c>
      <c r="P196" s="5" t="s">
        <v>41</v>
      </c>
      <c r="Q196" s="5"/>
      <c r="R196" s="17" t="s">
        <v>42</v>
      </c>
      <c r="S196" s="5" t="s">
        <v>90</v>
      </c>
      <c r="T196" s="5" t="s">
        <v>44</v>
      </c>
      <c r="U196" s="5" t="s">
        <v>44</v>
      </c>
      <c r="V196" s="5" t="s">
        <v>44</v>
      </c>
      <c r="W196" s="5" t="s">
        <v>36</v>
      </c>
      <c r="X196" s="5" t="s">
        <v>244</v>
      </c>
      <c r="Y196" s="5" t="s">
        <v>47</v>
      </c>
      <c r="Z196" s="5" t="s">
        <v>36</v>
      </c>
      <c r="AA196" s="5" t="s">
        <v>48</v>
      </c>
      <c r="AB196" s="5" t="s">
        <v>1339</v>
      </c>
      <c r="AC196" s="6" t="s">
        <v>67</v>
      </c>
      <c r="AD196" s="6">
        <v>3775.0</v>
      </c>
    </row>
    <row r="197" ht="56.25" customHeight="1">
      <c r="A197" s="5" t="s">
        <v>1340</v>
      </c>
      <c r="B197" s="6" t="str">
        <f>IMAGE("https://storage.googleapis.com/acdb/wall-mounted/FtrDoorOrnamentPlateHeart_Remake_0_0.png")</f>
        <v/>
      </c>
      <c r="C197" s="5" t="s">
        <v>69</v>
      </c>
      <c r="D197" s="5" t="s">
        <v>34</v>
      </c>
      <c r="E197" s="5" t="s">
        <v>34</v>
      </c>
      <c r="F197" s="5" t="s">
        <v>34</v>
      </c>
      <c r="G197" s="5" t="s">
        <v>36</v>
      </c>
      <c r="H197" s="5" t="s">
        <v>36</v>
      </c>
      <c r="I197" s="5" t="s">
        <v>36</v>
      </c>
      <c r="J197" s="6" t="s">
        <v>34</v>
      </c>
      <c r="K197" s="6">
        <v>600.0</v>
      </c>
      <c r="L197" s="6">
        <v>150.0</v>
      </c>
      <c r="M197" s="5" t="s">
        <v>69</v>
      </c>
      <c r="N197" s="5" t="s">
        <v>57</v>
      </c>
      <c r="O197" s="6" t="s">
        <v>179</v>
      </c>
      <c r="P197" s="5" t="s">
        <v>59</v>
      </c>
      <c r="Q197" s="5" t="s">
        <v>89</v>
      </c>
      <c r="R197" s="17" t="s">
        <v>42</v>
      </c>
      <c r="S197" s="5" t="s">
        <v>61</v>
      </c>
      <c r="T197" s="5" t="s">
        <v>44</v>
      </c>
      <c r="U197" s="5" t="s">
        <v>44</v>
      </c>
      <c r="V197" s="5" t="s">
        <v>44</v>
      </c>
      <c r="W197" s="5" t="s">
        <v>36</v>
      </c>
      <c r="X197" s="5" t="s">
        <v>312</v>
      </c>
      <c r="Y197" s="5" t="s">
        <v>47</v>
      </c>
      <c r="Z197" s="5" t="s">
        <v>35</v>
      </c>
      <c r="AA197" s="5" t="s">
        <v>64</v>
      </c>
      <c r="AB197" s="5" t="s">
        <v>1343</v>
      </c>
      <c r="AC197" s="6" t="s">
        <v>50</v>
      </c>
      <c r="AD197" s="6">
        <v>5309.0</v>
      </c>
    </row>
    <row r="198" ht="56.25" customHeight="1">
      <c r="A198" s="5" t="s">
        <v>1340</v>
      </c>
      <c r="B198" s="6" t="str">
        <f>IMAGE("https://storage.googleapis.com/acdb/wall-mounted/FtrDoorOrnamentPlateHeart_Remake_1_0.png")</f>
        <v/>
      </c>
      <c r="C198" s="5" t="s">
        <v>68</v>
      </c>
      <c r="D198" s="5" t="s">
        <v>34</v>
      </c>
      <c r="E198" s="5" t="s">
        <v>34</v>
      </c>
      <c r="F198" s="5" t="s">
        <v>34</v>
      </c>
      <c r="G198" s="5" t="s">
        <v>36</v>
      </c>
      <c r="H198" s="5" t="s">
        <v>36</v>
      </c>
      <c r="I198" s="5" t="s">
        <v>36</v>
      </c>
      <c r="J198" s="6" t="s">
        <v>34</v>
      </c>
      <c r="K198" s="6">
        <v>600.0</v>
      </c>
      <c r="L198" s="6">
        <v>150.0</v>
      </c>
      <c r="M198" s="5" t="s">
        <v>95</v>
      </c>
      <c r="N198" s="5" t="s">
        <v>83</v>
      </c>
      <c r="O198" s="6" t="s">
        <v>179</v>
      </c>
      <c r="P198" s="5" t="s">
        <v>59</v>
      </c>
      <c r="Q198" s="5" t="s">
        <v>89</v>
      </c>
      <c r="R198" s="17" t="s">
        <v>42</v>
      </c>
      <c r="S198" s="5" t="s">
        <v>61</v>
      </c>
      <c r="T198" s="5" t="s">
        <v>44</v>
      </c>
      <c r="U198" s="5" t="s">
        <v>44</v>
      </c>
      <c r="V198" s="5" t="s">
        <v>44</v>
      </c>
      <c r="W198" s="5" t="s">
        <v>36</v>
      </c>
      <c r="X198" s="5" t="s">
        <v>312</v>
      </c>
      <c r="Y198" s="5" t="s">
        <v>47</v>
      </c>
      <c r="Z198" s="5" t="s">
        <v>35</v>
      </c>
      <c r="AA198" s="5" t="s">
        <v>64</v>
      </c>
      <c r="AB198" s="5" t="s">
        <v>1347</v>
      </c>
      <c r="AC198" s="6" t="s">
        <v>56</v>
      </c>
      <c r="AD198" s="6">
        <v>5309.0</v>
      </c>
    </row>
    <row r="199" ht="56.25" customHeight="1">
      <c r="A199" s="5" t="s">
        <v>1340</v>
      </c>
      <c r="B199" s="6" t="str">
        <f>IMAGE("https://storage.googleapis.com/acdb/wall-mounted/FtrDoorOrnamentPlateHeart_Remake_2_0.png")</f>
        <v/>
      </c>
      <c r="C199" s="5" t="s">
        <v>843</v>
      </c>
      <c r="D199" s="5" t="s">
        <v>34</v>
      </c>
      <c r="E199" s="5" t="s">
        <v>34</v>
      </c>
      <c r="F199" s="5" t="s">
        <v>34</v>
      </c>
      <c r="G199" s="5" t="s">
        <v>36</v>
      </c>
      <c r="H199" s="5" t="s">
        <v>36</v>
      </c>
      <c r="I199" s="5" t="s">
        <v>36</v>
      </c>
      <c r="J199" s="6" t="s">
        <v>34</v>
      </c>
      <c r="K199" s="6">
        <v>600.0</v>
      </c>
      <c r="L199" s="6">
        <v>150.0</v>
      </c>
      <c r="M199" s="5" t="s">
        <v>54</v>
      </c>
      <c r="N199" s="5" t="s">
        <v>57</v>
      </c>
      <c r="O199" s="6" t="s">
        <v>179</v>
      </c>
      <c r="P199" s="5" t="s">
        <v>59</v>
      </c>
      <c r="Q199" s="5" t="s">
        <v>89</v>
      </c>
      <c r="R199" s="17" t="s">
        <v>42</v>
      </c>
      <c r="S199" s="5" t="s">
        <v>61</v>
      </c>
      <c r="T199" s="5" t="s">
        <v>44</v>
      </c>
      <c r="U199" s="5" t="s">
        <v>44</v>
      </c>
      <c r="V199" s="5" t="s">
        <v>44</v>
      </c>
      <c r="W199" s="5" t="s">
        <v>36</v>
      </c>
      <c r="X199" s="5" t="s">
        <v>312</v>
      </c>
      <c r="Y199" s="5" t="s">
        <v>47</v>
      </c>
      <c r="Z199" s="5" t="s">
        <v>35</v>
      </c>
      <c r="AA199" s="5" t="s">
        <v>64</v>
      </c>
      <c r="AB199" s="5" t="s">
        <v>1353</v>
      </c>
      <c r="AC199" s="6" t="s">
        <v>67</v>
      </c>
      <c r="AD199" s="6">
        <v>5309.0</v>
      </c>
    </row>
    <row r="200" ht="56.25" customHeight="1">
      <c r="A200" s="5" t="s">
        <v>1340</v>
      </c>
      <c r="B200" s="6" t="str">
        <f>IMAGE("https://storage.googleapis.com/acdb/wall-mounted/FtrDoorOrnamentPlateHeart_Remake_3_0.png")</f>
        <v/>
      </c>
      <c r="C200" s="5" t="s">
        <v>83</v>
      </c>
      <c r="D200" s="5" t="s">
        <v>34</v>
      </c>
      <c r="E200" s="5" t="s">
        <v>34</v>
      </c>
      <c r="F200" s="5" t="s">
        <v>34</v>
      </c>
      <c r="G200" s="5" t="s">
        <v>36</v>
      </c>
      <c r="H200" s="5" t="s">
        <v>36</v>
      </c>
      <c r="I200" s="5" t="s">
        <v>36</v>
      </c>
      <c r="J200" s="6" t="s">
        <v>34</v>
      </c>
      <c r="K200" s="6">
        <v>600.0</v>
      </c>
      <c r="L200" s="6">
        <v>150.0</v>
      </c>
      <c r="M200" s="5" t="s">
        <v>68</v>
      </c>
      <c r="N200" s="5" t="s">
        <v>83</v>
      </c>
      <c r="O200" s="6" t="s">
        <v>179</v>
      </c>
      <c r="P200" s="5" t="s">
        <v>59</v>
      </c>
      <c r="Q200" s="5" t="s">
        <v>89</v>
      </c>
      <c r="R200" s="17" t="s">
        <v>42</v>
      </c>
      <c r="S200" s="5" t="s">
        <v>61</v>
      </c>
      <c r="T200" s="5" t="s">
        <v>44</v>
      </c>
      <c r="U200" s="5" t="s">
        <v>44</v>
      </c>
      <c r="V200" s="5" t="s">
        <v>44</v>
      </c>
      <c r="W200" s="5" t="s">
        <v>36</v>
      </c>
      <c r="X200" s="5" t="s">
        <v>312</v>
      </c>
      <c r="Y200" s="5" t="s">
        <v>47</v>
      </c>
      <c r="Z200" s="5" t="s">
        <v>35</v>
      </c>
      <c r="AA200" s="5" t="s">
        <v>64</v>
      </c>
      <c r="AB200" s="5" t="s">
        <v>1359</v>
      </c>
      <c r="AC200" s="6" t="s">
        <v>71</v>
      </c>
      <c r="AD200" s="6">
        <v>5309.0</v>
      </c>
    </row>
    <row r="201" ht="56.25" customHeight="1">
      <c r="A201" s="5" t="s">
        <v>1340</v>
      </c>
      <c r="B201" s="6" t="str">
        <f>IMAGE("https://storage.googleapis.com/acdb/wall-mounted/FtrDoorOrnamentPlateHeart_Remake_4_0.png")</f>
        <v/>
      </c>
      <c r="C201" s="5" t="s">
        <v>96</v>
      </c>
      <c r="D201" s="5" t="s">
        <v>34</v>
      </c>
      <c r="E201" s="5" t="s">
        <v>34</v>
      </c>
      <c r="F201" s="5" t="s">
        <v>34</v>
      </c>
      <c r="G201" s="5" t="s">
        <v>36</v>
      </c>
      <c r="H201" s="5" t="s">
        <v>36</v>
      </c>
      <c r="I201" s="5" t="s">
        <v>36</v>
      </c>
      <c r="J201" s="6" t="s">
        <v>34</v>
      </c>
      <c r="K201" s="6">
        <v>600.0</v>
      </c>
      <c r="L201" s="6">
        <v>150.0</v>
      </c>
      <c r="M201" s="5" t="s">
        <v>96</v>
      </c>
      <c r="N201" s="5" t="s">
        <v>96</v>
      </c>
      <c r="O201" s="6" t="s">
        <v>179</v>
      </c>
      <c r="P201" s="5" t="s">
        <v>59</v>
      </c>
      <c r="Q201" s="5" t="s">
        <v>89</v>
      </c>
      <c r="R201" s="17" t="s">
        <v>42</v>
      </c>
      <c r="S201" s="5" t="s">
        <v>61</v>
      </c>
      <c r="T201" s="5" t="s">
        <v>44</v>
      </c>
      <c r="U201" s="5" t="s">
        <v>44</v>
      </c>
      <c r="V201" s="5" t="s">
        <v>44</v>
      </c>
      <c r="W201" s="5" t="s">
        <v>36</v>
      </c>
      <c r="X201" s="5" t="s">
        <v>312</v>
      </c>
      <c r="Y201" s="5" t="s">
        <v>47</v>
      </c>
      <c r="Z201" s="5" t="s">
        <v>35</v>
      </c>
      <c r="AA201" s="5" t="s">
        <v>64</v>
      </c>
      <c r="AB201" s="5" t="s">
        <v>1364</v>
      </c>
      <c r="AC201" s="6" t="s">
        <v>75</v>
      </c>
      <c r="AD201" s="6">
        <v>5309.0</v>
      </c>
    </row>
    <row r="202" ht="56.25" customHeight="1">
      <c r="A202" s="5" t="s">
        <v>1340</v>
      </c>
      <c r="B202" s="6" t="str">
        <f>IMAGE("https://storage.googleapis.com/acdb/wall-mounted/FtrDoorOrnamentPlateHeart_Remake_5_0.png")</f>
        <v/>
      </c>
      <c r="C202" s="5" t="s">
        <v>142</v>
      </c>
      <c r="D202" s="5" t="s">
        <v>34</v>
      </c>
      <c r="E202" s="5" t="s">
        <v>34</v>
      </c>
      <c r="F202" s="5" t="s">
        <v>34</v>
      </c>
      <c r="G202" s="5" t="s">
        <v>36</v>
      </c>
      <c r="H202" s="5" t="s">
        <v>36</v>
      </c>
      <c r="I202" s="5" t="s">
        <v>36</v>
      </c>
      <c r="J202" s="6" t="s">
        <v>34</v>
      </c>
      <c r="K202" s="6">
        <v>600.0</v>
      </c>
      <c r="L202" s="6">
        <v>150.0</v>
      </c>
      <c r="M202" s="5" t="s">
        <v>142</v>
      </c>
      <c r="N202" s="5" t="s">
        <v>142</v>
      </c>
      <c r="O202" s="6" t="s">
        <v>179</v>
      </c>
      <c r="P202" s="5" t="s">
        <v>59</v>
      </c>
      <c r="Q202" s="5" t="s">
        <v>89</v>
      </c>
      <c r="R202" s="17" t="s">
        <v>42</v>
      </c>
      <c r="S202" s="5" t="s">
        <v>61</v>
      </c>
      <c r="T202" s="5" t="s">
        <v>44</v>
      </c>
      <c r="U202" s="5" t="s">
        <v>44</v>
      </c>
      <c r="V202" s="5" t="s">
        <v>44</v>
      </c>
      <c r="W202" s="5" t="s">
        <v>36</v>
      </c>
      <c r="X202" s="5" t="s">
        <v>312</v>
      </c>
      <c r="Y202" s="5" t="s">
        <v>47</v>
      </c>
      <c r="Z202" s="5" t="s">
        <v>35</v>
      </c>
      <c r="AA202" s="5" t="s">
        <v>64</v>
      </c>
      <c r="AB202" s="5" t="s">
        <v>1369</v>
      </c>
      <c r="AC202" s="6" t="s">
        <v>79</v>
      </c>
      <c r="AD202" s="6">
        <v>5309.0</v>
      </c>
    </row>
    <row r="203" ht="56.25" customHeight="1">
      <c r="A203" s="5" t="s">
        <v>1340</v>
      </c>
      <c r="B203" s="6" t="str">
        <f>IMAGE("https://storage.googleapis.com/acdb/wall-mounted/FtrDoorOrnamentPlateHeart_Remake_6_0.png")</f>
        <v/>
      </c>
      <c r="C203" s="5" t="s">
        <v>52</v>
      </c>
      <c r="D203" s="5" t="s">
        <v>34</v>
      </c>
      <c r="E203" s="5" t="s">
        <v>34</v>
      </c>
      <c r="F203" s="5" t="s">
        <v>34</v>
      </c>
      <c r="G203" s="5" t="s">
        <v>36</v>
      </c>
      <c r="H203" s="5" t="s">
        <v>36</v>
      </c>
      <c r="I203" s="5" t="s">
        <v>36</v>
      </c>
      <c r="J203" s="6" t="s">
        <v>34</v>
      </c>
      <c r="K203" s="6">
        <v>600.0</v>
      </c>
      <c r="L203" s="6">
        <v>150.0</v>
      </c>
      <c r="M203" s="5" t="s">
        <v>52</v>
      </c>
      <c r="N203" s="5" t="s">
        <v>52</v>
      </c>
      <c r="O203" s="6" t="s">
        <v>179</v>
      </c>
      <c r="P203" s="5" t="s">
        <v>59</v>
      </c>
      <c r="Q203" s="5" t="s">
        <v>89</v>
      </c>
      <c r="R203" s="17" t="s">
        <v>42</v>
      </c>
      <c r="S203" s="5" t="s">
        <v>61</v>
      </c>
      <c r="T203" s="5" t="s">
        <v>44</v>
      </c>
      <c r="U203" s="5" t="s">
        <v>44</v>
      </c>
      <c r="V203" s="5" t="s">
        <v>44</v>
      </c>
      <c r="W203" s="5" t="s">
        <v>36</v>
      </c>
      <c r="X203" s="5" t="s">
        <v>312</v>
      </c>
      <c r="Y203" s="5" t="s">
        <v>47</v>
      </c>
      <c r="Z203" s="5" t="s">
        <v>35</v>
      </c>
      <c r="AA203" s="5" t="s">
        <v>64</v>
      </c>
      <c r="AB203" s="5" t="s">
        <v>1375</v>
      </c>
      <c r="AC203" s="6" t="s">
        <v>86</v>
      </c>
      <c r="AD203" s="6">
        <v>5309.0</v>
      </c>
    </row>
    <row r="204" ht="56.25" customHeight="1">
      <c r="A204" s="5" t="s">
        <v>1340</v>
      </c>
      <c r="B204" s="6" t="str">
        <f>IMAGE("https://storage.googleapis.com/acdb/wall-mounted/FtrDoorOrnamentPlateHeart_Remake_7_0.png")</f>
        <v/>
      </c>
      <c r="C204" s="5" t="s">
        <v>106</v>
      </c>
      <c r="D204" s="5" t="s">
        <v>34</v>
      </c>
      <c r="E204" s="5" t="s">
        <v>34</v>
      </c>
      <c r="F204" s="5" t="s">
        <v>34</v>
      </c>
      <c r="G204" s="5" t="s">
        <v>36</v>
      </c>
      <c r="H204" s="5" t="s">
        <v>36</v>
      </c>
      <c r="I204" s="5" t="s">
        <v>36</v>
      </c>
      <c r="J204" s="6" t="s">
        <v>34</v>
      </c>
      <c r="K204" s="6">
        <v>600.0</v>
      </c>
      <c r="L204" s="6">
        <v>150.0</v>
      </c>
      <c r="M204" s="5" t="s">
        <v>106</v>
      </c>
      <c r="N204" s="5" t="s">
        <v>106</v>
      </c>
      <c r="O204" s="6" t="s">
        <v>179</v>
      </c>
      <c r="P204" s="5" t="s">
        <v>59</v>
      </c>
      <c r="Q204" s="5" t="s">
        <v>89</v>
      </c>
      <c r="R204" s="17" t="s">
        <v>42</v>
      </c>
      <c r="S204" s="5" t="s">
        <v>61</v>
      </c>
      <c r="T204" s="5" t="s">
        <v>44</v>
      </c>
      <c r="U204" s="5" t="s">
        <v>44</v>
      </c>
      <c r="V204" s="5" t="s">
        <v>44</v>
      </c>
      <c r="W204" s="5" t="s">
        <v>36</v>
      </c>
      <c r="X204" s="5" t="s">
        <v>312</v>
      </c>
      <c r="Y204" s="5" t="s">
        <v>47</v>
      </c>
      <c r="Z204" s="5" t="s">
        <v>35</v>
      </c>
      <c r="AA204" s="5" t="s">
        <v>64</v>
      </c>
      <c r="AB204" s="5" t="s">
        <v>1378</v>
      </c>
      <c r="AC204" s="6" t="s">
        <v>208</v>
      </c>
      <c r="AD204" s="6">
        <v>5309.0</v>
      </c>
    </row>
    <row r="205" ht="56.25" customHeight="1">
      <c r="A205" s="5" t="s">
        <v>1380</v>
      </c>
      <c r="B205" s="6" t="str">
        <f>IMAGE("https://storage.googleapis.com/acdb/wall-mounted/FtrPenantHha.png")</f>
        <v/>
      </c>
      <c r="C205" s="5" t="s">
        <v>34</v>
      </c>
      <c r="D205" s="5" t="s">
        <v>34</v>
      </c>
      <c r="E205" s="5" t="s">
        <v>34</v>
      </c>
      <c r="F205" s="5" t="s">
        <v>34</v>
      </c>
      <c r="G205" s="5" t="s">
        <v>36</v>
      </c>
      <c r="H205" s="5" t="s">
        <v>36</v>
      </c>
      <c r="I205" s="5" t="s">
        <v>36</v>
      </c>
      <c r="J205" s="6" t="s">
        <v>34</v>
      </c>
      <c r="K205" s="6" t="s">
        <v>37</v>
      </c>
      <c r="L205" s="6">
        <v>375.0</v>
      </c>
      <c r="M205" s="5" t="s">
        <v>68</v>
      </c>
      <c r="N205" s="5" t="s">
        <v>114</v>
      </c>
      <c r="O205" s="6" t="s">
        <v>431</v>
      </c>
      <c r="P205" s="5" t="s">
        <v>423</v>
      </c>
      <c r="Q205" s="5"/>
      <c r="R205" s="17" t="s">
        <v>42</v>
      </c>
      <c r="S205" s="5" t="s">
        <v>90</v>
      </c>
      <c r="T205" s="5" t="s">
        <v>116</v>
      </c>
      <c r="U205" s="5" t="s">
        <v>44</v>
      </c>
      <c r="V205" s="5" t="s">
        <v>44</v>
      </c>
      <c r="W205" s="5" t="s">
        <v>36</v>
      </c>
      <c r="X205" s="5" t="s">
        <v>206</v>
      </c>
      <c r="Y205" s="5" t="s">
        <v>47</v>
      </c>
      <c r="Z205" s="5" t="s">
        <v>36</v>
      </c>
      <c r="AA205" s="5" t="s">
        <v>48</v>
      </c>
      <c r="AB205" s="5" t="s">
        <v>1384</v>
      </c>
      <c r="AC205" s="6" t="s">
        <v>34</v>
      </c>
      <c r="AD205" s="6">
        <v>7040.0</v>
      </c>
    </row>
    <row r="206" ht="56.25" customHeight="1">
      <c r="A206" s="5" t="s">
        <v>1385</v>
      </c>
      <c r="B206" s="6" t="str">
        <f>IMAGE("https://storage.googleapis.com/acdb/wall-mounted/FtrDoorOrnamentWreathHyacinth.png")</f>
        <v/>
      </c>
      <c r="C206" s="5" t="s">
        <v>34</v>
      </c>
      <c r="D206" s="5" t="s">
        <v>34</v>
      </c>
      <c r="E206" s="5" t="s">
        <v>34</v>
      </c>
      <c r="F206" s="5" t="s">
        <v>34</v>
      </c>
      <c r="G206" s="5" t="s">
        <v>35</v>
      </c>
      <c r="H206" s="5" t="s">
        <v>36</v>
      </c>
      <c r="I206" s="5" t="s">
        <v>36</v>
      </c>
      <c r="J206" s="6" t="s">
        <v>34</v>
      </c>
      <c r="K206" s="6" t="s">
        <v>37</v>
      </c>
      <c r="L206" s="6">
        <v>720.0</v>
      </c>
      <c r="M206" s="5" t="s">
        <v>52</v>
      </c>
      <c r="N206" s="5" t="s">
        <v>57</v>
      </c>
      <c r="O206" s="6" t="s">
        <v>179</v>
      </c>
      <c r="P206" s="5" t="s">
        <v>41</v>
      </c>
      <c r="Q206" s="5"/>
      <c r="R206" s="17" t="s">
        <v>42</v>
      </c>
      <c r="S206" s="5" t="s">
        <v>61</v>
      </c>
      <c r="T206" s="5" t="s">
        <v>44</v>
      </c>
      <c r="U206" s="5" t="s">
        <v>311</v>
      </c>
      <c r="V206" s="5" t="s">
        <v>44</v>
      </c>
      <c r="W206" s="5" t="s">
        <v>36</v>
      </c>
      <c r="X206" s="5" t="s">
        <v>312</v>
      </c>
      <c r="Y206" s="5" t="s">
        <v>47</v>
      </c>
      <c r="Z206" s="5" t="s">
        <v>35</v>
      </c>
      <c r="AA206" s="5" t="s">
        <v>48</v>
      </c>
      <c r="AB206" s="5" t="s">
        <v>1391</v>
      </c>
      <c r="AC206" s="6" t="s">
        <v>34</v>
      </c>
      <c r="AD206" s="6">
        <v>5468.0</v>
      </c>
    </row>
    <row r="207" ht="56.25" customHeight="1">
      <c r="A207" s="5" t="s">
        <v>1392</v>
      </c>
      <c r="B207" s="6" t="str">
        <f>IMAGE("https://storage.googleapis.com/acdb/wall-mounted/FtrOrientalShelfWall_Remake_0_0.png")</f>
        <v/>
      </c>
      <c r="C207" s="5" t="s">
        <v>52</v>
      </c>
      <c r="D207" s="5" t="s">
        <v>34</v>
      </c>
      <c r="E207" s="5" t="s">
        <v>34</v>
      </c>
      <c r="F207" s="5" t="s">
        <v>34</v>
      </c>
      <c r="G207" s="5" t="s">
        <v>36</v>
      </c>
      <c r="H207" s="5" t="s">
        <v>36</v>
      </c>
      <c r="I207" s="5" t="s">
        <v>36</v>
      </c>
      <c r="J207" s="6" t="s">
        <v>34</v>
      </c>
      <c r="K207" s="6">
        <v>8500.0</v>
      </c>
      <c r="L207" s="6">
        <v>2125.0</v>
      </c>
      <c r="M207" s="5" t="s">
        <v>52</v>
      </c>
      <c r="N207" s="5" t="s">
        <v>52</v>
      </c>
      <c r="O207" s="6" t="s">
        <v>1057</v>
      </c>
      <c r="P207" s="5" t="s">
        <v>59</v>
      </c>
      <c r="Q207" s="5" t="s">
        <v>122</v>
      </c>
      <c r="R207" s="17" t="s">
        <v>42</v>
      </c>
      <c r="S207" s="5" t="s">
        <v>266</v>
      </c>
      <c r="T207" s="5" t="s">
        <v>44</v>
      </c>
      <c r="U207" s="5" t="s">
        <v>1395</v>
      </c>
      <c r="V207" s="5" t="s">
        <v>44</v>
      </c>
      <c r="W207" s="5" t="s">
        <v>36</v>
      </c>
      <c r="X207" s="5" t="s">
        <v>730</v>
      </c>
      <c r="Y207" s="5" t="s">
        <v>47</v>
      </c>
      <c r="Z207" s="5" t="s">
        <v>36</v>
      </c>
      <c r="AA207" s="5" t="s">
        <v>64</v>
      </c>
      <c r="AB207" s="5" t="s">
        <v>1398</v>
      </c>
      <c r="AC207" s="6" t="s">
        <v>50</v>
      </c>
      <c r="AD207" s="6">
        <v>3970.0</v>
      </c>
    </row>
    <row r="208" ht="56.25" customHeight="1">
      <c r="A208" s="5" t="s">
        <v>1392</v>
      </c>
      <c r="B208" s="6" t="str">
        <f>IMAGE("https://storage.googleapis.com/acdb/wall-mounted/FtrOrientalShelfWall_Remake_1_0.png")</f>
        <v/>
      </c>
      <c r="C208" s="5" t="s">
        <v>68</v>
      </c>
      <c r="D208" s="5" t="s">
        <v>34</v>
      </c>
      <c r="E208" s="5" t="s">
        <v>34</v>
      </c>
      <c r="F208" s="5" t="s">
        <v>34</v>
      </c>
      <c r="G208" s="5" t="s">
        <v>36</v>
      </c>
      <c r="H208" s="5" t="s">
        <v>36</v>
      </c>
      <c r="I208" s="5" t="s">
        <v>36</v>
      </c>
      <c r="J208" s="6" t="s">
        <v>34</v>
      </c>
      <c r="K208" s="6">
        <v>8500.0</v>
      </c>
      <c r="L208" s="6">
        <v>2125.0</v>
      </c>
      <c r="M208" s="5" t="s">
        <v>68</v>
      </c>
      <c r="N208" s="5" t="s">
        <v>68</v>
      </c>
      <c r="O208" s="6" t="s">
        <v>1057</v>
      </c>
      <c r="P208" s="5" t="s">
        <v>59</v>
      </c>
      <c r="Q208" s="5" t="s">
        <v>122</v>
      </c>
      <c r="R208" s="17" t="s">
        <v>42</v>
      </c>
      <c r="S208" s="5" t="s">
        <v>266</v>
      </c>
      <c r="T208" s="5" t="s">
        <v>44</v>
      </c>
      <c r="U208" s="5" t="s">
        <v>1395</v>
      </c>
      <c r="V208" s="5" t="s">
        <v>44</v>
      </c>
      <c r="W208" s="5" t="s">
        <v>36</v>
      </c>
      <c r="X208" s="5" t="s">
        <v>730</v>
      </c>
      <c r="Y208" s="5" t="s">
        <v>47</v>
      </c>
      <c r="Z208" s="5" t="s">
        <v>36</v>
      </c>
      <c r="AA208" s="5" t="s">
        <v>64</v>
      </c>
      <c r="AB208" s="5" t="s">
        <v>1401</v>
      </c>
      <c r="AC208" s="6" t="s">
        <v>56</v>
      </c>
      <c r="AD208" s="6">
        <v>3970.0</v>
      </c>
    </row>
    <row r="209" ht="56.25" customHeight="1">
      <c r="A209" s="5" t="s">
        <v>1392</v>
      </c>
      <c r="B209" s="6" t="str">
        <f>IMAGE("https://storage.googleapis.com/acdb/wall-mounted/FtrOrientalShelfWall_Remake_2_0.png")</f>
        <v/>
      </c>
      <c r="C209" s="5" t="s">
        <v>39</v>
      </c>
      <c r="D209" s="5" t="s">
        <v>34</v>
      </c>
      <c r="E209" s="5" t="s">
        <v>34</v>
      </c>
      <c r="F209" s="5" t="s">
        <v>34</v>
      </c>
      <c r="G209" s="5" t="s">
        <v>36</v>
      </c>
      <c r="H209" s="5" t="s">
        <v>36</v>
      </c>
      <c r="I209" s="5" t="s">
        <v>36</v>
      </c>
      <c r="J209" s="6" t="s">
        <v>34</v>
      </c>
      <c r="K209" s="6">
        <v>8500.0</v>
      </c>
      <c r="L209" s="6">
        <v>2125.0</v>
      </c>
      <c r="M209" s="5" t="s">
        <v>39</v>
      </c>
      <c r="N209" s="5" t="s">
        <v>39</v>
      </c>
      <c r="O209" s="6" t="s">
        <v>1057</v>
      </c>
      <c r="P209" s="5" t="s">
        <v>59</v>
      </c>
      <c r="Q209" s="5" t="s">
        <v>122</v>
      </c>
      <c r="R209" s="17" t="s">
        <v>42</v>
      </c>
      <c r="S209" s="5" t="s">
        <v>266</v>
      </c>
      <c r="T209" s="5" t="s">
        <v>44</v>
      </c>
      <c r="U209" s="5" t="s">
        <v>1395</v>
      </c>
      <c r="V209" s="5" t="s">
        <v>44</v>
      </c>
      <c r="W209" s="5" t="s">
        <v>36</v>
      </c>
      <c r="X209" s="5" t="s">
        <v>730</v>
      </c>
      <c r="Y209" s="5" t="s">
        <v>47</v>
      </c>
      <c r="Z209" s="5" t="s">
        <v>36</v>
      </c>
      <c r="AA209" s="5" t="s">
        <v>64</v>
      </c>
      <c r="AB209" s="5" t="s">
        <v>1407</v>
      </c>
      <c r="AC209" s="6" t="s">
        <v>67</v>
      </c>
      <c r="AD209" s="6">
        <v>3970.0</v>
      </c>
    </row>
    <row r="210" ht="56.25" customHeight="1">
      <c r="A210" s="5" t="s">
        <v>1392</v>
      </c>
      <c r="B210" s="6" t="str">
        <f>IMAGE("https://storage.googleapis.com/acdb/wall-mounted/FtrOrientalShelfWall_Remake_3_0.png")</f>
        <v/>
      </c>
      <c r="C210" s="5" t="s">
        <v>54</v>
      </c>
      <c r="D210" s="5" t="s">
        <v>34</v>
      </c>
      <c r="E210" s="5" t="s">
        <v>34</v>
      </c>
      <c r="F210" s="5" t="s">
        <v>34</v>
      </c>
      <c r="G210" s="5" t="s">
        <v>36</v>
      </c>
      <c r="H210" s="5" t="s">
        <v>36</v>
      </c>
      <c r="I210" s="5" t="s">
        <v>36</v>
      </c>
      <c r="J210" s="6" t="s">
        <v>34</v>
      </c>
      <c r="K210" s="6">
        <v>8500.0</v>
      </c>
      <c r="L210" s="6">
        <v>2125.0</v>
      </c>
      <c r="M210" s="5" t="s">
        <v>54</v>
      </c>
      <c r="N210" s="5" t="s">
        <v>54</v>
      </c>
      <c r="O210" s="6" t="s">
        <v>1057</v>
      </c>
      <c r="P210" s="5" t="s">
        <v>59</v>
      </c>
      <c r="Q210" s="5" t="s">
        <v>122</v>
      </c>
      <c r="R210" s="17" t="s">
        <v>42</v>
      </c>
      <c r="S210" s="5" t="s">
        <v>266</v>
      </c>
      <c r="T210" s="5" t="s">
        <v>44</v>
      </c>
      <c r="U210" s="5" t="s">
        <v>1395</v>
      </c>
      <c r="V210" s="5" t="s">
        <v>44</v>
      </c>
      <c r="W210" s="5" t="s">
        <v>36</v>
      </c>
      <c r="X210" s="5" t="s">
        <v>730</v>
      </c>
      <c r="Y210" s="5" t="s">
        <v>47</v>
      </c>
      <c r="Z210" s="5" t="s">
        <v>36</v>
      </c>
      <c r="AA210" s="5" t="s">
        <v>64</v>
      </c>
      <c r="AB210" s="5" t="s">
        <v>1416</v>
      </c>
      <c r="AC210" s="6" t="s">
        <v>71</v>
      </c>
      <c r="AD210" s="6">
        <v>3970.0</v>
      </c>
    </row>
    <row r="211" ht="56.25" customHeight="1">
      <c r="A211" s="5" t="s">
        <v>1417</v>
      </c>
      <c r="B211" s="6" t="str">
        <f>IMAGE("https://storage.googleapis.com/acdb/wall-mounted/FtrChineseLampWall_Remake_0_0.png")</f>
        <v/>
      </c>
      <c r="C211" s="5" t="s">
        <v>151</v>
      </c>
      <c r="D211" s="5" t="s">
        <v>34</v>
      </c>
      <c r="E211" s="5" t="s">
        <v>34</v>
      </c>
      <c r="F211" s="5" t="s">
        <v>34</v>
      </c>
      <c r="G211" s="5" t="s">
        <v>36</v>
      </c>
      <c r="H211" s="5" t="s">
        <v>36</v>
      </c>
      <c r="I211" s="5" t="s">
        <v>36</v>
      </c>
      <c r="J211" s="6" t="s">
        <v>34</v>
      </c>
      <c r="K211" s="6">
        <v>19000.0</v>
      </c>
      <c r="L211" s="6">
        <v>4750.0</v>
      </c>
      <c r="M211" s="5" t="s">
        <v>114</v>
      </c>
      <c r="N211" s="5" t="s">
        <v>52</v>
      </c>
      <c r="O211" s="6" t="s">
        <v>431</v>
      </c>
      <c r="P211" s="5" t="s">
        <v>59</v>
      </c>
      <c r="Q211" s="5" t="s">
        <v>115</v>
      </c>
      <c r="R211" s="17" t="s">
        <v>42</v>
      </c>
      <c r="S211" s="5" t="s">
        <v>62</v>
      </c>
      <c r="T211" s="5" t="s">
        <v>266</v>
      </c>
      <c r="U211" s="5" t="s">
        <v>44</v>
      </c>
      <c r="V211" s="5" t="s">
        <v>1423</v>
      </c>
      <c r="W211" s="5" t="s">
        <v>35</v>
      </c>
      <c r="X211" s="5" t="s">
        <v>467</v>
      </c>
      <c r="Y211" s="5" t="s">
        <v>502</v>
      </c>
      <c r="Z211" s="5" t="s">
        <v>36</v>
      </c>
      <c r="AA211" s="5" t="s">
        <v>64</v>
      </c>
      <c r="AB211" s="5" t="s">
        <v>1424</v>
      </c>
      <c r="AC211" s="6" t="s">
        <v>50</v>
      </c>
      <c r="AD211" s="6">
        <v>8415.0</v>
      </c>
    </row>
    <row r="212" ht="56.25" customHeight="1">
      <c r="A212" s="5" t="s">
        <v>1417</v>
      </c>
      <c r="B212" s="6" t="str">
        <f>IMAGE("https://storage.googleapis.com/acdb/wall-mounted/FtrChineseLampWall_Remake_1_0.png")</f>
        <v/>
      </c>
      <c r="C212" s="5" t="s">
        <v>54</v>
      </c>
      <c r="D212" s="5" t="s">
        <v>34</v>
      </c>
      <c r="E212" s="5" t="s">
        <v>34</v>
      </c>
      <c r="F212" s="5" t="s">
        <v>34</v>
      </c>
      <c r="G212" s="5" t="s">
        <v>36</v>
      </c>
      <c r="H212" s="5" t="s">
        <v>36</v>
      </c>
      <c r="I212" s="5" t="s">
        <v>36</v>
      </c>
      <c r="J212" s="6" t="s">
        <v>34</v>
      </c>
      <c r="K212" s="6">
        <v>19000.0</v>
      </c>
      <c r="L212" s="6">
        <v>4750.0</v>
      </c>
      <c r="M212" s="5" t="s">
        <v>54</v>
      </c>
      <c r="N212" s="5" t="s">
        <v>52</v>
      </c>
      <c r="O212" s="6" t="s">
        <v>431</v>
      </c>
      <c r="P212" s="5" t="s">
        <v>59</v>
      </c>
      <c r="Q212" s="5" t="s">
        <v>115</v>
      </c>
      <c r="R212" s="17" t="s">
        <v>42</v>
      </c>
      <c r="S212" s="5" t="s">
        <v>62</v>
      </c>
      <c r="T212" s="5" t="s">
        <v>266</v>
      </c>
      <c r="U212" s="5" t="s">
        <v>44</v>
      </c>
      <c r="V212" s="5" t="s">
        <v>1423</v>
      </c>
      <c r="W212" s="5" t="s">
        <v>35</v>
      </c>
      <c r="X212" s="5" t="s">
        <v>467</v>
      </c>
      <c r="Y212" s="5" t="s">
        <v>502</v>
      </c>
      <c r="Z212" s="5" t="s">
        <v>36</v>
      </c>
      <c r="AA212" s="5" t="s">
        <v>64</v>
      </c>
      <c r="AB212" s="5" t="s">
        <v>1429</v>
      </c>
      <c r="AC212" s="6" t="s">
        <v>56</v>
      </c>
      <c r="AD212" s="6">
        <v>8415.0</v>
      </c>
    </row>
    <row r="213" ht="56.25" customHeight="1">
      <c r="A213" s="5" t="s">
        <v>1417</v>
      </c>
      <c r="B213" s="6" t="str">
        <f>IMAGE("https://storage.googleapis.com/acdb/wall-mounted/FtrChineseLampWall_Remake_2_0.png")</f>
        <v/>
      </c>
      <c r="C213" s="5" t="s">
        <v>68</v>
      </c>
      <c r="D213" s="5" t="s">
        <v>34</v>
      </c>
      <c r="E213" s="5" t="s">
        <v>34</v>
      </c>
      <c r="F213" s="5" t="s">
        <v>34</v>
      </c>
      <c r="G213" s="5" t="s">
        <v>36</v>
      </c>
      <c r="H213" s="5" t="s">
        <v>36</v>
      </c>
      <c r="I213" s="5" t="s">
        <v>36</v>
      </c>
      <c r="J213" s="6" t="s">
        <v>34</v>
      </c>
      <c r="K213" s="6">
        <v>19000.0</v>
      </c>
      <c r="L213" s="6">
        <v>4750.0</v>
      </c>
      <c r="M213" s="5" t="s">
        <v>68</v>
      </c>
      <c r="N213" s="5" t="s">
        <v>52</v>
      </c>
      <c r="O213" s="6" t="s">
        <v>431</v>
      </c>
      <c r="P213" s="5" t="s">
        <v>59</v>
      </c>
      <c r="Q213" s="5" t="s">
        <v>115</v>
      </c>
      <c r="R213" s="17" t="s">
        <v>42</v>
      </c>
      <c r="S213" s="5" t="s">
        <v>62</v>
      </c>
      <c r="T213" s="5" t="s">
        <v>266</v>
      </c>
      <c r="U213" s="5" t="s">
        <v>44</v>
      </c>
      <c r="V213" s="5" t="s">
        <v>1423</v>
      </c>
      <c r="W213" s="5" t="s">
        <v>35</v>
      </c>
      <c r="X213" s="5" t="s">
        <v>467</v>
      </c>
      <c r="Y213" s="5" t="s">
        <v>502</v>
      </c>
      <c r="Z213" s="5" t="s">
        <v>36</v>
      </c>
      <c r="AA213" s="5" t="s">
        <v>64</v>
      </c>
      <c r="AB213" s="5" t="s">
        <v>1433</v>
      </c>
      <c r="AC213" s="6" t="s">
        <v>67</v>
      </c>
      <c r="AD213" s="6">
        <v>8415.0</v>
      </c>
    </row>
    <row r="214" ht="56.25" customHeight="1">
      <c r="A214" s="5" t="s">
        <v>1417</v>
      </c>
      <c r="B214" s="6" t="str">
        <f>IMAGE("https://storage.googleapis.com/acdb/wall-mounted/FtrChineseLampWall_Remake_3_0.png")</f>
        <v/>
      </c>
      <c r="C214" s="5" t="s">
        <v>52</v>
      </c>
      <c r="D214" s="5" t="s">
        <v>34</v>
      </c>
      <c r="E214" s="5" t="s">
        <v>34</v>
      </c>
      <c r="F214" s="5" t="s">
        <v>34</v>
      </c>
      <c r="G214" s="5" t="s">
        <v>36</v>
      </c>
      <c r="H214" s="5" t="s">
        <v>36</v>
      </c>
      <c r="I214" s="5" t="s">
        <v>36</v>
      </c>
      <c r="J214" s="6" t="s">
        <v>34</v>
      </c>
      <c r="K214" s="6">
        <v>19000.0</v>
      </c>
      <c r="L214" s="6">
        <v>4750.0</v>
      </c>
      <c r="M214" s="5" t="s">
        <v>52</v>
      </c>
      <c r="N214" s="5" t="s">
        <v>114</v>
      </c>
      <c r="O214" s="6" t="s">
        <v>431</v>
      </c>
      <c r="P214" s="5" t="s">
        <v>59</v>
      </c>
      <c r="Q214" s="5" t="s">
        <v>115</v>
      </c>
      <c r="R214" s="17" t="s">
        <v>42</v>
      </c>
      <c r="S214" s="5" t="s">
        <v>62</v>
      </c>
      <c r="T214" s="5" t="s">
        <v>266</v>
      </c>
      <c r="U214" s="5" t="s">
        <v>44</v>
      </c>
      <c r="V214" s="5" t="s">
        <v>1423</v>
      </c>
      <c r="W214" s="5" t="s">
        <v>35</v>
      </c>
      <c r="X214" s="5" t="s">
        <v>467</v>
      </c>
      <c r="Y214" s="5" t="s">
        <v>502</v>
      </c>
      <c r="Z214" s="5" t="s">
        <v>36</v>
      </c>
      <c r="AA214" s="5" t="s">
        <v>64</v>
      </c>
      <c r="AB214" s="5" t="s">
        <v>1438</v>
      </c>
      <c r="AC214" s="6" t="s">
        <v>71</v>
      </c>
      <c r="AD214" s="6">
        <v>8415.0</v>
      </c>
    </row>
    <row r="215" ht="56.25" customHeight="1">
      <c r="A215" s="5" t="s">
        <v>1439</v>
      </c>
      <c r="B215" s="6" t="str">
        <f>IMAGE("https://storage.googleapis.com/acdb/wall-mounted/FtrIntercom.png")</f>
        <v/>
      </c>
      <c r="C215" s="5" t="s">
        <v>34</v>
      </c>
      <c r="D215" s="5" t="s">
        <v>34</v>
      </c>
      <c r="E215" s="5" t="s">
        <v>34</v>
      </c>
      <c r="F215" s="5" t="s">
        <v>34</v>
      </c>
      <c r="G215" s="5" t="s">
        <v>36</v>
      </c>
      <c r="H215" s="5" t="s">
        <v>36</v>
      </c>
      <c r="I215" s="5" t="s">
        <v>36</v>
      </c>
      <c r="J215" s="6" t="s">
        <v>34</v>
      </c>
      <c r="K215" s="6">
        <v>860.0</v>
      </c>
      <c r="L215" s="6">
        <v>215.0</v>
      </c>
      <c r="M215" s="5" t="s">
        <v>57</v>
      </c>
      <c r="N215" s="5" t="s">
        <v>57</v>
      </c>
      <c r="O215" s="6" t="s">
        <v>179</v>
      </c>
      <c r="P215" s="5" t="s">
        <v>59</v>
      </c>
      <c r="Q215" s="5" t="s">
        <v>122</v>
      </c>
      <c r="R215" s="17" t="s">
        <v>42</v>
      </c>
      <c r="S215" s="5" t="s">
        <v>90</v>
      </c>
      <c r="T215" s="5" t="s">
        <v>141</v>
      </c>
      <c r="U215" s="5" t="s">
        <v>44</v>
      </c>
      <c r="V215" s="5" t="s">
        <v>44</v>
      </c>
      <c r="W215" s="5" t="s">
        <v>35</v>
      </c>
      <c r="X215" s="5" t="s">
        <v>182</v>
      </c>
      <c r="Y215" s="5" t="s">
        <v>47</v>
      </c>
      <c r="Z215" s="5" t="s">
        <v>36</v>
      </c>
      <c r="AA215" s="5" t="s">
        <v>64</v>
      </c>
      <c r="AB215" s="5" t="s">
        <v>1444</v>
      </c>
      <c r="AC215" s="6" t="s">
        <v>34</v>
      </c>
      <c r="AD215" s="6">
        <v>3399.0</v>
      </c>
    </row>
    <row r="216" ht="56.25" customHeight="1">
      <c r="A216" s="5" t="s">
        <v>1445</v>
      </c>
      <c r="B216" s="6" t="str">
        <f>IMAGE("https://storage.googleapis.com/acdb/wall-mounted/FtrDoorOrnamentIron_Remake_0_0.png")</f>
        <v/>
      </c>
      <c r="C216" s="5" t="s">
        <v>54</v>
      </c>
      <c r="D216" s="5" t="s">
        <v>135</v>
      </c>
      <c r="E216" s="5" t="s">
        <v>34</v>
      </c>
      <c r="F216" s="5" t="s">
        <v>34</v>
      </c>
      <c r="G216" s="5" t="s">
        <v>35</v>
      </c>
      <c r="H216" s="5" t="s">
        <v>35</v>
      </c>
      <c r="I216" s="5" t="s">
        <v>36</v>
      </c>
      <c r="J216" s="6">
        <v>1.0</v>
      </c>
      <c r="K216" s="6" t="s">
        <v>37</v>
      </c>
      <c r="L216" s="6">
        <v>1500.0</v>
      </c>
      <c r="M216" s="5" t="s">
        <v>54</v>
      </c>
      <c r="N216" s="5" t="s">
        <v>54</v>
      </c>
      <c r="O216" s="6" t="s">
        <v>179</v>
      </c>
      <c r="P216" s="5" t="s">
        <v>41</v>
      </c>
      <c r="Q216" s="5"/>
      <c r="R216" s="17" t="s">
        <v>42</v>
      </c>
      <c r="S216" s="5" t="s">
        <v>90</v>
      </c>
      <c r="T216" s="5" t="s">
        <v>44</v>
      </c>
      <c r="U216" s="5" t="s">
        <v>1448</v>
      </c>
      <c r="V216" s="5" t="s">
        <v>44</v>
      </c>
      <c r="W216" s="5" t="s">
        <v>36</v>
      </c>
      <c r="X216" s="5" t="s">
        <v>312</v>
      </c>
      <c r="Y216" s="5" t="s">
        <v>47</v>
      </c>
      <c r="Z216" s="5" t="s">
        <v>35</v>
      </c>
      <c r="AA216" s="5" t="s">
        <v>48</v>
      </c>
      <c r="AB216" s="5" t="s">
        <v>1453</v>
      </c>
      <c r="AC216" s="6" t="s">
        <v>50</v>
      </c>
      <c r="AD216" s="6">
        <v>4752.0</v>
      </c>
    </row>
    <row r="217" ht="56.25" customHeight="1">
      <c r="A217" s="5" t="s">
        <v>1445</v>
      </c>
      <c r="B217" s="6" t="str">
        <f>IMAGE("https://storage.googleapis.com/acdb/wall-mounted/FtrDoorOrnamentIron_Remake_1_0.png")</f>
        <v/>
      </c>
      <c r="C217" s="5" t="s">
        <v>57</v>
      </c>
      <c r="D217" s="5" t="s">
        <v>135</v>
      </c>
      <c r="E217" s="5" t="s">
        <v>34</v>
      </c>
      <c r="F217" s="5" t="s">
        <v>34</v>
      </c>
      <c r="G217" s="5" t="s">
        <v>35</v>
      </c>
      <c r="H217" s="5" t="s">
        <v>35</v>
      </c>
      <c r="I217" s="5" t="s">
        <v>36</v>
      </c>
      <c r="J217" s="6">
        <v>1.0</v>
      </c>
      <c r="K217" s="6" t="s">
        <v>37</v>
      </c>
      <c r="L217" s="6">
        <v>1500.0</v>
      </c>
      <c r="M217" s="5" t="s">
        <v>57</v>
      </c>
      <c r="N217" s="5" t="s">
        <v>57</v>
      </c>
      <c r="O217" s="6" t="s">
        <v>179</v>
      </c>
      <c r="P217" s="5" t="s">
        <v>41</v>
      </c>
      <c r="Q217" s="5"/>
      <c r="R217" s="17" t="s">
        <v>42</v>
      </c>
      <c r="S217" s="5" t="s">
        <v>90</v>
      </c>
      <c r="T217" s="5" t="s">
        <v>44</v>
      </c>
      <c r="U217" s="5" t="s">
        <v>1448</v>
      </c>
      <c r="V217" s="5" t="s">
        <v>44</v>
      </c>
      <c r="W217" s="5" t="s">
        <v>36</v>
      </c>
      <c r="X217" s="5" t="s">
        <v>312</v>
      </c>
      <c r="Y217" s="5" t="s">
        <v>47</v>
      </c>
      <c r="Z217" s="5" t="s">
        <v>35</v>
      </c>
      <c r="AA217" s="5" t="s">
        <v>48</v>
      </c>
      <c r="AB217" s="5" t="s">
        <v>1459</v>
      </c>
      <c r="AC217" s="6" t="s">
        <v>56</v>
      </c>
      <c r="AD217" s="6">
        <v>4752.0</v>
      </c>
    </row>
    <row r="218" ht="56.25" customHeight="1">
      <c r="A218" s="5" t="s">
        <v>1445</v>
      </c>
      <c r="B218" s="6" t="str">
        <f>IMAGE("https://storage.googleapis.com/acdb/wall-mounted/FtrDoorOrnamentIron_Remake_2_0.png")</f>
        <v/>
      </c>
      <c r="C218" s="5" t="s">
        <v>68</v>
      </c>
      <c r="D218" s="5" t="s">
        <v>135</v>
      </c>
      <c r="E218" s="5" t="s">
        <v>34</v>
      </c>
      <c r="F218" s="5" t="s">
        <v>34</v>
      </c>
      <c r="G218" s="5" t="s">
        <v>35</v>
      </c>
      <c r="H218" s="5" t="s">
        <v>35</v>
      </c>
      <c r="I218" s="5" t="s">
        <v>36</v>
      </c>
      <c r="J218" s="6">
        <v>1.0</v>
      </c>
      <c r="K218" s="6" t="s">
        <v>37</v>
      </c>
      <c r="L218" s="6">
        <v>1500.0</v>
      </c>
      <c r="M218" s="5" t="s">
        <v>68</v>
      </c>
      <c r="N218" s="5" t="s">
        <v>68</v>
      </c>
      <c r="O218" s="6" t="s">
        <v>179</v>
      </c>
      <c r="P218" s="5" t="s">
        <v>41</v>
      </c>
      <c r="Q218" s="5"/>
      <c r="R218" s="17" t="s">
        <v>42</v>
      </c>
      <c r="S218" s="5" t="s">
        <v>90</v>
      </c>
      <c r="T218" s="5" t="s">
        <v>44</v>
      </c>
      <c r="U218" s="5" t="s">
        <v>1448</v>
      </c>
      <c r="V218" s="5" t="s">
        <v>44</v>
      </c>
      <c r="W218" s="5" t="s">
        <v>36</v>
      </c>
      <c r="X218" s="5" t="s">
        <v>312</v>
      </c>
      <c r="Y218" s="5" t="s">
        <v>47</v>
      </c>
      <c r="Z218" s="5" t="s">
        <v>35</v>
      </c>
      <c r="AA218" s="5" t="s">
        <v>48</v>
      </c>
      <c r="AB218" s="5" t="s">
        <v>1464</v>
      </c>
      <c r="AC218" s="6" t="s">
        <v>67</v>
      </c>
      <c r="AD218" s="6">
        <v>4752.0</v>
      </c>
    </row>
    <row r="219" ht="56.25" customHeight="1">
      <c r="A219" s="5" t="s">
        <v>1445</v>
      </c>
      <c r="B219" s="6" t="str">
        <f>IMAGE("https://storage.googleapis.com/acdb/wall-mounted/FtrDoorOrnamentIron_Remake_3_0.png")</f>
        <v/>
      </c>
      <c r="C219" s="5" t="s">
        <v>146</v>
      </c>
      <c r="D219" s="5" t="s">
        <v>135</v>
      </c>
      <c r="E219" s="5" t="s">
        <v>34</v>
      </c>
      <c r="F219" s="5" t="s">
        <v>34</v>
      </c>
      <c r="G219" s="5" t="s">
        <v>35</v>
      </c>
      <c r="H219" s="5" t="s">
        <v>35</v>
      </c>
      <c r="I219" s="5" t="s">
        <v>36</v>
      </c>
      <c r="J219" s="6">
        <v>1.0</v>
      </c>
      <c r="K219" s="6" t="s">
        <v>37</v>
      </c>
      <c r="L219" s="6">
        <v>1500.0</v>
      </c>
      <c r="M219" s="5" t="s">
        <v>95</v>
      </c>
      <c r="N219" s="5" t="s">
        <v>95</v>
      </c>
      <c r="O219" s="6" t="s">
        <v>179</v>
      </c>
      <c r="P219" s="5" t="s">
        <v>41</v>
      </c>
      <c r="Q219" s="5"/>
      <c r="R219" s="17" t="s">
        <v>42</v>
      </c>
      <c r="S219" s="5" t="s">
        <v>90</v>
      </c>
      <c r="T219" s="5" t="s">
        <v>44</v>
      </c>
      <c r="U219" s="5" t="s">
        <v>1448</v>
      </c>
      <c r="V219" s="5" t="s">
        <v>44</v>
      </c>
      <c r="W219" s="5" t="s">
        <v>36</v>
      </c>
      <c r="X219" s="5" t="s">
        <v>312</v>
      </c>
      <c r="Y219" s="5" t="s">
        <v>47</v>
      </c>
      <c r="Z219" s="5" t="s">
        <v>35</v>
      </c>
      <c r="AA219" s="5" t="s">
        <v>48</v>
      </c>
      <c r="AB219" s="5" t="s">
        <v>1468</v>
      </c>
      <c r="AC219" s="6" t="s">
        <v>71</v>
      </c>
      <c r="AD219" s="6">
        <v>4752.0</v>
      </c>
    </row>
    <row r="220" ht="56.25" customHeight="1">
      <c r="A220" s="5" t="s">
        <v>1445</v>
      </c>
      <c r="B220" s="6" t="str">
        <f>IMAGE("https://storage.googleapis.com/acdb/wall-mounted/FtrDoorOrnamentIron_Remake_4_0.png")</f>
        <v/>
      </c>
      <c r="C220" s="5" t="s">
        <v>1470</v>
      </c>
      <c r="D220" s="5" t="s">
        <v>135</v>
      </c>
      <c r="E220" s="5" t="s">
        <v>34</v>
      </c>
      <c r="F220" s="5" t="s">
        <v>34</v>
      </c>
      <c r="G220" s="5" t="s">
        <v>35</v>
      </c>
      <c r="H220" s="5" t="s">
        <v>35</v>
      </c>
      <c r="I220" s="5" t="s">
        <v>36</v>
      </c>
      <c r="J220" s="6">
        <v>1.0</v>
      </c>
      <c r="K220" s="6" t="s">
        <v>37</v>
      </c>
      <c r="L220" s="6">
        <v>1500.0</v>
      </c>
      <c r="M220" s="5" t="s">
        <v>38</v>
      </c>
      <c r="N220" s="5" t="s">
        <v>38</v>
      </c>
      <c r="O220" s="6" t="s">
        <v>179</v>
      </c>
      <c r="P220" s="5" t="s">
        <v>41</v>
      </c>
      <c r="Q220" s="5"/>
      <c r="R220" s="17" t="s">
        <v>42</v>
      </c>
      <c r="S220" s="5" t="s">
        <v>90</v>
      </c>
      <c r="T220" s="5" t="s">
        <v>44</v>
      </c>
      <c r="U220" s="5" t="s">
        <v>1448</v>
      </c>
      <c r="V220" s="5" t="s">
        <v>44</v>
      </c>
      <c r="W220" s="5" t="s">
        <v>36</v>
      </c>
      <c r="X220" s="5" t="s">
        <v>312</v>
      </c>
      <c r="Y220" s="5" t="s">
        <v>47</v>
      </c>
      <c r="Z220" s="5" t="s">
        <v>35</v>
      </c>
      <c r="AA220" s="5" t="s">
        <v>48</v>
      </c>
      <c r="AB220" s="5" t="s">
        <v>1474</v>
      </c>
      <c r="AC220" s="6" t="s">
        <v>75</v>
      </c>
      <c r="AD220" s="6">
        <v>4752.0</v>
      </c>
    </row>
    <row r="221" ht="56.25" customHeight="1">
      <c r="A221" s="5" t="s">
        <v>1445</v>
      </c>
      <c r="B221" s="6" t="str">
        <f>IMAGE("https://storage.googleapis.com/acdb/wall-mounted/FtrDoorOrnamentIron_Remake_5_0.png")</f>
        <v/>
      </c>
      <c r="C221" s="5" t="s">
        <v>151</v>
      </c>
      <c r="D221" s="5" t="s">
        <v>135</v>
      </c>
      <c r="E221" s="5" t="s">
        <v>34</v>
      </c>
      <c r="F221" s="5" t="s">
        <v>34</v>
      </c>
      <c r="G221" s="5" t="s">
        <v>35</v>
      </c>
      <c r="H221" s="5" t="s">
        <v>35</v>
      </c>
      <c r="I221" s="5" t="s">
        <v>36</v>
      </c>
      <c r="J221" s="6">
        <v>1.0</v>
      </c>
      <c r="K221" s="6" t="s">
        <v>37</v>
      </c>
      <c r="L221" s="6">
        <v>1500.0</v>
      </c>
      <c r="M221" s="5" t="s">
        <v>114</v>
      </c>
      <c r="N221" s="5" t="s">
        <v>114</v>
      </c>
      <c r="O221" s="6" t="s">
        <v>179</v>
      </c>
      <c r="P221" s="5" t="s">
        <v>41</v>
      </c>
      <c r="Q221" s="5"/>
      <c r="R221" s="17" t="s">
        <v>42</v>
      </c>
      <c r="S221" s="5" t="s">
        <v>90</v>
      </c>
      <c r="T221" s="5" t="s">
        <v>44</v>
      </c>
      <c r="U221" s="5" t="s">
        <v>1448</v>
      </c>
      <c r="V221" s="5" t="s">
        <v>44</v>
      </c>
      <c r="W221" s="5" t="s">
        <v>36</v>
      </c>
      <c r="X221" s="5" t="s">
        <v>312</v>
      </c>
      <c r="Y221" s="5" t="s">
        <v>47</v>
      </c>
      <c r="Z221" s="5" t="s">
        <v>35</v>
      </c>
      <c r="AA221" s="5" t="s">
        <v>48</v>
      </c>
      <c r="AB221" s="5" t="s">
        <v>1478</v>
      </c>
      <c r="AC221" s="6" t="s">
        <v>79</v>
      </c>
      <c r="AD221" s="6">
        <v>4752.0</v>
      </c>
    </row>
    <row r="222" ht="56.25" customHeight="1">
      <c r="A222" s="5" t="s">
        <v>1445</v>
      </c>
      <c r="B222" s="6" t="str">
        <f>IMAGE("https://storage.googleapis.com/acdb/wall-mounted/FtrDoorOrnamentIron_Remake_6_0.png")</f>
        <v/>
      </c>
      <c r="C222" s="5" t="s">
        <v>69</v>
      </c>
      <c r="D222" s="5" t="s">
        <v>135</v>
      </c>
      <c r="E222" s="5" t="s">
        <v>34</v>
      </c>
      <c r="F222" s="5" t="s">
        <v>34</v>
      </c>
      <c r="G222" s="5" t="s">
        <v>35</v>
      </c>
      <c r="H222" s="5" t="s">
        <v>35</v>
      </c>
      <c r="I222" s="5" t="s">
        <v>36</v>
      </c>
      <c r="J222" s="6">
        <v>1.0</v>
      </c>
      <c r="K222" s="6" t="s">
        <v>37</v>
      </c>
      <c r="L222" s="6">
        <v>1500.0</v>
      </c>
      <c r="M222" s="5" t="s">
        <v>142</v>
      </c>
      <c r="N222" s="5" t="s">
        <v>142</v>
      </c>
      <c r="O222" s="6" t="s">
        <v>179</v>
      </c>
      <c r="P222" s="5" t="s">
        <v>41</v>
      </c>
      <c r="Q222" s="5"/>
      <c r="R222" s="17" t="s">
        <v>42</v>
      </c>
      <c r="S222" s="5" t="s">
        <v>90</v>
      </c>
      <c r="T222" s="5" t="s">
        <v>44</v>
      </c>
      <c r="U222" s="5" t="s">
        <v>1448</v>
      </c>
      <c r="V222" s="5" t="s">
        <v>44</v>
      </c>
      <c r="W222" s="5" t="s">
        <v>36</v>
      </c>
      <c r="X222" s="5" t="s">
        <v>312</v>
      </c>
      <c r="Y222" s="5" t="s">
        <v>47</v>
      </c>
      <c r="Z222" s="5" t="s">
        <v>35</v>
      </c>
      <c r="AA222" s="5" t="s">
        <v>48</v>
      </c>
      <c r="AB222" s="5" t="s">
        <v>1483</v>
      </c>
      <c r="AC222" s="6" t="s">
        <v>86</v>
      </c>
      <c r="AD222" s="6">
        <v>4752.0</v>
      </c>
    </row>
    <row r="223" ht="56.25" customHeight="1">
      <c r="A223" s="5" t="s">
        <v>1445</v>
      </c>
      <c r="B223" s="6" t="str">
        <f>IMAGE("https://storage.googleapis.com/acdb/wall-mounted/FtrDoorOrnamentIron_Remake_7_0.png")</f>
        <v/>
      </c>
      <c r="C223" s="5" t="s">
        <v>39</v>
      </c>
      <c r="D223" s="5" t="s">
        <v>135</v>
      </c>
      <c r="E223" s="5" t="s">
        <v>34</v>
      </c>
      <c r="F223" s="5" t="s">
        <v>34</v>
      </c>
      <c r="G223" s="5" t="s">
        <v>35</v>
      </c>
      <c r="H223" s="5" t="s">
        <v>35</v>
      </c>
      <c r="I223" s="5" t="s">
        <v>36</v>
      </c>
      <c r="J223" s="6">
        <v>1.0</v>
      </c>
      <c r="K223" s="6" t="s">
        <v>37</v>
      </c>
      <c r="L223" s="6">
        <v>1500.0</v>
      </c>
      <c r="M223" s="5" t="s">
        <v>39</v>
      </c>
      <c r="N223" s="5" t="s">
        <v>39</v>
      </c>
      <c r="O223" s="6" t="s">
        <v>179</v>
      </c>
      <c r="P223" s="5" t="s">
        <v>41</v>
      </c>
      <c r="Q223" s="5"/>
      <c r="R223" s="17" t="s">
        <v>42</v>
      </c>
      <c r="S223" s="5" t="s">
        <v>90</v>
      </c>
      <c r="T223" s="5" t="s">
        <v>44</v>
      </c>
      <c r="U223" s="5" t="s">
        <v>1448</v>
      </c>
      <c r="V223" s="5" t="s">
        <v>44</v>
      </c>
      <c r="W223" s="5" t="s">
        <v>36</v>
      </c>
      <c r="X223" s="5" t="s">
        <v>312</v>
      </c>
      <c r="Y223" s="5" t="s">
        <v>47</v>
      </c>
      <c r="Z223" s="5" t="s">
        <v>35</v>
      </c>
      <c r="AA223" s="5" t="s">
        <v>48</v>
      </c>
      <c r="AB223" s="5" t="s">
        <v>1487</v>
      </c>
      <c r="AC223" s="6" t="s">
        <v>208</v>
      </c>
      <c r="AD223" s="6">
        <v>4752.0</v>
      </c>
    </row>
    <row r="224" ht="56.25" customHeight="1">
      <c r="A224" s="5" t="s">
        <v>1488</v>
      </c>
      <c r="B224" s="6" t="str">
        <f>IMAGE("https://storage.googleapis.com/acdb/wall-mounted/FtrIronLampW_Remake_0_0.png")</f>
        <v/>
      </c>
      <c r="C224" s="5" t="s">
        <v>54</v>
      </c>
      <c r="D224" s="5" t="s">
        <v>1008</v>
      </c>
      <c r="E224" s="5" t="s">
        <v>34</v>
      </c>
      <c r="F224" s="5" t="s">
        <v>34</v>
      </c>
      <c r="G224" s="5" t="s">
        <v>35</v>
      </c>
      <c r="H224" s="5" t="s">
        <v>35</v>
      </c>
      <c r="I224" s="5" t="s">
        <v>36</v>
      </c>
      <c r="J224" s="6">
        <v>5.0</v>
      </c>
      <c r="K224" s="6" t="s">
        <v>37</v>
      </c>
      <c r="L224" s="6">
        <v>3400.0</v>
      </c>
      <c r="M224" s="5" t="s">
        <v>54</v>
      </c>
      <c r="N224" s="5" t="s">
        <v>54</v>
      </c>
      <c r="O224" s="6" t="s">
        <v>179</v>
      </c>
      <c r="P224" s="5" t="s">
        <v>41</v>
      </c>
      <c r="Q224" s="5"/>
      <c r="R224" s="17" t="s">
        <v>42</v>
      </c>
      <c r="S224" s="5" t="s">
        <v>90</v>
      </c>
      <c r="T224" s="5" t="s">
        <v>416</v>
      </c>
      <c r="U224" s="5" t="s">
        <v>1448</v>
      </c>
      <c r="V224" s="5" t="s">
        <v>44</v>
      </c>
      <c r="W224" s="5" t="s">
        <v>35</v>
      </c>
      <c r="X224" s="5" t="s">
        <v>467</v>
      </c>
      <c r="Y224" s="5" t="s">
        <v>502</v>
      </c>
      <c r="Z224" s="5" t="s">
        <v>36</v>
      </c>
      <c r="AA224" s="5" t="s">
        <v>48</v>
      </c>
      <c r="AB224" s="5" t="s">
        <v>1491</v>
      </c>
      <c r="AC224" s="6" t="s">
        <v>50</v>
      </c>
      <c r="AD224" s="6">
        <v>3559.0</v>
      </c>
    </row>
    <row r="225" ht="56.25" customHeight="1">
      <c r="A225" s="5" t="s">
        <v>1488</v>
      </c>
      <c r="B225" s="6" t="str">
        <f>IMAGE("https://storage.googleapis.com/acdb/wall-mounted/FtrIronLampW_Remake_1_0.png")</f>
        <v/>
      </c>
      <c r="C225" s="5" t="s">
        <v>57</v>
      </c>
      <c r="D225" s="5" t="s">
        <v>1008</v>
      </c>
      <c r="E225" s="5" t="s">
        <v>34</v>
      </c>
      <c r="F225" s="5" t="s">
        <v>34</v>
      </c>
      <c r="G225" s="5" t="s">
        <v>35</v>
      </c>
      <c r="H225" s="5" t="s">
        <v>35</v>
      </c>
      <c r="I225" s="5" t="s">
        <v>36</v>
      </c>
      <c r="J225" s="6">
        <v>5.0</v>
      </c>
      <c r="K225" s="6" t="s">
        <v>37</v>
      </c>
      <c r="L225" s="6">
        <v>3400.0</v>
      </c>
      <c r="M225" s="5" t="s">
        <v>57</v>
      </c>
      <c r="N225" s="5" t="s">
        <v>57</v>
      </c>
      <c r="O225" s="6" t="s">
        <v>179</v>
      </c>
      <c r="P225" s="5" t="s">
        <v>41</v>
      </c>
      <c r="Q225" s="5"/>
      <c r="R225" s="17" t="s">
        <v>42</v>
      </c>
      <c r="S225" s="5" t="s">
        <v>90</v>
      </c>
      <c r="T225" s="5" t="s">
        <v>416</v>
      </c>
      <c r="U225" s="5" t="s">
        <v>1448</v>
      </c>
      <c r="V225" s="5" t="s">
        <v>44</v>
      </c>
      <c r="W225" s="5" t="s">
        <v>35</v>
      </c>
      <c r="X225" s="5" t="s">
        <v>467</v>
      </c>
      <c r="Y225" s="5" t="s">
        <v>502</v>
      </c>
      <c r="Z225" s="5" t="s">
        <v>36</v>
      </c>
      <c r="AA225" s="5" t="s">
        <v>48</v>
      </c>
      <c r="AB225" s="5" t="s">
        <v>1495</v>
      </c>
      <c r="AC225" s="6" t="s">
        <v>56</v>
      </c>
      <c r="AD225" s="6">
        <v>3559.0</v>
      </c>
    </row>
    <row r="226" ht="56.25" customHeight="1">
      <c r="A226" s="5" t="s">
        <v>1496</v>
      </c>
      <c r="B226" s="6" t="str">
        <f>IMAGE("https://storage.googleapis.com/acdb/wall-mounted/FtrIronShelfW_Remake_0_0.png")</f>
        <v/>
      </c>
      <c r="C226" s="5" t="s">
        <v>54</v>
      </c>
      <c r="D226" s="5" t="s">
        <v>1008</v>
      </c>
      <c r="E226" s="5" t="s">
        <v>34</v>
      </c>
      <c r="F226" s="5" t="s">
        <v>34</v>
      </c>
      <c r="G226" s="5" t="s">
        <v>35</v>
      </c>
      <c r="H226" s="5" t="s">
        <v>35</v>
      </c>
      <c r="I226" s="5" t="s">
        <v>36</v>
      </c>
      <c r="J226" s="6">
        <v>4.0</v>
      </c>
      <c r="K226" s="6" t="s">
        <v>37</v>
      </c>
      <c r="L226" s="6">
        <v>2450.0</v>
      </c>
      <c r="M226" s="5" t="s">
        <v>54</v>
      </c>
      <c r="N226" s="5" t="s">
        <v>95</v>
      </c>
      <c r="O226" s="6" t="s">
        <v>179</v>
      </c>
      <c r="P226" s="5" t="s">
        <v>41</v>
      </c>
      <c r="Q226" s="5"/>
      <c r="R226" s="17" t="s">
        <v>42</v>
      </c>
      <c r="S226" s="5" t="s">
        <v>90</v>
      </c>
      <c r="T226" s="5" t="s">
        <v>416</v>
      </c>
      <c r="U226" s="5" t="s">
        <v>1448</v>
      </c>
      <c r="V226" s="5" t="s">
        <v>44</v>
      </c>
      <c r="W226" s="5" t="s">
        <v>36</v>
      </c>
      <c r="X226" s="5" t="s">
        <v>730</v>
      </c>
      <c r="Y226" s="5" t="s">
        <v>47</v>
      </c>
      <c r="Z226" s="5" t="s">
        <v>36</v>
      </c>
      <c r="AA226" s="5" t="s">
        <v>48</v>
      </c>
      <c r="AB226" s="5" t="s">
        <v>1500</v>
      </c>
      <c r="AC226" s="6" t="s">
        <v>50</v>
      </c>
      <c r="AD226" s="6">
        <v>3562.0</v>
      </c>
    </row>
    <row r="227" ht="56.25" customHeight="1">
      <c r="A227" s="5" t="s">
        <v>1496</v>
      </c>
      <c r="B227" s="6" t="str">
        <f>IMAGE("https://storage.googleapis.com/acdb/wall-mounted/FtrIronShelfW_Remake_1_0.png")</f>
        <v/>
      </c>
      <c r="C227" s="5" t="s">
        <v>57</v>
      </c>
      <c r="D227" s="5" t="s">
        <v>1008</v>
      </c>
      <c r="E227" s="5" t="s">
        <v>34</v>
      </c>
      <c r="F227" s="5" t="s">
        <v>34</v>
      </c>
      <c r="G227" s="5" t="s">
        <v>35</v>
      </c>
      <c r="H227" s="5" t="s">
        <v>35</v>
      </c>
      <c r="I227" s="5" t="s">
        <v>36</v>
      </c>
      <c r="J227" s="6">
        <v>4.0</v>
      </c>
      <c r="K227" s="6" t="s">
        <v>37</v>
      </c>
      <c r="L227" s="6">
        <v>2450.0</v>
      </c>
      <c r="M227" s="5" t="s">
        <v>57</v>
      </c>
      <c r="N227" s="5" t="s">
        <v>95</v>
      </c>
      <c r="O227" s="6" t="s">
        <v>179</v>
      </c>
      <c r="P227" s="5" t="s">
        <v>41</v>
      </c>
      <c r="Q227" s="5"/>
      <c r="R227" s="17" t="s">
        <v>42</v>
      </c>
      <c r="S227" s="5" t="s">
        <v>90</v>
      </c>
      <c r="T227" s="5" t="s">
        <v>416</v>
      </c>
      <c r="U227" s="5" t="s">
        <v>1448</v>
      </c>
      <c r="V227" s="5" t="s">
        <v>44</v>
      </c>
      <c r="W227" s="5" t="s">
        <v>36</v>
      </c>
      <c r="X227" s="5" t="s">
        <v>730</v>
      </c>
      <c r="Y227" s="5" t="s">
        <v>47</v>
      </c>
      <c r="Z227" s="5" t="s">
        <v>36</v>
      </c>
      <c r="AA227" s="5" t="s">
        <v>48</v>
      </c>
      <c r="AB227" s="5" t="s">
        <v>1506</v>
      </c>
      <c r="AC227" s="6" t="s">
        <v>56</v>
      </c>
      <c r="AD227" s="6">
        <v>3562.0</v>
      </c>
    </row>
    <row r="228" ht="56.25" customHeight="1">
      <c r="A228" s="5" t="s">
        <v>1508</v>
      </c>
      <c r="B228" s="6" t="str">
        <f>IMAGE("https://storage.googleapis.com/acdb/wall-mounted/FtrIronwoodClockW_Remake_0_0.png")</f>
        <v/>
      </c>
      <c r="C228" s="5" t="s">
        <v>1509</v>
      </c>
      <c r="D228" s="5" t="s">
        <v>1455</v>
      </c>
      <c r="E228" s="5" t="s">
        <v>34</v>
      </c>
      <c r="F228" s="5" t="s">
        <v>34</v>
      </c>
      <c r="G228" s="5" t="s">
        <v>35</v>
      </c>
      <c r="H228" s="5" t="s">
        <v>35</v>
      </c>
      <c r="I228" s="5" t="s">
        <v>36</v>
      </c>
      <c r="J228" s="6">
        <v>3.0</v>
      </c>
      <c r="K228" s="6" t="s">
        <v>37</v>
      </c>
      <c r="L228" s="6">
        <v>1740.0</v>
      </c>
      <c r="M228" s="5" t="s">
        <v>38</v>
      </c>
      <c r="N228" s="5" t="s">
        <v>54</v>
      </c>
      <c r="O228" s="6" t="s">
        <v>179</v>
      </c>
      <c r="P228" s="5" t="s">
        <v>41</v>
      </c>
      <c r="Q228" s="5"/>
      <c r="R228" s="17" t="s">
        <v>42</v>
      </c>
      <c r="S228" s="5" t="s">
        <v>90</v>
      </c>
      <c r="T228" s="5" t="s">
        <v>44</v>
      </c>
      <c r="U228" s="5" t="s">
        <v>1512</v>
      </c>
      <c r="V228" s="5" t="s">
        <v>44</v>
      </c>
      <c r="W228" s="5" t="s">
        <v>35</v>
      </c>
      <c r="X228" s="5" t="s">
        <v>260</v>
      </c>
      <c r="Y228" s="5" t="s">
        <v>47</v>
      </c>
      <c r="Z228" s="5" t="s">
        <v>36</v>
      </c>
      <c r="AA228" s="5" t="s">
        <v>48</v>
      </c>
      <c r="AB228" s="5" t="s">
        <v>1515</v>
      </c>
      <c r="AC228" s="6" t="s">
        <v>50</v>
      </c>
      <c r="AD228" s="6">
        <v>3275.0</v>
      </c>
    </row>
    <row r="229" ht="56.25" customHeight="1">
      <c r="A229" s="5" t="s">
        <v>1508</v>
      </c>
      <c r="B229" s="6" t="str">
        <f>IMAGE("https://storage.googleapis.com/acdb/wall-mounted/FtrIronwoodClockW_Remake_1_0.png")</f>
        <v/>
      </c>
      <c r="C229" s="5" t="s">
        <v>1518</v>
      </c>
      <c r="D229" s="5" t="s">
        <v>1455</v>
      </c>
      <c r="E229" s="5" t="s">
        <v>34</v>
      </c>
      <c r="F229" s="5" t="s">
        <v>34</v>
      </c>
      <c r="G229" s="5" t="s">
        <v>35</v>
      </c>
      <c r="H229" s="5" t="s">
        <v>35</v>
      </c>
      <c r="I229" s="5" t="s">
        <v>36</v>
      </c>
      <c r="J229" s="6">
        <v>3.0</v>
      </c>
      <c r="K229" s="6" t="s">
        <v>37</v>
      </c>
      <c r="L229" s="6">
        <v>1740.0</v>
      </c>
      <c r="M229" s="5" t="s">
        <v>142</v>
      </c>
      <c r="N229" s="5" t="s">
        <v>54</v>
      </c>
      <c r="O229" s="6" t="s">
        <v>179</v>
      </c>
      <c r="P229" s="5" t="s">
        <v>41</v>
      </c>
      <c r="Q229" s="5"/>
      <c r="R229" s="17" t="s">
        <v>42</v>
      </c>
      <c r="S229" s="5" t="s">
        <v>90</v>
      </c>
      <c r="T229" s="5" t="s">
        <v>44</v>
      </c>
      <c r="U229" s="5" t="s">
        <v>1512</v>
      </c>
      <c r="V229" s="5" t="s">
        <v>44</v>
      </c>
      <c r="W229" s="5" t="s">
        <v>35</v>
      </c>
      <c r="X229" s="5" t="s">
        <v>260</v>
      </c>
      <c r="Y229" s="5" t="s">
        <v>47</v>
      </c>
      <c r="Z229" s="5" t="s">
        <v>36</v>
      </c>
      <c r="AA229" s="5" t="s">
        <v>48</v>
      </c>
      <c r="AB229" s="5" t="s">
        <v>1522</v>
      </c>
      <c r="AC229" s="6" t="s">
        <v>56</v>
      </c>
      <c r="AD229" s="6">
        <v>3275.0</v>
      </c>
    </row>
    <row r="230" ht="56.25" customHeight="1">
      <c r="A230" s="5" t="s">
        <v>1508</v>
      </c>
      <c r="B230" s="6" t="str">
        <f>IMAGE("https://storage.googleapis.com/acdb/wall-mounted/FtrIronwoodClockW_Remake_2_0.png")</f>
        <v/>
      </c>
      <c r="C230" s="5" t="s">
        <v>1524</v>
      </c>
      <c r="D230" s="5" t="s">
        <v>1455</v>
      </c>
      <c r="E230" s="5" t="s">
        <v>34</v>
      </c>
      <c r="F230" s="5" t="s">
        <v>34</v>
      </c>
      <c r="G230" s="5" t="s">
        <v>35</v>
      </c>
      <c r="H230" s="5" t="s">
        <v>35</v>
      </c>
      <c r="I230" s="5" t="s">
        <v>36</v>
      </c>
      <c r="J230" s="6">
        <v>3.0</v>
      </c>
      <c r="K230" s="6" t="s">
        <v>37</v>
      </c>
      <c r="L230" s="6">
        <v>1740.0</v>
      </c>
      <c r="M230" s="5" t="s">
        <v>39</v>
      </c>
      <c r="N230" s="5" t="s">
        <v>54</v>
      </c>
      <c r="O230" s="6" t="s">
        <v>179</v>
      </c>
      <c r="P230" s="5" t="s">
        <v>41</v>
      </c>
      <c r="Q230" s="5"/>
      <c r="R230" s="17" t="s">
        <v>42</v>
      </c>
      <c r="S230" s="5" t="s">
        <v>90</v>
      </c>
      <c r="T230" s="5" t="s">
        <v>44</v>
      </c>
      <c r="U230" s="5" t="s">
        <v>1512</v>
      </c>
      <c r="V230" s="5" t="s">
        <v>44</v>
      </c>
      <c r="W230" s="5" t="s">
        <v>35</v>
      </c>
      <c r="X230" s="5" t="s">
        <v>260</v>
      </c>
      <c r="Y230" s="5" t="s">
        <v>47</v>
      </c>
      <c r="Z230" s="5" t="s">
        <v>36</v>
      </c>
      <c r="AA230" s="5" t="s">
        <v>48</v>
      </c>
      <c r="AB230" s="5" t="s">
        <v>1528</v>
      </c>
      <c r="AC230" s="6" t="s">
        <v>67</v>
      </c>
      <c r="AD230" s="6">
        <v>3275.0</v>
      </c>
    </row>
    <row r="231" ht="56.25" customHeight="1">
      <c r="A231" s="5" t="s">
        <v>1508</v>
      </c>
      <c r="B231" s="6" t="str">
        <f>IMAGE("https://storage.googleapis.com/acdb/wall-mounted/FtrIronwoodClockW_Remake_3_0.png")</f>
        <v/>
      </c>
      <c r="C231" s="5" t="s">
        <v>1531</v>
      </c>
      <c r="D231" s="5" t="s">
        <v>1455</v>
      </c>
      <c r="E231" s="5" t="s">
        <v>34</v>
      </c>
      <c r="F231" s="5" t="s">
        <v>34</v>
      </c>
      <c r="G231" s="5" t="s">
        <v>35</v>
      </c>
      <c r="H231" s="5" t="s">
        <v>35</v>
      </c>
      <c r="I231" s="5" t="s">
        <v>36</v>
      </c>
      <c r="J231" s="6">
        <v>3.0</v>
      </c>
      <c r="K231" s="6" t="s">
        <v>37</v>
      </c>
      <c r="L231" s="6">
        <v>1740.0</v>
      </c>
      <c r="M231" s="5" t="s">
        <v>39</v>
      </c>
      <c r="N231" s="5" t="s">
        <v>54</v>
      </c>
      <c r="O231" s="6" t="s">
        <v>179</v>
      </c>
      <c r="P231" s="5" t="s">
        <v>41</v>
      </c>
      <c r="Q231" s="5"/>
      <c r="R231" s="17" t="s">
        <v>42</v>
      </c>
      <c r="S231" s="5" t="s">
        <v>90</v>
      </c>
      <c r="T231" s="5" t="s">
        <v>44</v>
      </c>
      <c r="U231" s="5" t="s">
        <v>1512</v>
      </c>
      <c r="V231" s="5" t="s">
        <v>44</v>
      </c>
      <c r="W231" s="5" t="s">
        <v>35</v>
      </c>
      <c r="X231" s="5" t="s">
        <v>260</v>
      </c>
      <c r="Y231" s="5" t="s">
        <v>47</v>
      </c>
      <c r="Z231" s="5" t="s">
        <v>36</v>
      </c>
      <c r="AA231" s="5" t="s">
        <v>48</v>
      </c>
      <c r="AB231" s="5" t="s">
        <v>1534</v>
      </c>
      <c r="AC231" s="6" t="s">
        <v>71</v>
      </c>
      <c r="AD231" s="6">
        <v>3275.0</v>
      </c>
    </row>
    <row r="232" ht="56.25" customHeight="1">
      <c r="A232" s="5" t="s">
        <v>1508</v>
      </c>
      <c r="B232" s="6" t="str">
        <f>IMAGE("https://storage.googleapis.com/acdb/wall-mounted/FtrIronwoodClockW_Remake_4_0.png")</f>
        <v/>
      </c>
      <c r="C232" s="5" t="s">
        <v>1536</v>
      </c>
      <c r="D232" s="5" t="s">
        <v>1455</v>
      </c>
      <c r="E232" s="5" t="s">
        <v>34</v>
      </c>
      <c r="F232" s="5" t="s">
        <v>34</v>
      </c>
      <c r="G232" s="5" t="s">
        <v>35</v>
      </c>
      <c r="H232" s="5" t="s">
        <v>35</v>
      </c>
      <c r="I232" s="5" t="s">
        <v>36</v>
      </c>
      <c r="J232" s="6">
        <v>3.0</v>
      </c>
      <c r="K232" s="6" t="s">
        <v>37</v>
      </c>
      <c r="L232" s="6">
        <v>1740.0</v>
      </c>
      <c r="M232" s="5" t="s">
        <v>142</v>
      </c>
      <c r="N232" s="5" t="s">
        <v>57</v>
      </c>
      <c r="O232" s="6" t="s">
        <v>179</v>
      </c>
      <c r="P232" s="5" t="s">
        <v>41</v>
      </c>
      <c r="Q232" s="5"/>
      <c r="R232" s="17" t="s">
        <v>42</v>
      </c>
      <c r="S232" s="5" t="s">
        <v>90</v>
      </c>
      <c r="T232" s="5" t="s">
        <v>44</v>
      </c>
      <c r="U232" s="5" t="s">
        <v>1512</v>
      </c>
      <c r="V232" s="5" t="s">
        <v>44</v>
      </c>
      <c r="W232" s="5" t="s">
        <v>35</v>
      </c>
      <c r="X232" s="5" t="s">
        <v>260</v>
      </c>
      <c r="Y232" s="5" t="s">
        <v>47</v>
      </c>
      <c r="Z232" s="5" t="s">
        <v>36</v>
      </c>
      <c r="AA232" s="5" t="s">
        <v>48</v>
      </c>
      <c r="AB232" s="5" t="s">
        <v>1541</v>
      </c>
      <c r="AC232" s="6" t="s">
        <v>75</v>
      </c>
      <c r="AD232" s="6">
        <v>3275.0</v>
      </c>
    </row>
    <row r="233" ht="56.25" customHeight="1">
      <c r="A233" s="5" t="s">
        <v>1544</v>
      </c>
      <c r="B233" s="6" t="str">
        <f>IMAGE("https://storage.googleapis.com/acdb/wall-mounted/FtrKeyhanger_Remake_0_0.png")</f>
        <v/>
      </c>
      <c r="C233" s="5" t="s">
        <v>1132</v>
      </c>
      <c r="D233" s="5" t="s">
        <v>1008</v>
      </c>
      <c r="E233" s="5" t="s">
        <v>34</v>
      </c>
      <c r="F233" s="5" t="s">
        <v>34</v>
      </c>
      <c r="G233" s="5" t="s">
        <v>35</v>
      </c>
      <c r="H233" s="5" t="s">
        <v>35</v>
      </c>
      <c r="I233" s="5" t="s">
        <v>36</v>
      </c>
      <c r="J233" s="6">
        <v>2.0</v>
      </c>
      <c r="K233" s="6" t="s">
        <v>37</v>
      </c>
      <c r="L233" s="6">
        <v>1110.0</v>
      </c>
      <c r="M233" s="5" t="s">
        <v>39</v>
      </c>
      <c r="N233" s="5" t="s">
        <v>39</v>
      </c>
      <c r="O233" s="6" t="s">
        <v>179</v>
      </c>
      <c r="P233" s="5" t="s">
        <v>41</v>
      </c>
      <c r="Q233" s="5"/>
      <c r="R233" s="17" t="s">
        <v>42</v>
      </c>
      <c r="S233" s="5" t="s">
        <v>416</v>
      </c>
      <c r="T233" s="5" t="s">
        <v>90</v>
      </c>
      <c r="U233" s="5" t="s">
        <v>44</v>
      </c>
      <c r="V233" s="5" t="s">
        <v>44</v>
      </c>
      <c r="W233" s="5" t="s">
        <v>36</v>
      </c>
      <c r="X233" s="5" t="s">
        <v>921</v>
      </c>
      <c r="Y233" s="5" t="s">
        <v>47</v>
      </c>
      <c r="Z233" s="5" t="s">
        <v>36</v>
      </c>
      <c r="AA233" s="5" t="s">
        <v>48</v>
      </c>
      <c r="AB233" s="5" t="s">
        <v>1550</v>
      </c>
      <c r="AC233" s="6" t="s">
        <v>50</v>
      </c>
      <c r="AD233" s="6">
        <v>3992.0</v>
      </c>
    </row>
    <row r="234" ht="56.25" customHeight="1">
      <c r="A234" s="5" t="s">
        <v>1544</v>
      </c>
      <c r="B234" s="6" t="str">
        <f>IMAGE("https://storage.googleapis.com/acdb/wall-mounted/FtrKeyhanger_Remake_1_0.png")</f>
        <v/>
      </c>
      <c r="C234" s="5" t="s">
        <v>1551</v>
      </c>
      <c r="D234" s="5" t="s">
        <v>1008</v>
      </c>
      <c r="E234" s="5" t="s">
        <v>34</v>
      </c>
      <c r="F234" s="5" t="s">
        <v>34</v>
      </c>
      <c r="G234" s="5" t="s">
        <v>35</v>
      </c>
      <c r="H234" s="5" t="s">
        <v>35</v>
      </c>
      <c r="I234" s="5" t="s">
        <v>36</v>
      </c>
      <c r="J234" s="6">
        <v>2.0</v>
      </c>
      <c r="K234" s="6" t="s">
        <v>37</v>
      </c>
      <c r="L234" s="6">
        <v>1110.0</v>
      </c>
      <c r="M234" s="5" t="s">
        <v>38</v>
      </c>
      <c r="N234" s="5" t="s">
        <v>38</v>
      </c>
      <c r="O234" s="6" t="s">
        <v>179</v>
      </c>
      <c r="P234" s="5" t="s">
        <v>41</v>
      </c>
      <c r="Q234" s="5"/>
      <c r="R234" s="17" t="s">
        <v>42</v>
      </c>
      <c r="S234" s="5" t="s">
        <v>416</v>
      </c>
      <c r="T234" s="5" t="s">
        <v>90</v>
      </c>
      <c r="U234" s="5" t="s">
        <v>44</v>
      </c>
      <c r="V234" s="5" t="s">
        <v>44</v>
      </c>
      <c r="W234" s="5" t="s">
        <v>36</v>
      </c>
      <c r="X234" s="5" t="s">
        <v>921</v>
      </c>
      <c r="Y234" s="5" t="s">
        <v>47</v>
      </c>
      <c r="Z234" s="5" t="s">
        <v>36</v>
      </c>
      <c r="AA234" s="5" t="s">
        <v>48</v>
      </c>
      <c r="AB234" s="5" t="s">
        <v>1555</v>
      </c>
      <c r="AC234" s="6" t="s">
        <v>56</v>
      </c>
      <c r="AD234" s="6">
        <v>3992.0</v>
      </c>
    </row>
    <row r="235" ht="56.25" customHeight="1">
      <c r="A235" s="5" t="s">
        <v>1544</v>
      </c>
      <c r="B235" s="6" t="str">
        <f>IMAGE("https://storage.googleapis.com/acdb/wall-mounted/FtrKeyhanger_Remake_2_0.png")</f>
        <v/>
      </c>
      <c r="C235" s="5" t="s">
        <v>57</v>
      </c>
      <c r="D235" s="5" t="s">
        <v>1008</v>
      </c>
      <c r="E235" s="5" t="s">
        <v>34</v>
      </c>
      <c r="F235" s="5" t="s">
        <v>34</v>
      </c>
      <c r="G235" s="5" t="s">
        <v>35</v>
      </c>
      <c r="H235" s="5" t="s">
        <v>35</v>
      </c>
      <c r="I235" s="5" t="s">
        <v>36</v>
      </c>
      <c r="J235" s="6">
        <v>2.0</v>
      </c>
      <c r="K235" s="6" t="s">
        <v>37</v>
      </c>
      <c r="L235" s="6">
        <v>1110.0</v>
      </c>
      <c r="M235" s="5" t="s">
        <v>57</v>
      </c>
      <c r="N235" s="5" t="s">
        <v>57</v>
      </c>
      <c r="O235" s="6" t="s">
        <v>179</v>
      </c>
      <c r="P235" s="5" t="s">
        <v>41</v>
      </c>
      <c r="Q235" s="5"/>
      <c r="R235" s="17" t="s">
        <v>42</v>
      </c>
      <c r="S235" s="5" t="s">
        <v>416</v>
      </c>
      <c r="T235" s="5" t="s">
        <v>90</v>
      </c>
      <c r="U235" s="5" t="s">
        <v>44</v>
      </c>
      <c r="V235" s="5" t="s">
        <v>44</v>
      </c>
      <c r="W235" s="5" t="s">
        <v>36</v>
      </c>
      <c r="X235" s="5" t="s">
        <v>921</v>
      </c>
      <c r="Y235" s="5" t="s">
        <v>47</v>
      </c>
      <c r="Z235" s="5" t="s">
        <v>36</v>
      </c>
      <c r="AA235" s="5" t="s">
        <v>48</v>
      </c>
      <c r="AB235" s="5" t="s">
        <v>1558</v>
      </c>
      <c r="AC235" s="6" t="s">
        <v>67</v>
      </c>
      <c r="AD235" s="6">
        <v>3992.0</v>
      </c>
    </row>
    <row r="236" ht="56.25" customHeight="1">
      <c r="A236" s="5" t="s">
        <v>1544</v>
      </c>
      <c r="B236" s="6" t="str">
        <f>IMAGE("https://storage.googleapis.com/acdb/wall-mounted/FtrKeyhanger_Remake_3_0.png")</f>
        <v/>
      </c>
      <c r="C236" s="5" t="s">
        <v>54</v>
      </c>
      <c r="D236" s="5" t="s">
        <v>1008</v>
      </c>
      <c r="E236" s="5" t="s">
        <v>34</v>
      </c>
      <c r="F236" s="5" t="s">
        <v>34</v>
      </c>
      <c r="G236" s="5" t="s">
        <v>35</v>
      </c>
      <c r="H236" s="5" t="s">
        <v>35</v>
      </c>
      <c r="I236" s="5" t="s">
        <v>36</v>
      </c>
      <c r="J236" s="6">
        <v>2.0</v>
      </c>
      <c r="K236" s="6" t="s">
        <v>37</v>
      </c>
      <c r="L236" s="6">
        <v>1110.0</v>
      </c>
      <c r="M236" s="5" t="s">
        <v>54</v>
      </c>
      <c r="N236" s="5" t="s">
        <v>54</v>
      </c>
      <c r="O236" s="6" t="s">
        <v>179</v>
      </c>
      <c r="P236" s="5" t="s">
        <v>41</v>
      </c>
      <c r="Q236" s="5"/>
      <c r="R236" s="17" t="s">
        <v>42</v>
      </c>
      <c r="S236" s="5" t="s">
        <v>416</v>
      </c>
      <c r="T236" s="5" t="s">
        <v>90</v>
      </c>
      <c r="U236" s="5" t="s">
        <v>44</v>
      </c>
      <c r="V236" s="5" t="s">
        <v>44</v>
      </c>
      <c r="W236" s="5" t="s">
        <v>36</v>
      </c>
      <c r="X236" s="5" t="s">
        <v>921</v>
      </c>
      <c r="Y236" s="5" t="s">
        <v>47</v>
      </c>
      <c r="Z236" s="5" t="s">
        <v>36</v>
      </c>
      <c r="AA236" s="5" t="s">
        <v>48</v>
      </c>
      <c r="AB236" s="5" t="s">
        <v>1564</v>
      </c>
      <c r="AC236" s="6" t="s">
        <v>71</v>
      </c>
      <c r="AD236" s="6">
        <v>3992.0</v>
      </c>
    </row>
    <row r="237" ht="56.25" customHeight="1">
      <c r="A237" s="5" t="s">
        <v>1565</v>
      </c>
      <c r="B237" s="6" t="str">
        <f>IMAGE("https://storage.googleapis.com/acdb/wall-mounted/FtrZodiacLeo.png")</f>
        <v/>
      </c>
      <c r="C237" s="5" t="s">
        <v>34</v>
      </c>
      <c r="D237" s="5" t="s">
        <v>34</v>
      </c>
      <c r="E237" s="5" t="s">
        <v>34</v>
      </c>
      <c r="F237" s="5" t="s">
        <v>34</v>
      </c>
      <c r="G237" s="5" t="s">
        <v>35</v>
      </c>
      <c r="H237" s="5" t="s">
        <v>36</v>
      </c>
      <c r="I237" s="5" t="s">
        <v>36</v>
      </c>
      <c r="J237" s="6" t="s">
        <v>34</v>
      </c>
      <c r="K237" s="6" t="s">
        <v>37</v>
      </c>
      <c r="L237" s="6">
        <v>21975.0</v>
      </c>
      <c r="M237" s="5" t="s">
        <v>57</v>
      </c>
      <c r="N237" s="5" t="s">
        <v>114</v>
      </c>
      <c r="O237" s="6" t="s">
        <v>179</v>
      </c>
      <c r="P237" s="5" t="s">
        <v>41</v>
      </c>
      <c r="Q237" s="5"/>
      <c r="R237" s="17" t="s">
        <v>42</v>
      </c>
      <c r="S237" s="5" t="s">
        <v>116</v>
      </c>
      <c r="T237" s="5" t="s">
        <v>44</v>
      </c>
      <c r="U237" s="5" t="s">
        <v>349</v>
      </c>
      <c r="V237" s="5" t="s">
        <v>44</v>
      </c>
      <c r="W237" s="5" t="s">
        <v>36</v>
      </c>
      <c r="X237" s="5" t="s">
        <v>1569</v>
      </c>
      <c r="Y237" s="5" t="s">
        <v>47</v>
      </c>
      <c r="Z237" s="5" t="s">
        <v>36</v>
      </c>
      <c r="AA237" s="5" t="s">
        <v>48</v>
      </c>
      <c r="AB237" s="5" t="s">
        <v>1570</v>
      </c>
      <c r="AC237" s="6" t="s">
        <v>34</v>
      </c>
      <c r="AD237" s="6">
        <v>5964.0</v>
      </c>
    </row>
    <row r="238" ht="56.25" customHeight="1">
      <c r="A238" s="5" t="s">
        <v>1571</v>
      </c>
      <c r="B238" s="6" t="str">
        <f>IMAGE("https://storage.googleapis.com/acdb/wall-mounted/FtrDoorOrnamentWreathYuri.png")</f>
        <v/>
      </c>
      <c r="C238" s="5" t="s">
        <v>34</v>
      </c>
      <c r="D238" s="5" t="s">
        <v>34</v>
      </c>
      <c r="E238" s="5" t="s">
        <v>34</v>
      </c>
      <c r="F238" s="5" t="s">
        <v>34</v>
      </c>
      <c r="G238" s="5" t="s">
        <v>35</v>
      </c>
      <c r="H238" s="5" t="s">
        <v>36</v>
      </c>
      <c r="I238" s="5" t="s">
        <v>36</v>
      </c>
      <c r="J238" s="6" t="s">
        <v>34</v>
      </c>
      <c r="K238" s="6" t="s">
        <v>37</v>
      </c>
      <c r="L238" s="6">
        <v>720.0</v>
      </c>
      <c r="M238" s="5" t="s">
        <v>52</v>
      </c>
      <c r="N238" s="5" t="s">
        <v>114</v>
      </c>
      <c r="O238" s="6" t="s">
        <v>179</v>
      </c>
      <c r="P238" s="5" t="s">
        <v>41</v>
      </c>
      <c r="Q238" s="5"/>
      <c r="R238" s="17" t="s">
        <v>42</v>
      </c>
      <c r="S238" s="5" t="s">
        <v>61</v>
      </c>
      <c r="T238" s="5" t="s">
        <v>44</v>
      </c>
      <c r="U238" s="5" t="s">
        <v>311</v>
      </c>
      <c r="V238" s="5" t="s">
        <v>44</v>
      </c>
      <c r="W238" s="5" t="s">
        <v>36</v>
      </c>
      <c r="X238" s="5" t="s">
        <v>312</v>
      </c>
      <c r="Y238" s="5" t="s">
        <v>47</v>
      </c>
      <c r="Z238" s="5" t="s">
        <v>35</v>
      </c>
      <c r="AA238" s="5" t="s">
        <v>48</v>
      </c>
      <c r="AB238" s="5" t="s">
        <v>1576</v>
      </c>
      <c r="AC238" s="6" t="s">
        <v>34</v>
      </c>
      <c r="AD238" s="6">
        <v>5641.0</v>
      </c>
    </row>
    <row r="239" ht="56.25" customHeight="1">
      <c r="A239" s="5" t="s">
        <v>1578</v>
      </c>
      <c r="B239" s="6" t="str">
        <f>IMAGE("https://storage.googleapis.com/acdb/wall-mounted/FtrLogClockWall_Remake_0_0.png")</f>
        <v/>
      </c>
      <c r="C239" s="5" t="s">
        <v>1132</v>
      </c>
      <c r="D239" s="5" t="s">
        <v>1455</v>
      </c>
      <c r="E239" s="5" t="s">
        <v>34</v>
      </c>
      <c r="F239" s="5" t="s">
        <v>34</v>
      </c>
      <c r="G239" s="5" t="s">
        <v>35</v>
      </c>
      <c r="H239" s="5" t="s">
        <v>35</v>
      </c>
      <c r="I239" s="5" t="s">
        <v>36</v>
      </c>
      <c r="J239" s="6">
        <v>2.0</v>
      </c>
      <c r="K239" s="6" t="s">
        <v>37</v>
      </c>
      <c r="L239" s="6">
        <v>990.0</v>
      </c>
      <c r="M239" s="5" t="s">
        <v>39</v>
      </c>
      <c r="N239" s="5" t="s">
        <v>38</v>
      </c>
      <c r="O239" s="6" t="s">
        <v>179</v>
      </c>
      <c r="P239" s="5" t="s">
        <v>41</v>
      </c>
      <c r="Q239" s="5"/>
      <c r="R239" s="17" t="s">
        <v>42</v>
      </c>
      <c r="S239" s="5" t="s">
        <v>172</v>
      </c>
      <c r="T239" s="5" t="s">
        <v>90</v>
      </c>
      <c r="U239" s="5" t="s">
        <v>1583</v>
      </c>
      <c r="V239" s="5" t="s">
        <v>44</v>
      </c>
      <c r="W239" s="5" t="s">
        <v>35</v>
      </c>
      <c r="X239" s="5" t="s">
        <v>260</v>
      </c>
      <c r="Y239" s="5" t="s">
        <v>47</v>
      </c>
      <c r="Z239" s="5" t="s">
        <v>36</v>
      </c>
      <c r="AA239" s="5" t="s">
        <v>48</v>
      </c>
      <c r="AB239" s="5" t="s">
        <v>1584</v>
      </c>
      <c r="AC239" s="6" t="s">
        <v>50</v>
      </c>
      <c r="AD239" s="6">
        <v>4037.0</v>
      </c>
    </row>
    <row r="240" ht="56.25" customHeight="1">
      <c r="A240" s="5" t="s">
        <v>1578</v>
      </c>
      <c r="B240" s="6" t="str">
        <f>IMAGE("https://storage.googleapis.com/acdb/wall-mounted/FtrLogClockWall_Remake_1_0.png")</f>
        <v/>
      </c>
      <c r="C240" s="5" t="s">
        <v>1588</v>
      </c>
      <c r="D240" s="5" t="s">
        <v>1455</v>
      </c>
      <c r="E240" s="5" t="s">
        <v>34</v>
      </c>
      <c r="F240" s="5" t="s">
        <v>34</v>
      </c>
      <c r="G240" s="5" t="s">
        <v>35</v>
      </c>
      <c r="H240" s="5" t="s">
        <v>35</v>
      </c>
      <c r="I240" s="5" t="s">
        <v>36</v>
      </c>
      <c r="J240" s="6">
        <v>2.0</v>
      </c>
      <c r="K240" s="6" t="s">
        <v>37</v>
      </c>
      <c r="L240" s="6">
        <v>990.0</v>
      </c>
      <c r="M240" s="5" t="s">
        <v>142</v>
      </c>
      <c r="N240" s="5" t="s">
        <v>38</v>
      </c>
      <c r="O240" s="6" t="s">
        <v>179</v>
      </c>
      <c r="P240" s="5" t="s">
        <v>41</v>
      </c>
      <c r="Q240" s="5"/>
      <c r="R240" s="17" t="s">
        <v>42</v>
      </c>
      <c r="S240" s="5" t="s">
        <v>172</v>
      </c>
      <c r="T240" s="5" t="s">
        <v>90</v>
      </c>
      <c r="U240" s="5" t="s">
        <v>1583</v>
      </c>
      <c r="V240" s="5" t="s">
        <v>44</v>
      </c>
      <c r="W240" s="5" t="s">
        <v>35</v>
      </c>
      <c r="X240" s="5" t="s">
        <v>260</v>
      </c>
      <c r="Y240" s="5" t="s">
        <v>47</v>
      </c>
      <c r="Z240" s="5" t="s">
        <v>36</v>
      </c>
      <c r="AA240" s="5" t="s">
        <v>48</v>
      </c>
      <c r="AB240" s="5" t="s">
        <v>1592</v>
      </c>
      <c r="AC240" s="6" t="s">
        <v>56</v>
      </c>
      <c r="AD240" s="6">
        <v>4037.0</v>
      </c>
    </row>
    <row r="241" ht="56.25" customHeight="1">
      <c r="A241" s="5" t="s">
        <v>1578</v>
      </c>
      <c r="B241" s="6" t="str">
        <f>IMAGE("https://storage.googleapis.com/acdb/wall-mounted/FtrLogClockWall_Remake_2_0.png")</f>
        <v/>
      </c>
      <c r="C241" s="5" t="s">
        <v>1595</v>
      </c>
      <c r="D241" s="5" t="s">
        <v>1455</v>
      </c>
      <c r="E241" s="5" t="s">
        <v>34</v>
      </c>
      <c r="F241" s="5" t="s">
        <v>34</v>
      </c>
      <c r="G241" s="5" t="s">
        <v>35</v>
      </c>
      <c r="H241" s="5" t="s">
        <v>35</v>
      </c>
      <c r="I241" s="5" t="s">
        <v>36</v>
      </c>
      <c r="J241" s="6">
        <v>2.0</v>
      </c>
      <c r="K241" s="6" t="s">
        <v>37</v>
      </c>
      <c r="L241" s="6">
        <v>990.0</v>
      </c>
      <c r="M241" s="5" t="s">
        <v>38</v>
      </c>
      <c r="N241" s="5" t="s">
        <v>38</v>
      </c>
      <c r="O241" s="6" t="s">
        <v>179</v>
      </c>
      <c r="P241" s="5" t="s">
        <v>41</v>
      </c>
      <c r="Q241" s="5"/>
      <c r="R241" s="17" t="s">
        <v>42</v>
      </c>
      <c r="S241" s="5" t="s">
        <v>172</v>
      </c>
      <c r="T241" s="5" t="s">
        <v>90</v>
      </c>
      <c r="U241" s="5" t="s">
        <v>1583</v>
      </c>
      <c r="V241" s="5" t="s">
        <v>44</v>
      </c>
      <c r="W241" s="5" t="s">
        <v>35</v>
      </c>
      <c r="X241" s="5" t="s">
        <v>260</v>
      </c>
      <c r="Y241" s="5" t="s">
        <v>47</v>
      </c>
      <c r="Z241" s="5" t="s">
        <v>36</v>
      </c>
      <c r="AA241" s="5" t="s">
        <v>48</v>
      </c>
      <c r="AB241" s="5" t="s">
        <v>1598</v>
      </c>
      <c r="AC241" s="6" t="s">
        <v>67</v>
      </c>
      <c r="AD241" s="6">
        <v>4037.0</v>
      </c>
    </row>
    <row r="242" ht="56.25" customHeight="1">
      <c r="A242" s="5" t="s">
        <v>1578</v>
      </c>
      <c r="B242" s="6" t="str">
        <f>IMAGE("https://storage.googleapis.com/acdb/wall-mounted/FtrLogClockWall_Remake_3_0.png")</f>
        <v/>
      </c>
      <c r="C242" s="5" t="s">
        <v>1600</v>
      </c>
      <c r="D242" s="5" t="s">
        <v>1455</v>
      </c>
      <c r="E242" s="5" t="s">
        <v>34</v>
      </c>
      <c r="F242" s="5" t="s">
        <v>34</v>
      </c>
      <c r="G242" s="5" t="s">
        <v>35</v>
      </c>
      <c r="H242" s="5" t="s">
        <v>35</v>
      </c>
      <c r="I242" s="5" t="s">
        <v>36</v>
      </c>
      <c r="J242" s="6">
        <v>2.0</v>
      </c>
      <c r="K242" s="6" t="s">
        <v>37</v>
      </c>
      <c r="L242" s="6">
        <v>990.0</v>
      </c>
      <c r="M242" s="5" t="s">
        <v>57</v>
      </c>
      <c r="N242" s="5" t="s">
        <v>38</v>
      </c>
      <c r="O242" s="6" t="s">
        <v>179</v>
      </c>
      <c r="P242" s="5" t="s">
        <v>41</v>
      </c>
      <c r="Q242" s="5"/>
      <c r="R242" s="17" t="s">
        <v>42</v>
      </c>
      <c r="S242" s="5" t="s">
        <v>172</v>
      </c>
      <c r="T242" s="5" t="s">
        <v>90</v>
      </c>
      <c r="U242" s="5" t="s">
        <v>1583</v>
      </c>
      <c r="V242" s="5" t="s">
        <v>44</v>
      </c>
      <c r="W242" s="5" t="s">
        <v>35</v>
      </c>
      <c r="X242" s="5" t="s">
        <v>260</v>
      </c>
      <c r="Y242" s="5" t="s">
        <v>47</v>
      </c>
      <c r="Z242" s="5" t="s">
        <v>36</v>
      </c>
      <c r="AA242" s="5" t="s">
        <v>48</v>
      </c>
      <c r="AB242" s="5" t="s">
        <v>1604</v>
      </c>
      <c r="AC242" s="6" t="s">
        <v>71</v>
      </c>
      <c r="AD242" s="6">
        <v>4037.0</v>
      </c>
    </row>
    <row r="243" ht="56.25" customHeight="1">
      <c r="A243" s="5" t="s">
        <v>1605</v>
      </c>
      <c r="B243" s="6" t="str">
        <f>IMAGE("https://storage.googleapis.com/acdb/wall-mounted/FtrMacrametapestry_Remake_0_0.png")</f>
        <v/>
      </c>
      <c r="C243" s="5" t="s">
        <v>57</v>
      </c>
      <c r="D243" s="5" t="s">
        <v>34</v>
      </c>
      <c r="E243" s="5" t="s">
        <v>34</v>
      </c>
      <c r="F243" s="5" t="s">
        <v>34</v>
      </c>
      <c r="G243" s="5" t="s">
        <v>36</v>
      </c>
      <c r="H243" s="5" t="s">
        <v>36</v>
      </c>
      <c r="I243" s="5" t="s">
        <v>36</v>
      </c>
      <c r="J243" s="6" t="s">
        <v>34</v>
      </c>
      <c r="K243" s="6">
        <v>840.0</v>
      </c>
      <c r="L243" s="6">
        <v>210.0</v>
      </c>
      <c r="M243" s="5" t="s">
        <v>38</v>
      </c>
      <c r="N243" s="5" t="s">
        <v>38</v>
      </c>
      <c r="O243" s="6" t="s">
        <v>431</v>
      </c>
      <c r="P243" s="5" t="s">
        <v>59</v>
      </c>
      <c r="Q243" s="5" t="s">
        <v>89</v>
      </c>
      <c r="R243" s="17" t="s">
        <v>42</v>
      </c>
      <c r="S243" s="5" t="s">
        <v>90</v>
      </c>
      <c r="T243" s="5" t="s">
        <v>44</v>
      </c>
      <c r="U243" s="5" t="s">
        <v>44</v>
      </c>
      <c r="V243" s="5" t="s">
        <v>44</v>
      </c>
      <c r="W243" s="5" t="s">
        <v>36</v>
      </c>
      <c r="X243" s="5" t="s">
        <v>432</v>
      </c>
      <c r="Y243" s="5" t="s">
        <v>47</v>
      </c>
      <c r="Z243" s="5" t="s">
        <v>36</v>
      </c>
      <c r="AA243" s="5" t="s">
        <v>64</v>
      </c>
      <c r="AB243" s="5" t="s">
        <v>1609</v>
      </c>
      <c r="AC243" s="6" t="s">
        <v>50</v>
      </c>
      <c r="AD243" s="6">
        <v>4119.0</v>
      </c>
    </row>
    <row r="244" ht="56.25" customHeight="1">
      <c r="A244" s="5" t="s">
        <v>1605</v>
      </c>
      <c r="B244" s="6" t="str">
        <f>IMAGE("https://storage.googleapis.com/acdb/wall-mounted/FtrMacrametapestry_Remake_1_0.png")</f>
        <v/>
      </c>
      <c r="C244" s="5" t="s">
        <v>96</v>
      </c>
      <c r="D244" s="5" t="s">
        <v>34</v>
      </c>
      <c r="E244" s="5" t="s">
        <v>34</v>
      </c>
      <c r="F244" s="5" t="s">
        <v>34</v>
      </c>
      <c r="G244" s="5" t="s">
        <v>36</v>
      </c>
      <c r="H244" s="5" t="s">
        <v>36</v>
      </c>
      <c r="I244" s="5" t="s">
        <v>36</v>
      </c>
      <c r="J244" s="6" t="s">
        <v>34</v>
      </c>
      <c r="K244" s="6">
        <v>840.0</v>
      </c>
      <c r="L244" s="6">
        <v>210.0</v>
      </c>
      <c r="M244" s="5" t="s">
        <v>96</v>
      </c>
      <c r="N244" s="5" t="s">
        <v>96</v>
      </c>
      <c r="O244" s="6" t="s">
        <v>431</v>
      </c>
      <c r="P244" s="5" t="s">
        <v>59</v>
      </c>
      <c r="Q244" s="5" t="s">
        <v>89</v>
      </c>
      <c r="R244" s="17" t="s">
        <v>42</v>
      </c>
      <c r="S244" s="5" t="s">
        <v>90</v>
      </c>
      <c r="T244" s="5" t="s">
        <v>44</v>
      </c>
      <c r="U244" s="5" t="s">
        <v>44</v>
      </c>
      <c r="V244" s="5" t="s">
        <v>44</v>
      </c>
      <c r="W244" s="5" t="s">
        <v>36</v>
      </c>
      <c r="X244" s="5" t="s">
        <v>432</v>
      </c>
      <c r="Y244" s="5" t="s">
        <v>47</v>
      </c>
      <c r="Z244" s="5" t="s">
        <v>36</v>
      </c>
      <c r="AA244" s="5" t="s">
        <v>64</v>
      </c>
      <c r="AB244" s="5" t="s">
        <v>1613</v>
      </c>
      <c r="AC244" s="6" t="s">
        <v>56</v>
      </c>
      <c r="AD244" s="6">
        <v>4119.0</v>
      </c>
    </row>
    <row r="245" ht="56.25" customHeight="1">
      <c r="A245" s="5" t="s">
        <v>1605</v>
      </c>
      <c r="B245" s="6" t="str">
        <f>IMAGE("https://storage.googleapis.com/acdb/wall-mounted/FtrMacrametapestry_Remake_2_0.png")</f>
        <v/>
      </c>
      <c r="C245" s="5" t="s">
        <v>69</v>
      </c>
      <c r="D245" s="5" t="s">
        <v>34</v>
      </c>
      <c r="E245" s="5" t="s">
        <v>34</v>
      </c>
      <c r="F245" s="5" t="s">
        <v>34</v>
      </c>
      <c r="G245" s="5" t="s">
        <v>36</v>
      </c>
      <c r="H245" s="5" t="s">
        <v>36</v>
      </c>
      <c r="I245" s="5" t="s">
        <v>36</v>
      </c>
      <c r="J245" s="6" t="s">
        <v>34</v>
      </c>
      <c r="K245" s="6">
        <v>840.0</v>
      </c>
      <c r="L245" s="6">
        <v>210.0</v>
      </c>
      <c r="M245" s="5" t="s">
        <v>38</v>
      </c>
      <c r="N245" s="5" t="s">
        <v>69</v>
      </c>
      <c r="O245" s="6" t="s">
        <v>431</v>
      </c>
      <c r="P245" s="5" t="s">
        <v>59</v>
      </c>
      <c r="Q245" s="5" t="s">
        <v>89</v>
      </c>
      <c r="R245" s="17" t="s">
        <v>42</v>
      </c>
      <c r="S245" s="5" t="s">
        <v>90</v>
      </c>
      <c r="T245" s="5" t="s">
        <v>44</v>
      </c>
      <c r="U245" s="5" t="s">
        <v>44</v>
      </c>
      <c r="V245" s="5" t="s">
        <v>44</v>
      </c>
      <c r="W245" s="5" t="s">
        <v>36</v>
      </c>
      <c r="X245" s="5" t="s">
        <v>432</v>
      </c>
      <c r="Y245" s="5" t="s">
        <v>47</v>
      </c>
      <c r="Z245" s="5" t="s">
        <v>36</v>
      </c>
      <c r="AA245" s="5" t="s">
        <v>64</v>
      </c>
      <c r="AB245" s="5" t="s">
        <v>1616</v>
      </c>
      <c r="AC245" s="6" t="s">
        <v>67</v>
      </c>
      <c r="AD245" s="6">
        <v>4119.0</v>
      </c>
    </row>
    <row r="246" ht="56.25" customHeight="1">
      <c r="A246" s="5" t="s">
        <v>1605</v>
      </c>
      <c r="B246" s="6" t="str">
        <f>IMAGE("https://storage.googleapis.com/acdb/wall-mounted/FtrMacrametapestry_Remake_3_0.png")</f>
        <v/>
      </c>
      <c r="C246" s="5" t="s">
        <v>68</v>
      </c>
      <c r="D246" s="5" t="s">
        <v>34</v>
      </c>
      <c r="E246" s="5" t="s">
        <v>34</v>
      </c>
      <c r="F246" s="5" t="s">
        <v>34</v>
      </c>
      <c r="G246" s="5" t="s">
        <v>36</v>
      </c>
      <c r="H246" s="5" t="s">
        <v>36</v>
      </c>
      <c r="I246" s="5" t="s">
        <v>36</v>
      </c>
      <c r="J246" s="6" t="s">
        <v>34</v>
      </c>
      <c r="K246" s="6">
        <v>840.0</v>
      </c>
      <c r="L246" s="6">
        <v>210.0</v>
      </c>
      <c r="M246" s="5" t="s">
        <v>38</v>
      </c>
      <c r="N246" s="5" t="s">
        <v>83</v>
      </c>
      <c r="O246" s="6" t="s">
        <v>431</v>
      </c>
      <c r="P246" s="5" t="s">
        <v>59</v>
      </c>
      <c r="Q246" s="5" t="s">
        <v>89</v>
      </c>
      <c r="R246" s="17" t="s">
        <v>42</v>
      </c>
      <c r="S246" s="5" t="s">
        <v>90</v>
      </c>
      <c r="T246" s="5" t="s">
        <v>44</v>
      </c>
      <c r="U246" s="5" t="s">
        <v>44</v>
      </c>
      <c r="V246" s="5" t="s">
        <v>44</v>
      </c>
      <c r="W246" s="5" t="s">
        <v>36</v>
      </c>
      <c r="X246" s="5" t="s">
        <v>432</v>
      </c>
      <c r="Y246" s="5" t="s">
        <v>47</v>
      </c>
      <c r="Z246" s="5" t="s">
        <v>36</v>
      </c>
      <c r="AA246" s="5" t="s">
        <v>64</v>
      </c>
      <c r="AB246" s="5" t="s">
        <v>1619</v>
      </c>
      <c r="AC246" s="6" t="s">
        <v>71</v>
      </c>
      <c r="AD246" s="6">
        <v>4119.0</v>
      </c>
    </row>
    <row r="247" ht="56.25" customHeight="1">
      <c r="A247" s="5" t="s">
        <v>1620</v>
      </c>
      <c r="B247" s="6" t="str">
        <f>IMAGE("https://storage.googleapis.com/acdb/wall-mounted/FtrKniferackWall_Remake_0_0.png")</f>
        <v/>
      </c>
      <c r="C247" s="5" t="s">
        <v>1622</v>
      </c>
      <c r="D247" s="5" t="s">
        <v>34</v>
      </c>
      <c r="E247" s="5" t="s">
        <v>34</v>
      </c>
      <c r="F247" s="5" t="s">
        <v>34</v>
      </c>
      <c r="G247" s="5" t="s">
        <v>36</v>
      </c>
      <c r="H247" s="5" t="s">
        <v>36</v>
      </c>
      <c r="I247" s="5" t="s">
        <v>36</v>
      </c>
      <c r="J247" s="6" t="s">
        <v>34</v>
      </c>
      <c r="K247" s="6">
        <v>1400.0</v>
      </c>
      <c r="L247" s="6">
        <v>350.0</v>
      </c>
      <c r="M247" s="5" t="s">
        <v>95</v>
      </c>
      <c r="N247" s="5" t="s">
        <v>54</v>
      </c>
      <c r="O247" s="6" t="s">
        <v>179</v>
      </c>
      <c r="P247" s="5" t="s">
        <v>59</v>
      </c>
      <c r="Q247" s="5" t="s">
        <v>89</v>
      </c>
      <c r="R247" s="17" t="s">
        <v>42</v>
      </c>
      <c r="S247" s="5" t="s">
        <v>159</v>
      </c>
      <c r="T247" s="5" t="s">
        <v>62</v>
      </c>
      <c r="U247" s="5" t="s">
        <v>44</v>
      </c>
      <c r="V247" s="5" t="s">
        <v>44</v>
      </c>
      <c r="W247" s="5" t="s">
        <v>36</v>
      </c>
      <c r="X247" s="5" t="s">
        <v>160</v>
      </c>
      <c r="Y247" s="5" t="s">
        <v>47</v>
      </c>
      <c r="Z247" s="5" t="s">
        <v>36</v>
      </c>
      <c r="AA247" s="5" t="s">
        <v>64</v>
      </c>
      <c r="AB247" s="5" t="s">
        <v>1625</v>
      </c>
      <c r="AC247" s="6" t="s">
        <v>50</v>
      </c>
      <c r="AD247" s="6">
        <v>4118.0</v>
      </c>
    </row>
    <row r="248" ht="56.25" customHeight="1">
      <c r="A248" s="5" t="s">
        <v>1620</v>
      </c>
      <c r="B248" s="6" t="str">
        <f>IMAGE("https://storage.googleapis.com/acdb/wall-mounted/FtrKniferackWall_Remake_1_0.png")</f>
        <v/>
      </c>
      <c r="C248" s="5" t="s">
        <v>836</v>
      </c>
      <c r="D248" s="5" t="s">
        <v>34</v>
      </c>
      <c r="E248" s="5" t="s">
        <v>34</v>
      </c>
      <c r="F248" s="5" t="s">
        <v>34</v>
      </c>
      <c r="G248" s="5" t="s">
        <v>36</v>
      </c>
      <c r="H248" s="5" t="s">
        <v>36</v>
      </c>
      <c r="I248" s="5" t="s">
        <v>36</v>
      </c>
      <c r="J248" s="6" t="s">
        <v>34</v>
      </c>
      <c r="K248" s="6">
        <v>1400.0</v>
      </c>
      <c r="L248" s="6">
        <v>350.0</v>
      </c>
      <c r="M248" s="5" t="s">
        <v>38</v>
      </c>
      <c r="N248" s="5" t="s">
        <v>39</v>
      </c>
      <c r="O248" s="6" t="s">
        <v>179</v>
      </c>
      <c r="P248" s="5" t="s">
        <v>59</v>
      </c>
      <c r="Q248" s="5" t="s">
        <v>89</v>
      </c>
      <c r="R248" s="17" t="s">
        <v>42</v>
      </c>
      <c r="S248" s="5" t="s">
        <v>159</v>
      </c>
      <c r="T248" s="5" t="s">
        <v>62</v>
      </c>
      <c r="U248" s="5" t="s">
        <v>44</v>
      </c>
      <c r="V248" s="5" t="s">
        <v>44</v>
      </c>
      <c r="W248" s="5" t="s">
        <v>36</v>
      </c>
      <c r="X248" s="5" t="s">
        <v>160</v>
      </c>
      <c r="Y248" s="5" t="s">
        <v>47</v>
      </c>
      <c r="Z248" s="5" t="s">
        <v>36</v>
      </c>
      <c r="AA248" s="5" t="s">
        <v>64</v>
      </c>
      <c r="AB248" s="5" t="s">
        <v>1632</v>
      </c>
      <c r="AC248" s="6" t="s">
        <v>56</v>
      </c>
      <c r="AD248" s="6">
        <v>4118.0</v>
      </c>
    </row>
    <row r="249" ht="56.25" customHeight="1">
      <c r="A249" s="5" t="s">
        <v>1620</v>
      </c>
      <c r="B249" s="6" t="str">
        <f>IMAGE("https://storage.googleapis.com/acdb/wall-mounted/FtrKniferackWall_Remake_2_0.png")</f>
        <v/>
      </c>
      <c r="C249" s="5" t="s">
        <v>1167</v>
      </c>
      <c r="D249" s="5" t="s">
        <v>34</v>
      </c>
      <c r="E249" s="5" t="s">
        <v>34</v>
      </c>
      <c r="F249" s="5" t="s">
        <v>34</v>
      </c>
      <c r="G249" s="5" t="s">
        <v>36</v>
      </c>
      <c r="H249" s="5" t="s">
        <v>36</v>
      </c>
      <c r="I249" s="5" t="s">
        <v>36</v>
      </c>
      <c r="J249" s="6" t="s">
        <v>34</v>
      </c>
      <c r="K249" s="6">
        <v>1400.0</v>
      </c>
      <c r="L249" s="6">
        <v>350.0</v>
      </c>
      <c r="M249" s="5" t="s">
        <v>142</v>
      </c>
      <c r="N249" s="5" t="s">
        <v>58</v>
      </c>
      <c r="O249" s="6" t="s">
        <v>179</v>
      </c>
      <c r="P249" s="5" t="s">
        <v>59</v>
      </c>
      <c r="Q249" s="5" t="s">
        <v>89</v>
      </c>
      <c r="R249" s="17" t="s">
        <v>42</v>
      </c>
      <c r="S249" s="5" t="s">
        <v>159</v>
      </c>
      <c r="T249" s="5" t="s">
        <v>62</v>
      </c>
      <c r="U249" s="5" t="s">
        <v>44</v>
      </c>
      <c r="V249" s="5" t="s">
        <v>44</v>
      </c>
      <c r="W249" s="5" t="s">
        <v>36</v>
      </c>
      <c r="X249" s="5" t="s">
        <v>160</v>
      </c>
      <c r="Y249" s="5" t="s">
        <v>47</v>
      </c>
      <c r="Z249" s="5" t="s">
        <v>36</v>
      </c>
      <c r="AA249" s="5" t="s">
        <v>64</v>
      </c>
      <c r="AB249" s="5" t="s">
        <v>1639</v>
      </c>
      <c r="AC249" s="6" t="s">
        <v>67</v>
      </c>
      <c r="AD249" s="6">
        <v>4118.0</v>
      </c>
    </row>
    <row r="250" ht="56.25" customHeight="1">
      <c r="A250" s="5" t="s">
        <v>1641</v>
      </c>
      <c r="B250" s="6" t="str">
        <f>IMAGE("https://storage.googleapis.com/acdb/wall-mounted/FtrInsectKamakiriFace.png")</f>
        <v/>
      </c>
      <c r="C250" s="5" t="s">
        <v>34</v>
      </c>
      <c r="D250" s="5" t="s">
        <v>34</v>
      </c>
      <c r="E250" s="5" t="s">
        <v>34</v>
      </c>
      <c r="F250" s="5" t="s">
        <v>34</v>
      </c>
      <c r="G250" s="5" t="s">
        <v>36</v>
      </c>
      <c r="H250" s="5" t="s">
        <v>36</v>
      </c>
      <c r="I250" s="5" t="s">
        <v>36</v>
      </c>
      <c r="J250" s="6" t="s">
        <v>34</v>
      </c>
      <c r="K250" s="6">
        <v>1500.0</v>
      </c>
      <c r="L250" s="6">
        <v>375.0</v>
      </c>
      <c r="M250" s="5" t="s">
        <v>96</v>
      </c>
      <c r="N250" s="5" t="s">
        <v>96</v>
      </c>
      <c r="O250" s="6" t="s">
        <v>179</v>
      </c>
      <c r="P250" s="5" t="s">
        <v>59</v>
      </c>
      <c r="Q250" s="5" t="s">
        <v>122</v>
      </c>
      <c r="R250" s="17" t="s">
        <v>42</v>
      </c>
      <c r="S250" s="5" t="s">
        <v>141</v>
      </c>
      <c r="T250" s="5" t="s">
        <v>44</v>
      </c>
      <c r="U250" s="5" t="s">
        <v>44</v>
      </c>
      <c r="V250" s="5" t="s">
        <v>44</v>
      </c>
      <c r="W250" s="5" t="s">
        <v>36</v>
      </c>
      <c r="X250" s="5" t="s">
        <v>232</v>
      </c>
      <c r="Y250" s="5" t="s">
        <v>47</v>
      </c>
      <c r="Z250" s="5" t="s">
        <v>36</v>
      </c>
      <c r="AA250" s="5" t="s">
        <v>64</v>
      </c>
      <c r="AB250" s="5" t="s">
        <v>1646</v>
      </c>
      <c r="AC250" s="6" t="s">
        <v>34</v>
      </c>
      <c r="AD250" s="6">
        <v>11098.0</v>
      </c>
    </row>
    <row r="251" ht="56.25" customHeight="1">
      <c r="A251" s="5" t="s">
        <v>1649</v>
      </c>
      <c r="B251" s="6" t="str">
        <f>IMAGE("https://storage.googleapis.com/acdb/wall-mounted/FtrMobile_Remake_0_0.png")</f>
        <v/>
      </c>
      <c r="C251" s="5" t="s">
        <v>1650</v>
      </c>
      <c r="D251" s="5" t="s">
        <v>34</v>
      </c>
      <c r="E251" s="5" t="s">
        <v>34</v>
      </c>
      <c r="F251" s="5" t="s">
        <v>34</v>
      </c>
      <c r="G251" s="5" t="s">
        <v>36</v>
      </c>
      <c r="H251" s="5" t="s">
        <v>36</v>
      </c>
      <c r="I251" s="5" t="s">
        <v>36</v>
      </c>
      <c r="J251" s="6" t="s">
        <v>34</v>
      </c>
      <c r="K251" s="6">
        <v>780.0</v>
      </c>
      <c r="L251" s="6">
        <v>195.0</v>
      </c>
      <c r="M251" s="5" t="s">
        <v>58</v>
      </c>
      <c r="N251" s="5" t="s">
        <v>58</v>
      </c>
      <c r="O251" s="6" t="s">
        <v>431</v>
      </c>
      <c r="P251" s="5" t="s">
        <v>59</v>
      </c>
      <c r="Q251" s="5" t="s">
        <v>89</v>
      </c>
      <c r="R251" s="17" t="s">
        <v>42</v>
      </c>
      <c r="S251" s="5" t="s">
        <v>99</v>
      </c>
      <c r="T251" s="5" t="s">
        <v>61</v>
      </c>
      <c r="U251" s="5" t="s">
        <v>44</v>
      </c>
      <c r="V251" s="5" t="s">
        <v>44</v>
      </c>
      <c r="W251" s="5" t="s">
        <v>35</v>
      </c>
      <c r="X251" s="5" t="s">
        <v>432</v>
      </c>
      <c r="Y251" s="5" t="s">
        <v>47</v>
      </c>
      <c r="Z251" s="5" t="s">
        <v>36</v>
      </c>
      <c r="AA251" s="5" t="s">
        <v>64</v>
      </c>
      <c r="AB251" s="5" t="s">
        <v>1656</v>
      </c>
      <c r="AC251" s="6" t="s">
        <v>50</v>
      </c>
      <c r="AD251" s="6">
        <v>9565.0</v>
      </c>
    </row>
    <row r="252" ht="56.25" customHeight="1">
      <c r="A252" s="5" t="s">
        <v>1649</v>
      </c>
      <c r="B252" s="6" t="str">
        <f>IMAGE("https://storage.googleapis.com/acdb/wall-mounted/FtrMobile_Remake_1_0.png")</f>
        <v/>
      </c>
      <c r="C252" s="5" t="s">
        <v>1658</v>
      </c>
      <c r="D252" s="5" t="s">
        <v>34</v>
      </c>
      <c r="E252" s="5" t="s">
        <v>34</v>
      </c>
      <c r="F252" s="5" t="s">
        <v>34</v>
      </c>
      <c r="G252" s="5" t="s">
        <v>36</v>
      </c>
      <c r="H252" s="5" t="s">
        <v>36</v>
      </c>
      <c r="I252" s="5" t="s">
        <v>36</v>
      </c>
      <c r="J252" s="6" t="s">
        <v>34</v>
      </c>
      <c r="K252" s="6">
        <v>780.0</v>
      </c>
      <c r="L252" s="6">
        <v>195.0</v>
      </c>
      <c r="M252" s="5" t="s">
        <v>58</v>
      </c>
      <c r="N252" s="5" t="s">
        <v>58</v>
      </c>
      <c r="O252" s="6" t="s">
        <v>431</v>
      </c>
      <c r="P252" s="5" t="s">
        <v>59</v>
      </c>
      <c r="Q252" s="5" t="s">
        <v>89</v>
      </c>
      <c r="R252" s="17" t="s">
        <v>42</v>
      </c>
      <c r="S252" s="5" t="s">
        <v>99</v>
      </c>
      <c r="T252" s="5" t="s">
        <v>61</v>
      </c>
      <c r="U252" s="5" t="s">
        <v>44</v>
      </c>
      <c r="V252" s="5" t="s">
        <v>44</v>
      </c>
      <c r="W252" s="5" t="s">
        <v>35</v>
      </c>
      <c r="X252" s="5" t="s">
        <v>432</v>
      </c>
      <c r="Y252" s="5" t="s">
        <v>47</v>
      </c>
      <c r="Z252" s="5" t="s">
        <v>36</v>
      </c>
      <c r="AA252" s="5" t="s">
        <v>64</v>
      </c>
      <c r="AB252" s="5" t="s">
        <v>1660</v>
      </c>
      <c r="AC252" s="6" t="s">
        <v>56</v>
      </c>
      <c r="AD252" s="6">
        <v>9565.0</v>
      </c>
    </row>
    <row r="253" ht="56.25" customHeight="1">
      <c r="A253" s="5" t="s">
        <v>1649</v>
      </c>
      <c r="B253" s="6" t="str">
        <f>IMAGE("https://storage.googleapis.com/acdb/wall-mounted/FtrMobile_Remake_2_0.png")</f>
        <v/>
      </c>
      <c r="C253" s="5" t="s">
        <v>1664</v>
      </c>
      <c r="D253" s="5" t="s">
        <v>34</v>
      </c>
      <c r="E253" s="5" t="s">
        <v>34</v>
      </c>
      <c r="F253" s="5" t="s">
        <v>34</v>
      </c>
      <c r="G253" s="5" t="s">
        <v>36</v>
      </c>
      <c r="H253" s="5" t="s">
        <v>36</v>
      </c>
      <c r="I253" s="5" t="s">
        <v>36</v>
      </c>
      <c r="J253" s="6" t="s">
        <v>34</v>
      </c>
      <c r="K253" s="6">
        <v>780.0</v>
      </c>
      <c r="L253" s="6">
        <v>195.0</v>
      </c>
      <c r="M253" s="5" t="s">
        <v>58</v>
      </c>
      <c r="N253" s="5" t="s">
        <v>58</v>
      </c>
      <c r="O253" s="6" t="s">
        <v>431</v>
      </c>
      <c r="P253" s="5" t="s">
        <v>59</v>
      </c>
      <c r="Q253" s="5" t="s">
        <v>89</v>
      </c>
      <c r="R253" s="17" t="s">
        <v>42</v>
      </c>
      <c r="S253" s="5" t="s">
        <v>99</v>
      </c>
      <c r="T253" s="5" t="s">
        <v>61</v>
      </c>
      <c r="U253" s="5" t="s">
        <v>44</v>
      </c>
      <c r="V253" s="5" t="s">
        <v>44</v>
      </c>
      <c r="W253" s="5" t="s">
        <v>35</v>
      </c>
      <c r="X253" s="5" t="s">
        <v>432</v>
      </c>
      <c r="Y253" s="5" t="s">
        <v>47</v>
      </c>
      <c r="Z253" s="5" t="s">
        <v>36</v>
      </c>
      <c r="AA253" s="5" t="s">
        <v>64</v>
      </c>
      <c r="AB253" s="5" t="s">
        <v>1669</v>
      </c>
      <c r="AC253" s="6" t="s">
        <v>67</v>
      </c>
      <c r="AD253" s="6">
        <v>9565.0</v>
      </c>
    </row>
    <row r="254" ht="56.25" customHeight="1">
      <c r="A254" s="5" t="s">
        <v>1649</v>
      </c>
      <c r="B254" s="6" t="str">
        <f>IMAGE("https://storage.googleapis.com/acdb/wall-mounted/FtrMobile_Remake_3_0.png")</f>
        <v/>
      </c>
      <c r="C254" s="5" t="s">
        <v>403</v>
      </c>
      <c r="D254" s="5" t="s">
        <v>34</v>
      </c>
      <c r="E254" s="5" t="s">
        <v>34</v>
      </c>
      <c r="F254" s="5" t="s">
        <v>34</v>
      </c>
      <c r="G254" s="5" t="s">
        <v>36</v>
      </c>
      <c r="H254" s="5" t="s">
        <v>36</v>
      </c>
      <c r="I254" s="5" t="s">
        <v>36</v>
      </c>
      <c r="J254" s="6" t="s">
        <v>34</v>
      </c>
      <c r="K254" s="6">
        <v>780.0</v>
      </c>
      <c r="L254" s="6">
        <v>195.0</v>
      </c>
      <c r="M254" s="5" t="s">
        <v>58</v>
      </c>
      <c r="N254" s="5" t="s">
        <v>58</v>
      </c>
      <c r="O254" s="6" t="s">
        <v>431</v>
      </c>
      <c r="P254" s="5" t="s">
        <v>59</v>
      </c>
      <c r="Q254" s="5" t="s">
        <v>89</v>
      </c>
      <c r="R254" s="17" t="s">
        <v>42</v>
      </c>
      <c r="S254" s="5" t="s">
        <v>99</v>
      </c>
      <c r="T254" s="5" t="s">
        <v>61</v>
      </c>
      <c r="U254" s="5" t="s">
        <v>44</v>
      </c>
      <c r="V254" s="5" t="s">
        <v>44</v>
      </c>
      <c r="W254" s="5" t="s">
        <v>35</v>
      </c>
      <c r="X254" s="5" t="s">
        <v>432</v>
      </c>
      <c r="Y254" s="5" t="s">
        <v>47</v>
      </c>
      <c r="Z254" s="5" t="s">
        <v>36</v>
      </c>
      <c r="AA254" s="5" t="s">
        <v>64</v>
      </c>
      <c r="AB254" s="5" t="s">
        <v>1672</v>
      </c>
      <c r="AC254" s="6" t="s">
        <v>71</v>
      </c>
      <c r="AD254" s="6">
        <v>9565.0</v>
      </c>
    </row>
    <row r="255" ht="56.25" customHeight="1">
      <c r="A255" s="5" t="s">
        <v>1649</v>
      </c>
      <c r="B255" s="6" t="str">
        <f>IMAGE("https://storage.googleapis.com/acdb/wall-mounted/FtrMobile_Remake_4_0.png")</f>
        <v/>
      </c>
      <c r="C255" s="5" t="s">
        <v>612</v>
      </c>
      <c r="D255" s="5" t="s">
        <v>34</v>
      </c>
      <c r="E255" s="5" t="s">
        <v>34</v>
      </c>
      <c r="F255" s="5" t="s">
        <v>34</v>
      </c>
      <c r="G255" s="5" t="s">
        <v>36</v>
      </c>
      <c r="H255" s="5" t="s">
        <v>36</v>
      </c>
      <c r="I255" s="5" t="s">
        <v>36</v>
      </c>
      <c r="J255" s="6" t="s">
        <v>34</v>
      </c>
      <c r="K255" s="6">
        <v>780.0</v>
      </c>
      <c r="L255" s="6">
        <v>195.0</v>
      </c>
      <c r="M255" s="5" t="s">
        <v>142</v>
      </c>
      <c r="N255" s="5" t="s">
        <v>95</v>
      </c>
      <c r="O255" s="6" t="s">
        <v>431</v>
      </c>
      <c r="P255" s="5" t="s">
        <v>59</v>
      </c>
      <c r="Q255" s="5" t="s">
        <v>89</v>
      </c>
      <c r="R255" s="17" t="s">
        <v>42</v>
      </c>
      <c r="S255" s="5" t="s">
        <v>99</v>
      </c>
      <c r="T255" s="5" t="s">
        <v>61</v>
      </c>
      <c r="U255" s="5" t="s">
        <v>44</v>
      </c>
      <c r="V255" s="5" t="s">
        <v>44</v>
      </c>
      <c r="W255" s="5" t="s">
        <v>35</v>
      </c>
      <c r="X255" s="5" t="s">
        <v>432</v>
      </c>
      <c r="Y255" s="5" t="s">
        <v>47</v>
      </c>
      <c r="Z255" s="5" t="s">
        <v>36</v>
      </c>
      <c r="AA255" s="5" t="s">
        <v>64</v>
      </c>
      <c r="AB255" s="5" t="s">
        <v>1677</v>
      </c>
      <c r="AC255" s="6" t="s">
        <v>75</v>
      </c>
      <c r="AD255" s="6">
        <v>9565.0</v>
      </c>
    </row>
    <row r="256" ht="56.25" customHeight="1">
      <c r="A256" s="5" t="s">
        <v>1678</v>
      </c>
      <c r="B256" s="6" t="str">
        <f>IMAGE("https://storage.googleapis.com/acdb/wall-mounted/FtrMomArt_Remake_0_0.png")</f>
        <v/>
      </c>
      <c r="C256" s="5" t="s">
        <v>1682</v>
      </c>
      <c r="D256" s="5" t="s">
        <v>1647</v>
      </c>
      <c r="E256" s="5" t="s">
        <v>34</v>
      </c>
      <c r="F256" s="5" t="s">
        <v>34</v>
      </c>
      <c r="G256" s="5" t="s">
        <v>36</v>
      </c>
      <c r="H256" s="5" t="s">
        <v>35</v>
      </c>
      <c r="I256" s="5" t="s">
        <v>36</v>
      </c>
      <c r="J256" s="6" t="s">
        <v>34</v>
      </c>
      <c r="K256" s="6" t="s">
        <v>37</v>
      </c>
      <c r="L256" s="6">
        <v>88.0</v>
      </c>
      <c r="M256" s="5" t="s">
        <v>58</v>
      </c>
      <c r="N256" s="5" t="s">
        <v>39</v>
      </c>
      <c r="O256" s="6" t="s">
        <v>179</v>
      </c>
      <c r="P256" s="5" t="s">
        <v>1684</v>
      </c>
      <c r="Q256" s="5"/>
      <c r="R256" s="17" t="s">
        <v>42</v>
      </c>
      <c r="S256" s="5" t="s">
        <v>90</v>
      </c>
      <c r="T256" s="5" t="s">
        <v>61</v>
      </c>
      <c r="U256" s="5" t="s">
        <v>1686</v>
      </c>
      <c r="V256" s="5" t="s">
        <v>44</v>
      </c>
      <c r="W256" s="5" t="s">
        <v>36</v>
      </c>
      <c r="X256" s="5" t="s">
        <v>432</v>
      </c>
      <c r="Y256" s="5" t="s">
        <v>47</v>
      </c>
      <c r="Z256" s="5" t="s">
        <v>36</v>
      </c>
      <c r="AA256" s="5" t="s">
        <v>48</v>
      </c>
      <c r="AB256" s="5" t="s">
        <v>1688</v>
      </c>
      <c r="AC256" s="6" t="s">
        <v>50</v>
      </c>
      <c r="AD256" s="6">
        <v>7139.0</v>
      </c>
    </row>
    <row r="257" ht="56.25" customHeight="1">
      <c r="A257" s="5" t="s">
        <v>1678</v>
      </c>
      <c r="B257" s="6" t="str">
        <f>IMAGE("https://storage.googleapis.com/acdb/wall-mounted/FtrMomArt_Remake_1_0.png")</f>
        <v/>
      </c>
      <c r="C257" s="5" t="s">
        <v>1690</v>
      </c>
      <c r="D257" s="5" t="s">
        <v>1647</v>
      </c>
      <c r="E257" s="5" t="s">
        <v>34</v>
      </c>
      <c r="F257" s="5" t="s">
        <v>34</v>
      </c>
      <c r="G257" s="5" t="s">
        <v>36</v>
      </c>
      <c r="H257" s="5" t="s">
        <v>35</v>
      </c>
      <c r="I257" s="5" t="s">
        <v>36</v>
      </c>
      <c r="J257" s="6" t="s">
        <v>34</v>
      </c>
      <c r="K257" s="6" t="s">
        <v>37</v>
      </c>
      <c r="L257" s="6">
        <v>88.0</v>
      </c>
      <c r="M257" s="5" t="s">
        <v>58</v>
      </c>
      <c r="N257" s="5" t="s">
        <v>38</v>
      </c>
      <c r="O257" s="6" t="s">
        <v>179</v>
      </c>
      <c r="P257" s="5" t="s">
        <v>1684</v>
      </c>
      <c r="Q257" s="5"/>
      <c r="R257" s="17" t="s">
        <v>42</v>
      </c>
      <c r="S257" s="5" t="s">
        <v>90</v>
      </c>
      <c r="T257" s="5" t="s">
        <v>61</v>
      </c>
      <c r="U257" s="5" t="s">
        <v>1686</v>
      </c>
      <c r="V257" s="5" t="s">
        <v>44</v>
      </c>
      <c r="W257" s="5" t="s">
        <v>36</v>
      </c>
      <c r="X257" s="5" t="s">
        <v>432</v>
      </c>
      <c r="Y257" s="5" t="s">
        <v>47</v>
      </c>
      <c r="Z257" s="5" t="s">
        <v>36</v>
      </c>
      <c r="AA257" s="5" t="s">
        <v>48</v>
      </c>
      <c r="AB257" s="5" t="s">
        <v>1693</v>
      </c>
      <c r="AC257" s="6" t="s">
        <v>56</v>
      </c>
      <c r="AD257" s="6">
        <v>7139.0</v>
      </c>
    </row>
    <row r="258" ht="56.25" customHeight="1">
      <c r="A258" s="5" t="s">
        <v>1678</v>
      </c>
      <c r="B258" s="6" t="str">
        <f>IMAGE("https://storage.googleapis.com/acdb/wall-mounted/FtrMomArt_Remake_2_0.png")</f>
        <v/>
      </c>
      <c r="C258" s="5" t="s">
        <v>1696</v>
      </c>
      <c r="D258" s="5" t="s">
        <v>1647</v>
      </c>
      <c r="E258" s="5" t="s">
        <v>34</v>
      </c>
      <c r="F258" s="5" t="s">
        <v>34</v>
      </c>
      <c r="G258" s="5" t="s">
        <v>36</v>
      </c>
      <c r="H258" s="5" t="s">
        <v>35</v>
      </c>
      <c r="I258" s="5" t="s">
        <v>36</v>
      </c>
      <c r="J258" s="6" t="s">
        <v>34</v>
      </c>
      <c r="K258" s="6" t="s">
        <v>37</v>
      </c>
      <c r="L258" s="6">
        <v>88.0</v>
      </c>
      <c r="M258" s="5" t="s">
        <v>57</v>
      </c>
      <c r="N258" s="5" t="s">
        <v>54</v>
      </c>
      <c r="O258" s="6" t="s">
        <v>179</v>
      </c>
      <c r="P258" s="5" t="s">
        <v>1684</v>
      </c>
      <c r="Q258" s="5"/>
      <c r="R258" s="17" t="s">
        <v>42</v>
      </c>
      <c r="S258" s="5" t="s">
        <v>90</v>
      </c>
      <c r="T258" s="5" t="s">
        <v>61</v>
      </c>
      <c r="U258" s="5" t="s">
        <v>1686</v>
      </c>
      <c r="V258" s="5" t="s">
        <v>44</v>
      </c>
      <c r="W258" s="5" t="s">
        <v>36</v>
      </c>
      <c r="X258" s="5" t="s">
        <v>432</v>
      </c>
      <c r="Y258" s="5" t="s">
        <v>47</v>
      </c>
      <c r="Z258" s="5" t="s">
        <v>36</v>
      </c>
      <c r="AA258" s="5" t="s">
        <v>48</v>
      </c>
      <c r="AB258" s="5" t="s">
        <v>1698</v>
      </c>
      <c r="AC258" s="6" t="s">
        <v>67</v>
      </c>
      <c r="AD258" s="6">
        <v>7139.0</v>
      </c>
    </row>
    <row r="259" ht="56.25" customHeight="1">
      <c r="A259" s="5" t="s">
        <v>1678</v>
      </c>
      <c r="B259" s="6" t="str">
        <f>IMAGE("https://storage.googleapis.com/acdb/wall-mounted/FtrMomArt_Remake_3_0.png")</f>
        <v/>
      </c>
      <c r="C259" s="5" t="s">
        <v>1701</v>
      </c>
      <c r="D259" s="5" t="s">
        <v>1647</v>
      </c>
      <c r="E259" s="5" t="s">
        <v>34</v>
      </c>
      <c r="F259" s="5" t="s">
        <v>34</v>
      </c>
      <c r="G259" s="5" t="s">
        <v>36</v>
      </c>
      <c r="H259" s="5" t="s">
        <v>35</v>
      </c>
      <c r="I259" s="5" t="s">
        <v>36</v>
      </c>
      <c r="J259" s="6" t="s">
        <v>34</v>
      </c>
      <c r="K259" s="6" t="s">
        <v>37</v>
      </c>
      <c r="L259" s="6">
        <v>88.0</v>
      </c>
      <c r="M259" s="5" t="s">
        <v>58</v>
      </c>
      <c r="N259" s="5" t="s">
        <v>114</v>
      </c>
      <c r="O259" s="6" t="s">
        <v>179</v>
      </c>
      <c r="P259" s="5" t="s">
        <v>1684</v>
      </c>
      <c r="Q259" s="5"/>
      <c r="R259" s="17" t="s">
        <v>42</v>
      </c>
      <c r="S259" s="5" t="s">
        <v>90</v>
      </c>
      <c r="T259" s="5" t="s">
        <v>61</v>
      </c>
      <c r="U259" s="5" t="s">
        <v>1686</v>
      </c>
      <c r="V259" s="5" t="s">
        <v>44</v>
      </c>
      <c r="W259" s="5" t="s">
        <v>36</v>
      </c>
      <c r="X259" s="5" t="s">
        <v>432</v>
      </c>
      <c r="Y259" s="5" t="s">
        <v>47</v>
      </c>
      <c r="Z259" s="5" t="s">
        <v>36</v>
      </c>
      <c r="AA259" s="5" t="s">
        <v>48</v>
      </c>
      <c r="AB259" s="5" t="s">
        <v>1704</v>
      </c>
      <c r="AC259" s="6" t="s">
        <v>71</v>
      </c>
      <c r="AD259" s="6">
        <v>7139.0</v>
      </c>
    </row>
    <row r="260" ht="56.25" customHeight="1">
      <c r="A260" s="5" t="s">
        <v>1678</v>
      </c>
      <c r="B260" s="6" t="str">
        <f>IMAGE("https://storage.googleapis.com/acdb/wall-mounted/FtrMomArt_Remake_4_0.png")</f>
        <v/>
      </c>
      <c r="C260" s="5" t="s">
        <v>1706</v>
      </c>
      <c r="D260" s="5" t="s">
        <v>1647</v>
      </c>
      <c r="E260" s="5" t="s">
        <v>34</v>
      </c>
      <c r="F260" s="5" t="s">
        <v>34</v>
      </c>
      <c r="G260" s="5" t="s">
        <v>36</v>
      </c>
      <c r="H260" s="5" t="s">
        <v>35</v>
      </c>
      <c r="I260" s="5" t="s">
        <v>36</v>
      </c>
      <c r="J260" s="6" t="s">
        <v>34</v>
      </c>
      <c r="K260" s="6" t="s">
        <v>37</v>
      </c>
      <c r="L260" s="6">
        <v>88.0</v>
      </c>
      <c r="M260" s="5" t="s">
        <v>58</v>
      </c>
      <c r="N260" s="5" t="s">
        <v>114</v>
      </c>
      <c r="O260" s="6" t="s">
        <v>179</v>
      </c>
      <c r="P260" s="5" t="s">
        <v>1684</v>
      </c>
      <c r="Q260" s="5"/>
      <c r="R260" s="17" t="s">
        <v>42</v>
      </c>
      <c r="S260" s="5" t="s">
        <v>90</v>
      </c>
      <c r="T260" s="5" t="s">
        <v>61</v>
      </c>
      <c r="U260" s="5" t="s">
        <v>1686</v>
      </c>
      <c r="V260" s="5" t="s">
        <v>44</v>
      </c>
      <c r="W260" s="5" t="s">
        <v>36</v>
      </c>
      <c r="X260" s="5" t="s">
        <v>432</v>
      </c>
      <c r="Y260" s="5" t="s">
        <v>47</v>
      </c>
      <c r="Z260" s="5" t="s">
        <v>36</v>
      </c>
      <c r="AA260" s="5" t="s">
        <v>48</v>
      </c>
      <c r="AB260" s="5" t="s">
        <v>1709</v>
      </c>
      <c r="AC260" s="6" t="s">
        <v>75</v>
      </c>
      <c r="AD260" s="6">
        <v>7139.0</v>
      </c>
    </row>
    <row r="261" ht="56.25" customHeight="1">
      <c r="A261" s="5" t="s">
        <v>1678</v>
      </c>
      <c r="B261" s="6" t="str">
        <f>IMAGE("https://storage.googleapis.com/acdb/wall-mounted/FtrMomArt_Remake_5_0.png")</f>
        <v/>
      </c>
      <c r="C261" s="5" t="s">
        <v>1710</v>
      </c>
      <c r="D261" s="5" t="s">
        <v>1647</v>
      </c>
      <c r="E261" s="5" t="s">
        <v>34</v>
      </c>
      <c r="F261" s="5" t="s">
        <v>34</v>
      </c>
      <c r="G261" s="5" t="s">
        <v>36</v>
      </c>
      <c r="H261" s="5" t="s">
        <v>35</v>
      </c>
      <c r="I261" s="5" t="s">
        <v>36</v>
      </c>
      <c r="J261" s="6" t="s">
        <v>34</v>
      </c>
      <c r="K261" s="6" t="s">
        <v>37</v>
      </c>
      <c r="L261" s="6">
        <v>88.0</v>
      </c>
      <c r="M261" s="5" t="s">
        <v>58</v>
      </c>
      <c r="N261" s="5" t="s">
        <v>57</v>
      </c>
      <c r="O261" s="6" t="s">
        <v>179</v>
      </c>
      <c r="P261" s="5" t="s">
        <v>1684</v>
      </c>
      <c r="Q261" s="5"/>
      <c r="R261" s="17" t="s">
        <v>42</v>
      </c>
      <c r="S261" s="5" t="s">
        <v>90</v>
      </c>
      <c r="T261" s="5" t="s">
        <v>61</v>
      </c>
      <c r="U261" s="5" t="s">
        <v>1686</v>
      </c>
      <c r="V261" s="5" t="s">
        <v>44</v>
      </c>
      <c r="W261" s="5" t="s">
        <v>36</v>
      </c>
      <c r="X261" s="5" t="s">
        <v>432</v>
      </c>
      <c r="Y261" s="5" t="s">
        <v>47</v>
      </c>
      <c r="Z261" s="5" t="s">
        <v>36</v>
      </c>
      <c r="AA261" s="5" t="s">
        <v>48</v>
      </c>
      <c r="AB261" s="5" t="s">
        <v>1712</v>
      </c>
      <c r="AC261" s="6" t="s">
        <v>79</v>
      </c>
      <c r="AD261" s="6">
        <v>7139.0</v>
      </c>
    </row>
    <row r="262" ht="56.25" customHeight="1">
      <c r="A262" s="5" t="s">
        <v>1678</v>
      </c>
      <c r="B262" s="6" t="str">
        <f>IMAGE("https://storage.googleapis.com/acdb/wall-mounted/FtrMomArt_Remake_6_0.png")</f>
        <v/>
      </c>
      <c r="C262" s="5" t="s">
        <v>1714</v>
      </c>
      <c r="D262" s="5" t="s">
        <v>1647</v>
      </c>
      <c r="E262" s="5" t="s">
        <v>34</v>
      </c>
      <c r="F262" s="5" t="s">
        <v>34</v>
      </c>
      <c r="G262" s="5" t="s">
        <v>36</v>
      </c>
      <c r="H262" s="5" t="s">
        <v>35</v>
      </c>
      <c r="I262" s="5" t="s">
        <v>36</v>
      </c>
      <c r="J262" s="6" t="s">
        <v>34</v>
      </c>
      <c r="K262" s="6" t="s">
        <v>37</v>
      </c>
      <c r="L262" s="6">
        <v>88.0</v>
      </c>
      <c r="M262" s="5" t="s">
        <v>58</v>
      </c>
      <c r="N262" s="5" t="s">
        <v>114</v>
      </c>
      <c r="O262" s="6" t="s">
        <v>179</v>
      </c>
      <c r="P262" s="5" t="s">
        <v>1684</v>
      </c>
      <c r="Q262" s="5"/>
      <c r="R262" s="17" t="s">
        <v>42</v>
      </c>
      <c r="S262" s="5" t="s">
        <v>90</v>
      </c>
      <c r="T262" s="5" t="s">
        <v>61</v>
      </c>
      <c r="U262" s="5" t="s">
        <v>1686</v>
      </c>
      <c r="V262" s="5" t="s">
        <v>44</v>
      </c>
      <c r="W262" s="5" t="s">
        <v>36</v>
      </c>
      <c r="X262" s="5" t="s">
        <v>432</v>
      </c>
      <c r="Y262" s="5" t="s">
        <v>47</v>
      </c>
      <c r="Z262" s="5" t="s">
        <v>36</v>
      </c>
      <c r="AA262" s="5" t="s">
        <v>48</v>
      </c>
      <c r="AB262" s="5" t="s">
        <v>1717</v>
      </c>
      <c r="AC262" s="6" t="s">
        <v>86</v>
      </c>
      <c r="AD262" s="6">
        <v>7139.0</v>
      </c>
    </row>
    <row r="263" ht="56.25" customHeight="1">
      <c r="A263" s="5" t="s">
        <v>1678</v>
      </c>
      <c r="B263" s="6" t="str">
        <f>IMAGE("https://storage.googleapis.com/acdb/wall-mounted/FtrMomArt_Remake_7_0.png")</f>
        <v/>
      </c>
      <c r="C263" s="5" t="s">
        <v>1720</v>
      </c>
      <c r="D263" s="5" t="s">
        <v>1647</v>
      </c>
      <c r="E263" s="5" t="s">
        <v>34</v>
      </c>
      <c r="F263" s="5" t="s">
        <v>34</v>
      </c>
      <c r="G263" s="5" t="s">
        <v>36</v>
      </c>
      <c r="H263" s="5" t="s">
        <v>35</v>
      </c>
      <c r="I263" s="5" t="s">
        <v>36</v>
      </c>
      <c r="J263" s="6" t="s">
        <v>34</v>
      </c>
      <c r="K263" s="6" t="s">
        <v>37</v>
      </c>
      <c r="L263" s="6">
        <v>88.0</v>
      </c>
      <c r="M263" s="5" t="s">
        <v>58</v>
      </c>
      <c r="N263" s="5" t="s">
        <v>57</v>
      </c>
      <c r="O263" s="6" t="s">
        <v>179</v>
      </c>
      <c r="P263" s="5" t="s">
        <v>1684</v>
      </c>
      <c r="Q263" s="5"/>
      <c r="R263" s="17" t="s">
        <v>42</v>
      </c>
      <c r="S263" s="5" t="s">
        <v>90</v>
      </c>
      <c r="T263" s="5" t="s">
        <v>61</v>
      </c>
      <c r="U263" s="5" t="s">
        <v>1686</v>
      </c>
      <c r="V263" s="5" t="s">
        <v>44</v>
      </c>
      <c r="W263" s="5" t="s">
        <v>36</v>
      </c>
      <c r="X263" s="5" t="s">
        <v>432</v>
      </c>
      <c r="Y263" s="5" t="s">
        <v>47</v>
      </c>
      <c r="Z263" s="5" t="s">
        <v>36</v>
      </c>
      <c r="AA263" s="5" t="s">
        <v>48</v>
      </c>
      <c r="AB263" s="5" t="s">
        <v>1723</v>
      </c>
      <c r="AC263" s="6" t="s">
        <v>208</v>
      </c>
      <c r="AD263" s="6">
        <v>7139.0</v>
      </c>
    </row>
    <row r="264" ht="56.25" customHeight="1">
      <c r="A264" s="5" t="s">
        <v>1724</v>
      </c>
      <c r="B264" s="6" t="str">
        <f>IMAGE("https://storage.googleapis.com/acdb/wall-mounted/FtrMomEmbroidery_Remake_0_0.png")</f>
        <v/>
      </c>
      <c r="C264" s="5" t="s">
        <v>1726</v>
      </c>
      <c r="D264" s="5" t="s">
        <v>373</v>
      </c>
      <c r="E264" s="5" t="s">
        <v>34</v>
      </c>
      <c r="F264" s="5" t="s">
        <v>34</v>
      </c>
      <c r="G264" s="5" t="s">
        <v>36</v>
      </c>
      <c r="H264" s="5" t="s">
        <v>35</v>
      </c>
      <c r="I264" s="5" t="s">
        <v>36</v>
      </c>
      <c r="J264" s="6" t="s">
        <v>34</v>
      </c>
      <c r="K264" s="6" t="s">
        <v>37</v>
      </c>
      <c r="L264" s="6">
        <v>88.0</v>
      </c>
      <c r="M264" s="5" t="s">
        <v>58</v>
      </c>
      <c r="N264" s="5" t="s">
        <v>114</v>
      </c>
      <c r="O264" s="6" t="s">
        <v>179</v>
      </c>
      <c r="P264" s="5" t="s">
        <v>1684</v>
      </c>
      <c r="Q264" s="5"/>
      <c r="R264" s="17" t="s">
        <v>42</v>
      </c>
      <c r="S264" s="5" t="s">
        <v>90</v>
      </c>
      <c r="T264" s="5" t="s">
        <v>61</v>
      </c>
      <c r="U264" s="5" t="s">
        <v>1686</v>
      </c>
      <c r="V264" s="5" t="s">
        <v>44</v>
      </c>
      <c r="W264" s="5" t="s">
        <v>36</v>
      </c>
      <c r="X264" s="5" t="s">
        <v>432</v>
      </c>
      <c r="Y264" s="5" t="s">
        <v>47</v>
      </c>
      <c r="Z264" s="5" t="s">
        <v>36</v>
      </c>
      <c r="AA264" s="5" t="s">
        <v>48</v>
      </c>
      <c r="AB264" s="5" t="s">
        <v>1730</v>
      </c>
      <c r="AC264" s="6" t="s">
        <v>50</v>
      </c>
      <c r="AD264" s="6">
        <v>7145.0</v>
      </c>
    </row>
    <row r="265" ht="56.25" customHeight="1">
      <c r="A265" s="5" t="s">
        <v>1724</v>
      </c>
      <c r="B265" s="6" t="str">
        <f>IMAGE("https://storage.googleapis.com/acdb/wall-mounted/FtrMomEmbroidery_Remake_1_0.png")</f>
        <v/>
      </c>
      <c r="C265" s="5" t="s">
        <v>1210</v>
      </c>
      <c r="D265" s="5" t="s">
        <v>373</v>
      </c>
      <c r="E265" s="5" t="s">
        <v>34</v>
      </c>
      <c r="F265" s="5" t="s">
        <v>34</v>
      </c>
      <c r="G265" s="5" t="s">
        <v>36</v>
      </c>
      <c r="H265" s="5" t="s">
        <v>35</v>
      </c>
      <c r="I265" s="5" t="s">
        <v>36</v>
      </c>
      <c r="J265" s="6" t="s">
        <v>34</v>
      </c>
      <c r="K265" s="6" t="s">
        <v>37</v>
      </c>
      <c r="L265" s="6">
        <v>88.0</v>
      </c>
      <c r="M265" s="5" t="s">
        <v>58</v>
      </c>
      <c r="N265" s="5" t="s">
        <v>142</v>
      </c>
      <c r="O265" s="6" t="s">
        <v>179</v>
      </c>
      <c r="P265" s="5" t="s">
        <v>1684</v>
      </c>
      <c r="Q265" s="5"/>
      <c r="R265" s="17" t="s">
        <v>42</v>
      </c>
      <c r="S265" s="5" t="s">
        <v>90</v>
      </c>
      <c r="T265" s="5" t="s">
        <v>61</v>
      </c>
      <c r="U265" s="5" t="s">
        <v>1686</v>
      </c>
      <c r="V265" s="5" t="s">
        <v>44</v>
      </c>
      <c r="W265" s="5" t="s">
        <v>36</v>
      </c>
      <c r="X265" s="5" t="s">
        <v>432</v>
      </c>
      <c r="Y265" s="5" t="s">
        <v>47</v>
      </c>
      <c r="Z265" s="5" t="s">
        <v>36</v>
      </c>
      <c r="AA265" s="5" t="s">
        <v>48</v>
      </c>
      <c r="AB265" s="5" t="s">
        <v>1735</v>
      </c>
      <c r="AC265" s="6" t="s">
        <v>56</v>
      </c>
      <c r="AD265" s="6">
        <v>7145.0</v>
      </c>
    </row>
    <row r="266" ht="56.25" customHeight="1">
      <c r="A266" s="5" t="s">
        <v>1724</v>
      </c>
      <c r="B266" s="6" t="str">
        <f>IMAGE("https://storage.googleapis.com/acdb/wall-mounted/FtrMomEmbroidery_Remake_2_0.png")</f>
        <v/>
      </c>
      <c r="C266" s="5" t="s">
        <v>1736</v>
      </c>
      <c r="D266" s="5" t="s">
        <v>373</v>
      </c>
      <c r="E266" s="5" t="s">
        <v>34</v>
      </c>
      <c r="F266" s="5" t="s">
        <v>34</v>
      </c>
      <c r="G266" s="5" t="s">
        <v>36</v>
      </c>
      <c r="H266" s="5" t="s">
        <v>35</v>
      </c>
      <c r="I266" s="5" t="s">
        <v>36</v>
      </c>
      <c r="J266" s="6" t="s">
        <v>34</v>
      </c>
      <c r="K266" s="6" t="s">
        <v>37</v>
      </c>
      <c r="L266" s="6">
        <v>88.0</v>
      </c>
      <c r="M266" s="5" t="s">
        <v>58</v>
      </c>
      <c r="N266" s="5" t="s">
        <v>39</v>
      </c>
      <c r="O266" s="6" t="s">
        <v>179</v>
      </c>
      <c r="P266" s="5" t="s">
        <v>1684</v>
      </c>
      <c r="Q266" s="5"/>
      <c r="R266" s="17" t="s">
        <v>42</v>
      </c>
      <c r="S266" s="5" t="s">
        <v>90</v>
      </c>
      <c r="T266" s="5" t="s">
        <v>61</v>
      </c>
      <c r="U266" s="5" t="s">
        <v>1686</v>
      </c>
      <c r="V266" s="5" t="s">
        <v>44</v>
      </c>
      <c r="W266" s="5" t="s">
        <v>36</v>
      </c>
      <c r="X266" s="5" t="s">
        <v>432</v>
      </c>
      <c r="Y266" s="5" t="s">
        <v>47</v>
      </c>
      <c r="Z266" s="5" t="s">
        <v>36</v>
      </c>
      <c r="AA266" s="5" t="s">
        <v>48</v>
      </c>
      <c r="AB266" s="5" t="s">
        <v>1739</v>
      </c>
      <c r="AC266" s="6" t="s">
        <v>67</v>
      </c>
      <c r="AD266" s="6">
        <v>7145.0</v>
      </c>
    </row>
    <row r="267" ht="56.25" customHeight="1">
      <c r="A267" s="5" t="s">
        <v>1724</v>
      </c>
      <c r="B267" s="6" t="str">
        <f>IMAGE("https://storage.googleapis.com/acdb/wall-mounted/FtrMomEmbroidery_Remake_3_0.png")</f>
        <v/>
      </c>
      <c r="C267" s="5" t="s">
        <v>1742</v>
      </c>
      <c r="D267" s="5" t="s">
        <v>373</v>
      </c>
      <c r="E267" s="5" t="s">
        <v>34</v>
      </c>
      <c r="F267" s="5" t="s">
        <v>34</v>
      </c>
      <c r="G267" s="5" t="s">
        <v>36</v>
      </c>
      <c r="H267" s="5" t="s">
        <v>35</v>
      </c>
      <c r="I267" s="5" t="s">
        <v>36</v>
      </c>
      <c r="J267" s="6" t="s">
        <v>34</v>
      </c>
      <c r="K267" s="6" t="s">
        <v>37</v>
      </c>
      <c r="L267" s="6">
        <v>88.0</v>
      </c>
      <c r="M267" s="5" t="s">
        <v>58</v>
      </c>
      <c r="N267" s="5" t="s">
        <v>69</v>
      </c>
      <c r="O267" s="6" t="s">
        <v>179</v>
      </c>
      <c r="P267" s="5" t="s">
        <v>1684</v>
      </c>
      <c r="Q267" s="5"/>
      <c r="R267" s="17" t="s">
        <v>42</v>
      </c>
      <c r="S267" s="5" t="s">
        <v>90</v>
      </c>
      <c r="T267" s="5" t="s">
        <v>61</v>
      </c>
      <c r="U267" s="5" t="s">
        <v>1686</v>
      </c>
      <c r="V267" s="5" t="s">
        <v>44</v>
      </c>
      <c r="W267" s="5" t="s">
        <v>36</v>
      </c>
      <c r="X267" s="5" t="s">
        <v>432</v>
      </c>
      <c r="Y267" s="5" t="s">
        <v>47</v>
      </c>
      <c r="Z267" s="5" t="s">
        <v>36</v>
      </c>
      <c r="AA267" s="5" t="s">
        <v>48</v>
      </c>
      <c r="AB267" s="5" t="s">
        <v>1746</v>
      </c>
      <c r="AC267" s="6" t="s">
        <v>71</v>
      </c>
      <c r="AD267" s="6">
        <v>7145.0</v>
      </c>
    </row>
    <row r="268" ht="56.25" customHeight="1">
      <c r="A268" s="5" t="s">
        <v>1724</v>
      </c>
      <c r="B268" s="6" t="str">
        <f>IMAGE("https://storage.googleapis.com/acdb/wall-mounted/FtrMomEmbroidery_Remake_4_0.png")</f>
        <v/>
      </c>
      <c r="C268" s="5" t="s">
        <v>1748</v>
      </c>
      <c r="D268" s="5" t="s">
        <v>373</v>
      </c>
      <c r="E268" s="5" t="s">
        <v>34</v>
      </c>
      <c r="F268" s="5" t="s">
        <v>34</v>
      </c>
      <c r="G268" s="5" t="s">
        <v>36</v>
      </c>
      <c r="H268" s="5" t="s">
        <v>35</v>
      </c>
      <c r="I268" s="5" t="s">
        <v>36</v>
      </c>
      <c r="J268" s="6" t="s">
        <v>34</v>
      </c>
      <c r="K268" s="6" t="s">
        <v>37</v>
      </c>
      <c r="L268" s="6">
        <v>88.0</v>
      </c>
      <c r="M268" s="5" t="s">
        <v>58</v>
      </c>
      <c r="N268" s="5" t="s">
        <v>96</v>
      </c>
      <c r="O268" s="6" t="s">
        <v>179</v>
      </c>
      <c r="P268" s="5" t="s">
        <v>1684</v>
      </c>
      <c r="Q268" s="5"/>
      <c r="R268" s="17" t="s">
        <v>42</v>
      </c>
      <c r="S268" s="5" t="s">
        <v>90</v>
      </c>
      <c r="T268" s="5" t="s">
        <v>61</v>
      </c>
      <c r="U268" s="5" t="s">
        <v>1686</v>
      </c>
      <c r="V268" s="5" t="s">
        <v>44</v>
      </c>
      <c r="W268" s="5" t="s">
        <v>36</v>
      </c>
      <c r="X268" s="5" t="s">
        <v>432</v>
      </c>
      <c r="Y268" s="5" t="s">
        <v>47</v>
      </c>
      <c r="Z268" s="5" t="s">
        <v>36</v>
      </c>
      <c r="AA268" s="5" t="s">
        <v>48</v>
      </c>
      <c r="AB268" s="5" t="s">
        <v>1753</v>
      </c>
      <c r="AC268" s="6" t="s">
        <v>75</v>
      </c>
      <c r="AD268" s="6">
        <v>7145.0</v>
      </c>
    </row>
    <row r="269" ht="56.25" customHeight="1">
      <c r="A269" s="5" t="s">
        <v>1724</v>
      </c>
      <c r="B269" s="6" t="str">
        <f>IMAGE("https://storage.googleapis.com/acdb/wall-mounted/FtrMomEmbroidery_Remake_5_0.png")</f>
        <v/>
      </c>
      <c r="C269" s="5" t="s">
        <v>1757</v>
      </c>
      <c r="D269" s="5" t="s">
        <v>373</v>
      </c>
      <c r="E269" s="5" t="s">
        <v>34</v>
      </c>
      <c r="F269" s="5" t="s">
        <v>34</v>
      </c>
      <c r="G269" s="5" t="s">
        <v>36</v>
      </c>
      <c r="H269" s="5" t="s">
        <v>35</v>
      </c>
      <c r="I269" s="5" t="s">
        <v>36</v>
      </c>
      <c r="J269" s="6" t="s">
        <v>34</v>
      </c>
      <c r="K269" s="6" t="s">
        <v>37</v>
      </c>
      <c r="L269" s="6">
        <v>88.0</v>
      </c>
      <c r="M269" s="5" t="s">
        <v>58</v>
      </c>
      <c r="N269" s="5" t="s">
        <v>39</v>
      </c>
      <c r="O269" s="6" t="s">
        <v>179</v>
      </c>
      <c r="P269" s="5" t="s">
        <v>1684</v>
      </c>
      <c r="Q269" s="5"/>
      <c r="R269" s="17" t="s">
        <v>42</v>
      </c>
      <c r="S269" s="5" t="s">
        <v>90</v>
      </c>
      <c r="T269" s="5" t="s">
        <v>61</v>
      </c>
      <c r="U269" s="5" t="s">
        <v>1686</v>
      </c>
      <c r="V269" s="5" t="s">
        <v>44</v>
      </c>
      <c r="W269" s="5" t="s">
        <v>36</v>
      </c>
      <c r="X269" s="5" t="s">
        <v>432</v>
      </c>
      <c r="Y269" s="5" t="s">
        <v>47</v>
      </c>
      <c r="Z269" s="5" t="s">
        <v>36</v>
      </c>
      <c r="AA269" s="5" t="s">
        <v>48</v>
      </c>
      <c r="AB269" s="5" t="s">
        <v>1762</v>
      </c>
      <c r="AC269" s="6" t="s">
        <v>79</v>
      </c>
      <c r="AD269" s="6">
        <v>7145.0</v>
      </c>
    </row>
    <row r="270" ht="56.25" customHeight="1">
      <c r="A270" s="5" t="s">
        <v>1765</v>
      </c>
      <c r="B270" s="6" t="str">
        <f>IMAGE("https://storage.googleapis.com/acdb/wall-mounted/FtrFishBlackbassWall.png")</f>
        <v/>
      </c>
      <c r="C270" s="5" t="s">
        <v>34</v>
      </c>
      <c r="D270" s="5" t="s">
        <v>34</v>
      </c>
      <c r="E270" s="5" t="s">
        <v>34</v>
      </c>
      <c r="F270" s="5" t="s">
        <v>34</v>
      </c>
      <c r="G270" s="5" t="s">
        <v>36</v>
      </c>
      <c r="H270" s="5" t="s">
        <v>36</v>
      </c>
      <c r="I270" s="5" t="s">
        <v>36</v>
      </c>
      <c r="J270" s="6" t="s">
        <v>34</v>
      </c>
      <c r="K270" s="6">
        <v>1300.0</v>
      </c>
      <c r="L270" s="6">
        <v>325.0</v>
      </c>
      <c r="M270" s="5" t="s">
        <v>96</v>
      </c>
      <c r="N270" s="5" t="s">
        <v>38</v>
      </c>
      <c r="O270" s="6" t="s">
        <v>375</v>
      </c>
      <c r="P270" s="5" t="s">
        <v>59</v>
      </c>
      <c r="Q270" s="5" t="s">
        <v>122</v>
      </c>
      <c r="R270" s="17" t="s">
        <v>42</v>
      </c>
      <c r="S270" s="5" t="s">
        <v>138</v>
      </c>
      <c r="T270" s="5" t="s">
        <v>141</v>
      </c>
      <c r="U270" s="5" t="s">
        <v>44</v>
      </c>
      <c r="V270" s="5" t="s">
        <v>44</v>
      </c>
      <c r="W270" s="5" t="s">
        <v>36</v>
      </c>
      <c r="X270" s="5" t="s">
        <v>494</v>
      </c>
      <c r="Y270" s="5" t="s">
        <v>47</v>
      </c>
      <c r="Z270" s="5" t="s">
        <v>36</v>
      </c>
      <c r="AA270" s="5" t="s">
        <v>64</v>
      </c>
      <c r="AB270" s="5" t="s">
        <v>1769</v>
      </c>
      <c r="AC270" s="6" t="s">
        <v>34</v>
      </c>
      <c r="AD270" s="6">
        <v>11127.0</v>
      </c>
    </row>
    <row r="271" ht="56.25" customHeight="1">
      <c r="A271" s="5" t="s">
        <v>1771</v>
      </c>
      <c r="B271" s="6" t="str">
        <f>IMAGE("https://storage.googleapis.com/acdb/wall-mounted/FtrFishKajikiWall.png")</f>
        <v/>
      </c>
      <c r="C271" s="5" t="s">
        <v>34</v>
      </c>
      <c r="D271" s="5" t="s">
        <v>34</v>
      </c>
      <c r="E271" s="5" t="s">
        <v>34</v>
      </c>
      <c r="F271" s="5" t="s">
        <v>34</v>
      </c>
      <c r="G271" s="5" t="s">
        <v>36</v>
      </c>
      <c r="H271" s="5" t="s">
        <v>36</v>
      </c>
      <c r="I271" s="5" t="s">
        <v>36</v>
      </c>
      <c r="J271" s="6" t="s">
        <v>34</v>
      </c>
      <c r="K271" s="6">
        <v>5000.0</v>
      </c>
      <c r="L271" s="6">
        <v>1250.0</v>
      </c>
      <c r="M271" s="5" t="s">
        <v>68</v>
      </c>
      <c r="N271" s="5" t="s">
        <v>95</v>
      </c>
      <c r="O271" s="6" t="s">
        <v>136</v>
      </c>
      <c r="P271" s="5" t="s">
        <v>59</v>
      </c>
      <c r="Q271" s="5" t="s">
        <v>122</v>
      </c>
      <c r="R271" s="17" t="s">
        <v>42</v>
      </c>
      <c r="S271" s="5" t="s">
        <v>138</v>
      </c>
      <c r="T271" s="5" t="s">
        <v>141</v>
      </c>
      <c r="U271" s="5" t="s">
        <v>44</v>
      </c>
      <c r="V271" s="5" t="s">
        <v>44</v>
      </c>
      <c r="W271" s="5" t="s">
        <v>36</v>
      </c>
      <c r="X271" s="5" t="s">
        <v>494</v>
      </c>
      <c r="Y271" s="5" t="s">
        <v>47</v>
      </c>
      <c r="Z271" s="5" t="s">
        <v>36</v>
      </c>
      <c r="AA271" s="5" t="s">
        <v>64</v>
      </c>
      <c r="AB271" s="5" t="s">
        <v>1775</v>
      </c>
      <c r="AC271" s="6" t="s">
        <v>34</v>
      </c>
      <c r="AD271" s="6">
        <v>11128.0</v>
      </c>
    </row>
    <row r="272" ht="56.25" customHeight="1">
      <c r="A272" s="5" t="s">
        <v>1776</v>
      </c>
      <c r="B272" s="6" t="str">
        <f>IMAGE("https://storage.googleapis.com/acdb/wall-mounted/FtrDoorOrnamentWreathMum.png")</f>
        <v/>
      </c>
      <c r="C272" s="5" t="s">
        <v>34</v>
      </c>
      <c r="D272" s="5" t="s">
        <v>34</v>
      </c>
      <c r="E272" s="5" t="s">
        <v>34</v>
      </c>
      <c r="F272" s="5" t="s">
        <v>34</v>
      </c>
      <c r="G272" s="5" t="s">
        <v>35</v>
      </c>
      <c r="H272" s="5" t="s">
        <v>36</v>
      </c>
      <c r="I272" s="5" t="s">
        <v>36</v>
      </c>
      <c r="J272" s="6" t="s">
        <v>34</v>
      </c>
      <c r="K272" s="6" t="s">
        <v>37</v>
      </c>
      <c r="L272" s="6">
        <v>720.0</v>
      </c>
      <c r="M272" s="5" t="s">
        <v>114</v>
      </c>
      <c r="N272" s="5" t="s">
        <v>57</v>
      </c>
      <c r="O272" s="6" t="s">
        <v>179</v>
      </c>
      <c r="P272" s="5" t="s">
        <v>41</v>
      </c>
      <c r="Q272" s="5"/>
      <c r="R272" s="17" t="s">
        <v>42</v>
      </c>
      <c r="S272" s="5" t="s">
        <v>61</v>
      </c>
      <c r="T272" s="5" t="s">
        <v>44</v>
      </c>
      <c r="U272" s="5" t="s">
        <v>311</v>
      </c>
      <c r="V272" s="5" t="s">
        <v>44</v>
      </c>
      <c r="W272" s="5" t="s">
        <v>36</v>
      </c>
      <c r="X272" s="5" t="s">
        <v>312</v>
      </c>
      <c r="Y272" s="5" t="s">
        <v>47</v>
      </c>
      <c r="Z272" s="5" t="s">
        <v>35</v>
      </c>
      <c r="AA272" s="5" t="s">
        <v>48</v>
      </c>
      <c r="AB272" s="5" t="s">
        <v>1779</v>
      </c>
      <c r="AC272" s="6" t="s">
        <v>34</v>
      </c>
      <c r="AD272" s="6">
        <v>5467.0</v>
      </c>
    </row>
    <row r="273" ht="56.25" customHeight="1">
      <c r="A273" s="5" t="s">
        <v>1781</v>
      </c>
      <c r="B273" s="6" t="str">
        <f>IMAGE("https://storage.googleapis.com/acdb/wall-mounted/FtrDoorOrnamentWreathMushroom.png")</f>
        <v/>
      </c>
      <c r="C273" s="5" t="s">
        <v>34</v>
      </c>
      <c r="D273" s="5" t="s">
        <v>34</v>
      </c>
      <c r="E273" s="5" t="s">
        <v>34</v>
      </c>
      <c r="F273" s="5" t="s">
        <v>34</v>
      </c>
      <c r="G273" s="5" t="s">
        <v>35</v>
      </c>
      <c r="H273" s="5" t="s">
        <v>36</v>
      </c>
      <c r="I273" s="5" t="s">
        <v>36</v>
      </c>
      <c r="J273" s="6" t="s">
        <v>34</v>
      </c>
      <c r="K273" s="6" t="s">
        <v>37</v>
      </c>
      <c r="L273" s="6">
        <v>1500.0</v>
      </c>
      <c r="M273" s="5" t="s">
        <v>38</v>
      </c>
      <c r="N273" s="5" t="s">
        <v>39</v>
      </c>
      <c r="O273" s="6" t="s">
        <v>40</v>
      </c>
      <c r="P273" s="5" t="s">
        <v>41</v>
      </c>
      <c r="Q273" s="5" t="s">
        <v>1785</v>
      </c>
      <c r="R273" s="17" t="s">
        <v>42</v>
      </c>
      <c r="S273" s="5" t="s">
        <v>172</v>
      </c>
      <c r="T273" s="5" t="s">
        <v>44</v>
      </c>
      <c r="U273" s="5" t="s">
        <v>1786</v>
      </c>
      <c r="V273" s="5" t="s">
        <v>44</v>
      </c>
      <c r="W273" s="5" t="s">
        <v>36</v>
      </c>
      <c r="X273" s="5" t="s">
        <v>312</v>
      </c>
      <c r="Y273" s="5" t="s">
        <v>47</v>
      </c>
      <c r="Z273" s="5" t="s">
        <v>35</v>
      </c>
      <c r="AA273" s="5" t="s">
        <v>48</v>
      </c>
      <c r="AB273" s="5" t="s">
        <v>1789</v>
      </c>
      <c r="AC273" s="6" t="s">
        <v>34</v>
      </c>
      <c r="AD273" s="6">
        <v>4726.0</v>
      </c>
    </row>
    <row r="274" ht="56.25" customHeight="1">
      <c r="A274" s="5" t="s">
        <v>1790</v>
      </c>
      <c r="B274" s="6" t="str">
        <f>IMAGE("https://storage.googleapis.com/acdb/wall-mounted/FtrDoorOrnamentWreathMumRare.png")</f>
        <v/>
      </c>
      <c r="C274" s="5" t="s">
        <v>34</v>
      </c>
      <c r="D274" s="5" t="s">
        <v>34</v>
      </c>
      <c r="E274" s="5" t="s">
        <v>34</v>
      </c>
      <c r="F274" s="5" t="s">
        <v>34</v>
      </c>
      <c r="G274" s="5" t="s">
        <v>35</v>
      </c>
      <c r="H274" s="5" t="s">
        <v>36</v>
      </c>
      <c r="I274" s="5" t="s">
        <v>36</v>
      </c>
      <c r="J274" s="6" t="s">
        <v>34</v>
      </c>
      <c r="K274" s="6" t="s">
        <v>37</v>
      </c>
      <c r="L274" s="6">
        <v>4800.0</v>
      </c>
      <c r="M274" s="5" t="s">
        <v>96</v>
      </c>
      <c r="N274" s="5" t="s">
        <v>96</v>
      </c>
      <c r="O274" s="6" t="s">
        <v>179</v>
      </c>
      <c r="P274" s="5" t="s">
        <v>41</v>
      </c>
      <c r="Q274" s="5"/>
      <c r="R274" s="17" t="s">
        <v>42</v>
      </c>
      <c r="S274" s="5" t="s">
        <v>61</v>
      </c>
      <c r="T274" s="5" t="s">
        <v>44</v>
      </c>
      <c r="U274" s="5" t="s">
        <v>311</v>
      </c>
      <c r="V274" s="5" t="s">
        <v>44</v>
      </c>
      <c r="W274" s="5" t="s">
        <v>36</v>
      </c>
      <c r="X274" s="5" t="s">
        <v>312</v>
      </c>
      <c r="Y274" s="5" t="s">
        <v>47</v>
      </c>
      <c r="Z274" s="5" t="s">
        <v>35</v>
      </c>
      <c r="AA274" s="5" t="s">
        <v>48</v>
      </c>
      <c r="AB274" s="5" t="s">
        <v>1795</v>
      </c>
      <c r="AC274" s="6" t="s">
        <v>34</v>
      </c>
      <c r="AD274" s="6">
        <v>5768.0</v>
      </c>
    </row>
    <row r="275" ht="56.25" customHeight="1">
      <c r="A275" s="5" t="s">
        <v>1796</v>
      </c>
      <c r="B275" s="6" t="str">
        <f>IMAGE("https://storage.googleapis.com/acdb/wall-mounted/FtrFruitsClockW_Remake_0_0.png")</f>
        <v/>
      </c>
      <c r="C275" s="5" t="s">
        <v>142</v>
      </c>
      <c r="D275" s="5" t="s">
        <v>337</v>
      </c>
      <c r="E275" s="5" t="s">
        <v>34</v>
      </c>
      <c r="F275" s="5" t="s">
        <v>34</v>
      </c>
      <c r="G275" s="5" t="s">
        <v>35</v>
      </c>
      <c r="H275" s="5" t="s">
        <v>35</v>
      </c>
      <c r="I275" s="5" t="s">
        <v>36</v>
      </c>
      <c r="J275" s="6">
        <v>3.0</v>
      </c>
      <c r="K275" s="6" t="s">
        <v>37</v>
      </c>
      <c r="L275" s="6">
        <v>2240.0</v>
      </c>
      <c r="M275" s="5" t="s">
        <v>142</v>
      </c>
      <c r="N275" s="5" t="s">
        <v>142</v>
      </c>
      <c r="O275" s="6" t="s">
        <v>179</v>
      </c>
      <c r="P275" s="5" t="s">
        <v>41</v>
      </c>
      <c r="Q275" s="5"/>
      <c r="R275" s="17" t="s">
        <v>42</v>
      </c>
      <c r="S275" s="5" t="s">
        <v>61</v>
      </c>
      <c r="T275" s="5" t="s">
        <v>44</v>
      </c>
      <c r="U275" s="5" t="s">
        <v>338</v>
      </c>
      <c r="V275" s="5" t="s">
        <v>1801</v>
      </c>
      <c r="W275" s="5" t="s">
        <v>35</v>
      </c>
      <c r="X275" s="5" t="s">
        <v>260</v>
      </c>
      <c r="Y275" s="5" t="s">
        <v>47</v>
      </c>
      <c r="Z275" s="5" t="s">
        <v>36</v>
      </c>
      <c r="AA275" s="5" t="s">
        <v>48</v>
      </c>
      <c r="AB275" s="5" t="s">
        <v>1802</v>
      </c>
      <c r="AC275" s="6" t="s">
        <v>50</v>
      </c>
      <c r="AD275" s="6">
        <v>3976.0</v>
      </c>
    </row>
    <row r="276" ht="56.25" customHeight="1">
      <c r="A276" s="5" t="s">
        <v>1796</v>
      </c>
      <c r="B276" s="6" t="str">
        <f>IMAGE("https://storage.googleapis.com/acdb/wall-mounted/FtrFruitsClockW_Remake_1_0.png")</f>
        <v/>
      </c>
      <c r="C276" s="5" t="s">
        <v>1803</v>
      </c>
      <c r="D276" s="5" t="s">
        <v>337</v>
      </c>
      <c r="E276" s="5" t="s">
        <v>34</v>
      </c>
      <c r="F276" s="5" t="s">
        <v>34</v>
      </c>
      <c r="G276" s="5" t="s">
        <v>35</v>
      </c>
      <c r="H276" s="5" t="s">
        <v>35</v>
      </c>
      <c r="I276" s="5" t="s">
        <v>36</v>
      </c>
      <c r="J276" s="6">
        <v>3.0</v>
      </c>
      <c r="K276" s="6" t="s">
        <v>37</v>
      </c>
      <c r="L276" s="6">
        <v>2240.0</v>
      </c>
      <c r="M276" s="5" t="s">
        <v>52</v>
      </c>
      <c r="N276" s="5" t="s">
        <v>52</v>
      </c>
      <c r="O276" s="6" t="s">
        <v>179</v>
      </c>
      <c r="P276" s="5" t="s">
        <v>41</v>
      </c>
      <c r="Q276" s="5"/>
      <c r="R276" s="17" t="s">
        <v>42</v>
      </c>
      <c r="S276" s="5" t="s">
        <v>61</v>
      </c>
      <c r="T276" s="5" t="s">
        <v>44</v>
      </c>
      <c r="U276" s="5" t="s">
        <v>338</v>
      </c>
      <c r="V276" s="5" t="s">
        <v>1801</v>
      </c>
      <c r="W276" s="5" t="s">
        <v>35</v>
      </c>
      <c r="X276" s="5" t="s">
        <v>260</v>
      </c>
      <c r="Y276" s="5" t="s">
        <v>47</v>
      </c>
      <c r="Z276" s="5" t="s">
        <v>36</v>
      </c>
      <c r="AA276" s="5" t="s">
        <v>48</v>
      </c>
      <c r="AB276" s="5" t="s">
        <v>1806</v>
      </c>
      <c r="AC276" s="6" t="s">
        <v>56</v>
      </c>
      <c r="AD276" s="6">
        <v>3976.0</v>
      </c>
    </row>
    <row r="277" ht="56.25" customHeight="1">
      <c r="A277" s="5" t="s">
        <v>1808</v>
      </c>
      <c r="B277" s="6" t="str">
        <f>IMAGE("https://storage.googleapis.com/acdb/wall-mounted/FtrOrnamentMobile_Remake_0_0.png")</f>
        <v/>
      </c>
      <c r="C277" s="5" t="s">
        <v>58</v>
      </c>
      <c r="D277" s="5" t="s">
        <v>135</v>
      </c>
      <c r="E277" s="5" t="s">
        <v>34</v>
      </c>
      <c r="F277" s="5" t="s">
        <v>34</v>
      </c>
      <c r="G277" s="5" t="s">
        <v>35</v>
      </c>
      <c r="H277" s="5" t="s">
        <v>35</v>
      </c>
      <c r="I277" s="5" t="s">
        <v>36</v>
      </c>
      <c r="J277" s="6">
        <v>1.0</v>
      </c>
      <c r="K277" s="6" t="s">
        <v>37</v>
      </c>
      <c r="L277" s="6">
        <v>340.0</v>
      </c>
      <c r="M277" s="5" t="s">
        <v>58</v>
      </c>
      <c r="N277" s="5" t="s">
        <v>39</v>
      </c>
      <c r="O277" s="6" t="s">
        <v>179</v>
      </c>
      <c r="P277" s="5" t="s">
        <v>41</v>
      </c>
      <c r="Q277" s="5" t="s">
        <v>969</v>
      </c>
      <c r="R277" s="17" t="s">
        <v>42</v>
      </c>
      <c r="S277" s="5" t="s">
        <v>465</v>
      </c>
      <c r="T277" s="5" t="s">
        <v>61</v>
      </c>
      <c r="U277" s="5" t="s">
        <v>970</v>
      </c>
      <c r="V277" s="5" t="s">
        <v>44</v>
      </c>
      <c r="W277" s="5" t="s">
        <v>35</v>
      </c>
      <c r="X277" s="5" t="s">
        <v>590</v>
      </c>
      <c r="Y277" s="5" t="s">
        <v>47</v>
      </c>
      <c r="Z277" s="5" t="s">
        <v>36</v>
      </c>
      <c r="AA277" s="5" t="s">
        <v>48</v>
      </c>
      <c r="AB277" s="5" t="s">
        <v>1812</v>
      </c>
      <c r="AC277" s="6" t="s">
        <v>50</v>
      </c>
      <c r="AD277" s="6">
        <v>6818.0</v>
      </c>
    </row>
    <row r="278" ht="56.25" customHeight="1">
      <c r="A278" s="5" t="s">
        <v>1808</v>
      </c>
      <c r="B278" s="6" t="str">
        <f>IMAGE("https://storage.googleapis.com/acdb/wall-mounted/FtrOrnamentMobile_Remake_1_0.png")</f>
        <v/>
      </c>
      <c r="C278" s="5" t="s">
        <v>68</v>
      </c>
      <c r="D278" s="5" t="s">
        <v>135</v>
      </c>
      <c r="E278" s="5" t="s">
        <v>34</v>
      </c>
      <c r="F278" s="5" t="s">
        <v>34</v>
      </c>
      <c r="G278" s="5" t="s">
        <v>35</v>
      </c>
      <c r="H278" s="5" t="s">
        <v>35</v>
      </c>
      <c r="I278" s="5" t="s">
        <v>36</v>
      </c>
      <c r="J278" s="6">
        <v>1.0</v>
      </c>
      <c r="K278" s="6" t="s">
        <v>37</v>
      </c>
      <c r="L278" s="6">
        <v>340.0</v>
      </c>
      <c r="M278" s="5" t="s">
        <v>68</v>
      </c>
      <c r="N278" s="5" t="s">
        <v>95</v>
      </c>
      <c r="O278" s="6" t="s">
        <v>179</v>
      </c>
      <c r="P278" s="5" t="s">
        <v>41</v>
      </c>
      <c r="Q278" s="5" t="s">
        <v>969</v>
      </c>
      <c r="R278" s="17" t="s">
        <v>42</v>
      </c>
      <c r="S278" s="5" t="s">
        <v>465</v>
      </c>
      <c r="T278" s="5" t="s">
        <v>61</v>
      </c>
      <c r="U278" s="5" t="s">
        <v>970</v>
      </c>
      <c r="V278" s="5" t="s">
        <v>44</v>
      </c>
      <c r="W278" s="5" t="s">
        <v>35</v>
      </c>
      <c r="X278" s="5" t="s">
        <v>590</v>
      </c>
      <c r="Y278" s="5" t="s">
        <v>47</v>
      </c>
      <c r="Z278" s="5" t="s">
        <v>36</v>
      </c>
      <c r="AA278" s="5" t="s">
        <v>48</v>
      </c>
      <c r="AB278" s="5" t="s">
        <v>1818</v>
      </c>
      <c r="AC278" s="6" t="s">
        <v>56</v>
      </c>
      <c r="AD278" s="6">
        <v>6818.0</v>
      </c>
    </row>
    <row r="279" ht="56.25" customHeight="1">
      <c r="A279" s="5" t="s">
        <v>1808</v>
      </c>
      <c r="B279" s="6" t="str">
        <f>IMAGE("https://storage.googleapis.com/acdb/wall-mounted/FtrOrnamentMobile_Remake_2_0.png")</f>
        <v/>
      </c>
      <c r="C279" s="5" t="s">
        <v>52</v>
      </c>
      <c r="D279" s="5" t="s">
        <v>135</v>
      </c>
      <c r="E279" s="5" t="s">
        <v>34</v>
      </c>
      <c r="F279" s="5" t="s">
        <v>34</v>
      </c>
      <c r="G279" s="5" t="s">
        <v>35</v>
      </c>
      <c r="H279" s="5" t="s">
        <v>35</v>
      </c>
      <c r="I279" s="5" t="s">
        <v>36</v>
      </c>
      <c r="J279" s="6">
        <v>1.0</v>
      </c>
      <c r="K279" s="6" t="s">
        <v>37</v>
      </c>
      <c r="L279" s="6">
        <v>340.0</v>
      </c>
      <c r="M279" s="5" t="s">
        <v>52</v>
      </c>
      <c r="N279" s="5" t="s">
        <v>57</v>
      </c>
      <c r="O279" s="6" t="s">
        <v>179</v>
      </c>
      <c r="P279" s="5" t="s">
        <v>41</v>
      </c>
      <c r="Q279" s="5" t="s">
        <v>969</v>
      </c>
      <c r="R279" s="17" t="s">
        <v>42</v>
      </c>
      <c r="S279" s="5" t="s">
        <v>465</v>
      </c>
      <c r="T279" s="5" t="s">
        <v>61</v>
      </c>
      <c r="U279" s="5" t="s">
        <v>970</v>
      </c>
      <c r="V279" s="5" t="s">
        <v>44</v>
      </c>
      <c r="W279" s="5" t="s">
        <v>35</v>
      </c>
      <c r="X279" s="5" t="s">
        <v>590</v>
      </c>
      <c r="Y279" s="5" t="s">
        <v>47</v>
      </c>
      <c r="Z279" s="5" t="s">
        <v>36</v>
      </c>
      <c r="AA279" s="5" t="s">
        <v>48</v>
      </c>
      <c r="AB279" s="5" t="s">
        <v>1824</v>
      </c>
      <c r="AC279" s="6" t="s">
        <v>67</v>
      </c>
      <c r="AD279" s="6">
        <v>6818.0</v>
      </c>
    </row>
    <row r="280" ht="56.25" customHeight="1">
      <c r="A280" s="5" t="s">
        <v>1808</v>
      </c>
      <c r="B280" s="6" t="str">
        <f>IMAGE("https://storage.googleapis.com/acdb/wall-mounted/FtrOrnamentMobile_Remake_3_0.png")</f>
        <v/>
      </c>
      <c r="C280" s="5" t="s">
        <v>69</v>
      </c>
      <c r="D280" s="5" t="s">
        <v>135</v>
      </c>
      <c r="E280" s="5" t="s">
        <v>34</v>
      </c>
      <c r="F280" s="5" t="s">
        <v>34</v>
      </c>
      <c r="G280" s="5" t="s">
        <v>35</v>
      </c>
      <c r="H280" s="5" t="s">
        <v>35</v>
      </c>
      <c r="I280" s="5" t="s">
        <v>36</v>
      </c>
      <c r="J280" s="6">
        <v>1.0</v>
      </c>
      <c r="K280" s="6" t="s">
        <v>37</v>
      </c>
      <c r="L280" s="6">
        <v>340.0</v>
      </c>
      <c r="M280" s="5" t="s">
        <v>69</v>
      </c>
      <c r="N280" s="5" t="s">
        <v>69</v>
      </c>
      <c r="O280" s="6" t="s">
        <v>179</v>
      </c>
      <c r="P280" s="5" t="s">
        <v>41</v>
      </c>
      <c r="Q280" s="5" t="s">
        <v>969</v>
      </c>
      <c r="R280" s="17" t="s">
        <v>42</v>
      </c>
      <c r="S280" s="5" t="s">
        <v>465</v>
      </c>
      <c r="T280" s="5" t="s">
        <v>61</v>
      </c>
      <c r="U280" s="5" t="s">
        <v>970</v>
      </c>
      <c r="V280" s="5" t="s">
        <v>44</v>
      </c>
      <c r="W280" s="5" t="s">
        <v>35</v>
      </c>
      <c r="X280" s="5" t="s">
        <v>590</v>
      </c>
      <c r="Y280" s="5" t="s">
        <v>47</v>
      </c>
      <c r="Z280" s="5" t="s">
        <v>36</v>
      </c>
      <c r="AA280" s="5" t="s">
        <v>48</v>
      </c>
      <c r="AB280" s="5" t="s">
        <v>1829</v>
      </c>
      <c r="AC280" s="6" t="s">
        <v>71</v>
      </c>
      <c r="AD280" s="6">
        <v>6818.0</v>
      </c>
    </row>
    <row r="281" ht="56.25" customHeight="1">
      <c r="A281" s="5" t="s">
        <v>1808</v>
      </c>
      <c r="B281" s="6" t="str">
        <f>IMAGE("https://storage.googleapis.com/acdb/wall-mounted/FtrOrnamentMobile_Remake_4_0.png")</f>
        <v/>
      </c>
      <c r="C281" s="5" t="s">
        <v>151</v>
      </c>
      <c r="D281" s="5" t="s">
        <v>135</v>
      </c>
      <c r="E281" s="5" t="s">
        <v>34</v>
      </c>
      <c r="F281" s="5" t="s">
        <v>34</v>
      </c>
      <c r="G281" s="5" t="s">
        <v>35</v>
      </c>
      <c r="H281" s="5" t="s">
        <v>35</v>
      </c>
      <c r="I281" s="5" t="s">
        <v>36</v>
      </c>
      <c r="J281" s="6">
        <v>1.0</v>
      </c>
      <c r="K281" s="6" t="s">
        <v>37</v>
      </c>
      <c r="L281" s="6">
        <v>340.0</v>
      </c>
      <c r="M281" s="5" t="s">
        <v>114</v>
      </c>
      <c r="N281" s="5" t="s">
        <v>39</v>
      </c>
      <c r="O281" s="6" t="s">
        <v>179</v>
      </c>
      <c r="P281" s="5" t="s">
        <v>41</v>
      </c>
      <c r="Q281" s="5" t="s">
        <v>969</v>
      </c>
      <c r="R281" s="17" t="s">
        <v>42</v>
      </c>
      <c r="S281" s="5" t="s">
        <v>465</v>
      </c>
      <c r="T281" s="5" t="s">
        <v>61</v>
      </c>
      <c r="U281" s="5" t="s">
        <v>970</v>
      </c>
      <c r="V281" s="5" t="s">
        <v>44</v>
      </c>
      <c r="W281" s="5" t="s">
        <v>35</v>
      </c>
      <c r="X281" s="5" t="s">
        <v>590</v>
      </c>
      <c r="Y281" s="5" t="s">
        <v>47</v>
      </c>
      <c r="Z281" s="5" t="s">
        <v>36</v>
      </c>
      <c r="AA281" s="5" t="s">
        <v>48</v>
      </c>
      <c r="AB281" s="5" t="s">
        <v>1833</v>
      </c>
      <c r="AC281" s="6" t="s">
        <v>75</v>
      </c>
      <c r="AD281" s="6">
        <v>6818.0</v>
      </c>
    </row>
    <row r="282" ht="56.25" customHeight="1">
      <c r="A282" s="5" t="s">
        <v>1808</v>
      </c>
      <c r="B282" s="6" t="str">
        <f>IMAGE("https://storage.googleapis.com/acdb/wall-mounted/FtrOrnamentMobile_Remake_5_0.png")</f>
        <v/>
      </c>
      <c r="C282" s="5" t="s">
        <v>57</v>
      </c>
      <c r="D282" s="5" t="s">
        <v>135</v>
      </c>
      <c r="E282" s="5" t="s">
        <v>34</v>
      </c>
      <c r="F282" s="5" t="s">
        <v>34</v>
      </c>
      <c r="G282" s="5" t="s">
        <v>35</v>
      </c>
      <c r="H282" s="5" t="s">
        <v>35</v>
      </c>
      <c r="I282" s="5" t="s">
        <v>36</v>
      </c>
      <c r="J282" s="6">
        <v>1.0</v>
      </c>
      <c r="K282" s="6" t="s">
        <v>37</v>
      </c>
      <c r="L282" s="6">
        <v>340.0</v>
      </c>
      <c r="M282" s="5" t="s">
        <v>57</v>
      </c>
      <c r="N282" s="5" t="s">
        <v>95</v>
      </c>
      <c r="O282" s="6" t="s">
        <v>179</v>
      </c>
      <c r="P282" s="5" t="s">
        <v>41</v>
      </c>
      <c r="Q282" s="5" t="s">
        <v>969</v>
      </c>
      <c r="R282" s="17" t="s">
        <v>42</v>
      </c>
      <c r="S282" s="5" t="s">
        <v>465</v>
      </c>
      <c r="T282" s="5" t="s">
        <v>61</v>
      </c>
      <c r="U282" s="5" t="s">
        <v>970</v>
      </c>
      <c r="V282" s="5" t="s">
        <v>44</v>
      </c>
      <c r="W282" s="5" t="s">
        <v>35</v>
      </c>
      <c r="X282" s="5" t="s">
        <v>590</v>
      </c>
      <c r="Y282" s="5" t="s">
        <v>47</v>
      </c>
      <c r="Z282" s="5" t="s">
        <v>36</v>
      </c>
      <c r="AA282" s="5" t="s">
        <v>48</v>
      </c>
      <c r="AB282" s="5" t="s">
        <v>1837</v>
      </c>
      <c r="AC282" s="6" t="s">
        <v>79</v>
      </c>
      <c r="AD282" s="6">
        <v>6818.0</v>
      </c>
    </row>
    <row r="283" ht="56.25" customHeight="1">
      <c r="A283" s="5" t="s">
        <v>1838</v>
      </c>
      <c r="B283" s="6" t="str">
        <f>IMAGE("https://storage.googleapis.com/acdb/wall-mounted/FtrDoorOrnamentWreathOrnament_Remake_0_0.png")</f>
        <v/>
      </c>
      <c r="C283" s="5" t="s">
        <v>68</v>
      </c>
      <c r="D283" s="5" t="s">
        <v>135</v>
      </c>
      <c r="E283" s="5" t="s">
        <v>34</v>
      </c>
      <c r="F283" s="5" t="s">
        <v>34</v>
      </c>
      <c r="G283" s="5" t="s">
        <v>35</v>
      </c>
      <c r="H283" s="5" t="s">
        <v>35</v>
      </c>
      <c r="I283" s="5" t="s">
        <v>36</v>
      </c>
      <c r="J283" s="6">
        <v>1.0</v>
      </c>
      <c r="K283" s="6" t="s">
        <v>37</v>
      </c>
      <c r="L283" s="6">
        <v>800.0</v>
      </c>
      <c r="M283" s="5" t="s">
        <v>83</v>
      </c>
      <c r="N283" s="5" t="s">
        <v>68</v>
      </c>
      <c r="O283" s="6" t="s">
        <v>179</v>
      </c>
      <c r="P283" s="5" t="s">
        <v>41</v>
      </c>
      <c r="Q283" s="5" t="s">
        <v>969</v>
      </c>
      <c r="R283" s="17" t="s">
        <v>42</v>
      </c>
      <c r="S283" s="5" t="s">
        <v>61</v>
      </c>
      <c r="T283" s="5" t="s">
        <v>44</v>
      </c>
      <c r="U283" s="5" t="s">
        <v>970</v>
      </c>
      <c r="V283" s="5" t="s">
        <v>44</v>
      </c>
      <c r="W283" s="5" t="s">
        <v>36</v>
      </c>
      <c r="X283" s="5" t="s">
        <v>312</v>
      </c>
      <c r="Y283" s="5" t="s">
        <v>47</v>
      </c>
      <c r="Z283" s="5" t="s">
        <v>35</v>
      </c>
      <c r="AA283" s="5" t="s">
        <v>48</v>
      </c>
      <c r="AB283" s="5" t="s">
        <v>1841</v>
      </c>
      <c r="AC283" s="6" t="s">
        <v>50</v>
      </c>
      <c r="AD283" s="6">
        <v>4377.0</v>
      </c>
    </row>
    <row r="284" ht="56.25" customHeight="1">
      <c r="A284" s="5" t="s">
        <v>1838</v>
      </c>
      <c r="B284" s="6" t="str">
        <f>IMAGE("https://storage.googleapis.com/acdb/wall-mounted/FtrDoorOrnamentWreathOrnament_Remake_1_0.png")</f>
        <v/>
      </c>
      <c r="C284" s="5" t="s">
        <v>151</v>
      </c>
      <c r="D284" s="5" t="s">
        <v>135</v>
      </c>
      <c r="E284" s="5" t="s">
        <v>34</v>
      </c>
      <c r="F284" s="5" t="s">
        <v>34</v>
      </c>
      <c r="G284" s="5" t="s">
        <v>35</v>
      </c>
      <c r="H284" s="5" t="s">
        <v>35</v>
      </c>
      <c r="I284" s="5" t="s">
        <v>36</v>
      </c>
      <c r="J284" s="6">
        <v>1.0</v>
      </c>
      <c r="K284" s="6" t="s">
        <v>37</v>
      </c>
      <c r="L284" s="6">
        <v>800.0</v>
      </c>
      <c r="M284" s="5" t="s">
        <v>114</v>
      </c>
      <c r="N284" s="5" t="s">
        <v>142</v>
      </c>
      <c r="O284" s="6" t="s">
        <v>179</v>
      </c>
      <c r="P284" s="5" t="s">
        <v>41</v>
      </c>
      <c r="Q284" s="5" t="s">
        <v>969</v>
      </c>
      <c r="R284" s="17" t="s">
        <v>42</v>
      </c>
      <c r="S284" s="5" t="s">
        <v>61</v>
      </c>
      <c r="T284" s="5" t="s">
        <v>44</v>
      </c>
      <c r="U284" s="5" t="s">
        <v>970</v>
      </c>
      <c r="V284" s="5" t="s">
        <v>44</v>
      </c>
      <c r="W284" s="5" t="s">
        <v>36</v>
      </c>
      <c r="X284" s="5" t="s">
        <v>312</v>
      </c>
      <c r="Y284" s="5" t="s">
        <v>47</v>
      </c>
      <c r="Z284" s="5" t="s">
        <v>35</v>
      </c>
      <c r="AA284" s="5" t="s">
        <v>48</v>
      </c>
      <c r="AB284" s="5" t="s">
        <v>1844</v>
      </c>
      <c r="AC284" s="6" t="s">
        <v>56</v>
      </c>
      <c r="AD284" s="6">
        <v>4377.0</v>
      </c>
    </row>
    <row r="285" ht="56.25" customHeight="1">
      <c r="A285" s="5" t="s">
        <v>1838</v>
      </c>
      <c r="B285" s="6" t="str">
        <f>IMAGE("https://storage.googleapis.com/acdb/wall-mounted/FtrDoorOrnamentWreathOrnament_Remake_2_0.png")</f>
        <v/>
      </c>
      <c r="C285" s="5" t="s">
        <v>146</v>
      </c>
      <c r="D285" s="5" t="s">
        <v>135</v>
      </c>
      <c r="E285" s="5" t="s">
        <v>34</v>
      </c>
      <c r="F285" s="5" t="s">
        <v>34</v>
      </c>
      <c r="G285" s="5" t="s">
        <v>35</v>
      </c>
      <c r="H285" s="5" t="s">
        <v>35</v>
      </c>
      <c r="I285" s="5" t="s">
        <v>36</v>
      </c>
      <c r="J285" s="6">
        <v>1.0</v>
      </c>
      <c r="K285" s="6" t="s">
        <v>37</v>
      </c>
      <c r="L285" s="6">
        <v>800.0</v>
      </c>
      <c r="M285" s="5" t="s">
        <v>95</v>
      </c>
      <c r="N285" s="5" t="s">
        <v>57</v>
      </c>
      <c r="O285" s="6" t="s">
        <v>179</v>
      </c>
      <c r="P285" s="5" t="s">
        <v>41</v>
      </c>
      <c r="Q285" s="5" t="s">
        <v>969</v>
      </c>
      <c r="R285" s="17" t="s">
        <v>42</v>
      </c>
      <c r="S285" s="5" t="s">
        <v>61</v>
      </c>
      <c r="T285" s="5" t="s">
        <v>44</v>
      </c>
      <c r="U285" s="5" t="s">
        <v>970</v>
      </c>
      <c r="V285" s="5" t="s">
        <v>44</v>
      </c>
      <c r="W285" s="5" t="s">
        <v>36</v>
      </c>
      <c r="X285" s="5" t="s">
        <v>312</v>
      </c>
      <c r="Y285" s="5" t="s">
        <v>47</v>
      </c>
      <c r="Z285" s="5" t="s">
        <v>35</v>
      </c>
      <c r="AA285" s="5" t="s">
        <v>48</v>
      </c>
      <c r="AB285" s="5" t="s">
        <v>1848</v>
      </c>
      <c r="AC285" s="6" t="s">
        <v>67</v>
      </c>
      <c r="AD285" s="6">
        <v>4377.0</v>
      </c>
    </row>
    <row r="286" ht="56.25" customHeight="1">
      <c r="A286" s="5" t="s">
        <v>1838</v>
      </c>
      <c r="B286" s="6" t="str">
        <f>IMAGE("https://storage.googleapis.com/acdb/wall-mounted/FtrDoorOrnamentWreathOrnament_Remake_3_0.png")</f>
        <v/>
      </c>
      <c r="C286" s="5" t="s">
        <v>96</v>
      </c>
      <c r="D286" s="5" t="s">
        <v>135</v>
      </c>
      <c r="E286" s="5" t="s">
        <v>34</v>
      </c>
      <c r="F286" s="5" t="s">
        <v>34</v>
      </c>
      <c r="G286" s="5" t="s">
        <v>35</v>
      </c>
      <c r="H286" s="5" t="s">
        <v>35</v>
      </c>
      <c r="I286" s="5" t="s">
        <v>36</v>
      </c>
      <c r="J286" s="6">
        <v>1.0</v>
      </c>
      <c r="K286" s="6" t="s">
        <v>37</v>
      </c>
      <c r="L286" s="6">
        <v>800.0</v>
      </c>
      <c r="M286" s="5" t="s">
        <v>96</v>
      </c>
      <c r="N286" s="5" t="s">
        <v>114</v>
      </c>
      <c r="O286" s="6" t="s">
        <v>179</v>
      </c>
      <c r="P286" s="5" t="s">
        <v>41</v>
      </c>
      <c r="Q286" s="5" t="s">
        <v>969</v>
      </c>
      <c r="R286" s="17" t="s">
        <v>42</v>
      </c>
      <c r="S286" s="5" t="s">
        <v>61</v>
      </c>
      <c r="T286" s="5" t="s">
        <v>44</v>
      </c>
      <c r="U286" s="5" t="s">
        <v>970</v>
      </c>
      <c r="V286" s="5" t="s">
        <v>44</v>
      </c>
      <c r="W286" s="5" t="s">
        <v>36</v>
      </c>
      <c r="X286" s="5" t="s">
        <v>312</v>
      </c>
      <c r="Y286" s="5" t="s">
        <v>47</v>
      </c>
      <c r="Z286" s="5" t="s">
        <v>35</v>
      </c>
      <c r="AA286" s="5" t="s">
        <v>48</v>
      </c>
      <c r="AB286" s="5" t="s">
        <v>1853</v>
      </c>
      <c r="AC286" s="6" t="s">
        <v>71</v>
      </c>
      <c r="AD286" s="6">
        <v>4377.0</v>
      </c>
    </row>
    <row r="287" ht="56.25" customHeight="1">
      <c r="A287" s="5" t="s">
        <v>1838</v>
      </c>
      <c r="B287" s="6" t="str">
        <f>IMAGE("https://storage.googleapis.com/acdb/wall-mounted/FtrDoorOrnamentWreathOrnament_Remake_4_0.png")</f>
        <v/>
      </c>
      <c r="C287" s="5" t="s">
        <v>52</v>
      </c>
      <c r="D287" s="5" t="s">
        <v>135</v>
      </c>
      <c r="E287" s="5" t="s">
        <v>34</v>
      </c>
      <c r="F287" s="5" t="s">
        <v>34</v>
      </c>
      <c r="G287" s="5" t="s">
        <v>35</v>
      </c>
      <c r="H287" s="5" t="s">
        <v>35</v>
      </c>
      <c r="I287" s="5" t="s">
        <v>36</v>
      </c>
      <c r="J287" s="6">
        <v>1.0</v>
      </c>
      <c r="K287" s="6" t="s">
        <v>37</v>
      </c>
      <c r="L287" s="6">
        <v>800.0</v>
      </c>
      <c r="M287" s="5" t="s">
        <v>52</v>
      </c>
      <c r="N287" s="5" t="s">
        <v>114</v>
      </c>
      <c r="O287" s="6" t="s">
        <v>179</v>
      </c>
      <c r="P287" s="5" t="s">
        <v>41</v>
      </c>
      <c r="Q287" s="5" t="s">
        <v>969</v>
      </c>
      <c r="R287" s="17" t="s">
        <v>42</v>
      </c>
      <c r="S287" s="5" t="s">
        <v>61</v>
      </c>
      <c r="T287" s="5" t="s">
        <v>44</v>
      </c>
      <c r="U287" s="5" t="s">
        <v>970</v>
      </c>
      <c r="V287" s="5" t="s">
        <v>44</v>
      </c>
      <c r="W287" s="5" t="s">
        <v>36</v>
      </c>
      <c r="X287" s="5" t="s">
        <v>312</v>
      </c>
      <c r="Y287" s="5" t="s">
        <v>47</v>
      </c>
      <c r="Z287" s="5" t="s">
        <v>35</v>
      </c>
      <c r="AA287" s="5" t="s">
        <v>48</v>
      </c>
      <c r="AB287" s="5" t="s">
        <v>1856</v>
      </c>
      <c r="AC287" s="6" t="s">
        <v>75</v>
      </c>
      <c r="AD287" s="6">
        <v>4377.0</v>
      </c>
    </row>
    <row r="288" ht="56.25" customHeight="1">
      <c r="A288" s="5" t="s">
        <v>1838</v>
      </c>
      <c r="B288" s="6" t="str">
        <f>IMAGE("https://storage.googleapis.com/acdb/wall-mounted/FtrDoorOrnamentWreathOrnament_Remake_5_0.png")</f>
        <v/>
      </c>
      <c r="C288" s="5" t="s">
        <v>1857</v>
      </c>
      <c r="D288" s="5" t="s">
        <v>135</v>
      </c>
      <c r="E288" s="5" t="s">
        <v>34</v>
      </c>
      <c r="F288" s="5" t="s">
        <v>34</v>
      </c>
      <c r="G288" s="5" t="s">
        <v>35</v>
      </c>
      <c r="H288" s="5" t="s">
        <v>35</v>
      </c>
      <c r="I288" s="5" t="s">
        <v>36</v>
      </c>
      <c r="J288" s="6">
        <v>1.0</v>
      </c>
      <c r="K288" s="6" t="s">
        <v>37</v>
      </c>
      <c r="L288" s="6">
        <v>800.0</v>
      </c>
      <c r="M288" s="5" t="s">
        <v>96</v>
      </c>
      <c r="N288" s="5" t="s">
        <v>95</v>
      </c>
      <c r="O288" s="6" t="s">
        <v>179</v>
      </c>
      <c r="P288" s="5" t="s">
        <v>41</v>
      </c>
      <c r="Q288" s="5" t="s">
        <v>969</v>
      </c>
      <c r="R288" s="17" t="s">
        <v>42</v>
      </c>
      <c r="S288" s="5" t="s">
        <v>61</v>
      </c>
      <c r="T288" s="5" t="s">
        <v>44</v>
      </c>
      <c r="U288" s="5" t="s">
        <v>970</v>
      </c>
      <c r="V288" s="5" t="s">
        <v>44</v>
      </c>
      <c r="W288" s="5" t="s">
        <v>36</v>
      </c>
      <c r="X288" s="5" t="s">
        <v>312</v>
      </c>
      <c r="Y288" s="5" t="s">
        <v>47</v>
      </c>
      <c r="Z288" s="5" t="s">
        <v>35</v>
      </c>
      <c r="AA288" s="5" t="s">
        <v>48</v>
      </c>
      <c r="AB288" s="5" t="s">
        <v>1859</v>
      </c>
      <c r="AC288" s="6" t="s">
        <v>79</v>
      </c>
      <c r="AD288" s="6">
        <v>4377.0</v>
      </c>
    </row>
    <row r="289" ht="56.25" customHeight="1">
      <c r="A289" s="5" t="s">
        <v>1838</v>
      </c>
      <c r="B289" s="6" t="str">
        <f>IMAGE("https://storage.googleapis.com/acdb/wall-mounted/FtrDoorOrnamentWreathOrnament_Remake_6_0.png")</f>
        <v/>
      </c>
      <c r="C289" s="5" t="s">
        <v>69</v>
      </c>
      <c r="D289" s="5" t="s">
        <v>135</v>
      </c>
      <c r="E289" s="5" t="s">
        <v>34</v>
      </c>
      <c r="F289" s="5" t="s">
        <v>34</v>
      </c>
      <c r="G289" s="5" t="s">
        <v>35</v>
      </c>
      <c r="H289" s="5" t="s">
        <v>35</v>
      </c>
      <c r="I289" s="5" t="s">
        <v>36</v>
      </c>
      <c r="J289" s="6">
        <v>1.0</v>
      </c>
      <c r="K289" s="6" t="s">
        <v>37</v>
      </c>
      <c r="L289" s="6">
        <v>800.0</v>
      </c>
      <c r="M289" s="5" t="s">
        <v>69</v>
      </c>
      <c r="N289" s="5" t="s">
        <v>106</v>
      </c>
      <c r="O289" s="6" t="s">
        <v>179</v>
      </c>
      <c r="P289" s="5" t="s">
        <v>41</v>
      </c>
      <c r="Q289" s="5" t="s">
        <v>969</v>
      </c>
      <c r="R289" s="17" t="s">
        <v>42</v>
      </c>
      <c r="S289" s="5" t="s">
        <v>61</v>
      </c>
      <c r="T289" s="5" t="s">
        <v>44</v>
      </c>
      <c r="U289" s="5" t="s">
        <v>970</v>
      </c>
      <c r="V289" s="5" t="s">
        <v>44</v>
      </c>
      <c r="W289" s="5" t="s">
        <v>36</v>
      </c>
      <c r="X289" s="5" t="s">
        <v>312</v>
      </c>
      <c r="Y289" s="5" t="s">
        <v>47</v>
      </c>
      <c r="Z289" s="5" t="s">
        <v>35</v>
      </c>
      <c r="AA289" s="5" t="s">
        <v>48</v>
      </c>
      <c r="AB289" s="5" t="s">
        <v>1864</v>
      </c>
      <c r="AC289" s="6" t="s">
        <v>86</v>
      </c>
      <c r="AD289" s="6">
        <v>4377.0</v>
      </c>
    </row>
    <row r="290" ht="56.25" customHeight="1">
      <c r="A290" s="5" t="s">
        <v>1838</v>
      </c>
      <c r="B290" s="6" t="str">
        <f>IMAGE("https://storage.googleapis.com/acdb/wall-mounted/FtrDoorOrnamentWreathOrnament_Remake_7_0.png")</f>
        <v/>
      </c>
      <c r="C290" s="5" t="s">
        <v>106</v>
      </c>
      <c r="D290" s="5" t="s">
        <v>135</v>
      </c>
      <c r="E290" s="5" t="s">
        <v>34</v>
      </c>
      <c r="F290" s="5" t="s">
        <v>34</v>
      </c>
      <c r="G290" s="5" t="s">
        <v>35</v>
      </c>
      <c r="H290" s="5" t="s">
        <v>35</v>
      </c>
      <c r="I290" s="5" t="s">
        <v>36</v>
      </c>
      <c r="J290" s="6">
        <v>1.0</v>
      </c>
      <c r="K290" s="6" t="s">
        <v>37</v>
      </c>
      <c r="L290" s="6">
        <v>800.0</v>
      </c>
      <c r="M290" s="5" t="s">
        <v>106</v>
      </c>
      <c r="N290" s="5" t="s">
        <v>95</v>
      </c>
      <c r="O290" s="6" t="s">
        <v>179</v>
      </c>
      <c r="P290" s="5" t="s">
        <v>41</v>
      </c>
      <c r="Q290" s="5" t="s">
        <v>969</v>
      </c>
      <c r="R290" s="17" t="s">
        <v>42</v>
      </c>
      <c r="S290" s="5" t="s">
        <v>61</v>
      </c>
      <c r="T290" s="5" t="s">
        <v>44</v>
      </c>
      <c r="U290" s="5" t="s">
        <v>970</v>
      </c>
      <c r="V290" s="5" t="s">
        <v>44</v>
      </c>
      <c r="W290" s="5" t="s">
        <v>36</v>
      </c>
      <c r="X290" s="5" t="s">
        <v>312</v>
      </c>
      <c r="Y290" s="5" t="s">
        <v>47</v>
      </c>
      <c r="Z290" s="5" t="s">
        <v>35</v>
      </c>
      <c r="AA290" s="5" t="s">
        <v>48</v>
      </c>
      <c r="AB290" s="5" t="s">
        <v>1867</v>
      </c>
      <c r="AC290" s="6" t="s">
        <v>208</v>
      </c>
      <c r="AD290" s="6">
        <v>4377.0</v>
      </c>
    </row>
    <row r="291" ht="56.25" customHeight="1">
      <c r="A291" s="5" t="s">
        <v>1868</v>
      </c>
      <c r="B291" s="6" t="str">
        <f>IMAGE("https://storage.googleapis.com/acdb/wall-mounted/FtrDoorOrnamentWreathPansy.png")</f>
        <v/>
      </c>
      <c r="C291" s="5" t="s">
        <v>34</v>
      </c>
      <c r="D291" s="5" t="s">
        <v>34</v>
      </c>
      <c r="E291" s="5" t="s">
        <v>34</v>
      </c>
      <c r="F291" s="5" t="s">
        <v>34</v>
      </c>
      <c r="G291" s="5" t="s">
        <v>35</v>
      </c>
      <c r="H291" s="5" t="s">
        <v>36</v>
      </c>
      <c r="I291" s="5" t="s">
        <v>36</v>
      </c>
      <c r="J291" s="6" t="s">
        <v>34</v>
      </c>
      <c r="K291" s="6" t="s">
        <v>37</v>
      </c>
      <c r="L291" s="6">
        <v>720.0</v>
      </c>
      <c r="M291" s="5" t="s">
        <v>52</v>
      </c>
      <c r="N291" s="5" t="s">
        <v>114</v>
      </c>
      <c r="O291" s="6" t="s">
        <v>179</v>
      </c>
      <c r="P291" s="5" t="s">
        <v>41</v>
      </c>
      <c r="Q291" s="5"/>
      <c r="R291" s="17" t="s">
        <v>42</v>
      </c>
      <c r="S291" s="5" t="s">
        <v>61</v>
      </c>
      <c r="T291" s="5" t="s">
        <v>44</v>
      </c>
      <c r="U291" s="5" t="s">
        <v>311</v>
      </c>
      <c r="V291" s="5" t="s">
        <v>44</v>
      </c>
      <c r="W291" s="5" t="s">
        <v>36</v>
      </c>
      <c r="X291" s="5" t="s">
        <v>312</v>
      </c>
      <c r="Y291" s="5" t="s">
        <v>47</v>
      </c>
      <c r="Z291" s="5" t="s">
        <v>35</v>
      </c>
      <c r="AA291" s="5" t="s">
        <v>48</v>
      </c>
      <c r="AB291" s="5" t="s">
        <v>1874</v>
      </c>
      <c r="AC291" s="6" t="s">
        <v>34</v>
      </c>
      <c r="AD291" s="6">
        <v>5466.0</v>
      </c>
    </row>
    <row r="292" ht="56.25" customHeight="1">
      <c r="A292" s="5" t="s">
        <v>1875</v>
      </c>
      <c r="B292" s="6" t="str">
        <f>IMAGE("https://storage.googleapis.com/acdb/wall-mounted/FtrPartydecorationWall_Remake_0_0.png")</f>
        <v/>
      </c>
      <c r="C292" s="5" t="s">
        <v>58</v>
      </c>
      <c r="D292" s="5" t="s">
        <v>34</v>
      </c>
      <c r="E292" s="5" t="s">
        <v>34</v>
      </c>
      <c r="F292" s="5" t="s">
        <v>34</v>
      </c>
      <c r="G292" s="5" t="s">
        <v>36</v>
      </c>
      <c r="H292" s="5" t="s">
        <v>36</v>
      </c>
      <c r="I292" s="5" t="s">
        <v>36</v>
      </c>
      <c r="J292" s="6" t="s">
        <v>34</v>
      </c>
      <c r="K292" s="6">
        <v>650.0</v>
      </c>
      <c r="L292" s="6">
        <v>162.0</v>
      </c>
      <c r="M292" s="5" t="s">
        <v>58</v>
      </c>
      <c r="N292" s="5" t="s">
        <v>58</v>
      </c>
      <c r="O292" s="6" t="s">
        <v>136</v>
      </c>
      <c r="P292" s="5" t="s">
        <v>59</v>
      </c>
      <c r="Q292" s="5" t="s">
        <v>89</v>
      </c>
      <c r="R292" s="17" t="s">
        <v>42</v>
      </c>
      <c r="S292" s="5" t="s">
        <v>465</v>
      </c>
      <c r="T292" s="5" t="s">
        <v>61</v>
      </c>
      <c r="U292" s="5" t="s">
        <v>44</v>
      </c>
      <c r="V292" s="5" t="s">
        <v>44</v>
      </c>
      <c r="W292" s="5" t="s">
        <v>36</v>
      </c>
      <c r="X292" s="5" t="s">
        <v>590</v>
      </c>
      <c r="Y292" s="5" t="s">
        <v>47</v>
      </c>
      <c r="Z292" s="5" t="s">
        <v>36</v>
      </c>
      <c r="AA292" s="5" t="s">
        <v>64</v>
      </c>
      <c r="AB292" s="5" t="s">
        <v>1880</v>
      </c>
      <c r="AC292" s="6" t="s">
        <v>50</v>
      </c>
      <c r="AD292" s="6">
        <v>4077.0</v>
      </c>
    </row>
    <row r="293" ht="56.25" customHeight="1">
      <c r="A293" s="5" t="s">
        <v>1875</v>
      </c>
      <c r="B293" s="6" t="str">
        <f>IMAGE("https://storage.googleapis.com/acdb/wall-mounted/FtrPartydecorationWall_Remake_1_0.png")</f>
        <v/>
      </c>
      <c r="C293" s="5" t="s">
        <v>688</v>
      </c>
      <c r="D293" s="5" t="s">
        <v>34</v>
      </c>
      <c r="E293" s="5" t="s">
        <v>34</v>
      </c>
      <c r="F293" s="5" t="s">
        <v>34</v>
      </c>
      <c r="G293" s="5" t="s">
        <v>36</v>
      </c>
      <c r="H293" s="5" t="s">
        <v>36</v>
      </c>
      <c r="I293" s="5" t="s">
        <v>36</v>
      </c>
      <c r="J293" s="6" t="s">
        <v>34</v>
      </c>
      <c r="K293" s="6">
        <v>650.0</v>
      </c>
      <c r="L293" s="6">
        <v>162.0</v>
      </c>
      <c r="M293" s="5" t="s">
        <v>58</v>
      </c>
      <c r="N293" s="5" t="s">
        <v>58</v>
      </c>
      <c r="O293" s="6" t="s">
        <v>136</v>
      </c>
      <c r="P293" s="5" t="s">
        <v>59</v>
      </c>
      <c r="Q293" s="5" t="s">
        <v>89</v>
      </c>
      <c r="R293" s="17" t="s">
        <v>42</v>
      </c>
      <c r="S293" s="5" t="s">
        <v>465</v>
      </c>
      <c r="T293" s="5" t="s">
        <v>61</v>
      </c>
      <c r="U293" s="5" t="s">
        <v>44</v>
      </c>
      <c r="V293" s="5" t="s">
        <v>44</v>
      </c>
      <c r="W293" s="5" t="s">
        <v>36</v>
      </c>
      <c r="X293" s="5" t="s">
        <v>590</v>
      </c>
      <c r="Y293" s="5" t="s">
        <v>47</v>
      </c>
      <c r="Z293" s="5" t="s">
        <v>36</v>
      </c>
      <c r="AA293" s="5" t="s">
        <v>64</v>
      </c>
      <c r="AB293" s="5" t="s">
        <v>1884</v>
      </c>
      <c r="AC293" s="6" t="s">
        <v>56</v>
      </c>
      <c r="AD293" s="6">
        <v>4077.0</v>
      </c>
    </row>
    <row r="294" ht="56.25" customHeight="1">
      <c r="A294" s="5" t="s">
        <v>1875</v>
      </c>
      <c r="B294" s="6" t="str">
        <f>IMAGE("https://storage.googleapis.com/acdb/wall-mounted/FtrPartydecorationWall_Remake_2_0.png")</f>
        <v/>
      </c>
      <c r="C294" s="5" t="s">
        <v>1887</v>
      </c>
      <c r="D294" s="5" t="s">
        <v>34</v>
      </c>
      <c r="E294" s="5" t="s">
        <v>34</v>
      </c>
      <c r="F294" s="5" t="s">
        <v>34</v>
      </c>
      <c r="G294" s="5" t="s">
        <v>36</v>
      </c>
      <c r="H294" s="5" t="s">
        <v>36</v>
      </c>
      <c r="I294" s="5" t="s">
        <v>36</v>
      </c>
      <c r="J294" s="6" t="s">
        <v>34</v>
      </c>
      <c r="K294" s="6">
        <v>650.0</v>
      </c>
      <c r="L294" s="6">
        <v>162.0</v>
      </c>
      <c r="M294" s="5" t="s">
        <v>83</v>
      </c>
      <c r="N294" s="5" t="s">
        <v>57</v>
      </c>
      <c r="O294" s="6" t="s">
        <v>136</v>
      </c>
      <c r="P294" s="5" t="s">
        <v>59</v>
      </c>
      <c r="Q294" s="5" t="s">
        <v>89</v>
      </c>
      <c r="R294" s="17" t="s">
        <v>42</v>
      </c>
      <c r="S294" s="5" t="s">
        <v>465</v>
      </c>
      <c r="T294" s="5" t="s">
        <v>61</v>
      </c>
      <c r="U294" s="5" t="s">
        <v>44</v>
      </c>
      <c r="V294" s="5" t="s">
        <v>44</v>
      </c>
      <c r="W294" s="5" t="s">
        <v>36</v>
      </c>
      <c r="X294" s="5" t="s">
        <v>590</v>
      </c>
      <c r="Y294" s="5" t="s">
        <v>47</v>
      </c>
      <c r="Z294" s="5" t="s">
        <v>36</v>
      </c>
      <c r="AA294" s="5" t="s">
        <v>64</v>
      </c>
      <c r="AB294" s="5" t="s">
        <v>1897</v>
      </c>
      <c r="AC294" s="6" t="s">
        <v>67</v>
      </c>
      <c r="AD294" s="6">
        <v>4077.0</v>
      </c>
    </row>
    <row r="295" ht="56.25" customHeight="1">
      <c r="A295" s="5" t="s">
        <v>1875</v>
      </c>
      <c r="B295" s="6" t="str">
        <f>IMAGE("https://storage.googleapis.com/acdb/wall-mounted/FtrPartydecorationWall_Remake_3_0.png")</f>
        <v/>
      </c>
      <c r="C295" s="5" t="s">
        <v>1899</v>
      </c>
      <c r="D295" s="5" t="s">
        <v>34</v>
      </c>
      <c r="E295" s="5" t="s">
        <v>34</v>
      </c>
      <c r="F295" s="5" t="s">
        <v>34</v>
      </c>
      <c r="G295" s="5" t="s">
        <v>36</v>
      </c>
      <c r="H295" s="5" t="s">
        <v>36</v>
      </c>
      <c r="I295" s="5" t="s">
        <v>36</v>
      </c>
      <c r="J295" s="6" t="s">
        <v>34</v>
      </c>
      <c r="K295" s="6">
        <v>650.0</v>
      </c>
      <c r="L295" s="6">
        <v>162.0</v>
      </c>
      <c r="M295" s="5" t="s">
        <v>142</v>
      </c>
      <c r="N295" s="5" t="s">
        <v>54</v>
      </c>
      <c r="O295" s="6" t="s">
        <v>136</v>
      </c>
      <c r="P295" s="5" t="s">
        <v>59</v>
      </c>
      <c r="Q295" s="5" t="s">
        <v>89</v>
      </c>
      <c r="R295" s="17" t="s">
        <v>42</v>
      </c>
      <c r="S295" s="5" t="s">
        <v>465</v>
      </c>
      <c r="T295" s="5" t="s">
        <v>61</v>
      </c>
      <c r="U295" s="5" t="s">
        <v>44</v>
      </c>
      <c r="V295" s="5" t="s">
        <v>44</v>
      </c>
      <c r="W295" s="5" t="s">
        <v>36</v>
      </c>
      <c r="X295" s="5" t="s">
        <v>590</v>
      </c>
      <c r="Y295" s="5" t="s">
        <v>47</v>
      </c>
      <c r="Z295" s="5" t="s">
        <v>36</v>
      </c>
      <c r="AA295" s="5" t="s">
        <v>64</v>
      </c>
      <c r="AB295" s="5" t="s">
        <v>1903</v>
      </c>
      <c r="AC295" s="6" t="s">
        <v>71</v>
      </c>
      <c r="AD295" s="6">
        <v>4077.0</v>
      </c>
    </row>
    <row r="296" ht="56.25" customHeight="1">
      <c r="A296" s="5" t="s">
        <v>1875</v>
      </c>
      <c r="B296" s="6" t="str">
        <f>IMAGE("https://storage.googleapis.com/acdb/wall-mounted/FtrPartydecorationWall_Remake_4_0.png")</f>
        <v/>
      </c>
      <c r="C296" s="5" t="s">
        <v>1167</v>
      </c>
      <c r="D296" s="5" t="s">
        <v>34</v>
      </c>
      <c r="E296" s="5" t="s">
        <v>34</v>
      </c>
      <c r="F296" s="5" t="s">
        <v>34</v>
      </c>
      <c r="G296" s="5" t="s">
        <v>36</v>
      </c>
      <c r="H296" s="5" t="s">
        <v>36</v>
      </c>
      <c r="I296" s="5" t="s">
        <v>36</v>
      </c>
      <c r="J296" s="6" t="s">
        <v>34</v>
      </c>
      <c r="K296" s="6">
        <v>650.0</v>
      </c>
      <c r="L296" s="6">
        <v>162.0</v>
      </c>
      <c r="M296" s="5" t="s">
        <v>96</v>
      </c>
      <c r="N296" s="5" t="s">
        <v>52</v>
      </c>
      <c r="O296" s="6" t="s">
        <v>136</v>
      </c>
      <c r="P296" s="5" t="s">
        <v>59</v>
      </c>
      <c r="Q296" s="5" t="s">
        <v>89</v>
      </c>
      <c r="R296" s="17" t="s">
        <v>42</v>
      </c>
      <c r="S296" s="5" t="s">
        <v>465</v>
      </c>
      <c r="T296" s="5" t="s">
        <v>61</v>
      </c>
      <c r="U296" s="5" t="s">
        <v>44</v>
      </c>
      <c r="V296" s="5" t="s">
        <v>44</v>
      </c>
      <c r="W296" s="5" t="s">
        <v>36</v>
      </c>
      <c r="X296" s="5" t="s">
        <v>590</v>
      </c>
      <c r="Y296" s="5" t="s">
        <v>47</v>
      </c>
      <c r="Z296" s="5" t="s">
        <v>36</v>
      </c>
      <c r="AA296" s="5" t="s">
        <v>64</v>
      </c>
      <c r="AB296" s="5" t="s">
        <v>1911</v>
      </c>
      <c r="AC296" s="6" t="s">
        <v>75</v>
      </c>
      <c r="AD296" s="6">
        <v>4077.0</v>
      </c>
    </row>
    <row r="297" ht="56.25" customHeight="1">
      <c r="A297" s="5" t="s">
        <v>1875</v>
      </c>
      <c r="B297" s="6" t="str">
        <f>IMAGE("https://storage.googleapis.com/acdb/wall-mounted/FtrPartydecorationWall_Remake_5_0.png")</f>
        <v/>
      </c>
      <c r="C297" s="5" t="s">
        <v>612</v>
      </c>
      <c r="D297" s="5" t="s">
        <v>34</v>
      </c>
      <c r="E297" s="5" t="s">
        <v>34</v>
      </c>
      <c r="F297" s="5" t="s">
        <v>34</v>
      </c>
      <c r="G297" s="5" t="s">
        <v>36</v>
      </c>
      <c r="H297" s="5" t="s">
        <v>36</v>
      </c>
      <c r="I297" s="5" t="s">
        <v>36</v>
      </c>
      <c r="J297" s="6" t="s">
        <v>34</v>
      </c>
      <c r="K297" s="6">
        <v>650.0</v>
      </c>
      <c r="L297" s="6">
        <v>162.0</v>
      </c>
      <c r="M297" s="5" t="s">
        <v>54</v>
      </c>
      <c r="N297" s="5" t="s">
        <v>39</v>
      </c>
      <c r="O297" s="6" t="s">
        <v>136</v>
      </c>
      <c r="P297" s="5" t="s">
        <v>59</v>
      </c>
      <c r="Q297" s="5" t="s">
        <v>89</v>
      </c>
      <c r="R297" s="17" t="s">
        <v>42</v>
      </c>
      <c r="S297" s="5" t="s">
        <v>465</v>
      </c>
      <c r="T297" s="5" t="s">
        <v>61</v>
      </c>
      <c r="U297" s="5" t="s">
        <v>44</v>
      </c>
      <c r="V297" s="5" t="s">
        <v>44</v>
      </c>
      <c r="W297" s="5" t="s">
        <v>36</v>
      </c>
      <c r="X297" s="5" t="s">
        <v>590</v>
      </c>
      <c r="Y297" s="5" t="s">
        <v>47</v>
      </c>
      <c r="Z297" s="5" t="s">
        <v>36</v>
      </c>
      <c r="AA297" s="5" t="s">
        <v>64</v>
      </c>
      <c r="AB297" s="5" t="s">
        <v>1920</v>
      </c>
      <c r="AC297" s="6" t="s">
        <v>79</v>
      </c>
      <c r="AD297" s="6">
        <v>4077.0</v>
      </c>
    </row>
    <row r="298" ht="56.25" customHeight="1">
      <c r="A298" s="5" t="s">
        <v>1921</v>
      </c>
      <c r="B298" s="6" t="str">
        <f>IMAGE("https://storage.googleapis.com/acdb/wall-mounted/FtrDoorOrnamentPaw_Remake_0_0.png")</f>
        <v/>
      </c>
      <c r="C298" s="5" t="s">
        <v>1137</v>
      </c>
      <c r="D298" s="5" t="s">
        <v>135</v>
      </c>
      <c r="E298" s="5" t="s">
        <v>34</v>
      </c>
      <c r="F298" s="5" t="s">
        <v>34</v>
      </c>
      <c r="G298" s="5" t="s">
        <v>35</v>
      </c>
      <c r="H298" s="5" t="s">
        <v>35</v>
      </c>
      <c r="I298" s="5" t="s">
        <v>36</v>
      </c>
      <c r="J298" s="6">
        <v>1.0</v>
      </c>
      <c r="K298" s="6" t="s">
        <v>37</v>
      </c>
      <c r="L298" s="6">
        <v>360.0</v>
      </c>
      <c r="M298" s="5" t="s">
        <v>38</v>
      </c>
      <c r="N298" s="5" t="s">
        <v>39</v>
      </c>
      <c r="O298" s="6" t="s">
        <v>179</v>
      </c>
      <c r="P298" s="5" t="s">
        <v>41</v>
      </c>
      <c r="Q298" s="5"/>
      <c r="R298" s="17" t="s">
        <v>42</v>
      </c>
      <c r="S298" s="5" t="s">
        <v>90</v>
      </c>
      <c r="T298" s="5" t="s">
        <v>61</v>
      </c>
      <c r="U298" s="5" t="s">
        <v>44</v>
      </c>
      <c r="V298" s="5" t="s">
        <v>44</v>
      </c>
      <c r="W298" s="5" t="s">
        <v>36</v>
      </c>
      <c r="X298" s="5" t="s">
        <v>312</v>
      </c>
      <c r="Y298" s="5" t="s">
        <v>47</v>
      </c>
      <c r="Z298" s="5" t="s">
        <v>35</v>
      </c>
      <c r="AA298" s="5" t="s">
        <v>48</v>
      </c>
      <c r="AB298" s="5" t="s">
        <v>1931</v>
      </c>
      <c r="AC298" s="6" t="s">
        <v>50</v>
      </c>
      <c r="AD298" s="6">
        <v>5716.0</v>
      </c>
    </row>
    <row r="299" ht="56.25" customHeight="1">
      <c r="A299" s="5" t="s">
        <v>1921</v>
      </c>
      <c r="B299" s="6" t="str">
        <f>IMAGE("https://storage.googleapis.com/acdb/wall-mounted/FtrDoorOrnamentPaw_Remake_1_0.png")</f>
        <v/>
      </c>
      <c r="C299" s="5" t="s">
        <v>83</v>
      </c>
      <c r="D299" s="5" t="s">
        <v>135</v>
      </c>
      <c r="E299" s="5" t="s">
        <v>34</v>
      </c>
      <c r="F299" s="5" t="s">
        <v>34</v>
      </c>
      <c r="G299" s="5" t="s">
        <v>35</v>
      </c>
      <c r="H299" s="5" t="s">
        <v>35</v>
      </c>
      <c r="I299" s="5" t="s">
        <v>36</v>
      </c>
      <c r="J299" s="6">
        <v>1.0</v>
      </c>
      <c r="K299" s="6" t="s">
        <v>37</v>
      </c>
      <c r="L299" s="6">
        <v>360.0</v>
      </c>
      <c r="M299" s="5" t="s">
        <v>83</v>
      </c>
      <c r="N299" s="5" t="s">
        <v>142</v>
      </c>
      <c r="O299" s="6" t="s">
        <v>179</v>
      </c>
      <c r="P299" s="5" t="s">
        <v>41</v>
      </c>
      <c r="Q299" s="5"/>
      <c r="R299" s="17" t="s">
        <v>42</v>
      </c>
      <c r="S299" s="5" t="s">
        <v>90</v>
      </c>
      <c r="T299" s="5" t="s">
        <v>61</v>
      </c>
      <c r="U299" s="5" t="s">
        <v>44</v>
      </c>
      <c r="V299" s="5" t="s">
        <v>44</v>
      </c>
      <c r="W299" s="5" t="s">
        <v>36</v>
      </c>
      <c r="X299" s="5" t="s">
        <v>312</v>
      </c>
      <c r="Y299" s="5" t="s">
        <v>47</v>
      </c>
      <c r="Z299" s="5" t="s">
        <v>35</v>
      </c>
      <c r="AA299" s="5" t="s">
        <v>48</v>
      </c>
      <c r="AB299" s="5" t="s">
        <v>1940</v>
      </c>
      <c r="AC299" s="6" t="s">
        <v>56</v>
      </c>
      <c r="AD299" s="6">
        <v>5716.0</v>
      </c>
    </row>
    <row r="300" ht="56.25" customHeight="1">
      <c r="A300" s="5" t="s">
        <v>1921</v>
      </c>
      <c r="B300" s="6" t="str">
        <f>IMAGE("https://storage.googleapis.com/acdb/wall-mounted/FtrDoorOrnamentPaw_Remake_2_0.png")</f>
        <v/>
      </c>
      <c r="C300" s="5" t="s">
        <v>1943</v>
      </c>
      <c r="D300" s="5" t="s">
        <v>135</v>
      </c>
      <c r="E300" s="5" t="s">
        <v>34</v>
      </c>
      <c r="F300" s="5" t="s">
        <v>34</v>
      </c>
      <c r="G300" s="5" t="s">
        <v>35</v>
      </c>
      <c r="H300" s="5" t="s">
        <v>35</v>
      </c>
      <c r="I300" s="5" t="s">
        <v>36</v>
      </c>
      <c r="J300" s="6">
        <v>1.0</v>
      </c>
      <c r="K300" s="6" t="s">
        <v>37</v>
      </c>
      <c r="L300" s="6">
        <v>360.0</v>
      </c>
      <c r="M300" s="5" t="s">
        <v>54</v>
      </c>
      <c r="N300" s="5" t="s">
        <v>38</v>
      </c>
      <c r="O300" s="6" t="s">
        <v>179</v>
      </c>
      <c r="P300" s="5" t="s">
        <v>41</v>
      </c>
      <c r="Q300" s="5"/>
      <c r="R300" s="17" t="s">
        <v>42</v>
      </c>
      <c r="S300" s="5" t="s">
        <v>90</v>
      </c>
      <c r="T300" s="5" t="s">
        <v>61</v>
      </c>
      <c r="U300" s="5" t="s">
        <v>44</v>
      </c>
      <c r="V300" s="5" t="s">
        <v>44</v>
      </c>
      <c r="W300" s="5" t="s">
        <v>36</v>
      </c>
      <c r="X300" s="5" t="s">
        <v>312</v>
      </c>
      <c r="Y300" s="5" t="s">
        <v>47</v>
      </c>
      <c r="Z300" s="5" t="s">
        <v>35</v>
      </c>
      <c r="AA300" s="5" t="s">
        <v>48</v>
      </c>
      <c r="AB300" s="5" t="s">
        <v>1948</v>
      </c>
      <c r="AC300" s="6" t="s">
        <v>67</v>
      </c>
      <c r="AD300" s="6">
        <v>5716.0</v>
      </c>
    </row>
    <row r="301" ht="56.25" customHeight="1">
      <c r="A301" s="5" t="s">
        <v>1921</v>
      </c>
      <c r="B301" s="6" t="str">
        <f>IMAGE("https://storage.googleapis.com/acdb/wall-mounted/FtrDoorOrnamentPaw_Remake_3_0.png")</f>
        <v/>
      </c>
      <c r="C301" s="5" t="s">
        <v>366</v>
      </c>
      <c r="D301" s="5" t="s">
        <v>135</v>
      </c>
      <c r="E301" s="5" t="s">
        <v>34</v>
      </c>
      <c r="F301" s="5" t="s">
        <v>34</v>
      </c>
      <c r="G301" s="5" t="s">
        <v>35</v>
      </c>
      <c r="H301" s="5" t="s">
        <v>35</v>
      </c>
      <c r="I301" s="5" t="s">
        <v>36</v>
      </c>
      <c r="J301" s="6">
        <v>1.0</v>
      </c>
      <c r="K301" s="6" t="s">
        <v>37</v>
      </c>
      <c r="L301" s="6">
        <v>360.0</v>
      </c>
      <c r="M301" s="5" t="s">
        <v>142</v>
      </c>
      <c r="N301" s="5" t="s">
        <v>38</v>
      </c>
      <c r="O301" s="6" t="s">
        <v>179</v>
      </c>
      <c r="P301" s="5" t="s">
        <v>41</v>
      </c>
      <c r="Q301" s="5"/>
      <c r="R301" s="17" t="s">
        <v>42</v>
      </c>
      <c r="S301" s="5" t="s">
        <v>90</v>
      </c>
      <c r="T301" s="5" t="s">
        <v>61</v>
      </c>
      <c r="U301" s="5" t="s">
        <v>44</v>
      </c>
      <c r="V301" s="5" t="s">
        <v>44</v>
      </c>
      <c r="W301" s="5" t="s">
        <v>36</v>
      </c>
      <c r="X301" s="5" t="s">
        <v>312</v>
      </c>
      <c r="Y301" s="5" t="s">
        <v>47</v>
      </c>
      <c r="Z301" s="5" t="s">
        <v>35</v>
      </c>
      <c r="AA301" s="5" t="s">
        <v>48</v>
      </c>
      <c r="AB301" s="5" t="s">
        <v>1954</v>
      </c>
      <c r="AC301" s="6" t="s">
        <v>71</v>
      </c>
      <c r="AD301" s="6">
        <v>5716.0</v>
      </c>
    </row>
    <row r="302" ht="56.25" customHeight="1">
      <c r="A302" s="5" t="s">
        <v>1921</v>
      </c>
      <c r="B302" s="6" t="str">
        <f>IMAGE("https://storage.googleapis.com/acdb/wall-mounted/FtrDoorOrnamentPaw_Remake_4_0.png")</f>
        <v/>
      </c>
      <c r="C302" s="5" t="s">
        <v>387</v>
      </c>
      <c r="D302" s="5" t="s">
        <v>135</v>
      </c>
      <c r="E302" s="5" t="s">
        <v>34</v>
      </c>
      <c r="F302" s="5" t="s">
        <v>34</v>
      </c>
      <c r="G302" s="5" t="s">
        <v>35</v>
      </c>
      <c r="H302" s="5" t="s">
        <v>35</v>
      </c>
      <c r="I302" s="5" t="s">
        <v>36</v>
      </c>
      <c r="J302" s="6">
        <v>1.0</v>
      </c>
      <c r="K302" s="6" t="s">
        <v>37</v>
      </c>
      <c r="L302" s="6">
        <v>360.0</v>
      </c>
      <c r="M302" s="5" t="s">
        <v>39</v>
      </c>
      <c r="N302" s="5" t="s">
        <v>38</v>
      </c>
      <c r="O302" s="6" t="s">
        <v>179</v>
      </c>
      <c r="P302" s="5" t="s">
        <v>41</v>
      </c>
      <c r="Q302" s="5"/>
      <c r="R302" s="17" t="s">
        <v>42</v>
      </c>
      <c r="S302" s="5" t="s">
        <v>90</v>
      </c>
      <c r="T302" s="5" t="s">
        <v>61</v>
      </c>
      <c r="U302" s="5" t="s">
        <v>44</v>
      </c>
      <c r="V302" s="5" t="s">
        <v>44</v>
      </c>
      <c r="W302" s="5" t="s">
        <v>36</v>
      </c>
      <c r="X302" s="5" t="s">
        <v>312</v>
      </c>
      <c r="Y302" s="5" t="s">
        <v>47</v>
      </c>
      <c r="Z302" s="5" t="s">
        <v>35</v>
      </c>
      <c r="AA302" s="5" t="s">
        <v>48</v>
      </c>
      <c r="AB302" s="5" t="s">
        <v>1961</v>
      </c>
      <c r="AC302" s="6" t="s">
        <v>75</v>
      </c>
      <c r="AD302" s="6">
        <v>5716.0</v>
      </c>
    </row>
    <row r="303" ht="56.25" customHeight="1">
      <c r="A303" s="5" t="s">
        <v>1921</v>
      </c>
      <c r="B303" s="6" t="str">
        <f>IMAGE("https://storage.googleapis.com/acdb/wall-mounted/FtrDoorOrnamentPaw_Remake_5_0.png")</f>
        <v/>
      </c>
      <c r="C303" s="5" t="s">
        <v>57</v>
      </c>
      <c r="D303" s="5" t="s">
        <v>135</v>
      </c>
      <c r="E303" s="5" t="s">
        <v>34</v>
      </c>
      <c r="F303" s="5" t="s">
        <v>34</v>
      </c>
      <c r="G303" s="5" t="s">
        <v>35</v>
      </c>
      <c r="H303" s="5" t="s">
        <v>35</v>
      </c>
      <c r="I303" s="5" t="s">
        <v>36</v>
      </c>
      <c r="J303" s="6">
        <v>1.0</v>
      </c>
      <c r="K303" s="6" t="s">
        <v>37</v>
      </c>
      <c r="L303" s="6">
        <v>360.0</v>
      </c>
      <c r="M303" s="5" t="s">
        <v>57</v>
      </c>
      <c r="N303" s="5" t="s">
        <v>142</v>
      </c>
      <c r="O303" s="6" t="s">
        <v>179</v>
      </c>
      <c r="P303" s="5" t="s">
        <v>41</v>
      </c>
      <c r="Q303" s="5"/>
      <c r="R303" s="17" t="s">
        <v>42</v>
      </c>
      <c r="S303" s="5" t="s">
        <v>90</v>
      </c>
      <c r="T303" s="5" t="s">
        <v>61</v>
      </c>
      <c r="U303" s="5" t="s">
        <v>44</v>
      </c>
      <c r="V303" s="5" t="s">
        <v>44</v>
      </c>
      <c r="W303" s="5" t="s">
        <v>36</v>
      </c>
      <c r="X303" s="5" t="s">
        <v>312</v>
      </c>
      <c r="Y303" s="5" t="s">
        <v>47</v>
      </c>
      <c r="Z303" s="5" t="s">
        <v>35</v>
      </c>
      <c r="AA303" s="5" t="s">
        <v>48</v>
      </c>
      <c r="AB303" s="5" t="s">
        <v>1966</v>
      </c>
      <c r="AC303" s="6" t="s">
        <v>79</v>
      </c>
      <c r="AD303" s="6">
        <v>5716.0</v>
      </c>
    </row>
    <row r="304" ht="56.25" customHeight="1">
      <c r="A304" s="5" t="s">
        <v>1921</v>
      </c>
      <c r="B304" s="6" t="str">
        <f>IMAGE("https://storage.googleapis.com/acdb/wall-mounted/FtrDoorOrnamentPaw_Remake_6_0.png")</f>
        <v/>
      </c>
      <c r="C304" s="5" t="s">
        <v>68</v>
      </c>
      <c r="D304" s="5" t="s">
        <v>135</v>
      </c>
      <c r="E304" s="5" t="s">
        <v>34</v>
      </c>
      <c r="F304" s="5" t="s">
        <v>34</v>
      </c>
      <c r="G304" s="5" t="s">
        <v>35</v>
      </c>
      <c r="H304" s="5" t="s">
        <v>35</v>
      </c>
      <c r="I304" s="5" t="s">
        <v>36</v>
      </c>
      <c r="J304" s="6">
        <v>1.0</v>
      </c>
      <c r="K304" s="6" t="s">
        <v>37</v>
      </c>
      <c r="L304" s="6">
        <v>360.0</v>
      </c>
      <c r="M304" s="5" t="s">
        <v>83</v>
      </c>
      <c r="N304" s="5" t="s">
        <v>68</v>
      </c>
      <c r="O304" s="6" t="s">
        <v>179</v>
      </c>
      <c r="P304" s="5" t="s">
        <v>41</v>
      </c>
      <c r="Q304" s="5"/>
      <c r="R304" s="17" t="s">
        <v>42</v>
      </c>
      <c r="S304" s="5" t="s">
        <v>90</v>
      </c>
      <c r="T304" s="5" t="s">
        <v>61</v>
      </c>
      <c r="U304" s="5" t="s">
        <v>44</v>
      </c>
      <c r="V304" s="5" t="s">
        <v>44</v>
      </c>
      <c r="W304" s="5" t="s">
        <v>36</v>
      </c>
      <c r="X304" s="5" t="s">
        <v>312</v>
      </c>
      <c r="Y304" s="5" t="s">
        <v>47</v>
      </c>
      <c r="Z304" s="5" t="s">
        <v>35</v>
      </c>
      <c r="AA304" s="5" t="s">
        <v>48</v>
      </c>
      <c r="AB304" s="5" t="s">
        <v>1971</v>
      </c>
      <c r="AC304" s="6" t="s">
        <v>86</v>
      </c>
      <c r="AD304" s="6">
        <v>5716.0</v>
      </c>
    </row>
    <row r="305" ht="56.25" customHeight="1">
      <c r="A305" s="5" t="s">
        <v>1921</v>
      </c>
      <c r="B305" s="6" t="str">
        <f>IMAGE("https://storage.googleapis.com/acdb/wall-mounted/FtrDoorOrnamentPaw_Remake_7_0.png")</f>
        <v/>
      </c>
      <c r="C305" s="5" t="s">
        <v>69</v>
      </c>
      <c r="D305" s="5" t="s">
        <v>135</v>
      </c>
      <c r="E305" s="5" t="s">
        <v>34</v>
      </c>
      <c r="F305" s="5" t="s">
        <v>34</v>
      </c>
      <c r="G305" s="5" t="s">
        <v>35</v>
      </c>
      <c r="H305" s="5" t="s">
        <v>35</v>
      </c>
      <c r="I305" s="5" t="s">
        <v>36</v>
      </c>
      <c r="J305" s="6">
        <v>1.0</v>
      </c>
      <c r="K305" s="6" t="s">
        <v>37</v>
      </c>
      <c r="L305" s="6">
        <v>360.0</v>
      </c>
      <c r="M305" s="5" t="s">
        <v>69</v>
      </c>
      <c r="N305" s="5" t="s">
        <v>39</v>
      </c>
      <c r="O305" s="6" t="s">
        <v>179</v>
      </c>
      <c r="P305" s="5" t="s">
        <v>41</v>
      </c>
      <c r="Q305" s="5"/>
      <c r="R305" s="17" t="s">
        <v>42</v>
      </c>
      <c r="S305" s="5" t="s">
        <v>90</v>
      </c>
      <c r="T305" s="5" t="s">
        <v>61</v>
      </c>
      <c r="U305" s="5" t="s">
        <v>44</v>
      </c>
      <c r="V305" s="5" t="s">
        <v>44</v>
      </c>
      <c r="W305" s="5" t="s">
        <v>36</v>
      </c>
      <c r="X305" s="5" t="s">
        <v>312</v>
      </c>
      <c r="Y305" s="5" t="s">
        <v>47</v>
      </c>
      <c r="Z305" s="5" t="s">
        <v>35</v>
      </c>
      <c r="AA305" s="5" t="s">
        <v>48</v>
      </c>
      <c r="AB305" s="5" t="s">
        <v>1976</v>
      </c>
      <c r="AC305" s="6" t="s">
        <v>208</v>
      </c>
      <c r="AD305" s="6">
        <v>5716.0</v>
      </c>
    </row>
    <row r="306" ht="56.25" customHeight="1">
      <c r="A306" s="5" t="s">
        <v>1978</v>
      </c>
      <c r="B306" s="6" t="str">
        <f>IMAGE("https://storage.googleapis.com/acdb/wall-mounted/FtrClockPendulumWall.png")</f>
        <v/>
      </c>
      <c r="C306" s="5" t="s">
        <v>34</v>
      </c>
      <c r="D306" s="5" t="s">
        <v>34</v>
      </c>
      <c r="E306" s="5" t="s">
        <v>34</v>
      </c>
      <c r="F306" s="5" t="s">
        <v>34</v>
      </c>
      <c r="G306" s="5" t="s">
        <v>36</v>
      </c>
      <c r="H306" s="5" t="s">
        <v>36</v>
      </c>
      <c r="I306" s="5" t="s">
        <v>36</v>
      </c>
      <c r="J306" s="6" t="s">
        <v>34</v>
      </c>
      <c r="K306" s="6">
        <v>1900.0</v>
      </c>
      <c r="L306" s="6">
        <v>475.0</v>
      </c>
      <c r="M306" s="5" t="s">
        <v>39</v>
      </c>
      <c r="N306" s="5" t="s">
        <v>57</v>
      </c>
      <c r="O306" s="6" t="s">
        <v>179</v>
      </c>
      <c r="P306" s="5" t="s">
        <v>59</v>
      </c>
      <c r="Q306" s="5" t="s">
        <v>89</v>
      </c>
      <c r="R306" s="17" t="s">
        <v>42</v>
      </c>
      <c r="S306" s="5" t="s">
        <v>90</v>
      </c>
      <c r="T306" s="5" t="s">
        <v>44</v>
      </c>
      <c r="U306" s="5" t="s">
        <v>44</v>
      </c>
      <c r="V306" s="5" t="s">
        <v>44</v>
      </c>
      <c r="W306" s="5" t="s">
        <v>35</v>
      </c>
      <c r="X306" s="5" t="s">
        <v>260</v>
      </c>
      <c r="Y306" s="5" t="s">
        <v>47</v>
      </c>
      <c r="Z306" s="5" t="s">
        <v>36</v>
      </c>
      <c r="AA306" s="5" t="s">
        <v>64</v>
      </c>
      <c r="AB306" s="5" t="s">
        <v>1982</v>
      </c>
      <c r="AC306" s="6" t="s">
        <v>34</v>
      </c>
      <c r="AD306" s="6">
        <v>4106.0</v>
      </c>
    </row>
    <row r="307" ht="56.25" customHeight="1">
      <c r="A307" s="5" t="s">
        <v>1985</v>
      </c>
      <c r="B307" s="6" t="str">
        <f>IMAGE("https://storage.googleapis.com/acdb/wall-mounted/FtrPennant_Remake_0_0.png")</f>
        <v/>
      </c>
      <c r="C307" s="5" t="s">
        <v>475</v>
      </c>
      <c r="D307" s="5" t="s">
        <v>34</v>
      </c>
      <c r="E307" s="5" t="s">
        <v>34</v>
      </c>
      <c r="F307" s="5" t="s">
        <v>34</v>
      </c>
      <c r="G307" s="5" t="s">
        <v>36</v>
      </c>
      <c r="H307" s="5" t="s">
        <v>36</v>
      </c>
      <c r="I307" s="5" t="s">
        <v>36</v>
      </c>
      <c r="J307" s="6" t="s">
        <v>34</v>
      </c>
      <c r="K307" s="6">
        <v>1300.0</v>
      </c>
      <c r="L307" s="6">
        <v>325.0</v>
      </c>
      <c r="M307" s="5" t="s">
        <v>142</v>
      </c>
      <c r="N307" s="5" t="s">
        <v>68</v>
      </c>
      <c r="O307" s="6" t="s">
        <v>136</v>
      </c>
      <c r="P307" s="5" t="s">
        <v>59</v>
      </c>
      <c r="Q307" s="5" t="s">
        <v>122</v>
      </c>
      <c r="R307" s="17" t="s">
        <v>42</v>
      </c>
      <c r="S307" s="5" t="s">
        <v>62</v>
      </c>
      <c r="T307" s="5" t="s">
        <v>99</v>
      </c>
      <c r="U307" s="5" t="s">
        <v>44</v>
      </c>
      <c r="V307" s="5" t="s">
        <v>44</v>
      </c>
      <c r="W307" s="5" t="s">
        <v>36</v>
      </c>
      <c r="X307" s="5" t="s">
        <v>194</v>
      </c>
      <c r="Y307" s="5" t="s">
        <v>47</v>
      </c>
      <c r="Z307" s="5" t="s">
        <v>36</v>
      </c>
      <c r="AA307" s="5" t="s">
        <v>64</v>
      </c>
      <c r="AB307" s="5" t="s">
        <v>1990</v>
      </c>
      <c r="AC307" s="6" t="s">
        <v>50</v>
      </c>
      <c r="AD307" s="6">
        <v>3818.0</v>
      </c>
    </row>
    <row r="308" ht="56.25" customHeight="1">
      <c r="A308" s="5" t="s">
        <v>1985</v>
      </c>
      <c r="B308" s="6" t="str">
        <f>IMAGE("https://storage.googleapis.com/acdb/wall-mounted/FtrPennant_Remake_1_0.png")</f>
        <v/>
      </c>
      <c r="C308" s="5" t="s">
        <v>1994</v>
      </c>
      <c r="D308" s="5" t="s">
        <v>34</v>
      </c>
      <c r="E308" s="5" t="s">
        <v>34</v>
      </c>
      <c r="F308" s="5" t="s">
        <v>34</v>
      </c>
      <c r="G308" s="5" t="s">
        <v>36</v>
      </c>
      <c r="H308" s="5" t="s">
        <v>36</v>
      </c>
      <c r="I308" s="5" t="s">
        <v>36</v>
      </c>
      <c r="J308" s="6" t="s">
        <v>34</v>
      </c>
      <c r="K308" s="6">
        <v>1300.0</v>
      </c>
      <c r="L308" s="6">
        <v>325.0</v>
      </c>
      <c r="M308" s="5" t="s">
        <v>38</v>
      </c>
      <c r="N308" s="5" t="s">
        <v>52</v>
      </c>
      <c r="O308" s="6" t="s">
        <v>136</v>
      </c>
      <c r="P308" s="5" t="s">
        <v>59</v>
      </c>
      <c r="Q308" s="5" t="s">
        <v>122</v>
      </c>
      <c r="R308" s="17" t="s">
        <v>42</v>
      </c>
      <c r="S308" s="5" t="s">
        <v>62</v>
      </c>
      <c r="T308" s="5" t="s">
        <v>99</v>
      </c>
      <c r="U308" s="5" t="s">
        <v>44</v>
      </c>
      <c r="V308" s="5" t="s">
        <v>44</v>
      </c>
      <c r="W308" s="5" t="s">
        <v>36</v>
      </c>
      <c r="X308" s="5" t="s">
        <v>194</v>
      </c>
      <c r="Y308" s="5" t="s">
        <v>47</v>
      </c>
      <c r="Z308" s="5" t="s">
        <v>36</v>
      </c>
      <c r="AA308" s="5" t="s">
        <v>64</v>
      </c>
      <c r="AB308" s="5" t="s">
        <v>1997</v>
      </c>
      <c r="AC308" s="6" t="s">
        <v>56</v>
      </c>
      <c r="AD308" s="6">
        <v>3818.0</v>
      </c>
    </row>
    <row r="309" ht="56.25" customHeight="1">
      <c r="A309" s="5" t="s">
        <v>1985</v>
      </c>
      <c r="B309" s="6" t="str">
        <f>IMAGE("https://storage.googleapis.com/acdb/wall-mounted/FtrPennant_Remake_2_0.png")</f>
        <v/>
      </c>
      <c r="C309" s="5" t="s">
        <v>2000</v>
      </c>
      <c r="D309" s="5" t="s">
        <v>34</v>
      </c>
      <c r="E309" s="5" t="s">
        <v>34</v>
      </c>
      <c r="F309" s="5" t="s">
        <v>34</v>
      </c>
      <c r="G309" s="5" t="s">
        <v>36</v>
      </c>
      <c r="H309" s="5" t="s">
        <v>36</v>
      </c>
      <c r="I309" s="5" t="s">
        <v>36</v>
      </c>
      <c r="J309" s="6" t="s">
        <v>34</v>
      </c>
      <c r="K309" s="6">
        <v>1300.0</v>
      </c>
      <c r="L309" s="6">
        <v>325.0</v>
      </c>
      <c r="M309" s="5" t="s">
        <v>96</v>
      </c>
      <c r="N309" s="5" t="s">
        <v>57</v>
      </c>
      <c r="O309" s="6" t="s">
        <v>136</v>
      </c>
      <c r="P309" s="5" t="s">
        <v>59</v>
      </c>
      <c r="Q309" s="5" t="s">
        <v>122</v>
      </c>
      <c r="R309" s="17" t="s">
        <v>42</v>
      </c>
      <c r="S309" s="5" t="s">
        <v>62</v>
      </c>
      <c r="T309" s="5" t="s">
        <v>99</v>
      </c>
      <c r="U309" s="5" t="s">
        <v>44</v>
      </c>
      <c r="V309" s="5" t="s">
        <v>44</v>
      </c>
      <c r="W309" s="5" t="s">
        <v>36</v>
      </c>
      <c r="X309" s="5" t="s">
        <v>194</v>
      </c>
      <c r="Y309" s="5" t="s">
        <v>47</v>
      </c>
      <c r="Z309" s="5" t="s">
        <v>36</v>
      </c>
      <c r="AA309" s="5" t="s">
        <v>64</v>
      </c>
      <c r="AB309" s="5" t="s">
        <v>2003</v>
      </c>
      <c r="AC309" s="6" t="s">
        <v>67</v>
      </c>
      <c r="AD309" s="6">
        <v>3818.0</v>
      </c>
    </row>
    <row r="310" ht="56.25" customHeight="1">
      <c r="A310" s="5" t="s">
        <v>1985</v>
      </c>
      <c r="B310" s="6" t="str">
        <f>IMAGE("https://storage.googleapis.com/acdb/wall-mounted/FtrPennant_Remake_3_0.png")</f>
        <v/>
      </c>
      <c r="C310" s="5" t="s">
        <v>2007</v>
      </c>
      <c r="D310" s="5" t="s">
        <v>34</v>
      </c>
      <c r="E310" s="5" t="s">
        <v>34</v>
      </c>
      <c r="F310" s="5" t="s">
        <v>34</v>
      </c>
      <c r="G310" s="5" t="s">
        <v>36</v>
      </c>
      <c r="H310" s="5" t="s">
        <v>36</v>
      </c>
      <c r="I310" s="5" t="s">
        <v>36</v>
      </c>
      <c r="J310" s="6" t="s">
        <v>34</v>
      </c>
      <c r="K310" s="6">
        <v>1300.0</v>
      </c>
      <c r="L310" s="6">
        <v>325.0</v>
      </c>
      <c r="M310" s="5" t="s">
        <v>68</v>
      </c>
      <c r="N310" s="5" t="s">
        <v>57</v>
      </c>
      <c r="O310" s="6" t="s">
        <v>136</v>
      </c>
      <c r="P310" s="5" t="s">
        <v>59</v>
      </c>
      <c r="Q310" s="5" t="s">
        <v>122</v>
      </c>
      <c r="R310" s="17" t="s">
        <v>42</v>
      </c>
      <c r="S310" s="5" t="s">
        <v>62</v>
      </c>
      <c r="T310" s="5" t="s">
        <v>99</v>
      </c>
      <c r="U310" s="5" t="s">
        <v>44</v>
      </c>
      <c r="V310" s="5" t="s">
        <v>44</v>
      </c>
      <c r="W310" s="5" t="s">
        <v>36</v>
      </c>
      <c r="X310" s="5" t="s">
        <v>194</v>
      </c>
      <c r="Y310" s="5" t="s">
        <v>47</v>
      </c>
      <c r="Z310" s="5" t="s">
        <v>36</v>
      </c>
      <c r="AA310" s="5" t="s">
        <v>64</v>
      </c>
      <c r="AB310" s="5" t="s">
        <v>2011</v>
      </c>
      <c r="AC310" s="6" t="s">
        <v>71</v>
      </c>
      <c r="AD310" s="6">
        <v>3818.0</v>
      </c>
    </row>
    <row r="311" ht="56.25" customHeight="1">
      <c r="A311" s="5" t="s">
        <v>1985</v>
      </c>
      <c r="B311" s="6" t="str">
        <f>IMAGE("https://storage.googleapis.com/acdb/wall-mounted/FtrPennant_Remake_4_0.png")</f>
        <v/>
      </c>
      <c r="C311" s="5" t="s">
        <v>2013</v>
      </c>
      <c r="D311" s="5" t="s">
        <v>34</v>
      </c>
      <c r="E311" s="5" t="s">
        <v>34</v>
      </c>
      <c r="F311" s="5" t="s">
        <v>34</v>
      </c>
      <c r="G311" s="5" t="s">
        <v>36</v>
      </c>
      <c r="H311" s="5" t="s">
        <v>36</v>
      </c>
      <c r="I311" s="5" t="s">
        <v>36</v>
      </c>
      <c r="J311" s="6" t="s">
        <v>34</v>
      </c>
      <c r="K311" s="6">
        <v>1300.0</v>
      </c>
      <c r="L311" s="6">
        <v>325.0</v>
      </c>
      <c r="M311" s="5" t="s">
        <v>58</v>
      </c>
      <c r="N311" s="5" t="s">
        <v>114</v>
      </c>
      <c r="O311" s="6" t="s">
        <v>136</v>
      </c>
      <c r="P311" s="5" t="s">
        <v>59</v>
      </c>
      <c r="Q311" s="5" t="s">
        <v>122</v>
      </c>
      <c r="R311" s="17" t="s">
        <v>42</v>
      </c>
      <c r="S311" s="5" t="s">
        <v>62</v>
      </c>
      <c r="T311" s="5" t="s">
        <v>99</v>
      </c>
      <c r="U311" s="5" t="s">
        <v>44</v>
      </c>
      <c r="V311" s="5" t="s">
        <v>44</v>
      </c>
      <c r="W311" s="5" t="s">
        <v>36</v>
      </c>
      <c r="X311" s="5" t="s">
        <v>194</v>
      </c>
      <c r="Y311" s="5" t="s">
        <v>47</v>
      </c>
      <c r="Z311" s="5" t="s">
        <v>36</v>
      </c>
      <c r="AA311" s="5" t="s">
        <v>64</v>
      </c>
      <c r="AB311" s="5" t="s">
        <v>2017</v>
      </c>
      <c r="AC311" s="6" t="s">
        <v>75</v>
      </c>
      <c r="AD311" s="6">
        <v>3818.0</v>
      </c>
    </row>
    <row r="312" ht="56.25" customHeight="1">
      <c r="A312" s="5" t="s">
        <v>2018</v>
      </c>
      <c r="B312" s="6" t="str">
        <f>IMAGE("https://storage.googleapis.com/acdb/wall-mounted/FtrPotrack_Remake_0_0.png")</f>
        <v/>
      </c>
      <c r="C312" s="5" t="s">
        <v>836</v>
      </c>
      <c r="D312" s="5" t="s">
        <v>34</v>
      </c>
      <c r="E312" s="5" t="s">
        <v>34</v>
      </c>
      <c r="F312" s="5" t="s">
        <v>34</v>
      </c>
      <c r="G312" s="5" t="s">
        <v>36</v>
      </c>
      <c r="H312" s="5" t="s">
        <v>36</v>
      </c>
      <c r="I312" s="5" t="s">
        <v>36</v>
      </c>
      <c r="J312" s="6" t="s">
        <v>34</v>
      </c>
      <c r="K312" s="6">
        <v>3000.0</v>
      </c>
      <c r="L312" s="6">
        <v>750.0</v>
      </c>
      <c r="M312" s="5" t="s">
        <v>39</v>
      </c>
      <c r="N312" s="5" t="s">
        <v>57</v>
      </c>
      <c r="O312" s="6" t="s">
        <v>136</v>
      </c>
      <c r="P312" s="5" t="s">
        <v>59</v>
      </c>
      <c r="Q312" s="5" t="s">
        <v>89</v>
      </c>
      <c r="R312" s="17" t="s">
        <v>42</v>
      </c>
      <c r="S312" s="5" t="s">
        <v>159</v>
      </c>
      <c r="T312" s="5" t="s">
        <v>62</v>
      </c>
      <c r="U312" s="5" t="s">
        <v>44</v>
      </c>
      <c r="V312" s="5" t="s">
        <v>44</v>
      </c>
      <c r="W312" s="5" t="s">
        <v>36</v>
      </c>
      <c r="X312" s="5" t="s">
        <v>160</v>
      </c>
      <c r="Y312" s="5" t="s">
        <v>47</v>
      </c>
      <c r="Z312" s="5" t="s">
        <v>36</v>
      </c>
      <c r="AA312" s="5" t="s">
        <v>64</v>
      </c>
      <c r="AB312" s="5" t="s">
        <v>2023</v>
      </c>
      <c r="AC312" s="6" t="s">
        <v>50</v>
      </c>
      <c r="AD312" s="6">
        <v>928.0</v>
      </c>
    </row>
    <row r="313" ht="56.25" customHeight="1">
      <c r="A313" s="5" t="s">
        <v>2018</v>
      </c>
      <c r="B313" s="6" t="str">
        <f>IMAGE("https://storage.googleapis.com/acdb/wall-mounted/FtrPotrack_Remake_1_0.png")</f>
        <v/>
      </c>
      <c r="C313" s="5" t="s">
        <v>1622</v>
      </c>
      <c r="D313" s="5" t="s">
        <v>34</v>
      </c>
      <c r="E313" s="5" t="s">
        <v>34</v>
      </c>
      <c r="F313" s="5" t="s">
        <v>34</v>
      </c>
      <c r="G313" s="5" t="s">
        <v>36</v>
      </c>
      <c r="H313" s="5" t="s">
        <v>36</v>
      </c>
      <c r="I313" s="5" t="s">
        <v>36</v>
      </c>
      <c r="J313" s="6" t="s">
        <v>34</v>
      </c>
      <c r="K313" s="6">
        <v>3000.0</v>
      </c>
      <c r="L313" s="6">
        <v>750.0</v>
      </c>
      <c r="M313" s="5" t="s">
        <v>95</v>
      </c>
      <c r="N313" s="5" t="s">
        <v>95</v>
      </c>
      <c r="O313" s="6" t="s">
        <v>136</v>
      </c>
      <c r="P313" s="5" t="s">
        <v>59</v>
      </c>
      <c r="Q313" s="5" t="s">
        <v>89</v>
      </c>
      <c r="R313" s="17" t="s">
        <v>42</v>
      </c>
      <c r="S313" s="5" t="s">
        <v>159</v>
      </c>
      <c r="T313" s="5" t="s">
        <v>62</v>
      </c>
      <c r="U313" s="5" t="s">
        <v>44</v>
      </c>
      <c r="V313" s="5" t="s">
        <v>44</v>
      </c>
      <c r="W313" s="5" t="s">
        <v>36</v>
      </c>
      <c r="X313" s="5" t="s">
        <v>160</v>
      </c>
      <c r="Y313" s="5" t="s">
        <v>47</v>
      </c>
      <c r="Z313" s="5" t="s">
        <v>36</v>
      </c>
      <c r="AA313" s="5" t="s">
        <v>64</v>
      </c>
      <c r="AB313" s="5" t="s">
        <v>2029</v>
      </c>
      <c r="AC313" s="6" t="s">
        <v>56</v>
      </c>
      <c r="AD313" s="6">
        <v>928.0</v>
      </c>
    </row>
    <row r="314" ht="56.25" customHeight="1">
      <c r="A314" s="5" t="s">
        <v>2018</v>
      </c>
      <c r="B314" s="6" t="str">
        <f>IMAGE("https://storage.googleapis.com/acdb/wall-mounted/FtrPotrack_Remake_2_0.png")</f>
        <v/>
      </c>
      <c r="C314" s="5" t="s">
        <v>1167</v>
      </c>
      <c r="D314" s="5" t="s">
        <v>34</v>
      </c>
      <c r="E314" s="5" t="s">
        <v>34</v>
      </c>
      <c r="F314" s="5" t="s">
        <v>34</v>
      </c>
      <c r="G314" s="5" t="s">
        <v>36</v>
      </c>
      <c r="H314" s="5" t="s">
        <v>36</v>
      </c>
      <c r="I314" s="5" t="s">
        <v>36</v>
      </c>
      <c r="J314" s="6" t="s">
        <v>34</v>
      </c>
      <c r="K314" s="6">
        <v>3000.0</v>
      </c>
      <c r="L314" s="6">
        <v>750.0</v>
      </c>
      <c r="M314" s="5" t="s">
        <v>114</v>
      </c>
      <c r="N314" s="5" t="s">
        <v>142</v>
      </c>
      <c r="O314" s="6" t="s">
        <v>136</v>
      </c>
      <c r="P314" s="5" t="s">
        <v>59</v>
      </c>
      <c r="Q314" s="5" t="s">
        <v>89</v>
      </c>
      <c r="R314" s="17" t="s">
        <v>42</v>
      </c>
      <c r="S314" s="5" t="s">
        <v>159</v>
      </c>
      <c r="T314" s="5" t="s">
        <v>62</v>
      </c>
      <c r="U314" s="5" t="s">
        <v>44</v>
      </c>
      <c r="V314" s="5" t="s">
        <v>44</v>
      </c>
      <c r="W314" s="5" t="s">
        <v>36</v>
      </c>
      <c r="X314" s="5" t="s">
        <v>160</v>
      </c>
      <c r="Y314" s="5" t="s">
        <v>47</v>
      </c>
      <c r="Z314" s="5" t="s">
        <v>36</v>
      </c>
      <c r="AA314" s="5" t="s">
        <v>64</v>
      </c>
      <c r="AB314" s="5" t="s">
        <v>2036</v>
      </c>
      <c r="AC314" s="6" t="s">
        <v>67</v>
      </c>
      <c r="AD314" s="6">
        <v>928.0</v>
      </c>
    </row>
    <row r="315" ht="56.25" customHeight="1">
      <c r="A315" s="5" t="s">
        <v>2037</v>
      </c>
      <c r="B315" s="6" t="str">
        <f>IMAGE("https://storage.googleapis.com/acdb/wall-mounted/FtrLeafWall_Remake_0_0.png")</f>
        <v/>
      </c>
      <c r="C315" s="5" t="s">
        <v>1857</v>
      </c>
      <c r="D315" s="5" t="s">
        <v>135</v>
      </c>
      <c r="E315" s="5" t="s">
        <v>34</v>
      </c>
      <c r="F315" s="5" t="s">
        <v>34</v>
      </c>
      <c r="G315" s="5" t="s">
        <v>35</v>
      </c>
      <c r="H315" s="5" t="s">
        <v>35</v>
      </c>
      <c r="I315" s="5" t="s">
        <v>36</v>
      </c>
      <c r="J315" s="6">
        <v>2.0</v>
      </c>
      <c r="K315" s="6" t="s">
        <v>37</v>
      </c>
      <c r="L315" s="6">
        <v>1100.0</v>
      </c>
      <c r="M315" s="5" t="s">
        <v>96</v>
      </c>
      <c r="N315" s="5" t="s">
        <v>95</v>
      </c>
      <c r="O315" s="6" t="s">
        <v>179</v>
      </c>
      <c r="P315" s="5" t="s">
        <v>41</v>
      </c>
      <c r="Q315" s="5"/>
      <c r="R315" s="17" t="s">
        <v>42</v>
      </c>
      <c r="S315" s="5" t="s">
        <v>90</v>
      </c>
      <c r="T315" s="5" t="s">
        <v>44</v>
      </c>
      <c r="U315" s="5" t="s">
        <v>44</v>
      </c>
      <c r="V315" s="5" t="s">
        <v>44</v>
      </c>
      <c r="W315" s="5" t="s">
        <v>36</v>
      </c>
      <c r="X315" s="5" t="s">
        <v>244</v>
      </c>
      <c r="Y315" s="5" t="s">
        <v>47</v>
      </c>
      <c r="Z315" s="5" t="s">
        <v>36</v>
      </c>
      <c r="AA315" s="5" t="s">
        <v>48</v>
      </c>
      <c r="AB315" s="5" t="s">
        <v>2044</v>
      </c>
      <c r="AC315" s="6" t="s">
        <v>50</v>
      </c>
      <c r="AD315" s="6">
        <v>3785.0</v>
      </c>
    </row>
    <row r="316" ht="56.25" customHeight="1">
      <c r="A316" s="5" t="s">
        <v>2037</v>
      </c>
      <c r="B316" s="6" t="str">
        <f>IMAGE("https://storage.googleapis.com/acdb/wall-mounted/FtrLeafWall_Remake_1_0.png")</f>
        <v/>
      </c>
      <c r="C316" s="5" t="s">
        <v>114</v>
      </c>
      <c r="D316" s="5" t="s">
        <v>135</v>
      </c>
      <c r="E316" s="5" t="s">
        <v>34</v>
      </c>
      <c r="F316" s="5" t="s">
        <v>34</v>
      </c>
      <c r="G316" s="5" t="s">
        <v>35</v>
      </c>
      <c r="H316" s="5" t="s">
        <v>35</v>
      </c>
      <c r="I316" s="5" t="s">
        <v>36</v>
      </c>
      <c r="J316" s="6">
        <v>2.0</v>
      </c>
      <c r="K316" s="6" t="s">
        <v>37</v>
      </c>
      <c r="L316" s="6">
        <v>1100.0</v>
      </c>
      <c r="M316" s="5" t="s">
        <v>114</v>
      </c>
      <c r="N316" s="5" t="s">
        <v>39</v>
      </c>
      <c r="O316" s="6" t="s">
        <v>179</v>
      </c>
      <c r="P316" s="5" t="s">
        <v>41</v>
      </c>
      <c r="Q316" s="5"/>
      <c r="R316" s="17" t="s">
        <v>42</v>
      </c>
      <c r="S316" s="5" t="s">
        <v>90</v>
      </c>
      <c r="T316" s="5" t="s">
        <v>44</v>
      </c>
      <c r="U316" s="5" t="s">
        <v>44</v>
      </c>
      <c r="V316" s="5" t="s">
        <v>44</v>
      </c>
      <c r="W316" s="5" t="s">
        <v>36</v>
      </c>
      <c r="X316" s="5" t="s">
        <v>244</v>
      </c>
      <c r="Y316" s="5" t="s">
        <v>47</v>
      </c>
      <c r="Z316" s="5" t="s">
        <v>36</v>
      </c>
      <c r="AA316" s="5" t="s">
        <v>48</v>
      </c>
      <c r="AB316" s="5" t="s">
        <v>2049</v>
      </c>
      <c r="AC316" s="6" t="s">
        <v>56</v>
      </c>
      <c r="AD316" s="6">
        <v>3785.0</v>
      </c>
    </row>
    <row r="317" ht="56.25" customHeight="1">
      <c r="A317" s="5" t="s">
        <v>2037</v>
      </c>
      <c r="B317" s="6" t="str">
        <f>IMAGE("https://storage.googleapis.com/acdb/wall-mounted/FtrLeafWall_Remake_2_0.png")</f>
        <v/>
      </c>
      <c r="C317" s="5" t="s">
        <v>52</v>
      </c>
      <c r="D317" s="5" t="s">
        <v>135</v>
      </c>
      <c r="E317" s="5" t="s">
        <v>34</v>
      </c>
      <c r="F317" s="5" t="s">
        <v>34</v>
      </c>
      <c r="G317" s="5" t="s">
        <v>35</v>
      </c>
      <c r="H317" s="5" t="s">
        <v>35</v>
      </c>
      <c r="I317" s="5" t="s">
        <v>36</v>
      </c>
      <c r="J317" s="6">
        <v>2.0</v>
      </c>
      <c r="K317" s="6" t="s">
        <v>37</v>
      </c>
      <c r="L317" s="6">
        <v>1100.0</v>
      </c>
      <c r="M317" s="5" t="s">
        <v>52</v>
      </c>
      <c r="N317" s="5" t="s">
        <v>54</v>
      </c>
      <c r="O317" s="6" t="s">
        <v>179</v>
      </c>
      <c r="P317" s="5" t="s">
        <v>41</v>
      </c>
      <c r="Q317" s="5"/>
      <c r="R317" s="17" t="s">
        <v>42</v>
      </c>
      <c r="S317" s="5" t="s">
        <v>90</v>
      </c>
      <c r="T317" s="5" t="s">
        <v>44</v>
      </c>
      <c r="U317" s="5" t="s">
        <v>44</v>
      </c>
      <c r="V317" s="5" t="s">
        <v>44</v>
      </c>
      <c r="W317" s="5" t="s">
        <v>36</v>
      </c>
      <c r="X317" s="5" t="s">
        <v>244</v>
      </c>
      <c r="Y317" s="5" t="s">
        <v>47</v>
      </c>
      <c r="Z317" s="5" t="s">
        <v>36</v>
      </c>
      <c r="AA317" s="5" t="s">
        <v>48</v>
      </c>
      <c r="AB317" s="5" t="s">
        <v>2053</v>
      </c>
      <c r="AC317" s="6" t="s">
        <v>67</v>
      </c>
      <c r="AD317" s="6">
        <v>3785.0</v>
      </c>
    </row>
    <row r="318" ht="56.25" customHeight="1">
      <c r="A318" s="5" t="s">
        <v>2037</v>
      </c>
      <c r="B318" s="6" t="str">
        <f>IMAGE("https://storage.googleapis.com/acdb/wall-mounted/FtrLeafWall_Remake_3_0.png")</f>
        <v/>
      </c>
      <c r="C318" s="5" t="s">
        <v>96</v>
      </c>
      <c r="D318" s="5" t="s">
        <v>135</v>
      </c>
      <c r="E318" s="5" t="s">
        <v>34</v>
      </c>
      <c r="F318" s="5" t="s">
        <v>34</v>
      </c>
      <c r="G318" s="5" t="s">
        <v>35</v>
      </c>
      <c r="H318" s="5" t="s">
        <v>35</v>
      </c>
      <c r="I318" s="5" t="s">
        <v>36</v>
      </c>
      <c r="J318" s="6">
        <v>2.0</v>
      </c>
      <c r="K318" s="6" t="s">
        <v>37</v>
      </c>
      <c r="L318" s="6">
        <v>1100.0</v>
      </c>
      <c r="M318" s="5" t="s">
        <v>96</v>
      </c>
      <c r="N318" s="5" t="s">
        <v>68</v>
      </c>
      <c r="O318" s="6" t="s">
        <v>179</v>
      </c>
      <c r="P318" s="5" t="s">
        <v>41</v>
      </c>
      <c r="Q318" s="5"/>
      <c r="R318" s="17" t="s">
        <v>42</v>
      </c>
      <c r="S318" s="5" t="s">
        <v>90</v>
      </c>
      <c r="T318" s="5" t="s">
        <v>44</v>
      </c>
      <c r="U318" s="5" t="s">
        <v>44</v>
      </c>
      <c r="V318" s="5" t="s">
        <v>44</v>
      </c>
      <c r="W318" s="5" t="s">
        <v>36</v>
      </c>
      <c r="X318" s="5" t="s">
        <v>244</v>
      </c>
      <c r="Y318" s="5" t="s">
        <v>47</v>
      </c>
      <c r="Z318" s="5" t="s">
        <v>36</v>
      </c>
      <c r="AA318" s="5" t="s">
        <v>48</v>
      </c>
      <c r="AB318" s="5" t="s">
        <v>2058</v>
      </c>
      <c r="AC318" s="6" t="s">
        <v>71</v>
      </c>
      <c r="AD318" s="6">
        <v>3785.0</v>
      </c>
    </row>
    <row r="319" ht="56.25" customHeight="1">
      <c r="A319" s="5" t="s">
        <v>2060</v>
      </c>
      <c r="B319" s="6" t="str">
        <f>IMAGE("https://storage.googleapis.com/acdb/wall-mounted/FtrDoorOrnamentWreathCosmosMix.png")</f>
        <v/>
      </c>
      <c r="C319" s="5" t="s">
        <v>34</v>
      </c>
      <c r="D319" s="5" t="s">
        <v>34</v>
      </c>
      <c r="E319" s="5" t="s">
        <v>34</v>
      </c>
      <c r="F319" s="5" t="s">
        <v>34</v>
      </c>
      <c r="G319" s="5" t="s">
        <v>35</v>
      </c>
      <c r="H319" s="5" t="s">
        <v>36</v>
      </c>
      <c r="I319" s="5" t="s">
        <v>36</v>
      </c>
      <c r="J319" s="6" t="s">
        <v>34</v>
      </c>
      <c r="K319" s="6" t="s">
        <v>37</v>
      </c>
      <c r="L319" s="6">
        <v>1200.0</v>
      </c>
      <c r="M319" s="5" t="s">
        <v>69</v>
      </c>
      <c r="N319" s="5" t="s">
        <v>142</v>
      </c>
      <c r="O319" s="6" t="s">
        <v>179</v>
      </c>
      <c r="P319" s="5" t="s">
        <v>41</v>
      </c>
      <c r="Q319" s="5"/>
      <c r="R319" s="17" t="s">
        <v>42</v>
      </c>
      <c r="S319" s="5" t="s">
        <v>61</v>
      </c>
      <c r="T319" s="5" t="s">
        <v>44</v>
      </c>
      <c r="U319" s="5" t="s">
        <v>311</v>
      </c>
      <c r="V319" s="5" t="s">
        <v>44</v>
      </c>
      <c r="W319" s="5" t="s">
        <v>36</v>
      </c>
      <c r="X319" s="5" t="s">
        <v>312</v>
      </c>
      <c r="Y319" s="5" t="s">
        <v>47</v>
      </c>
      <c r="Z319" s="5" t="s">
        <v>35</v>
      </c>
      <c r="AA319" s="5" t="s">
        <v>48</v>
      </c>
      <c r="AB319" s="5" t="s">
        <v>2063</v>
      </c>
      <c r="AC319" s="6" t="s">
        <v>34</v>
      </c>
      <c r="AD319" s="6">
        <v>5745.0</v>
      </c>
    </row>
    <row r="320" ht="56.25" customHeight="1">
      <c r="A320" s="5" t="s">
        <v>2064</v>
      </c>
      <c r="B320" s="6" t="str">
        <f>IMAGE("https://storage.googleapis.com/acdb/wall-mounted/FtrDoorOrnamentWreathTulipMix.png")</f>
        <v/>
      </c>
      <c r="C320" s="5" t="s">
        <v>34</v>
      </c>
      <c r="D320" s="5" t="s">
        <v>34</v>
      </c>
      <c r="E320" s="5" t="s">
        <v>34</v>
      </c>
      <c r="F320" s="5" t="s">
        <v>34</v>
      </c>
      <c r="G320" s="5" t="s">
        <v>35</v>
      </c>
      <c r="H320" s="5" t="s">
        <v>36</v>
      </c>
      <c r="I320" s="5" t="s">
        <v>36</v>
      </c>
      <c r="J320" s="6" t="s">
        <v>34</v>
      </c>
      <c r="K320" s="6" t="s">
        <v>37</v>
      </c>
      <c r="L320" s="6">
        <v>2400.0</v>
      </c>
      <c r="M320" s="5" t="s">
        <v>69</v>
      </c>
      <c r="N320" s="5" t="s">
        <v>142</v>
      </c>
      <c r="O320" s="6" t="s">
        <v>179</v>
      </c>
      <c r="P320" s="5" t="s">
        <v>41</v>
      </c>
      <c r="Q320" s="5"/>
      <c r="R320" s="17" t="s">
        <v>42</v>
      </c>
      <c r="S320" s="5" t="s">
        <v>61</v>
      </c>
      <c r="T320" s="5" t="s">
        <v>44</v>
      </c>
      <c r="U320" s="5" t="s">
        <v>311</v>
      </c>
      <c r="V320" s="5" t="s">
        <v>44</v>
      </c>
      <c r="W320" s="5" t="s">
        <v>36</v>
      </c>
      <c r="X320" s="5" t="s">
        <v>312</v>
      </c>
      <c r="Y320" s="5" t="s">
        <v>47</v>
      </c>
      <c r="Z320" s="5" t="s">
        <v>35</v>
      </c>
      <c r="AA320" s="5" t="s">
        <v>48</v>
      </c>
      <c r="AB320" s="5" t="s">
        <v>2071</v>
      </c>
      <c r="AC320" s="6" t="s">
        <v>34</v>
      </c>
      <c r="AD320" s="6">
        <v>5751.0</v>
      </c>
    </row>
    <row r="321" ht="56.25" customHeight="1">
      <c r="A321" s="5" t="s">
        <v>2072</v>
      </c>
      <c r="B321" s="6" t="str">
        <f>IMAGE("https://storage.googleapis.com/acdb/wall-mounted/FtrDoorOrnamentWreathHyacinthRare.png")</f>
        <v/>
      </c>
      <c r="C321" s="5" t="s">
        <v>34</v>
      </c>
      <c r="D321" s="5" t="s">
        <v>34</v>
      </c>
      <c r="E321" s="5" t="s">
        <v>34</v>
      </c>
      <c r="F321" s="5" t="s">
        <v>34</v>
      </c>
      <c r="G321" s="5" t="s">
        <v>35</v>
      </c>
      <c r="H321" s="5" t="s">
        <v>36</v>
      </c>
      <c r="I321" s="5" t="s">
        <v>36</v>
      </c>
      <c r="J321" s="6" t="s">
        <v>34</v>
      </c>
      <c r="K321" s="6" t="s">
        <v>37</v>
      </c>
      <c r="L321" s="6">
        <v>4800.0</v>
      </c>
      <c r="M321" s="5" t="s">
        <v>106</v>
      </c>
      <c r="N321" s="5" t="s">
        <v>106</v>
      </c>
      <c r="O321" s="6" t="s">
        <v>179</v>
      </c>
      <c r="P321" s="5" t="s">
        <v>41</v>
      </c>
      <c r="Q321" s="5"/>
      <c r="R321" s="17" t="s">
        <v>42</v>
      </c>
      <c r="S321" s="5" t="s">
        <v>61</v>
      </c>
      <c r="T321" s="5" t="s">
        <v>44</v>
      </c>
      <c r="U321" s="5" t="s">
        <v>311</v>
      </c>
      <c r="V321" s="5" t="s">
        <v>44</v>
      </c>
      <c r="W321" s="5" t="s">
        <v>36</v>
      </c>
      <c r="X321" s="5" t="s">
        <v>312</v>
      </c>
      <c r="Y321" s="5" t="s">
        <v>47</v>
      </c>
      <c r="Z321" s="5" t="s">
        <v>35</v>
      </c>
      <c r="AA321" s="5" t="s">
        <v>48</v>
      </c>
      <c r="AB321" s="5" t="s">
        <v>2080</v>
      </c>
      <c r="AC321" s="6" t="s">
        <v>34</v>
      </c>
      <c r="AD321" s="6">
        <v>5769.0</v>
      </c>
    </row>
    <row r="322" ht="56.25" customHeight="1">
      <c r="A322" s="5" t="s">
        <v>2082</v>
      </c>
      <c r="B322" s="6" t="str">
        <f>IMAGE("https://storage.googleapis.com/acdb/wall-mounted/FtrCentralheating.png")</f>
        <v/>
      </c>
      <c r="C322" s="5" t="s">
        <v>34</v>
      </c>
      <c r="D322" s="5" t="s">
        <v>34</v>
      </c>
      <c r="E322" s="5" t="s">
        <v>34</v>
      </c>
      <c r="F322" s="5" t="s">
        <v>34</v>
      </c>
      <c r="G322" s="5" t="s">
        <v>36</v>
      </c>
      <c r="H322" s="5" t="s">
        <v>36</v>
      </c>
      <c r="I322" s="5" t="s">
        <v>36</v>
      </c>
      <c r="J322" s="6" t="s">
        <v>34</v>
      </c>
      <c r="K322" s="6">
        <v>1300.0</v>
      </c>
      <c r="L322" s="6">
        <v>325.0</v>
      </c>
      <c r="M322" s="5" t="s">
        <v>57</v>
      </c>
      <c r="N322" s="5" t="s">
        <v>57</v>
      </c>
      <c r="O322" s="6" t="s">
        <v>179</v>
      </c>
      <c r="P322" s="5" t="s">
        <v>59</v>
      </c>
      <c r="Q322" s="5" t="s">
        <v>122</v>
      </c>
      <c r="R322" s="17" t="s">
        <v>42</v>
      </c>
      <c r="S322" s="5" t="s">
        <v>90</v>
      </c>
      <c r="T322" s="5" t="s">
        <v>130</v>
      </c>
      <c r="U322" s="5" t="s">
        <v>44</v>
      </c>
      <c r="V322" s="5" t="s">
        <v>44</v>
      </c>
      <c r="W322" s="5" t="s">
        <v>36</v>
      </c>
      <c r="X322" s="5" t="s">
        <v>2087</v>
      </c>
      <c r="Y322" s="5" t="s">
        <v>47</v>
      </c>
      <c r="Z322" s="5" t="s">
        <v>36</v>
      </c>
      <c r="AA322" s="5" t="s">
        <v>64</v>
      </c>
      <c r="AB322" s="5" t="s">
        <v>2090</v>
      </c>
      <c r="AC322" s="6" t="s">
        <v>34</v>
      </c>
      <c r="AD322" s="6">
        <v>4028.0</v>
      </c>
    </row>
    <row r="323" ht="56.25" customHeight="1">
      <c r="A323" s="5" t="s">
        <v>2091</v>
      </c>
      <c r="B323" s="6" t="str">
        <f>IMAGE("https://storage.googleapis.com/acdb/wall-mounted/FtrDoorOrnamentWreathRose.png")</f>
        <v/>
      </c>
      <c r="C323" s="5" t="s">
        <v>34</v>
      </c>
      <c r="D323" s="5" t="s">
        <v>34</v>
      </c>
      <c r="E323" s="5" t="s">
        <v>34</v>
      </c>
      <c r="F323" s="5" t="s">
        <v>34</v>
      </c>
      <c r="G323" s="5" t="s">
        <v>35</v>
      </c>
      <c r="H323" s="5" t="s">
        <v>36</v>
      </c>
      <c r="I323" s="5" t="s">
        <v>36</v>
      </c>
      <c r="J323" s="6" t="s">
        <v>34</v>
      </c>
      <c r="K323" s="6" t="s">
        <v>37</v>
      </c>
      <c r="L323" s="6">
        <v>720.0</v>
      </c>
      <c r="M323" s="5" t="s">
        <v>52</v>
      </c>
      <c r="N323" s="5" t="s">
        <v>114</v>
      </c>
      <c r="O323" s="6" t="s">
        <v>179</v>
      </c>
      <c r="P323" s="5" t="s">
        <v>41</v>
      </c>
      <c r="Q323" s="5"/>
      <c r="R323" s="17" t="s">
        <v>42</v>
      </c>
      <c r="S323" s="5" t="s">
        <v>61</v>
      </c>
      <c r="T323" s="5" t="s">
        <v>44</v>
      </c>
      <c r="U323" s="5" t="s">
        <v>311</v>
      </c>
      <c r="V323" s="5" t="s">
        <v>44</v>
      </c>
      <c r="W323" s="5" t="s">
        <v>36</v>
      </c>
      <c r="X323" s="5" t="s">
        <v>312</v>
      </c>
      <c r="Y323" s="5" t="s">
        <v>47</v>
      </c>
      <c r="Z323" s="5" t="s">
        <v>35</v>
      </c>
      <c r="AA323" s="5" t="s">
        <v>48</v>
      </c>
      <c r="AB323" s="5" t="s">
        <v>2098</v>
      </c>
      <c r="AC323" s="6" t="s">
        <v>34</v>
      </c>
      <c r="AD323" s="6">
        <v>5437.0</v>
      </c>
    </row>
    <row r="324" ht="56.25" customHeight="1">
      <c r="A324" s="5" t="s">
        <v>2102</v>
      </c>
      <c r="B324" s="6" t="str">
        <f>IMAGE("https://storage.googleapis.com/acdb/wall-mounted/FtrZodiacSagittarius.png")</f>
        <v/>
      </c>
      <c r="C324" s="5" t="s">
        <v>34</v>
      </c>
      <c r="D324" s="5" t="s">
        <v>34</v>
      </c>
      <c r="E324" s="5" t="s">
        <v>34</v>
      </c>
      <c r="F324" s="5" t="s">
        <v>34</v>
      </c>
      <c r="G324" s="5" t="s">
        <v>35</v>
      </c>
      <c r="H324" s="5" t="s">
        <v>36</v>
      </c>
      <c r="I324" s="5" t="s">
        <v>36</v>
      </c>
      <c r="J324" s="6" t="s">
        <v>34</v>
      </c>
      <c r="K324" s="6" t="s">
        <v>37</v>
      </c>
      <c r="L324" s="6">
        <v>21750.0</v>
      </c>
      <c r="M324" s="5" t="s">
        <v>39</v>
      </c>
      <c r="N324" s="5" t="s">
        <v>114</v>
      </c>
      <c r="O324" s="6" t="s">
        <v>179</v>
      </c>
      <c r="P324" s="5" t="s">
        <v>41</v>
      </c>
      <c r="Q324" s="5"/>
      <c r="R324" s="17" t="s">
        <v>42</v>
      </c>
      <c r="S324" s="5" t="s">
        <v>116</v>
      </c>
      <c r="T324" s="5" t="s">
        <v>44</v>
      </c>
      <c r="U324" s="5" t="s">
        <v>349</v>
      </c>
      <c r="V324" s="5" t="s">
        <v>44</v>
      </c>
      <c r="W324" s="5" t="s">
        <v>36</v>
      </c>
      <c r="X324" s="5" t="s">
        <v>356</v>
      </c>
      <c r="Y324" s="5" t="s">
        <v>47</v>
      </c>
      <c r="Z324" s="5" t="s">
        <v>36</v>
      </c>
      <c r="AA324" s="5" t="s">
        <v>48</v>
      </c>
      <c r="AB324" s="5" t="s">
        <v>2107</v>
      </c>
      <c r="AC324" s="6" t="s">
        <v>34</v>
      </c>
      <c r="AD324" s="6">
        <v>5958.0</v>
      </c>
    </row>
    <row r="325" ht="56.25" customHeight="1">
      <c r="A325" s="5" t="s">
        <v>2108</v>
      </c>
      <c r="B325" s="6" t="str">
        <f>IMAGE("https://storage.googleapis.com/acdb/wall-mounted/FtrDoorOrnamentWreathShell.png")</f>
        <v/>
      </c>
      <c r="C325" s="5" t="s">
        <v>34</v>
      </c>
      <c r="D325" s="5" t="s">
        <v>34</v>
      </c>
      <c r="E325" s="5" t="s">
        <v>34</v>
      </c>
      <c r="F325" s="5" t="s">
        <v>34</v>
      </c>
      <c r="G325" s="5" t="s">
        <v>35</v>
      </c>
      <c r="H325" s="5" t="s">
        <v>36</v>
      </c>
      <c r="I325" s="5" t="s">
        <v>36</v>
      </c>
      <c r="J325" s="6" t="s">
        <v>34</v>
      </c>
      <c r="K325" s="6" t="s">
        <v>37</v>
      </c>
      <c r="L325" s="6">
        <v>4720.0</v>
      </c>
      <c r="M325" s="5" t="s">
        <v>57</v>
      </c>
      <c r="N325" s="5" t="s">
        <v>38</v>
      </c>
      <c r="O325" s="6" t="s">
        <v>179</v>
      </c>
      <c r="P325" s="5" t="s">
        <v>41</v>
      </c>
      <c r="Q325" s="5"/>
      <c r="R325" s="17" t="s">
        <v>42</v>
      </c>
      <c r="S325" s="5" t="s">
        <v>138</v>
      </c>
      <c r="T325" s="5" t="s">
        <v>44</v>
      </c>
      <c r="U325" s="5" t="s">
        <v>2112</v>
      </c>
      <c r="V325" s="5" t="s">
        <v>44</v>
      </c>
      <c r="W325" s="5" t="s">
        <v>36</v>
      </c>
      <c r="X325" s="5" t="s">
        <v>312</v>
      </c>
      <c r="Y325" s="5" t="s">
        <v>47</v>
      </c>
      <c r="Z325" s="5" t="s">
        <v>35</v>
      </c>
      <c r="AA325" s="5" t="s">
        <v>48</v>
      </c>
      <c r="AB325" s="5" t="s">
        <v>2113</v>
      </c>
      <c r="AC325" s="6" t="s">
        <v>34</v>
      </c>
      <c r="AD325" s="6">
        <v>4376.0</v>
      </c>
    </row>
    <row r="326" ht="56.25" customHeight="1">
      <c r="A326" s="5" t="s">
        <v>2114</v>
      </c>
      <c r="B326" s="6" t="str">
        <f>IMAGE("https://storage.googleapis.com/acdb/wall-mounted/FtrShowerWall_Remake_0_0.png")</f>
        <v/>
      </c>
      <c r="C326" s="5" t="s">
        <v>146</v>
      </c>
      <c r="D326" s="5" t="s">
        <v>34</v>
      </c>
      <c r="E326" s="5" t="s">
        <v>34</v>
      </c>
      <c r="F326" s="5" t="s">
        <v>34</v>
      </c>
      <c r="G326" s="5" t="s">
        <v>36</v>
      </c>
      <c r="H326" s="5" t="s">
        <v>36</v>
      </c>
      <c r="I326" s="5" t="s">
        <v>36</v>
      </c>
      <c r="J326" s="6" t="s">
        <v>34</v>
      </c>
      <c r="K326" s="6">
        <v>1800.0</v>
      </c>
      <c r="L326" s="6">
        <v>450.0</v>
      </c>
      <c r="M326" s="5" t="s">
        <v>95</v>
      </c>
      <c r="N326" s="5" t="s">
        <v>54</v>
      </c>
      <c r="O326" s="6" t="s">
        <v>431</v>
      </c>
      <c r="P326" s="5" t="s">
        <v>59</v>
      </c>
      <c r="Q326" s="5" t="s">
        <v>122</v>
      </c>
      <c r="R326" s="17" t="s">
        <v>42</v>
      </c>
      <c r="S326" s="5" t="s">
        <v>288</v>
      </c>
      <c r="T326" s="5" t="s">
        <v>44</v>
      </c>
      <c r="U326" s="5" t="s">
        <v>44</v>
      </c>
      <c r="V326" s="5" t="s">
        <v>44</v>
      </c>
      <c r="W326" s="5" t="s">
        <v>35</v>
      </c>
      <c r="X326" s="5" t="s">
        <v>1968</v>
      </c>
      <c r="Y326" s="5" t="s">
        <v>47</v>
      </c>
      <c r="Z326" s="5" t="s">
        <v>36</v>
      </c>
      <c r="AA326" s="5" t="s">
        <v>64</v>
      </c>
      <c r="AB326" s="5" t="s">
        <v>2118</v>
      </c>
      <c r="AC326" s="6" t="s">
        <v>50</v>
      </c>
      <c r="AD326" s="6">
        <v>4017.0</v>
      </c>
    </row>
    <row r="327" ht="56.25" customHeight="1">
      <c r="A327" s="5" t="s">
        <v>2114</v>
      </c>
      <c r="B327" s="6" t="str">
        <f>IMAGE("https://storage.googleapis.com/acdb/wall-mounted/FtrShowerWall_Remake_1_0.png")</f>
        <v/>
      </c>
      <c r="C327" s="5" t="s">
        <v>151</v>
      </c>
      <c r="D327" s="5" t="s">
        <v>34</v>
      </c>
      <c r="E327" s="5" t="s">
        <v>34</v>
      </c>
      <c r="F327" s="5" t="s">
        <v>34</v>
      </c>
      <c r="G327" s="5" t="s">
        <v>36</v>
      </c>
      <c r="H327" s="5" t="s">
        <v>36</v>
      </c>
      <c r="I327" s="5" t="s">
        <v>36</v>
      </c>
      <c r="J327" s="6" t="s">
        <v>34</v>
      </c>
      <c r="K327" s="6">
        <v>1800.0</v>
      </c>
      <c r="L327" s="6">
        <v>450.0</v>
      </c>
      <c r="M327" s="5" t="s">
        <v>114</v>
      </c>
      <c r="N327" s="5" t="s">
        <v>114</v>
      </c>
      <c r="O327" s="6" t="s">
        <v>431</v>
      </c>
      <c r="P327" s="5" t="s">
        <v>59</v>
      </c>
      <c r="Q327" s="5" t="s">
        <v>122</v>
      </c>
      <c r="R327" s="17" t="s">
        <v>42</v>
      </c>
      <c r="S327" s="5" t="s">
        <v>288</v>
      </c>
      <c r="T327" s="5" t="s">
        <v>44</v>
      </c>
      <c r="U327" s="5" t="s">
        <v>44</v>
      </c>
      <c r="V327" s="5" t="s">
        <v>44</v>
      </c>
      <c r="W327" s="5" t="s">
        <v>35</v>
      </c>
      <c r="X327" s="5" t="s">
        <v>1968</v>
      </c>
      <c r="Y327" s="5" t="s">
        <v>47</v>
      </c>
      <c r="Z327" s="5" t="s">
        <v>36</v>
      </c>
      <c r="AA327" s="5" t="s">
        <v>64</v>
      </c>
      <c r="AB327" s="5" t="s">
        <v>2124</v>
      </c>
      <c r="AC327" s="6" t="s">
        <v>56</v>
      </c>
      <c r="AD327" s="6">
        <v>4017.0</v>
      </c>
    </row>
    <row r="328" ht="56.25" customHeight="1">
      <c r="A328" s="5" t="s">
        <v>2114</v>
      </c>
      <c r="B328" s="6" t="str">
        <f>IMAGE("https://storage.googleapis.com/acdb/wall-mounted/FtrShowerWall_Remake_2_0.png")</f>
        <v/>
      </c>
      <c r="C328" s="5" t="s">
        <v>296</v>
      </c>
      <c r="D328" s="5" t="s">
        <v>34</v>
      </c>
      <c r="E328" s="5" t="s">
        <v>34</v>
      </c>
      <c r="F328" s="5" t="s">
        <v>34</v>
      </c>
      <c r="G328" s="5" t="s">
        <v>36</v>
      </c>
      <c r="H328" s="5" t="s">
        <v>36</v>
      </c>
      <c r="I328" s="5" t="s">
        <v>36</v>
      </c>
      <c r="J328" s="6" t="s">
        <v>34</v>
      </c>
      <c r="K328" s="6">
        <v>1800.0</v>
      </c>
      <c r="L328" s="6">
        <v>450.0</v>
      </c>
      <c r="M328" s="5" t="s">
        <v>39</v>
      </c>
      <c r="N328" s="5" t="s">
        <v>39</v>
      </c>
      <c r="O328" s="6" t="s">
        <v>431</v>
      </c>
      <c r="P328" s="5" t="s">
        <v>59</v>
      </c>
      <c r="Q328" s="5" t="s">
        <v>122</v>
      </c>
      <c r="R328" s="17" t="s">
        <v>42</v>
      </c>
      <c r="S328" s="5" t="s">
        <v>288</v>
      </c>
      <c r="T328" s="5" t="s">
        <v>44</v>
      </c>
      <c r="U328" s="5" t="s">
        <v>44</v>
      </c>
      <c r="V328" s="5" t="s">
        <v>44</v>
      </c>
      <c r="W328" s="5" t="s">
        <v>35</v>
      </c>
      <c r="X328" s="5" t="s">
        <v>1968</v>
      </c>
      <c r="Y328" s="5" t="s">
        <v>47</v>
      </c>
      <c r="Z328" s="5" t="s">
        <v>36</v>
      </c>
      <c r="AA328" s="5" t="s">
        <v>64</v>
      </c>
      <c r="AB328" s="5" t="s">
        <v>2132</v>
      </c>
      <c r="AC328" s="6" t="s">
        <v>67</v>
      </c>
      <c r="AD328" s="6">
        <v>4017.0</v>
      </c>
    </row>
    <row r="329" ht="56.25" customHeight="1">
      <c r="A329" s="5" t="s">
        <v>2114</v>
      </c>
      <c r="B329" s="6" t="str">
        <f>IMAGE("https://storage.googleapis.com/acdb/wall-mounted/FtrShowerWall_Remake_3_0.png")</f>
        <v/>
      </c>
      <c r="C329" s="5" t="s">
        <v>54</v>
      </c>
      <c r="D329" s="5" t="s">
        <v>34</v>
      </c>
      <c r="E329" s="5" t="s">
        <v>34</v>
      </c>
      <c r="F329" s="5" t="s">
        <v>34</v>
      </c>
      <c r="G329" s="5" t="s">
        <v>36</v>
      </c>
      <c r="H329" s="5" t="s">
        <v>36</v>
      </c>
      <c r="I329" s="5" t="s">
        <v>36</v>
      </c>
      <c r="J329" s="6" t="s">
        <v>34</v>
      </c>
      <c r="K329" s="6">
        <v>1800.0</v>
      </c>
      <c r="L329" s="6">
        <v>450.0</v>
      </c>
      <c r="M329" s="5" t="s">
        <v>54</v>
      </c>
      <c r="N329" s="5" t="s">
        <v>54</v>
      </c>
      <c r="O329" s="6" t="s">
        <v>431</v>
      </c>
      <c r="P329" s="5" t="s">
        <v>59</v>
      </c>
      <c r="Q329" s="5" t="s">
        <v>122</v>
      </c>
      <c r="R329" s="17" t="s">
        <v>42</v>
      </c>
      <c r="S329" s="5" t="s">
        <v>288</v>
      </c>
      <c r="T329" s="5" t="s">
        <v>44</v>
      </c>
      <c r="U329" s="5" t="s">
        <v>44</v>
      </c>
      <c r="V329" s="5" t="s">
        <v>44</v>
      </c>
      <c r="W329" s="5" t="s">
        <v>35</v>
      </c>
      <c r="X329" s="5" t="s">
        <v>1968</v>
      </c>
      <c r="Y329" s="5" t="s">
        <v>47</v>
      </c>
      <c r="Z329" s="5" t="s">
        <v>36</v>
      </c>
      <c r="AA329" s="5" t="s">
        <v>64</v>
      </c>
      <c r="AB329" s="5" t="s">
        <v>2139</v>
      </c>
      <c r="AC329" s="6" t="s">
        <v>71</v>
      </c>
      <c r="AD329" s="6">
        <v>4017.0</v>
      </c>
    </row>
    <row r="330" ht="56.25" customHeight="1">
      <c r="A330" s="5" t="s">
        <v>2141</v>
      </c>
      <c r="B330" s="6" t="str">
        <f>IMAGE("https://storage.googleapis.com/acdb/wall-mounted/FtrShieldHhaSilver.png")</f>
        <v/>
      </c>
      <c r="C330" s="5" t="s">
        <v>34</v>
      </c>
      <c r="D330" s="5" t="s">
        <v>34</v>
      </c>
      <c r="E330" s="5" t="s">
        <v>34</v>
      </c>
      <c r="F330" s="5" t="s">
        <v>34</v>
      </c>
      <c r="G330" s="5" t="s">
        <v>36</v>
      </c>
      <c r="H330" s="5" t="s">
        <v>36</v>
      </c>
      <c r="I330" s="5" t="s">
        <v>36</v>
      </c>
      <c r="J330" s="6" t="s">
        <v>34</v>
      </c>
      <c r="K330" s="6" t="s">
        <v>37</v>
      </c>
      <c r="L330" s="6">
        <v>425.0</v>
      </c>
      <c r="M330" s="5" t="s">
        <v>39</v>
      </c>
      <c r="N330" s="5" t="s">
        <v>95</v>
      </c>
      <c r="O330" s="6" t="s">
        <v>179</v>
      </c>
      <c r="P330" s="5" t="s">
        <v>423</v>
      </c>
      <c r="Q330" s="5"/>
      <c r="R330" s="17" t="s">
        <v>42</v>
      </c>
      <c r="S330" s="5" t="s">
        <v>90</v>
      </c>
      <c r="T330" s="5" t="s">
        <v>116</v>
      </c>
      <c r="U330" s="5" t="s">
        <v>44</v>
      </c>
      <c r="V330" s="5" t="s">
        <v>44</v>
      </c>
      <c r="W330" s="5" t="s">
        <v>36</v>
      </c>
      <c r="X330" s="5" t="s">
        <v>206</v>
      </c>
      <c r="Y330" s="5" t="s">
        <v>47</v>
      </c>
      <c r="Z330" s="5" t="s">
        <v>36</v>
      </c>
      <c r="AA330" s="5" t="s">
        <v>48</v>
      </c>
      <c r="AB330" s="5" t="s">
        <v>2150</v>
      </c>
      <c r="AC330" s="6" t="s">
        <v>34</v>
      </c>
      <c r="AD330" s="6">
        <v>7036.0</v>
      </c>
    </row>
    <row r="331" ht="56.25" customHeight="1">
      <c r="A331" s="5" t="s">
        <v>2151</v>
      </c>
      <c r="B331" s="6" t="str">
        <f>IMAGE("https://storage.googleapis.com/acdb/wall-mounted/FtrDoorPlateSkull_Remake_0_0.png")</f>
        <v/>
      </c>
      <c r="C331" s="5" t="s">
        <v>39</v>
      </c>
      <c r="D331" s="5" t="s">
        <v>34</v>
      </c>
      <c r="E331" s="5" t="s">
        <v>34</v>
      </c>
      <c r="F331" s="5" t="s">
        <v>34</v>
      </c>
      <c r="G331" s="5" t="s">
        <v>36</v>
      </c>
      <c r="H331" s="5" t="s">
        <v>36</v>
      </c>
      <c r="I331" s="5" t="s">
        <v>36</v>
      </c>
      <c r="J331" s="6" t="s">
        <v>34</v>
      </c>
      <c r="K331" s="6">
        <v>540.0</v>
      </c>
      <c r="L331" s="6">
        <v>135.0</v>
      </c>
      <c r="M331" s="5" t="s">
        <v>38</v>
      </c>
      <c r="N331" s="5" t="s">
        <v>39</v>
      </c>
      <c r="O331" s="6" t="s">
        <v>179</v>
      </c>
      <c r="P331" s="5" t="s">
        <v>59</v>
      </c>
      <c r="Q331" s="5" t="s">
        <v>89</v>
      </c>
      <c r="R331" s="17" t="s">
        <v>42</v>
      </c>
      <c r="S331" s="5" t="s">
        <v>732</v>
      </c>
      <c r="T331" s="5" t="s">
        <v>44</v>
      </c>
      <c r="U331" s="5" t="s">
        <v>44</v>
      </c>
      <c r="V331" s="5" t="s">
        <v>44</v>
      </c>
      <c r="W331" s="5" t="s">
        <v>36</v>
      </c>
      <c r="X331" s="5" t="s">
        <v>312</v>
      </c>
      <c r="Y331" s="5" t="s">
        <v>47</v>
      </c>
      <c r="Z331" s="5" t="s">
        <v>35</v>
      </c>
      <c r="AA331" s="5" t="s">
        <v>64</v>
      </c>
      <c r="AB331" s="5" t="s">
        <v>2159</v>
      </c>
      <c r="AC331" s="6" t="s">
        <v>50</v>
      </c>
      <c r="AD331" s="6">
        <v>4738.0</v>
      </c>
    </row>
    <row r="332" ht="56.25" customHeight="1">
      <c r="A332" s="5" t="s">
        <v>2151</v>
      </c>
      <c r="B332" s="6" t="str">
        <f>IMAGE("https://storage.googleapis.com/acdb/wall-mounted/FtrDoorPlateSkull_Remake_1_0.png")</f>
        <v/>
      </c>
      <c r="C332" s="5" t="s">
        <v>57</v>
      </c>
      <c r="D332" s="5" t="s">
        <v>34</v>
      </c>
      <c r="E332" s="5" t="s">
        <v>34</v>
      </c>
      <c r="F332" s="5" t="s">
        <v>34</v>
      </c>
      <c r="G332" s="5" t="s">
        <v>36</v>
      </c>
      <c r="H332" s="5" t="s">
        <v>36</v>
      </c>
      <c r="I332" s="5" t="s">
        <v>36</v>
      </c>
      <c r="J332" s="6" t="s">
        <v>34</v>
      </c>
      <c r="K332" s="6">
        <v>540.0</v>
      </c>
      <c r="L332" s="6">
        <v>135.0</v>
      </c>
      <c r="M332" s="5" t="s">
        <v>57</v>
      </c>
      <c r="N332" s="5" t="s">
        <v>52</v>
      </c>
      <c r="O332" s="6" t="s">
        <v>179</v>
      </c>
      <c r="P332" s="5" t="s">
        <v>59</v>
      </c>
      <c r="Q332" s="5" t="s">
        <v>89</v>
      </c>
      <c r="R332" s="17" t="s">
        <v>42</v>
      </c>
      <c r="S332" s="5" t="s">
        <v>732</v>
      </c>
      <c r="T332" s="5" t="s">
        <v>44</v>
      </c>
      <c r="U332" s="5" t="s">
        <v>44</v>
      </c>
      <c r="V332" s="5" t="s">
        <v>44</v>
      </c>
      <c r="W332" s="5" t="s">
        <v>36</v>
      </c>
      <c r="X332" s="5" t="s">
        <v>312</v>
      </c>
      <c r="Y332" s="5" t="s">
        <v>47</v>
      </c>
      <c r="Z332" s="5" t="s">
        <v>35</v>
      </c>
      <c r="AA332" s="5" t="s">
        <v>64</v>
      </c>
      <c r="AB332" s="5" t="s">
        <v>2166</v>
      </c>
      <c r="AC332" s="6" t="s">
        <v>56</v>
      </c>
      <c r="AD332" s="6">
        <v>4738.0</v>
      </c>
    </row>
    <row r="333" ht="56.25" customHeight="1">
      <c r="A333" s="5" t="s">
        <v>2167</v>
      </c>
      <c r="B333" s="6" t="str">
        <f>IMAGE("https://storage.googleapis.com/acdb/wall-mounted/FtrDoorOrnamentWreathPansyMix.png")</f>
        <v/>
      </c>
      <c r="C333" s="5" t="s">
        <v>34</v>
      </c>
      <c r="D333" s="5" t="s">
        <v>34</v>
      </c>
      <c r="E333" s="5" t="s">
        <v>34</v>
      </c>
      <c r="F333" s="5" t="s">
        <v>34</v>
      </c>
      <c r="G333" s="5" t="s">
        <v>35</v>
      </c>
      <c r="H333" s="5" t="s">
        <v>36</v>
      </c>
      <c r="I333" s="5" t="s">
        <v>36</v>
      </c>
      <c r="J333" s="6" t="s">
        <v>34</v>
      </c>
      <c r="K333" s="6" t="s">
        <v>37</v>
      </c>
      <c r="L333" s="6">
        <v>1200.0</v>
      </c>
      <c r="M333" s="5" t="s">
        <v>52</v>
      </c>
      <c r="N333" s="5" t="s">
        <v>68</v>
      </c>
      <c r="O333" s="6" t="s">
        <v>179</v>
      </c>
      <c r="P333" s="5" t="s">
        <v>41</v>
      </c>
      <c r="Q333" s="5"/>
      <c r="R333" s="17" t="s">
        <v>42</v>
      </c>
      <c r="S333" s="5" t="s">
        <v>61</v>
      </c>
      <c r="T333" s="5" t="s">
        <v>44</v>
      </c>
      <c r="U333" s="5" t="s">
        <v>311</v>
      </c>
      <c r="V333" s="5" t="s">
        <v>44</v>
      </c>
      <c r="W333" s="5" t="s">
        <v>36</v>
      </c>
      <c r="X333" s="5" t="s">
        <v>312</v>
      </c>
      <c r="Y333" s="5" t="s">
        <v>47</v>
      </c>
      <c r="Z333" s="5" t="s">
        <v>35</v>
      </c>
      <c r="AA333" s="5" t="s">
        <v>48</v>
      </c>
      <c r="AB333" s="5" t="s">
        <v>2171</v>
      </c>
      <c r="AC333" s="6" t="s">
        <v>34</v>
      </c>
      <c r="AD333" s="6">
        <v>5748.0</v>
      </c>
    </row>
    <row r="334" ht="56.25" customHeight="1">
      <c r="A334" s="5" t="s">
        <v>2172</v>
      </c>
      <c r="B334" s="6" t="str">
        <f>IMAGE("https://storage.googleapis.com/acdb/wall-mounted/FtrDoorOrnamentWreathIce.png")</f>
        <v/>
      </c>
      <c r="C334" s="5" t="s">
        <v>34</v>
      </c>
      <c r="D334" s="5" t="s">
        <v>34</v>
      </c>
      <c r="E334" s="5" t="s">
        <v>34</v>
      </c>
      <c r="F334" s="5" t="s">
        <v>34</v>
      </c>
      <c r="G334" s="5" t="s">
        <v>35</v>
      </c>
      <c r="H334" s="5" t="s">
        <v>36</v>
      </c>
      <c r="I334" s="5" t="s">
        <v>36</v>
      </c>
      <c r="J334" s="6" t="s">
        <v>34</v>
      </c>
      <c r="K334" s="6" t="s">
        <v>37</v>
      </c>
      <c r="L334" s="6">
        <v>1600.0</v>
      </c>
      <c r="M334" s="5" t="s">
        <v>83</v>
      </c>
      <c r="N334" s="5" t="s">
        <v>57</v>
      </c>
      <c r="O334" s="6" t="s">
        <v>179</v>
      </c>
      <c r="P334" s="5" t="s">
        <v>41</v>
      </c>
      <c r="Q334" s="5" t="s">
        <v>2176</v>
      </c>
      <c r="R334" s="17" t="s">
        <v>42</v>
      </c>
      <c r="S334" s="5" t="s">
        <v>1894</v>
      </c>
      <c r="T334" s="5" t="s">
        <v>61</v>
      </c>
      <c r="U334" s="5" t="s">
        <v>44</v>
      </c>
      <c r="V334" s="5" t="s">
        <v>44</v>
      </c>
      <c r="W334" s="5" t="s">
        <v>36</v>
      </c>
      <c r="X334" s="5" t="s">
        <v>312</v>
      </c>
      <c r="Y334" s="5" t="s">
        <v>47</v>
      </c>
      <c r="Z334" s="5" t="s">
        <v>35</v>
      </c>
      <c r="AA334" s="5" t="s">
        <v>48</v>
      </c>
      <c r="AB334" s="5" t="s">
        <v>2179</v>
      </c>
      <c r="AC334" s="6" t="s">
        <v>34</v>
      </c>
      <c r="AD334" s="6">
        <v>4375.0</v>
      </c>
    </row>
    <row r="335" ht="56.25" customHeight="1">
      <c r="A335" s="5" t="s">
        <v>2180</v>
      </c>
      <c r="B335" s="6" t="str">
        <f>IMAGE("https://storage.googleapis.com/acdb/wall-mounted/FtrDoorOrnamentPlateInsect_Remake_0_0.png")</f>
        <v/>
      </c>
      <c r="C335" s="5" t="s">
        <v>54</v>
      </c>
      <c r="D335" s="5" t="s">
        <v>135</v>
      </c>
      <c r="E335" s="5" t="s">
        <v>34</v>
      </c>
      <c r="F335" s="5" t="s">
        <v>34</v>
      </c>
      <c r="G335" s="5" t="s">
        <v>36</v>
      </c>
      <c r="H335" s="5" t="s">
        <v>35</v>
      </c>
      <c r="I335" s="5" t="s">
        <v>36</v>
      </c>
      <c r="J335" s="6" t="s">
        <v>34</v>
      </c>
      <c r="K335" s="6">
        <v>360.0</v>
      </c>
      <c r="L335" s="6">
        <v>90.0</v>
      </c>
      <c r="M335" s="5" t="s">
        <v>54</v>
      </c>
      <c r="N335" s="5" t="s">
        <v>96</v>
      </c>
      <c r="O335" s="6" t="s">
        <v>179</v>
      </c>
      <c r="P335" s="5" t="s">
        <v>393</v>
      </c>
      <c r="Q335" s="5"/>
      <c r="R335" s="17" t="s">
        <v>42</v>
      </c>
      <c r="S335" s="5" t="s">
        <v>99</v>
      </c>
      <c r="T335" s="5" t="s">
        <v>732</v>
      </c>
      <c r="U335" s="5" t="s">
        <v>44</v>
      </c>
      <c r="V335" s="5" t="s">
        <v>44</v>
      </c>
      <c r="W335" s="5" t="s">
        <v>36</v>
      </c>
      <c r="X335" s="5" t="s">
        <v>312</v>
      </c>
      <c r="Y335" s="5" t="s">
        <v>47</v>
      </c>
      <c r="Z335" s="5" t="s">
        <v>35</v>
      </c>
      <c r="AA335" s="5" t="s">
        <v>48</v>
      </c>
      <c r="AB335" s="5" t="s">
        <v>2185</v>
      </c>
      <c r="AC335" s="6" t="s">
        <v>50</v>
      </c>
      <c r="AD335" s="6">
        <v>5310.0</v>
      </c>
    </row>
    <row r="336" ht="56.25" customHeight="1">
      <c r="A336" s="5" t="s">
        <v>2180</v>
      </c>
      <c r="B336" s="6" t="str">
        <f>IMAGE("https://storage.googleapis.com/acdb/wall-mounted/FtrDoorOrnamentPlateInsect_Remake_1_0.png")</f>
        <v/>
      </c>
      <c r="C336" s="5" t="s">
        <v>114</v>
      </c>
      <c r="D336" s="5" t="s">
        <v>135</v>
      </c>
      <c r="E336" s="5" t="s">
        <v>34</v>
      </c>
      <c r="F336" s="5" t="s">
        <v>34</v>
      </c>
      <c r="G336" s="5" t="s">
        <v>36</v>
      </c>
      <c r="H336" s="5" t="s">
        <v>35</v>
      </c>
      <c r="I336" s="5" t="s">
        <v>36</v>
      </c>
      <c r="J336" s="6" t="s">
        <v>34</v>
      </c>
      <c r="K336" s="6">
        <v>360.0</v>
      </c>
      <c r="L336" s="6">
        <v>90.0</v>
      </c>
      <c r="M336" s="5" t="s">
        <v>114</v>
      </c>
      <c r="N336" s="5" t="s">
        <v>106</v>
      </c>
      <c r="O336" s="6" t="s">
        <v>179</v>
      </c>
      <c r="P336" s="5" t="s">
        <v>393</v>
      </c>
      <c r="Q336" s="5"/>
      <c r="R336" s="17" t="s">
        <v>42</v>
      </c>
      <c r="S336" s="5" t="s">
        <v>99</v>
      </c>
      <c r="T336" s="5" t="s">
        <v>732</v>
      </c>
      <c r="U336" s="5" t="s">
        <v>44</v>
      </c>
      <c r="V336" s="5" t="s">
        <v>44</v>
      </c>
      <c r="W336" s="5" t="s">
        <v>36</v>
      </c>
      <c r="X336" s="5" t="s">
        <v>312</v>
      </c>
      <c r="Y336" s="5" t="s">
        <v>47</v>
      </c>
      <c r="Z336" s="5" t="s">
        <v>35</v>
      </c>
      <c r="AA336" s="5" t="s">
        <v>48</v>
      </c>
      <c r="AB336" s="5" t="s">
        <v>2192</v>
      </c>
      <c r="AC336" s="6" t="s">
        <v>56</v>
      </c>
      <c r="AD336" s="6">
        <v>5310.0</v>
      </c>
    </row>
    <row r="337" ht="56.25" customHeight="1">
      <c r="A337" s="5" t="s">
        <v>2180</v>
      </c>
      <c r="B337" s="6" t="str">
        <f>IMAGE("https://storage.googleapis.com/acdb/wall-mounted/FtrDoorOrnamentPlateInsect_Remake_2_0.png")</f>
        <v/>
      </c>
      <c r="C337" s="5" t="s">
        <v>96</v>
      </c>
      <c r="D337" s="5" t="s">
        <v>135</v>
      </c>
      <c r="E337" s="5" t="s">
        <v>34</v>
      </c>
      <c r="F337" s="5" t="s">
        <v>34</v>
      </c>
      <c r="G337" s="5" t="s">
        <v>36</v>
      </c>
      <c r="H337" s="5" t="s">
        <v>35</v>
      </c>
      <c r="I337" s="5" t="s">
        <v>36</v>
      </c>
      <c r="J337" s="6" t="s">
        <v>34</v>
      </c>
      <c r="K337" s="6">
        <v>360.0</v>
      </c>
      <c r="L337" s="6">
        <v>90.0</v>
      </c>
      <c r="M337" s="5" t="s">
        <v>96</v>
      </c>
      <c r="N337" s="5" t="s">
        <v>52</v>
      </c>
      <c r="O337" s="6" t="s">
        <v>179</v>
      </c>
      <c r="P337" s="5" t="s">
        <v>393</v>
      </c>
      <c r="Q337" s="5"/>
      <c r="R337" s="17" t="s">
        <v>42</v>
      </c>
      <c r="S337" s="5" t="s">
        <v>99</v>
      </c>
      <c r="T337" s="5" t="s">
        <v>732</v>
      </c>
      <c r="U337" s="5" t="s">
        <v>44</v>
      </c>
      <c r="V337" s="5" t="s">
        <v>44</v>
      </c>
      <c r="W337" s="5" t="s">
        <v>36</v>
      </c>
      <c r="X337" s="5" t="s">
        <v>312</v>
      </c>
      <c r="Y337" s="5" t="s">
        <v>47</v>
      </c>
      <c r="Z337" s="5" t="s">
        <v>35</v>
      </c>
      <c r="AA337" s="5" t="s">
        <v>48</v>
      </c>
      <c r="AB337" s="5" t="s">
        <v>2197</v>
      </c>
      <c r="AC337" s="6" t="s">
        <v>67</v>
      </c>
      <c r="AD337" s="6">
        <v>5310.0</v>
      </c>
    </row>
    <row r="338" ht="56.25" customHeight="1">
      <c r="A338" s="5" t="s">
        <v>2180</v>
      </c>
      <c r="B338" s="6" t="str">
        <f>IMAGE("https://storage.googleapis.com/acdb/wall-mounted/FtrDoorOrnamentPlateInsect_Remake_3_0.png")</f>
        <v/>
      </c>
      <c r="C338" s="5" t="s">
        <v>69</v>
      </c>
      <c r="D338" s="5" t="s">
        <v>135</v>
      </c>
      <c r="E338" s="5" t="s">
        <v>34</v>
      </c>
      <c r="F338" s="5" t="s">
        <v>34</v>
      </c>
      <c r="G338" s="5" t="s">
        <v>36</v>
      </c>
      <c r="H338" s="5" t="s">
        <v>35</v>
      </c>
      <c r="I338" s="5" t="s">
        <v>36</v>
      </c>
      <c r="J338" s="6" t="s">
        <v>34</v>
      </c>
      <c r="K338" s="6">
        <v>360.0</v>
      </c>
      <c r="L338" s="6">
        <v>90.0</v>
      </c>
      <c r="M338" s="5" t="s">
        <v>69</v>
      </c>
      <c r="N338" s="5" t="s">
        <v>83</v>
      </c>
      <c r="O338" s="6" t="s">
        <v>179</v>
      </c>
      <c r="P338" s="5" t="s">
        <v>393</v>
      </c>
      <c r="Q338" s="5"/>
      <c r="R338" s="17" t="s">
        <v>42</v>
      </c>
      <c r="S338" s="5" t="s">
        <v>99</v>
      </c>
      <c r="T338" s="5" t="s">
        <v>732</v>
      </c>
      <c r="U338" s="5" t="s">
        <v>44</v>
      </c>
      <c r="V338" s="5" t="s">
        <v>44</v>
      </c>
      <c r="W338" s="5" t="s">
        <v>36</v>
      </c>
      <c r="X338" s="5" t="s">
        <v>312</v>
      </c>
      <c r="Y338" s="5" t="s">
        <v>47</v>
      </c>
      <c r="Z338" s="5" t="s">
        <v>35</v>
      </c>
      <c r="AA338" s="5" t="s">
        <v>48</v>
      </c>
      <c r="AB338" s="5" t="s">
        <v>2201</v>
      </c>
      <c r="AC338" s="6" t="s">
        <v>71</v>
      </c>
      <c r="AD338" s="6">
        <v>5310.0</v>
      </c>
    </row>
    <row r="339" ht="56.25" customHeight="1">
      <c r="A339" s="5" t="s">
        <v>2180</v>
      </c>
      <c r="B339" s="6" t="str">
        <f>IMAGE("https://storage.googleapis.com/acdb/wall-mounted/FtrDoorOrnamentPlateInsect_Remake_4_0.png")</f>
        <v/>
      </c>
      <c r="C339" s="5" t="s">
        <v>106</v>
      </c>
      <c r="D339" s="5" t="s">
        <v>135</v>
      </c>
      <c r="E339" s="5" t="s">
        <v>34</v>
      </c>
      <c r="F339" s="5" t="s">
        <v>34</v>
      </c>
      <c r="G339" s="5" t="s">
        <v>36</v>
      </c>
      <c r="H339" s="5" t="s">
        <v>35</v>
      </c>
      <c r="I339" s="5" t="s">
        <v>36</v>
      </c>
      <c r="J339" s="6" t="s">
        <v>34</v>
      </c>
      <c r="K339" s="6">
        <v>360.0</v>
      </c>
      <c r="L339" s="6">
        <v>90.0</v>
      </c>
      <c r="M339" s="5" t="s">
        <v>106</v>
      </c>
      <c r="N339" s="5" t="s">
        <v>96</v>
      </c>
      <c r="O339" s="6" t="s">
        <v>179</v>
      </c>
      <c r="P339" s="5" t="s">
        <v>393</v>
      </c>
      <c r="Q339" s="5"/>
      <c r="R339" s="17" t="s">
        <v>42</v>
      </c>
      <c r="S339" s="5" t="s">
        <v>99</v>
      </c>
      <c r="T339" s="5" t="s">
        <v>732</v>
      </c>
      <c r="U339" s="5" t="s">
        <v>44</v>
      </c>
      <c r="V339" s="5" t="s">
        <v>44</v>
      </c>
      <c r="W339" s="5" t="s">
        <v>36</v>
      </c>
      <c r="X339" s="5" t="s">
        <v>312</v>
      </c>
      <c r="Y339" s="5" t="s">
        <v>47</v>
      </c>
      <c r="Z339" s="5" t="s">
        <v>35</v>
      </c>
      <c r="AA339" s="5" t="s">
        <v>48</v>
      </c>
      <c r="AB339" s="5" t="s">
        <v>2206</v>
      </c>
      <c r="AC339" s="6" t="s">
        <v>75</v>
      </c>
      <c r="AD339" s="6">
        <v>5310.0</v>
      </c>
    </row>
    <row r="340" ht="56.25" customHeight="1">
      <c r="A340" s="5" t="s">
        <v>2180</v>
      </c>
      <c r="B340" s="6" t="str">
        <f>IMAGE("https://storage.googleapis.com/acdb/wall-mounted/FtrDoorOrnamentPlateInsect_Remake_5_0.png")</f>
        <v/>
      </c>
      <c r="C340" s="5" t="s">
        <v>52</v>
      </c>
      <c r="D340" s="5" t="s">
        <v>135</v>
      </c>
      <c r="E340" s="5" t="s">
        <v>34</v>
      </c>
      <c r="F340" s="5" t="s">
        <v>34</v>
      </c>
      <c r="G340" s="5" t="s">
        <v>36</v>
      </c>
      <c r="H340" s="5" t="s">
        <v>35</v>
      </c>
      <c r="I340" s="5" t="s">
        <v>36</v>
      </c>
      <c r="J340" s="6" t="s">
        <v>34</v>
      </c>
      <c r="K340" s="6">
        <v>360.0</v>
      </c>
      <c r="L340" s="6">
        <v>90.0</v>
      </c>
      <c r="M340" s="5" t="s">
        <v>52</v>
      </c>
      <c r="N340" s="5" t="s">
        <v>68</v>
      </c>
      <c r="O340" s="6" t="s">
        <v>179</v>
      </c>
      <c r="P340" s="5" t="s">
        <v>393</v>
      </c>
      <c r="Q340" s="5"/>
      <c r="R340" s="17" t="s">
        <v>42</v>
      </c>
      <c r="S340" s="5" t="s">
        <v>99</v>
      </c>
      <c r="T340" s="5" t="s">
        <v>732</v>
      </c>
      <c r="U340" s="5" t="s">
        <v>44</v>
      </c>
      <c r="V340" s="5" t="s">
        <v>44</v>
      </c>
      <c r="W340" s="5" t="s">
        <v>36</v>
      </c>
      <c r="X340" s="5" t="s">
        <v>312</v>
      </c>
      <c r="Y340" s="5" t="s">
        <v>47</v>
      </c>
      <c r="Z340" s="5" t="s">
        <v>35</v>
      </c>
      <c r="AA340" s="5" t="s">
        <v>48</v>
      </c>
      <c r="AB340" s="5" t="s">
        <v>2210</v>
      </c>
      <c r="AC340" s="6" t="s">
        <v>79</v>
      </c>
      <c r="AD340" s="6">
        <v>5310.0</v>
      </c>
    </row>
    <row r="341" ht="56.25" customHeight="1">
      <c r="A341" s="5" t="s">
        <v>2180</v>
      </c>
      <c r="B341" s="6" t="str">
        <f>IMAGE("https://storage.googleapis.com/acdb/wall-mounted/FtrDoorOrnamentPlateInsect_Remake_6_0.png")</f>
        <v/>
      </c>
      <c r="C341" s="5" t="s">
        <v>95</v>
      </c>
      <c r="D341" s="5" t="s">
        <v>135</v>
      </c>
      <c r="E341" s="5" t="s">
        <v>34</v>
      </c>
      <c r="F341" s="5" t="s">
        <v>34</v>
      </c>
      <c r="G341" s="5" t="s">
        <v>36</v>
      </c>
      <c r="H341" s="5" t="s">
        <v>35</v>
      </c>
      <c r="I341" s="5" t="s">
        <v>36</v>
      </c>
      <c r="J341" s="6" t="s">
        <v>34</v>
      </c>
      <c r="K341" s="6">
        <v>360.0</v>
      </c>
      <c r="L341" s="6">
        <v>90.0</v>
      </c>
      <c r="M341" s="5" t="s">
        <v>95</v>
      </c>
      <c r="N341" s="5" t="s">
        <v>106</v>
      </c>
      <c r="O341" s="6" t="s">
        <v>179</v>
      </c>
      <c r="P341" s="5" t="s">
        <v>393</v>
      </c>
      <c r="Q341" s="5"/>
      <c r="R341" s="17" t="s">
        <v>42</v>
      </c>
      <c r="S341" s="5" t="s">
        <v>99</v>
      </c>
      <c r="T341" s="5" t="s">
        <v>732</v>
      </c>
      <c r="U341" s="5" t="s">
        <v>44</v>
      </c>
      <c r="V341" s="5" t="s">
        <v>44</v>
      </c>
      <c r="W341" s="5" t="s">
        <v>36</v>
      </c>
      <c r="X341" s="5" t="s">
        <v>312</v>
      </c>
      <c r="Y341" s="5" t="s">
        <v>47</v>
      </c>
      <c r="Z341" s="5" t="s">
        <v>35</v>
      </c>
      <c r="AA341" s="5" t="s">
        <v>48</v>
      </c>
      <c r="AB341" s="5" t="s">
        <v>2215</v>
      </c>
      <c r="AC341" s="6" t="s">
        <v>86</v>
      </c>
      <c r="AD341" s="6">
        <v>5310.0</v>
      </c>
    </row>
    <row r="342" ht="56.25" customHeight="1">
      <c r="A342" s="5" t="s">
        <v>2180</v>
      </c>
      <c r="B342" s="6" t="str">
        <f>IMAGE("https://storage.googleapis.com/acdb/wall-mounted/FtrDoorOrnamentPlateInsect_Remake_7_0.png")</f>
        <v/>
      </c>
      <c r="C342" s="5" t="s">
        <v>68</v>
      </c>
      <c r="D342" s="5" t="s">
        <v>135</v>
      </c>
      <c r="E342" s="5" t="s">
        <v>34</v>
      </c>
      <c r="F342" s="5" t="s">
        <v>34</v>
      </c>
      <c r="G342" s="5" t="s">
        <v>36</v>
      </c>
      <c r="H342" s="5" t="s">
        <v>35</v>
      </c>
      <c r="I342" s="5" t="s">
        <v>36</v>
      </c>
      <c r="J342" s="6" t="s">
        <v>34</v>
      </c>
      <c r="K342" s="6">
        <v>360.0</v>
      </c>
      <c r="L342" s="6">
        <v>90.0</v>
      </c>
      <c r="M342" s="5" t="s">
        <v>68</v>
      </c>
      <c r="N342" s="5" t="s">
        <v>52</v>
      </c>
      <c r="O342" s="6" t="s">
        <v>179</v>
      </c>
      <c r="P342" s="5" t="s">
        <v>393</v>
      </c>
      <c r="Q342" s="5"/>
      <c r="R342" s="17" t="s">
        <v>42</v>
      </c>
      <c r="S342" s="5" t="s">
        <v>99</v>
      </c>
      <c r="T342" s="5" t="s">
        <v>732</v>
      </c>
      <c r="U342" s="5" t="s">
        <v>44</v>
      </c>
      <c r="V342" s="5" t="s">
        <v>44</v>
      </c>
      <c r="W342" s="5" t="s">
        <v>36</v>
      </c>
      <c r="X342" s="5" t="s">
        <v>312</v>
      </c>
      <c r="Y342" s="5" t="s">
        <v>47</v>
      </c>
      <c r="Z342" s="5" t="s">
        <v>35</v>
      </c>
      <c r="AA342" s="5" t="s">
        <v>48</v>
      </c>
      <c r="AB342" s="5" t="s">
        <v>2219</v>
      </c>
      <c r="AC342" s="6" t="s">
        <v>208</v>
      </c>
      <c r="AD342" s="6">
        <v>5310.0</v>
      </c>
    </row>
    <row r="343" ht="56.25" customHeight="1">
      <c r="A343" s="5" t="s">
        <v>2221</v>
      </c>
      <c r="B343" s="6" t="str">
        <f>IMAGE("https://storage.googleapis.com/acdb/wall-mounted/FtrSpiderweb.png")</f>
        <v/>
      </c>
      <c r="C343" s="5" t="s">
        <v>34</v>
      </c>
      <c r="D343" s="5" t="s">
        <v>34</v>
      </c>
      <c r="E343" s="5" t="s">
        <v>34</v>
      </c>
      <c r="F343" s="5" t="s">
        <v>34</v>
      </c>
      <c r="G343" s="5" t="s">
        <v>36</v>
      </c>
      <c r="H343" s="5" t="s">
        <v>36</v>
      </c>
      <c r="I343" s="5" t="s">
        <v>36</v>
      </c>
      <c r="J343" s="6" t="s">
        <v>34</v>
      </c>
      <c r="K343" s="6" t="s">
        <v>37</v>
      </c>
      <c r="L343" s="6">
        <v>25.0</v>
      </c>
      <c r="M343" s="5" t="s">
        <v>57</v>
      </c>
      <c r="N343" s="5" t="s">
        <v>57</v>
      </c>
      <c r="O343" s="6" t="s">
        <v>136</v>
      </c>
      <c r="P343" s="5" t="s">
        <v>393</v>
      </c>
      <c r="Q343" s="5"/>
      <c r="R343" s="17" t="s">
        <v>42</v>
      </c>
      <c r="S343" s="5" t="s">
        <v>141</v>
      </c>
      <c r="T343" s="5" t="s">
        <v>732</v>
      </c>
      <c r="U343" s="5" t="s">
        <v>44</v>
      </c>
      <c r="V343" s="5" t="s">
        <v>44</v>
      </c>
      <c r="W343" s="5" t="s">
        <v>36</v>
      </c>
      <c r="X343" s="5" t="s">
        <v>395</v>
      </c>
      <c r="Y343" s="5" t="s">
        <v>47</v>
      </c>
      <c r="Z343" s="5" t="s">
        <v>36</v>
      </c>
      <c r="AA343" s="5" t="s">
        <v>48</v>
      </c>
      <c r="AB343" s="5" t="s">
        <v>2226</v>
      </c>
      <c r="AC343" s="6" t="s">
        <v>34</v>
      </c>
      <c r="AD343" s="6">
        <v>3817.0</v>
      </c>
    </row>
    <row r="344" ht="56.25" customHeight="1">
      <c r="A344" s="5" t="s">
        <v>2227</v>
      </c>
      <c r="B344" s="6" t="str">
        <f>IMAGE("https://storage.googleapis.com/acdb/wall-mounted/FtrStarDecorationWall_Remake_0_0.png")</f>
        <v/>
      </c>
      <c r="C344" s="5" t="s">
        <v>114</v>
      </c>
      <c r="D344" s="5" t="s">
        <v>135</v>
      </c>
      <c r="E344" s="5" t="s">
        <v>34</v>
      </c>
      <c r="F344" s="5" t="s">
        <v>34</v>
      </c>
      <c r="G344" s="5" t="s">
        <v>35</v>
      </c>
      <c r="H344" s="5" t="s">
        <v>35</v>
      </c>
      <c r="I344" s="5" t="s">
        <v>36</v>
      </c>
      <c r="J344" s="6">
        <v>7.0</v>
      </c>
      <c r="K344" s="6" t="s">
        <v>37</v>
      </c>
      <c r="L344" s="6">
        <v>5000.0</v>
      </c>
      <c r="M344" s="5" t="s">
        <v>114</v>
      </c>
      <c r="N344" s="5" t="s">
        <v>114</v>
      </c>
      <c r="O344" s="6" t="s">
        <v>136</v>
      </c>
      <c r="P344" s="5" t="s">
        <v>41</v>
      </c>
      <c r="Q344" s="5"/>
      <c r="R344" s="17" t="s">
        <v>42</v>
      </c>
      <c r="S344" s="5" t="s">
        <v>401</v>
      </c>
      <c r="T344" s="5" t="s">
        <v>61</v>
      </c>
      <c r="U344" s="5" t="s">
        <v>349</v>
      </c>
      <c r="V344" s="5" t="s">
        <v>44</v>
      </c>
      <c r="W344" s="5" t="s">
        <v>35</v>
      </c>
      <c r="X344" s="5" t="s">
        <v>403</v>
      </c>
      <c r="Y344" s="5" t="s">
        <v>102</v>
      </c>
      <c r="Z344" s="5" t="s">
        <v>36</v>
      </c>
      <c r="AA344" s="5" t="s">
        <v>48</v>
      </c>
      <c r="AB344" s="5" t="s">
        <v>2231</v>
      </c>
      <c r="AC344" s="6" t="s">
        <v>50</v>
      </c>
      <c r="AD344" s="6">
        <v>6827.0</v>
      </c>
    </row>
    <row r="345" ht="56.25" customHeight="1">
      <c r="A345" s="5" t="s">
        <v>2227</v>
      </c>
      <c r="B345" s="6" t="str">
        <f>IMAGE("https://storage.googleapis.com/acdb/wall-mounted/FtrStarDecorationWall_Remake_1_0.png")</f>
        <v/>
      </c>
      <c r="C345" s="5" t="s">
        <v>96</v>
      </c>
      <c r="D345" s="5" t="s">
        <v>135</v>
      </c>
      <c r="E345" s="5" t="s">
        <v>34</v>
      </c>
      <c r="F345" s="5" t="s">
        <v>34</v>
      </c>
      <c r="G345" s="5" t="s">
        <v>35</v>
      </c>
      <c r="H345" s="5" t="s">
        <v>35</v>
      </c>
      <c r="I345" s="5" t="s">
        <v>36</v>
      </c>
      <c r="J345" s="6">
        <v>7.0</v>
      </c>
      <c r="K345" s="6" t="s">
        <v>37</v>
      </c>
      <c r="L345" s="6">
        <v>5000.0</v>
      </c>
      <c r="M345" s="5" t="s">
        <v>96</v>
      </c>
      <c r="N345" s="5" t="s">
        <v>96</v>
      </c>
      <c r="O345" s="6" t="s">
        <v>136</v>
      </c>
      <c r="P345" s="5" t="s">
        <v>41</v>
      </c>
      <c r="Q345" s="5"/>
      <c r="R345" s="17" t="s">
        <v>42</v>
      </c>
      <c r="S345" s="5" t="s">
        <v>401</v>
      </c>
      <c r="T345" s="5" t="s">
        <v>61</v>
      </c>
      <c r="U345" s="5" t="s">
        <v>349</v>
      </c>
      <c r="V345" s="5" t="s">
        <v>44</v>
      </c>
      <c r="W345" s="5" t="s">
        <v>35</v>
      </c>
      <c r="X345" s="5" t="s">
        <v>403</v>
      </c>
      <c r="Y345" s="5" t="s">
        <v>102</v>
      </c>
      <c r="Z345" s="5" t="s">
        <v>36</v>
      </c>
      <c r="AA345" s="5" t="s">
        <v>48</v>
      </c>
      <c r="AB345" s="5" t="s">
        <v>2236</v>
      </c>
      <c r="AC345" s="6" t="s">
        <v>56</v>
      </c>
      <c r="AD345" s="6">
        <v>6827.0</v>
      </c>
    </row>
    <row r="346" ht="56.25" customHeight="1">
      <c r="A346" s="5" t="s">
        <v>2227</v>
      </c>
      <c r="B346" s="6" t="str">
        <f>IMAGE("https://storage.googleapis.com/acdb/wall-mounted/FtrStarDecorationWall_Remake_2_0.png")</f>
        <v/>
      </c>
      <c r="C346" s="5" t="s">
        <v>68</v>
      </c>
      <c r="D346" s="5" t="s">
        <v>135</v>
      </c>
      <c r="E346" s="5" t="s">
        <v>34</v>
      </c>
      <c r="F346" s="5" t="s">
        <v>34</v>
      </c>
      <c r="G346" s="5" t="s">
        <v>35</v>
      </c>
      <c r="H346" s="5" t="s">
        <v>35</v>
      </c>
      <c r="I346" s="5" t="s">
        <v>36</v>
      </c>
      <c r="J346" s="6">
        <v>7.0</v>
      </c>
      <c r="K346" s="6" t="s">
        <v>37</v>
      </c>
      <c r="L346" s="6">
        <v>5000.0</v>
      </c>
      <c r="M346" s="5" t="s">
        <v>83</v>
      </c>
      <c r="N346" s="5" t="s">
        <v>83</v>
      </c>
      <c r="O346" s="6" t="s">
        <v>136</v>
      </c>
      <c r="P346" s="5" t="s">
        <v>41</v>
      </c>
      <c r="Q346" s="5"/>
      <c r="R346" s="17" t="s">
        <v>42</v>
      </c>
      <c r="S346" s="5" t="s">
        <v>401</v>
      </c>
      <c r="T346" s="5" t="s">
        <v>61</v>
      </c>
      <c r="U346" s="5" t="s">
        <v>349</v>
      </c>
      <c r="V346" s="5" t="s">
        <v>44</v>
      </c>
      <c r="W346" s="5" t="s">
        <v>35</v>
      </c>
      <c r="X346" s="5" t="s">
        <v>403</v>
      </c>
      <c r="Y346" s="5" t="s">
        <v>102</v>
      </c>
      <c r="Z346" s="5" t="s">
        <v>36</v>
      </c>
      <c r="AA346" s="5" t="s">
        <v>48</v>
      </c>
      <c r="AB346" s="5" t="s">
        <v>2241</v>
      </c>
      <c r="AC346" s="6" t="s">
        <v>67</v>
      </c>
      <c r="AD346" s="6">
        <v>6827.0</v>
      </c>
    </row>
    <row r="347" ht="56.25" customHeight="1">
      <c r="A347" s="5" t="s">
        <v>2227</v>
      </c>
      <c r="B347" s="6" t="str">
        <f>IMAGE("https://storage.googleapis.com/acdb/wall-mounted/FtrStarDecorationWall_Remake_3_0.png")</f>
        <v/>
      </c>
      <c r="C347" s="5" t="s">
        <v>106</v>
      </c>
      <c r="D347" s="5" t="s">
        <v>135</v>
      </c>
      <c r="E347" s="5" t="s">
        <v>34</v>
      </c>
      <c r="F347" s="5" t="s">
        <v>34</v>
      </c>
      <c r="G347" s="5" t="s">
        <v>35</v>
      </c>
      <c r="H347" s="5" t="s">
        <v>35</v>
      </c>
      <c r="I347" s="5" t="s">
        <v>36</v>
      </c>
      <c r="J347" s="6">
        <v>7.0</v>
      </c>
      <c r="K347" s="6" t="s">
        <v>37</v>
      </c>
      <c r="L347" s="6">
        <v>5000.0</v>
      </c>
      <c r="M347" s="5" t="s">
        <v>106</v>
      </c>
      <c r="N347" s="5" t="s">
        <v>106</v>
      </c>
      <c r="O347" s="6" t="s">
        <v>136</v>
      </c>
      <c r="P347" s="5" t="s">
        <v>41</v>
      </c>
      <c r="Q347" s="5"/>
      <c r="R347" s="17" t="s">
        <v>42</v>
      </c>
      <c r="S347" s="5" t="s">
        <v>401</v>
      </c>
      <c r="T347" s="5" t="s">
        <v>61</v>
      </c>
      <c r="U347" s="5" t="s">
        <v>349</v>
      </c>
      <c r="V347" s="5" t="s">
        <v>44</v>
      </c>
      <c r="W347" s="5" t="s">
        <v>35</v>
      </c>
      <c r="X347" s="5" t="s">
        <v>403</v>
      </c>
      <c r="Y347" s="5" t="s">
        <v>102</v>
      </c>
      <c r="Z347" s="5" t="s">
        <v>36</v>
      </c>
      <c r="AA347" s="5" t="s">
        <v>48</v>
      </c>
      <c r="AB347" s="5" t="s">
        <v>2244</v>
      </c>
      <c r="AC347" s="6" t="s">
        <v>71</v>
      </c>
      <c r="AD347" s="6">
        <v>6827.0</v>
      </c>
    </row>
    <row r="348" ht="56.25" customHeight="1">
      <c r="A348" s="5" t="s">
        <v>2227</v>
      </c>
      <c r="B348" s="6" t="str">
        <f>IMAGE("https://storage.googleapis.com/acdb/wall-mounted/FtrStarDecorationWall_Remake_4_0.png")</f>
        <v/>
      </c>
      <c r="C348" s="5" t="s">
        <v>69</v>
      </c>
      <c r="D348" s="5" t="s">
        <v>135</v>
      </c>
      <c r="E348" s="5" t="s">
        <v>34</v>
      </c>
      <c r="F348" s="5" t="s">
        <v>34</v>
      </c>
      <c r="G348" s="5" t="s">
        <v>35</v>
      </c>
      <c r="H348" s="5" t="s">
        <v>35</v>
      </c>
      <c r="I348" s="5" t="s">
        <v>36</v>
      </c>
      <c r="J348" s="6">
        <v>7.0</v>
      </c>
      <c r="K348" s="6" t="s">
        <v>37</v>
      </c>
      <c r="L348" s="6">
        <v>5000.0</v>
      </c>
      <c r="M348" s="5" t="s">
        <v>69</v>
      </c>
      <c r="N348" s="5" t="s">
        <v>69</v>
      </c>
      <c r="O348" s="6" t="s">
        <v>136</v>
      </c>
      <c r="P348" s="5" t="s">
        <v>41</v>
      </c>
      <c r="Q348" s="5"/>
      <c r="R348" s="17" t="s">
        <v>42</v>
      </c>
      <c r="S348" s="5" t="s">
        <v>401</v>
      </c>
      <c r="T348" s="5" t="s">
        <v>61</v>
      </c>
      <c r="U348" s="5" t="s">
        <v>349</v>
      </c>
      <c r="V348" s="5" t="s">
        <v>44</v>
      </c>
      <c r="W348" s="5" t="s">
        <v>35</v>
      </c>
      <c r="X348" s="5" t="s">
        <v>403</v>
      </c>
      <c r="Y348" s="5" t="s">
        <v>102</v>
      </c>
      <c r="Z348" s="5" t="s">
        <v>36</v>
      </c>
      <c r="AA348" s="5" t="s">
        <v>48</v>
      </c>
      <c r="AB348" s="5" t="s">
        <v>2248</v>
      </c>
      <c r="AC348" s="6" t="s">
        <v>75</v>
      </c>
      <c r="AD348" s="6">
        <v>6827.0</v>
      </c>
    </row>
    <row r="349" ht="56.25" customHeight="1">
      <c r="A349" s="5" t="s">
        <v>2227</v>
      </c>
      <c r="B349" s="6" t="str">
        <f>IMAGE("https://storage.googleapis.com/acdb/wall-mounted/FtrStarDecorationWall_Remake_5_0.png")</f>
        <v/>
      </c>
      <c r="C349" s="5" t="s">
        <v>142</v>
      </c>
      <c r="D349" s="5" t="s">
        <v>135</v>
      </c>
      <c r="E349" s="5" t="s">
        <v>34</v>
      </c>
      <c r="F349" s="5" t="s">
        <v>34</v>
      </c>
      <c r="G349" s="5" t="s">
        <v>35</v>
      </c>
      <c r="H349" s="5" t="s">
        <v>35</v>
      </c>
      <c r="I349" s="5" t="s">
        <v>36</v>
      </c>
      <c r="J349" s="6">
        <v>7.0</v>
      </c>
      <c r="K349" s="6" t="s">
        <v>37</v>
      </c>
      <c r="L349" s="6">
        <v>5000.0</v>
      </c>
      <c r="M349" s="5" t="s">
        <v>142</v>
      </c>
      <c r="N349" s="5" t="s">
        <v>142</v>
      </c>
      <c r="O349" s="6" t="s">
        <v>136</v>
      </c>
      <c r="P349" s="5" t="s">
        <v>41</v>
      </c>
      <c r="Q349" s="5"/>
      <c r="R349" s="17" t="s">
        <v>42</v>
      </c>
      <c r="S349" s="5" t="s">
        <v>401</v>
      </c>
      <c r="T349" s="5" t="s">
        <v>61</v>
      </c>
      <c r="U349" s="5" t="s">
        <v>349</v>
      </c>
      <c r="V349" s="5" t="s">
        <v>44</v>
      </c>
      <c r="W349" s="5" t="s">
        <v>35</v>
      </c>
      <c r="X349" s="5" t="s">
        <v>403</v>
      </c>
      <c r="Y349" s="5" t="s">
        <v>102</v>
      </c>
      <c r="Z349" s="5" t="s">
        <v>36</v>
      </c>
      <c r="AA349" s="5" t="s">
        <v>48</v>
      </c>
      <c r="AB349" s="5" t="s">
        <v>2252</v>
      </c>
      <c r="AC349" s="6" t="s">
        <v>79</v>
      </c>
      <c r="AD349" s="6">
        <v>6827.0</v>
      </c>
    </row>
    <row r="350" ht="56.25" customHeight="1">
      <c r="A350" s="5" t="s">
        <v>2227</v>
      </c>
      <c r="B350" s="6" t="str">
        <f>IMAGE("https://storage.googleapis.com/acdb/wall-mounted/FtrStarDecorationWall_Remake_6_0.png")</f>
        <v/>
      </c>
      <c r="C350" s="5" t="s">
        <v>57</v>
      </c>
      <c r="D350" s="5" t="s">
        <v>135</v>
      </c>
      <c r="E350" s="5" t="s">
        <v>34</v>
      </c>
      <c r="F350" s="5" t="s">
        <v>34</v>
      </c>
      <c r="G350" s="5" t="s">
        <v>35</v>
      </c>
      <c r="H350" s="5" t="s">
        <v>35</v>
      </c>
      <c r="I350" s="5" t="s">
        <v>36</v>
      </c>
      <c r="J350" s="6">
        <v>7.0</v>
      </c>
      <c r="K350" s="6" t="s">
        <v>37</v>
      </c>
      <c r="L350" s="6">
        <v>5000.0</v>
      </c>
      <c r="M350" s="5" t="s">
        <v>57</v>
      </c>
      <c r="N350" s="5" t="s">
        <v>57</v>
      </c>
      <c r="O350" s="6" t="s">
        <v>136</v>
      </c>
      <c r="P350" s="5" t="s">
        <v>41</v>
      </c>
      <c r="Q350" s="5"/>
      <c r="R350" s="17" t="s">
        <v>42</v>
      </c>
      <c r="S350" s="5" t="s">
        <v>401</v>
      </c>
      <c r="T350" s="5" t="s">
        <v>61</v>
      </c>
      <c r="U350" s="5" t="s">
        <v>349</v>
      </c>
      <c r="V350" s="5" t="s">
        <v>44</v>
      </c>
      <c r="W350" s="5" t="s">
        <v>35</v>
      </c>
      <c r="X350" s="5" t="s">
        <v>403</v>
      </c>
      <c r="Y350" s="5" t="s">
        <v>102</v>
      </c>
      <c r="Z350" s="5" t="s">
        <v>36</v>
      </c>
      <c r="AA350" s="5" t="s">
        <v>48</v>
      </c>
      <c r="AB350" s="5" t="s">
        <v>2258</v>
      </c>
      <c r="AC350" s="6" t="s">
        <v>86</v>
      </c>
      <c r="AD350" s="6">
        <v>6827.0</v>
      </c>
    </row>
    <row r="351" ht="56.25" customHeight="1">
      <c r="A351" s="5" t="s">
        <v>2260</v>
      </c>
      <c r="B351" s="6" t="str">
        <f>IMAGE("https://storage.googleapis.com/acdb/wall-mounted/FtrLampSpotWall_Remake_0_0.png")</f>
        <v/>
      </c>
      <c r="C351" s="5" t="s">
        <v>57</v>
      </c>
      <c r="D351" s="5" t="s">
        <v>34</v>
      </c>
      <c r="E351" s="5" t="s">
        <v>34</v>
      </c>
      <c r="F351" s="5" t="s">
        <v>34</v>
      </c>
      <c r="G351" s="5" t="s">
        <v>36</v>
      </c>
      <c r="H351" s="5" t="s">
        <v>36</v>
      </c>
      <c r="I351" s="5" t="s">
        <v>36</v>
      </c>
      <c r="J351" s="6" t="s">
        <v>34</v>
      </c>
      <c r="K351" s="6">
        <v>2300.0</v>
      </c>
      <c r="L351" s="6">
        <v>575.0</v>
      </c>
      <c r="M351" s="5" t="s">
        <v>54</v>
      </c>
      <c r="N351" s="5" t="s">
        <v>57</v>
      </c>
      <c r="O351" s="6" t="s">
        <v>179</v>
      </c>
      <c r="P351" s="5" t="s">
        <v>59</v>
      </c>
      <c r="Q351" s="5" t="s">
        <v>122</v>
      </c>
      <c r="R351" s="17" t="s">
        <v>42</v>
      </c>
      <c r="S351" s="5" t="s">
        <v>141</v>
      </c>
      <c r="T351" s="5" t="s">
        <v>129</v>
      </c>
      <c r="U351" s="5" t="s">
        <v>44</v>
      </c>
      <c r="V351" s="5" t="s">
        <v>44</v>
      </c>
      <c r="W351" s="5" t="s">
        <v>35</v>
      </c>
      <c r="X351" s="5" t="s">
        <v>467</v>
      </c>
      <c r="Y351" s="5" t="s">
        <v>1749</v>
      </c>
      <c r="Z351" s="5" t="s">
        <v>36</v>
      </c>
      <c r="AA351" s="5" t="s">
        <v>64</v>
      </c>
      <c r="AB351" s="5" t="s">
        <v>2265</v>
      </c>
      <c r="AC351" s="6" t="s">
        <v>50</v>
      </c>
      <c r="AD351" s="6">
        <v>7190.0</v>
      </c>
    </row>
    <row r="352" ht="56.25" customHeight="1">
      <c r="A352" s="5" t="s">
        <v>2260</v>
      </c>
      <c r="B352" s="6" t="str">
        <f>IMAGE("https://storage.googleapis.com/acdb/wall-mounted/FtrLampSpotWall_Remake_1_0.png")</f>
        <v/>
      </c>
      <c r="C352" s="5" t="s">
        <v>114</v>
      </c>
      <c r="D352" s="5" t="s">
        <v>34</v>
      </c>
      <c r="E352" s="5" t="s">
        <v>34</v>
      </c>
      <c r="F352" s="5" t="s">
        <v>34</v>
      </c>
      <c r="G352" s="5" t="s">
        <v>36</v>
      </c>
      <c r="H352" s="5" t="s">
        <v>36</v>
      </c>
      <c r="I352" s="5" t="s">
        <v>36</v>
      </c>
      <c r="J352" s="6" t="s">
        <v>34</v>
      </c>
      <c r="K352" s="6">
        <v>2300.0</v>
      </c>
      <c r="L352" s="6">
        <v>575.0</v>
      </c>
      <c r="M352" s="5" t="s">
        <v>54</v>
      </c>
      <c r="N352" s="5" t="s">
        <v>114</v>
      </c>
      <c r="O352" s="6" t="s">
        <v>179</v>
      </c>
      <c r="P352" s="5" t="s">
        <v>59</v>
      </c>
      <c r="Q352" s="5" t="s">
        <v>122</v>
      </c>
      <c r="R352" s="17" t="s">
        <v>42</v>
      </c>
      <c r="S352" s="5" t="s">
        <v>141</v>
      </c>
      <c r="T352" s="5" t="s">
        <v>129</v>
      </c>
      <c r="U352" s="5" t="s">
        <v>44</v>
      </c>
      <c r="V352" s="5" t="s">
        <v>44</v>
      </c>
      <c r="W352" s="5" t="s">
        <v>35</v>
      </c>
      <c r="X352" s="5" t="s">
        <v>467</v>
      </c>
      <c r="Y352" s="5" t="s">
        <v>1749</v>
      </c>
      <c r="Z352" s="5" t="s">
        <v>36</v>
      </c>
      <c r="AA352" s="5" t="s">
        <v>64</v>
      </c>
      <c r="AB352" s="5" t="s">
        <v>2270</v>
      </c>
      <c r="AC352" s="6" t="s">
        <v>56</v>
      </c>
      <c r="AD352" s="6">
        <v>7190.0</v>
      </c>
    </row>
    <row r="353" ht="56.25" customHeight="1">
      <c r="A353" s="5" t="s">
        <v>2260</v>
      </c>
      <c r="B353" s="6" t="str">
        <f>IMAGE("https://storage.googleapis.com/acdb/wall-mounted/FtrLampSpotWall_Remake_2_0.png")</f>
        <v/>
      </c>
      <c r="C353" s="5" t="s">
        <v>142</v>
      </c>
      <c r="D353" s="5" t="s">
        <v>34</v>
      </c>
      <c r="E353" s="5" t="s">
        <v>34</v>
      </c>
      <c r="F353" s="5" t="s">
        <v>34</v>
      </c>
      <c r="G353" s="5" t="s">
        <v>36</v>
      </c>
      <c r="H353" s="5" t="s">
        <v>36</v>
      </c>
      <c r="I353" s="5" t="s">
        <v>36</v>
      </c>
      <c r="J353" s="6" t="s">
        <v>34</v>
      </c>
      <c r="K353" s="6">
        <v>2300.0</v>
      </c>
      <c r="L353" s="6">
        <v>575.0</v>
      </c>
      <c r="M353" s="5" t="s">
        <v>54</v>
      </c>
      <c r="N353" s="5" t="s">
        <v>142</v>
      </c>
      <c r="O353" s="6" t="s">
        <v>179</v>
      </c>
      <c r="P353" s="5" t="s">
        <v>59</v>
      </c>
      <c r="Q353" s="5" t="s">
        <v>122</v>
      </c>
      <c r="R353" s="17" t="s">
        <v>42</v>
      </c>
      <c r="S353" s="5" t="s">
        <v>141</v>
      </c>
      <c r="T353" s="5" t="s">
        <v>129</v>
      </c>
      <c r="U353" s="5" t="s">
        <v>44</v>
      </c>
      <c r="V353" s="5" t="s">
        <v>44</v>
      </c>
      <c r="W353" s="5" t="s">
        <v>35</v>
      </c>
      <c r="X353" s="5" t="s">
        <v>467</v>
      </c>
      <c r="Y353" s="5" t="s">
        <v>1749</v>
      </c>
      <c r="Z353" s="5" t="s">
        <v>36</v>
      </c>
      <c r="AA353" s="5" t="s">
        <v>64</v>
      </c>
      <c r="AB353" s="5" t="s">
        <v>2275</v>
      </c>
      <c r="AC353" s="6" t="s">
        <v>67</v>
      </c>
      <c r="AD353" s="6">
        <v>7190.0</v>
      </c>
    </row>
    <row r="354" ht="56.25" customHeight="1">
      <c r="A354" s="5" t="s">
        <v>2260</v>
      </c>
      <c r="B354" s="6" t="str">
        <f>IMAGE("https://storage.googleapis.com/acdb/wall-mounted/FtrLampSpotWall_Remake_3_0.png")</f>
        <v/>
      </c>
      <c r="C354" s="5" t="s">
        <v>52</v>
      </c>
      <c r="D354" s="5" t="s">
        <v>34</v>
      </c>
      <c r="E354" s="5" t="s">
        <v>34</v>
      </c>
      <c r="F354" s="5" t="s">
        <v>34</v>
      </c>
      <c r="G354" s="5" t="s">
        <v>36</v>
      </c>
      <c r="H354" s="5" t="s">
        <v>36</v>
      </c>
      <c r="I354" s="5" t="s">
        <v>36</v>
      </c>
      <c r="J354" s="6" t="s">
        <v>34</v>
      </c>
      <c r="K354" s="6">
        <v>2300.0</v>
      </c>
      <c r="L354" s="6">
        <v>575.0</v>
      </c>
      <c r="M354" s="5" t="s">
        <v>54</v>
      </c>
      <c r="N354" s="5" t="s">
        <v>52</v>
      </c>
      <c r="O354" s="6" t="s">
        <v>179</v>
      </c>
      <c r="P354" s="5" t="s">
        <v>59</v>
      </c>
      <c r="Q354" s="5" t="s">
        <v>122</v>
      </c>
      <c r="R354" s="17" t="s">
        <v>42</v>
      </c>
      <c r="S354" s="5" t="s">
        <v>141</v>
      </c>
      <c r="T354" s="5" t="s">
        <v>129</v>
      </c>
      <c r="U354" s="5" t="s">
        <v>44</v>
      </c>
      <c r="V354" s="5" t="s">
        <v>44</v>
      </c>
      <c r="W354" s="5" t="s">
        <v>35</v>
      </c>
      <c r="X354" s="5" t="s">
        <v>467</v>
      </c>
      <c r="Y354" s="5" t="s">
        <v>1749</v>
      </c>
      <c r="Z354" s="5" t="s">
        <v>36</v>
      </c>
      <c r="AA354" s="5" t="s">
        <v>64</v>
      </c>
      <c r="AB354" s="5" t="s">
        <v>2280</v>
      </c>
      <c r="AC354" s="6" t="s">
        <v>71</v>
      </c>
      <c r="AD354" s="6">
        <v>7190.0</v>
      </c>
    </row>
    <row r="355" ht="56.25" customHeight="1">
      <c r="A355" s="5" t="s">
        <v>2260</v>
      </c>
      <c r="B355" s="6" t="str">
        <f>IMAGE("https://storage.googleapis.com/acdb/wall-mounted/FtrLampSpotWall_Remake_4_0.png")</f>
        <v/>
      </c>
      <c r="C355" s="5" t="s">
        <v>69</v>
      </c>
      <c r="D355" s="5" t="s">
        <v>34</v>
      </c>
      <c r="E355" s="5" t="s">
        <v>34</v>
      </c>
      <c r="F355" s="5" t="s">
        <v>34</v>
      </c>
      <c r="G355" s="5" t="s">
        <v>36</v>
      </c>
      <c r="H355" s="5" t="s">
        <v>36</v>
      </c>
      <c r="I355" s="5" t="s">
        <v>36</v>
      </c>
      <c r="J355" s="6" t="s">
        <v>34</v>
      </c>
      <c r="K355" s="6">
        <v>2300.0</v>
      </c>
      <c r="L355" s="6">
        <v>575.0</v>
      </c>
      <c r="M355" s="5" t="s">
        <v>54</v>
      </c>
      <c r="N355" s="5" t="s">
        <v>69</v>
      </c>
      <c r="O355" s="6" t="s">
        <v>179</v>
      </c>
      <c r="P355" s="5" t="s">
        <v>59</v>
      </c>
      <c r="Q355" s="5" t="s">
        <v>122</v>
      </c>
      <c r="R355" s="17" t="s">
        <v>42</v>
      </c>
      <c r="S355" s="5" t="s">
        <v>141</v>
      </c>
      <c r="T355" s="5" t="s">
        <v>129</v>
      </c>
      <c r="U355" s="5" t="s">
        <v>44</v>
      </c>
      <c r="V355" s="5" t="s">
        <v>44</v>
      </c>
      <c r="W355" s="5" t="s">
        <v>35</v>
      </c>
      <c r="X355" s="5" t="s">
        <v>467</v>
      </c>
      <c r="Y355" s="5" t="s">
        <v>1749</v>
      </c>
      <c r="Z355" s="5" t="s">
        <v>36</v>
      </c>
      <c r="AA355" s="5" t="s">
        <v>64</v>
      </c>
      <c r="AB355" s="5" t="s">
        <v>2285</v>
      </c>
      <c r="AC355" s="6" t="s">
        <v>75</v>
      </c>
      <c r="AD355" s="6">
        <v>7190.0</v>
      </c>
    </row>
    <row r="356" ht="56.25" customHeight="1">
      <c r="A356" s="5" t="s">
        <v>2260</v>
      </c>
      <c r="B356" s="6" t="str">
        <f>IMAGE("https://storage.googleapis.com/acdb/wall-mounted/FtrLampSpotWall_Remake_5_0.png")</f>
        <v/>
      </c>
      <c r="C356" s="5" t="s">
        <v>106</v>
      </c>
      <c r="D356" s="5" t="s">
        <v>34</v>
      </c>
      <c r="E356" s="5" t="s">
        <v>34</v>
      </c>
      <c r="F356" s="5" t="s">
        <v>34</v>
      </c>
      <c r="G356" s="5" t="s">
        <v>36</v>
      </c>
      <c r="H356" s="5" t="s">
        <v>36</v>
      </c>
      <c r="I356" s="5" t="s">
        <v>36</v>
      </c>
      <c r="J356" s="6" t="s">
        <v>34</v>
      </c>
      <c r="K356" s="6">
        <v>2300.0</v>
      </c>
      <c r="L356" s="6">
        <v>575.0</v>
      </c>
      <c r="M356" s="5" t="s">
        <v>54</v>
      </c>
      <c r="N356" s="5" t="s">
        <v>106</v>
      </c>
      <c r="O356" s="6" t="s">
        <v>179</v>
      </c>
      <c r="P356" s="5" t="s">
        <v>59</v>
      </c>
      <c r="Q356" s="5" t="s">
        <v>122</v>
      </c>
      <c r="R356" s="17" t="s">
        <v>42</v>
      </c>
      <c r="S356" s="5" t="s">
        <v>141</v>
      </c>
      <c r="T356" s="5" t="s">
        <v>129</v>
      </c>
      <c r="U356" s="5" t="s">
        <v>44</v>
      </c>
      <c r="V356" s="5" t="s">
        <v>44</v>
      </c>
      <c r="W356" s="5" t="s">
        <v>35</v>
      </c>
      <c r="X356" s="5" t="s">
        <v>467</v>
      </c>
      <c r="Y356" s="5" t="s">
        <v>1749</v>
      </c>
      <c r="Z356" s="5" t="s">
        <v>36</v>
      </c>
      <c r="AA356" s="5" t="s">
        <v>64</v>
      </c>
      <c r="AB356" s="5" t="s">
        <v>2288</v>
      </c>
      <c r="AC356" s="6" t="s">
        <v>79</v>
      </c>
      <c r="AD356" s="6">
        <v>7190.0</v>
      </c>
    </row>
    <row r="357" ht="56.25" customHeight="1">
      <c r="A357" s="5" t="s">
        <v>2260</v>
      </c>
      <c r="B357" s="6" t="str">
        <f>IMAGE("https://storage.googleapis.com/acdb/wall-mounted/FtrLampSpotWall_Remake_6_0.png")</f>
        <v/>
      </c>
      <c r="C357" s="5" t="s">
        <v>68</v>
      </c>
      <c r="D357" s="5" t="s">
        <v>34</v>
      </c>
      <c r="E357" s="5" t="s">
        <v>34</v>
      </c>
      <c r="F357" s="5" t="s">
        <v>34</v>
      </c>
      <c r="G357" s="5" t="s">
        <v>36</v>
      </c>
      <c r="H357" s="5" t="s">
        <v>36</v>
      </c>
      <c r="I357" s="5" t="s">
        <v>36</v>
      </c>
      <c r="J357" s="6" t="s">
        <v>34</v>
      </c>
      <c r="K357" s="6">
        <v>2300.0</v>
      </c>
      <c r="L357" s="6">
        <v>575.0</v>
      </c>
      <c r="M357" s="5" t="s">
        <v>54</v>
      </c>
      <c r="N357" s="5" t="s">
        <v>68</v>
      </c>
      <c r="O357" s="6" t="s">
        <v>179</v>
      </c>
      <c r="P357" s="5" t="s">
        <v>59</v>
      </c>
      <c r="Q357" s="5" t="s">
        <v>122</v>
      </c>
      <c r="R357" s="17" t="s">
        <v>42</v>
      </c>
      <c r="S357" s="5" t="s">
        <v>141</v>
      </c>
      <c r="T357" s="5" t="s">
        <v>129</v>
      </c>
      <c r="U357" s="5" t="s">
        <v>44</v>
      </c>
      <c r="V357" s="5" t="s">
        <v>44</v>
      </c>
      <c r="W357" s="5" t="s">
        <v>35</v>
      </c>
      <c r="X357" s="5" t="s">
        <v>467</v>
      </c>
      <c r="Y357" s="5" t="s">
        <v>1749</v>
      </c>
      <c r="Z357" s="5" t="s">
        <v>36</v>
      </c>
      <c r="AA357" s="5" t="s">
        <v>64</v>
      </c>
      <c r="AB357" s="5" t="s">
        <v>2295</v>
      </c>
      <c r="AC357" s="6" t="s">
        <v>86</v>
      </c>
      <c r="AD357" s="6">
        <v>7190.0</v>
      </c>
    </row>
    <row r="358" ht="56.25" customHeight="1">
      <c r="A358" s="5" t="s">
        <v>2260</v>
      </c>
      <c r="B358" s="6" t="str">
        <f>IMAGE("https://storage.googleapis.com/acdb/wall-mounted/FtrLampSpotWall_Remake_7_0.png")</f>
        <v/>
      </c>
      <c r="C358" s="5" t="s">
        <v>96</v>
      </c>
      <c r="D358" s="5" t="s">
        <v>34</v>
      </c>
      <c r="E358" s="5" t="s">
        <v>34</v>
      </c>
      <c r="F358" s="5" t="s">
        <v>34</v>
      </c>
      <c r="G358" s="5" t="s">
        <v>36</v>
      </c>
      <c r="H358" s="5" t="s">
        <v>36</v>
      </c>
      <c r="I358" s="5" t="s">
        <v>36</v>
      </c>
      <c r="J358" s="6" t="s">
        <v>34</v>
      </c>
      <c r="K358" s="6">
        <v>2300.0</v>
      </c>
      <c r="L358" s="6">
        <v>575.0</v>
      </c>
      <c r="M358" s="5" t="s">
        <v>54</v>
      </c>
      <c r="N358" s="5" t="s">
        <v>96</v>
      </c>
      <c r="O358" s="6" t="s">
        <v>179</v>
      </c>
      <c r="P358" s="5" t="s">
        <v>59</v>
      </c>
      <c r="Q358" s="5" t="s">
        <v>122</v>
      </c>
      <c r="R358" s="17" t="s">
        <v>42</v>
      </c>
      <c r="S358" s="5" t="s">
        <v>141</v>
      </c>
      <c r="T358" s="5" t="s">
        <v>129</v>
      </c>
      <c r="U358" s="5" t="s">
        <v>44</v>
      </c>
      <c r="V358" s="5" t="s">
        <v>44</v>
      </c>
      <c r="W358" s="5" t="s">
        <v>35</v>
      </c>
      <c r="X358" s="5" t="s">
        <v>467</v>
      </c>
      <c r="Y358" s="5" t="s">
        <v>1749</v>
      </c>
      <c r="Z358" s="5" t="s">
        <v>36</v>
      </c>
      <c r="AA358" s="5" t="s">
        <v>64</v>
      </c>
      <c r="AB358" s="5" t="s">
        <v>2299</v>
      </c>
      <c r="AC358" s="6" t="s">
        <v>208</v>
      </c>
      <c r="AD358" s="6">
        <v>7190.0</v>
      </c>
    </row>
    <row r="359" ht="56.25" customHeight="1">
      <c r="A359" s="5" t="s">
        <v>2300</v>
      </c>
      <c r="B359" s="6" t="str">
        <f>IMAGE("https://storage.googleapis.com/acdb/wall-mounted/FtrSurveillance.png")</f>
        <v/>
      </c>
      <c r="C359" s="5" t="s">
        <v>34</v>
      </c>
      <c r="D359" s="5" t="s">
        <v>34</v>
      </c>
      <c r="E359" s="5" t="s">
        <v>34</v>
      </c>
      <c r="F359" s="5" t="s">
        <v>34</v>
      </c>
      <c r="G359" s="5" t="s">
        <v>36</v>
      </c>
      <c r="H359" s="5" t="s">
        <v>36</v>
      </c>
      <c r="I359" s="5" t="s">
        <v>36</v>
      </c>
      <c r="J359" s="6" t="s">
        <v>34</v>
      </c>
      <c r="K359" s="6">
        <v>1000.0</v>
      </c>
      <c r="L359" s="6">
        <v>250.0</v>
      </c>
      <c r="M359" s="5" t="s">
        <v>57</v>
      </c>
      <c r="N359" s="5" t="s">
        <v>95</v>
      </c>
      <c r="O359" s="6" t="s">
        <v>179</v>
      </c>
      <c r="P359" s="5" t="s">
        <v>59</v>
      </c>
      <c r="Q359" s="5" t="s">
        <v>122</v>
      </c>
      <c r="R359" s="17" t="s">
        <v>42</v>
      </c>
      <c r="S359" s="5" t="s">
        <v>141</v>
      </c>
      <c r="T359" s="5" t="s">
        <v>44</v>
      </c>
      <c r="U359" s="5" t="s">
        <v>44</v>
      </c>
      <c r="V359" s="5" t="s">
        <v>44</v>
      </c>
      <c r="W359" s="5" t="s">
        <v>35</v>
      </c>
      <c r="X359" s="5" t="s">
        <v>921</v>
      </c>
      <c r="Y359" s="5" t="s">
        <v>47</v>
      </c>
      <c r="Z359" s="5" t="s">
        <v>36</v>
      </c>
      <c r="AA359" s="5" t="s">
        <v>64</v>
      </c>
      <c r="AB359" s="5" t="s">
        <v>2305</v>
      </c>
      <c r="AC359" s="6" t="s">
        <v>34</v>
      </c>
      <c r="AD359" s="6">
        <v>1165.0</v>
      </c>
    </row>
    <row r="360" ht="56.25" customHeight="1">
      <c r="A360" s="5" t="s">
        <v>2306</v>
      </c>
      <c r="B360" s="6" t="str">
        <f>IMAGE("https://storage.googleapis.com/acdb/wall-mounted/FtrSwitchWall_Remake_0_0.png")</f>
        <v/>
      </c>
      <c r="C360" s="5" t="s">
        <v>95</v>
      </c>
      <c r="D360" s="5" t="s">
        <v>34</v>
      </c>
      <c r="E360" s="5" t="s">
        <v>34</v>
      </c>
      <c r="F360" s="5" t="s">
        <v>34</v>
      </c>
      <c r="G360" s="5" t="s">
        <v>36</v>
      </c>
      <c r="H360" s="5" t="s">
        <v>36</v>
      </c>
      <c r="I360" s="5" t="s">
        <v>36</v>
      </c>
      <c r="J360" s="6" t="s">
        <v>34</v>
      </c>
      <c r="K360" s="6">
        <v>340.0</v>
      </c>
      <c r="L360" s="6">
        <v>85.0</v>
      </c>
      <c r="M360" s="5" t="s">
        <v>95</v>
      </c>
      <c r="N360" s="5" t="s">
        <v>54</v>
      </c>
      <c r="O360" s="6" t="s">
        <v>179</v>
      </c>
      <c r="P360" s="5" t="s">
        <v>59</v>
      </c>
      <c r="Q360" s="5" t="s">
        <v>122</v>
      </c>
      <c r="R360" s="17" t="s">
        <v>42</v>
      </c>
      <c r="S360" s="5" t="s">
        <v>90</v>
      </c>
      <c r="T360" s="5" t="s">
        <v>141</v>
      </c>
      <c r="U360" s="5" t="s">
        <v>44</v>
      </c>
      <c r="V360" s="5" t="s">
        <v>44</v>
      </c>
      <c r="W360" s="5" t="s">
        <v>35</v>
      </c>
      <c r="X360" s="5" t="s">
        <v>182</v>
      </c>
      <c r="Y360" s="5" t="s">
        <v>47</v>
      </c>
      <c r="Z360" s="5" t="s">
        <v>36</v>
      </c>
      <c r="AA360" s="5" t="s">
        <v>64</v>
      </c>
      <c r="AB360" s="5" t="s">
        <v>2311</v>
      </c>
      <c r="AC360" s="6" t="s">
        <v>50</v>
      </c>
      <c r="AD360" s="6">
        <v>3471.0</v>
      </c>
    </row>
    <row r="361" ht="56.25" customHeight="1">
      <c r="A361" s="5" t="s">
        <v>2306</v>
      </c>
      <c r="B361" s="6" t="str">
        <f>IMAGE("https://storage.googleapis.com/acdb/wall-mounted/FtrSwitchWall_Remake_1_0.png")</f>
        <v/>
      </c>
      <c r="C361" s="5" t="s">
        <v>39</v>
      </c>
      <c r="D361" s="5" t="s">
        <v>34</v>
      </c>
      <c r="E361" s="5" t="s">
        <v>34</v>
      </c>
      <c r="F361" s="5" t="s">
        <v>34</v>
      </c>
      <c r="G361" s="5" t="s">
        <v>36</v>
      </c>
      <c r="H361" s="5" t="s">
        <v>36</v>
      </c>
      <c r="I361" s="5" t="s">
        <v>36</v>
      </c>
      <c r="J361" s="6" t="s">
        <v>34</v>
      </c>
      <c r="K361" s="6">
        <v>340.0</v>
      </c>
      <c r="L361" s="6">
        <v>85.0</v>
      </c>
      <c r="M361" s="5" t="s">
        <v>39</v>
      </c>
      <c r="N361" s="5" t="s">
        <v>95</v>
      </c>
      <c r="O361" s="6" t="s">
        <v>179</v>
      </c>
      <c r="P361" s="5" t="s">
        <v>59</v>
      </c>
      <c r="Q361" s="5" t="s">
        <v>122</v>
      </c>
      <c r="R361" s="17" t="s">
        <v>42</v>
      </c>
      <c r="S361" s="5" t="s">
        <v>90</v>
      </c>
      <c r="T361" s="5" t="s">
        <v>141</v>
      </c>
      <c r="U361" s="5" t="s">
        <v>44</v>
      </c>
      <c r="V361" s="5" t="s">
        <v>44</v>
      </c>
      <c r="W361" s="5" t="s">
        <v>35</v>
      </c>
      <c r="X361" s="5" t="s">
        <v>182</v>
      </c>
      <c r="Y361" s="5" t="s">
        <v>47</v>
      </c>
      <c r="Z361" s="5" t="s">
        <v>36</v>
      </c>
      <c r="AA361" s="5" t="s">
        <v>64</v>
      </c>
      <c r="AB361" s="5" t="s">
        <v>2316</v>
      </c>
      <c r="AC361" s="6" t="s">
        <v>56</v>
      </c>
      <c r="AD361" s="6">
        <v>3471.0</v>
      </c>
    </row>
    <row r="362" ht="56.25" customHeight="1">
      <c r="A362" s="5" t="s">
        <v>2306</v>
      </c>
      <c r="B362" s="6" t="str">
        <f>IMAGE("https://storage.googleapis.com/acdb/wall-mounted/FtrSwitchWall_Remake_2_0.png")</f>
        <v/>
      </c>
      <c r="C362" s="5" t="s">
        <v>57</v>
      </c>
      <c r="D362" s="5" t="s">
        <v>34</v>
      </c>
      <c r="E362" s="5" t="s">
        <v>34</v>
      </c>
      <c r="F362" s="5" t="s">
        <v>34</v>
      </c>
      <c r="G362" s="5" t="s">
        <v>36</v>
      </c>
      <c r="H362" s="5" t="s">
        <v>36</v>
      </c>
      <c r="I362" s="5" t="s">
        <v>36</v>
      </c>
      <c r="J362" s="6" t="s">
        <v>34</v>
      </c>
      <c r="K362" s="6">
        <v>340.0</v>
      </c>
      <c r="L362" s="6">
        <v>85.0</v>
      </c>
      <c r="M362" s="5" t="s">
        <v>57</v>
      </c>
      <c r="N362" s="5" t="s">
        <v>57</v>
      </c>
      <c r="O362" s="6" t="s">
        <v>179</v>
      </c>
      <c r="P362" s="5" t="s">
        <v>59</v>
      </c>
      <c r="Q362" s="5" t="s">
        <v>122</v>
      </c>
      <c r="R362" s="17" t="s">
        <v>42</v>
      </c>
      <c r="S362" s="5" t="s">
        <v>90</v>
      </c>
      <c r="T362" s="5" t="s">
        <v>141</v>
      </c>
      <c r="U362" s="5" t="s">
        <v>44</v>
      </c>
      <c r="V362" s="5" t="s">
        <v>44</v>
      </c>
      <c r="W362" s="5" t="s">
        <v>35</v>
      </c>
      <c r="X362" s="5" t="s">
        <v>182</v>
      </c>
      <c r="Y362" s="5" t="s">
        <v>47</v>
      </c>
      <c r="Z362" s="5" t="s">
        <v>36</v>
      </c>
      <c r="AA362" s="5" t="s">
        <v>64</v>
      </c>
      <c r="AB362" s="5" t="s">
        <v>2320</v>
      </c>
      <c r="AC362" s="6" t="s">
        <v>67</v>
      </c>
      <c r="AD362" s="6">
        <v>3471.0</v>
      </c>
    </row>
    <row r="363" ht="56.25" customHeight="1">
      <c r="A363" s="5" t="s">
        <v>2306</v>
      </c>
      <c r="B363" s="6" t="str">
        <f>IMAGE("https://storage.googleapis.com/acdb/wall-mounted/FtrSwitchWall_Remake_3_0.png")</f>
        <v/>
      </c>
      <c r="C363" s="5" t="s">
        <v>2321</v>
      </c>
      <c r="D363" s="5" t="s">
        <v>34</v>
      </c>
      <c r="E363" s="5" t="s">
        <v>34</v>
      </c>
      <c r="F363" s="5" t="s">
        <v>34</v>
      </c>
      <c r="G363" s="5" t="s">
        <v>36</v>
      </c>
      <c r="H363" s="5" t="s">
        <v>36</v>
      </c>
      <c r="I363" s="5" t="s">
        <v>36</v>
      </c>
      <c r="J363" s="6" t="s">
        <v>34</v>
      </c>
      <c r="K363" s="6">
        <v>340.0</v>
      </c>
      <c r="L363" s="6">
        <v>85.0</v>
      </c>
      <c r="M363" s="5" t="s">
        <v>39</v>
      </c>
      <c r="N363" s="5" t="s">
        <v>57</v>
      </c>
      <c r="O363" s="6" t="s">
        <v>179</v>
      </c>
      <c r="P363" s="5" t="s">
        <v>59</v>
      </c>
      <c r="Q363" s="5" t="s">
        <v>122</v>
      </c>
      <c r="R363" s="17" t="s">
        <v>42</v>
      </c>
      <c r="S363" s="5" t="s">
        <v>90</v>
      </c>
      <c r="T363" s="5" t="s">
        <v>141</v>
      </c>
      <c r="U363" s="5" t="s">
        <v>44</v>
      </c>
      <c r="V363" s="5" t="s">
        <v>44</v>
      </c>
      <c r="W363" s="5" t="s">
        <v>35</v>
      </c>
      <c r="X363" s="5" t="s">
        <v>182</v>
      </c>
      <c r="Y363" s="5" t="s">
        <v>47</v>
      </c>
      <c r="Z363" s="5" t="s">
        <v>36</v>
      </c>
      <c r="AA363" s="5" t="s">
        <v>64</v>
      </c>
      <c r="AB363" s="5" t="s">
        <v>2324</v>
      </c>
      <c r="AC363" s="6" t="s">
        <v>71</v>
      </c>
      <c r="AD363" s="6">
        <v>3471.0</v>
      </c>
    </row>
    <row r="364" ht="56.25" customHeight="1">
      <c r="A364" s="5" t="s">
        <v>2326</v>
      </c>
      <c r="B364" s="6" t="str">
        <f>IMAGE("https://storage.googleapis.com/acdb/wall-mounted/FtrTapestry_Remake_0_0.png")</f>
        <v/>
      </c>
      <c r="C364" s="5" t="s">
        <v>2327</v>
      </c>
      <c r="D364" s="5" t="s">
        <v>34</v>
      </c>
      <c r="E364" s="5" t="s">
        <v>34</v>
      </c>
      <c r="F364" s="5" t="s">
        <v>34</v>
      </c>
      <c r="G364" s="5" t="s">
        <v>36</v>
      </c>
      <c r="H364" s="5" t="s">
        <v>36</v>
      </c>
      <c r="I364" s="5" t="s">
        <v>36</v>
      </c>
      <c r="J364" s="6" t="s">
        <v>34</v>
      </c>
      <c r="K364" s="6">
        <v>880.0</v>
      </c>
      <c r="L364" s="6">
        <v>220.0</v>
      </c>
      <c r="M364" s="5" t="s">
        <v>52</v>
      </c>
      <c r="N364" s="5" t="s">
        <v>83</v>
      </c>
      <c r="O364" s="6" t="s">
        <v>431</v>
      </c>
      <c r="P364" s="5" t="s">
        <v>59</v>
      </c>
      <c r="Q364" s="5" t="s">
        <v>89</v>
      </c>
      <c r="R364" s="17" t="s">
        <v>42</v>
      </c>
      <c r="S364" s="5" t="s">
        <v>90</v>
      </c>
      <c r="T364" s="5" t="s">
        <v>44</v>
      </c>
      <c r="U364" s="5" t="s">
        <v>44</v>
      </c>
      <c r="V364" s="5" t="s">
        <v>44</v>
      </c>
      <c r="W364" s="5" t="s">
        <v>36</v>
      </c>
      <c r="X364" s="5" t="s">
        <v>432</v>
      </c>
      <c r="Y364" s="5" t="s">
        <v>47</v>
      </c>
      <c r="Z364" s="5" t="s">
        <v>36</v>
      </c>
      <c r="AA364" s="5" t="s">
        <v>64</v>
      </c>
      <c r="AB364" s="5" t="s">
        <v>2330</v>
      </c>
      <c r="AC364" s="6" t="s">
        <v>50</v>
      </c>
      <c r="AD364" s="6">
        <v>704.0</v>
      </c>
    </row>
    <row r="365" ht="56.25" customHeight="1">
      <c r="A365" s="5" t="s">
        <v>2326</v>
      </c>
      <c r="B365" s="6" t="str">
        <f>IMAGE("https://storage.googleapis.com/acdb/wall-mounted/FtrTapestry_Remake_1_0.png")</f>
        <v/>
      </c>
      <c r="C365" s="5" t="s">
        <v>330</v>
      </c>
      <c r="D365" s="5" t="s">
        <v>34</v>
      </c>
      <c r="E365" s="5" t="s">
        <v>34</v>
      </c>
      <c r="F365" s="5" t="s">
        <v>34</v>
      </c>
      <c r="G365" s="5" t="s">
        <v>36</v>
      </c>
      <c r="H365" s="5" t="s">
        <v>36</v>
      </c>
      <c r="I365" s="5" t="s">
        <v>36</v>
      </c>
      <c r="J365" s="6" t="s">
        <v>34</v>
      </c>
      <c r="K365" s="6">
        <v>880.0</v>
      </c>
      <c r="L365" s="6">
        <v>220.0</v>
      </c>
      <c r="M365" s="5" t="s">
        <v>96</v>
      </c>
      <c r="N365" s="5" t="s">
        <v>57</v>
      </c>
      <c r="O365" s="6" t="s">
        <v>431</v>
      </c>
      <c r="P365" s="5" t="s">
        <v>59</v>
      </c>
      <c r="Q365" s="5" t="s">
        <v>89</v>
      </c>
      <c r="R365" s="17" t="s">
        <v>42</v>
      </c>
      <c r="S365" s="5" t="s">
        <v>90</v>
      </c>
      <c r="T365" s="5" t="s">
        <v>44</v>
      </c>
      <c r="U365" s="5" t="s">
        <v>44</v>
      </c>
      <c r="V365" s="5" t="s">
        <v>44</v>
      </c>
      <c r="W365" s="5" t="s">
        <v>36</v>
      </c>
      <c r="X365" s="5" t="s">
        <v>432</v>
      </c>
      <c r="Y365" s="5" t="s">
        <v>47</v>
      </c>
      <c r="Z365" s="5" t="s">
        <v>36</v>
      </c>
      <c r="AA365" s="5" t="s">
        <v>64</v>
      </c>
      <c r="AB365" s="5" t="s">
        <v>2335</v>
      </c>
      <c r="AC365" s="6" t="s">
        <v>56</v>
      </c>
      <c r="AD365" s="6">
        <v>704.0</v>
      </c>
    </row>
    <row r="366" ht="56.25" customHeight="1">
      <c r="A366" s="5" t="s">
        <v>2326</v>
      </c>
      <c r="B366" s="6" t="str">
        <f>IMAGE("https://storage.googleapis.com/acdb/wall-mounted/FtrTapestry_Remake_2_0.png")</f>
        <v/>
      </c>
      <c r="C366" s="5" t="s">
        <v>400</v>
      </c>
      <c r="D366" s="5" t="s">
        <v>34</v>
      </c>
      <c r="E366" s="5" t="s">
        <v>34</v>
      </c>
      <c r="F366" s="5" t="s">
        <v>34</v>
      </c>
      <c r="G366" s="5" t="s">
        <v>36</v>
      </c>
      <c r="H366" s="5" t="s">
        <v>36</v>
      </c>
      <c r="I366" s="5" t="s">
        <v>36</v>
      </c>
      <c r="J366" s="6" t="s">
        <v>34</v>
      </c>
      <c r="K366" s="6">
        <v>880.0</v>
      </c>
      <c r="L366" s="6">
        <v>220.0</v>
      </c>
      <c r="M366" s="5" t="s">
        <v>52</v>
      </c>
      <c r="N366" s="5" t="s">
        <v>96</v>
      </c>
      <c r="O366" s="6" t="s">
        <v>431</v>
      </c>
      <c r="P366" s="5" t="s">
        <v>59</v>
      </c>
      <c r="Q366" s="5" t="s">
        <v>89</v>
      </c>
      <c r="R366" s="17" t="s">
        <v>42</v>
      </c>
      <c r="S366" s="5" t="s">
        <v>90</v>
      </c>
      <c r="T366" s="5" t="s">
        <v>44</v>
      </c>
      <c r="U366" s="5" t="s">
        <v>44</v>
      </c>
      <c r="V366" s="5" t="s">
        <v>44</v>
      </c>
      <c r="W366" s="5" t="s">
        <v>36</v>
      </c>
      <c r="X366" s="5" t="s">
        <v>432</v>
      </c>
      <c r="Y366" s="5" t="s">
        <v>47</v>
      </c>
      <c r="Z366" s="5" t="s">
        <v>36</v>
      </c>
      <c r="AA366" s="5" t="s">
        <v>64</v>
      </c>
      <c r="AB366" s="5" t="s">
        <v>2338</v>
      </c>
      <c r="AC366" s="6" t="s">
        <v>67</v>
      </c>
      <c r="AD366" s="6">
        <v>704.0</v>
      </c>
    </row>
    <row r="367" ht="56.25" customHeight="1">
      <c r="A367" s="5" t="s">
        <v>2326</v>
      </c>
      <c r="B367" s="6" t="str">
        <f>IMAGE("https://storage.googleapis.com/acdb/wall-mounted/FtrTapestry_Remake_3_0.png")</f>
        <v/>
      </c>
      <c r="C367" s="5" t="s">
        <v>1748</v>
      </c>
      <c r="D367" s="5" t="s">
        <v>34</v>
      </c>
      <c r="E367" s="5" t="s">
        <v>34</v>
      </c>
      <c r="F367" s="5" t="s">
        <v>34</v>
      </c>
      <c r="G367" s="5" t="s">
        <v>36</v>
      </c>
      <c r="H367" s="5" t="s">
        <v>36</v>
      </c>
      <c r="I367" s="5" t="s">
        <v>36</v>
      </c>
      <c r="J367" s="6" t="s">
        <v>34</v>
      </c>
      <c r="K367" s="6">
        <v>880.0</v>
      </c>
      <c r="L367" s="6">
        <v>220.0</v>
      </c>
      <c r="M367" s="5" t="s">
        <v>57</v>
      </c>
      <c r="N367" s="5" t="s">
        <v>52</v>
      </c>
      <c r="O367" s="6" t="s">
        <v>431</v>
      </c>
      <c r="P367" s="5" t="s">
        <v>59</v>
      </c>
      <c r="Q367" s="5" t="s">
        <v>89</v>
      </c>
      <c r="R367" s="17" t="s">
        <v>42</v>
      </c>
      <c r="S367" s="5" t="s">
        <v>90</v>
      </c>
      <c r="T367" s="5" t="s">
        <v>44</v>
      </c>
      <c r="U367" s="5" t="s">
        <v>44</v>
      </c>
      <c r="V367" s="5" t="s">
        <v>44</v>
      </c>
      <c r="W367" s="5" t="s">
        <v>36</v>
      </c>
      <c r="X367" s="5" t="s">
        <v>432</v>
      </c>
      <c r="Y367" s="5" t="s">
        <v>47</v>
      </c>
      <c r="Z367" s="5" t="s">
        <v>36</v>
      </c>
      <c r="AA367" s="5" t="s">
        <v>64</v>
      </c>
      <c r="AB367" s="5" t="s">
        <v>2342</v>
      </c>
      <c r="AC367" s="6" t="s">
        <v>71</v>
      </c>
      <c r="AD367" s="6">
        <v>704.0</v>
      </c>
    </row>
    <row r="368" ht="56.25" customHeight="1">
      <c r="A368" s="5" t="s">
        <v>2326</v>
      </c>
      <c r="B368" s="6" t="str">
        <f>IMAGE("https://storage.googleapis.com/acdb/wall-mounted/FtrTapestry_Remake_4_0.png")</f>
        <v/>
      </c>
      <c r="C368" s="5" t="s">
        <v>1210</v>
      </c>
      <c r="D368" s="5" t="s">
        <v>34</v>
      </c>
      <c r="E368" s="5" t="s">
        <v>34</v>
      </c>
      <c r="F368" s="5" t="s">
        <v>34</v>
      </c>
      <c r="G368" s="5" t="s">
        <v>36</v>
      </c>
      <c r="H368" s="5" t="s">
        <v>36</v>
      </c>
      <c r="I368" s="5" t="s">
        <v>36</v>
      </c>
      <c r="J368" s="6" t="s">
        <v>34</v>
      </c>
      <c r="K368" s="6">
        <v>880.0</v>
      </c>
      <c r="L368" s="6">
        <v>220.0</v>
      </c>
      <c r="M368" s="5" t="s">
        <v>57</v>
      </c>
      <c r="N368" s="5" t="s">
        <v>39</v>
      </c>
      <c r="O368" s="6" t="s">
        <v>431</v>
      </c>
      <c r="P368" s="5" t="s">
        <v>59</v>
      </c>
      <c r="Q368" s="5" t="s">
        <v>89</v>
      </c>
      <c r="R368" s="17" t="s">
        <v>42</v>
      </c>
      <c r="S368" s="5" t="s">
        <v>90</v>
      </c>
      <c r="T368" s="5" t="s">
        <v>44</v>
      </c>
      <c r="U368" s="5" t="s">
        <v>44</v>
      </c>
      <c r="V368" s="5" t="s">
        <v>44</v>
      </c>
      <c r="W368" s="5" t="s">
        <v>36</v>
      </c>
      <c r="X368" s="5" t="s">
        <v>432</v>
      </c>
      <c r="Y368" s="5" t="s">
        <v>47</v>
      </c>
      <c r="Z368" s="5" t="s">
        <v>36</v>
      </c>
      <c r="AA368" s="5" t="s">
        <v>64</v>
      </c>
      <c r="AB368" s="5" t="s">
        <v>2347</v>
      </c>
      <c r="AC368" s="6" t="s">
        <v>75</v>
      </c>
      <c r="AD368" s="6">
        <v>704.0</v>
      </c>
    </row>
    <row r="369" ht="56.25" customHeight="1">
      <c r="A369" s="5" t="s">
        <v>2326</v>
      </c>
      <c r="B369" s="6" t="str">
        <f>IMAGE("https://storage.googleapis.com/acdb/wall-mounted/FtrTapestry_Remake_5_0.png")</f>
        <v/>
      </c>
      <c r="C369" s="5" t="s">
        <v>2351</v>
      </c>
      <c r="D369" s="5" t="s">
        <v>34</v>
      </c>
      <c r="E369" s="5" t="s">
        <v>34</v>
      </c>
      <c r="F369" s="5" t="s">
        <v>34</v>
      </c>
      <c r="G369" s="5" t="s">
        <v>36</v>
      </c>
      <c r="H369" s="5" t="s">
        <v>36</v>
      </c>
      <c r="I369" s="5" t="s">
        <v>36</v>
      </c>
      <c r="J369" s="6" t="s">
        <v>34</v>
      </c>
      <c r="K369" s="6">
        <v>880.0</v>
      </c>
      <c r="L369" s="6">
        <v>220.0</v>
      </c>
      <c r="M369" s="5" t="s">
        <v>68</v>
      </c>
      <c r="N369" s="5" t="s">
        <v>83</v>
      </c>
      <c r="O369" s="6" t="s">
        <v>431</v>
      </c>
      <c r="P369" s="5" t="s">
        <v>59</v>
      </c>
      <c r="Q369" s="5" t="s">
        <v>89</v>
      </c>
      <c r="R369" s="17" t="s">
        <v>42</v>
      </c>
      <c r="S369" s="5" t="s">
        <v>90</v>
      </c>
      <c r="T369" s="5" t="s">
        <v>44</v>
      </c>
      <c r="U369" s="5" t="s">
        <v>44</v>
      </c>
      <c r="V369" s="5" t="s">
        <v>44</v>
      </c>
      <c r="W369" s="5" t="s">
        <v>36</v>
      </c>
      <c r="X369" s="5" t="s">
        <v>432</v>
      </c>
      <c r="Y369" s="5" t="s">
        <v>47</v>
      </c>
      <c r="Z369" s="5" t="s">
        <v>36</v>
      </c>
      <c r="AA369" s="5" t="s">
        <v>64</v>
      </c>
      <c r="AB369" s="5" t="s">
        <v>2353</v>
      </c>
      <c r="AC369" s="6" t="s">
        <v>79</v>
      </c>
      <c r="AD369" s="6">
        <v>704.0</v>
      </c>
    </row>
    <row r="370" ht="56.25" customHeight="1">
      <c r="A370" s="5" t="s">
        <v>2355</v>
      </c>
      <c r="B370" s="6" t="str">
        <f>IMAGE("https://storage.googleapis.com/acdb/wall-mounted/FtrBoyClockWall_Remake_0_0.png")</f>
        <v/>
      </c>
      <c r="C370" s="5" t="s">
        <v>114</v>
      </c>
      <c r="D370" s="5" t="s">
        <v>34</v>
      </c>
      <c r="E370" s="5" t="s">
        <v>34</v>
      </c>
      <c r="F370" s="5" t="s">
        <v>34</v>
      </c>
      <c r="G370" s="5" t="s">
        <v>36</v>
      </c>
      <c r="H370" s="5" t="s">
        <v>36</v>
      </c>
      <c r="I370" s="5" t="s">
        <v>36</v>
      </c>
      <c r="J370" s="6" t="s">
        <v>34</v>
      </c>
      <c r="K370" s="6">
        <v>4200.0</v>
      </c>
      <c r="L370" s="6">
        <v>1050.0</v>
      </c>
      <c r="M370" s="5" t="s">
        <v>114</v>
      </c>
      <c r="N370" s="5" t="s">
        <v>52</v>
      </c>
      <c r="O370" s="6" t="s">
        <v>1057</v>
      </c>
      <c r="P370" s="5" t="s">
        <v>59</v>
      </c>
      <c r="Q370" s="5" t="s">
        <v>122</v>
      </c>
      <c r="R370" s="17" t="s">
        <v>42</v>
      </c>
      <c r="S370" s="5" t="s">
        <v>99</v>
      </c>
      <c r="T370" s="5" t="s">
        <v>44</v>
      </c>
      <c r="U370" s="5" t="s">
        <v>2359</v>
      </c>
      <c r="V370" s="5" t="s">
        <v>44</v>
      </c>
      <c r="W370" s="5" t="s">
        <v>35</v>
      </c>
      <c r="X370" s="5" t="s">
        <v>260</v>
      </c>
      <c r="Y370" s="5" t="s">
        <v>47</v>
      </c>
      <c r="Z370" s="5" t="s">
        <v>36</v>
      </c>
      <c r="AA370" s="5" t="s">
        <v>64</v>
      </c>
      <c r="AB370" s="5" t="s">
        <v>2361</v>
      </c>
      <c r="AC370" s="6" t="s">
        <v>50</v>
      </c>
      <c r="AD370" s="6">
        <v>4756.0</v>
      </c>
    </row>
    <row r="371" ht="56.25" customHeight="1">
      <c r="A371" s="5" t="s">
        <v>2355</v>
      </c>
      <c r="B371" s="6" t="str">
        <f>IMAGE("https://storage.googleapis.com/acdb/wall-mounted/FtrBoyClockWall_Remake_1_0.png")</f>
        <v/>
      </c>
      <c r="C371" s="5" t="s">
        <v>52</v>
      </c>
      <c r="D371" s="5" t="s">
        <v>34</v>
      </c>
      <c r="E371" s="5" t="s">
        <v>34</v>
      </c>
      <c r="F371" s="5" t="s">
        <v>34</v>
      </c>
      <c r="G371" s="5" t="s">
        <v>36</v>
      </c>
      <c r="H371" s="5" t="s">
        <v>36</v>
      </c>
      <c r="I371" s="5" t="s">
        <v>36</v>
      </c>
      <c r="J371" s="6" t="s">
        <v>34</v>
      </c>
      <c r="K371" s="6">
        <v>4200.0</v>
      </c>
      <c r="L371" s="6">
        <v>1050.0</v>
      </c>
      <c r="M371" s="5" t="s">
        <v>52</v>
      </c>
      <c r="N371" s="5" t="s">
        <v>68</v>
      </c>
      <c r="O371" s="6" t="s">
        <v>1057</v>
      </c>
      <c r="P371" s="5" t="s">
        <v>59</v>
      </c>
      <c r="Q371" s="5" t="s">
        <v>122</v>
      </c>
      <c r="R371" s="17" t="s">
        <v>42</v>
      </c>
      <c r="S371" s="5" t="s">
        <v>99</v>
      </c>
      <c r="T371" s="5" t="s">
        <v>44</v>
      </c>
      <c r="U371" s="5" t="s">
        <v>2359</v>
      </c>
      <c r="V371" s="5" t="s">
        <v>44</v>
      </c>
      <c r="W371" s="5" t="s">
        <v>35</v>
      </c>
      <c r="X371" s="5" t="s">
        <v>260</v>
      </c>
      <c r="Y371" s="5" t="s">
        <v>47</v>
      </c>
      <c r="Z371" s="5" t="s">
        <v>36</v>
      </c>
      <c r="AA371" s="5" t="s">
        <v>64</v>
      </c>
      <c r="AB371" s="5" t="s">
        <v>2364</v>
      </c>
      <c r="AC371" s="6" t="s">
        <v>56</v>
      </c>
      <c r="AD371" s="6">
        <v>4756.0</v>
      </c>
    </row>
    <row r="372" ht="56.25" customHeight="1">
      <c r="A372" s="5" t="s">
        <v>2355</v>
      </c>
      <c r="B372" s="6" t="str">
        <f>IMAGE("https://storage.googleapis.com/acdb/wall-mounted/FtrBoyClockWall_Remake_2_0.png")</f>
        <v/>
      </c>
      <c r="C372" s="5" t="s">
        <v>96</v>
      </c>
      <c r="D372" s="5" t="s">
        <v>34</v>
      </c>
      <c r="E372" s="5" t="s">
        <v>34</v>
      </c>
      <c r="F372" s="5" t="s">
        <v>34</v>
      </c>
      <c r="G372" s="5" t="s">
        <v>36</v>
      </c>
      <c r="H372" s="5" t="s">
        <v>36</v>
      </c>
      <c r="I372" s="5" t="s">
        <v>36</v>
      </c>
      <c r="J372" s="6" t="s">
        <v>34</v>
      </c>
      <c r="K372" s="6">
        <v>4200.0</v>
      </c>
      <c r="L372" s="6">
        <v>1050.0</v>
      </c>
      <c r="M372" s="5" t="s">
        <v>96</v>
      </c>
      <c r="N372" s="5" t="s">
        <v>114</v>
      </c>
      <c r="O372" s="6" t="s">
        <v>1057</v>
      </c>
      <c r="P372" s="5" t="s">
        <v>59</v>
      </c>
      <c r="Q372" s="5" t="s">
        <v>122</v>
      </c>
      <c r="R372" s="17" t="s">
        <v>42</v>
      </c>
      <c r="S372" s="5" t="s">
        <v>99</v>
      </c>
      <c r="T372" s="5" t="s">
        <v>44</v>
      </c>
      <c r="U372" s="5" t="s">
        <v>2359</v>
      </c>
      <c r="V372" s="5" t="s">
        <v>44</v>
      </c>
      <c r="W372" s="5" t="s">
        <v>35</v>
      </c>
      <c r="X372" s="5" t="s">
        <v>260</v>
      </c>
      <c r="Y372" s="5" t="s">
        <v>47</v>
      </c>
      <c r="Z372" s="5" t="s">
        <v>36</v>
      </c>
      <c r="AA372" s="5" t="s">
        <v>64</v>
      </c>
      <c r="AB372" s="5" t="s">
        <v>2374</v>
      </c>
      <c r="AC372" s="6" t="s">
        <v>67</v>
      </c>
      <c r="AD372" s="6">
        <v>4756.0</v>
      </c>
    </row>
    <row r="373" ht="56.25" customHeight="1">
      <c r="A373" s="5" t="s">
        <v>2355</v>
      </c>
      <c r="B373" s="6" t="str">
        <f>IMAGE("https://storage.googleapis.com/acdb/wall-mounted/FtrBoyClockWall_Remake_3_0.png")</f>
        <v/>
      </c>
      <c r="C373" s="5" t="s">
        <v>68</v>
      </c>
      <c r="D373" s="5" t="s">
        <v>34</v>
      </c>
      <c r="E373" s="5" t="s">
        <v>34</v>
      </c>
      <c r="F373" s="5" t="s">
        <v>34</v>
      </c>
      <c r="G373" s="5" t="s">
        <v>36</v>
      </c>
      <c r="H373" s="5" t="s">
        <v>36</v>
      </c>
      <c r="I373" s="5" t="s">
        <v>36</v>
      </c>
      <c r="J373" s="6" t="s">
        <v>34</v>
      </c>
      <c r="K373" s="6">
        <v>4200.0</v>
      </c>
      <c r="L373" s="6">
        <v>1050.0</v>
      </c>
      <c r="M373" s="5" t="s">
        <v>68</v>
      </c>
      <c r="N373" s="5" t="s">
        <v>96</v>
      </c>
      <c r="O373" s="6" t="s">
        <v>1057</v>
      </c>
      <c r="P373" s="5" t="s">
        <v>59</v>
      </c>
      <c r="Q373" s="5" t="s">
        <v>122</v>
      </c>
      <c r="R373" s="17" t="s">
        <v>42</v>
      </c>
      <c r="S373" s="5" t="s">
        <v>99</v>
      </c>
      <c r="T373" s="5" t="s">
        <v>44</v>
      </c>
      <c r="U373" s="5" t="s">
        <v>2359</v>
      </c>
      <c r="V373" s="5" t="s">
        <v>44</v>
      </c>
      <c r="W373" s="5" t="s">
        <v>35</v>
      </c>
      <c r="X373" s="5" t="s">
        <v>260</v>
      </c>
      <c r="Y373" s="5" t="s">
        <v>47</v>
      </c>
      <c r="Z373" s="5" t="s">
        <v>36</v>
      </c>
      <c r="AA373" s="5" t="s">
        <v>64</v>
      </c>
      <c r="AB373" s="5" t="s">
        <v>2379</v>
      </c>
      <c r="AC373" s="6" t="s">
        <v>71</v>
      </c>
      <c r="AD373" s="6">
        <v>4756.0</v>
      </c>
    </row>
    <row r="374" ht="56.25" customHeight="1">
      <c r="A374" s="5" t="s">
        <v>2355</v>
      </c>
      <c r="B374" s="6" t="str">
        <f>IMAGE("https://storage.googleapis.com/acdb/wall-mounted/FtrBoyClockWall_Remake_4_0.png")</f>
        <v/>
      </c>
      <c r="C374" s="5" t="s">
        <v>57</v>
      </c>
      <c r="D374" s="5" t="s">
        <v>34</v>
      </c>
      <c r="E374" s="5" t="s">
        <v>34</v>
      </c>
      <c r="F374" s="5" t="s">
        <v>34</v>
      </c>
      <c r="G374" s="5" t="s">
        <v>36</v>
      </c>
      <c r="H374" s="5" t="s">
        <v>36</v>
      </c>
      <c r="I374" s="5" t="s">
        <v>36</v>
      </c>
      <c r="J374" s="6" t="s">
        <v>34</v>
      </c>
      <c r="K374" s="6">
        <v>4200.0</v>
      </c>
      <c r="L374" s="6">
        <v>1050.0</v>
      </c>
      <c r="M374" s="5" t="s">
        <v>57</v>
      </c>
      <c r="N374" s="5" t="s">
        <v>69</v>
      </c>
      <c r="O374" s="6" t="s">
        <v>1057</v>
      </c>
      <c r="P374" s="5" t="s">
        <v>59</v>
      </c>
      <c r="Q374" s="5" t="s">
        <v>122</v>
      </c>
      <c r="R374" s="17" t="s">
        <v>42</v>
      </c>
      <c r="S374" s="5" t="s">
        <v>99</v>
      </c>
      <c r="T374" s="5" t="s">
        <v>44</v>
      </c>
      <c r="U374" s="5" t="s">
        <v>2359</v>
      </c>
      <c r="V374" s="5" t="s">
        <v>44</v>
      </c>
      <c r="W374" s="5" t="s">
        <v>35</v>
      </c>
      <c r="X374" s="5" t="s">
        <v>260</v>
      </c>
      <c r="Y374" s="5" t="s">
        <v>47</v>
      </c>
      <c r="Z374" s="5" t="s">
        <v>36</v>
      </c>
      <c r="AA374" s="5" t="s">
        <v>64</v>
      </c>
      <c r="AB374" s="5" t="s">
        <v>2385</v>
      </c>
      <c r="AC374" s="6" t="s">
        <v>75</v>
      </c>
      <c r="AD374" s="6">
        <v>4756.0</v>
      </c>
    </row>
    <row r="375" ht="56.25" customHeight="1">
      <c r="A375" s="5" t="s">
        <v>2355</v>
      </c>
      <c r="B375" s="6" t="str">
        <f>IMAGE("https://storage.googleapis.com/acdb/wall-mounted/FtrBoyClockWall_Remake_5_0.png")</f>
        <v/>
      </c>
      <c r="C375" s="5" t="s">
        <v>95</v>
      </c>
      <c r="D375" s="5" t="s">
        <v>34</v>
      </c>
      <c r="E375" s="5" t="s">
        <v>34</v>
      </c>
      <c r="F375" s="5" t="s">
        <v>34</v>
      </c>
      <c r="G375" s="5" t="s">
        <v>36</v>
      </c>
      <c r="H375" s="5" t="s">
        <v>36</v>
      </c>
      <c r="I375" s="5" t="s">
        <v>36</v>
      </c>
      <c r="J375" s="6" t="s">
        <v>34</v>
      </c>
      <c r="K375" s="6">
        <v>4200.0</v>
      </c>
      <c r="L375" s="6">
        <v>1050.0</v>
      </c>
      <c r="M375" s="5" t="s">
        <v>95</v>
      </c>
      <c r="N375" s="5" t="s">
        <v>57</v>
      </c>
      <c r="O375" s="6" t="s">
        <v>1057</v>
      </c>
      <c r="P375" s="5" t="s">
        <v>59</v>
      </c>
      <c r="Q375" s="5" t="s">
        <v>122</v>
      </c>
      <c r="R375" s="17" t="s">
        <v>42</v>
      </c>
      <c r="S375" s="5" t="s">
        <v>99</v>
      </c>
      <c r="T375" s="5" t="s">
        <v>44</v>
      </c>
      <c r="U375" s="5" t="s">
        <v>2359</v>
      </c>
      <c r="V375" s="5" t="s">
        <v>44</v>
      </c>
      <c r="W375" s="5" t="s">
        <v>35</v>
      </c>
      <c r="X375" s="5" t="s">
        <v>260</v>
      </c>
      <c r="Y375" s="5" t="s">
        <v>47</v>
      </c>
      <c r="Z375" s="5" t="s">
        <v>36</v>
      </c>
      <c r="AA375" s="5" t="s">
        <v>64</v>
      </c>
      <c r="AB375" s="5" t="s">
        <v>2390</v>
      </c>
      <c r="AC375" s="6" t="s">
        <v>79</v>
      </c>
      <c r="AD375" s="6">
        <v>4756.0</v>
      </c>
    </row>
    <row r="376" ht="56.25" customHeight="1">
      <c r="A376" s="5" t="s">
        <v>2355</v>
      </c>
      <c r="B376" s="6" t="str">
        <f>IMAGE("https://storage.googleapis.com/acdb/wall-mounted/FtrBoyClockWall_Remake_6_0.png")</f>
        <v/>
      </c>
      <c r="C376" s="5" t="s">
        <v>106</v>
      </c>
      <c r="D376" s="5" t="s">
        <v>34</v>
      </c>
      <c r="E376" s="5" t="s">
        <v>34</v>
      </c>
      <c r="F376" s="5" t="s">
        <v>34</v>
      </c>
      <c r="G376" s="5" t="s">
        <v>36</v>
      </c>
      <c r="H376" s="5" t="s">
        <v>36</v>
      </c>
      <c r="I376" s="5" t="s">
        <v>36</v>
      </c>
      <c r="J376" s="6" t="s">
        <v>34</v>
      </c>
      <c r="K376" s="6">
        <v>4200.0</v>
      </c>
      <c r="L376" s="6">
        <v>1050.0</v>
      </c>
      <c r="M376" s="5" t="s">
        <v>106</v>
      </c>
      <c r="N376" s="5" t="s">
        <v>54</v>
      </c>
      <c r="O376" s="6" t="s">
        <v>1057</v>
      </c>
      <c r="P376" s="5" t="s">
        <v>59</v>
      </c>
      <c r="Q376" s="5" t="s">
        <v>122</v>
      </c>
      <c r="R376" s="17" t="s">
        <v>42</v>
      </c>
      <c r="S376" s="5" t="s">
        <v>99</v>
      </c>
      <c r="T376" s="5" t="s">
        <v>44</v>
      </c>
      <c r="U376" s="5" t="s">
        <v>2359</v>
      </c>
      <c r="V376" s="5" t="s">
        <v>44</v>
      </c>
      <c r="W376" s="5" t="s">
        <v>35</v>
      </c>
      <c r="X376" s="5" t="s">
        <v>260</v>
      </c>
      <c r="Y376" s="5" t="s">
        <v>47</v>
      </c>
      <c r="Z376" s="5" t="s">
        <v>36</v>
      </c>
      <c r="AA376" s="5" t="s">
        <v>64</v>
      </c>
      <c r="AB376" s="5" t="s">
        <v>2395</v>
      </c>
      <c r="AC376" s="6" t="s">
        <v>86</v>
      </c>
      <c r="AD376" s="6">
        <v>4756.0</v>
      </c>
    </row>
    <row r="377" ht="56.25" customHeight="1">
      <c r="A377" s="5" t="s">
        <v>2397</v>
      </c>
      <c r="B377" s="6" t="str">
        <f>IMAGE("https://storage.googleapis.com/acdb/wall-mounted/FtrDoorOrnamentLog_Remake_0_0.png")</f>
        <v/>
      </c>
      <c r="C377" s="5" t="s">
        <v>366</v>
      </c>
      <c r="D377" s="5" t="s">
        <v>135</v>
      </c>
      <c r="E377" s="5" t="s">
        <v>34</v>
      </c>
      <c r="F377" s="5" t="s">
        <v>34</v>
      </c>
      <c r="G377" s="5" t="s">
        <v>35</v>
      </c>
      <c r="H377" s="5" t="s">
        <v>35</v>
      </c>
      <c r="I377" s="5" t="s">
        <v>36</v>
      </c>
      <c r="J377" s="6">
        <v>1.0</v>
      </c>
      <c r="K377" s="6" t="s">
        <v>37</v>
      </c>
      <c r="L377" s="6">
        <v>400.0</v>
      </c>
      <c r="M377" s="5" t="s">
        <v>38</v>
      </c>
      <c r="N377" s="5" t="s">
        <v>69</v>
      </c>
      <c r="O377" s="6" t="s">
        <v>179</v>
      </c>
      <c r="P377" s="5" t="s">
        <v>41</v>
      </c>
      <c r="Q377" s="5"/>
      <c r="R377" s="17" t="s">
        <v>42</v>
      </c>
      <c r="S377" s="5" t="s">
        <v>90</v>
      </c>
      <c r="T377" s="5" t="s">
        <v>99</v>
      </c>
      <c r="U377" s="5" t="s">
        <v>44</v>
      </c>
      <c r="V377" s="5" t="s">
        <v>44</v>
      </c>
      <c r="W377" s="5" t="s">
        <v>36</v>
      </c>
      <c r="X377" s="5" t="s">
        <v>312</v>
      </c>
      <c r="Y377" s="5" t="s">
        <v>47</v>
      </c>
      <c r="Z377" s="5" t="s">
        <v>35</v>
      </c>
      <c r="AA377" s="5" t="s">
        <v>48</v>
      </c>
      <c r="AB377" s="5" t="s">
        <v>2401</v>
      </c>
      <c r="AC377" s="6" t="s">
        <v>50</v>
      </c>
      <c r="AD377" s="6">
        <v>5718.0</v>
      </c>
    </row>
    <row r="378" ht="56.25" customHeight="1">
      <c r="A378" s="5" t="s">
        <v>2397</v>
      </c>
      <c r="B378" s="6" t="str">
        <f>IMAGE("https://storage.googleapis.com/acdb/wall-mounted/FtrDoorOrnamentLog_Remake_1_0.png")</f>
        <v/>
      </c>
      <c r="C378" s="5" t="s">
        <v>39</v>
      </c>
      <c r="D378" s="5" t="s">
        <v>135</v>
      </c>
      <c r="E378" s="5" t="s">
        <v>34</v>
      </c>
      <c r="F378" s="5" t="s">
        <v>34</v>
      </c>
      <c r="G378" s="5" t="s">
        <v>35</v>
      </c>
      <c r="H378" s="5" t="s">
        <v>35</v>
      </c>
      <c r="I378" s="5" t="s">
        <v>36</v>
      </c>
      <c r="J378" s="6">
        <v>1.0</v>
      </c>
      <c r="K378" s="6" t="s">
        <v>37</v>
      </c>
      <c r="L378" s="6">
        <v>400.0</v>
      </c>
      <c r="M378" s="5" t="s">
        <v>39</v>
      </c>
      <c r="N378" s="5" t="s">
        <v>69</v>
      </c>
      <c r="O378" s="6" t="s">
        <v>179</v>
      </c>
      <c r="P378" s="5" t="s">
        <v>41</v>
      </c>
      <c r="Q378" s="5"/>
      <c r="R378" s="17" t="s">
        <v>42</v>
      </c>
      <c r="S378" s="5" t="s">
        <v>90</v>
      </c>
      <c r="T378" s="5" t="s">
        <v>99</v>
      </c>
      <c r="U378" s="5" t="s">
        <v>44</v>
      </c>
      <c r="V378" s="5" t="s">
        <v>44</v>
      </c>
      <c r="W378" s="5" t="s">
        <v>36</v>
      </c>
      <c r="X378" s="5" t="s">
        <v>312</v>
      </c>
      <c r="Y378" s="5" t="s">
        <v>47</v>
      </c>
      <c r="Z378" s="5" t="s">
        <v>35</v>
      </c>
      <c r="AA378" s="5" t="s">
        <v>48</v>
      </c>
      <c r="AB378" s="5" t="s">
        <v>2406</v>
      </c>
      <c r="AC378" s="6" t="s">
        <v>56</v>
      </c>
      <c r="AD378" s="6">
        <v>5718.0</v>
      </c>
    </row>
    <row r="379" ht="56.25" customHeight="1">
      <c r="A379" s="5" t="s">
        <v>2397</v>
      </c>
      <c r="B379" s="6" t="str">
        <f>IMAGE("https://storage.googleapis.com/acdb/wall-mounted/FtrDoorOrnamentLog_Remake_2_0.png")</f>
        <v/>
      </c>
      <c r="C379" s="5" t="s">
        <v>387</v>
      </c>
      <c r="D379" s="5" t="s">
        <v>135</v>
      </c>
      <c r="E379" s="5" t="s">
        <v>34</v>
      </c>
      <c r="F379" s="5" t="s">
        <v>34</v>
      </c>
      <c r="G379" s="5" t="s">
        <v>35</v>
      </c>
      <c r="H379" s="5" t="s">
        <v>35</v>
      </c>
      <c r="I379" s="5" t="s">
        <v>36</v>
      </c>
      <c r="J379" s="6">
        <v>1.0</v>
      </c>
      <c r="K379" s="6" t="s">
        <v>37</v>
      </c>
      <c r="L379" s="6">
        <v>400.0</v>
      </c>
      <c r="M379" s="5" t="s">
        <v>39</v>
      </c>
      <c r="N379" s="5" t="s">
        <v>52</v>
      </c>
      <c r="O379" s="6" t="s">
        <v>179</v>
      </c>
      <c r="P379" s="5" t="s">
        <v>41</v>
      </c>
      <c r="Q379" s="5"/>
      <c r="R379" s="17" t="s">
        <v>42</v>
      </c>
      <c r="S379" s="5" t="s">
        <v>90</v>
      </c>
      <c r="T379" s="5" t="s">
        <v>99</v>
      </c>
      <c r="U379" s="5" t="s">
        <v>44</v>
      </c>
      <c r="V379" s="5" t="s">
        <v>44</v>
      </c>
      <c r="W379" s="5" t="s">
        <v>36</v>
      </c>
      <c r="X379" s="5" t="s">
        <v>312</v>
      </c>
      <c r="Y379" s="5" t="s">
        <v>47</v>
      </c>
      <c r="Z379" s="5" t="s">
        <v>35</v>
      </c>
      <c r="AA379" s="5" t="s">
        <v>48</v>
      </c>
      <c r="AB379" s="5" t="s">
        <v>2410</v>
      </c>
      <c r="AC379" s="6" t="s">
        <v>67</v>
      </c>
      <c r="AD379" s="6">
        <v>5718.0</v>
      </c>
    </row>
    <row r="380" ht="56.25" customHeight="1">
      <c r="A380" s="5" t="s">
        <v>2397</v>
      </c>
      <c r="B380" s="6" t="str">
        <f>IMAGE("https://storage.googleapis.com/acdb/wall-mounted/FtrDoorOrnamentLog_Remake_3_0.png")</f>
        <v/>
      </c>
      <c r="C380" s="5" t="s">
        <v>935</v>
      </c>
      <c r="D380" s="5" t="s">
        <v>135</v>
      </c>
      <c r="E380" s="5" t="s">
        <v>34</v>
      </c>
      <c r="F380" s="5" t="s">
        <v>34</v>
      </c>
      <c r="G380" s="5" t="s">
        <v>35</v>
      </c>
      <c r="H380" s="5" t="s">
        <v>35</v>
      </c>
      <c r="I380" s="5" t="s">
        <v>36</v>
      </c>
      <c r="J380" s="6">
        <v>1.0</v>
      </c>
      <c r="K380" s="6" t="s">
        <v>37</v>
      </c>
      <c r="L380" s="6">
        <v>400.0</v>
      </c>
      <c r="M380" s="5" t="s">
        <v>38</v>
      </c>
      <c r="N380" s="5" t="s">
        <v>114</v>
      </c>
      <c r="O380" s="6" t="s">
        <v>179</v>
      </c>
      <c r="P380" s="5" t="s">
        <v>41</v>
      </c>
      <c r="Q380" s="5"/>
      <c r="R380" s="17" t="s">
        <v>42</v>
      </c>
      <c r="S380" s="5" t="s">
        <v>90</v>
      </c>
      <c r="T380" s="5" t="s">
        <v>99</v>
      </c>
      <c r="U380" s="5" t="s">
        <v>44</v>
      </c>
      <c r="V380" s="5" t="s">
        <v>44</v>
      </c>
      <c r="W380" s="5" t="s">
        <v>36</v>
      </c>
      <c r="X380" s="5" t="s">
        <v>312</v>
      </c>
      <c r="Y380" s="5" t="s">
        <v>47</v>
      </c>
      <c r="Z380" s="5" t="s">
        <v>35</v>
      </c>
      <c r="AA380" s="5" t="s">
        <v>48</v>
      </c>
      <c r="AB380" s="5" t="s">
        <v>2413</v>
      </c>
      <c r="AC380" s="6" t="s">
        <v>71</v>
      </c>
      <c r="AD380" s="6">
        <v>5718.0</v>
      </c>
    </row>
    <row r="381" ht="56.25" customHeight="1">
      <c r="A381" s="5" t="s">
        <v>2397</v>
      </c>
      <c r="B381" s="6" t="str">
        <f>IMAGE("https://storage.googleapis.com/acdb/wall-mounted/FtrDoorOrnamentLog_Remake_4_0.png")</f>
        <v/>
      </c>
      <c r="C381" s="5" t="s">
        <v>1470</v>
      </c>
      <c r="D381" s="5" t="s">
        <v>135</v>
      </c>
      <c r="E381" s="5" t="s">
        <v>34</v>
      </c>
      <c r="F381" s="5" t="s">
        <v>34</v>
      </c>
      <c r="G381" s="5" t="s">
        <v>35</v>
      </c>
      <c r="H381" s="5" t="s">
        <v>35</v>
      </c>
      <c r="I381" s="5" t="s">
        <v>36</v>
      </c>
      <c r="J381" s="6">
        <v>1.0</v>
      </c>
      <c r="K381" s="6" t="s">
        <v>37</v>
      </c>
      <c r="L381" s="6">
        <v>400.0</v>
      </c>
      <c r="M381" s="5" t="s">
        <v>38</v>
      </c>
      <c r="N381" s="5" t="s">
        <v>52</v>
      </c>
      <c r="O381" s="6" t="s">
        <v>179</v>
      </c>
      <c r="P381" s="5" t="s">
        <v>41</v>
      </c>
      <c r="Q381" s="5"/>
      <c r="R381" s="17" t="s">
        <v>42</v>
      </c>
      <c r="S381" s="5" t="s">
        <v>90</v>
      </c>
      <c r="T381" s="5" t="s">
        <v>99</v>
      </c>
      <c r="U381" s="5" t="s">
        <v>44</v>
      </c>
      <c r="V381" s="5" t="s">
        <v>44</v>
      </c>
      <c r="W381" s="5" t="s">
        <v>36</v>
      </c>
      <c r="X381" s="5" t="s">
        <v>312</v>
      </c>
      <c r="Y381" s="5" t="s">
        <v>47</v>
      </c>
      <c r="Z381" s="5" t="s">
        <v>35</v>
      </c>
      <c r="AA381" s="5" t="s">
        <v>48</v>
      </c>
      <c r="AB381" s="5" t="s">
        <v>2417</v>
      </c>
      <c r="AC381" s="6" t="s">
        <v>75</v>
      </c>
      <c r="AD381" s="6">
        <v>5718.0</v>
      </c>
    </row>
    <row r="382" ht="56.25" customHeight="1">
      <c r="A382" s="5" t="s">
        <v>2397</v>
      </c>
      <c r="B382" s="6" t="str">
        <f>IMAGE("https://storage.googleapis.com/acdb/wall-mounted/FtrDoorOrnamentLog_Remake_5_0.png")</f>
        <v/>
      </c>
      <c r="C382" s="5" t="s">
        <v>54</v>
      </c>
      <c r="D382" s="5" t="s">
        <v>135</v>
      </c>
      <c r="E382" s="5" t="s">
        <v>34</v>
      </c>
      <c r="F382" s="5" t="s">
        <v>34</v>
      </c>
      <c r="G382" s="5" t="s">
        <v>35</v>
      </c>
      <c r="H382" s="5" t="s">
        <v>35</v>
      </c>
      <c r="I382" s="5" t="s">
        <v>36</v>
      </c>
      <c r="J382" s="6">
        <v>1.0</v>
      </c>
      <c r="K382" s="6" t="s">
        <v>37</v>
      </c>
      <c r="L382" s="6">
        <v>400.0</v>
      </c>
      <c r="M382" s="5" t="s">
        <v>54</v>
      </c>
      <c r="N382" s="5" t="s">
        <v>57</v>
      </c>
      <c r="O382" s="6" t="s">
        <v>179</v>
      </c>
      <c r="P382" s="5" t="s">
        <v>41</v>
      </c>
      <c r="Q382" s="5"/>
      <c r="R382" s="17" t="s">
        <v>42</v>
      </c>
      <c r="S382" s="5" t="s">
        <v>90</v>
      </c>
      <c r="T382" s="5" t="s">
        <v>99</v>
      </c>
      <c r="U382" s="5" t="s">
        <v>44</v>
      </c>
      <c r="V382" s="5" t="s">
        <v>44</v>
      </c>
      <c r="W382" s="5" t="s">
        <v>36</v>
      </c>
      <c r="X382" s="5" t="s">
        <v>312</v>
      </c>
      <c r="Y382" s="5" t="s">
        <v>47</v>
      </c>
      <c r="Z382" s="5" t="s">
        <v>35</v>
      </c>
      <c r="AA382" s="5" t="s">
        <v>48</v>
      </c>
      <c r="AB382" s="5" t="s">
        <v>2423</v>
      </c>
      <c r="AC382" s="6" t="s">
        <v>79</v>
      </c>
      <c r="AD382" s="6">
        <v>5718.0</v>
      </c>
    </row>
    <row r="383" ht="56.25" customHeight="1">
      <c r="A383" s="5" t="s">
        <v>2397</v>
      </c>
      <c r="B383" s="6" t="str">
        <f>IMAGE("https://storage.googleapis.com/acdb/wall-mounted/FtrDoorOrnamentLog_Remake_6_0.png")</f>
        <v/>
      </c>
      <c r="C383" s="5" t="s">
        <v>68</v>
      </c>
      <c r="D383" s="5" t="s">
        <v>135</v>
      </c>
      <c r="E383" s="5" t="s">
        <v>34</v>
      </c>
      <c r="F383" s="5" t="s">
        <v>34</v>
      </c>
      <c r="G383" s="5" t="s">
        <v>35</v>
      </c>
      <c r="H383" s="5" t="s">
        <v>35</v>
      </c>
      <c r="I383" s="5" t="s">
        <v>36</v>
      </c>
      <c r="J383" s="6">
        <v>1.0</v>
      </c>
      <c r="K383" s="6" t="s">
        <v>37</v>
      </c>
      <c r="L383" s="6">
        <v>400.0</v>
      </c>
      <c r="M383" s="5" t="s">
        <v>68</v>
      </c>
      <c r="N383" s="5" t="s">
        <v>68</v>
      </c>
      <c r="O383" s="6" t="s">
        <v>179</v>
      </c>
      <c r="P383" s="5" t="s">
        <v>41</v>
      </c>
      <c r="Q383" s="5"/>
      <c r="R383" s="17" t="s">
        <v>42</v>
      </c>
      <c r="S383" s="5" t="s">
        <v>90</v>
      </c>
      <c r="T383" s="5" t="s">
        <v>99</v>
      </c>
      <c r="U383" s="5" t="s">
        <v>44</v>
      </c>
      <c r="V383" s="5" t="s">
        <v>44</v>
      </c>
      <c r="W383" s="5" t="s">
        <v>36</v>
      </c>
      <c r="X383" s="5" t="s">
        <v>312</v>
      </c>
      <c r="Y383" s="5" t="s">
        <v>47</v>
      </c>
      <c r="Z383" s="5" t="s">
        <v>35</v>
      </c>
      <c r="AA383" s="5" t="s">
        <v>48</v>
      </c>
      <c r="AB383" s="5" t="s">
        <v>2427</v>
      </c>
      <c r="AC383" s="6" t="s">
        <v>86</v>
      </c>
      <c r="AD383" s="6">
        <v>5718.0</v>
      </c>
    </row>
    <row r="384" ht="56.25" customHeight="1">
      <c r="A384" s="5" t="s">
        <v>2397</v>
      </c>
      <c r="B384" s="6" t="str">
        <f>IMAGE("https://storage.googleapis.com/acdb/wall-mounted/FtrDoorOrnamentLog_Remake_7_0.png")</f>
        <v/>
      </c>
      <c r="C384" s="5" t="s">
        <v>69</v>
      </c>
      <c r="D384" s="5" t="s">
        <v>135</v>
      </c>
      <c r="E384" s="5" t="s">
        <v>34</v>
      </c>
      <c r="F384" s="5" t="s">
        <v>34</v>
      </c>
      <c r="G384" s="5" t="s">
        <v>35</v>
      </c>
      <c r="H384" s="5" t="s">
        <v>35</v>
      </c>
      <c r="I384" s="5" t="s">
        <v>36</v>
      </c>
      <c r="J384" s="6">
        <v>1.0</v>
      </c>
      <c r="K384" s="6" t="s">
        <v>37</v>
      </c>
      <c r="L384" s="6">
        <v>400.0</v>
      </c>
      <c r="M384" s="5" t="s">
        <v>52</v>
      </c>
      <c r="N384" s="5" t="s">
        <v>69</v>
      </c>
      <c r="O384" s="6" t="s">
        <v>179</v>
      </c>
      <c r="P384" s="5" t="s">
        <v>41</v>
      </c>
      <c r="Q384" s="5"/>
      <c r="R384" s="17" t="s">
        <v>42</v>
      </c>
      <c r="S384" s="5" t="s">
        <v>90</v>
      </c>
      <c r="T384" s="5" t="s">
        <v>99</v>
      </c>
      <c r="U384" s="5" t="s">
        <v>44</v>
      </c>
      <c r="V384" s="5" t="s">
        <v>44</v>
      </c>
      <c r="W384" s="5" t="s">
        <v>36</v>
      </c>
      <c r="X384" s="5" t="s">
        <v>312</v>
      </c>
      <c r="Y384" s="5" t="s">
        <v>47</v>
      </c>
      <c r="Z384" s="5" t="s">
        <v>35</v>
      </c>
      <c r="AA384" s="5" t="s">
        <v>48</v>
      </c>
      <c r="AB384" s="5" t="s">
        <v>2433</v>
      </c>
      <c r="AC384" s="6" t="s">
        <v>208</v>
      </c>
      <c r="AD384" s="6">
        <v>5718.0</v>
      </c>
    </row>
    <row r="385" ht="56.25" customHeight="1">
      <c r="A385" s="5" t="s">
        <v>2434</v>
      </c>
      <c r="B385" s="6" t="str">
        <f>IMAGE("https://storage.googleapis.com/acdb/wall-mounted/FtrDoorOrnamentWreathBranch.png")</f>
        <v/>
      </c>
      <c r="C385" s="5" t="s">
        <v>34</v>
      </c>
      <c r="D385" s="5" t="s">
        <v>34</v>
      </c>
      <c r="E385" s="5" t="s">
        <v>34</v>
      </c>
      <c r="F385" s="5" t="s">
        <v>34</v>
      </c>
      <c r="G385" s="5" t="s">
        <v>35</v>
      </c>
      <c r="H385" s="5" t="s">
        <v>36</v>
      </c>
      <c r="I385" s="5" t="s">
        <v>36</v>
      </c>
      <c r="J385" s="6" t="s">
        <v>34</v>
      </c>
      <c r="K385" s="6" t="s">
        <v>37</v>
      </c>
      <c r="L385" s="6">
        <v>100.0</v>
      </c>
      <c r="M385" s="5" t="s">
        <v>39</v>
      </c>
      <c r="N385" s="5" t="s">
        <v>39</v>
      </c>
      <c r="O385" s="6" t="s">
        <v>179</v>
      </c>
      <c r="P385" s="5" t="s">
        <v>41</v>
      </c>
      <c r="Q385" s="5"/>
      <c r="R385" s="17" t="s">
        <v>42</v>
      </c>
      <c r="S385" s="5" t="s">
        <v>90</v>
      </c>
      <c r="T385" s="5" t="s">
        <v>44</v>
      </c>
      <c r="U385" s="5" t="s">
        <v>44</v>
      </c>
      <c r="V385" s="5" t="s">
        <v>44</v>
      </c>
      <c r="W385" s="5" t="s">
        <v>36</v>
      </c>
      <c r="X385" s="5" t="s">
        <v>312</v>
      </c>
      <c r="Y385" s="5" t="s">
        <v>47</v>
      </c>
      <c r="Z385" s="5" t="s">
        <v>35</v>
      </c>
      <c r="AA385" s="5" t="s">
        <v>48</v>
      </c>
      <c r="AB385" s="5" t="s">
        <v>2440</v>
      </c>
      <c r="AC385" s="6" t="s">
        <v>34</v>
      </c>
      <c r="AD385" s="6">
        <v>4727.0</v>
      </c>
    </row>
    <row r="386" ht="56.25" customHeight="1">
      <c r="A386" s="5" t="s">
        <v>2441</v>
      </c>
      <c r="B386" s="6" t="str">
        <f>IMAGE("https://storage.googleapis.com/acdb/wall-mounted/FtrNutMobile_Remake_0_0.png")</f>
        <v/>
      </c>
      <c r="C386" s="5" t="s">
        <v>39</v>
      </c>
      <c r="D386" s="5" t="s">
        <v>2444</v>
      </c>
      <c r="E386" s="5" t="s">
        <v>34</v>
      </c>
      <c r="F386" s="5" t="s">
        <v>34</v>
      </c>
      <c r="G386" s="5" t="s">
        <v>35</v>
      </c>
      <c r="H386" s="5" t="s">
        <v>35</v>
      </c>
      <c r="I386" s="5" t="s">
        <v>36</v>
      </c>
      <c r="J386" s="6">
        <v>3.0</v>
      </c>
      <c r="K386" s="6" t="s">
        <v>37</v>
      </c>
      <c r="L386" s="6">
        <v>2030.0</v>
      </c>
      <c r="M386" s="5" t="s">
        <v>39</v>
      </c>
      <c r="N386" s="5" t="s">
        <v>142</v>
      </c>
      <c r="O386" s="6" t="s">
        <v>431</v>
      </c>
      <c r="P386" s="5" t="s">
        <v>41</v>
      </c>
      <c r="Q386" s="5" t="s">
        <v>2446</v>
      </c>
      <c r="R386" s="17" t="s">
        <v>42</v>
      </c>
      <c r="S386" s="5" t="s">
        <v>61</v>
      </c>
      <c r="T386" s="5" t="s">
        <v>44</v>
      </c>
      <c r="U386" s="5" t="s">
        <v>2448</v>
      </c>
      <c r="V386" s="5" t="s">
        <v>44</v>
      </c>
      <c r="W386" s="5" t="s">
        <v>35</v>
      </c>
      <c r="X386" s="5" t="s">
        <v>432</v>
      </c>
      <c r="Y386" s="5" t="s">
        <v>47</v>
      </c>
      <c r="Z386" s="5" t="s">
        <v>36</v>
      </c>
      <c r="AA386" s="5" t="s">
        <v>48</v>
      </c>
      <c r="AB386" s="5" t="s">
        <v>2450</v>
      </c>
      <c r="AC386" s="6" t="s">
        <v>50</v>
      </c>
      <c r="AD386" s="6">
        <v>6075.0</v>
      </c>
    </row>
    <row r="387" ht="56.25" customHeight="1">
      <c r="A387" s="5" t="s">
        <v>2441</v>
      </c>
      <c r="B387" s="6" t="str">
        <f>IMAGE("https://storage.googleapis.com/acdb/wall-mounted/FtrNutMobile_Remake_1_0.png")</f>
        <v/>
      </c>
      <c r="C387" s="5" t="s">
        <v>57</v>
      </c>
      <c r="D387" s="5" t="s">
        <v>2444</v>
      </c>
      <c r="E387" s="5" t="s">
        <v>34</v>
      </c>
      <c r="F387" s="5" t="s">
        <v>34</v>
      </c>
      <c r="G387" s="5" t="s">
        <v>35</v>
      </c>
      <c r="H387" s="5" t="s">
        <v>35</v>
      </c>
      <c r="I387" s="5" t="s">
        <v>36</v>
      </c>
      <c r="J387" s="6">
        <v>3.0</v>
      </c>
      <c r="K387" s="6" t="s">
        <v>37</v>
      </c>
      <c r="L387" s="6">
        <v>2030.0</v>
      </c>
      <c r="M387" s="5" t="s">
        <v>57</v>
      </c>
      <c r="N387" s="5" t="s">
        <v>114</v>
      </c>
      <c r="O387" s="6" t="s">
        <v>431</v>
      </c>
      <c r="P387" s="5" t="s">
        <v>41</v>
      </c>
      <c r="Q387" s="5" t="s">
        <v>2446</v>
      </c>
      <c r="R387" s="17" t="s">
        <v>42</v>
      </c>
      <c r="S387" s="5" t="s">
        <v>61</v>
      </c>
      <c r="T387" s="5" t="s">
        <v>44</v>
      </c>
      <c r="U387" s="5" t="s">
        <v>2448</v>
      </c>
      <c r="V387" s="5" t="s">
        <v>44</v>
      </c>
      <c r="W387" s="5" t="s">
        <v>35</v>
      </c>
      <c r="X387" s="5" t="s">
        <v>432</v>
      </c>
      <c r="Y387" s="5" t="s">
        <v>47</v>
      </c>
      <c r="Z387" s="5" t="s">
        <v>36</v>
      </c>
      <c r="AA387" s="5" t="s">
        <v>48</v>
      </c>
      <c r="AB387" s="5" t="s">
        <v>2455</v>
      </c>
      <c r="AC387" s="6" t="s">
        <v>56</v>
      </c>
      <c r="AD387" s="6">
        <v>6075.0</v>
      </c>
    </row>
    <row r="388" ht="56.25" customHeight="1">
      <c r="A388" s="5" t="s">
        <v>2457</v>
      </c>
      <c r="B388" s="6" t="str">
        <f>IMAGE("https://storage.googleapis.com/acdb/wall-mounted/FtrDoorOrnamentWreathTulip.png")</f>
        <v/>
      </c>
      <c r="C388" s="5" t="s">
        <v>34</v>
      </c>
      <c r="D388" s="5" t="s">
        <v>34</v>
      </c>
      <c r="E388" s="5" t="s">
        <v>34</v>
      </c>
      <c r="F388" s="5" t="s">
        <v>34</v>
      </c>
      <c r="G388" s="5" t="s">
        <v>35</v>
      </c>
      <c r="H388" s="5" t="s">
        <v>36</v>
      </c>
      <c r="I388" s="5" t="s">
        <v>36</v>
      </c>
      <c r="J388" s="6" t="s">
        <v>34</v>
      </c>
      <c r="K388" s="6" t="s">
        <v>37</v>
      </c>
      <c r="L388" s="6">
        <v>720.0</v>
      </c>
      <c r="M388" s="5" t="s">
        <v>52</v>
      </c>
      <c r="N388" s="5" t="s">
        <v>114</v>
      </c>
      <c r="O388" s="6" t="s">
        <v>179</v>
      </c>
      <c r="P388" s="5" t="s">
        <v>41</v>
      </c>
      <c r="Q388" s="5"/>
      <c r="R388" s="17" t="s">
        <v>42</v>
      </c>
      <c r="S388" s="5" t="s">
        <v>61</v>
      </c>
      <c r="T388" s="5" t="s">
        <v>44</v>
      </c>
      <c r="U388" s="5" t="s">
        <v>311</v>
      </c>
      <c r="V388" s="5" t="s">
        <v>44</v>
      </c>
      <c r="W388" s="5" t="s">
        <v>36</v>
      </c>
      <c r="X388" s="5" t="s">
        <v>312</v>
      </c>
      <c r="Y388" s="5" t="s">
        <v>47</v>
      </c>
      <c r="Z388" s="5" t="s">
        <v>35</v>
      </c>
      <c r="AA388" s="5" t="s">
        <v>48</v>
      </c>
      <c r="AB388" s="5" t="s">
        <v>2461</v>
      </c>
      <c r="AC388" s="6" t="s">
        <v>34</v>
      </c>
      <c r="AD388" s="6">
        <v>5670.0</v>
      </c>
    </row>
    <row r="389" ht="56.25" customHeight="1">
      <c r="A389" s="5" t="s">
        <v>2462</v>
      </c>
      <c r="B389" s="6" t="str">
        <f>IMAGE("https://storage.googleapis.com/acdb/wall-mounted/FtrExtractorfan_Remake_0_0.png")</f>
        <v/>
      </c>
      <c r="C389" s="5" t="s">
        <v>57</v>
      </c>
      <c r="D389" s="5" t="s">
        <v>34</v>
      </c>
      <c r="E389" s="5" t="s">
        <v>34</v>
      </c>
      <c r="F389" s="5" t="s">
        <v>34</v>
      </c>
      <c r="G389" s="5" t="s">
        <v>36</v>
      </c>
      <c r="H389" s="5" t="s">
        <v>36</v>
      </c>
      <c r="I389" s="5" t="s">
        <v>36</v>
      </c>
      <c r="J389" s="6" t="s">
        <v>34</v>
      </c>
      <c r="K389" s="6">
        <v>1200.0</v>
      </c>
      <c r="L389" s="6">
        <v>300.0</v>
      </c>
      <c r="M389" s="5" t="s">
        <v>57</v>
      </c>
      <c r="N389" s="5" t="s">
        <v>57</v>
      </c>
      <c r="O389" s="6" t="s">
        <v>179</v>
      </c>
      <c r="P389" s="5" t="s">
        <v>59</v>
      </c>
      <c r="Q389" s="5" t="s">
        <v>89</v>
      </c>
      <c r="R389" s="17" t="s">
        <v>42</v>
      </c>
      <c r="S389" s="5" t="s">
        <v>159</v>
      </c>
      <c r="T389" s="5" t="s">
        <v>62</v>
      </c>
      <c r="U389" s="5" t="s">
        <v>44</v>
      </c>
      <c r="V389" s="5" t="s">
        <v>44</v>
      </c>
      <c r="W389" s="5" t="s">
        <v>35</v>
      </c>
      <c r="X389" s="5" t="s">
        <v>160</v>
      </c>
      <c r="Y389" s="5" t="s">
        <v>47</v>
      </c>
      <c r="Z389" s="5" t="s">
        <v>36</v>
      </c>
      <c r="AA389" s="5" t="s">
        <v>64</v>
      </c>
      <c r="AB389" s="5" t="s">
        <v>2465</v>
      </c>
      <c r="AC389" s="6" t="s">
        <v>50</v>
      </c>
      <c r="AD389" s="6">
        <v>957.0</v>
      </c>
    </row>
    <row r="390" ht="56.25" customHeight="1">
      <c r="A390" s="5" t="s">
        <v>2462</v>
      </c>
      <c r="B390" s="6" t="str">
        <f>IMAGE("https://storage.googleapis.com/acdb/wall-mounted/FtrExtractorfan_Remake_1_0.png")</f>
        <v/>
      </c>
      <c r="C390" s="5" t="s">
        <v>69</v>
      </c>
      <c r="D390" s="5" t="s">
        <v>34</v>
      </c>
      <c r="E390" s="5" t="s">
        <v>34</v>
      </c>
      <c r="F390" s="5" t="s">
        <v>34</v>
      </c>
      <c r="G390" s="5" t="s">
        <v>36</v>
      </c>
      <c r="H390" s="5" t="s">
        <v>36</v>
      </c>
      <c r="I390" s="5" t="s">
        <v>36</v>
      </c>
      <c r="J390" s="6" t="s">
        <v>34</v>
      </c>
      <c r="K390" s="6">
        <v>1200.0</v>
      </c>
      <c r="L390" s="6">
        <v>300.0</v>
      </c>
      <c r="M390" s="5" t="s">
        <v>69</v>
      </c>
      <c r="N390" s="5" t="s">
        <v>57</v>
      </c>
      <c r="O390" s="6" t="s">
        <v>179</v>
      </c>
      <c r="P390" s="5" t="s">
        <v>59</v>
      </c>
      <c r="Q390" s="5" t="s">
        <v>89</v>
      </c>
      <c r="R390" s="17" t="s">
        <v>42</v>
      </c>
      <c r="S390" s="5" t="s">
        <v>159</v>
      </c>
      <c r="T390" s="5" t="s">
        <v>62</v>
      </c>
      <c r="U390" s="5" t="s">
        <v>44</v>
      </c>
      <c r="V390" s="5" t="s">
        <v>44</v>
      </c>
      <c r="W390" s="5" t="s">
        <v>35</v>
      </c>
      <c r="X390" s="5" t="s">
        <v>160</v>
      </c>
      <c r="Y390" s="5" t="s">
        <v>47</v>
      </c>
      <c r="Z390" s="5" t="s">
        <v>36</v>
      </c>
      <c r="AA390" s="5" t="s">
        <v>64</v>
      </c>
      <c r="AB390" s="5" t="s">
        <v>2469</v>
      </c>
      <c r="AC390" s="6" t="s">
        <v>56</v>
      </c>
      <c r="AD390" s="6">
        <v>957.0</v>
      </c>
    </row>
    <row r="391" ht="56.25" customHeight="1">
      <c r="A391" s="5" t="s">
        <v>2462</v>
      </c>
      <c r="B391" s="6" t="str">
        <f>IMAGE("https://storage.googleapis.com/acdb/wall-mounted/FtrExtractorfan_Remake_2_0.png")</f>
        <v/>
      </c>
      <c r="C391" s="5" t="s">
        <v>68</v>
      </c>
      <c r="D391" s="5" t="s">
        <v>34</v>
      </c>
      <c r="E391" s="5" t="s">
        <v>34</v>
      </c>
      <c r="F391" s="5" t="s">
        <v>34</v>
      </c>
      <c r="G391" s="5" t="s">
        <v>36</v>
      </c>
      <c r="H391" s="5" t="s">
        <v>36</v>
      </c>
      <c r="I391" s="5" t="s">
        <v>36</v>
      </c>
      <c r="J391" s="6" t="s">
        <v>34</v>
      </c>
      <c r="K391" s="6">
        <v>1200.0</v>
      </c>
      <c r="L391" s="6">
        <v>300.0</v>
      </c>
      <c r="M391" s="5" t="s">
        <v>68</v>
      </c>
      <c r="N391" s="5" t="s">
        <v>57</v>
      </c>
      <c r="O391" s="6" t="s">
        <v>179</v>
      </c>
      <c r="P391" s="5" t="s">
        <v>59</v>
      </c>
      <c r="Q391" s="5" t="s">
        <v>89</v>
      </c>
      <c r="R391" s="17" t="s">
        <v>42</v>
      </c>
      <c r="S391" s="5" t="s">
        <v>159</v>
      </c>
      <c r="T391" s="5" t="s">
        <v>62</v>
      </c>
      <c r="U391" s="5" t="s">
        <v>44</v>
      </c>
      <c r="V391" s="5" t="s">
        <v>44</v>
      </c>
      <c r="W391" s="5" t="s">
        <v>35</v>
      </c>
      <c r="X391" s="5" t="s">
        <v>160</v>
      </c>
      <c r="Y391" s="5" t="s">
        <v>47</v>
      </c>
      <c r="Z391" s="5" t="s">
        <v>36</v>
      </c>
      <c r="AA391" s="5" t="s">
        <v>64</v>
      </c>
      <c r="AB391" s="5" t="s">
        <v>2475</v>
      </c>
      <c r="AC391" s="6" t="s">
        <v>67</v>
      </c>
      <c r="AD391" s="6">
        <v>957.0</v>
      </c>
    </row>
    <row r="392" ht="56.25" customHeight="1">
      <c r="A392" s="5" t="s">
        <v>2462</v>
      </c>
      <c r="B392" s="6" t="str">
        <f>IMAGE("https://storage.googleapis.com/acdb/wall-mounted/FtrExtractorfan_Remake_3_0.png")</f>
        <v/>
      </c>
      <c r="C392" s="5" t="s">
        <v>96</v>
      </c>
      <c r="D392" s="5" t="s">
        <v>34</v>
      </c>
      <c r="E392" s="5" t="s">
        <v>34</v>
      </c>
      <c r="F392" s="5" t="s">
        <v>34</v>
      </c>
      <c r="G392" s="5" t="s">
        <v>36</v>
      </c>
      <c r="H392" s="5" t="s">
        <v>36</v>
      </c>
      <c r="I392" s="5" t="s">
        <v>36</v>
      </c>
      <c r="J392" s="6" t="s">
        <v>34</v>
      </c>
      <c r="K392" s="6">
        <v>1200.0</v>
      </c>
      <c r="L392" s="6">
        <v>300.0</v>
      </c>
      <c r="M392" s="5" t="s">
        <v>96</v>
      </c>
      <c r="N392" s="5" t="s">
        <v>57</v>
      </c>
      <c r="O392" s="6" t="s">
        <v>179</v>
      </c>
      <c r="P392" s="5" t="s">
        <v>59</v>
      </c>
      <c r="Q392" s="5" t="s">
        <v>89</v>
      </c>
      <c r="R392" s="17" t="s">
        <v>42</v>
      </c>
      <c r="S392" s="5" t="s">
        <v>159</v>
      </c>
      <c r="T392" s="5" t="s">
        <v>62</v>
      </c>
      <c r="U392" s="5" t="s">
        <v>44</v>
      </c>
      <c r="V392" s="5" t="s">
        <v>44</v>
      </c>
      <c r="W392" s="5" t="s">
        <v>35</v>
      </c>
      <c r="X392" s="5" t="s">
        <v>160</v>
      </c>
      <c r="Y392" s="5" t="s">
        <v>47</v>
      </c>
      <c r="Z392" s="5" t="s">
        <v>36</v>
      </c>
      <c r="AA392" s="5" t="s">
        <v>64</v>
      </c>
      <c r="AB392" s="5" t="s">
        <v>2480</v>
      </c>
      <c r="AC392" s="6" t="s">
        <v>71</v>
      </c>
      <c r="AD392" s="6">
        <v>957.0</v>
      </c>
    </row>
    <row r="393" ht="56.25" customHeight="1">
      <c r="A393" s="5" t="s">
        <v>2462</v>
      </c>
      <c r="B393" s="6" t="str">
        <f>IMAGE("https://storage.googleapis.com/acdb/wall-mounted/FtrExtractorfan_Remake_4_0.png")</f>
        <v/>
      </c>
      <c r="C393" s="5" t="s">
        <v>142</v>
      </c>
      <c r="D393" s="5" t="s">
        <v>34</v>
      </c>
      <c r="E393" s="5" t="s">
        <v>34</v>
      </c>
      <c r="F393" s="5" t="s">
        <v>34</v>
      </c>
      <c r="G393" s="5" t="s">
        <v>36</v>
      </c>
      <c r="H393" s="5" t="s">
        <v>36</v>
      </c>
      <c r="I393" s="5" t="s">
        <v>36</v>
      </c>
      <c r="J393" s="6" t="s">
        <v>34</v>
      </c>
      <c r="K393" s="6">
        <v>1200.0</v>
      </c>
      <c r="L393" s="6">
        <v>300.0</v>
      </c>
      <c r="M393" s="5" t="s">
        <v>142</v>
      </c>
      <c r="N393" s="5" t="s">
        <v>57</v>
      </c>
      <c r="O393" s="6" t="s">
        <v>179</v>
      </c>
      <c r="P393" s="5" t="s">
        <v>59</v>
      </c>
      <c r="Q393" s="5" t="s">
        <v>89</v>
      </c>
      <c r="R393" s="17" t="s">
        <v>42</v>
      </c>
      <c r="S393" s="5" t="s">
        <v>159</v>
      </c>
      <c r="T393" s="5" t="s">
        <v>62</v>
      </c>
      <c r="U393" s="5" t="s">
        <v>44</v>
      </c>
      <c r="V393" s="5" t="s">
        <v>44</v>
      </c>
      <c r="W393" s="5" t="s">
        <v>35</v>
      </c>
      <c r="X393" s="5" t="s">
        <v>160</v>
      </c>
      <c r="Y393" s="5" t="s">
        <v>47</v>
      </c>
      <c r="Z393" s="5" t="s">
        <v>36</v>
      </c>
      <c r="AA393" s="5" t="s">
        <v>64</v>
      </c>
      <c r="AB393" s="5" t="s">
        <v>2484</v>
      </c>
      <c r="AC393" s="6" t="s">
        <v>75</v>
      </c>
      <c r="AD393" s="6">
        <v>957.0</v>
      </c>
    </row>
    <row r="394" ht="56.25" customHeight="1">
      <c r="A394" s="5" t="s">
        <v>2485</v>
      </c>
      <c r="B394" s="6" t="str">
        <f>IMAGE("https://storage.googleapis.com/acdb/wall-mounted/FtrOfficeClock_Remake_0_0.png")</f>
        <v/>
      </c>
      <c r="C394" s="5" t="s">
        <v>146</v>
      </c>
      <c r="D394" s="5" t="s">
        <v>34</v>
      </c>
      <c r="E394" s="5" t="s">
        <v>34</v>
      </c>
      <c r="F394" s="5" t="s">
        <v>34</v>
      </c>
      <c r="G394" s="5" t="s">
        <v>36</v>
      </c>
      <c r="H394" s="5" t="s">
        <v>36</v>
      </c>
      <c r="I394" s="5" t="s">
        <v>36</v>
      </c>
      <c r="J394" s="6" t="s">
        <v>34</v>
      </c>
      <c r="K394" s="6">
        <v>690.0</v>
      </c>
      <c r="L394" s="6">
        <v>172.0</v>
      </c>
      <c r="M394" s="5" t="s">
        <v>95</v>
      </c>
      <c r="N394" s="5" t="s">
        <v>57</v>
      </c>
      <c r="O394" s="6" t="s">
        <v>179</v>
      </c>
      <c r="P394" s="5" t="s">
        <v>59</v>
      </c>
      <c r="Q394" s="5" t="s">
        <v>89</v>
      </c>
      <c r="R394" s="17" t="s">
        <v>42</v>
      </c>
      <c r="S394" s="5" t="s">
        <v>91</v>
      </c>
      <c r="T394" s="5" t="s">
        <v>130</v>
      </c>
      <c r="U394" s="5" t="s">
        <v>44</v>
      </c>
      <c r="V394" s="5" t="s">
        <v>44</v>
      </c>
      <c r="W394" s="5" t="s">
        <v>35</v>
      </c>
      <c r="X394" s="5" t="s">
        <v>260</v>
      </c>
      <c r="Y394" s="5" t="s">
        <v>47</v>
      </c>
      <c r="Z394" s="5" t="s">
        <v>36</v>
      </c>
      <c r="AA394" s="5" t="s">
        <v>64</v>
      </c>
      <c r="AB394" s="5" t="s">
        <v>2490</v>
      </c>
      <c r="AC394" s="6" t="s">
        <v>50</v>
      </c>
      <c r="AD394" s="6">
        <v>1744.0</v>
      </c>
    </row>
    <row r="395" ht="56.25" customHeight="1">
      <c r="A395" s="5" t="s">
        <v>2485</v>
      </c>
      <c r="B395" s="6" t="str">
        <f>IMAGE("https://storage.googleapis.com/acdb/wall-mounted/FtrOfficeClock_Remake_1_0.png")</f>
        <v/>
      </c>
      <c r="C395" s="5" t="s">
        <v>57</v>
      </c>
      <c r="D395" s="5" t="s">
        <v>34</v>
      </c>
      <c r="E395" s="5" t="s">
        <v>34</v>
      </c>
      <c r="F395" s="5" t="s">
        <v>34</v>
      </c>
      <c r="G395" s="5" t="s">
        <v>36</v>
      </c>
      <c r="H395" s="5" t="s">
        <v>36</v>
      </c>
      <c r="I395" s="5" t="s">
        <v>36</v>
      </c>
      <c r="J395" s="6" t="s">
        <v>34</v>
      </c>
      <c r="K395" s="6">
        <v>690.0</v>
      </c>
      <c r="L395" s="6">
        <v>172.0</v>
      </c>
      <c r="M395" s="5" t="s">
        <v>57</v>
      </c>
      <c r="N395" s="5" t="s">
        <v>57</v>
      </c>
      <c r="O395" s="6" t="s">
        <v>179</v>
      </c>
      <c r="P395" s="5" t="s">
        <v>59</v>
      </c>
      <c r="Q395" s="5" t="s">
        <v>89</v>
      </c>
      <c r="R395" s="17" t="s">
        <v>42</v>
      </c>
      <c r="S395" s="5" t="s">
        <v>91</v>
      </c>
      <c r="T395" s="5" t="s">
        <v>130</v>
      </c>
      <c r="U395" s="5" t="s">
        <v>44</v>
      </c>
      <c r="V395" s="5" t="s">
        <v>44</v>
      </c>
      <c r="W395" s="5" t="s">
        <v>35</v>
      </c>
      <c r="X395" s="5" t="s">
        <v>260</v>
      </c>
      <c r="Y395" s="5" t="s">
        <v>47</v>
      </c>
      <c r="Z395" s="5" t="s">
        <v>36</v>
      </c>
      <c r="AA395" s="5" t="s">
        <v>64</v>
      </c>
      <c r="AB395" s="5" t="s">
        <v>2495</v>
      </c>
      <c r="AC395" s="6" t="s">
        <v>56</v>
      </c>
      <c r="AD395" s="6">
        <v>1744.0</v>
      </c>
    </row>
    <row r="396" ht="56.25" customHeight="1">
      <c r="A396" s="5" t="s">
        <v>2485</v>
      </c>
      <c r="B396" s="6" t="str">
        <f>IMAGE("https://storage.googleapis.com/acdb/wall-mounted/FtrOfficeClock_Remake_2_0.png")</f>
        <v/>
      </c>
      <c r="C396" s="5" t="s">
        <v>54</v>
      </c>
      <c r="D396" s="5" t="s">
        <v>34</v>
      </c>
      <c r="E396" s="5" t="s">
        <v>34</v>
      </c>
      <c r="F396" s="5" t="s">
        <v>34</v>
      </c>
      <c r="G396" s="5" t="s">
        <v>36</v>
      </c>
      <c r="H396" s="5" t="s">
        <v>36</v>
      </c>
      <c r="I396" s="5" t="s">
        <v>36</v>
      </c>
      <c r="J396" s="6" t="s">
        <v>34</v>
      </c>
      <c r="K396" s="6">
        <v>690.0</v>
      </c>
      <c r="L396" s="6">
        <v>172.0</v>
      </c>
      <c r="M396" s="5" t="s">
        <v>54</v>
      </c>
      <c r="N396" s="5" t="s">
        <v>57</v>
      </c>
      <c r="O396" s="6" t="s">
        <v>179</v>
      </c>
      <c r="P396" s="5" t="s">
        <v>59</v>
      </c>
      <c r="Q396" s="5" t="s">
        <v>89</v>
      </c>
      <c r="R396" s="17" t="s">
        <v>42</v>
      </c>
      <c r="S396" s="5" t="s">
        <v>91</v>
      </c>
      <c r="T396" s="5" t="s">
        <v>130</v>
      </c>
      <c r="U396" s="5" t="s">
        <v>44</v>
      </c>
      <c r="V396" s="5" t="s">
        <v>44</v>
      </c>
      <c r="W396" s="5" t="s">
        <v>35</v>
      </c>
      <c r="X396" s="5" t="s">
        <v>260</v>
      </c>
      <c r="Y396" s="5" t="s">
        <v>47</v>
      </c>
      <c r="Z396" s="5" t="s">
        <v>36</v>
      </c>
      <c r="AA396" s="5" t="s">
        <v>64</v>
      </c>
      <c r="AB396" s="5" t="s">
        <v>2501</v>
      </c>
      <c r="AC396" s="6" t="s">
        <v>67</v>
      </c>
      <c r="AD396" s="6">
        <v>1744.0</v>
      </c>
    </row>
    <row r="397" ht="56.25" customHeight="1">
      <c r="A397" s="5" t="s">
        <v>2485</v>
      </c>
      <c r="B397" s="6" t="str">
        <f>IMAGE("https://storage.googleapis.com/acdb/wall-mounted/FtrOfficeClock_Remake_3_0.png")</f>
        <v/>
      </c>
      <c r="C397" s="5" t="s">
        <v>52</v>
      </c>
      <c r="D397" s="5" t="s">
        <v>34</v>
      </c>
      <c r="E397" s="5" t="s">
        <v>34</v>
      </c>
      <c r="F397" s="5" t="s">
        <v>34</v>
      </c>
      <c r="G397" s="5" t="s">
        <v>36</v>
      </c>
      <c r="H397" s="5" t="s">
        <v>36</v>
      </c>
      <c r="I397" s="5" t="s">
        <v>36</v>
      </c>
      <c r="J397" s="6" t="s">
        <v>34</v>
      </c>
      <c r="K397" s="6">
        <v>690.0</v>
      </c>
      <c r="L397" s="6">
        <v>172.0</v>
      </c>
      <c r="M397" s="5" t="s">
        <v>52</v>
      </c>
      <c r="N397" s="5" t="s">
        <v>57</v>
      </c>
      <c r="O397" s="6" t="s">
        <v>179</v>
      </c>
      <c r="P397" s="5" t="s">
        <v>59</v>
      </c>
      <c r="Q397" s="5" t="s">
        <v>89</v>
      </c>
      <c r="R397" s="17" t="s">
        <v>42</v>
      </c>
      <c r="S397" s="5" t="s">
        <v>91</v>
      </c>
      <c r="T397" s="5" t="s">
        <v>130</v>
      </c>
      <c r="U397" s="5" t="s">
        <v>44</v>
      </c>
      <c r="V397" s="5" t="s">
        <v>44</v>
      </c>
      <c r="W397" s="5" t="s">
        <v>35</v>
      </c>
      <c r="X397" s="5" t="s">
        <v>260</v>
      </c>
      <c r="Y397" s="5" t="s">
        <v>47</v>
      </c>
      <c r="Z397" s="5" t="s">
        <v>36</v>
      </c>
      <c r="AA397" s="5" t="s">
        <v>64</v>
      </c>
      <c r="AB397" s="5" t="s">
        <v>2505</v>
      </c>
      <c r="AC397" s="6" t="s">
        <v>71</v>
      </c>
      <c r="AD397" s="6">
        <v>1744.0</v>
      </c>
    </row>
    <row r="398" ht="56.25" customHeight="1">
      <c r="A398" s="5" t="s">
        <v>2485</v>
      </c>
      <c r="B398" s="6" t="str">
        <f>IMAGE("https://storage.googleapis.com/acdb/wall-mounted/FtrOfficeClock_Remake_4_0.png")</f>
        <v/>
      </c>
      <c r="C398" s="5" t="s">
        <v>68</v>
      </c>
      <c r="D398" s="5" t="s">
        <v>34</v>
      </c>
      <c r="E398" s="5" t="s">
        <v>34</v>
      </c>
      <c r="F398" s="5" t="s">
        <v>34</v>
      </c>
      <c r="G398" s="5" t="s">
        <v>36</v>
      </c>
      <c r="H398" s="5" t="s">
        <v>36</v>
      </c>
      <c r="I398" s="5" t="s">
        <v>36</v>
      </c>
      <c r="J398" s="6" t="s">
        <v>34</v>
      </c>
      <c r="K398" s="6">
        <v>690.0</v>
      </c>
      <c r="L398" s="6">
        <v>172.0</v>
      </c>
      <c r="M398" s="5" t="s">
        <v>68</v>
      </c>
      <c r="N398" s="5" t="s">
        <v>57</v>
      </c>
      <c r="O398" s="6" t="s">
        <v>179</v>
      </c>
      <c r="P398" s="5" t="s">
        <v>59</v>
      </c>
      <c r="Q398" s="5" t="s">
        <v>89</v>
      </c>
      <c r="R398" s="17" t="s">
        <v>42</v>
      </c>
      <c r="S398" s="5" t="s">
        <v>91</v>
      </c>
      <c r="T398" s="5" t="s">
        <v>130</v>
      </c>
      <c r="U398" s="5" t="s">
        <v>44</v>
      </c>
      <c r="V398" s="5" t="s">
        <v>44</v>
      </c>
      <c r="W398" s="5" t="s">
        <v>35</v>
      </c>
      <c r="X398" s="5" t="s">
        <v>260</v>
      </c>
      <c r="Y398" s="5" t="s">
        <v>47</v>
      </c>
      <c r="Z398" s="5" t="s">
        <v>36</v>
      </c>
      <c r="AA398" s="5" t="s">
        <v>64</v>
      </c>
      <c r="AB398" s="5" t="s">
        <v>2509</v>
      </c>
      <c r="AC398" s="6" t="s">
        <v>75</v>
      </c>
      <c r="AD398" s="6">
        <v>1744.0</v>
      </c>
    </row>
    <row r="399" ht="56.25" customHeight="1">
      <c r="A399" s="5" t="s">
        <v>2510</v>
      </c>
      <c r="B399" s="6" t="str">
        <f>IMAGE("https://storage.googleapis.com/acdb/wall-mounted/FtrFanRetroWall_Remake_0_0.png")</f>
        <v/>
      </c>
      <c r="C399" s="5" t="s">
        <v>96</v>
      </c>
      <c r="D399" s="5" t="s">
        <v>34</v>
      </c>
      <c r="E399" s="5" t="s">
        <v>34</v>
      </c>
      <c r="F399" s="5" t="s">
        <v>34</v>
      </c>
      <c r="G399" s="5" t="s">
        <v>36</v>
      </c>
      <c r="H399" s="5" t="s">
        <v>36</v>
      </c>
      <c r="I399" s="5" t="s">
        <v>36</v>
      </c>
      <c r="J399" s="6" t="s">
        <v>34</v>
      </c>
      <c r="K399" s="6">
        <v>1400.0</v>
      </c>
      <c r="L399" s="6">
        <v>350.0</v>
      </c>
      <c r="M399" s="5" t="s">
        <v>96</v>
      </c>
      <c r="N399" s="5" t="s">
        <v>96</v>
      </c>
      <c r="O399" s="6" t="s">
        <v>179</v>
      </c>
      <c r="P399" s="5" t="s">
        <v>59</v>
      </c>
      <c r="Q399" s="5" t="s">
        <v>122</v>
      </c>
      <c r="R399" s="17" t="s">
        <v>42</v>
      </c>
      <c r="S399" s="5" t="s">
        <v>91</v>
      </c>
      <c r="T399" s="5" t="s">
        <v>130</v>
      </c>
      <c r="U399" s="5" t="s">
        <v>44</v>
      </c>
      <c r="V399" s="5" t="s">
        <v>44</v>
      </c>
      <c r="W399" s="5" t="s">
        <v>35</v>
      </c>
      <c r="X399" s="5" t="s">
        <v>144</v>
      </c>
      <c r="Y399" s="5" t="s">
        <v>47</v>
      </c>
      <c r="Z399" s="5" t="s">
        <v>36</v>
      </c>
      <c r="AA399" s="5" t="s">
        <v>64</v>
      </c>
      <c r="AB399" s="5" t="s">
        <v>2514</v>
      </c>
      <c r="AC399" s="6" t="s">
        <v>50</v>
      </c>
      <c r="AD399" s="6">
        <v>3431.0</v>
      </c>
    </row>
    <row r="400" ht="56.25" customHeight="1">
      <c r="A400" s="5" t="s">
        <v>2510</v>
      </c>
      <c r="B400" s="6" t="str">
        <f>IMAGE("https://storage.googleapis.com/acdb/wall-mounted/FtrFanRetroWall_Remake_1_0.png")</f>
        <v/>
      </c>
      <c r="C400" s="5" t="s">
        <v>68</v>
      </c>
      <c r="D400" s="5" t="s">
        <v>34</v>
      </c>
      <c r="E400" s="5" t="s">
        <v>34</v>
      </c>
      <c r="F400" s="5" t="s">
        <v>34</v>
      </c>
      <c r="G400" s="5" t="s">
        <v>36</v>
      </c>
      <c r="H400" s="5" t="s">
        <v>36</v>
      </c>
      <c r="I400" s="5" t="s">
        <v>36</v>
      </c>
      <c r="J400" s="6" t="s">
        <v>34</v>
      </c>
      <c r="K400" s="6">
        <v>1400.0</v>
      </c>
      <c r="L400" s="6">
        <v>350.0</v>
      </c>
      <c r="M400" s="5" t="s">
        <v>83</v>
      </c>
      <c r="N400" s="5" t="s">
        <v>57</v>
      </c>
      <c r="O400" s="6" t="s">
        <v>179</v>
      </c>
      <c r="P400" s="5" t="s">
        <v>59</v>
      </c>
      <c r="Q400" s="5" t="s">
        <v>122</v>
      </c>
      <c r="R400" s="17" t="s">
        <v>42</v>
      </c>
      <c r="S400" s="5" t="s">
        <v>91</v>
      </c>
      <c r="T400" s="5" t="s">
        <v>130</v>
      </c>
      <c r="U400" s="5" t="s">
        <v>44</v>
      </c>
      <c r="V400" s="5" t="s">
        <v>44</v>
      </c>
      <c r="W400" s="5" t="s">
        <v>35</v>
      </c>
      <c r="X400" s="5" t="s">
        <v>144</v>
      </c>
      <c r="Y400" s="5" t="s">
        <v>47</v>
      </c>
      <c r="Z400" s="5" t="s">
        <v>36</v>
      </c>
      <c r="AA400" s="5" t="s">
        <v>64</v>
      </c>
      <c r="AB400" s="5" t="s">
        <v>2517</v>
      </c>
      <c r="AC400" s="6" t="s">
        <v>56</v>
      </c>
      <c r="AD400" s="6">
        <v>3431.0</v>
      </c>
    </row>
    <row r="401" ht="56.25" customHeight="1">
      <c r="A401" s="5" t="s">
        <v>2510</v>
      </c>
      <c r="B401" s="6" t="str">
        <f>IMAGE("https://storage.googleapis.com/acdb/wall-mounted/FtrFanRetroWall_Remake_2_0.png")</f>
        <v/>
      </c>
      <c r="C401" s="5" t="s">
        <v>52</v>
      </c>
      <c r="D401" s="5" t="s">
        <v>34</v>
      </c>
      <c r="E401" s="5" t="s">
        <v>34</v>
      </c>
      <c r="F401" s="5" t="s">
        <v>34</v>
      </c>
      <c r="G401" s="5" t="s">
        <v>36</v>
      </c>
      <c r="H401" s="5" t="s">
        <v>36</v>
      </c>
      <c r="I401" s="5" t="s">
        <v>36</v>
      </c>
      <c r="J401" s="6" t="s">
        <v>34</v>
      </c>
      <c r="K401" s="6">
        <v>1400.0</v>
      </c>
      <c r="L401" s="6">
        <v>350.0</v>
      </c>
      <c r="M401" s="5" t="s">
        <v>52</v>
      </c>
      <c r="N401" s="5" t="s">
        <v>52</v>
      </c>
      <c r="O401" s="6" t="s">
        <v>179</v>
      </c>
      <c r="P401" s="5" t="s">
        <v>59</v>
      </c>
      <c r="Q401" s="5" t="s">
        <v>122</v>
      </c>
      <c r="R401" s="17" t="s">
        <v>42</v>
      </c>
      <c r="S401" s="5" t="s">
        <v>91</v>
      </c>
      <c r="T401" s="5" t="s">
        <v>130</v>
      </c>
      <c r="U401" s="5" t="s">
        <v>44</v>
      </c>
      <c r="V401" s="5" t="s">
        <v>44</v>
      </c>
      <c r="W401" s="5" t="s">
        <v>35</v>
      </c>
      <c r="X401" s="5" t="s">
        <v>144</v>
      </c>
      <c r="Y401" s="5" t="s">
        <v>47</v>
      </c>
      <c r="Z401" s="5" t="s">
        <v>36</v>
      </c>
      <c r="AA401" s="5" t="s">
        <v>64</v>
      </c>
      <c r="AB401" s="5" t="s">
        <v>2522</v>
      </c>
      <c r="AC401" s="6" t="s">
        <v>67</v>
      </c>
      <c r="AD401" s="6">
        <v>3431.0</v>
      </c>
    </row>
    <row r="402" ht="56.25" customHeight="1">
      <c r="A402" s="5" t="s">
        <v>2510</v>
      </c>
      <c r="B402" s="6" t="str">
        <f>IMAGE("https://storage.googleapis.com/acdb/wall-mounted/FtrFanRetroWall_Remake_3_0.png")</f>
        <v/>
      </c>
      <c r="C402" s="5" t="s">
        <v>114</v>
      </c>
      <c r="D402" s="5" t="s">
        <v>34</v>
      </c>
      <c r="E402" s="5" t="s">
        <v>34</v>
      </c>
      <c r="F402" s="5" t="s">
        <v>34</v>
      </c>
      <c r="G402" s="5" t="s">
        <v>36</v>
      </c>
      <c r="H402" s="5" t="s">
        <v>36</v>
      </c>
      <c r="I402" s="5" t="s">
        <v>36</v>
      </c>
      <c r="J402" s="6" t="s">
        <v>34</v>
      </c>
      <c r="K402" s="6">
        <v>1400.0</v>
      </c>
      <c r="L402" s="6">
        <v>350.0</v>
      </c>
      <c r="M402" s="5" t="s">
        <v>114</v>
      </c>
      <c r="N402" s="5" t="s">
        <v>114</v>
      </c>
      <c r="O402" s="6" t="s">
        <v>179</v>
      </c>
      <c r="P402" s="5" t="s">
        <v>59</v>
      </c>
      <c r="Q402" s="5" t="s">
        <v>122</v>
      </c>
      <c r="R402" s="17" t="s">
        <v>42</v>
      </c>
      <c r="S402" s="5" t="s">
        <v>91</v>
      </c>
      <c r="T402" s="5" t="s">
        <v>130</v>
      </c>
      <c r="U402" s="5" t="s">
        <v>44</v>
      </c>
      <c r="V402" s="5" t="s">
        <v>44</v>
      </c>
      <c r="W402" s="5" t="s">
        <v>35</v>
      </c>
      <c r="X402" s="5" t="s">
        <v>144</v>
      </c>
      <c r="Y402" s="5" t="s">
        <v>47</v>
      </c>
      <c r="Z402" s="5" t="s">
        <v>36</v>
      </c>
      <c r="AA402" s="5" t="s">
        <v>64</v>
      </c>
      <c r="AB402" s="5" t="s">
        <v>2525</v>
      </c>
      <c r="AC402" s="6" t="s">
        <v>71</v>
      </c>
      <c r="AD402" s="6">
        <v>3431.0</v>
      </c>
    </row>
    <row r="403" ht="56.25" customHeight="1">
      <c r="A403" s="5" t="s">
        <v>2510</v>
      </c>
      <c r="B403" s="6" t="str">
        <f>IMAGE("https://storage.googleapis.com/acdb/wall-mounted/FtrFanRetroWall_Remake_4_0.png")</f>
        <v/>
      </c>
      <c r="C403" s="5" t="s">
        <v>57</v>
      </c>
      <c r="D403" s="5" t="s">
        <v>34</v>
      </c>
      <c r="E403" s="5" t="s">
        <v>34</v>
      </c>
      <c r="F403" s="5" t="s">
        <v>34</v>
      </c>
      <c r="G403" s="5" t="s">
        <v>36</v>
      </c>
      <c r="H403" s="5" t="s">
        <v>36</v>
      </c>
      <c r="I403" s="5" t="s">
        <v>36</v>
      </c>
      <c r="J403" s="6" t="s">
        <v>34</v>
      </c>
      <c r="K403" s="6">
        <v>1400.0</v>
      </c>
      <c r="L403" s="6">
        <v>350.0</v>
      </c>
      <c r="M403" s="5" t="s">
        <v>57</v>
      </c>
      <c r="N403" s="5" t="s">
        <v>57</v>
      </c>
      <c r="O403" s="6" t="s">
        <v>179</v>
      </c>
      <c r="P403" s="5" t="s">
        <v>59</v>
      </c>
      <c r="Q403" s="5" t="s">
        <v>122</v>
      </c>
      <c r="R403" s="17" t="s">
        <v>42</v>
      </c>
      <c r="S403" s="5" t="s">
        <v>91</v>
      </c>
      <c r="T403" s="5" t="s">
        <v>130</v>
      </c>
      <c r="U403" s="5" t="s">
        <v>44</v>
      </c>
      <c r="V403" s="5" t="s">
        <v>44</v>
      </c>
      <c r="W403" s="5" t="s">
        <v>35</v>
      </c>
      <c r="X403" s="5" t="s">
        <v>144</v>
      </c>
      <c r="Y403" s="5" t="s">
        <v>47</v>
      </c>
      <c r="Z403" s="5" t="s">
        <v>36</v>
      </c>
      <c r="AA403" s="5" t="s">
        <v>64</v>
      </c>
      <c r="AB403" s="5" t="s">
        <v>2529</v>
      </c>
      <c r="AC403" s="6" t="s">
        <v>75</v>
      </c>
      <c r="AD403" s="6">
        <v>3431.0</v>
      </c>
    </row>
    <row r="404" ht="56.25" customHeight="1">
      <c r="A404" s="5" t="s">
        <v>2510</v>
      </c>
      <c r="B404" s="6" t="str">
        <f>IMAGE("https://storage.googleapis.com/acdb/wall-mounted/FtrFanRetroWall_Remake_5_0.png")</f>
        <v/>
      </c>
      <c r="C404" s="5" t="s">
        <v>54</v>
      </c>
      <c r="D404" s="5" t="s">
        <v>34</v>
      </c>
      <c r="E404" s="5" t="s">
        <v>34</v>
      </c>
      <c r="F404" s="5" t="s">
        <v>34</v>
      </c>
      <c r="G404" s="5" t="s">
        <v>36</v>
      </c>
      <c r="H404" s="5" t="s">
        <v>36</v>
      </c>
      <c r="I404" s="5" t="s">
        <v>36</v>
      </c>
      <c r="J404" s="6" t="s">
        <v>34</v>
      </c>
      <c r="K404" s="6">
        <v>1400.0</v>
      </c>
      <c r="L404" s="6">
        <v>350.0</v>
      </c>
      <c r="M404" s="5" t="s">
        <v>54</v>
      </c>
      <c r="N404" s="5" t="s">
        <v>39</v>
      </c>
      <c r="O404" s="6" t="s">
        <v>179</v>
      </c>
      <c r="P404" s="5" t="s">
        <v>59</v>
      </c>
      <c r="Q404" s="5" t="s">
        <v>122</v>
      </c>
      <c r="R404" s="17" t="s">
        <v>42</v>
      </c>
      <c r="S404" s="5" t="s">
        <v>91</v>
      </c>
      <c r="T404" s="5" t="s">
        <v>130</v>
      </c>
      <c r="U404" s="5" t="s">
        <v>44</v>
      </c>
      <c r="V404" s="5" t="s">
        <v>44</v>
      </c>
      <c r="W404" s="5" t="s">
        <v>35</v>
      </c>
      <c r="X404" s="5" t="s">
        <v>144</v>
      </c>
      <c r="Y404" s="5" t="s">
        <v>47</v>
      </c>
      <c r="Z404" s="5" t="s">
        <v>36</v>
      </c>
      <c r="AA404" s="5" t="s">
        <v>64</v>
      </c>
      <c r="AB404" s="5" t="s">
        <v>2533</v>
      </c>
      <c r="AC404" s="6" t="s">
        <v>79</v>
      </c>
      <c r="AD404" s="6">
        <v>3431.0</v>
      </c>
    </row>
    <row r="405" ht="56.25" customHeight="1">
      <c r="A405" s="5" t="s">
        <v>2510</v>
      </c>
      <c r="B405" s="6" t="str">
        <f>IMAGE("https://storage.googleapis.com/acdb/wall-mounted/FtrFanRetroWall_Remake_6_0.png")</f>
        <v/>
      </c>
      <c r="C405" s="5" t="s">
        <v>146</v>
      </c>
      <c r="D405" s="5" t="s">
        <v>34</v>
      </c>
      <c r="E405" s="5" t="s">
        <v>34</v>
      </c>
      <c r="F405" s="5" t="s">
        <v>34</v>
      </c>
      <c r="G405" s="5" t="s">
        <v>36</v>
      </c>
      <c r="H405" s="5" t="s">
        <v>36</v>
      </c>
      <c r="I405" s="5" t="s">
        <v>36</v>
      </c>
      <c r="J405" s="6" t="s">
        <v>34</v>
      </c>
      <c r="K405" s="6">
        <v>1400.0</v>
      </c>
      <c r="L405" s="6">
        <v>350.0</v>
      </c>
      <c r="M405" s="5" t="s">
        <v>95</v>
      </c>
      <c r="N405" s="5" t="s">
        <v>95</v>
      </c>
      <c r="O405" s="6" t="s">
        <v>179</v>
      </c>
      <c r="P405" s="5" t="s">
        <v>59</v>
      </c>
      <c r="Q405" s="5" t="s">
        <v>122</v>
      </c>
      <c r="R405" s="17" t="s">
        <v>42</v>
      </c>
      <c r="S405" s="5" t="s">
        <v>91</v>
      </c>
      <c r="T405" s="5" t="s">
        <v>130</v>
      </c>
      <c r="U405" s="5" t="s">
        <v>44</v>
      </c>
      <c r="V405" s="5" t="s">
        <v>44</v>
      </c>
      <c r="W405" s="5" t="s">
        <v>35</v>
      </c>
      <c r="X405" s="5" t="s">
        <v>144</v>
      </c>
      <c r="Y405" s="5" t="s">
        <v>47</v>
      </c>
      <c r="Z405" s="5" t="s">
        <v>36</v>
      </c>
      <c r="AA405" s="5" t="s">
        <v>64</v>
      </c>
      <c r="AB405" s="5" t="s">
        <v>2537</v>
      </c>
      <c r="AC405" s="6" t="s">
        <v>86</v>
      </c>
      <c r="AD405" s="6">
        <v>3431.0</v>
      </c>
    </row>
    <row r="406" ht="56.25" customHeight="1">
      <c r="A406" s="5" t="s">
        <v>2510</v>
      </c>
      <c r="B406" s="6" t="str">
        <f>IMAGE("https://storage.googleapis.com/acdb/wall-mounted/FtrFanRetroWall_Remake_7_0.png")</f>
        <v/>
      </c>
      <c r="C406" s="5" t="s">
        <v>39</v>
      </c>
      <c r="D406" s="5" t="s">
        <v>34</v>
      </c>
      <c r="E406" s="5" t="s">
        <v>34</v>
      </c>
      <c r="F406" s="5" t="s">
        <v>34</v>
      </c>
      <c r="G406" s="5" t="s">
        <v>36</v>
      </c>
      <c r="H406" s="5" t="s">
        <v>36</v>
      </c>
      <c r="I406" s="5" t="s">
        <v>36</v>
      </c>
      <c r="J406" s="6" t="s">
        <v>34</v>
      </c>
      <c r="K406" s="6">
        <v>1400.0</v>
      </c>
      <c r="L406" s="6">
        <v>350.0</v>
      </c>
      <c r="M406" s="5" t="s">
        <v>39</v>
      </c>
      <c r="N406" s="5" t="s">
        <v>39</v>
      </c>
      <c r="O406" s="6" t="s">
        <v>179</v>
      </c>
      <c r="P406" s="5" t="s">
        <v>59</v>
      </c>
      <c r="Q406" s="5" t="s">
        <v>122</v>
      </c>
      <c r="R406" s="17" t="s">
        <v>42</v>
      </c>
      <c r="S406" s="5" t="s">
        <v>91</v>
      </c>
      <c r="T406" s="5" t="s">
        <v>130</v>
      </c>
      <c r="U406" s="5" t="s">
        <v>44</v>
      </c>
      <c r="V406" s="5" t="s">
        <v>44</v>
      </c>
      <c r="W406" s="5" t="s">
        <v>35</v>
      </c>
      <c r="X406" s="5" t="s">
        <v>144</v>
      </c>
      <c r="Y406" s="5" t="s">
        <v>47</v>
      </c>
      <c r="Z406" s="5" t="s">
        <v>36</v>
      </c>
      <c r="AA406" s="5" t="s">
        <v>64</v>
      </c>
      <c r="AB406" s="5" t="s">
        <v>2544</v>
      </c>
      <c r="AC406" s="6" t="s">
        <v>208</v>
      </c>
      <c r="AD406" s="6">
        <v>3431.0</v>
      </c>
    </row>
    <row r="407" ht="56.25" customHeight="1">
      <c r="A407" s="5" t="s">
        <v>2545</v>
      </c>
      <c r="B407" s="6" t="str">
        <f>IMAGE("https://storage.googleapis.com/acdb/wall-mounted/FtrCandleWall_Remake_0_0.png")</f>
        <v/>
      </c>
      <c r="C407" s="5" t="s">
        <v>151</v>
      </c>
      <c r="D407" s="5" t="s">
        <v>34</v>
      </c>
      <c r="E407" s="5" t="s">
        <v>34</v>
      </c>
      <c r="F407" s="5" t="s">
        <v>34</v>
      </c>
      <c r="G407" s="5" t="s">
        <v>36</v>
      </c>
      <c r="H407" s="5" t="s">
        <v>36</v>
      </c>
      <c r="I407" s="5" t="s">
        <v>36</v>
      </c>
      <c r="J407" s="6" t="s">
        <v>34</v>
      </c>
      <c r="K407" s="6">
        <v>800.0</v>
      </c>
      <c r="L407" s="6">
        <v>200.0</v>
      </c>
      <c r="M407" s="5" t="s">
        <v>114</v>
      </c>
      <c r="N407" s="5" t="s">
        <v>57</v>
      </c>
      <c r="O407" s="6" t="s">
        <v>179</v>
      </c>
      <c r="P407" s="5" t="s">
        <v>59</v>
      </c>
      <c r="Q407" s="5" t="s">
        <v>89</v>
      </c>
      <c r="R407" s="17" t="s">
        <v>42</v>
      </c>
      <c r="S407" s="5" t="s">
        <v>732</v>
      </c>
      <c r="T407" s="5" t="s">
        <v>44</v>
      </c>
      <c r="U407" s="5" t="s">
        <v>44</v>
      </c>
      <c r="V407" s="5" t="s">
        <v>44</v>
      </c>
      <c r="W407" s="5" t="s">
        <v>35</v>
      </c>
      <c r="X407" s="5" t="s">
        <v>467</v>
      </c>
      <c r="Y407" s="5" t="s">
        <v>495</v>
      </c>
      <c r="Z407" s="5" t="s">
        <v>36</v>
      </c>
      <c r="AA407" s="5" t="s">
        <v>64</v>
      </c>
      <c r="AB407" s="5" t="s">
        <v>2549</v>
      </c>
      <c r="AC407" s="6" t="s">
        <v>50</v>
      </c>
      <c r="AD407" s="6">
        <v>5165.0</v>
      </c>
    </row>
    <row r="408" ht="56.25" customHeight="1">
      <c r="A408" s="5" t="s">
        <v>2545</v>
      </c>
      <c r="B408" s="6" t="str">
        <f>IMAGE("https://storage.googleapis.com/acdb/wall-mounted/FtrCandleWall_Remake_1_0.png")</f>
        <v/>
      </c>
      <c r="C408" s="5" t="s">
        <v>146</v>
      </c>
      <c r="D408" s="5" t="s">
        <v>34</v>
      </c>
      <c r="E408" s="5" t="s">
        <v>34</v>
      </c>
      <c r="F408" s="5" t="s">
        <v>34</v>
      </c>
      <c r="G408" s="5" t="s">
        <v>36</v>
      </c>
      <c r="H408" s="5" t="s">
        <v>36</v>
      </c>
      <c r="I408" s="5" t="s">
        <v>36</v>
      </c>
      <c r="J408" s="6" t="s">
        <v>34</v>
      </c>
      <c r="K408" s="6">
        <v>800.0</v>
      </c>
      <c r="L408" s="6">
        <v>200.0</v>
      </c>
      <c r="M408" s="5" t="s">
        <v>95</v>
      </c>
      <c r="N408" s="5" t="s">
        <v>57</v>
      </c>
      <c r="O408" s="6" t="s">
        <v>179</v>
      </c>
      <c r="P408" s="5" t="s">
        <v>59</v>
      </c>
      <c r="Q408" s="5" t="s">
        <v>89</v>
      </c>
      <c r="R408" s="17" t="s">
        <v>42</v>
      </c>
      <c r="S408" s="5" t="s">
        <v>732</v>
      </c>
      <c r="T408" s="5" t="s">
        <v>44</v>
      </c>
      <c r="U408" s="5" t="s">
        <v>44</v>
      </c>
      <c r="V408" s="5" t="s">
        <v>44</v>
      </c>
      <c r="W408" s="5" t="s">
        <v>35</v>
      </c>
      <c r="X408" s="5" t="s">
        <v>467</v>
      </c>
      <c r="Y408" s="5" t="s">
        <v>495</v>
      </c>
      <c r="Z408" s="5" t="s">
        <v>36</v>
      </c>
      <c r="AA408" s="5" t="s">
        <v>64</v>
      </c>
      <c r="AB408" s="5" t="s">
        <v>2552</v>
      </c>
      <c r="AC408" s="6" t="s">
        <v>56</v>
      </c>
      <c r="AD408" s="6">
        <v>5165.0</v>
      </c>
    </row>
    <row r="409" ht="56.25" customHeight="1">
      <c r="A409" s="5" t="s">
        <v>2545</v>
      </c>
      <c r="B409" s="6" t="str">
        <f>IMAGE("https://storage.googleapis.com/acdb/wall-mounted/FtrCandleWall_Remake_2_0.png")</f>
        <v/>
      </c>
      <c r="C409" s="5" t="s">
        <v>296</v>
      </c>
      <c r="D409" s="5" t="s">
        <v>34</v>
      </c>
      <c r="E409" s="5" t="s">
        <v>34</v>
      </c>
      <c r="F409" s="5" t="s">
        <v>34</v>
      </c>
      <c r="G409" s="5" t="s">
        <v>36</v>
      </c>
      <c r="H409" s="5" t="s">
        <v>36</v>
      </c>
      <c r="I409" s="5" t="s">
        <v>36</v>
      </c>
      <c r="J409" s="6" t="s">
        <v>34</v>
      </c>
      <c r="K409" s="6">
        <v>800.0</v>
      </c>
      <c r="L409" s="6">
        <v>200.0</v>
      </c>
      <c r="M409" s="5" t="s">
        <v>39</v>
      </c>
      <c r="N409" s="5" t="s">
        <v>57</v>
      </c>
      <c r="O409" s="6" t="s">
        <v>179</v>
      </c>
      <c r="P409" s="5" t="s">
        <v>59</v>
      </c>
      <c r="Q409" s="5" t="s">
        <v>89</v>
      </c>
      <c r="R409" s="17" t="s">
        <v>42</v>
      </c>
      <c r="S409" s="5" t="s">
        <v>732</v>
      </c>
      <c r="T409" s="5" t="s">
        <v>44</v>
      </c>
      <c r="U409" s="5" t="s">
        <v>44</v>
      </c>
      <c r="V409" s="5" t="s">
        <v>44</v>
      </c>
      <c r="W409" s="5" t="s">
        <v>35</v>
      </c>
      <c r="X409" s="5" t="s">
        <v>467</v>
      </c>
      <c r="Y409" s="5" t="s">
        <v>495</v>
      </c>
      <c r="Z409" s="5" t="s">
        <v>36</v>
      </c>
      <c r="AA409" s="5" t="s">
        <v>64</v>
      </c>
      <c r="AB409" s="5" t="s">
        <v>2556</v>
      </c>
      <c r="AC409" s="6" t="s">
        <v>67</v>
      </c>
      <c r="AD409" s="6">
        <v>5165.0</v>
      </c>
    </row>
    <row r="410" ht="56.25" customHeight="1">
      <c r="A410" s="5" t="s">
        <v>2545</v>
      </c>
      <c r="B410" s="6" t="str">
        <f>IMAGE("https://storage.googleapis.com/acdb/wall-mounted/FtrCandleWall_Remake_3_0.png")</f>
        <v/>
      </c>
      <c r="C410" s="5" t="s">
        <v>54</v>
      </c>
      <c r="D410" s="5" t="s">
        <v>34</v>
      </c>
      <c r="E410" s="5" t="s">
        <v>34</v>
      </c>
      <c r="F410" s="5" t="s">
        <v>34</v>
      </c>
      <c r="G410" s="5" t="s">
        <v>36</v>
      </c>
      <c r="H410" s="5" t="s">
        <v>36</v>
      </c>
      <c r="I410" s="5" t="s">
        <v>36</v>
      </c>
      <c r="J410" s="6" t="s">
        <v>34</v>
      </c>
      <c r="K410" s="6">
        <v>800.0</v>
      </c>
      <c r="L410" s="6">
        <v>200.0</v>
      </c>
      <c r="M410" s="5" t="s">
        <v>54</v>
      </c>
      <c r="N410" s="5" t="s">
        <v>57</v>
      </c>
      <c r="O410" s="6" t="s">
        <v>179</v>
      </c>
      <c r="P410" s="5" t="s">
        <v>59</v>
      </c>
      <c r="Q410" s="5" t="s">
        <v>89</v>
      </c>
      <c r="R410" s="17" t="s">
        <v>42</v>
      </c>
      <c r="S410" s="5" t="s">
        <v>732</v>
      </c>
      <c r="T410" s="5" t="s">
        <v>44</v>
      </c>
      <c r="U410" s="5" t="s">
        <v>44</v>
      </c>
      <c r="V410" s="5" t="s">
        <v>44</v>
      </c>
      <c r="W410" s="5" t="s">
        <v>35</v>
      </c>
      <c r="X410" s="5" t="s">
        <v>467</v>
      </c>
      <c r="Y410" s="5" t="s">
        <v>495</v>
      </c>
      <c r="Z410" s="5" t="s">
        <v>36</v>
      </c>
      <c r="AA410" s="5" t="s">
        <v>64</v>
      </c>
      <c r="AB410" s="5" t="s">
        <v>2561</v>
      </c>
      <c r="AC410" s="6" t="s">
        <v>71</v>
      </c>
      <c r="AD410" s="6">
        <v>5165.0</v>
      </c>
    </row>
    <row r="411" ht="56.25" customHeight="1">
      <c r="A411" s="5" t="s">
        <v>2545</v>
      </c>
      <c r="B411" s="6" t="str">
        <f>IMAGE("https://storage.googleapis.com/acdb/wall-mounted/FtrCandleWall_Remake_4_0.png")</f>
        <v/>
      </c>
      <c r="C411" s="5" t="s">
        <v>57</v>
      </c>
      <c r="D411" s="5" t="s">
        <v>34</v>
      </c>
      <c r="E411" s="5" t="s">
        <v>34</v>
      </c>
      <c r="F411" s="5" t="s">
        <v>34</v>
      </c>
      <c r="G411" s="5" t="s">
        <v>36</v>
      </c>
      <c r="H411" s="5" t="s">
        <v>36</v>
      </c>
      <c r="I411" s="5" t="s">
        <v>36</v>
      </c>
      <c r="J411" s="6" t="s">
        <v>34</v>
      </c>
      <c r="K411" s="6">
        <v>800.0</v>
      </c>
      <c r="L411" s="6">
        <v>200.0</v>
      </c>
      <c r="M411" s="5" t="s">
        <v>57</v>
      </c>
      <c r="N411" s="5" t="s">
        <v>57</v>
      </c>
      <c r="O411" s="6" t="s">
        <v>179</v>
      </c>
      <c r="P411" s="5" t="s">
        <v>59</v>
      </c>
      <c r="Q411" s="5" t="s">
        <v>89</v>
      </c>
      <c r="R411" s="17" t="s">
        <v>42</v>
      </c>
      <c r="S411" s="5" t="s">
        <v>732</v>
      </c>
      <c r="T411" s="5" t="s">
        <v>44</v>
      </c>
      <c r="U411" s="5" t="s">
        <v>44</v>
      </c>
      <c r="V411" s="5" t="s">
        <v>44</v>
      </c>
      <c r="W411" s="5" t="s">
        <v>35</v>
      </c>
      <c r="X411" s="5" t="s">
        <v>467</v>
      </c>
      <c r="Y411" s="5" t="s">
        <v>495</v>
      </c>
      <c r="Z411" s="5" t="s">
        <v>36</v>
      </c>
      <c r="AA411" s="5" t="s">
        <v>64</v>
      </c>
      <c r="AB411" s="5" t="s">
        <v>2565</v>
      </c>
      <c r="AC411" s="6" t="s">
        <v>75</v>
      </c>
      <c r="AD411" s="6">
        <v>5165.0</v>
      </c>
    </row>
    <row r="412" ht="56.25" customHeight="1">
      <c r="A412" s="5" t="s">
        <v>2566</v>
      </c>
      <c r="B412" s="6" t="str">
        <f>IMAGE("https://storage.googleapis.com/acdb/wall-mounted/FtrPhoneWall_Remake_0_0.png")</f>
        <v/>
      </c>
      <c r="C412" s="5" t="s">
        <v>57</v>
      </c>
      <c r="D412" s="5" t="s">
        <v>34</v>
      </c>
      <c r="E412" s="5" t="s">
        <v>34</v>
      </c>
      <c r="F412" s="5" t="s">
        <v>34</v>
      </c>
      <c r="G412" s="5" t="s">
        <v>36</v>
      </c>
      <c r="H412" s="5" t="s">
        <v>36</v>
      </c>
      <c r="I412" s="5" t="s">
        <v>36</v>
      </c>
      <c r="J412" s="6" t="s">
        <v>34</v>
      </c>
      <c r="K412" s="6">
        <v>1300.0</v>
      </c>
      <c r="L412" s="6">
        <v>325.0</v>
      </c>
      <c r="M412" s="5" t="s">
        <v>57</v>
      </c>
      <c r="N412" s="5" t="s">
        <v>57</v>
      </c>
      <c r="O412" s="6" t="s">
        <v>179</v>
      </c>
      <c r="P412" s="5" t="s">
        <v>59</v>
      </c>
      <c r="Q412" s="5" t="s">
        <v>122</v>
      </c>
      <c r="R412" s="17" t="s">
        <v>42</v>
      </c>
      <c r="S412" s="5" t="s">
        <v>90</v>
      </c>
      <c r="T412" s="5" t="s">
        <v>44</v>
      </c>
      <c r="U412" s="5" t="s">
        <v>44</v>
      </c>
      <c r="V412" s="5" t="s">
        <v>44</v>
      </c>
      <c r="W412" s="5" t="s">
        <v>35</v>
      </c>
      <c r="X412" s="5" t="s">
        <v>182</v>
      </c>
      <c r="Y412" s="5" t="s">
        <v>47</v>
      </c>
      <c r="Z412" s="5" t="s">
        <v>36</v>
      </c>
      <c r="AA412" s="5" t="s">
        <v>64</v>
      </c>
      <c r="AB412" s="5" t="s">
        <v>2569</v>
      </c>
      <c r="AC412" s="6" t="s">
        <v>50</v>
      </c>
      <c r="AD412" s="6">
        <v>3987.0</v>
      </c>
    </row>
    <row r="413" ht="56.25" customHeight="1">
      <c r="A413" s="5" t="s">
        <v>2566</v>
      </c>
      <c r="B413" s="6" t="str">
        <f>IMAGE("https://storage.googleapis.com/acdb/wall-mounted/FtrPhoneWall_Remake_1_0.png")</f>
        <v/>
      </c>
      <c r="C413" s="5" t="s">
        <v>54</v>
      </c>
      <c r="D413" s="5" t="s">
        <v>34</v>
      </c>
      <c r="E413" s="5" t="s">
        <v>34</v>
      </c>
      <c r="F413" s="5" t="s">
        <v>34</v>
      </c>
      <c r="G413" s="5" t="s">
        <v>36</v>
      </c>
      <c r="H413" s="5" t="s">
        <v>36</v>
      </c>
      <c r="I413" s="5" t="s">
        <v>36</v>
      </c>
      <c r="J413" s="6" t="s">
        <v>34</v>
      </c>
      <c r="K413" s="6">
        <v>1300.0</v>
      </c>
      <c r="L413" s="6">
        <v>325.0</v>
      </c>
      <c r="M413" s="5" t="s">
        <v>54</v>
      </c>
      <c r="N413" s="5" t="s">
        <v>54</v>
      </c>
      <c r="O413" s="6" t="s">
        <v>179</v>
      </c>
      <c r="P413" s="5" t="s">
        <v>59</v>
      </c>
      <c r="Q413" s="5" t="s">
        <v>122</v>
      </c>
      <c r="R413" s="17" t="s">
        <v>42</v>
      </c>
      <c r="S413" s="5" t="s">
        <v>90</v>
      </c>
      <c r="T413" s="5" t="s">
        <v>44</v>
      </c>
      <c r="U413" s="5" t="s">
        <v>44</v>
      </c>
      <c r="V413" s="5" t="s">
        <v>44</v>
      </c>
      <c r="W413" s="5" t="s">
        <v>35</v>
      </c>
      <c r="X413" s="5" t="s">
        <v>182</v>
      </c>
      <c r="Y413" s="5" t="s">
        <v>47</v>
      </c>
      <c r="Z413" s="5" t="s">
        <v>36</v>
      </c>
      <c r="AA413" s="5" t="s">
        <v>64</v>
      </c>
      <c r="AB413" s="5" t="s">
        <v>2574</v>
      </c>
      <c r="AC413" s="6" t="s">
        <v>56</v>
      </c>
      <c r="AD413" s="6">
        <v>3987.0</v>
      </c>
    </row>
    <row r="414" ht="56.25" customHeight="1">
      <c r="A414" s="5" t="s">
        <v>2566</v>
      </c>
      <c r="B414" s="6" t="str">
        <f>IMAGE("https://storage.googleapis.com/acdb/wall-mounted/FtrPhoneWall_Remake_2_0.png")</f>
        <v/>
      </c>
      <c r="C414" s="5" t="s">
        <v>146</v>
      </c>
      <c r="D414" s="5" t="s">
        <v>34</v>
      </c>
      <c r="E414" s="5" t="s">
        <v>34</v>
      </c>
      <c r="F414" s="5" t="s">
        <v>34</v>
      </c>
      <c r="G414" s="5" t="s">
        <v>36</v>
      </c>
      <c r="H414" s="5" t="s">
        <v>36</v>
      </c>
      <c r="I414" s="5" t="s">
        <v>36</v>
      </c>
      <c r="J414" s="6" t="s">
        <v>34</v>
      </c>
      <c r="K414" s="6">
        <v>1300.0</v>
      </c>
      <c r="L414" s="6">
        <v>325.0</v>
      </c>
      <c r="M414" s="5" t="s">
        <v>95</v>
      </c>
      <c r="N414" s="5" t="s">
        <v>95</v>
      </c>
      <c r="O414" s="6" t="s">
        <v>179</v>
      </c>
      <c r="P414" s="5" t="s">
        <v>59</v>
      </c>
      <c r="Q414" s="5" t="s">
        <v>122</v>
      </c>
      <c r="R414" s="17" t="s">
        <v>42</v>
      </c>
      <c r="S414" s="5" t="s">
        <v>90</v>
      </c>
      <c r="T414" s="5" t="s">
        <v>44</v>
      </c>
      <c r="U414" s="5" t="s">
        <v>44</v>
      </c>
      <c r="V414" s="5" t="s">
        <v>44</v>
      </c>
      <c r="W414" s="5" t="s">
        <v>35</v>
      </c>
      <c r="X414" s="5" t="s">
        <v>182</v>
      </c>
      <c r="Y414" s="5" t="s">
        <v>47</v>
      </c>
      <c r="Z414" s="5" t="s">
        <v>36</v>
      </c>
      <c r="AA414" s="5" t="s">
        <v>64</v>
      </c>
      <c r="AB414" s="5" t="s">
        <v>2579</v>
      </c>
      <c r="AC414" s="6" t="s">
        <v>67</v>
      </c>
      <c r="AD414" s="6">
        <v>3987.0</v>
      </c>
    </row>
    <row r="415" ht="56.25" customHeight="1">
      <c r="A415" s="5" t="s">
        <v>2566</v>
      </c>
      <c r="B415" s="6" t="str">
        <f>IMAGE("https://storage.googleapis.com/acdb/wall-mounted/FtrPhoneWall_Remake_3_0.png")</f>
        <v/>
      </c>
      <c r="C415" s="5" t="s">
        <v>95</v>
      </c>
      <c r="D415" s="5" t="s">
        <v>34</v>
      </c>
      <c r="E415" s="5" t="s">
        <v>34</v>
      </c>
      <c r="F415" s="5" t="s">
        <v>34</v>
      </c>
      <c r="G415" s="5" t="s">
        <v>36</v>
      </c>
      <c r="H415" s="5" t="s">
        <v>36</v>
      </c>
      <c r="I415" s="5" t="s">
        <v>36</v>
      </c>
      <c r="J415" s="6" t="s">
        <v>34</v>
      </c>
      <c r="K415" s="6">
        <v>1300.0</v>
      </c>
      <c r="L415" s="6">
        <v>325.0</v>
      </c>
      <c r="M415" s="5" t="s">
        <v>39</v>
      </c>
      <c r="N415" s="5" t="s">
        <v>39</v>
      </c>
      <c r="O415" s="6" t="s">
        <v>179</v>
      </c>
      <c r="P415" s="5" t="s">
        <v>59</v>
      </c>
      <c r="Q415" s="5" t="s">
        <v>122</v>
      </c>
      <c r="R415" s="17" t="s">
        <v>42</v>
      </c>
      <c r="S415" s="5" t="s">
        <v>90</v>
      </c>
      <c r="T415" s="5" t="s">
        <v>44</v>
      </c>
      <c r="U415" s="5" t="s">
        <v>44</v>
      </c>
      <c r="V415" s="5" t="s">
        <v>44</v>
      </c>
      <c r="W415" s="5" t="s">
        <v>35</v>
      </c>
      <c r="X415" s="5" t="s">
        <v>182</v>
      </c>
      <c r="Y415" s="5" t="s">
        <v>47</v>
      </c>
      <c r="Z415" s="5" t="s">
        <v>36</v>
      </c>
      <c r="AA415" s="5" t="s">
        <v>64</v>
      </c>
      <c r="AB415" s="5" t="s">
        <v>2584</v>
      </c>
      <c r="AC415" s="6" t="s">
        <v>71</v>
      </c>
      <c r="AD415" s="6">
        <v>3987.0</v>
      </c>
    </row>
    <row r="416" ht="56.25" customHeight="1">
      <c r="A416" s="5" t="s">
        <v>2566</v>
      </c>
      <c r="B416" s="6" t="str">
        <f>IMAGE("https://storage.googleapis.com/acdb/wall-mounted/FtrPhoneWall_Remake_4_0.png")</f>
        <v/>
      </c>
      <c r="C416" s="5" t="s">
        <v>52</v>
      </c>
      <c r="D416" s="5" t="s">
        <v>34</v>
      </c>
      <c r="E416" s="5" t="s">
        <v>34</v>
      </c>
      <c r="F416" s="5" t="s">
        <v>34</v>
      </c>
      <c r="G416" s="5" t="s">
        <v>36</v>
      </c>
      <c r="H416" s="5" t="s">
        <v>36</v>
      </c>
      <c r="I416" s="5" t="s">
        <v>36</v>
      </c>
      <c r="J416" s="6" t="s">
        <v>34</v>
      </c>
      <c r="K416" s="6">
        <v>1300.0</v>
      </c>
      <c r="L416" s="6">
        <v>325.0</v>
      </c>
      <c r="M416" s="5" t="s">
        <v>52</v>
      </c>
      <c r="N416" s="5" t="s">
        <v>52</v>
      </c>
      <c r="O416" s="6" t="s">
        <v>179</v>
      </c>
      <c r="P416" s="5" t="s">
        <v>59</v>
      </c>
      <c r="Q416" s="5" t="s">
        <v>122</v>
      </c>
      <c r="R416" s="17" t="s">
        <v>42</v>
      </c>
      <c r="S416" s="5" t="s">
        <v>90</v>
      </c>
      <c r="T416" s="5" t="s">
        <v>44</v>
      </c>
      <c r="U416" s="5" t="s">
        <v>44</v>
      </c>
      <c r="V416" s="5" t="s">
        <v>44</v>
      </c>
      <c r="W416" s="5" t="s">
        <v>35</v>
      </c>
      <c r="X416" s="5" t="s">
        <v>182</v>
      </c>
      <c r="Y416" s="5" t="s">
        <v>47</v>
      </c>
      <c r="Z416" s="5" t="s">
        <v>36</v>
      </c>
      <c r="AA416" s="5" t="s">
        <v>64</v>
      </c>
      <c r="AB416" s="5" t="s">
        <v>2587</v>
      </c>
      <c r="AC416" s="6" t="s">
        <v>75</v>
      </c>
      <c r="AD416" s="6">
        <v>3987.0</v>
      </c>
    </row>
    <row r="417" ht="56.25" customHeight="1">
      <c r="A417" s="5" t="s">
        <v>2566</v>
      </c>
      <c r="B417" s="6" t="str">
        <f>IMAGE("https://storage.googleapis.com/acdb/wall-mounted/FtrPhoneWall_Remake_5_0.png")</f>
        <v/>
      </c>
      <c r="C417" s="5" t="s">
        <v>68</v>
      </c>
      <c r="D417" s="5" t="s">
        <v>34</v>
      </c>
      <c r="E417" s="5" t="s">
        <v>34</v>
      </c>
      <c r="F417" s="5" t="s">
        <v>34</v>
      </c>
      <c r="G417" s="5" t="s">
        <v>36</v>
      </c>
      <c r="H417" s="5" t="s">
        <v>36</v>
      </c>
      <c r="I417" s="5" t="s">
        <v>36</v>
      </c>
      <c r="J417" s="6" t="s">
        <v>34</v>
      </c>
      <c r="K417" s="6">
        <v>1300.0</v>
      </c>
      <c r="L417" s="6">
        <v>325.0</v>
      </c>
      <c r="M417" s="5" t="s">
        <v>68</v>
      </c>
      <c r="N417" s="5" t="s">
        <v>68</v>
      </c>
      <c r="O417" s="6" t="s">
        <v>179</v>
      </c>
      <c r="P417" s="5" t="s">
        <v>59</v>
      </c>
      <c r="Q417" s="5" t="s">
        <v>122</v>
      </c>
      <c r="R417" s="17" t="s">
        <v>42</v>
      </c>
      <c r="S417" s="5" t="s">
        <v>90</v>
      </c>
      <c r="T417" s="5" t="s">
        <v>44</v>
      </c>
      <c r="U417" s="5" t="s">
        <v>44</v>
      </c>
      <c r="V417" s="5" t="s">
        <v>44</v>
      </c>
      <c r="W417" s="5" t="s">
        <v>35</v>
      </c>
      <c r="X417" s="5" t="s">
        <v>182</v>
      </c>
      <c r="Y417" s="5" t="s">
        <v>47</v>
      </c>
      <c r="Z417" s="5" t="s">
        <v>36</v>
      </c>
      <c r="AA417" s="5" t="s">
        <v>64</v>
      </c>
      <c r="AB417" s="5" t="s">
        <v>2591</v>
      </c>
      <c r="AC417" s="6" t="s">
        <v>79</v>
      </c>
      <c r="AD417" s="6">
        <v>3987.0</v>
      </c>
    </row>
    <row r="418" ht="56.25" customHeight="1">
      <c r="A418" s="5" t="s">
        <v>2592</v>
      </c>
      <c r="B418" s="6" t="str">
        <f>IMAGE("https://storage.googleapis.com/acdb/wall-mounted/FtrToolhanger_Remake_0_0.png")</f>
        <v/>
      </c>
      <c r="C418" s="5" t="s">
        <v>57</v>
      </c>
      <c r="D418" s="5" t="s">
        <v>34</v>
      </c>
      <c r="E418" s="5" t="s">
        <v>34</v>
      </c>
      <c r="F418" s="5" t="s">
        <v>34</v>
      </c>
      <c r="G418" s="5" t="s">
        <v>36</v>
      </c>
      <c r="H418" s="5" t="s">
        <v>36</v>
      </c>
      <c r="I418" s="5" t="s">
        <v>36</v>
      </c>
      <c r="J418" s="6" t="s">
        <v>34</v>
      </c>
      <c r="K418" s="6">
        <v>1500.0</v>
      </c>
      <c r="L418" s="6">
        <v>375.0</v>
      </c>
      <c r="M418" s="5" t="s">
        <v>57</v>
      </c>
      <c r="N418" s="5" t="s">
        <v>58</v>
      </c>
      <c r="O418" s="6" t="s">
        <v>136</v>
      </c>
      <c r="P418" s="5" t="s">
        <v>59</v>
      </c>
      <c r="Q418" s="5" t="s">
        <v>89</v>
      </c>
      <c r="R418" s="17" t="s">
        <v>42</v>
      </c>
      <c r="S418" s="5" t="s">
        <v>416</v>
      </c>
      <c r="T418" s="5" t="s">
        <v>44</v>
      </c>
      <c r="U418" s="5" t="s">
        <v>44</v>
      </c>
      <c r="V418" s="5" t="s">
        <v>44</v>
      </c>
      <c r="W418" s="5" t="s">
        <v>36</v>
      </c>
      <c r="X418" s="5" t="s">
        <v>432</v>
      </c>
      <c r="Y418" s="5" t="s">
        <v>47</v>
      </c>
      <c r="Z418" s="5" t="s">
        <v>36</v>
      </c>
      <c r="AA418" s="5" t="s">
        <v>64</v>
      </c>
      <c r="AB418" s="5" t="s">
        <v>2595</v>
      </c>
      <c r="AC418" s="6" t="s">
        <v>50</v>
      </c>
      <c r="AD418" s="6">
        <v>8417.0</v>
      </c>
    </row>
    <row r="419" ht="56.25" customHeight="1">
      <c r="A419" s="5" t="s">
        <v>2592</v>
      </c>
      <c r="B419" s="6" t="str">
        <f>IMAGE("https://storage.googleapis.com/acdb/wall-mounted/FtrToolhanger_Remake_1_0.png")</f>
        <v/>
      </c>
      <c r="C419" s="5" t="s">
        <v>2408</v>
      </c>
      <c r="D419" s="5" t="s">
        <v>34</v>
      </c>
      <c r="E419" s="5" t="s">
        <v>34</v>
      </c>
      <c r="F419" s="5" t="s">
        <v>34</v>
      </c>
      <c r="G419" s="5" t="s">
        <v>36</v>
      </c>
      <c r="H419" s="5" t="s">
        <v>36</v>
      </c>
      <c r="I419" s="5" t="s">
        <v>36</v>
      </c>
      <c r="J419" s="6" t="s">
        <v>34</v>
      </c>
      <c r="K419" s="6">
        <v>1500.0</v>
      </c>
      <c r="L419" s="6">
        <v>375.0</v>
      </c>
      <c r="M419" s="5" t="s">
        <v>39</v>
      </c>
      <c r="N419" s="5" t="s">
        <v>58</v>
      </c>
      <c r="O419" s="6" t="s">
        <v>136</v>
      </c>
      <c r="P419" s="5" t="s">
        <v>59</v>
      </c>
      <c r="Q419" s="5" t="s">
        <v>89</v>
      </c>
      <c r="R419" s="17" t="s">
        <v>42</v>
      </c>
      <c r="S419" s="5" t="s">
        <v>416</v>
      </c>
      <c r="T419" s="5" t="s">
        <v>44</v>
      </c>
      <c r="U419" s="5" t="s">
        <v>44</v>
      </c>
      <c r="V419" s="5" t="s">
        <v>44</v>
      </c>
      <c r="W419" s="5" t="s">
        <v>36</v>
      </c>
      <c r="X419" s="5" t="s">
        <v>432</v>
      </c>
      <c r="Y419" s="5" t="s">
        <v>47</v>
      </c>
      <c r="Z419" s="5" t="s">
        <v>36</v>
      </c>
      <c r="AA419" s="5" t="s">
        <v>64</v>
      </c>
      <c r="AB419" s="5" t="s">
        <v>2599</v>
      </c>
      <c r="AC419" s="6" t="s">
        <v>56</v>
      </c>
      <c r="AD419" s="6">
        <v>8417.0</v>
      </c>
    </row>
    <row r="420" ht="56.25" customHeight="1">
      <c r="A420" s="5" t="s">
        <v>2592</v>
      </c>
      <c r="B420" s="6" t="str">
        <f>IMAGE("https://storage.googleapis.com/acdb/wall-mounted/FtrToolhanger_Remake_2_0.png")</f>
        <v/>
      </c>
      <c r="C420" s="5" t="s">
        <v>114</v>
      </c>
      <c r="D420" s="5" t="s">
        <v>34</v>
      </c>
      <c r="E420" s="5" t="s">
        <v>34</v>
      </c>
      <c r="F420" s="5" t="s">
        <v>34</v>
      </c>
      <c r="G420" s="5" t="s">
        <v>36</v>
      </c>
      <c r="H420" s="5" t="s">
        <v>36</v>
      </c>
      <c r="I420" s="5" t="s">
        <v>36</v>
      </c>
      <c r="J420" s="6" t="s">
        <v>34</v>
      </c>
      <c r="K420" s="6">
        <v>1500.0</v>
      </c>
      <c r="L420" s="6">
        <v>375.0</v>
      </c>
      <c r="M420" s="5" t="s">
        <v>114</v>
      </c>
      <c r="N420" s="5" t="s">
        <v>58</v>
      </c>
      <c r="O420" s="6" t="s">
        <v>136</v>
      </c>
      <c r="P420" s="5" t="s">
        <v>59</v>
      </c>
      <c r="Q420" s="5" t="s">
        <v>89</v>
      </c>
      <c r="R420" s="17" t="s">
        <v>42</v>
      </c>
      <c r="S420" s="5" t="s">
        <v>416</v>
      </c>
      <c r="T420" s="5" t="s">
        <v>44</v>
      </c>
      <c r="U420" s="5" t="s">
        <v>44</v>
      </c>
      <c r="V420" s="5" t="s">
        <v>44</v>
      </c>
      <c r="W420" s="5" t="s">
        <v>36</v>
      </c>
      <c r="X420" s="5" t="s">
        <v>432</v>
      </c>
      <c r="Y420" s="5" t="s">
        <v>47</v>
      </c>
      <c r="Z420" s="5" t="s">
        <v>36</v>
      </c>
      <c r="AA420" s="5" t="s">
        <v>64</v>
      </c>
      <c r="AB420" s="5" t="s">
        <v>2604</v>
      </c>
      <c r="AC420" s="6" t="s">
        <v>67</v>
      </c>
      <c r="AD420" s="6">
        <v>8417.0</v>
      </c>
    </row>
    <row r="421" ht="56.25" customHeight="1">
      <c r="A421" s="5" t="s">
        <v>2592</v>
      </c>
      <c r="B421" s="6" t="str">
        <f>IMAGE("https://storage.googleapis.com/acdb/wall-mounted/FtrToolhanger_Remake_3_0.png")</f>
        <v/>
      </c>
      <c r="C421" s="5" t="s">
        <v>52</v>
      </c>
      <c r="D421" s="5" t="s">
        <v>34</v>
      </c>
      <c r="E421" s="5" t="s">
        <v>34</v>
      </c>
      <c r="F421" s="5" t="s">
        <v>34</v>
      </c>
      <c r="G421" s="5" t="s">
        <v>36</v>
      </c>
      <c r="H421" s="5" t="s">
        <v>36</v>
      </c>
      <c r="I421" s="5" t="s">
        <v>36</v>
      </c>
      <c r="J421" s="6" t="s">
        <v>34</v>
      </c>
      <c r="K421" s="6">
        <v>1500.0</v>
      </c>
      <c r="L421" s="6">
        <v>375.0</v>
      </c>
      <c r="M421" s="5" t="s">
        <v>52</v>
      </c>
      <c r="N421" s="5" t="s">
        <v>58</v>
      </c>
      <c r="O421" s="6" t="s">
        <v>136</v>
      </c>
      <c r="P421" s="5" t="s">
        <v>59</v>
      </c>
      <c r="Q421" s="5" t="s">
        <v>89</v>
      </c>
      <c r="R421" s="17" t="s">
        <v>42</v>
      </c>
      <c r="S421" s="5" t="s">
        <v>416</v>
      </c>
      <c r="T421" s="5" t="s">
        <v>44</v>
      </c>
      <c r="U421" s="5" t="s">
        <v>44</v>
      </c>
      <c r="V421" s="5" t="s">
        <v>44</v>
      </c>
      <c r="W421" s="5" t="s">
        <v>36</v>
      </c>
      <c r="X421" s="5" t="s">
        <v>432</v>
      </c>
      <c r="Y421" s="5" t="s">
        <v>47</v>
      </c>
      <c r="Z421" s="5" t="s">
        <v>36</v>
      </c>
      <c r="AA421" s="5" t="s">
        <v>64</v>
      </c>
      <c r="AB421" s="5" t="s">
        <v>2607</v>
      </c>
      <c r="AC421" s="6" t="s">
        <v>71</v>
      </c>
      <c r="AD421" s="6">
        <v>8417.0</v>
      </c>
    </row>
    <row r="422" ht="56.25" customHeight="1">
      <c r="A422" s="5" t="s">
        <v>2592</v>
      </c>
      <c r="B422" s="6" t="str">
        <f>IMAGE("https://storage.googleapis.com/acdb/wall-mounted/FtrToolhanger_Remake_4_0.png")</f>
        <v/>
      </c>
      <c r="C422" s="5" t="s">
        <v>68</v>
      </c>
      <c r="D422" s="5" t="s">
        <v>34</v>
      </c>
      <c r="E422" s="5" t="s">
        <v>34</v>
      </c>
      <c r="F422" s="5" t="s">
        <v>34</v>
      </c>
      <c r="G422" s="5" t="s">
        <v>36</v>
      </c>
      <c r="H422" s="5" t="s">
        <v>36</v>
      </c>
      <c r="I422" s="5" t="s">
        <v>36</v>
      </c>
      <c r="J422" s="6" t="s">
        <v>34</v>
      </c>
      <c r="K422" s="6">
        <v>1500.0</v>
      </c>
      <c r="L422" s="6">
        <v>375.0</v>
      </c>
      <c r="M422" s="5" t="s">
        <v>68</v>
      </c>
      <c r="N422" s="5" t="s">
        <v>58</v>
      </c>
      <c r="O422" s="6" t="s">
        <v>136</v>
      </c>
      <c r="P422" s="5" t="s">
        <v>59</v>
      </c>
      <c r="Q422" s="5" t="s">
        <v>89</v>
      </c>
      <c r="R422" s="17" t="s">
        <v>42</v>
      </c>
      <c r="S422" s="5" t="s">
        <v>416</v>
      </c>
      <c r="T422" s="5" t="s">
        <v>44</v>
      </c>
      <c r="U422" s="5" t="s">
        <v>44</v>
      </c>
      <c r="V422" s="5" t="s">
        <v>44</v>
      </c>
      <c r="W422" s="5" t="s">
        <v>36</v>
      </c>
      <c r="X422" s="5" t="s">
        <v>432</v>
      </c>
      <c r="Y422" s="5" t="s">
        <v>47</v>
      </c>
      <c r="Z422" s="5" t="s">
        <v>36</v>
      </c>
      <c r="AA422" s="5" t="s">
        <v>64</v>
      </c>
      <c r="AB422" s="5" t="s">
        <v>2611</v>
      </c>
      <c r="AC422" s="6" t="s">
        <v>75</v>
      </c>
      <c r="AD422" s="6">
        <v>8417.0</v>
      </c>
    </row>
    <row r="423" ht="56.25" customHeight="1">
      <c r="A423" s="5" t="s">
        <v>2592</v>
      </c>
      <c r="B423" s="6" t="str">
        <f>IMAGE("https://storage.googleapis.com/acdb/wall-mounted/FtrToolhanger_Remake_5_0.png")</f>
        <v/>
      </c>
      <c r="C423" s="5" t="s">
        <v>54</v>
      </c>
      <c r="D423" s="5" t="s">
        <v>34</v>
      </c>
      <c r="E423" s="5" t="s">
        <v>34</v>
      </c>
      <c r="F423" s="5" t="s">
        <v>34</v>
      </c>
      <c r="G423" s="5" t="s">
        <v>36</v>
      </c>
      <c r="H423" s="5" t="s">
        <v>36</v>
      </c>
      <c r="I423" s="5" t="s">
        <v>36</v>
      </c>
      <c r="J423" s="6" t="s">
        <v>34</v>
      </c>
      <c r="K423" s="6">
        <v>1500.0</v>
      </c>
      <c r="L423" s="6">
        <v>375.0</v>
      </c>
      <c r="M423" s="5" t="s">
        <v>54</v>
      </c>
      <c r="N423" s="5" t="s">
        <v>58</v>
      </c>
      <c r="O423" s="6" t="s">
        <v>136</v>
      </c>
      <c r="P423" s="5" t="s">
        <v>59</v>
      </c>
      <c r="Q423" s="5" t="s">
        <v>89</v>
      </c>
      <c r="R423" s="17" t="s">
        <v>42</v>
      </c>
      <c r="S423" s="5" t="s">
        <v>416</v>
      </c>
      <c r="T423" s="5" t="s">
        <v>44</v>
      </c>
      <c r="U423" s="5" t="s">
        <v>44</v>
      </c>
      <c r="V423" s="5" t="s">
        <v>44</v>
      </c>
      <c r="W423" s="5" t="s">
        <v>36</v>
      </c>
      <c r="X423" s="5" t="s">
        <v>432</v>
      </c>
      <c r="Y423" s="5" t="s">
        <v>47</v>
      </c>
      <c r="Z423" s="5" t="s">
        <v>36</v>
      </c>
      <c r="AA423" s="5" t="s">
        <v>64</v>
      </c>
      <c r="AB423" s="5" t="s">
        <v>2614</v>
      </c>
      <c r="AC423" s="6" t="s">
        <v>79</v>
      </c>
      <c r="AD423" s="6">
        <v>8417.0</v>
      </c>
    </row>
    <row r="424" ht="56.25" customHeight="1">
      <c r="A424" s="5" t="s">
        <v>2615</v>
      </c>
      <c r="B424" s="6" t="str">
        <f>IMAGE("https://storage.googleapis.com/acdb/wall-mounted/FtrTV20inchWall_Remake_0_0.png")</f>
        <v/>
      </c>
      <c r="C424" s="5" t="s">
        <v>54</v>
      </c>
      <c r="D424" s="5" t="s">
        <v>34</v>
      </c>
      <c r="E424" s="5" t="s">
        <v>34</v>
      </c>
      <c r="F424" s="5" t="s">
        <v>34</v>
      </c>
      <c r="G424" s="5" t="s">
        <v>36</v>
      </c>
      <c r="H424" s="5" t="s">
        <v>36</v>
      </c>
      <c r="I424" s="5" t="s">
        <v>36</v>
      </c>
      <c r="J424" s="6" t="s">
        <v>34</v>
      </c>
      <c r="K424" s="6">
        <v>8900.0</v>
      </c>
      <c r="L424" s="6">
        <v>2225.0</v>
      </c>
      <c r="M424" s="5" t="s">
        <v>54</v>
      </c>
      <c r="N424" s="5" t="s">
        <v>54</v>
      </c>
      <c r="O424" s="6" t="s">
        <v>179</v>
      </c>
      <c r="P424" s="5" t="s">
        <v>59</v>
      </c>
      <c r="Q424" s="5" t="s">
        <v>115</v>
      </c>
      <c r="R424" s="17" t="s">
        <v>42</v>
      </c>
      <c r="S424" s="5" t="s">
        <v>90</v>
      </c>
      <c r="T424" s="5" t="s">
        <v>44</v>
      </c>
      <c r="U424" s="5" t="s">
        <v>44</v>
      </c>
      <c r="V424" s="5" t="s">
        <v>44</v>
      </c>
      <c r="W424" s="5" t="s">
        <v>35</v>
      </c>
      <c r="X424" s="5" t="s">
        <v>2619</v>
      </c>
      <c r="Y424" s="5" t="s">
        <v>357</v>
      </c>
      <c r="Z424" s="5" t="s">
        <v>36</v>
      </c>
      <c r="AA424" s="5" t="s">
        <v>64</v>
      </c>
      <c r="AB424" s="5" t="s">
        <v>2621</v>
      </c>
      <c r="AC424" s="6" t="s">
        <v>50</v>
      </c>
      <c r="AD424" s="6">
        <v>3986.0</v>
      </c>
    </row>
    <row r="425" ht="56.25" customHeight="1">
      <c r="A425" s="5" t="s">
        <v>2615</v>
      </c>
      <c r="B425" s="6" t="str">
        <f>IMAGE("https://storage.googleapis.com/acdb/wall-mounted/FtrTV20inchWall_Remake_1_0.png")</f>
        <v/>
      </c>
      <c r="C425" s="5" t="s">
        <v>57</v>
      </c>
      <c r="D425" s="5" t="s">
        <v>34</v>
      </c>
      <c r="E425" s="5" t="s">
        <v>34</v>
      </c>
      <c r="F425" s="5" t="s">
        <v>34</v>
      </c>
      <c r="G425" s="5" t="s">
        <v>36</v>
      </c>
      <c r="H425" s="5" t="s">
        <v>36</v>
      </c>
      <c r="I425" s="5" t="s">
        <v>36</v>
      </c>
      <c r="J425" s="6" t="s">
        <v>34</v>
      </c>
      <c r="K425" s="6">
        <v>8900.0</v>
      </c>
      <c r="L425" s="6">
        <v>2225.0</v>
      </c>
      <c r="M425" s="5" t="s">
        <v>57</v>
      </c>
      <c r="N425" s="5" t="s">
        <v>57</v>
      </c>
      <c r="O425" s="6" t="s">
        <v>179</v>
      </c>
      <c r="P425" s="5" t="s">
        <v>59</v>
      </c>
      <c r="Q425" s="5" t="s">
        <v>115</v>
      </c>
      <c r="R425" s="17" t="s">
        <v>42</v>
      </c>
      <c r="S425" s="5" t="s">
        <v>90</v>
      </c>
      <c r="T425" s="5" t="s">
        <v>44</v>
      </c>
      <c r="U425" s="5" t="s">
        <v>44</v>
      </c>
      <c r="V425" s="5" t="s">
        <v>44</v>
      </c>
      <c r="W425" s="5" t="s">
        <v>35</v>
      </c>
      <c r="X425" s="5" t="s">
        <v>2619</v>
      </c>
      <c r="Y425" s="5" t="s">
        <v>357</v>
      </c>
      <c r="Z425" s="5" t="s">
        <v>36</v>
      </c>
      <c r="AA425" s="5" t="s">
        <v>64</v>
      </c>
      <c r="AB425" s="5" t="s">
        <v>2625</v>
      </c>
      <c r="AC425" s="6" t="s">
        <v>56</v>
      </c>
      <c r="AD425" s="6">
        <v>3986.0</v>
      </c>
    </row>
    <row r="426" ht="56.25" customHeight="1">
      <c r="A426" s="5" t="s">
        <v>2615</v>
      </c>
      <c r="B426" s="6" t="str">
        <f>IMAGE("https://storage.googleapis.com/acdb/wall-mounted/FtrTV20inchWall_Remake_2_0.png")</f>
        <v/>
      </c>
      <c r="C426" s="5" t="s">
        <v>146</v>
      </c>
      <c r="D426" s="5" t="s">
        <v>34</v>
      </c>
      <c r="E426" s="5" t="s">
        <v>34</v>
      </c>
      <c r="F426" s="5" t="s">
        <v>34</v>
      </c>
      <c r="G426" s="5" t="s">
        <v>36</v>
      </c>
      <c r="H426" s="5" t="s">
        <v>36</v>
      </c>
      <c r="I426" s="5" t="s">
        <v>36</v>
      </c>
      <c r="J426" s="6" t="s">
        <v>34</v>
      </c>
      <c r="K426" s="6">
        <v>8900.0</v>
      </c>
      <c r="L426" s="6">
        <v>2225.0</v>
      </c>
      <c r="M426" s="5" t="s">
        <v>95</v>
      </c>
      <c r="N426" s="5" t="s">
        <v>95</v>
      </c>
      <c r="O426" s="6" t="s">
        <v>179</v>
      </c>
      <c r="P426" s="5" t="s">
        <v>59</v>
      </c>
      <c r="Q426" s="5" t="s">
        <v>115</v>
      </c>
      <c r="R426" s="17" t="s">
        <v>42</v>
      </c>
      <c r="S426" s="5" t="s">
        <v>90</v>
      </c>
      <c r="T426" s="5" t="s">
        <v>44</v>
      </c>
      <c r="U426" s="5" t="s">
        <v>44</v>
      </c>
      <c r="V426" s="5" t="s">
        <v>44</v>
      </c>
      <c r="W426" s="5" t="s">
        <v>35</v>
      </c>
      <c r="X426" s="5" t="s">
        <v>2619</v>
      </c>
      <c r="Y426" s="5" t="s">
        <v>357</v>
      </c>
      <c r="Z426" s="5" t="s">
        <v>36</v>
      </c>
      <c r="AA426" s="5" t="s">
        <v>64</v>
      </c>
      <c r="AB426" s="5" t="s">
        <v>2629</v>
      </c>
      <c r="AC426" s="6" t="s">
        <v>67</v>
      </c>
      <c r="AD426" s="6">
        <v>3986.0</v>
      </c>
    </row>
    <row r="427" ht="56.25" customHeight="1">
      <c r="A427" s="5" t="s">
        <v>2615</v>
      </c>
      <c r="B427" s="6" t="str">
        <f>IMAGE("https://storage.googleapis.com/acdb/wall-mounted/FtrTV20inchWall_Remake_3_0.png")</f>
        <v/>
      </c>
      <c r="C427" s="5" t="s">
        <v>52</v>
      </c>
      <c r="D427" s="5" t="s">
        <v>34</v>
      </c>
      <c r="E427" s="5" t="s">
        <v>34</v>
      </c>
      <c r="F427" s="5" t="s">
        <v>34</v>
      </c>
      <c r="G427" s="5" t="s">
        <v>36</v>
      </c>
      <c r="H427" s="5" t="s">
        <v>36</v>
      </c>
      <c r="I427" s="5" t="s">
        <v>36</v>
      </c>
      <c r="J427" s="6" t="s">
        <v>34</v>
      </c>
      <c r="K427" s="6">
        <v>8900.0</v>
      </c>
      <c r="L427" s="6">
        <v>2225.0</v>
      </c>
      <c r="M427" s="5" t="s">
        <v>52</v>
      </c>
      <c r="N427" s="5" t="s">
        <v>52</v>
      </c>
      <c r="O427" s="6" t="s">
        <v>179</v>
      </c>
      <c r="P427" s="5" t="s">
        <v>59</v>
      </c>
      <c r="Q427" s="5" t="s">
        <v>115</v>
      </c>
      <c r="R427" s="17" t="s">
        <v>42</v>
      </c>
      <c r="S427" s="5" t="s">
        <v>90</v>
      </c>
      <c r="T427" s="5" t="s">
        <v>44</v>
      </c>
      <c r="U427" s="5" t="s">
        <v>44</v>
      </c>
      <c r="V427" s="5" t="s">
        <v>44</v>
      </c>
      <c r="W427" s="5" t="s">
        <v>35</v>
      </c>
      <c r="X427" s="5" t="s">
        <v>2619</v>
      </c>
      <c r="Y427" s="5" t="s">
        <v>357</v>
      </c>
      <c r="Z427" s="5" t="s">
        <v>36</v>
      </c>
      <c r="AA427" s="5" t="s">
        <v>64</v>
      </c>
      <c r="AB427" s="5" t="s">
        <v>2632</v>
      </c>
      <c r="AC427" s="6" t="s">
        <v>71</v>
      </c>
      <c r="AD427" s="6">
        <v>3986.0</v>
      </c>
    </row>
    <row r="428" ht="56.25" customHeight="1">
      <c r="A428" s="5" t="s">
        <v>2615</v>
      </c>
      <c r="B428" s="6" t="str">
        <f>IMAGE("https://storage.googleapis.com/acdb/wall-mounted/FtrTV20inchWall_Remake_4_0.png")</f>
        <v/>
      </c>
      <c r="C428" s="5" t="s">
        <v>114</v>
      </c>
      <c r="D428" s="5" t="s">
        <v>34</v>
      </c>
      <c r="E428" s="5" t="s">
        <v>34</v>
      </c>
      <c r="F428" s="5" t="s">
        <v>34</v>
      </c>
      <c r="G428" s="5" t="s">
        <v>36</v>
      </c>
      <c r="H428" s="5" t="s">
        <v>36</v>
      </c>
      <c r="I428" s="5" t="s">
        <v>36</v>
      </c>
      <c r="J428" s="6" t="s">
        <v>34</v>
      </c>
      <c r="K428" s="6">
        <v>8900.0</v>
      </c>
      <c r="L428" s="6">
        <v>2225.0</v>
      </c>
      <c r="M428" s="5" t="s">
        <v>114</v>
      </c>
      <c r="N428" s="5" t="s">
        <v>114</v>
      </c>
      <c r="O428" s="6" t="s">
        <v>179</v>
      </c>
      <c r="P428" s="5" t="s">
        <v>59</v>
      </c>
      <c r="Q428" s="5" t="s">
        <v>115</v>
      </c>
      <c r="R428" s="17" t="s">
        <v>42</v>
      </c>
      <c r="S428" s="5" t="s">
        <v>90</v>
      </c>
      <c r="T428" s="5" t="s">
        <v>44</v>
      </c>
      <c r="U428" s="5" t="s">
        <v>44</v>
      </c>
      <c r="V428" s="5" t="s">
        <v>44</v>
      </c>
      <c r="W428" s="5" t="s">
        <v>35</v>
      </c>
      <c r="X428" s="5" t="s">
        <v>2619</v>
      </c>
      <c r="Y428" s="5" t="s">
        <v>357</v>
      </c>
      <c r="Z428" s="5" t="s">
        <v>36</v>
      </c>
      <c r="AA428" s="5" t="s">
        <v>64</v>
      </c>
      <c r="AB428" s="5" t="s">
        <v>2636</v>
      </c>
      <c r="AC428" s="6" t="s">
        <v>75</v>
      </c>
      <c r="AD428" s="6">
        <v>3986.0</v>
      </c>
    </row>
    <row r="429" ht="56.25" customHeight="1">
      <c r="A429" s="5" t="s">
        <v>2615</v>
      </c>
      <c r="B429" s="6" t="str">
        <f>IMAGE("https://storage.googleapis.com/acdb/wall-mounted/FtrTV20inchWall_Remake_5_0.png")</f>
        <v/>
      </c>
      <c r="C429" s="5" t="s">
        <v>68</v>
      </c>
      <c r="D429" s="5" t="s">
        <v>34</v>
      </c>
      <c r="E429" s="5" t="s">
        <v>34</v>
      </c>
      <c r="F429" s="5" t="s">
        <v>34</v>
      </c>
      <c r="G429" s="5" t="s">
        <v>36</v>
      </c>
      <c r="H429" s="5" t="s">
        <v>36</v>
      </c>
      <c r="I429" s="5" t="s">
        <v>36</v>
      </c>
      <c r="J429" s="6" t="s">
        <v>34</v>
      </c>
      <c r="K429" s="6">
        <v>8900.0</v>
      </c>
      <c r="L429" s="6">
        <v>2225.0</v>
      </c>
      <c r="M429" s="5" t="s">
        <v>68</v>
      </c>
      <c r="N429" s="5" t="s">
        <v>68</v>
      </c>
      <c r="O429" s="6" t="s">
        <v>179</v>
      </c>
      <c r="P429" s="5" t="s">
        <v>59</v>
      </c>
      <c r="Q429" s="5" t="s">
        <v>115</v>
      </c>
      <c r="R429" s="17" t="s">
        <v>42</v>
      </c>
      <c r="S429" s="5" t="s">
        <v>90</v>
      </c>
      <c r="T429" s="5" t="s">
        <v>44</v>
      </c>
      <c r="U429" s="5" t="s">
        <v>44</v>
      </c>
      <c r="V429" s="5" t="s">
        <v>44</v>
      </c>
      <c r="W429" s="5" t="s">
        <v>35</v>
      </c>
      <c r="X429" s="5" t="s">
        <v>2619</v>
      </c>
      <c r="Y429" s="5" t="s">
        <v>357</v>
      </c>
      <c r="Z429" s="5" t="s">
        <v>36</v>
      </c>
      <c r="AA429" s="5" t="s">
        <v>64</v>
      </c>
      <c r="AB429" s="5" t="s">
        <v>2640</v>
      </c>
      <c r="AC429" s="6" t="s">
        <v>79</v>
      </c>
      <c r="AD429" s="6">
        <v>3986.0</v>
      </c>
    </row>
    <row r="430" ht="56.25" customHeight="1">
      <c r="A430" s="5" t="s">
        <v>2615</v>
      </c>
      <c r="B430" s="6" t="str">
        <f>IMAGE("https://storage.googleapis.com/acdb/wall-mounted/FtrTV20inchWall_Remake_6_0.png")</f>
        <v/>
      </c>
      <c r="C430" s="5" t="s">
        <v>69</v>
      </c>
      <c r="D430" s="5" t="s">
        <v>34</v>
      </c>
      <c r="E430" s="5" t="s">
        <v>34</v>
      </c>
      <c r="F430" s="5" t="s">
        <v>34</v>
      </c>
      <c r="G430" s="5" t="s">
        <v>36</v>
      </c>
      <c r="H430" s="5" t="s">
        <v>36</v>
      </c>
      <c r="I430" s="5" t="s">
        <v>36</v>
      </c>
      <c r="J430" s="6" t="s">
        <v>34</v>
      </c>
      <c r="K430" s="6">
        <v>8900.0</v>
      </c>
      <c r="L430" s="6">
        <v>2225.0</v>
      </c>
      <c r="M430" s="5" t="s">
        <v>69</v>
      </c>
      <c r="N430" s="5" t="s">
        <v>69</v>
      </c>
      <c r="O430" s="6" t="s">
        <v>179</v>
      </c>
      <c r="P430" s="5" t="s">
        <v>59</v>
      </c>
      <c r="Q430" s="5" t="s">
        <v>115</v>
      </c>
      <c r="R430" s="17" t="s">
        <v>42</v>
      </c>
      <c r="S430" s="5" t="s">
        <v>90</v>
      </c>
      <c r="T430" s="5" t="s">
        <v>44</v>
      </c>
      <c r="U430" s="5" t="s">
        <v>44</v>
      </c>
      <c r="V430" s="5" t="s">
        <v>44</v>
      </c>
      <c r="W430" s="5" t="s">
        <v>35</v>
      </c>
      <c r="X430" s="5" t="s">
        <v>2619</v>
      </c>
      <c r="Y430" s="5" t="s">
        <v>357</v>
      </c>
      <c r="Z430" s="5" t="s">
        <v>36</v>
      </c>
      <c r="AA430" s="5" t="s">
        <v>64</v>
      </c>
      <c r="AB430" s="5" t="s">
        <v>2645</v>
      </c>
      <c r="AC430" s="6" t="s">
        <v>86</v>
      </c>
      <c r="AD430" s="6">
        <v>3986.0</v>
      </c>
    </row>
    <row r="431" ht="56.25" customHeight="1">
      <c r="A431" s="5" t="s">
        <v>2615</v>
      </c>
      <c r="B431" s="6" t="str">
        <f>IMAGE("https://storage.googleapis.com/acdb/wall-mounted/FtrTV20inchWall_Remake_7_0.png")</f>
        <v/>
      </c>
      <c r="C431" s="5" t="s">
        <v>83</v>
      </c>
      <c r="D431" s="5" t="s">
        <v>34</v>
      </c>
      <c r="E431" s="5" t="s">
        <v>34</v>
      </c>
      <c r="F431" s="5" t="s">
        <v>34</v>
      </c>
      <c r="G431" s="5" t="s">
        <v>36</v>
      </c>
      <c r="H431" s="5" t="s">
        <v>36</v>
      </c>
      <c r="I431" s="5" t="s">
        <v>36</v>
      </c>
      <c r="J431" s="6" t="s">
        <v>34</v>
      </c>
      <c r="K431" s="6">
        <v>8900.0</v>
      </c>
      <c r="L431" s="6">
        <v>2225.0</v>
      </c>
      <c r="M431" s="5" t="s">
        <v>83</v>
      </c>
      <c r="N431" s="5" t="s">
        <v>83</v>
      </c>
      <c r="O431" s="6" t="s">
        <v>179</v>
      </c>
      <c r="P431" s="5" t="s">
        <v>59</v>
      </c>
      <c r="Q431" s="5" t="s">
        <v>115</v>
      </c>
      <c r="R431" s="17" t="s">
        <v>42</v>
      </c>
      <c r="S431" s="5" t="s">
        <v>90</v>
      </c>
      <c r="T431" s="5" t="s">
        <v>44</v>
      </c>
      <c r="U431" s="5" t="s">
        <v>44</v>
      </c>
      <c r="V431" s="5" t="s">
        <v>44</v>
      </c>
      <c r="W431" s="5" t="s">
        <v>35</v>
      </c>
      <c r="X431" s="5" t="s">
        <v>2619</v>
      </c>
      <c r="Y431" s="5" t="s">
        <v>357</v>
      </c>
      <c r="Z431" s="5" t="s">
        <v>36</v>
      </c>
      <c r="AA431" s="5" t="s">
        <v>64</v>
      </c>
      <c r="AB431" s="5" t="s">
        <v>2649</v>
      </c>
      <c r="AC431" s="6" t="s">
        <v>208</v>
      </c>
      <c r="AD431" s="6">
        <v>3986.0</v>
      </c>
    </row>
    <row r="432" ht="56.25" customHeight="1">
      <c r="A432" s="5" t="s">
        <v>2650</v>
      </c>
      <c r="B432" s="6" t="str">
        <f>IMAGE("https://storage.googleapis.com/acdb/wall-mounted/FtrTV50inchWall_Remake_0_0.png")</f>
        <v/>
      </c>
      <c r="C432" s="5" t="s">
        <v>54</v>
      </c>
      <c r="D432" s="5" t="s">
        <v>34</v>
      </c>
      <c r="E432" s="5" t="s">
        <v>34</v>
      </c>
      <c r="F432" s="5" t="s">
        <v>34</v>
      </c>
      <c r="G432" s="5" t="s">
        <v>36</v>
      </c>
      <c r="H432" s="5" t="s">
        <v>36</v>
      </c>
      <c r="I432" s="5" t="s">
        <v>36</v>
      </c>
      <c r="J432" s="6" t="s">
        <v>34</v>
      </c>
      <c r="K432" s="6">
        <v>22000.0</v>
      </c>
      <c r="L432" s="6">
        <v>5500.0</v>
      </c>
      <c r="M432" s="5" t="s">
        <v>54</v>
      </c>
      <c r="N432" s="5" t="s">
        <v>54</v>
      </c>
      <c r="O432" s="6" t="s">
        <v>136</v>
      </c>
      <c r="P432" s="5" t="s">
        <v>59</v>
      </c>
      <c r="Q432" s="5" t="s">
        <v>115</v>
      </c>
      <c r="R432" s="17" t="s">
        <v>42</v>
      </c>
      <c r="S432" s="5" t="s">
        <v>90</v>
      </c>
      <c r="T432" s="5" t="s">
        <v>44</v>
      </c>
      <c r="U432" s="5" t="s">
        <v>44</v>
      </c>
      <c r="V432" s="5" t="s">
        <v>44</v>
      </c>
      <c r="W432" s="5" t="s">
        <v>35</v>
      </c>
      <c r="X432" s="5" t="s">
        <v>2619</v>
      </c>
      <c r="Y432" s="5" t="s">
        <v>357</v>
      </c>
      <c r="Z432" s="5" t="s">
        <v>36</v>
      </c>
      <c r="AA432" s="5" t="s">
        <v>64</v>
      </c>
      <c r="AB432" s="5" t="s">
        <v>2655</v>
      </c>
      <c r="AC432" s="6" t="s">
        <v>50</v>
      </c>
      <c r="AD432" s="6">
        <v>3428.0</v>
      </c>
    </row>
    <row r="433" ht="56.25" customHeight="1">
      <c r="A433" s="5" t="s">
        <v>2650</v>
      </c>
      <c r="B433" s="6" t="str">
        <f>IMAGE("https://storage.googleapis.com/acdb/wall-mounted/FtrTV50inchWall_Remake_1_0.png")</f>
        <v/>
      </c>
      <c r="C433" s="5" t="s">
        <v>57</v>
      </c>
      <c r="D433" s="5" t="s">
        <v>34</v>
      </c>
      <c r="E433" s="5" t="s">
        <v>34</v>
      </c>
      <c r="F433" s="5" t="s">
        <v>34</v>
      </c>
      <c r="G433" s="5" t="s">
        <v>36</v>
      </c>
      <c r="H433" s="5" t="s">
        <v>36</v>
      </c>
      <c r="I433" s="5" t="s">
        <v>36</v>
      </c>
      <c r="J433" s="6" t="s">
        <v>34</v>
      </c>
      <c r="K433" s="6">
        <v>22000.0</v>
      </c>
      <c r="L433" s="6">
        <v>5500.0</v>
      </c>
      <c r="M433" s="5" t="s">
        <v>57</v>
      </c>
      <c r="N433" s="5" t="s">
        <v>57</v>
      </c>
      <c r="O433" s="6" t="s">
        <v>136</v>
      </c>
      <c r="P433" s="5" t="s">
        <v>59</v>
      </c>
      <c r="Q433" s="5" t="s">
        <v>115</v>
      </c>
      <c r="R433" s="17" t="s">
        <v>42</v>
      </c>
      <c r="S433" s="5" t="s">
        <v>90</v>
      </c>
      <c r="T433" s="5" t="s">
        <v>44</v>
      </c>
      <c r="U433" s="5" t="s">
        <v>44</v>
      </c>
      <c r="V433" s="5" t="s">
        <v>44</v>
      </c>
      <c r="W433" s="5" t="s">
        <v>35</v>
      </c>
      <c r="X433" s="5" t="s">
        <v>2619</v>
      </c>
      <c r="Y433" s="5" t="s">
        <v>357</v>
      </c>
      <c r="Z433" s="5" t="s">
        <v>36</v>
      </c>
      <c r="AA433" s="5" t="s">
        <v>64</v>
      </c>
      <c r="AB433" s="5" t="s">
        <v>2658</v>
      </c>
      <c r="AC433" s="6" t="s">
        <v>56</v>
      </c>
      <c r="AD433" s="6">
        <v>3428.0</v>
      </c>
    </row>
    <row r="434" ht="56.25" customHeight="1">
      <c r="A434" s="5" t="s">
        <v>2650</v>
      </c>
      <c r="B434" s="6" t="str">
        <f>IMAGE("https://storage.googleapis.com/acdb/wall-mounted/FtrTV50inchWall_Remake_2_0.png")</f>
        <v/>
      </c>
      <c r="C434" s="5" t="s">
        <v>146</v>
      </c>
      <c r="D434" s="5" t="s">
        <v>34</v>
      </c>
      <c r="E434" s="5" t="s">
        <v>34</v>
      </c>
      <c r="F434" s="5" t="s">
        <v>34</v>
      </c>
      <c r="G434" s="5" t="s">
        <v>36</v>
      </c>
      <c r="H434" s="5" t="s">
        <v>36</v>
      </c>
      <c r="I434" s="5" t="s">
        <v>36</v>
      </c>
      <c r="J434" s="6" t="s">
        <v>34</v>
      </c>
      <c r="K434" s="6">
        <v>22000.0</v>
      </c>
      <c r="L434" s="6">
        <v>5500.0</v>
      </c>
      <c r="M434" s="5" t="s">
        <v>95</v>
      </c>
      <c r="N434" s="5" t="s">
        <v>95</v>
      </c>
      <c r="O434" s="6" t="s">
        <v>136</v>
      </c>
      <c r="P434" s="5" t="s">
        <v>59</v>
      </c>
      <c r="Q434" s="5" t="s">
        <v>115</v>
      </c>
      <c r="R434" s="17" t="s">
        <v>42</v>
      </c>
      <c r="S434" s="5" t="s">
        <v>90</v>
      </c>
      <c r="T434" s="5" t="s">
        <v>44</v>
      </c>
      <c r="U434" s="5" t="s">
        <v>44</v>
      </c>
      <c r="V434" s="5" t="s">
        <v>44</v>
      </c>
      <c r="W434" s="5" t="s">
        <v>35</v>
      </c>
      <c r="X434" s="5" t="s">
        <v>2619</v>
      </c>
      <c r="Y434" s="5" t="s">
        <v>357</v>
      </c>
      <c r="Z434" s="5" t="s">
        <v>36</v>
      </c>
      <c r="AA434" s="5" t="s">
        <v>64</v>
      </c>
      <c r="AB434" s="5" t="s">
        <v>2662</v>
      </c>
      <c r="AC434" s="6" t="s">
        <v>67</v>
      </c>
      <c r="AD434" s="6">
        <v>3428.0</v>
      </c>
    </row>
    <row r="435" ht="56.25" customHeight="1">
      <c r="A435" s="5" t="s">
        <v>2650</v>
      </c>
      <c r="B435" s="6" t="str">
        <f>IMAGE("https://storage.googleapis.com/acdb/wall-mounted/FtrTV50inchWall_Remake_3_0.png")</f>
        <v/>
      </c>
      <c r="C435" s="5" t="s">
        <v>52</v>
      </c>
      <c r="D435" s="5" t="s">
        <v>34</v>
      </c>
      <c r="E435" s="5" t="s">
        <v>34</v>
      </c>
      <c r="F435" s="5" t="s">
        <v>34</v>
      </c>
      <c r="G435" s="5" t="s">
        <v>36</v>
      </c>
      <c r="H435" s="5" t="s">
        <v>36</v>
      </c>
      <c r="I435" s="5" t="s">
        <v>36</v>
      </c>
      <c r="J435" s="6" t="s">
        <v>34</v>
      </c>
      <c r="K435" s="6">
        <v>22000.0</v>
      </c>
      <c r="L435" s="6">
        <v>5500.0</v>
      </c>
      <c r="M435" s="5" t="s">
        <v>52</v>
      </c>
      <c r="N435" s="5" t="s">
        <v>52</v>
      </c>
      <c r="O435" s="6" t="s">
        <v>136</v>
      </c>
      <c r="P435" s="5" t="s">
        <v>59</v>
      </c>
      <c r="Q435" s="5" t="s">
        <v>115</v>
      </c>
      <c r="R435" s="17" t="s">
        <v>42</v>
      </c>
      <c r="S435" s="5" t="s">
        <v>90</v>
      </c>
      <c r="T435" s="5" t="s">
        <v>44</v>
      </c>
      <c r="U435" s="5" t="s">
        <v>44</v>
      </c>
      <c r="V435" s="5" t="s">
        <v>44</v>
      </c>
      <c r="W435" s="5" t="s">
        <v>35</v>
      </c>
      <c r="X435" s="5" t="s">
        <v>2619</v>
      </c>
      <c r="Y435" s="5" t="s">
        <v>357</v>
      </c>
      <c r="Z435" s="5" t="s">
        <v>36</v>
      </c>
      <c r="AA435" s="5" t="s">
        <v>64</v>
      </c>
      <c r="AB435" s="5" t="s">
        <v>2665</v>
      </c>
      <c r="AC435" s="6" t="s">
        <v>71</v>
      </c>
      <c r="AD435" s="6">
        <v>3428.0</v>
      </c>
    </row>
    <row r="436" ht="56.25" customHeight="1">
      <c r="A436" s="5" t="s">
        <v>2650</v>
      </c>
      <c r="B436" s="6" t="str">
        <f>IMAGE("https://storage.googleapis.com/acdb/wall-mounted/FtrTV50inchWall_Remake_4_0.png")</f>
        <v/>
      </c>
      <c r="C436" s="5" t="s">
        <v>68</v>
      </c>
      <c r="D436" s="5" t="s">
        <v>34</v>
      </c>
      <c r="E436" s="5" t="s">
        <v>34</v>
      </c>
      <c r="F436" s="5" t="s">
        <v>34</v>
      </c>
      <c r="G436" s="5" t="s">
        <v>36</v>
      </c>
      <c r="H436" s="5" t="s">
        <v>36</v>
      </c>
      <c r="I436" s="5" t="s">
        <v>36</v>
      </c>
      <c r="J436" s="6" t="s">
        <v>34</v>
      </c>
      <c r="K436" s="6">
        <v>22000.0</v>
      </c>
      <c r="L436" s="6">
        <v>5500.0</v>
      </c>
      <c r="M436" s="5" t="s">
        <v>68</v>
      </c>
      <c r="N436" s="5" t="s">
        <v>68</v>
      </c>
      <c r="O436" s="6" t="s">
        <v>136</v>
      </c>
      <c r="P436" s="5" t="s">
        <v>59</v>
      </c>
      <c r="Q436" s="5" t="s">
        <v>115</v>
      </c>
      <c r="R436" s="17" t="s">
        <v>42</v>
      </c>
      <c r="S436" s="5" t="s">
        <v>90</v>
      </c>
      <c r="T436" s="5" t="s">
        <v>44</v>
      </c>
      <c r="U436" s="5" t="s">
        <v>44</v>
      </c>
      <c r="V436" s="5" t="s">
        <v>44</v>
      </c>
      <c r="W436" s="5" t="s">
        <v>35</v>
      </c>
      <c r="X436" s="5" t="s">
        <v>2619</v>
      </c>
      <c r="Y436" s="5" t="s">
        <v>357</v>
      </c>
      <c r="Z436" s="5" t="s">
        <v>36</v>
      </c>
      <c r="AA436" s="5" t="s">
        <v>64</v>
      </c>
      <c r="AB436" s="5" t="s">
        <v>2669</v>
      </c>
      <c r="AC436" s="6" t="s">
        <v>75</v>
      </c>
      <c r="AD436" s="6">
        <v>3428.0</v>
      </c>
    </row>
    <row r="437" ht="56.25" customHeight="1">
      <c r="A437" s="5" t="s">
        <v>2670</v>
      </c>
      <c r="B437" s="6" t="str">
        <f>IMAGE("https://storage.googleapis.com/acdb/wall-mounted/FtrInsectHachiFace.png")</f>
        <v/>
      </c>
      <c r="C437" s="5" t="s">
        <v>34</v>
      </c>
      <c r="D437" s="5" t="s">
        <v>34</v>
      </c>
      <c r="E437" s="5" t="s">
        <v>34</v>
      </c>
      <c r="F437" s="5" t="s">
        <v>34</v>
      </c>
      <c r="G437" s="5" t="s">
        <v>36</v>
      </c>
      <c r="H437" s="5" t="s">
        <v>36</v>
      </c>
      <c r="I437" s="5" t="s">
        <v>36</v>
      </c>
      <c r="J437" s="6" t="s">
        <v>34</v>
      </c>
      <c r="K437" s="6">
        <v>2500.0</v>
      </c>
      <c r="L437" s="6">
        <v>625.0</v>
      </c>
      <c r="M437" s="5" t="s">
        <v>114</v>
      </c>
      <c r="N437" s="5" t="s">
        <v>114</v>
      </c>
      <c r="O437" s="6" t="s">
        <v>179</v>
      </c>
      <c r="P437" s="5" t="s">
        <v>59</v>
      </c>
      <c r="Q437" s="5" t="s">
        <v>122</v>
      </c>
      <c r="R437" s="17" t="s">
        <v>42</v>
      </c>
      <c r="S437" s="5" t="s">
        <v>141</v>
      </c>
      <c r="T437" s="5" t="s">
        <v>44</v>
      </c>
      <c r="U437" s="5" t="s">
        <v>44</v>
      </c>
      <c r="V437" s="5" t="s">
        <v>44</v>
      </c>
      <c r="W437" s="5" t="s">
        <v>36</v>
      </c>
      <c r="X437" s="5" t="s">
        <v>232</v>
      </c>
      <c r="Y437" s="5" t="s">
        <v>47</v>
      </c>
      <c r="Z437" s="5" t="s">
        <v>36</v>
      </c>
      <c r="AA437" s="5" t="s">
        <v>64</v>
      </c>
      <c r="AB437" s="5" t="s">
        <v>2674</v>
      </c>
      <c r="AC437" s="6" t="s">
        <v>34</v>
      </c>
      <c r="AD437" s="6">
        <v>11100.0</v>
      </c>
    </row>
    <row r="438" ht="56.25" customHeight="1">
      <c r="A438" s="5" t="s">
        <v>2675</v>
      </c>
      <c r="B438" s="6" t="str">
        <f>IMAGE("https://storage.googleapis.com/acdb/wall-mounted/FtrDoorOrnamentWreathAnemone.png")</f>
        <v/>
      </c>
      <c r="C438" s="5" t="s">
        <v>34</v>
      </c>
      <c r="D438" s="5" t="s">
        <v>34</v>
      </c>
      <c r="E438" s="5" t="s">
        <v>34</v>
      </c>
      <c r="F438" s="5" t="s">
        <v>34</v>
      </c>
      <c r="G438" s="5" t="s">
        <v>35</v>
      </c>
      <c r="H438" s="5" t="s">
        <v>36</v>
      </c>
      <c r="I438" s="5" t="s">
        <v>36</v>
      </c>
      <c r="J438" s="6" t="s">
        <v>34</v>
      </c>
      <c r="K438" s="6" t="s">
        <v>37</v>
      </c>
      <c r="L438" s="6">
        <v>720.0</v>
      </c>
      <c r="M438" s="5" t="s">
        <v>52</v>
      </c>
      <c r="N438" s="5" t="s">
        <v>142</v>
      </c>
      <c r="O438" s="6" t="s">
        <v>179</v>
      </c>
      <c r="P438" s="5" t="s">
        <v>41</v>
      </c>
      <c r="Q438" s="5"/>
      <c r="R438" s="17" t="s">
        <v>42</v>
      </c>
      <c r="S438" s="5" t="s">
        <v>61</v>
      </c>
      <c r="T438" s="5" t="s">
        <v>44</v>
      </c>
      <c r="U438" s="5" t="s">
        <v>311</v>
      </c>
      <c r="V438" s="5" t="s">
        <v>44</v>
      </c>
      <c r="W438" s="5" t="s">
        <v>36</v>
      </c>
      <c r="X438" s="5" t="s">
        <v>312</v>
      </c>
      <c r="Y438" s="5" t="s">
        <v>47</v>
      </c>
      <c r="Z438" s="5" t="s">
        <v>35</v>
      </c>
      <c r="AA438" s="5" t="s">
        <v>48</v>
      </c>
      <c r="AB438" s="5" t="s">
        <v>2679</v>
      </c>
      <c r="AC438" s="6" t="s">
        <v>34</v>
      </c>
      <c r="AD438" s="6">
        <v>5436.0</v>
      </c>
    </row>
    <row r="439" ht="56.25" customHeight="1">
      <c r="A439" s="5" t="s">
        <v>2680</v>
      </c>
      <c r="B439" s="6" t="str">
        <f>IMAGE("https://storage.googleapis.com/acdb/wall-mounted/FtrBlockClock_Remake_0_0.png")</f>
        <v/>
      </c>
      <c r="C439" s="5" t="s">
        <v>32</v>
      </c>
      <c r="D439" s="5" t="s">
        <v>2683</v>
      </c>
      <c r="E439" s="5" t="s">
        <v>34</v>
      </c>
      <c r="F439" s="5" t="s">
        <v>34</v>
      </c>
      <c r="G439" s="5" t="s">
        <v>35</v>
      </c>
      <c r="H439" s="5" t="s">
        <v>35</v>
      </c>
      <c r="I439" s="5" t="s">
        <v>36</v>
      </c>
      <c r="J439" s="6">
        <v>2.0</v>
      </c>
      <c r="K439" s="6" t="s">
        <v>37</v>
      </c>
      <c r="L439" s="6">
        <v>1350.0</v>
      </c>
      <c r="M439" s="5" t="s">
        <v>38</v>
      </c>
      <c r="N439" s="5" t="s">
        <v>38</v>
      </c>
      <c r="O439" s="6" t="s">
        <v>179</v>
      </c>
      <c r="P439" s="5" t="s">
        <v>41</v>
      </c>
      <c r="Q439" s="5"/>
      <c r="R439" s="17" t="s">
        <v>42</v>
      </c>
      <c r="S439" s="5" t="s">
        <v>99</v>
      </c>
      <c r="T439" s="5" t="s">
        <v>44</v>
      </c>
      <c r="U439" s="5" t="s">
        <v>2684</v>
      </c>
      <c r="V439" s="5" t="s">
        <v>44</v>
      </c>
      <c r="W439" s="5" t="s">
        <v>35</v>
      </c>
      <c r="X439" s="5" t="s">
        <v>260</v>
      </c>
      <c r="Y439" s="5" t="s">
        <v>47</v>
      </c>
      <c r="Z439" s="5" t="s">
        <v>36</v>
      </c>
      <c r="AA439" s="5" t="s">
        <v>48</v>
      </c>
      <c r="AB439" s="5" t="s">
        <v>2685</v>
      </c>
      <c r="AC439" s="6" t="s">
        <v>50</v>
      </c>
      <c r="AD439" s="6">
        <v>3208.0</v>
      </c>
    </row>
    <row r="440" ht="56.25" customHeight="1">
      <c r="A440" s="5" t="s">
        <v>2680</v>
      </c>
      <c r="B440" s="6" t="str">
        <f>IMAGE("https://storage.googleapis.com/acdb/wall-mounted/FtrBlockClock_Remake_1_0.png")</f>
        <v/>
      </c>
      <c r="C440" s="5" t="s">
        <v>2688</v>
      </c>
      <c r="D440" s="5" t="s">
        <v>2683</v>
      </c>
      <c r="E440" s="5" t="s">
        <v>34</v>
      </c>
      <c r="F440" s="5" t="s">
        <v>34</v>
      </c>
      <c r="G440" s="5" t="s">
        <v>35</v>
      </c>
      <c r="H440" s="5" t="s">
        <v>35</v>
      </c>
      <c r="I440" s="5" t="s">
        <v>36</v>
      </c>
      <c r="J440" s="6">
        <v>2.0</v>
      </c>
      <c r="K440" s="6" t="s">
        <v>37</v>
      </c>
      <c r="L440" s="6">
        <v>1350.0</v>
      </c>
      <c r="M440" s="5" t="s">
        <v>54</v>
      </c>
      <c r="N440" s="5" t="s">
        <v>39</v>
      </c>
      <c r="O440" s="6" t="s">
        <v>179</v>
      </c>
      <c r="P440" s="5" t="s">
        <v>41</v>
      </c>
      <c r="Q440" s="5"/>
      <c r="R440" s="17" t="s">
        <v>42</v>
      </c>
      <c r="S440" s="5" t="s">
        <v>99</v>
      </c>
      <c r="T440" s="5" t="s">
        <v>44</v>
      </c>
      <c r="U440" s="5" t="s">
        <v>2684</v>
      </c>
      <c r="V440" s="5" t="s">
        <v>44</v>
      </c>
      <c r="W440" s="5" t="s">
        <v>35</v>
      </c>
      <c r="X440" s="5" t="s">
        <v>260</v>
      </c>
      <c r="Y440" s="5" t="s">
        <v>47</v>
      </c>
      <c r="Z440" s="5" t="s">
        <v>36</v>
      </c>
      <c r="AA440" s="5" t="s">
        <v>48</v>
      </c>
      <c r="AB440" s="5" t="s">
        <v>2691</v>
      </c>
      <c r="AC440" s="6" t="s">
        <v>56</v>
      </c>
      <c r="AD440" s="6">
        <v>3208.0</v>
      </c>
    </row>
    <row r="441" ht="56.25" customHeight="1">
      <c r="A441" s="5" t="s">
        <v>2680</v>
      </c>
      <c r="B441" s="6" t="str">
        <f>IMAGE("https://storage.googleapis.com/acdb/wall-mounted/FtrBlockClock_Remake_2_0.png")</f>
        <v/>
      </c>
      <c r="C441" s="5" t="s">
        <v>58</v>
      </c>
      <c r="D441" s="5" t="s">
        <v>2683</v>
      </c>
      <c r="E441" s="5" t="s">
        <v>34</v>
      </c>
      <c r="F441" s="5" t="s">
        <v>34</v>
      </c>
      <c r="G441" s="5" t="s">
        <v>35</v>
      </c>
      <c r="H441" s="5" t="s">
        <v>35</v>
      </c>
      <c r="I441" s="5" t="s">
        <v>36</v>
      </c>
      <c r="J441" s="6">
        <v>2.0</v>
      </c>
      <c r="K441" s="6" t="s">
        <v>37</v>
      </c>
      <c r="L441" s="6">
        <v>1350.0</v>
      </c>
      <c r="M441" s="5" t="s">
        <v>68</v>
      </c>
      <c r="N441" s="5" t="s">
        <v>58</v>
      </c>
      <c r="O441" s="6" t="s">
        <v>179</v>
      </c>
      <c r="P441" s="5" t="s">
        <v>41</v>
      </c>
      <c r="Q441" s="5"/>
      <c r="R441" s="17" t="s">
        <v>42</v>
      </c>
      <c r="S441" s="5" t="s">
        <v>99</v>
      </c>
      <c r="T441" s="5" t="s">
        <v>44</v>
      </c>
      <c r="U441" s="5" t="s">
        <v>2684</v>
      </c>
      <c r="V441" s="5" t="s">
        <v>44</v>
      </c>
      <c r="W441" s="5" t="s">
        <v>35</v>
      </c>
      <c r="X441" s="5" t="s">
        <v>260</v>
      </c>
      <c r="Y441" s="5" t="s">
        <v>47</v>
      </c>
      <c r="Z441" s="5" t="s">
        <v>36</v>
      </c>
      <c r="AA441" s="5" t="s">
        <v>48</v>
      </c>
      <c r="AB441" s="5" t="s">
        <v>2693</v>
      </c>
      <c r="AC441" s="6" t="s">
        <v>67</v>
      </c>
      <c r="AD441" s="6">
        <v>3208.0</v>
      </c>
    </row>
    <row r="442" ht="56.25" customHeight="1">
      <c r="A442" s="5" t="s">
        <v>2680</v>
      </c>
      <c r="B442" s="6" t="str">
        <f>IMAGE("https://storage.googleapis.com/acdb/wall-mounted/FtrBlockClock_Remake_3_0.png")</f>
        <v/>
      </c>
      <c r="C442" s="5" t="s">
        <v>688</v>
      </c>
      <c r="D442" s="5" t="s">
        <v>2683</v>
      </c>
      <c r="E442" s="5" t="s">
        <v>34</v>
      </c>
      <c r="F442" s="5" t="s">
        <v>34</v>
      </c>
      <c r="G442" s="5" t="s">
        <v>35</v>
      </c>
      <c r="H442" s="5" t="s">
        <v>35</v>
      </c>
      <c r="I442" s="5" t="s">
        <v>36</v>
      </c>
      <c r="J442" s="6">
        <v>2.0</v>
      </c>
      <c r="K442" s="6" t="s">
        <v>37</v>
      </c>
      <c r="L442" s="6">
        <v>1350.0</v>
      </c>
      <c r="M442" s="5" t="s">
        <v>69</v>
      </c>
      <c r="N442" s="5" t="s">
        <v>58</v>
      </c>
      <c r="O442" s="6" t="s">
        <v>179</v>
      </c>
      <c r="P442" s="5" t="s">
        <v>41</v>
      </c>
      <c r="Q442" s="5"/>
      <c r="R442" s="17" t="s">
        <v>42</v>
      </c>
      <c r="S442" s="5" t="s">
        <v>99</v>
      </c>
      <c r="T442" s="5" t="s">
        <v>44</v>
      </c>
      <c r="U442" s="5" t="s">
        <v>2684</v>
      </c>
      <c r="V442" s="5" t="s">
        <v>44</v>
      </c>
      <c r="W442" s="5" t="s">
        <v>35</v>
      </c>
      <c r="X442" s="5" t="s">
        <v>260</v>
      </c>
      <c r="Y442" s="5" t="s">
        <v>47</v>
      </c>
      <c r="Z442" s="5" t="s">
        <v>36</v>
      </c>
      <c r="AA442" s="5" t="s">
        <v>48</v>
      </c>
      <c r="AB442" s="5" t="s">
        <v>2699</v>
      </c>
      <c r="AC442" s="6" t="s">
        <v>71</v>
      </c>
      <c r="AD442" s="6">
        <v>3208.0</v>
      </c>
    </row>
    <row r="443" ht="56.25" customHeight="1">
      <c r="A443" s="5" t="s">
        <v>2680</v>
      </c>
      <c r="B443" s="6" t="str">
        <f>IMAGE("https://storage.googleapis.com/acdb/wall-mounted/FtrBlockClock_Remake_4_0.png")</f>
        <v/>
      </c>
      <c r="C443" s="5" t="s">
        <v>2702</v>
      </c>
      <c r="D443" s="5" t="s">
        <v>2683</v>
      </c>
      <c r="E443" s="5" t="s">
        <v>34</v>
      </c>
      <c r="F443" s="5" t="s">
        <v>34</v>
      </c>
      <c r="G443" s="5" t="s">
        <v>35</v>
      </c>
      <c r="H443" s="5" t="s">
        <v>35</v>
      </c>
      <c r="I443" s="5" t="s">
        <v>36</v>
      </c>
      <c r="J443" s="6">
        <v>2.0</v>
      </c>
      <c r="K443" s="6" t="s">
        <v>37</v>
      </c>
      <c r="L443" s="6">
        <v>1350.0</v>
      </c>
      <c r="M443" s="5" t="s">
        <v>114</v>
      </c>
      <c r="N443" s="5" t="s">
        <v>58</v>
      </c>
      <c r="O443" s="6" t="s">
        <v>179</v>
      </c>
      <c r="P443" s="5" t="s">
        <v>41</v>
      </c>
      <c r="Q443" s="5"/>
      <c r="R443" s="17" t="s">
        <v>42</v>
      </c>
      <c r="S443" s="5" t="s">
        <v>99</v>
      </c>
      <c r="T443" s="5" t="s">
        <v>44</v>
      </c>
      <c r="U443" s="5" t="s">
        <v>2684</v>
      </c>
      <c r="V443" s="5" t="s">
        <v>44</v>
      </c>
      <c r="W443" s="5" t="s">
        <v>35</v>
      </c>
      <c r="X443" s="5" t="s">
        <v>260</v>
      </c>
      <c r="Y443" s="5" t="s">
        <v>47</v>
      </c>
      <c r="Z443" s="5" t="s">
        <v>36</v>
      </c>
      <c r="AA443" s="5" t="s">
        <v>48</v>
      </c>
      <c r="AB443" s="5" t="s">
        <v>2705</v>
      </c>
      <c r="AC443" s="6" t="s">
        <v>75</v>
      </c>
      <c r="AD443" s="6">
        <v>3208.0</v>
      </c>
    </row>
    <row r="444" ht="56.25" customHeight="1">
      <c r="A444" s="5" t="s">
        <v>2706</v>
      </c>
      <c r="B444" s="6" t="str">
        <f>IMAGE("https://storage.googleapis.com/acdb/wall-mounted/FtrSignboardWood_Remake_0_0.png")</f>
        <v/>
      </c>
      <c r="C444" s="5" t="s">
        <v>32</v>
      </c>
      <c r="D444" s="5" t="s">
        <v>1008</v>
      </c>
      <c r="E444" s="5" t="s">
        <v>34</v>
      </c>
      <c r="F444" s="5" t="s">
        <v>34</v>
      </c>
      <c r="G444" s="5" t="s">
        <v>35</v>
      </c>
      <c r="H444" s="5" t="s">
        <v>35</v>
      </c>
      <c r="I444" s="5" t="s">
        <v>36</v>
      </c>
      <c r="J444" s="6">
        <v>1.0</v>
      </c>
      <c r="K444" s="6" t="s">
        <v>37</v>
      </c>
      <c r="L444" s="6">
        <v>600.0</v>
      </c>
      <c r="M444" s="5" t="s">
        <v>38</v>
      </c>
      <c r="N444" s="5" t="s">
        <v>54</v>
      </c>
      <c r="O444" s="6" t="s">
        <v>136</v>
      </c>
      <c r="P444" s="5" t="s">
        <v>41</v>
      </c>
      <c r="Q444" s="5"/>
      <c r="R444" s="17" t="s">
        <v>42</v>
      </c>
      <c r="S444" s="5" t="s">
        <v>266</v>
      </c>
      <c r="T444" s="5" t="s">
        <v>44</v>
      </c>
      <c r="U444" s="5" t="s">
        <v>44</v>
      </c>
      <c r="V444" s="5" t="s">
        <v>44</v>
      </c>
      <c r="W444" s="5" t="s">
        <v>36</v>
      </c>
      <c r="X444" s="5" t="s">
        <v>395</v>
      </c>
      <c r="Y444" s="5" t="s">
        <v>47</v>
      </c>
      <c r="Z444" s="5" t="s">
        <v>36</v>
      </c>
      <c r="AA444" s="5" t="s">
        <v>48</v>
      </c>
      <c r="AB444" s="5" t="s">
        <v>2710</v>
      </c>
      <c r="AC444" s="6" t="s">
        <v>50</v>
      </c>
      <c r="AD444" s="6">
        <v>5636.0</v>
      </c>
    </row>
    <row r="445" ht="56.25" customHeight="1">
      <c r="A445" s="5" t="s">
        <v>2706</v>
      </c>
      <c r="B445" s="6" t="str">
        <f>IMAGE("https://storage.googleapis.com/acdb/wall-mounted/FtrSignboardWood_Remake_1_0.png")</f>
        <v/>
      </c>
      <c r="C445" s="5" t="s">
        <v>387</v>
      </c>
      <c r="D445" s="5" t="s">
        <v>1008</v>
      </c>
      <c r="E445" s="5" t="s">
        <v>34</v>
      </c>
      <c r="F445" s="5" t="s">
        <v>34</v>
      </c>
      <c r="G445" s="5" t="s">
        <v>35</v>
      </c>
      <c r="H445" s="5" t="s">
        <v>35</v>
      </c>
      <c r="I445" s="5" t="s">
        <v>36</v>
      </c>
      <c r="J445" s="6">
        <v>1.0</v>
      </c>
      <c r="K445" s="6" t="s">
        <v>37</v>
      </c>
      <c r="L445" s="6">
        <v>600.0</v>
      </c>
      <c r="M445" s="5" t="s">
        <v>54</v>
      </c>
      <c r="N445" s="5" t="s">
        <v>114</v>
      </c>
      <c r="O445" s="6" t="s">
        <v>136</v>
      </c>
      <c r="P445" s="5" t="s">
        <v>41</v>
      </c>
      <c r="Q445" s="5"/>
      <c r="R445" s="17" t="s">
        <v>42</v>
      </c>
      <c r="S445" s="5" t="s">
        <v>266</v>
      </c>
      <c r="T445" s="5" t="s">
        <v>44</v>
      </c>
      <c r="U445" s="5" t="s">
        <v>44</v>
      </c>
      <c r="V445" s="5" t="s">
        <v>44</v>
      </c>
      <c r="W445" s="5" t="s">
        <v>36</v>
      </c>
      <c r="X445" s="5" t="s">
        <v>395</v>
      </c>
      <c r="Y445" s="5" t="s">
        <v>47</v>
      </c>
      <c r="Z445" s="5" t="s">
        <v>36</v>
      </c>
      <c r="AA445" s="5" t="s">
        <v>48</v>
      </c>
      <c r="AB445" s="5" t="s">
        <v>2717</v>
      </c>
      <c r="AC445" s="6" t="s">
        <v>56</v>
      </c>
      <c r="AD445" s="6">
        <v>5636.0</v>
      </c>
    </row>
    <row r="446" ht="56.25" customHeight="1">
      <c r="A446" s="5" t="s">
        <v>2706</v>
      </c>
      <c r="B446" s="6" t="str">
        <f>IMAGE("https://storage.googleapis.com/acdb/wall-mounted/FtrSignboardWood_Remake_2_0.png")</f>
        <v/>
      </c>
      <c r="C446" s="5" t="s">
        <v>39</v>
      </c>
      <c r="D446" s="5" t="s">
        <v>1008</v>
      </c>
      <c r="E446" s="5" t="s">
        <v>34</v>
      </c>
      <c r="F446" s="5" t="s">
        <v>34</v>
      </c>
      <c r="G446" s="5" t="s">
        <v>35</v>
      </c>
      <c r="H446" s="5" t="s">
        <v>35</v>
      </c>
      <c r="I446" s="5" t="s">
        <v>36</v>
      </c>
      <c r="J446" s="6">
        <v>1.0</v>
      </c>
      <c r="K446" s="6" t="s">
        <v>37</v>
      </c>
      <c r="L446" s="6">
        <v>600.0</v>
      </c>
      <c r="M446" s="5" t="s">
        <v>39</v>
      </c>
      <c r="N446" s="5" t="s">
        <v>57</v>
      </c>
      <c r="O446" s="6" t="s">
        <v>136</v>
      </c>
      <c r="P446" s="5" t="s">
        <v>41</v>
      </c>
      <c r="Q446" s="5"/>
      <c r="R446" s="17" t="s">
        <v>42</v>
      </c>
      <c r="S446" s="5" t="s">
        <v>266</v>
      </c>
      <c r="T446" s="5" t="s">
        <v>44</v>
      </c>
      <c r="U446" s="5" t="s">
        <v>44</v>
      </c>
      <c r="V446" s="5" t="s">
        <v>44</v>
      </c>
      <c r="W446" s="5" t="s">
        <v>36</v>
      </c>
      <c r="X446" s="5" t="s">
        <v>395</v>
      </c>
      <c r="Y446" s="5" t="s">
        <v>47</v>
      </c>
      <c r="Z446" s="5" t="s">
        <v>36</v>
      </c>
      <c r="AA446" s="5" t="s">
        <v>48</v>
      </c>
      <c r="AB446" s="5" t="s">
        <v>2722</v>
      </c>
      <c r="AC446" s="6" t="s">
        <v>67</v>
      </c>
      <c r="AD446" s="6">
        <v>5636.0</v>
      </c>
    </row>
    <row r="447" ht="56.25" customHeight="1">
      <c r="A447" s="5" t="s">
        <v>2706</v>
      </c>
      <c r="B447" s="6" t="str">
        <f>IMAGE("https://storage.googleapis.com/acdb/wall-mounted/FtrSignboardWood_Remake_3_0.png")</f>
        <v/>
      </c>
      <c r="C447" s="5" t="s">
        <v>52</v>
      </c>
      <c r="D447" s="5" t="s">
        <v>1008</v>
      </c>
      <c r="E447" s="5" t="s">
        <v>34</v>
      </c>
      <c r="F447" s="5" t="s">
        <v>34</v>
      </c>
      <c r="G447" s="5" t="s">
        <v>35</v>
      </c>
      <c r="H447" s="5" t="s">
        <v>35</v>
      </c>
      <c r="I447" s="5" t="s">
        <v>36</v>
      </c>
      <c r="J447" s="6">
        <v>1.0</v>
      </c>
      <c r="K447" s="6" t="s">
        <v>37</v>
      </c>
      <c r="L447" s="6">
        <v>600.0</v>
      </c>
      <c r="M447" s="5" t="s">
        <v>52</v>
      </c>
      <c r="N447" s="5" t="s">
        <v>114</v>
      </c>
      <c r="O447" s="6" t="s">
        <v>136</v>
      </c>
      <c r="P447" s="5" t="s">
        <v>41</v>
      </c>
      <c r="Q447" s="5"/>
      <c r="R447" s="17" t="s">
        <v>42</v>
      </c>
      <c r="S447" s="5" t="s">
        <v>266</v>
      </c>
      <c r="T447" s="5" t="s">
        <v>44</v>
      </c>
      <c r="U447" s="5" t="s">
        <v>44</v>
      </c>
      <c r="V447" s="5" t="s">
        <v>44</v>
      </c>
      <c r="W447" s="5" t="s">
        <v>36</v>
      </c>
      <c r="X447" s="5" t="s">
        <v>395</v>
      </c>
      <c r="Y447" s="5" t="s">
        <v>47</v>
      </c>
      <c r="Z447" s="5" t="s">
        <v>36</v>
      </c>
      <c r="AA447" s="5" t="s">
        <v>48</v>
      </c>
      <c r="AB447" s="5" t="s">
        <v>2728</v>
      </c>
      <c r="AC447" s="6" t="s">
        <v>71</v>
      </c>
      <c r="AD447" s="6">
        <v>5636.0</v>
      </c>
    </row>
    <row r="448" ht="56.25" customHeight="1">
      <c r="A448" s="5" t="s">
        <v>2729</v>
      </c>
      <c r="B448" s="6" t="str">
        <f>IMAGE("https://storage.googleapis.com/acdb/wall-mounted/FtrStudyposter_Remake_0_0.png")</f>
        <v/>
      </c>
      <c r="C448" s="5" t="s">
        <v>1151</v>
      </c>
      <c r="D448" s="5" t="s">
        <v>34</v>
      </c>
      <c r="E448" s="5" t="s">
        <v>34</v>
      </c>
      <c r="F448" s="5" t="s">
        <v>34</v>
      </c>
      <c r="G448" s="5" t="s">
        <v>36</v>
      </c>
      <c r="H448" s="5" t="s">
        <v>36</v>
      </c>
      <c r="I448" s="5" t="s">
        <v>36</v>
      </c>
      <c r="J448" s="6" t="s">
        <v>34</v>
      </c>
      <c r="K448" s="6">
        <v>400.0</v>
      </c>
      <c r="L448" s="6">
        <v>160.0</v>
      </c>
      <c r="M448" s="5" t="s">
        <v>52</v>
      </c>
      <c r="N448" s="5" t="s">
        <v>58</v>
      </c>
      <c r="O448" s="6" t="s">
        <v>136</v>
      </c>
      <c r="P448" s="5" t="s">
        <v>59</v>
      </c>
      <c r="Q448" s="5" t="s">
        <v>122</v>
      </c>
      <c r="R448" s="17" t="s">
        <v>42</v>
      </c>
      <c r="S448" s="5" t="s">
        <v>99</v>
      </c>
      <c r="T448" s="5" t="s">
        <v>130</v>
      </c>
      <c r="U448" s="5" t="s">
        <v>44</v>
      </c>
      <c r="V448" s="5" t="s">
        <v>2732</v>
      </c>
      <c r="W448" s="5" t="s">
        <v>36</v>
      </c>
      <c r="X448" s="5" t="s">
        <v>203</v>
      </c>
      <c r="Y448" s="5" t="s">
        <v>47</v>
      </c>
      <c r="Z448" s="5" t="s">
        <v>36</v>
      </c>
      <c r="AA448" s="5" t="s">
        <v>64</v>
      </c>
      <c r="AB448" s="5" t="s">
        <v>2734</v>
      </c>
      <c r="AC448" s="6" t="s">
        <v>50</v>
      </c>
      <c r="AD448" s="6">
        <v>3584.0</v>
      </c>
    </row>
    <row r="449" ht="56.25" customHeight="1">
      <c r="A449" s="5" t="s">
        <v>2729</v>
      </c>
      <c r="B449" s="6" t="str">
        <f>IMAGE("https://storage.googleapis.com/acdb/wall-mounted/FtrStudyposter_Remake_1_0.png")</f>
        <v/>
      </c>
      <c r="C449" s="5" t="s">
        <v>2735</v>
      </c>
      <c r="D449" s="5" t="s">
        <v>34</v>
      </c>
      <c r="E449" s="5" t="s">
        <v>34</v>
      </c>
      <c r="F449" s="5" t="s">
        <v>34</v>
      </c>
      <c r="G449" s="5" t="s">
        <v>36</v>
      </c>
      <c r="H449" s="5" t="s">
        <v>36</v>
      </c>
      <c r="I449" s="5" t="s">
        <v>36</v>
      </c>
      <c r="J449" s="6" t="s">
        <v>34</v>
      </c>
      <c r="K449" s="6">
        <v>400.0</v>
      </c>
      <c r="L449" s="6">
        <v>160.0</v>
      </c>
      <c r="M449" s="5" t="s">
        <v>83</v>
      </c>
      <c r="N449" s="5" t="s">
        <v>58</v>
      </c>
      <c r="O449" s="6" t="s">
        <v>136</v>
      </c>
      <c r="P449" s="5" t="s">
        <v>59</v>
      </c>
      <c r="Q449" s="5" t="s">
        <v>122</v>
      </c>
      <c r="R449" s="17" t="s">
        <v>42</v>
      </c>
      <c r="S449" s="5" t="s">
        <v>99</v>
      </c>
      <c r="T449" s="5" t="s">
        <v>130</v>
      </c>
      <c r="U449" s="5" t="s">
        <v>44</v>
      </c>
      <c r="V449" s="5" t="s">
        <v>2732</v>
      </c>
      <c r="W449" s="5" t="s">
        <v>36</v>
      </c>
      <c r="X449" s="5" t="s">
        <v>203</v>
      </c>
      <c r="Y449" s="5" t="s">
        <v>47</v>
      </c>
      <c r="Z449" s="5" t="s">
        <v>36</v>
      </c>
      <c r="AA449" s="5" t="s">
        <v>64</v>
      </c>
      <c r="AB449" s="5" t="s">
        <v>2738</v>
      </c>
      <c r="AC449" s="6" t="s">
        <v>56</v>
      </c>
      <c r="AD449" s="6">
        <v>3584.0</v>
      </c>
    </row>
    <row r="450" ht="56.25" customHeight="1">
      <c r="A450" s="5" t="s">
        <v>2729</v>
      </c>
      <c r="B450" s="6" t="str">
        <f>IMAGE("https://storage.googleapis.com/acdb/wall-mounted/FtrStudyposter_Remake_2_0.png")</f>
        <v/>
      </c>
      <c r="C450" s="5" t="s">
        <v>2742</v>
      </c>
      <c r="D450" s="5" t="s">
        <v>34</v>
      </c>
      <c r="E450" s="5" t="s">
        <v>34</v>
      </c>
      <c r="F450" s="5" t="s">
        <v>34</v>
      </c>
      <c r="G450" s="5" t="s">
        <v>36</v>
      </c>
      <c r="H450" s="5" t="s">
        <v>36</v>
      </c>
      <c r="I450" s="5" t="s">
        <v>36</v>
      </c>
      <c r="J450" s="6" t="s">
        <v>34</v>
      </c>
      <c r="K450" s="6">
        <v>400.0</v>
      </c>
      <c r="L450" s="6">
        <v>160.0</v>
      </c>
      <c r="M450" s="5" t="s">
        <v>57</v>
      </c>
      <c r="N450" s="5" t="s">
        <v>54</v>
      </c>
      <c r="O450" s="6" t="s">
        <v>136</v>
      </c>
      <c r="P450" s="5" t="s">
        <v>59</v>
      </c>
      <c r="Q450" s="5" t="s">
        <v>122</v>
      </c>
      <c r="R450" s="17" t="s">
        <v>42</v>
      </c>
      <c r="S450" s="5" t="s">
        <v>99</v>
      </c>
      <c r="T450" s="5" t="s">
        <v>130</v>
      </c>
      <c r="U450" s="5" t="s">
        <v>44</v>
      </c>
      <c r="V450" s="5" t="s">
        <v>2732</v>
      </c>
      <c r="W450" s="5" t="s">
        <v>36</v>
      </c>
      <c r="X450" s="5" t="s">
        <v>203</v>
      </c>
      <c r="Y450" s="5" t="s">
        <v>47</v>
      </c>
      <c r="Z450" s="5" t="s">
        <v>36</v>
      </c>
      <c r="AA450" s="5" t="s">
        <v>64</v>
      </c>
      <c r="AB450" s="5" t="s">
        <v>2744</v>
      </c>
      <c r="AC450" s="6" t="s">
        <v>67</v>
      </c>
      <c r="AD450" s="6">
        <v>3584.0</v>
      </c>
    </row>
    <row r="451" ht="56.25" customHeight="1">
      <c r="A451" s="5" t="s">
        <v>2729</v>
      </c>
      <c r="B451" s="6" t="str">
        <f>IMAGE("https://storage.googleapis.com/acdb/wall-mounted/FtrStudyposter_Remake_3_0.png")</f>
        <v/>
      </c>
      <c r="C451" s="5" t="s">
        <v>2747</v>
      </c>
      <c r="D451" s="5" t="s">
        <v>34</v>
      </c>
      <c r="E451" s="5" t="s">
        <v>34</v>
      </c>
      <c r="F451" s="5" t="s">
        <v>34</v>
      </c>
      <c r="G451" s="5" t="s">
        <v>36</v>
      </c>
      <c r="H451" s="5" t="s">
        <v>36</v>
      </c>
      <c r="I451" s="5" t="s">
        <v>36</v>
      </c>
      <c r="J451" s="6" t="s">
        <v>34</v>
      </c>
      <c r="K451" s="6">
        <v>400.0</v>
      </c>
      <c r="L451" s="6">
        <v>160.0</v>
      </c>
      <c r="M451" s="5" t="s">
        <v>54</v>
      </c>
      <c r="N451" s="5" t="s">
        <v>54</v>
      </c>
      <c r="O451" s="6" t="s">
        <v>136</v>
      </c>
      <c r="P451" s="5" t="s">
        <v>59</v>
      </c>
      <c r="Q451" s="5" t="s">
        <v>122</v>
      </c>
      <c r="R451" s="17" t="s">
        <v>42</v>
      </c>
      <c r="S451" s="5" t="s">
        <v>99</v>
      </c>
      <c r="T451" s="5" t="s">
        <v>130</v>
      </c>
      <c r="U451" s="5" t="s">
        <v>44</v>
      </c>
      <c r="V451" s="5" t="s">
        <v>2732</v>
      </c>
      <c r="W451" s="5" t="s">
        <v>36</v>
      </c>
      <c r="X451" s="5" t="s">
        <v>203</v>
      </c>
      <c r="Y451" s="5" t="s">
        <v>47</v>
      </c>
      <c r="Z451" s="5" t="s">
        <v>36</v>
      </c>
      <c r="AA451" s="5" t="s">
        <v>64</v>
      </c>
      <c r="AB451" s="5" t="s">
        <v>2749</v>
      </c>
      <c r="AC451" s="6" t="s">
        <v>71</v>
      </c>
      <c r="AD451" s="6">
        <v>3584.0</v>
      </c>
    </row>
  </sheetData>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2" width="10.86"/>
    <col customWidth="1" min="3" max="3" width="5.14"/>
    <col customWidth="1" min="4" max="4" width="8.0"/>
    <col customWidth="1" min="5" max="5" width="4.43"/>
    <col customWidth="1" min="6" max="7" width="5.86"/>
    <col customWidth="1" min="8" max="8" width="12.29"/>
    <col customWidth="1" min="9" max="9" width="25.14"/>
    <col customWidth="1" min="10" max="10" width="8.0"/>
    <col customWidth="1" min="11" max="12" width="8.71"/>
    <col customWidth="1" min="13" max="18" width="8.0"/>
    <col customWidth="1" min="19" max="20" width="10.14"/>
    <col customWidth="1" min="21" max="21" width="9.43"/>
    <col customWidth="1" min="22" max="22" width="10.14"/>
    <col customWidth="1" min="23" max="23" width="8.0"/>
    <col customWidth="1" min="24" max="24" width="10.86"/>
    <col customWidth="1" min="25" max="25" width="8.0"/>
  </cols>
  <sheetData>
    <row r="1" ht="26.25" customHeight="1">
      <c r="A1" s="1" t="s">
        <v>0</v>
      </c>
      <c r="B1" s="2" t="s">
        <v>1</v>
      </c>
      <c r="C1" s="1" t="s">
        <v>2772</v>
      </c>
      <c r="D1" s="1" t="s">
        <v>2773</v>
      </c>
      <c r="E1" s="1" t="s">
        <v>6</v>
      </c>
      <c r="F1" s="2" t="s">
        <v>10</v>
      </c>
      <c r="G1" s="2" t="s">
        <v>11</v>
      </c>
      <c r="H1" s="1" t="s">
        <v>15</v>
      </c>
      <c r="I1" s="1" t="s">
        <v>16</v>
      </c>
      <c r="J1" s="1" t="s">
        <v>26</v>
      </c>
      <c r="K1" s="1" t="s">
        <v>2775</v>
      </c>
      <c r="L1" s="1" t="s">
        <v>2776</v>
      </c>
      <c r="M1" s="1" t="s">
        <v>2777</v>
      </c>
      <c r="N1" s="1" t="s">
        <v>2779</v>
      </c>
      <c r="O1" s="1" t="s">
        <v>2780</v>
      </c>
      <c r="P1" s="1" t="s">
        <v>2781</v>
      </c>
      <c r="Q1" s="1" t="s">
        <v>12</v>
      </c>
      <c r="R1" s="1" t="s">
        <v>13</v>
      </c>
      <c r="S1" s="1" t="s">
        <v>18</v>
      </c>
      <c r="T1" s="1" t="s">
        <v>19</v>
      </c>
      <c r="U1" s="1" t="s">
        <v>20</v>
      </c>
      <c r="V1" s="1" t="s">
        <v>23</v>
      </c>
      <c r="W1" s="2" t="s">
        <v>17</v>
      </c>
      <c r="X1" s="1" t="s">
        <v>27</v>
      </c>
      <c r="Y1" s="2" t="s">
        <v>29</v>
      </c>
    </row>
    <row r="2" ht="56.25" customHeight="1">
      <c r="A2" s="5" t="s">
        <v>2783</v>
      </c>
      <c r="B2" s="6" t="str">
        <f>IMAGE("https://storage.googleapis.com/acdb/wallpapers/RoomTexWallAbstract00.png")</f>
        <v/>
      </c>
      <c r="C2" s="5" t="s">
        <v>36</v>
      </c>
      <c r="D2" s="5" t="s">
        <v>34</v>
      </c>
      <c r="E2" s="5" t="s">
        <v>36</v>
      </c>
      <c r="F2" s="6">
        <v>3000.0</v>
      </c>
      <c r="G2" s="6">
        <v>390.0</v>
      </c>
      <c r="H2" s="5" t="s">
        <v>59</v>
      </c>
      <c r="I2" s="5"/>
      <c r="J2" s="5" t="s">
        <v>64</v>
      </c>
      <c r="K2" s="5" t="s">
        <v>2787</v>
      </c>
      <c r="L2" s="5" t="s">
        <v>2788</v>
      </c>
      <c r="M2" s="5" t="s">
        <v>2789</v>
      </c>
      <c r="N2" s="5" t="s">
        <v>2791</v>
      </c>
      <c r="O2" s="5" t="s">
        <v>57</v>
      </c>
      <c r="P2" s="5" t="s">
        <v>2793</v>
      </c>
      <c r="Q2" s="5" t="s">
        <v>57</v>
      </c>
      <c r="R2" s="5" t="s">
        <v>58</v>
      </c>
      <c r="S2" s="5" t="s">
        <v>62</v>
      </c>
      <c r="T2" s="5" t="s">
        <v>141</v>
      </c>
      <c r="U2" s="5" t="s">
        <v>44</v>
      </c>
      <c r="V2" s="5" t="s">
        <v>2795</v>
      </c>
      <c r="W2" s="6" t="s">
        <v>42</v>
      </c>
      <c r="X2" s="5" t="s">
        <v>2796</v>
      </c>
      <c r="Y2" s="6">
        <v>4873.0</v>
      </c>
    </row>
    <row r="3" ht="56.25" customHeight="1">
      <c r="A3" s="5" t="s">
        <v>2797</v>
      </c>
      <c r="B3" s="6" t="str">
        <f>IMAGE("https://storage.googleapis.com/acdb/wallpapers/RoomTexWallEgypt00.png")</f>
        <v/>
      </c>
      <c r="C3" s="5" t="s">
        <v>36</v>
      </c>
      <c r="D3" s="5" t="s">
        <v>34</v>
      </c>
      <c r="E3" s="5" t="s">
        <v>36</v>
      </c>
      <c r="F3" s="6">
        <v>3000.0</v>
      </c>
      <c r="G3" s="6">
        <v>750.0</v>
      </c>
      <c r="H3" s="5" t="s">
        <v>2800</v>
      </c>
      <c r="I3" s="5"/>
      <c r="J3" s="5" t="s">
        <v>48</v>
      </c>
      <c r="K3" s="5" t="s">
        <v>44</v>
      </c>
      <c r="L3" s="5" t="s">
        <v>34</v>
      </c>
      <c r="M3" s="5" t="s">
        <v>34</v>
      </c>
      <c r="N3" s="5" t="s">
        <v>44</v>
      </c>
      <c r="O3" s="5" t="s">
        <v>34</v>
      </c>
      <c r="P3" s="5" t="s">
        <v>2801</v>
      </c>
      <c r="Q3" s="5" t="s">
        <v>38</v>
      </c>
      <c r="R3" s="5" t="s">
        <v>39</v>
      </c>
      <c r="S3" s="5" t="s">
        <v>696</v>
      </c>
      <c r="T3" s="5" t="s">
        <v>732</v>
      </c>
      <c r="U3" s="5" t="s">
        <v>44</v>
      </c>
      <c r="V3" s="5" t="s">
        <v>2804</v>
      </c>
      <c r="W3" s="6" t="s">
        <v>42</v>
      </c>
      <c r="X3" s="5" t="s">
        <v>2805</v>
      </c>
      <c r="Y3" s="6">
        <v>4936.0</v>
      </c>
    </row>
    <row r="4" ht="56.25" customHeight="1">
      <c r="A4" s="5" t="s">
        <v>2807</v>
      </c>
      <c r="B4" s="6" t="str">
        <f>IMAGE("https://storage.googleapis.com/acdb/wallpapers/RoomTexWallApple00.png")</f>
        <v/>
      </c>
      <c r="C4" s="5" t="s">
        <v>36</v>
      </c>
      <c r="D4" s="5" t="s">
        <v>34</v>
      </c>
      <c r="E4" s="5" t="s">
        <v>35</v>
      </c>
      <c r="F4" s="6" t="s">
        <v>37</v>
      </c>
      <c r="G4" s="6">
        <v>4000.0</v>
      </c>
      <c r="H4" s="5" t="s">
        <v>41</v>
      </c>
      <c r="I4" s="5"/>
      <c r="J4" s="5" t="s">
        <v>48</v>
      </c>
      <c r="K4" s="5" t="s">
        <v>2787</v>
      </c>
      <c r="L4" s="5" t="s">
        <v>2788</v>
      </c>
      <c r="M4" s="5" t="s">
        <v>2789</v>
      </c>
      <c r="N4" s="5" t="s">
        <v>2791</v>
      </c>
      <c r="O4" s="5" t="s">
        <v>57</v>
      </c>
      <c r="P4" s="5" t="s">
        <v>2793</v>
      </c>
      <c r="Q4" s="5" t="s">
        <v>52</v>
      </c>
      <c r="R4" s="5" t="s">
        <v>52</v>
      </c>
      <c r="S4" s="5" t="s">
        <v>61</v>
      </c>
      <c r="T4" s="5" t="s">
        <v>99</v>
      </c>
      <c r="U4" s="5" t="s">
        <v>338</v>
      </c>
      <c r="V4" s="5" t="s">
        <v>2814</v>
      </c>
      <c r="W4" s="6" t="s">
        <v>42</v>
      </c>
      <c r="X4" s="5" t="s">
        <v>2815</v>
      </c>
      <c r="Y4" s="6">
        <v>4916.0</v>
      </c>
    </row>
    <row r="5" ht="56.25" customHeight="1">
      <c r="A5" s="5" t="s">
        <v>2819</v>
      </c>
      <c r="B5" s="6" t="str">
        <f>IMAGE("https://storage.googleapis.com/acdb/wallpapers/RoomTexWallTile01.png")</f>
        <v/>
      </c>
      <c r="C5" s="5" t="s">
        <v>36</v>
      </c>
      <c r="D5" s="5" t="s">
        <v>34</v>
      </c>
      <c r="E5" s="5" t="s">
        <v>36</v>
      </c>
      <c r="F5" s="6">
        <v>1420.0</v>
      </c>
      <c r="G5" s="6">
        <v>355.0</v>
      </c>
      <c r="H5" s="5" t="s">
        <v>59</v>
      </c>
      <c r="I5" s="5"/>
      <c r="J5" s="5" t="s">
        <v>64</v>
      </c>
      <c r="K5" s="5" t="s">
        <v>2822</v>
      </c>
      <c r="L5" s="5" t="s">
        <v>2823</v>
      </c>
      <c r="M5" s="5" t="s">
        <v>2789</v>
      </c>
      <c r="N5" s="5" t="s">
        <v>2824</v>
      </c>
      <c r="O5" s="5" t="s">
        <v>2825</v>
      </c>
      <c r="P5" s="5" t="s">
        <v>2801</v>
      </c>
      <c r="Q5" s="5" t="s">
        <v>83</v>
      </c>
      <c r="R5" s="5" t="s">
        <v>83</v>
      </c>
      <c r="S5" s="5" t="s">
        <v>288</v>
      </c>
      <c r="T5" s="5" t="s">
        <v>141</v>
      </c>
      <c r="U5" s="5" t="s">
        <v>44</v>
      </c>
      <c r="V5" s="5" t="s">
        <v>2828</v>
      </c>
      <c r="W5" s="6" t="s">
        <v>42</v>
      </c>
      <c r="X5" s="5" t="s">
        <v>2829</v>
      </c>
      <c r="Y5" s="6">
        <v>4930.0</v>
      </c>
    </row>
    <row r="6" ht="56.25" customHeight="1">
      <c r="A6" s="5" t="s">
        <v>2830</v>
      </c>
      <c r="B6" s="6" t="str">
        <f>IMAGE("https://storage.googleapis.com/acdb/wallpapers/RoomSpWallGlass00.png")</f>
        <v/>
      </c>
      <c r="C6" s="5" t="s">
        <v>35</v>
      </c>
      <c r="D6" s="5" t="s">
        <v>34</v>
      </c>
      <c r="E6" s="5" t="s">
        <v>36</v>
      </c>
      <c r="F6" s="6">
        <v>2150.0</v>
      </c>
      <c r="G6" s="6">
        <v>537.0</v>
      </c>
      <c r="H6" s="5" t="s">
        <v>59</v>
      </c>
      <c r="I6" s="5"/>
      <c r="J6" s="5" t="s">
        <v>64</v>
      </c>
      <c r="K6" s="5" t="s">
        <v>44</v>
      </c>
      <c r="L6" s="5" t="s">
        <v>34</v>
      </c>
      <c r="M6" s="5" t="s">
        <v>34</v>
      </c>
      <c r="N6" s="5" t="s">
        <v>44</v>
      </c>
      <c r="O6" s="5" t="s">
        <v>34</v>
      </c>
      <c r="P6" s="5" t="s">
        <v>2489</v>
      </c>
      <c r="Q6" s="5" t="s">
        <v>39</v>
      </c>
      <c r="R6" s="5" t="s">
        <v>83</v>
      </c>
      <c r="S6" s="5" t="s">
        <v>62</v>
      </c>
      <c r="T6" s="5" t="s">
        <v>116</v>
      </c>
      <c r="U6" s="5" t="s">
        <v>44</v>
      </c>
      <c r="V6" s="5" t="s">
        <v>2834</v>
      </c>
      <c r="W6" s="6" t="s">
        <v>42</v>
      </c>
      <c r="X6" s="5" t="s">
        <v>2835</v>
      </c>
      <c r="Y6" s="6">
        <v>5482.0</v>
      </c>
    </row>
    <row r="7" ht="56.25" customHeight="1">
      <c r="A7" s="5" t="s">
        <v>2836</v>
      </c>
      <c r="B7" s="6" t="str">
        <f>IMAGE("https://storage.googleapis.com/acdb/wallpapers/RoomSpWallAutumun00.png")</f>
        <v/>
      </c>
      <c r="C7" s="5" t="s">
        <v>35</v>
      </c>
      <c r="D7" s="5" t="s">
        <v>2837</v>
      </c>
      <c r="E7" s="5" t="s">
        <v>35</v>
      </c>
      <c r="F7" s="6" t="s">
        <v>37</v>
      </c>
      <c r="G7" s="6">
        <v>4700.0</v>
      </c>
      <c r="H7" s="5" t="s">
        <v>41</v>
      </c>
      <c r="I7" s="5" t="s">
        <v>2840</v>
      </c>
      <c r="J7" s="5" t="s">
        <v>48</v>
      </c>
      <c r="K7" s="5" t="s">
        <v>44</v>
      </c>
      <c r="L7" s="5" t="s">
        <v>34</v>
      </c>
      <c r="M7" s="5" t="s">
        <v>34</v>
      </c>
      <c r="N7" s="5" t="s">
        <v>44</v>
      </c>
      <c r="O7" s="5" t="s">
        <v>34</v>
      </c>
      <c r="P7" s="5" t="s">
        <v>2489</v>
      </c>
      <c r="Q7" s="5" t="s">
        <v>39</v>
      </c>
      <c r="R7" s="5" t="s">
        <v>142</v>
      </c>
      <c r="S7" s="5" t="s">
        <v>172</v>
      </c>
      <c r="T7" s="5" t="s">
        <v>44</v>
      </c>
      <c r="U7" s="5" t="s">
        <v>2448</v>
      </c>
      <c r="V7" s="5" t="s">
        <v>2842</v>
      </c>
      <c r="W7" s="6" t="s">
        <v>42</v>
      </c>
      <c r="X7" s="5" t="s">
        <v>2843</v>
      </c>
      <c r="Y7" s="6">
        <v>4905.0</v>
      </c>
    </row>
    <row r="8" ht="56.25" customHeight="1">
      <c r="A8" s="5" t="s">
        <v>2844</v>
      </c>
      <c r="B8" s="6" t="str">
        <f>IMAGE("https://storage.googleapis.com/acdb/wallpapers/RoomSpWallBackyard00.png")</f>
        <v/>
      </c>
      <c r="C8" s="5" t="s">
        <v>35</v>
      </c>
      <c r="D8" s="5" t="s">
        <v>2845</v>
      </c>
      <c r="E8" s="5" t="s">
        <v>36</v>
      </c>
      <c r="F8" s="6">
        <v>3000.0</v>
      </c>
      <c r="G8" s="6">
        <v>750.0</v>
      </c>
      <c r="H8" s="5" t="s">
        <v>2800</v>
      </c>
      <c r="I8" s="5"/>
      <c r="J8" s="5" t="s">
        <v>48</v>
      </c>
      <c r="K8" s="5" t="s">
        <v>44</v>
      </c>
      <c r="L8" s="5" t="s">
        <v>34</v>
      </c>
      <c r="M8" s="5" t="s">
        <v>34</v>
      </c>
      <c r="N8" s="5" t="s">
        <v>44</v>
      </c>
      <c r="O8" s="5" t="s">
        <v>34</v>
      </c>
      <c r="P8" s="5" t="s">
        <v>811</v>
      </c>
      <c r="Q8" s="5" t="s">
        <v>83</v>
      </c>
      <c r="R8" s="5" t="s">
        <v>57</v>
      </c>
      <c r="S8" s="5" t="s">
        <v>172</v>
      </c>
      <c r="T8" s="5" t="s">
        <v>44</v>
      </c>
      <c r="U8" s="5" t="s">
        <v>44</v>
      </c>
      <c r="V8" s="5" t="s">
        <v>2849</v>
      </c>
      <c r="W8" s="6" t="s">
        <v>42</v>
      </c>
      <c r="X8" s="5" t="s">
        <v>2851</v>
      </c>
      <c r="Y8" s="6">
        <v>5481.0</v>
      </c>
    </row>
    <row r="9" ht="56.25" customHeight="1">
      <c r="A9" s="5" t="s">
        <v>2852</v>
      </c>
      <c r="B9" s="6" t="str">
        <f>IMAGE("https://storage.googleapis.com/acdb/wallpapers/RoomTexWallBamboo00.png")</f>
        <v/>
      </c>
      <c r="C9" s="5" t="s">
        <v>36</v>
      </c>
      <c r="D9" s="5" t="s">
        <v>34</v>
      </c>
      <c r="E9" s="5" t="s">
        <v>35</v>
      </c>
      <c r="F9" s="6" t="s">
        <v>37</v>
      </c>
      <c r="G9" s="6">
        <v>2400.0</v>
      </c>
      <c r="H9" s="5" t="s">
        <v>41</v>
      </c>
      <c r="I9" s="5"/>
      <c r="J9" s="5" t="s">
        <v>48</v>
      </c>
      <c r="K9" s="5" t="s">
        <v>44</v>
      </c>
      <c r="L9" s="5" t="s">
        <v>34</v>
      </c>
      <c r="M9" s="5" t="s">
        <v>34</v>
      </c>
      <c r="N9" s="5" t="s">
        <v>44</v>
      </c>
      <c r="O9" s="5" t="s">
        <v>34</v>
      </c>
      <c r="P9" s="5" t="s">
        <v>2489</v>
      </c>
      <c r="Q9" s="5" t="s">
        <v>96</v>
      </c>
      <c r="R9" s="5" t="s">
        <v>38</v>
      </c>
      <c r="S9" s="5" t="s">
        <v>266</v>
      </c>
      <c r="T9" s="5" t="s">
        <v>44</v>
      </c>
      <c r="U9" s="5" t="s">
        <v>267</v>
      </c>
      <c r="V9" s="5" t="s">
        <v>2856</v>
      </c>
      <c r="W9" s="6" t="s">
        <v>42</v>
      </c>
      <c r="X9" s="5" t="s">
        <v>2857</v>
      </c>
      <c r="Y9" s="6">
        <v>4833.0</v>
      </c>
    </row>
    <row r="10" ht="56.25" customHeight="1">
      <c r="A10" s="5" t="s">
        <v>2859</v>
      </c>
      <c r="B10" s="6" t="str">
        <f>IMAGE("https://storage.googleapis.com/acdb/wallpapers/RoomTexWallChikurin00.png")</f>
        <v/>
      </c>
      <c r="C10" s="5" t="s">
        <v>36</v>
      </c>
      <c r="D10" s="5" t="s">
        <v>34</v>
      </c>
      <c r="E10" s="5" t="s">
        <v>35</v>
      </c>
      <c r="F10" s="6" t="s">
        <v>37</v>
      </c>
      <c r="G10" s="6">
        <v>4300.0</v>
      </c>
      <c r="H10" s="5" t="s">
        <v>41</v>
      </c>
      <c r="I10" s="5" t="s">
        <v>265</v>
      </c>
      <c r="J10" s="5" t="s">
        <v>48</v>
      </c>
      <c r="K10" s="5" t="s">
        <v>44</v>
      </c>
      <c r="L10" s="5" t="s">
        <v>34</v>
      </c>
      <c r="M10" s="5" t="s">
        <v>34</v>
      </c>
      <c r="N10" s="5" t="s">
        <v>44</v>
      </c>
      <c r="O10" s="5" t="s">
        <v>34</v>
      </c>
      <c r="P10" s="5" t="s">
        <v>2489</v>
      </c>
      <c r="Q10" s="5" t="s">
        <v>96</v>
      </c>
      <c r="R10" s="5" t="s">
        <v>96</v>
      </c>
      <c r="S10" s="5" t="s">
        <v>266</v>
      </c>
      <c r="T10" s="5" t="s">
        <v>44</v>
      </c>
      <c r="U10" s="5" t="s">
        <v>267</v>
      </c>
      <c r="V10" s="5" t="s">
        <v>2856</v>
      </c>
      <c r="W10" s="6" t="s">
        <v>42</v>
      </c>
      <c r="X10" s="5" t="s">
        <v>2864</v>
      </c>
      <c r="Y10" s="6">
        <v>4853.0</v>
      </c>
    </row>
    <row r="11" ht="56.25" customHeight="1">
      <c r="A11" s="5" t="s">
        <v>2866</v>
      </c>
      <c r="B11" s="6" t="str">
        <f>IMAGE("https://storage.googleapis.com/acdb/wallpapers/RoomTexWallRattan00.png")</f>
        <v/>
      </c>
      <c r="C11" s="5" t="s">
        <v>36</v>
      </c>
      <c r="D11" s="5" t="s">
        <v>34</v>
      </c>
      <c r="E11" s="5" t="s">
        <v>36</v>
      </c>
      <c r="F11" s="6">
        <v>1770.0</v>
      </c>
      <c r="G11" s="6">
        <v>442.0</v>
      </c>
      <c r="H11" s="5" t="s">
        <v>59</v>
      </c>
      <c r="I11" s="5"/>
      <c r="J11" s="5" t="s">
        <v>64</v>
      </c>
      <c r="K11" s="5" t="s">
        <v>44</v>
      </c>
      <c r="L11" s="5" t="s">
        <v>34</v>
      </c>
      <c r="M11" s="5" t="s">
        <v>34</v>
      </c>
      <c r="N11" s="5" t="s">
        <v>44</v>
      </c>
      <c r="O11" s="5" t="s">
        <v>34</v>
      </c>
      <c r="P11" s="5" t="s">
        <v>2801</v>
      </c>
      <c r="Q11" s="5" t="s">
        <v>39</v>
      </c>
      <c r="R11" s="5" t="s">
        <v>39</v>
      </c>
      <c r="S11" s="5" t="s">
        <v>266</v>
      </c>
      <c r="T11" s="5" t="s">
        <v>44</v>
      </c>
      <c r="U11" s="5" t="s">
        <v>44</v>
      </c>
      <c r="V11" s="5" t="s">
        <v>2870</v>
      </c>
      <c r="W11" s="6" t="s">
        <v>42</v>
      </c>
      <c r="X11" s="5" t="s">
        <v>2871</v>
      </c>
      <c r="Y11" s="6">
        <v>4836.0</v>
      </c>
    </row>
    <row r="12" ht="56.25" customHeight="1">
      <c r="A12" s="5" t="s">
        <v>2872</v>
      </c>
      <c r="B12" s="6" t="str">
        <f>IMAGE("https://storage.googleapis.com/acdb/wallpapers/RoomTexWallSafeBox00.png")</f>
        <v/>
      </c>
      <c r="C12" s="5" t="s">
        <v>36</v>
      </c>
      <c r="D12" s="5" t="s">
        <v>34</v>
      </c>
      <c r="E12" s="5" t="s">
        <v>36</v>
      </c>
      <c r="F12" s="6">
        <v>3000.0</v>
      </c>
      <c r="G12" s="6">
        <v>750.0</v>
      </c>
      <c r="H12" s="5" t="s">
        <v>2800</v>
      </c>
      <c r="I12" s="5"/>
      <c r="J12" s="5" t="s">
        <v>48</v>
      </c>
      <c r="K12" s="5" t="s">
        <v>44</v>
      </c>
      <c r="L12" s="5" t="s">
        <v>34</v>
      </c>
      <c r="M12" s="5" t="s">
        <v>34</v>
      </c>
      <c r="N12" s="5" t="s">
        <v>44</v>
      </c>
      <c r="O12" s="5" t="s">
        <v>34</v>
      </c>
      <c r="P12" s="5" t="s">
        <v>2876</v>
      </c>
      <c r="Q12" s="5" t="s">
        <v>95</v>
      </c>
      <c r="R12" s="5" t="s">
        <v>95</v>
      </c>
      <c r="S12" s="5" t="s">
        <v>141</v>
      </c>
      <c r="T12" s="5" t="s">
        <v>116</v>
      </c>
      <c r="U12" s="5" t="s">
        <v>44</v>
      </c>
      <c r="V12" s="5" t="s">
        <v>2877</v>
      </c>
      <c r="W12" s="6" t="s">
        <v>42</v>
      </c>
      <c r="X12" s="5" t="s">
        <v>2878</v>
      </c>
      <c r="Y12" s="6">
        <v>4839.0</v>
      </c>
    </row>
    <row r="13" ht="56.25" customHeight="1">
      <c r="A13" s="5" t="s">
        <v>2879</v>
      </c>
      <c r="B13" s="6" t="str">
        <f>IMAGE("https://storage.googleapis.com/acdb/wallpapers/RoomSpWallSimplePanel00.png")</f>
        <v/>
      </c>
      <c r="C13" s="5" t="s">
        <v>35</v>
      </c>
      <c r="D13" s="5" t="s">
        <v>34</v>
      </c>
      <c r="E13" s="5" t="s">
        <v>36</v>
      </c>
      <c r="F13" s="6">
        <v>600.0</v>
      </c>
      <c r="G13" s="6">
        <v>150.0</v>
      </c>
      <c r="H13" s="5" t="s">
        <v>59</v>
      </c>
      <c r="I13" s="5"/>
      <c r="J13" s="5" t="s">
        <v>64</v>
      </c>
      <c r="K13" s="5" t="s">
        <v>44</v>
      </c>
      <c r="L13" s="5" t="s">
        <v>34</v>
      </c>
      <c r="M13" s="5" t="s">
        <v>34</v>
      </c>
      <c r="N13" s="5" t="s">
        <v>44</v>
      </c>
      <c r="O13" s="5" t="s">
        <v>34</v>
      </c>
      <c r="P13" s="5" t="s">
        <v>2876</v>
      </c>
      <c r="Q13" s="5" t="s">
        <v>57</v>
      </c>
      <c r="R13" s="5" t="s">
        <v>57</v>
      </c>
      <c r="S13" s="5" t="s">
        <v>91</v>
      </c>
      <c r="T13" s="5" t="s">
        <v>141</v>
      </c>
      <c r="U13" s="5" t="s">
        <v>44</v>
      </c>
      <c r="V13" s="5" t="s">
        <v>2834</v>
      </c>
      <c r="W13" s="6" t="s">
        <v>42</v>
      </c>
      <c r="X13" s="5" t="s">
        <v>2883</v>
      </c>
      <c r="Y13" s="6">
        <v>5559.0</v>
      </c>
    </row>
    <row r="14" ht="56.25" customHeight="1">
      <c r="A14" s="5" t="s">
        <v>2884</v>
      </c>
      <c r="B14" s="6" t="str">
        <f>IMAGE("https://storage.googleapis.com/acdb/wallpapers/RoomTexWallBeadsCurtain00.png")</f>
        <v/>
      </c>
      <c r="C14" s="5" t="s">
        <v>36</v>
      </c>
      <c r="D14" s="5" t="s">
        <v>34</v>
      </c>
      <c r="E14" s="5" t="s">
        <v>36</v>
      </c>
      <c r="F14" s="6">
        <v>1720.0</v>
      </c>
      <c r="G14" s="6">
        <v>430.0</v>
      </c>
      <c r="H14" s="5" t="s">
        <v>59</v>
      </c>
      <c r="I14" s="5"/>
      <c r="J14" s="5" t="s">
        <v>64</v>
      </c>
      <c r="K14" s="5" t="s">
        <v>2787</v>
      </c>
      <c r="L14" s="5" t="s">
        <v>2887</v>
      </c>
      <c r="M14" s="5" t="s">
        <v>2789</v>
      </c>
      <c r="N14" s="5" t="s">
        <v>2888</v>
      </c>
      <c r="O14" s="5" t="s">
        <v>2889</v>
      </c>
      <c r="P14" s="5" t="s">
        <v>2489</v>
      </c>
      <c r="Q14" s="5" t="s">
        <v>57</v>
      </c>
      <c r="R14" s="5" t="s">
        <v>142</v>
      </c>
      <c r="S14" s="5" t="s">
        <v>62</v>
      </c>
      <c r="T14" s="5" t="s">
        <v>159</v>
      </c>
      <c r="U14" s="5" t="s">
        <v>44</v>
      </c>
      <c r="V14" s="5" t="s">
        <v>2795</v>
      </c>
      <c r="W14" s="6" t="s">
        <v>42</v>
      </c>
      <c r="X14" s="5" t="s">
        <v>2891</v>
      </c>
      <c r="Y14" s="6">
        <v>4877.0</v>
      </c>
    </row>
    <row r="15" ht="56.25" customHeight="1">
      <c r="A15" s="5" t="s">
        <v>2892</v>
      </c>
      <c r="B15" s="6" t="str">
        <f>IMAGE("https://storage.googleapis.com/acdb/wallpapers/RoomTexWallArtDeco00.png")</f>
        <v/>
      </c>
      <c r="C15" s="5" t="s">
        <v>36</v>
      </c>
      <c r="D15" s="5" t="s">
        <v>34</v>
      </c>
      <c r="E15" s="5" t="s">
        <v>36</v>
      </c>
      <c r="F15" s="6">
        <v>2780.0</v>
      </c>
      <c r="G15" s="6">
        <v>695.0</v>
      </c>
      <c r="H15" s="5" t="s">
        <v>59</v>
      </c>
      <c r="I15" s="5"/>
      <c r="J15" s="5" t="s">
        <v>64</v>
      </c>
      <c r="K15" s="5" t="s">
        <v>1411</v>
      </c>
      <c r="L15" s="5" t="s">
        <v>2489</v>
      </c>
      <c r="M15" s="5" t="s">
        <v>2789</v>
      </c>
      <c r="N15" s="5" t="s">
        <v>44</v>
      </c>
      <c r="O15" s="5" t="s">
        <v>34</v>
      </c>
      <c r="P15" s="5" t="s">
        <v>2489</v>
      </c>
      <c r="Q15" s="5" t="s">
        <v>38</v>
      </c>
      <c r="R15" s="5" t="s">
        <v>38</v>
      </c>
      <c r="S15" s="5" t="s">
        <v>99</v>
      </c>
      <c r="T15" s="5" t="s">
        <v>90</v>
      </c>
      <c r="U15" s="5" t="s">
        <v>44</v>
      </c>
      <c r="V15" s="5" t="s">
        <v>2895</v>
      </c>
      <c r="W15" s="6" t="s">
        <v>42</v>
      </c>
      <c r="X15" s="5" t="s">
        <v>2897</v>
      </c>
      <c r="Y15" s="6">
        <v>4817.0</v>
      </c>
    </row>
    <row r="16" ht="56.25" customHeight="1">
      <c r="A16" s="5" t="s">
        <v>2898</v>
      </c>
      <c r="B16" s="6" t="str">
        <f>IMAGE("https://storage.googleapis.com/acdb/wallpapers/RoomTexWallCountry00.png")</f>
        <v/>
      </c>
      <c r="C16" s="5" t="s">
        <v>36</v>
      </c>
      <c r="D16" s="5" t="s">
        <v>34</v>
      </c>
      <c r="E16" s="5" t="s">
        <v>36</v>
      </c>
      <c r="F16" s="6">
        <v>1760.0</v>
      </c>
      <c r="G16" s="6">
        <v>440.0</v>
      </c>
      <c r="H16" s="5" t="s">
        <v>59</v>
      </c>
      <c r="I16" s="5"/>
      <c r="J16" s="5" t="s">
        <v>64</v>
      </c>
      <c r="K16" s="5" t="s">
        <v>2787</v>
      </c>
      <c r="L16" s="5" t="s">
        <v>2887</v>
      </c>
      <c r="M16" s="5" t="s">
        <v>2789</v>
      </c>
      <c r="N16" s="5" t="s">
        <v>2888</v>
      </c>
      <c r="O16" s="5" t="s">
        <v>2900</v>
      </c>
      <c r="P16" s="5" t="s">
        <v>2489</v>
      </c>
      <c r="Q16" s="5" t="s">
        <v>38</v>
      </c>
      <c r="R16" s="5" t="s">
        <v>39</v>
      </c>
      <c r="S16" s="5" t="s">
        <v>61</v>
      </c>
      <c r="T16" s="5" t="s">
        <v>90</v>
      </c>
      <c r="U16" s="5" t="s">
        <v>44</v>
      </c>
      <c r="V16" s="5" t="s">
        <v>2902</v>
      </c>
      <c r="W16" s="6" t="s">
        <v>42</v>
      </c>
      <c r="X16" s="5" t="s">
        <v>2903</v>
      </c>
      <c r="Y16" s="6">
        <v>4831.0</v>
      </c>
    </row>
    <row r="17" ht="56.25" customHeight="1">
      <c r="A17" s="5" t="s">
        <v>2904</v>
      </c>
      <c r="B17" s="6" t="str">
        <f>IMAGE("https://storage.googleapis.com/acdb/wallpapers/RoomTexWallMorocco00.png")</f>
        <v/>
      </c>
      <c r="C17" s="5" t="s">
        <v>36</v>
      </c>
      <c r="D17" s="5" t="s">
        <v>34</v>
      </c>
      <c r="E17" s="5" t="s">
        <v>36</v>
      </c>
      <c r="F17" s="6">
        <v>2440.0</v>
      </c>
      <c r="G17" s="6">
        <v>610.0</v>
      </c>
      <c r="H17" s="5" t="s">
        <v>59</v>
      </c>
      <c r="I17" s="5"/>
      <c r="J17" s="5" t="s">
        <v>64</v>
      </c>
      <c r="K17" s="5" t="s">
        <v>2907</v>
      </c>
      <c r="L17" s="5" t="s">
        <v>2823</v>
      </c>
      <c r="M17" s="5" t="s">
        <v>2789</v>
      </c>
      <c r="N17" s="5" t="s">
        <v>44</v>
      </c>
      <c r="O17" s="5" t="s">
        <v>34</v>
      </c>
      <c r="P17" s="5" t="s">
        <v>2801</v>
      </c>
      <c r="Q17" s="5" t="s">
        <v>38</v>
      </c>
      <c r="R17" s="5" t="s">
        <v>38</v>
      </c>
      <c r="S17" s="5" t="s">
        <v>288</v>
      </c>
      <c r="T17" s="5" t="s">
        <v>141</v>
      </c>
      <c r="U17" s="5" t="s">
        <v>44</v>
      </c>
      <c r="V17" s="5" t="s">
        <v>2909</v>
      </c>
      <c r="W17" s="6" t="s">
        <v>42</v>
      </c>
      <c r="X17" s="5" t="s">
        <v>2910</v>
      </c>
      <c r="Y17" s="6">
        <v>4834.0</v>
      </c>
    </row>
    <row r="18" ht="56.25" customHeight="1">
      <c r="A18" s="5" t="s">
        <v>2912</v>
      </c>
      <c r="B18" s="6" t="str">
        <f>IMAGE("https://storage.googleapis.com/acdb/wallpapers/RoomTexWallWoodTile03.png")</f>
        <v/>
      </c>
      <c r="C18" s="5" t="s">
        <v>36</v>
      </c>
      <c r="D18" s="5" t="s">
        <v>34</v>
      </c>
      <c r="E18" s="5" t="s">
        <v>36</v>
      </c>
      <c r="F18" s="6">
        <v>1240.0</v>
      </c>
      <c r="G18" s="6">
        <v>310.0</v>
      </c>
      <c r="H18" s="5" t="s">
        <v>59</v>
      </c>
      <c r="I18" s="5"/>
      <c r="J18" s="5" t="s">
        <v>64</v>
      </c>
      <c r="K18" s="5" t="s">
        <v>2822</v>
      </c>
      <c r="L18" s="5" t="s">
        <v>2913</v>
      </c>
      <c r="M18" s="5" t="s">
        <v>2789</v>
      </c>
      <c r="N18" s="5" t="s">
        <v>2824</v>
      </c>
      <c r="O18" s="5" t="s">
        <v>2916</v>
      </c>
      <c r="P18" s="5" t="s">
        <v>2801</v>
      </c>
      <c r="Q18" s="5" t="s">
        <v>54</v>
      </c>
      <c r="R18" s="5" t="s">
        <v>54</v>
      </c>
      <c r="S18" s="5" t="s">
        <v>141</v>
      </c>
      <c r="T18" s="5" t="s">
        <v>116</v>
      </c>
      <c r="U18" s="5" t="s">
        <v>44</v>
      </c>
      <c r="V18" s="5" t="s">
        <v>2917</v>
      </c>
      <c r="W18" s="6" t="s">
        <v>42</v>
      </c>
      <c r="X18" s="5" t="s">
        <v>2918</v>
      </c>
      <c r="Y18" s="6">
        <v>6877.0</v>
      </c>
    </row>
    <row r="19" ht="56.25" customHeight="1">
      <c r="A19" s="5" t="s">
        <v>2919</v>
      </c>
      <c r="B19" s="6" t="str">
        <f>IMAGE("https://storage.googleapis.com/acdb/wallpapers/RoomTexWallHall03.png")</f>
        <v/>
      </c>
      <c r="C19" s="5" t="s">
        <v>36</v>
      </c>
      <c r="D19" s="5" t="s">
        <v>34</v>
      </c>
      <c r="E19" s="5" t="s">
        <v>36</v>
      </c>
      <c r="F19" s="6">
        <v>2000.0</v>
      </c>
      <c r="G19" s="6">
        <v>500.0</v>
      </c>
      <c r="H19" s="5" t="s">
        <v>59</v>
      </c>
      <c r="I19" s="5"/>
      <c r="J19" s="5" t="s">
        <v>64</v>
      </c>
      <c r="K19" s="5" t="s">
        <v>44</v>
      </c>
      <c r="L19" s="5" t="s">
        <v>34</v>
      </c>
      <c r="M19" s="5" t="s">
        <v>34</v>
      </c>
      <c r="N19" s="5" t="s">
        <v>44</v>
      </c>
      <c r="O19" s="5" t="s">
        <v>34</v>
      </c>
      <c r="P19" s="5" t="s">
        <v>2489</v>
      </c>
      <c r="Q19" s="5" t="s">
        <v>54</v>
      </c>
      <c r="R19" s="5" t="s">
        <v>54</v>
      </c>
      <c r="S19" s="5" t="s">
        <v>141</v>
      </c>
      <c r="T19" s="5" t="s">
        <v>43</v>
      </c>
      <c r="U19" s="5" t="s">
        <v>44</v>
      </c>
      <c r="V19" s="5" t="s">
        <v>2923</v>
      </c>
      <c r="W19" s="6" t="s">
        <v>42</v>
      </c>
      <c r="X19" s="5" t="s">
        <v>2924</v>
      </c>
      <c r="Y19" s="6">
        <v>6862.0</v>
      </c>
    </row>
    <row r="20" ht="56.25" customHeight="1">
      <c r="A20" s="5" t="s">
        <v>2926</v>
      </c>
      <c r="B20" s="6" t="str">
        <f>IMAGE("https://storage.googleapis.com/acdb/wallpapers/RoomTexWallPegboard02.png")</f>
        <v/>
      </c>
      <c r="C20" s="5" t="s">
        <v>36</v>
      </c>
      <c r="D20" s="5" t="s">
        <v>34</v>
      </c>
      <c r="E20" s="5" t="s">
        <v>36</v>
      </c>
      <c r="F20" s="6">
        <v>1180.0</v>
      </c>
      <c r="G20" s="6">
        <v>295.0</v>
      </c>
      <c r="H20" s="5" t="s">
        <v>59</v>
      </c>
      <c r="I20" s="5"/>
      <c r="J20" s="5" t="s">
        <v>64</v>
      </c>
      <c r="K20" s="5" t="s">
        <v>44</v>
      </c>
      <c r="L20" s="5" t="s">
        <v>34</v>
      </c>
      <c r="M20" s="5" t="s">
        <v>34</v>
      </c>
      <c r="N20" s="5" t="s">
        <v>44</v>
      </c>
      <c r="O20" s="5" t="s">
        <v>34</v>
      </c>
      <c r="P20" s="5" t="s">
        <v>2876</v>
      </c>
      <c r="Q20" s="5" t="s">
        <v>54</v>
      </c>
      <c r="R20" s="5" t="s">
        <v>54</v>
      </c>
      <c r="S20" s="5" t="s">
        <v>43</v>
      </c>
      <c r="T20" s="5" t="s">
        <v>141</v>
      </c>
      <c r="U20" s="5" t="s">
        <v>44</v>
      </c>
      <c r="V20" s="5" t="s">
        <v>2929</v>
      </c>
      <c r="W20" s="6" t="s">
        <v>42</v>
      </c>
      <c r="X20" s="5" t="s">
        <v>2930</v>
      </c>
      <c r="Y20" s="6">
        <v>4922.0</v>
      </c>
    </row>
    <row r="21" ht="56.25" customHeight="1">
      <c r="A21" s="5" t="s">
        <v>2931</v>
      </c>
      <c r="B21" s="6" t="str">
        <f>IMAGE("https://storage.googleapis.com/acdb/wallpapers/RoomTexWallTwoToneTile06.png")</f>
        <v/>
      </c>
      <c r="C21" s="5" t="s">
        <v>36</v>
      </c>
      <c r="D21" s="5" t="s">
        <v>34</v>
      </c>
      <c r="E21" s="5" t="s">
        <v>36</v>
      </c>
      <c r="F21" s="6">
        <v>1850.0</v>
      </c>
      <c r="G21" s="6">
        <v>462.0</v>
      </c>
      <c r="H21" s="5" t="s">
        <v>59</v>
      </c>
      <c r="I21" s="5"/>
      <c r="J21" s="5" t="s">
        <v>64</v>
      </c>
      <c r="K21" s="5" t="s">
        <v>2907</v>
      </c>
      <c r="L21" s="5" t="s">
        <v>2823</v>
      </c>
      <c r="M21" s="5" t="s">
        <v>2789</v>
      </c>
      <c r="N21" s="5" t="s">
        <v>44</v>
      </c>
      <c r="O21" s="5" t="s">
        <v>34</v>
      </c>
      <c r="P21" s="5" t="s">
        <v>2801</v>
      </c>
      <c r="Q21" s="5" t="s">
        <v>54</v>
      </c>
      <c r="R21" s="5" t="s">
        <v>54</v>
      </c>
      <c r="S21" s="5" t="s">
        <v>288</v>
      </c>
      <c r="T21" s="5" t="s">
        <v>141</v>
      </c>
      <c r="U21" s="5" t="s">
        <v>44</v>
      </c>
      <c r="V21" s="5" t="s">
        <v>2935</v>
      </c>
      <c r="W21" s="6" t="s">
        <v>42</v>
      </c>
      <c r="X21" s="5" t="s">
        <v>2936</v>
      </c>
      <c r="Y21" s="6">
        <v>6859.0</v>
      </c>
    </row>
    <row r="22" ht="56.25" customHeight="1">
      <c r="A22" s="5" t="s">
        <v>2937</v>
      </c>
      <c r="B22" s="6" t="str">
        <f>IMAGE("https://storage.googleapis.com/acdb/wallpapers/RoomTexWallBrick02.png")</f>
        <v/>
      </c>
      <c r="C22" s="5" t="s">
        <v>36</v>
      </c>
      <c r="D22" s="5" t="s">
        <v>34</v>
      </c>
      <c r="E22" s="5" t="s">
        <v>36</v>
      </c>
      <c r="F22" s="6">
        <v>1000.0</v>
      </c>
      <c r="G22" s="6">
        <v>250.0</v>
      </c>
      <c r="H22" s="5" t="s">
        <v>59</v>
      </c>
      <c r="I22" s="5"/>
      <c r="J22" s="5" t="s">
        <v>64</v>
      </c>
      <c r="K22" s="5" t="s">
        <v>2787</v>
      </c>
      <c r="L22" s="5" t="s">
        <v>2939</v>
      </c>
      <c r="M22" s="5" t="s">
        <v>2789</v>
      </c>
      <c r="N22" s="5" t="s">
        <v>44</v>
      </c>
      <c r="O22" s="5" t="s">
        <v>34</v>
      </c>
      <c r="P22" s="5" t="s">
        <v>2489</v>
      </c>
      <c r="Q22" s="5" t="s">
        <v>54</v>
      </c>
      <c r="R22" s="5" t="s">
        <v>54</v>
      </c>
      <c r="S22" s="5" t="s">
        <v>141</v>
      </c>
      <c r="T22" s="5" t="s">
        <v>62</v>
      </c>
      <c r="U22" s="5" t="s">
        <v>44</v>
      </c>
      <c r="V22" s="5" t="s">
        <v>2941</v>
      </c>
      <c r="W22" s="6" t="s">
        <v>42</v>
      </c>
      <c r="X22" s="5" t="s">
        <v>2942</v>
      </c>
      <c r="Y22" s="6">
        <v>4929.0</v>
      </c>
    </row>
    <row r="23" ht="56.25" customHeight="1">
      <c r="A23" s="5" t="s">
        <v>2944</v>
      </c>
      <c r="B23" s="6" t="str">
        <f>IMAGE("https://storage.googleapis.com/acdb/wallpapers/RoomTexWallCrown01.png")</f>
        <v/>
      </c>
      <c r="C23" s="5" t="s">
        <v>36</v>
      </c>
      <c r="D23" s="5" t="s">
        <v>34</v>
      </c>
      <c r="E23" s="5" t="s">
        <v>36</v>
      </c>
      <c r="F23" s="6">
        <v>2350.0</v>
      </c>
      <c r="G23" s="6">
        <v>587.0</v>
      </c>
      <c r="H23" s="5" t="s">
        <v>59</v>
      </c>
      <c r="I23" s="5"/>
      <c r="J23" s="5" t="s">
        <v>64</v>
      </c>
      <c r="K23" s="5" t="s">
        <v>44</v>
      </c>
      <c r="L23" s="5" t="s">
        <v>34</v>
      </c>
      <c r="M23" s="5" t="s">
        <v>34</v>
      </c>
      <c r="N23" s="5" t="s">
        <v>44</v>
      </c>
      <c r="O23" s="5" t="s">
        <v>34</v>
      </c>
      <c r="P23" s="5" t="s">
        <v>2876</v>
      </c>
      <c r="Q23" s="5" t="s">
        <v>54</v>
      </c>
      <c r="R23" s="5" t="s">
        <v>54</v>
      </c>
      <c r="S23" s="5" t="s">
        <v>116</v>
      </c>
      <c r="T23" s="5" t="s">
        <v>44</v>
      </c>
      <c r="U23" s="5" t="s">
        <v>44</v>
      </c>
      <c r="V23" s="5" t="s">
        <v>2947</v>
      </c>
      <c r="W23" s="6" t="s">
        <v>42</v>
      </c>
      <c r="X23" s="5" t="s">
        <v>2948</v>
      </c>
      <c r="Y23" s="6">
        <v>4815.0</v>
      </c>
    </row>
    <row r="24" ht="56.25" customHeight="1">
      <c r="A24" s="5" t="s">
        <v>2949</v>
      </c>
      <c r="B24" s="6" t="str">
        <f>IMAGE("https://storage.googleapis.com/acdb/wallpapers/RoomTexWallBlackBoard00.png")</f>
        <v/>
      </c>
      <c r="C24" s="5" t="s">
        <v>36</v>
      </c>
      <c r="D24" s="5" t="s">
        <v>34</v>
      </c>
      <c r="E24" s="5" t="s">
        <v>36</v>
      </c>
      <c r="F24" s="6">
        <v>3000.0</v>
      </c>
      <c r="G24" s="6">
        <v>750.0</v>
      </c>
      <c r="H24" s="5" t="s">
        <v>2800</v>
      </c>
      <c r="I24" s="5"/>
      <c r="J24" s="5" t="s">
        <v>48</v>
      </c>
      <c r="K24" s="5" t="s">
        <v>44</v>
      </c>
      <c r="L24" s="5" t="s">
        <v>34</v>
      </c>
      <c r="M24" s="5" t="s">
        <v>34</v>
      </c>
      <c r="N24" s="5" t="s">
        <v>44</v>
      </c>
      <c r="O24" s="5" t="s">
        <v>34</v>
      </c>
      <c r="P24" s="5" t="s">
        <v>2489</v>
      </c>
      <c r="Q24" s="5" t="s">
        <v>54</v>
      </c>
      <c r="R24" s="5" t="s">
        <v>58</v>
      </c>
      <c r="S24" s="5" t="s">
        <v>62</v>
      </c>
      <c r="T24" s="5" t="s">
        <v>130</v>
      </c>
      <c r="U24" s="5" t="s">
        <v>44</v>
      </c>
      <c r="V24" s="5" t="s">
        <v>2952</v>
      </c>
      <c r="W24" s="6" t="s">
        <v>42</v>
      </c>
      <c r="X24" s="5" t="s">
        <v>2953</v>
      </c>
      <c r="Y24" s="6">
        <v>4882.0</v>
      </c>
    </row>
    <row r="25" ht="56.25" customHeight="1">
      <c r="A25" s="5" t="s">
        <v>2954</v>
      </c>
      <c r="B25" s="6" t="str">
        <f>IMAGE("https://storage.googleapis.com/acdb/wallpapers/RoomTexWallCountry02.png")</f>
        <v/>
      </c>
      <c r="C25" s="5" t="s">
        <v>36</v>
      </c>
      <c r="D25" s="5" t="s">
        <v>34</v>
      </c>
      <c r="E25" s="5" t="s">
        <v>36</v>
      </c>
      <c r="F25" s="6">
        <v>1760.0</v>
      </c>
      <c r="G25" s="6">
        <v>440.0</v>
      </c>
      <c r="H25" s="5" t="s">
        <v>59</v>
      </c>
      <c r="I25" s="5"/>
      <c r="J25" s="5" t="s">
        <v>64</v>
      </c>
      <c r="K25" s="5" t="s">
        <v>2787</v>
      </c>
      <c r="L25" s="5" t="s">
        <v>2788</v>
      </c>
      <c r="M25" s="5" t="s">
        <v>2789</v>
      </c>
      <c r="N25" s="5" t="s">
        <v>2888</v>
      </c>
      <c r="O25" s="5" t="s">
        <v>2956</v>
      </c>
      <c r="P25" s="5" t="s">
        <v>2489</v>
      </c>
      <c r="Q25" s="5" t="s">
        <v>83</v>
      </c>
      <c r="R25" s="5" t="s">
        <v>68</v>
      </c>
      <c r="S25" s="5" t="s">
        <v>61</v>
      </c>
      <c r="T25" s="5" t="s">
        <v>90</v>
      </c>
      <c r="U25" s="5" t="s">
        <v>44</v>
      </c>
      <c r="V25" s="5" t="s">
        <v>2902</v>
      </c>
      <c r="W25" s="6" t="s">
        <v>42</v>
      </c>
      <c r="X25" s="5" t="s">
        <v>2958</v>
      </c>
      <c r="Y25" s="6">
        <v>4896.0</v>
      </c>
    </row>
    <row r="26" ht="56.25" customHeight="1">
      <c r="A26" s="5" t="s">
        <v>2959</v>
      </c>
      <c r="B26" s="6" t="str">
        <f>IMAGE("https://storage.googleapis.com/acdb/wallpapers/RoomTexWallCamouflage01.png")</f>
        <v/>
      </c>
      <c r="C26" s="5" t="s">
        <v>36</v>
      </c>
      <c r="D26" s="5" t="s">
        <v>34</v>
      </c>
      <c r="E26" s="5" t="s">
        <v>36</v>
      </c>
      <c r="F26" s="6">
        <v>1150.0</v>
      </c>
      <c r="G26" s="6">
        <v>287.0</v>
      </c>
      <c r="H26" s="5" t="s">
        <v>59</v>
      </c>
      <c r="I26" s="5"/>
      <c r="J26" s="5" t="s">
        <v>64</v>
      </c>
      <c r="K26" s="5" t="s">
        <v>2822</v>
      </c>
      <c r="L26" s="5" t="s">
        <v>2788</v>
      </c>
      <c r="M26" s="5" t="s">
        <v>2789</v>
      </c>
      <c r="N26" s="5" t="s">
        <v>2824</v>
      </c>
      <c r="O26" s="5" t="s">
        <v>2825</v>
      </c>
      <c r="P26" s="5" t="s">
        <v>2793</v>
      </c>
      <c r="Q26" s="5" t="s">
        <v>68</v>
      </c>
      <c r="R26" s="5" t="s">
        <v>68</v>
      </c>
      <c r="S26" s="5" t="s">
        <v>465</v>
      </c>
      <c r="T26" s="5" t="s">
        <v>99</v>
      </c>
      <c r="U26" s="5" t="s">
        <v>44</v>
      </c>
      <c r="V26" s="5" t="s">
        <v>1499</v>
      </c>
      <c r="W26" s="6" t="s">
        <v>42</v>
      </c>
      <c r="X26" s="5" t="s">
        <v>2961</v>
      </c>
      <c r="Y26" s="6">
        <v>4884.0</v>
      </c>
    </row>
    <row r="27" ht="56.25" customHeight="1">
      <c r="A27" s="5" t="s">
        <v>2962</v>
      </c>
      <c r="B27" s="6" t="str">
        <f>IMAGE("https://storage.googleapis.com/acdb/wallpapers/RoomTexWallManor03.png")</f>
        <v/>
      </c>
      <c r="C27" s="5" t="s">
        <v>36</v>
      </c>
      <c r="D27" s="5" t="s">
        <v>34</v>
      </c>
      <c r="E27" s="5" t="s">
        <v>36</v>
      </c>
      <c r="F27" s="6">
        <v>1900.0</v>
      </c>
      <c r="G27" s="6">
        <v>475.0</v>
      </c>
      <c r="H27" s="5" t="s">
        <v>59</v>
      </c>
      <c r="I27" s="5"/>
      <c r="J27" s="5" t="s">
        <v>64</v>
      </c>
      <c r="K27" s="5" t="s">
        <v>2787</v>
      </c>
      <c r="L27" s="5" t="s">
        <v>2939</v>
      </c>
      <c r="M27" s="5" t="s">
        <v>2789</v>
      </c>
      <c r="N27" s="5" t="s">
        <v>2791</v>
      </c>
      <c r="O27" s="5" t="s">
        <v>2965</v>
      </c>
      <c r="P27" s="5" t="s">
        <v>2489</v>
      </c>
      <c r="Q27" s="5" t="s">
        <v>68</v>
      </c>
      <c r="R27" s="5" t="s">
        <v>54</v>
      </c>
      <c r="S27" s="5" t="s">
        <v>116</v>
      </c>
      <c r="T27" s="5" t="s">
        <v>90</v>
      </c>
      <c r="U27" s="5" t="s">
        <v>44</v>
      </c>
      <c r="V27" s="5" t="s">
        <v>2966</v>
      </c>
      <c r="W27" s="6" t="s">
        <v>42</v>
      </c>
      <c r="X27" s="5" t="s">
        <v>2967</v>
      </c>
      <c r="Y27" s="6">
        <v>6852.0</v>
      </c>
    </row>
    <row r="28" ht="56.25" customHeight="1">
      <c r="A28" s="5" t="s">
        <v>2968</v>
      </c>
      <c r="B28" s="6" t="str">
        <f>IMAGE("https://storage.googleapis.com/acdb/wallpapers/RoomTexWallMorocco01.png")</f>
        <v/>
      </c>
      <c r="C28" s="5" t="s">
        <v>36</v>
      </c>
      <c r="D28" s="5" t="s">
        <v>34</v>
      </c>
      <c r="E28" s="5" t="s">
        <v>36</v>
      </c>
      <c r="F28" s="6">
        <v>2440.0</v>
      </c>
      <c r="G28" s="6">
        <v>610.0</v>
      </c>
      <c r="H28" s="5" t="s">
        <v>59</v>
      </c>
      <c r="I28" s="5"/>
      <c r="J28" s="5" t="s">
        <v>64</v>
      </c>
      <c r="K28" s="5" t="s">
        <v>2907</v>
      </c>
      <c r="L28" s="5" t="s">
        <v>2823</v>
      </c>
      <c r="M28" s="5" t="s">
        <v>2789</v>
      </c>
      <c r="N28" s="5" t="s">
        <v>44</v>
      </c>
      <c r="O28" s="5" t="s">
        <v>34</v>
      </c>
      <c r="P28" s="5" t="s">
        <v>2801</v>
      </c>
      <c r="Q28" s="5" t="s">
        <v>68</v>
      </c>
      <c r="R28" s="5" t="s">
        <v>57</v>
      </c>
      <c r="S28" s="5" t="s">
        <v>288</v>
      </c>
      <c r="T28" s="5" t="s">
        <v>141</v>
      </c>
      <c r="U28" s="5" t="s">
        <v>44</v>
      </c>
      <c r="V28" s="5" t="s">
        <v>2909</v>
      </c>
      <c r="W28" s="6" t="s">
        <v>42</v>
      </c>
      <c r="X28" s="5" t="s">
        <v>2973</v>
      </c>
      <c r="Y28" s="6">
        <v>4835.0</v>
      </c>
    </row>
    <row r="29" ht="56.25" customHeight="1">
      <c r="A29" s="5" t="s">
        <v>2974</v>
      </c>
      <c r="B29" s="6" t="str">
        <f>IMAGE("https://storage.googleapis.com/acdb/wallpapers/RoomTexWallDiner00.png")</f>
        <v/>
      </c>
      <c r="C29" s="5" t="s">
        <v>36</v>
      </c>
      <c r="D29" s="5" t="s">
        <v>34</v>
      </c>
      <c r="E29" s="5" t="s">
        <v>36</v>
      </c>
      <c r="F29" s="6">
        <v>2420.0</v>
      </c>
      <c r="G29" s="6">
        <v>605.0</v>
      </c>
      <c r="H29" s="5" t="s">
        <v>59</v>
      </c>
      <c r="I29" s="5"/>
      <c r="J29" s="5" t="s">
        <v>64</v>
      </c>
      <c r="K29" s="5" t="s">
        <v>2822</v>
      </c>
      <c r="L29" s="5" t="s">
        <v>2823</v>
      </c>
      <c r="M29" s="5" t="s">
        <v>2789</v>
      </c>
      <c r="N29" s="5" t="s">
        <v>2824</v>
      </c>
      <c r="O29" s="5" t="s">
        <v>2825</v>
      </c>
      <c r="P29" s="5" t="s">
        <v>2801</v>
      </c>
      <c r="Q29" s="5" t="s">
        <v>68</v>
      </c>
      <c r="R29" s="5" t="s">
        <v>83</v>
      </c>
      <c r="S29" s="5" t="s">
        <v>61</v>
      </c>
      <c r="T29" s="5" t="s">
        <v>62</v>
      </c>
      <c r="U29" s="5" t="s">
        <v>44</v>
      </c>
      <c r="V29" s="5" t="s">
        <v>2977</v>
      </c>
      <c r="W29" s="6" t="s">
        <v>42</v>
      </c>
      <c r="X29" s="5" t="s">
        <v>2978</v>
      </c>
      <c r="Y29" s="6">
        <v>7241.0</v>
      </c>
    </row>
    <row r="30" ht="56.25" customHeight="1">
      <c r="A30" s="5" t="s">
        <v>2979</v>
      </c>
      <c r="B30" s="6" t="str">
        <f>IMAGE("https://storage.googleapis.com/acdb/wallpapers/RoomTexWallFlower03.png")</f>
        <v/>
      </c>
      <c r="C30" s="5" t="s">
        <v>36</v>
      </c>
      <c r="D30" s="5" t="s">
        <v>34</v>
      </c>
      <c r="E30" s="5" t="s">
        <v>36</v>
      </c>
      <c r="F30" s="6">
        <v>1780.0</v>
      </c>
      <c r="G30" s="6">
        <v>445.0</v>
      </c>
      <c r="H30" s="5" t="s">
        <v>59</v>
      </c>
      <c r="I30" s="5"/>
      <c r="J30" s="5" t="s">
        <v>64</v>
      </c>
      <c r="K30" s="5" t="s">
        <v>2787</v>
      </c>
      <c r="L30" s="5" t="s">
        <v>2939</v>
      </c>
      <c r="M30" s="5" t="s">
        <v>2789</v>
      </c>
      <c r="N30" s="5" t="s">
        <v>2888</v>
      </c>
      <c r="O30" s="5" t="s">
        <v>83</v>
      </c>
      <c r="P30" s="5" t="s">
        <v>2489</v>
      </c>
      <c r="Q30" s="5" t="s">
        <v>68</v>
      </c>
      <c r="R30" s="5" t="s">
        <v>83</v>
      </c>
      <c r="S30" s="5" t="s">
        <v>61</v>
      </c>
      <c r="T30" s="5" t="s">
        <v>90</v>
      </c>
      <c r="U30" s="5" t="s">
        <v>44</v>
      </c>
      <c r="V30" s="5" t="s">
        <v>2982</v>
      </c>
      <c r="W30" s="6" t="s">
        <v>42</v>
      </c>
      <c r="X30" s="5" t="s">
        <v>2983</v>
      </c>
      <c r="Y30" s="6">
        <v>6873.0</v>
      </c>
    </row>
    <row r="31" ht="56.25" customHeight="1">
      <c r="A31" s="5" t="s">
        <v>2984</v>
      </c>
      <c r="B31" s="6" t="str">
        <f>IMAGE("https://storage.googleapis.com/acdb/wallpapers/RoomTexWallHeart00.png")</f>
        <v/>
      </c>
      <c r="C31" s="5" t="s">
        <v>36</v>
      </c>
      <c r="D31" s="5" t="s">
        <v>34</v>
      </c>
      <c r="E31" s="5" t="s">
        <v>36</v>
      </c>
      <c r="F31" s="6">
        <v>1280.0</v>
      </c>
      <c r="G31" s="6">
        <v>320.0</v>
      </c>
      <c r="H31" s="5" t="s">
        <v>59</v>
      </c>
      <c r="I31" s="5"/>
      <c r="J31" s="5" t="s">
        <v>64</v>
      </c>
      <c r="K31" s="5" t="s">
        <v>2787</v>
      </c>
      <c r="L31" s="5" t="s">
        <v>2986</v>
      </c>
      <c r="M31" s="5" t="s">
        <v>2789</v>
      </c>
      <c r="N31" s="5" t="s">
        <v>2791</v>
      </c>
      <c r="O31" s="5" t="s">
        <v>57</v>
      </c>
      <c r="P31" s="5" t="s">
        <v>2793</v>
      </c>
      <c r="Q31" s="5" t="s">
        <v>68</v>
      </c>
      <c r="R31" s="5" t="s">
        <v>83</v>
      </c>
      <c r="S31" s="5" t="s">
        <v>61</v>
      </c>
      <c r="T31" s="5" t="s">
        <v>99</v>
      </c>
      <c r="U31" s="5" t="s">
        <v>44</v>
      </c>
      <c r="V31" s="5" t="s">
        <v>2989</v>
      </c>
      <c r="W31" s="6" t="s">
        <v>42</v>
      </c>
      <c r="X31" s="5" t="s">
        <v>2990</v>
      </c>
      <c r="Y31" s="6">
        <v>4874.0</v>
      </c>
    </row>
    <row r="32" ht="56.25" customHeight="1">
      <c r="A32" s="5" t="s">
        <v>2991</v>
      </c>
      <c r="B32" s="6" t="str">
        <f>IMAGE("https://storage.googleapis.com/acdb/wallpapers/RoomTexWallHoneycomb01.png")</f>
        <v/>
      </c>
      <c r="C32" s="5" t="s">
        <v>36</v>
      </c>
      <c r="D32" s="5" t="s">
        <v>34</v>
      </c>
      <c r="E32" s="5" t="s">
        <v>36</v>
      </c>
      <c r="F32" s="6">
        <v>1680.0</v>
      </c>
      <c r="G32" s="6">
        <v>420.0</v>
      </c>
      <c r="H32" s="5" t="s">
        <v>59</v>
      </c>
      <c r="I32" s="5"/>
      <c r="J32" s="5" t="s">
        <v>64</v>
      </c>
      <c r="K32" s="5" t="s">
        <v>2907</v>
      </c>
      <c r="L32" s="5" t="s">
        <v>2913</v>
      </c>
      <c r="M32" s="5" t="s">
        <v>2789</v>
      </c>
      <c r="N32" s="5" t="s">
        <v>44</v>
      </c>
      <c r="O32" s="5" t="s">
        <v>34</v>
      </c>
      <c r="P32" s="5" t="s">
        <v>2801</v>
      </c>
      <c r="Q32" s="5" t="s">
        <v>68</v>
      </c>
      <c r="R32" s="5" t="s">
        <v>68</v>
      </c>
      <c r="S32" s="5" t="s">
        <v>288</v>
      </c>
      <c r="T32" s="5" t="s">
        <v>141</v>
      </c>
      <c r="U32" s="5" t="s">
        <v>44</v>
      </c>
      <c r="V32" s="5" t="s">
        <v>2995</v>
      </c>
      <c r="W32" s="6" t="s">
        <v>42</v>
      </c>
      <c r="X32" s="5" t="s">
        <v>2996</v>
      </c>
      <c r="Y32" s="6">
        <v>4912.0</v>
      </c>
    </row>
    <row r="33" ht="56.25" customHeight="1">
      <c r="A33" s="5" t="s">
        <v>2997</v>
      </c>
      <c r="B33" s="6" t="str">
        <f>IMAGE("https://storage.googleapis.com/acdb/wallpapers/RoomTexWallFlowerPop00.png")</f>
        <v/>
      </c>
      <c r="C33" s="5" t="s">
        <v>36</v>
      </c>
      <c r="D33" s="5" t="s">
        <v>34</v>
      </c>
      <c r="E33" s="5" t="s">
        <v>36</v>
      </c>
      <c r="F33" s="6">
        <v>1570.0</v>
      </c>
      <c r="G33" s="6">
        <v>392.0</v>
      </c>
      <c r="H33" s="5" t="s">
        <v>59</v>
      </c>
      <c r="I33" s="5"/>
      <c r="J33" s="5" t="s">
        <v>64</v>
      </c>
      <c r="K33" s="5" t="s">
        <v>2787</v>
      </c>
      <c r="L33" s="5" t="s">
        <v>2788</v>
      </c>
      <c r="M33" s="5" t="s">
        <v>2789</v>
      </c>
      <c r="N33" s="5" t="s">
        <v>2791</v>
      </c>
      <c r="O33" s="5" t="s">
        <v>57</v>
      </c>
      <c r="P33" s="5" t="s">
        <v>2489</v>
      </c>
      <c r="Q33" s="5" t="s">
        <v>68</v>
      </c>
      <c r="R33" s="5" t="s">
        <v>57</v>
      </c>
      <c r="S33" s="5" t="s">
        <v>90</v>
      </c>
      <c r="T33" s="5" t="s">
        <v>62</v>
      </c>
      <c r="U33" s="5" t="s">
        <v>44</v>
      </c>
      <c r="V33" s="5" t="s">
        <v>3000</v>
      </c>
      <c r="W33" s="6" t="s">
        <v>42</v>
      </c>
      <c r="X33" s="5" t="s">
        <v>3002</v>
      </c>
      <c r="Y33" s="6">
        <v>4848.0</v>
      </c>
    </row>
    <row r="34" ht="56.25" customHeight="1">
      <c r="A34" s="5" t="s">
        <v>3003</v>
      </c>
      <c r="B34" s="6" t="str">
        <f>IMAGE("https://storage.googleapis.com/acdb/wallpapers/RoomTexWallPanelMold01.png")</f>
        <v/>
      </c>
      <c r="C34" s="5" t="s">
        <v>36</v>
      </c>
      <c r="D34" s="5" t="s">
        <v>34</v>
      </c>
      <c r="E34" s="5" t="s">
        <v>36</v>
      </c>
      <c r="F34" s="6">
        <v>1980.0</v>
      </c>
      <c r="G34" s="6">
        <v>495.0</v>
      </c>
      <c r="H34" s="5" t="s">
        <v>59</v>
      </c>
      <c r="I34" s="5"/>
      <c r="J34" s="5" t="s">
        <v>64</v>
      </c>
      <c r="K34" s="5" t="s">
        <v>2907</v>
      </c>
      <c r="L34" s="5" t="s">
        <v>2823</v>
      </c>
      <c r="M34" s="5" t="s">
        <v>2789</v>
      </c>
      <c r="N34" s="5" t="s">
        <v>44</v>
      </c>
      <c r="O34" s="5" t="s">
        <v>34</v>
      </c>
      <c r="P34" s="5" t="s">
        <v>2793</v>
      </c>
      <c r="Q34" s="5" t="s">
        <v>68</v>
      </c>
      <c r="R34" s="5" t="s">
        <v>39</v>
      </c>
      <c r="S34" s="5" t="s">
        <v>116</v>
      </c>
      <c r="T34" s="5" t="s">
        <v>62</v>
      </c>
      <c r="U34" s="5" t="s">
        <v>44</v>
      </c>
      <c r="V34" s="5" t="s">
        <v>3006</v>
      </c>
      <c r="W34" s="6" t="s">
        <v>42</v>
      </c>
      <c r="X34" s="5" t="s">
        <v>3007</v>
      </c>
      <c r="Y34" s="6">
        <v>4871.0</v>
      </c>
    </row>
    <row r="35" ht="56.25" customHeight="1">
      <c r="A35" s="5" t="s">
        <v>3009</v>
      </c>
      <c r="B35" s="6" t="str">
        <f>IMAGE("https://storage.googleapis.com/acdb/wallpapers/RoomTexWallPaintWood00.png")</f>
        <v/>
      </c>
      <c r="C35" s="5" t="s">
        <v>36</v>
      </c>
      <c r="D35" s="5" t="s">
        <v>34</v>
      </c>
      <c r="E35" s="5" t="s">
        <v>36</v>
      </c>
      <c r="F35" s="6">
        <v>1650.0</v>
      </c>
      <c r="G35" s="6">
        <v>412.0</v>
      </c>
      <c r="H35" s="5" t="s">
        <v>59</v>
      </c>
      <c r="I35" s="5"/>
      <c r="J35" s="5" t="s">
        <v>64</v>
      </c>
      <c r="K35" s="5" t="s">
        <v>2787</v>
      </c>
      <c r="L35" s="5" t="s">
        <v>2986</v>
      </c>
      <c r="M35" s="5" t="s">
        <v>2789</v>
      </c>
      <c r="N35" s="5" t="s">
        <v>44</v>
      </c>
      <c r="O35" s="5" t="s">
        <v>34</v>
      </c>
      <c r="P35" s="5" t="s">
        <v>2489</v>
      </c>
      <c r="Q35" s="5" t="s">
        <v>68</v>
      </c>
      <c r="R35" s="5" t="s">
        <v>83</v>
      </c>
      <c r="S35" s="5" t="s">
        <v>61</v>
      </c>
      <c r="T35" s="5" t="s">
        <v>90</v>
      </c>
      <c r="U35" s="5" t="s">
        <v>44</v>
      </c>
      <c r="V35" s="5" t="s">
        <v>3012</v>
      </c>
      <c r="W35" s="6" t="s">
        <v>42</v>
      </c>
      <c r="X35" s="5" t="s">
        <v>3013</v>
      </c>
      <c r="Y35" s="6">
        <v>4948.0</v>
      </c>
    </row>
    <row r="36" ht="56.25" customHeight="1">
      <c r="A36" s="5" t="s">
        <v>3015</v>
      </c>
      <c r="B36" s="6" t="str">
        <f>IMAGE("https://storage.googleapis.com/acdb/wallpapers/RoomTexWallToy00.png")</f>
        <v/>
      </c>
      <c r="C36" s="5" t="s">
        <v>36</v>
      </c>
      <c r="D36" s="5" t="s">
        <v>34</v>
      </c>
      <c r="E36" s="5" t="s">
        <v>36</v>
      </c>
      <c r="F36" s="6">
        <v>2540.0</v>
      </c>
      <c r="G36" s="6">
        <v>635.0</v>
      </c>
      <c r="H36" s="5" t="s">
        <v>59</v>
      </c>
      <c r="I36" s="5"/>
      <c r="J36" s="5" t="s">
        <v>64</v>
      </c>
      <c r="K36" s="5" t="s">
        <v>2907</v>
      </c>
      <c r="L36" s="5" t="s">
        <v>2823</v>
      </c>
      <c r="M36" s="5" t="s">
        <v>2789</v>
      </c>
      <c r="N36" s="5" t="s">
        <v>44</v>
      </c>
      <c r="O36" s="5" t="s">
        <v>34</v>
      </c>
      <c r="P36" s="5" t="s">
        <v>2793</v>
      </c>
      <c r="Q36" s="5" t="s">
        <v>83</v>
      </c>
      <c r="R36" s="5" t="s">
        <v>68</v>
      </c>
      <c r="S36" s="5" t="s">
        <v>99</v>
      </c>
      <c r="T36" s="5" t="s">
        <v>61</v>
      </c>
      <c r="U36" s="5" t="s">
        <v>44</v>
      </c>
      <c r="V36" s="5" t="s">
        <v>3017</v>
      </c>
      <c r="W36" s="6" t="s">
        <v>42</v>
      </c>
      <c r="X36" s="5" t="s">
        <v>3019</v>
      </c>
      <c r="Y36" s="6">
        <v>4888.0</v>
      </c>
    </row>
    <row r="37" ht="56.25" customHeight="1">
      <c r="A37" s="5" t="s">
        <v>3020</v>
      </c>
      <c r="B37" s="6" t="str">
        <f>IMAGE("https://storage.googleapis.com/acdb/wallpapers/RoomTexWallDollhouse01.png")</f>
        <v/>
      </c>
      <c r="C37" s="5" t="s">
        <v>36</v>
      </c>
      <c r="D37" s="5" t="s">
        <v>34</v>
      </c>
      <c r="E37" s="5" t="s">
        <v>36</v>
      </c>
      <c r="F37" s="6">
        <v>2150.0</v>
      </c>
      <c r="G37" s="6">
        <v>537.0</v>
      </c>
      <c r="H37" s="5" t="s">
        <v>59</v>
      </c>
      <c r="I37" s="5"/>
      <c r="J37" s="5" t="s">
        <v>64</v>
      </c>
      <c r="K37" s="5" t="s">
        <v>2787</v>
      </c>
      <c r="L37" s="5" t="s">
        <v>2986</v>
      </c>
      <c r="M37" s="5" t="s">
        <v>2789</v>
      </c>
      <c r="N37" s="5" t="s">
        <v>2888</v>
      </c>
      <c r="O37" s="5" t="s">
        <v>2889</v>
      </c>
      <c r="P37" s="5" t="s">
        <v>2793</v>
      </c>
      <c r="Q37" s="5" t="s">
        <v>68</v>
      </c>
      <c r="R37" s="5" t="s">
        <v>57</v>
      </c>
      <c r="S37" s="5" t="s">
        <v>61</v>
      </c>
      <c r="T37" s="5" t="s">
        <v>99</v>
      </c>
      <c r="U37" s="5" t="s">
        <v>44</v>
      </c>
      <c r="V37" s="5" t="s">
        <v>3025</v>
      </c>
      <c r="W37" s="6" t="s">
        <v>42</v>
      </c>
      <c r="X37" s="5" t="s">
        <v>3026</v>
      </c>
      <c r="Y37" s="6">
        <v>7277.0</v>
      </c>
    </row>
    <row r="38" ht="56.25" customHeight="1">
      <c r="A38" s="5" t="s">
        <v>3027</v>
      </c>
      <c r="B38" s="6" t="str">
        <f>IMAGE("https://storage.googleapis.com/acdb/wallpapers/RoomTexWallTin02.png")</f>
        <v/>
      </c>
      <c r="C38" s="5" t="s">
        <v>36</v>
      </c>
      <c r="D38" s="5" t="s">
        <v>34</v>
      </c>
      <c r="E38" s="5" t="s">
        <v>36</v>
      </c>
      <c r="F38" s="6">
        <v>620.0</v>
      </c>
      <c r="G38" s="6">
        <v>155.0</v>
      </c>
      <c r="H38" s="5" t="s">
        <v>59</v>
      </c>
      <c r="I38" s="5"/>
      <c r="J38" s="5" t="s">
        <v>64</v>
      </c>
      <c r="K38" s="5" t="s">
        <v>2822</v>
      </c>
      <c r="L38" s="5" t="s">
        <v>2788</v>
      </c>
      <c r="M38" s="5" t="s">
        <v>2789</v>
      </c>
      <c r="N38" s="5" t="s">
        <v>2824</v>
      </c>
      <c r="O38" s="5" t="s">
        <v>2825</v>
      </c>
      <c r="P38" s="5" t="s">
        <v>2801</v>
      </c>
      <c r="Q38" s="5" t="s">
        <v>68</v>
      </c>
      <c r="R38" s="5" t="s">
        <v>68</v>
      </c>
      <c r="S38" s="5" t="s">
        <v>416</v>
      </c>
      <c r="T38" s="5" t="s">
        <v>44</v>
      </c>
      <c r="U38" s="5" t="s">
        <v>44</v>
      </c>
      <c r="V38" s="5" t="s">
        <v>3030</v>
      </c>
      <c r="W38" s="6" t="s">
        <v>42</v>
      </c>
      <c r="X38" s="5" t="s">
        <v>3031</v>
      </c>
      <c r="Y38" s="6">
        <v>4925.0</v>
      </c>
    </row>
    <row r="39" ht="56.25" customHeight="1">
      <c r="A39" s="5" t="s">
        <v>3032</v>
      </c>
      <c r="B39" s="6" t="str">
        <f>IMAGE("https://storage.googleapis.com/acdb/wallpapers/RoomTexWallSimple03.png")</f>
        <v/>
      </c>
      <c r="C39" s="5" t="s">
        <v>36</v>
      </c>
      <c r="D39" s="5" t="s">
        <v>34</v>
      </c>
      <c r="E39" s="5" t="s">
        <v>36</v>
      </c>
      <c r="F39" s="6">
        <v>750.0</v>
      </c>
      <c r="G39" s="6">
        <v>187.0</v>
      </c>
      <c r="H39" s="5" t="s">
        <v>59</v>
      </c>
      <c r="I39" s="5"/>
      <c r="J39" s="5" t="s">
        <v>64</v>
      </c>
      <c r="K39" s="5" t="s">
        <v>2787</v>
      </c>
      <c r="L39" s="5" t="s">
        <v>2986</v>
      </c>
      <c r="M39" s="5" t="s">
        <v>2789</v>
      </c>
      <c r="N39" s="5" t="s">
        <v>2888</v>
      </c>
      <c r="O39" s="5" t="s">
        <v>57</v>
      </c>
      <c r="P39" s="5" t="s">
        <v>2489</v>
      </c>
      <c r="Q39" s="5" t="s">
        <v>68</v>
      </c>
      <c r="R39" s="5" t="s">
        <v>83</v>
      </c>
      <c r="S39" s="5" t="s">
        <v>99</v>
      </c>
      <c r="T39" s="5" t="s">
        <v>90</v>
      </c>
      <c r="U39" s="5" t="s">
        <v>44</v>
      </c>
      <c r="V39" s="5" t="s">
        <v>3035</v>
      </c>
      <c r="W39" s="6" t="s">
        <v>42</v>
      </c>
      <c r="X39" s="5" t="s">
        <v>3036</v>
      </c>
      <c r="Y39" s="6">
        <v>4869.0</v>
      </c>
    </row>
    <row r="40" ht="56.25" customHeight="1">
      <c r="A40" s="5" t="s">
        <v>3038</v>
      </c>
      <c r="B40" s="6" t="str">
        <f>IMAGE("https://storage.googleapis.com/acdb/wallpapers/RoomTexWallMetro00.png")</f>
        <v/>
      </c>
      <c r="C40" s="5" t="s">
        <v>36</v>
      </c>
      <c r="D40" s="5" t="s">
        <v>34</v>
      </c>
      <c r="E40" s="5" t="s">
        <v>36</v>
      </c>
      <c r="F40" s="6">
        <v>1340.0</v>
      </c>
      <c r="G40" s="6">
        <v>335.0</v>
      </c>
      <c r="H40" s="5" t="s">
        <v>59</v>
      </c>
      <c r="I40" s="5"/>
      <c r="J40" s="5" t="s">
        <v>64</v>
      </c>
      <c r="K40" s="5" t="s">
        <v>2907</v>
      </c>
      <c r="L40" s="5" t="s">
        <v>2823</v>
      </c>
      <c r="M40" s="5" t="s">
        <v>2789</v>
      </c>
      <c r="N40" s="5" t="s">
        <v>44</v>
      </c>
      <c r="O40" s="5" t="s">
        <v>34</v>
      </c>
      <c r="P40" s="5" t="s">
        <v>2801</v>
      </c>
      <c r="Q40" s="5" t="s">
        <v>68</v>
      </c>
      <c r="R40" s="5" t="s">
        <v>83</v>
      </c>
      <c r="S40" s="5" t="s">
        <v>141</v>
      </c>
      <c r="T40" s="5" t="s">
        <v>62</v>
      </c>
      <c r="U40" s="5" t="s">
        <v>44</v>
      </c>
      <c r="V40" s="5" t="s">
        <v>3040</v>
      </c>
      <c r="W40" s="6" t="s">
        <v>42</v>
      </c>
      <c r="X40" s="5" t="s">
        <v>3041</v>
      </c>
      <c r="Y40" s="6">
        <v>4940.0</v>
      </c>
    </row>
    <row r="41" ht="56.25" customHeight="1">
      <c r="A41" s="5" t="s">
        <v>3042</v>
      </c>
      <c r="B41" s="6" t="str">
        <f>IMAGE("https://storage.googleapis.com/acdb/wallpapers/RoomTexWallTile03.png")</f>
        <v/>
      </c>
      <c r="C41" s="5" t="s">
        <v>36</v>
      </c>
      <c r="D41" s="5" t="s">
        <v>34</v>
      </c>
      <c r="E41" s="5" t="s">
        <v>36</v>
      </c>
      <c r="F41" s="6">
        <v>1420.0</v>
      </c>
      <c r="G41" s="6">
        <v>355.0</v>
      </c>
      <c r="H41" s="5" t="s">
        <v>59</v>
      </c>
      <c r="I41" s="5"/>
      <c r="J41" s="5" t="s">
        <v>64</v>
      </c>
      <c r="K41" s="5" t="s">
        <v>2822</v>
      </c>
      <c r="L41" s="5" t="s">
        <v>2823</v>
      </c>
      <c r="M41" s="5" t="s">
        <v>2789</v>
      </c>
      <c r="N41" s="5" t="s">
        <v>2824</v>
      </c>
      <c r="O41" s="5" t="s">
        <v>2825</v>
      </c>
      <c r="P41" s="5" t="s">
        <v>2801</v>
      </c>
      <c r="Q41" s="5" t="s">
        <v>68</v>
      </c>
      <c r="R41" s="5" t="s">
        <v>68</v>
      </c>
      <c r="S41" s="5" t="s">
        <v>288</v>
      </c>
      <c r="T41" s="5" t="s">
        <v>141</v>
      </c>
      <c r="U41" s="5" t="s">
        <v>44</v>
      </c>
      <c r="V41" s="5" t="s">
        <v>2828</v>
      </c>
      <c r="W41" s="6" t="s">
        <v>42</v>
      </c>
      <c r="X41" s="5" t="s">
        <v>3044</v>
      </c>
      <c r="Y41" s="6">
        <v>7127.0</v>
      </c>
    </row>
    <row r="42" ht="56.25" customHeight="1">
      <c r="A42" s="5" t="s">
        <v>3045</v>
      </c>
      <c r="B42" s="6" t="str">
        <f>IMAGE("https://storage.googleapis.com/acdb/wallpapers/RoomTexWallTwoToneTile05.png")</f>
        <v/>
      </c>
      <c r="C42" s="5" t="s">
        <v>36</v>
      </c>
      <c r="D42" s="5" t="s">
        <v>34</v>
      </c>
      <c r="E42" s="5" t="s">
        <v>36</v>
      </c>
      <c r="F42" s="6">
        <v>1850.0</v>
      </c>
      <c r="G42" s="6">
        <v>462.0</v>
      </c>
      <c r="H42" s="5" t="s">
        <v>59</v>
      </c>
      <c r="I42" s="5"/>
      <c r="J42" s="5" t="s">
        <v>64</v>
      </c>
      <c r="K42" s="5" t="s">
        <v>2907</v>
      </c>
      <c r="L42" s="5" t="s">
        <v>2823</v>
      </c>
      <c r="M42" s="5" t="s">
        <v>2789</v>
      </c>
      <c r="N42" s="5" t="s">
        <v>44</v>
      </c>
      <c r="O42" s="5" t="s">
        <v>34</v>
      </c>
      <c r="P42" s="5" t="s">
        <v>2801</v>
      </c>
      <c r="Q42" s="5" t="s">
        <v>68</v>
      </c>
      <c r="R42" s="5" t="s">
        <v>68</v>
      </c>
      <c r="S42" s="5" t="s">
        <v>288</v>
      </c>
      <c r="T42" s="5" t="s">
        <v>141</v>
      </c>
      <c r="U42" s="5" t="s">
        <v>44</v>
      </c>
      <c r="V42" s="5" t="s">
        <v>2935</v>
      </c>
      <c r="W42" s="6" t="s">
        <v>42</v>
      </c>
      <c r="X42" s="5" t="s">
        <v>3051</v>
      </c>
      <c r="Y42" s="6">
        <v>6858.0</v>
      </c>
    </row>
    <row r="43" ht="56.25" customHeight="1">
      <c r="A43" s="5" t="s">
        <v>3052</v>
      </c>
      <c r="B43" s="6" t="str">
        <f>IMAGE("https://storage.googleapis.com/acdb/wallpapers/RoomTexWallCrown00.png")</f>
        <v/>
      </c>
      <c r="C43" s="5" t="s">
        <v>36</v>
      </c>
      <c r="D43" s="5" t="s">
        <v>34</v>
      </c>
      <c r="E43" s="5" t="s">
        <v>36</v>
      </c>
      <c r="F43" s="6">
        <v>2350.0</v>
      </c>
      <c r="G43" s="6">
        <v>587.0</v>
      </c>
      <c r="H43" s="5" t="s">
        <v>59</v>
      </c>
      <c r="I43" s="5"/>
      <c r="J43" s="5" t="s">
        <v>64</v>
      </c>
      <c r="K43" s="5" t="s">
        <v>44</v>
      </c>
      <c r="L43" s="5" t="s">
        <v>34</v>
      </c>
      <c r="M43" s="5" t="s">
        <v>34</v>
      </c>
      <c r="N43" s="5" t="s">
        <v>44</v>
      </c>
      <c r="O43" s="5" t="s">
        <v>34</v>
      </c>
      <c r="P43" s="5" t="s">
        <v>2876</v>
      </c>
      <c r="Q43" s="5" t="s">
        <v>68</v>
      </c>
      <c r="R43" s="5" t="s">
        <v>54</v>
      </c>
      <c r="S43" s="5" t="s">
        <v>116</v>
      </c>
      <c r="T43" s="5" t="s">
        <v>44</v>
      </c>
      <c r="U43" s="5" t="s">
        <v>44</v>
      </c>
      <c r="V43" s="5" t="s">
        <v>2947</v>
      </c>
      <c r="W43" s="6" t="s">
        <v>42</v>
      </c>
      <c r="X43" s="5" t="s">
        <v>3056</v>
      </c>
      <c r="Y43" s="6">
        <v>4814.0</v>
      </c>
    </row>
    <row r="44" ht="56.25" customHeight="1">
      <c r="A44" s="5" t="s">
        <v>3058</v>
      </c>
      <c r="B44" s="6" t="str">
        <f>IMAGE("https://storage.googleapis.com/acdb/wallpapers/RoomTexWallStucco03.png")</f>
        <v/>
      </c>
      <c r="C44" s="5" t="s">
        <v>36</v>
      </c>
      <c r="D44" s="5" t="s">
        <v>34</v>
      </c>
      <c r="E44" s="5" t="s">
        <v>36</v>
      </c>
      <c r="F44" s="6">
        <v>1600.0</v>
      </c>
      <c r="G44" s="6">
        <v>400.0</v>
      </c>
      <c r="H44" s="5" t="s">
        <v>59</v>
      </c>
      <c r="I44" s="5"/>
      <c r="J44" s="5" t="s">
        <v>64</v>
      </c>
      <c r="K44" s="5" t="s">
        <v>2787</v>
      </c>
      <c r="L44" s="5" t="s">
        <v>2939</v>
      </c>
      <c r="M44" s="5" t="s">
        <v>2789</v>
      </c>
      <c r="N44" s="5" t="s">
        <v>44</v>
      </c>
      <c r="O44" s="5" t="s">
        <v>34</v>
      </c>
      <c r="P44" s="5" t="s">
        <v>2801</v>
      </c>
      <c r="Q44" s="5" t="s">
        <v>68</v>
      </c>
      <c r="R44" s="5" t="s">
        <v>68</v>
      </c>
      <c r="S44" s="5" t="s">
        <v>61</v>
      </c>
      <c r="T44" s="5" t="s">
        <v>90</v>
      </c>
      <c r="U44" s="5" t="s">
        <v>44</v>
      </c>
      <c r="V44" s="5" t="s">
        <v>3062</v>
      </c>
      <c r="W44" s="6" t="s">
        <v>42</v>
      </c>
      <c r="X44" s="5" t="s">
        <v>3063</v>
      </c>
      <c r="Y44" s="6">
        <v>4811.0</v>
      </c>
    </row>
    <row r="45" ht="56.25" customHeight="1">
      <c r="A45" s="5" t="s">
        <v>3064</v>
      </c>
      <c r="B45" s="6" t="str">
        <f>IMAGE("https://storage.googleapis.com/acdb/wallpapers/RoomTexWallRose03.png")</f>
        <v/>
      </c>
      <c r="C45" s="5" t="s">
        <v>36</v>
      </c>
      <c r="D45" s="5" t="s">
        <v>34</v>
      </c>
      <c r="E45" s="5" t="s">
        <v>36</v>
      </c>
      <c r="F45" s="6">
        <v>1720.0</v>
      </c>
      <c r="G45" s="6">
        <v>430.0</v>
      </c>
      <c r="H45" s="5" t="s">
        <v>59</v>
      </c>
      <c r="I45" s="5"/>
      <c r="J45" s="5" t="s">
        <v>64</v>
      </c>
      <c r="K45" s="5" t="s">
        <v>1411</v>
      </c>
      <c r="L45" s="5" t="s">
        <v>3066</v>
      </c>
      <c r="M45" s="5" t="s">
        <v>2789</v>
      </c>
      <c r="N45" s="5" t="s">
        <v>44</v>
      </c>
      <c r="O45" s="5" t="s">
        <v>34</v>
      </c>
      <c r="P45" s="5" t="s">
        <v>2489</v>
      </c>
      <c r="Q45" s="5" t="s">
        <v>68</v>
      </c>
      <c r="R45" s="5" t="s">
        <v>83</v>
      </c>
      <c r="S45" s="5" t="s">
        <v>61</v>
      </c>
      <c r="T45" s="5" t="s">
        <v>90</v>
      </c>
      <c r="U45" s="5" t="s">
        <v>44</v>
      </c>
      <c r="V45" s="5" t="s">
        <v>3068</v>
      </c>
      <c r="W45" s="6" t="s">
        <v>42</v>
      </c>
      <c r="X45" s="5" t="s">
        <v>3070</v>
      </c>
      <c r="Y45" s="6">
        <v>6869.0</v>
      </c>
    </row>
    <row r="46" ht="56.25" customHeight="1">
      <c r="A46" s="5" t="s">
        <v>3071</v>
      </c>
      <c r="B46" s="6" t="str">
        <f>IMAGE("https://storage.googleapis.com/acdb/wallpapers/RoomTexWallStripe03.png")</f>
        <v/>
      </c>
      <c r="C46" s="5" t="s">
        <v>36</v>
      </c>
      <c r="D46" s="5" t="s">
        <v>34</v>
      </c>
      <c r="E46" s="5" t="s">
        <v>36</v>
      </c>
      <c r="F46" s="6">
        <v>1520.0</v>
      </c>
      <c r="G46" s="6">
        <v>380.0</v>
      </c>
      <c r="H46" s="5" t="s">
        <v>59</v>
      </c>
      <c r="I46" s="5"/>
      <c r="J46" s="5" t="s">
        <v>64</v>
      </c>
      <c r="K46" s="5" t="s">
        <v>2787</v>
      </c>
      <c r="L46" s="5" t="s">
        <v>2986</v>
      </c>
      <c r="M46" s="5" t="s">
        <v>2789</v>
      </c>
      <c r="N46" s="5" t="s">
        <v>2791</v>
      </c>
      <c r="O46" s="5" t="s">
        <v>57</v>
      </c>
      <c r="P46" s="5" t="s">
        <v>2793</v>
      </c>
      <c r="Q46" s="5" t="s">
        <v>68</v>
      </c>
      <c r="R46" s="5" t="s">
        <v>57</v>
      </c>
      <c r="S46" s="5" t="s">
        <v>61</v>
      </c>
      <c r="T46" s="5" t="s">
        <v>99</v>
      </c>
      <c r="U46" s="5" t="s">
        <v>44</v>
      </c>
      <c r="V46" s="5" t="s">
        <v>3073</v>
      </c>
      <c r="W46" s="6" t="s">
        <v>42</v>
      </c>
      <c r="X46" s="5" t="s">
        <v>3074</v>
      </c>
      <c r="Y46" s="6">
        <v>4945.0</v>
      </c>
    </row>
    <row r="47" ht="56.25" customHeight="1">
      <c r="A47" s="5" t="s">
        <v>3075</v>
      </c>
      <c r="B47" s="6" t="str">
        <f>IMAGE("https://storage.googleapis.com/acdb/wallpapers/RoomTexWallWoodTile02.png")</f>
        <v/>
      </c>
      <c r="C47" s="5" t="s">
        <v>36</v>
      </c>
      <c r="D47" s="5" t="s">
        <v>34</v>
      </c>
      <c r="E47" s="5" t="s">
        <v>36</v>
      </c>
      <c r="F47" s="6">
        <v>1240.0</v>
      </c>
      <c r="G47" s="6">
        <v>310.0</v>
      </c>
      <c r="H47" s="5" t="s">
        <v>59</v>
      </c>
      <c r="I47" s="5"/>
      <c r="J47" s="5" t="s">
        <v>64</v>
      </c>
      <c r="K47" s="5" t="s">
        <v>2822</v>
      </c>
      <c r="L47" s="5" t="s">
        <v>2887</v>
      </c>
      <c r="M47" s="5" t="s">
        <v>2789</v>
      </c>
      <c r="N47" s="5" t="s">
        <v>2824</v>
      </c>
      <c r="O47" s="5" t="s">
        <v>2887</v>
      </c>
      <c r="P47" s="5" t="s">
        <v>2801</v>
      </c>
      <c r="Q47" s="5" t="s">
        <v>38</v>
      </c>
      <c r="R47" s="5" t="s">
        <v>114</v>
      </c>
      <c r="S47" s="5" t="s">
        <v>141</v>
      </c>
      <c r="T47" s="5" t="s">
        <v>116</v>
      </c>
      <c r="U47" s="5" t="s">
        <v>44</v>
      </c>
      <c r="V47" s="5" t="s">
        <v>2917</v>
      </c>
      <c r="W47" s="6" t="s">
        <v>42</v>
      </c>
      <c r="X47" s="5" t="s">
        <v>3078</v>
      </c>
      <c r="Y47" s="6">
        <v>6876.0</v>
      </c>
    </row>
    <row r="48" ht="56.25" customHeight="1">
      <c r="A48" s="5" t="s">
        <v>3079</v>
      </c>
      <c r="B48" s="6" t="str">
        <f>IMAGE("https://storage.googleapis.com/acdb/wallpapers/RoomTexWallWoodTile01.png")</f>
        <v/>
      </c>
      <c r="C48" s="5" t="s">
        <v>36</v>
      </c>
      <c r="D48" s="5" t="s">
        <v>34</v>
      </c>
      <c r="E48" s="5" t="s">
        <v>36</v>
      </c>
      <c r="F48" s="6">
        <v>1240.0</v>
      </c>
      <c r="G48" s="6">
        <v>310.0</v>
      </c>
      <c r="H48" s="5" t="s">
        <v>59</v>
      </c>
      <c r="I48" s="5"/>
      <c r="J48" s="5" t="s">
        <v>64</v>
      </c>
      <c r="K48" s="5" t="s">
        <v>2822</v>
      </c>
      <c r="L48" s="5" t="s">
        <v>2939</v>
      </c>
      <c r="M48" s="5" t="s">
        <v>2789</v>
      </c>
      <c r="N48" s="5" t="s">
        <v>2824</v>
      </c>
      <c r="O48" s="5" t="s">
        <v>3081</v>
      </c>
      <c r="P48" s="5" t="s">
        <v>2801</v>
      </c>
      <c r="Q48" s="5" t="s">
        <v>39</v>
      </c>
      <c r="R48" s="5" t="s">
        <v>39</v>
      </c>
      <c r="S48" s="5" t="s">
        <v>141</v>
      </c>
      <c r="T48" s="5" t="s">
        <v>116</v>
      </c>
      <c r="U48" s="5" t="s">
        <v>44</v>
      </c>
      <c r="V48" s="5" t="s">
        <v>2917</v>
      </c>
      <c r="W48" s="6" t="s">
        <v>42</v>
      </c>
      <c r="X48" s="5" t="s">
        <v>3083</v>
      </c>
      <c r="Y48" s="6">
        <v>4827.0</v>
      </c>
    </row>
    <row r="49" ht="56.25" customHeight="1">
      <c r="A49" s="5" t="s">
        <v>3084</v>
      </c>
      <c r="B49" s="6" t="str">
        <f>IMAGE("https://storage.googleapis.com/acdb/wallpapers/RoomTexWallDiner03.png")</f>
        <v/>
      </c>
      <c r="C49" s="5" t="s">
        <v>36</v>
      </c>
      <c r="D49" s="5" t="s">
        <v>34</v>
      </c>
      <c r="E49" s="5" t="s">
        <v>36</v>
      </c>
      <c r="F49" s="6">
        <v>2420.0</v>
      </c>
      <c r="G49" s="6">
        <v>605.0</v>
      </c>
      <c r="H49" s="5" t="s">
        <v>59</v>
      </c>
      <c r="I49" s="5"/>
      <c r="J49" s="5" t="s">
        <v>64</v>
      </c>
      <c r="K49" s="5" t="s">
        <v>2822</v>
      </c>
      <c r="L49" s="5" t="s">
        <v>2823</v>
      </c>
      <c r="M49" s="5" t="s">
        <v>2789</v>
      </c>
      <c r="N49" s="5" t="s">
        <v>2824</v>
      </c>
      <c r="O49" s="5" t="s">
        <v>2825</v>
      </c>
      <c r="P49" s="5" t="s">
        <v>2801</v>
      </c>
      <c r="Q49" s="5" t="s">
        <v>39</v>
      </c>
      <c r="R49" s="5" t="s">
        <v>58</v>
      </c>
      <c r="S49" s="5" t="s">
        <v>61</v>
      </c>
      <c r="T49" s="5" t="s">
        <v>62</v>
      </c>
      <c r="U49" s="5" t="s">
        <v>44</v>
      </c>
      <c r="V49" s="5" t="s">
        <v>2977</v>
      </c>
      <c r="W49" s="6" t="s">
        <v>42</v>
      </c>
      <c r="X49" s="5" t="s">
        <v>3087</v>
      </c>
      <c r="Y49" s="6">
        <v>7244.0</v>
      </c>
    </row>
    <row r="50" ht="56.25" customHeight="1">
      <c r="A50" s="5" t="s">
        <v>3088</v>
      </c>
      <c r="B50" s="6" t="str">
        <f>IMAGE("https://storage.googleapis.com/acdb/wallpapers/RoomTexWallHall00.png")</f>
        <v/>
      </c>
      <c r="C50" s="5" t="s">
        <v>36</v>
      </c>
      <c r="D50" s="5" t="s">
        <v>34</v>
      </c>
      <c r="E50" s="5" t="s">
        <v>36</v>
      </c>
      <c r="F50" s="6">
        <v>2000.0</v>
      </c>
      <c r="G50" s="6">
        <v>500.0</v>
      </c>
      <c r="H50" s="5" t="s">
        <v>59</v>
      </c>
      <c r="I50" s="5"/>
      <c r="J50" s="5" t="s">
        <v>64</v>
      </c>
      <c r="K50" s="5" t="s">
        <v>44</v>
      </c>
      <c r="L50" s="5" t="s">
        <v>34</v>
      </c>
      <c r="M50" s="5" t="s">
        <v>34</v>
      </c>
      <c r="N50" s="5" t="s">
        <v>44</v>
      </c>
      <c r="O50" s="5" t="s">
        <v>34</v>
      </c>
      <c r="P50" s="5" t="s">
        <v>2489</v>
      </c>
      <c r="Q50" s="5" t="s">
        <v>39</v>
      </c>
      <c r="R50" s="5" t="s">
        <v>39</v>
      </c>
      <c r="S50" s="5" t="s">
        <v>141</v>
      </c>
      <c r="T50" s="5" t="s">
        <v>43</v>
      </c>
      <c r="U50" s="5" t="s">
        <v>44</v>
      </c>
      <c r="V50" s="5" t="s">
        <v>2923</v>
      </c>
      <c r="W50" s="6" t="s">
        <v>42</v>
      </c>
      <c r="X50" s="5" t="s">
        <v>3090</v>
      </c>
      <c r="Y50" s="6">
        <v>4806.0</v>
      </c>
    </row>
    <row r="51" ht="56.25" customHeight="1">
      <c r="A51" s="5" t="s">
        <v>3092</v>
      </c>
      <c r="B51" s="6" t="str">
        <f>IMAGE("https://storage.googleapis.com/acdb/wallpapers/RoomTexWallHerringbone00.png")</f>
        <v/>
      </c>
      <c r="C51" s="5" t="s">
        <v>36</v>
      </c>
      <c r="D51" s="5" t="s">
        <v>34</v>
      </c>
      <c r="E51" s="5" t="s">
        <v>35</v>
      </c>
      <c r="F51" s="6" t="s">
        <v>37</v>
      </c>
      <c r="G51" s="6">
        <v>1800.0</v>
      </c>
      <c r="H51" s="5" t="s">
        <v>41</v>
      </c>
      <c r="I51" s="5"/>
      <c r="J51" s="5" t="s">
        <v>48</v>
      </c>
      <c r="K51" s="5" t="s">
        <v>2822</v>
      </c>
      <c r="L51" s="5" t="s">
        <v>2887</v>
      </c>
      <c r="M51" s="5" t="s">
        <v>2789</v>
      </c>
      <c r="N51" s="5" t="s">
        <v>2824</v>
      </c>
      <c r="O51" s="5" t="s">
        <v>3095</v>
      </c>
      <c r="P51" s="5" t="s">
        <v>2489</v>
      </c>
      <c r="Q51" s="5" t="s">
        <v>39</v>
      </c>
      <c r="R51" s="5" t="s">
        <v>39</v>
      </c>
      <c r="S51" s="5" t="s">
        <v>90</v>
      </c>
      <c r="T51" s="5" t="s">
        <v>62</v>
      </c>
      <c r="U51" s="5" t="s">
        <v>44</v>
      </c>
      <c r="V51" s="5" t="s">
        <v>3096</v>
      </c>
      <c r="W51" s="6" t="s">
        <v>42</v>
      </c>
      <c r="X51" s="5" t="s">
        <v>3097</v>
      </c>
      <c r="Y51" s="6">
        <v>4804.0</v>
      </c>
    </row>
    <row r="52" ht="56.25" customHeight="1">
      <c r="A52" s="5" t="s">
        <v>3098</v>
      </c>
      <c r="B52" s="6" t="str">
        <f>IMAGE("https://storage.googleapis.com/acdb/wallpapers/RoomTexWallTin03.png")</f>
        <v/>
      </c>
      <c r="C52" s="5" t="s">
        <v>36</v>
      </c>
      <c r="D52" s="5" t="s">
        <v>34</v>
      </c>
      <c r="E52" s="5" t="s">
        <v>36</v>
      </c>
      <c r="F52" s="6">
        <v>620.0</v>
      </c>
      <c r="G52" s="6">
        <v>155.0</v>
      </c>
      <c r="H52" s="5" t="s">
        <v>59</v>
      </c>
      <c r="I52" s="5"/>
      <c r="J52" s="5" t="s">
        <v>64</v>
      </c>
      <c r="K52" s="5" t="s">
        <v>2822</v>
      </c>
      <c r="L52" s="5" t="s">
        <v>2788</v>
      </c>
      <c r="M52" s="5" t="s">
        <v>2789</v>
      </c>
      <c r="N52" s="5" t="s">
        <v>2824</v>
      </c>
      <c r="O52" s="5" t="s">
        <v>2825</v>
      </c>
      <c r="P52" s="5" t="s">
        <v>2801</v>
      </c>
      <c r="Q52" s="5" t="s">
        <v>39</v>
      </c>
      <c r="R52" s="5" t="s">
        <v>39</v>
      </c>
      <c r="S52" s="5" t="s">
        <v>416</v>
      </c>
      <c r="T52" s="5" t="s">
        <v>44</v>
      </c>
      <c r="U52" s="5" t="s">
        <v>44</v>
      </c>
      <c r="V52" s="5" t="s">
        <v>3030</v>
      </c>
      <c r="W52" s="6" t="s">
        <v>42</v>
      </c>
      <c r="X52" s="5" t="s">
        <v>3101</v>
      </c>
      <c r="Y52" s="6">
        <v>4926.0</v>
      </c>
    </row>
    <row r="53" ht="56.25" customHeight="1">
      <c r="A53" s="5" t="s">
        <v>3104</v>
      </c>
      <c r="B53" s="6" t="str">
        <f>IMAGE("https://storage.googleapis.com/acdb/wallpapers/RoomTexWallBrick03.png")</f>
        <v/>
      </c>
      <c r="C53" s="5" t="s">
        <v>36</v>
      </c>
      <c r="D53" s="5" t="s">
        <v>34</v>
      </c>
      <c r="E53" s="5" t="s">
        <v>36</v>
      </c>
      <c r="F53" s="6">
        <v>1000.0</v>
      </c>
      <c r="G53" s="6">
        <v>250.0</v>
      </c>
      <c r="H53" s="5" t="s">
        <v>59</v>
      </c>
      <c r="I53" s="5"/>
      <c r="J53" s="5" t="s">
        <v>64</v>
      </c>
      <c r="K53" s="5" t="s">
        <v>2787</v>
      </c>
      <c r="L53" s="5" t="s">
        <v>2887</v>
      </c>
      <c r="M53" s="5" t="s">
        <v>2789</v>
      </c>
      <c r="N53" s="5" t="s">
        <v>44</v>
      </c>
      <c r="O53" s="5" t="s">
        <v>34</v>
      </c>
      <c r="P53" s="5" t="s">
        <v>2489</v>
      </c>
      <c r="Q53" s="5" t="s">
        <v>39</v>
      </c>
      <c r="R53" s="5" t="s">
        <v>39</v>
      </c>
      <c r="S53" s="5" t="s">
        <v>141</v>
      </c>
      <c r="T53" s="5" t="s">
        <v>62</v>
      </c>
      <c r="U53" s="5" t="s">
        <v>44</v>
      </c>
      <c r="V53" s="5" t="s">
        <v>2941</v>
      </c>
      <c r="W53" s="6" t="s">
        <v>42</v>
      </c>
      <c r="X53" s="5" t="s">
        <v>3108</v>
      </c>
      <c r="Y53" s="6">
        <v>6850.0</v>
      </c>
    </row>
    <row r="54" ht="56.25" customHeight="1">
      <c r="A54" s="5" t="s">
        <v>3109</v>
      </c>
      <c r="B54" s="6" t="str">
        <f>IMAGE("https://storage.googleapis.com/acdb/wallpapers/RoomTexWallCrown03.png")</f>
        <v/>
      </c>
      <c r="C54" s="5" t="s">
        <v>36</v>
      </c>
      <c r="D54" s="5" t="s">
        <v>34</v>
      </c>
      <c r="E54" s="5" t="s">
        <v>36</v>
      </c>
      <c r="F54" s="6">
        <v>2350.0</v>
      </c>
      <c r="G54" s="6">
        <v>587.0</v>
      </c>
      <c r="H54" s="5" t="s">
        <v>59</v>
      </c>
      <c r="I54" s="5"/>
      <c r="J54" s="5" t="s">
        <v>64</v>
      </c>
      <c r="K54" s="5" t="s">
        <v>44</v>
      </c>
      <c r="L54" s="5" t="s">
        <v>34</v>
      </c>
      <c r="M54" s="5" t="s">
        <v>34</v>
      </c>
      <c r="N54" s="5" t="s">
        <v>44</v>
      </c>
      <c r="O54" s="5" t="s">
        <v>34</v>
      </c>
      <c r="P54" s="5" t="s">
        <v>2876</v>
      </c>
      <c r="Q54" s="5" t="s">
        <v>39</v>
      </c>
      <c r="R54" s="5" t="s">
        <v>39</v>
      </c>
      <c r="S54" s="5" t="s">
        <v>116</v>
      </c>
      <c r="T54" s="5" t="s">
        <v>44</v>
      </c>
      <c r="U54" s="5" t="s">
        <v>44</v>
      </c>
      <c r="V54" s="5" t="s">
        <v>2947</v>
      </c>
      <c r="W54" s="6" t="s">
        <v>42</v>
      </c>
      <c r="X54" s="5" t="s">
        <v>3115</v>
      </c>
      <c r="Y54" s="6">
        <v>6851.0</v>
      </c>
    </row>
    <row r="55" ht="56.25" customHeight="1">
      <c r="A55" s="5" t="s">
        <v>3116</v>
      </c>
      <c r="B55" s="6" t="str">
        <f>IMAGE("https://storage.googleapis.com/acdb/wallpapers/RoomTexWallEaster00.png")</f>
        <v/>
      </c>
      <c r="C55" s="5" t="s">
        <v>36</v>
      </c>
      <c r="D55" s="5" t="s">
        <v>34</v>
      </c>
      <c r="E55" s="5" t="s">
        <v>35</v>
      </c>
      <c r="F55" s="6" t="s">
        <v>37</v>
      </c>
      <c r="G55" s="6">
        <v>4800.0</v>
      </c>
      <c r="H55" s="5" t="s">
        <v>41</v>
      </c>
      <c r="I55" s="5" t="s">
        <v>461</v>
      </c>
      <c r="J55" s="5" t="s">
        <v>48</v>
      </c>
      <c r="K55" s="5"/>
      <c r="L55" s="5"/>
      <c r="M55" s="5"/>
      <c r="N55" s="5"/>
      <c r="O55" s="5"/>
      <c r="P55" s="5" t="s">
        <v>2489</v>
      </c>
      <c r="Q55" s="5" t="s">
        <v>114</v>
      </c>
      <c r="R55" s="5" t="s">
        <v>58</v>
      </c>
      <c r="S55" s="5" t="s">
        <v>61</v>
      </c>
      <c r="T55" s="5" t="s">
        <v>99</v>
      </c>
      <c r="U55" s="5" t="s">
        <v>466</v>
      </c>
      <c r="V55" s="5" t="s">
        <v>2795</v>
      </c>
      <c r="W55" s="6" t="s">
        <v>98</v>
      </c>
      <c r="X55" s="5" t="s">
        <v>3121</v>
      </c>
      <c r="Y55" s="6">
        <v>5231.0</v>
      </c>
    </row>
    <row r="56" ht="56.25" customHeight="1">
      <c r="A56" s="5" t="s">
        <v>3122</v>
      </c>
      <c r="B56" s="6" t="str">
        <f>IMAGE("https://storage.googleapis.com/acdb/wallpapers/RoomTexWallInsect00.png")</f>
        <v/>
      </c>
      <c r="C56" s="5" t="s">
        <v>36</v>
      </c>
      <c r="D56" s="5" t="s">
        <v>34</v>
      </c>
      <c r="E56" s="5" t="s">
        <v>36</v>
      </c>
      <c r="F56" s="6" t="s">
        <v>37</v>
      </c>
      <c r="G56" s="6">
        <v>840.0</v>
      </c>
      <c r="H56" s="5" t="s">
        <v>393</v>
      </c>
      <c r="I56" s="5"/>
      <c r="J56" s="5" t="s">
        <v>48</v>
      </c>
      <c r="K56" s="5" t="s">
        <v>2787</v>
      </c>
      <c r="L56" s="5" t="s">
        <v>2986</v>
      </c>
      <c r="M56" s="5" t="s">
        <v>2789</v>
      </c>
      <c r="N56" s="5" t="s">
        <v>2791</v>
      </c>
      <c r="O56" s="5" t="s">
        <v>57</v>
      </c>
      <c r="P56" s="5" t="s">
        <v>2489</v>
      </c>
      <c r="Q56" s="5" t="s">
        <v>57</v>
      </c>
      <c r="R56" s="5" t="s">
        <v>58</v>
      </c>
      <c r="S56" s="5" t="s">
        <v>61</v>
      </c>
      <c r="T56" s="5" t="s">
        <v>141</v>
      </c>
      <c r="U56" s="5" t="s">
        <v>44</v>
      </c>
      <c r="V56" s="5" t="s">
        <v>2856</v>
      </c>
      <c r="W56" s="6" t="s">
        <v>42</v>
      </c>
      <c r="X56" s="5" t="s">
        <v>3126</v>
      </c>
      <c r="Y56" s="6">
        <v>4880.0</v>
      </c>
    </row>
    <row r="57" ht="56.25" customHeight="1">
      <c r="A57" s="5" t="s">
        <v>3128</v>
      </c>
      <c r="B57" s="6" t="str">
        <f>IMAGE("https://storage.googleapis.com/acdb/wallpapers/RoomTexWallLog00.png")</f>
        <v/>
      </c>
      <c r="C57" s="5" t="s">
        <v>36</v>
      </c>
      <c r="D57" s="5" t="s">
        <v>34</v>
      </c>
      <c r="E57" s="5" t="s">
        <v>35</v>
      </c>
      <c r="F57" s="6" t="s">
        <v>37</v>
      </c>
      <c r="G57" s="6">
        <v>1800.0</v>
      </c>
      <c r="H57" s="5" t="s">
        <v>41</v>
      </c>
      <c r="I57" s="5"/>
      <c r="J57" s="5" t="s">
        <v>48</v>
      </c>
      <c r="K57" s="5" t="s">
        <v>2787</v>
      </c>
      <c r="L57" s="5" t="s">
        <v>2887</v>
      </c>
      <c r="M57" s="5" t="s">
        <v>2789</v>
      </c>
      <c r="N57" s="5" t="s">
        <v>2888</v>
      </c>
      <c r="O57" s="5" t="s">
        <v>2889</v>
      </c>
      <c r="P57" s="5" t="s">
        <v>2489</v>
      </c>
      <c r="Q57" s="5" t="s">
        <v>38</v>
      </c>
      <c r="R57" s="5" t="s">
        <v>38</v>
      </c>
      <c r="S57" s="5" t="s">
        <v>90</v>
      </c>
      <c r="T57" s="5" t="s">
        <v>141</v>
      </c>
      <c r="U57" s="5" t="s">
        <v>44</v>
      </c>
      <c r="V57" s="5" t="s">
        <v>2870</v>
      </c>
      <c r="W57" s="6" t="s">
        <v>42</v>
      </c>
      <c r="X57" s="5" t="s">
        <v>3133</v>
      </c>
      <c r="Y57" s="6">
        <v>4840.0</v>
      </c>
    </row>
    <row r="58" ht="56.25" customHeight="1">
      <c r="A58" s="5" t="s">
        <v>3134</v>
      </c>
      <c r="B58" s="6" t="str">
        <f>IMAGE("https://storage.googleapis.com/acdb/wallpapers/RoomSpWallCafe00.png")</f>
        <v/>
      </c>
      <c r="C58" s="5" t="s">
        <v>35</v>
      </c>
      <c r="D58" s="5" t="s">
        <v>34</v>
      </c>
      <c r="E58" s="5" t="s">
        <v>36</v>
      </c>
      <c r="F58" s="6">
        <v>3000.0</v>
      </c>
      <c r="G58" s="6">
        <v>750.0</v>
      </c>
      <c r="H58" s="5" t="s">
        <v>2800</v>
      </c>
      <c r="I58" s="5"/>
      <c r="J58" s="5" t="s">
        <v>48</v>
      </c>
      <c r="K58" s="5" t="s">
        <v>44</v>
      </c>
      <c r="L58" s="5" t="s">
        <v>34</v>
      </c>
      <c r="M58" s="5" t="s">
        <v>34</v>
      </c>
      <c r="N58" s="5" t="s">
        <v>44</v>
      </c>
      <c r="O58" s="5" t="s">
        <v>34</v>
      </c>
      <c r="P58" s="5" t="s">
        <v>2793</v>
      </c>
      <c r="Q58" s="5" t="s">
        <v>54</v>
      </c>
      <c r="R58" s="5" t="s">
        <v>57</v>
      </c>
      <c r="S58" s="5" t="s">
        <v>62</v>
      </c>
      <c r="T58" s="5" t="s">
        <v>116</v>
      </c>
      <c r="U58" s="5" t="s">
        <v>44</v>
      </c>
      <c r="V58" s="5" t="s">
        <v>2834</v>
      </c>
      <c r="W58" s="6" t="s">
        <v>42</v>
      </c>
      <c r="X58" s="5" t="s">
        <v>3138</v>
      </c>
      <c r="Y58" s="6">
        <v>5483.0</v>
      </c>
    </row>
    <row r="59" ht="56.25" customHeight="1">
      <c r="A59" s="5" t="s">
        <v>3139</v>
      </c>
      <c r="B59" s="6" t="str">
        <f>IMAGE("https://storage.googleapis.com/acdb/wallpapers/RoomTexWallCamouflage00.png")</f>
        <v/>
      </c>
      <c r="C59" s="5" t="s">
        <v>36</v>
      </c>
      <c r="D59" s="5" t="s">
        <v>34</v>
      </c>
      <c r="E59" s="5" t="s">
        <v>36</v>
      </c>
      <c r="F59" s="6">
        <v>1150.0</v>
      </c>
      <c r="G59" s="6">
        <v>287.0</v>
      </c>
      <c r="H59" s="5" t="s">
        <v>59</v>
      </c>
      <c r="I59" s="5"/>
      <c r="J59" s="5" t="s">
        <v>64</v>
      </c>
      <c r="K59" s="5" t="s">
        <v>2822</v>
      </c>
      <c r="L59" s="5" t="s">
        <v>2788</v>
      </c>
      <c r="M59" s="5" t="s">
        <v>2789</v>
      </c>
      <c r="N59" s="5" t="s">
        <v>2824</v>
      </c>
      <c r="O59" s="5" t="s">
        <v>2825</v>
      </c>
      <c r="P59" s="5" t="s">
        <v>811</v>
      </c>
      <c r="Q59" s="5" t="s">
        <v>54</v>
      </c>
      <c r="R59" s="5" t="s">
        <v>96</v>
      </c>
      <c r="S59" s="5" t="s">
        <v>465</v>
      </c>
      <c r="T59" s="5" t="s">
        <v>99</v>
      </c>
      <c r="U59" s="5" t="s">
        <v>44</v>
      </c>
      <c r="V59" s="5" t="s">
        <v>1499</v>
      </c>
      <c r="W59" s="6" t="s">
        <v>42</v>
      </c>
      <c r="X59" s="5" t="s">
        <v>3142</v>
      </c>
      <c r="Y59" s="6">
        <v>4883.0</v>
      </c>
    </row>
    <row r="60" ht="56.25" customHeight="1">
      <c r="A60" s="5" t="s">
        <v>3143</v>
      </c>
      <c r="B60" s="6" t="str">
        <f>IMAGE("https://storage.googleapis.com/acdb/wallpapers/RoomSpWallEmptyLot00.png")</f>
        <v/>
      </c>
      <c r="C60" s="5" t="s">
        <v>35</v>
      </c>
      <c r="D60" s="5" t="s">
        <v>34</v>
      </c>
      <c r="E60" s="5" t="s">
        <v>36</v>
      </c>
      <c r="F60" s="6">
        <v>3000.0</v>
      </c>
      <c r="G60" s="6">
        <v>750.0</v>
      </c>
      <c r="H60" s="5" t="s">
        <v>2800</v>
      </c>
      <c r="I60" s="5"/>
      <c r="J60" s="5" t="s">
        <v>48</v>
      </c>
      <c r="K60" s="5" t="s">
        <v>44</v>
      </c>
      <c r="L60" s="5" t="s">
        <v>34</v>
      </c>
      <c r="M60" s="5" t="s">
        <v>34</v>
      </c>
      <c r="N60" s="5" t="s">
        <v>44</v>
      </c>
      <c r="O60" s="5" t="s">
        <v>34</v>
      </c>
      <c r="P60" s="5" t="s">
        <v>2793</v>
      </c>
      <c r="Q60" s="5" t="s">
        <v>95</v>
      </c>
      <c r="R60" s="5" t="s">
        <v>95</v>
      </c>
      <c r="S60" s="5" t="s">
        <v>172</v>
      </c>
      <c r="T60" s="5" t="s">
        <v>416</v>
      </c>
      <c r="U60" s="5" t="s">
        <v>44</v>
      </c>
      <c r="V60" s="5" t="s">
        <v>2849</v>
      </c>
      <c r="W60" s="6" t="s">
        <v>42</v>
      </c>
      <c r="X60" s="5" t="s">
        <v>3147</v>
      </c>
      <c r="Y60" s="6">
        <v>5485.0</v>
      </c>
    </row>
    <row r="61" ht="56.25" customHeight="1">
      <c r="A61" s="5" t="s">
        <v>3148</v>
      </c>
      <c r="B61" s="6" t="str">
        <f>IMAGE("https://storage.googleapis.com/acdb/wallpapers/RoomTexWallCherry00.png")</f>
        <v/>
      </c>
      <c r="C61" s="5" t="s">
        <v>36</v>
      </c>
      <c r="D61" s="5" t="s">
        <v>2837</v>
      </c>
      <c r="E61" s="5" t="s">
        <v>35</v>
      </c>
      <c r="F61" s="6" t="s">
        <v>37</v>
      </c>
      <c r="G61" s="6">
        <v>4000.0</v>
      </c>
      <c r="H61" s="5" t="s">
        <v>41</v>
      </c>
      <c r="I61" s="5"/>
      <c r="J61" s="5" t="s">
        <v>48</v>
      </c>
      <c r="K61" s="5" t="s">
        <v>2787</v>
      </c>
      <c r="L61" s="5" t="s">
        <v>2788</v>
      </c>
      <c r="M61" s="5" t="s">
        <v>2789</v>
      </c>
      <c r="N61" s="5" t="s">
        <v>2791</v>
      </c>
      <c r="O61" s="5" t="s">
        <v>57</v>
      </c>
      <c r="P61" s="5" t="s">
        <v>2801</v>
      </c>
      <c r="Q61" s="5" t="s">
        <v>69</v>
      </c>
      <c r="R61" s="5" t="s">
        <v>52</v>
      </c>
      <c r="S61" s="5" t="s">
        <v>99</v>
      </c>
      <c r="T61" s="5" t="s">
        <v>61</v>
      </c>
      <c r="U61" s="5" t="s">
        <v>338</v>
      </c>
      <c r="V61" s="5" t="s">
        <v>2814</v>
      </c>
      <c r="W61" s="6" t="s">
        <v>42</v>
      </c>
      <c r="X61" s="5" t="s">
        <v>3153</v>
      </c>
      <c r="Y61" s="6">
        <v>4919.0</v>
      </c>
    </row>
    <row r="62" ht="56.25" customHeight="1">
      <c r="A62" s="5" t="s">
        <v>3154</v>
      </c>
      <c r="B62" s="6" t="str">
        <f>IMAGE("https://storage.googleapis.com/acdb/wallpapers/RoomSpWallSakura00.png")</f>
        <v/>
      </c>
      <c r="C62" s="5" t="s">
        <v>35</v>
      </c>
      <c r="D62" s="5" t="s">
        <v>34</v>
      </c>
      <c r="E62" s="5" t="s">
        <v>35</v>
      </c>
      <c r="F62" s="6" t="s">
        <v>37</v>
      </c>
      <c r="G62" s="6">
        <v>4600.0</v>
      </c>
      <c r="H62" s="5" t="s">
        <v>41</v>
      </c>
      <c r="I62" s="5" t="s">
        <v>513</v>
      </c>
      <c r="J62" s="5" t="s">
        <v>48</v>
      </c>
      <c r="K62" s="5" t="s">
        <v>44</v>
      </c>
      <c r="L62" s="5" t="s">
        <v>34</v>
      </c>
      <c r="M62" s="5" t="s">
        <v>34</v>
      </c>
      <c r="N62" s="5" t="s">
        <v>44</v>
      </c>
      <c r="O62" s="5" t="s">
        <v>34</v>
      </c>
      <c r="P62" s="5" t="s">
        <v>2489</v>
      </c>
      <c r="Q62" s="5" t="s">
        <v>39</v>
      </c>
      <c r="R62" s="5" t="s">
        <v>69</v>
      </c>
      <c r="S62" s="5" t="s">
        <v>172</v>
      </c>
      <c r="T62" s="5" t="s">
        <v>44</v>
      </c>
      <c r="U62" s="5" t="s">
        <v>514</v>
      </c>
      <c r="V62" s="5" t="s">
        <v>2842</v>
      </c>
      <c r="W62" s="6" t="s">
        <v>42</v>
      </c>
      <c r="X62" s="5" t="s">
        <v>3158</v>
      </c>
      <c r="Y62" s="6">
        <v>7205.0</v>
      </c>
    </row>
    <row r="63" ht="56.25" customHeight="1">
      <c r="A63" s="5" t="s">
        <v>3159</v>
      </c>
      <c r="B63" s="6" t="str">
        <f>IMAGE("https://storage.googleapis.com/acdb/wallpapers/RoomTexWallMud03.png")</f>
        <v/>
      </c>
      <c r="C63" s="5" t="s">
        <v>36</v>
      </c>
      <c r="D63" s="5" t="s">
        <v>34</v>
      </c>
      <c r="E63" s="5" t="s">
        <v>36</v>
      </c>
      <c r="F63" s="6">
        <v>1750.0</v>
      </c>
      <c r="G63" s="6">
        <v>437.0</v>
      </c>
      <c r="H63" s="5" t="s">
        <v>59</v>
      </c>
      <c r="I63" s="5"/>
      <c r="J63" s="5" t="s">
        <v>64</v>
      </c>
      <c r="K63" s="5" t="s">
        <v>3160</v>
      </c>
      <c r="L63" s="5" t="s">
        <v>2939</v>
      </c>
      <c r="M63" s="5" t="s">
        <v>715</v>
      </c>
      <c r="N63" s="5" t="s">
        <v>44</v>
      </c>
      <c r="O63" s="5" t="s">
        <v>34</v>
      </c>
      <c r="P63" s="5" t="s">
        <v>2489</v>
      </c>
      <c r="Q63" s="5" t="s">
        <v>54</v>
      </c>
      <c r="R63" s="5" t="s">
        <v>54</v>
      </c>
      <c r="S63" s="5" t="s">
        <v>266</v>
      </c>
      <c r="T63" s="5" t="s">
        <v>62</v>
      </c>
      <c r="U63" s="5" t="s">
        <v>44</v>
      </c>
      <c r="V63" s="5" t="s">
        <v>3162</v>
      </c>
      <c r="W63" s="6" t="s">
        <v>42</v>
      </c>
      <c r="X63" s="5" t="s">
        <v>3164</v>
      </c>
      <c r="Y63" s="6">
        <v>11176.0</v>
      </c>
    </row>
    <row r="64" ht="56.25" customHeight="1">
      <c r="A64" s="5" t="s">
        <v>3165</v>
      </c>
      <c r="B64" s="6" t="str">
        <f>IMAGE("https://storage.googleapis.com/acdb/wallpapers/RoomTexWallClassic00.png")</f>
        <v/>
      </c>
      <c r="C64" s="5" t="s">
        <v>36</v>
      </c>
      <c r="D64" s="5" t="s">
        <v>34</v>
      </c>
      <c r="E64" s="5" t="s">
        <v>36</v>
      </c>
      <c r="F64" s="6">
        <v>1960.0</v>
      </c>
      <c r="G64" s="6">
        <v>490.0</v>
      </c>
      <c r="H64" s="5" t="s">
        <v>59</v>
      </c>
      <c r="I64" s="5"/>
      <c r="J64" s="5" t="s">
        <v>64</v>
      </c>
      <c r="K64" s="5" t="s">
        <v>2787</v>
      </c>
      <c r="L64" s="5" t="s">
        <v>2986</v>
      </c>
      <c r="M64" s="5" t="s">
        <v>2789</v>
      </c>
      <c r="N64" s="5" t="s">
        <v>2888</v>
      </c>
      <c r="O64" s="5" t="s">
        <v>2889</v>
      </c>
      <c r="P64" s="5" t="s">
        <v>2489</v>
      </c>
      <c r="Q64" s="5" t="s">
        <v>114</v>
      </c>
      <c r="R64" s="5" t="s">
        <v>38</v>
      </c>
      <c r="S64" s="5" t="s">
        <v>116</v>
      </c>
      <c r="T64" s="5" t="s">
        <v>90</v>
      </c>
      <c r="U64" s="5" t="s">
        <v>44</v>
      </c>
      <c r="V64" s="5" t="s">
        <v>2795</v>
      </c>
      <c r="W64" s="6" t="s">
        <v>42</v>
      </c>
      <c r="X64" s="5" t="s">
        <v>3168</v>
      </c>
      <c r="Y64" s="6">
        <v>4828.0</v>
      </c>
    </row>
    <row r="65" ht="56.25" customHeight="1">
      <c r="A65" s="5" t="s">
        <v>3169</v>
      </c>
      <c r="B65" s="6" t="str">
        <f>IMAGE("https://storage.googleapis.com/acdb/wallpapers/RoomTexWallHall01.png")</f>
        <v/>
      </c>
      <c r="C65" s="5" t="s">
        <v>36</v>
      </c>
      <c r="D65" s="5" t="s">
        <v>34</v>
      </c>
      <c r="E65" s="5" t="s">
        <v>36</v>
      </c>
      <c r="F65" s="6">
        <v>2000.0</v>
      </c>
      <c r="G65" s="6">
        <v>500.0</v>
      </c>
      <c r="H65" s="5" t="s">
        <v>59</v>
      </c>
      <c r="I65" s="5"/>
      <c r="J65" s="5" t="s">
        <v>64</v>
      </c>
      <c r="K65" s="5" t="s">
        <v>44</v>
      </c>
      <c r="L65" s="5" t="s">
        <v>34</v>
      </c>
      <c r="M65" s="5" t="s">
        <v>34</v>
      </c>
      <c r="N65" s="5" t="s">
        <v>44</v>
      </c>
      <c r="O65" s="5" t="s">
        <v>34</v>
      </c>
      <c r="P65" s="5" t="s">
        <v>2489</v>
      </c>
      <c r="Q65" s="5" t="s">
        <v>39</v>
      </c>
      <c r="R65" s="5" t="s">
        <v>39</v>
      </c>
      <c r="S65" s="5" t="s">
        <v>141</v>
      </c>
      <c r="T65" s="5" t="s">
        <v>43</v>
      </c>
      <c r="U65" s="5" t="s">
        <v>44</v>
      </c>
      <c r="V65" s="5" t="s">
        <v>2923</v>
      </c>
      <c r="W65" s="6" t="s">
        <v>42</v>
      </c>
      <c r="X65" s="5" t="s">
        <v>3176</v>
      </c>
      <c r="Y65" s="6">
        <v>4807.0</v>
      </c>
    </row>
    <row r="66" ht="56.25" customHeight="1">
      <c r="A66" s="5" t="s">
        <v>3178</v>
      </c>
      <c r="B66" s="6" t="str">
        <f>IMAGE("https://storage.googleapis.com/acdb/wallpapers/RoomTexWallHerringbone01.png")</f>
        <v/>
      </c>
      <c r="C66" s="5" t="s">
        <v>36</v>
      </c>
      <c r="D66" s="5" t="s">
        <v>34</v>
      </c>
      <c r="E66" s="5" t="s">
        <v>35</v>
      </c>
      <c r="F66" s="6" t="s">
        <v>37</v>
      </c>
      <c r="G66" s="6">
        <v>1800.0</v>
      </c>
      <c r="H66" s="5" t="s">
        <v>41</v>
      </c>
      <c r="I66" s="5"/>
      <c r="J66" s="5" t="s">
        <v>48</v>
      </c>
      <c r="K66" s="5" t="s">
        <v>2822</v>
      </c>
      <c r="L66" s="5" t="s">
        <v>2939</v>
      </c>
      <c r="M66" s="5" t="s">
        <v>2789</v>
      </c>
      <c r="N66" s="5" t="s">
        <v>2824</v>
      </c>
      <c r="O66" s="5" t="s">
        <v>3081</v>
      </c>
      <c r="P66" s="5" t="s">
        <v>2801</v>
      </c>
      <c r="Q66" s="5" t="s">
        <v>39</v>
      </c>
      <c r="R66" s="5" t="s">
        <v>39</v>
      </c>
      <c r="S66" s="5" t="s">
        <v>90</v>
      </c>
      <c r="T66" s="5" t="s">
        <v>62</v>
      </c>
      <c r="U66" s="5" t="s">
        <v>44</v>
      </c>
      <c r="V66" s="5" t="s">
        <v>3096</v>
      </c>
      <c r="W66" s="6" t="s">
        <v>42</v>
      </c>
      <c r="X66" s="5" t="s">
        <v>3182</v>
      </c>
      <c r="Y66" s="6">
        <v>4805.0</v>
      </c>
    </row>
    <row r="67" ht="56.25" customHeight="1">
      <c r="A67" s="5" t="s">
        <v>3183</v>
      </c>
      <c r="B67" s="6" t="str">
        <f>IMAGE("https://storage.googleapis.com/acdb/wallpapers/RoomTexWallGeek00.png")</f>
        <v/>
      </c>
      <c r="C67" s="5" t="s">
        <v>36</v>
      </c>
      <c r="D67" s="5" t="s">
        <v>34</v>
      </c>
      <c r="E67" s="5" t="s">
        <v>36</v>
      </c>
      <c r="F67" s="6">
        <v>3000.0</v>
      </c>
      <c r="G67" s="6">
        <v>750.0</v>
      </c>
      <c r="H67" s="5" t="s">
        <v>2800</v>
      </c>
      <c r="I67" s="5"/>
      <c r="J67" s="5" t="s">
        <v>48</v>
      </c>
      <c r="K67" s="5" t="s">
        <v>44</v>
      </c>
      <c r="L67" s="5" t="s">
        <v>34</v>
      </c>
      <c r="M67" s="5" t="s">
        <v>34</v>
      </c>
      <c r="N67" s="5" t="s">
        <v>44</v>
      </c>
      <c r="O67" s="5" t="s">
        <v>34</v>
      </c>
      <c r="P67" s="5" t="s">
        <v>2793</v>
      </c>
      <c r="Q67" s="5" t="s">
        <v>96</v>
      </c>
      <c r="R67" s="5" t="s">
        <v>96</v>
      </c>
      <c r="S67" s="5" t="s">
        <v>141</v>
      </c>
      <c r="T67" s="5" t="s">
        <v>44</v>
      </c>
      <c r="U67" s="5" t="s">
        <v>44</v>
      </c>
      <c r="V67" s="5" t="s">
        <v>2952</v>
      </c>
      <c r="W67" s="6" t="s">
        <v>42</v>
      </c>
      <c r="X67" s="5" t="s">
        <v>3187</v>
      </c>
      <c r="Y67" s="6">
        <v>4821.0</v>
      </c>
    </row>
    <row r="68" ht="56.25" customHeight="1">
      <c r="A68" s="5" t="s">
        <v>3188</v>
      </c>
      <c r="B68" s="6" t="str">
        <f>IMAGE("https://storage.googleapis.com/acdb/wallpapers/RoomSpWallNightView00.png")</f>
        <v/>
      </c>
      <c r="C68" s="5" t="s">
        <v>35</v>
      </c>
      <c r="D68" s="5" t="s">
        <v>34</v>
      </c>
      <c r="E68" s="5" t="s">
        <v>36</v>
      </c>
      <c r="F68" s="6">
        <v>3000.0</v>
      </c>
      <c r="G68" s="6">
        <v>750.0</v>
      </c>
      <c r="H68" s="5" t="s">
        <v>2800</v>
      </c>
      <c r="I68" s="5"/>
      <c r="J68" s="5" t="s">
        <v>48</v>
      </c>
      <c r="K68" s="5" t="s">
        <v>44</v>
      </c>
      <c r="L68" s="5" t="s">
        <v>34</v>
      </c>
      <c r="M68" s="5" t="s">
        <v>34</v>
      </c>
      <c r="N68" s="5" t="s">
        <v>44</v>
      </c>
      <c r="O68" s="5" t="s">
        <v>34</v>
      </c>
      <c r="P68" s="5" t="s">
        <v>2489</v>
      </c>
      <c r="Q68" s="5" t="s">
        <v>54</v>
      </c>
      <c r="R68" s="5" t="s">
        <v>54</v>
      </c>
      <c r="S68" s="5" t="s">
        <v>62</v>
      </c>
      <c r="T68" s="5" t="s">
        <v>116</v>
      </c>
      <c r="U68" s="5" t="s">
        <v>44</v>
      </c>
      <c r="V68" s="5" t="s">
        <v>2834</v>
      </c>
      <c r="W68" s="6" t="s">
        <v>42</v>
      </c>
      <c r="X68" s="5" t="s">
        <v>3192</v>
      </c>
      <c r="Y68" s="6">
        <v>5400.0</v>
      </c>
    </row>
    <row r="69" ht="56.25" customHeight="1">
      <c r="A69" s="5" t="s">
        <v>3193</v>
      </c>
      <c r="B69" s="6" t="str">
        <f>IMAGE("https://storage.googleapis.com/acdb/wallpapers/RoomTexWallLibrary00.png")</f>
        <v/>
      </c>
      <c r="C69" s="5" t="s">
        <v>36</v>
      </c>
      <c r="D69" s="5" t="s">
        <v>34</v>
      </c>
      <c r="E69" s="5" t="s">
        <v>35</v>
      </c>
      <c r="F69" s="6" t="s">
        <v>37</v>
      </c>
      <c r="G69" s="6">
        <v>1450.0</v>
      </c>
      <c r="H69" s="5" t="s">
        <v>41</v>
      </c>
      <c r="I69" s="5"/>
      <c r="J69" s="5" t="s">
        <v>48</v>
      </c>
      <c r="K69" s="5" t="s">
        <v>44</v>
      </c>
      <c r="L69" s="5" t="s">
        <v>34</v>
      </c>
      <c r="M69" s="5" t="s">
        <v>34</v>
      </c>
      <c r="N69" s="5" t="s">
        <v>44</v>
      </c>
      <c r="O69" s="5" t="s">
        <v>34</v>
      </c>
      <c r="P69" s="5" t="s">
        <v>2793</v>
      </c>
      <c r="Q69" s="5" t="s">
        <v>54</v>
      </c>
      <c r="R69" s="5" t="s">
        <v>54</v>
      </c>
      <c r="S69" s="5" t="s">
        <v>202</v>
      </c>
      <c r="T69" s="5" t="s">
        <v>44</v>
      </c>
      <c r="U69" s="5" t="s">
        <v>44</v>
      </c>
      <c r="V69" s="5" t="s">
        <v>3197</v>
      </c>
      <c r="W69" s="6" t="s">
        <v>42</v>
      </c>
      <c r="X69" s="5" t="s">
        <v>3198</v>
      </c>
      <c r="Y69" s="6">
        <v>4837.0</v>
      </c>
    </row>
    <row r="70" ht="56.25" customHeight="1">
      <c r="A70" s="5" t="s">
        <v>3199</v>
      </c>
      <c r="B70" s="6" t="str">
        <f>IMAGE("https://storage.googleapis.com/acdb/wallpapers/RoomTexWallPuzzle01.png")</f>
        <v/>
      </c>
      <c r="C70" s="5" t="s">
        <v>36</v>
      </c>
      <c r="D70" s="5" t="s">
        <v>34</v>
      </c>
      <c r="E70" s="5" t="s">
        <v>36</v>
      </c>
      <c r="F70" s="6">
        <v>1540.0</v>
      </c>
      <c r="G70" s="6">
        <v>385.0</v>
      </c>
      <c r="H70" s="5" t="s">
        <v>59</v>
      </c>
      <c r="I70" s="5"/>
      <c r="J70" s="5" t="s">
        <v>64</v>
      </c>
      <c r="K70" s="5" t="s">
        <v>2822</v>
      </c>
      <c r="L70" s="5" t="s">
        <v>2823</v>
      </c>
      <c r="M70" s="5" t="s">
        <v>2789</v>
      </c>
      <c r="N70" s="5" t="s">
        <v>2824</v>
      </c>
      <c r="O70" s="5" t="s">
        <v>2825</v>
      </c>
      <c r="P70" s="5" t="s">
        <v>2801</v>
      </c>
      <c r="Q70" s="5" t="s">
        <v>58</v>
      </c>
      <c r="R70" s="5" t="s">
        <v>58</v>
      </c>
      <c r="S70" s="5" t="s">
        <v>61</v>
      </c>
      <c r="T70" s="5" t="s">
        <v>99</v>
      </c>
      <c r="U70" s="5" t="s">
        <v>44</v>
      </c>
      <c r="V70" s="5" t="s">
        <v>3202</v>
      </c>
      <c r="W70" s="6" t="s">
        <v>42</v>
      </c>
      <c r="X70" s="5" t="s">
        <v>3204</v>
      </c>
      <c r="Y70" s="6">
        <v>4887.0</v>
      </c>
    </row>
    <row r="71" ht="56.25" customHeight="1">
      <c r="A71" s="5" t="s">
        <v>3205</v>
      </c>
      <c r="B71" s="6" t="str">
        <f>IMAGE("https://storage.googleapis.com/acdb/wallpapers/RoomTexWallTile02.png")</f>
        <v/>
      </c>
      <c r="C71" s="5" t="s">
        <v>36</v>
      </c>
      <c r="D71" s="5" t="s">
        <v>34</v>
      </c>
      <c r="E71" s="5" t="s">
        <v>36</v>
      </c>
      <c r="F71" s="6">
        <v>1420.0</v>
      </c>
      <c r="G71" s="6">
        <v>355.0</v>
      </c>
      <c r="H71" s="5" t="s">
        <v>59</v>
      </c>
      <c r="I71" s="5"/>
      <c r="J71" s="5" t="s">
        <v>64</v>
      </c>
      <c r="K71" s="5" t="s">
        <v>2822</v>
      </c>
      <c r="L71" s="5" t="s">
        <v>2823</v>
      </c>
      <c r="M71" s="5" t="s">
        <v>2789</v>
      </c>
      <c r="N71" s="5" t="s">
        <v>2824</v>
      </c>
      <c r="O71" s="5" t="s">
        <v>2825</v>
      </c>
      <c r="P71" s="5" t="s">
        <v>2489</v>
      </c>
      <c r="Q71" s="5" t="s">
        <v>58</v>
      </c>
      <c r="R71" s="5" t="s">
        <v>58</v>
      </c>
      <c r="S71" s="5" t="s">
        <v>288</v>
      </c>
      <c r="T71" s="5" t="s">
        <v>141</v>
      </c>
      <c r="U71" s="5" t="s">
        <v>44</v>
      </c>
      <c r="V71" s="5" t="s">
        <v>2828</v>
      </c>
      <c r="W71" s="6" t="s">
        <v>42</v>
      </c>
      <c r="X71" s="5" t="s">
        <v>3209</v>
      </c>
      <c r="Y71" s="6">
        <v>4931.0</v>
      </c>
    </row>
    <row r="72" ht="56.25" customHeight="1">
      <c r="A72" s="5" t="s">
        <v>3210</v>
      </c>
      <c r="B72" s="6" t="str">
        <f>IMAGE("https://storage.googleapis.com/acdb/wallpapers/RoomTexWallCommon00.png")</f>
        <v/>
      </c>
      <c r="C72" s="5" t="s">
        <v>36</v>
      </c>
      <c r="D72" s="5" t="s">
        <v>34</v>
      </c>
      <c r="E72" s="5" t="s">
        <v>36</v>
      </c>
      <c r="F72" s="6">
        <v>800.0</v>
      </c>
      <c r="G72" s="6">
        <v>200.0</v>
      </c>
      <c r="H72" s="5" t="s">
        <v>59</v>
      </c>
      <c r="I72" s="5"/>
      <c r="J72" s="5" t="s">
        <v>64</v>
      </c>
      <c r="K72" s="5" t="s">
        <v>2787</v>
      </c>
      <c r="L72" s="5" t="s">
        <v>2887</v>
      </c>
      <c r="M72" s="5" t="s">
        <v>2789</v>
      </c>
      <c r="N72" s="5" t="s">
        <v>2888</v>
      </c>
      <c r="O72" s="5" t="s">
        <v>57</v>
      </c>
      <c r="P72" s="5" t="s">
        <v>2801</v>
      </c>
      <c r="Q72" s="5" t="s">
        <v>38</v>
      </c>
      <c r="R72" s="5" t="s">
        <v>39</v>
      </c>
      <c r="S72" s="5" t="s">
        <v>90</v>
      </c>
      <c r="T72" s="5" t="s">
        <v>130</v>
      </c>
      <c r="U72" s="5" t="s">
        <v>44</v>
      </c>
      <c r="V72" s="5" t="s">
        <v>3213</v>
      </c>
      <c r="W72" s="6" t="s">
        <v>42</v>
      </c>
      <c r="X72" s="5" t="s">
        <v>3214</v>
      </c>
      <c r="Y72" s="6">
        <v>4795.0</v>
      </c>
    </row>
    <row r="73" ht="56.25" customHeight="1">
      <c r="A73" s="5" t="s">
        <v>3215</v>
      </c>
      <c r="B73" s="6" t="str">
        <f>IMAGE("https://storage.googleapis.com/acdb/wallpapers/RoomTexWallConcrete00.png")</f>
        <v/>
      </c>
      <c r="C73" s="5" t="s">
        <v>36</v>
      </c>
      <c r="D73" s="5" t="s">
        <v>34</v>
      </c>
      <c r="E73" s="5" t="s">
        <v>36</v>
      </c>
      <c r="F73" s="6">
        <v>940.0</v>
      </c>
      <c r="G73" s="6">
        <v>235.0</v>
      </c>
      <c r="H73" s="5" t="s">
        <v>59</v>
      </c>
      <c r="I73" s="5"/>
      <c r="J73" s="5" t="s">
        <v>64</v>
      </c>
      <c r="K73" s="5" t="s">
        <v>2822</v>
      </c>
      <c r="L73" s="5" t="s">
        <v>2788</v>
      </c>
      <c r="M73" s="5" t="s">
        <v>2789</v>
      </c>
      <c r="N73" s="5" t="s">
        <v>2824</v>
      </c>
      <c r="O73" s="5" t="s">
        <v>2825</v>
      </c>
      <c r="P73" s="5" t="s">
        <v>2801</v>
      </c>
      <c r="Q73" s="5" t="s">
        <v>95</v>
      </c>
      <c r="R73" s="5" t="s">
        <v>95</v>
      </c>
      <c r="S73" s="5" t="s">
        <v>416</v>
      </c>
      <c r="T73" s="5" t="s">
        <v>141</v>
      </c>
      <c r="U73" s="5" t="s">
        <v>44</v>
      </c>
      <c r="V73" s="5" t="s">
        <v>3213</v>
      </c>
      <c r="W73" s="6" t="s">
        <v>42</v>
      </c>
      <c r="X73" s="5" t="s">
        <v>3219</v>
      </c>
      <c r="Y73" s="6">
        <v>4890.0</v>
      </c>
    </row>
    <row r="74" ht="56.25" customHeight="1">
      <c r="A74" s="5" t="s">
        <v>3220</v>
      </c>
      <c r="B74" s="6" t="str">
        <f>IMAGE("https://storage.googleapis.com/acdb/wallpapers/RoomTexWallBlueSheet00.png")</f>
        <v/>
      </c>
      <c r="C74" s="5" t="s">
        <v>36</v>
      </c>
      <c r="D74" s="5" t="s">
        <v>34</v>
      </c>
      <c r="E74" s="5" t="s">
        <v>36</v>
      </c>
      <c r="F74" s="6">
        <v>3000.0</v>
      </c>
      <c r="G74" s="6">
        <v>750.0</v>
      </c>
      <c r="H74" s="5" t="s">
        <v>2800</v>
      </c>
      <c r="I74" s="5"/>
      <c r="J74" s="5" t="s">
        <v>48</v>
      </c>
      <c r="K74" s="5" t="s">
        <v>44</v>
      </c>
      <c r="L74" s="5" t="s">
        <v>34</v>
      </c>
      <c r="M74" s="5" t="s">
        <v>34</v>
      </c>
      <c r="N74" s="5" t="s">
        <v>44</v>
      </c>
      <c r="O74" s="5" t="s">
        <v>34</v>
      </c>
      <c r="P74" s="5" t="s">
        <v>2489</v>
      </c>
      <c r="Q74" s="5" t="s">
        <v>68</v>
      </c>
      <c r="R74" s="5" t="s">
        <v>68</v>
      </c>
      <c r="S74" s="5" t="s">
        <v>416</v>
      </c>
      <c r="T74" s="5" t="s">
        <v>141</v>
      </c>
      <c r="U74" s="5" t="s">
        <v>44</v>
      </c>
      <c r="V74" s="5" t="s">
        <v>2952</v>
      </c>
      <c r="W74" s="6" t="s">
        <v>42</v>
      </c>
      <c r="X74" s="5" t="s">
        <v>3223</v>
      </c>
      <c r="Y74" s="6">
        <v>4843.0</v>
      </c>
    </row>
    <row r="75" ht="56.25" customHeight="1">
      <c r="A75" s="5" t="s">
        <v>3224</v>
      </c>
      <c r="B75" s="6" t="str">
        <f>IMAGE("https://storage.googleapis.com/acdb/wallpapers/RoomTexWallCrepe00.png")</f>
        <v/>
      </c>
      <c r="C75" s="5" t="s">
        <v>36</v>
      </c>
      <c r="D75" s="5" t="s">
        <v>34</v>
      </c>
      <c r="E75" s="5" t="s">
        <v>36</v>
      </c>
      <c r="F75" s="6">
        <v>1550.0</v>
      </c>
      <c r="G75" s="6">
        <v>387.0</v>
      </c>
      <c r="H75" s="5" t="s">
        <v>59</v>
      </c>
      <c r="I75" s="5"/>
      <c r="J75" s="5" t="s">
        <v>64</v>
      </c>
      <c r="K75" s="5" t="s">
        <v>3160</v>
      </c>
      <c r="L75" s="5" t="s">
        <v>2788</v>
      </c>
      <c r="M75" s="5" t="s">
        <v>715</v>
      </c>
      <c r="N75" s="5" t="s">
        <v>44</v>
      </c>
      <c r="O75" s="5" t="s">
        <v>34</v>
      </c>
      <c r="P75" s="5" t="s">
        <v>2793</v>
      </c>
      <c r="Q75" s="5" t="s">
        <v>57</v>
      </c>
      <c r="R75" s="5" t="s">
        <v>58</v>
      </c>
      <c r="S75" s="5" t="s">
        <v>266</v>
      </c>
      <c r="T75" s="5" t="s">
        <v>44</v>
      </c>
      <c r="U75" s="5" t="s">
        <v>44</v>
      </c>
      <c r="V75" s="5" t="s">
        <v>650</v>
      </c>
      <c r="W75" s="6" t="s">
        <v>42</v>
      </c>
      <c r="X75" s="5" t="s">
        <v>3227</v>
      </c>
      <c r="Y75" s="6">
        <v>4841.0</v>
      </c>
    </row>
    <row r="76" ht="56.25" customHeight="1">
      <c r="A76" s="5" t="s">
        <v>3228</v>
      </c>
      <c r="B76" s="6" t="str">
        <f>IMAGE("https://storage.googleapis.com/acdb/wallpapers/RoomTexWallCute02.png")</f>
        <v/>
      </c>
      <c r="C76" s="5" t="s">
        <v>36</v>
      </c>
      <c r="D76" s="5" t="s">
        <v>34</v>
      </c>
      <c r="E76" s="5" t="s">
        <v>36</v>
      </c>
      <c r="F76" s="6">
        <v>1880.0</v>
      </c>
      <c r="G76" s="6">
        <v>470.0</v>
      </c>
      <c r="H76" s="5" t="s">
        <v>59</v>
      </c>
      <c r="I76" s="5"/>
      <c r="J76" s="5" t="s">
        <v>64</v>
      </c>
      <c r="K76" s="5" t="s">
        <v>2787</v>
      </c>
      <c r="L76" s="5" t="s">
        <v>2986</v>
      </c>
      <c r="M76" s="5" t="s">
        <v>2789</v>
      </c>
      <c r="N76" s="5" t="s">
        <v>2888</v>
      </c>
      <c r="O76" s="5" t="s">
        <v>2889</v>
      </c>
      <c r="P76" s="5" t="s">
        <v>2793</v>
      </c>
      <c r="Q76" s="5" t="s">
        <v>68</v>
      </c>
      <c r="R76" s="5" t="s">
        <v>57</v>
      </c>
      <c r="S76" s="5" t="s">
        <v>61</v>
      </c>
      <c r="T76" s="5" t="s">
        <v>99</v>
      </c>
      <c r="U76" s="5" t="s">
        <v>44</v>
      </c>
      <c r="V76" s="5" t="s">
        <v>3232</v>
      </c>
      <c r="W76" s="6" t="s">
        <v>42</v>
      </c>
      <c r="X76" s="5" t="s">
        <v>3233</v>
      </c>
      <c r="Y76" s="6">
        <v>7217.0</v>
      </c>
    </row>
    <row r="77" ht="56.25" customHeight="1">
      <c r="A77" s="5" t="s">
        <v>3234</v>
      </c>
      <c r="B77" s="6" t="str">
        <f>IMAGE("https://storage.googleapis.com/acdb/wallpapers/RoomTexWallCute01.png")</f>
        <v/>
      </c>
      <c r="C77" s="5" t="s">
        <v>36</v>
      </c>
      <c r="D77" s="5" t="s">
        <v>34</v>
      </c>
      <c r="E77" s="5" t="s">
        <v>36</v>
      </c>
      <c r="F77" s="6">
        <v>1880.0</v>
      </c>
      <c r="G77" s="6">
        <v>470.0</v>
      </c>
      <c r="H77" s="5" t="s">
        <v>59</v>
      </c>
      <c r="I77" s="5"/>
      <c r="J77" s="5" t="s">
        <v>64</v>
      </c>
      <c r="K77" s="5" t="s">
        <v>2787</v>
      </c>
      <c r="L77" s="5" t="s">
        <v>2788</v>
      </c>
      <c r="M77" s="5" t="s">
        <v>2789</v>
      </c>
      <c r="N77" s="5" t="s">
        <v>2888</v>
      </c>
      <c r="O77" s="5" t="s">
        <v>2889</v>
      </c>
      <c r="P77" s="5" t="s">
        <v>2793</v>
      </c>
      <c r="Q77" s="5" t="s">
        <v>52</v>
      </c>
      <c r="R77" s="5" t="s">
        <v>57</v>
      </c>
      <c r="S77" s="5" t="s">
        <v>61</v>
      </c>
      <c r="T77" s="5" t="s">
        <v>99</v>
      </c>
      <c r="U77" s="5" t="s">
        <v>44</v>
      </c>
      <c r="V77" s="5" t="s">
        <v>3232</v>
      </c>
      <c r="W77" s="6" t="s">
        <v>42</v>
      </c>
      <c r="X77" s="5" t="s">
        <v>3238</v>
      </c>
      <c r="Y77" s="6">
        <v>7216.0</v>
      </c>
    </row>
    <row r="78" ht="56.25" customHeight="1">
      <c r="A78" s="5" t="s">
        <v>3239</v>
      </c>
      <c r="B78" s="6" t="str">
        <f>IMAGE("https://storage.googleapis.com/acdb/wallpapers/RoomTexWallCute00.png")</f>
        <v/>
      </c>
      <c r="C78" s="5" t="s">
        <v>36</v>
      </c>
      <c r="D78" s="5" t="s">
        <v>34</v>
      </c>
      <c r="E78" s="5" t="s">
        <v>36</v>
      </c>
      <c r="F78" s="6">
        <v>1880.0</v>
      </c>
      <c r="G78" s="6">
        <v>470.0</v>
      </c>
      <c r="H78" s="5" t="s">
        <v>59</v>
      </c>
      <c r="I78" s="5"/>
      <c r="J78" s="5" t="s">
        <v>64</v>
      </c>
      <c r="K78" s="5" t="s">
        <v>2787</v>
      </c>
      <c r="L78" s="5" t="s">
        <v>2788</v>
      </c>
      <c r="M78" s="5" t="s">
        <v>2789</v>
      </c>
      <c r="N78" s="5" t="s">
        <v>2888</v>
      </c>
      <c r="O78" s="5" t="s">
        <v>2889</v>
      </c>
      <c r="P78" s="5" t="s">
        <v>2793</v>
      </c>
      <c r="Q78" s="5" t="s">
        <v>57</v>
      </c>
      <c r="R78" s="5" t="s">
        <v>57</v>
      </c>
      <c r="S78" s="5" t="s">
        <v>61</v>
      </c>
      <c r="T78" s="5" t="s">
        <v>99</v>
      </c>
      <c r="U78" s="5" t="s">
        <v>44</v>
      </c>
      <c r="V78" s="5" t="s">
        <v>3232</v>
      </c>
      <c r="W78" s="6" t="s">
        <v>42</v>
      </c>
      <c r="X78" s="5" t="s">
        <v>3242</v>
      </c>
      <c r="Y78" s="6">
        <v>7215.0</v>
      </c>
    </row>
    <row r="79" ht="56.25" customHeight="1">
      <c r="A79" s="5" t="s">
        <v>3244</v>
      </c>
      <c r="B79" s="6" t="str">
        <f>IMAGE("https://storage.googleapis.com/acdb/wallpapers/RoomTexWallCute03.png")</f>
        <v/>
      </c>
      <c r="C79" s="5" t="s">
        <v>36</v>
      </c>
      <c r="D79" s="5" t="s">
        <v>34</v>
      </c>
      <c r="E79" s="5" t="s">
        <v>36</v>
      </c>
      <c r="F79" s="6">
        <v>1880.0</v>
      </c>
      <c r="G79" s="6">
        <v>470.0</v>
      </c>
      <c r="H79" s="5" t="s">
        <v>59</v>
      </c>
      <c r="I79" s="5"/>
      <c r="J79" s="5" t="s">
        <v>64</v>
      </c>
      <c r="K79" s="5" t="s">
        <v>2787</v>
      </c>
      <c r="L79" s="5" t="s">
        <v>2986</v>
      </c>
      <c r="M79" s="5" t="s">
        <v>2789</v>
      </c>
      <c r="N79" s="5" t="s">
        <v>2888</v>
      </c>
      <c r="O79" s="5" t="s">
        <v>2889</v>
      </c>
      <c r="P79" s="5" t="s">
        <v>2801</v>
      </c>
      <c r="Q79" s="5" t="s">
        <v>114</v>
      </c>
      <c r="R79" s="5" t="s">
        <v>57</v>
      </c>
      <c r="S79" s="5" t="s">
        <v>61</v>
      </c>
      <c r="T79" s="5" t="s">
        <v>99</v>
      </c>
      <c r="U79" s="5" t="s">
        <v>44</v>
      </c>
      <c r="V79" s="5" t="s">
        <v>3232</v>
      </c>
      <c r="W79" s="6" t="s">
        <v>42</v>
      </c>
      <c r="X79" s="5" t="s">
        <v>3247</v>
      </c>
      <c r="Y79" s="6">
        <v>7218.0</v>
      </c>
    </row>
    <row r="80" ht="56.25" customHeight="1">
      <c r="A80" s="5" t="s">
        <v>3248</v>
      </c>
      <c r="B80" s="6" t="str">
        <f>IMAGE("https://storage.googleapis.com/acdb/wallpapers/RoomTexWallMixPlankWood01.png")</f>
        <v/>
      </c>
      <c r="C80" s="5" t="s">
        <v>36</v>
      </c>
      <c r="D80" s="5" t="s">
        <v>34</v>
      </c>
      <c r="E80" s="5" t="s">
        <v>35</v>
      </c>
      <c r="F80" s="6" t="s">
        <v>37</v>
      </c>
      <c r="G80" s="6">
        <v>1800.0</v>
      </c>
      <c r="H80" s="5" t="s">
        <v>41</v>
      </c>
      <c r="I80" s="5"/>
      <c r="J80" s="5" t="s">
        <v>48</v>
      </c>
      <c r="K80" s="5" t="s">
        <v>2822</v>
      </c>
      <c r="L80" s="5" t="s">
        <v>2939</v>
      </c>
      <c r="M80" s="5" t="s">
        <v>2789</v>
      </c>
      <c r="N80" s="5" t="s">
        <v>2824</v>
      </c>
      <c r="O80" s="5" t="s">
        <v>3081</v>
      </c>
      <c r="P80" s="5" t="s">
        <v>2876</v>
      </c>
      <c r="Q80" s="5" t="s">
        <v>54</v>
      </c>
      <c r="R80" s="5" t="s">
        <v>54</v>
      </c>
      <c r="S80" s="5" t="s">
        <v>90</v>
      </c>
      <c r="T80" s="5" t="s">
        <v>62</v>
      </c>
      <c r="U80" s="5" t="s">
        <v>44</v>
      </c>
      <c r="V80" s="5" t="s">
        <v>3251</v>
      </c>
      <c r="W80" s="6" t="s">
        <v>42</v>
      </c>
      <c r="X80" s="5" t="s">
        <v>3253</v>
      </c>
      <c r="Y80" s="6">
        <v>4860.0</v>
      </c>
    </row>
    <row r="81" ht="56.25" customHeight="1">
      <c r="A81" s="5" t="s">
        <v>3254</v>
      </c>
      <c r="B81" s="6" t="str">
        <f>IMAGE("https://storage.googleapis.com/acdb/wallpapers/RoomTexWallChocolate00.png")</f>
        <v/>
      </c>
      <c r="C81" s="5" t="s">
        <v>36</v>
      </c>
      <c r="D81" s="5" t="s">
        <v>2845</v>
      </c>
      <c r="E81" s="5" t="s">
        <v>36</v>
      </c>
      <c r="F81" s="6">
        <v>3000.0</v>
      </c>
      <c r="G81" s="6">
        <v>750.0</v>
      </c>
      <c r="H81" s="5" t="s">
        <v>2800</v>
      </c>
      <c r="I81" s="5"/>
      <c r="J81" s="5" t="s">
        <v>48</v>
      </c>
      <c r="K81" s="5" t="s">
        <v>44</v>
      </c>
      <c r="L81" s="5" t="s">
        <v>34</v>
      </c>
      <c r="M81" s="5" t="s">
        <v>34</v>
      </c>
      <c r="N81" s="5" t="s">
        <v>44</v>
      </c>
      <c r="O81" s="5" t="s">
        <v>34</v>
      </c>
      <c r="P81" s="5" t="s">
        <v>811</v>
      </c>
      <c r="Q81" s="5" t="s">
        <v>39</v>
      </c>
      <c r="R81" s="5" t="s">
        <v>39</v>
      </c>
      <c r="S81" s="5" t="s">
        <v>61</v>
      </c>
      <c r="T81" s="5" t="s">
        <v>44</v>
      </c>
      <c r="U81" s="5" t="s">
        <v>44</v>
      </c>
      <c r="V81" s="5" t="s">
        <v>3256</v>
      </c>
      <c r="W81" s="6" t="s">
        <v>42</v>
      </c>
      <c r="X81" s="5" t="s">
        <v>3257</v>
      </c>
      <c r="Y81" s="6">
        <v>4932.0</v>
      </c>
    </row>
    <row r="82" ht="56.25" customHeight="1">
      <c r="A82" s="5" t="s">
        <v>3259</v>
      </c>
      <c r="B82" s="6" t="str">
        <f>IMAGE("https://storage.googleapis.com/acdb/wallpapers/RoomSpWallDesert00.png")</f>
        <v/>
      </c>
      <c r="C82" s="5" t="s">
        <v>35</v>
      </c>
      <c r="D82" s="5" t="s">
        <v>34</v>
      </c>
      <c r="E82" s="5" t="s">
        <v>36</v>
      </c>
      <c r="F82" s="6">
        <v>3000.0</v>
      </c>
      <c r="G82" s="6">
        <v>750.0</v>
      </c>
      <c r="H82" s="5" t="s">
        <v>2800</v>
      </c>
      <c r="I82" s="5"/>
      <c r="J82" s="5" t="s">
        <v>48</v>
      </c>
      <c r="K82" s="5" t="s">
        <v>44</v>
      </c>
      <c r="L82" s="5" t="s">
        <v>34</v>
      </c>
      <c r="M82" s="5" t="s">
        <v>34</v>
      </c>
      <c r="N82" s="5" t="s">
        <v>44</v>
      </c>
      <c r="O82" s="5" t="s">
        <v>34</v>
      </c>
      <c r="P82" s="5" t="s">
        <v>2801</v>
      </c>
      <c r="Q82" s="5" t="s">
        <v>38</v>
      </c>
      <c r="R82" s="5" t="s">
        <v>95</v>
      </c>
      <c r="S82" s="5" t="s">
        <v>696</v>
      </c>
      <c r="T82" s="5" t="s">
        <v>44</v>
      </c>
      <c r="U82" s="5" t="s">
        <v>44</v>
      </c>
      <c r="V82" s="5" t="s">
        <v>2849</v>
      </c>
      <c r="W82" s="6" t="s">
        <v>42</v>
      </c>
      <c r="X82" s="5" t="s">
        <v>3261</v>
      </c>
      <c r="Y82" s="6">
        <v>5488.0</v>
      </c>
    </row>
    <row r="83" ht="56.25" customHeight="1">
      <c r="A83" s="5" t="s">
        <v>3263</v>
      </c>
      <c r="B83" s="6" t="str">
        <f>IMAGE("https://storage.googleapis.com/acdb/wallpapers/RoomTexWallStratum00.png")</f>
        <v/>
      </c>
      <c r="C83" s="5" t="s">
        <v>36</v>
      </c>
      <c r="D83" s="5" t="s">
        <v>34</v>
      </c>
      <c r="E83" s="5" t="s">
        <v>36</v>
      </c>
      <c r="F83" s="6">
        <v>3000.0</v>
      </c>
      <c r="G83" s="6">
        <v>750.0</v>
      </c>
      <c r="H83" s="5" t="s">
        <v>2800</v>
      </c>
      <c r="I83" s="5"/>
      <c r="J83" s="5" t="s">
        <v>48</v>
      </c>
      <c r="K83" s="5" t="s">
        <v>44</v>
      </c>
      <c r="L83" s="5" t="s">
        <v>34</v>
      </c>
      <c r="M83" s="5" t="s">
        <v>34</v>
      </c>
      <c r="N83" s="5" t="s">
        <v>44</v>
      </c>
      <c r="O83" s="5" t="s">
        <v>34</v>
      </c>
      <c r="P83" s="5" t="s">
        <v>2489</v>
      </c>
      <c r="Q83" s="5" t="s">
        <v>39</v>
      </c>
      <c r="R83" s="5" t="s">
        <v>38</v>
      </c>
      <c r="S83" s="5" t="s">
        <v>172</v>
      </c>
      <c r="T83" s="5" t="s">
        <v>732</v>
      </c>
      <c r="U83" s="5" t="s">
        <v>44</v>
      </c>
      <c r="V83" s="5" t="s">
        <v>3213</v>
      </c>
      <c r="W83" s="6" t="s">
        <v>42</v>
      </c>
      <c r="X83" s="5" t="s">
        <v>3266</v>
      </c>
      <c r="Y83" s="6">
        <v>5222.0</v>
      </c>
    </row>
    <row r="84" ht="56.25" customHeight="1">
      <c r="A84" s="5" t="s">
        <v>3267</v>
      </c>
      <c r="B84" s="6" t="str">
        <f>IMAGE("https://storage.googleapis.com/acdb/wallpapers/RoomTexWallOldSoil00.png")</f>
        <v/>
      </c>
      <c r="C84" s="5" t="s">
        <v>36</v>
      </c>
      <c r="D84" s="5" t="s">
        <v>34</v>
      </c>
      <c r="E84" s="5" t="s">
        <v>36</v>
      </c>
      <c r="F84" s="6">
        <v>200.0</v>
      </c>
      <c r="G84" s="6">
        <v>50.0</v>
      </c>
      <c r="H84" s="5" t="s">
        <v>59</v>
      </c>
      <c r="I84" s="5"/>
      <c r="J84" s="5" t="s">
        <v>64</v>
      </c>
      <c r="K84" s="5" t="s">
        <v>2787</v>
      </c>
      <c r="L84" s="5" t="s">
        <v>2887</v>
      </c>
      <c r="M84" s="5" t="s">
        <v>715</v>
      </c>
      <c r="N84" s="5" t="s">
        <v>44</v>
      </c>
      <c r="O84" s="5" t="s">
        <v>34</v>
      </c>
      <c r="P84" s="5" t="s">
        <v>2489</v>
      </c>
      <c r="Q84" s="5" t="s">
        <v>38</v>
      </c>
      <c r="R84" s="5" t="s">
        <v>39</v>
      </c>
      <c r="S84" s="5" t="s">
        <v>732</v>
      </c>
      <c r="T84" s="5" t="s">
        <v>44</v>
      </c>
      <c r="U84" s="5" t="s">
        <v>44</v>
      </c>
      <c r="V84" s="5" t="s">
        <v>3213</v>
      </c>
      <c r="W84" s="6" t="s">
        <v>42</v>
      </c>
      <c r="X84" s="5" t="s">
        <v>3271</v>
      </c>
      <c r="Y84" s="6">
        <v>4856.0</v>
      </c>
    </row>
    <row r="85" ht="56.25" customHeight="1">
      <c r="A85" s="5" t="s">
        <v>3272</v>
      </c>
      <c r="B85" s="6" t="str">
        <f>IMAGE("https://storage.googleapis.com/acdb/wallpapers/RoomTexWallBaseboards00.png")</f>
        <v/>
      </c>
      <c r="C85" s="5" t="s">
        <v>36</v>
      </c>
      <c r="D85" s="5" t="s">
        <v>34</v>
      </c>
      <c r="E85" s="5" t="s">
        <v>36</v>
      </c>
      <c r="F85" s="6">
        <v>3000.0</v>
      </c>
      <c r="G85" s="6">
        <v>750.0</v>
      </c>
      <c r="H85" s="5" t="s">
        <v>2800</v>
      </c>
      <c r="I85" s="5"/>
      <c r="J85" s="5" t="s">
        <v>48</v>
      </c>
      <c r="K85" s="5" t="s">
        <v>44</v>
      </c>
      <c r="L85" s="5" t="s">
        <v>34</v>
      </c>
      <c r="M85" s="5" t="s">
        <v>34</v>
      </c>
      <c r="N85" s="5" t="s">
        <v>44</v>
      </c>
      <c r="O85" s="5" t="s">
        <v>34</v>
      </c>
      <c r="P85" s="5" t="s">
        <v>2801</v>
      </c>
      <c r="Q85" s="5" t="s">
        <v>114</v>
      </c>
      <c r="R85" s="5" t="s">
        <v>38</v>
      </c>
      <c r="S85" s="5" t="s">
        <v>474</v>
      </c>
      <c r="T85" s="5" t="s">
        <v>266</v>
      </c>
      <c r="U85" s="5" t="s">
        <v>44</v>
      </c>
      <c r="V85" s="5" t="s">
        <v>2870</v>
      </c>
      <c r="W85" s="6" t="s">
        <v>42</v>
      </c>
      <c r="X85" s="5" t="s">
        <v>3276</v>
      </c>
      <c r="Y85" s="6">
        <v>5227.0</v>
      </c>
    </row>
    <row r="86" ht="56.25" customHeight="1">
      <c r="A86" s="5" t="s">
        <v>3277</v>
      </c>
      <c r="B86" s="6" t="str">
        <f>IMAGE("https://storage.googleapis.com/acdb/wallpapers/RoomSpWallJail00.png")</f>
        <v/>
      </c>
      <c r="C86" s="5" t="s">
        <v>35</v>
      </c>
      <c r="D86" s="5" t="s">
        <v>34</v>
      </c>
      <c r="E86" s="5" t="s">
        <v>36</v>
      </c>
      <c r="F86" s="6">
        <v>3000.0</v>
      </c>
      <c r="G86" s="6">
        <v>750.0</v>
      </c>
      <c r="H86" s="5" t="s">
        <v>2800</v>
      </c>
      <c r="I86" s="5"/>
      <c r="J86" s="5" t="s">
        <v>48</v>
      </c>
      <c r="K86" s="5" t="s">
        <v>44</v>
      </c>
      <c r="L86" s="5" t="s">
        <v>34</v>
      </c>
      <c r="M86" s="5" t="s">
        <v>34</v>
      </c>
      <c r="N86" s="5" t="s">
        <v>44</v>
      </c>
      <c r="O86" s="5" t="s">
        <v>34</v>
      </c>
      <c r="P86" s="5" t="s">
        <v>2489</v>
      </c>
      <c r="Q86" s="5" t="s">
        <v>54</v>
      </c>
      <c r="R86" s="5" t="s">
        <v>95</v>
      </c>
      <c r="S86" s="5" t="s">
        <v>732</v>
      </c>
      <c r="T86" s="5" t="s">
        <v>44</v>
      </c>
      <c r="U86" s="5" t="s">
        <v>44</v>
      </c>
      <c r="V86" s="5" t="s">
        <v>3280</v>
      </c>
      <c r="W86" s="6" t="s">
        <v>42</v>
      </c>
      <c r="X86" s="5" t="s">
        <v>3281</v>
      </c>
      <c r="Y86" s="6">
        <v>5509.0</v>
      </c>
    </row>
    <row r="87" ht="56.25" customHeight="1">
      <c r="A87" s="5" t="s">
        <v>3282</v>
      </c>
      <c r="B87" s="6" t="str">
        <f>IMAGE("https://storage.googleapis.com/acdb/wallpapers/RoomTexWallChina00.png")</f>
        <v/>
      </c>
      <c r="C87" s="5" t="s">
        <v>36</v>
      </c>
      <c r="D87" s="5" t="s">
        <v>34</v>
      </c>
      <c r="E87" s="5" t="s">
        <v>36</v>
      </c>
      <c r="F87" s="6">
        <v>3000.0</v>
      </c>
      <c r="G87" s="6">
        <v>750.0</v>
      </c>
      <c r="H87" s="5" t="s">
        <v>2800</v>
      </c>
      <c r="I87" s="5"/>
      <c r="J87" s="5" t="s">
        <v>48</v>
      </c>
      <c r="K87" s="5" t="s">
        <v>44</v>
      </c>
      <c r="L87" s="5" t="s">
        <v>34</v>
      </c>
      <c r="M87" s="5" t="s">
        <v>34</v>
      </c>
      <c r="N87" s="5" t="s">
        <v>44</v>
      </c>
      <c r="O87" s="5" t="s">
        <v>34</v>
      </c>
      <c r="P87" s="5" t="s">
        <v>2801</v>
      </c>
      <c r="Q87" s="5" t="s">
        <v>39</v>
      </c>
      <c r="R87" s="5" t="s">
        <v>57</v>
      </c>
      <c r="S87" s="5" t="s">
        <v>266</v>
      </c>
      <c r="T87" s="5" t="s">
        <v>62</v>
      </c>
      <c r="U87" s="5" t="s">
        <v>44</v>
      </c>
      <c r="V87" s="5" t="s">
        <v>2804</v>
      </c>
      <c r="W87" s="6" t="s">
        <v>42</v>
      </c>
      <c r="X87" s="5" t="s">
        <v>3283</v>
      </c>
      <c r="Y87" s="6">
        <v>4866.0</v>
      </c>
    </row>
    <row r="88" ht="56.25" customHeight="1">
      <c r="A88" s="5" t="s">
        <v>3284</v>
      </c>
      <c r="B88" s="6" t="str">
        <f>IMAGE("https://storage.googleapis.com/acdb/wallpapers/RoomTexWallMushForest00.png")</f>
        <v/>
      </c>
      <c r="C88" s="5" t="s">
        <v>36</v>
      </c>
      <c r="D88" s="5" t="s">
        <v>2845</v>
      </c>
      <c r="E88" s="5" t="s">
        <v>35</v>
      </c>
      <c r="F88" s="6" t="s">
        <v>37</v>
      </c>
      <c r="G88" s="6">
        <v>44000.0</v>
      </c>
      <c r="H88" s="5" t="s">
        <v>41</v>
      </c>
      <c r="I88" s="5" t="s">
        <v>1785</v>
      </c>
      <c r="J88" s="5" t="s">
        <v>48</v>
      </c>
      <c r="K88" s="5" t="s">
        <v>44</v>
      </c>
      <c r="L88" s="5" t="s">
        <v>34</v>
      </c>
      <c r="M88" s="5" t="s">
        <v>34</v>
      </c>
      <c r="N88" s="5" t="s">
        <v>44</v>
      </c>
      <c r="O88" s="5" t="s">
        <v>34</v>
      </c>
      <c r="P88" s="5" t="s">
        <v>2801</v>
      </c>
      <c r="Q88" s="5" t="s">
        <v>54</v>
      </c>
      <c r="R88" s="5" t="s">
        <v>54</v>
      </c>
      <c r="S88" s="5" t="s">
        <v>172</v>
      </c>
      <c r="T88" s="5" t="s">
        <v>44</v>
      </c>
      <c r="U88" s="5" t="s">
        <v>1786</v>
      </c>
      <c r="V88" s="5" t="s">
        <v>2856</v>
      </c>
      <c r="W88" s="6" t="s">
        <v>42</v>
      </c>
      <c r="X88" s="5" t="s">
        <v>3288</v>
      </c>
      <c r="Y88" s="6">
        <v>7187.0</v>
      </c>
    </row>
    <row r="89" ht="56.25" customHeight="1">
      <c r="A89" s="5" t="s">
        <v>3289</v>
      </c>
      <c r="B89" s="6" t="str">
        <f>IMAGE("https://storage.googleapis.com/acdb/wallpapers/RoomSpWallTechnology00.png")</f>
        <v/>
      </c>
      <c r="C89" s="5" t="s">
        <v>35</v>
      </c>
      <c r="D89" s="5" t="s">
        <v>34</v>
      </c>
      <c r="E89" s="5" t="s">
        <v>36</v>
      </c>
      <c r="F89" s="6">
        <v>3000.0</v>
      </c>
      <c r="G89" s="6">
        <v>750.0</v>
      </c>
      <c r="H89" s="5" t="s">
        <v>2800</v>
      </c>
      <c r="I89" s="5"/>
      <c r="J89" s="5" t="s">
        <v>48</v>
      </c>
      <c r="K89" s="5" t="s">
        <v>44</v>
      </c>
      <c r="L89" s="5" t="s">
        <v>34</v>
      </c>
      <c r="M89" s="5" t="s">
        <v>34</v>
      </c>
      <c r="N89" s="5" t="s">
        <v>44</v>
      </c>
      <c r="O89" s="5" t="s">
        <v>34</v>
      </c>
      <c r="P89" s="5" t="s">
        <v>811</v>
      </c>
      <c r="Q89" s="5" t="s">
        <v>54</v>
      </c>
      <c r="R89" s="5" t="s">
        <v>54</v>
      </c>
      <c r="S89" s="5" t="s">
        <v>732</v>
      </c>
      <c r="T89" s="5" t="s">
        <v>696</v>
      </c>
      <c r="U89" s="5" t="s">
        <v>44</v>
      </c>
      <c r="V89" s="5" t="s">
        <v>3280</v>
      </c>
      <c r="W89" s="6" t="s">
        <v>42</v>
      </c>
      <c r="X89" s="5" t="s">
        <v>3293</v>
      </c>
      <c r="Y89" s="6">
        <v>5494.0</v>
      </c>
    </row>
    <row r="90" ht="56.25" customHeight="1">
      <c r="A90" s="5" t="s">
        <v>3296</v>
      </c>
      <c r="B90" s="6" t="str">
        <f>IMAGE("https://storage.googleapis.com/acdb/wallpapers/RoomTexWallGarbage00.png")</f>
        <v/>
      </c>
      <c r="C90" s="5" t="s">
        <v>36</v>
      </c>
      <c r="D90" s="5" t="s">
        <v>34</v>
      </c>
      <c r="E90" s="5" t="s">
        <v>35</v>
      </c>
      <c r="F90" s="6" t="s">
        <v>37</v>
      </c>
      <c r="G90" s="6">
        <v>120.0</v>
      </c>
      <c r="H90" s="5" t="s">
        <v>41</v>
      </c>
      <c r="I90" s="5"/>
      <c r="J90" s="5" t="s">
        <v>48</v>
      </c>
      <c r="K90" s="5" t="s">
        <v>44</v>
      </c>
      <c r="L90" s="5" t="s">
        <v>34</v>
      </c>
      <c r="M90" s="5" t="s">
        <v>34</v>
      </c>
      <c r="N90" s="5" t="s">
        <v>44</v>
      </c>
      <c r="O90" s="5" t="s">
        <v>34</v>
      </c>
      <c r="P90" s="5" t="s">
        <v>2489</v>
      </c>
      <c r="Q90" s="5" t="s">
        <v>83</v>
      </c>
      <c r="R90" s="5" t="s">
        <v>95</v>
      </c>
      <c r="S90" s="5" t="s">
        <v>416</v>
      </c>
      <c r="T90" s="5" t="s">
        <v>732</v>
      </c>
      <c r="U90" s="5" t="s">
        <v>44</v>
      </c>
      <c r="V90" s="5" t="s">
        <v>2952</v>
      </c>
      <c r="W90" s="6" t="s">
        <v>42</v>
      </c>
      <c r="X90" s="5" t="s">
        <v>3299</v>
      </c>
      <c r="Y90" s="6">
        <v>5229.0</v>
      </c>
    </row>
    <row r="91" ht="56.25" customHeight="1">
      <c r="A91" s="5" t="s">
        <v>3300</v>
      </c>
      <c r="B91" s="6" t="str">
        <f>IMAGE("https://storage.googleapis.com/acdb/wallpapers/RoomTexWallFusumaGorgeous00.png")</f>
        <v/>
      </c>
      <c r="C91" s="5" t="s">
        <v>36</v>
      </c>
      <c r="D91" s="5" t="s">
        <v>34</v>
      </c>
      <c r="E91" s="5" t="s">
        <v>35</v>
      </c>
      <c r="F91" s="6" t="s">
        <v>37</v>
      </c>
      <c r="G91" s="6">
        <v>20750.0</v>
      </c>
      <c r="H91" s="5" t="s">
        <v>41</v>
      </c>
      <c r="I91" s="5"/>
      <c r="J91" s="5" t="s">
        <v>48</v>
      </c>
      <c r="K91" s="5" t="s">
        <v>44</v>
      </c>
      <c r="L91" s="5" t="s">
        <v>34</v>
      </c>
      <c r="M91" s="5" t="s">
        <v>34</v>
      </c>
      <c r="N91" s="5" t="s">
        <v>44</v>
      </c>
      <c r="O91" s="5" t="s">
        <v>34</v>
      </c>
      <c r="P91" s="5" t="s">
        <v>151</v>
      </c>
      <c r="Q91" s="5" t="s">
        <v>114</v>
      </c>
      <c r="R91" s="5" t="s">
        <v>114</v>
      </c>
      <c r="S91" s="5" t="s">
        <v>266</v>
      </c>
      <c r="T91" s="5" t="s">
        <v>116</v>
      </c>
      <c r="U91" s="5" t="s">
        <v>44</v>
      </c>
      <c r="V91" s="5" t="s">
        <v>650</v>
      </c>
      <c r="W91" s="6" t="s">
        <v>42</v>
      </c>
      <c r="X91" s="5" t="s">
        <v>3304</v>
      </c>
      <c r="Y91" s="6">
        <v>4820.0</v>
      </c>
    </row>
    <row r="92" ht="56.25" customHeight="1">
      <c r="A92" s="5" t="s">
        <v>3305</v>
      </c>
      <c r="B92" s="6" t="str">
        <f>IMAGE("https://storage.googleapis.com/acdb/wallpapers/RoomTexWallGold00.png")</f>
        <v/>
      </c>
      <c r="C92" s="5" t="s">
        <v>36</v>
      </c>
      <c r="D92" s="5" t="s">
        <v>34</v>
      </c>
      <c r="E92" s="5" t="s">
        <v>35</v>
      </c>
      <c r="F92" s="6" t="s">
        <v>37</v>
      </c>
      <c r="G92" s="6">
        <v>40000.0</v>
      </c>
      <c r="H92" s="5" t="s">
        <v>41</v>
      </c>
      <c r="I92" s="5"/>
      <c r="J92" s="5" t="s">
        <v>48</v>
      </c>
      <c r="K92" s="5" t="s">
        <v>44</v>
      </c>
      <c r="L92" s="5" t="s">
        <v>34</v>
      </c>
      <c r="M92" s="5" t="s">
        <v>34</v>
      </c>
      <c r="N92" s="5" t="s">
        <v>44</v>
      </c>
      <c r="O92" s="5" t="s">
        <v>34</v>
      </c>
      <c r="P92" s="5" t="s">
        <v>2801</v>
      </c>
      <c r="Q92" s="5" t="s">
        <v>114</v>
      </c>
      <c r="R92" s="5" t="s">
        <v>39</v>
      </c>
      <c r="S92" s="5" t="s">
        <v>116</v>
      </c>
      <c r="T92" s="5" t="s">
        <v>732</v>
      </c>
      <c r="U92" s="5" t="s">
        <v>1182</v>
      </c>
      <c r="V92" s="5" t="s">
        <v>2804</v>
      </c>
      <c r="W92" s="6" t="s">
        <v>42</v>
      </c>
      <c r="X92" s="5" t="s">
        <v>3309</v>
      </c>
      <c r="Y92" s="6">
        <v>4894.0</v>
      </c>
    </row>
    <row r="93" ht="56.25" customHeight="1">
      <c r="A93" s="5" t="s">
        <v>3310</v>
      </c>
      <c r="B93" s="6" t="str">
        <f>IMAGE("https://storage.googleapis.com/acdb/wallpapers/RoomTexWallDiner02.png")</f>
        <v/>
      </c>
      <c r="C93" s="5" t="s">
        <v>36</v>
      </c>
      <c r="D93" s="5" t="s">
        <v>34</v>
      </c>
      <c r="E93" s="5" t="s">
        <v>36</v>
      </c>
      <c r="F93" s="6">
        <v>2420.0</v>
      </c>
      <c r="G93" s="6">
        <v>605.0</v>
      </c>
      <c r="H93" s="5" t="s">
        <v>59</v>
      </c>
      <c r="I93" s="5"/>
      <c r="J93" s="5" t="s">
        <v>64</v>
      </c>
      <c r="K93" s="5" t="s">
        <v>2822</v>
      </c>
      <c r="L93" s="5" t="s">
        <v>2823</v>
      </c>
      <c r="M93" s="5" t="s">
        <v>2789</v>
      </c>
      <c r="N93" s="5" t="s">
        <v>2824</v>
      </c>
      <c r="O93" s="5" t="s">
        <v>2825</v>
      </c>
      <c r="P93" s="5" t="s">
        <v>2793</v>
      </c>
      <c r="Q93" s="5" t="s">
        <v>57</v>
      </c>
      <c r="R93" s="5" t="s">
        <v>58</v>
      </c>
      <c r="S93" s="5" t="s">
        <v>61</v>
      </c>
      <c r="T93" s="5" t="s">
        <v>62</v>
      </c>
      <c r="U93" s="5" t="s">
        <v>44</v>
      </c>
      <c r="V93" s="5" t="s">
        <v>2977</v>
      </c>
      <c r="W93" s="6" t="s">
        <v>42</v>
      </c>
      <c r="X93" s="5" t="s">
        <v>3313</v>
      </c>
      <c r="Y93" s="6">
        <v>7243.0</v>
      </c>
    </row>
    <row r="94" ht="56.25" customHeight="1">
      <c r="A94" s="5" t="s">
        <v>3315</v>
      </c>
      <c r="B94" s="6" t="str">
        <f>IMAGE("https://storage.googleapis.com/acdb/wallpapers/RoomTexWallPanelMold02.png")</f>
        <v/>
      </c>
      <c r="C94" s="5" t="s">
        <v>36</v>
      </c>
      <c r="D94" s="5" t="s">
        <v>34</v>
      </c>
      <c r="E94" s="5" t="s">
        <v>36</v>
      </c>
      <c r="F94" s="6">
        <v>1980.0</v>
      </c>
      <c r="G94" s="6">
        <v>495.0</v>
      </c>
      <c r="H94" s="5" t="s">
        <v>59</v>
      </c>
      <c r="I94" s="5"/>
      <c r="J94" s="5" t="s">
        <v>64</v>
      </c>
      <c r="K94" s="5" t="s">
        <v>2907</v>
      </c>
      <c r="L94" s="5" t="s">
        <v>2913</v>
      </c>
      <c r="M94" s="5" t="s">
        <v>2789</v>
      </c>
      <c r="N94" s="5" t="s">
        <v>44</v>
      </c>
      <c r="O94" s="5" t="s">
        <v>34</v>
      </c>
      <c r="P94" s="5" t="s">
        <v>2801</v>
      </c>
      <c r="Q94" s="5" t="s">
        <v>95</v>
      </c>
      <c r="R94" s="5" t="s">
        <v>95</v>
      </c>
      <c r="S94" s="5" t="s">
        <v>116</v>
      </c>
      <c r="T94" s="5" t="s">
        <v>62</v>
      </c>
      <c r="U94" s="5" t="s">
        <v>44</v>
      </c>
      <c r="V94" s="5" t="s">
        <v>3006</v>
      </c>
      <c r="W94" s="6" t="s">
        <v>42</v>
      </c>
      <c r="X94" s="5" t="s">
        <v>3318</v>
      </c>
      <c r="Y94" s="6">
        <v>4872.0</v>
      </c>
    </row>
    <row r="95" ht="56.25" customHeight="1">
      <c r="A95" s="5" t="s">
        <v>3319</v>
      </c>
      <c r="B95" s="6" t="str">
        <f>IMAGE("https://storage.googleapis.com/acdb/wallpapers/RoomTexWallTin00.png")</f>
        <v/>
      </c>
      <c r="C95" s="5" t="s">
        <v>36</v>
      </c>
      <c r="D95" s="5" t="s">
        <v>34</v>
      </c>
      <c r="E95" s="5" t="s">
        <v>36</v>
      </c>
      <c r="F95" s="6">
        <v>620.0</v>
      </c>
      <c r="G95" s="6">
        <v>155.0</v>
      </c>
      <c r="H95" s="5" t="s">
        <v>59</v>
      </c>
      <c r="I95" s="5"/>
      <c r="J95" s="5" t="s">
        <v>64</v>
      </c>
      <c r="K95" s="5" t="s">
        <v>2822</v>
      </c>
      <c r="L95" s="5" t="s">
        <v>2788</v>
      </c>
      <c r="M95" s="5" t="s">
        <v>2789</v>
      </c>
      <c r="N95" s="5" t="s">
        <v>2824</v>
      </c>
      <c r="O95" s="5" t="s">
        <v>2825</v>
      </c>
      <c r="P95" s="5" t="s">
        <v>2793</v>
      </c>
      <c r="Q95" s="5" t="s">
        <v>95</v>
      </c>
      <c r="R95" s="5" t="s">
        <v>95</v>
      </c>
      <c r="S95" s="5" t="s">
        <v>416</v>
      </c>
      <c r="T95" s="5" t="s">
        <v>44</v>
      </c>
      <c r="U95" s="5" t="s">
        <v>44</v>
      </c>
      <c r="V95" s="5" t="s">
        <v>3030</v>
      </c>
      <c r="W95" s="6" t="s">
        <v>42</v>
      </c>
      <c r="X95" s="5" t="s">
        <v>3322</v>
      </c>
      <c r="Y95" s="6">
        <v>4923.0</v>
      </c>
    </row>
    <row r="96" ht="56.25" customHeight="1">
      <c r="A96" s="5" t="s">
        <v>3324</v>
      </c>
      <c r="B96" s="6" t="str">
        <f>IMAGE("https://storage.googleapis.com/acdb/wallpapers/RoomTexWallStripe02.png")</f>
        <v/>
      </c>
      <c r="C96" s="5" t="s">
        <v>36</v>
      </c>
      <c r="D96" s="5" t="s">
        <v>34</v>
      </c>
      <c r="E96" s="5" t="s">
        <v>36</v>
      </c>
      <c r="F96" s="6">
        <v>1520.0</v>
      </c>
      <c r="G96" s="6">
        <v>380.0</v>
      </c>
      <c r="H96" s="5" t="s">
        <v>59</v>
      </c>
      <c r="I96" s="5"/>
      <c r="J96" s="5" t="s">
        <v>64</v>
      </c>
      <c r="K96" s="5" t="s">
        <v>2787</v>
      </c>
      <c r="L96" s="5" t="s">
        <v>2986</v>
      </c>
      <c r="M96" s="5" t="s">
        <v>2789</v>
      </c>
      <c r="N96" s="5" t="s">
        <v>2791</v>
      </c>
      <c r="O96" s="5" t="s">
        <v>57</v>
      </c>
      <c r="P96" s="5" t="s">
        <v>2489</v>
      </c>
      <c r="Q96" s="5" t="s">
        <v>95</v>
      </c>
      <c r="R96" s="5" t="s">
        <v>57</v>
      </c>
      <c r="S96" s="5" t="s">
        <v>61</v>
      </c>
      <c r="T96" s="5" t="s">
        <v>99</v>
      </c>
      <c r="U96" s="5" t="s">
        <v>44</v>
      </c>
      <c r="V96" s="5" t="s">
        <v>3073</v>
      </c>
      <c r="W96" s="6" t="s">
        <v>42</v>
      </c>
      <c r="X96" s="5" t="s">
        <v>3327</v>
      </c>
      <c r="Y96" s="6">
        <v>4944.0</v>
      </c>
    </row>
    <row r="97" ht="56.25" customHeight="1">
      <c r="A97" s="5" t="s">
        <v>3329</v>
      </c>
      <c r="B97" s="6" t="str">
        <f>IMAGE("https://storage.googleapis.com/acdb/wallpapers/RoomTexWallCountry03.png")</f>
        <v/>
      </c>
      <c r="C97" s="5" t="s">
        <v>36</v>
      </c>
      <c r="D97" s="5" t="s">
        <v>34</v>
      </c>
      <c r="E97" s="5" t="s">
        <v>36</v>
      </c>
      <c r="F97" s="6">
        <v>1760.0</v>
      </c>
      <c r="G97" s="6">
        <v>440.0</v>
      </c>
      <c r="H97" s="5" t="s">
        <v>59</v>
      </c>
      <c r="I97" s="5"/>
      <c r="J97" s="5" t="s">
        <v>64</v>
      </c>
      <c r="K97" s="5" t="s">
        <v>2787</v>
      </c>
      <c r="L97" s="5" t="s">
        <v>3332</v>
      </c>
      <c r="M97" s="5" t="s">
        <v>2789</v>
      </c>
      <c r="N97" s="5" t="s">
        <v>2888</v>
      </c>
      <c r="O97" s="5" t="s">
        <v>3333</v>
      </c>
      <c r="P97" s="5" t="s">
        <v>2489</v>
      </c>
      <c r="Q97" s="5" t="s">
        <v>96</v>
      </c>
      <c r="R97" s="5" t="s">
        <v>39</v>
      </c>
      <c r="S97" s="5" t="s">
        <v>61</v>
      </c>
      <c r="T97" s="5" t="s">
        <v>90</v>
      </c>
      <c r="U97" s="5" t="s">
        <v>44</v>
      </c>
      <c r="V97" s="5" t="s">
        <v>2902</v>
      </c>
      <c r="W97" s="6" t="s">
        <v>42</v>
      </c>
      <c r="X97" s="5" t="s">
        <v>3334</v>
      </c>
      <c r="Y97" s="6">
        <v>4903.0</v>
      </c>
    </row>
    <row r="98" ht="56.25" customHeight="1">
      <c r="A98" s="5" t="s">
        <v>3335</v>
      </c>
      <c r="B98" s="6" t="str">
        <f>IMAGE("https://storage.googleapis.com/acdb/wallpapers/RoomTexWallManor02.png")</f>
        <v/>
      </c>
      <c r="C98" s="5" t="s">
        <v>36</v>
      </c>
      <c r="D98" s="5" t="s">
        <v>34</v>
      </c>
      <c r="E98" s="5" t="s">
        <v>36</v>
      </c>
      <c r="F98" s="6">
        <v>1900.0</v>
      </c>
      <c r="G98" s="6">
        <v>475.0</v>
      </c>
      <c r="H98" s="5" t="s">
        <v>59</v>
      </c>
      <c r="I98" s="5"/>
      <c r="J98" s="5" t="s">
        <v>64</v>
      </c>
      <c r="K98" s="5" t="s">
        <v>2787</v>
      </c>
      <c r="L98" s="5" t="s">
        <v>2939</v>
      </c>
      <c r="M98" s="5" t="s">
        <v>2789</v>
      </c>
      <c r="N98" s="5" t="s">
        <v>2791</v>
      </c>
      <c r="O98" s="5" t="s">
        <v>2965</v>
      </c>
      <c r="P98" s="5" t="s">
        <v>2489</v>
      </c>
      <c r="Q98" s="5" t="s">
        <v>96</v>
      </c>
      <c r="R98" s="5" t="s">
        <v>54</v>
      </c>
      <c r="S98" s="5" t="s">
        <v>116</v>
      </c>
      <c r="T98" s="5" t="s">
        <v>90</v>
      </c>
      <c r="U98" s="5" t="s">
        <v>44</v>
      </c>
      <c r="V98" s="5" t="s">
        <v>2966</v>
      </c>
      <c r="W98" s="6" t="s">
        <v>42</v>
      </c>
      <c r="X98" s="5" t="s">
        <v>3341</v>
      </c>
      <c r="Y98" s="6">
        <v>4898.0</v>
      </c>
    </row>
    <row r="99" ht="56.25" customHeight="1">
      <c r="A99" s="5" t="s">
        <v>3342</v>
      </c>
      <c r="B99" s="6" t="str">
        <f>IMAGE("https://storage.googleapis.com/acdb/wallpapers/RoomTexWallFlower01.png")</f>
        <v/>
      </c>
      <c r="C99" s="5" t="s">
        <v>36</v>
      </c>
      <c r="D99" s="5" t="s">
        <v>34</v>
      </c>
      <c r="E99" s="5" t="s">
        <v>36</v>
      </c>
      <c r="F99" s="6">
        <v>1780.0</v>
      </c>
      <c r="G99" s="6">
        <v>445.0</v>
      </c>
      <c r="H99" s="5" t="s">
        <v>59</v>
      </c>
      <c r="I99" s="5"/>
      <c r="J99" s="5" t="s">
        <v>64</v>
      </c>
      <c r="K99" s="5" t="s">
        <v>2787</v>
      </c>
      <c r="L99" s="5" t="s">
        <v>2986</v>
      </c>
      <c r="M99" s="5" t="s">
        <v>2789</v>
      </c>
      <c r="N99" s="5" t="s">
        <v>2888</v>
      </c>
      <c r="O99" s="5" t="s">
        <v>96</v>
      </c>
      <c r="P99" s="5" t="s">
        <v>2801</v>
      </c>
      <c r="Q99" s="5" t="s">
        <v>96</v>
      </c>
      <c r="R99" s="5" t="s">
        <v>38</v>
      </c>
      <c r="S99" s="5" t="s">
        <v>61</v>
      </c>
      <c r="T99" s="5" t="s">
        <v>90</v>
      </c>
      <c r="U99" s="5" t="s">
        <v>44</v>
      </c>
      <c r="V99" s="5" t="s">
        <v>2982</v>
      </c>
      <c r="W99" s="6" t="s">
        <v>42</v>
      </c>
      <c r="X99" s="5" t="s">
        <v>3345</v>
      </c>
      <c r="Y99" s="6">
        <v>4935.0</v>
      </c>
    </row>
    <row r="100" ht="56.25" customHeight="1">
      <c r="A100" s="5" t="s">
        <v>3347</v>
      </c>
      <c r="B100" s="6" t="str">
        <f>IMAGE("https://storage.googleapis.com/acdb/wallpapers/RoomTexWallHoneycomb02.png")</f>
        <v/>
      </c>
      <c r="C100" s="5" t="s">
        <v>36</v>
      </c>
      <c r="D100" s="5" t="s">
        <v>34</v>
      </c>
      <c r="E100" s="5" t="s">
        <v>36</v>
      </c>
      <c r="F100" s="6">
        <v>1680.0</v>
      </c>
      <c r="G100" s="6">
        <v>420.0</v>
      </c>
      <c r="H100" s="5" t="s">
        <v>59</v>
      </c>
      <c r="I100" s="5"/>
      <c r="J100" s="5" t="s">
        <v>64</v>
      </c>
      <c r="K100" s="5" t="s">
        <v>2907</v>
      </c>
      <c r="L100" s="5" t="s">
        <v>3066</v>
      </c>
      <c r="M100" s="5" t="s">
        <v>2789</v>
      </c>
      <c r="N100" s="5" t="s">
        <v>44</v>
      </c>
      <c r="O100" s="5" t="s">
        <v>34</v>
      </c>
      <c r="P100" s="5" t="s">
        <v>2489</v>
      </c>
      <c r="Q100" s="5" t="s">
        <v>96</v>
      </c>
      <c r="R100" s="5" t="s">
        <v>96</v>
      </c>
      <c r="S100" s="5" t="s">
        <v>288</v>
      </c>
      <c r="T100" s="5" t="s">
        <v>141</v>
      </c>
      <c r="U100" s="5" t="s">
        <v>44</v>
      </c>
      <c r="V100" s="5" t="s">
        <v>2995</v>
      </c>
      <c r="W100" s="6" t="s">
        <v>42</v>
      </c>
      <c r="X100" s="5" t="s">
        <v>3350</v>
      </c>
      <c r="Y100" s="6">
        <v>4913.0</v>
      </c>
    </row>
    <row r="101" ht="56.25" customHeight="1">
      <c r="A101" s="5" t="s">
        <v>3351</v>
      </c>
      <c r="B101" s="6" t="str">
        <f>IMAGE("https://storage.googleapis.com/acdb/wallpapers/RoomTexWallFlowerPop02.png")</f>
        <v/>
      </c>
      <c r="C101" s="5" t="s">
        <v>36</v>
      </c>
      <c r="D101" s="5" t="s">
        <v>34</v>
      </c>
      <c r="E101" s="5" t="s">
        <v>36</v>
      </c>
      <c r="F101" s="6">
        <v>1570.0</v>
      </c>
      <c r="G101" s="6">
        <v>392.0</v>
      </c>
      <c r="H101" s="5" t="s">
        <v>59</v>
      </c>
      <c r="I101" s="5"/>
      <c r="J101" s="5" t="s">
        <v>64</v>
      </c>
      <c r="K101" s="5" t="s">
        <v>2787</v>
      </c>
      <c r="L101" s="5" t="s">
        <v>2788</v>
      </c>
      <c r="M101" s="5" t="s">
        <v>2789</v>
      </c>
      <c r="N101" s="5" t="s">
        <v>2791</v>
      </c>
      <c r="O101" s="5" t="s">
        <v>57</v>
      </c>
      <c r="P101" s="5" t="s">
        <v>2793</v>
      </c>
      <c r="Q101" s="5" t="s">
        <v>96</v>
      </c>
      <c r="R101" s="5" t="s">
        <v>57</v>
      </c>
      <c r="S101" s="5" t="s">
        <v>90</v>
      </c>
      <c r="T101" s="5" t="s">
        <v>62</v>
      </c>
      <c r="U101" s="5" t="s">
        <v>44</v>
      </c>
      <c r="V101" s="5" t="s">
        <v>3000</v>
      </c>
      <c r="W101" s="6" t="s">
        <v>42</v>
      </c>
      <c r="X101" s="5" t="s">
        <v>3355</v>
      </c>
      <c r="Y101" s="6">
        <v>6878.0</v>
      </c>
    </row>
    <row r="102" ht="56.25" customHeight="1">
      <c r="A102" s="5" t="s">
        <v>3356</v>
      </c>
      <c r="B102" s="6" t="str">
        <f>IMAGE("https://storage.googleapis.com/acdb/wallpapers/RoomTexWallPanelMold03.png")</f>
        <v/>
      </c>
      <c r="C102" s="5" t="s">
        <v>36</v>
      </c>
      <c r="D102" s="5" t="s">
        <v>34</v>
      </c>
      <c r="E102" s="5" t="s">
        <v>36</v>
      </c>
      <c r="F102" s="6">
        <v>1980.0</v>
      </c>
      <c r="G102" s="6">
        <v>495.0</v>
      </c>
      <c r="H102" s="5" t="s">
        <v>59</v>
      </c>
      <c r="I102" s="5"/>
      <c r="J102" s="5" t="s">
        <v>64</v>
      </c>
      <c r="K102" s="5" t="s">
        <v>2907</v>
      </c>
      <c r="L102" s="5" t="s">
        <v>2823</v>
      </c>
      <c r="M102" s="5" t="s">
        <v>2789</v>
      </c>
      <c r="N102" s="5" t="s">
        <v>44</v>
      </c>
      <c r="O102" s="5" t="s">
        <v>34</v>
      </c>
      <c r="P102" s="5" t="s">
        <v>2489</v>
      </c>
      <c r="Q102" s="5" t="s">
        <v>96</v>
      </c>
      <c r="R102" s="5" t="s">
        <v>57</v>
      </c>
      <c r="S102" s="5" t="s">
        <v>61</v>
      </c>
      <c r="T102" s="5" t="s">
        <v>99</v>
      </c>
      <c r="U102" s="5" t="s">
        <v>44</v>
      </c>
      <c r="V102" s="5" t="s">
        <v>3006</v>
      </c>
      <c r="W102" s="6" t="s">
        <v>42</v>
      </c>
      <c r="X102" s="5" t="s">
        <v>3357</v>
      </c>
      <c r="Y102" s="6">
        <v>6854.0</v>
      </c>
    </row>
    <row r="103" ht="56.25" customHeight="1">
      <c r="A103" s="5" t="s">
        <v>3359</v>
      </c>
      <c r="B103" s="6" t="str">
        <f>IMAGE("https://storage.googleapis.com/acdb/wallpapers/RoomTexWallPaintWood01.png")</f>
        <v/>
      </c>
      <c r="C103" s="5" t="s">
        <v>36</v>
      </c>
      <c r="D103" s="5" t="s">
        <v>34</v>
      </c>
      <c r="E103" s="5" t="s">
        <v>36</v>
      </c>
      <c r="F103" s="6">
        <v>1650.0</v>
      </c>
      <c r="G103" s="6">
        <v>412.0</v>
      </c>
      <c r="H103" s="5" t="s">
        <v>59</v>
      </c>
      <c r="I103" s="5"/>
      <c r="J103" s="5" t="s">
        <v>64</v>
      </c>
      <c r="K103" s="5" t="s">
        <v>2787</v>
      </c>
      <c r="L103" s="5" t="s">
        <v>2986</v>
      </c>
      <c r="M103" s="5" t="s">
        <v>2789</v>
      </c>
      <c r="N103" s="5" t="s">
        <v>44</v>
      </c>
      <c r="O103" s="5" t="s">
        <v>34</v>
      </c>
      <c r="P103" s="5" t="s">
        <v>2793</v>
      </c>
      <c r="Q103" s="5" t="s">
        <v>96</v>
      </c>
      <c r="R103" s="5" t="s">
        <v>96</v>
      </c>
      <c r="S103" s="5" t="s">
        <v>61</v>
      </c>
      <c r="T103" s="5" t="s">
        <v>99</v>
      </c>
      <c r="U103" s="5" t="s">
        <v>44</v>
      </c>
      <c r="V103" s="5" t="s">
        <v>3012</v>
      </c>
      <c r="W103" s="6" t="s">
        <v>42</v>
      </c>
      <c r="X103" s="5" t="s">
        <v>3362</v>
      </c>
      <c r="Y103" s="6">
        <v>4949.0</v>
      </c>
    </row>
    <row r="104" ht="56.25" customHeight="1">
      <c r="A104" s="5" t="s">
        <v>3363</v>
      </c>
      <c r="B104" s="6" t="str">
        <f>IMAGE("https://storage.googleapis.com/acdb/wallpapers/RoomTexWallToy02.png")</f>
        <v/>
      </c>
      <c r="C104" s="5" t="s">
        <v>36</v>
      </c>
      <c r="D104" s="5" t="s">
        <v>34</v>
      </c>
      <c r="E104" s="5" t="s">
        <v>36</v>
      </c>
      <c r="F104" s="6">
        <v>2540.0</v>
      </c>
      <c r="G104" s="6">
        <v>635.0</v>
      </c>
      <c r="H104" s="5" t="s">
        <v>59</v>
      </c>
      <c r="I104" s="5"/>
      <c r="J104" s="5" t="s">
        <v>64</v>
      </c>
      <c r="K104" s="5" t="s">
        <v>2907</v>
      </c>
      <c r="L104" s="5" t="s">
        <v>2823</v>
      </c>
      <c r="M104" s="5" t="s">
        <v>2789</v>
      </c>
      <c r="N104" s="5" t="s">
        <v>44</v>
      </c>
      <c r="O104" s="5" t="s">
        <v>34</v>
      </c>
      <c r="P104" s="5" t="s">
        <v>2801</v>
      </c>
      <c r="Q104" s="5" t="s">
        <v>96</v>
      </c>
      <c r="R104" s="5" t="s">
        <v>96</v>
      </c>
      <c r="S104" s="5" t="s">
        <v>99</v>
      </c>
      <c r="T104" s="5" t="s">
        <v>61</v>
      </c>
      <c r="U104" s="5" t="s">
        <v>44</v>
      </c>
      <c r="V104" s="5" t="s">
        <v>3017</v>
      </c>
      <c r="W104" s="6" t="s">
        <v>42</v>
      </c>
      <c r="X104" s="5" t="s">
        <v>3366</v>
      </c>
      <c r="Y104" s="6">
        <v>6866.0</v>
      </c>
    </row>
    <row r="105" ht="56.25" customHeight="1">
      <c r="A105" s="5" t="s">
        <v>3367</v>
      </c>
      <c r="B105" s="6" t="str">
        <f>IMAGE("https://storage.googleapis.com/acdb/wallpapers/RoomTexWallStucco04.png")</f>
        <v/>
      </c>
      <c r="C105" s="5" t="s">
        <v>36</v>
      </c>
      <c r="D105" s="5" t="s">
        <v>34</v>
      </c>
      <c r="E105" s="5" t="s">
        <v>36</v>
      </c>
      <c r="F105" s="6">
        <v>1600.0</v>
      </c>
      <c r="G105" s="6">
        <v>400.0</v>
      </c>
      <c r="H105" s="5" t="s">
        <v>59</v>
      </c>
      <c r="I105" s="5"/>
      <c r="J105" s="5" t="s">
        <v>64</v>
      </c>
      <c r="K105" s="5" t="s">
        <v>2787</v>
      </c>
      <c r="L105" s="5" t="s">
        <v>2939</v>
      </c>
      <c r="M105" s="5" t="s">
        <v>2789</v>
      </c>
      <c r="N105" s="5" t="s">
        <v>44</v>
      </c>
      <c r="O105" s="5" t="s">
        <v>34</v>
      </c>
      <c r="P105" s="5" t="s">
        <v>2793</v>
      </c>
      <c r="Q105" s="5" t="s">
        <v>96</v>
      </c>
      <c r="R105" s="5" t="s">
        <v>96</v>
      </c>
      <c r="S105" s="5" t="s">
        <v>61</v>
      </c>
      <c r="T105" s="5" t="s">
        <v>90</v>
      </c>
      <c r="U105" s="5" t="s">
        <v>44</v>
      </c>
      <c r="V105" s="5" t="s">
        <v>3062</v>
      </c>
      <c r="W105" s="6" t="s">
        <v>42</v>
      </c>
      <c r="X105" s="5" t="s">
        <v>3374</v>
      </c>
      <c r="Y105" s="6">
        <v>4812.0</v>
      </c>
    </row>
    <row r="106" ht="56.25" customHeight="1">
      <c r="A106" s="5" t="s">
        <v>3375</v>
      </c>
      <c r="B106" s="6" t="str">
        <f>IMAGE("https://storage.googleapis.com/acdb/wallpapers/RoomTexWallPsyche00.png")</f>
        <v/>
      </c>
      <c r="C106" s="5" t="s">
        <v>36</v>
      </c>
      <c r="D106" s="5" t="s">
        <v>34</v>
      </c>
      <c r="E106" s="5" t="s">
        <v>36</v>
      </c>
      <c r="F106" s="6">
        <v>1280.0</v>
      </c>
      <c r="G106" s="6">
        <v>320.0</v>
      </c>
      <c r="H106" s="5" t="s">
        <v>59</v>
      </c>
      <c r="I106" s="5"/>
      <c r="J106" s="5" t="s">
        <v>64</v>
      </c>
      <c r="K106" s="5" t="s">
        <v>2822</v>
      </c>
      <c r="L106" s="5" t="s">
        <v>2887</v>
      </c>
      <c r="M106" s="5" t="s">
        <v>2789</v>
      </c>
      <c r="N106" s="5" t="s">
        <v>2824</v>
      </c>
      <c r="O106" s="5" t="s">
        <v>3095</v>
      </c>
      <c r="P106" s="5" t="s">
        <v>2801</v>
      </c>
      <c r="Q106" s="5" t="s">
        <v>142</v>
      </c>
      <c r="R106" s="5" t="s">
        <v>142</v>
      </c>
      <c r="S106" s="5" t="s">
        <v>465</v>
      </c>
      <c r="T106" s="5" t="s">
        <v>44</v>
      </c>
      <c r="U106" s="5" t="s">
        <v>44</v>
      </c>
      <c r="V106" s="5" t="s">
        <v>2795</v>
      </c>
      <c r="W106" s="6" t="s">
        <v>42</v>
      </c>
      <c r="X106" s="5" t="s">
        <v>3378</v>
      </c>
      <c r="Y106" s="6">
        <v>4846.0</v>
      </c>
    </row>
    <row r="107" ht="56.25" customHeight="1">
      <c r="A107" s="5" t="s">
        <v>3380</v>
      </c>
      <c r="B107" s="6" t="str">
        <f>IMAGE("https://storage.googleapis.com/acdb/wallpapers/RoomTexWallOriental00.png")</f>
        <v/>
      </c>
      <c r="C107" s="5" t="s">
        <v>36</v>
      </c>
      <c r="D107" s="5" t="s">
        <v>34</v>
      </c>
      <c r="E107" s="5" t="s">
        <v>36</v>
      </c>
      <c r="F107" s="6">
        <v>1780.0</v>
      </c>
      <c r="G107" s="6">
        <v>445.0</v>
      </c>
      <c r="H107" s="5" t="s">
        <v>59</v>
      </c>
      <c r="I107" s="5"/>
      <c r="J107" s="5" t="s">
        <v>64</v>
      </c>
      <c r="K107" s="5" t="s">
        <v>44</v>
      </c>
      <c r="L107" s="5" t="s">
        <v>34</v>
      </c>
      <c r="M107" s="5" t="s">
        <v>34</v>
      </c>
      <c r="N107" s="5" t="s">
        <v>44</v>
      </c>
      <c r="O107" s="5" t="s">
        <v>34</v>
      </c>
      <c r="P107" s="5" t="s">
        <v>2489</v>
      </c>
      <c r="Q107" s="5" t="s">
        <v>39</v>
      </c>
      <c r="R107" s="5" t="s">
        <v>39</v>
      </c>
      <c r="S107" s="5" t="s">
        <v>266</v>
      </c>
      <c r="T107" s="5" t="s">
        <v>62</v>
      </c>
      <c r="U107" s="5" t="s">
        <v>44</v>
      </c>
      <c r="V107" s="5" t="s">
        <v>2804</v>
      </c>
      <c r="W107" s="6" t="s">
        <v>42</v>
      </c>
      <c r="X107" s="5" t="s">
        <v>3383</v>
      </c>
      <c r="Y107" s="6">
        <v>11180.0</v>
      </c>
    </row>
    <row r="108" ht="56.25" customHeight="1">
      <c r="A108" s="5" t="s">
        <v>3384</v>
      </c>
      <c r="B108" s="6" t="str">
        <f>IMAGE("https://storage.googleapis.com/acdb/wallpapers/RoomTexWallThickCurtain00.png")</f>
        <v/>
      </c>
      <c r="C108" s="5" t="s">
        <v>36</v>
      </c>
      <c r="D108" s="5" t="s">
        <v>34</v>
      </c>
      <c r="E108" s="5" t="s">
        <v>36</v>
      </c>
      <c r="F108" s="6">
        <v>3000.0</v>
      </c>
      <c r="G108" s="6">
        <v>750.0</v>
      </c>
      <c r="H108" s="5" t="s">
        <v>2800</v>
      </c>
      <c r="I108" s="5"/>
      <c r="J108" s="5" t="s">
        <v>48</v>
      </c>
      <c r="K108" s="5" t="s">
        <v>44</v>
      </c>
      <c r="L108" s="5" t="s">
        <v>34</v>
      </c>
      <c r="M108" s="5" t="s">
        <v>34</v>
      </c>
      <c r="N108" s="5" t="s">
        <v>44</v>
      </c>
      <c r="O108" s="5" t="s">
        <v>34</v>
      </c>
      <c r="P108" s="5" t="s">
        <v>2801</v>
      </c>
      <c r="Q108" s="5" t="s">
        <v>52</v>
      </c>
      <c r="R108" s="5" t="s">
        <v>54</v>
      </c>
      <c r="S108" s="5" t="s">
        <v>43</v>
      </c>
      <c r="T108" s="5" t="s">
        <v>465</v>
      </c>
      <c r="U108" s="5" t="s">
        <v>44</v>
      </c>
      <c r="V108" s="5" t="s">
        <v>2795</v>
      </c>
      <c r="W108" s="6" t="s">
        <v>42</v>
      </c>
      <c r="X108" s="5" t="s">
        <v>3388</v>
      </c>
      <c r="Y108" s="6">
        <v>4878.0</v>
      </c>
    </row>
    <row r="109" ht="56.25" customHeight="1">
      <c r="A109" s="5" t="s">
        <v>3389</v>
      </c>
      <c r="B109" s="6" t="str">
        <f>IMAGE("https://storage.googleapis.com/acdb/wallpapers/RoomTexWallHoney00.png")</f>
        <v/>
      </c>
      <c r="C109" s="5" t="s">
        <v>36</v>
      </c>
      <c r="D109" s="5" t="s">
        <v>34</v>
      </c>
      <c r="E109" s="5" t="s">
        <v>35</v>
      </c>
      <c r="F109" s="6" t="s">
        <v>37</v>
      </c>
      <c r="G109" s="6">
        <v>3600.0</v>
      </c>
      <c r="H109" s="5" t="s">
        <v>41</v>
      </c>
      <c r="I109" s="5"/>
      <c r="J109" s="5" t="s">
        <v>48</v>
      </c>
      <c r="K109" s="5" t="s">
        <v>44</v>
      </c>
      <c r="L109" s="5" t="s">
        <v>34</v>
      </c>
      <c r="M109" s="5" t="s">
        <v>34</v>
      </c>
      <c r="N109" s="5" t="s">
        <v>44</v>
      </c>
      <c r="O109" s="5" t="s">
        <v>34</v>
      </c>
      <c r="P109" s="5" t="s">
        <v>2801</v>
      </c>
      <c r="Q109" s="5" t="s">
        <v>114</v>
      </c>
      <c r="R109" s="5" t="s">
        <v>114</v>
      </c>
      <c r="S109" s="5" t="s">
        <v>61</v>
      </c>
      <c r="T109" s="5" t="s">
        <v>141</v>
      </c>
      <c r="U109" s="5" t="s">
        <v>44</v>
      </c>
      <c r="V109" s="5" t="s">
        <v>2828</v>
      </c>
      <c r="W109" s="6" t="s">
        <v>42</v>
      </c>
      <c r="X109" s="5" t="s">
        <v>3392</v>
      </c>
      <c r="Y109" s="6">
        <v>4865.0</v>
      </c>
    </row>
    <row r="110" ht="56.25" customHeight="1">
      <c r="A110" s="5" t="s">
        <v>3393</v>
      </c>
      <c r="B110" s="6" t="str">
        <f>IMAGE("https://storage.googleapis.com/acdb/wallpapers/RoomTexWallHoneycomb00.png")</f>
        <v/>
      </c>
      <c r="C110" s="5" t="s">
        <v>36</v>
      </c>
      <c r="D110" s="5" t="s">
        <v>34</v>
      </c>
      <c r="E110" s="5" t="s">
        <v>36</v>
      </c>
      <c r="F110" s="6">
        <v>1680.0</v>
      </c>
      <c r="G110" s="6">
        <v>420.0</v>
      </c>
      <c r="H110" s="5" t="s">
        <v>59</v>
      </c>
      <c r="I110" s="5"/>
      <c r="J110" s="5" t="s">
        <v>64</v>
      </c>
      <c r="K110" s="5" t="s">
        <v>2907</v>
      </c>
      <c r="L110" s="5" t="s">
        <v>2913</v>
      </c>
      <c r="M110" s="5" t="s">
        <v>2789</v>
      </c>
      <c r="N110" s="5" t="s">
        <v>44</v>
      </c>
      <c r="O110" s="5" t="s">
        <v>34</v>
      </c>
      <c r="P110" s="5" t="s">
        <v>2801</v>
      </c>
      <c r="Q110" s="5" t="s">
        <v>39</v>
      </c>
      <c r="R110" s="5" t="s">
        <v>39</v>
      </c>
      <c r="S110" s="5" t="s">
        <v>288</v>
      </c>
      <c r="T110" s="5" t="s">
        <v>141</v>
      </c>
      <c r="U110" s="5" t="s">
        <v>44</v>
      </c>
      <c r="V110" s="5" t="s">
        <v>2995</v>
      </c>
      <c r="W110" s="6" t="s">
        <v>42</v>
      </c>
      <c r="X110" s="5" t="s">
        <v>3395</v>
      </c>
      <c r="Y110" s="6">
        <v>4909.0</v>
      </c>
    </row>
    <row r="111" ht="56.25" customHeight="1">
      <c r="A111" s="5" t="s">
        <v>3396</v>
      </c>
      <c r="B111" s="6" t="str">
        <f>IMAGE("https://storage.googleapis.com/acdb/wallpapers/RoomSpWallIce00.png")</f>
        <v/>
      </c>
      <c r="C111" s="5" t="s">
        <v>35</v>
      </c>
      <c r="D111" s="5" t="s">
        <v>34</v>
      </c>
      <c r="E111" s="5" t="s">
        <v>35</v>
      </c>
      <c r="F111" s="6" t="s">
        <v>37</v>
      </c>
      <c r="G111" s="6">
        <v>8200.0</v>
      </c>
      <c r="H111" s="5" t="s">
        <v>1891</v>
      </c>
      <c r="I111" s="5" t="s">
        <v>1893</v>
      </c>
      <c r="J111" s="5" t="s">
        <v>48</v>
      </c>
      <c r="K111" s="5" t="s">
        <v>44</v>
      </c>
      <c r="L111" s="5" t="s">
        <v>34</v>
      </c>
      <c r="M111" s="5" t="s">
        <v>34</v>
      </c>
      <c r="N111" s="5" t="s">
        <v>44</v>
      </c>
      <c r="O111" s="5" t="s">
        <v>34</v>
      </c>
      <c r="P111" s="5" t="s">
        <v>811</v>
      </c>
      <c r="Q111" s="5" t="s">
        <v>83</v>
      </c>
      <c r="R111" s="5" t="s">
        <v>83</v>
      </c>
      <c r="S111" s="5" t="s">
        <v>1894</v>
      </c>
      <c r="T111" s="5" t="s">
        <v>141</v>
      </c>
      <c r="U111" s="5" t="s">
        <v>1895</v>
      </c>
      <c r="V111" s="5" t="s">
        <v>2834</v>
      </c>
      <c r="W111" s="6" t="s">
        <v>42</v>
      </c>
      <c r="X111" s="5" t="s">
        <v>3401</v>
      </c>
      <c r="Y111" s="6">
        <v>5505.0</v>
      </c>
    </row>
    <row r="112" ht="56.25" customHeight="1">
      <c r="A112" s="5" t="s">
        <v>3402</v>
      </c>
      <c r="B112" s="6" t="str">
        <f>IMAGE("https://storage.googleapis.com/acdb/wallpapers/RoomTexWallIceFloe00.png")</f>
        <v/>
      </c>
      <c r="C112" s="5" t="s">
        <v>36</v>
      </c>
      <c r="D112" s="5" t="s">
        <v>34</v>
      </c>
      <c r="E112" s="5" t="s">
        <v>35</v>
      </c>
      <c r="F112" s="6" t="s">
        <v>37</v>
      </c>
      <c r="G112" s="6">
        <v>4000.0</v>
      </c>
      <c r="H112" s="5" t="s">
        <v>41</v>
      </c>
      <c r="I112" s="5" t="s">
        <v>2176</v>
      </c>
      <c r="J112" s="5" t="s">
        <v>48</v>
      </c>
      <c r="K112" s="5" t="s">
        <v>44</v>
      </c>
      <c r="L112" s="5" t="s">
        <v>34</v>
      </c>
      <c r="M112" s="5" t="s">
        <v>34</v>
      </c>
      <c r="N112" s="5" t="s">
        <v>44</v>
      </c>
      <c r="O112" s="5" t="s">
        <v>34</v>
      </c>
      <c r="P112" s="5" t="s">
        <v>2801</v>
      </c>
      <c r="Q112" s="5" t="s">
        <v>83</v>
      </c>
      <c r="R112" s="5" t="s">
        <v>57</v>
      </c>
      <c r="S112" s="5" t="s">
        <v>1894</v>
      </c>
      <c r="T112" s="5" t="s">
        <v>44</v>
      </c>
      <c r="U112" s="5" t="s">
        <v>44</v>
      </c>
      <c r="V112" s="5" t="s">
        <v>2952</v>
      </c>
      <c r="W112" s="6" t="s">
        <v>42</v>
      </c>
      <c r="X112" s="5" t="s">
        <v>3408</v>
      </c>
      <c r="Y112" s="6">
        <v>5662.0</v>
      </c>
    </row>
    <row r="113" ht="56.25" customHeight="1">
      <c r="A113" s="5" t="s">
        <v>3409</v>
      </c>
      <c r="B113" s="6" t="str">
        <f>IMAGE("https://storage.googleapis.com/acdb/wallpapers/RoomTexWallDynasty00.png")</f>
        <v/>
      </c>
      <c r="C113" s="5" t="s">
        <v>36</v>
      </c>
      <c r="D113" s="5" t="s">
        <v>34</v>
      </c>
      <c r="E113" s="5" t="s">
        <v>36</v>
      </c>
      <c r="F113" s="6">
        <v>3000.0</v>
      </c>
      <c r="G113" s="6">
        <v>750.0</v>
      </c>
      <c r="H113" s="5" t="s">
        <v>2800</v>
      </c>
      <c r="I113" s="5"/>
      <c r="J113" s="5" t="s">
        <v>48</v>
      </c>
      <c r="K113" s="5" t="s">
        <v>44</v>
      </c>
      <c r="L113" s="5" t="s">
        <v>34</v>
      </c>
      <c r="M113" s="5" t="s">
        <v>34</v>
      </c>
      <c r="N113" s="5" t="s">
        <v>44</v>
      </c>
      <c r="O113" s="5" t="s">
        <v>34</v>
      </c>
      <c r="P113" s="5" t="s">
        <v>2801</v>
      </c>
      <c r="Q113" s="5" t="s">
        <v>52</v>
      </c>
      <c r="R113" s="5" t="s">
        <v>52</v>
      </c>
      <c r="S113" s="5" t="s">
        <v>116</v>
      </c>
      <c r="T113" s="5" t="s">
        <v>44</v>
      </c>
      <c r="U113" s="5" t="s">
        <v>44</v>
      </c>
      <c r="V113" s="5" t="s">
        <v>2804</v>
      </c>
      <c r="W113" s="6" t="s">
        <v>42</v>
      </c>
      <c r="X113" s="5" t="s">
        <v>3412</v>
      </c>
      <c r="Y113" s="6">
        <v>5224.0</v>
      </c>
    </row>
    <row r="114" ht="56.25" customHeight="1">
      <c r="A114" s="5" t="s">
        <v>3413</v>
      </c>
      <c r="B114" s="6" t="str">
        <f>IMAGE("https://storage.googleapis.com/acdb/wallpapers/RoomTexWallFactory00.png")</f>
        <v/>
      </c>
      <c r="C114" s="5" t="s">
        <v>36</v>
      </c>
      <c r="D114" s="5" t="s">
        <v>34</v>
      </c>
      <c r="E114" s="5" t="s">
        <v>36</v>
      </c>
      <c r="F114" s="6">
        <v>3000.0</v>
      </c>
      <c r="G114" s="6">
        <v>750.0</v>
      </c>
      <c r="H114" s="5" t="s">
        <v>2800</v>
      </c>
      <c r="I114" s="5"/>
      <c r="J114" s="5" t="s">
        <v>48</v>
      </c>
      <c r="K114" s="5" t="s">
        <v>44</v>
      </c>
      <c r="L114" s="5" t="s">
        <v>34</v>
      </c>
      <c r="M114" s="5" t="s">
        <v>34</v>
      </c>
      <c r="N114" s="5" t="s">
        <v>44</v>
      </c>
      <c r="O114" s="5" t="s">
        <v>34</v>
      </c>
      <c r="P114" s="5" t="s">
        <v>2801</v>
      </c>
      <c r="Q114" s="5" t="s">
        <v>54</v>
      </c>
      <c r="R114" s="5" t="s">
        <v>54</v>
      </c>
      <c r="S114" s="5" t="s">
        <v>141</v>
      </c>
      <c r="T114" s="5" t="s">
        <v>44</v>
      </c>
      <c r="U114" s="5" t="s">
        <v>44</v>
      </c>
      <c r="V114" s="5" t="s">
        <v>2877</v>
      </c>
      <c r="W114" s="6" t="s">
        <v>42</v>
      </c>
      <c r="X114" s="5" t="s">
        <v>3417</v>
      </c>
      <c r="Y114" s="6">
        <v>4876.0</v>
      </c>
    </row>
    <row r="115" ht="56.25" customHeight="1">
      <c r="A115" s="5" t="s">
        <v>3418</v>
      </c>
      <c r="B115" s="6" t="str">
        <f>IMAGE("https://storage.googleapis.com/acdb/wallpapers/RoomTexWallIvy00.png")</f>
        <v/>
      </c>
      <c r="C115" s="5" t="s">
        <v>36</v>
      </c>
      <c r="D115" s="5" t="s">
        <v>2845</v>
      </c>
      <c r="E115" s="5" t="s">
        <v>36</v>
      </c>
      <c r="F115" s="6">
        <v>3000.0</v>
      </c>
      <c r="G115" s="6">
        <v>750.0</v>
      </c>
      <c r="H115" s="5" t="s">
        <v>2800</v>
      </c>
      <c r="I115" s="5"/>
      <c r="J115" s="5" t="s">
        <v>48</v>
      </c>
      <c r="K115" s="5" t="s">
        <v>44</v>
      </c>
      <c r="L115" s="5" t="s">
        <v>34</v>
      </c>
      <c r="M115" s="5" t="s">
        <v>34</v>
      </c>
      <c r="N115" s="5" t="s">
        <v>44</v>
      </c>
      <c r="O115" s="5" t="s">
        <v>34</v>
      </c>
      <c r="P115" s="5" t="s">
        <v>2489</v>
      </c>
      <c r="Q115" s="5" t="s">
        <v>39</v>
      </c>
      <c r="R115" s="5" t="s">
        <v>96</v>
      </c>
      <c r="S115" s="5" t="s">
        <v>141</v>
      </c>
      <c r="T115" s="5" t="s">
        <v>62</v>
      </c>
      <c r="U115" s="5" t="s">
        <v>44</v>
      </c>
      <c r="V115" s="5" t="s">
        <v>2856</v>
      </c>
      <c r="W115" s="6" t="s">
        <v>42</v>
      </c>
      <c r="X115" s="5" t="s">
        <v>3421</v>
      </c>
      <c r="Y115" s="6">
        <v>4850.0</v>
      </c>
    </row>
    <row r="116" ht="56.25" customHeight="1">
      <c r="A116" s="5" t="s">
        <v>3422</v>
      </c>
      <c r="B116" s="6" t="str">
        <f>IMAGE("https://storage.googleapis.com/acdb/wallpapers/RoomSpWallXmas00.png")</f>
        <v/>
      </c>
      <c r="C116" s="5" t="s">
        <v>35</v>
      </c>
      <c r="D116" s="5" t="s">
        <v>34</v>
      </c>
      <c r="E116" s="5" t="s">
        <v>35</v>
      </c>
      <c r="F116" s="6" t="s">
        <v>37</v>
      </c>
      <c r="G116" s="6">
        <v>2500.0</v>
      </c>
      <c r="H116" s="5" t="s">
        <v>41</v>
      </c>
      <c r="I116" s="5" t="s">
        <v>969</v>
      </c>
      <c r="J116" s="5" t="s">
        <v>48</v>
      </c>
      <c r="K116" s="5" t="s">
        <v>44</v>
      </c>
      <c r="L116" s="5" t="s">
        <v>34</v>
      </c>
      <c r="M116" s="5" t="s">
        <v>34</v>
      </c>
      <c r="N116" s="5" t="s">
        <v>44</v>
      </c>
      <c r="O116" s="5" t="s">
        <v>34</v>
      </c>
      <c r="P116" s="5" t="s">
        <v>2801</v>
      </c>
      <c r="Q116" s="5" t="s">
        <v>96</v>
      </c>
      <c r="R116" s="5" t="s">
        <v>58</v>
      </c>
      <c r="S116" s="5" t="s">
        <v>61</v>
      </c>
      <c r="T116" s="5" t="s">
        <v>465</v>
      </c>
      <c r="U116" s="5" t="s">
        <v>970</v>
      </c>
      <c r="V116" s="5" t="s">
        <v>2834</v>
      </c>
      <c r="W116" s="6" t="s">
        <v>42</v>
      </c>
      <c r="X116" s="5" t="s">
        <v>3424</v>
      </c>
      <c r="Y116" s="6">
        <v>5230.0</v>
      </c>
    </row>
    <row r="117" ht="56.25" customHeight="1">
      <c r="A117" s="5" t="s">
        <v>3426</v>
      </c>
      <c r="B117" s="6" t="str">
        <f>IMAGE("https://storage.googleapis.com/acdb/wallpapers/RoomTexWallJungle00.png")</f>
        <v/>
      </c>
      <c r="C117" s="5" t="s">
        <v>36</v>
      </c>
      <c r="D117" s="5" t="s">
        <v>34</v>
      </c>
      <c r="E117" s="5" t="s">
        <v>35</v>
      </c>
      <c r="F117" s="6" t="s">
        <v>37</v>
      </c>
      <c r="G117" s="6">
        <v>1380.0</v>
      </c>
      <c r="H117" s="5" t="s">
        <v>41</v>
      </c>
      <c r="I117" s="5"/>
      <c r="J117" s="5" t="s">
        <v>48</v>
      </c>
      <c r="K117" s="5" t="s">
        <v>44</v>
      </c>
      <c r="L117" s="5" t="s">
        <v>34</v>
      </c>
      <c r="M117" s="5" t="s">
        <v>34</v>
      </c>
      <c r="N117" s="5" t="s">
        <v>44</v>
      </c>
      <c r="O117" s="5" t="s">
        <v>34</v>
      </c>
      <c r="P117" s="5" t="s">
        <v>2793</v>
      </c>
      <c r="Q117" s="5" t="s">
        <v>96</v>
      </c>
      <c r="R117" s="5" t="s">
        <v>96</v>
      </c>
      <c r="S117" s="5" t="s">
        <v>172</v>
      </c>
      <c r="T117" s="5" t="s">
        <v>141</v>
      </c>
      <c r="U117" s="5" t="s">
        <v>44</v>
      </c>
      <c r="V117" s="5" t="s">
        <v>2856</v>
      </c>
      <c r="W117" s="6" t="s">
        <v>42</v>
      </c>
      <c r="X117" s="5" t="s">
        <v>3427</v>
      </c>
      <c r="Y117" s="6">
        <v>5457.0</v>
      </c>
    </row>
    <row r="118" ht="56.25" customHeight="1">
      <c r="A118" s="5" t="s">
        <v>3429</v>
      </c>
      <c r="B118" s="6" t="str">
        <f>IMAGE("https://storage.googleapis.com/acdb/wallpapers/RoomTexWallKiss00.png")</f>
        <v/>
      </c>
      <c r="C118" s="5" t="s">
        <v>36</v>
      </c>
      <c r="D118" s="5" t="s">
        <v>2837</v>
      </c>
      <c r="E118" s="5" t="s">
        <v>36</v>
      </c>
      <c r="F118" s="6">
        <v>3000.0</v>
      </c>
      <c r="G118" s="6">
        <v>750.0</v>
      </c>
      <c r="H118" s="5" t="s">
        <v>2800</v>
      </c>
      <c r="I118" s="5"/>
      <c r="J118" s="5" t="s">
        <v>48</v>
      </c>
      <c r="K118" s="5" t="s">
        <v>2822</v>
      </c>
      <c r="L118" s="5" t="s">
        <v>2823</v>
      </c>
      <c r="M118" s="5" t="s">
        <v>2789</v>
      </c>
      <c r="N118" s="5" t="s">
        <v>2824</v>
      </c>
      <c r="O118" s="5" t="s">
        <v>2825</v>
      </c>
      <c r="P118" s="5" t="s">
        <v>2876</v>
      </c>
      <c r="Q118" s="5" t="s">
        <v>69</v>
      </c>
      <c r="R118" s="5" t="s">
        <v>57</v>
      </c>
      <c r="S118" s="5" t="s">
        <v>465</v>
      </c>
      <c r="T118" s="5" t="s">
        <v>61</v>
      </c>
      <c r="U118" s="5" t="s">
        <v>44</v>
      </c>
      <c r="V118" s="5" t="s">
        <v>2795</v>
      </c>
      <c r="W118" s="6" t="s">
        <v>42</v>
      </c>
      <c r="X118" s="5" t="s">
        <v>3432</v>
      </c>
      <c r="Y118" s="6">
        <v>4881.0</v>
      </c>
    </row>
    <row r="119" ht="56.25" customHeight="1">
      <c r="A119" s="5" t="s">
        <v>3433</v>
      </c>
      <c r="B119" s="6" t="str">
        <f>IMAGE("https://storage.googleapis.com/acdb/wallpapers/RoomSpWallLabo00.png")</f>
        <v/>
      </c>
      <c r="C119" s="5" t="s">
        <v>35</v>
      </c>
      <c r="D119" s="5" t="s">
        <v>34</v>
      </c>
      <c r="E119" s="5" t="s">
        <v>36</v>
      </c>
      <c r="F119" s="6">
        <v>3000.0</v>
      </c>
      <c r="G119" s="6">
        <v>750.0</v>
      </c>
      <c r="H119" s="5" t="s">
        <v>2800</v>
      </c>
      <c r="I119" s="5"/>
      <c r="J119" s="5" t="s">
        <v>48</v>
      </c>
      <c r="K119" s="5" t="s">
        <v>44</v>
      </c>
      <c r="L119" s="5" t="s">
        <v>34</v>
      </c>
      <c r="M119" s="5" t="s">
        <v>34</v>
      </c>
      <c r="N119" s="5" t="s">
        <v>44</v>
      </c>
      <c r="O119" s="5" t="s">
        <v>34</v>
      </c>
      <c r="P119" s="5" t="s">
        <v>2489</v>
      </c>
      <c r="Q119" s="5" t="s">
        <v>54</v>
      </c>
      <c r="R119" s="5" t="s">
        <v>54</v>
      </c>
      <c r="S119" s="5" t="s">
        <v>141</v>
      </c>
      <c r="T119" s="5" t="s">
        <v>44</v>
      </c>
      <c r="U119" s="5" t="s">
        <v>44</v>
      </c>
      <c r="V119" s="5" t="s">
        <v>3280</v>
      </c>
      <c r="W119" s="6" t="s">
        <v>42</v>
      </c>
      <c r="X119" s="5" t="s">
        <v>3438</v>
      </c>
      <c r="Y119" s="6">
        <v>5495.0</v>
      </c>
    </row>
    <row r="120" ht="56.25" customHeight="1">
      <c r="A120" s="5" t="s">
        <v>3439</v>
      </c>
      <c r="B120" s="6" t="str">
        <f>IMAGE("https://storage.googleapis.com/acdb/wallpapers/RoomTexWallLattice00.png")</f>
        <v/>
      </c>
      <c r="C120" s="5" t="s">
        <v>36</v>
      </c>
      <c r="D120" s="5" t="s">
        <v>2845</v>
      </c>
      <c r="E120" s="5" t="s">
        <v>36</v>
      </c>
      <c r="F120" s="6">
        <v>1780.0</v>
      </c>
      <c r="G120" s="6">
        <v>445.0</v>
      </c>
      <c r="H120" s="5" t="s">
        <v>59</v>
      </c>
      <c r="I120" s="5"/>
      <c r="J120" s="5" t="s">
        <v>64</v>
      </c>
      <c r="K120" s="5" t="s">
        <v>44</v>
      </c>
      <c r="L120" s="5" t="s">
        <v>34</v>
      </c>
      <c r="M120" s="5" t="s">
        <v>34</v>
      </c>
      <c r="N120" s="5" t="s">
        <v>44</v>
      </c>
      <c r="O120" s="5" t="s">
        <v>34</v>
      </c>
      <c r="P120" s="5" t="s">
        <v>2801</v>
      </c>
      <c r="Q120" s="5" t="s">
        <v>39</v>
      </c>
      <c r="R120" s="5" t="s">
        <v>39</v>
      </c>
      <c r="S120" s="5" t="s">
        <v>266</v>
      </c>
      <c r="T120" s="5" t="s">
        <v>62</v>
      </c>
      <c r="U120" s="5" t="s">
        <v>44</v>
      </c>
      <c r="V120" s="5" t="s">
        <v>2804</v>
      </c>
      <c r="W120" s="6" t="s">
        <v>42</v>
      </c>
      <c r="X120" s="5" t="s">
        <v>3442</v>
      </c>
      <c r="Y120" s="6">
        <v>4830.0</v>
      </c>
    </row>
    <row r="121" ht="56.25" customHeight="1">
      <c r="A121" s="5" t="s">
        <v>3443</v>
      </c>
      <c r="B121" s="6" t="str">
        <f>IMAGE("https://storage.googleapis.com/acdb/wallpapers/RoomSpWallVolcano00.png")</f>
        <v/>
      </c>
      <c r="C121" s="5" t="s">
        <v>35</v>
      </c>
      <c r="D121" s="5" t="s">
        <v>34</v>
      </c>
      <c r="E121" s="5" t="s">
        <v>36</v>
      </c>
      <c r="F121" s="6">
        <v>3000.0</v>
      </c>
      <c r="G121" s="6">
        <v>750.0</v>
      </c>
      <c r="H121" s="5" t="s">
        <v>2800</v>
      </c>
      <c r="I121" s="5"/>
      <c r="J121" s="5" t="s">
        <v>48</v>
      </c>
      <c r="K121" s="5" t="s">
        <v>44</v>
      </c>
      <c r="L121" s="5" t="s">
        <v>34</v>
      </c>
      <c r="M121" s="5" t="s">
        <v>34</v>
      </c>
      <c r="N121" s="5" t="s">
        <v>44</v>
      </c>
      <c r="O121" s="5" t="s">
        <v>34</v>
      </c>
      <c r="P121" s="5" t="s">
        <v>2793</v>
      </c>
      <c r="Q121" s="5" t="s">
        <v>142</v>
      </c>
      <c r="R121" s="5" t="s">
        <v>142</v>
      </c>
      <c r="S121" s="5" t="s">
        <v>732</v>
      </c>
      <c r="T121" s="5" t="s">
        <v>44</v>
      </c>
      <c r="U121" s="5" t="s">
        <v>44</v>
      </c>
      <c r="V121" s="5" t="s">
        <v>2842</v>
      </c>
      <c r="W121" s="6" t="s">
        <v>42</v>
      </c>
      <c r="X121" s="5" t="s">
        <v>3446</v>
      </c>
      <c r="Y121" s="6">
        <v>5506.0</v>
      </c>
    </row>
    <row r="122" ht="56.25" customHeight="1">
      <c r="A122" s="5" t="s">
        <v>3447</v>
      </c>
      <c r="B122" s="6" t="str">
        <f>IMAGE("https://storage.googleapis.com/acdb/wallpapers/RoomTexWallLibrary01.png")</f>
        <v/>
      </c>
      <c r="C122" s="5" t="s">
        <v>36</v>
      </c>
      <c r="D122" s="5" t="s">
        <v>34</v>
      </c>
      <c r="E122" s="5" t="s">
        <v>35</v>
      </c>
      <c r="F122" s="6" t="s">
        <v>37</v>
      </c>
      <c r="G122" s="6">
        <v>1050.0</v>
      </c>
      <c r="H122" s="5" t="s">
        <v>41</v>
      </c>
      <c r="I122" s="5"/>
      <c r="J122" s="5" t="s">
        <v>48</v>
      </c>
      <c r="K122" s="5" t="s">
        <v>44</v>
      </c>
      <c r="L122" s="5" t="s">
        <v>34</v>
      </c>
      <c r="M122" s="5" t="s">
        <v>34</v>
      </c>
      <c r="N122" s="5" t="s">
        <v>44</v>
      </c>
      <c r="O122" s="5" t="s">
        <v>34</v>
      </c>
      <c r="P122" s="5" t="s">
        <v>811</v>
      </c>
      <c r="Q122" s="5" t="s">
        <v>57</v>
      </c>
      <c r="R122" s="5" t="s">
        <v>57</v>
      </c>
      <c r="S122" s="5" t="s">
        <v>141</v>
      </c>
      <c r="T122" s="5" t="s">
        <v>202</v>
      </c>
      <c r="U122" s="5" t="s">
        <v>44</v>
      </c>
      <c r="V122" s="5" t="s">
        <v>3197</v>
      </c>
      <c r="W122" s="6" t="s">
        <v>42</v>
      </c>
      <c r="X122" s="5" t="s">
        <v>3452</v>
      </c>
      <c r="Y122" s="6">
        <v>4838.0</v>
      </c>
    </row>
    <row r="123" ht="56.25" customHeight="1">
      <c r="A123" s="5" t="s">
        <v>3453</v>
      </c>
      <c r="B123" s="6" t="str">
        <f>IMAGE("https://storage.googleapis.com/acdb/wallpapers/RoomTexWallMangrove00.png")</f>
        <v/>
      </c>
      <c r="C123" s="5" t="s">
        <v>36</v>
      </c>
      <c r="D123" s="5" t="s">
        <v>34</v>
      </c>
      <c r="E123" s="5" t="s">
        <v>36</v>
      </c>
      <c r="F123" s="6">
        <v>3000.0</v>
      </c>
      <c r="G123" s="6">
        <v>750.0</v>
      </c>
      <c r="H123" s="5" t="s">
        <v>2800</v>
      </c>
      <c r="I123" s="5"/>
      <c r="J123" s="5" t="s">
        <v>48</v>
      </c>
      <c r="K123" s="5" t="s">
        <v>44</v>
      </c>
      <c r="L123" s="5" t="s">
        <v>34</v>
      </c>
      <c r="M123" s="5" t="s">
        <v>34</v>
      </c>
      <c r="N123" s="5" t="s">
        <v>44</v>
      </c>
      <c r="O123" s="5" t="s">
        <v>34</v>
      </c>
      <c r="P123" s="5" t="s">
        <v>2489</v>
      </c>
      <c r="Q123" s="5" t="s">
        <v>96</v>
      </c>
      <c r="R123" s="5" t="s">
        <v>96</v>
      </c>
      <c r="S123" s="5" t="s">
        <v>172</v>
      </c>
      <c r="T123" s="5" t="s">
        <v>44</v>
      </c>
      <c r="U123" s="5" t="s">
        <v>44</v>
      </c>
      <c r="V123" s="5" t="s">
        <v>2856</v>
      </c>
      <c r="W123" s="6" t="s">
        <v>42</v>
      </c>
      <c r="X123" s="5" t="s">
        <v>3458</v>
      </c>
      <c r="Y123" s="6">
        <v>5514.0</v>
      </c>
    </row>
    <row r="124" ht="56.25" customHeight="1">
      <c r="A124" s="5" t="s">
        <v>3459</v>
      </c>
      <c r="B124" s="6" t="str">
        <f>IMAGE("https://storage.googleapis.com/acdb/wallpapers/RoomTexWallFish00.png")</f>
        <v/>
      </c>
      <c r="C124" s="5" t="s">
        <v>36</v>
      </c>
      <c r="D124" s="5" t="s">
        <v>2845</v>
      </c>
      <c r="E124" s="5" t="s">
        <v>36</v>
      </c>
      <c r="F124" s="6" t="s">
        <v>37</v>
      </c>
      <c r="G124" s="6">
        <v>805.0</v>
      </c>
      <c r="H124" s="5" t="s">
        <v>137</v>
      </c>
      <c r="I124" s="5"/>
      <c r="J124" s="5" t="s">
        <v>48</v>
      </c>
      <c r="K124" s="5" t="s">
        <v>2787</v>
      </c>
      <c r="L124" s="5" t="s">
        <v>2788</v>
      </c>
      <c r="M124" s="5" t="s">
        <v>2789</v>
      </c>
      <c r="N124" s="5" t="s">
        <v>2791</v>
      </c>
      <c r="O124" s="5" t="s">
        <v>57</v>
      </c>
      <c r="P124" s="5" t="s">
        <v>811</v>
      </c>
      <c r="Q124" s="5" t="s">
        <v>83</v>
      </c>
      <c r="R124" s="5" t="s">
        <v>68</v>
      </c>
      <c r="S124" s="5" t="s">
        <v>138</v>
      </c>
      <c r="T124" s="5" t="s">
        <v>99</v>
      </c>
      <c r="U124" s="5" t="s">
        <v>44</v>
      </c>
      <c r="V124" s="5" t="s">
        <v>2795</v>
      </c>
      <c r="W124" s="6" t="s">
        <v>42</v>
      </c>
      <c r="X124" s="5" t="s">
        <v>3463</v>
      </c>
      <c r="Y124" s="6">
        <v>4879.0</v>
      </c>
    </row>
    <row r="125" ht="56.25" customHeight="1">
      <c r="A125" s="5" t="s">
        <v>3464</v>
      </c>
      <c r="B125" s="6" t="str">
        <f>IMAGE("https://storage.googleapis.com/acdb/wallpapers/RoomSpWallHighLands00.png")</f>
        <v/>
      </c>
      <c r="C125" s="5" t="s">
        <v>35</v>
      </c>
      <c r="D125" s="5" t="s">
        <v>2837</v>
      </c>
      <c r="E125" s="5" t="s">
        <v>36</v>
      </c>
      <c r="F125" s="6">
        <v>3000.0</v>
      </c>
      <c r="G125" s="6">
        <v>750.0</v>
      </c>
      <c r="H125" s="5" t="s">
        <v>2800</v>
      </c>
      <c r="I125" s="5"/>
      <c r="J125" s="5" t="s">
        <v>48</v>
      </c>
      <c r="K125" s="5" t="s">
        <v>44</v>
      </c>
      <c r="L125" s="5" t="s">
        <v>34</v>
      </c>
      <c r="M125" s="5" t="s">
        <v>34</v>
      </c>
      <c r="N125" s="5" t="s">
        <v>44</v>
      </c>
      <c r="O125" s="5" t="s">
        <v>34</v>
      </c>
      <c r="P125" s="5" t="s">
        <v>2801</v>
      </c>
      <c r="Q125" s="5" t="s">
        <v>96</v>
      </c>
      <c r="R125" s="5" t="s">
        <v>83</v>
      </c>
      <c r="S125" s="5" t="s">
        <v>172</v>
      </c>
      <c r="T125" s="5" t="s">
        <v>44</v>
      </c>
      <c r="U125" s="5" t="s">
        <v>44</v>
      </c>
      <c r="V125" s="5" t="s">
        <v>2849</v>
      </c>
      <c r="W125" s="6" t="s">
        <v>42</v>
      </c>
      <c r="X125" s="5" t="s">
        <v>3467</v>
      </c>
      <c r="Y125" s="6">
        <v>5484.0</v>
      </c>
    </row>
    <row r="126" ht="56.25" customHeight="1">
      <c r="A126" s="5" t="s">
        <v>3468</v>
      </c>
      <c r="B126" s="6" t="str">
        <f>IMAGE("https://storage.googleapis.com/acdb/wallpapers/RoomSpWallRain00.png")</f>
        <v/>
      </c>
      <c r="C126" s="5" t="s">
        <v>35</v>
      </c>
      <c r="D126" s="5" t="s">
        <v>34</v>
      </c>
      <c r="E126" s="5" t="s">
        <v>36</v>
      </c>
      <c r="F126" s="6">
        <v>3000.0</v>
      </c>
      <c r="G126" s="6">
        <v>585.0</v>
      </c>
      <c r="H126" s="5" t="s">
        <v>2800</v>
      </c>
      <c r="I126" s="5"/>
      <c r="J126" s="5" t="s">
        <v>48</v>
      </c>
      <c r="K126" s="5" t="s">
        <v>44</v>
      </c>
      <c r="L126" s="5" t="s">
        <v>34</v>
      </c>
      <c r="M126" s="5" t="s">
        <v>34</v>
      </c>
      <c r="N126" s="5" t="s">
        <v>44</v>
      </c>
      <c r="O126" s="5" t="s">
        <v>34</v>
      </c>
      <c r="P126" s="5" t="s">
        <v>2793</v>
      </c>
      <c r="Q126" s="5" t="s">
        <v>95</v>
      </c>
      <c r="R126" s="5" t="s">
        <v>95</v>
      </c>
      <c r="S126" s="5" t="s">
        <v>172</v>
      </c>
      <c r="T126" s="5" t="s">
        <v>44</v>
      </c>
      <c r="U126" s="5" t="s">
        <v>44</v>
      </c>
      <c r="V126" s="5" t="s">
        <v>2849</v>
      </c>
      <c r="W126" s="6" t="s">
        <v>42</v>
      </c>
      <c r="X126" s="5" t="s">
        <v>3473</v>
      </c>
      <c r="Y126" s="6">
        <v>11915.0</v>
      </c>
    </row>
    <row r="127" ht="56.25" customHeight="1">
      <c r="A127" s="5" t="s">
        <v>3474</v>
      </c>
      <c r="B127" s="6" t="str">
        <f>IMAGE("https://storage.googleapis.com/acdb/wallpapers/RoomTexWallMod00.png")</f>
        <v/>
      </c>
      <c r="C127" s="5" t="s">
        <v>36</v>
      </c>
      <c r="D127" s="5" t="s">
        <v>34</v>
      </c>
      <c r="E127" s="5" t="s">
        <v>36</v>
      </c>
      <c r="F127" s="6">
        <v>1220.0</v>
      </c>
      <c r="G127" s="6">
        <v>305.0</v>
      </c>
      <c r="H127" s="5" t="s">
        <v>59</v>
      </c>
      <c r="I127" s="5"/>
      <c r="J127" s="5" t="s">
        <v>64</v>
      </c>
      <c r="K127" s="5" t="s">
        <v>2787</v>
      </c>
      <c r="L127" s="5" t="s">
        <v>2887</v>
      </c>
      <c r="M127" s="5" t="s">
        <v>2789</v>
      </c>
      <c r="N127" s="5" t="s">
        <v>2791</v>
      </c>
      <c r="O127" s="5" t="s">
        <v>2965</v>
      </c>
      <c r="P127" s="5" t="s">
        <v>2489</v>
      </c>
      <c r="Q127" s="5" t="s">
        <v>142</v>
      </c>
      <c r="R127" s="5" t="s">
        <v>142</v>
      </c>
      <c r="S127" s="5" t="s">
        <v>465</v>
      </c>
      <c r="T127" s="5" t="s">
        <v>44</v>
      </c>
      <c r="U127" s="5" t="s">
        <v>44</v>
      </c>
      <c r="V127" s="5" t="s">
        <v>2795</v>
      </c>
      <c r="W127" s="6" t="s">
        <v>42</v>
      </c>
      <c r="X127" s="5" t="s">
        <v>3477</v>
      </c>
      <c r="Y127" s="6">
        <v>4908.0</v>
      </c>
    </row>
    <row r="128" ht="56.25" customHeight="1">
      <c r="A128" s="5" t="s">
        <v>3479</v>
      </c>
      <c r="B128" s="6" t="str">
        <f>IMAGE("https://storage.googleapis.com/acdb/wallpapers/RoomSpWallShojiModem00.png")</f>
        <v/>
      </c>
      <c r="C128" s="5" t="s">
        <v>35</v>
      </c>
      <c r="D128" s="5" t="s">
        <v>34</v>
      </c>
      <c r="E128" s="5" t="s">
        <v>36</v>
      </c>
      <c r="F128" s="6">
        <v>1150.0</v>
      </c>
      <c r="G128" s="6">
        <v>287.0</v>
      </c>
      <c r="H128" s="5" t="s">
        <v>59</v>
      </c>
      <c r="I128" s="5"/>
      <c r="J128" s="5" t="s">
        <v>64</v>
      </c>
      <c r="K128" s="5" t="s">
        <v>44</v>
      </c>
      <c r="L128" s="5" t="s">
        <v>34</v>
      </c>
      <c r="M128" s="5" t="s">
        <v>34</v>
      </c>
      <c r="N128" s="5" t="s">
        <v>44</v>
      </c>
      <c r="O128" s="5" t="s">
        <v>34</v>
      </c>
      <c r="P128" s="5" t="s">
        <v>2489</v>
      </c>
      <c r="Q128" s="5" t="s">
        <v>39</v>
      </c>
      <c r="R128" s="5" t="s">
        <v>57</v>
      </c>
      <c r="S128" s="5" t="s">
        <v>266</v>
      </c>
      <c r="T128" s="5" t="s">
        <v>62</v>
      </c>
      <c r="U128" s="5" t="s">
        <v>44</v>
      </c>
      <c r="V128" s="5" t="s">
        <v>650</v>
      </c>
      <c r="W128" s="6" t="s">
        <v>42</v>
      </c>
      <c r="X128" s="5" t="s">
        <v>3482</v>
      </c>
      <c r="Y128" s="6">
        <v>4864.0</v>
      </c>
    </row>
    <row r="129" ht="56.25" customHeight="1">
      <c r="A129" s="5" t="s">
        <v>3483</v>
      </c>
      <c r="B129" s="6" t="str">
        <f>IMAGE("https://storage.googleapis.com/acdb/wallpapers/RoomTexWallMud02.png")</f>
        <v/>
      </c>
      <c r="C129" s="5" t="s">
        <v>36</v>
      </c>
      <c r="D129" s="5" t="s">
        <v>34</v>
      </c>
      <c r="E129" s="5" t="s">
        <v>36</v>
      </c>
      <c r="F129" s="6">
        <v>1750.0</v>
      </c>
      <c r="G129" s="6">
        <v>437.0</v>
      </c>
      <c r="H129" s="5" t="s">
        <v>59</v>
      </c>
      <c r="I129" s="5"/>
      <c r="J129" s="5" t="s">
        <v>64</v>
      </c>
      <c r="K129" s="5" t="s">
        <v>3160</v>
      </c>
      <c r="L129" s="5" t="s">
        <v>2939</v>
      </c>
      <c r="M129" s="5" t="s">
        <v>715</v>
      </c>
      <c r="N129" s="5" t="s">
        <v>44</v>
      </c>
      <c r="O129" s="5" t="s">
        <v>34</v>
      </c>
      <c r="P129" s="5" t="s">
        <v>2801</v>
      </c>
      <c r="Q129" s="5" t="s">
        <v>39</v>
      </c>
      <c r="R129" s="5" t="s">
        <v>39</v>
      </c>
      <c r="S129" s="5" t="s">
        <v>266</v>
      </c>
      <c r="T129" s="5" t="s">
        <v>62</v>
      </c>
      <c r="U129" s="5" t="s">
        <v>44</v>
      </c>
      <c r="V129" s="5" t="s">
        <v>3162</v>
      </c>
      <c r="W129" s="6" t="s">
        <v>42</v>
      </c>
      <c r="X129" s="5" t="s">
        <v>3485</v>
      </c>
      <c r="Y129" s="6">
        <v>11178.0</v>
      </c>
    </row>
    <row r="130" ht="56.25" customHeight="1">
      <c r="A130" s="5" t="s">
        <v>3486</v>
      </c>
      <c r="B130" s="6" t="str">
        <f>IMAGE("https://storage.googleapis.com/acdb/wallpapers/RoomTexWallMixwood00.png")</f>
        <v/>
      </c>
      <c r="C130" s="5" t="s">
        <v>36</v>
      </c>
      <c r="D130" s="5" t="s">
        <v>34</v>
      </c>
      <c r="E130" s="5" t="s">
        <v>35</v>
      </c>
      <c r="F130" s="6" t="s">
        <v>37</v>
      </c>
      <c r="G130" s="6">
        <v>1800.0</v>
      </c>
      <c r="H130" s="5" t="s">
        <v>41</v>
      </c>
      <c r="I130" s="5"/>
      <c r="J130" s="5" t="s">
        <v>48</v>
      </c>
      <c r="K130" s="5" t="s">
        <v>2822</v>
      </c>
      <c r="L130" s="5" t="s">
        <v>2887</v>
      </c>
      <c r="M130" s="5" t="s">
        <v>2789</v>
      </c>
      <c r="N130" s="5" t="s">
        <v>2824</v>
      </c>
      <c r="O130" s="5" t="s">
        <v>3095</v>
      </c>
      <c r="P130" s="5" t="s">
        <v>2489</v>
      </c>
      <c r="Q130" s="5" t="s">
        <v>39</v>
      </c>
      <c r="R130" s="5" t="s">
        <v>39</v>
      </c>
      <c r="S130" s="5" t="s">
        <v>90</v>
      </c>
      <c r="T130" s="5" t="s">
        <v>99</v>
      </c>
      <c r="U130" s="5" t="s">
        <v>44</v>
      </c>
      <c r="V130" s="5" t="s">
        <v>2870</v>
      </c>
      <c r="W130" s="6" t="s">
        <v>42</v>
      </c>
      <c r="X130" s="5" t="s">
        <v>3489</v>
      </c>
      <c r="Y130" s="6">
        <v>4904.0</v>
      </c>
    </row>
    <row r="131" ht="56.25" customHeight="1">
      <c r="A131" s="5" t="s">
        <v>3490</v>
      </c>
      <c r="B131" s="6" t="str">
        <f>IMAGE("https://storage.googleapis.com/acdb/wallpapers/RoomTexWallDot00.png")</f>
        <v/>
      </c>
      <c r="C131" s="5" t="s">
        <v>36</v>
      </c>
      <c r="D131" s="5" t="s">
        <v>34</v>
      </c>
      <c r="E131" s="5" t="s">
        <v>36</v>
      </c>
      <c r="F131" s="6">
        <v>1100.0</v>
      </c>
      <c r="G131" s="6">
        <v>275.0</v>
      </c>
      <c r="H131" s="5" t="s">
        <v>59</v>
      </c>
      <c r="I131" s="5"/>
      <c r="J131" s="5" t="s">
        <v>64</v>
      </c>
      <c r="K131" s="5" t="s">
        <v>2787</v>
      </c>
      <c r="L131" s="5" t="s">
        <v>2939</v>
      </c>
      <c r="M131" s="5" t="s">
        <v>2789</v>
      </c>
      <c r="N131" s="5" t="s">
        <v>2888</v>
      </c>
      <c r="O131" s="5" t="s">
        <v>57</v>
      </c>
      <c r="P131" s="5" t="s">
        <v>2801</v>
      </c>
      <c r="Q131" s="5" t="s">
        <v>95</v>
      </c>
      <c r="R131" s="5" t="s">
        <v>57</v>
      </c>
      <c r="S131" s="5" t="s">
        <v>61</v>
      </c>
      <c r="T131" s="5" t="s">
        <v>99</v>
      </c>
      <c r="U131" s="5" t="s">
        <v>44</v>
      </c>
      <c r="V131" s="5" t="s">
        <v>3478</v>
      </c>
      <c r="W131" s="6" t="s">
        <v>42</v>
      </c>
      <c r="X131" s="5" t="s">
        <v>3493</v>
      </c>
      <c r="Y131" s="6">
        <v>4892.0</v>
      </c>
    </row>
    <row r="132" ht="56.25" customHeight="1">
      <c r="A132" s="5" t="s">
        <v>3494</v>
      </c>
      <c r="B132" s="6" t="str">
        <f>IMAGE("https://storage.googleapis.com/acdb/wallpapers/RoomTexWallTile00.png")</f>
        <v/>
      </c>
      <c r="C132" s="5" t="s">
        <v>36</v>
      </c>
      <c r="D132" s="5" t="s">
        <v>34</v>
      </c>
      <c r="E132" s="5" t="s">
        <v>36</v>
      </c>
      <c r="F132" s="6">
        <v>1420.0</v>
      </c>
      <c r="G132" s="6">
        <v>355.0</v>
      </c>
      <c r="H132" s="5" t="s">
        <v>59</v>
      </c>
      <c r="I132" s="5"/>
      <c r="J132" s="5" t="s">
        <v>64</v>
      </c>
      <c r="K132" s="5" t="s">
        <v>2822</v>
      </c>
      <c r="L132" s="5" t="s">
        <v>2823</v>
      </c>
      <c r="M132" s="5" t="s">
        <v>2789</v>
      </c>
      <c r="N132" s="5" t="s">
        <v>2824</v>
      </c>
      <c r="O132" s="5" t="s">
        <v>2825</v>
      </c>
      <c r="P132" s="5" t="s">
        <v>2801</v>
      </c>
      <c r="Q132" s="5" t="s">
        <v>95</v>
      </c>
      <c r="R132" s="5" t="s">
        <v>57</v>
      </c>
      <c r="S132" s="5" t="s">
        <v>288</v>
      </c>
      <c r="T132" s="5" t="s">
        <v>141</v>
      </c>
      <c r="U132" s="5" t="s">
        <v>44</v>
      </c>
      <c r="V132" s="5" t="s">
        <v>2828</v>
      </c>
      <c r="W132" s="6" t="s">
        <v>42</v>
      </c>
      <c r="X132" s="5" t="s">
        <v>3497</v>
      </c>
      <c r="Y132" s="6">
        <v>4910.0</v>
      </c>
    </row>
    <row r="133" ht="56.25" customHeight="1">
      <c r="A133" s="5" t="s">
        <v>3499</v>
      </c>
      <c r="B133" s="6" t="str">
        <f>IMAGE("https://storage.googleapis.com/acdb/wallpapers/RoomTexWallPlaster00.png")</f>
        <v/>
      </c>
      <c r="C133" s="5" t="s">
        <v>36</v>
      </c>
      <c r="D133" s="5" t="s">
        <v>34</v>
      </c>
      <c r="E133" s="5" t="s">
        <v>36</v>
      </c>
      <c r="F133" s="6">
        <v>3000.0</v>
      </c>
      <c r="G133" s="6">
        <v>750.0</v>
      </c>
      <c r="H133" s="5" t="s">
        <v>2800</v>
      </c>
      <c r="I133" s="5"/>
      <c r="J133" s="5" t="s">
        <v>48</v>
      </c>
      <c r="K133" s="5" t="s">
        <v>44</v>
      </c>
      <c r="L133" s="5" t="s">
        <v>34</v>
      </c>
      <c r="M133" s="5" t="s">
        <v>34</v>
      </c>
      <c r="N133" s="5" t="s">
        <v>44</v>
      </c>
      <c r="O133" s="5" t="s">
        <v>34</v>
      </c>
      <c r="P133" s="5" t="s">
        <v>2801</v>
      </c>
      <c r="Q133" s="5" t="s">
        <v>95</v>
      </c>
      <c r="R133" s="5" t="s">
        <v>95</v>
      </c>
      <c r="S133" s="5" t="s">
        <v>266</v>
      </c>
      <c r="T133" s="5" t="s">
        <v>44</v>
      </c>
      <c r="U133" s="5" t="s">
        <v>44</v>
      </c>
      <c r="V133" s="5" t="s">
        <v>3213</v>
      </c>
      <c r="W133" s="6" t="s">
        <v>42</v>
      </c>
      <c r="X133" s="5" t="s">
        <v>3502</v>
      </c>
      <c r="Y133" s="6">
        <v>5215.0</v>
      </c>
    </row>
    <row r="134" ht="56.25" customHeight="1">
      <c r="A134" s="5" t="s">
        <v>3503</v>
      </c>
      <c r="B134" s="6" t="str">
        <f>IMAGE("https://storage.googleapis.com/acdb/wallpapers/RoomTexWallMosaicTile00.png")</f>
        <v/>
      </c>
      <c r="C134" s="5" t="s">
        <v>36</v>
      </c>
      <c r="D134" s="5" t="s">
        <v>34</v>
      </c>
      <c r="E134" s="5" t="s">
        <v>36</v>
      </c>
      <c r="F134" s="6">
        <v>1450.0</v>
      </c>
      <c r="G134" s="6">
        <v>362.0</v>
      </c>
      <c r="H134" s="5" t="s">
        <v>59</v>
      </c>
      <c r="I134" s="5"/>
      <c r="J134" s="5" t="s">
        <v>64</v>
      </c>
      <c r="K134" s="5" t="s">
        <v>2787</v>
      </c>
      <c r="L134" s="5" t="s">
        <v>2788</v>
      </c>
      <c r="M134" s="5" t="s">
        <v>2789</v>
      </c>
      <c r="N134" s="5" t="s">
        <v>2791</v>
      </c>
      <c r="O134" s="5" t="s">
        <v>57</v>
      </c>
      <c r="P134" s="5" t="s">
        <v>2801</v>
      </c>
      <c r="Q134" s="5" t="s">
        <v>54</v>
      </c>
      <c r="R134" s="5" t="s">
        <v>57</v>
      </c>
      <c r="S134" s="5" t="s">
        <v>288</v>
      </c>
      <c r="T134" s="5" t="s">
        <v>141</v>
      </c>
      <c r="U134" s="5" t="s">
        <v>44</v>
      </c>
      <c r="V134" s="5" t="s">
        <v>2828</v>
      </c>
      <c r="W134" s="6" t="s">
        <v>42</v>
      </c>
      <c r="X134" s="5" t="s">
        <v>3506</v>
      </c>
      <c r="Y134" s="6">
        <v>4862.0</v>
      </c>
    </row>
    <row r="135" ht="56.25" customHeight="1">
      <c r="A135" s="5" t="s">
        <v>3508</v>
      </c>
      <c r="B135" s="6" t="str">
        <f>IMAGE("https://storage.googleapis.com/acdb/wallpapers/RoomTexWallMoss00.png")</f>
        <v/>
      </c>
      <c r="C135" s="5" t="s">
        <v>36</v>
      </c>
      <c r="D135" s="5" t="s">
        <v>34</v>
      </c>
      <c r="E135" s="5" t="s">
        <v>36</v>
      </c>
      <c r="F135" s="6">
        <v>3000.0</v>
      </c>
      <c r="G135" s="6">
        <v>750.0</v>
      </c>
      <c r="H135" s="5" t="s">
        <v>2800</v>
      </c>
      <c r="I135" s="5"/>
      <c r="J135" s="5" t="s">
        <v>48</v>
      </c>
      <c r="K135" s="5" t="s">
        <v>44</v>
      </c>
      <c r="L135" s="5" t="s">
        <v>34</v>
      </c>
      <c r="M135" s="5" t="s">
        <v>34</v>
      </c>
      <c r="N135" s="5" t="s">
        <v>44</v>
      </c>
      <c r="O135" s="5" t="s">
        <v>34</v>
      </c>
      <c r="P135" s="5" t="s">
        <v>2793</v>
      </c>
      <c r="Q135" s="5" t="s">
        <v>96</v>
      </c>
      <c r="R135" s="5" t="s">
        <v>96</v>
      </c>
      <c r="S135" s="5" t="s">
        <v>266</v>
      </c>
      <c r="T135" s="5" t="s">
        <v>44</v>
      </c>
      <c r="U135" s="5" t="s">
        <v>44</v>
      </c>
      <c r="V135" s="5" t="s">
        <v>2856</v>
      </c>
      <c r="W135" s="6" t="s">
        <v>42</v>
      </c>
      <c r="X135" s="5" t="s">
        <v>3511</v>
      </c>
      <c r="Y135" s="6">
        <v>5458.0</v>
      </c>
    </row>
    <row r="136" ht="56.25" customHeight="1">
      <c r="A136" s="5" t="s">
        <v>3513</v>
      </c>
      <c r="B136" s="6" t="str">
        <f>IMAGE("https://storage.googleapis.com/acdb/wallpapers/RoomTexWallMush00.png")</f>
        <v/>
      </c>
      <c r="C136" s="5" t="s">
        <v>36</v>
      </c>
      <c r="D136" s="5" t="s">
        <v>34</v>
      </c>
      <c r="E136" s="5" t="s">
        <v>35</v>
      </c>
      <c r="F136" s="6" t="s">
        <v>37</v>
      </c>
      <c r="G136" s="6">
        <v>21400.0</v>
      </c>
      <c r="H136" s="5" t="s">
        <v>41</v>
      </c>
      <c r="I136" s="5" t="s">
        <v>1785</v>
      </c>
      <c r="J136" s="5" t="s">
        <v>48</v>
      </c>
      <c r="K136" s="5" t="s">
        <v>2787</v>
      </c>
      <c r="L136" s="5" t="s">
        <v>2986</v>
      </c>
      <c r="M136" s="5" t="s">
        <v>2789</v>
      </c>
      <c r="N136" s="5" t="s">
        <v>2791</v>
      </c>
      <c r="O136" s="5" t="s">
        <v>2965</v>
      </c>
      <c r="P136" s="5" t="s">
        <v>2489</v>
      </c>
      <c r="Q136" s="5" t="s">
        <v>142</v>
      </c>
      <c r="R136" s="5" t="s">
        <v>39</v>
      </c>
      <c r="S136" s="5" t="s">
        <v>61</v>
      </c>
      <c r="T136" s="5" t="s">
        <v>44</v>
      </c>
      <c r="U136" s="5" t="s">
        <v>1786</v>
      </c>
      <c r="V136" s="5" t="s">
        <v>2795</v>
      </c>
      <c r="W136" s="6" t="s">
        <v>42</v>
      </c>
      <c r="X136" s="5" t="s">
        <v>3516</v>
      </c>
      <c r="Y136" s="6">
        <v>5164.0</v>
      </c>
    </row>
    <row r="137" ht="56.25" customHeight="1">
      <c r="A137" s="5" t="s">
        <v>3517</v>
      </c>
      <c r="B137" s="6" t="str">
        <f>IMAGE("https://storage.googleapis.com/acdb/wallpapers/RoomTexWallFirst00.png")</f>
        <v/>
      </c>
      <c r="C137" s="5" t="s">
        <v>36</v>
      </c>
      <c r="D137" s="5" t="s">
        <v>34</v>
      </c>
      <c r="E137" s="5" t="s">
        <v>36</v>
      </c>
      <c r="F137" s="6" t="s">
        <v>37</v>
      </c>
      <c r="G137" s="6">
        <v>6000.0</v>
      </c>
      <c r="H137" s="5" t="s">
        <v>2140</v>
      </c>
      <c r="I137" s="5"/>
      <c r="J137" s="5" t="s">
        <v>48</v>
      </c>
      <c r="K137" s="5" t="s">
        <v>2787</v>
      </c>
      <c r="L137" s="5" t="s">
        <v>2939</v>
      </c>
      <c r="M137" s="5" t="s">
        <v>2789</v>
      </c>
      <c r="N137" s="5" t="s">
        <v>2888</v>
      </c>
      <c r="O137" s="5" t="s">
        <v>57</v>
      </c>
      <c r="P137" s="5" t="s">
        <v>811</v>
      </c>
      <c r="Q137" s="5" t="s">
        <v>57</v>
      </c>
      <c r="R137" s="5" t="s">
        <v>83</v>
      </c>
      <c r="S137" s="5" t="s">
        <v>61</v>
      </c>
      <c r="T137" s="5" t="s">
        <v>62</v>
      </c>
      <c r="U137" s="5" t="s">
        <v>44</v>
      </c>
      <c r="V137" s="5" t="s">
        <v>2795</v>
      </c>
      <c r="W137" s="6" t="s">
        <v>42</v>
      </c>
      <c r="X137" s="5" t="s">
        <v>3520</v>
      </c>
      <c r="Y137" s="6">
        <v>6004.0</v>
      </c>
    </row>
    <row r="138" ht="56.25" customHeight="1">
      <c r="A138" s="5" t="s">
        <v>3521</v>
      </c>
      <c r="B138" s="6" t="str">
        <f>IMAGE("https://storage.googleapis.com/acdb/wallpapers/RoomSpWallHorizon00.png")</f>
        <v/>
      </c>
      <c r="C138" s="5" t="s">
        <v>35</v>
      </c>
      <c r="D138" s="5" t="s">
        <v>2845</v>
      </c>
      <c r="E138" s="5" t="s">
        <v>36</v>
      </c>
      <c r="F138" s="6">
        <v>3000.0</v>
      </c>
      <c r="G138" s="6">
        <v>750.0</v>
      </c>
      <c r="H138" s="5" t="s">
        <v>2800</v>
      </c>
      <c r="I138" s="5"/>
      <c r="J138" s="5" t="s">
        <v>48</v>
      </c>
      <c r="K138" s="5" t="s">
        <v>44</v>
      </c>
      <c r="L138" s="5" t="s">
        <v>34</v>
      </c>
      <c r="M138" s="5" t="s">
        <v>34</v>
      </c>
      <c r="N138" s="5" t="s">
        <v>44</v>
      </c>
      <c r="O138" s="5" t="s">
        <v>34</v>
      </c>
      <c r="P138" s="5" t="s">
        <v>2876</v>
      </c>
      <c r="Q138" s="5" t="s">
        <v>68</v>
      </c>
      <c r="R138" s="5" t="s">
        <v>83</v>
      </c>
      <c r="S138" s="5" t="s">
        <v>138</v>
      </c>
      <c r="T138" s="5" t="s">
        <v>44</v>
      </c>
      <c r="U138" s="5" t="s">
        <v>44</v>
      </c>
      <c r="V138" s="5" t="s">
        <v>2849</v>
      </c>
      <c r="W138" s="6" t="s">
        <v>42</v>
      </c>
      <c r="X138" s="5" t="s">
        <v>3524</v>
      </c>
      <c r="Y138" s="6">
        <v>5486.0</v>
      </c>
    </row>
    <row r="139" ht="56.25" customHeight="1">
      <c r="A139" s="5" t="s">
        <v>3525</v>
      </c>
      <c r="B139" s="6" t="str">
        <f>IMAGE("https://storage.googleapis.com/acdb/wallpapers/RoomTexWallOffice00.png")</f>
        <v/>
      </c>
      <c r="C139" s="5" t="s">
        <v>36</v>
      </c>
      <c r="D139" s="5" t="s">
        <v>34</v>
      </c>
      <c r="E139" s="5" t="s">
        <v>36</v>
      </c>
      <c r="F139" s="6">
        <v>3000.0</v>
      </c>
      <c r="G139" s="6">
        <v>750.0</v>
      </c>
      <c r="H139" s="5" t="s">
        <v>2800</v>
      </c>
      <c r="I139" s="5"/>
      <c r="J139" s="5" t="s">
        <v>48</v>
      </c>
      <c r="K139" s="5" t="s">
        <v>44</v>
      </c>
      <c r="L139" s="5" t="s">
        <v>34</v>
      </c>
      <c r="M139" s="5" t="s">
        <v>34</v>
      </c>
      <c r="N139" s="5" t="s">
        <v>44</v>
      </c>
      <c r="O139" s="5" t="s">
        <v>34</v>
      </c>
      <c r="P139" s="5" t="s">
        <v>2489</v>
      </c>
      <c r="Q139" s="5" t="s">
        <v>57</v>
      </c>
      <c r="R139" s="5" t="s">
        <v>83</v>
      </c>
      <c r="S139" s="5" t="s">
        <v>91</v>
      </c>
      <c r="T139" s="5" t="s">
        <v>44</v>
      </c>
      <c r="U139" s="5" t="s">
        <v>44</v>
      </c>
      <c r="V139" s="5" t="s">
        <v>2834</v>
      </c>
      <c r="W139" s="6" t="s">
        <v>42</v>
      </c>
      <c r="X139" s="5" t="s">
        <v>3529</v>
      </c>
      <c r="Y139" s="6">
        <v>5218.0</v>
      </c>
    </row>
    <row r="140" ht="56.25" customHeight="1">
      <c r="A140" s="5" t="s">
        <v>3530</v>
      </c>
      <c r="B140" s="6" t="str">
        <f>IMAGE("https://storage.googleapis.com/acdb/wallpapers/RoomTexWallOld00.png")</f>
        <v/>
      </c>
      <c r="C140" s="5" t="s">
        <v>36</v>
      </c>
      <c r="D140" s="5" t="s">
        <v>34</v>
      </c>
      <c r="E140" s="5" t="s">
        <v>36</v>
      </c>
      <c r="F140" s="6">
        <v>200.0</v>
      </c>
      <c r="G140" s="6">
        <v>50.0</v>
      </c>
      <c r="H140" s="5" t="s">
        <v>59</v>
      </c>
      <c r="I140" s="5"/>
      <c r="J140" s="5" t="s">
        <v>64</v>
      </c>
      <c r="K140" s="5" t="s">
        <v>2787</v>
      </c>
      <c r="L140" s="5" t="s">
        <v>2986</v>
      </c>
      <c r="M140" s="5" t="s">
        <v>2789</v>
      </c>
      <c r="N140" s="5" t="s">
        <v>44</v>
      </c>
      <c r="O140" s="5" t="s">
        <v>34</v>
      </c>
      <c r="P140" s="5" t="s">
        <v>2801</v>
      </c>
      <c r="Q140" s="5" t="s">
        <v>38</v>
      </c>
      <c r="R140" s="5" t="s">
        <v>38</v>
      </c>
      <c r="S140" s="5" t="s">
        <v>732</v>
      </c>
      <c r="T140" s="5" t="s">
        <v>44</v>
      </c>
      <c r="U140" s="5" t="s">
        <v>44</v>
      </c>
      <c r="V140" s="5" t="s">
        <v>2795</v>
      </c>
      <c r="W140" s="6" t="s">
        <v>42</v>
      </c>
      <c r="X140" s="5" t="s">
        <v>3534</v>
      </c>
      <c r="Y140" s="6">
        <v>4857.0</v>
      </c>
    </row>
    <row r="141" ht="56.25" customHeight="1">
      <c r="A141" s="5" t="s">
        <v>3535</v>
      </c>
      <c r="B141" s="6" t="str">
        <f>IMAGE("https://storage.googleapis.com/acdb/wallpapers/RoomTexWallMorocco03.png")</f>
        <v/>
      </c>
      <c r="C141" s="5" t="s">
        <v>36</v>
      </c>
      <c r="D141" s="5" t="s">
        <v>34</v>
      </c>
      <c r="E141" s="5" t="s">
        <v>36</v>
      </c>
      <c r="F141" s="6">
        <v>2440.0</v>
      </c>
      <c r="G141" s="6">
        <v>610.0</v>
      </c>
      <c r="H141" s="5" t="s">
        <v>59</v>
      </c>
      <c r="I141" s="5"/>
      <c r="J141" s="5" t="s">
        <v>64</v>
      </c>
      <c r="K141" s="5" t="s">
        <v>2907</v>
      </c>
      <c r="L141" s="5" t="s">
        <v>2823</v>
      </c>
      <c r="M141" s="5" t="s">
        <v>2789</v>
      </c>
      <c r="N141" s="5" t="s">
        <v>44</v>
      </c>
      <c r="O141" s="5" t="s">
        <v>34</v>
      </c>
      <c r="P141" s="5" t="s">
        <v>2793</v>
      </c>
      <c r="Q141" s="5" t="s">
        <v>114</v>
      </c>
      <c r="R141" s="5" t="s">
        <v>114</v>
      </c>
      <c r="S141" s="5" t="s">
        <v>288</v>
      </c>
      <c r="T141" s="5" t="s">
        <v>141</v>
      </c>
      <c r="U141" s="5" t="s">
        <v>44</v>
      </c>
      <c r="V141" s="5" t="s">
        <v>2909</v>
      </c>
      <c r="W141" s="6" t="s">
        <v>42</v>
      </c>
      <c r="X141" s="5" t="s">
        <v>3540</v>
      </c>
      <c r="Y141" s="6">
        <v>6863.0</v>
      </c>
    </row>
    <row r="142" ht="56.25" customHeight="1">
      <c r="A142" s="5" t="s">
        <v>3541</v>
      </c>
      <c r="B142" s="6" t="str">
        <f>IMAGE("https://storage.googleapis.com/acdb/wallpapers/RoomTexWallCamouflage03.png")</f>
        <v/>
      </c>
      <c r="C142" s="5" t="s">
        <v>36</v>
      </c>
      <c r="D142" s="5" t="s">
        <v>34</v>
      </c>
      <c r="E142" s="5" t="s">
        <v>36</v>
      </c>
      <c r="F142" s="6">
        <v>1150.0</v>
      </c>
      <c r="G142" s="6">
        <v>287.0</v>
      </c>
      <c r="H142" s="5" t="s">
        <v>59</v>
      </c>
      <c r="I142" s="5"/>
      <c r="J142" s="5" t="s">
        <v>64</v>
      </c>
      <c r="K142" s="5" t="s">
        <v>2822</v>
      </c>
      <c r="L142" s="5" t="s">
        <v>2788</v>
      </c>
      <c r="M142" s="5" t="s">
        <v>2789</v>
      </c>
      <c r="N142" s="5" t="s">
        <v>2824</v>
      </c>
      <c r="O142" s="5" t="s">
        <v>2825</v>
      </c>
      <c r="P142" s="5" t="s">
        <v>2793</v>
      </c>
      <c r="Q142" s="5" t="s">
        <v>142</v>
      </c>
      <c r="R142" s="5" t="s">
        <v>142</v>
      </c>
      <c r="S142" s="5" t="s">
        <v>465</v>
      </c>
      <c r="T142" s="5" t="s">
        <v>99</v>
      </c>
      <c r="U142" s="5" t="s">
        <v>44</v>
      </c>
      <c r="V142" s="5" t="s">
        <v>1499</v>
      </c>
      <c r="W142" s="6" t="s">
        <v>42</v>
      </c>
      <c r="X142" s="5" t="s">
        <v>3542</v>
      </c>
      <c r="Y142" s="6">
        <v>6855.0</v>
      </c>
    </row>
    <row r="143" ht="56.25" customHeight="1">
      <c r="A143" s="5" t="s">
        <v>3544</v>
      </c>
      <c r="B143" s="6" t="str">
        <f>IMAGE("https://storage.googleapis.com/acdb/wallpapers/RoomTexWallPanelMold00.png")</f>
        <v/>
      </c>
      <c r="C143" s="5" t="s">
        <v>36</v>
      </c>
      <c r="D143" s="5" t="s">
        <v>34</v>
      </c>
      <c r="E143" s="5" t="s">
        <v>36</v>
      </c>
      <c r="F143" s="6">
        <v>1980.0</v>
      </c>
      <c r="G143" s="6">
        <v>495.0</v>
      </c>
      <c r="H143" s="5" t="s">
        <v>59</v>
      </c>
      <c r="I143" s="5"/>
      <c r="J143" s="5" t="s">
        <v>64</v>
      </c>
      <c r="K143" s="5" t="s">
        <v>2907</v>
      </c>
      <c r="L143" s="5" t="s">
        <v>2823</v>
      </c>
      <c r="M143" s="5" t="s">
        <v>2789</v>
      </c>
      <c r="N143" s="5" t="s">
        <v>44</v>
      </c>
      <c r="O143" s="5" t="s">
        <v>34</v>
      </c>
      <c r="P143" s="5" t="s">
        <v>2793</v>
      </c>
      <c r="Q143" s="5" t="s">
        <v>142</v>
      </c>
      <c r="R143" s="5" t="s">
        <v>38</v>
      </c>
      <c r="S143" s="5" t="s">
        <v>61</v>
      </c>
      <c r="T143" s="5" t="s">
        <v>99</v>
      </c>
      <c r="U143" s="5" t="s">
        <v>44</v>
      </c>
      <c r="V143" s="5" t="s">
        <v>3006</v>
      </c>
      <c r="W143" s="6" t="s">
        <v>42</v>
      </c>
      <c r="X143" s="5" t="s">
        <v>3547</v>
      </c>
      <c r="Y143" s="6">
        <v>4870.0</v>
      </c>
    </row>
    <row r="144" ht="56.25" customHeight="1">
      <c r="A144" s="5" t="s">
        <v>3548</v>
      </c>
      <c r="B144" s="6" t="str">
        <f>IMAGE("https://storage.googleapis.com/acdb/wallpapers/RoomTexWallOrange00.png")</f>
        <v/>
      </c>
      <c r="C144" s="5" t="s">
        <v>36</v>
      </c>
      <c r="D144" s="5" t="s">
        <v>34</v>
      </c>
      <c r="E144" s="5" t="s">
        <v>35</v>
      </c>
      <c r="F144" s="6" t="s">
        <v>37</v>
      </c>
      <c r="G144" s="6">
        <v>4000.0</v>
      </c>
      <c r="H144" s="5" t="s">
        <v>41</v>
      </c>
      <c r="I144" s="5"/>
      <c r="J144" s="5" t="s">
        <v>48</v>
      </c>
      <c r="K144" s="5" t="s">
        <v>2787</v>
      </c>
      <c r="L144" s="5" t="s">
        <v>2788</v>
      </c>
      <c r="M144" s="5" t="s">
        <v>2789</v>
      </c>
      <c r="N144" s="5" t="s">
        <v>2791</v>
      </c>
      <c r="O144" s="5" t="s">
        <v>57</v>
      </c>
      <c r="P144" s="5" t="s">
        <v>2801</v>
      </c>
      <c r="Q144" s="5" t="s">
        <v>142</v>
      </c>
      <c r="R144" s="5" t="s">
        <v>142</v>
      </c>
      <c r="S144" s="5" t="s">
        <v>61</v>
      </c>
      <c r="T144" s="5" t="s">
        <v>99</v>
      </c>
      <c r="U144" s="5" t="s">
        <v>338</v>
      </c>
      <c r="V144" s="5" t="s">
        <v>2814</v>
      </c>
      <c r="W144" s="6" t="s">
        <v>42</v>
      </c>
      <c r="X144" s="5" t="s">
        <v>3552</v>
      </c>
      <c r="Y144" s="6">
        <v>4915.0</v>
      </c>
    </row>
    <row r="145" ht="56.25" customHeight="1">
      <c r="A145" s="5" t="s">
        <v>3553</v>
      </c>
      <c r="B145" s="6" t="str">
        <f>IMAGE("https://storage.googleapis.com/acdb/wallpapers/RoomTexWallStucco01.png")</f>
        <v/>
      </c>
      <c r="C145" s="5" t="s">
        <v>36</v>
      </c>
      <c r="D145" s="5" t="s">
        <v>34</v>
      </c>
      <c r="E145" s="5" t="s">
        <v>36</v>
      </c>
      <c r="F145" s="6">
        <v>1600.0</v>
      </c>
      <c r="G145" s="6">
        <v>400.0</v>
      </c>
      <c r="H145" s="5" t="s">
        <v>59</v>
      </c>
      <c r="I145" s="5"/>
      <c r="J145" s="5" t="s">
        <v>64</v>
      </c>
      <c r="K145" s="5" t="s">
        <v>2787</v>
      </c>
      <c r="L145" s="5" t="s">
        <v>2887</v>
      </c>
      <c r="M145" s="5" t="s">
        <v>2789</v>
      </c>
      <c r="N145" s="5" t="s">
        <v>44</v>
      </c>
      <c r="O145" s="5" t="s">
        <v>34</v>
      </c>
      <c r="P145" s="5" t="s">
        <v>2801</v>
      </c>
      <c r="Q145" s="5" t="s">
        <v>142</v>
      </c>
      <c r="R145" s="5" t="s">
        <v>142</v>
      </c>
      <c r="S145" s="5" t="s">
        <v>61</v>
      </c>
      <c r="T145" s="5" t="s">
        <v>99</v>
      </c>
      <c r="U145" s="5" t="s">
        <v>44</v>
      </c>
      <c r="V145" s="5" t="s">
        <v>3062</v>
      </c>
      <c r="W145" s="6" t="s">
        <v>42</v>
      </c>
      <c r="X145" s="5" t="s">
        <v>3557</v>
      </c>
      <c r="Y145" s="6">
        <v>4809.0</v>
      </c>
    </row>
    <row r="146" ht="56.25" customHeight="1">
      <c r="A146" s="5" t="s">
        <v>3558</v>
      </c>
      <c r="B146" s="6" t="str">
        <f>IMAGE("https://storage.googleapis.com/acdb/wallpapers/RoomTexWallAtelier00.png")</f>
        <v/>
      </c>
      <c r="C146" s="5" t="s">
        <v>36</v>
      </c>
      <c r="D146" s="5" t="s">
        <v>34</v>
      </c>
      <c r="E146" s="5" t="s">
        <v>36</v>
      </c>
      <c r="F146" s="6">
        <v>3000.0</v>
      </c>
      <c r="G146" s="6">
        <v>750.0</v>
      </c>
      <c r="H146" s="5" t="s">
        <v>2800</v>
      </c>
      <c r="I146" s="5"/>
      <c r="J146" s="5" t="s">
        <v>48</v>
      </c>
      <c r="K146" s="5" t="s">
        <v>2822</v>
      </c>
      <c r="L146" s="5" t="s">
        <v>3066</v>
      </c>
      <c r="M146" s="5" t="s">
        <v>2789</v>
      </c>
      <c r="N146" s="5" t="s">
        <v>2824</v>
      </c>
      <c r="O146" s="5" t="s">
        <v>3561</v>
      </c>
      <c r="P146" s="5" t="s">
        <v>2801</v>
      </c>
      <c r="Q146" s="5" t="s">
        <v>57</v>
      </c>
      <c r="R146" s="5" t="s">
        <v>58</v>
      </c>
      <c r="S146" s="5" t="s">
        <v>416</v>
      </c>
      <c r="T146" s="5" t="s">
        <v>141</v>
      </c>
      <c r="U146" s="5" t="s">
        <v>44</v>
      </c>
      <c r="V146" s="5" t="s">
        <v>3213</v>
      </c>
      <c r="W146" s="6" t="s">
        <v>42</v>
      </c>
      <c r="X146" s="5" t="s">
        <v>3562</v>
      </c>
      <c r="Y146" s="6">
        <v>4854.0</v>
      </c>
    </row>
    <row r="147" ht="56.25" customHeight="1">
      <c r="A147" s="5" t="s">
        <v>3563</v>
      </c>
      <c r="B147" s="6" t="str">
        <f>IMAGE("https://storage.googleapis.com/acdb/wallpapers/RoomSpWallPalace00.png")</f>
        <v/>
      </c>
      <c r="C147" s="5" t="s">
        <v>35</v>
      </c>
      <c r="D147" s="5" t="s">
        <v>34</v>
      </c>
      <c r="E147" s="5" t="s">
        <v>36</v>
      </c>
      <c r="F147" s="6">
        <v>3000.0</v>
      </c>
      <c r="G147" s="6">
        <v>750.0</v>
      </c>
      <c r="H147" s="5" t="s">
        <v>2800</v>
      </c>
      <c r="I147" s="5"/>
      <c r="J147" s="5" t="s">
        <v>48</v>
      </c>
      <c r="K147" s="5" t="s">
        <v>44</v>
      </c>
      <c r="L147" s="5" t="s">
        <v>34</v>
      </c>
      <c r="M147" s="5" t="s">
        <v>34</v>
      </c>
      <c r="N147" s="5" t="s">
        <v>44</v>
      </c>
      <c r="O147" s="5" t="s">
        <v>34</v>
      </c>
      <c r="P147" s="5" t="s">
        <v>2793</v>
      </c>
      <c r="Q147" s="5" t="s">
        <v>38</v>
      </c>
      <c r="R147" s="5" t="s">
        <v>57</v>
      </c>
      <c r="S147" s="5" t="s">
        <v>116</v>
      </c>
      <c r="T147" s="5" t="s">
        <v>696</v>
      </c>
      <c r="U147" s="5" t="s">
        <v>44</v>
      </c>
      <c r="V147" s="5" t="s">
        <v>3280</v>
      </c>
      <c r="W147" s="6" t="s">
        <v>42</v>
      </c>
      <c r="X147" s="5" t="s">
        <v>3566</v>
      </c>
      <c r="Y147" s="6">
        <v>5502.0</v>
      </c>
    </row>
    <row r="148" ht="56.25" customHeight="1">
      <c r="A148" s="5" t="s">
        <v>3567</v>
      </c>
      <c r="B148" s="6" t="str">
        <f>IMAGE("https://storage.googleapis.com/acdb/wallpapers/RoomTexWallParty00.png")</f>
        <v/>
      </c>
      <c r="C148" s="5" t="s">
        <v>36</v>
      </c>
      <c r="D148" s="5" t="s">
        <v>34</v>
      </c>
      <c r="E148" s="5" t="s">
        <v>36</v>
      </c>
      <c r="F148" s="6" t="s">
        <v>37</v>
      </c>
      <c r="G148" s="6">
        <v>370.0</v>
      </c>
      <c r="H148" s="5" t="s">
        <v>588</v>
      </c>
      <c r="I148" s="5"/>
      <c r="J148" s="5" t="s">
        <v>48</v>
      </c>
      <c r="K148" s="5" t="s">
        <v>2787</v>
      </c>
      <c r="L148" s="5" t="s">
        <v>2939</v>
      </c>
      <c r="M148" s="5" t="s">
        <v>2789</v>
      </c>
      <c r="N148" s="5" t="s">
        <v>2791</v>
      </c>
      <c r="O148" s="5" t="s">
        <v>57</v>
      </c>
      <c r="P148" s="5" t="s">
        <v>2489</v>
      </c>
      <c r="Q148" s="5" t="s">
        <v>58</v>
      </c>
      <c r="R148" s="5" t="s">
        <v>57</v>
      </c>
      <c r="S148" s="5" t="s">
        <v>465</v>
      </c>
      <c r="T148" s="5" t="s">
        <v>61</v>
      </c>
      <c r="U148" s="5" t="s">
        <v>44</v>
      </c>
      <c r="V148" s="5" t="s">
        <v>2795</v>
      </c>
      <c r="W148" s="6" t="s">
        <v>42</v>
      </c>
      <c r="X148" s="5" t="s">
        <v>3571</v>
      </c>
      <c r="Y148" s="6">
        <v>5226.0</v>
      </c>
    </row>
    <row r="149" ht="56.25" customHeight="1">
      <c r="A149" s="5" t="s">
        <v>3573</v>
      </c>
      <c r="B149" s="6" t="str">
        <f>IMAGE("https://storage.googleapis.com/acdb/wallpapers/RoomTexWallDot01.png")</f>
        <v/>
      </c>
      <c r="C149" s="5" t="s">
        <v>36</v>
      </c>
      <c r="D149" s="5" t="s">
        <v>34</v>
      </c>
      <c r="E149" s="5" t="s">
        <v>36</v>
      </c>
      <c r="F149" s="6">
        <v>1100.0</v>
      </c>
      <c r="G149" s="6">
        <v>275.0</v>
      </c>
      <c r="H149" s="5" t="s">
        <v>59</v>
      </c>
      <c r="I149" s="5"/>
      <c r="J149" s="5" t="s">
        <v>64</v>
      </c>
      <c r="K149" s="5" t="s">
        <v>2787</v>
      </c>
      <c r="L149" s="5" t="s">
        <v>2939</v>
      </c>
      <c r="M149" s="5" t="s">
        <v>2789</v>
      </c>
      <c r="N149" s="5" t="s">
        <v>2888</v>
      </c>
      <c r="O149" s="5" t="s">
        <v>57</v>
      </c>
      <c r="P149" s="5" t="s">
        <v>2793</v>
      </c>
      <c r="Q149" s="5" t="s">
        <v>57</v>
      </c>
      <c r="R149" s="5" t="s">
        <v>58</v>
      </c>
      <c r="S149" s="5" t="s">
        <v>61</v>
      </c>
      <c r="T149" s="5" t="s">
        <v>99</v>
      </c>
      <c r="U149" s="5" t="s">
        <v>44</v>
      </c>
      <c r="V149" s="5" t="s">
        <v>3478</v>
      </c>
      <c r="W149" s="6" t="s">
        <v>42</v>
      </c>
      <c r="X149" s="5" t="s">
        <v>3575</v>
      </c>
      <c r="Y149" s="6">
        <v>4899.0</v>
      </c>
    </row>
    <row r="150" ht="56.25" customHeight="1">
      <c r="A150" s="5" t="s">
        <v>3576</v>
      </c>
      <c r="B150" s="6" t="str">
        <f>IMAGE("https://storage.googleapis.com/acdb/wallpapers/RoomTexWallPuzzle00.png")</f>
        <v/>
      </c>
      <c r="C150" s="5" t="s">
        <v>36</v>
      </c>
      <c r="D150" s="5" t="s">
        <v>34</v>
      </c>
      <c r="E150" s="5" t="s">
        <v>36</v>
      </c>
      <c r="F150" s="6">
        <v>1540.0</v>
      </c>
      <c r="G150" s="6">
        <v>385.0</v>
      </c>
      <c r="H150" s="5" t="s">
        <v>59</v>
      </c>
      <c r="I150" s="5"/>
      <c r="J150" s="5" t="s">
        <v>64</v>
      </c>
      <c r="K150" s="5" t="s">
        <v>2822</v>
      </c>
      <c r="L150" s="5" t="s">
        <v>2823</v>
      </c>
      <c r="M150" s="5" t="s">
        <v>2789</v>
      </c>
      <c r="N150" s="5" t="s">
        <v>2824</v>
      </c>
      <c r="O150" s="5" t="s">
        <v>2825</v>
      </c>
      <c r="P150" s="5" t="s">
        <v>2801</v>
      </c>
      <c r="Q150" s="5" t="s">
        <v>57</v>
      </c>
      <c r="R150" s="5" t="s">
        <v>57</v>
      </c>
      <c r="S150" s="5" t="s">
        <v>61</v>
      </c>
      <c r="T150" s="5" t="s">
        <v>99</v>
      </c>
      <c r="U150" s="5" t="s">
        <v>44</v>
      </c>
      <c r="V150" s="5" t="s">
        <v>3202</v>
      </c>
      <c r="W150" s="6" t="s">
        <v>42</v>
      </c>
      <c r="X150" s="5" t="s">
        <v>3580</v>
      </c>
      <c r="Y150" s="6">
        <v>4886.0</v>
      </c>
    </row>
    <row r="151" ht="56.25" customHeight="1">
      <c r="A151" s="5" t="s">
        <v>3581</v>
      </c>
      <c r="B151" s="6" t="str">
        <f>IMAGE("https://storage.googleapis.com/acdb/wallpapers/RoomTexWallTwoToneTile04.png")</f>
        <v/>
      </c>
      <c r="C151" s="5" t="s">
        <v>36</v>
      </c>
      <c r="D151" s="5" t="s">
        <v>34</v>
      </c>
      <c r="E151" s="5" t="s">
        <v>36</v>
      </c>
      <c r="F151" s="6">
        <v>1850.0</v>
      </c>
      <c r="G151" s="6">
        <v>462.0</v>
      </c>
      <c r="H151" s="5" t="s">
        <v>59</v>
      </c>
      <c r="I151" s="5"/>
      <c r="J151" s="5" t="s">
        <v>64</v>
      </c>
      <c r="K151" s="5" t="s">
        <v>2907</v>
      </c>
      <c r="L151" s="5" t="s">
        <v>2823</v>
      </c>
      <c r="M151" s="5" t="s">
        <v>2789</v>
      </c>
      <c r="N151" s="5" t="s">
        <v>44</v>
      </c>
      <c r="O151" s="5" t="s">
        <v>34</v>
      </c>
      <c r="P151" s="5" t="s">
        <v>2793</v>
      </c>
      <c r="Q151" s="5" t="s">
        <v>69</v>
      </c>
      <c r="R151" s="5" t="s">
        <v>69</v>
      </c>
      <c r="S151" s="5" t="s">
        <v>288</v>
      </c>
      <c r="T151" s="5" t="s">
        <v>141</v>
      </c>
      <c r="U151" s="5" t="s">
        <v>44</v>
      </c>
      <c r="V151" s="5" t="s">
        <v>2935</v>
      </c>
      <c r="W151" s="6" t="s">
        <v>42</v>
      </c>
      <c r="X151" s="5" t="s">
        <v>3584</v>
      </c>
      <c r="Y151" s="6">
        <v>6857.0</v>
      </c>
    </row>
    <row r="152" ht="56.25" customHeight="1">
      <c r="A152" s="5" t="s">
        <v>3585</v>
      </c>
      <c r="B152" s="6" t="str">
        <f>IMAGE("https://storage.googleapis.com/acdb/wallpapers/RoomTexWallPeach00.png")</f>
        <v/>
      </c>
      <c r="C152" s="5" t="s">
        <v>36</v>
      </c>
      <c r="D152" s="5" t="s">
        <v>34</v>
      </c>
      <c r="E152" s="5" t="s">
        <v>35</v>
      </c>
      <c r="F152" s="6" t="s">
        <v>37</v>
      </c>
      <c r="G152" s="6">
        <v>4000.0</v>
      </c>
      <c r="H152" s="5" t="s">
        <v>41</v>
      </c>
      <c r="I152" s="5"/>
      <c r="J152" s="5" t="s">
        <v>48</v>
      </c>
      <c r="K152" s="5" t="s">
        <v>2787</v>
      </c>
      <c r="L152" s="5" t="s">
        <v>2788</v>
      </c>
      <c r="M152" s="5" t="s">
        <v>2789</v>
      </c>
      <c r="N152" s="5" t="s">
        <v>2791</v>
      </c>
      <c r="O152" s="5" t="s">
        <v>57</v>
      </c>
      <c r="P152" s="5" t="s">
        <v>2793</v>
      </c>
      <c r="Q152" s="5" t="s">
        <v>69</v>
      </c>
      <c r="R152" s="5" t="s">
        <v>69</v>
      </c>
      <c r="S152" s="5" t="s">
        <v>61</v>
      </c>
      <c r="T152" s="5" t="s">
        <v>99</v>
      </c>
      <c r="U152" s="5" t="s">
        <v>338</v>
      </c>
      <c r="V152" s="5" t="s">
        <v>2814</v>
      </c>
      <c r="W152" s="6" t="s">
        <v>42</v>
      </c>
      <c r="X152" s="5" t="s">
        <v>3587</v>
      </c>
      <c r="Y152" s="6">
        <v>4918.0</v>
      </c>
    </row>
    <row r="153" ht="56.25" customHeight="1">
      <c r="A153" s="5" t="s">
        <v>3589</v>
      </c>
      <c r="B153" s="6" t="str">
        <f>IMAGE("https://storage.googleapis.com/acdb/wallpapers/RoomTexWallPear00.png")</f>
        <v/>
      </c>
      <c r="C153" s="5" t="s">
        <v>36</v>
      </c>
      <c r="D153" s="5" t="s">
        <v>34</v>
      </c>
      <c r="E153" s="5" t="s">
        <v>35</v>
      </c>
      <c r="F153" s="6" t="s">
        <v>37</v>
      </c>
      <c r="G153" s="6">
        <v>4000.0</v>
      </c>
      <c r="H153" s="5" t="s">
        <v>41</v>
      </c>
      <c r="I153" s="5"/>
      <c r="J153" s="5" t="s">
        <v>48</v>
      </c>
      <c r="K153" s="5" t="s">
        <v>2787</v>
      </c>
      <c r="L153" s="5" t="s">
        <v>2788</v>
      </c>
      <c r="M153" s="5" t="s">
        <v>2789</v>
      </c>
      <c r="N153" s="5" t="s">
        <v>2791</v>
      </c>
      <c r="O153" s="5" t="s">
        <v>57</v>
      </c>
      <c r="P153" s="5" t="s">
        <v>2876</v>
      </c>
      <c r="Q153" s="5" t="s">
        <v>96</v>
      </c>
      <c r="R153" s="5" t="s">
        <v>96</v>
      </c>
      <c r="S153" s="5" t="s">
        <v>61</v>
      </c>
      <c r="T153" s="5" t="s">
        <v>99</v>
      </c>
      <c r="U153" s="5" t="s">
        <v>338</v>
      </c>
      <c r="V153" s="5" t="s">
        <v>2814</v>
      </c>
      <c r="W153" s="6" t="s">
        <v>42</v>
      </c>
      <c r="X153" s="5" t="s">
        <v>3592</v>
      </c>
      <c r="Y153" s="6">
        <v>4917.0</v>
      </c>
    </row>
    <row r="154" ht="56.25" customHeight="1">
      <c r="A154" s="5" t="s">
        <v>3593</v>
      </c>
      <c r="B154" s="6" t="str">
        <f>IMAGE("https://storage.googleapis.com/acdb/wallpapers/RoomTexWallPegboard01.png")</f>
        <v/>
      </c>
      <c r="C154" s="5" t="s">
        <v>36</v>
      </c>
      <c r="D154" s="5" t="s">
        <v>34</v>
      </c>
      <c r="E154" s="5" t="s">
        <v>36</v>
      </c>
      <c r="F154" s="6">
        <v>1180.0</v>
      </c>
      <c r="G154" s="6">
        <v>295.0</v>
      </c>
      <c r="H154" s="5" t="s">
        <v>59</v>
      </c>
      <c r="I154" s="5"/>
      <c r="J154" s="5" t="s">
        <v>64</v>
      </c>
      <c r="K154" s="5" t="s">
        <v>44</v>
      </c>
      <c r="L154" s="5" t="s">
        <v>34</v>
      </c>
      <c r="M154" s="5" t="s">
        <v>34</v>
      </c>
      <c r="N154" s="5" t="s">
        <v>44</v>
      </c>
      <c r="O154" s="5" t="s">
        <v>34</v>
      </c>
      <c r="P154" s="5" t="s">
        <v>2489</v>
      </c>
      <c r="Q154" s="5" t="s">
        <v>39</v>
      </c>
      <c r="R154" s="5" t="s">
        <v>39</v>
      </c>
      <c r="S154" s="5" t="s">
        <v>43</v>
      </c>
      <c r="T154" s="5" t="s">
        <v>141</v>
      </c>
      <c r="U154" s="5" t="s">
        <v>44</v>
      </c>
      <c r="V154" s="5" t="s">
        <v>2929</v>
      </c>
      <c r="W154" s="6" t="s">
        <v>42</v>
      </c>
      <c r="X154" s="5" t="s">
        <v>3596</v>
      </c>
      <c r="Y154" s="6">
        <v>4921.0</v>
      </c>
    </row>
    <row r="155" ht="56.25" customHeight="1">
      <c r="A155" s="5" t="s">
        <v>3597</v>
      </c>
      <c r="B155" s="6" t="str">
        <f>IMAGE("https://storage.googleapis.com/acdb/wallpapers/RoomTexWallCountry01.png")</f>
        <v/>
      </c>
      <c r="C155" s="5" t="s">
        <v>36</v>
      </c>
      <c r="D155" s="5" t="s">
        <v>34</v>
      </c>
      <c r="E155" s="5" t="s">
        <v>36</v>
      </c>
      <c r="F155" s="6">
        <v>1760.0</v>
      </c>
      <c r="G155" s="6">
        <v>440.0</v>
      </c>
      <c r="H155" s="5" t="s">
        <v>59</v>
      </c>
      <c r="I155" s="5"/>
      <c r="J155" s="5" t="s">
        <v>64</v>
      </c>
      <c r="K155" s="5" t="s">
        <v>2787</v>
      </c>
      <c r="L155" s="5" t="s">
        <v>2939</v>
      </c>
      <c r="M155" s="5" t="s">
        <v>2789</v>
      </c>
      <c r="N155" s="5" t="s">
        <v>2888</v>
      </c>
      <c r="O155" s="5" t="s">
        <v>2900</v>
      </c>
      <c r="P155" s="5" t="s">
        <v>2801</v>
      </c>
      <c r="Q155" s="5" t="s">
        <v>69</v>
      </c>
      <c r="R155" s="5" t="s">
        <v>39</v>
      </c>
      <c r="S155" s="5" t="s">
        <v>61</v>
      </c>
      <c r="T155" s="5" t="s">
        <v>90</v>
      </c>
      <c r="U155" s="5" t="s">
        <v>44</v>
      </c>
      <c r="V155" s="5" t="s">
        <v>2902</v>
      </c>
      <c r="W155" s="6" t="s">
        <v>42</v>
      </c>
      <c r="X155" s="5" t="s">
        <v>3601</v>
      </c>
      <c r="Y155" s="6">
        <v>4895.0</v>
      </c>
    </row>
    <row r="156" ht="56.25" customHeight="1">
      <c r="A156" s="5" t="s">
        <v>3602</v>
      </c>
      <c r="B156" s="6" t="str">
        <f>IMAGE("https://storage.googleapis.com/acdb/wallpapers/RoomTexWallDiner01.png")</f>
        <v/>
      </c>
      <c r="C156" s="5" t="s">
        <v>36</v>
      </c>
      <c r="D156" s="5" t="s">
        <v>34</v>
      </c>
      <c r="E156" s="5" t="s">
        <v>36</v>
      </c>
      <c r="F156" s="6">
        <v>2420.0</v>
      </c>
      <c r="G156" s="6">
        <v>605.0</v>
      </c>
      <c r="H156" s="5" t="s">
        <v>59</v>
      </c>
      <c r="I156" s="5"/>
      <c r="J156" s="5" t="s">
        <v>64</v>
      </c>
      <c r="K156" s="5" t="s">
        <v>2822</v>
      </c>
      <c r="L156" s="5" t="s">
        <v>2823</v>
      </c>
      <c r="M156" s="5" t="s">
        <v>2789</v>
      </c>
      <c r="N156" s="5" t="s">
        <v>2824</v>
      </c>
      <c r="O156" s="5" t="s">
        <v>2825</v>
      </c>
      <c r="P156" s="5" t="s">
        <v>2489</v>
      </c>
      <c r="Q156" s="5" t="s">
        <v>69</v>
      </c>
      <c r="R156" s="5" t="s">
        <v>58</v>
      </c>
      <c r="S156" s="5" t="s">
        <v>61</v>
      </c>
      <c r="T156" s="5" t="s">
        <v>62</v>
      </c>
      <c r="U156" s="5" t="s">
        <v>44</v>
      </c>
      <c r="V156" s="5" t="s">
        <v>2977</v>
      </c>
      <c r="W156" s="6" t="s">
        <v>42</v>
      </c>
      <c r="X156" s="5" t="s">
        <v>3605</v>
      </c>
      <c r="Y156" s="6">
        <v>7242.0</v>
      </c>
    </row>
    <row r="157" ht="56.25" customHeight="1">
      <c r="A157" s="5" t="s">
        <v>3606</v>
      </c>
      <c r="B157" s="6" t="str">
        <f>IMAGE("https://storage.googleapis.com/acdb/wallpapers/RoomTexWallFlower00.png")</f>
        <v/>
      </c>
      <c r="C157" s="5" t="s">
        <v>36</v>
      </c>
      <c r="D157" s="5" t="s">
        <v>34</v>
      </c>
      <c r="E157" s="5" t="s">
        <v>36</v>
      </c>
      <c r="F157" s="6">
        <v>1780.0</v>
      </c>
      <c r="G157" s="6">
        <v>445.0</v>
      </c>
      <c r="H157" s="5" t="s">
        <v>59</v>
      </c>
      <c r="I157" s="5"/>
      <c r="J157" s="5" t="s">
        <v>64</v>
      </c>
      <c r="K157" s="5" t="s">
        <v>2787</v>
      </c>
      <c r="L157" s="5" t="s">
        <v>2887</v>
      </c>
      <c r="M157" s="5" t="s">
        <v>2789</v>
      </c>
      <c r="N157" s="5" t="s">
        <v>2888</v>
      </c>
      <c r="O157" s="5" t="s">
        <v>69</v>
      </c>
      <c r="P157" s="5" t="s">
        <v>2793</v>
      </c>
      <c r="Q157" s="5" t="s">
        <v>69</v>
      </c>
      <c r="R157" s="5" t="s">
        <v>69</v>
      </c>
      <c r="S157" s="5" t="s">
        <v>61</v>
      </c>
      <c r="T157" s="5" t="s">
        <v>90</v>
      </c>
      <c r="U157" s="5" t="s">
        <v>44</v>
      </c>
      <c r="V157" s="5" t="s">
        <v>2982</v>
      </c>
      <c r="W157" s="6" t="s">
        <v>42</v>
      </c>
      <c r="X157" s="5" t="s">
        <v>3610</v>
      </c>
      <c r="Y157" s="6">
        <v>4893.0</v>
      </c>
    </row>
    <row r="158" ht="56.25" customHeight="1">
      <c r="A158" s="5" t="s">
        <v>3611</v>
      </c>
      <c r="B158" s="6" t="str">
        <f>IMAGE("https://storage.googleapis.com/acdb/wallpapers/RoomTexWallHeart01.png")</f>
        <v/>
      </c>
      <c r="C158" s="5" t="s">
        <v>36</v>
      </c>
      <c r="D158" s="5" t="s">
        <v>34</v>
      </c>
      <c r="E158" s="5" t="s">
        <v>36</v>
      </c>
      <c r="F158" s="6">
        <v>1280.0</v>
      </c>
      <c r="G158" s="6">
        <v>320.0</v>
      </c>
      <c r="H158" s="5" t="s">
        <v>59</v>
      </c>
      <c r="I158" s="5"/>
      <c r="J158" s="5" t="s">
        <v>64</v>
      </c>
      <c r="K158" s="5" t="s">
        <v>2787</v>
      </c>
      <c r="L158" s="5" t="s">
        <v>2986</v>
      </c>
      <c r="M158" s="5" t="s">
        <v>2789</v>
      </c>
      <c r="N158" s="5" t="s">
        <v>2791</v>
      </c>
      <c r="O158" s="5" t="s">
        <v>57</v>
      </c>
      <c r="P158" s="5" t="s">
        <v>2489</v>
      </c>
      <c r="Q158" s="5" t="s">
        <v>69</v>
      </c>
      <c r="R158" s="5" t="s">
        <v>69</v>
      </c>
      <c r="S158" s="5" t="s">
        <v>61</v>
      </c>
      <c r="T158" s="5" t="s">
        <v>99</v>
      </c>
      <c r="U158" s="5" t="s">
        <v>44</v>
      </c>
      <c r="V158" s="5" t="s">
        <v>2989</v>
      </c>
      <c r="W158" s="6" t="s">
        <v>42</v>
      </c>
      <c r="X158" s="5" t="s">
        <v>3614</v>
      </c>
      <c r="Y158" s="6">
        <v>4875.0</v>
      </c>
    </row>
    <row r="159" ht="56.25" customHeight="1">
      <c r="A159" s="5" t="s">
        <v>3615</v>
      </c>
      <c r="B159" s="6" t="str">
        <f>IMAGE("https://storage.googleapis.com/acdb/wallpapers/RoomTexWallPaintWood02.png")</f>
        <v/>
      </c>
      <c r="C159" s="5" t="s">
        <v>36</v>
      </c>
      <c r="D159" s="5" t="s">
        <v>34</v>
      </c>
      <c r="E159" s="5" t="s">
        <v>36</v>
      </c>
      <c r="F159" s="6">
        <v>1650.0</v>
      </c>
      <c r="G159" s="6">
        <v>412.0</v>
      </c>
      <c r="H159" s="5" t="s">
        <v>59</v>
      </c>
      <c r="I159" s="5"/>
      <c r="J159" s="5" t="s">
        <v>64</v>
      </c>
      <c r="K159" s="5" t="s">
        <v>2787</v>
      </c>
      <c r="L159" s="5" t="s">
        <v>2986</v>
      </c>
      <c r="M159" s="5" t="s">
        <v>2789</v>
      </c>
      <c r="N159" s="5" t="s">
        <v>44</v>
      </c>
      <c r="O159" s="5" t="s">
        <v>34</v>
      </c>
      <c r="P159" s="5" t="s">
        <v>2793</v>
      </c>
      <c r="Q159" s="5" t="s">
        <v>69</v>
      </c>
      <c r="R159" s="5" t="s">
        <v>69</v>
      </c>
      <c r="S159" s="5" t="s">
        <v>61</v>
      </c>
      <c r="T159" s="5" t="s">
        <v>99</v>
      </c>
      <c r="U159" s="5" t="s">
        <v>44</v>
      </c>
      <c r="V159" s="5" t="s">
        <v>3012</v>
      </c>
      <c r="W159" s="6" t="s">
        <v>42</v>
      </c>
      <c r="X159" s="5" t="s">
        <v>3618</v>
      </c>
      <c r="Y159" s="6">
        <v>4802.0</v>
      </c>
    </row>
    <row r="160" ht="56.25" customHeight="1">
      <c r="A160" s="5" t="s">
        <v>3619</v>
      </c>
      <c r="B160" s="6" t="str">
        <f>IMAGE("https://storage.googleapis.com/acdb/wallpapers/RoomTexWallToy01.png")</f>
        <v/>
      </c>
      <c r="C160" s="5" t="s">
        <v>36</v>
      </c>
      <c r="D160" s="5" t="s">
        <v>34</v>
      </c>
      <c r="E160" s="5" t="s">
        <v>36</v>
      </c>
      <c r="F160" s="6">
        <v>2540.0</v>
      </c>
      <c r="G160" s="6">
        <v>635.0</v>
      </c>
      <c r="H160" s="5" t="s">
        <v>59</v>
      </c>
      <c r="I160" s="5"/>
      <c r="J160" s="5" t="s">
        <v>64</v>
      </c>
      <c r="K160" s="5" t="s">
        <v>2907</v>
      </c>
      <c r="L160" s="5" t="s">
        <v>2823</v>
      </c>
      <c r="M160" s="5" t="s">
        <v>2789</v>
      </c>
      <c r="N160" s="5" t="s">
        <v>44</v>
      </c>
      <c r="O160" s="5" t="s">
        <v>34</v>
      </c>
      <c r="P160" s="5" t="s">
        <v>2793</v>
      </c>
      <c r="Q160" s="5" t="s">
        <v>69</v>
      </c>
      <c r="R160" s="5" t="s">
        <v>69</v>
      </c>
      <c r="S160" s="5" t="s">
        <v>99</v>
      </c>
      <c r="T160" s="5" t="s">
        <v>61</v>
      </c>
      <c r="U160" s="5" t="s">
        <v>44</v>
      </c>
      <c r="V160" s="5" t="s">
        <v>3017</v>
      </c>
      <c r="W160" s="6" t="s">
        <v>42</v>
      </c>
      <c r="X160" s="5" t="s">
        <v>3622</v>
      </c>
      <c r="Y160" s="6">
        <v>4889.0</v>
      </c>
    </row>
    <row r="161" ht="56.25" customHeight="1">
      <c r="A161" s="5" t="s">
        <v>3623</v>
      </c>
      <c r="B161" s="6" t="str">
        <f>IMAGE("https://storage.googleapis.com/acdb/wallpapers/RoomTexWallDollhouse00.png")</f>
        <v/>
      </c>
      <c r="C161" s="5" t="s">
        <v>36</v>
      </c>
      <c r="D161" s="5" t="s">
        <v>34</v>
      </c>
      <c r="E161" s="5" t="s">
        <v>36</v>
      </c>
      <c r="F161" s="6">
        <v>2150.0</v>
      </c>
      <c r="G161" s="6">
        <v>537.0</v>
      </c>
      <c r="H161" s="5" t="s">
        <v>59</v>
      </c>
      <c r="I161" s="5"/>
      <c r="J161" s="5" t="s">
        <v>64</v>
      </c>
      <c r="K161" s="5" t="s">
        <v>2787</v>
      </c>
      <c r="L161" s="5" t="s">
        <v>2986</v>
      </c>
      <c r="M161" s="5" t="s">
        <v>2789</v>
      </c>
      <c r="N161" s="5" t="s">
        <v>2888</v>
      </c>
      <c r="O161" s="5" t="s">
        <v>2889</v>
      </c>
      <c r="P161" s="5" t="s">
        <v>2801</v>
      </c>
      <c r="Q161" s="5" t="s">
        <v>69</v>
      </c>
      <c r="R161" s="5" t="s">
        <v>57</v>
      </c>
      <c r="S161" s="5" t="s">
        <v>61</v>
      </c>
      <c r="T161" s="5" t="s">
        <v>99</v>
      </c>
      <c r="U161" s="5" t="s">
        <v>44</v>
      </c>
      <c r="V161" s="5" t="s">
        <v>3025</v>
      </c>
      <c r="W161" s="6" t="s">
        <v>42</v>
      </c>
      <c r="X161" s="5" t="s">
        <v>3627</v>
      </c>
      <c r="Y161" s="6">
        <v>7274.0</v>
      </c>
    </row>
    <row r="162" ht="56.25" customHeight="1">
      <c r="A162" s="5" t="s">
        <v>3628</v>
      </c>
      <c r="B162" s="6" t="str">
        <f>IMAGE("https://storage.googleapis.com/acdb/wallpapers/RoomTexWallTin01.png")</f>
        <v/>
      </c>
      <c r="C162" s="5" t="s">
        <v>36</v>
      </c>
      <c r="D162" s="5" t="s">
        <v>34</v>
      </c>
      <c r="E162" s="5" t="s">
        <v>36</v>
      </c>
      <c r="F162" s="6">
        <v>620.0</v>
      </c>
      <c r="G162" s="6">
        <v>155.0</v>
      </c>
      <c r="H162" s="5" t="s">
        <v>59</v>
      </c>
      <c r="I162" s="5"/>
      <c r="J162" s="5" t="s">
        <v>64</v>
      </c>
      <c r="K162" s="5" t="s">
        <v>2822</v>
      </c>
      <c r="L162" s="5" t="s">
        <v>2788</v>
      </c>
      <c r="M162" s="5" t="s">
        <v>2789</v>
      </c>
      <c r="N162" s="5" t="s">
        <v>2824</v>
      </c>
      <c r="O162" s="5" t="s">
        <v>2825</v>
      </c>
      <c r="P162" s="5" t="s">
        <v>2489</v>
      </c>
      <c r="Q162" s="5" t="s">
        <v>69</v>
      </c>
      <c r="R162" s="5" t="s">
        <v>69</v>
      </c>
      <c r="S162" s="5" t="s">
        <v>416</v>
      </c>
      <c r="T162" s="5" t="s">
        <v>44</v>
      </c>
      <c r="U162" s="5" t="s">
        <v>44</v>
      </c>
      <c r="V162" s="5" t="s">
        <v>3030</v>
      </c>
      <c r="W162" s="6" t="s">
        <v>42</v>
      </c>
      <c r="X162" s="5" t="s">
        <v>3631</v>
      </c>
      <c r="Y162" s="6">
        <v>4924.0</v>
      </c>
    </row>
    <row r="163" ht="56.25" customHeight="1">
      <c r="A163" s="5" t="s">
        <v>3632</v>
      </c>
      <c r="B163" s="6" t="str">
        <f>IMAGE("https://storage.googleapis.com/acdb/wallpapers/RoomTexWallSimple02.png")</f>
        <v/>
      </c>
      <c r="C163" s="5" t="s">
        <v>36</v>
      </c>
      <c r="D163" s="5" t="s">
        <v>34</v>
      </c>
      <c r="E163" s="5" t="s">
        <v>36</v>
      </c>
      <c r="F163" s="6">
        <v>750.0</v>
      </c>
      <c r="G163" s="6">
        <v>187.0</v>
      </c>
      <c r="H163" s="5" t="s">
        <v>59</v>
      </c>
      <c r="I163" s="5"/>
      <c r="J163" s="5" t="s">
        <v>64</v>
      </c>
      <c r="K163" s="5" t="s">
        <v>2787</v>
      </c>
      <c r="L163" s="5" t="s">
        <v>2986</v>
      </c>
      <c r="M163" s="5" t="s">
        <v>2789</v>
      </c>
      <c r="N163" s="5" t="s">
        <v>2888</v>
      </c>
      <c r="O163" s="5" t="s">
        <v>57</v>
      </c>
      <c r="P163" s="5" t="s">
        <v>2876</v>
      </c>
      <c r="Q163" s="5" t="s">
        <v>69</v>
      </c>
      <c r="R163" s="5" t="s">
        <v>69</v>
      </c>
      <c r="S163" s="5" t="s">
        <v>99</v>
      </c>
      <c r="T163" s="5" t="s">
        <v>90</v>
      </c>
      <c r="U163" s="5" t="s">
        <v>44</v>
      </c>
      <c r="V163" s="5" t="s">
        <v>3035</v>
      </c>
      <c r="W163" s="6" t="s">
        <v>42</v>
      </c>
      <c r="X163" s="5" t="s">
        <v>3635</v>
      </c>
      <c r="Y163" s="6">
        <v>4868.0</v>
      </c>
    </row>
    <row r="164" ht="56.25" customHeight="1">
      <c r="A164" s="5" t="s">
        <v>3636</v>
      </c>
      <c r="B164" s="6" t="str">
        <f>IMAGE("https://storage.googleapis.com/acdb/wallpapers/RoomTexWallCrown02.png")</f>
        <v/>
      </c>
      <c r="C164" s="5" t="s">
        <v>36</v>
      </c>
      <c r="D164" s="5" t="s">
        <v>34</v>
      </c>
      <c r="E164" s="5" t="s">
        <v>36</v>
      </c>
      <c r="F164" s="6">
        <v>2350.0</v>
      </c>
      <c r="G164" s="6">
        <v>587.0</v>
      </c>
      <c r="H164" s="5" t="s">
        <v>59</v>
      </c>
      <c r="I164" s="5"/>
      <c r="J164" s="5" t="s">
        <v>64</v>
      </c>
      <c r="K164" s="5" t="s">
        <v>44</v>
      </c>
      <c r="L164" s="5" t="s">
        <v>34</v>
      </c>
      <c r="M164" s="5" t="s">
        <v>34</v>
      </c>
      <c r="N164" s="5" t="s">
        <v>44</v>
      </c>
      <c r="O164" s="5" t="s">
        <v>34</v>
      </c>
      <c r="P164" s="5" t="s">
        <v>2793</v>
      </c>
      <c r="Q164" s="5" t="s">
        <v>69</v>
      </c>
      <c r="R164" s="5" t="s">
        <v>57</v>
      </c>
      <c r="S164" s="5" t="s">
        <v>61</v>
      </c>
      <c r="T164" s="5" t="s">
        <v>116</v>
      </c>
      <c r="U164" s="5" t="s">
        <v>44</v>
      </c>
      <c r="V164" s="5" t="s">
        <v>2947</v>
      </c>
      <c r="W164" s="6" t="s">
        <v>42</v>
      </c>
      <c r="X164" s="5" t="s">
        <v>3639</v>
      </c>
      <c r="Y164" s="6">
        <v>4816.0</v>
      </c>
    </row>
    <row r="165" ht="56.25" customHeight="1">
      <c r="A165" s="5" t="s">
        <v>3640</v>
      </c>
      <c r="B165" s="6" t="str">
        <f>IMAGE("https://storage.googleapis.com/acdb/wallpapers/RoomTexWallStripe01.png")</f>
        <v/>
      </c>
      <c r="C165" s="5" t="s">
        <v>36</v>
      </c>
      <c r="D165" s="5" t="s">
        <v>34</v>
      </c>
      <c r="E165" s="5" t="s">
        <v>36</v>
      </c>
      <c r="F165" s="6">
        <v>1520.0</v>
      </c>
      <c r="G165" s="6">
        <v>380.0</v>
      </c>
      <c r="H165" s="5" t="s">
        <v>59</v>
      </c>
      <c r="I165" s="5"/>
      <c r="J165" s="5" t="s">
        <v>64</v>
      </c>
      <c r="K165" s="5" t="s">
        <v>2787</v>
      </c>
      <c r="L165" s="5" t="s">
        <v>2986</v>
      </c>
      <c r="M165" s="5" t="s">
        <v>2789</v>
      </c>
      <c r="N165" s="5" t="s">
        <v>2791</v>
      </c>
      <c r="O165" s="5" t="s">
        <v>57</v>
      </c>
      <c r="P165" s="5" t="s">
        <v>2793</v>
      </c>
      <c r="Q165" s="5" t="s">
        <v>69</v>
      </c>
      <c r="R165" s="5" t="s">
        <v>57</v>
      </c>
      <c r="S165" s="5" t="s">
        <v>61</v>
      </c>
      <c r="T165" s="5" t="s">
        <v>99</v>
      </c>
      <c r="U165" s="5" t="s">
        <v>44</v>
      </c>
      <c r="V165" s="5" t="s">
        <v>3073</v>
      </c>
      <c r="W165" s="6" t="s">
        <v>42</v>
      </c>
      <c r="X165" s="5" t="s">
        <v>3644</v>
      </c>
      <c r="Y165" s="6">
        <v>4943.0</v>
      </c>
    </row>
    <row r="166" ht="56.25" customHeight="1">
      <c r="A166" s="5" t="s">
        <v>3645</v>
      </c>
      <c r="B166" s="6" t="str">
        <f>IMAGE("https://storage.googleapis.com/acdb/wallpapers/RoomTexWallCamouflage02.png")</f>
        <v/>
      </c>
      <c r="C166" s="5" t="s">
        <v>36</v>
      </c>
      <c r="D166" s="5" t="s">
        <v>34</v>
      </c>
      <c r="E166" s="5" t="s">
        <v>36</v>
      </c>
      <c r="F166" s="6">
        <v>1150.0</v>
      </c>
      <c r="G166" s="6">
        <v>287.0</v>
      </c>
      <c r="H166" s="5" t="s">
        <v>59</v>
      </c>
      <c r="I166" s="5"/>
      <c r="J166" s="5" t="s">
        <v>64</v>
      </c>
      <c r="K166" s="5" t="s">
        <v>2822</v>
      </c>
      <c r="L166" s="5" t="s">
        <v>2823</v>
      </c>
      <c r="M166" s="5" t="s">
        <v>2789</v>
      </c>
      <c r="N166" s="5" t="s">
        <v>2824</v>
      </c>
      <c r="O166" s="5" t="s">
        <v>2825</v>
      </c>
      <c r="P166" s="5" t="s">
        <v>2801</v>
      </c>
      <c r="Q166" s="5" t="s">
        <v>106</v>
      </c>
      <c r="R166" s="5" t="s">
        <v>106</v>
      </c>
      <c r="S166" s="5" t="s">
        <v>465</v>
      </c>
      <c r="T166" s="5" t="s">
        <v>99</v>
      </c>
      <c r="U166" s="5" t="s">
        <v>44</v>
      </c>
      <c r="V166" s="5" t="s">
        <v>1499</v>
      </c>
      <c r="W166" s="6" t="s">
        <v>42</v>
      </c>
      <c r="X166" s="5" t="s">
        <v>3647</v>
      </c>
      <c r="Y166" s="6">
        <v>4885.0</v>
      </c>
    </row>
    <row r="167" ht="56.25" customHeight="1">
      <c r="A167" s="5" t="s">
        <v>3649</v>
      </c>
      <c r="B167" s="6" t="str">
        <f>IMAGE("https://storage.googleapis.com/acdb/wallpapers/RoomTexWallMorocco02.png")</f>
        <v/>
      </c>
      <c r="C167" s="5" t="s">
        <v>36</v>
      </c>
      <c r="D167" s="5" t="s">
        <v>34</v>
      </c>
      <c r="E167" s="5" t="s">
        <v>36</v>
      </c>
      <c r="F167" s="6">
        <v>2440.0</v>
      </c>
      <c r="G167" s="6">
        <v>610.0</v>
      </c>
      <c r="H167" s="5" t="s">
        <v>59</v>
      </c>
      <c r="I167" s="5"/>
      <c r="J167" s="5" t="s">
        <v>64</v>
      </c>
      <c r="K167" s="5" t="s">
        <v>2907</v>
      </c>
      <c r="L167" s="5" t="s">
        <v>2823</v>
      </c>
      <c r="M167" s="5" t="s">
        <v>2789</v>
      </c>
      <c r="N167" s="5" t="s">
        <v>44</v>
      </c>
      <c r="O167" s="5" t="s">
        <v>34</v>
      </c>
      <c r="P167" s="5" t="s">
        <v>2489</v>
      </c>
      <c r="Q167" s="5" t="s">
        <v>106</v>
      </c>
      <c r="R167" s="5" t="s">
        <v>106</v>
      </c>
      <c r="S167" s="5" t="s">
        <v>288</v>
      </c>
      <c r="T167" s="5" t="s">
        <v>141</v>
      </c>
      <c r="U167" s="5" t="s">
        <v>44</v>
      </c>
      <c r="V167" s="5" t="s">
        <v>2909</v>
      </c>
      <c r="W167" s="6" t="s">
        <v>42</v>
      </c>
      <c r="X167" s="5" t="s">
        <v>3651</v>
      </c>
      <c r="Y167" s="6">
        <v>6864.0</v>
      </c>
    </row>
    <row r="168" ht="56.25" customHeight="1">
      <c r="A168" s="5" t="s">
        <v>3652</v>
      </c>
      <c r="B168" s="6" t="str">
        <f>IMAGE("https://storage.googleapis.com/acdb/wallpapers/RoomTexWallDot04.png")</f>
        <v/>
      </c>
      <c r="C168" s="5" t="s">
        <v>36</v>
      </c>
      <c r="D168" s="5" t="s">
        <v>34</v>
      </c>
      <c r="E168" s="5" t="s">
        <v>36</v>
      </c>
      <c r="F168" s="6">
        <v>1100.0</v>
      </c>
      <c r="G168" s="6">
        <v>275.0</v>
      </c>
      <c r="H168" s="5" t="s">
        <v>59</v>
      </c>
      <c r="I168" s="5"/>
      <c r="J168" s="5" t="s">
        <v>64</v>
      </c>
      <c r="K168" s="5" t="s">
        <v>2787</v>
      </c>
      <c r="L168" s="5" t="s">
        <v>2887</v>
      </c>
      <c r="M168" s="5" t="s">
        <v>2789</v>
      </c>
      <c r="N168" s="5" t="s">
        <v>2888</v>
      </c>
      <c r="O168" s="5" t="s">
        <v>57</v>
      </c>
      <c r="P168" s="5" t="s">
        <v>2793</v>
      </c>
      <c r="Q168" s="5" t="s">
        <v>106</v>
      </c>
      <c r="R168" s="5" t="s">
        <v>57</v>
      </c>
      <c r="S168" s="5" t="s">
        <v>61</v>
      </c>
      <c r="T168" s="5" t="s">
        <v>99</v>
      </c>
      <c r="U168" s="5" t="s">
        <v>44</v>
      </c>
      <c r="V168" s="5" t="s">
        <v>3478</v>
      </c>
      <c r="W168" s="6" t="s">
        <v>42</v>
      </c>
      <c r="X168" s="5" t="s">
        <v>3655</v>
      </c>
      <c r="Y168" s="6">
        <v>4902.0</v>
      </c>
    </row>
    <row r="169" ht="56.25" customHeight="1">
      <c r="A169" s="5" t="s">
        <v>3656</v>
      </c>
      <c r="B169" s="6" t="str">
        <f>IMAGE("https://storage.googleapis.com/acdb/wallpapers/RoomTexWallPuzzle03.png")</f>
        <v/>
      </c>
      <c r="C169" s="5" t="s">
        <v>36</v>
      </c>
      <c r="D169" s="5" t="s">
        <v>34</v>
      </c>
      <c r="E169" s="5" t="s">
        <v>36</v>
      </c>
      <c r="F169" s="6">
        <v>1540.0</v>
      </c>
      <c r="G169" s="6">
        <v>385.0</v>
      </c>
      <c r="H169" s="5" t="s">
        <v>59</v>
      </c>
      <c r="I169" s="5"/>
      <c r="J169" s="5" t="s">
        <v>64</v>
      </c>
      <c r="K169" s="5" t="s">
        <v>2822</v>
      </c>
      <c r="L169" s="5" t="s">
        <v>2823</v>
      </c>
      <c r="M169" s="5" t="s">
        <v>2789</v>
      </c>
      <c r="N169" s="5" t="s">
        <v>2824</v>
      </c>
      <c r="O169" s="5" t="s">
        <v>2825</v>
      </c>
      <c r="P169" s="5" t="s">
        <v>2793</v>
      </c>
      <c r="Q169" s="5" t="s">
        <v>106</v>
      </c>
      <c r="R169" s="5" t="s">
        <v>58</v>
      </c>
      <c r="S169" s="5" t="s">
        <v>44</v>
      </c>
      <c r="T169" s="5" t="s">
        <v>44</v>
      </c>
      <c r="U169" s="5" t="s">
        <v>44</v>
      </c>
      <c r="V169" s="5" t="s">
        <v>3202</v>
      </c>
      <c r="W169" s="6" t="s">
        <v>42</v>
      </c>
      <c r="X169" s="5" t="s">
        <v>3659</v>
      </c>
      <c r="Y169" s="6">
        <v>6875.0</v>
      </c>
    </row>
    <row r="170" ht="56.25" customHeight="1">
      <c r="A170" s="5" t="s">
        <v>3660</v>
      </c>
      <c r="B170" s="6" t="str">
        <f>IMAGE("https://storage.googleapis.com/acdb/wallpapers/RoomTexWallDollhouse03.png")</f>
        <v/>
      </c>
      <c r="C170" s="5" t="s">
        <v>36</v>
      </c>
      <c r="D170" s="5" t="s">
        <v>34</v>
      </c>
      <c r="E170" s="5" t="s">
        <v>36</v>
      </c>
      <c r="F170" s="6">
        <v>2150.0</v>
      </c>
      <c r="G170" s="6">
        <v>537.0</v>
      </c>
      <c r="H170" s="5" t="s">
        <v>59</v>
      </c>
      <c r="I170" s="5"/>
      <c r="J170" s="5" t="s">
        <v>64</v>
      </c>
      <c r="K170" s="5" t="s">
        <v>2787</v>
      </c>
      <c r="L170" s="5" t="s">
        <v>2986</v>
      </c>
      <c r="M170" s="5" t="s">
        <v>2789</v>
      </c>
      <c r="N170" s="5" t="s">
        <v>2888</v>
      </c>
      <c r="O170" s="5" t="s">
        <v>2889</v>
      </c>
      <c r="P170" s="5" t="s">
        <v>2489</v>
      </c>
      <c r="Q170" s="5" t="s">
        <v>106</v>
      </c>
      <c r="R170" s="5" t="s">
        <v>57</v>
      </c>
      <c r="S170" s="5" t="s">
        <v>61</v>
      </c>
      <c r="T170" s="5" t="s">
        <v>99</v>
      </c>
      <c r="U170" s="5" t="s">
        <v>44</v>
      </c>
      <c r="V170" s="5" t="s">
        <v>3025</v>
      </c>
      <c r="W170" s="6" t="s">
        <v>42</v>
      </c>
      <c r="X170" s="5" t="s">
        <v>3663</v>
      </c>
      <c r="Y170" s="6">
        <v>7275.0</v>
      </c>
    </row>
    <row r="171" ht="56.25" customHeight="1">
      <c r="A171" s="5" t="s">
        <v>3664</v>
      </c>
      <c r="B171" s="6" t="str">
        <f>IMAGE("https://storage.googleapis.com/acdb/wallpapers/RoomTexWallRose01.png")</f>
        <v/>
      </c>
      <c r="C171" s="5" t="s">
        <v>36</v>
      </c>
      <c r="D171" s="5" t="s">
        <v>34</v>
      </c>
      <c r="E171" s="5" t="s">
        <v>36</v>
      </c>
      <c r="F171" s="6">
        <v>1720.0</v>
      </c>
      <c r="G171" s="6">
        <v>430.0</v>
      </c>
      <c r="H171" s="5" t="s">
        <v>59</v>
      </c>
      <c r="I171" s="5"/>
      <c r="J171" s="5" t="s">
        <v>64</v>
      </c>
      <c r="K171" s="5" t="s">
        <v>1411</v>
      </c>
      <c r="L171" s="5" t="s">
        <v>3066</v>
      </c>
      <c r="M171" s="5" t="s">
        <v>2789</v>
      </c>
      <c r="N171" s="5" t="s">
        <v>44</v>
      </c>
      <c r="O171" s="5" t="s">
        <v>34</v>
      </c>
      <c r="P171" s="5" t="s">
        <v>2801</v>
      </c>
      <c r="Q171" s="5" t="s">
        <v>106</v>
      </c>
      <c r="R171" s="5" t="s">
        <v>106</v>
      </c>
      <c r="S171" s="5" t="s">
        <v>61</v>
      </c>
      <c r="T171" s="5" t="s">
        <v>44</v>
      </c>
      <c r="U171" s="5" t="s">
        <v>44</v>
      </c>
      <c r="V171" s="5" t="s">
        <v>3068</v>
      </c>
      <c r="W171" s="6" t="s">
        <v>42</v>
      </c>
      <c r="X171" s="5" t="s">
        <v>3667</v>
      </c>
      <c r="Y171" s="6">
        <v>4907.0</v>
      </c>
    </row>
    <row r="172" ht="56.25" customHeight="1">
      <c r="A172" s="5" t="s">
        <v>3668</v>
      </c>
      <c r="B172" s="6" t="str">
        <f>IMAGE("https://storage.googleapis.com/acdb/wallpapers/RoomTexWallHanchiku00.png")</f>
        <v/>
      </c>
      <c r="C172" s="5" t="s">
        <v>36</v>
      </c>
      <c r="D172" s="5" t="s">
        <v>34</v>
      </c>
      <c r="E172" s="5" t="s">
        <v>36</v>
      </c>
      <c r="F172" s="6">
        <v>1800.0</v>
      </c>
      <c r="G172" s="6">
        <v>450.0</v>
      </c>
      <c r="H172" s="5" t="s">
        <v>59</v>
      </c>
      <c r="I172" s="5"/>
      <c r="J172" s="5" t="s">
        <v>64</v>
      </c>
      <c r="K172" s="5" t="s">
        <v>44</v>
      </c>
      <c r="L172" s="5" t="s">
        <v>34</v>
      </c>
      <c r="M172" s="5" t="s">
        <v>34</v>
      </c>
      <c r="N172" s="5" t="s">
        <v>44</v>
      </c>
      <c r="O172" s="5" t="s">
        <v>34</v>
      </c>
      <c r="P172" s="5" t="s">
        <v>2801</v>
      </c>
      <c r="Q172" s="5" t="s">
        <v>39</v>
      </c>
      <c r="R172" s="5" t="s">
        <v>38</v>
      </c>
      <c r="S172" s="5" t="s">
        <v>696</v>
      </c>
      <c r="T172" s="5" t="s">
        <v>44</v>
      </c>
      <c r="U172" s="5" t="s">
        <v>44</v>
      </c>
      <c r="V172" s="5" t="s">
        <v>3213</v>
      </c>
      <c r="W172" s="6" t="s">
        <v>42</v>
      </c>
      <c r="X172" s="5" t="s">
        <v>3671</v>
      </c>
      <c r="Y172" s="6">
        <v>4845.0</v>
      </c>
    </row>
    <row r="173" ht="56.25" customHeight="1">
      <c r="A173" s="5" t="s">
        <v>3672</v>
      </c>
      <c r="B173" s="6" t="str">
        <f>IMAGE("https://storage.googleapis.com/acdb/wallpapers/RoomTexWallRuins00.png")</f>
        <v/>
      </c>
      <c r="C173" s="5" t="s">
        <v>36</v>
      </c>
      <c r="D173" s="5" t="s">
        <v>34</v>
      </c>
      <c r="E173" s="5" t="s">
        <v>36</v>
      </c>
      <c r="F173" s="6">
        <v>3000.0</v>
      </c>
      <c r="G173" s="6">
        <v>750.0</v>
      </c>
      <c r="H173" s="5" t="s">
        <v>2800</v>
      </c>
      <c r="I173" s="5"/>
      <c r="J173" s="5" t="s">
        <v>48</v>
      </c>
      <c r="K173" s="5" t="s">
        <v>2787</v>
      </c>
      <c r="L173" s="5" t="s">
        <v>2939</v>
      </c>
      <c r="M173" s="5" t="s">
        <v>2789</v>
      </c>
      <c r="N173" s="5" t="s">
        <v>44</v>
      </c>
      <c r="O173" s="5" t="s">
        <v>34</v>
      </c>
      <c r="P173" s="5" t="s">
        <v>2489</v>
      </c>
      <c r="Q173" s="5" t="s">
        <v>39</v>
      </c>
      <c r="R173" s="5" t="s">
        <v>38</v>
      </c>
      <c r="S173" s="5" t="s">
        <v>732</v>
      </c>
      <c r="T173" s="5" t="s">
        <v>44</v>
      </c>
      <c r="U173" s="5" t="s">
        <v>44</v>
      </c>
      <c r="V173" s="5" t="s">
        <v>3213</v>
      </c>
      <c r="W173" s="6" t="s">
        <v>42</v>
      </c>
      <c r="X173" s="5" t="s">
        <v>3674</v>
      </c>
      <c r="Y173" s="6">
        <v>5225.0</v>
      </c>
    </row>
    <row r="174" ht="56.25" customHeight="1">
      <c r="A174" s="5" t="s">
        <v>3675</v>
      </c>
      <c r="B174" s="6" t="str">
        <f>IMAGE("https://storage.googleapis.com/acdb/wallpapers/RoomTexWallArtDeco01.png")</f>
        <v/>
      </c>
      <c r="C174" s="5" t="s">
        <v>36</v>
      </c>
      <c r="D174" s="5" t="s">
        <v>34</v>
      </c>
      <c r="E174" s="5" t="s">
        <v>36</v>
      </c>
      <c r="F174" s="6">
        <v>2780.0</v>
      </c>
      <c r="G174" s="6">
        <v>695.0</v>
      </c>
      <c r="H174" s="5" t="s">
        <v>59</v>
      </c>
      <c r="I174" s="5"/>
      <c r="J174" s="5" t="s">
        <v>64</v>
      </c>
      <c r="K174" s="5" t="s">
        <v>1411</v>
      </c>
      <c r="L174" s="5" t="s">
        <v>3066</v>
      </c>
      <c r="M174" s="5" t="s">
        <v>2789</v>
      </c>
      <c r="N174" s="5" t="s">
        <v>44</v>
      </c>
      <c r="O174" s="5" t="s">
        <v>34</v>
      </c>
      <c r="P174" s="5" t="s">
        <v>2489</v>
      </c>
      <c r="Q174" s="5" t="s">
        <v>52</v>
      </c>
      <c r="R174" s="5" t="s">
        <v>54</v>
      </c>
      <c r="S174" s="5" t="s">
        <v>99</v>
      </c>
      <c r="T174" s="5" t="s">
        <v>90</v>
      </c>
      <c r="U174" s="5" t="s">
        <v>44</v>
      </c>
      <c r="V174" s="5" t="s">
        <v>2895</v>
      </c>
      <c r="W174" s="6" t="s">
        <v>42</v>
      </c>
      <c r="X174" s="5" t="s">
        <v>3680</v>
      </c>
      <c r="Y174" s="6">
        <v>4818.0</v>
      </c>
    </row>
    <row r="175" ht="56.25" customHeight="1">
      <c r="A175" s="5" t="s">
        <v>3681</v>
      </c>
      <c r="B175" s="6" t="str">
        <f>IMAGE("https://storage.googleapis.com/acdb/wallpapers/RoomTexWallManor01.png")</f>
        <v/>
      </c>
      <c r="C175" s="5" t="s">
        <v>36</v>
      </c>
      <c r="D175" s="5" t="s">
        <v>34</v>
      </c>
      <c r="E175" s="5" t="s">
        <v>36</v>
      </c>
      <c r="F175" s="6">
        <v>1900.0</v>
      </c>
      <c r="G175" s="6">
        <v>475.0</v>
      </c>
      <c r="H175" s="5" t="s">
        <v>59</v>
      </c>
      <c r="I175" s="5"/>
      <c r="J175" s="5" t="s">
        <v>64</v>
      </c>
      <c r="K175" s="5" t="s">
        <v>2787</v>
      </c>
      <c r="L175" s="5" t="s">
        <v>2939</v>
      </c>
      <c r="M175" s="5" t="s">
        <v>2789</v>
      </c>
      <c r="N175" s="5" t="s">
        <v>2791</v>
      </c>
      <c r="O175" s="5" t="s">
        <v>2965</v>
      </c>
      <c r="P175" s="5" t="s">
        <v>2489</v>
      </c>
      <c r="Q175" s="5" t="s">
        <v>52</v>
      </c>
      <c r="R175" s="5" t="s">
        <v>39</v>
      </c>
      <c r="S175" s="5" t="s">
        <v>116</v>
      </c>
      <c r="T175" s="5" t="s">
        <v>90</v>
      </c>
      <c r="U175" s="5" t="s">
        <v>44</v>
      </c>
      <c r="V175" s="5" t="s">
        <v>2966</v>
      </c>
      <c r="W175" s="6" t="s">
        <v>42</v>
      </c>
      <c r="X175" s="5" t="s">
        <v>3685</v>
      </c>
      <c r="Y175" s="6">
        <v>4897.0</v>
      </c>
    </row>
    <row r="176" ht="56.25" customHeight="1">
      <c r="A176" s="5" t="s">
        <v>3686</v>
      </c>
      <c r="B176" s="6" t="str">
        <f>IMAGE("https://storage.googleapis.com/acdb/wallpapers/RoomTexWallDot02.png")</f>
        <v/>
      </c>
      <c r="C176" s="5" t="s">
        <v>36</v>
      </c>
      <c r="D176" s="5" t="s">
        <v>34</v>
      </c>
      <c r="E176" s="5" t="s">
        <v>36</v>
      </c>
      <c r="F176" s="6">
        <v>1100.0</v>
      </c>
      <c r="G176" s="6">
        <v>275.0</v>
      </c>
      <c r="H176" s="5" t="s">
        <v>59</v>
      </c>
      <c r="I176" s="5"/>
      <c r="J176" s="5" t="s">
        <v>64</v>
      </c>
      <c r="K176" s="5" t="s">
        <v>2787</v>
      </c>
      <c r="L176" s="5" t="s">
        <v>2986</v>
      </c>
      <c r="M176" s="5" t="s">
        <v>2789</v>
      </c>
      <c r="N176" s="5" t="s">
        <v>2888</v>
      </c>
      <c r="O176" s="5" t="s">
        <v>57</v>
      </c>
      <c r="P176" s="5" t="s">
        <v>2793</v>
      </c>
      <c r="Q176" s="5" t="s">
        <v>52</v>
      </c>
      <c r="R176" s="5" t="s">
        <v>52</v>
      </c>
      <c r="S176" s="5" t="s">
        <v>61</v>
      </c>
      <c r="T176" s="5" t="s">
        <v>99</v>
      </c>
      <c r="U176" s="5" t="s">
        <v>44</v>
      </c>
      <c r="V176" s="5" t="s">
        <v>3478</v>
      </c>
      <c r="W176" s="6" t="s">
        <v>42</v>
      </c>
      <c r="X176" s="5" t="s">
        <v>3690</v>
      </c>
      <c r="Y176" s="6">
        <v>4900.0</v>
      </c>
    </row>
    <row r="177" ht="56.25" customHeight="1">
      <c r="A177" s="5" t="s">
        <v>3691</v>
      </c>
      <c r="B177" s="6" t="str">
        <f>IMAGE("https://storage.googleapis.com/acdb/wallpapers/RoomTexWallHeart03.png")</f>
        <v/>
      </c>
      <c r="C177" s="5" t="s">
        <v>36</v>
      </c>
      <c r="D177" s="5" t="s">
        <v>34</v>
      </c>
      <c r="E177" s="5" t="s">
        <v>36</v>
      </c>
      <c r="F177" s="6">
        <v>1280.0</v>
      </c>
      <c r="G177" s="6">
        <v>320.0</v>
      </c>
      <c r="H177" s="5" t="s">
        <v>59</v>
      </c>
      <c r="I177" s="5"/>
      <c r="J177" s="5" t="s">
        <v>64</v>
      </c>
      <c r="K177" s="5" t="s">
        <v>2787</v>
      </c>
      <c r="L177" s="5" t="s">
        <v>2986</v>
      </c>
      <c r="M177" s="5" t="s">
        <v>2789</v>
      </c>
      <c r="N177" s="5" t="s">
        <v>2791</v>
      </c>
      <c r="O177" s="5" t="s">
        <v>57</v>
      </c>
      <c r="P177" s="5" t="s">
        <v>2489</v>
      </c>
      <c r="Q177" s="5" t="s">
        <v>52</v>
      </c>
      <c r="R177" s="5" t="s">
        <v>52</v>
      </c>
      <c r="S177" s="5" t="s">
        <v>61</v>
      </c>
      <c r="T177" s="5" t="s">
        <v>99</v>
      </c>
      <c r="U177" s="5" t="s">
        <v>44</v>
      </c>
      <c r="V177" s="5" t="s">
        <v>2989</v>
      </c>
      <c r="W177" s="6" t="s">
        <v>42</v>
      </c>
      <c r="X177" s="5" t="s">
        <v>3695</v>
      </c>
      <c r="Y177" s="6">
        <v>6870.0</v>
      </c>
    </row>
    <row r="178" ht="56.25" customHeight="1">
      <c r="A178" s="5" t="s">
        <v>3696</v>
      </c>
      <c r="B178" s="6" t="str">
        <f>IMAGE("https://storage.googleapis.com/acdb/wallpapers/RoomTexWallFlowerPop03.png")</f>
        <v/>
      </c>
      <c r="C178" s="5" t="s">
        <v>36</v>
      </c>
      <c r="D178" s="5" t="s">
        <v>34</v>
      </c>
      <c r="E178" s="5" t="s">
        <v>36</v>
      </c>
      <c r="F178" s="6">
        <v>1570.0</v>
      </c>
      <c r="G178" s="6">
        <v>392.0</v>
      </c>
      <c r="H178" s="5" t="s">
        <v>59</v>
      </c>
      <c r="I178" s="5"/>
      <c r="J178" s="5" t="s">
        <v>64</v>
      </c>
      <c r="K178" s="5" t="s">
        <v>2787</v>
      </c>
      <c r="L178" s="5" t="s">
        <v>2788</v>
      </c>
      <c r="M178" s="5" t="s">
        <v>2789</v>
      </c>
      <c r="N178" s="5" t="s">
        <v>2791</v>
      </c>
      <c r="O178" s="5" t="s">
        <v>57</v>
      </c>
      <c r="P178" s="5" t="s">
        <v>2876</v>
      </c>
      <c r="Q178" s="5" t="s">
        <v>52</v>
      </c>
      <c r="R178" s="5" t="s">
        <v>57</v>
      </c>
      <c r="S178" s="5" t="s">
        <v>90</v>
      </c>
      <c r="T178" s="5" t="s">
        <v>62</v>
      </c>
      <c r="U178" s="5" t="s">
        <v>44</v>
      </c>
      <c r="V178" s="5" t="s">
        <v>3000</v>
      </c>
      <c r="W178" s="6" t="s">
        <v>42</v>
      </c>
      <c r="X178" s="5" t="s">
        <v>3698</v>
      </c>
      <c r="Y178" s="6">
        <v>6879.0</v>
      </c>
    </row>
    <row r="179" ht="56.25" customHeight="1">
      <c r="A179" s="5" t="s">
        <v>3699</v>
      </c>
      <c r="B179" s="6" t="str">
        <f>IMAGE("https://storage.googleapis.com/acdb/wallpapers/RoomTexWallPegboard03.png")</f>
        <v/>
      </c>
      <c r="C179" s="5" t="s">
        <v>36</v>
      </c>
      <c r="D179" s="5" t="s">
        <v>34</v>
      </c>
      <c r="E179" s="5" t="s">
        <v>36</v>
      </c>
      <c r="F179" s="6">
        <v>1180.0</v>
      </c>
      <c r="G179" s="6">
        <v>295.0</v>
      </c>
      <c r="H179" s="5" t="s">
        <v>59</v>
      </c>
      <c r="I179" s="5"/>
      <c r="J179" s="5" t="s">
        <v>64</v>
      </c>
      <c r="K179" s="5" t="s">
        <v>44</v>
      </c>
      <c r="L179" s="5" t="s">
        <v>34</v>
      </c>
      <c r="M179" s="5" t="s">
        <v>34</v>
      </c>
      <c r="N179" s="5" t="s">
        <v>44</v>
      </c>
      <c r="O179" s="5" t="s">
        <v>34</v>
      </c>
      <c r="P179" s="5" t="s">
        <v>2801</v>
      </c>
      <c r="Q179" s="5" t="s">
        <v>52</v>
      </c>
      <c r="R179" s="5" t="s">
        <v>52</v>
      </c>
      <c r="S179" s="5" t="s">
        <v>43</v>
      </c>
      <c r="T179" s="5" t="s">
        <v>141</v>
      </c>
      <c r="U179" s="5" t="s">
        <v>44</v>
      </c>
      <c r="V179" s="5" t="s">
        <v>2929</v>
      </c>
      <c r="W179" s="6" t="s">
        <v>42</v>
      </c>
      <c r="X179" s="5" t="s">
        <v>3703</v>
      </c>
      <c r="Y179" s="6">
        <v>6853.0</v>
      </c>
    </row>
    <row r="180" ht="56.25" customHeight="1">
      <c r="A180" s="5" t="s">
        <v>3704</v>
      </c>
      <c r="B180" s="6" t="str">
        <f>IMAGE("https://storage.googleapis.com/acdb/wallpapers/RoomTexWallTwoToneTile03.png")</f>
        <v/>
      </c>
      <c r="C180" s="5" t="s">
        <v>36</v>
      </c>
      <c r="D180" s="5" t="s">
        <v>34</v>
      </c>
      <c r="E180" s="5" t="s">
        <v>36</v>
      </c>
      <c r="F180" s="6">
        <v>1850.0</v>
      </c>
      <c r="G180" s="6">
        <v>462.0</v>
      </c>
      <c r="H180" s="5" t="s">
        <v>59</v>
      </c>
      <c r="I180" s="5"/>
      <c r="J180" s="5" t="s">
        <v>64</v>
      </c>
      <c r="K180" s="5" t="s">
        <v>2907</v>
      </c>
      <c r="L180" s="5" t="s">
        <v>2823</v>
      </c>
      <c r="M180" s="5" t="s">
        <v>2789</v>
      </c>
      <c r="N180" s="5" t="s">
        <v>44</v>
      </c>
      <c r="O180" s="5" t="s">
        <v>34</v>
      </c>
      <c r="P180" s="5" t="s">
        <v>2489</v>
      </c>
      <c r="Q180" s="5" t="s">
        <v>52</v>
      </c>
      <c r="R180" s="5" t="s">
        <v>52</v>
      </c>
      <c r="S180" s="5" t="s">
        <v>288</v>
      </c>
      <c r="T180" s="5" t="s">
        <v>141</v>
      </c>
      <c r="U180" s="5" t="s">
        <v>44</v>
      </c>
      <c r="V180" s="5" t="s">
        <v>2935</v>
      </c>
      <c r="W180" s="6" t="s">
        <v>42</v>
      </c>
      <c r="X180" s="5" t="s">
        <v>3708</v>
      </c>
      <c r="Y180" s="6">
        <v>6856.0</v>
      </c>
    </row>
    <row r="181" ht="56.25" customHeight="1">
      <c r="A181" s="5" t="s">
        <v>3709</v>
      </c>
      <c r="B181" s="6" t="str">
        <f>IMAGE("https://storage.googleapis.com/acdb/wallpapers/RoomTexWallBrick01.png")</f>
        <v/>
      </c>
      <c r="C181" s="5" t="s">
        <v>36</v>
      </c>
      <c r="D181" s="5" t="s">
        <v>34</v>
      </c>
      <c r="E181" s="5" t="s">
        <v>36</v>
      </c>
      <c r="F181" s="6">
        <v>1000.0</v>
      </c>
      <c r="G181" s="6">
        <v>250.0</v>
      </c>
      <c r="H181" s="5" t="s">
        <v>59</v>
      </c>
      <c r="I181" s="5"/>
      <c r="J181" s="5" t="s">
        <v>64</v>
      </c>
      <c r="K181" s="5" t="s">
        <v>2787</v>
      </c>
      <c r="L181" s="5" t="s">
        <v>2939</v>
      </c>
      <c r="M181" s="5" t="s">
        <v>2789</v>
      </c>
      <c r="N181" s="5" t="s">
        <v>44</v>
      </c>
      <c r="O181" s="5" t="s">
        <v>34</v>
      </c>
      <c r="P181" s="5" t="s">
        <v>2489</v>
      </c>
      <c r="Q181" s="5" t="s">
        <v>52</v>
      </c>
      <c r="R181" s="5" t="s">
        <v>39</v>
      </c>
      <c r="S181" s="5" t="s">
        <v>141</v>
      </c>
      <c r="T181" s="5" t="s">
        <v>62</v>
      </c>
      <c r="U181" s="5" t="s">
        <v>44</v>
      </c>
      <c r="V181" s="5" t="s">
        <v>2941</v>
      </c>
      <c r="W181" s="6" t="s">
        <v>42</v>
      </c>
      <c r="X181" s="5" t="s">
        <v>3712</v>
      </c>
      <c r="Y181" s="6">
        <v>4928.0</v>
      </c>
    </row>
    <row r="182" ht="56.25" customHeight="1">
      <c r="A182" s="5" t="s">
        <v>3713</v>
      </c>
      <c r="B182" s="6" t="str">
        <f>IMAGE("https://storage.googleapis.com/acdb/wallpapers/RoomTexWallKitsch00.png")</f>
        <v/>
      </c>
      <c r="C182" s="5" t="s">
        <v>36</v>
      </c>
      <c r="D182" s="5" t="s">
        <v>34</v>
      </c>
      <c r="E182" s="5" t="s">
        <v>36</v>
      </c>
      <c r="F182" s="6">
        <v>1660.0</v>
      </c>
      <c r="G182" s="6">
        <v>415.0</v>
      </c>
      <c r="H182" s="5" t="s">
        <v>59</v>
      </c>
      <c r="I182" s="5"/>
      <c r="J182" s="5" t="s">
        <v>64</v>
      </c>
      <c r="K182" s="5" t="s">
        <v>2787</v>
      </c>
      <c r="L182" s="5" t="s">
        <v>2986</v>
      </c>
      <c r="M182" s="5" t="s">
        <v>2789</v>
      </c>
      <c r="N182" s="5" t="s">
        <v>2888</v>
      </c>
      <c r="O182" s="5" t="s">
        <v>2889</v>
      </c>
      <c r="P182" s="5" t="s">
        <v>811</v>
      </c>
      <c r="Q182" s="5" t="s">
        <v>96</v>
      </c>
      <c r="R182" s="5" t="s">
        <v>96</v>
      </c>
      <c r="S182" s="5" t="s">
        <v>61</v>
      </c>
      <c r="T182" s="5" t="s">
        <v>90</v>
      </c>
      <c r="U182" s="5" t="s">
        <v>44</v>
      </c>
      <c r="V182" s="5" t="s">
        <v>2795</v>
      </c>
      <c r="W182" s="6" t="s">
        <v>42</v>
      </c>
      <c r="X182" s="5" t="s">
        <v>3718</v>
      </c>
      <c r="Y182" s="6">
        <v>4847.0</v>
      </c>
    </row>
    <row r="183" ht="56.25" customHeight="1">
      <c r="A183" s="5" t="s">
        <v>3719</v>
      </c>
      <c r="B183" s="6" t="str">
        <f>IMAGE("https://storage.googleapis.com/acdb/wallpapers/RoomSpWallFarm00.png")</f>
        <v/>
      </c>
      <c r="C183" s="5" t="s">
        <v>35</v>
      </c>
      <c r="D183" s="5" t="s">
        <v>2845</v>
      </c>
      <c r="E183" s="5" t="s">
        <v>36</v>
      </c>
      <c r="F183" s="6">
        <v>3000.0</v>
      </c>
      <c r="G183" s="6">
        <v>750.0</v>
      </c>
      <c r="H183" s="5" t="s">
        <v>2800</v>
      </c>
      <c r="I183" s="5"/>
      <c r="J183" s="5" t="s">
        <v>48</v>
      </c>
      <c r="K183" s="5" t="s">
        <v>44</v>
      </c>
      <c r="L183" s="5" t="s">
        <v>34</v>
      </c>
      <c r="M183" s="5" t="s">
        <v>34</v>
      </c>
      <c r="N183" s="5" t="s">
        <v>44</v>
      </c>
      <c r="O183" s="5" t="s">
        <v>34</v>
      </c>
      <c r="P183" s="5" t="s">
        <v>811</v>
      </c>
      <c r="Q183" s="5" t="s">
        <v>83</v>
      </c>
      <c r="R183" s="5" t="s">
        <v>96</v>
      </c>
      <c r="S183" s="5" t="s">
        <v>172</v>
      </c>
      <c r="T183" s="5" t="s">
        <v>44</v>
      </c>
      <c r="U183" s="5" t="s">
        <v>44</v>
      </c>
      <c r="V183" s="5" t="s">
        <v>2849</v>
      </c>
      <c r="W183" s="6" t="s">
        <v>42</v>
      </c>
      <c r="X183" s="5" t="s">
        <v>3721</v>
      </c>
      <c r="Y183" s="6">
        <v>5487.0</v>
      </c>
    </row>
    <row r="184" ht="56.25" customHeight="1">
      <c r="A184" s="5" t="s">
        <v>3722</v>
      </c>
      <c r="B184" s="6" t="str">
        <f>IMAGE("https://storage.googleapis.com/acdb/wallpapers/RoomSpWallWrestling00.png")</f>
        <v/>
      </c>
      <c r="C184" s="5" t="s">
        <v>35</v>
      </c>
      <c r="D184" s="5" t="s">
        <v>34</v>
      </c>
      <c r="E184" s="5" t="s">
        <v>36</v>
      </c>
      <c r="F184" s="6">
        <v>3000.0</v>
      </c>
      <c r="G184" s="6">
        <v>750.0</v>
      </c>
      <c r="H184" s="5" t="s">
        <v>2800</v>
      </c>
      <c r="I184" s="5"/>
      <c r="J184" s="5" t="s">
        <v>48</v>
      </c>
      <c r="K184" s="5" t="s">
        <v>44</v>
      </c>
      <c r="L184" s="5" t="s">
        <v>34</v>
      </c>
      <c r="M184" s="5" t="s">
        <v>34</v>
      </c>
      <c r="N184" s="5" t="s">
        <v>44</v>
      </c>
      <c r="O184" s="5" t="s">
        <v>34</v>
      </c>
      <c r="P184" s="5" t="s">
        <v>2801</v>
      </c>
      <c r="Q184" s="5" t="s">
        <v>54</v>
      </c>
      <c r="R184" s="5" t="s">
        <v>54</v>
      </c>
      <c r="S184" s="5" t="s">
        <v>474</v>
      </c>
      <c r="T184" s="5" t="s">
        <v>44</v>
      </c>
      <c r="U184" s="5" t="s">
        <v>44</v>
      </c>
      <c r="V184" s="5" t="s">
        <v>2834</v>
      </c>
      <c r="W184" s="6" t="s">
        <v>42</v>
      </c>
      <c r="X184" s="5" t="s">
        <v>3725</v>
      </c>
      <c r="Y184" s="6">
        <v>5512.0</v>
      </c>
    </row>
    <row r="185" ht="56.25" customHeight="1">
      <c r="A185" s="5" t="s">
        <v>3727</v>
      </c>
      <c r="B185" s="6" t="str">
        <f>IMAGE("https://storage.googleapis.com/acdb/wallpapers/RoomTexWallBouldering00.png")</f>
        <v/>
      </c>
      <c r="C185" s="5" t="s">
        <v>36</v>
      </c>
      <c r="D185" s="5" t="s">
        <v>34</v>
      </c>
      <c r="E185" s="5" t="s">
        <v>36</v>
      </c>
      <c r="F185" s="6">
        <v>3000.0</v>
      </c>
      <c r="G185" s="6">
        <v>750.0</v>
      </c>
      <c r="H185" s="5" t="s">
        <v>2800</v>
      </c>
      <c r="I185" s="5"/>
      <c r="J185" s="5" t="s">
        <v>48</v>
      </c>
      <c r="K185" s="5" t="s">
        <v>44</v>
      </c>
      <c r="L185" s="5" t="s">
        <v>34</v>
      </c>
      <c r="M185" s="5" t="s">
        <v>34</v>
      </c>
      <c r="N185" s="5" t="s">
        <v>44</v>
      </c>
      <c r="O185" s="5" t="s">
        <v>34</v>
      </c>
      <c r="P185" s="5" t="s">
        <v>2489</v>
      </c>
      <c r="Q185" s="5" t="s">
        <v>57</v>
      </c>
      <c r="R185" s="5" t="s">
        <v>58</v>
      </c>
      <c r="S185" s="5" t="s">
        <v>474</v>
      </c>
      <c r="T185" s="5" t="s">
        <v>44</v>
      </c>
      <c r="U185" s="5" t="s">
        <v>44</v>
      </c>
      <c r="V185" s="5" t="s">
        <v>2952</v>
      </c>
      <c r="W185" s="6" t="s">
        <v>42</v>
      </c>
      <c r="X185" s="5" t="s">
        <v>3729</v>
      </c>
      <c r="Y185" s="6">
        <v>4851.0</v>
      </c>
    </row>
    <row r="186" ht="56.25" customHeight="1">
      <c r="A186" s="5" t="s">
        <v>3731</v>
      </c>
      <c r="B186" s="6" t="str">
        <f>IMAGE("https://storage.googleapis.com/acdb/wallpapers/RoomTexWallRose00.png")</f>
        <v/>
      </c>
      <c r="C186" s="5" t="s">
        <v>36</v>
      </c>
      <c r="D186" s="5" t="s">
        <v>34</v>
      </c>
      <c r="E186" s="5" t="s">
        <v>36</v>
      </c>
      <c r="F186" s="6">
        <v>1720.0</v>
      </c>
      <c r="G186" s="6">
        <v>430.0</v>
      </c>
      <c r="H186" s="5" t="s">
        <v>59</v>
      </c>
      <c r="I186" s="5"/>
      <c r="J186" s="5" t="s">
        <v>64</v>
      </c>
      <c r="K186" s="5" t="s">
        <v>1411</v>
      </c>
      <c r="L186" s="5" t="s">
        <v>2489</v>
      </c>
      <c r="M186" s="5" t="s">
        <v>2789</v>
      </c>
      <c r="N186" s="5" t="s">
        <v>44</v>
      </c>
      <c r="O186" s="5" t="s">
        <v>34</v>
      </c>
      <c r="P186" s="5" t="s">
        <v>2801</v>
      </c>
      <c r="Q186" s="5" t="s">
        <v>52</v>
      </c>
      <c r="R186" s="5" t="s">
        <v>57</v>
      </c>
      <c r="S186" s="5" t="s">
        <v>61</v>
      </c>
      <c r="T186" s="5" t="s">
        <v>44</v>
      </c>
      <c r="U186" s="5" t="s">
        <v>44</v>
      </c>
      <c r="V186" s="5" t="s">
        <v>3068</v>
      </c>
      <c r="W186" s="6" t="s">
        <v>42</v>
      </c>
      <c r="X186" s="5" t="s">
        <v>3734</v>
      </c>
      <c r="Y186" s="6">
        <v>4906.0</v>
      </c>
    </row>
    <row r="187" ht="56.25" customHeight="1">
      <c r="A187" s="5" t="s">
        <v>3736</v>
      </c>
      <c r="B187" s="6" t="str">
        <f>IMAGE("https://storage.googleapis.com/acdb/wallpapers/RoomTexWallRemains00.png")</f>
        <v/>
      </c>
      <c r="C187" s="5" t="s">
        <v>36</v>
      </c>
      <c r="D187" s="5" t="s">
        <v>34</v>
      </c>
      <c r="E187" s="5" t="s">
        <v>36</v>
      </c>
      <c r="F187" s="6">
        <v>3000.0</v>
      </c>
      <c r="G187" s="6">
        <v>750.0</v>
      </c>
      <c r="H187" s="5" t="s">
        <v>2800</v>
      </c>
      <c r="I187" s="5"/>
      <c r="J187" s="5" t="s">
        <v>48</v>
      </c>
      <c r="K187" s="5" t="s">
        <v>44</v>
      </c>
      <c r="L187" s="5" t="s">
        <v>34</v>
      </c>
      <c r="M187" s="5" t="s">
        <v>34</v>
      </c>
      <c r="N187" s="5" t="s">
        <v>44</v>
      </c>
      <c r="O187" s="5" t="s">
        <v>34</v>
      </c>
      <c r="P187" s="5" t="s">
        <v>2801</v>
      </c>
      <c r="Q187" s="5" t="s">
        <v>54</v>
      </c>
      <c r="R187" s="5" t="s">
        <v>95</v>
      </c>
      <c r="S187" s="5" t="s">
        <v>732</v>
      </c>
      <c r="T187" s="5" t="s">
        <v>696</v>
      </c>
      <c r="U187" s="5" t="s">
        <v>44</v>
      </c>
      <c r="V187" s="5" t="s">
        <v>2856</v>
      </c>
      <c r="W187" s="6" t="s">
        <v>42</v>
      </c>
      <c r="X187" s="5" t="s">
        <v>3738</v>
      </c>
      <c r="Y187" s="6">
        <v>5228.0</v>
      </c>
    </row>
    <row r="188" ht="56.25" customHeight="1">
      <c r="A188" s="5" t="s">
        <v>3740</v>
      </c>
      <c r="B188" s="6" t="str">
        <f>IMAGE("https://storage.googleapis.com/acdb/wallpapers/RoomTexWallStone00.png")</f>
        <v/>
      </c>
      <c r="C188" s="5" t="s">
        <v>36</v>
      </c>
      <c r="D188" s="5" t="s">
        <v>34</v>
      </c>
      <c r="E188" s="5" t="s">
        <v>35</v>
      </c>
      <c r="F188" s="6" t="s">
        <v>37</v>
      </c>
      <c r="G188" s="6">
        <v>1750.0</v>
      </c>
      <c r="H188" s="5" t="s">
        <v>41</v>
      </c>
      <c r="I188" s="5"/>
      <c r="J188" s="5" t="s">
        <v>48</v>
      </c>
      <c r="K188" s="5" t="s">
        <v>2787</v>
      </c>
      <c r="L188" s="5" t="s">
        <v>2939</v>
      </c>
      <c r="M188" s="5" t="s">
        <v>2789</v>
      </c>
      <c r="N188" s="5" t="s">
        <v>44</v>
      </c>
      <c r="O188" s="5" t="s">
        <v>34</v>
      </c>
      <c r="P188" s="5" t="s">
        <v>2489</v>
      </c>
      <c r="Q188" s="5" t="s">
        <v>95</v>
      </c>
      <c r="R188" s="5" t="s">
        <v>95</v>
      </c>
      <c r="S188" s="5" t="s">
        <v>141</v>
      </c>
      <c r="T188" s="5" t="s">
        <v>62</v>
      </c>
      <c r="U188" s="5" t="s">
        <v>44</v>
      </c>
      <c r="V188" s="5" t="s">
        <v>3213</v>
      </c>
      <c r="W188" s="6" t="s">
        <v>42</v>
      </c>
      <c r="X188" s="5" t="s">
        <v>3745</v>
      </c>
      <c r="Y188" s="6">
        <v>4813.0</v>
      </c>
    </row>
    <row r="189" ht="56.25" customHeight="1">
      <c r="A189" s="5" t="s">
        <v>3746</v>
      </c>
      <c r="B189" s="6" t="str">
        <f>IMAGE("https://storage.googleapis.com/acdb/wallpapers/RoomTexWallSolidWood00.png")</f>
        <v/>
      </c>
      <c r="C189" s="5" t="s">
        <v>36</v>
      </c>
      <c r="D189" s="5" t="s">
        <v>34</v>
      </c>
      <c r="E189" s="5" t="s">
        <v>35</v>
      </c>
      <c r="F189" s="6" t="s">
        <v>37</v>
      </c>
      <c r="G189" s="6">
        <v>3200.0</v>
      </c>
      <c r="H189" s="5" t="s">
        <v>41</v>
      </c>
      <c r="I189" s="5" t="s">
        <v>513</v>
      </c>
      <c r="J189" s="5" t="s">
        <v>48</v>
      </c>
      <c r="K189" s="5" t="s">
        <v>2787</v>
      </c>
      <c r="L189" s="5" t="s">
        <v>2788</v>
      </c>
      <c r="M189" s="5" t="s">
        <v>2789</v>
      </c>
      <c r="N189" s="5" t="s">
        <v>2888</v>
      </c>
      <c r="O189" s="5" t="s">
        <v>69</v>
      </c>
      <c r="P189" s="5" t="s">
        <v>2876</v>
      </c>
      <c r="Q189" s="5" t="s">
        <v>69</v>
      </c>
      <c r="R189" s="5" t="s">
        <v>69</v>
      </c>
      <c r="S189" s="5" t="s">
        <v>99</v>
      </c>
      <c r="T189" s="5" t="s">
        <v>61</v>
      </c>
      <c r="U189" s="5" t="s">
        <v>514</v>
      </c>
      <c r="V189" s="5" t="s">
        <v>2870</v>
      </c>
      <c r="W189" s="6" t="s">
        <v>42</v>
      </c>
      <c r="X189" s="5" t="s">
        <v>3749</v>
      </c>
      <c r="Y189" s="6">
        <v>4947.0</v>
      </c>
    </row>
    <row r="190" ht="56.25" customHeight="1">
      <c r="A190" s="5" t="s">
        <v>3750</v>
      </c>
      <c r="B190" s="6" t="str">
        <f>IMAGE("https://storage.googleapis.com/acdb/wallpapers/RoomSpWallSF00.png")</f>
        <v/>
      </c>
      <c r="C190" s="5" t="s">
        <v>35</v>
      </c>
      <c r="D190" s="5" t="s">
        <v>2837</v>
      </c>
      <c r="E190" s="5" t="s">
        <v>35</v>
      </c>
      <c r="F190" s="6" t="s">
        <v>37</v>
      </c>
      <c r="G190" s="6">
        <v>7500.0</v>
      </c>
      <c r="H190" s="5" t="s">
        <v>41</v>
      </c>
      <c r="I190" s="5"/>
      <c r="J190" s="5" t="s">
        <v>48</v>
      </c>
      <c r="K190" s="5" t="s">
        <v>44</v>
      </c>
      <c r="L190" s="5" t="s">
        <v>34</v>
      </c>
      <c r="M190" s="5" t="s">
        <v>34</v>
      </c>
      <c r="N190" s="5" t="s">
        <v>44</v>
      </c>
      <c r="O190" s="5" t="s">
        <v>34</v>
      </c>
      <c r="P190" s="5" t="s">
        <v>2489</v>
      </c>
      <c r="Q190" s="5" t="s">
        <v>54</v>
      </c>
      <c r="R190" s="5" t="s">
        <v>54</v>
      </c>
      <c r="S190" s="5" t="s">
        <v>401</v>
      </c>
      <c r="T190" s="5" t="s">
        <v>141</v>
      </c>
      <c r="U190" s="5" t="s">
        <v>44</v>
      </c>
      <c r="V190" s="5" t="s">
        <v>3280</v>
      </c>
      <c r="W190" s="6" t="s">
        <v>42</v>
      </c>
      <c r="X190" s="5" t="s">
        <v>3751</v>
      </c>
      <c r="Y190" s="6">
        <v>5510.0</v>
      </c>
    </row>
    <row r="191" ht="56.25" customHeight="1">
      <c r="A191" s="5" t="s">
        <v>3752</v>
      </c>
      <c r="B191" s="6" t="str">
        <f>IMAGE("https://storage.googleapis.com/acdb/wallpapers/RoomTexWallFusuma00.png")</f>
        <v/>
      </c>
      <c r="C191" s="5" t="s">
        <v>36</v>
      </c>
      <c r="D191" s="5" t="s">
        <v>34</v>
      </c>
      <c r="E191" s="5" t="s">
        <v>36</v>
      </c>
      <c r="F191" s="6">
        <v>3000.0</v>
      </c>
      <c r="G191" s="6">
        <v>750.0</v>
      </c>
      <c r="H191" s="5" t="s">
        <v>59</v>
      </c>
      <c r="I191" s="5"/>
      <c r="J191" s="5" t="s">
        <v>64</v>
      </c>
      <c r="K191" s="5" t="s">
        <v>44</v>
      </c>
      <c r="L191" s="5" t="s">
        <v>34</v>
      </c>
      <c r="M191" s="5" t="s">
        <v>34</v>
      </c>
      <c r="N191" s="5" t="s">
        <v>44</v>
      </c>
      <c r="O191" s="5" t="s">
        <v>34</v>
      </c>
      <c r="P191" s="5" t="s">
        <v>811</v>
      </c>
      <c r="Q191" s="5" t="s">
        <v>57</v>
      </c>
      <c r="R191" s="5" t="s">
        <v>57</v>
      </c>
      <c r="S191" s="5" t="s">
        <v>266</v>
      </c>
      <c r="T191" s="5" t="s">
        <v>141</v>
      </c>
      <c r="U191" s="5" t="s">
        <v>44</v>
      </c>
      <c r="V191" s="5" t="s">
        <v>650</v>
      </c>
      <c r="W191" s="6" t="s">
        <v>42</v>
      </c>
      <c r="X191" s="5" t="s">
        <v>3755</v>
      </c>
      <c r="Y191" s="6">
        <v>4819.0</v>
      </c>
    </row>
    <row r="192" ht="56.25" customHeight="1">
      <c r="A192" s="5" t="s">
        <v>3756</v>
      </c>
      <c r="B192" s="6" t="str">
        <f>IMAGE("https://storage.googleapis.com/acdb/wallpapers/RoomSpWallSeaView00.png")</f>
        <v/>
      </c>
      <c r="C192" s="5" t="s">
        <v>35</v>
      </c>
      <c r="D192" s="5" t="s">
        <v>2845</v>
      </c>
      <c r="E192" s="5" t="s">
        <v>36</v>
      </c>
      <c r="F192" s="6">
        <v>3000.0</v>
      </c>
      <c r="G192" s="6">
        <v>750.0</v>
      </c>
      <c r="H192" s="5" t="s">
        <v>2800</v>
      </c>
      <c r="I192" s="5"/>
      <c r="J192" s="5" t="s">
        <v>48</v>
      </c>
      <c r="K192" s="5" t="s">
        <v>44</v>
      </c>
      <c r="L192" s="5" t="s">
        <v>34</v>
      </c>
      <c r="M192" s="5" t="s">
        <v>34</v>
      </c>
      <c r="N192" s="5" t="s">
        <v>44</v>
      </c>
      <c r="O192" s="5" t="s">
        <v>34</v>
      </c>
      <c r="P192" s="5" t="s">
        <v>2876</v>
      </c>
      <c r="Q192" s="5" t="s">
        <v>83</v>
      </c>
      <c r="R192" s="5" t="s">
        <v>68</v>
      </c>
      <c r="S192" s="5" t="s">
        <v>138</v>
      </c>
      <c r="T192" s="5" t="s">
        <v>44</v>
      </c>
      <c r="U192" s="5" t="s">
        <v>44</v>
      </c>
      <c r="V192" s="5" t="s">
        <v>2849</v>
      </c>
      <c r="W192" s="6" t="s">
        <v>42</v>
      </c>
      <c r="X192" s="5" t="s">
        <v>3759</v>
      </c>
      <c r="Y192" s="6">
        <v>5501.0</v>
      </c>
    </row>
    <row r="193" ht="56.25" customHeight="1">
      <c r="A193" s="5" t="s">
        <v>3760</v>
      </c>
      <c r="B193" s="6" t="str">
        <f>IMAGE("https://storage.googleapis.com/acdb/wallpapers/RoomSpWallMonitor00.png")</f>
        <v/>
      </c>
      <c r="C193" s="5" t="s">
        <v>35</v>
      </c>
      <c r="D193" s="5" t="s">
        <v>2837</v>
      </c>
      <c r="E193" s="5" t="s">
        <v>36</v>
      </c>
      <c r="F193" s="6">
        <v>3000.0</v>
      </c>
      <c r="G193" s="6">
        <v>750.0</v>
      </c>
      <c r="H193" s="5" t="s">
        <v>2800</v>
      </c>
      <c r="I193" s="5"/>
      <c r="J193" s="5" t="s">
        <v>48</v>
      </c>
      <c r="K193" s="5" t="s">
        <v>44</v>
      </c>
      <c r="L193" s="5" t="s">
        <v>34</v>
      </c>
      <c r="M193" s="5" t="s">
        <v>34</v>
      </c>
      <c r="N193" s="5" t="s">
        <v>44</v>
      </c>
      <c r="O193" s="5" t="s">
        <v>34</v>
      </c>
      <c r="P193" s="5" t="s">
        <v>2793</v>
      </c>
      <c r="Q193" s="5" t="s">
        <v>54</v>
      </c>
      <c r="R193" s="5" t="s">
        <v>95</v>
      </c>
      <c r="S193" s="5" t="s">
        <v>141</v>
      </c>
      <c r="T193" s="5" t="s">
        <v>44</v>
      </c>
      <c r="U193" s="5" t="s">
        <v>44</v>
      </c>
      <c r="V193" s="5" t="s">
        <v>3280</v>
      </c>
      <c r="W193" s="6" t="s">
        <v>42</v>
      </c>
      <c r="X193" s="5" t="s">
        <v>3763</v>
      </c>
      <c r="Y193" s="6">
        <v>5491.0</v>
      </c>
    </row>
    <row r="194" ht="56.25" customHeight="1">
      <c r="A194" s="5" t="s">
        <v>3764</v>
      </c>
      <c r="B194" s="6" t="str">
        <f>IMAGE("https://storage.googleapis.com/acdb/wallpapers/RoomTexWallPuzzle02.png")</f>
        <v/>
      </c>
      <c r="C194" s="5" t="s">
        <v>36</v>
      </c>
      <c r="D194" s="5" t="s">
        <v>34</v>
      </c>
      <c r="E194" s="5" t="s">
        <v>36</v>
      </c>
      <c r="F194" s="6">
        <v>1540.0</v>
      </c>
      <c r="G194" s="6">
        <v>385.0</v>
      </c>
      <c r="H194" s="5" t="s">
        <v>59</v>
      </c>
      <c r="I194" s="5"/>
      <c r="J194" s="5" t="s">
        <v>64</v>
      </c>
      <c r="K194" s="5" t="s">
        <v>2822</v>
      </c>
      <c r="L194" s="5" t="s">
        <v>2823</v>
      </c>
      <c r="M194" s="5" t="s">
        <v>2789</v>
      </c>
      <c r="N194" s="5" t="s">
        <v>2824</v>
      </c>
      <c r="O194" s="5" t="s">
        <v>2825</v>
      </c>
      <c r="P194" s="5" t="s">
        <v>2876</v>
      </c>
      <c r="Q194" s="5" t="s">
        <v>38</v>
      </c>
      <c r="R194" s="5" t="s">
        <v>58</v>
      </c>
      <c r="S194" s="5" t="s">
        <v>61</v>
      </c>
      <c r="T194" s="5" t="s">
        <v>99</v>
      </c>
      <c r="U194" s="5" t="s">
        <v>44</v>
      </c>
      <c r="V194" s="5" t="s">
        <v>3202</v>
      </c>
      <c r="W194" s="6" t="s">
        <v>42</v>
      </c>
      <c r="X194" s="5" t="s">
        <v>3767</v>
      </c>
      <c r="Y194" s="6">
        <v>6874.0</v>
      </c>
    </row>
    <row r="195" ht="56.25" customHeight="1">
      <c r="A195" s="5" t="s">
        <v>3768</v>
      </c>
      <c r="B195" s="6" t="str">
        <f>IMAGE("https://storage.googleapis.com/acdb/wallpapers/RoomSpWallServer00.png")</f>
        <v/>
      </c>
      <c r="C195" s="5" t="s">
        <v>35</v>
      </c>
      <c r="D195" s="5" t="s">
        <v>2837</v>
      </c>
      <c r="E195" s="5" t="s">
        <v>36</v>
      </c>
      <c r="F195" s="6">
        <v>3000.0</v>
      </c>
      <c r="G195" s="6">
        <v>750.0</v>
      </c>
      <c r="H195" s="5" t="s">
        <v>2800</v>
      </c>
      <c r="I195" s="5"/>
      <c r="J195" s="5" t="s">
        <v>48</v>
      </c>
      <c r="K195" s="5" t="s">
        <v>44</v>
      </c>
      <c r="L195" s="5" t="s">
        <v>34</v>
      </c>
      <c r="M195" s="5" t="s">
        <v>34</v>
      </c>
      <c r="N195" s="5" t="s">
        <v>44</v>
      </c>
      <c r="O195" s="5" t="s">
        <v>34</v>
      </c>
      <c r="P195" s="5" t="s">
        <v>2489</v>
      </c>
      <c r="Q195" s="5" t="s">
        <v>54</v>
      </c>
      <c r="R195" s="5" t="s">
        <v>54</v>
      </c>
      <c r="S195" s="5" t="s">
        <v>141</v>
      </c>
      <c r="T195" s="5" t="s">
        <v>44</v>
      </c>
      <c r="U195" s="5" t="s">
        <v>44</v>
      </c>
      <c r="V195" s="5" t="s">
        <v>3280</v>
      </c>
      <c r="W195" s="6" t="s">
        <v>42</v>
      </c>
      <c r="X195" s="5" t="s">
        <v>3770</v>
      </c>
      <c r="Y195" s="6">
        <v>5490.0</v>
      </c>
    </row>
    <row r="196" ht="56.25" customHeight="1">
      <c r="A196" s="5" t="s">
        <v>3771</v>
      </c>
      <c r="B196" s="6" t="str">
        <f>IMAGE("https://storage.googleapis.com/acdb/wallpapers/RoomSpWallShoji00.png")</f>
        <v/>
      </c>
      <c r="C196" s="5" t="s">
        <v>35</v>
      </c>
      <c r="D196" s="5" t="s">
        <v>34</v>
      </c>
      <c r="E196" s="5" t="s">
        <v>36</v>
      </c>
      <c r="F196" s="6">
        <v>1880.0</v>
      </c>
      <c r="G196" s="6">
        <v>470.0</v>
      </c>
      <c r="H196" s="5" t="s">
        <v>59</v>
      </c>
      <c r="I196" s="5"/>
      <c r="J196" s="5" t="s">
        <v>64</v>
      </c>
      <c r="K196" s="5" t="s">
        <v>44</v>
      </c>
      <c r="L196" s="5" t="s">
        <v>34</v>
      </c>
      <c r="M196" s="5" t="s">
        <v>34</v>
      </c>
      <c r="N196" s="5" t="s">
        <v>44</v>
      </c>
      <c r="O196" s="5" t="s">
        <v>34</v>
      </c>
      <c r="P196" s="5" t="s">
        <v>2801</v>
      </c>
      <c r="Q196" s="5" t="s">
        <v>38</v>
      </c>
      <c r="R196" s="5" t="s">
        <v>57</v>
      </c>
      <c r="S196" s="5" t="s">
        <v>266</v>
      </c>
      <c r="T196" s="5" t="s">
        <v>44</v>
      </c>
      <c r="U196" s="5" t="s">
        <v>44</v>
      </c>
      <c r="V196" s="5" t="s">
        <v>650</v>
      </c>
      <c r="W196" s="6" t="s">
        <v>42</v>
      </c>
      <c r="X196" s="5" t="s">
        <v>3774</v>
      </c>
      <c r="Y196" s="6">
        <v>4863.0</v>
      </c>
    </row>
    <row r="197" ht="56.25" customHeight="1">
      <c r="A197" s="5" t="s">
        <v>3775</v>
      </c>
      <c r="B197" s="6" t="str">
        <f>IMAGE("https://storage.googleapis.com/acdb/wallpapers/RoomTexWallShutter00.png")</f>
        <v/>
      </c>
      <c r="C197" s="5" t="s">
        <v>36</v>
      </c>
      <c r="D197" s="5" t="s">
        <v>34</v>
      </c>
      <c r="E197" s="5" t="s">
        <v>36</v>
      </c>
      <c r="F197" s="6">
        <v>3000.0</v>
      </c>
      <c r="G197" s="6">
        <v>750.0</v>
      </c>
      <c r="H197" s="5" t="s">
        <v>2800</v>
      </c>
      <c r="I197" s="5"/>
      <c r="J197" s="5" t="s">
        <v>48</v>
      </c>
      <c r="K197" s="5" t="s">
        <v>44</v>
      </c>
      <c r="L197" s="5" t="s">
        <v>34</v>
      </c>
      <c r="M197" s="5" t="s">
        <v>34</v>
      </c>
      <c r="N197" s="5" t="s">
        <v>44</v>
      </c>
      <c r="O197" s="5" t="s">
        <v>34</v>
      </c>
      <c r="P197" s="5" t="s">
        <v>811</v>
      </c>
      <c r="Q197" s="5" t="s">
        <v>57</v>
      </c>
      <c r="R197" s="5" t="s">
        <v>95</v>
      </c>
      <c r="S197" s="5" t="s">
        <v>141</v>
      </c>
      <c r="T197" s="5" t="s">
        <v>62</v>
      </c>
      <c r="U197" s="5" t="s">
        <v>44</v>
      </c>
      <c r="V197" s="5" t="s">
        <v>2877</v>
      </c>
      <c r="W197" s="6" t="s">
        <v>42</v>
      </c>
      <c r="X197" s="5" t="s">
        <v>3778</v>
      </c>
      <c r="Y197" s="6">
        <v>4825.0</v>
      </c>
    </row>
    <row r="198" ht="56.25" customHeight="1">
      <c r="A198" s="5" t="s">
        <v>3779</v>
      </c>
      <c r="B198" s="6" t="str">
        <f>IMAGE("https://storage.googleapis.com/acdb/wallpapers/RoomSpWallGelande00.png")</f>
        <v/>
      </c>
      <c r="C198" s="5" t="s">
        <v>35</v>
      </c>
      <c r="D198" s="5" t="s">
        <v>2845</v>
      </c>
      <c r="E198" s="5" t="s">
        <v>35</v>
      </c>
      <c r="F198" s="6" t="s">
        <v>37</v>
      </c>
      <c r="G198" s="6">
        <v>3200.0</v>
      </c>
      <c r="H198" s="5" t="s">
        <v>41</v>
      </c>
      <c r="I198" s="5" t="s">
        <v>2176</v>
      </c>
      <c r="J198" s="5" t="s">
        <v>48</v>
      </c>
      <c r="K198" s="5" t="s">
        <v>44</v>
      </c>
      <c r="L198" s="5" t="s">
        <v>34</v>
      </c>
      <c r="M198" s="5" t="s">
        <v>34</v>
      </c>
      <c r="N198" s="5" t="s">
        <v>44</v>
      </c>
      <c r="O198" s="5" t="s">
        <v>34</v>
      </c>
      <c r="P198" s="5" t="s">
        <v>2793</v>
      </c>
      <c r="Q198" s="5" t="s">
        <v>57</v>
      </c>
      <c r="R198" s="5" t="s">
        <v>57</v>
      </c>
      <c r="S198" s="5" t="s">
        <v>1894</v>
      </c>
      <c r="T198" s="5" t="s">
        <v>44</v>
      </c>
      <c r="U198" s="5" t="s">
        <v>44</v>
      </c>
      <c r="V198" s="5" t="s">
        <v>2849</v>
      </c>
      <c r="W198" s="6" t="s">
        <v>42</v>
      </c>
      <c r="X198" s="5" t="s">
        <v>3783</v>
      </c>
      <c r="Y198" s="6">
        <v>5498.0</v>
      </c>
    </row>
    <row r="199" ht="56.25" customHeight="1">
      <c r="A199" s="5" t="s">
        <v>3784</v>
      </c>
      <c r="B199" s="6" t="str">
        <f>IMAGE("https://storage.googleapis.com/acdb/wallpapers/RoomSpWallSkull00.png")</f>
        <v/>
      </c>
      <c r="C199" s="5" t="s">
        <v>35</v>
      </c>
      <c r="D199" s="5" t="s">
        <v>3785</v>
      </c>
      <c r="E199" s="5" t="s">
        <v>36</v>
      </c>
      <c r="F199" s="6">
        <v>3000.0</v>
      </c>
      <c r="G199" s="6">
        <v>750.0</v>
      </c>
      <c r="H199" s="5" t="s">
        <v>59</v>
      </c>
      <c r="I199" s="5"/>
      <c r="J199" s="5" t="s">
        <v>64</v>
      </c>
      <c r="K199" s="5" t="s">
        <v>2822</v>
      </c>
      <c r="L199" s="5" t="s">
        <v>2913</v>
      </c>
      <c r="M199" s="5" t="s">
        <v>2789</v>
      </c>
      <c r="N199" s="5" t="s">
        <v>2824</v>
      </c>
      <c r="O199" s="5" t="s">
        <v>2916</v>
      </c>
      <c r="P199" s="5" t="s">
        <v>811</v>
      </c>
      <c r="Q199" s="5" t="s">
        <v>54</v>
      </c>
      <c r="R199" s="5" t="s">
        <v>54</v>
      </c>
      <c r="S199" s="5" t="s">
        <v>732</v>
      </c>
      <c r="T199" s="5" t="s">
        <v>99</v>
      </c>
      <c r="U199" s="5" t="s">
        <v>44</v>
      </c>
      <c r="V199" s="5" t="s">
        <v>3280</v>
      </c>
      <c r="W199" s="6" t="s">
        <v>42</v>
      </c>
      <c r="X199" s="5" t="s">
        <v>3788</v>
      </c>
      <c r="Y199" s="6">
        <v>5520.0</v>
      </c>
    </row>
    <row r="200" ht="56.25" customHeight="1">
      <c r="A200" s="5" t="s">
        <v>3789</v>
      </c>
      <c r="B200" s="6" t="str">
        <f>IMAGE("https://storage.googleapis.com/acdb/wallpapers/RoomSpWallCloud00.png")</f>
        <v/>
      </c>
      <c r="C200" s="5" t="s">
        <v>35</v>
      </c>
      <c r="D200" s="5" t="s">
        <v>2845</v>
      </c>
      <c r="E200" s="5" t="s">
        <v>36</v>
      </c>
      <c r="F200" s="6">
        <v>3000.0</v>
      </c>
      <c r="G200" s="6">
        <v>750.0</v>
      </c>
      <c r="H200" s="5" t="s">
        <v>2800</v>
      </c>
      <c r="I200" s="5"/>
      <c r="J200" s="5" t="s">
        <v>48</v>
      </c>
      <c r="K200" s="5" t="s">
        <v>44</v>
      </c>
      <c r="L200" s="5" t="s">
        <v>34</v>
      </c>
      <c r="M200" s="5" t="s">
        <v>34</v>
      </c>
      <c r="N200" s="5" t="s">
        <v>44</v>
      </c>
      <c r="O200" s="5" t="s">
        <v>34</v>
      </c>
      <c r="P200" s="5" t="s">
        <v>2801</v>
      </c>
      <c r="Q200" s="5" t="s">
        <v>83</v>
      </c>
      <c r="R200" s="5" t="s">
        <v>57</v>
      </c>
      <c r="S200" s="5" t="s">
        <v>61</v>
      </c>
      <c r="T200" s="5" t="s">
        <v>44</v>
      </c>
      <c r="U200" s="5" t="s">
        <v>44</v>
      </c>
      <c r="V200" s="5" t="s">
        <v>2849</v>
      </c>
      <c r="W200" s="6" t="s">
        <v>42</v>
      </c>
      <c r="X200" s="5" t="s">
        <v>3792</v>
      </c>
      <c r="Y200" s="6">
        <v>5504.0</v>
      </c>
    </row>
    <row r="201" ht="56.25" customHeight="1">
      <c r="A201" s="5" t="s">
        <v>3793</v>
      </c>
      <c r="B201" s="6" t="str">
        <f>IMAGE("https://storage.googleapis.com/acdb/wallpapers/RoomTexWallSkyscraper00.png")</f>
        <v/>
      </c>
      <c r="C201" s="5" t="s">
        <v>36</v>
      </c>
      <c r="D201" s="5" t="s">
        <v>34</v>
      </c>
      <c r="E201" s="5" t="s">
        <v>36</v>
      </c>
      <c r="F201" s="6">
        <v>3000.0</v>
      </c>
      <c r="G201" s="6">
        <v>750.0</v>
      </c>
      <c r="H201" s="5" t="s">
        <v>2800</v>
      </c>
      <c r="I201" s="5"/>
      <c r="J201" s="5" t="s">
        <v>48</v>
      </c>
      <c r="K201" s="5" t="s">
        <v>44</v>
      </c>
      <c r="L201" s="5" t="s">
        <v>34</v>
      </c>
      <c r="M201" s="5" t="s">
        <v>34</v>
      </c>
      <c r="N201" s="5" t="s">
        <v>44</v>
      </c>
      <c r="O201" s="5" t="s">
        <v>34</v>
      </c>
      <c r="P201" s="5" t="s">
        <v>2793</v>
      </c>
      <c r="Q201" s="5" t="s">
        <v>54</v>
      </c>
      <c r="R201" s="5" t="s">
        <v>95</v>
      </c>
      <c r="S201" s="5" t="s">
        <v>116</v>
      </c>
      <c r="T201" s="5" t="s">
        <v>44</v>
      </c>
      <c r="U201" s="5" t="s">
        <v>44</v>
      </c>
      <c r="V201" s="5" t="s">
        <v>2952</v>
      </c>
      <c r="W201" s="6" t="s">
        <v>42</v>
      </c>
      <c r="X201" s="5" t="s">
        <v>3796</v>
      </c>
      <c r="Y201" s="6">
        <v>4852.0</v>
      </c>
    </row>
    <row r="202" ht="56.25" customHeight="1">
      <c r="A202" s="5" t="s">
        <v>3797</v>
      </c>
      <c r="B202" s="6" t="str">
        <f>IMAGE("https://storage.googleapis.com/acdb/wallpapers/RoomTexWallSnowCrystal00.png")</f>
        <v/>
      </c>
      <c r="C202" s="5" t="s">
        <v>36</v>
      </c>
      <c r="D202" s="5" t="s">
        <v>34</v>
      </c>
      <c r="E202" s="5" t="s">
        <v>35</v>
      </c>
      <c r="F202" s="6" t="s">
        <v>37</v>
      </c>
      <c r="G202" s="6">
        <v>4800.0</v>
      </c>
      <c r="H202" s="5" t="s">
        <v>41</v>
      </c>
      <c r="I202" s="5" t="s">
        <v>2176</v>
      </c>
      <c r="J202" s="5" t="s">
        <v>48</v>
      </c>
      <c r="K202" s="5" t="s">
        <v>2787</v>
      </c>
      <c r="L202" s="5" t="s">
        <v>2788</v>
      </c>
      <c r="M202" s="5" t="s">
        <v>2789</v>
      </c>
      <c r="N202" s="5" t="s">
        <v>2791</v>
      </c>
      <c r="O202" s="5" t="s">
        <v>57</v>
      </c>
      <c r="P202" s="5" t="s">
        <v>2489</v>
      </c>
      <c r="Q202" s="5" t="s">
        <v>83</v>
      </c>
      <c r="R202" s="5" t="s">
        <v>83</v>
      </c>
      <c r="S202" s="5" t="s">
        <v>1894</v>
      </c>
      <c r="T202" s="5" t="s">
        <v>44</v>
      </c>
      <c r="U202" s="5" t="s">
        <v>44</v>
      </c>
      <c r="V202" s="5" t="s">
        <v>2795</v>
      </c>
      <c r="W202" s="6" t="s">
        <v>42</v>
      </c>
      <c r="X202" s="5" t="s">
        <v>3800</v>
      </c>
      <c r="Y202" s="6">
        <v>4855.0</v>
      </c>
    </row>
    <row r="203" ht="56.25" customHeight="1">
      <c r="A203" s="5" t="s">
        <v>3801</v>
      </c>
      <c r="B203" s="6" t="str">
        <f>IMAGE("https://storage.googleapis.com/acdb/wallpapers/RoomTexWallMud01.png")</f>
        <v/>
      </c>
      <c r="C203" s="5" t="s">
        <v>36</v>
      </c>
      <c r="D203" s="5" t="s">
        <v>34</v>
      </c>
      <c r="E203" s="5" t="s">
        <v>36</v>
      </c>
      <c r="F203" s="6">
        <v>1750.0</v>
      </c>
      <c r="G203" s="6">
        <v>437.0</v>
      </c>
      <c r="H203" s="5" t="s">
        <v>59</v>
      </c>
      <c r="I203" s="5"/>
      <c r="J203" s="5" t="s">
        <v>64</v>
      </c>
      <c r="K203" s="5" t="s">
        <v>3160</v>
      </c>
      <c r="L203" s="5" t="s">
        <v>2887</v>
      </c>
      <c r="M203" s="5" t="s">
        <v>715</v>
      </c>
      <c r="N203" s="5" t="s">
        <v>44</v>
      </c>
      <c r="O203" s="5" t="s">
        <v>34</v>
      </c>
      <c r="P203" s="5" t="s">
        <v>2489</v>
      </c>
      <c r="Q203" s="5" t="s">
        <v>57</v>
      </c>
      <c r="R203" s="5" t="s">
        <v>38</v>
      </c>
      <c r="S203" s="5" t="s">
        <v>266</v>
      </c>
      <c r="T203" s="5" t="s">
        <v>62</v>
      </c>
      <c r="U203" s="5" t="s">
        <v>44</v>
      </c>
      <c r="V203" s="5" t="s">
        <v>3162</v>
      </c>
      <c r="W203" s="6" t="s">
        <v>42</v>
      </c>
      <c r="X203" s="5" t="s">
        <v>3803</v>
      </c>
      <c r="Y203" s="6">
        <v>11177.0</v>
      </c>
    </row>
    <row r="204" ht="56.25" customHeight="1">
      <c r="A204" s="5" t="s">
        <v>3804</v>
      </c>
      <c r="B204" s="6" t="str">
        <f>IMAGE("https://storage.googleapis.com/acdb/wallpapers/RoomTexWallFireWood00.png")</f>
        <v/>
      </c>
      <c r="C204" s="5" t="s">
        <v>36</v>
      </c>
      <c r="D204" s="5" t="s">
        <v>34</v>
      </c>
      <c r="E204" s="5" t="s">
        <v>35</v>
      </c>
      <c r="F204" s="6" t="s">
        <v>37</v>
      </c>
      <c r="G204" s="6">
        <v>1800.0</v>
      </c>
      <c r="H204" s="5" t="s">
        <v>41</v>
      </c>
      <c r="I204" s="5"/>
      <c r="J204" s="5" t="s">
        <v>48</v>
      </c>
      <c r="K204" s="5" t="s">
        <v>44</v>
      </c>
      <c r="L204" s="5" t="s">
        <v>34</v>
      </c>
      <c r="M204" s="5" t="s">
        <v>34</v>
      </c>
      <c r="N204" s="5" t="s">
        <v>44</v>
      </c>
      <c r="O204" s="5" t="s">
        <v>34</v>
      </c>
      <c r="P204" s="5" t="s">
        <v>811</v>
      </c>
      <c r="Q204" s="5" t="s">
        <v>39</v>
      </c>
      <c r="R204" s="5" t="s">
        <v>39</v>
      </c>
      <c r="S204" s="5" t="s">
        <v>416</v>
      </c>
      <c r="T204" s="5" t="s">
        <v>141</v>
      </c>
      <c r="U204" s="5" t="s">
        <v>44</v>
      </c>
      <c r="V204" s="5" t="s">
        <v>2870</v>
      </c>
      <c r="W204" s="6" t="s">
        <v>42</v>
      </c>
      <c r="X204" s="5" t="s">
        <v>3807</v>
      </c>
      <c r="Y204" s="6">
        <v>4844.0</v>
      </c>
    </row>
    <row r="205" ht="56.25" customHeight="1">
      <c r="A205" s="5" t="s">
        <v>3808</v>
      </c>
      <c r="B205" s="6" t="str">
        <f>IMAGE("https://storage.googleapis.com/acdb/wallpapers/RoomSpWallStadium00.png")</f>
        <v/>
      </c>
      <c r="C205" s="5" t="s">
        <v>35</v>
      </c>
      <c r="D205" s="5" t="s">
        <v>34</v>
      </c>
      <c r="E205" s="5" t="s">
        <v>36</v>
      </c>
      <c r="F205" s="6">
        <v>3000.0</v>
      </c>
      <c r="G205" s="6">
        <v>750.0</v>
      </c>
      <c r="H205" s="5" t="s">
        <v>2800</v>
      </c>
      <c r="I205" s="5"/>
      <c r="J205" s="5" t="s">
        <v>48</v>
      </c>
      <c r="K205" s="5" t="s">
        <v>44</v>
      </c>
      <c r="L205" s="5" t="s">
        <v>34</v>
      </c>
      <c r="M205" s="5" t="s">
        <v>34</v>
      </c>
      <c r="N205" s="5" t="s">
        <v>44</v>
      </c>
      <c r="O205" s="5" t="s">
        <v>34</v>
      </c>
      <c r="P205" s="5" t="s">
        <v>2489</v>
      </c>
      <c r="Q205" s="5" t="s">
        <v>58</v>
      </c>
      <c r="R205" s="5" t="s">
        <v>58</v>
      </c>
      <c r="S205" s="5" t="s">
        <v>474</v>
      </c>
      <c r="T205" s="5" t="s">
        <v>44</v>
      </c>
      <c r="U205" s="5" t="s">
        <v>44</v>
      </c>
      <c r="V205" s="5" t="s">
        <v>2849</v>
      </c>
      <c r="W205" s="6" t="s">
        <v>42</v>
      </c>
      <c r="X205" s="5" t="s">
        <v>3811</v>
      </c>
      <c r="Y205" s="6">
        <v>5503.0</v>
      </c>
    </row>
    <row r="206" ht="56.25" customHeight="1">
      <c r="A206" s="5" t="s">
        <v>3812</v>
      </c>
      <c r="B206" s="6" t="str">
        <f>IMAGE("https://storage.googleapis.com/acdb/wallpapers/RoomTexWallMud00.png")</f>
        <v/>
      </c>
      <c r="C206" s="5" t="s">
        <v>36</v>
      </c>
      <c r="D206" s="5" t="s">
        <v>34</v>
      </c>
      <c r="E206" s="5" t="s">
        <v>36</v>
      </c>
      <c r="F206" s="6">
        <v>1750.0</v>
      </c>
      <c r="G206" s="6">
        <v>437.0</v>
      </c>
      <c r="H206" s="5" t="s">
        <v>59</v>
      </c>
      <c r="I206" s="5"/>
      <c r="J206" s="5" t="s">
        <v>64</v>
      </c>
      <c r="K206" s="5" t="s">
        <v>3160</v>
      </c>
      <c r="L206" s="5" t="s">
        <v>2887</v>
      </c>
      <c r="M206" s="5" t="s">
        <v>715</v>
      </c>
      <c r="N206" s="5" t="s">
        <v>44</v>
      </c>
      <c r="O206" s="5" t="s">
        <v>34</v>
      </c>
      <c r="P206" s="5" t="s">
        <v>2793</v>
      </c>
      <c r="Q206" s="5" t="s">
        <v>96</v>
      </c>
      <c r="R206" s="5" t="s">
        <v>96</v>
      </c>
      <c r="S206" s="5" t="s">
        <v>266</v>
      </c>
      <c r="T206" s="5" t="s">
        <v>44</v>
      </c>
      <c r="U206" s="5" t="s">
        <v>44</v>
      </c>
      <c r="V206" s="5" t="s">
        <v>3162</v>
      </c>
      <c r="W206" s="6" t="s">
        <v>42</v>
      </c>
      <c r="X206" s="5" t="s">
        <v>3815</v>
      </c>
      <c r="Y206" s="6">
        <v>5521.0</v>
      </c>
    </row>
    <row r="207" ht="56.25" customHeight="1">
      <c r="A207" s="5" t="s">
        <v>3816</v>
      </c>
      <c r="B207" s="6" t="str">
        <f>IMAGE("https://storage.googleapis.com/acdb/wallpapers/RoomSpWallStarPrint00.png")</f>
        <v/>
      </c>
      <c r="C207" s="5" t="s">
        <v>35</v>
      </c>
      <c r="D207" s="5" t="s">
        <v>3785</v>
      </c>
      <c r="E207" s="5" t="s">
        <v>35</v>
      </c>
      <c r="F207" s="6" t="s">
        <v>37</v>
      </c>
      <c r="G207" s="6">
        <v>7500.0</v>
      </c>
      <c r="H207" s="5" t="s">
        <v>41</v>
      </c>
      <c r="I207" s="5"/>
      <c r="J207" s="5" t="s">
        <v>48</v>
      </c>
      <c r="K207" s="5" t="s">
        <v>2787</v>
      </c>
      <c r="L207" s="5" t="s">
        <v>2986</v>
      </c>
      <c r="M207" s="5" t="s">
        <v>2789</v>
      </c>
      <c r="N207" s="5" t="s">
        <v>2791</v>
      </c>
      <c r="O207" s="5" t="s">
        <v>57</v>
      </c>
      <c r="P207" s="5" t="s">
        <v>811</v>
      </c>
      <c r="Q207" s="5" t="s">
        <v>95</v>
      </c>
      <c r="R207" s="5" t="s">
        <v>57</v>
      </c>
      <c r="S207" s="5" t="s">
        <v>61</v>
      </c>
      <c r="T207" s="5" t="s">
        <v>99</v>
      </c>
      <c r="U207" s="5" t="s">
        <v>44</v>
      </c>
      <c r="V207" s="5" t="s">
        <v>2849</v>
      </c>
      <c r="W207" s="6" t="s">
        <v>42</v>
      </c>
      <c r="X207" s="5" t="s">
        <v>3819</v>
      </c>
      <c r="Y207" s="6">
        <v>5528.0</v>
      </c>
    </row>
    <row r="208" ht="56.25" customHeight="1">
      <c r="A208" s="5" t="s">
        <v>3820</v>
      </c>
      <c r="B208" s="6" t="str">
        <f>IMAGE("https://storage.googleapis.com/acdb/wallpapers/RoomSpWallStarSky00.png")</f>
        <v/>
      </c>
      <c r="C208" s="5" t="s">
        <v>35</v>
      </c>
      <c r="D208" s="5" t="s">
        <v>34</v>
      </c>
      <c r="E208" s="5" t="s">
        <v>35</v>
      </c>
      <c r="F208" s="6" t="s">
        <v>37</v>
      </c>
      <c r="G208" s="6">
        <v>7500.0</v>
      </c>
      <c r="H208" s="5" t="s">
        <v>41</v>
      </c>
      <c r="I208" s="5"/>
      <c r="J208" s="5" t="s">
        <v>48</v>
      </c>
      <c r="K208" s="5" t="s">
        <v>44</v>
      </c>
      <c r="L208" s="5" t="s">
        <v>34</v>
      </c>
      <c r="M208" s="5" t="s">
        <v>34</v>
      </c>
      <c r="N208" s="5" t="s">
        <v>44</v>
      </c>
      <c r="O208" s="5" t="s">
        <v>34</v>
      </c>
      <c r="P208" s="5" t="s">
        <v>2801</v>
      </c>
      <c r="Q208" s="5" t="s">
        <v>68</v>
      </c>
      <c r="R208" s="5" t="s">
        <v>68</v>
      </c>
      <c r="S208" s="5" t="s">
        <v>401</v>
      </c>
      <c r="T208" s="5" t="s">
        <v>44</v>
      </c>
      <c r="U208" s="5" t="s">
        <v>349</v>
      </c>
      <c r="V208" s="5" t="s">
        <v>2849</v>
      </c>
      <c r="W208" s="6" t="s">
        <v>42</v>
      </c>
      <c r="X208" s="5" t="s">
        <v>3823</v>
      </c>
      <c r="Y208" s="6">
        <v>5500.0</v>
      </c>
    </row>
    <row r="209" ht="56.25" customHeight="1">
      <c r="A209" s="5" t="s">
        <v>3825</v>
      </c>
      <c r="B209" s="6" t="str">
        <f>IMAGE("https://storage.googleapis.com/acdb/wallpapers/RoomTexWallRenaissance00.png")</f>
        <v/>
      </c>
      <c r="C209" s="5" t="s">
        <v>36</v>
      </c>
      <c r="D209" s="5" t="s">
        <v>34</v>
      </c>
      <c r="E209" s="5" t="s">
        <v>36</v>
      </c>
      <c r="F209" s="6">
        <v>2450.0</v>
      </c>
      <c r="G209" s="6">
        <v>612.0</v>
      </c>
      <c r="H209" s="5" t="s">
        <v>59</v>
      </c>
      <c r="I209" s="5"/>
      <c r="J209" s="5" t="s">
        <v>64</v>
      </c>
      <c r="K209" s="5" t="s">
        <v>44</v>
      </c>
      <c r="L209" s="5" t="s">
        <v>34</v>
      </c>
      <c r="M209" s="5" t="s">
        <v>34</v>
      </c>
      <c r="N209" s="5" t="s">
        <v>44</v>
      </c>
      <c r="O209" s="5" t="s">
        <v>34</v>
      </c>
      <c r="P209" s="5" t="s">
        <v>2801</v>
      </c>
      <c r="Q209" s="5" t="s">
        <v>57</v>
      </c>
      <c r="R209" s="5" t="s">
        <v>57</v>
      </c>
      <c r="S209" s="5" t="s">
        <v>116</v>
      </c>
      <c r="T209" s="5" t="s">
        <v>44</v>
      </c>
      <c r="U209" s="5" t="s">
        <v>44</v>
      </c>
      <c r="V209" s="5" t="s">
        <v>2804</v>
      </c>
      <c r="W209" s="6" t="s">
        <v>42</v>
      </c>
      <c r="X209" s="5" t="s">
        <v>3828</v>
      </c>
      <c r="Y209" s="6">
        <v>4861.0</v>
      </c>
    </row>
    <row r="210" ht="56.25" customHeight="1">
      <c r="A210" s="5" t="s">
        <v>3829</v>
      </c>
      <c r="B210" s="6" t="str">
        <f>IMAGE("https://storage.googleapis.com/acdb/wallpapers/RoomTexWallSteel00.png")</f>
        <v/>
      </c>
      <c r="C210" s="5" t="s">
        <v>36</v>
      </c>
      <c r="D210" s="5" t="s">
        <v>34</v>
      </c>
      <c r="E210" s="5" t="s">
        <v>35</v>
      </c>
      <c r="F210" s="6" t="s">
        <v>37</v>
      </c>
      <c r="G210" s="6">
        <v>6000.0</v>
      </c>
      <c r="H210" s="5" t="s">
        <v>41</v>
      </c>
      <c r="I210" s="5"/>
      <c r="J210" s="5" t="s">
        <v>48</v>
      </c>
      <c r="K210" s="5" t="s">
        <v>44</v>
      </c>
      <c r="L210" s="5" t="s">
        <v>34</v>
      </c>
      <c r="M210" s="5" t="s">
        <v>34</v>
      </c>
      <c r="N210" s="5" t="s">
        <v>44</v>
      </c>
      <c r="O210" s="5" t="s">
        <v>34</v>
      </c>
      <c r="P210" s="5" t="s">
        <v>2801</v>
      </c>
      <c r="Q210" s="5" t="s">
        <v>52</v>
      </c>
      <c r="R210" s="5" t="s">
        <v>95</v>
      </c>
      <c r="S210" s="5" t="s">
        <v>416</v>
      </c>
      <c r="T210" s="5" t="s">
        <v>141</v>
      </c>
      <c r="U210" s="5" t="s">
        <v>44</v>
      </c>
      <c r="V210" s="5" t="s">
        <v>2877</v>
      </c>
      <c r="W210" s="6" t="s">
        <v>42</v>
      </c>
      <c r="X210" s="5" t="s">
        <v>3831</v>
      </c>
      <c r="Y210" s="6">
        <v>4801.0</v>
      </c>
    </row>
    <row r="211" ht="56.25" customHeight="1">
      <c r="A211" s="5" t="s">
        <v>3833</v>
      </c>
      <c r="B211" s="6" t="str">
        <f>IMAGE("https://storage.googleapis.com/acdb/wallpapers/RoomTexWallBasement00.png")</f>
        <v/>
      </c>
      <c r="C211" s="5" t="s">
        <v>36</v>
      </c>
      <c r="D211" s="5" t="s">
        <v>34</v>
      </c>
      <c r="E211" s="5" t="s">
        <v>35</v>
      </c>
      <c r="F211" s="6" t="s">
        <v>37</v>
      </c>
      <c r="G211" s="6">
        <v>1500.0</v>
      </c>
      <c r="H211" s="5" t="s">
        <v>41</v>
      </c>
      <c r="I211" s="5"/>
      <c r="J211" s="5" t="s">
        <v>48</v>
      </c>
      <c r="K211" s="5" t="s">
        <v>44</v>
      </c>
      <c r="L211" s="5" t="s">
        <v>34</v>
      </c>
      <c r="M211" s="5" t="s">
        <v>34</v>
      </c>
      <c r="N211" s="5" t="s">
        <v>44</v>
      </c>
      <c r="O211" s="5" t="s">
        <v>34</v>
      </c>
      <c r="P211" s="5" t="s">
        <v>811</v>
      </c>
      <c r="Q211" s="5" t="s">
        <v>54</v>
      </c>
      <c r="R211" s="5" t="s">
        <v>95</v>
      </c>
      <c r="S211" s="5" t="s">
        <v>732</v>
      </c>
      <c r="T211" s="5" t="s">
        <v>141</v>
      </c>
      <c r="U211" s="5" t="s">
        <v>44</v>
      </c>
      <c r="V211" s="5" t="s">
        <v>3213</v>
      </c>
      <c r="W211" s="6" t="s">
        <v>42</v>
      </c>
      <c r="X211" s="5" t="s">
        <v>3836</v>
      </c>
      <c r="Y211" s="6">
        <v>5216.0</v>
      </c>
    </row>
    <row r="212" ht="56.25" customHeight="1">
      <c r="A212" s="5" t="s">
        <v>3837</v>
      </c>
      <c r="B212" s="6" t="str">
        <f>IMAGE("https://storage.googleapis.com/acdb/wallpapers/RoomSpWallThunder00.png")</f>
        <v/>
      </c>
      <c r="C212" s="5" t="s">
        <v>35</v>
      </c>
      <c r="D212" s="5" t="s">
        <v>2837</v>
      </c>
      <c r="E212" s="5" t="s">
        <v>36</v>
      </c>
      <c r="F212" s="6">
        <v>3000.0</v>
      </c>
      <c r="G212" s="6">
        <v>750.0</v>
      </c>
      <c r="H212" s="5" t="s">
        <v>2800</v>
      </c>
      <c r="I212" s="5"/>
      <c r="J212" s="5" t="s">
        <v>48</v>
      </c>
      <c r="K212" s="5" t="s">
        <v>44</v>
      </c>
      <c r="L212" s="5" t="s">
        <v>34</v>
      </c>
      <c r="M212" s="5" t="s">
        <v>34</v>
      </c>
      <c r="N212" s="5" t="s">
        <v>44</v>
      </c>
      <c r="O212" s="5" t="s">
        <v>34</v>
      </c>
      <c r="P212" s="5" t="s">
        <v>2801</v>
      </c>
      <c r="Q212" s="5" t="s">
        <v>54</v>
      </c>
      <c r="R212" s="5" t="s">
        <v>95</v>
      </c>
      <c r="S212" s="5" t="s">
        <v>732</v>
      </c>
      <c r="T212" s="5" t="s">
        <v>44</v>
      </c>
      <c r="U212" s="5" t="s">
        <v>44</v>
      </c>
      <c r="V212" s="5" t="s">
        <v>2842</v>
      </c>
      <c r="W212" s="6" t="s">
        <v>42</v>
      </c>
      <c r="X212" s="5" t="s">
        <v>3841</v>
      </c>
      <c r="Y212" s="6">
        <v>5499.0</v>
      </c>
    </row>
    <row r="213" ht="56.25" customHeight="1">
      <c r="A213" s="5" t="s">
        <v>3842</v>
      </c>
      <c r="B213" s="6" t="str">
        <f>IMAGE("https://storage.googleapis.com/acdb/wallpapers/RoomTexWallStraw00.png")</f>
        <v/>
      </c>
      <c r="C213" s="5" t="s">
        <v>36</v>
      </c>
      <c r="D213" s="5" t="s">
        <v>34</v>
      </c>
      <c r="E213" s="5" t="s">
        <v>36</v>
      </c>
      <c r="F213" s="6">
        <v>3000.0</v>
      </c>
      <c r="G213" s="6">
        <v>750.0</v>
      </c>
      <c r="H213" s="5" t="s">
        <v>2800</v>
      </c>
      <c r="I213" s="5"/>
      <c r="J213" s="5" t="s">
        <v>48</v>
      </c>
      <c r="K213" s="5" t="s">
        <v>44</v>
      </c>
      <c r="L213" s="5" t="s">
        <v>34</v>
      </c>
      <c r="M213" s="5" t="s">
        <v>34</v>
      </c>
      <c r="N213" s="5" t="s">
        <v>44</v>
      </c>
      <c r="O213" s="5" t="s">
        <v>34</v>
      </c>
      <c r="P213" s="5" t="s">
        <v>2876</v>
      </c>
      <c r="Q213" s="5" t="s">
        <v>38</v>
      </c>
      <c r="R213" s="5" t="s">
        <v>38</v>
      </c>
      <c r="S213" s="5" t="s">
        <v>696</v>
      </c>
      <c r="T213" s="5" t="s">
        <v>44</v>
      </c>
      <c r="U213" s="5" t="s">
        <v>44</v>
      </c>
      <c r="V213" s="5" t="s">
        <v>2870</v>
      </c>
      <c r="W213" s="6" t="s">
        <v>42</v>
      </c>
      <c r="X213" s="5" t="s">
        <v>3844</v>
      </c>
      <c r="Y213" s="6">
        <v>5217.0</v>
      </c>
    </row>
    <row r="214" ht="56.25" customHeight="1">
      <c r="A214" s="5" t="s">
        <v>3845</v>
      </c>
      <c r="B214" s="6" t="str">
        <f>IMAGE("https://storage.googleapis.com/acdb/wallpapers/RoomTexWallChocolate02.png")</f>
        <v/>
      </c>
      <c r="C214" s="5" t="s">
        <v>36</v>
      </c>
      <c r="D214" s="5" t="s">
        <v>34</v>
      </c>
      <c r="E214" s="5" t="s">
        <v>36</v>
      </c>
      <c r="F214" s="6">
        <v>3000.0</v>
      </c>
      <c r="G214" s="6">
        <v>750.0</v>
      </c>
      <c r="H214" s="5" t="s">
        <v>2800</v>
      </c>
      <c r="I214" s="5"/>
      <c r="J214" s="5" t="s">
        <v>48</v>
      </c>
      <c r="K214" s="5" t="s">
        <v>44</v>
      </c>
      <c r="L214" s="5" t="s">
        <v>34</v>
      </c>
      <c r="M214" s="5" t="s">
        <v>34</v>
      </c>
      <c r="N214" s="5" t="s">
        <v>44</v>
      </c>
      <c r="O214" s="5" t="s">
        <v>34</v>
      </c>
      <c r="P214" s="5" t="s">
        <v>2801</v>
      </c>
      <c r="Q214" s="5" t="s">
        <v>69</v>
      </c>
      <c r="R214" s="5" t="s">
        <v>69</v>
      </c>
      <c r="S214" s="5" t="s">
        <v>61</v>
      </c>
      <c r="T214" s="5" t="s">
        <v>44</v>
      </c>
      <c r="U214" s="5" t="s">
        <v>44</v>
      </c>
      <c r="V214" s="5" t="s">
        <v>3256</v>
      </c>
      <c r="W214" s="6" t="s">
        <v>42</v>
      </c>
      <c r="X214" s="5" t="s">
        <v>3849</v>
      </c>
      <c r="Y214" s="6">
        <v>4934.0</v>
      </c>
    </row>
    <row r="215" ht="56.25" customHeight="1">
      <c r="A215" s="5" t="s">
        <v>3850</v>
      </c>
      <c r="B215" s="6" t="str">
        <f>IMAGE("https://storage.googleapis.com/acdb/wallpapers/RoomTexWallStreetArt00.png")</f>
        <v/>
      </c>
      <c r="C215" s="5" t="s">
        <v>36</v>
      </c>
      <c r="D215" s="5" t="s">
        <v>34</v>
      </c>
      <c r="E215" s="5" t="s">
        <v>36</v>
      </c>
      <c r="F215" s="6">
        <v>3000.0</v>
      </c>
      <c r="G215" s="6">
        <v>750.0</v>
      </c>
      <c r="H215" s="5" t="s">
        <v>2800</v>
      </c>
      <c r="I215" s="5"/>
      <c r="J215" s="5" t="s">
        <v>48</v>
      </c>
      <c r="K215" s="5" t="s">
        <v>44</v>
      </c>
      <c r="L215" s="5" t="s">
        <v>34</v>
      </c>
      <c r="M215" s="5" t="s">
        <v>34</v>
      </c>
      <c r="N215" s="5" t="s">
        <v>44</v>
      </c>
      <c r="O215" s="5" t="s">
        <v>34</v>
      </c>
      <c r="P215" s="5" t="s">
        <v>811</v>
      </c>
      <c r="Q215" s="5" t="s">
        <v>58</v>
      </c>
      <c r="R215" s="5" t="s">
        <v>58</v>
      </c>
      <c r="S215" s="5" t="s">
        <v>416</v>
      </c>
      <c r="T215" s="5" t="s">
        <v>44</v>
      </c>
      <c r="U215" s="5" t="s">
        <v>44</v>
      </c>
      <c r="V215" s="5" t="s">
        <v>2952</v>
      </c>
      <c r="W215" s="6" t="s">
        <v>42</v>
      </c>
      <c r="X215" s="5" t="s">
        <v>3854</v>
      </c>
      <c r="Y215" s="6">
        <v>5221.0</v>
      </c>
    </row>
    <row r="216" ht="56.25" customHeight="1">
      <c r="A216" s="5" t="s">
        <v>3855</v>
      </c>
      <c r="B216" s="6" t="str">
        <f>IMAGE("https://storage.googleapis.com/acdb/wallpapers/RoomSpWallMountainTop00.png")</f>
        <v/>
      </c>
      <c r="C216" s="5" t="s">
        <v>35</v>
      </c>
      <c r="D216" s="5" t="s">
        <v>2845</v>
      </c>
      <c r="E216" s="5" t="s">
        <v>36</v>
      </c>
      <c r="F216" s="6">
        <v>3000.0</v>
      </c>
      <c r="G216" s="6">
        <v>750.0</v>
      </c>
      <c r="H216" s="5" t="s">
        <v>2800</v>
      </c>
      <c r="I216" s="5"/>
      <c r="J216" s="5" t="s">
        <v>48</v>
      </c>
      <c r="K216" s="5" t="s">
        <v>44</v>
      </c>
      <c r="L216" s="5" t="s">
        <v>34</v>
      </c>
      <c r="M216" s="5" t="s">
        <v>34</v>
      </c>
      <c r="N216" s="5" t="s">
        <v>44</v>
      </c>
      <c r="O216" s="5" t="s">
        <v>34</v>
      </c>
      <c r="P216" s="5" t="s">
        <v>2801</v>
      </c>
      <c r="Q216" s="5" t="s">
        <v>54</v>
      </c>
      <c r="R216" s="5" t="s">
        <v>57</v>
      </c>
      <c r="S216" s="5" t="s">
        <v>172</v>
      </c>
      <c r="T216" s="5" t="s">
        <v>44</v>
      </c>
      <c r="U216" s="5" t="s">
        <v>44</v>
      </c>
      <c r="V216" s="5" t="s">
        <v>2849</v>
      </c>
      <c r="W216" s="6" t="s">
        <v>42</v>
      </c>
      <c r="X216" s="5" t="s">
        <v>3858</v>
      </c>
      <c r="Y216" s="6">
        <v>5513.0</v>
      </c>
    </row>
    <row r="217" ht="56.25" customHeight="1">
      <c r="A217" s="5" t="s">
        <v>3859</v>
      </c>
      <c r="B217" s="6" t="str">
        <f>IMAGE("https://storage.googleapis.com/acdb/wallpapers/RoomTexWallRoadsideTree00.png")</f>
        <v/>
      </c>
      <c r="C217" s="5" t="s">
        <v>36</v>
      </c>
      <c r="D217" s="5" t="s">
        <v>34</v>
      </c>
      <c r="E217" s="5" t="s">
        <v>36</v>
      </c>
      <c r="F217" s="6">
        <v>3000.0</v>
      </c>
      <c r="G217" s="6">
        <v>750.0</v>
      </c>
      <c r="H217" s="5" t="s">
        <v>2800</v>
      </c>
      <c r="I217" s="5"/>
      <c r="J217" s="5" t="s">
        <v>48</v>
      </c>
      <c r="K217" s="5" t="s">
        <v>44</v>
      </c>
      <c r="L217" s="5" t="s">
        <v>34</v>
      </c>
      <c r="M217" s="5" t="s">
        <v>34</v>
      </c>
      <c r="N217" s="5" t="s">
        <v>44</v>
      </c>
      <c r="O217" s="5" t="s">
        <v>34</v>
      </c>
      <c r="P217" s="5" t="s">
        <v>811</v>
      </c>
      <c r="Q217" s="5" t="s">
        <v>96</v>
      </c>
      <c r="R217" s="5" t="s">
        <v>83</v>
      </c>
      <c r="S217" s="5" t="s">
        <v>172</v>
      </c>
      <c r="T217" s="5" t="s">
        <v>44</v>
      </c>
      <c r="U217" s="5" t="s">
        <v>44</v>
      </c>
      <c r="V217" s="5" t="s">
        <v>2856</v>
      </c>
      <c r="W217" s="6" t="s">
        <v>42</v>
      </c>
      <c r="X217" s="5" t="s">
        <v>3862</v>
      </c>
      <c r="Y217" s="6">
        <v>5456.0</v>
      </c>
    </row>
    <row r="218" ht="56.25" customHeight="1">
      <c r="A218" s="5" t="s">
        <v>3864</v>
      </c>
      <c r="B218" s="6" t="str">
        <f>IMAGE("https://storage.googleapis.com/acdb/wallpapers/RoomSpWallTropical00.png")</f>
        <v/>
      </c>
      <c r="C218" s="5" t="s">
        <v>35</v>
      </c>
      <c r="D218" s="5" t="s">
        <v>2845</v>
      </c>
      <c r="E218" s="5" t="s">
        <v>35</v>
      </c>
      <c r="F218" s="6" t="s">
        <v>37</v>
      </c>
      <c r="G218" s="6">
        <v>6000.0</v>
      </c>
      <c r="H218" s="5" t="s">
        <v>41</v>
      </c>
      <c r="I218" s="5" t="s">
        <v>3865</v>
      </c>
      <c r="J218" s="5" t="s">
        <v>48</v>
      </c>
      <c r="K218" s="5" t="s">
        <v>44</v>
      </c>
      <c r="L218" s="5" t="s">
        <v>34</v>
      </c>
      <c r="M218" s="5" t="s">
        <v>34</v>
      </c>
      <c r="N218" s="5" t="s">
        <v>44</v>
      </c>
      <c r="O218" s="5" t="s">
        <v>34</v>
      </c>
      <c r="P218" s="5" t="s">
        <v>811</v>
      </c>
      <c r="Q218" s="5" t="s">
        <v>83</v>
      </c>
      <c r="R218" s="5" t="s">
        <v>38</v>
      </c>
      <c r="S218" s="5" t="s">
        <v>138</v>
      </c>
      <c r="T218" s="5" t="s">
        <v>44</v>
      </c>
      <c r="U218" s="5" t="s">
        <v>44</v>
      </c>
      <c r="V218" s="5" t="s">
        <v>2849</v>
      </c>
      <c r="W218" s="6" t="s">
        <v>42</v>
      </c>
      <c r="X218" s="5" t="s">
        <v>3868</v>
      </c>
      <c r="Y218" s="6">
        <v>5661.0</v>
      </c>
    </row>
    <row r="219" ht="56.25" customHeight="1">
      <c r="A219" s="5" t="s">
        <v>3870</v>
      </c>
      <c r="B219" s="6" t="str">
        <f>IMAGE("https://storage.googleapis.com/acdb/wallpapers/RoomSpWallFishTank00.png")</f>
        <v/>
      </c>
      <c r="C219" s="5" t="s">
        <v>35</v>
      </c>
      <c r="D219" s="5" t="s">
        <v>2845</v>
      </c>
      <c r="E219" s="5" t="s">
        <v>35</v>
      </c>
      <c r="F219" s="6" t="s">
        <v>37</v>
      </c>
      <c r="G219" s="6">
        <v>8600.0</v>
      </c>
      <c r="H219" s="5" t="s">
        <v>41</v>
      </c>
      <c r="I219" s="5" t="s">
        <v>3865</v>
      </c>
      <c r="J219" s="5" t="s">
        <v>48</v>
      </c>
      <c r="K219" s="5" t="s">
        <v>44</v>
      </c>
      <c r="L219" s="5" t="s">
        <v>34</v>
      </c>
      <c r="M219" s="5" t="s">
        <v>34</v>
      </c>
      <c r="N219" s="5" t="s">
        <v>44</v>
      </c>
      <c r="O219" s="5" t="s">
        <v>34</v>
      </c>
      <c r="P219" s="5" t="s">
        <v>2801</v>
      </c>
      <c r="Q219" s="5" t="s">
        <v>68</v>
      </c>
      <c r="R219" s="5" t="s">
        <v>83</v>
      </c>
      <c r="S219" s="5" t="s">
        <v>138</v>
      </c>
      <c r="T219" s="5" t="s">
        <v>44</v>
      </c>
      <c r="U219" s="5" t="s">
        <v>44</v>
      </c>
      <c r="V219" s="5" t="s">
        <v>2849</v>
      </c>
      <c r="W219" s="6" t="s">
        <v>42</v>
      </c>
      <c r="X219" s="5" t="s">
        <v>3874</v>
      </c>
      <c r="Y219" s="6">
        <v>5508.0</v>
      </c>
    </row>
    <row r="220" ht="56.25" customHeight="1">
      <c r="A220" s="5" t="s">
        <v>3875</v>
      </c>
      <c r="B220" s="6" t="str">
        <f>IMAGE("https://storage.googleapis.com/acdb/wallpapers/RoomTexWallWaveTile00.png")</f>
        <v/>
      </c>
      <c r="C220" s="5" t="s">
        <v>36</v>
      </c>
      <c r="D220" s="5" t="s">
        <v>34</v>
      </c>
      <c r="E220" s="5" t="s">
        <v>36</v>
      </c>
      <c r="F220" s="6">
        <v>1740.0</v>
      </c>
      <c r="G220" s="6">
        <v>435.0</v>
      </c>
      <c r="H220" s="5" t="s">
        <v>59</v>
      </c>
      <c r="I220" s="5"/>
      <c r="J220" s="5" t="s">
        <v>64</v>
      </c>
      <c r="K220" s="5" t="s">
        <v>44</v>
      </c>
      <c r="L220" s="5" t="s">
        <v>34</v>
      </c>
      <c r="M220" s="5" t="s">
        <v>34</v>
      </c>
      <c r="N220" s="5" t="s">
        <v>44</v>
      </c>
      <c r="O220" s="5" t="s">
        <v>34</v>
      </c>
      <c r="P220" s="5" t="s">
        <v>811</v>
      </c>
      <c r="Q220" s="5" t="s">
        <v>95</v>
      </c>
      <c r="R220" s="5" t="s">
        <v>57</v>
      </c>
      <c r="S220" s="5" t="s">
        <v>62</v>
      </c>
      <c r="T220" s="5" t="s">
        <v>141</v>
      </c>
      <c r="U220" s="5" t="s">
        <v>44</v>
      </c>
      <c r="V220" s="5" t="s">
        <v>2828</v>
      </c>
      <c r="W220" s="6" t="s">
        <v>42</v>
      </c>
      <c r="X220" s="5" t="s">
        <v>3877</v>
      </c>
      <c r="Y220" s="6">
        <v>4832.0</v>
      </c>
    </row>
    <row r="221" ht="56.25" customHeight="1">
      <c r="A221" s="5" t="s">
        <v>3878</v>
      </c>
      <c r="B221" s="6" t="str">
        <f>IMAGE("https://storage.googleapis.com/acdb/wallpapers/RoomSpWallWilderness00.png")</f>
        <v/>
      </c>
      <c r="C221" s="5" t="s">
        <v>35</v>
      </c>
      <c r="D221" s="5" t="s">
        <v>2845</v>
      </c>
      <c r="E221" s="5" t="s">
        <v>36</v>
      </c>
      <c r="F221" s="6">
        <v>3000.0</v>
      </c>
      <c r="G221" s="6">
        <v>750.0</v>
      </c>
      <c r="H221" s="5" t="s">
        <v>2800</v>
      </c>
      <c r="I221" s="5"/>
      <c r="J221" s="5" t="s">
        <v>48</v>
      </c>
      <c r="K221" s="5" t="s">
        <v>44</v>
      </c>
      <c r="L221" s="5" t="s">
        <v>34</v>
      </c>
      <c r="M221" s="5" t="s">
        <v>34</v>
      </c>
      <c r="N221" s="5" t="s">
        <v>44</v>
      </c>
      <c r="O221" s="5" t="s">
        <v>34</v>
      </c>
      <c r="P221" s="5" t="s">
        <v>2801</v>
      </c>
      <c r="Q221" s="5" t="s">
        <v>39</v>
      </c>
      <c r="R221" s="5" t="s">
        <v>38</v>
      </c>
      <c r="S221" s="5" t="s">
        <v>696</v>
      </c>
      <c r="T221" s="5" t="s">
        <v>732</v>
      </c>
      <c r="U221" s="5" t="s">
        <v>44</v>
      </c>
      <c r="V221" s="5" t="s">
        <v>2849</v>
      </c>
      <c r="W221" s="6" t="s">
        <v>42</v>
      </c>
      <c r="X221" s="5" t="s">
        <v>3882</v>
      </c>
      <c r="Y221" s="6">
        <v>5489.0</v>
      </c>
    </row>
    <row r="222" ht="56.25" customHeight="1">
      <c r="A222" s="5" t="s">
        <v>3883</v>
      </c>
      <c r="B222" s="6" t="str">
        <f>IMAGE("https://storage.googleapis.com/acdb/wallpapers/RoomTexWallWoodTile00.png")</f>
        <v/>
      </c>
      <c r="C222" s="5" t="s">
        <v>36</v>
      </c>
      <c r="D222" s="5" t="s">
        <v>34</v>
      </c>
      <c r="E222" s="5" t="s">
        <v>36</v>
      </c>
      <c r="F222" s="6">
        <v>1240.0</v>
      </c>
      <c r="G222" s="6">
        <v>310.0</v>
      </c>
      <c r="H222" s="5" t="s">
        <v>59</v>
      </c>
      <c r="I222" s="5"/>
      <c r="J222" s="5" t="s">
        <v>64</v>
      </c>
      <c r="K222" s="5" t="s">
        <v>2822</v>
      </c>
      <c r="L222" s="5" t="s">
        <v>2986</v>
      </c>
      <c r="M222" s="5" t="s">
        <v>2789</v>
      </c>
      <c r="N222" s="5" t="s">
        <v>2824</v>
      </c>
      <c r="O222" s="5" t="s">
        <v>2825</v>
      </c>
      <c r="P222" s="5" t="s">
        <v>2489</v>
      </c>
      <c r="Q222" s="5" t="s">
        <v>57</v>
      </c>
      <c r="R222" s="5" t="s">
        <v>57</v>
      </c>
      <c r="S222" s="5" t="s">
        <v>141</v>
      </c>
      <c r="T222" s="5" t="s">
        <v>116</v>
      </c>
      <c r="U222" s="5" t="s">
        <v>44</v>
      </c>
      <c r="V222" s="5" t="s">
        <v>2917</v>
      </c>
      <c r="W222" s="6" t="s">
        <v>42</v>
      </c>
      <c r="X222" s="5" t="s">
        <v>3886</v>
      </c>
      <c r="Y222" s="6">
        <v>4826.0</v>
      </c>
    </row>
    <row r="223" ht="56.25" customHeight="1">
      <c r="A223" s="5" t="s">
        <v>3887</v>
      </c>
      <c r="B223" s="6" t="str">
        <f>IMAGE("https://storage.googleapis.com/acdb/wallpapers/RoomTexWallManor00.png")</f>
        <v/>
      </c>
      <c r="C223" s="5" t="s">
        <v>36</v>
      </c>
      <c r="D223" s="5" t="s">
        <v>34</v>
      </c>
      <c r="E223" s="5" t="s">
        <v>36</v>
      </c>
      <c r="F223" s="6">
        <v>1900.0</v>
      </c>
      <c r="G223" s="6">
        <v>475.0</v>
      </c>
      <c r="H223" s="5" t="s">
        <v>59</v>
      </c>
      <c r="I223" s="5"/>
      <c r="J223" s="5" t="s">
        <v>64</v>
      </c>
      <c r="K223" s="5" t="s">
        <v>2787</v>
      </c>
      <c r="L223" s="5" t="s">
        <v>2939</v>
      </c>
      <c r="M223" s="5" t="s">
        <v>2789</v>
      </c>
      <c r="N223" s="5" t="s">
        <v>2791</v>
      </c>
      <c r="O223" s="5" t="s">
        <v>2965</v>
      </c>
      <c r="P223" s="5" t="s">
        <v>2489</v>
      </c>
      <c r="Q223" s="5" t="s">
        <v>57</v>
      </c>
      <c r="R223" s="5" t="s">
        <v>57</v>
      </c>
      <c r="S223" s="5" t="s">
        <v>116</v>
      </c>
      <c r="T223" s="5" t="s">
        <v>90</v>
      </c>
      <c r="U223" s="5" t="s">
        <v>44</v>
      </c>
      <c r="V223" s="5" t="s">
        <v>2966</v>
      </c>
      <c r="W223" s="6" t="s">
        <v>42</v>
      </c>
      <c r="X223" s="5" t="s">
        <v>3891</v>
      </c>
      <c r="Y223" s="6">
        <v>4891.0</v>
      </c>
    </row>
    <row r="224" ht="56.25" customHeight="1">
      <c r="A224" s="5" t="s">
        <v>3892</v>
      </c>
      <c r="B224" s="6" t="str">
        <f>IMAGE("https://storage.googleapis.com/acdb/wallpapers/RoomTexWallHall02.png")</f>
        <v/>
      </c>
      <c r="C224" s="5" t="s">
        <v>36</v>
      </c>
      <c r="D224" s="5" t="s">
        <v>34</v>
      </c>
      <c r="E224" s="5" t="s">
        <v>36</v>
      </c>
      <c r="F224" s="6">
        <v>2000.0</v>
      </c>
      <c r="G224" s="6">
        <v>500.0</v>
      </c>
      <c r="H224" s="5" t="s">
        <v>59</v>
      </c>
      <c r="I224" s="5"/>
      <c r="J224" s="5" t="s">
        <v>64</v>
      </c>
      <c r="K224" s="5" t="s">
        <v>44</v>
      </c>
      <c r="L224" s="5" t="s">
        <v>34</v>
      </c>
      <c r="M224" s="5" t="s">
        <v>34</v>
      </c>
      <c r="N224" s="5" t="s">
        <v>44</v>
      </c>
      <c r="O224" s="5" t="s">
        <v>34</v>
      </c>
      <c r="P224" s="5" t="s">
        <v>2801</v>
      </c>
      <c r="Q224" s="5" t="s">
        <v>57</v>
      </c>
      <c r="R224" s="5" t="s">
        <v>57</v>
      </c>
      <c r="S224" s="5" t="s">
        <v>141</v>
      </c>
      <c r="T224" s="5" t="s">
        <v>43</v>
      </c>
      <c r="U224" s="5" t="s">
        <v>44</v>
      </c>
      <c r="V224" s="5" t="s">
        <v>2923</v>
      </c>
      <c r="W224" s="6" t="s">
        <v>42</v>
      </c>
      <c r="X224" s="5" t="s">
        <v>3894</v>
      </c>
      <c r="Y224" s="6">
        <v>6861.0</v>
      </c>
    </row>
    <row r="225" ht="56.25" customHeight="1">
      <c r="A225" s="5" t="s">
        <v>3895</v>
      </c>
      <c r="B225" s="6" t="str">
        <f>IMAGE("https://storage.googleapis.com/acdb/wallpapers/RoomTexWallHoneycomb03.png")</f>
        <v/>
      </c>
      <c r="C225" s="5" t="s">
        <v>36</v>
      </c>
      <c r="D225" s="5" t="s">
        <v>34</v>
      </c>
      <c r="E225" s="5" t="s">
        <v>36</v>
      </c>
      <c r="F225" s="6">
        <v>1680.0</v>
      </c>
      <c r="G225" s="6">
        <v>420.0</v>
      </c>
      <c r="H225" s="5" t="s">
        <v>59</v>
      </c>
      <c r="I225" s="5"/>
      <c r="J225" s="5" t="s">
        <v>64</v>
      </c>
      <c r="K225" s="5" t="s">
        <v>2907</v>
      </c>
      <c r="L225" s="5" t="s">
        <v>2823</v>
      </c>
      <c r="M225" s="5" t="s">
        <v>2789</v>
      </c>
      <c r="N225" s="5" t="s">
        <v>44</v>
      </c>
      <c r="O225" s="5" t="s">
        <v>34</v>
      </c>
      <c r="P225" s="5" t="s">
        <v>2489</v>
      </c>
      <c r="Q225" s="5" t="s">
        <v>57</v>
      </c>
      <c r="R225" s="5" t="s">
        <v>57</v>
      </c>
      <c r="S225" s="5" t="s">
        <v>288</v>
      </c>
      <c r="T225" s="5" t="s">
        <v>141</v>
      </c>
      <c r="U225" s="5" t="s">
        <v>44</v>
      </c>
      <c r="V225" s="5" t="s">
        <v>2995</v>
      </c>
      <c r="W225" s="6" t="s">
        <v>42</v>
      </c>
      <c r="X225" s="5" t="s">
        <v>3898</v>
      </c>
      <c r="Y225" s="6">
        <v>4914.0</v>
      </c>
    </row>
    <row r="226" ht="56.25" customHeight="1">
      <c r="A226" s="5" t="s">
        <v>3900</v>
      </c>
      <c r="B226" s="6" t="str">
        <f>IMAGE("https://storage.googleapis.com/acdb/wallpapers/RoomTexWallPaintWood03.png")</f>
        <v/>
      </c>
      <c r="C226" s="5" t="s">
        <v>36</v>
      </c>
      <c r="D226" s="5" t="s">
        <v>34</v>
      </c>
      <c r="E226" s="5" t="s">
        <v>36</v>
      </c>
      <c r="F226" s="6">
        <v>1650.0</v>
      </c>
      <c r="G226" s="6">
        <v>412.0</v>
      </c>
      <c r="H226" s="5" t="s">
        <v>59</v>
      </c>
      <c r="I226" s="5"/>
      <c r="J226" s="5" t="s">
        <v>64</v>
      </c>
      <c r="K226" s="5" t="s">
        <v>2787</v>
      </c>
      <c r="L226" s="5" t="s">
        <v>2986</v>
      </c>
      <c r="M226" s="5" t="s">
        <v>2789</v>
      </c>
      <c r="N226" s="5" t="s">
        <v>44</v>
      </c>
      <c r="O226" s="5" t="s">
        <v>34</v>
      </c>
      <c r="P226" s="5" t="s">
        <v>2876</v>
      </c>
      <c r="Q226" s="5" t="s">
        <v>57</v>
      </c>
      <c r="R226" s="5" t="s">
        <v>57</v>
      </c>
      <c r="S226" s="5" t="s">
        <v>90</v>
      </c>
      <c r="T226" s="5" t="s">
        <v>99</v>
      </c>
      <c r="U226" s="5" t="s">
        <v>44</v>
      </c>
      <c r="V226" s="5" t="s">
        <v>3012</v>
      </c>
      <c r="W226" s="6" t="s">
        <v>42</v>
      </c>
      <c r="X226" s="5" t="s">
        <v>3904</v>
      </c>
      <c r="Y226" s="6">
        <v>4803.0</v>
      </c>
    </row>
    <row r="227" ht="56.25" customHeight="1">
      <c r="A227" s="5" t="s">
        <v>3905</v>
      </c>
      <c r="B227" s="6" t="str">
        <f>IMAGE("https://storage.googleapis.com/acdb/wallpapers/RoomTexWallPegboard00.png")</f>
        <v/>
      </c>
      <c r="C227" s="5" t="s">
        <v>36</v>
      </c>
      <c r="D227" s="5" t="s">
        <v>34</v>
      </c>
      <c r="E227" s="5" t="s">
        <v>36</v>
      </c>
      <c r="F227" s="6">
        <v>1180.0</v>
      </c>
      <c r="G227" s="6">
        <v>295.0</v>
      </c>
      <c r="H227" s="5" t="s">
        <v>59</v>
      </c>
      <c r="I227" s="5"/>
      <c r="J227" s="5" t="s">
        <v>64</v>
      </c>
      <c r="K227" s="5" t="s">
        <v>44</v>
      </c>
      <c r="L227" s="5" t="s">
        <v>34</v>
      </c>
      <c r="M227" s="5" t="s">
        <v>34</v>
      </c>
      <c r="N227" s="5" t="s">
        <v>44</v>
      </c>
      <c r="O227" s="5" t="s">
        <v>34</v>
      </c>
      <c r="P227" s="5" t="s">
        <v>2489</v>
      </c>
      <c r="Q227" s="5" t="s">
        <v>57</v>
      </c>
      <c r="R227" s="5" t="s">
        <v>57</v>
      </c>
      <c r="S227" s="5" t="s">
        <v>43</v>
      </c>
      <c r="T227" s="5" t="s">
        <v>141</v>
      </c>
      <c r="U227" s="5" t="s">
        <v>44</v>
      </c>
      <c r="V227" s="5" t="s">
        <v>2929</v>
      </c>
      <c r="W227" s="6" t="s">
        <v>42</v>
      </c>
      <c r="X227" s="5" t="s">
        <v>3909</v>
      </c>
      <c r="Y227" s="6">
        <v>4920.0</v>
      </c>
    </row>
    <row r="228" ht="56.25" customHeight="1">
      <c r="A228" s="5" t="s">
        <v>3910</v>
      </c>
      <c r="B228" s="6" t="str">
        <f>IMAGE("https://storage.googleapis.com/acdb/wallpapers/RoomTexWallSimple00.png")</f>
        <v/>
      </c>
      <c r="C228" s="5" t="s">
        <v>36</v>
      </c>
      <c r="D228" s="5" t="s">
        <v>34</v>
      </c>
      <c r="E228" s="5" t="s">
        <v>36</v>
      </c>
      <c r="F228" s="6">
        <v>750.0</v>
      </c>
      <c r="G228" s="6">
        <v>187.0</v>
      </c>
      <c r="H228" s="5" t="s">
        <v>59</v>
      </c>
      <c r="I228" s="5"/>
      <c r="J228" s="5" t="s">
        <v>64</v>
      </c>
      <c r="K228" s="5" t="s">
        <v>2787</v>
      </c>
      <c r="L228" s="5" t="s">
        <v>3332</v>
      </c>
      <c r="M228" s="5" t="s">
        <v>2789</v>
      </c>
      <c r="N228" s="5" t="s">
        <v>2888</v>
      </c>
      <c r="O228" s="5" t="s">
        <v>57</v>
      </c>
      <c r="P228" s="5" t="s">
        <v>2801</v>
      </c>
      <c r="Q228" s="5" t="s">
        <v>57</v>
      </c>
      <c r="R228" s="5" t="s">
        <v>57</v>
      </c>
      <c r="S228" s="5" t="s">
        <v>99</v>
      </c>
      <c r="T228" s="5" t="s">
        <v>90</v>
      </c>
      <c r="U228" s="5" t="s">
        <v>44</v>
      </c>
      <c r="V228" s="5" t="s">
        <v>3035</v>
      </c>
      <c r="W228" s="6" t="s">
        <v>42</v>
      </c>
      <c r="X228" s="5" t="s">
        <v>3913</v>
      </c>
      <c r="Y228" s="6">
        <v>4939.0</v>
      </c>
    </row>
    <row r="229" ht="56.25" customHeight="1">
      <c r="A229" s="5" t="s">
        <v>3914</v>
      </c>
      <c r="B229" s="6" t="str">
        <f>IMAGE("https://storage.googleapis.com/acdb/wallpapers/RoomTexWallMetro01.png")</f>
        <v/>
      </c>
      <c r="C229" s="5" t="s">
        <v>36</v>
      </c>
      <c r="D229" s="5" t="s">
        <v>34</v>
      </c>
      <c r="E229" s="5" t="s">
        <v>36</v>
      </c>
      <c r="F229" s="6">
        <v>1340.0</v>
      </c>
      <c r="G229" s="6">
        <v>335.0</v>
      </c>
      <c r="H229" s="5" t="s">
        <v>59</v>
      </c>
      <c r="I229" s="5"/>
      <c r="J229" s="5" t="s">
        <v>64</v>
      </c>
      <c r="K229" s="5" t="s">
        <v>2907</v>
      </c>
      <c r="L229" s="5" t="s">
        <v>2823</v>
      </c>
      <c r="M229" s="5" t="s">
        <v>2789</v>
      </c>
      <c r="N229" s="5" t="s">
        <v>44</v>
      </c>
      <c r="O229" s="5" t="s">
        <v>34</v>
      </c>
      <c r="P229" s="5" t="s">
        <v>2489</v>
      </c>
      <c r="Q229" s="5" t="s">
        <v>57</v>
      </c>
      <c r="R229" s="5" t="s">
        <v>57</v>
      </c>
      <c r="S229" s="5" t="s">
        <v>141</v>
      </c>
      <c r="T229" s="5" t="s">
        <v>62</v>
      </c>
      <c r="U229" s="5" t="s">
        <v>44</v>
      </c>
      <c r="V229" s="5" t="s">
        <v>3040</v>
      </c>
      <c r="W229" s="6" t="s">
        <v>42</v>
      </c>
      <c r="X229" s="5" t="s">
        <v>3917</v>
      </c>
      <c r="Y229" s="6">
        <v>4941.0</v>
      </c>
    </row>
    <row r="230" ht="56.25" customHeight="1">
      <c r="A230" s="5" t="s">
        <v>3919</v>
      </c>
      <c r="B230" s="6" t="str">
        <f>IMAGE("https://storage.googleapis.com/acdb/wallpapers/RoomTexWallBrick00.png")</f>
        <v/>
      </c>
      <c r="C230" s="5" t="s">
        <v>36</v>
      </c>
      <c r="D230" s="5" t="s">
        <v>34</v>
      </c>
      <c r="E230" s="5" t="s">
        <v>36</v>
      </c>
      <c r="F230" s="6">
        <v>1000.0</v>
      </c>
      <c r="G230" s="6">
        <v>250.0</v>
      </c>
      <c r="H230" s="5" t="s">
        <v>59</v>
      </c>
      <c r="I230" s="5"/>
      <c r="J230" s="5" t="s">
        <v>64</v>
      </c>
      <c r="K230" s="5" t="s">
        <v>2787</v>
      </c>
      <c r="L230" s="5" t="s">
        <v>2986</v>
      </c>
      <c r="M230" s="5" t="s">
        <v>2789</v>
      </c>
      <c r="N230" s="5" t="s">
        <v>44</v>
      </c>
      <c r="O230" s="5" t="s">
        <v>34</v>
      </c>
      <c r="P230" s="5" t="s">
        <v>2876</v>
      </c>
      <c r="Q230" s="5" t="s">
        <v>57</v>
      </c>
      <c r="R230" s="5" t="s">
        <v>57</v>
      </c>
      <c r="S230" s="5" t="s">
        <v>141</v>
      </c>
      <c r="T230" s="5" t="s">
        <v>62</v>
      </c>
      <c r="U230" s="5" t="s">
        <v>44</v>
      </c>
      <c r="V230" s="5" t="s">
        <v>2941</v>
      </c>
      <c r="W230" s="6" t="s">
        <v>42</v>
      </c>
      <c r="X230" s="5" t="s">
        <v>3923</v>
      </c>
      <c r="Y230" s="6">
        <v>4927.0</v>
      </c>
    </row>
    <row r="231" ht="56.25" customHeight="1">
      <c r="A231" s="5" t="s">
        <v>3924</v>
      </c>
      <c r="B231" s="6" t="str">
        <f>IMAGE("https://storage.googleapis.com/acdb/wallpapers/RoomTexWallChocolate01.png")</f>
        <v/>
      </c>
      <c r="C231" s="5" t="s">
        <v>36</v>
      </c>
      <c r="D231" s="5" t="s">
        <v>34</v>
      </c>
      <c r="E231" s="5" t="s">
        <v>36</v>
      </c>
      <c r="F231" s="6">
        <v>3000.0</v>
      </c>
      <c r="G231" s="6">
        <v>750.0</v>
      </c>
      <c r="H231" s="5" t="s">
        <v>2800</v>
      </c>
      <c r="I231" s="5"/>
      <c r="J231" s="5" t="s">
        <v>48</v>
      </c>
      <c r="K231" s="5" t="s">
        <v>44</v>
      </c>
      <c r="L231" s="5" t="s">
        <v>34</v>
      </c>
      <c r="M231" s="5" t="s">
        <v>34</v>
      </c>
      <c r="N231" s="5" t="s">
        <v>44</v>
      </c>
      <c r="O231" s="5" t="s">
        <v>34</v>
      </c>
      <c r="P231" s="5" t="s">
        <v>2489</v>
      </c>
      <c r="Q231" s="5" t="s">
        <v>57</v>
      </c>
      <c r="R231" s="5" t="s">
        <v>38</v>
      </c>
      <c r="S231" s="5" t="s">
        <v>61</v>
      </c>
      <c r="T231" s="5" t="s">
        <v>44</v>
      </c>
      <c r="U231" s="5" t="s">
        <v>44</v>
      </c>
      <c r="V231" s="5" t="s">
        <v>3256</v>
      </c>
      <c r="W231" s="6" t="s">
        <v>42</v>
      </c>
      <c r="X231" s="5" t="s">
        <v>3928</v>
      </c>
      <c r="Y231" s="6">
        <v>4933.0</v>
      </c>
    </row>
    <row r="232" ht="56.25" customHeight="1">
      <c r="A232" s="5" t="s">
        <v>3929</v>
      </c>
      <c r="B232" s="6" t="str">
        <f>IMAGE("https://storage.googleapis.com/acdb/wallpapers/RoomTexWallRose02.png")</f>
        <v/>
      </c>
      <c r="C232" s="5" t="s">
        <v>36</v>
      </c>
      <c r="D232" s="5" t="s">
        <v>34</v>
      </c>
      <c r="E232" s="5" t="s">
        <v>36</v>
      </c>
      <c r="F232" s="6">
        <v>1720.0</v>
      </c>
      <c r="G232" s="6">
        <v>430.0</v>
      </c>
      <c r="H232" s="5" t="s">
        <v>59</v>
      </c>
      <c r="I232" s="5"/>
      <c r="J232" s="5" t="s">
        <v>64</v>
      </c>
      <c r="K232" s="5" t="s">
        <v>1411</v>
      </c>
      <c r="L232" s="5" t="s">
        <v>3066</v>
      </c>
      <c r="M232" s="5" t="s">
        <v>2789</v>
      </c>
      <c r="N232" s="5" t="s">
        <v>44</v>
      </c>
      <c r="O232" s="5" t="s">
        <v>34</v>
      </c>
      <c r="P232" s="5" t="s">
        <v>2801</v>
      </c>
      <c r="Q232" s="5" t="s">
        <v>69</v>
      </c>
      <c r="R232" s="5" t="s">
        <v>57</v>
      </c>
      <c r="S232" s="5" t="s">
        <v>61</v>
      </c>
      <c r="T232" s="5" t="s">
        <v>44</v>
      </c>
      <c r="U232" s="5" t="s">
        <v>44</v>
      </c>
      <c r="V232" s="5" t="s">
        <v>3068</v>
      </c>
      <c r="W232" s="6" t="s">
        <v>42</v>
      </c>
      <c r="X232" s="5" t="s">
        <v>3933</v>
      </c>
      <c r="Y232" s="6">
        <v>6868.0</v>
      </c>
    </row>
    <row r="233" ht="56.25" customHeight="1">
      <c r="A233" s="5" t="s">
        <v>3935</v>
      </c>
      <c r="B233" s="6" t="str">
        <f>IMAGE("https://storage.googleapis.com/acdb/wallpapers/RoomTexWallWildWood00.png")</f>
        <v/>
      </c>
      <c r="C233" s="5" t="s">
        <v>36</v>
      </c>
      <c r="D233" s="5" t="s">
        <v>34</v>
      </c>
      <c r="E233" s="5" t="s">
        <v>35</v>
      </c>
      <c r="F233" s="6" t="s">
        <v>37</v>
      </c>
      <c r="G233" s="6">
        <v>1800.0</v>
      </c>
      <c r="H233" s="5" t="s">
        <v>41</v>
      </c>
      <c r="I233" s="5"/>
      <c r="J233" s="5" t="s">
        <v>48</v>
      </c>
      <c r="K233" s="5" t="s">
        <v>2822</v>
      </c>
      <c r="L233" s="5" t="s">
        <v>2939</v>
      </c>
      <c r="M233" s="5" t="s">
        <v>2789</v>
      </c>
      <c r="N233" s="5" t="s">
        <v>2824</v>
      </c>
      <c r="O233" s="5" t="s">
        <v>3081</v>
      </c>
      <c r="P233" s="5" t="s">
        <v>2489</v>
      </c>
      <c r="Q233" s="5" t="s">
        <v>54</v>
      </c>
      <c r="R233" s="5" t="s">
        <v>54</v>
      </c>
      <c r="S233" s="5" t="s">
        <v>90</v>
      </c>
      <c r="T233" s="5" t="s">
        <v>62</v>
      </c>
      <c r="U233" s="5" t="s">
        <v>44</v>
      </c>
      <c r="V233" s="5" t="s">
        <v>2870</v>
      </c>
      <c r="W233" s="6" t="s">
        <v>42</v>
      </c>
      <c r="X233" s="5" t="s">
        <v>3937</v>
      </c>
      <c r="Y233" s="6">
        <v>4858.0</v>
      </c>
    </row>
    <row r="234" ht="56.25" customHeight="1">
      <c r="A234" s="5" t="s">
        <v>3938</v>
      </c>
      <c r="B234" s="6" t="str">
        <f>IMAGE("https://storage.googleapis.com/acdb/wallpapers/RoomTexWallCedar00.png")</f>
        <v/>
      </c>
      <c r="C234" s="5" t="s">
        <v>36</v>
      </c>
      <c r="D234" s="5" t="s">
        <v>34</v>
      </c>
      <c r="E234" s="5" t="s">
        <v>35</v>
      </c>
      <c r="F234" s="6" t="s">
        <v>37</v>
      </c>
      <c r="G234" s="6">
        <v>1800.0</v>
      </c>
      <c r="H234" s="5" t="s">
        <v>41</v>
      </c>
      <c r="I234" s="5"/>
      <c r="J234" s="5" t="s">
        <v>48</v>
      </c>
      <c r="K234" s="5" t="s">
        <v>2787</v>
      </c>
      <c r="L234" s="5" t="s">
        <v>2887</v>
      </c>
      <c r="M234" s="5" t="s">
        <v>2789</v>
      </c>
      <c r="N234" s="5" t="s">
        <v>2791</v>
      </c>
      <c r="O234" s="5" t="s">
        <v>2965</v>
      </c>
      <c r="P234" s="5" t="s">
        <v>2801</v>
      </c>
      <c r="Q234" s="5" t="s">
        <v>39</v>
      </c>
      <c r="R234" s="5" t="s">
        <v>39</v>
      </c>
      <c r="S234" s="5" t="s">
        <v>90</v>
      </c>
      <c r="T234" s="5" t="s">
        <v>99</v>
      </c>
      <c r="U234" s="5" t="s">
        <v>44</v>
      </c>
      <c r="V234" s="5" t="s">
        <v>2870</v>
      </c>
      <c r="W234" s="6" t="s">
        <v>42</v>
      </c>
      <c r="X234" s="5" t="s">
        <v>3941</v>
      </c>
      <c r="Y234" s="6">
        <v>4911.0</v>
      </c>
    </row>
    <row r="235" ht="56.25" customHeight="1">
      <c r="A235" s="5" t="s">
        <v>3942</v>
      </c>
      <c r="B235" s="6" t="str">
        <f>IMAGE("https://storage.googleapis.com/acdb/wallpapers/RoomTexWallMixPlankWood00.png")</f>
        <v/>
      </c>
      <c r="C235" s="5" t="s">
        <v>36</v>
      </c>
      <c r="D235" s="5" t="s">
        <v>34</v>
      </c>
      <c r="E235" s="5" t="s">
        <v>35</v>
      </c>
      <c r="F235" s="6" t="s">
        <v>37</v>
      </c>
      <c r="G235" s="6">
        <v>1800.0</v>
      </c>
      <c r="H235" s="5" t="s">
        <v>41</v>
      </c>
      <c r="I235" s="5"/>
      <c r="J235" s="5" t="s">
        <v>48</v>
      </c>
      <c r="K235" s="5" t="s">
        <v>2822</v>
      </c>
      <c r="L235" s="5" t="s">
        <v>2887</v>
      </c>
      <c r="M235" s="5" t="s">
        <v>2789</v>
      </c>
      <c r="N235" s="5" t="s">
        <v>2824</v>
      </c>
      <c r="O235" s="5" t="s">
        <v>3095</v>
      </c>
      <c r="P235" s="5" t="s">
        <v>2801</v>
      </c>
      <c r="Q235" s="5" t="s">
        <v>39</v>
      </c>
      <c r="R235" s="5" t="s">
        <v>39</v>
      </c>
      <c r="S235" s="5" t="s">
        <v>90</v>
      </c>
      <c r="T235" s="5" t="s">
        <v>62</v>
      </c>
      <c r="U235" s="5" t="s">
        <v>44</v>
      </c>
      <c r="V235" s="5" t="s">
        <v>3251</v>
      </c>
      <c r="W235" s="6" t="s">
        <v>42</v>
      </c>
      <c r="X235" s="5" t="s">
        <v>3945</v>
      </c>
      <c r="Y235" s="6">
        <v>4859.0</v>
      </c>
    </row>
    <row r="236" ht="56.25" customHeight="1">
      <c r="A236" s="5" t="s">
        <v>3947</v>
      </c>
      <c r="B236" s="6" t="str">
        <f>IMAGE("https://storage.googleapis.com/acdb/wallpapers/RoomTexWallJukai00.png")</f>
        <v/>
      </c>
      <c r="C236" s="5" t="s">
        <v>36</v>
      </c>
      <c r="D236" s="5" t="s">
        <v>34</v>
      </c>
      <c r="E236" s="5" t="s">
        <v>35</v>
      </c>
      <c r="F236" s="6" t="s">
        <v>37</v>
      </c>
      <c r="G236" s="6">
        <v>1380.0</v>
      </c>
      <c r="H236" s="5" t="s">
        <v>41</v>
      </c>
      <c r="I236" s="5"/>
      <c r="J236" s="5" t="s">
        <v>48</v>
      </c>
      <c r="K236" s="5" t="s">
        <v>44</v>
      </c>
      <c r="L236" s="5" t="s">
        <v>34</v>
      </c>
      <c r="M236" s="5" t="s">
        <v>34</v>
      </c>
      <c r="N236" s="5" t="s">
        <v>44</v>
      </c>
      <c r="O236" s="5" t="s">
        <v>34</v>
      </c>
      <c r="P236" s="5" t="s">
        <v>2489</v>
      </c>
      <c r="Q236" s="5" t="s">
        <v>96</v>
      </c>
      <c r="R236" s="5" t="s">
        <v>96</v>
      </c>
      <c r="S236" s="5" t="s">
        <v>732</v>
      </c>
      <c r="T236" s="5" t="s">
        <v>141</v>
      </c>
      <c r="U236" s="5" t="s">
        <v>44</v>
      </c>
      <c r="V236" s="5" t="s">
        <v>2856</v>
      </c>
      <c r="W236" s="6" t="s">
        <v>42</v>
      </c>
      <c r="X236" s="5" t="s">
        <v>3950</v>
      </c>
      <c r="Y236" s="6">
        <v>5223.0</v>
      </c>
    </row>
    <row r="237" ht="56.25" customHeight="1">
      <c r="A237" s="5" t="s">
        <v>3951</v>
      </c>
      <c r="B237" s="6" t="str">
        <f>IMAGE("https://storage.googleapis.com/acdb/wallpapers/RoomTexWallFlower02.png")</f>
        <v/>
      </c>
      <c r="C237" s="5" t="s">
        <v>36</v>
      </c>
      <c r="D237" s="5" t="s">
        <v>34</v>
      </c>
      <c r="E237" s="5" t="s">
        <v>36</v>
      </c>
      <c r="F237" s="6">
        <v>1780.0</v>
      </c>
      <c r="G237" s="6">
        <v>445.0</v>
      </c>
      <c r="H237" s="5" t="s">
        <v>59</v>
      </c>
      <c r="I237" s="5"/>
      <c r="J237" s="5" t="s">
        <v>64</v>
      </c>
      <c r="K237" s="5" t="s">
        <v>2787</v>
      </c>
      <c r="L237" s="5" t="s">
        <v>2939</v>
      </c>
      <c r="M237" s="5" t="s">
        <v>2789</v>
      </c>
      <c r="N237" s="5" t="s">
        <v>2888</v>
      </c>
      <c r="O237" s="5" t="s">
        <v>114</v>
      </c>
      <c r="P237" s="5" t="s">
        <v>2793</v>
      </c>
      <c r="Q237" s="5" t="s">
        <v>114</v>
      </c>
      <c r="R237" s="5" t="s">
        <v>114</v>
      </c>
      <c r="S237" s="5" t="s">
        <v>61</v>
      </c>
      <c r="T237" s="5" t="s">
        <v>90</v>
      </c>
      <c r="U237" s="5" t="s">
        <v>44</v>
      </c>
      <c r="V237" s="5" t="s">
        <v>2982</v>
      </c>
      <c r="W237" s="6" t="s">
        <v>42</v>
      </c>
      <c r="X237" s="5" t="s">
        <v>3954</v>
      </c>
      <c r="Y237" s="6">
        <v>6872.0</v>
      </c>
    </row>
    <row r="238" ht="56.25" customHeight="1">
      <c r="A238" s="5" t="s">
        <v>3956</v>
      </c>
      <c r="B238" s="6" t="str">
        <f>IMAGE("https://storage.googleapis.com/acdb/wallpapers/RoomTexWallHeart02.png")</f>
        <v/>
      </c>
      <c r="C238" s="5" t="s">
        <v>36</v>
      </c>
      <c r="D238" s="5" t="s">
        <v>34</v>
      </c>
      <c r="E238" s="5" t="s">
        <v>36</v>
      </c>
      <c r="F238" s="6">
        <v>1280.0</v>
      </c>
      <c r="G238" s="6">
        <v>320.0</v>
      </c>
      <c r="H238" s="5" t="s">
        <v>59</v>
      </c>
      <c r="I238" s="5"/>
      <c r="J238" s="5" t="s">
        <v>64</v>
      </c>
      <c r="K238" s="5" t="s">
        <v>2787</v>
      </c>
      <c r="L238" s="5" t="s">
        <v>2986</v>
      </c>
      <c r="M238" s="5" t="s">
        <v>2789</v>
      </c>
      <c r="N238" s="5" t="s">
        <v>2791</v>
      </c>
      <c r="O238" s="5" t="s">
        <v>57</v>
      </c>
      <c r="P238" s="5" t="s">
        <v>2489</v>
      </c>
      <c r="Q238" s="5" t="s">
        <v>114</v>
      </c>
      <c r="R238" s="5" t="s">
        <v>114</v>
      </c>
      <c r="S238" s="5" t="s">
        <v>61</v>
      </c>
      <c r="T238" s="5" t="s">
        <v>99</v>
      </c>
      <c r="U238" s="5" t="s">
        <v>44</v>
      </c>
      <c r="V238" s="5" t="s">
        <v>2989</v>
      </c>
      <c r="W238" s="6" t="s">
        <v>42</v>
      </c>
      <c r="X238" s="5" t="s">
        <v>3961</v>
      </c>
      <c r="Y238" s="6">
        <v>6871.0</v>
      </c>
    </row>
    <row r="239" ht="56.25" customHeight="1">
      <c r="A239" s="5" t="s">
        <v>3962</v>
      </c>
      <c r="B239" s="6" t="str">
        <f>IMAGE("https://storage.googleapis.com/acdb/wallpapers/RoomTexWallFlowerPop01.png")</f>
        <v/>
      </c>
      <c r="C239" s="5" t="s">
        <v>36</v>
      </c>
      <c r="D239" s="5" t="s">
        <v>34</v>
      </c>
      <c r="E239" s="5" t="s">
        <v>36</v>
      </c>
      <c r="F239" s="6">
        <v>1570.0</v>
      </c>
      <c r="G239" s="6">
        <v>392.0</v>
      </c>
      <c r="H239" s="5" t="s">
        <v>59</v>
      </c>
      <c r="I239" s="5"/>
      <c r="J239" s="5" t="s">
        <v>64</v>
      </c>
      <c r="K239" s="5" t="s">
        <v>2787</v>
      </c>
      <c r="L239" s="5" t="s">
        <v>2788</v>
      </c>
      <c r="M239" s="5" t="s">
        <v>2789</v>
      </c>
      <c r="N239" s="5" t="s">
        <v>2791</v>
      </c>
      <c r="O239" s="5" t="s">
        <v>57</v>
      </c>
      <c r="P239" s="5" t="s">
        <v>2793</v>
      </c>
      <c r="Q239" s="5" t="s">
        <v>114</v>
      </c>
      <c r="R239" s="5" t="s">
        <v>57</v>
      </c>
      <c r="S239" s="5" t="s">
        <v>90</v>
      </c>
      <c r="T239" s="5" t="s">
        <v>62</v>
      </c>
      <c r="U239" s="5" t="s">
        <v>44</v>
      </c>
      <c r="V239" s="5" t="s">
        <v>3000</v>
      </c>
      <c r="W239" s="6" t="s">
        <v>42</v>
      </c>
      <c r="X239" s="5" t="s">
        <v>3966</v>
      </c>
      <c r="Y239" s="6">
        <v>4849.0</v>
      </c>
    </row>
    <row r="240" ht="56.25" customHeight="1">
      <c r="A240" s="5" t="s">
        <v>3967</v>
      </c>
      <c r="B240" s="6" t="str">
        <f>IMAGE("https://storage.googleapis.com/acdb/wallpapers/RoomTexWallToy03.png")</f>
        <v/>
      </c>
      <c r="C240" s="5" t="s">
        <v>36</v>
      </c>
      <c r="D240" s="5" t="s">
        <v>34</v>
      </c>
      <c r="E240" s="5" t="s">
        <v>36</v>
      </c>
      <c r="F240" s="6">
        <v>2540.0</v>
      </c>
      <c r="G240" s="6">
        <v>635.0</v>
      </c>
      <c r="H240" s="5" t="s">
        <v>59</v>
      </c>
      <c r="I240" s="5"/>
      <c r="J240" s="5" t="s">
        <v>64</v>
      </c>
      <c r="K240" s="5" t="s">
        <v>2907</v>
      </c>
      <c r="L240" s="5" t="s">
        <v>2823</v>
      </c>
      <c r="M240" s="5" t="s">
        <v>2789</v>
      </c>
      <c r="N240" s="5" t="s">
        <v>44</v>
      </c>
      <c r="O240" s="5" t="s">
        <v>34</v>
      </c>
      <c r="P240" s="5" t="s">
        <v>2793</v>
      </c>
      <c r="Q240" s="5" t="s">
        <v>114</v>
      </c>
      <c r="R240" s="5" t="s">
        <v>114</v>
      </c>
      <c r="S240" s="5" t="s">
        <v>99</v>
      </c>
      <c r="T240" s="5" t="s">
        <v>61</v>
      </c>
      <c r="U240" s="5" t="s">
        <v>44</v>
      </c>
      <c r="V240" s="5" t="s">
        <v>3017</v>
      </c>
      <c r="W240" s="6" t="s">
        <v>42</v>
      </c>
      <c r="X240" s="5" t="s">
        <v>3972</v>
      </c>
      <c r="Y240" s="6">
        <v>6865.0</v>
      </c>
    </row>
    <row r="241" ht="56.25" customHeight="1">
      <c r="A241" s="5" t="s">
        <v>3973</v>
      </c>
      <c r="B241" s="6" t="str">
        <f>IMAGE("https://storage.googleapis.com/acdb/wallpapers/RoomTexWallDollhouse02.png")</f>
        <v/>
      </c>
      <c r="C241" s="5" t="s">
        <v>36</v>
      </c>
      <c r="D241" s="5" t="s">
        <v>34</v>
      </c>
      <c r="E241" s="5" t="s">
        <v>36</v>
      </c>
      <c r="F241" s="6">
        <v>2150.0</v>
      </c>
      <c r="G241" s="6">
        <v>537.0</v>
      </c>
      <c r="H241" s="5" t="s">
        <v>59</v>
      </c>
      <c r="I241" s="5"/>
      <c r="J241" s="5" t="s">
        <v>64</v>
      </c>
      <c r="K241" s="5" t="s">
        <v>2787</v>
      </c>
      <c r="L241" s="5" t="s">
        <v>2986</v>
      </c>
      <c r="M241" s="5" t="s">
        <v>2789</v>
      </c>
      <c r="N241" s="5" t="s">
        <v>2888</v>
      </c>
      <c r="O241" s="5" t="s">
        <v>2889</v>
      </c>
      <c r="P241" s="5" t="s">
        <v>2489</v>
      </c>
      <c r="Q241" s="5" t="s">
        <v>114</v>
      </c>
      <c r="R241" s="5" t="s">
        <v>57</v>
      </c>
      <c r="S241" s="5" t="s">
        <v>61</v>
      </c>
      <c r="T241" s="5" t="s">
        <v>99</v>
      </c>
      <c r="U241" s="5" t="s">
        <v>44</v>
      </c>
      <c r="V241" s="5" t="s">
        <v>3025</v>
      </c>
      <c r="W241" s="6" t="s">
        <v>42</v>
      </c>
      <c r="X241" s="5" t="s">
        <v>3977</v>
      </c>
      <c r="Y241" s="6">
        <v>7276.0</v>
      </c>
    </row>
    <row r="242" ht="56.25" customHeight="1">
      <c r="A242" s="5" t="s">
        <v>3978</v>
      </c>
      <c r="B242" s="6" t="str">
        <f>IMAGE("https://storage.googleapis.com/acdb/wallpapers/RoomTexWallSimple01.png")</f>
        <v/>
      </c>
      <c r="C242" s="5" t="s">
        <v>36</v>
      </c>
      <c r="D242" s="5" t="s">
        <v>34</v>
      </c>
      <c r="E242" s="5" t="s">
        <v>36</v>
      </c>
      <c r="F242" s="6">
        <v>750.0</v>
      </c>
      <c r="G242" s="6">
        <v>187.0</v>
      </c>
      <c r="H242" s="5" t="s">
        <v>59</v>
      </c>
      <c r="I242" s="5"/>
      <c r="J242" s="5" t="s">
        <v>64</v>
      </c>
      <c r="K242" s="5" t="s">
        <v>2787</v>
      </c>
      <c r="L242" s="5" t="s">
        <v>2986</v>
      </c>
      <c r="M242" s="5" t="s">
        <v>2789</v>
      </c>
      <c r="N242" s="5" t="s">
        <v>2888</v>
      </c>
      <c r="O242" s="5" t="s">
        <v>57</v>
      </c>
      <c r="P242" s="5" t="s">
        <v>2801</v>
      </c>
      <c r="Q242" s="5" t="s">
        <v>38</v>
      </c>
      <c r="R242" s="5" t="s">
        <v>114</v>
      </c>
      <c r="S242" s="5" t="s">
        <v>99</v>
      </c>
      <c r="T242" s="5" t="s">
        <v>90</v>
      </c>
      <c r="U242" s="5" t="s">
        <v>44</v>
      </c>
      <c r="V242" s="5" t="s">
        <v>3035</v>
      </c>
      <c r="W242" s="6" t="s">
        <v>42</v>
      </c>
      <c r="X242" s="5" t="s">
        <v>3981</v>
      </c>
      <c r="Y242" s="6">
        <v>4867.0</v>
      </c>
    </row>
    <row r="243" ht="56.25" customHeight="1">
      <c r="A243" s="5" t="s">
        <v>3982</v>
      </c>
      <c r="B243" s="6" t="str">
        <f>IMAGE("https://storage.googleapis.com/acdb/wallpapers/RoomTexWallStucco00.png")</f>
        <v/>
      </c>
      <c r="C243" s="5" t="s">
        <v>36</v>
      </c>
      <c r="D243" s="5" t="s">
        <v>34</v>
      </c>
      <c r="E243" s="5" t="s">
        <v>36</v>
      </c>
      <c r="F243" s="6">
        <v>1600.0</v>
      </c>
      <c r="G243" s="6">
        <v>400.0</v>
      </c>
      <c r="H243" s="5" t="s">
        <v>59</v>
      </c>
      <c r="I243" s="5"/>
      <c r="J243" s="5" t="s">
        <v>64</v>
      </c>
      <c r="K243" s="5" t="s">
        <v>2787</v>
      </c>
      <c r="L243" s="5" t="s">
        <v>2887</v>
      </c>
      <c r="M243" s="5" t="s">
        <v>2789</v>
      </c>
      <c r="N243" s="5" t="s">
        <v>44</v>
      </c>
      <c r="O243" s="5" t="s">
        <v>34</v>
      </c>
      <c r="P243" s="5" t="s">
        <v>2793</v>
      </c>
      <c r="Q243" s="5" t="s">
        <v>114</v>
      </c>
      <c r="R243" s="5" t="s">
        <v>114</v>
      </c>
      <c r="S243" s="5" t="s">
        <v>61</v>
      </c>
      <c r="T243" s="5" t="s">
        <v>99</v>
      </c>
      <c r="U243" s="5" t="s">
        <v>44</v>
      </c>
      <c r="V243" s="5" t="s">
        <v>3062</v>
      </c>
      <c r="W243" s="6" t="s">
        <v>42</v>
      </c>
      <c r="X243" s="5" t="s">
        <v>3986</v>
      </c>
      <c r="Y243" s="6">
        <v>4808.0</v>
      </c>
    </row>
    <row r="244" ht="56.25" customHeight="1">
      <c r="A244" s="5" t="s">
        <v>3987</v>
      </c>
      <c r="B244" s="6" t="str">
        <f>IMAGE("https://storage.googleapis.com/acdb/wallpapers/RoomTexWallStripe04.png")</f>
        <v/>
      </c>
      <c r="C244" s="5" t="s">
        <v>36</v>
      </c>
      <c r="D244" s="5" t="s">
        <v>34</v>
      </c>
      <c r="E244" s="5" t="s">
        <v>36</v>
      </c>
      <c r="F244" s="6">
        <v>1520.0</v>
      </c>
      <c r="G244" s="6">
        <v>380.0</v>
      </c>
      <c r="H244" s="5" t="s">
        <v>59</v>
      </c>
      <c r="I244" s="5"/>
      <c r="J244" s="5" t="s">
        <v>64</v>
      </c>
      <c r="K244" s="5" t="s">
        <v>2787</v>
      </c>
      <c r="L244" s="5" t="s">
        <v>2986</v>
      </c>
      <c r="M244" s="5" t="s">
        <v>2789</v>
      </c>
      <c r="N244" s="5" t="s">
        <v>2791</v>
      </c>
      <c r="O244" s="5" t="s">
        <v>57</v>
      </c>
      <c r="P244" s="5" t="s">
        <v>2793</v>
      </c>
      <c r="Q244" s="5" t="s">
        <v>114</v>
      </c>
      <c r="R244" s="5" t="s">
        <v>38</v>
      </c>
      <c r="S244" s="5" t="s">
        <v>61</v>
      </c>
      <c r="T244" s="5" t="s">
        <v>99</v>
      </c>
      <c r="U244" s="5" t="s">
        <v>44</v>
      </c>
      <c r="V244" s="5" t="s">
        <v>3073</v>
      </c>
      <c r="W244" s="6" t="s">
        <v>42</v>
      </c>
      <c r="X244" s="5" t="s">
        <v>3990</v>
      </c>
      <c r="Y244" s="6">
        <v>4946.0</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2" width="10.86"/>
    <col customWidth="1" min="3" max="3" width="5.14"/>
    <col customWidth="1" min="4" max="4" width="4.43"/>
    <col customWidth="1" min="5" max="6" width="5.86"/>
    <col customWidth="1" min="7" max="8" width="8.0"/>
    <col customWidth="1" min="9" max="9" width="12.29"/>
    <col customWidth="1" min="10" max="10" width="25.14"/>
    <col customWidth="1" min="11" max="11" width="8.0"/>
    <col customWidth="1" min="12" max="13" width="10.14"/>
    <col customWidth="1" min="14" max="14" width="9.43"/>
    <col customWidth="1" min="15" max="15" width="10.14"/>
    <col customWidth="1" min="16" max="16" width="8.0"/>
    <col customWidth="1" min="17" max="17" width="10.86"/>
    <col customWidth="1" min="18" max="18" width="8.0"/>
  </cols>
  <sheetData>
    <row r="1" ht="26.25" customHeight="1">
      <c r="A1" s="1" t="s">
        <v>0</v>
      </c>
      <c r="B1" s="2" t="s">
        <v>1</v>
      </c>
      <c r="C1" s="1" t="s">
        <v>2772</v>
      </c>
      <c r="D1" s="1" t="s">
        <v>6</v>
      </c>
      <c r="E1" s="2" t="s">
        <v>10</v>
      </c>
      <c r="F1" s="2" t="s">
        <v>11</v>
      </c>
      <c r="G1" s="1" t="s">
        <v>12</v>
      </c>
      <c r="H1" s="1" t="s">
        <v>13</v>
      </c>
      <c r="I1" s="1" t="s">
        <v>15</v>
      </c>
      <c r="J1" s="1" t="s">
        <v>16</v>
      </c>
      <c r="K1" s="2" t="s">
        <v>17</v>
      </c>
      <c r="L1" s="1" t="s">
        <v>18</v>
      </c>
      <c r="M1" s="1" t="s">
        <v>19</v>
      </c>
      <c r="N1" s="1" t="s">
        <v>20</v>
      </c>
      <c r="O1" s="1" t="s">
        <v>23</v>
      </c>
      <c r="P1" s="1" t="s">
        <v>26</v>
      </c>
      <c r="Q1" s="1" t="s">
        <v>27</v>
      </c>
      <c r="R1" s="2" t="s">
        <v>29</v>
      </c>
    </row>
    <row r="2" ht="56.25" customHeight="1">
      <c r="A2" s="5" t="s">
        <v>3999</v>
      </c>
      <c r="B2" s="6" t="str">
        <f>IMAGE("https://storage.googleapis.com/acdb/floors/RoomTexFloorTile01.png")</f>
        <v/>
      </c>
      <c r="C2" s="5" t="s">
        <v>36</v>
      </c>
      <c r="D2" s="5" t="s">
        <v>36</v>
      </c>
      <c r="E2" s="6">
        <v>3000.0</v>
      </c>
      <c r="F2" s="6">
        <v>225.0</v>
      </c>
      <c r="G2" s="5" t="s">
        <v>83</v>
      </c>
      <c r="H2" s="5" t="s">
        <v>83</v>
      </c>
      <c r="I2" s="5" t="s">
        <v>59</v>
      </c>
      <c r="J2" s="5"/>
      <c r="K2" s="6" t="s">
        <v>42</v>
      </c>
      <c r="L2" s="5" t="s">
        <v>288</v>
      </c>
      <c r="M2" s="5" t="s">
        <v>141</v>
      </c>
      <c r="N2" s="5" t="s">
        <v>44</v>
      </c>
      <c r="O2" s="5" t="s">
        <v>4003</v>
      </c>
      <c r="P2" s="5" t="s">
        <v>64</v>
      </c>
      <c r="Q2" s="5" t="s">
        <v>4004</v>
      </c>
      <c r="R2" s="6">
        <v>5036.0</v>
      </c>
    </row>
    <row r="3" ht="56.25" customHeight="1">
      <c r="A3" s="5" t="s">
        <v>4005</v>
      </c>
      <c r="B3" s="6" t="str">
        <f>IMAGE("https://storage.googleapis.com/acdb/floors/RoomTexFloorArabesque00.png")</f>
        <v/>
      </c>
      <c r="C3" s="5" t="s">
        <v>36</v>
      </c>
      <c r="D3" s="5" t="s">
        <v>36</v>
      </c>
      <c r="E3" s="6">
        <v>2120.0</v>
      </c>
      <c r="F3" s="6">
        <v>530.0</v>
      </c>
      <c r="G3" s="5" t="s">
        <v>54</v>
      </c>
      <c r="H3" s="5" t="s">
        <v>95</v>
      </c>
      <c r="I3" s="5" t="s">
        <v>59</v>
      </c>
      <c r="J3" s="5"/>
      <c r="K3" s="6" t="s">
        <v>42</v>
      </c>
      <c r="L3" s="5" t="s">
        <v>116</v>
      </c>
      <c r="M3" s="5" t="s">
        <v>90</v>
      </c>
      <c r="N3" s="5" t="s">
        <v>44</v>
      </c>
      <c r="O3" s="5" t="s">
        <v>4008</v>
      </c>
      <c r="P3" s="5" t="s">
        <v>64</v>
      </c>
      <c r="Q3" s="5" t="s">
        <v>4009</v>
      </c>
      <c r="R3" s="6">
        <v>4953.0</v>
      </c>
    </row>
    <row r="4" ht="56.25" customHeight="1">
      <c r="A4" s="5" t="s">
        <v>4011</v>
      </c>
      <c r="B4" s="6" t="str">
        <f>IMAGE("https://storage.googleapis.com/acdb/floors/RoomTexFloorArchBrick00.png")</f>
        <v/>
      </c>
      <c r="C4" s="5" t="s">
        <v>36</v>
      </c>
      <c r="D4" s="5" t="s">
        <v>36</v>
      </c>
      <c r="E4" s="6">
        <v>1100.0</v>
      </c>
      <c r="F4" s="6">
        <v>275.0</v>
      </c>
      <c r="G4" s="5" t="s">
        <v>39</v>
      </c>
      <c r="H4" s="5" t="s">
        <v>39</v>
      </c>
      <c r="I4" s="5" t="s">
        <v>59</v>
      </c>
      <c r="J4" s="5"/>
      <c r="K4" s="6" t="s">
        <v>42</v>
      </c>
      <c r="L4" s="5" t="s">
        <v>141</v>
      </c>
      <c r="M4" s="5" t="s">
        <v>62</v>
      </c>
      <c r="N4" s="5" t="s">
        <v>44</v>
      </c>
      <c r="O4" s="5" t="s">
        <v>4012</v>
      </c>
      <c r="P4" s="5" t="s">
        <v>64</v>
      </c>
      <c r="Q4" s="5" t="s">
        <v>4013</v>
      </c>
      <c r="R4" s="6">
        <v>4998.0</v>
      </c>
    </row>
    <row r="5" ht="56.25" customHeight="1">
      <c r="A5" s="5" t="s">
        <v>4014</v>
      </c>
      <c r="B5" s="6" t="str">
        <f>IMAGE("https://storage.googleapis.com/acdb/floors/RoomTexFloorTileWood00.png")</f>
        <v/>
      </c>
      <c r="C5" s="5" t="s">
        <v>36</v>
      </c>
      <c r="D5" s="5" t="s">
        <v>36</v>
      </c>
      <c r="E5" s="6">
        <v>1750.0</v>
      </c>
      <c r="F5" s="6">
        <v>437.0</v>
      </c>
      <c r="G5" s="5" t="s">
        <v>57</v>
      </c>
      <c r="H5" s="5" t="s">
        <v>38</v>
      </c>
      <c r="I5" s="5" t="s">
        <v>59</v>
      </c>
      <c r="J5" s="5"/>
      <c r="K5" s="6" t="s">
        <v>42</v>
      </c>
      <c r="L5" s="5" t="s">
        <v>288</v>
      </c>
      <c r="M5" s="5" t="s">
        <v>141</v>
      </c>
      <c r="N5" s="5" t="s">
        <v>44</v>
      </c>
      <c r="O5" s="5" t="s">
        <v>4003</v>
      </c>
      <c r="P5" s="5" t="s">
        <v>64</v>
      </c>
      <c r="Q5" s="5" t="s">
        <v>4017</v>
      </c>
      <c r="R5" s="6">
        <v>4994.0</v>
      </c>
    </row>
    <row r="6" ht="56.25" customHeight="1">
      <c r="A6" s="5" t="s">
        <v>4018</v>
      </c>
      <c r="B6" s="6" t="str">
        <f>IMAGE("https://storage.googleapis.com/acdb/floors/RoomTexFloorParquetArt00.png")</f>
        <v/>
      </c>
      <c r="C6" s="5" t="s">
        <v>36</v>
      </c>
      <c r="D6" s="5" t="s">
        <v>36</v>
      </c>
      <c r="E6" s="6">
        <v>1800.0</v>
      </c>
      <c r="F6" s="6">
        <v>450.0</v>
      </c>
      <c r="G6" s="5" t="s">
        <v>38</v>
      </c>
      <c r="H6" s="5" t="s">
        <v>38</v>
      </c>
      <c r="I6" s="5" t="s">
        <v>59</v>
      </c>
      <c r="J6" s="5"/>
      <c r="K6" s="6" t="s">
        <v>42</v>
      </c>
      <c r="L6" s="5" t="s">
        <v>141</v>
      </c>
      <c r="M6" s="5" t="s">
        <v>62</v>
      </c>
      <c r="N6" s="5" t="s">
        <v>44</v>
      </c>
      <c r="O6" s="5" t="s">
        <v>4021</v>
      </c>
      <c r="P6" s="5" t="s">
        <v>64</v>
      </c>
      <c r="Q6" s="5" t="s">
        <v>4022</v>
      </c>
      <c r="R6" s="6">
        <v>5232.0</v>
      </c>
    </row>
    <row r="7" ht="56.25" customHeight="1">
      <c r="A7" s="5" t="s">
        <v>4023</v>
      </c>
      <c r="B7" s="6" t="str">
        <f>IMAGE("https://storage.googleapis.com/acdb/floors/RoomTexFloorLawn00.png")</f>
        <v/>
      </c>
      <c r="C7" s="5" t="s">
        <v>36</v>
      </c>
      <c r="D7" s="5" t="s">
        <v>35</v>
      </c>
      <c r="E7" s="6" t="s">
        <v>37</v>
      </c>
      <c r="F7" s="6">
        <v>600.0</v>
      </c>
      <c r="G7" s="5" t="s">
        <v>96</v>
      </c>
      <c r="H7" s="5" t="s">
        <v>96</v>
      </c>
      <c r="I7" s="5" t="s">
        <v>41</v>
      </c>
      <c r="J7" s="5"/>
      <c r="K7" s="6" t="s">
        <v>42</v>
      </c>
      <c r="L7" s="5" t="s">
        <v>172</v>
      </c>
      <c r="M7" s="5" t="s">
        <v>44</v>
      </c>
      <c r="N7" s="5" t="s">
        <v>44</v>
      </c>
      <c r="O7" s="5" t="s">
        <v>4026</v>
      </c>
      <c r="P7" s="5" t="s">
        <v>48</v>
      </c>
      <c r="Q7" s="5" t="s">
        <v>4027</v>
      </c>
      <c r="R7" s="6">
        <v>4979.0</v>
      </c>
    </row>
    <row r="8" ht="56.25" customHeight="1">
      <c r="A8" s="5" t="s">
        <v>4028</v>
      </c>
      <c r="B8" s="6" t="str">
        <f>IMAGE("https://storage.googleapis.com/acdb/floors/RoomTexFloorBamboo00.png")</f>
        <v/>
      </c>
      <c r="C8" s="5" t="s">
        <v>36</v>
      </c>
      <c r="D8" s="5" t="s">
        <v>35</v>
      </c>
      <c r="E8" s="6" t="s">
        <v>37</v>
      </c>
      <c r="F8" s="6">
        <v>2400.0</v>
      </c>
      <c r="G8" s="5" t="s">
        <v>96</v>
      </c>
      <c r="H8" s="5" t="s">
        <v>38</v>
      </c>
      <c r="I8" s="5" t="s">
        <v>41</v>
      </c>
      <c r="J8" s="5"/>
      <c r="K8" s="6" t="s">
        <v>42</v>
      </c>
      <c r="L8" s="5" t="s">
        <v>266</v>
      </c>
      <c r="M8" s="5" t="s">
        <v>44</v>
      </c>
      <c r="N8" s="5" t="s">
        <v>267</v>
      </c>
      <c r="O8" s="5" t="s">
        <v>4029</v>
      </c>
      <c r="P8" s="5" t="s">
        <v>48</v>
      </c>
      <c r="Q8" s="5" t="s">
        <v>4030</v>
      </c>
      <c r="R8" s="6">
        <v>4964.0</v>
      </c>
    </row>
    <row r="9" ht="56.25" customHeight="1">
      <c r="A9" s="5" t="s">
        <v>4031</v>
      </c>
      <c r="B9" s="6" t="str">
        <f>IMAGE("https://storage.googleapis.com/acdb/floors/RoomTexFloorBasement00.png")</f>
        <v/>
      </c>
      <c r="C9" s="5" t="s">
        <v>36</v>
      </c>
      <c r="D9" s="5" t="s">
        <v>35</v>
      </c>
      <c r="E9" s="6" t="s">
        <v>37</v>
      </c>
      <c r="F9" s="6">
        <v>1500.0</v>
      </c>
      <c r="G9" s="5" t="s">
        <v>95</v>
      </c>
      <c r="H9" s="5" t="s">
        <v>95</v>
      </c>
      <c r="I9" s="5" t="s">
        <v>41</v>
      </c>
      <c r="J9" s="5"/>
      <c r="K9" s="6" t="s">
        <v>42</v>
      </c>
      <c r="L9" s="5" t="s">
        <v>732</v>
      </c>
      <c r="M9" s="5" t="s">
        <v>141</v>
      </c>
      <c r="N9" s="5" t="s">
        <v>44</v>
      </c>
      <c r="O9" s="5" t="s">
        <v>4035</v>
      </c>
      <c r="P9" s="5" t="s">
        <v>48</v>
      </c>
      <c r="Q9" s="5" t="s">
        <v>4036</v>
      </c>
      <c r="R9" s="6">
        <v>4797.0</v>
      </c>
    </row>
    <row r="10" ht="56.25" customHeight="1">
      <c r="A10" s="5" t="s">
        <v>4037</v>
      </c>
      <c r="B10" s="6" t="str">
        <f>IMAGE("https://storage.googleapis.com/acdb/floors/RoomTexFloorMorocco00.png")</f>
        <v/>
      </c>
      <c r="C10" s="5" t="s">
        <v>36</v>
      </c>
      <c r="D10" s="5" t="s">
        <v>36</v>
      </c>
      <c r="E10" s="6">
        <v>2100.0</v>
      </c>
      <c r="F10" s="6">
        <v>525.0</v>
      </c>
      <c r="G10" s="5" t="s">
        <v>38</v>
      </c>
      <c r="H10" s="5" t="s">
        <v>57</v>
      </c>
      <c r="I10" s="5" t="s">
        <v>59</v>
      </c>
      <c r="J10" s="5"/>
      <c r="K10" s="6" t="s">
        <v>42</v>
      </c>
      <c r="L10" s="5" t="s">
        <v>288</v>
      </c>
      <c r="M10" s="5" t="s">
        <v>141</v>
      </c>
      <c r="N10" s="5" t="s">
        <v>44</v>
      </c>
      <c r="O10" s="5" t="s">
        <v>2909</v>
      </c>
      <c r="P10" s="5" t="s">
        <v>64</v>
      </c>
      <c r="Q10" s="5" t="s">
        <v>4041</v>
      </c>
      <c r="R10" s="6">
        <v>4965.0</v>
      </c>
    </row>
    <row r="11" ht="56.25" customHeight="1">
      <c r="A11" s="5" t="s">
        <v>4042</v>
      </c>
      <c r="B11" s="6" t="str">
        <f>IMAGE("https://storage.googleapis.com/acdb/floors/RoomTexFloorChocolate02.png")</f>
        <v/>
      </c>
      <c r="C11" s="5" t="s">
        <v>36</v>
      </c>
      <c r="D11" s="5" t="s">
        <v>36</v>
      </c>
      <c r="E11" s="6">
        <v>3000.0</v>
      </c>
      <c r="F11" s="6">
        <v>750.0</v>
      </c>
      <c r="G11" s="5" t="s">
        <v>69</v>
      </c>
      <c r="H11" s="5" t="s">
        <v>69</v>
      </c>
      <c r="I11" s="5" t="s">
        <v>2800</v>
      </c>
      <c r="J11" s="5"/>
      <c r="K11" s="6" t="s">
        <v>42</v>
      </c>
      <c r="L11" s="5" t="s">
        <v>61</v>
      </c>
      <c r="M11" s="5" t="s">
        <v>44</v>
      </c>
      <c r="N11" s="5" t="s">
        <v>44</v>
      </c>
      <c r="O11" s="5" t="s">
        <v>3256</v>
      </c>
      <c r="P11" s="5" t="s">
        <v>48</v>
      </c>
      <c r="Q11" s="5" t="s">
        <v>4045</v>
      </c>
      <c r="R11" s="6">
        <v>5053.0</v>
      </c>
    </row>
    <row r="12" ht="56.25" customHeight="1">
      <c r="A12" s="5" t="s">
        <v>4046</v>
      </c>
      <c r="B12" s="6" t="str">
        <f>IMAGE("https://storage.googleapis.com/acdb/floors/RoomTexFloorBirch00.png")</f>
        <v/>
      </c>
      <c r="C12" s="5" t="s">
        <v>36</v>
      </c>
      <c r="D12" s="5" t="s">
        <v>36</v>
      </c>
      <c r="E12" s="6">
        <v>800.0</v>
      </c>
      <c r="F12" s="6">
        <v>200.0</v>
      </c>
      <c r="G12" s="5" t="s">
        <v>57</v>
      </c>
      <c r="H12" s="5" t="s">
        <v>57</v>
      </c>
      <c r="I12" s="5" t="s">
        <v>59</v>
      </c>
      <c r="J12" s="5"/>
      <c r="K12" s="6" t="s">
        <v>42</v>
      </c>
      <c r="L12" s="5" t="s">
        <v>90</v>
      </c>
      <c r="M12" s="5" t="s">
        <v>99</v>
      </c>
      <c r="N12" s="5" t="s">
        <v>44</v>
      </c>
      <c r="O12" s="5" t="s">
        <v>4050</v>
      </c>
      <c r="P12" s="5" t="s">
        <v>64</v>
      </c>
      <c r="Q12" s="5" t="s">
        <v>4051</v>
      </c>
      <c r="R12" s="6">
        <v>5032.0</v>
      </c>
    </row>
    <row r="13" ht="56.25" customHeight="1">
      <c r="A13" s="5" t="s">
        <v>4052</v>
      </c>
      <c r="B13" s="6" t="str">
        <f>IMAGE("https://storage.googleapis.com/acdb/floors/RoomTexFloorParquetIron02.png")</f>
        <v/>
      </c>
      <c r="C13" s="5" t="s">
        <v>36</v>
      </c>
      <c r="D13" s="5" t="s">
        <v>36</v>
      </c>
      <c r="E13" s="6">
        <v>2350.0</v>
      </c>
      <c r="F13" s="6">
        <v>587.0</v>
      </c>
      <c r="G13" s="5" t="s">
        <v>54</v>
      </c>
      <c r="H13" s="5" t="s">
        <v>57</v>
      </c>
      <c r="I13" s="5" t="s">
        <v>59</v>
      </c>
      <c r="J13" s="5"/>
      <c r="K13" s="6" t="s">
        <v>42</v>
      </c>
      <c r="L13" s="5" t="s">
        <v>116</v>
      </c>
      <c r="M13" s="5" t="s">
        <v>90</v>
      </c>
      <c r="N13" s="5" t="s">
        <v>44</v>
      </c>
      <c r="O13" s="5" t="s">
        <v>4054</v>
      </c>
      <c r="P13" s="5" t="s">
        <v>64</v>
      </c>
      <c r="Q13" s="5" t="s">
        <v>4055</v>
      </c>
      <c r="R13" s="6">
        <v>5066.0</v>
      </c>
    </row>
    <row r="14" ht="56.25" customHeight="1">
      <c r="A14" s="5" t="s">
        <v>4056</v>
      </c>
      <c r="B14" s="6" t="str">
        <f>IMAGE("https://storage.googleapis.com/acdb/floors/RoomTexFloorBrick02.png")</f>
        <v/>
      </c>
      <c r="C14" s="5" t="s">
        <v>36</v>
      </c>
      <c r="D14" s="5" t="s">
        <v>36</v>
      </c>
      <c r="E14" s="6">
        <v>1040.0</v>
      </c>
      <c r="F14" s="6">
        <v>260.0</v>
      </c>
      <c r="G14" s="5" t="s">
        <v>54</v>
      </c>
      <c r="H14" s="5" t="s">
        <v>54</v>
      </c>
      <c r="I14" s="5" t="s">
        <v>59</v>
      </c>
      <c r="J14" s="5"/>
      <c r="K14" s="6" t="s">
        <v>42</v>
      </c>
      <c r="L14" s="5" t="s">
        <v>141</v>
      </c>
      <c r="M14" s="5" t="s">
        <v>62</v>
      </c>
      <c r="N14" s="5" t="s">
        <v>44</v>
      </c>
      <c r="O14" s="5" t="s">
        <v>2941</v>
      </c>
      <c r="P14" s="5" t="s">
        <v>64</v>
      </c>
      <c r="Q14" s="5" t="s">
        <v>4060</v>
      </c>
      <c r="R14" s="6">
        <v>4976.0</v>
      </c>
    </row>
    <row r="15" ht="56.25" customHeight="1">
      <c r="A15" s="5" t="s">
        <v>4062</v>
      </c>
      <c r="B15" s="6" t="str">
        <f>IMAGE("https://storage.googleapis.com/acdb/floors/RoomTexFloorCamouflage01.png")</f>
        <v/>
      </c>
      <c r="C15" s="5" t="s">
        <v>36</v>
      </c>
      <c r="D15" s="5" t="s">
        <v>36</v>
      </c>
      <c r="E15" s="6">
        <v>1320.0</v>
      </c>
      <c r="F15" s="6">
        <v>330.0</v>
      </c>
      <c r="G15" s="5" t="s">
        <v>68</v>
      </c>
      <c r="H15" s="5" t="s">
        <v>68</v>
      </c>
      <c r="I15" s="5" t="s">
        <v>59</v>
      </c>
      <c r="J15" s="5"/>
      <c r="K15" s="6" t="s">
        <v>42</v>
      </c>
      <c r="L15" s="5" t="s">
        <v>465</v>
      </c>
      <c r="M15" s="5" t="s">
        <v>99</v>
      </c>
      <c r="N15" s="5" t="s">
        <v>44</v>
      </c>
      <c r="O15" s="5" t="s">
        <v>1499</v>
      </c>
      <c r="P15" s="5" t="s">
        <v>64</v>
      </c>
      <c r="Q15" s="5" t="s">
        <v>4065</v>
      </c>
      <c r="R15" s="6">
        <v>5016.0</v>
      </c>
    </row>
    <row r="16" ht="56.25" customHeight="1">
      <c r="A16" s="5" t="s">
        <v>4066</v>
      </c>
      <c r="B16" s="6" t="str">
        <f>IMAGE("https://storage.googleapis.com/acdb/floors/RoomTexFloorMorocco01.png")</f>
        <v/>
      </c>
      <c r="C16" s="5" t="s">
        <v>36</v>
      </c>
      <c r="D16" s="5" t="s">
        <v>36</v>
      </c>
      <c r="E16" s="6">
        <v>2100.0</v>
      </c>
      <c r="F16" s="6">
        <v>525.0</v>
      </c>
      <c r="G16" s="5" t="s">
        <v>68</v>
      </c>
      <c r="H16" s="5" t="s">
        <v>57</v>
      </c>
      <c r="I16" s="5" t="s">
        <v>59</v>
      </c>
      <c r="J16" s="5"/>
      <c r="K16" s="6" t="s">
        <v>42</v>
      </c>
      <c r="L16" s="5" t="s">
        <v>288</v>
      </c>
      <c r="M16" s="5" t="s">
        <v>141</v>
      </c>
      <c r="N16" s="5" t="s">
        <v>44</v>
      </c>
      <c r="O16" s="5" t="s">
        <v>2909</v>
      </c>
      <c r="P16" s="5" t="s">
        <v>64</v>
      </c>
      <c r="Q16" s="5" t="s">
        <v>4069</v>
      </c>
      <c r="R16" s="6">
        <v>4966.0</v>
      </c>
    </row>
    <row r="17" ht="56.25" customHeight="1">
      <c r="A17" s="5" t="s">
        <v>4070</v>
      </c>
      <c r="B17" s="6" t="str">
        <f>IMAGE("https://storage.googleapis.com/acdb/floors/RoomTexFloorDot04.png")</f>
        <v/>
      </c>
      <c r="C17" s="5" t="s">
        <v>36</v>
      </c>
      <c r="D17" s="5" t="s">
        <v>36</v>
      </c>
      <c r="E17" s="6">
        <v>800.0</v>
      </c>
      <c r="F17" s="6">
        <v>200.0</v>
      </c>
      <c r="G17" s="5" t="s">
        <v>68</v>
      </c>
      <c r="H17" s="5" t="s">
        <v>83</v>
      </c>
      <c r="I17" s="5" t="s">
        <v>59</v>
      </c>
      <c r="J17" s="5"/>
      <c r="K17" s="6" t="s">
        <v>42</v>
      </c>
      <c r="L17" s="5" t="s">
        <v>61</v>
      </c>
      <c r="M17" s="5" t="s">
        <v>99</v>
      </c>
      <c r="N17" s="5" t="s">
        <v>44</v>
      </c>
      <c r="O17" s="5" t="s">
        <v>3478</v>
      </c>
      <c r="P17" s="5" t="s">
        <v>64</v>
      </c>
      <c r="Q17" s="5" t="s">
        <v>4074</v>
      </c>
      <c r="R17" s="6">
        <v>5028.0</v>
      </c>
    </row>
    <row r="18" ht="56.25" customHeight="1">
      <c r="A18" s="5" t="s">
        <v>4075</v>
      </c>
      <c r="B18" s="6" t="str">
        <f>IMAGE("https://storage.googleapis.com/acdb/floors/RoomTexFloorDecoWood01.png")</f>
        <v/>
      </c>
      <c r="C18" s="5" t="s">
        <v>36</v>
      </c>
      <c r="D18" s="5" t="s">
        <v>36</v>
      </c>
      <c r="E18" s="6">
        <v>1520.0</v>
      </c>
      <c r="F18" s="6">
        <v>380.0</v>
      </c>
      <c r="G18" s="5" t="s">
        <v>68</v>
      </c>
      <c r="H18" s="5" t="s">
        <v>68</v>
      </c>
      <c r="I18" s="5" t="s">
        <v>59</v>
      </c>
      <c r="J18" s="5"/>
      <c r="K18" s="6" t="s">
        <v>42</v>
      </c>
      <c r="L18" s="5" t="s">
        <v>62</v>
      </c>
      <c r="M18" s="5" t="s">
        <v>90</v>
      </c>
      <c r="N18" s="5" t="s">
        <v>44</v>
      </c>
      <c r="O18" s="5" t="s">
        <v>4076</v>
      </c>
      <c r="P18" s="5" t="s">
        <v>64</v>
      </c>
      <c r="Q18" s="5" t="s">
        <v>4077</v>
      </c>
      <c r="R18" s="6">
        <v>5074.0</v>
      </c>
    </row>
    <row r="19" ht="56.25" customHeight="1">
      <c r="A19" s="5" t="s">
        <v>4078</v>
      </c>
      <c r="B19" s="6" t="str">
        <f>IMAGE("https://storage.googleapis.com/acdb/floors/RoomTexFloorHoneycomb01.png")</f>
        <v/>
      </c>
      <c r="C19" s="5" t="s">
        <v>36</v>
      </c>
      <c r="D19" s="5" t="s">
        <v>36</v>
      </c>
      <c r="E19" s="6">
        <v>1420.0</v>
      </c>
      <c r="F19" s="6">
        <v>355.0</v>
      </c>
      <c r="G19" s="5" t="s">
        <v>68</v>
      </c>
      <c r="H19" s="5" t="s">
        <v>68</v>
      </c>
      <c r="I19" s="5" t="s">
        <v>59</v>
      </c>
      <c r="J19" s="5"/>
      <c r="K19" s="6" t="s">
        <v>42</v>
      </c>
      <c r="L19" s="5" t="s">
        <v>288</v>
      </c>
      <c r="M19" s="5" t="s">
        <v>141</v>
      </c>
      <c r="N19" s="5" t="s">
        <v>44</v>
      </c>
      <c r="O19" s="5" t="s">
        <v>2995</v>
      </c>
      <c r="P19" s="5" t="s">
        <v>64</v>
      </c>
      <c r="Q19" s="5" t="s">
        <v>4082</v>
      </c>
      <c r="R19" s="6">
        <v>5040.0</v>
      </c>
    </row>
    <row r="20" ht="56.25" customHeight="1">
      <c r="A20" s="5" t="s">
        <v>4084</v>
      </c>
      <c r="B20" s="6" t="str">
        <f>IMAGE("https://storage.googleapis.com/acdb/floors/RoomTexFloorTile03.png")</f>
        <v/>
      </c>
      <c r="C20" s="5" t="s">
        <v>36</v>
      </c>
      <c r="D20" s="5" t="s">
        <v>36</v>
      </c>
      <c r="E20" s="6">
        <v>900.0</v>
      </c>
      <c r="F20" s="6">
        <v>225.0</v>
      </c>
      <c r="G20" s="5" t="s">
        <v>68</v>
      </c>
      <c r="H20" s="5" t="s">
        <v>68</v>
      </c>
      <c r="I20" s="5" t="s">
        <v>59</v>
      </c>
      <c r="J20" s="5"/>
      <c r="K20" s="6" t="s">
        <v>42</v>
      </c>
      <c r="L20" s="5" t="s">
        <v>288</v>
      </c>
      <c r="M20" s="5" t="s">
        <v>141</v>
      </c>
      <c r="N20" s="5" t="s">
        <v>44</v>
      </c>
      <c r="O20" s="5" t="s">
        <v>4003</v>
      </c>
      <c r="P20" s="5" t="s">
        <v>64</v>
      </c>
      <c r="Q20" s="5" t="s">
        <v>4087</v>
      </c>
      <c r="R20" s="6">
        <v>6846.0</v>
      </c>
    </row>
    <row r="21" ht="56.25" customHeight="1">
      <c r="A21" s="5" t="s">
        <v>4088</v>
      </c>
      <c r="B21" s="6" t="str">
        <f>IMAGE("https://storage.googleapis.com/acdb/floors/RoomTexFloorRubber01.png")</f>
        <v/>
      </c>
      <c r="C21" s="5" t="s">
        <v>36</v>
      </c>
      <c r="D21" s="5" t="s">
        <v>36</v>
      </c>
      <c r="E21" s="6">
        <v>850.0</v>
      </c>
      <c r="F21" s="6">
        <v>212.0</v>
      </c>
      <c r="G21" s="5" t="s">
        <v>68</v>
      </c>
      <c r="H21" s="5" t="s">
        <v>83</v>
      </c>
      <c r="I21" s="5" t="s">
        <v>59</v>
      </c>
      <c r="J21" s="5"/>
      <c r="K21" s="6" t="s">
        <v>42</v>
      </c>
      <c r="L21" s="5" t="s">
        <v>474</v>
      </c>
      <c r="M21" s="5" t="s">
        <v>130</v>
      </c>
      <c r="N21" s="5" t="s">
        <v>44</v>
      </c>
      <c r="O21" s="5" t="s">
        <v>4090</v>
      </c>
      <c r="P21" s="5" t="s">
        <v>64</v>
      </c>
      <c r="Q21" s="5" t="s">
        <v>4091</v>
      </c>
      <c r="R21" s="6">
        <v>4954.0</v>
      </c>
    </row>
    <row r="22" ht="56.25" customHeight="1">
      <c r="A22" s="5" t="s">
        <v>4092</v>
      </c>
      <c r="B22" s="6" t="str">
        <f>IMAGE("https://storage.googleapis.com/acdb/floors/RoomTexFloorPaintWood00.png")</f>
        <v/>
      </c>
      <c r="C22" s="5" t="s">
        <v>36</v>
      </c>
      <c r="D22" s="5" t="s">
        <v>36</v>
      </c>
      <c r="E22" s="6">
        <v>1040.0</v>
      </c>
      <c r="F22" s="6">
        <v>260.0</v>
      </c>
      <c r="G22" s="5" t="s">
        <v>83</v>
      </c>
      <c r="H22" s="5" t="s">
        <v>57</v>
      </c>
      <c r="I22" s="5" t="s">
        <v>59</v>
      </c>
      <c r="J22" s="5"/>
      <c r="K22" s="6" t="s">
        <v>42</v>
      </c>
      <c r="L22" s="5" t="s">
        <v>61</v>
      </c>
      <c r="M22" s="5" t="s">
        <v>99</v>
      </c>
      <c r="N22" s="5" t="s">
        <v>44</v>
      </c>
      <c r="O22" s="5" t="s">
        <v>3012</v>
      </c>
      <c r="P22" s="5" t="s">
        <v>64</v>
      </c>
      <c r="Q22" s="5" t="s">
        <v>4095</v>
      </c>
      <c r="R22" s="6">
        <v>5057.0</v>
      </c>
    </row>
    <row r="23" ht="56.25" customHeight="1">
      <c r="A23" s="5" t="s">
        <v>4096</v>
      </c>
      <c r="B23" s="6" t="str">
        <f>IMAGE("https://storage.googleapis.com/acdb/floors/RoomTexFloorWrestling00.png")</f>
        <v/>
      </c>
      <c r="C23" s="5" t="s">
        <v>36</v>
      </c>
      <c r="D23" s="5" t="s">
        <v>36</v>
      </c>
      <c r="E23" s="6">
        <v>3000.0</v>
      </c>
      <c r="F23" s="6">
        <v>750.0</v>
      </c>
      <c r="G23" s="5" t="s">
        <v>68</v>
      </c>
      <c r="H23" s="5" t="s">
        <v>68</v>
      </c>
      <c r="I23" s="5" t="s">
        <v>2800</v>
      </c>
      <c r="J23" s="5"/>
      <c r="K23" s="6" t="s">
        <v>42</v>
      </c>
      <c r="L23" s="5" t="s">
        <v>474</v>
      </c>
      <c r="M23" s="5" t="s">
        <v>44</v>
      </c>
      <c r="N23" s="5" t="s">
        <v>44</v>
      </c>
      <c r="O23" s="5" t="s">
        <v>4099</v>
      </c>
      <c r="P23" s="5" t="s">
        <v>48</v>
      </c>
      <c r="Q23" s="5" t="s">
        <v>4101</v>
      </c>
      <c r="R23" s="6">
        <v>4982.0</v>
      </c>
    </row>
    <row r="24" ht="56.25" customHeight="1">
      <c r="A24" s="5" t="s">
        <v>4102</v>
      </c>
      <c r="B24" s="6" t="str">
        <f>IMAGE("https://storage.googleapis.com/acdb/floors/RoomTexFloorArgyleTile01.png")</f>
        <v/>
      </c>
      <c r="C24" s="5" t="s">
        <v>36</v>
      </c>
      <c r="D24" s="5" t="s">
        <v>36</v>
      </c>
      <c r="E24" s="6">
        <v>1440.0</v>
      </c>
      <c r="F24" s="6">
        <v>360.0</v>
      </c>
      <c r="G24" s="5" t="s">
        <v>39</v>
      </c>
      <c r="H24" s="5" t="s">
        <v>39</v>
      </c>
      <c r="I24" s="5" t="s">
        <v>59</v>
      </c>
      <c r="J24" s="5"/>
      <c r="K24" s="6" t="s">
        <v>42</v>
      </c>
      <c r="L24" s="5" t="s">
        <v>116</v>
      </c>
      <c r="M24" s="5" t="s">
        <v>141</v>
      </c>
      <c r="N24" s="5" t="s">
        <v>44</v>
      </c>
      <c r="O24" s="5" t="s">
        <v>4103</v>
      </c>
      <c r="P24" s="5" t="s">
        <v>64</v>
      </c>
      <c r="Q24" s="5" t="s">
        <v>4105</v>
      </c>
      <c r="R24" s="6">
        <v>5081.0</v>
      </c>
    </row>
    <row r="25" ht="56.25" customHeight="1">
      <c r="A25" s="5" t="s">
        <v>4106</v>
      </c>
      <c r="B25" s="6" t="str">
        <f>IMAGE("https://storage.googleapis.com/acdb/floors/RoomTexFloorDecoWood02.png")</f>
        <v/>
      </c>
      <c r="C25" s="5" t="s">
        <v>36</v>
      </c>
      <c r="D25" s="5" t="s">
        <v>36</v>
      </c>
      <c r="E25" s="6">
        <v>1520.0</v>
      </c>
      <c r="F25" s="6">
        <v>380.0</v>
      </c>
      <c r="G25" s="5" t="s">
        <v>39</v>
      </c>
      <c r="H25" s="5" t="s">
        <v>57</v>
      </c>
      <c r="I25" s="5" t="s">
        <v>59</v>
      </c>
      <c r="J25" s="5"/>
      <c r="K25" s="6" t="s">
        <v>42</v>
      </c>
      <c r="L25" s="5" t="s">
        <v>62</v>
      </c>
      <c r="M25" s="5" t="s">
        <v>90</v>
      </c>
      <c r="N25" s="5" t="s">
        <v>44</v>
      </c>
      <c r="O25" s="5" t="s">
        <v>4076</v>
      </c>
      <c r="P25" s="5" t="s">
        <v>64</v>
      </c>
      <c r="Q25" s="5" t="s">
        <v>4109</v>
      </c>
      <c r="R25" s="6">
        <v>5075.0</v>
      </c>
    </row>
    <row r="26" ht="56.25" customHeight="1">
      <c r="A26" s="5" t="s">
        <v>4111</v>
      </c>
      <c r="B26" s="6" t="str">
        <f>IMAGE("https://storage.googleapis.com/acdb/floors/RoomTexFloorHoneycomb00.png")</f>
        <v/>
      </c>
      <c r="C26" s="5" t="s">
        <v>36</v>
      </c>
      <c r="D26" s="5" t="s">
        <v>36</v>
      </c>
      <c r="E26" s="6">
        <v>1420.0</v>
      </c>
      <c r="F26" s="6">
        <v>355.0</v>
      </c>
      <c r="G26" s="5" t="s">
        <v>39</v>
      </c>
      <c r="H26" s="5" t="s">
        <v>39</v>
      </c>
      <c r="I26" s="5" t="s">
        <v>59</v>
      </c>
      <c r="J26" s="5"/>
      <c r="K26" s="6" t="s">
        <v>42</v>
      </c>
      <c r="L26" s="5" t="s">
        <v>288</v>
      </c>
      <c r="M26" s="5" t="s">
        <v>141</v>
      </c>
      <c r="N26" s="20" t="s">
        <v>44</v>
      </c>
      <c r="O26" s="20" t="s">
        <v>2995</v>
      </c>
      <c r="P26" s="5" t="s">
        <v>64</v>
      </c>
      <c r="Q26" s="5" t="s">
        <v>4115</v>
      </c>
      <c r="R26" s="6">
        <v>5038.0</v>
      </c>
    </row>
    <row r="27" ht="56.25" customHeight="1">
      <c r="A27" s="5" t="s">
        <v>4116</v>
      </c>
      <c r="B27" s="6" t="str">
        <f>IMAGE("https://storage.googleapis.com/acdb/floors/RoomTexFloorParquetIron01.png")</f>
        <v/>
      </c>
      <c r="C27" s="5" t="s">
        <v>36</v>
      </c>
      <c r="D27" s="5" t="s">
        <v>36</v>
      </c>
      <c r="E27" s="6">
        <v>2350.0</v>
      </c>
      <c r="F27" s="6">
        <v>587.0</v>
      </c>
      <c r="G27" s="5" t="s">
        <v>38</v>
      </c>
      <c r="H27" s="5" t="s">
        <v>38</v>
      </c>
      <c r="I27" s="5" t="s">
        <v>59</v>
      </c>
      <c r="J27" s="5"/>
      <c r="K27" s="6" t="s">
        <v>42</v>
      </c>
      <c r="L27" s="5" t="s">
        <v>116</v>
      </c>
      <c r="M27" s="5" t="s">
        <v>90</v>
      </c>
      <c r="N27" s="20" t="s">
        <v>44</v>
      </c>
      <c r="O27" s="20" t="s">
        <v>4054</v>
      </c>
      <c r="P27" s="5" t="s">
        <v>64</v>
      </c>
      <c r="Q27" s="5" t="s">
        <v>4118</v>
      </c>
      <c r="R27" s="6">
        <v>5065.0</v>
      </c>
    </row>
    <row r="28" ht="56.25" customHeight="1">
      <c r="A28" s="5" t="s">
        <v>4119</v>
      </c>
      <c r="B28" s="6" t="str">
        <f>IMAGE("https://storage.googleapis.com/acdb/floors/RoomTexFloorBrick03.png")</f>
        <v/>
      </c>
      <c r="C28" s="5" t="s">
        <v>36</v>
      </c>
      <c r="D28" s="5" t="s">
        <v>36</v>
      </c>
      <c r="E28" s="6">
        <v>1040.0</v>
      </c>
      <c r="F28" s="6">
        <v>260.0</v>
      </c>
      <c r="G28" s="5" t="s">
        <v>39</v>
      </c>
      <c r="H28" s="5" t="s">
        <v>39</v>
      </c>
      <c r="I28" s="5" t="s">
        <v>59</v>
      </c>
      <c r="J28" s="5"/>
      <c r="K28" s="6" t="s">
        <v>42</v>
      </c>
      <c r="L28" s="5" t="s">
        <v>141</v>
      </c>
      <c r="M28" s="5" t="s">
        <v>62</v>
      </c>
      <c r="N28" s="20" t="s">
        <v>44</v>
      </c>
      <c r="O28" s="20" t="s">
        <v>2941</v>
      </c>
      <c r="P28" s="5" t="s">
        <v>64</v>
      </c>
      <c r="Q28" s="5" t="s">
        <v>4121</v>
      </c>
      <c r="R28" s="6">
        <v>6849.0</v>
      </c>
    </row>
    <row r="29" ht="56.25" customHeight="1">
      <c r="A29" s="5" t="s">
        <v>4123</v>
      </c>
      <c r="B29" s="6" t="str">
        <f>IMAGE("https://storage.googleapis.com/acdb/floors/RoomTexFloorEaster00.png")</f>
        <v/>
      </c>
      <c r="C29" s="5" t="s">
        <v>36</v>
      </c>
      <c r="D29" s="5" t="s">
        <v>35</v>
      </c>
      <c r="E29" s="6" t="s">
        <v>37</v>
      </c>
      <c r="F29" s="6">
        <v>4800.0</v>
      </c>
      <c r="G29" s="5" t="s">
        <v>44</v>
      </c>
      <c r="H29" s="5" t="s">
        <v>44</v>
      </c>
      <c r="I29" s="5" t="s">
        <v>41</v>
      </c>
      <c r="J29" s="5" t="s">
        <v>461</v>
      </c>
      <c r="K29" s="6" t="s">
        <v>98</v>
      </c>
      <c r="L29" s="5" t="s">
        <v>61</v>
      </c>
      <c r="M29" s="5" t="s">
        <v>99</v>
      </c>
      <c r="N29" s="20" t="s">
        <v>466</v>
      </c>
      <c r="O29" s="20" t="s">
        <v>3478</v>
      </c>
      <c r="P29" s="5" t="s">
        <v>48</v>
      </c>
      <c r="Q29" s="5" t="s">
        <v>4125</v>
      </c>
      <c r="R29" s="6">
        <v>12423.0</v>
      </c>
    </row>
    <row r="30" ht="56.25" customHeight="1">
      <c r="A30" s="5" t="s">
        <v>4126</v>
      </c>
      <c r="B30" s="6" t="str">
        <f>IMAGE("https://storage.googleapis.com/acdb/floors/RoomTexFloorCamouflage00.png")</f>
        <v/>
      </c>
      <c r="C30" s="5" t="s">
        <v>36</v>
      </c>
      <c r="D30" s="5" t="s">
        <v>36</v>
      </c>
      <c r="E30" s="6">
        <v>1320.0</v>
      </c>
      <c r="F30" s="6">
        <v>330.0</v>
      </c>
      <c r="G30" s="5" t="s">
        <v>54</v>
      </c>
      <c r="H30" s="5" t="s">
        <v>96</v>
      </c>
      <c r="I30" s="5" t="s">
        <v>59</v>
      </c>
      <c r="J30" s="5"/>
      <c r="K30" s="6" t="s">
        <v>42</v>
      </c>
      <c r="L30" s="5" t="s">
        <v>465</v>
      </c>
      <c r="M30" s="5" t="s">
        <v>99</v>
      </c>
      <c r="N30" s="20" t="s">
        <v>44</v>
      </c>
      <c r="O30" s="20" t="s">
        <v>1499</v>
      </c>
      <c r="P30" s="5" t="s">
        <v>64</v>
      </c>
      <c r="Q30" s="5" t="s">
        <v>4129</v>
      </c>
      <c r="R30" s="6">
        <v>5015.0</v>
      </c>
    </row>
    <row r="31" ht="56.25" customHeight="1">
      <c r="A31" s="5" t="s">
        <v>4130</v>
      </c>
      <c r="B31" s="6" t="str">
        <f>IMAGE("https://storage.googleapis.com/acdb/floors/RoomTexFloorSakura00.png")</f>
        <v/>
      </c>
      <c r="C31" s="5" t="s">
        <v>36</v>
      </c>
      <c r="D31" s="5" t="s">
        <v>35</v>
      </c>
      <c r="E31" s="6" t="s">
        <v>37</v>
      </c>
      <c r="F31" s="6">
        <v>4400.0</v>
      </c>
      <c r="G31" s="5" t="s">
        <v>69</v>
      </c>
      <c r="H31" s="5" t="s">
        <v>69</v>
      </c>
      <c r="I31" s="5" t="s">
        <v>41</v>
      </c>
      <c r="J31" s="5" t="s">
        <v>513</v>
      </c>
      <c r="K31" s="6" t="s">
        <v>42</v>
      </c>
      <c r="L31" s="5" t="s">
        <v>172</v>
      </c>
      <c r="M31" s="5" t="s">
        <v>61</v>
      </c>
      <c r="N31" s="20" t="s">
        <v>514</v>
      </c>
      <c r="O31" s="20" t="s">
        <v>4134</v>
      </c>
      <c r="P31" s="5" t="s">
        <v>48</v>
      </c>
      <c r="Q31" s="5" t="s">
        <v>4135</v>
      </c>
      <c r="R31" s="6">
        <v>7204.0</v>
      </c>
    </row>
    <row r="32" ht="56.25" customHeight="1">
      <c r="A32" s="5" t="s">
        <v>4136</v>
      </c>
      <c r="B32" s="6" t="str">
        <f>IMAGE("https://storage.googleapis.com/acdb/floors/RoomTexFloorGeek00.png")</f>
        <v/>
      </c>
      <c r="C32" s="5" t="s">
        <v>36</v>
      </c>
      <c r="D32" s="5" t="s">
        <v>36</v>
      </c>
      <c r="E32" s="6">
        <v>3000.0</v>
      </c>
      <c r="F32" s="6">
        <v>750.0</v>
      </c>
      <c r="G32" s="5" t="s">
        <v>96</v>
      </c>
      <c r="H32" s="5" t="s">
        <v>96</v>
      </c>
      <c r="I32" s="5" t="s">
        <v>2800</v>
      </c>
      <c r="J32" s="5"/>
      <c r="K32" s="6" t="s">
        <v>42</v>
      </c>
      <c r="L32" s="5" t="s">
        <v>141</v>
      </c>
      <c r="M32" s="5" t="s">
        <v>44</v>
      </c>
      <c r="N32" s="20" t="s">
        <v>44</v>
      </c>
      <c r="O32" s="20" t="s">
        <v>4140</v>
      </c>
      <c r="P32" s="5" t="s">
        <v>48</v>
      </c>
      <c r="Q32" s="5" t="s">
        <v>4141</v>
      </c>
      <c r="R32" s="6">
        <v>5082.0</v>
      </c>
    </row>
    <row r="33" ht="56.25" customHeight="1">
      <c r="A33" s="5" t="s">
        <v>4143</v>
      </c>
      <c r="B33" s="6" t="str">
        <f>IMAGE("https://storage.googleapis.com/acdb/floors/RoomSpFloorCloud00.png")</f>
        <v/>
      </c>
      <c r="C33" s="5" t="s">
        <v>35</v>
      </c>
      <c r="D33" s="5" t="s">
        <v>36</v>
      </c>
      <c r="E33" s="6">
        <v>3000.0</v>
      </c>
      <c r="F33" s="6">
        <v>750.0</v>
      </c>
      <c r="G33" s="5" t="s">
        <v>57</v>
      </c>
      <c r="H33" s="5" t="s">
        <v>57</v>
      </c>
      <c r="I33" s="5" t="s">
        <v>2800</v>
      </c>
      <c r="J33" s="5"/>
      <c r="K33" s="6" t="s">
        <v>42</v>
      </c>
      <c r="L33" s="5" t="s">
        <v>61</v>
      </c>
      <c r="M33" s="5" t="s">
        <v>44</v>
      </c>
      <c r="N33" s="20" t="s">
        <v>44</v>
      </c>
      <c r="O33" s="20" t="s">
        <v>4145</v>
      </c>
      <c r="P33" s="5" t="s">
        <v>48</v>
      </c>
      <c r="Q33" s="5" t="s">
        <v>4146</v>
      </c>
      <c r="R33" s="6">
        <v>5267.0</v>
      </c>
    </row>
    <row r="34" ht="56.25" customHeight="1">
      <c r="A34" s="5" t="s">
        <v>4147</v>
      </c>
      <c r="B34" s="6" t="str">
        <f>IMAGE("https://storage.googleapis.com/acdb/floors/RoomTexFloorAutumun00.png")</f>
        <v/>
      </c>
      <c r="C34" s="5" t="s">
        <v>36</v>
      </c>
      <c r="D34" s="5" t="s">
        <v>35</v>
      </c>
      <c r="E34" s="6" t="s">
        <v>37</v>
      </c>
      <c r="F34" s="6">
        <v>4300.0</v>
      </c>
      <c r="G34" s="5" t="s">
        <v>142</v>
      </c>
      <c r="H34" s="5" t="s">
        <v>142</v>
      </c>
      <c r="I34" s="5" t="s">
        <v>41</v>
      </c>
      <c r="J34" s="5" t="s">
        <v>2840</v>
      </c>
      <c r="K34" s="6" t="s">
        <v>42</v>
      </c>
      <c r="L34" s="5" t="s">
        <v>172</v>
      </c>
      <c r="M34" s="5" t="s">
        <v>44</v>
      </c>
      <c r="N34" s="20" t="s">
        <v>2448</v>
      </c>
      <c r="O34" s="20" t="s">
        <v>4134</v>
      </c>
      <c r="P34" s="5" t="s">
        <v>48</v>
      </c>
      <c r="Q34" s="5" t="s">
        <v>4151</v>
      </c>
      <c r="R34" s="6">
        <v>4990.0</v>
      </c>
    </row>
    <row r="35" ht="56.25" customHeight="1">
      <c r="A35" s="5" t="s">
        <v>4152</v>
      </c>
      <c r="B35" s="6" t="str">
        <f>IMAGE("https://storage.googleapis.com/acdb/floors/RoomTexFloorTile02.png")</f>
        <v/>
      </c>
      <c r="C35" s="5" t="s">
        <v>36</v>
      </c>
      <c r="D35" s="5" t="s">
        <v>36</v>
      </c>
      <c r="E35" s="6">
        <v>900.0</v>
      </c>
      <c r="F35" s="6">
        <v>225.0</v>
      </c>
      <c r="G35" s="5" t="s">
        <v>58</v>
      </c>
      <c r="H35" s="5" t="s">
        <v>57</v>
      </c>
      <c r="I35" s="5" t="s">
        <v>59</v>
      </c>
      <c r="J35" s="5"/>
      <c r="K35" s="6" t="s">
        <v>42</v>
      </c>
      <c r="L35" s="5" t="s">
        <v>288</v>
      </c>
      <c r="M35" s="5" t="s">
        <v>141</v>
      </c>
      <c r="N35" s="20" t="s">
        <v>44</v>
      </c>
      <c r="O35" s="20" t="s">
        <v>4003</v>
      </c>
      <c r="P35" s="5" t="s">
        <v>64</v>
      </c>
      <c r="Q35" s="5" t="s">
        <v>4154</v>
      </c>
      <c r="R35" s="6">
        <v>5037.0</v>
      </c>
    </row>
    <row r="36" ht="56.25" customHeight="1">
      <c r="A36" s="5" t="s">
        <v>4155</v>
      </c>
      <c r="B36" s="6" t="str">
        <f>IMAGE("https://storage.googleapis.com/acdb/floors/RoomTexFloorPuzzleMat01.png")</f>
        <v/>
      </c>
      <c r="C36" s="5" t="s">
        <v>36</v>
      </c>
      <c r="D36" s="5" t="s">
        <v>36</v>
      </c>
      <c r="E36" s="6">
        <v>1450.0</v>
      </c>
      <c r="F36" s="6">
        <v>362.0</v>
      </c>
      <c r="G36" s="5" t="s">
        <v>58</v>
      </c>
      <c r="H36" s="5" t="s">
        <v>58</v>
      </c>
      <c r="I36" s="5" t="s">
        <v>59</v>
      </c>
      <c r="J36" s="5"/>
      <c r="K36" s="6" t="s">
        <v>42</v>
      </c>
      <c r="L36" s="5" t="s">
        <v>61</v>
      </c>
      <c r="M36" s="5" t="s">
        <v>99</v>
      </c>
      <c r="N36" s="20" t="s">
        <v>44</v>
      </c>
      <c r="O36" s="20" t="s">
        <v>4157</v>
      </c>
      <c r="P36" s="5" t="s">
        <v>64</v>
      </c>
      <c r="Q36" s="5" t="s">
        <v>4158</v>
      </c>
      <c r="R36" s="6">
        <v>4957.0</v>
      </c>
    </row>
    <row r="37" ht="56.25" customHeight="1">
      <c r="A37" s="5" t="s">
        <v>4159</v>
      </c>
      <c r="B37" s="6" t="str">
        <f>IMAGE("https://storage.googleapis.com/acdb/floors/RoomTexFloorPanel01.png")</f>
        <v/>
      </c>
      <c r="C37" s="5" t="s">
        <v>36</v>
      </c>
      <c r="D37" s="5" t="s">
        <v>36</v>
      </c>
      <c r="E37" s="6">
        <v>1620.0</v>
      </c>
      <c r="F37" s="6">
        <v>405.0</v>
      </c>
      <c r="G37" s="5" t="s">
        <v>58</v>
      </c>
      <c r="H37" s="5" t="s">
        <v>58</v>
      </c>
      <c r="I37" s="5" t="s">
        <v>59</v>
      </c>
      <c r="J37" s="5"/>
      <c r="K37" s="6" t="s">
        <v>42</v>
      </c>
      <c r="L37" s="5" t="s">
        <v>90</v>
      </c>
      <c r="M37" s="5" t="s">
        <v>99</v>
      </c>
      <c r="N37" s="20" t="s">
        <v>44</v>
      </c>
      <c r="O37" s="20" t="s">
        <v>4161</v>
      </c>
      <c r="P37" s="5" t="s">
        <v>64</v>
      </c>
      <c r="Q37" s="5" t="s">
        <v>4163</v>
      </c>
      <c r="R37" s="6">
        <v>5068.0</v>
      </c>
    </row>
    <row r="38" ht="56.25" customHeight="1">
      <c r="A38" s="5" t="s">
        <v>4164</v>
      </c>
      <c r="B38" s="6" t="str">
        <f>IMAGE("https://storage.googleapis.com/acdb/floors/RoomTexFloorCommon00.png")</f>
        <v/>
      </c>
      <c r="C38" s="5" t="s">
        <v>36</v>
      </c>
      <c r="D38" s="5" t="s">
        <v>36</v>
      </c>
      <c r="E38" s="6">
        <v>720.0</v>
      </c>
      <c r="F38" s="6">
        <v>180.0</v>
      </c>
      <c r="G38" s="5" t="s">
        <v>39</v>
      </c>
      <c r="H38" s="5" t="s">
        <v>39</v>
      </c>
      <c r="I38" s="5" t="s">
        <v>59</v>
      </c>
      <c r="J38" s="5"/>
      <c r="K38" s="6" t="s">
        <v>42</v>
      </c>
      <c r="L38" s="5" t="s">
        <v>90</v>
      </c>
      <c r="M38" s="5" t="s">
        <v>130</v>
      </c>
      <c r="N38" s="20" t="s">
        <v>44</v>
      </c>
      <c r="O38" s="20" t="s">
        <v>4050</v>
      </c>
      <c r="P38" s="5" t="s">
        <v>64</v>
      </c>
      <c r="Q38" s="5" t="s">
        <v>4166</v>
      </c>
      <c r="R38" s="6">
        <v>5018.0</v>
      </c>
    </row>
    <row r="39" ht="56.25" customHeight="1">
      <c r="A39" s="5" t="s">
        <v>4167</v>
      </c>
      <c r="B39" s="6" t="str">
        <f>IMAGE("https://storage.googleapis.com/acdb/floors/RoomTexFloorConcrete00.png")</f>
        <v/>
      </c>
      <c r="C39" s="5" t="s">
        <v>36</v>
      </c>
      <c r="D39" s="5" t="s">
        <v>36</v>
      </c>
      <c r="E39" s="6">
        <v>820.0</v>
      </c>
      <c r="F39" s="6">
        <v>205.0</v>
      </c>
      <c r="G39" s="5" t="s">
        <v>95</v>
      </c>
      <c r="H39" s="5" t="s">
        <v>95</v>
      </c>
      <c r="I39" s="5" t="s">
        <v>59</v>
      </c>
      <c r="J39" s="5"/>
      <c r="K39" s="6" t="s">
        <v>42</v>
      </c>
      <c r="L39" s="5" t="s">
        <v>416</v>
      </c>
      <c r="M39" s="5" t="s">
        <v>141</v>
      </c>
      <c r="N39" s="20" t="s">
        <v>44</v>
      </c>
      <c r="O39" s="20" t="s">
        <v>4035</v>
      </c>
      <c r="P39" s="5" t="s">
        <v>64</v>
      </c>
      <c r="Q39" s="5" t="s">
        <v>4170</v>
      </c>
      <c r="R39" s="6">
        <v>4951.0</v>
      </c>
    </row>
    <row r="40" ht="56.25" customHeight="1">
      <c r="A40" s="5" t="s">
        <v>4171</v>
      </c>
      <c r="B40" s="6" t="str">
        <f>IMAGE("https://storage.googleapis.com/acdb/floors/RoomTexFloorConstruction00.png")</f>
        <v/>
      </c>
      <c r="C40" s="5" t="s">
        <v>36</v>
      </c>
      <c r="D40" s="5" t="s">
        <v>36</v>
      </c>
      <c r="E40" s="6">
        <v>3000.0</v>
      </c>
      <c r="F40" s="6">
        <v>750.0</v>
      </c>
      <c r="G40" s="5" t="s">
        <v>39</v>
      </c>
      <c r="H40" s="5" t="s">
        <v>57</v>
      </c>
      <c r="I40" s="5" t="s">
        <v>2800</v>
      </c>
      <c r="J40" s="5"/>
      <c r="K40" s="6" t="s">
        <v>42</v>
      </c>
      <c r="L40" s="5" t="s">
        <v>416</v>
      </c>
      <c r="M40" s="5" t="s">
        <v>141</v>
      </c>
      <c r="N40" s="20" t="s">
        <v>44</v>
      </c>
      <c r="O40" s="20" t="s">
        <v>4173</v>
      </c>
      <c r="P40" s="5" t="s">
        <v>48</v>
      </c>
      <c r="Q40" s="5" t="s">
        <v>4174</v>
      </c>
      <c r="R40" s="6">
        <v>5235.0</v>
      </c>
    </row>
    <row r="41" ht="56.25" customHeight="1">
      <c r="A41" s="5" t="s">
        <v>4175</v>
      </c>
      <c r="B41" s="6" t="str">
        <f>IMAGE("https://storage.googleapis.com/acdb/floors/RoomTexFloorTileChecker03.png")</f>
        <v/>
      </c>
      <c r="C41" s="5" t="s">
        <v>36</v>
      </c>
      <c r="D41" s="5" t="s">
        <v>36</v>
      </c>
      <c r="E41" s="6">
        <v>1150.0</v>
      </c>
      <c r="F41" s="6">
        <v>287.0</v>
      </c>
      <c r="G41" s="5" t="s">
        <v>68</v>
      </c>
      <c r="H41" s="5" t="s">
        <v>95</v>
      </c>
      <c r="I41" s="5" t="s">
        <v>59</v>
      </c>
      <c r="J41" s="5"/>
      <c r="K41" s="6" t="s">
        <v>42</v>
      </c>
      <c r="L41" s="5" t="s">
        <v>116</v>
      </c>
      <c r="M41" s="5" t="s">
        <v>44</v>
      </c>
      <c r="N41" s="20" t="s">
        <v>44</v>
      </c>
      <c r="O41" s="20" t="s">
        <v>4177</v>
      </c>
      <c r="P41" s="5" t="s">
        <v>64</v>
      </c>
      <c r="Q41" s="5" t="s">
        <v>4178</v>
      </c>
      <c r="R41" s="6">
        <v>6844.0</v>
      </c>
    </row>
    <row r="42" ht="56.25" customHeight="1">
      <c r="A42" s="5" t="s">
        <v>4179</v>
      </c>
      <c r="B42" s="6" t="str">
        <f>IMAGE("https://storage.googleapis.com/acdb/floors/RoomTexFloorColorfulWood01.png")</f>
        <v/>
      </c>
      <c r="C42" s="5" t="s">
        <v>36</v>
      </c>
      <c r="D42" s="5" t="s">
        <v>36</v>
      </c>
      <c r="E42" s="6">
        <v>2200.0</v>
      </c>
      <c r="F42" s="6">
        <v>550.0</v>
      </c>
      <c r="G42" s="5" t="s">
        <v>58</v>
      </c>
      <c r="H42" s="5" t="s">
        <v>58</v>
      </c>
      <c r="I42" s="5" t="s">
        <v>59</v>
      </c>
      <c r="J42" s="5"/>
      <c r="K42" s="6" t="s">
        <v>42</v>
      </c>
      <c r="L42" s="5" t="s">
        <v>61</v>
      </c>
      <c r="M42" s="5" t="s">
        <v>99</v>
      </c>
      <c r="N42" s="20" t="s">
        <v>44</v>
      </c>
      <c r="O42" s="20" t="s">
        <v>4183</v>
      </c>
      <c r="P42" s="5" t="s">
        <v>64</v>
      </c>
      <c r="Q42" s="5" t="s">
        <v>4184</v>
      </c>
      <c r="R42" s="6">
        <v>5071.0</v>
      </c>
    </row>
    <row r="43" ht="56.25" customHeight="1">
      <c r="A43" s="5" t="s">
        <v>4186</v>
      </c>
      <c r="B43" s="6" t="str">
        <f>IMAGE("https://storage.googleapis.com/acdb/floors/RoomTexFloorCork00.png")</f>
        <v/>
      </c>
      <c r="C43" s="5" t="s">
        <v>36</v>
      </c>
      <c r="D43" s="5" t="s">
        <v>36</v>
      </c>
      <c r="E43" s="6">
        <v>1500.0</v>
      </c>
      <c r="F43" s="6">
        <v>375.0</v>
      </c>
      <c r="G43" s="5" t="s">
        <v>38</v>
      </c>
      <c r="H43" s="5" t="s">
        <v>38</v>
      </c>
      <c r="I43" s="5" t="s">
        <v>59</v>
      </c>
      <c r="J43" s="5"/>
      <c r="K43" s="6" t="s">
        <v>42</v>
      </c>
      <c r="L43" s="5" t="s">
        <v>130</v>
      </c>
      <c r="M43" s="5" t="s">
        <v>43</v>
      </c>
      <c r="N43" s="20" t="s">
        <v>44</v>
      </c>
      <c r="O43" s="20" t="s">
        <v>4050</v>
      </c>
      <c r="P43" s="5" t="s">
        <v>64</v>
      </c>
      <c r="Q43" s="5" t="s">
        <v>4187</v>
      </c>
      <c r="R43" s="6">
        <v>4969.0</v>
      </c>
    </row>
    <row r="44" ht="56.25" customHeight="1">
      <c r="A44" s="5" t="s">
        <v>4189</v>
      </c>
      <c r="B44" s="6" t="str">
        <f>IMAGE("https://storage.googleapis.com/acdb/floors/RoomTexFloorCropCircles00.png")</f>
        <v/>
      </c>
      <c r="C44" s="5" t="s">
        <v>36</v>
      </c>
      <c r="D44" s="5" t="s">
        <v>36</v>
      </c>
      <c r="E44" s="6">
        <v>3000.0</v>
      </c>
      <c r="F44" s="6">
        <v>750.0</v>
      </c>
      <c r="G44" s="5" t="s">
        <v>96</v>
      </c>
      <c r="H44" s="5" t="s">
        <v>96</v>
      </c>
      <c r="I44" s="5" t="s">
        <v>2800</v>
      </c>
      <c r="J44" s="5"/>
      <c r="K44" s="6" t="s">
        <v>42</v>
      </c>
      <c r="L44" s="5" t="s">
        <v>172</v>
      </c>
      <c r="M44" s="5" t="s">
        <v>44</v>
      </c>
      <c r="N44" s="20" t="s">
        <v>44</v>
      </c>
      <c r="O44" s="20" t="s">
        <v>4029</v>
      </c>
      <c r="P44" s="5" t="s">
        <v>48</v>
      </c>
      <c r="Q44" s="5" t="s">
        <v>4192</v>
      </c>
      <c r="R44" s="6">
        <v>5243.0</v>
      </c>
    </row>
    <row r="45" ht="56.25" customHeight="1">
      <c r="A45" s="5" t="s">
        <v>4193</v>
      </c>
      <c r="B45" s="6" t="str">
        <f>IMAGE("https://storage.googleapis.com/acdb/floors/RoomTexFloorSidewalk00.png")</f>
        <v/>
      </c>
      <c r="C45" s="5" t="s">
        <v>36</v>
      </c>
      <c r="D45" s="5" t="s">
        <v>36</v>
      </c>
      <c r="E45" s="6">
        <v>3000.0</v>
      </c>
      <c r="F45" s="6">
        <v>750.0</v>
      </c>
      <c r="G45" s="5" t="s">
        <v>38</v>
      </c>
      <c r="H45" s="5" t="s">
        <v>54</v>
      </c>
      <c r="I45" s="5" t="s">
        <v>2800</v>
      </c>
      <c r="J45" s="5"/>
      <c r="K45" s="6" t="s">
        <v>42</v>
      </c>
      <c r="L45" s="5" t="s">
        <v>141</v>
      </c>
      <c r="M45" s="5" t="s">
        <v>44</v>
      </c>
      <c r="N45" s="20" t="s">
        <v>44</v>
      </c>
      <c r="O45" s="20" t="s">
        <v>4173</v>
      </c>
      <c r="P45" s="5" t="s">
        <v>48</v>
      </c>
      <c r="Q45" s="5" t="s">
        <v>4195</v>
      </c>
      <c r="R45" s="6">
        <v>5007.0</v>
      </c>
    </row>
    <row r="46" ht="56.25" customHeight="1">
      <c r="A46" s="5" t="s">
        <v>4196</v>
      </c>
      <c r="B46" s="6" t="str">
        <f>IMAGE("https://storage.googleapis.com/acdb/floors/RoomTexFloorHoneycombWood00.png")</f>
        <v/>
      </c>
      <c r="C46" s="5" t="s">
        <v>36</v>
      </c>
      <c r="D46" s="5" t="s">
        <v>36</v>
      </c>
      <c r="E46" s="6">
        <v>1500.0</v>
      </c>
      <c r="F46" s="6">
        <v>375.0</v>
      </c>
      <c r="G46" s="5" t="s">
        <v>142</v>
      </c>
      <c r="H46" s="5" t="s">
        <v>142</v>
      </c>
      <c r="I46" s="5" t="s">
        <v>59</v>
      </c>
      <c r="J46" s="5"/>
      <c r="K46" s="6" t="s">
        <v>42</v>
      </c>
      <c r="L46" s="5" t="s">
        <v>90</v>
      </c>
      <c r="M46" s="5" t="s">
        <v>99</v>
      </c>
      <c r="N46" s="20" t="s">
        <v>44</v>
      </c>
      <c r="O46" s="20" t="s">
        <v>4021</v>
      </c>
      <c r="P46" s="5" t="s">
        <v>64</v>
      </c>
      <c r="Q46" s="5" t="s">
        <v>4200</v>
      </c>
      <c r="R46" s="6">
        <v>4987.0</v>
      </c>
    </row>
    <row r="47" ht="56.25" customHeight="1">
      <c r="A47" s="5" t="s">
        <v>4202</v>
      </c>
      <c r="B47" s="6" t="str">
        <f>IMAGE("https://storage.googleapis.com/acdb/floors/RoomTexFloorCute02.png")</f>
        <v/>
      </c>
      <c r="C47" s="5" t="s">
        <v>36</v>
      </c>
      <c r="D47" s="5" t="s">
        <v>36</v>
      </c>
      <c r="E47" s="6">
        <v>780.0</v>
      </c>
      <c r="F47" s="6">
        <v>195.0</v>
      </c>
      <c r="G47" s="5" t="s">
        <v>68</v>
      </c>
      <c r="H47" s="5" t="s">
        <v>68</v>
      </c>
      <c r="I47" s="5" t="s">
        <v>59</v>
      </c>
      <c r="J47" s="5"/>
      <c r="K47" s="6" t="s">
        <v>42</v>
      </c>
      <c r="L47" s="5" t="s">
        <v>61</v>
      </c>
      <c r="M47" s="5" t="s">
        <v>99</v>
      </c>
      <c r="N47" s="20" t="s">
        <v>44</v>
      </c>
      <c r="O47" s="20" t="s">
        <v>4003</v>
      </c>
      <c r="P47" s="5" t="s">
        <v>64</v>
      </c>
      <c r="Q47" s="5" t="s">
        <v>4205</v>
      </c>
      <c r="R47" s="6">
        <v>7221.0</v>
      </c>
    </row>
    <row r="48" ht="56.25" customHeight="1">
      <c r="A48" s="5" t="s">
        <v>4206</v>
      </c>
      <c r="B48" s="6" t="str">
        <f>IMAGE("https://storage.googleapis.com/acdb/floors/RoomTexFloorCute01.png")</f>
        <v/>
      </c>
      <c r="C48" s="5" t="s">
        <v>36</v>
      </c>
      <c r="D48" s="5" t="s">
        <v>36</v>
      </c>
      <c r="E48" s="6">
        <v>780.0</v>
      </c>
      <c r="F48" s="6">
        <v>195.0</v>
      </c>
      <c r="G48" s="5" t="s">
        <v>52</v>
      </c>
      <c r="H48" s="5" t="s">
        <v>69</v>
      </c>
      <c r="I48" s="5" t="s">
        <v>59</v>
      </c>
      <c r="J48" s="5"/>
      <c r="K48" s="6" t="s">
        <v>42</v>
      </c>
      <c r="L48" s="5" t="s">
        <v>61</v>
      </c>
      <c r="M48" s="5" t="s">
        <v>99</v>
      </c>
      <c r="N48" s="20" t="s">
        <v>44</v>
      </c>
      <c r="O48" s="20" t="s">
        <v>4003</v>
      </c>
      <c r="P48" s="5" t="s">
        <v>64</v>
      </c>
      <c r="Q48" s="5" t="s">
        <v>4210</v>
      </c>
      <c r="R48" s="6">
        <v>7220.0</v>
      </c>
    </row>
    <row r="49" ht="56.25" customHeight="1">
      <c r="A49" s="5" t="s">
        <v>4211</v>
      </c>
      <c r="B49" s="6" t="str">
        <f>IMAGE("https://storage.googleapis.com/acdb/floors/RoomTexFloorCute00.png")</f>
        <v/>
      </c>
      <c r="C49" s="5" t="s">
        <v>36</v>
      </c>
      <c r="D49" s="5" t="s">
        <v>36</v>
      </c>
      <c r="E49" s="6">
        <v>780.0</v>
      </c>
      <c r="F49" s="6">
        <v>195.0</v>
      </c>
      <c r="G49" s="5" t="s">
        <v>57</v>
      </c>
      <c r="H49" s="5" t="s">
        <v>57</v>
      </c>
      <c r="I49" s="5" t="s">
        <v>59</v>
      </c>
      <c r="J49" s="5"/>
      <c r="K49" s="6" t="s">
        <v>42</v>
      </c>
      <c r="L49" s="5" t="s">
        <v>61</v>
      </c>
      <c r="M49" s="5" t="s">
        <v>99</v>
      </c>
      <c r="N49" s="20" t="s">
        <v>44</v>
      </c>
      <c r="O49" s="20" t="s">
        <v>4003</v>
      </c>
      <c r="P49" s="5" t="s">
        <v>64</v>
      </c>
      <c r="Q49" s="5" t="s">
        <v>4212</v>
      </c>
      <c r="R49" s="6">
        <v>7219.0</v>
      </c>
    </row>
    <row r="50" ht="56.25" customHeight="1">
      <c r="A50" s="5" t="s">
        <v>4213</v>
      </c>
      <c r="B50" s="6" t="str">
        <f>IMAGE("https://storage.googleapis.com/acdb/floors/RoomTexFloorCute03.png")</f>
        <v/>
      </c>
      <c r="C50" s="5" t="s">
        <v>36</v>
      </c>
      <c r="D50" s="5" t="s">
        <v>36</v>
      </c>
      <c r="E50" s="6">
        <v>780.0</v>
      </c>
      <c r="F50" s="6">
        <v>195.0</v>
      </c>
      <c r="G50" s="5" t="s">
        <v>114</v>
      </c>
      <c r="H50" s="5" t="s">
        <v>114</v>
      </c>
      <c r="I50" s="5" t="s">
        <v>59</v>
      </c>
      <c r="J50" s="5"/>
      <c r="K50" s="6" t="s">
        <v>42</v>
      </c>
      <c r="L50" s="5" t="s">
        <v>61</v>
      </c>
      <c r="M50" s="5" t="s">
        <v>99</v>
      </c>
      <c r="N50" s="20" t="s">
        <v>44</v>
      </c>
      <c r="O50" s="20" t="s">
        <v>4003</v>
      </c>
      <c r="P50" s="5" t="s">
        <v>64</v>
      </c>
      <c r="Q50" s="5" t="s">
        <v>4218</v>
      </c>
      <c r="R50" s="6">
        <v>7222.0</v>
      </c>
    </row>
    <row r="51" ht="56.25" customHeight="1">
      <c r="A51" s="5" t="s">
        <v>4219</v>
      </c>
      <c r="B51" s="6" t="str">
        <f>IMAGE("https://storage.googleapis.com/acdb/floors/RoomTexFloorColorfulWood00.png")</f>
        <v/>
      </c>
      <c r="C51" s="5" t="s">
        <v>36</v>
      </c>
      <c r="D51" s="5" t="s">
        <v>36</v>
      </c>
      <c r="E51" s="6">
        <v>2200.0</v>
      </c>
      <c r="F51" s="6">
        <v>550.0</v>
      </c>
      <c r="G51" s="5" t="s">
        <v>69</v>
      </c>
      <c r="H51" s="5" t="s">
        <v>142</v>
      </c>
      <c r="I51" s="5" t="s">
        <v>59</v>
      </c>
      <c r="J51" s="5"/>
      <c r="K51" s="6" t="s">
        <v>42</v>
      </c>
      <c r="L51" s="5" t="s">
        <v>61</v>
      </c>
      <c r="M51" s="5" t="s">
        <v>99</v>
      </c>
      <c r="N51" s="20" t="s">
        <v>44</v>
      </c>
      <c r="O51" s="20" t="s">
        <v>4183</v>
      </c>
      <c r="P51" s="5" t="s">
        <v>64</v>
      </c>
      <c r="Q51" s="5" t="s">
        <v>4220</v>
      </c>
      <c r="R51" s="6">
        <v>5070.0</v>
      </c>
    </row>
    <row r="52" ht="56.25" customHeight="1">
      <c r="A52" s="5" t="s">
        <v>4221</v>
      </c>
      <c r="B52" s="6" t="str">
        <f>IMAGE("https://storage.googleapis.com/acdb/floors/RoomTexFloorGrassland00.png")</f>
        <v/>
      </c>
      <c r="C52" s="5" t="s">
        <v>36</v>
      </c>
      <c r="D52" s="5" t="s">
        <v>36</v>
      </c>
      <c r="E52" s="6">
        <v>3000.0</v>
      </c>
      <c r="F52" s="6">
        <v>750.0</v>
      </c>
      <c r="G52" s="5" t="s">
        <v>96</v>
      </c>
      <c r="H52" s="5" t="s">
        <v>96</v>
      </c>
      <c r="I52" s="5" t="s">
        <v>2800</v>
      </c>
      <c r="J52" s="5"/>
      <c r="K52" s="6" t="s">
        <v>42</v>
      </c>
      <c r="L52" s="5" t="s">
        <v>172</v>
      </c>
      <c r="M52" s="5" t="s">
        <v>44</v>
      </c>
      <c r="N52" s="20" t="s">
        <v>44</v>
      </c>
      <c r="O52" s="20" t="s">
        <v>4026</v>
      </c>
      <c r="P52" s="5" t="s">
        <v>48</v>
      </c>
      <c r="Q52" s="5" t="s">
        <v>4225</v>
      </c>
      <c r="R52" s="6">
        <v>5005.0</v>
      </c>
    </row>
    <row r="53" ht="56.25" customHeight="1">
      <c r="A53" s="5" t="s">
        <v>4226</v>
      </c>
      <c r="B53" s="6" t="str">
        <f>IMAGE("https://storage.googleapis.com/acdb/floors/RoomTexFloorHerringbone01.png")</f>
        <v/>
      </c>
      <c r="C53" s="5" t="s">
        <v>36</v>
      </c>
      <c r="D53" s="5" t="s">
        <v>36</v>
      </c>
      <c r="E53" s="6">
        <v>1200.0</v>
      </c>
      <c r="F53" s="6">
        <v>300.0</v>
      </c>
      <c r="G53" s="5" t="s">
        <v>39</v>
      </c>
      <c r="H53" s="5" t="s">
        <v>39</v>
      </c>
      <c r="I53" s="5" t="s">
        <v>59</v>
      </c>
      <c r="J53" s="5"/>
      <c r="K53" s="6" t="s">
        <v>42</v>
      </c>
      <c r="L53" s="5" t="s">
        <v>90</v>
      </c>
      <c r="M53" s="5" t="s">
        <v>62</v>
      </c>
      <c r="N53" s="5" t="s">
        <v>44</v>
      </c>
      <c r="O53" s="5" t="s">
        <v>3096</v>
      </c>
      <c r="P53" s="5" t="s">
        <v>64</v>
      </c>
      <c r="Q53" s="5" t="s">
        <v>4227</v>
      </c>
      <c r="R53" s="6">
        <v>5062.0</v>
      </c>
    </row>
    <row r="54" ht="56.25" customHeight="1">
      <c r="A54" s="5" t="s">
        <v>4228</v>
      </c>
      <c r="B54" s="6" t="str">
        <f>IMAGE("https://storage.googleapis.com/acdb/floors/RoomTexFloorCountry01.png")</f>
        <v/>
      </c>
      <c r="C54" s="5" t="s">
        <v>36</v>
      </c>
      <c r="D54" s="5" t="s">
        <v>36</v>
      </c>
      <c r="E54" s="6">
        <v>1560.0</v>
      </c>
      <c r="F54" s="6">
        <v>390.0</v>
      </c>
      <c r="G54" s="5" t="s">
        <v>54</v>
      </c>
      <c r="H54" s="5" t="s">
        <v>95</v>
      </c>
      <c r="I54" s="5" t="s">
        <v>59</v>
      </c>
      <c r="J54" s="5"/>
      <c r="K54" s="6" t="s">
        <v>42</v>
      </c>
      <c r="L54" s="5" t="s">
        <v>90</v>
      </c>
      <c r="M54" s="5" t="s">
        <v>44</v>
      </c>
      <c r="N54" s="20" t="s">
        <v>44</v>
      </c>
      <c r="O54" s="20" t="s">
        <v>2902</v>
      </c>
      <c r="P54" s="5" t="s">
        <v>64</v>
      </c>
      <c r="Q54" s="5" t="s">
        <v>4231</v>
      </c>
      <c r="R54" s="6">
        <v>5025.0</v>
      </c>
    </row>
    <row r="55" ht="56.25" customHeight="1">
      <c r="A55" s="5" t="s">
        <v>4232</v>
      </c>
      <c r="B55" s="6" t="str">
        <f>IMAGE("https://storage.googleapis.com/acdb/floors/RoomTexFloorSimpleParquet01.png")</f>
        <v/>
      </c>
      <c r="C55" s="5" t="s">
        <v>36</v>
      </c>
      <c r="D55" s="5" t="s">
        <v>36</v>
      </c>
      <c r="E55" s="6">
        <v>1500.0</v>
      </c>
      <c r="F55" s="6">
        <v>375.0</v>
      </c>
      <c r="G55" s="5" t="s">
        <v>54</v>
      </c>
      <c r="H55" s="5" t="s">
        <v>54</v>
      </c>
      <c r="I55" s="5" t="s">
        <v>59</v>
      </c>
      <c r="J55" s="5"/>
      <c r="K55" s="6" t="s">
        <v>42</v>
      </c>
      <c r="L55" s="5" t="s">
        <v>90</v>
      </c>
      <c r="M55" s="5" t="s">
        <v>62</v>
      </c>
      <c r="N55" s="20" t="s">
        <v>44</v>
      </c>
      <c r="O55" s="20" t="s">
        <v>4021</v>
      </c>
      <c r="P55" s="5" t="s">
        <v>64</v>
      </c>
      <c r="Q55" s="5" t="s">
        <v>4235</v>
      </c>
      <c r="R55" s="6">
        <v>4992.0</v>
      </c>
    </row>
    <row r="56" ht="56.25" customHeight="1">
      <c r="A56" s="5" t="s">
        <v>4236</v>
      </c>
      <c r="B56" s="6" t="str">
        <f>IMAGE("https://storage.googleapis.com/acdb/floors/RoomTexFloorParquet01.png")</f>
        <v/>
      </c>
      <c r="C56" s="5" t="s">
        <v>36</v>
      </c>
      <c r="D56" s="5" t="s">
        <v>36</v>
      </c>
      <c r="E56" s="6">
        <v>1380.0</v>
      </c>
      <c r="F56" s="6">
        <v>345.0</v>
      </c>
      <c r="G56" s="5" t="s">
        <v>39</v>
      </c>
      <c r="H56" s="5" t="s">
        <v>39</v>
      </c>
      <c r="I56" s="5" t="s">
        <v>59</v>
      </c>
      <c r="J56" s="5"/>
      <c r="K56" s="6" t="s">
        <v>42</v>
      </c>
      <c r="L56" s="5" t="s">
        <v>130</v>
      </c>
      <c r="M56" s="5" t="s">
        <v>44</v>
      </c>
      <c r="N56" s="20" t="s">
        <v>44</v>
      </c>
      <c r="O56" s="20" t="s">
        <v>4239</v>
      </c>
      <c r="P56" s="5" t="s">
        <v>64</v>
      </c>
      <c r="Q56" s="5" t="s">
        <v>4240</v>
      </c>
      <c r="R56" s="6">
        <v>5035.0</v>
      </c>
    </row>
    <row r="57" ht="56.25" customHeight="1">
      <c r="A57" s="5" t="s">
        <v>4241</v>
      </c>
      <c r="B57" s="6" t="str">
        <f>IMAGE("https://storage.googleapis.com/acdb/floors/RoomTexFloorChocolate00.png")</f>
        <v/>
      </c>
      <c r="C57" s="5" t="s">
        <v>36</v>
      </c>
      <c r="D57" s="5" t="s">
        <v>36</v>
      </c>
      <c r="E57" s="6">
        <v>3000.0</v>
      </c>
      <c r="F57" s="6">
        <v>750.0</v>
      </c>
      <c r="G57" s="5" t="s">
        <v>39</v>
      </c>
      <c r="H57" s="5" t="s">
        <v>39</v>
      </c>
      <c r="I57" s="5" t="s">
        <v>2800</v>
      </c>
      <c r="J57" s="5"/>
      <c r="K57" s="6" t="s">
        <v>42</v>
      </c>
      <c r="L57" s="5" t="s">
        <v>61</v>
      </c>
      <c r="M57" s="5" t="s">
        <v>44</v>
      </c>
      <c r="N57" s="20" t="s">
        <v>44</v>
      </c>
      <c r="O57" s="20" t="s">
        <v>3256</v>
      </c>
      <c r="P57" s="5" t="s">
        <v>48</v>
      </c>
      <c r="Q57" s="5" t="s">
        <v>4246</v>
      </c>
      <c r="R57" s="6">
        <v>5050.0</v>
      </c>
    </row>
    <row r="58" ht="56.25" customHeight="1">
      <c r="A58" s="5" t="s">
        <v>4247</v>
      </c>
      <c r="B58" s="6" t="str">
        <f>IMAGE("https://storage.googleapis.com/acdb/floors/RoomTexFloorStratum00.png")</f>
        <v/>
      </c>
      <c r="C58" s="5" t="s">
        <v>36</v>
      </c>
      <c r="D58" s="5" t="s">
        <v>36</v>
      </c>
      <c r="E58" s="6">
        <v>3000.0</v>
      </c>
      <c r="F58" s="6">
        <v>750.0</v>
      </c>
      <c r="G58" s="5" t="s">
        <v>39</v>
      </c>
      <c r="H58" s="5" t="s">
        <v>38</v>
      </c>
      <c r="I58" s="5" t="s">
        <v>2800</v>
      </c>
      <c r="J58" s="5"/>
      <c r="K58" s="6" t="s">
        <v>42</v>
      </c>
      <c r="L58" s="5" t="s">
        <v>172</v>
      </c>
      <c r="M58" s="5" t="s">
        <v>732</v>
      </c>
      <c r="N58" s="20" t="s">
        <v>44</v>
      </c>
      <c r="O58" s="20" t="s">
        <v>4251</v>
      </c>
      <c r="P58" s="5" t="s">
        <v>48</v>
      </c>
      <c r="Q58" s="5" t="s">
        <v>4252</v>
      </c>
      <c r="R58" s="6">
        <v>5011.0</v>
      </c>
    </row>
    <row r="59" ht="56.25" customHeight="1">
      <c r="A59" s="5" t="s">
        <v>4253</v>
      </c>
      <c r="B59" s="6" t="str">
        <f>IMAGE("https://storage.googleapis.com/acdb/floors/RoomTexFloorCottonSoil00.png")</f>
        <v/>
      </c>
      <c r="C59" s="5" t="s">
        <v>36</v>
      </c>
      <c r="D59" s="5" t="s">
        <v>36</v>
      </c>
      <c r="E59" s="6">
        <v>3000.0</v>
      </c>
      <c r="F59" s="6">
        <v>750.0</v>
      </c>
      <c r="G59" s="5" t="s">
        <v>39</v>
      </c>
      <c r="H59" s="5" t="s">
        <v>54</v>
      </c>
      <c r="I59" s="5" t="s">
        <v>2800</v>
      </c>
      <c r="J59" s="5"/>
      <c r="K59" s="6" t="s">
        <v>42</v>
      </c>
      <c r="L59" s="5" t="s">
        <v>172</v>
      </c>
      <c r="M59" s="5" t="s">
        <v>765</v>
      </c>
      <c r="N59" s="20" t="s">
        <v>44</v>
      </c>
      <c r="O59" s="20" t="s">
        <v>4251</v>
      </c>
      <c r="P59" s="5" t="s">
        <v>48</v>
      </c>
      <c r="Q59" s="5" t="s">
        <v>4255</v>
      </c>
      <c r="R59" s="6">
        <v>4981.0</v>
      </c>
    </row>
    <row r="60" ht="56.25" customHeight="1">
      <c r="A60" s="5" t="s">
        <v>4256</v>
      </c>
      <c r="B60" s="6" t="str">
        <f>IMAGE("https://storage.googleapis.com/acdb/floors/RoomTexFloorFarm00.png")</f>
        <v/>
      </c>
      <c r="C60" s="5" t="s">
        <v>36</v>
      </c>
      <c r="D60" s="5" t="s">
        <v>36</v>
      </c>
      <c r="E60" s="6">
        <v>3000.0</v>
      </c>
      <c r="F60" s="6">
        <v>750.0</v>
      </c>
      <c r="G60" s="5" t="s">
        <v>39</v>
      </c>
      <c r="H60" s="5" t="s">
        <v>39</v>
      </c>
      <c r="I60" s="5" t="s">
        <v>2800</v>
      </c>
      <c r="J60" s="5"/>
      <c r="K60" s="6" t="s">
        <v>42</v>
      </c>
      <c r="L60" s="5" t="s">
        <v>172</v>
      </c>
      <c r="M60" s="5" t="s">
        <v>44</v>
      </c>
      <c r="N60" s="20" t="s">
        <v>44</v>
      </c>
      <c r="O60" s="20" t="s">
        <v>4251</v>
      </c>
      <c r="P60" s="5" t="s">
        <v>48</v>
      </c>
      <c r="Q60" s="5" t="s">
        <v>4260</v>
      </c>
      <c r="R60" s="6">
        <v>4980.0</v>
      </c>
    </row>
    <row r="61" ht="56.25" customHeight="1">
      <c r="A61" s="5" t="s">
        <v>4262</v>
      </c>
      <c r="B61" s="6" t="str">
        <f>IMAGE("https://storage.googleapis.com/acdb/floors/RoomTexFloorFlagStone00.png")</f>
        <v/>
      </c>
      <c r="C61" s="5" t="s">
        <v>36</v>
      </c>
      <c r="D61" s="5" t="s">
        <v>36</v>
      </c>
      <c r="E61" s="6">
        <v>1700.0</v>
      </c>
      <c r="F61" s="6">
        <v>425.0</v>
      </c>
      <c r="G61" s="5" t="s">
        <v>38</v>
      </c>
      <c r="H61" s="5" t="s">
        <v>38</v>
      </c>
      <c r="I61" s="5" t="s">
        <v>59</v>
      </c>
      <c r="J61" s="5"/>
      <c r="K61" s="6" t="s">
        <v>42</v>
      </c>
      <c r="L61" s="5" t="s">
        <v>62</v>
      </c>
      <c r="M61" s="5" t="s">
        <v>141</v>
      </c>
      <c r="N61" s="20" t="s">
        <v>44</v>
      </c>
      <c r="O61" s="20" t="s">
        <v>4035</v>
      </c>
      <c r="P61" s="5" t="s">
        <v>64</v>
      </c>
      <c r="Q61" s="5" t="s">
        <v>4265</v>
      </c>
      <c r="R61" s="6">
        <v>5031.0</v>
      </c>
    </row>
    <row r="62" ht="56.25" customHeight="1">
      <c r="A62" s="5" t="s">
        <v>4266</v>
      </c>
      <c r="B62" s="6" t="str">
        <f>IMAGE("https://storage.googleapis.com/acdb/floors/RoomTexFloorMosaicTile00.png")</f>
        <v/>
      </c>
      <c r="C62" s="5" t="s">
        <v>36</v>
      </c>
      <c r="D62" s="5" t="s">
        <v>36</v>
      </c>
      <c r="E62" s="6">
        <v>1080.0</v>
      </c>
      <c r="F62" s="6">
        <v>270.0</v>
      </c>
      <c r="G62" s="5" t="s">
        <v>57</v>
      </c>
      <c r="H62" s="5" t="s">
        <v>57</v>
      </c>
      <c r="I62" s="5" t="s">
        <v>59</v>
      </c>
      <c r="J62" s="5"/>
      <c r="K62" s="6" t="s">
        <v>42</v>
      </c>
      <c r="L62" s="5" t="s">
        <v>288</v>
      </c>
      <c r="M62" s="5" t="s">
        <v>141</v>
      </c>
      <c r="N62" s="20" t="s">
        <v>44</v>
      </c>
      <c r="O62" s="20" t="s">
        <v>4003</v>
      </c>
      <c r="P62" s="5" t="s">
        <v>64</v>
      </c>
      <c r="Q62" s="5" t="s">
        <v>4269</v>
      </c>
      <c r="R62" s="6">
        <v>4993.0</v>
      </c>
    </row>
    <row r="63" ht="56.25" customHeight="1">
      <c r="A63" s="5" t="s">
        <v>4271</v>
      </c>
      <c r="B63" s="6" t="str">
        <f>IMAGE("https://storage.googleapis.com/acdb/floors/RoomTexFloorRush00.png")</f>
        <v/>
      </c>
      <c r="C63" s="5" t="s">
        <v>36</v>
      </c>
      <c r="D63" s="5" t="s">
        <v>36</v>
      </c>
      <c r="E63" s="6">
        <v>3000.0</v>
      </c>
      <c r="F63" s="6">
        <v>750.0</v>
      </c>
      <c r="G63" s="5" t="s">
        <v>57</v>
      </c>
      <c r="H63" s="5" t="s">
        <v>57</v>
      </c>
      <c r="I63" s="5" t="s">
        <v>2800</v>
      </c>
      <c r="J63" s="5"/>
      <c r="K63" s="6" t="s">
        <v>42</v>
      </c>
      <c r="L63" s="5" t="s">
        <v>61</v>
      </c>
      <c r="M63" s="5" t="s">
        <v>266</v>
      </c>
      <c r="N63" s="20" t="s">
        <v>44</v>
      </c>
      <c r="O63" s="20" t="s">
        <v>650</v>
      </c>
      <c r="P63" s="5" t="s">
        <v>48</v>
      </c>
      <c r="Q63" s="5" t="s">
        <v>4274</v>
      </c>
      <c r="R63" s="6">
        <v>4977.0</v>
      </c>
    </row>
    <row r="64" ht="56.25" customHeight="1">
      <c r="A64" s="5" t="s">
        <v>4275</v>
      </c>
      <c r="B64" s="6" t="str">
        <f>IMAGE("https://storage.googleapis.com/acdb/floors/RoomSpFloorRiver00.png")</f>
        <v/>
      </c>
      <c r="C64" s="5" t="s">
        <v>35</v>
      </c>
      <c r="D64" s="5" t="s">
        <v>36</v>
      </c>
      <c r="E64" s="6">
        <v>3000.0</v>
      </c>
      <c r="F64" s="6">
        <v>750.0</v>
      </c>
      <c r="G64" s="5" t="s">
        <v>95</v>
      </c>
      <c r="H64" s="5" t="s">
        <v>83</v>
      </c>
      <c r="I64" s="5" t="s">
        <v>2800</v>
      </c>
      <c r="J64" s="5"/>
      <c r="K64" s="6" t="s">
        <v>42</v>
      </c>
      <c r="L64" s="5" t="s">
        <v>172</v>
      </c>
      <c r="M64" s="5" t="s">
        <v>44</v>
      </c>
      <c r="N64" s="20" t="s">
        <v>44</v>
      </c>
      <c r="O64" s="20" t="s">
        <v>4145</v>
      </c>
      <c r="P64" s="5" t="s">
        <v>48</v>
      </c>
      <c r="Q64" s="5" t="s">
        <v>4280</v>
      </c>
      <c r="R64" s="6">
        <v>5273.0</v>
      </c>
    </row>
    <row r="65" ht="56.25" customHeight="1">
      <c r="A65" s="5" t="s">
        <v>4281</v>
      </c>
      <c r="B65" s="6" t="str">
        <f>IMAGE("https://storage.googleapis.com/acdb/floors/RoomTexFloorMushForest00.png")</f>
        <v/>
      </c>
      <c r="C65" s="5" t="s">
        <v>36</v>
      </c>
      <c r="D65" s="5" t="s">
        <v>35</v>
      </c>
      <c r="E65" s="6" t="s">
        <v>37</v>
      </c>
      <c r="F65" s="6">
        <v>35000.0</v>
      </c>
      <c r="G65" s="5" t="s">
        <v>39</v>
      </c>
      <c r="H65" s="5" t="s">
        <v>39</v>
      </c>
      <c r="I65" s="5" t="s">
        <v>41</v>
      </c>
      <c r="J65" s="5" t="s">
        <v>1785</v>
      </c>
      <c r="K65" s="6" t="s">
        <v>42</v>
      </c>
      <c r="L65" s="5" t="s">
        <v>172</v>
      </c>
      <c r="M65" s="5" t="s">
        <v>732</v>
      </c>
      <c r="N65" s="20" t="s">
        <v>1786</v>
      </c>
      <c r="O65" s="20" t="s">
        <v>4134</v>
      </c>
      <c r="P65" s="5" t="s">
        <v>48</v>
      </c>
      <c r="Q65" s="5" t="s">
        <v>4285</v>
      </c>
      <c r="R65" s="6">
        <v>7186.0</v>
      </c>
    </row>
    <row r="66" ht="56.25" customHeight="1">
      <c r="A66" s="5" t="s">
        <v>4286</v>
      </c>
      <c r="B66" s="6" t="str">
        <f>IMAGE("https://storage.googleapis.com/acdb/floors/RoomSpFloorTechnology00.png")</f>
        <v/>
      </c>
      <c r="C66" s="5" t="s">
        <v>35</v>
      </c>
      <c r="D66" s="5" t="s">
        <v>36</v>
      </c>
      <c r="E66" s="6">
        <v>3000.0</v>
      </c>
      <c r="F66" s="6">
        <v>750.0</v>
      </c>
      <c r="G66" s="5" t="s">
        <v>54</v>
      </c>
      <c r="H66" s="5" t="s">
        <v>54</v>
      </c>
      <c r="I66" s="5" t="s">
        <v>2800</v>
      </c>
      <c r="J66" s="5"/>
      <c r="K66" s="6" t="s">
        <v>42</v>
      </c>
      <c r="L66" s="5" t="s">
        <v>732</v>
      </c>
      <c r="M66" s="5" t="s">
        <v>696</v>
      </c>
      <c r="N66" s="20" t="s">
        <v>44</v>
      </c>
      <c r="O66" s="20" t="s">
        <v>4290</v>
      </c>
      <c r="P66" s="5" t="s">
        <v>48</v>
      </c>
      <c r="Q66" s="5" t="s">
        <v>4291</v>
      </c>
      <c r="R66" s="6">
        <v>5250.0</v>
      </c>
    </row>
    <row r="67" ht="56.25" customHeight="1">
      <c r="A67" s="5" t="s">
        <v>4292</v>
      </c>
      <c r="B67" s="6" t="str">
        <f>IMAGE("https://storage.googleapis.com/acdb/floors/RoomSpFloorGalaxy00.png")</f>
        <v/>
      </c>
      <c r="C67" s="5" t="s">
        <v>36</v>
      </c>
      <c r="D67" s="5" t="s">
        <v>35</v>
      </c>
      <c r="E67" s="6" t="s">
        <v>37</v>
      </c>
      <c r="F67" s="6">
        <v>7500.0</v>
      </c>
      <c r="G67" s="5" t="s">
        <v>68</v>
      </c>
      <c r="H67" s="5" t="s">
        <v>68</v>
      </c>
      <c r="I67" s="5" t="s">
        <v>41</v>
      </c>
      <c r="J67" s="5"/>
      <c r="K67" s="6" t="s">
        <v>42</v>
      </c>
      <c r="L67" s="5" t="s">
        <v>401</v>
      </c>
      <c r="M67" s="5" t="s">
        <v>44</v>
      </c>
      <c r="N67" s="20" t="s">
        <v>44</v>
      </c>
      <c r="O67" s="20" t="s">
        <v>4145</v>
      </c>
      <c r="P67" s="5" t="s">
        <v>48</v>
      </c>
      <c r="Q67" s="5" t="s">
        <v>4296</v>
      </c>
      <c r="R67" s="6">
        <v>5269.0</v>
      </c>
    </row>
    <row r="68" ht="56.25" customHeight="1">
      <c r="A68" s="5" t="s">
        <v>4297</v>
      </c>
      <c r="B68" s="6" t="str">
        <f>IMAGE("https://storage.googleapis.com/acdb/floors/RoomTexFloorGarbage00.png")</f>
        <v/>
      </c>
      <c r="C68" s="5" t="s">
        <v>35</v>
      </c>
      <c r="D68" s="5" t="s">
        <v>35</v>
      </c>
      <c r="E68" s="6" t="s">
        <v>37</v>
      </c>
      <c r="F68" s="6">
        <v>120.0</v>
      </c>
      <c r="G68" s="5" t="s">
        <v>57</v>
      </c>
      <c r="H68" s="5" t="s">
        <v>57</v>
      </c>
      <c r="I68" s="5" t="s">
        <v>41</v>
      </c>
      <c r="J68" s="5"/>
      <c r="K68" s="6" t="s">
        <v>42</v>
      </c>
      <c r="L68" s="5" t="s">
        <v>732</v>
      </c>
      <c r="M68" s="5" t="s">
        <v>416</v>
      </c>
      <c r="N68" s="20" t="s">
        <v>44</v>
      </c>
      <c r="O68" s="20" t="s">
        <v>4300</v>
      </c>
      <c r="P68" s="5" t="s">
        <v>48</v>
      </c>
      <c r="Q68" s="5" t="s">
        <v>4302</v>
      </c>
      <c r="R68" s="6">
        <v>5236.0</v>
      </c>
    </row>
    <row r="69" ht="56.25" customHeight="1">
      <c r="A69" s="5" t="s">
        <v>4304</v>
      </c>
      <c r="B69" s="6" t="str">
        <f>IMAGE("https://storage.googleapis.com/acdb/floors/RoomTexFloorAnimal01.png")</f>
        <v/>
      </c>
      <c r="C69" s="5" t="s">
        <v>36</v>
      </c>
      <c r="D69" s="5" t="s">
        <v>36</v>
      </c>
      <c r="E69" s="6">
        <v>1300.0</v>
      </c>
      <c r="F69" s="6">
        <v>325.0</v>
      </c>
      <c r="G69" s="5" t="s">
        <v>38</v>
      </c>
      <c r="H69" s="5" t="s">
        <v>38</v>
      </c>
      <c r="I69" s="5" t="s">
        <v>59</v>
      </c>
      <c r="J69" s="5"/>
      <c r="K69" s="6" t="s">
        <v>42</v>
      </c>
      <c r="L69" s="5" t="s">
        <v>465</v>
      </c>
      <c r="M69" s="5" t="s">
        <v>61</v>
      </c>
      <c r="N69" s="20" t="s">
        <v>44</v>
      </c>
      <c r="O69" s="20" t="s">
        <v>4309</v>
      </c>
      <c r="P69" s="5" t="s">
        <v>64</v>
      </c>
      <c r="Q69" s="5" t="s">
        <v>4310</v>
      </c>
      <c r="R69" s="6">
        <v>4961.0</v>
      </c>
    </row>
    <row r="70" ht="56.25" customHeight="1">
      <c r="A70" s="5" t="s">
        <v>4311</v>
      </c>
      <c r="B70" s="6" t="str">
        <f>IMAGE("https://storage.googleapis.com/acdb/floors/RoomTexFloorParquetIron00.png")</f>
        <v/>
      </c>
      <c r="C70" s="5" t="s">
        <v>36</v>
      </c>
      <c r="D70" s="5" t="s">
        <v>36</v>
      </c>
      <c r="E70" s="6">
        <v>2350.0</v>
      </c>
      <c r="F70" s="6">
        <v>587.0</v>
      </c>
      <c r="G70" s="5" t="s">
        <v>38</v>
      </c>
      <c r="H70" s="5" t="s">
        <v>38</v>
      </c>
      <c r="I70" s="5" t="s">
        <v>59</v>
      </c>
      <c r="J70" s="5"/>
      <c r="K70" s="6" t="s">
        <v>42</v>
      </c>
      <c r="L70" s="5" t="s">
        <v>116</v>
      </c>
      <c r="M70" s="5" t="s">
        <v>90</v>
      </c>
      <c r="N70" s="20" t="s">
        <v>44</v>
      </c>
      <c r="O70" s="20" t="s">
        <v>4054</v>
      </c>
      <c r="P70" s="5" t="s">
        <v>64</v>
      </c>
      <c r="Q70" s="5" t="s">
        <v>4313</v>
      </c>
      <c r="R70" s="6">
        <v>5064.0</v>
      </c>
    </row>
    <row r="71" ht="56.25" customHeight="1">
      <c r="A71" s="5" t="s">
        <v>4315</v>
      </c>
      <c r="B71" s="6" t="str">
        <f>IMAGE("https://storage.googleapis.com/acdb/floors/RoomTexFloorGold00.png")</f>
        <v/>
      </c>
      <c r="C71" s="5" t="s">
        <v>36</v>
      </c>
      <c r="D71" s="5" t="s">
        <v>35</v>
      </c>
      <c r="E71" s="6" t="s">
        <v>37</v>
      </c>
      <c r="F71" s="6">
        <v>40000.0</v>
      </c>
      <c r="G71" s="5" t="s">
        <v>114</v>
      </c>
      <c r="H71" s="5" t="s">
        <v>114</v>
      </c>
      <c r="I71" s="5" t="s">
        <v>41</v>
      </c>
      <c r="J71" s="5"/>
      <c r="K71" s="6" t="s">
        <v>42</v>
      </c>
      <c r="L71" s="5" t="s">
        <v>116</v>
      </c>
      <c r="M71" s="5" t="s">
        <v>732</v>
      </c>
      <c r="N71" s="20" t="s">
        <v>1182</v>
      </c>
      <c r="O71" s="20" t="s">
        <v>4318</v>
      </c>
      <c r="P71" s="5" t="s">
        <v>48</v>
      </c>
      <c r="Q71" s="5" t="s">
        <v>4319</v>
      </c>
      <c r="R71" s="6">
        <v>5021.0</v>
      </c>
    </row>
    <row r="72" ht="56.25" customHeight="1">
      <c r="A72" s="5" t="s">
        <v>4320</v>
      </c>
      <c r="B72" s="6" t="str">
        <f>IMAGE("https://storage.googleapis.com/acdb/floors/RoomTexFloorGravel00.png")</f>
        <v/>
      </c>
      <c r="C72" s="5" t="s">
        <v>36</v>
      </c>
      <c r="D72" s="5" t="s">
        <v>36</v>
      </c>
      <c r="E72" s="6">
        <v>3000.0</v>
      </c>
      <c r="F72" s="6">
        <v>750.0</v>
      </c>
      <c r="G72" s="5" t="s">
        <v>95</v>
      </c>
      <c r="H72" s="5" t="s">
        <v>95</v>
      </c>
      <c r="I72" s="5" t="s">
        <v>2800</v>
      </c>
      <c r="J72" s="5"/>
      <c r="K72" s="6" t="s">
        <v>42</v>
      </c>
      <c r="L72" s="5" t="s">
        <v>172</v>
      </c>
      <c r="M72" s="5" t="s">
        <v>141</v>
      </c>
      <c r="N72" s="20" t="s">
        <v>44</v>
      </c>
      <c r="O72" s="20" t="s">
        <v>4035</v>
      </c>
      <c r="P72" s="5" t="s">
        <v>48</v>
      </c>
      <c r="Q72" s="5" t="s">
        <v>4322</v>
      </c>
      <c r="R72" s="6">
        <v>4978.0</v>
      </c>
    </row>
    <row r="73" ht="56.25" customHeight="1">
      <c r="A73" s="5" t="s">
        <v>4323</v>
      </c>
      <c r="B73" s="6" t="str">
        <f>IMAGE("https://storage.googleapis.com/acdb/floors/RoomTexFloorArgyleTile00.png")</f>
        <v/>
      </c>
      <c r="C73" s="5" t="s">
        <v>36</v>
      </c>
      <c r="D73" s="5" t="s">
        <v>36</v>
      </c>
      <c r="E73" s="6">
        <v>1440.0</v>
      </c>
      <c r="F73" s="6">
        <v>360.0</v>
      </c>
      <c r="G73" s="5" t="s">
        <v>95</v>
      </c>
      <c r="H73" s="5" t="s">
        <v>57</v>
      </c>
      <c r="I73" s="5" t="s">
        <v>59</v>
      </c>
      <c r="J73" s="5"/>
      <c r="K73" s="6" t="s">
        <v>42</v>
      </c>
      <c r="L73" s="5" t="s">
        <v>116</v>
      </c>
      <c r="M73" s="5" t="s">
        <v>141</v>
      </c>
      <c r="N73" s="20" t="s">
        <v>44</v>
      </c>
      <c r="O73" s="20" t="s">
        <v>4103</v>
      </c>
      <c r="P73" s="5" t="s">
        <v>64</v>
      </c>
      <c r="Q73" s="5" t="s">
        <v>4327</v>
      </c>
      <c r="R73" s="6">
        <v>5080.0</v>
      </c>
    </row>
    <row r="74" ht="56.25" customHeight="1">
      <c r="A74" s="5" t="s">
        <v>4328</v>
      </c>
      <c r="B74" s="6" t="str">
        <f>IMAGE("https://storage.googleapis.com/acdb/floors/RoomTexFloorTileChecker00.png")</f>
        <v/>
      </c>
      <c r="C74" s="5" t="s">
        <v>36</v>
      </c>
      <c r="D74" s="5" t="s">
        <v>36</v>
      </c>
      <c r="E74" s="6">
        <v>1150.0</v>
      </c>
      <c r="F74" s="6">
        <v>287.0</v>
      </c>
      <c r="G74" s="5" t="s">
        <v>95</v>
      </c>
      <c r="H74" s="5" t="s">
        <v>57</v>
      </c>
      <c r="I74" s="5" t="s">
        <v>59</v>
      </c>
      <c r="J74" s="5"/>
      <c r="K74" s="6" t="s">
        <v>42</v>
      </c>
      <c r="L74" s="5" t="s">
        <v>116</v>
      </c>
      <c r="M74" s="5" t="s">
        <v>44</v>
      </c>
      <c r="N74" s="20" t="s">
        <v>44</v>
      </c>
      <c r="O74" s="20" t="s">
        <v>4177</v>
      </c>
      <c r="P74" s="5" t="s">
        <v>64</v>
      </c>
      <c r="Q74" s="5" t="s">
        <v>4332</v>
      </c>
      <c r="R74" s="6">
        <v>5046.0</v>
      </c>
    </row>
    <row r="75" ht="56.25" customHeight="1">
      <c r="A75" s="5" t="s">
        <v>4333</v>
      </c>
      <c r="B75" s="6" t="str">
        <f>IMAGE("https://storage.googleapis.com/acdb/floors/RoomTexFloorDecoWood03.png")</f>
        <v/>
      </c>
      <c r="C75" s="5" t="s">
        <v>36</v>
      </c>
      <c r="D75" s="5" t="s">
        <v>36</v>
      </c>
      <c r="E75" s="6">
        <v>1520.0</v>
      </c>
      <c r="F75" s="6">
        <v>380.0</v>
      </c>
      <c r="G75" s="5" t="s">
        <v>96</v>
      </c>
      <c r="H75" s="5" t="s">
        <v>96</v>
      </c>
      <c r="I75" s="5" t="s">
        <v>59</v>
      </c>
      <c r="J75" s="5"/>
      <c r="K75" s="6" t="s">
        <v>42</v>
      </c>
      <c r="L75" s="5" t="s">
        <v>62</v>
      </c>
      <c r="M75" s="5" t="s">
        <v>90</v>
      </c>
      <c r="N75" s="20" t="s">
        <v>44</v>
      </c>
      <c r="O75" s="20" t="s">
        <v>4076</v>
      </c>
      <c r="P75" s="5" t="s">
        <v>64</v>
      </c>
      <c r="Q75" s="5" t="s">
        <v>4337</v>
      </c>
      <c r="R75" s="6">
        <v>6847.0</v>
      </c>
    </row>
    <row r="76" ht="56.25" customHeight="1">
      <c r="A76" s="5" t="s">
        <v>4338</v>
      </c>
      <c r="B76" s="6" t="str">
        <f>IMAGE("https://storage.googleapis.com/acdb/floors/RoomTexFloorHoneycomb02.png")</f>
        <v/>
      </c>
      <c r="C76" s="5" t="s">
        <v>36</v>
      </c>
      <c r="D76" s="5" t="s">
        <v>36</v>
      </c>
      <c r="E76" s="6">
        <v>1420.0</v>
      </c>
      <c r="F76" s="6">
        <v>355.0</v>
      </c>
      <c r="G76" s="5" t="s">
        <v>96</v>
      </c>
      <c r="H76" s="5" t="s">
        <v>96</v>
      </c>
      <c r="I76" s="5" t="s">
        <v>59</v>
      </c>
      <c r="J76" s="5"/>
      <c r="K76" s="6" t="s">
        <v>42</v>
      </c>
      <c r="L76" s="5" t="s">
        <v>288</v>
      </c>
      <c r="M76" s="5" t="s">
        <v>141</v>
      </c>
      <c r="N76" s="20" t="s">
        <v>44</v>
      </c>
      <c r="O76" s="20" t="s">
        <v>2995</v>
      </c>
      <c r="P76" s="5" t="s">
        <v>64</v>
      </c>
      <c r="Q76" s="5" t="s">
        <v>4344</v>
      </c>
      <c r="R76" s="6">
        <v>5041.0</v>
      </c>
    </row>
    <row r="77" ht="56.25" customHeight="1">
      <c r="A77" s="5" t="s">
        <v>4345</v>
      </c>
      <c r="B77" s="6" t="str">
        <f>IMAGE("https://storage.googleapis.com/acdb/floors/RoomTexFloorKitchen01.png")</f>
        <v/>
      </c>
      <c r="C77" s="5" t="s">
        <v>36</v>
      </c>
      <c r="D77" s="5" t="s">
        <v>36</v>
      </c>
      <c r="E77" s="6">
        <v>1540.0</v>
      </c>
      <c r="F77" s="6">
        <v>385.0</v>
      </c>
      <c r="G77" s="5" t="s">
        <v>96</v>
      </c>
      <c r="H77" s="5" t="s">
        <v>96</v>
      </c>
      <c r="I77" s="5" t="s">
        <v>59</v>
      </c>
      <c r="J77" s="5"/>
      <c r="K77" s="6" t="s">
        <v>42</v>
      </c>
      <c r="L77" s="5" t="s">
        <v>159</v>
      </c>
      <c r="M77" s="5" t="s">
        <v>62</v>
      </c>
      <c r="N77" s="20" t="s">
        <v>44</v>
      </c>
      <c r="O77" s="20" t="s">
        <v>4348</v>
      </c>
      <c r="P77" s="5" t="s">
        <v>64</v>
      </c>
      <c r="Q77" s="5" t="s">
        <v>4349</v>
      </c>
      <c r="R77" s="6">
        <v>5045.0</v>
      </c>
    </row>
    <row r="78" ht="56.25" customHeight="1">
      <c r="A78" s="5" t="s">
        <v>4350</v>
      </c>
      <c r="B78" s="6" t="str">
        <f>IMAGE("https://storage.googleapis.com/acdb/floors/RoomTexFloorRubber00.png")</f>
        <v/>
      </c>
      <c r="C78" s="5" t="s">
        <v>36</v>
      </c>
      <c r="D78" s="5" t="s">
        <v>36</v>
      </c>
      <c r="E78" s="6">
        <v>850.0</v>
      </c>
      <c r="F78" s="6">
        <v>212.0</v>
      </c>
      <c r="G78" s="5" t="s">
        <v>96</v>
      </c>
      <c r="H78" s="5" t="s">
        <v>96</v>
      </c>
      <c r="I78" s="5" t="s">
        <v>59</v>
      </c>
      <c r="J78" s="5"/>
      <c r="K78" s="6" t="s">
        <v>42</v>
      </c>
      <c r="L78" s="5" t="s">
        <v>474</v>
      </c>
      <c r="M78" s="5" t="s">
        <v>130</v>
      </c>
      <c r="N78" s="20" t="s">
        <v>44</v>
      </c>
      <c r="O78" s="20" t="s">
        <v>4090</v>
      </c>
      <c r="P78" s="5" t="s">
        <v>64</v>
      </c>
      <c r="Q78" s="5" t="s">
        <v>4354</v>
      </c>
      <c r="R78" s="6">
        <v>4952.0</v>
      </c>
    </row>
    <row r="79" ht="56.25" customHeight="1">
      <c r="A79" s="5" t="s">
        <v>4355</v>
      </c>
      <c r="B79" s="6" t="str">
        <f>IMAGE("https://storage.googleapis.com/acdb/floors/RoomTexFloorTileChecker02.png")</f>
        <v/>
      </c>
      <c r="C79" s="5" t="s">
        <v>36</v>
      </c>
      <c r="D79" s="5" t="s">
        <v>36</v>
      </c>
      <c r="E79" s="6">
        <v>1150.0</v>
      </c>
      <c r="F79" s="6">
        <v>287.0</v>
      </c>
      <c r="G79" s="5" t="s">
        <v>96</v>
      </c>
      <c r="H79" s="5" t="s">
        <v>57</v>
      </c>
      <c r="I79" s="5" t="s">
        <v>59</v>
      </c>
      <c r="J79" s="5"/>
      <c r="K79" s="6" t="s">
        <v>42</v>
      </c>
      <c r="L79" s="5" t="s">
        <v>116</v>
      </c>
      <c r="M79" s="5" t="s">
        <v>44</v>
      </c>
      <c r="N79" s="20" t="s">
        <v>44</v>
      </c>
      <c r="O79" s="20" t="s">
        <v>4177</v>
      </c>
      <c r="P79" s="5" t="s">
        <v>64</v>
      </c>
      <c r="Q79" s="5" t="s">
        <v>4359</v>
      </c>
      <c r="R79" s="6">
        <v>5048.0</v>
      </c>
    </row>
    <row r="80" ht="56.25" customHeight="1">
      <c r="A80" s="5" t="s">
        <v>4360</v>
      </c>
      <c r="B80" s="6" t="str">
        <f>IMAGE("https://storage.googleapis.com/acdb/floors/RoomTexFloorPaintWood01.png")</f>
        <v/>
      </c>
      <c r="C80" s="5" t="s">
        <v>36</v>
      </c>
      <c r="D80" s="5" t="s">
        <v>36</v>
      </c>
      <c r="E80" s="6">
        <v>1040.0</v>
      </c>
      <c r="F80" s="6">
        <v>260.0</v>
      </c>
      <c r="G80" s="5" t="s">
        <v>96</v>
      </c>
      <c r="H80" s="5" t="s">
        <v>96</v>
      </c>
      <c r="I80" s="5" t="s">
        <v>59</v>
      </c>
      <c r="J80" s="5"/>
      <c r="K80" s="6" t="s">
        <v>42</v>
      </c>
      <c r="L80" s="5" t="s">
        <v>61</v>
      </c>
      <c r="M80" s="5" t="s">
        <v>99</v>
      </c>
      <c r="N80" s="20" t="s">
        <v>44</v>
      </c>
      <c r="O80" s="20" t="s">
        <v>3012</v>
      </c>
      <c r="P80" s="5" t="s">
        <v>64</v>
      </c>
      <c r="Q80" s="5" t="s">
        <v>4362</v>
      </c>
      <c r="R80" s="6">
        <v>5058.0</v>
      </c>
    </row>
    <row r="81" ht="56.25" customHeight="1">
      <c r="A81" s="5" t="s">
        <v>4363</v>
      </c>
      <c r="B81" s="6" t="str">
        <f>IMAGE("https://storage.googleapis.com/acdb/floors/RoomTexFloorHempTile00.png")</f>
        <v/>
      </c>
      <c r="C81" s="5" t="s">
        <v>36</v>
      </c>
      <c r="D81" s="5" t="s">
        <v>36</v>
      </c>
      <c r="E81" s="6">
        <v>860.0</v>
      </c>
      <c r="F81" s="6">
        <v>215.0</v>
      </c>
      <c r="G81" s="5" t="s">
        <v>57</v>
      </c>
      <c r="H81" s="5" t="s">
        <v>57</v>
      </c>
      <c r="I81" s="5" t="s">
        <v>59</v>
      </c>
      <c r="J81" s="5"/>
      <c r="K81" s="6" t="s">
        <v>42</v>
      </c>
      <c r="L81" s="5" t="s">
        <v>266</v>
      </c>
      <c r="M81" s="5" t="s">
        <v>62</v>
      </c>
      <c r="N81" s="20" t="s">
        <v>44</v>
      </c>
      <c r="O81" s="20" t="s">
        <v>4003</v>
      </c>
      <c r="P81" s="5" t="s">
        <v>64</v>
      </c>
      <c r="Q81" s="5" t="s">
        <v>4366</v>
      </c>
      <c r="R81" s="6">
        <v>4972.0</v>
      </c>
    </row>
    <row r="82" ht="56.25" customHeight="1">
      <c r="A82" s="5" t="s">
        <v>4367</v>
      </c>
      <c r="B82" s="6" t="str">
        <f>IMAGE("https://storage.googleapis.com/acdb/floors/RoomTexFloorHighway00.png")</f>
        <v/>
      </c>
      <c r="C82" s="5" t="s">
        <v>36</v>
      </c>
      <c r="D82" s="5" t="s">
        <v>36</v>
      </c>
      <c r="E82" s="6">
        <v>3000.0</v>
      </c>
      <c r="F82" s="6">
        <v>750.0</v>
      </c>
      <c r="G82" s="5" t="s">
        <v>95</v>
      </c>
      <c r="H82" s="5" t="s">
        <v>38</v>
      </c>
      <c r="I82" s="5" t="s">
        <v>2800</v>
      </c>
      <c r="J82" s="5"/>
      <c r="K82" s="6" t="s">
        <v>42</v>
      </c>
      <c r="L82" s="5" t="s">
        <v>141</v>
      </c>
      <c r="M82" s="5" t="s">
        <v>44</v>
      </c>
      <c r="N82" s="20" t="s">
        <v>44</v>
      </c>
      <c r="O82" s="20" t="s">
        <v>4173</v>
      </c>
      <c r="P82" s="5" t="s">
        <v>48</v>
      </c>
      <c r="Q82" s="5" t="s">
        <v>4369</v>
      </c>
      <c r="R82" s="6">
        <v>5237.0</v>
      </c>
    </row>
    <row r="83" ht="56.25" customHeight="1">
      <c r="A83" s="5" t="s">
        <v>4370</v>
      </c>
      <c r="B83" s="6" t="str">
        <f>IMAGE("https://storage.googleapis.com/acdb/floors/RoomTexFloorHoney00.png")</f>
        <v/>
      </c>
      <c r="C83" s="5" t="s">
        <v>36</v>
      </c>
      <c r="D83" s="5" t="s">
        <v>35</v>
      </c>
      <c r="E83" s="6" t="s">
        <v>37</v>
      </c>
      <c r="F83" s="6">
        <v>3000.0</v>
      </c>
      <c r="G83" s="5" t="s">
        <v>114</v>
      </c>
      <c r="H83" s="5" t="s">
        <v>114</v>
      </c>
      <c r="I83" s="5" t="s">
        <v>41</v>
      </c>
      <c r="J83" s="5"/>
      <c r="K83" s="6" t="s">
        <v>42</v>
      </c>
      <c r="L83" s="5" t="s">
        <v>61</v>
      </c>
      <c r="M83" s="5" t="s">
        <v>141</v>
      </c>
      <c r="N83" s="20" t="s">
        <v>44</v>
      </c>
      <c r="O83" s="20" t="s">
        <v>4373</v>
      </c>
      <c r="P83" s="5" t="s">
        <v>48</v>
      </c>
      <c r="Q83" s="5" t="s">
        <v>4374</v>
      </c>
      <c r="R83" s="6">
        <v>4999.0</v>
      </c>
    </row>
    <row r="84" ht="56.25" customHeight="1">
      <c r="A84" s="5" t="s">
        <v>4376</v>
      </c>
      <c r="B84" s="6" t="str">
        <f>IMAGE("https://storage.googleapis.com/acdb/floors/RoomSpFloorIce00.png")</f>
        <v/>
      </c>
      <c r="C84" s="5" t="s">
        <v>35</v>
      </c>
      <c r="D84" s="5" t="s">
        <v>35</v>
      </c>
      <c r="E84" s="6" t="s">
        <v>37</v>
      </c>
      <c r="F84" s="6">
        <v>8200.0</v>
      </c>
      <c r="G84" s="5" t="s">
        <v>83</v>
      </c>
      <c r="H84" s="5" t="s">
        <v>83</v>
      </c>
      <c r="I84" s="5" t="s">
        <v>1891</v>
      </c>
      <c r="J84" s="5" t="s">
        <v>1893</v>
      </c>
      <c r="K84" s="6" t="s">
        <v>42</v>
      </c>
      <c r="L84" s="5" t="s">
        <v>1894</v>
      </c>
      <c r="M84" s="5" t="s">
        <v>141</v>
      </c>
      <c r="N84" s="20" t="s">
        <v>1895</v>
      </c>
      <c r="O84" s="20" t="s">
        <v>4145</v>
      </c>
      <c r="P84" s="5" t="s">
        <v>48</v>
      </c>
      <c r="Q84" s="5" t="s">
        <v>4379</v>
      </c>
      <c r="R84" s="6">
        <v>5516.0</v>
      </c>
    </row>
    <row r="85" ht="56.25" customHeight="1">
      <c r="A85" s="5" t="s">
        <v>4380</v>
      </c>
      <c r="B85" s="6" t="str">
        <f>IMAGE("https://storage.googleapis.com/acdb/floors/RoomSpFloorIceFloe00.png")</f>
        <v/>
      </c>
      <c r="C85" s="5" t="s">
        <v>35</v>
      </c>
      <c r="D85" s="5" t="s">
        <v>35</v>
      </c>
      <c r="E85" s="6" t="s">
        <v>37</v>
      </c>
      <c r="F85" s="6">
        <v>4000.0</v>
      </c>
      <c r="G85" s="5" t="s">
        <v>57</v>
      </c>
      <c r="H85" s="5" t="s">
        <v>83</v>
      </c>
      <c r="I85" s="5" t="s">
        <v>41</v>
      </c>
      <c r="J85" s="5" t="s">
        <v>2176</v>
      </c>
      <c r="K85" s="6" t="s">
        <v>42</v>
      </c>
      <c r="L85" s="5" t="s">
        <v>1894</v>
      </c>
      <c r="M85" s="5" t="s">
        <v>44</v>
      </c>
      <c r="N85" s="20" t="s">
        <v>44</v>
      </c>
      <c r="O85" s="20" t="s">
        <v>4145</v>
      </c>
      <c r="P85" s="5" t="s">
        <v>48</v>
      </c>
      <c r="Q85" s="5" t="s">
        <v>4383</v>
      </c>
      <c r="R85" s="6">
        <v>5253.0</v>
      </c>
    </row>
    <row r="86" ht="56.25" customHeight="1">
      <c r="A86" s="5" t="s">
        <v>4384</v>
      </c>
      <c r="B86" s="6" t="str">
        <f>IMAGE("https://storage.googleapis.com/acdb/floors/RoomTexFloorDynasty00.png")</f>
        <v/>
      </c>
      <c r="C86" s="5" t="s">
        <v>36</v>
      </c>
      <c r="D86" s="5" t="s">
        <v>36</v>
      </c>
      <c r="E86" s="6">
        <v>3000.0</v>
      </c>
      <c r="F86" s="6">
        <v>750.0</v>
      </c>
      <c r="G86" s="5" t="s">
        <v>57</v>
      </c>
      <c r="H86" s="5" t="s">
        <v>95</v>
      </c>
      <c r="I86" s="5" t="s">
        <v>2800</v>
      </c>
      <c r="J86" s="5"/>
      <c r="K86" s="6" t="s">
        <v>42</v>
      </c>
      <c r="L86" s="5" t="s">
        <v>116</v>
      </c>
      <c r="M86" s="5" t="s">
        <v>44</v>
      </c>
      <c r="N86" s="20" t="s">
        <v>44</v>
      </c>
      <c r="O86" s="20" t="s">
        <v>4318</v>
      </c>
      <c r="P86" s="5" t="s">
        <v>48</v>
      </c>
      <c r="Q86" s="5" t="s">
        <v>4387</v>
      </c>
      <c r="R86" s="6">
        <v>5012.0</v>
      </c>
    </row>
    <row r="87" ht="56.25" customHeight="1">
      <c r="A87" s="5" t="s">
        <v>4388</v>
      </c>
      <c r="B87" s="6" t="str">
        <f>IMAGE("https://storage.googleapis.com/acdb/floors/RoomTexFloorJointMat00.png")</f>
        <v/>
      </c>
      <c r="C87" s="5" t="s">
        <v>36</v>
      </c>
      <c r="D87" s="5" t="s">
        <v>36</v>
      </c>
      <c r="E87" s="6">
        <v>1050.0</v>
      </c>
      <c r="F87" s="6">
        <v>262.0</v>
      </c>
      <c r="G87" s="5" t="s">
        <v>38</v>
      </c>
      <c r="H87" s="5" t="s">
        <v>38</v>
      </c>
      <c r="I87" s="5" t="s">
        <v>59</v>
      </c>
      <c r="J87" s="5"/>
      <c r="K87" s="6" t="s">
        <v>42</v>
      </c>
      <c r="L87" s="5" t="s">
        <v>130</v>
      </c>
      <c r="M87" s="5" t="s">
        <v>99</v>
      </c>
      <c r="N87" s="20" t="s">
        <v>44</v>
      </c>
      <c r="O87" s="20" t="s">
        <v>4008</v>
      </c>
      <c r="P87" s="5" t="s">
        <v>64</v>
      </c>
      <c r="Q87" s="5" t="s">
        <v>4390</v>
      </c>
      <c r="R87" s="6">
        <v>4955.0</v>
      </c>
    </row>
    <row r="88" ht="56.25" customHeight="1">
      <c r="A88" s="5" t="s">
        <v>4391</v>
      </c>
      <c r="B88" s="6" t="str">
        <f>IMAGE("https://storage.googleapis.com/acdb/floors/RoomTexFloorJungle00.png")</f>
        <v/>
      </c>
      <c r="C88" s="5" t="s">
        <v>36</v>
      </c>
      <c r="D88" s="5" t="s">
        <v>35</v>
      </c>
      <c r="E88" s="6" t="s">
        <v>37</v>
      </c>
      <c r="F88" s="6">
        <v>2200.0</v>
      </c>
      <c r="G88" s="5" t="s">
        <v>96</v>
      </c>
      <c r="H88" s="5" t="s">
        <v>96</v>
      </c>
      <c r="I88" s="5" t="s">
        <v>41</v>
      </c>
      <c r="J88" s="5"/>
      <c r="K88" s="6" t="s">
        <v>42</v>
      </c>
      <c r="L88" s="5" t="s">
        <v>172</v>
      </c>
      <c r="M88" s="5" t="s">
        <v>141</v>
      </c>
      <c r="N88" s="20" t="s">
        <v>44</v>
      </c>
      <c r="O88" s="20" t="s">
        <v>4029</v>
      </c>
      <c r="P88" s="5" t="s">
        <v>48</v>
      </c>
      <c r="Q88" s="5" t="s">
        <v>4395</v>
      </c>
      <c r="R88" s="6">
        <v>5515.0</v>
      </c>
    </row>
    <row r="89" ht="56.25" customHeight="1">
      <c r="A89" s="5" t="s">
        <v>4396</v>
      </c>
      <c r="B89" s="6" t="str">
        <f>IMAGE("https://storage.googleapis.com/acdb/floors/RoomTexFloorKitschTile00.png")</f>
        <v/>
      </c>
      <c r="C89" s="5" t="s">
        <v>36</v>
      </c>
      <c r="D89" s="5" t="s">
        <v>36</v>
      </c>
      <c r="E89" s="6">
        <v>1280.0</v>
      </c>
      <c r="F89" s="6">
        <v>320.0</v>
      </c>
      <c r="G89" s="5" t="s">
        <v>69</v>
      </c>
      <c r="H89" s="5" t="s">
        <v>57</v>
      </c>
      <c r="I89" s="5" t="s">
        <v>59</v>
      </c>
      <c r="J89" s="5"/>
      <c r="K89" s="6" t="s">
        <v>42</v>
      </c>
      <c r="L89" s="5" t="s">
        <v>465</v>
      </c>
      <c r="M89" s="5" t="s">
        <v>44</v>
      </c>
      <c r="N89" s="20" t="s">
        <v>44</v>
      </c>
      <c r="O89" s="20" t="s">
        <v>4003</v>
      </c>
      <c r="P89" s="5" t="s">
        <v>64</v>
      </c>
      <c r="Q89" s="5" t="s">
        <v>4397</v>
      </c>
      <c r="R89" s="6">
        <v>5076.0</v>
      </c>
    </row>
    <row r="90" ht="56.25" customHeight="1">
      <c r="A90" s="5" t="s">
        <v>4398</v>
      </c>
      <c r="B90" s="6" t="str">
        <f>IMAGE("https://storage.googleapis.com/acdb/floors/RoomSpFloorVolcano00.png")</f>
        <v/>
      </c>
      <c r="C90" s="5" t="s">
        <v>35</v>
      </c>
      <c r="D90" s="5" t="s">
        <v>36</v>
      </c>
      <c r="E90" s="6">
        <v>3000.0</v>
      </c>
      <c r="F90" s="6">
        <v>750.0</v>
      </c>
      <c r="G90" s="5" t="s">
        <v>54</v>
      </c>
      <c r="H90" s="5" t="s">
        <v>142</v>
      </c>
      <c r="I90" s="5" t="s">
        <v>2800</v>
      </c>
      <c r="J90" s="5"/>
      <c r="K90" s="6" t="s">
        <v>42</v>
      </c>
      <c r="L90" s="5" t="s">
        <v>732</v>
      </c>
      <c r="M90" s="5" t="s">
        <v>44</v>
      </c>
      <c r="N90" s="20" t="s">
        <v>44</v>
      </c>
      <c r="O90" s="20" t="s">
        <v>4290</v>
      </c>
      <c r="P90" s="5" t="s">
        <v>48</v>
      </c>
      <c r="Q90" s="5" t="s">
        <v>4401</v>
      </c>
      <c r="R90" s="6">
        <v>5274.0</v>
      </c>
    </row>
    <row r="91" ht="56.25" customHeight="1">
      <c r="A91" s="5" t="s">
        <v>4402</v>
      </c>
      <c r="B91" s="6" t="str">
        <f>IMAGE("https://storage.googleapis.com/acdb/floors/RoomTexFloorAnimal00.png")</f>
        <v/>
      </c>
      <c r="C91" s="5" t="s">
        <v>36</v>
      </c>
      <c r="D91" s="5" t="s">
        <v>36</v>
      </c>
      <c r="E91" s="6">
        <v>1300.0</v>
      </c>
      <c r="F91" s="6">
        <v>325.0</v>
      </c>
      <c r="G91" s="5" t="s">
        <v>142</v>
      </c>
      <c r="H91" s="5" t="s">
        <v>39</v>
      </c>
      <c r="I91" s="5" t="s">
        <v>59</v>
      </c>
      <c r="J91" s="5"/>
      <c r="K91" s="6" t="s">
        <v>42</v>
      </c>
      <c r="L91" s="5" t="s">
        <v>465</v>
      </c>
      <c r="M91" s="5" t="s">
        <v>61</v>
      </c>
      <c r="N91" s="20" t="s">
        <v>44</v>
      </c>
      <c r="O91" s="20" t="s">
        <v>4309</v>
      </c>
      <c r="P91" s="5" t="s">
        <v>64</v>
      </c>
      <c r="Q91" s="5" t="s">
        <v>4404</v>
      </c>
      <c r="R91" s="6">
        <v>4959.0</v>
      </c>
    </row>
    <row r="92" ht="56.25" customHeight="1">
      <c r="A92" s="5" t="s">
        <v>4405</v>
      </c>
      <c r="B92" s="6" t="str">
        <f>IMAGE("https://storage.googleapis.com/acdb/floors/RoomTexFloorHerringbone00.png")</f>
        <v/>
      </c>
      <c r="C92" s="5" t="s">
        <v>36</v>
      </c>
      <c r="D92" s="5" t="s">
        <v>36</v>
      </c>
      <c r="E92" s="6">
        <v>1200.0</v>
      </c>
      <c r="F92" s="6">
        <v>300.0</v>
      </c>
      <c r="G92" s="5" t="s">
        <v>38</v>
      </c>
      <c r="H92" s="5" t="s">
        <v>38</v>
      </c>
      <c r="I92" s="5" t="s">
        <v>59</v>
      </c>
      <c r="J92" s="5"/>
      <c r="K92" s="6" t="s">
        <v>42</v>
      </c>
      <c r="L92" s="5" t="s">
        <v>90</v>
      </c>
      <c r="M92" s="5" t="s">
        <v>62</v>
      </c>
      <c r="N92" s="20" t="s">
        <v>44</v>
      </c>
      <c r="O92" s="20" t="s">
        <v>3096</v>
      </c>
      <c r="P92" s="5" t="s">
        <v>64</v>
      </c>
      <c r="Q92" s="5" t="s">
        <v>4407</v>
      </c>
      <c r="R92" s="6">
        <v>5061.0</v>
      </c>
    </row>
    <row r="93" ht="56.25" customHeight="1">
      <c r="A93" s="5" t="s">
        <v>4408</v>
      </c>
      <c r="B93" s="6" t="str">
        <f>IMAGE("https://storage.googleapis.com/acdb/floors/RoomTexFloorCountry00.png")</f>
        <v/>
      </c>
      <c r="C93" s="5" t="s">
        <v>36</v>
      </c>
      <c r="D93" s="5" t="s">
        <v>36</v>
      </c>
      <c r="E93" s="6">
        <v>1560.0</v>
      </c>
      <c r="F93" s="6">
        <v>390.0</v>
      </c>
      <c r="G93" s="5" t="s">
        <v>38</v>
      </c>
      <c r="H93" s="5" t="s">
        <v>39</v>
      </c>
      <c r="I93" s="5" t="s">
        <v>59</v>
      </c>
      <c r="J93" s="5"/>
      <c r="K93" s="6" t="s">
        <v>42</v>
      </c>
      <c r="L93" s="5" t="s">
        <v>90</v>
      </c>
      <c r="M93" s="5" t="s">
        <v>62</v>
      </c>
      <c r="N93" s="20" t="s">
        <v>44</v>
      </c>
      <c r="O93" s="20" t="s">
        <v>2902</v>
      </c>
      <c r="P93" s="5" t="s">
        <v>64</v>
      </c>
      <c r="Q93" s="5" t="s">
        <v>4411</v>
      </c>
      <c r="R93" s="6">
        <v>5022.0</v>
      </c>
    </row>
    <row r="94" ht="56.25" customHeight="1">
      <c r="A94" s="5" t="s">
        <v>4412</v>
      </c>
      <c r="B94" s="6" t="str">
        <f>IMAGE("https://storage.googleapis.com/acdb/floors/RoomTexFloorSimpleParquet00.png")</f>
        <v/>
      </c>
      <c r="C94" s="5" t="s">
        <v>36</v>
      </c>
      <c r="D94" s="5" t="s">
        <v>36</v>
      </c>
      <c r="E94" s="6">
        <v>1500.0</v>
      </c>
      <c r="F94" s="6">
        <v>375.0</v>
      </c>
      <c r="G94" s="5" t="s">
        <v>38</v>
      </c>
      <c r="H94" s="5" t="s">
        <v>38</v>
      </c>
      <c r="I94" s="5" t="s">
        <v>59</v>
      </c>
      <c r="J94" s="5"/>
      <c r="K94" s="6" t="s">
        <v>42</v>
      </c>
      <c r="L94" s="5" t="s">
        <v>90</v>
      </c>
      <c r="M94" s="5" t="s">
        <v>62</v>
      </c>
      <c r="N94" s="20" t="s">
        <v>44</v>
      </c>
      <c r="O94" s="20" t="s">
        <v>4021</v>
      </c>
      <c r="P94" s="5" t="s">
        <v>64</v>
      </c>
      <c r="Q94" s="5" t="s">
        <v>4414</v>
      </c>
      <c r="R94" s="6">
        <v>4991.0</v>
      </c>
    </row>
    <row r="95" ht="56.25" customHeight="1">
      <c r="A95" s="5" t="s">
        <v>4415</v>
      </c>
      <c r="B95" s="6" t="str">
        <f>IMAGE("https://storage.googleapis.com/acdb/floors/RoomTexFloorLobby00.png")</f>
        <v/>
      </c>
      <c r="C95" s="5" t="s">
        <v>36</v>
      </c>
      <c r="D95" s="5" t="s">
        <v>36</v>
      </c>
      <c r="E95" s="6">
        <v>3000.0</v>
      </c>
      <c r="F95" s="6">
        <v>750.0</v>
      </c>
      <c r="G95" s="5" t="s">
        <v>106</v>
      </c>
      <c r="H95" s="5" t="s">
        <v>54</v>
      </c>
      <c r="I95" s="5" t="s">
        <v>2800</v>
      </c>
      <c r="J95" s="5"/>
      <c r="K95" s="6" t="s">
        <v>42</v>
      </c>
      <c r="L95" s="5" t="s">
        <v>141</v>
      </c>
      <c r="M95" s="5" t="s">
        <v>465</v>
      </c>
      <c r="N95" s="20" t="s">
        <v>44</v>
      </c>
      <c r="O95" s="20" t="s">
        <v>4008</v>
      </c>
      <c r="P95" s="5" t="s">
        <v>48</v>
      </c>
      <c r="Q95" s="5" t="s">
        <v>4418</v>
      </c>
      <c r="R95" s="6">
        <v>5034.0</v>
      </c>
    </row>
    <row r="96" ht="56.25" customHeight="1">
      <c r="A96" s="5" t="s">
        <v>4419</v>
      </c>
      <c r="B96" s="6" t="str">
        <f>IMAGE("https://storage.googleapis.com/acdb/floors/RoomTexFloorLunar00.png")</f>
        <v/>
      </c>
      <c r="C96" s="5" t="s">
        <v>36</v>
      </c>
      <c r="D96" s="5" t="s">
        <v>35</v>
      </c>
      <c r="E96" s="6" t="s">
        <v>37</v>
      </c>
      <c r="F96" s="6">
        <v>7500.0</v>
      </c>
      <c r="G96" s="5" t="s">
        <v>57</v>
      </c>
      <c r="H96" s="5" t="s">
        <v>95</v>
      </c>
      <c r="I96" s="5" t="s">
        <v>41</v>
      </c>
      <c r="J96" s="5"/>
      <c r="K96" s="6" t="s">
        <v>42</v>
      </c>
      <c r="L96" s="5" t="s">
        <v>401</v>
      </c>
      <c r="M96" s="5" t="s">
        <v>44</v>
      </c>
      <c r="N96" s="20" t="s">
        <v>349</v>
      </c>
      <c r="O96" s="20" t="s">
        <v>4421</v>
      </c>
      <c r="P96" s="5" t="s">
        <v>48</v>
      </c>
      <c r="Q96" s="5" t="s">
        <v>4422</v>
      </c>
      <c r="R96" s="6">
        <v>4968.0</v>
      </c>
    </row>
    <row r="97" ht="56.25" customHeight="1">
      <c r="A97" s="5" t="s">
        <v>4424</v>
      </c>
      <c r="B97" s="6" t="str">
        <f>IMAGE("https://storage.googleapis.com/acdb/floors/RoomTexFloorFishPop00.png")</f>
        <v/>
      </c>
      <c r="C97" s="5" t="s">
        <v>36</v>
      </c>
      <c r="D97" s="5" t="s">
        <v>36</v>
      </c>
      <c r="E97" s="6">
        <v>2020.0</v>
      </c>
      <c r="F97" s="6">
        <v>505.0</v>
      </c>
      <c r="G97" s="5" t="s">
        <v>68</v>
      </c>
      <c r="H97" s="5" t="s">
        <v>68</v>
      </c>
      <c r="I97" s="5" t="s">
        <v>59</v>
      </c>
      <c r="J97" s="5"/>
      <c r="K97" s="6" t="s">
        <v>42</v>
      </c>
      <c r="L97" s="5" t="s">
        <v>99</v>
      </c>
      <c r="M97" s="5" t="s">
        <v>61</v>
      </c>
      <c r="N97" s="20" t="s">
        <v>44</v>
      </c>
      <c r="O97" s="20" t="s">
        <v>4008</v>
      </c>
      <c r="P97" s="5" t="s">
        <v>64</v>
      </c>
      <c r="Q97" s="5" t="s">
        <v>4426</v>
      </c>
      <c r="R97" s="6">
        <v>5024.0</v>
      </c>
    </row>
    <row r="98" ht="56.25" customHeight="1">
      <c r="A98" s="5" t="s">
        <v>4428</v>
      </c>
      <c r="B98" s="6" t="str">
        <f>IMAGE("https://storage.googleapis.com/acdb/floors/RoomTexFloorDot01.png")</f>
        <v/>
      </c>
      <c r="C98" s="5" t="s">
        <v>36</v>
      </c>
      <c r="D98" s="5" t="s">
        <v>36</v>
      </c>
      <c r="E98" s="6">
        <v>800.0</v>
      </c>
      <c r="F98" s="6">
        <v>200.0</v>
      </c>
      <c r="G98" s="5" t="s">
        <v>96</v>
      </c>
      <c r="H98" s="5" t="s">
        <v>96</v>
      </c>
      <c r="I98" s="5" t="s">
        <v>59</v>
      </c>
      <c r="J98" s="5"/>
      <c r="K98" s="6" t="s">
        <v>42</v>
      </c>
      <c r="L98" s="5" t="s">
        <v>61</v>
      </c>
      <c r="M98" s="5" t="s">
        <v>99</v>
      </c>
      <c r="N98" s="20" t="s">
        <v>44</v>
      </c>
      <c r="O98" s="20" t="s">
        <v>3478</v>
      </c>
      <c r="P98" s="5" t="s">
        <v>64</v>
      </c>
      <c r="Q98" s="5" t="s">
        <v>4429</v>
      </c>
      <c r="R98" s="6">
        <v>5026.0</v>
      </c>
    </row>
    <row r="99" ht="56.25" customHeight="1">
      <c r="A99" s="5" t="s">
        <v>4430</v>
      </c>
      <c r="B99" s="6" t="str">
        <f>IMAGE("https://storage.googleapis.com/acdb/floors/RoomTexFloorMixwood00.png")</f>
        <v/>
      </c>
      <c r="C99" s="5" t="s">
        <v>36</v>
      </c>
      <c r="D99" s="5" t="s">
        <v>36</v>
      </c>
      <c r="E99" s="6">
        <v>1280.0</v>
      </c>
      <c r="F99" s="6">
        <v>320.0</v>
      </c>
      <c r="G99" s="5" t="s">
        <v>39</v>
      </c>
      <c r="H99" s="5" t="s">
        <v>39</v>
      </c>
      <c r="I99" s="5" t="s">
        <v>59</v>
      </c>
      <c r="J99" s="5"/>
      <c r="K99" s="6" t="s">
        <v>42</v>
      </c>
      <c r="L99" s="5" t="s">
        <v>90</v>
      </c>
      <c r="M99" s="5" t="s">
        <v>99</v>
      </c>
      <c r="N99" s="20" t="s">
        <v>44</v>
      </c>
      <c r="O99" s="20" t="s">
        <v>4050</v>
      </c>
      <c r="P99" s="5" t="s">
        <v>64</v>
      </c>
      <c r="Q99" s="5" t="s">
        <v>4433</v>
      </c>
      <c r="R99" s="6">
        <v>5044.0</v>
      </c>
    </row>
    <row r="100" ht="56.25" customHeight="1">
      <c r="A100" s="5" t="s">
        <v>4434</v>
      </c>
      <c r="B100" s="6" t="str">
        <f>IMAGE("https://storage.googleapis.com/acdb/floors/RoomTexFloorBill00.png")</f>
        <v/>
      </c>
      <c r="C100" s="5" t="s">
        <v>36</v>
      </c>
      <c r="D100" s="5" t="s">
        <v>35</v>
      </c>
      <c r="E100" s="6" t="s">
        <v>37</v>
      </c>
      <c r="F100" s="6">
        <v>25000.0</v>
      </c>
      <c r="G100" s="5" t="s">
        <v>57</v>
      </c>
      <c r="H100" s="5" t="s">
        <v>57</v>
      </c>
      <c r="I100" s="5" t="s">
        <v>41</v>
      </c>
      <c r="J100" s="5"/>
      <c r="K100" s="6" t="s">
        <v>42</v>
      </c>
      <c r="L100" s="5" t="s">
        <v>116</v>
      </c>
      <c r="M100" s="5" t="s">
        <v>44</v>
      </c>
      <c r="N100" s="20" t="s">
        <v>44</v>
      </c>
      <c r="O100" s="20" t="s">
        <v>4300</v>
      </c>
      <c r="P100" s="5" t="s">
        <v>48</v>
      </c>
      <c r="Q100" s="5" t="s">
        <v>4438</v>
      </c>
      <c r="R100" s="6">
        <v>4986.0</v>
      </c>
    </row>
    <row r="101" ht="56.25" customHeight="1">
      <c r="A101" s="5" t="s">
        <v>4439</v>
      </c>
      <c r="B101" s="6" t="str">
        <f>IMAGE("https://storage.googleapis.com/acdb/floors/RoomTexFloorDot00.png")</f>
        <v/>
      </c>
      <c r="C101" s="5" t="s">
        <v>36</v>
      </c>
      <c r="D101" s="5" t="s">
        <v>36</v>
      </c>
      <c r="E101" s="6">
        <v>800.0</v>
      </c>
      <c r="F101" s="6">
        <v>200.0</v>
      </c>
      <c r="G101" s="5" t="s">
        <v>95</v>
      </c>
      <c r="H101" s="5" t="s">
        <v>57</v>
      </c>
      <c r="I101" s="5" t="s">
        <v>59</v>
      </c>
      <c r="J101" s="5"/>
      <c r="K101" s="6" t="s">
        <v>42</v>
      </c>
      <c r="L101" s="5" t="s">
        <v>61</v>
      </c>
      <c r="M101" s="5" t="s">
        <v>99</v>
      </c>
      <c r="N101" s="20" t="s">
        <v>44</v>
      </c>
      <c r="O101" s="20" t="s">
        <v>3478</v>
      </c>
      <c r="P101" s="5" t="s">
        <v>64</v>
      </c>
      <c r="Q101" s="5" t="s">
        <v>4442</v>
      </c>
      <c r="R101" s="6">
        <v>5023.0</v>
      </c>
    </row>
    <row r="102" ht="56.25" customHeight="1">
      <c r="A102" s="5" t="s">
        <v>4443</v>
      </c>
      <c r="B102" s="6" t="str">
        <f>IMAGE("https://storage.googleapis.com/acdb/floors/RoomTexFloorPanel00.png")</f>
        <v/>
      </c>
      <c r="C102" s="5" t="s">
        <v>36</v>
      </c>
      <c r="D102" s="5" t="s">
        <v>36</v>
      </c>
      <c r="E102" s="6">
        <v>1620.0</v>
      </c>
      <c r="F102" s="6">
        <v>405.0</v>
      </c>
      <c r="G102" s="5" t="s">
        <v>54</v>
      </c>
      <c r="H102" s="5" t="s">
        <v>57</v>
      </c>
      <c r="I102" s="5" t="s">
        <v>59</v>
      </c>
      <c r="J102" s="5"/>
      <c r="K102" s="6" t="s">
        <v>42</v>
      </c>
      <c r="L102" s="5" t="s">
        <v>202</v>
      </c>
      <c r="M102" s="5" t="s">
        <v>90</v>
      </c>
      <c r="N102" s="20" t="s">
        <v>44</v>
      </c>
      <c r="O102" s="20" t="s">
        <v>4161</v>
      </c>
      <c r="P102" s="5" t="s">
        <v>64</v>
      </c>
      <c r="Q102" s="5" t="s">
        <v>4444</v>
      </c>
      <c r="R102" s="6">
        <v>5067.0</v>
      </c>
    </row>
    <row r="103" ht="56.25" customHeight="1">
      <c r="A103" s="5" t="s">
        <v>4446</v>
      </c>
      <c r="B103" s="6" t="str">
        <f>IMAGE("https://storage.googleapis.com/acdb/floors/RoomTexFloorMoss00.png")</f>
        <v/>
      </c>
      <c r="C103" s="5" t="s">
        <v>36</v>
      </c>
      <c r="D103" s="5" t="s">
        <v>36</v>
      </c>
      <c r="E103" s="6">
        <v>3000.0</v>
      </c>
      <c r="F103" s="6">
        <v>750.0</v>
      </c>
      <c r="G103" s="5" t="s">
        <v>96</v>
      </c>
      <c r="H103" s="5" t="s">
        <v>96</v>
      </c>
      <c r="I103" s="5" t="s">
        <v>2800</v>
      </c>
      <c r="J103" s="5"/>
      <c r="K103" s="6" t="s">
        <v>42</v>
      </c>
      <c r="L103" s="5" t="s">
        <v>266</v>
      </c>
      <c r="M103" s="5" t="s">
        <v>172</v>
      </c>
      <c r="N103" s="20" t="s">
        <v>44</v>
      </c>
      <c r="O103" s="20" t="s">
        <v>4029</v>
      </c>
      <c r="P103" s="5" t="s">
        <v>48</v>
      </c>
      <c r="Q103" s="5" t="s">
        <v>4448</v>
      </c>
      <c r="R103" s="6">
        <v>5234.0</v>
      </c>
    </row>
    <row r="104" ht="56.25" customHeight="1">
      <c r="A104" s="5" t="s">
        <v>4449</v>
      </c>
      <c r="B104" s="6" t="str">
        <f>IMAGE("https://storage.googleapis.com/acdb/floors/RoomTexFloorParquet00.png")</f>
        <v/>
      </c>
      <c r="C104" s="5" t="s">
        <v>36</v>
      </c>
      <c r="D104" s="5" t="s">
        <v>36</v>
      </c>
      <c r="E104" s="6">
        <v>1380.0</v>
      </c>
      <c r="F104" s="6">
        <v>345.0</v>
      </c>
      <c r="G104" s="5" t="s">
        <v>39</v>
      </c>
      <c r="H104" s="5" t="s">
        <v>38</v>
      </c>
      <c r="I104" s="5" t="s">
        <v>59</v>
      </c>
      <c r="J104" s="5"/>
      <c r="K104" s="6" t="s">
        <v>42</v>
      </c>
      <c r="L104" s="5" t="s">
        <v>130</v>
      </c>
      <c r="M104" s="5" t="s">
        <v>44</v>
      </c>
      <c r="N104" s="20" t="s">
        <v>44</v>
      </c>
      <c r="O104" s="20" t="s">
        <v>4239</v>
      </c>
      <c r="P104" s="5" t="s">
        <v>64</v>
      </c>
      <c r="Q104" s="5" t="s">
        <v>4453</v>
      </c>
      <c r="R104" s="6">
        <v>5033.0</v>
      </c>
    </row>
    <row r="105" ht="56.25" customHeight="1">
      <c r="A105" s="5" t="s">
        <v>4454</v>
      </c>
      <c r="B105" s="6" t="str">
        <f>IMAGE("https://storage.googleapis.com/acdb/floors/RoomTexFloorFirst00.png")</f>
        <v/>
      </c>
      <c r="C105" s="5" t="s">
        <v>36</v>
      </c>
      <c r="D105" s="5" t="s">
        <v>36</v>
      </c>
      <c r="E105" s="6">
        <v>24000.0</v>
      </c>
      <c r="F105" s="6">
        <v>6000.0</v>
      </c>
      <c r="G105" s="5" t="s">
        <v>39</v>
      </c>
      <c r="H105" s="5" t="s">
        <v>39</v>
      </c>
      <c r="I105" s="5" t="s">
        <v>2140</v>
      </c>
      <c r="J105" s="5"/>
      <c r="K105" s="6" t="s">
        <v>42</v>
      </c>
      <c r="L105" s="5" t="s">
        <v>130</v>
      </c>
      <c r="M105" s="5" t="s">
        <v>62</v>
      </c>
      <c r="N105" s="20" t="s">
        <v>44</v>
      </c>
      <c r="O105" s="20" t="s">
        <v>4050</v>
      </c>
      <c r="P105" s="5" t="s">
        <v>48</v>
      </c>
      <c r="Q105" s="5" t="s">
        <v>4456</v>
      </c>
      <c r="R105" s="6">
        <v>6005.0</v>
      </c>
    </row>
    <row r="106" ht="56.25" customHeight="1">
      <c r="A106" s="5" t="s">
        <v>4458</v>
      </c>
      <c r="B106" s="6" t="str">
        <f>IMAGE("https://storage.googleapis.com/acdb/floors/RoomSpFloorOasis00.png")</f>
        <v/>
      </c>
      <c r="C106" s="5" t="s">
        <v>35</v>
      </c>
      <c r="D106" s="5" t="s">
        <v>36</v>
      </c>
      <c r="E106" s="6">
        <v>3000.0</v>
      </c>
      <c r="F106" s="6">
        <v>750.0</v>
      </c>
      <c r="G106" s="5" t="s">
        <v>38</v>
      </c>
      <c r="H106" s="5" t="s">
        <v>83</v>
      </c>
      <c r="I106" s="5" t="s">
        <v>2800</v>
      </c>
      <c r="J106" s="5"/>
      <c r="K106" s="6" t="s">
        <v>42</v>
      </c>
      <c r="L106" s="5" t="s">
        <v>172</v>
      </c>
      <c r="M106" s="5" t="s">
        <v>696</v>
      </c>
      <c r="N106" s="20" t="s">
        <v>44</v>
      </c>
      <c r="O106" s="20" t="s">
        <v>4290</v>
      </c>
      <c r="P106" s="5" t="s">
        <v>48</v>
      </c>
      <c r="Q106" s="5" t="s">
        <v>4460</v>
      </c>
      <c r="R106" s="6">
        <v>5255.0</v>
      </c>
    </row>
    <row r="107" ht="56.25" customHeight="1">
      <c r="A107" s="5" t="s">
        <v>4461</v>
      </c>
      <c r="B107" s="6" t="str">
        <f>IMAGE("https://storage.googleapis.com/acdb/floors/RoomTexFloorMorocco03.png")</f>
        <v/>
      </c>
      <c r="C107" s="5" t="s">
        <v>36</v>
      </c>
      <c r="D107" s="5" t="s">
        <v>36</v>
      </c>
      <c r="E107" s="6">
        <v>2100.0</v>
      </c>
      <c r="F107" s="6">
        <v>525.0</v>
      </c>
      <c r="G107" s="5" t="s">
        <v>114</v>
      </c>
      <c r="H107" s="5" t="s">
        <v>39</v>
      </c>
      <c r="I107" s="5" t="s">
        <v>59</v>
      </c>
      <c r="J107" s="5"/>
      <c r="K107" s="6" t="s">
        <v>42</v>
      </c>
      <c r="L107" s="5" t="s">
        <v>288</v>
      </c>
      <c r="M107" s="5" t="s">
        <v>141</v>
      </c>
      <c r="N107" s="20" t="s">
        <v>44</v>
      </c>
      <c r="O107" s="20" t="s">
        <v>2909</v>
      </c>
      <c r="P107" s="5" t="s">
        <v>64</v>
      </c>
      <c r="Q107" s="5" t="s">
        <v>4463</v>
      </c>
      <c r="R107" s="6">
        <v>6928.0</v>
      </c>
    </row>
    <row r="108" ht="56.25" customHeight="1">
      <c r="A108" s="5" t="s">
        <v>4464</v>
      </c>
      <c r="B108" s="6" t="str">
        <f>IMAGE("https://storage.googleapis.com/acdb/floors/RoomTexFloorCamouflage03.png")</f>
        <v/>
      </c>
      <c r="C108" s="5" t="s">
        <v>36</v>
      </c>
      <c r="D108" s="5" t="s">
        <v>36</v>
      </c>
      <c r="E108" s="6">
        <v>1320.0</v>
      </c>
      <c r="F108" s="6">
        <v>330.0</v>
      </c>
      <c r="G108" s="5" t="s">
        <v>142</v>
      </c>
      <c r="H108" s="5" t="s">
        <v>142</v>
      </c>
      <c r="I108" s="5" t="s">
        <v>59</v>
      </c>
      <c r="J108" s="5"/>
      <c r="K108" s="6" t="s">
        <v>42</v>
      </c>
      <c r="L108" s="5" t="s">
        <v>465</v>
      </c>
      <c r="M108" s="5" t="s">
        <v>99</v>
      </c>
      <c r="N108" s="20" t="s">
        <v>44</v>
      </c>
      <c r="O108" s="20" t="s">
        <v>1499</v>
      </c>
      <c r="P108" s="5" t="s">
        <v>64</v>
      </c>
      <c r="Q108" s="5" t="s">
        <v>4467</v>
      </c>
      <c r="R108" s="6">
        <v>6845.0</v>
      </c>
    </row>
    <row r="109" ht="56.25" customHeight="1">
      <c r="A109" s="5" t="s">
        <v>4468</v>
      </c>
      <c r="B109" s="6" t="str">
        <f>IMAGE("https://storage.googleapis.com/acdb/floors/RoomTexFloorKitchen00.png")</f>
        <v/>
      </c>
      <c r="C109" s="5" t="s">
        <v>36</v>
      </c>
      <c r="D109" s="5" t="s">
        <v>36</v>
      </c>
      <c r="E109" s="6">
        <v>1540.0</v>
      </c>
      <c r="F109" s="6">
        <v>385.0</v>
      </c>
      <c r="G109" s="5" t="s">
        <v>142</v>
      </c>
      <c r="H109" s="5" t="s">
        <v>142</v>
      </c>
      <c r="I109" s="5" t="s">
        <v>59</v>
      </c>
      <c r="J109" s="5"/>
      <c r="K109" s="6" t="s">
        <v>42</v>
      </c>
      <c r="L109" s="5" t="s">
        <v>159</v>
      </c>
      <c r="M109" s="5" t="s">
        <v>62</v>
      </c>
      <c r="N109" s="20" t="s">
        <v>44</v>
      </c>
      <c r="O109" s="20" t="s">
        <v>4348</v>
      </c>
      <c r="P109" s="5" t="s">
        <v>64</v>
      </c>
      <c r="Q109" s="5" t="s">
        <v>4471</v>
      </c>
      <c r="R109" s="6">
        <v>5043.0</v>
      </c>
    </row>
    <row r="110" ht="56.25" customHeight="1">
      <c r="A110" s="5" t="s">
        <v>4473</v>
      </c>
      <c r="B110" s="6" t="str">
        <f>IMAGE("https://storage.googleapis.com/acdb/floors/RoomTexFloorAtelier00.png")</f>
        <v/>
      </c>
      <c r="C110" s="5" t="s">
        <v>36</v>
      </c>
      <c r="D110" s="5" t="s">
        <v>36</v>
      </c>
      <c r="E110" s="6">
        <v>3000.0</v>
      </c>
      <c r="F110" s="6">
        <v>750.0</v>
      </c>
      <c r="G110" s="5" t="s">
        <v>57</v>
      </c>
      <c r="H110" s="5" t="s">
        <v>58</v>
      </c>
      <c r="I110" s="5" t="s">
        <v>2800</v>
      </c>
      <c r="J110" s="5"/>
      <c r="K110" s="6" t="s">
        <v>42</v>
      </c>
      <c r="L110" s="5" t="s">
        <v>416</v>
      </c>
      <c r="M110" s="5" t="s">
        <v>141</v>
      </c>
      <c r="N110" s="20" t="s">
        <v>44</v>
      </c>
      <c r="O110" s="20" t="s">
        <v>4035</v>
      </c>
      <c r="P110" s="5" t="s">
        <v>48</v>
      </c>
      <c r="Q110" s="5" t="s">
        <v>4475</v>
      </c>
      <c r="R110" s="6">
        <v>4988.0</v>
      </c>
    </row>
    <row r="111" ht="56.25" customHeight="1">
      <c r="A111" s="5" t="s">
        <v>4476</v>
      </c>
      <c r="B111" s="6" t="str">
        <f>IMAGE("https://storage.googleapis.com/acdb/floors/RoomTexFloorPalace00.png")</f>
        <v/>
      </c>
      <c r="C111" s="5" t="s">
        <v>36</v>
      </c>
      <c r="D111" s="5" t="s">
        <v>36</v>
      </c>
      <c r="E111" s="6">
        <v>3000.0</v>
      </c>
      <c r="F111" s="6">
        <v>750.0</v>
      </c>
      <c r="G111" s="5" t="s">
        <v>57</v>
      </c>
      <c r="H111" s="5" t="s">
        <v>57</v>
      </c>
      <c r="I111" s="5" t="s">
        <v>2800</v>
      </c>
      <c r="J111" s="5"/>
      <c r="K111" s="6" t="s">
        <v>42</v>
      </c>
      <c r="L111" s="5" t="s">
        <v>116</v>
      </c>
      <c r="M111" s="5" t="s">
        <v>696</v>
      </c>
      <c r="N111" s="20" t="s">
        <v>44</v>
      </c>
      <c r="O111" s="20" t="s">
        <v>4318</v>
      </c>
      <c r="P111" s="5" t="s">
        <v>48</v>
      </c>
      <c r="Q111" s="5" t="s">
        <v>4479</v>
      </c>
      <c r="R111" s="6">
        <v>5051.0</v>
      </c>
    </row>
    <row r="112" ht="56.25" customHeight="1">
      <c r="A112" s="5" t="s">
        <v>4480</v>
      </c>
      <c r="B112" s="6" t="str">
        <f>IMAGE("https://storage.googleapis.com/acdb/floors/RoomTexFloorParking00.png")</f>
        <v/>
      </c>
      <c r="C112" s="5" t="s">
        <v>36</v>
      </c>
      <c r="D112" s="5" t="s">
        <v>36</v>
      </c>
      <c r="E112" s="6">
        <v>3000.0</v>
      </c>
      <c r="F112" s="6">
        <v>750.0</v>
      </c>
      <c r="G112" s="5" t="s">
        <v>54</v>
      </c>
      <c r="H112" s="5" t="s">
        <v>95</v>
      </c>
      <c r="I112" s="5" t="s">
        <v>2800</v>
      </c>
      <c r="J112" s="5"/>
      <c r="K112" s="6" t="s">
        <v>42</v>
      </c>
      <c r="L112" s="5" t="s">
        <v>141</v>
      </c>
      <c r="M112" s="5" t="s">
        <v>44</v>
      </c>
      <c r="N112" s="20" t="s">
        <v>44</v>
      </c>
      <c r="O112" s="20" t="s">
        <v>4173</v>
      </c>
      <c r="P112" s="5" t="s">
        <v>48</v>
      </c>
      <c r="Q112" s="5" t="s">
        <v>4481</v>
      </c>
      <c r="R112" s="6">
        <v>4997.0</v>
      </c>
    </row>
    <row r="113" ht="56.25" customHeight="1">
      <c r="A113" s="5" t="s">
        <v>4484</v>
      </c>
      <c r="B113" s="6" t="str">
        <f>IMAGE("https://storage.googleapis.com/acdb/floors/RoomTexFloorParty00.png")</f>
        <v/>
      </c>
      <c r="C113" s="5" t="s">
        <v>36</v>
      </c>
      <c r="D113" s="5" t="s">
        <v>36</v>
      </c>
      <c r="E113" s="6" t="s">
        <v>37</v>
      </c>
      <c r="F113" s="6">
        <v>370.0</v>
      </c>
      <c r="G113" s="5" t="s">
        <v>58</v>
      </c>
      <c r="H113" s="5" t="s">
        <v>95</v>
      </c>
      <c r="I113" s="5" t="s">
        <v>588</v>
      </c>
      <c r="J113" s="5"/>
      <c r="K113" s="6" t="s">
        <v>42</v>
      </c>
      <c r="L113" s="5" t="s">
        <v>465</v>
      </c>
      <c r="M113" s="5" t="s">
        <v>61</v>
      </c>
      <c r="N113" s="20" t="s">
        <v>44</v>
      </c>
      <c r="O113" s="20" t="s">
        <v>4300</v>
      </c>
      <c r="P113" s="5" t="s">
        <v>48</v>
      </c>
      <c r="Q113" s="5" t="s">
        <v>4485</v>
      </c>
      <c r="R113" s="6">
        <v>5241.0</v>
      </c>
    </row>
    <row r="114" ht="56.25" customHeight="1">
      <c r="A114" s="5" t="s">
        <v>4486</v>
      </c>
      <c r="B114" s="6" t="str">
        <f>IMAGE("https://storage.googleapis.com/acdb/floors/RoomTexFloorPuzzleMat00.png")</f>
        <v/>
      </c>
      <c r="C114" s="5" t="s">
        <v>36</v>
      </c>
      <c r="D114" s="5" t="s">
        <v>36</v>
      </c>
      <c r="E114" s="6">
        <v>1450.0</v>
      </c>
      <c r="F114" s="6">
        <v>362.0</v>
      </c>
      <c r="G114" s="5" t="s">
        <v>57</v>
      </c>
      <c r="H114" s="5" t="s">
        <v>57</v>
      </c>
      <c r="I114" s="5" t="s">
        <v>59</v>
      </c>
      <c r="J114" s="5"/>
      <c r="K114" s="6" t="s">
        <v>42</v>
      </c>
      <c r="L114" s="5" t="s">
        <v>61</v>
      </c>
      <c r="M114" s="5" t="s">
        <v>99</v>
      </c>
      <c r="N114" s="20" t="s">
        <v>44</v>
      </c>
      <c r="O114" s="20" t="s">
        <v>4157</v>
      </c>
      <c r="P114" s="5" t="s">
        <v>64</v>
      </c>
      <c r="Q114" s="5" t="s">
        <v>4491</v>
      </c>
      <c r="R114" s="6">
        <v>4956.0</v>
      </c>
    </row>
    <row r="115" ht="56.25" customHeight="1">
      <c r="A115" s="5" t="s">
        <v>4492</v>
      </c>
      <c r="B115" s="6" t="str">
        <f>IMAGE("https://storage.googleapis.com/acdb/floors/RoomTexFloorPatchworkTile00.png")</f>
        <v/>
      </c>
      <c r="C115" s="5" t="s">
        <v>36</v>
      </c>
      <c r="D115" s="5" t="s">
        <v>36</v>
      </c>
      <c r="E115" s="6">
        <v>2100.0</v>
      </c>
      <c r="F115" s="6">
        <v>525.0</v>
      </c>
      <c r="G115" s="5" t="s">
        <v>57</v>
      </c>
      <c r="H115" s="5" t="s">
        <v>57</v>
      </c>
      <c r="I115" s="5" t="s">
        <v>59</v>
      </c>
      <c r="J115" s="5"/>
      <c r="K115" s="6" t="s">
        <v>42</v>
      </c>
      <c r="L115" s="5" t="s">
        <v>116</v>
      </c>
      <c r="M115" s="5" t="s">
        <v>62</v>
      </c>
      <c r="N115" s="20" t="s">
        <v>44</v>
      </c>
      <c r="O115" s="20" t="s">
        <v>4003</v>
      </c>
      <c r="P115" s="5" t="s">
        <v>64</v>
      </c>
      <c r="Q115" s="5" t="s">
        <v>4494</v>
      </c>
      <c r="R115" s="6">
        <v>4995.0</v>
      </c>
    </row>
    <row r="116" ht="56.25" customHeight="1">
      <c r="A116" s="5" t="s">
        <v>4495</v>
      </c>
      <c r="B116" s="6" t="str">
        <f>IMAGE("https://storage.googleapis.com/acdb/floors/RoomTexFloorSimple00.png")</f>
        <v/>
      </c>
      <c r="C116" s="5" t="s">
        <v>36</v>
      </c>
      <c r="D116" s="5" t="s">
        <v>36</v>
      </c>
      <c r="E116" s="6">
        <v>2500.0</v>
      </c>
      <c r="F116" s="6">
        <v>625.0</v>
      </c>
      <c r="G116" s="5" t="s">
        <v>38</v>
      </c>
      <c r="H116" s="5" t="s">
        <v>38</v>
      </c>
      <c r="I116" s="5" t="s">
        <v>59</v>
      </c>
      <c r="J116" s="5"/>
      <c r="K116" s="6" t="s">
        <v>42</v>
      </c>
      <c r="L116" s="5" t="s">
        <v>90</v>
      </c>
      <c r="M116" s="5" t="s">
        <v>99</v>
      </c>
      <c r="N116" s="20" t="s">
        <v>44</v>
      </c>
      <c r="O116" s="20" t="s">
        <v>4050</v>
      </c>
      <c r="P116" s="5" t="s">
        <v>64</v>
      </c>
      <c r="Q116" s="5" t="s">
        <v>4499</v>
      </c>
      <c r="R116" s="6">
        <v>5019.0</v>
      </c>
    </row>
    <row r="117" ht="56.25" customHeight="1">
      <c r="A117" s="5" t="s">
        <v>4500</v>
      </c>
      <c r="B117" s="6" t="str">
        <f>IMAGE("https://storage.googleapis.com/acdb/floors/RoomTexFloorPaintWood02.png")</f>
        <v/>
      </c>
      <c r="C117" s="5" t="s">
        <v>36</v>
      </c>
      <c r="D117" s="5" t="s">
        <v>36</v>
      </c>
      <c r="E117" s="6">
        <v>1040.0</v>
      </c>
      <c r="F117" s="6">
        <v>260.0</v>
      </c>
      <c r="G117" s="5" t="s">
        <v>69</v>
      </c>
      <c r="H117" s="5" t="s">
        <v>69</v>
      </c>
      <c r="I117" s="5" t="s">
        <v>59</v>
      </c>
      <c r="J117" s="5"/>
      <c r="K117" s="6" t="s">
        <v>42</v>
      </c>
      <c r="L117" s="5" t="s">
        <v>61</v>
      </c>
      <c r="M117" s="5" t="s">
        <v>99</v>
      </c>
      <c r="N117" s="20" t="s">
        <v>44</v>
      </c>
      <c r="O117" s="20" t="s">
        <v>3012</v>
      </c>
      <c r="P117" s="5" t="s">
        <v>64</v>
      </c>
      <c r="Q117" s="5" t="s">
        <v>4505</v>
      </c>
      <c r="R117" s="6">
        <v>5059.0</v>
      </c>
    </row>
    <row r="118" ht="56.25" customHeight="1">
      <c r="A118" s="5" t="s">
        <v>4506</v>
      </c>
      <c r="B118" s="6" t="str">
        <f>IMAGE("https://storage.googleapis.com/acdb/floors/RoomTexFloorCamouflage02.png")</f>
        <v/>
      </c>
      <c r="C118" s="5" t="s">
        <v>36</v>
      </c>
      <c r="D118" s="5" t="s">
        <v>36</v>
      </c>
      <c r="E118" s="6">
        <v>1320.0</v>
      </c>
      <c r="F118" s="6">
        <v>330.0</v>
      </c>
      <c r="G118" s="5" t="s">
        <v>106</v>
      </c>
      <c r="H118" s="5" t="s">
        <v>106</v>
      </c>
      <c r="I118" s="5" t="s">
        <v>59</v>
      </c>
      <c r="J118" s="5"/>
      <c r="K118" s="6" t="s">
        <v>42</v>
      </c>
      <c r="L118" s="5" t="s">
        <v>465</v>
      </c>
      <c r="M118" s="5" t="s">
        <v>99</v>
      </c>
      <c r="N118" s="20" t="s">
        <v>44</v>
      </c>
      <c r="O118" s="20" t="s">
        <v>1499</v>
      </c>
      <c r="P118" s="5" t="s">
        <v>64</v>
      </c>
      <c r="Q118" s="5" t="s">
        <v>4509</v>
      </c>
      <c r="R118" s="6">
        <v>5017.0</v>
      </c>
    </row>
    <row r="119" ht="56.25" customHeight="1">
      <c r="A119" s="5" t="s">
        <v>4511</v>
      </c>
      <c r="B119" s="6" t="str">
        <f>IMAGE("https://storage.googleapis.com/acdb/floors/RoomTexFloorMorocco02.png")</f>
        <v/>
      </c>
      <c r="C119" s="5" t="s">
        <v>36</v>
      </c>
      <c r="D119" s="5" t="s">
        <v>36</v>
      </c>
      <c r="E119" s="6">
        <v>2100.0</v>
      </c>
      <c r="F119" s="6">
        <v>525.0</v>
      </c>
      <c r="G119" s="5" t="s">
        <v>106</v>
      </c>
      <c r="H119" s="5" t="s">
        <v>57</v>
      </c>
      <c r="I119" s="5" t="s">
        <v>59</v>
      </c>
      <c r="J119" s="5"/>
      <c r="K119" s="6" t="s">
        <v>42</v>
      </c>
      <c r="L119" s="5" t="s">
        <v>288</v>
      </c>
      <c r="M119" s="5" t="s">
        <v>141</v>
      </c>
      <c r="N119" s="20" t="s">
        <v>44</v>
      </c>
      <c r="O119" s="20" t="s">
        <v>2909</v>
      </c>
      <c r="P119" s="5" t="s">
        <v>64</v>
      </c>
      <c r="Q119" s="5" t="s">
        <v>4512</v>
      </c>
      <c r="R119" s="6">
        <v>6927.0</v>
      </c>
    </row>
    <row r="120" ht="56.25" customHeight="1">
      <c r="A120" s="5" t="s">
        <v>4513</v>
      </c>
      <c r="B120" s="6" t="str">
        <f>IMAGE("https://storage.googleapis.com/acdb/floors/RoomTexFloorPuzzleMat03.png")</f>
        <v/>
      </c>
      <c r="C120" s="5" t="s">
        <v>36</v>
      </c>
      <c r="D120" s="5" t="s">
        <v>36</v>
      </c>
      <c r="E120" s="6">
        <v>1450.0</v>
      </c>
      <c r="F120" s="6">
        <v>362.0</v>
      </c>
      <c r="G120" s="5" t="s">
        <v>106</v>
      </c>
      <c r="H120" s="5" t="s">
        <v>58</v>
      </c>
      <c r="I120" s="5" t="s">
        <v>59</v>
      </c>
      <c r="J120" s="5"/>
      <c r="K120" s="6" t="s">
        <v>42</v>
      </c>
      <c r="L120" s="5" t="s">
        <v>61</v>
      </c>
      <c r="M120" s="5" t="s">
        <v>44</v>
      </c>
      <c r="N120" s="20" t="s">
        <v>44</v>
      </c>
      <c r="O120" s="20" t="s">
        <v>4157</v>
      </c>
      <c r="P120" s="5" t="s">
        <v>64</v>
      </c>
      <c r="Q120" s="5" t="s">
        <v>4516</v>
      </c>
      <c r="R120" s="6">
        <v>7185.0</v>
      </c>
    </row>
    <row r="121" ht="56.25" customHeight="1">
      <c r="A121" s="5" t="s">
        <v>4517</v>
      </c>
      <c r="B121" s="6" t="str">
        <f>IMAGE("https://storage.googleapis.com/acdb/floors/RoomTexFloorEgypt00.png")</f>
        <v/>
      </c>
      <c r="C121" s="5" t="s">
        <v>36</v>
      </c>
      <c r="D121" s="5" t="s">
        <v>36</v>
      </c>
      <c r="E121" s="6">
        <v>3000.0</v>
      </c>
      <c r="F121" s="6">
        <v>750.0</v>
      </c>
      <c r="G121" s="5" t="s">
        <v>38</v>
      </c>
      <c r="H121" s="5" t="s">
        <v>38</v>
      </c>
      <c r="I121" s="5" t="s">
        <v>2800</v>
      </c>
      <c r="J121" s="5"/>
      <c r="K121" s="6" t="s">
        <v>42</v>
      </c>
      <c r="L121" s="5" t="s">
        <v>696</v>
      </c>
      <c r="M121" s="5" t="s">
        <v>44</v>
      </c>
      <c r="N121" s="20" t="s">
        <v>44</v>
      </c>
      <c r="O121" s="20" t="s">
        <v>4318</v>
      </c>
      <c r="P121" s="5" t="s">
        <v>48</v>
      </c>
      <c r="Q121" s="5" t="s">
        <v>4521</v>
      </c>
      <c r="R121" s="6">
        <v>5054.0</v>
      </c>
    </row>
    <row r="122" ht="56.25" customHeight="1">
      <c r="A122" s="5" t="s">
        <v>4522</v>
      </c>
      <c r="B122" s="6" t="str">
        <f>IMAGE("https://storage.googleapis.com/acdb/floors/RoomTexFloorAthletics00.png")</f>
        <v/>
      </c>
      <c r="C122" s="5" t="s">
        <v>36</v>
      </c>
      <c r="D122" s="5" t="s">
        <v>36</v>
      </c>
      <c r="E122" s="6">
        <v>3000.0</v>
      </c>
      <c r="F122" s="6">
        <v>750.0</v>
      </c>
      <c r="G122" s="5" t="s">
        <v>96</v>
      </c>
      <c r="H122" s="5" t="s">
        <v>96</v>
      </c>
      <c r="I122" s="5" t="s">
        <v>2800</v>
      </c>
      <c r="J122" s="5"/>
      <c r="K122" s="6" t="s">
        <v>42</v>
      </c>
      <c r="L122" s="5" t="s">
        <v>474</v>
      </c>
      <c r="M122" s="5" t="s">
        <v>130</v>
      </c>
      <c r="N122" s="20" t="s">
        <v>44</v>
      </c>
      <c r="O122" s="20" t="s">
        <v>4099</v>
      </c>
      <c r="P122" s="5" t="s">
        <v>48</v>
      </c>
      <c r="Q122" s="5" t="s">
        <v>4523</v>
      </c>
      <c r="R122" s="6">
        <v>4996.0</v>
      </c>
    </row>
    <row r="123" ht="56.25" customHeight="1">
      <c r="A123" s="5" t="s">
        <v>4524</v>
      </c>
      <c r="B123" s="6" t="str">
        <f>IMAGE("https://storage.googleapis.com/acdb/floors/RoomTexFloorRuins00.png")</f>
        <v/>
      </c>
      <c r="C123" s="5" t="s">
        <v>36</v>
      </c>
      <c r="D123" s="5" t="s">
        <v>36</v>
      </c>
      <c r="E123" s="6">
        <v>3000.0</v>
      </c>
      <c r="F123" s="6">
        <v>750.0</v>
      </c>
      <c r="G123" s="5" t="s">
        <v>38</v>
      </c>
      <c r="H123" s="5" t="s">
        <v>38</v>
      </c>
      <c r="I123" s="5" t="s">
        <v>2800</v>
      </c>
      <c r="J123" s="5"/>
      <c r="K123" s="6" t="s">
        <v>42</v>
      </c>
      <c r="L123" s="5" t="s">
        <v>732</v>
      </c>
      <c r="M123" s="5" t="s">
        <v>44</v>
      </c>
      <c r="N123" s="20" t="s">
        <v>44</v>
      </c>
      <c r="O123" s="20" t="s">
        <v>4300</v>
      </c>
      <c r="P123" s="5" t="s">
        <v>48</v>
      </c>
      <c r="Q123" s="5" t="s">
        <v>4526</v>
      </c>
      <c r="R123" s="6">
        <v>5240.0</v>
      </c>
    </row>
    <row r="124" ht="56.25" customHeight="1">
      <c r="A124" s="5" t="s">
        <v>4528</v>
      </c>
      <c r="B124" s="6" t="str">
        <f>IMAGE("https://storage.googleapis.com/acdb/floors/RoomTexFloorSquareTile00.png")</f>
        <v/>
      </c>
      <c r="C124" s="5" t="s">
        <v>36</v>
      </c>
      <c r="D124" s="5" t="s">
        <v>36</v>
      </c>
      <c r="E124" s="6">
        <v>1360.0</v>
      </c>
      <c r="F124" s="6">
        <v>340.0</v>
      </c>
      <c r="G124" s="5" t="s">
        <v>57</v>
      </c>
      <c r="H124" s="5" t="s">
        <v>57</v>
      </c>
      <c r="I124" s="5" t="s">
        <v>59</v>
      </c>
      <c r="J124" s="5"/>
      <c r="K124" s="6" t="s">
        <v>42</v>
      </c>
      <c r="L124" s="5" t="s">
        <v>141</v>
      </c>
      <c r="M124" s="5" t="s">
        <v>62</v>
      </c>
      <c r="N124" s="20" t="s">
        <v>44</v>
      </c>
      <c r="O124" s="20" t="s">
        <v>4003</v>
      </c>
      <c r="P124" s="5" t="s">
        <v>64</v>
      </c>
      <c r="Q124" s="5" t="s">
        <v>4530</v>
      </c>
      <c r="R124" s="6">
        <v>4973.0</v>
      </c>
    </row>
    <row r="125" ht="56.25" customHeight="1">
      <c r="A125" s="5" t="s">
        <v>4531</v>
      </c>
      <c r="B125" s="6" t="str">
        <f>IMAGE("https://storage.googleapis.com/acdb/floors/RoomTexFloorRattan00.png")</f>
        <v/>
      </c>
      <c r="C125" s="5" t="s">
        <v>36</v>
      </c>
      <c r="D125" s="5" t="s">
        <v>36</v>
      </c>
      <c r="E125" s="6">
        <v>1100.0</v>
      </c>
      <c r="F125" s="6">
        <v>275.0</v>
      </c>
      <c r="G125" s="5" t="s">
        <v>38</v>
      </c>
      <c r="H125" s="5" t="s">
        <v>38</v>
      </c>
      <c r="I125" s="5" t="s">
        <v>59</v>
      </c>
      <c r="J125" s="5"/>
      <c r="K125" s="6" t="s">
        <v>42</v>
      </c>
      <c r="L125" s="5" t="s">
        <v>141</v>
      </c>
      <c r="M125" s="5" t="s">
        <v>62</v>
      </c>
      <c r="N125" s="20" t="s">
        <v>4533</v>
      </c>
      <c r="O125" s="20" t="s">
        <v>4050</v>
      </c>
      <c r="P125" s="5" t="s">
        <v>64</v>
      </c>
      <c r="Q125" s="5" t="s">
        <v>4534</v>
      </c>
      <c r="R125" s="6">
        <v>4967.0</v>
      </c>
    </row>
    <row r="126" ht="56.25" customHeight="1">
      <c r="A126" s="5" t="s">
        <v>4535</v>
      </c>
      <c r="B126" s="6" t="str">
        <f>IMAGE("https://storage.googleapis.com/acdb/floors/RoomTexFloorDot02.png")</f>
        <v/>
      </c>
      <c r="C126" s="5" t="s">
        <v>36</v>
      </c>
      <c r="D126" s="5" t="s">
        <v>36</v>
      </c>
      <c r="E126" s="6">
        <v>800.0</v>
      </c>
      <c r="F126" s="6">
        <v>200.0</v>
      </c>
      <c r="G126" s="5" t="s">
        <v>52</v>
      </c>
      <c r="H126" s="5" t="s">
        <v>52</v>
      </c>
      <c r="I126" s="5" t="s">
        <v>59</v>
      </c>
      <c r="J126" s="5"/>
      <c r="K126" s="6" t="s">
        <v>42</v>
      </c>
      <c r="L126" s="5" t="s">
        <v>61</v>
      </c>
      <c r="M126" s="5" t="s">
        <v>99</v>
      </c>
      <c r="N126" s="20" t="s">
        <v>44</v>
      </c>
      <c r="O126" s="20" t="s">
        <v>3478</v>
      </c>
      <c r="P126" s="5" t="s">
        <v>64</v>
      </c>
      <c r="Q126" s="5" t="s">
        <v>4539</v>
      </c>
      <c r="R126" s="6">
        <v>5027.0</v>
      </c>
    </row>
    <row r="127" ht="56.25" customHeight="1">
      <c r="A127" s="5" t="s">
        <v>4540</v>
      </c>
      <c r="B127" s="6" t="str">
        <f>IMAGE("https://storage.googleapis.com/acdb/floors/RoomTexFloorTileChecker01.png")</f>
        <v/>
      </c>
      <c r="C127" s="5" t="s">
        <v>36</v>
      </c>
      <c r="D127" s="5" t="s">
        <v>36</v>
      </c>
      <c r="E127" s="6">
        <v>1150.0</v>
      </c>
      <c r="F127" s="6">
        <v>287.0</v>
      </c>
      <c r="G127" s="5" t="s">
        <v>52</v>
      </c>
      <c r="H127" s="5" t="s">
        <v>95</v>
      </c>
      <c r="I127" s="5" t="s">
        <v>59</v>
      </c>
      <c r="J127" s="5"/>
      <c r="K127" s="6" t="s">
        <v>42</v>
      </c>
      <c r="L127" s="5" t="s">
        <v>116</v>
      </c>
      <c r="M127" s="5" t="s">
        <v>44</v>
      </c>
      <c r="N127" s="20" t="s">
        <v>44</v>
      </c>
      <c r="O127" s="20" t="s">
        <v>4177</v>
      </c>
      <c r="P127" s="5" t="s">
        <v>64</v>
      </c>
      <c r="Q127" s="5" t="s">
        <v>4542</v>
      </c>
      <c r="R127" s="6">
        <v>5047.0</v>
      </c>
    </row>
    <row r="128" ht="56.25" customHeight="1">
      <c r="A128" s="5" t="s">
        <v>4543</v>
      </c>
      <c r="B128" s="6" t="str">
        <f>IMAGE("https://storage.googleapis.com/acdb/floors/RoomTexFloorBrick01.png")</f>
        <v/>
      </c>
      <c r="C128" s="5" t="s">
        <v>36</v>
      </c>
      <c r="D128" s="5" t="s">
        <v>36</v>
      </c>
      <c r="E128" s="6">
        <v>1040.0</v>
      </c>
      <c r="F128" s="6">
        <v>260.0</v>
      </c>
      <c r="G128" s="5" t="s">
        <v>52</v>
      </c>
      <c r="H128" s="5" t="s">
        <v>39</v>
      </c>
      <c r="I128" s="5" t="s">
        <v>59</v>
      </c>
      <c r="J128" s="5"/>
      <c r="K128" s="6" t="s">
        <v>42</v>
      </c>
      <c r="L128" s="5" t="s">
        <v>141</v>
      </c>
      <c r="M128" s="5" t="s">
        <v>62</v>
      </c>
      <c r="N128" s="20" t="s">
        <v>44</v>
      </c>
      <c r="O128" s="20" t="s">
        <v>2941</v>
      </c>
      <c r="P128" s="5" t="s">
        <v>64</v>
      </c>
      <c r="Q128" s="5" t="s">
        <v>4546</v>
      </c>
      <c r="R128" s="6">
        <v>4975.0</v>
      </c>
    </row>
    <row r="129" ht="56.25" customHeight="1">
      <c r="A129" s="5" t="s">
        <v>4547</v>
      </c>
      <c r="B129" s="6" t="str">
        <f>IMAGE("https://storage.googleapis.com/acdb/floors/RoomTexFloorRock00.png")</f>
        <v/>
      </c>
      <c r="C129" s="5" t="s">
        <v>36</v>
      </c>
      <c r="D129" s="5" t="s">
        <v>36</v>
      </c>
      <c r="E129" s="6">
        <v>3000.0</v>
      </c>
      <c r="F129" s="6">
        <v>750.0</v>
      </c>
      <c r="G129" s="5" t="s">
        <v>38</v>
      </c>
      <c r="H129" s="5" t="s">
        <v>38</v>
      </c>
      <c r="I129" s="5" t="s">
        <v>2800</v>
      </c>
      <c r="J129" s="5"/>
      <c r="K129" s="6" t="s">
        <v>42</v>
      </c>
      <c r="L129" s="5" t="s">
        <v>172</v>
      </c>
      <c r="M129" s="5" t="s">
        <v>44</v>
      </c>
      <c r="N129" s="20" t="s">
        <v>44</v>
      </c>
      <c r="O129" s="20" t="s">
        <v>4251</v>
      </c>
      <c r="P129" s="5" t="s">
        <v>48</v>
      </c>
      <c r="Q129" s="5" t="s">
        <v>4551</v>
      </c>
      <c r="R129" s="6">
        <v>5239.0</v>
      </c>
    </row>
    <row r="130" ht="56.25" customHeight="1">
      <c r="A130" s="5" t="s">
        <v>4552</v>
      </c>
      <c r="B130" s="6" t="str">
        <f>IMAGE("https://storage.googleapis.com/acdb/floors/RoomTexFloorRoseCarpet00.png")</f>
        <v/>
      </c>
      <c r="C130" s="5" t="s">
        <v>36</v>
      </c>
      <c r="D130" s="5" t="s">
        <v>36</v>
      </c>
      <c r="E130" s="6">
        <v>2200.0</v>
      </c>
      <c r="F130" s="6">
        <v>550.0</v>
      </c>
      <c r="G130" s="5" t="s">
        <v>52</v>
      </c>
      <c r="H130" s="5" t="s">
        <v>52</v>
      </c>
      <c r="I130" s="5" t="s">
        <v>59</v>
      </c>
      <c r="J130" s="5"/>
      <c r="K130" s="6" t="s">
        <v>42</v>
      </c>
      <c r="L130" s="5" t="s">
        <v>61</v>
      </c>
      <c r="M130" s="5" t="s">
        <v>116</v>
      </c>
      <c r="N130" s="20" t="s">
        <v>44</v>
      </c>
      <c r="O130" s="20" t="s">
        <v>4008</v>
      </c>
      <c r="P130" s="5" t="s">
        <v>64</v>
      </c>
      <c r="Q130" s="5" t="s">
        <v>4554</v>
      </c>
      <c r="R130" s="6">
        <v>4958.0</v>
      </c>
    </row>
    <row r="131" ht="56.25" customHeight="1">
      <c r="A131" s="5" t="s">
        <v>4555</v>
      </c>
      <c r="B131" s="6" t="str">
        <f>IMAGE("https://storage.googleapis.com/acdb/floors/RoomTexFloorRoseWood00.png")</f>
        <v/>
      </c>
      <c r="C131" s="5" t="s">
        <v>36</v>
      </c>
      <c r="D131" s="5" t="s">
        <v>36</v>
      </c>
      <c r="E131" s="6">
        <v>2420.0</v>
      </c>
      <c r="F131" s="6">
        <v>605.0</v>
      </c>
      <c r="G131" s="5" t="s">
        <v>95</v>
      </c>
      <c r="H131" s="5" t="s">
        <v>95</v>
      </c>
      <c r="I131" s="5" t="s">
        <v>59</v>
      </c>
      <c r="J131" s="5"/>
      <c r="K131" s="6" t="s">
        <v>42</v>
      </c>
      <c r="L131" s="5" t="s">
        <v>116</v>
      </c>
      <c r="M131" s="5" t="s">
        <v>90</v>
      </c>
      <c r="N131" s="20" t="s">
        <v>44</v>
      </c>
      <c r="O131" s="20" t="s">
        <v>4050</v>
      </c>
      <c r="P131" s="5" t="s">
        <v>64</v>
      </c>
      <c r="Q131" s="5" t="s">
        <v>4559</v>
      </c>
      <c r="R131" s="6">
        <v>5063.0</v>
      </c>
    </row>
    <row r="132" ht="56.25" customHeight="1">
      <c r="A132" s="5" t="s">
        <v>4560</v>
      </c>
      <c r="B132" s="6" t="str">
        <f>IMAGE("https://storage.googleapis.com/acdb/floors/RoomTexFloorRubberTile00.png")</f>
        <v/>
      </c>
      <c r="C132" s="5" t="s">
        <v>36</v>
      </c>
      <c r="D132" s="5" t="s">
        <v>36</v>
      </c>
      <c r="E132" s="6">
        <v>700.0</v>
      </c>
      <c r="F132" s="6">
        <v>175.0</v>
      </c>
      <c r="G132" s="5" t="s">
        <v>95</v>
      </c>
      <c r="H132" s="5" t="s">
        <v>95</v>
      </c>
      <c r="I132" s="5" t="s">
        <v>59</v>
      </c>
      <c r="J132" s="5"/>
      <c r="K132" s="6" t="s">
        <v>42</v>
      </c>
      <c r="L132" s="5" t="s">
        <v>141</v>
      </c>
      <c r="M132" s="5" t="s">
        <v>62</v>
      </c>
      <c r="N132" s="20" t="s">
        <v>44</v>
      </c>
      <c r="O132" s="20" t="s">
        <v>4003</v>
      </c>
      <c r="P132" s="5" t="s">
        <v>64</v>
      </c>
      <c r="Q132" s="5" t="s">
        <v>4564</v>
      </c>
      <c r="R132" s="6">
        <v>5163.0</v>
      </c>
    </row>
    <row r="133" ht="56.25" customHeight="1">
      <c r="A133" s="5" t="s">
        <v>4566</v>
      </c>
      <c r="B133" s="6" t="str">
        <f>IMAGE("https://storage.googleapis.com/acdb/floors/RoomTexFloorTatami01.png")</f>
        <v/>
      </c>
      <c r="C133" s="5" t="s">
        <v>36</v>
      </c>
      <c r="D133" s="5" t="s">
        <v>36</v>
      </c>
      <c r="E133" s="6">
        <v>2200.0</v>
      </c>
      <c r="F133" s="6">
        <v>550.0</v>
      </c>
      <c r="G133" s="5" t="s">
        <v>38</v>
      </c>
      <c r="H133" s="5" t="s">
        <v>38</v>
      </c>
      <c r="I133" s="5" t="s">
        <v>59</v>
      </c>
      <c r="J133" s="5"/>
      <c r="K133" s="6" t="s">
        <v>42</v>
      </c>
      <c r="L133" s="5" t="s">
        <v>266</v>
      </c>
      <c r="M133" s="5" t="s">
        <v>90</v>
      </c>
      <c r="N133" s="20" t="s">
        <v>44</v>
      </c>
      <c r="O133" s="20" t="s">
        <v>4570</v>
      </c>
      <c r="P133" s="5" t="s">
        <v>64</v>
      </c>
      <c r="Q133" s="5" t="s">
        <v>4573</v>
      </c>
      <c r="R133" s="6">
        <v>5079.0</v>
      </c>
    </row>
    <row r="134" ht="56.25" customHeight="1">
      <c r="A134" s="5" t="s">
        <v>4575</v>
      </c>
      <c r="B134" s="6" t="str">
        <f>IMAGE("https://storage.googleapis.com/acdb/floors/RoomTexFloorTatamiPanel01.png")</f>
        <v/>
      </c>
      <c r="C134" s="5" t="s">
        <v>36</v>
      </c>
      <c r="D134" s="5" t="s">
        <v>36</v>
      </c>
      <c r="E134" s="6">
        <v>2200.0</v>
      </c>
      <c r="F134" s="6">
        <v>550.0</v>
      </c>
      <c r="G134" s="5" t="s">
        <v>38</v>
      </c>
      <c r="H134" s="5" t="s">
        <v>38</v>
      </c>
      <c r="I134" s="5" t="s">
        <v>59</v>
      </c>
      <c r="J134" s="5"/>
      <c r="K134" s="6" t="s">
        <v>42</v>
      </c>
      <c r="L134" s="5" t="s">
        <v>266</v>
      </c>
      <c r="M134" s="5" t="s">
        <v>90</v>
      </c>
      <c r="N134" s="20" t="s">
        <v>44</v>
      </c>
      <c r="O134" s="20" t="s">
        <v>4576</v>
      </c>
      <c r="P134" s="5" t="s">
        <v>64</v>
      </c>
      <c r="Q134" s="5" t="s">
        <v>4578</v>
      </c>
      <c r="R134" s="6">
        <v>5078.0</v>
      </c>
    </row>
    <row r="135" ht="56.25" customHeight="1">
      <c r="A135" s="5" t="s">
        <v>4580</v>
      </c>
      <c r="B135" s="6" t="str">
        <f>IMAGE("https://storage.googleapis.com/acdb/floors/RoomTexFloorDesert00.png")</f>
        <v/>
      </c>
      <c r="C135" s="5" t="s">
        <v>36</v>
      </c>
      <c r="D135" s="5" t="s">
        <v>36</v>
      </c>
      <c r="E135" s="6">
        <v>3000.0</v>
      </c>
      <c r="F135" s="6">
        <v>750.0</v>
      </c>
      <c r="G135" s="5" t="s">
        <v>38</v>
      </c>
      <c r="H135" s="5" t="s">
        <v>38</v>
      </c>
      <c r="I135" s="5" t="s">
        <v>2800</v>
      </c>
      <c r="J135" s="5"/>
      <c r="K135" s="6" t="s">
        <v>42</v>
      </c>
      <c r="L135" s="5" t="s">
        <v>696</v>
      </c>
      <c r="M135" s="5" t="s">
        <v>44</v>
      </c>
      <c r="N135" s="20" t="s">
        <v>44</v>
      </c>
      <c r="O135" s="20" t="s">
        <v>4421</v>
      </c>
      <c r="P135" s="5" t="s">
        <v>48</v>
      </c>
      <c r="Q135" s="5" t="s">
        <v>4582</v>
      </c>
      <c r="R135" s="6">
        <v>4983.0</v>
      </c>
    </row>
    <row r="136" ht="56.25" customHeight="1">
      <c r="A136" s="5" t="s">
        <v>4583</v>
      </c>
      <c r="B136" s="6" t="str">
        <f>IMAGE("https://storage.googleapis.com/acdb/floors/RoomTexFloorSolidWood00.png")</f>
        <v/>
      </c>
      <c r="C136" s="5" t="s">
        <v>36</v>
      </c>
      <c r="D136" s="5" t="s">
        <v>35</v>
      </c>
      <c r="E136" s="6" t="s">
        <v>37</v>
      </c>
      <c r="F136" s="6">
        <v>3200.0</v>
      </c>
      <c r="G136" s="5" t="s">
        <v>69</v>
      </c>
      <c r="H136" s="5" t="s">
        <v>69</v>
      </c>
      <c r="I136" s="5" t="s">
        <v>41</v>
      </c>
      <c r="J136" s="5" t="s">
        <v>513</v>
      </c>
      <c r="K136" s="6" t="s">
        <v>42</v>
      </c>
      <c r="L136" s="5" t="s">
        <v>99</v>
      </c>
      <c r="M136" s="5" t="s">
        <v>61</v>
      </c>
      <c r="N136" s="20" t="s">
        <v>44</v>
      </c>
      <c r="O136" s="20" t="s">
        <v>4050</v>
      </c>
      <c r="P136" s="5" t="s">
        <v>48</v>
      </c>
      <c r="Q136" s="5" t="s">
        <v>4587</v>
      </c>
      <c r="R136" s="6">
        <v>5056.0</v>
      </c>
    </row>
    <row r="137" ht="56.25" customHeight="1">
      <c r="A137" s="5" t="s">
        <v>4588</v>
      </c>
      <c r="B137" s="6" t="str">
        <f>IMAGE("https://storage.googleapis.com/acdb/floors/RoomTexFloorEmptyLot00.png")</f>
        <v/>
      </c>
      <c r="C137" s="5" t="s">
        <v>36</v>
      </c>
      <c r="D137" s="5" t="s">
        <v>36</v>
      </c>
      <c r="E137" s="6">
        <v>3000.0</v>
      </c>
      <c r="F137" s="6">
        <v>750.0</v>
      </c>
      <c r="G137" s="5" t="s">
        <v>114</v>
      </c>
      <c r="H137" s="5" t="s">
        <v>38</v>
      </c>
      <c r="I137" s="5" t="s">
        <v>2800</v>
      </c>
      <c r="J137" s="5"/>
      <c r="K137" s="6" t="s">
        <v>42</v>
      </c>
      <c r="L137" s="5" t="s">
        <v>172</v>
      </c>
      <c r="M137" s="5" t="s">
        <v>44</v>
      </c>
      <c r="N137" s="20" t="s">
        <v>44</v>
      </c>
      <c r="O137" s="20" t="s">
        <v>4251</v>
      </c>
      <c r="P137" s="5" t="s">
        <v>48</v>
      </c>
      <c r="Q137" s="5" t="s">
        <v>4591</v>
      </c>
      <c r="R137" s="6">
        <v>4985.0</v>
      </c>
    </row>
    <row r="138" ht="56.25" customHeight="1">
      <c r="A138" s="5" t="s">
        <v>4592</v>
      </c>
      <c r="B138" s="6" t="str">
        <f>IMAGE("https://storage.googleapis.com/acdb/floors/RoomTexFloorSand00.png")</f>
        <v/>
      </c>
      <c r="C138" s="5" t="s">
        <v>36</v>
      </c>
      <c r="D138" s="5" t="s">
        <v>35</v>
      </c>
      <c r="E138" s="6" t="s">
        <v>37</v>
      </c>
      <c r="F138" s="6">
        <v>4120.0</v>
      </c>
      <c r="G138" s="5" t="s">
        <v>38</v>
      </c>
      <c r="H138" s="5" t="s">
        <v>38</v>
      </c>
      <c r="I138" s="5" t="s">
        <v>41</v>
      </c>
      <c r="J138" s="5"/>
      <c r="K138" s="6" t="s">
        <v>42</v>
      </c>
      <c r="L138" s="5" t="s">
        <v>138</v>
      </c>
      <c r="M138" s="5" t="s">
        <v>44</v>
      </c>
      <c r="N138" s="20" t="s">
        <v>44</v>
      </c>
      <c r="O138" s="20" t="s">
        <v>4421</v>
      </c>
      <c r="P138" s="5" t="s">
        <v>48</v>
      </c>
      <c r="Q138" s="5" t="s">
        <v>4594</v>
      </c>
      <c r="R138" s="6">
        <v>4970.0</v>
      </c>
    </row>
    <row r="139" ht="56.25" customHeight="1">
      <c r="A139" s="5" t="s">
        <v>4596</v>
      </c>
      <c r="B139" s="6" t="str">
        <f>IMAGE("https://storage.googleapis.com/acdb/floors/RoomSpFloorSF00.png")</f>
        <v/>
      </c>
      <c r="C139" s="5" t="s">
        <v>35</v>
      </c>
      <c r="D139" s="5" t="s">
        <v>35</v>
      </c>
      <c r="E139" s="6" t="s">
        <v>37</v>
      </c>
      <c r="F139" s="6">
        <v>7500.0</v>
      </c>
      <c r="G139" s="5" t="s">
        <v>54</v>
      </c>
      <c r="H139" s="5" t="s">
        <v>54</v>
      </c>
      <c r="I139" s="5" t="s">
        <v>41</v>
      </c>
      <c r="J139" s="5"/>
      <c r="K139" s="6" t="s">
        <v>42</v>
      </c>
      <c r="L139" s="5" t="s">
        <v>401</v>
      </c>
      <c r="M139" s="5" t="s">
        <v>141</v>
      </c>
      <c r="N139" s="20" t="s">
        <v>44</v>
      </c>
      <c r="O139" s="20" t="s">
        <v>4290</v>
      </c>
      <c r="P139" s="5" t="s">
        <v>48</v>
      </c>
      <c r="Q139" s="5" t="s">
        <v>4598</v>
      </c>
      <c r="R139" s="6">
        <v>5270.0</v>
      </c>
    </row>
    <row r="140" ht="56.25" customHeight="1">
      <c r="A140" s="5" t="s">
        <v>4599</v>
      </c>
      <c r="B140" s="6" t="str">
        <f>IMAGE("https://storage.googleapis.com/acdb/floors/RoomTexFloorScramble00.png")</f>
        <v/>
      </c>
      <c r="C140" s="5" t="s">
        <v>36</v>
      </c>
      <c r="D140" s="5" t="s">
        <v>36</v>
      </c>
      <c r="E140" s="6">
        <v>3000.0</v>
      </c>
      <c r="F140" s="6">
        <v>750.0</v>
      </c>
      <c r="G140" s="5" t="s">
        <v>95</v>
      </c>
      <c r="H140" s="5" t="s">
        <v>95</v>
      </c>
      <c r="I140" s="5" t="s">
        <v>2800</v>
      </c>
      <c r="J140" s="5"/>
      <c r="K140" s="6" t="s">
        <v>42</v>
      </c>
      <c r="L140" s="5" t="s">
        <v>141</v>
      </c>
      <c r="M140" s="5" t="s">
        <v>44</v>
      </c>
      <c r="N140" s="20" t="s">
        <v>44</v>
      </c>
      <c r="O140" s="20" t="s">
        <v>4173</v>
      </c>
      <c r="P140" s="5" t="s">
        <v>48</v>
      </c>
      <c r="Q140" s="5" t="s">
        <v>4601</v>
      </c>
      <c r="R140" s="6">
        <v>5010.0</v>
      </c>
    </row>
    <row r="141" ht="56.25" customHeight="1">
      <c r="A141" s="5" t="s">
        <v>4603</v>
      </c>
      <c r="B141" s="6" t="str">
        <f>IMAGE("https://storage.googleapis.com/acdb/floors/RoomTexFloorPuzzleMat02.png")</f>
        <v/>
      </c>
      <c r="C141" s="5" t="s">
        <v>36</v>
      </c>
      <c r="D141" s="5" t="s">
        <v>36</v>
      </c>
      <c r="E141" s="6">
        <v>1450.0</v>
      </c>
      <c r="F141" s="6">
        <v>362.0</v>
      </c>
      <c r="G141" s="5" t="s">
        <v>58</v>
      </c>
      <c r="H141" s="5" t="s">
        <v>58</v>
      </c>
      <c r="I141" s="5" t="s">
        <v>59</v>
      </c>
      <c r="J141" s="5"/>
      <c r="K141" s="6" t="s">
        <v>42</v>
      </c>
      <c r="L141" s="5" t="s">
        <v>61</v>
      </c>
      <c r="M141" s="5" t="s">
        <v>99</v>
      </c>
      <c r="N141" s="20" t="s">
        <v>44</v>
      </c>
      <c r="O141" s="20" t="s">
        <v>4157</v>
      </c>
      <c r="P141" s="5" t="s">
        <v>64</v>
      </c>
      <c r="Q141" s="5" t="s">
        <v>4604</v>
      </c>
      <c r="R141" s="6">
        <v>7184.0</v>
      </c>
    </row>
    <row r="142" ht="56.25" customHeight="1">
      <c r="A142" s="5" t="s">
        <v>4605</v>
      </c>
      <c r="B142" s="6" t="str">
        <f>IMAGE("https://storage.googleapis.com/acdb/floors/RoomTexFloorSeaView00.png")</f>
        <v/>
      </c>
      <c r="C142" s="5" t="s">
        <v>36</v>
      </c>
      <c r="D142" s="5" t="s">
        <v>36</v>
      </c>
      <c r="E142" s="6">
        <v>4000.0</v>
      </c>
      <c r="F142" s="6">
        <v>1000.0</v>
      </c>
      <c r="G142" s="5" t="s">
        <v>38</v>
      </c>
      <c r="H142" s="5" t="s">
        <v>38</v>
      </c>
      <c r="I142" s="5" t="s">
        <v>59</v>
      </c>
      <c r="J142" s="5"/>
      <c r="K142" s="6" t="s">
        <v>42</v>
      </c>
      <c r="L142" s="5" t="s">
        <v>138</v>
      </c>
      <c r="M142" s="5" t="s">
        <v>44</v>
      </c>
      <c r="N142" s="20" t="s">
        <v>44</v>
      </c>
      <c r="O142" s="20" t="s">
        <v>4099</v>
      </c>
      <c r="P142" s="5" t="s">
        <v>64</v>
      </c>
      <c r="Q142" s="5" t="s">
        <v>4609</v>
      </c>
      <c r="R142" s="6">
        <v>4950.0</v>
      </c>
    </row>
    <row r="143" ht="56.25" customHeight="1">
      <c r="A143" s="5" t="s">
        <v>4610</v>
      </c>
      <c r="B143" s="6" t="str">
        <f>IMAGE("https://storage.googleapis.com/acdb/floors/RoomTexFloorSidewalk01.png")</f>
        <v/>
      </c>
      <c r="C143" s="5" t="s">
        <v>36</v>
      </c>
      <c r="D143" s="5" t="s">
        <v>36</v>
      </c>
      <c r="E143" s="6">
        <v>3000.0</v>
      </c>
      <c r="F143" s="6">
        <v>750.0</v>
      </c>
      <c r="G143" s="5" t="s">
        <v>95</v>
      </c>
      <c r="H143" s="5" t="s">
        <v>39</v>
      </c>
      <c r="I143" s="5" t="s">
        <v>2800</v>
      </c>
      <c r="J143" s="5"/>
      <c r="K143" s="6" t="s">
        <v>42</v>
      </c>
      <c r="L143" s="5" t="s">
        <v>62</v>
      </c>
      <c r="M143" s="5" t="s">
        <v>141</v>
      </c>
      <c r="N143" s="20" t="s">
        <v>44</v>
      </c>
      <c r="O143" s="20" t="s">
        <v>4173</v>
      </c>
      <c r="P143" s="5" t="s">
        <v>48</v>
      </c>
      <c r="Q143" s="5" t="s">
        <v>4615</v>
      </c>
      <c r="R143" s="6">
        <v>5008.0</v>
      </c>
    </row>
    <row r="144" ht="56.25" customHeight="1">
      <c r="A144" s="5" t="s">
        <v>4616</v>
      </c>
      <c r="B144" s="6" t="str">
        <f>IMAGE("https://storage.googleapis.com/acdb/floors/RoomTexFloorSimpleCarpet01.png")</f>
        <v/>
      </c>
      <c r="C144" s="5" t="s">
        <v>36</v>
      </c>
      <c r="D144" s="5" t="s">
        <v>36</v>
      </c>
      <c r="E144" s="6">
        <v>1500.0</v>
      </c>
      <c r="F144" s="6">
        <v>375.0</v>
      </c>
      <c r="G144" s="5" t="s">
        <v>68</v>
      </c>
      <c r="H144" s="5" t="s">
        <v>68</v>
      </c>
      <c r="I144" s="5" t="s">
        <v>59</v>
      </c>
      <c r="J144" s="5"/>
      <c r="K144" s="6" t="s">
        <v>42</v>
      </c>
      <c r="L144" s="5" t="s">
        <v>202</v>
      </c>
      <c r="M144" s="5" t="s">
        <v>90</v>
      </c>
      <c r="N144" s="20" t="s">
        <v>44</v>
      </c>
      <c r="O144" s="20" t="s">
        <v>4618</v>
      </c>
      <c r="P144" s="5" t="s">
        <v>64</v>
      </c>
      <c r="Q144" s="5" t="s">
        <v>4620</v>
      </c>
      <c r="R144" s="6">
        <v>5001.0</v>
      </c>
    </row>
    <row r="145" ht="56.25" customHeight="1">
      <c r="A145" s="5" t="s">
        <v>4621</v>
      </c>
      <c r="B145" s="6" t="str">
        <f>IMAGE("https://storage.googleapis.com/acdb/floors/RoomTexFloorSimpleCarpet03.png")</f>
        <v/>
      </c>
      <c r="C145" s="5" t="s">
        <v>36</v>
      </c>
      <c r="D145" s="5" t="s">
        <v>36</v>
      </c>
      <c r="E145" s="6">
        <v>1500.0</v>
      </c>
      <c r="F145" s="6">
        <v>375.0</v>
      </c>
      <c r="G145" s="5" t="s">
        <v>106</v>
      </c>
      <c r="H145" s="5" t="s">
        <v>106</v>
      </c>
      <c r="I145" s="5" t="s">
        <v>59</v>
      </c>
      <c r="J145" s="5"/>
      <c r="K145" s="6" t="s">
        <v>42</v>
      </c>
      <c r="L145" s="5" t="s">
        <v>202</v>
      </c>
      <c r="M145" s="5" t="s">
        <v>116</v>
      </c>
      <c r="N145" s="20" t="s">
        <v>44</v>
      </c>
      <c r="O145" s="20" t="s">
        <v>4618</v>
      </c>
      <c r="P145" s="5" t="s">
        <v>64</v>
      </c>
      <c r="Q145" s="5" t="s">
        <v>4624</v>
      </c>
      <c r="R145" s="6">
        <v>5003.0</v>
      </c>
    </row>
    <row r="146" ht="56.25" customHeight="1">
      <c r="A146" s="5" t="s">
        <v>4625</v>
      </c>
      <c r="B146" s="6" t="str">
        <f>IMAGE("https://storage.googleapis.com/acdb/floors/RoomTexFloorSimpleCarpet00.png")</f>
        <v/>
      </c>
      <c r="C146" s="5" t="s">
        <v>36</v>
      </c>
      <c r="D146" s="5" t="s">
        <v>36</v>
      </c>
      <c r="E146" s="6">
        <v>1500.0</v>
      </c>
      <c r="F146" s="6">
        <v>375.0</v>
      </c>
      <c r="G146" s="5" t="s">
        <v>52</v>
      </c>
      <c r="H146" s="5" t="s">
        <v>52</v>
      </c>
      <c r="I146" s="5" t="s">
        <v>59</v>
      </c>
      <c r="J146" s="5"/>
      <c r="K146" s="6" t="s">
        <v>42</v>
      </c>
      <c r="L146" s="5" t="s">
        <v>202</v>
      </c>
      <c r="M146" s="5" t="s">
        <v>116</v>
      </c>
      <c r="N146" s="20" t="s">
        <v>44</v>
      </c>
      <c r="O146" s="20" t="s">
        <v>4618</v>
      </c>
      <c r="P146" s="5" t="s">
        <v>64</v>
      </c>
      <c r="Q146" s="5" t="s">
        <v>4629</v>
      </c>
      <c r="R146" s="6">
        <v>5000.0</v>
      </c>
    </row>
    <row r="147" ht="56.25" customHeight="1">
      <c r="A147" s="5" t="s">
        <v>4630</v>
      </c>
      <c r="B147" s="6" t="str">
        <f>IMAGE("https://storage.googleapis.com/acdb/floors/RoomTexFloorSimpleCarpet04.png")</f>
        <v/>
      </c>
      <c r="C147" s="5" t="s">
        <v>36</v>
      </c>
      <c r="D147" s="5" t="s">
        <v>36</v>
      </c>
      <c r="E147" s="6">
        <v>1500.0</v>
      </c>
      <c r="F147" s="6">
        <v>375.0</v>
      </c>
      <c r="G147" s="5" t="s">
        <v>57</v>
      </c>
      <c r="H147" s="5" t="s">
        <v>57</v>
      </c>
      <c r="I147" s="5" t="s">
        <v>59</v>
      </c>
      <c r="J147" s="5"/>
      <c r="K147" s="6" t="s">
        <v>42</v>
      </c>
      <c r="L147" s="5" t="s">
        <v>90</v>
      </c>
      <c r="M147" s="5" t="s">
        <v>62</v>
      </c>
      <c r="N147" s="20" t="s">
        <v>44</v>
      </c>
      <c r="O147" s="20" t="s">
        <v>4618</v>
      </c>
      <c r="P147" s="5" t="s">
        <v>64</v>
      </c>
      <c r="Q147" s="5" t="s">
        <v>4633</v>
      </c>
      <c r="R147" s="6">
        <v>5004.0</v>
      </c>
    </row>
    <row r="148" ht="56.25" customHeight="1">
      <c r="A148" s="5" t="s">
        <v>4634</v>
      </c>
      <c r="B148" s="6" t="str">
        <f>IMAGE("https://storage.googleapis.com/acdb/floors/RoomTexFloorGelande00.png")</f>
        <v/>
      </c>
      <c r="C148" s="5" t="s">
        <v>36</v>
      </c>
      <c r="D148" s="5" t="s">
        <v>35</v>
      </c>
      <c r="E148" s="6" t="s">
        <v>37</v>
      </c>
      <c r="F148" s="6">
        <v>3200.0</v>
      </c>
      <c r="G148" s="5" t="s">
        <v>57</v>
      </c>
      <c r="H148" s="5" t="s">
        <v>57</v>
      </c>
      <c r="I148" s="5" t="s">
        <v>41</v>
      </c>
      <c r="J148" s="5" t="s">
        <v>2176</v>
      </c>
      <c r="K148" s="6" t="s">
        <v>42</v>
      </c>
      <c r="L148" s="5" t="s">
        <v>1894</v>
      </c>
      <c r="M148" s="5" t="s">
        <v>44</v>
      </c>
      <c r="N148" s="20" t="s">
        <v>44</v>
      </c>
      <c r="O148" s="20" t="s">
        <v>4421</v>
      </c>
      <c r="P148" s="5" t="s">
        <v>48</v>
      </c>
      <c r="Q148" s="5" t="s">
        <v>4637</v>
      </c>
      <c r="R148" s="6">
        <v>4989.0</v>
      </c>
    </row>
    <row r="149" ht="56.25" customHeight="1">
      <c r="A149" s="5" t="s">
        <v>4638</v>
      </c>
      <c r="B149" s="6" t="str">
        <f>IMAGE("https://storage.googleapis.com/acdb/floors/RoomTexFloorSkull00.png")</f>
        <v/>
      </c>
      <c r="C149" s="5" t="s">
        <v>36</v>
      </c>
      <c r="D149" s="5" t="s">
        <v>36</v>
      </c>
      <c r="E149" s="6">
        <v>3000.0</v>
      </c>
      <c r="F149" s="6">
        <v>750.0</v>
      </c>
      <c r="G149" s="5" t="s">
        <v>54</v>
      </c>
      <c r="H149" s="5" t="s">
        <v>54</v>
      </c>
      <c r="I149" s="5" t="s">
        <v>59</v>
      </c>
      <c r="J149" s="5"/>
      <c r="K149" s="6" t="s">
        <v>42</v>
      </c>
      <c r="L149" s="5" t="s">
        <v>732</v>
      </c>
      <c r="M149" s="5" t="s">
        <v>99</v>
      </c>
      <c r="N149" s="20" t="s">
        <v>44</v>
      </c>
      <c r="O149" s="20" t="s">
        <v>4008</v>
      </c>
      <c r="P149" s="5" t="s">
        <v>64</v>
      </c>
      <c r="Q149" s="5" t="s">
        <v>4640</v>
      </c>
      <c r="R149" s="6">
        <v>5248.0</v>
      </c>
    </row>
    <row r="150" ht="56.25" customHeight="1">
      <c r="A150" s="5" t="s">
        <v>4641</v>
      </c>
      <c r="B150" s="6" t="str">
        <f>IMAGE("https://storage.googleapis.com/acdb/floors/RoomTexFloorSlate00.png")</f>
        <v/>
      </c>
      <c r="C150" s="5" t="s">
        <v>36</v>
      </c>
      <c r="D150" s="5" t="s">
        <v>36</v>
      </c>
      <c r="E150" s="6">
        <v>1380.0</v>
      </c>
      <c r="F150" s="6">
        <v>345.0</v>
      </c>
      <c r="G150" s="5" t="s">
        <v>95</v>
      </c>
      <c r="H150" s="5" t="s">
        <v>95</v>
      </c>
      <c r="I150" s="5" t="s">
        <v>59</v>
      </c>
      <c r="J150" s="5"/>
      <c r="K150" s="6" t="s">
        <v>42</v>
      </c>
      <c r="L150" s="5" t="s">
        <v>141</v>
      </c>
      <c r="M150" s="5" t="s">
        <v>62</v>
      </c>
      <c r="N150" s="20" t="s">
        <v>44</v>
      </c>
      <c r="O150" s="20" t="s">
        <v>4035</v>
      </c>
      <c r="P150" s="5" t="s">
        <v>64</v>
      </c>
      <c r="Q150" s="5" t="s">
        <v>4644</v>
      </c>
      <c r="R150" s="6">
        <v>5233.0</v>
      </c>
    </row>
    <row r="151" ht="56.25" customHeight="1">
      <c r="A151" s="5" t="s">
        <v>4645</v>
      </c>
      <c r="B151" s="6" t="str">
        <f>IMAGE("https://storage.googleapis.com/acdb/floors/RoomTexFloorSandStar00.png")</f>
        <v/>
      </c>
      <c r="C151" s="5" t="s">
        <v>36</v>
      </c>
      <c r="D151" s="5" t="s">
        <v>35</v>
      </c>
      <c r="E151" s="6" t="s">
        <v>37</v>
      </c>
      <c r="F151" s="6">
        <v>7720.0</v>
      </c>
      <c r="G151" s="5" t="s">
        <v>38</v>
      </c>
      <c r="H151" s="5" t="s">
        <v>57</v>
      </c>
      <c r="I151" s="5" t="s">
        <v>41</v>
      </c>
      <c r="J151" s="5" t="s">
        <v>3865</v>
      </c>
      <c r="K151" s="6" t="s">
        <v>42</v>
      </c>
      <c r="L151" s="5" t="s">
        <v>138</v>
      </c>
      <c r="M151" s="5" t="s">
        <v>61</v>
      </c>
      <c r="N151" s="20" t="s">
        <v>44</v>
      </c>
      <c r="O151" s="20" t="s">
        <v>4421</v>
      </c>
      <c r="P151" s="5" t="s">
        <v>48</v>
      </c>
      <c r="Q151" s="5" t="s">
        <v>4648</v>
      </c>
      <c r="R151" s="6">
        <v>7239.0</v>
      </c>
    </row>
    <row r="152" ht="56.25" customHeight="1">
      <c r="A152" s="5" t="s">
        <v>4649</v>
      </c>
      <c r="B152" s="6" t="str">
        <f>IMAGE("https://storage.googleapis.com/acdb/floors/RoomTexFloorSteel00.png")</f>
        <v/>
      </c>
      <c r="C152" s="5" t="s">
        <v>36</v>
      </c>
      <c r="D152" s="5" t="s">
        <v>35</v>
      </c>
      <c r="E152" s="6" t="s">
        <v>37</v>
      </c>
      <c r="F152" s="6">
        <v>5250.0</v>
      </c>
      <c r="G152" s="5" t="s">
        <v>95</v>
      </c>
      <c r="H152" s="5" t="s">
        <v>95</v>
      </c>
      <c r="I152" s="5" t="s">
        <v>41</v>
      </c>
      <c r="J152" s="5"/>
      <c r="K152" s="6" t="s">
        <v>42</v>
      </c>
      <c r="L152" s="5" t="s">
        <v>416</v>
      </c>
      <c r="M152" s="5" t="s">
        <v>141</v>
      </c>
      <c r="N152" s="20" t="s">
        <v>44</v>
      </c>
      <c r="O152" s="20" t="s">
        <v>4653</v>
      </c>
      <c r="P152" s="5" t="s">
        <v>48</v>
      </c>
      <c r="Q152" s="5" t="s">
        <v>4655</v>
      </c>
      <c r="R152" s="6">
        <v>4960.0</v>
      </c>
    </row>
    <row r="153" ht="56.25" customHeight="1">
      <c r="A153" s="5" t="s">
        <v>4656</v>
      </c>
      <c r="B153" s="6" t="str">
        <f>IMAGE("https://storage.googleapis.com/acdb/floors/RoomTexFloorMarble00.png")</f>
        <v/>
      </c>
      <c r="C153" s="5" t="s">
        <v>36</v>
      </c>
      <c r="D153" s="5" t="s">
        <v>36</v>
      </c>
      <c r="E153" s="6">
        <v>3000.0</v>
      </c>
      <c r="F153" s="6">
        <v>750.0</v>
      </c>
      <c r="G153" s="5" t="s">
        <v>57</v>
      </c>
      <c r="H153" s="5" t="s">
        <v>57</v>
      </c>
      <c r="I153" s="5" t="s">
        <v>59</v>
      </c>
      <c r="J153" s="5"/>
      <c r="K153" s="6" t="s">
        <v>42</v>
      </c>
      <c r="L153" s="5" t="s">
        <v>116</v>
      </c>
      <c r="M153" s="5" t="s">
        <v>141</v>
      </c>
      <c r="N153" s="20" t="s">
        <v>44</v>
      </c>
      <c r="O153" s="20" t="s">
        <v>4035</v>
      </c>
      <c r="P153" s="5" t="s">
        <v>64</v>
      </c>
      <c r="Q153" s="5" t="s">
        <v>4658</v>
      </c>
      <c r="R153" s="6">
        <v>5069.0</v>
      </c>
    </row>
    <row r="154" ht="56.25" customHeight="1">
      <c r="A154" s="5" t="s">
        <v>4659</v>
      </c>
      <c r="B154" s="6" t="str">
        <f>IMAGE("https://storage.googleapis.com/acdb/floors/RoomTexFloorStripe00.png")</f>
        <v/>
      </c>
      <c r="C154" s="5" t="s">
        <v>36</v>
      </c>
      <c r="D154" s="5" t="s">
        <v>36</v>
      </c>
      <c r="E154" s="6">
        <v>1200.0</v>
      </c>
      <c r="F154" s="6">
        <v>300.0</v>
      </c>
      <c r="G154" s="5" t="s">
        <v>58</v>
      </c>
      <c r="H154" s="5" t="s">
        <v>95</v>
      </c>
      <c r="I154" s="5" t="s">
        <v>59</v>
      </c>
      <c r="J154" s="5"/>
      <c r="K154" s="6" t="s">
        <v>42</v>
      </c>
      <c r="L154" s="5" t="s">
        <v>90</v>
      </c>
      <c r="M154" s="5" t="s">
        <v>99</v>
      </c>
      <c r="N154" s="20" t="s">
        <v>44</v>
      </c>
      <c r="O154" s="20" t="s">
        <v>4008</v>
      </c>
      <c r="P154" s="5" t="s">
        <v>64</v>
      </c>
      <c r="Q154" s="5" t="s">
        <v>4662</v>
      </c>
      <c r="R154" s="6">
        <v>4963.0</v>
      </c>
    </row>
    <row r="155" ht="56.25" customHeight="1">
      <c r="A155" s="5" t="s">
        <v>4663</v>
      </c>
      <c r="B155" s="6" t="str">
        <f>IMAGE("https://storage.googleapis.com/acdb/floors/RoomTexFloorArena00.png")</f>
        <v/>
      </c>
      <c r="C155" s="5" t="s">
        <v>36</v>
      </c>
      <c r="D155" s="5" t="s">
        <v>36</v>
      </c>
      <c r="E155" s="6">
        <v>3000.0</v>
      </c>
      <c r="F155" s="6">
        <v>750.0</v>
      </c>
      <c r="G155" s="5" t="s">
        <v>38</v>
      </c>
      <c r="H155" s="5" t="s">
        <v>38</v>
      </c>
      <c r="I155" s="5" t="s">
        <v>2800</v>
      </c>
      <c r="J155" s="5"/>
      <c r="K155" s="6" t="s">
        <v>42</v>
      </c>
      <c r="L155" s="5" t="s">
        <v>474</v>
      </c>
      <c r="M155" s="5" t="s">
        <v>266</v>
      </c>
      <c r="N155" s="20" t="s">
        <v>44</v>
      </c>
      <c r="O155" s="20" t="s">
        <v>4099</v>
      </c>
      <c r="P155" s="5" t="s">
        <v>48</v>
      </c>
      <c r="Q155" s="5" t="s">
        <v>4666</v>
      </c>
      <c r="R155" s="6">
        <v>5013.0</v>
      </c>
    </row>
    <row r="156" ht="56.25" customHeight="1">
      <c r="A156" s="5" t="s">
        <v>4668</v>
      </c>
      <c r="B156" s="6" t="str">
        <f>IMAGE("https://storage.googleapis.com/acdb/floors/RoomTexFloorBog00.png")</f>
        <v/>
      </c>
      <c r="C156" s="5" t="s">
        <v>36</v>
      </c>
      <c r="D156" s="5" t="s">
        <v>36</v>
      </c>
      <c r="E156" s="6">
        <v>3000.0</v>
      </c>
      <c r="F156" s="6">
        <v>750.0</v>
      </c>
      <c r="G156" s="5" t="s">
        <v>54</v>
      </c>
      <c r="H156" s="5" t="s">
        <v>95</v>
      </c>
      <c r="I156" s="5" t="s">
        <v>2800</v>
      </c>
      <c r="J156" s="5"/>
      <c r="K156" s="6" t="s">
        <v>42</v>
      </c>
      <c r="L156" s="5" t="s">
        <v>172</v>
      </c>
      <c r="M156" s="5" t="s">
        <v>732</v>
      </c>
      <c r="N156" s="20" t="s">
        <v>44</v>
      </c>
      <c r="O156" s="20" t="s">
        <v>4251</v>
      </c>
      <c r="P156" s="5" t="s">
        <v>48</v>
      </c>
      <c r="Q156" s="5" t="s">
        <v>4670</v>
      </c>
      <c r="R156" s="6">
        <v>5238.0</v>
      </c>
    </row>
    <row r="157" ht="56.25" customHeight="1">
      <c r="A157" s="5" t="s">
        <v>4672</v>
      </c>
      <c r="B157" s="6" t="str">
        <f>IMAGE("https://storage.googleapis.com/acdb/floors/RoomTexFloorTatami00.png")</f>
        <v/>
      </c>
      <c r="C157" s="5" t="s">
        <v>36</v>
      </c>
      <c r="D157" s="5" t="s">
        <v>36</v>
      </c>
      <c r="E157" s="6">
        <v>2200.0</v>
      </c>
      <c r="F157" s="6">
        <v>550.0</v>
      </c>
      <c r="G157" s="5" t="s">
        <v>38</v>
      </c>
      <c r="H157" s="5" t="s">
        <v>38</v>
      </c>
      <c r="I157" s="5" t="s">
        <v>59</v>
      </c>
      <c r="J157" s="5"/>
      <c r="K157" s="6" t="s">
        <v>42</v>
      </c>
      <c r="L157" s="5" t="s">
        <v>266</v>
      </c>
      <c r="M157" s="5" t="s">
        <v>90</v>
      </c>
      <c r="N157" s="20" t="s">
        <v>44</v>
      </c>
      <c r="O157" s="20" t="s">
        <v>4570</v>
      </c>
      <c r="P157" s="5" t="s">
        <v>64</v>
      </c>
      <c r="Q157" s="5" t="s">
        <v>4675</v>
      </c>
      <c r="R157" s="6">
        <v>5039.0</v>
      </c>
    </row>
    <row r="158" ht="56.25" customHeight="1">
      <c r="A158" s="5" t="s">
        <v>4676</v>
      </c>
      <c r="B158" s="6" t="str">
        <f>IMAGE("https://storage.googleapis.com/acdb/floors/RoomTexFloorTatamiPanel00.png")</f>
        <v/>
      </c>
      <c r="C158" s="5" t="s">
        <v>36</v>
      </c>
      <c r="D158" s="5" t="s">
        <v>36</v>
      </c>
      <c r="E158" s="6">
        <v>2200.0</v>
      </c>
      <c r="F158" s="6">
        <v>550.0</v>
      </c>
      <c r="G158" s="5" t="s">
        <v>96</v>
      </c>
      <c r="H158" s="5" t="s">
        <v>57</v>
      </c>
      <c r="I158" s="5" t="s">
        <v>59</v>
      </c>
      <c r="J158" s="5"/>
      <c r="K158" s="6" t="s">
        <v>42</v>
      </c>
      <c r="L158" s="5" t="s">
        <v>266</v>
      </c>
      <c r="M158" s="5" t="s">
        <v>90</v>
      </c>
      <c r="N158" s="20" t="s">
        <v>44</v>
      </c>
      <c r="O158" s="20" t="s">
        <v>4576</v>
      </c>
      <c r="P158" s="5" t="s">
        <v>64</v>
      </c>
      <c r="Q158" s="5" t="s">
        <v>4679</v>
      </c>
      <c r="R158" s="6">
        <v>5077.0</v>
      </c>
    </row>
    <row r="159" ht="56.25" customHeight="1">
      <c r="A159" s="5" t="s">
        <v>4680</v>
      </c>
      <c r="B159" s="6" t="str">
        <f>IMAGE("https://storage.googleapis.com/acdb/floors/RoomTexFloorTileTerracotta00.png")</f>
        <v/>
      </c>
      <c r="C159" s="5" t="s">
        <v>36</v>
      </c>
      <c r="D159" s="5" t="s">
        <v>36</v>
      </c>
      <c r="E159" s="6">
        <v>1800.0</v>
      </c>
      <c r="F159" s="6">
        <v>450.0</v>
      </c>
      <c r="G159" s="5" t="s">
        <v>142</v>
      </c>
      <c r="H159" s="5" t="s">
        <v>142</v>
      </c>
      <c r="I159" s="5" t="s">
        <v>59</v>
      </c>
      <c r="J159" s="5"/>
      <c r="K159" s="6" t="s">
        <v>42</v>
      </c>
      <c r="L159" s="5" t="s">
        <v>141</v>
      </c>
      <c r="M159" s="5" t="s">
        <v>62</v>
      </c>
      <c r="N159" s="20" t="s">
        <v>44</v>
      </c>
      <c r="O159" s="20" t="s">
        <v>4003</v>
      </c>
      <c r="P159" s="5" t="s">
        <v>64</v>
      </c>
      <c r="Q159" s="5" t="s">
        <v>4682</v>
      </c>
      <c r="R159" s="6">
        <v>4971.0</v>
      </c>
    </row>
    <row r="160" ht="56.25" customHeight="1">
      <c r="A160" s="5" t="s">
        <v>4683</v>
      </c>
      <c r="B160" s="6" t="str">
        <f>IMAGE("https://storage.googleapis.com/acdb/floors/RoomTexFloorAnimal03.png")</f>
        <v/>
      </c>
      <c r="C160" s="5" t="s">
        <v>36</v>
      </c>
      <c r="D160" s="5" t="s">
        <v>36</v>
      </c>
      <c r="E160" s="6">
        <v>1300.0</v>
      </c>
      <c r="F160" s="6">
        <v>325.0</v>
      </c>
      <c r="G160" s="5" t="s">
        <v>54</v>
      </c>
      <c r="H160" s="5" t="s">
        <v>142</v>
      </c>
      <c r="I160" s="5" t="s">
        <v>59</v>
      </c>
      <c r="J160" s="5"/>
      <c r="K160" s="6" t="s">
        <v>42</v>
      </c>
      <c r="L160" s="5" t="s">
        <v>465</v>
      </c>
      <c r="M160" s="5" t="s">
        <v>61</v>
      </c>
      <c r="N160" s="20" t="s">
        <v>44</v>
      </c>
      <c r="O160" s="20" t="s">
        <v>4309</v>
      </c>
      <c r="P160" s="5" t="s">
        <v>64</v>
      </c>
      <c r="Q160" s="5" t="s">
        <v>4687</v>
      </c>
      <c r="R160" s="6">
        <v>6848.0</v>
      </c>
    </row>
    <row r="161" ht="56.25" customHeight="1">
      <c r="A161" s="5" t="s">
        <v>4688</v>
      </c>
      <c r="B161" s="6" t="str">
        <f>IMAGE("https://storage.googleapis.com/acdb/floors/RoomTexFloorPlatform00.png")</f>
        <v/>
      </c>
      <c r="C161" s="5" t="s">
        <v>36</v>
      </c>
      <c r="D161" s="5" t="s">
        <v>36</v>
      </c>
      <c r="E161" s="6">
        <v>3000.0</v>
      </c>
      <c r="F161" s="6">
        <v>750.0</v>
      </c>
      <c r="G161" s="5" t="s">
        <v>38</v>
      </c>
      <c r="H161" s="5" t="s">
        <v>39</v>
      </c>
      <c r="I161" s="5" t="s">
        <v>2800</v>
      </c>
      <c r="J161" s="5"/>
      <c r="K161" s="6" t="s">
        <v>42</v>
      </c>
      <c r="L161" s="5" t="s">
        <v>141</v>
      </c>
      <c r="M161" s="5" t="s">
        <v>44</v>
      </c>
      <c r="N161" s="20" t="s">
        <v>44</v>
      </c>
      <c r="O161" s="20" t="s">
        <v>4173</v>
      </c>
      <c r="P161" s="5" t="s">
        <v>48</v>
      </c>
      <c r="Q161" s="5" t="s">
        <v>4691</v>
      </c>
      <c r="R161" s="6">
        <v>5009.0</v>
      </c>
    </row>
    <row r="162" ht="56.25" customHeight="1">
      <c r="A162" s="5" t="s">
        <v>4692</v>
      </c>
      <c r="B162" s="6" t="str">
        <f>IMAGE("https://storage.googleapis.com/acdb/floors/RoomSpFloorFishTank00.png")</f>
        <v/>
      </c>
      <c r="C162" s="5" t="s">
        <v>35</v>
      </c>
      <c r="D162" s="5" t="s">
        <v>35</v>
      </c>
      <c r="E162" s="6" t="s">
        <v>37</v>
      </c>
      <c r="F162" s="6">
        <v>6600.0</v>
      </c>
      <c r="G162" s="5" t="s">
        <v>68</v>
      </c>
      <c r="H162" s="5" t="s">
        <v>83</v>
      </c>
      <c r="I162" s="5" t="s">
        <v>41</v>
      </c>
      <c r="J162" s="5" t="s">
        <v>3865</v>
      </c>
      <c r="K162" s="6" t="s">
        <v>42</v>
      </c>
      <c r="L162" s="5" t="s">
        <v>138</v>
      </c>
      <c r="M162" s="5" t="s">
        <v>44</v>
      </c>
      <c r="N162" s="20" t="s">
        <v>44</v>
      </c>
      <c r="O162" s="20" t="s">
        <v>4145</v>
      </c>
      <c r="P162" s="5" t="s">
        <v>48</v>
      </c>
      <c r="Q162" s="5" t="s">
        <v>4695</v>
      </c>
      <c r="R162" s="6">
        <v>5268.0</v>
      </c>
    </row>
    <row r="163" ht="56.25" customHeight="1">
      <c r="A163" s="5" t="s">
        <v>4696</v>
      </c>
      <c r="B163" s="6" t="str">
        <f>IMAGE("https://storage.googleapis.com/acdb/floors/RoomSpFloorWater00.png")</f>
        <v/>
      </c>
      <c r="C163" s="5" t="s">
        <v>35</v>
      </c>
      <c r="D163" s="5" t="s">
        <v>35</v>
      </c>
      <c r="E163" s="6" t="s">
        <v>37</v>
      </c>
      <c r="F163" s="6">
        <v>7200.0</v>
      </c>
      <c r="G163" s="5" t="s">
        <v>83</v>
      </c>
      <c r="H163" s="5" t="s">
        <v>68</v>
      </c>
      <c r="I163" s="5" t="s">
        <v>41</v>
      </c>
      <c r="J163" s="5" t="s">
        <v>3865</v>
      </c>
      <c r="K163" s="6" t="s">
        <v>42</v>
      </c>
      <c r="L163" s="5" t="s">
        <v>138</v>
      </c>
      <c r="M163" s="5" t="s">
        <v>44</v>
      </c>
      <c r="N163" s="20" t="s">
        <v>44</v>
      </c>
      <c r="O163" s="20" t="s">
        <v>4145</v>
      </c>
      <c r="P163" s="5" t="s">
        <v>48</v>
      </c>
      <c r="Q163" s="5" t="s">
        <v>4700</v>
      </c>
      <c r="R163" s="6">
        <v>5030.0</v>
      </c>
    </row>
    <row r="164" ht="56.25" customHeight="1">
      <c r="A164" s="5" t="s">
        <v>4701</v>
      </c>
      <c r="B164" s="6" t="str">
        <f>IMAGE("https://storage.googleapis.com/acdb/floors/RoomTexFloorWilderness00.png")</f>
        <v/>
      </c>
      <c r="C164" s="5" t="s">
        <v>36</v>
      </c>
      <c r="D164" s="5" t="s">
        <v>36</v>
      </c>
      <c r="E164" s="6">
        <v>3000.0</v>
      </c>
      <c r="F164" s="6">
        <v>750.0</v>
      </c>
      <c r="G164" s="5" t="s">
        <v>38</v>
      </c>
      <c r="H164" s="5" t="s">
        <v>38</v>
      </c>
      <c r="I164" s="5" t="s">
        <v>2800</v>
      </c>
      <c r="J164" s="5"/>
      <c r="K164" s="6" t="s">
        <v>42</v>
      </c>
      <c r="L164" s="5" t="s">
        <v>696</v>
      </c>
      <c r="M164" s="5" t="s">
        <v>732</v>
      </c>
      <c r="N164" s="20" t="s">
        <v>44</v>
      </c>
      <c r="O164" s="20" t="s">
        <v>4251</v>
      </c>
      <c r="P164" s="5" t="s">
        <v>48</v>
      </c>
      <c r="Q164" s="5" t="s">
        <v>4705</v>
      </c>
      <c r="R164" s="6">
        <v>4984.0</v>
      </c>
    </row>
    <row r="165" ht="56.25" customHeight="1">
      <c r="A165" s="5" t="s">
        <v>4706</v>
      </c>
      <c r="B165" s="6" t="str">
        <f>IMAGE("https://storage.googleapis.com/acdb/floors/RoomTexFloorHoneycomb03.png")</f>
        <v/>
      </c>
      <c r="C165" s="5" t="s">
        <v>36</v>
      </c>
      <c r="D165" s="5" t="s">
        <v>36</v>
      </c>
      <c r="E165" s="6">
        <v>1420.0</v>
      </c>
      <c r="F165" s="6">
        <v>355.0</v>
      </c>
      <c r="G165" s="5" t="s">
        <v>57</v>
      </c>
      <c r="H165" s="5" t="s">
        <v>57</v>
      </c>
      <c r="I165" s="5" t="s">
        <v>59</v>
      </c>
      <c r="J165" s="5"/>
      <c r="K165" s="6" t="s">
        <v>42</v>
      </c>
      <c r="L165" s="5" t="s">
        <v>288</v>
      </c>
      <c r="M165" s="5" t="s">
        <v>141</v>
      </c>
      <c r="N165" s="20" t="s">
        <v>44</v>
      </c>
      <c r="O165" s="20" t="s">
        <v>2995</v>
      </c>
      <c r="P165" s="5" t="s">
        <v>64</v>
      </c>
      <c r="Q165" s="5" t="s">
        <v>4710</v>
      </c>
      <c r="R165" s="6">
        <v>5042.0</v>
      </c>
    </row>
    <row r="166" ht="56.25" customHeight="1">
      <c r="A166" s="5" t="s">
        <v>4711</v>
      </c>
      <c r="B166" s="6" t="str">
        <f>IMAGE("https://storage.googleapis.com/acdb/floors/RoomTexFloorParquetIron03.png")</f>
        <v/>
      </c>
      <c r="C166" s="5" t="s">
        <v>36</v>
      </c>
      <c r="D166" s="5" t="s">
        <v>36</v>
      </c>
      <c r="E166" s="6">
        <v>2350.0</v>
      </c>
      <c r="F166" s="6">
        <v>587.0</v>
      </c>
      <c r="G166" s="5" t="s">
        <v>57</v>
      </c>
      <c r="H166" s="5" t="s">
        <v>57</v>
      </c>
      <c r="I166" s="5" t="s">
        <v>59</v>
      </c>
      <c r="J166" s="5"/>
      <c r="K166" s="6" t="s">
        <v>42</v>
      </c>
      <c r="L166" s="5" t="s">
        <v>116</v>
      </c>
      <c r="M166" s="5" t="s">
        <v>90</v>
      </c>
      <c r="N166" s="20" t="s">
        <v>44</v>
      </c>
      <c r="O166" s="20" t="s">
        <v>4054</v>
      </c>
      <c r="P166" s="5" t="s">
        <v>64</v>
      </c>
      <c r="Q166" s="5" t="s">
        <v>4713</v>
      </c>
      <c r="R166" s="6">
        <v>6843.0</v>
      </c>
    </row>
    <row r="167" ht="56.25" customHeight="1">
      <c r="A167" s="5" t="s">
        <v>4714</v>
      </c>
      <c r="B167" s="6" t="str">
        <f>IMAGE("https://storage.googleapis.com/acdb/floors/RoomTexFloorTile00.png")</f>
        <v/>
      </c>
      <c r="C167" s="5" t="s">
        <v>36</v>
      </c>
      <c r="D167" s="5" t="s">
        <v>36</v>
      </c>
      <c r="E167" s="6">
        <v>900.0</v>
      </c>
      <c r="F167" s="6">
        <v>225.0</v>
      </c>
      <c r="G167" s="5" t="s">
        <v>57</v>
      </c>
      <c r="H167" s="5" t="s">
        <v>57</v>
      </c>
      <c r="I167" s="5" t="s">
        <v>59</v>
      </c>
      <c r="J167" s="5"/>
      <c r="K167" s="6" t="s">
        <v>42</v>
      </c>
      <c r="L167" s="5" t="s">
        <v>288</v>
      </c>
      <c r="M167" s="5" t="s">
        <v>141</v>
      </c>
      <c r="N167" s="20" t="s">
        <v>44</v>
      </c>
      <c r="O167" s="20" t="s">
        <v>4003</v>
      </c>
      <c r="P167" s="5" t="s">
        <v>64</v>
      </c>
      <c r="Q167" s="5" t="s">
        <v>4717</v>
      </c>
      <c r="R167" s="6">
        <v>5020.0</v>
      </c>
    </row>
    <row r="168" ht="56.25" customHeight="1">
      <c r="A168" s="5" t="s">
        <v>4718</v>
      </c>
      <c r="B168" s="6" t="str">
        <f>IMAGE("https://storage.googleapis.com/acdb/floors/RoomTexFloorBrick00.png")</f>
        <v/>
      </c>
      <c r="C168" s="5" t="s">
        <v>36</v>
      </c>
      <c r="D168" s="5" t="s">
        <v>36</v>
      </c>
      <c r="E168" s="6">
        <v>1040.0</v>
      </c>
      <c r="F168" s="6">
        <v>260.0</v>
      </c>
      <c r="G168" s="5" t="s">
        <v>57</v>
      </c>
      <c r="H168" s="5" t="s">
        <v>57</v>
      </c>
      <c r="I168" s="5" t="s">
        <v>59</v>
      </c>
      <c r="J168" s="5"/>
      <c r="K168" s="6" t="s">
        <v>42</v>
      </c>
      <c r="L168" s="5" t="s">
        <v>141</v>
      </c>
      <c r="M168" s="5" t="s">
        <v>62</v>
      </c>
      <c r="N168" s="20" t="s">
        <v>44</v>
      </c>
      <c r="O168" s="20" t="s">
        <v>2941</v>
      </c>
      <c r="P168" s="5" t="s">
        <v>64</v>
      </c>
      <c r="Q168" s="5" t="s">
        <v>4721</v>
      </c>
      <c r="R168" s="6">
        <v>4974.0</v>
      </c>
    </row>
    <row r="169" ht="56.25" customHeight="1">
      <c r="A169" s="5" t="s">
        <v>4722</v>
      </c>
      <c r="B169" s="6" t="str">
        <f>IMAGE("https://storage.googleapis.com/acdb/floors/RoomTexFloorChocolate01.png")</f>
        <v/>
      </c>
      <c r="C169" s="5" t="s">
        <v>36</v>
      </c>
      <c r="D169" s="5" t="s">
        <v>36</v>
      </c>
      <c r="E169" s="6">
        <v>3000.0</v>
      </c>
      <c r="F169" s="6">
        <v>750.0</v>
      </c>
      <c r="G169" s="5" t="s">
        <v>57</v>
      </c>
      <c r="H169" s="5" t="s">
        <v>38</v>
      </c>
      <c r="I169" s="5" t="s">
        <v>2800</v>
      </c>
      <c r="J169" s="5"/>
      <c r="K169" s="6" t="s">
        <v>42</v>
      </c>
      <c r="L169" s="5" t="s">
        <v>61</v>
      </c>
      <c r="M169" s="5" t="s">
        <v>44</v>
      </c>
      <c r="N169" s="20" t="s">
        <v>44</v>
      </c>
      <c r="O169" s="20" t="s">
        <v>3256</v>
      </c>
      <c r="P169" s="5" t="s">
        <v>48</v>
      </c>
      <c r="Q169" s="5" t="s">
        <v>4726</v>
      </c>
      <c r="R169" s="6">
        <v>5052.0</v>
      </c>
    </row>
    <row r="170" ht="56.25" customHeight="1">
      <c r="A170" s="5" t="s">
        <v>4727</v>
      </c>
      <c r="B170" s="6" t="str">
        <f>IMAGE("https://storage.googleapis.com/acdb/floors/RoomTexFloorPaintWood03.png")</f>
        <v/>
      </c>
      <c r="C170" s="5" t="s">
        <v>36</v>
      </c>
      <c r="D170" s="5" t="s">
        <v>36</v>
      </c>
      <c r="E170" s="6">
        <v>1040.0</v>
      </c>
      <c r="F170" s="6">
        <v>260.0</v>
      </c>
      <c r="G170" s="5" t="s">
        <v>57</v>
      </c>
      <c r="H170" s="5" t="s">
        <v>57</v>
      </c>
      <c r="I170" s="5" t="s">
        <v>59</v>
      </c>
      <c r="J170" s="5"/>
      <c r="K170" s="6" t="s">
        <v>42</v>
      </c>
      <c r="L170" s="5" t="s">
        <v>90</v>
      </c>
      <c r="M170" s="5" t="s">
        <v>99</v>
      </c>
      <c r="N170" s="20" t="s">
        <v>44</v>
      </c>
      <c r="O170" s="20" t="s">
        <v>3012</v>
      </c>
      <c r="P170" s="5" t="s">
        <v>64</v>
      </c>
      <c r="Q170" s="5" t="s">
        <v>4730</v>
      </c>
      <c r="R170" s="6">
        <v>5060.0</v>
      </c>
    </row>
    <row r="171" ht="56.25" customHeight="1">
      <c r="A171" s="5" t="s">
        <v>4731</v>
      </c>
      <c r="B171" s="6" t="str">
        <f>IMAGE("https://storage.googleapis.com/acdb/floors/RoomTexFloorGrassland01.png")</f>
        <v/>
      </c>
      <c r="C171" s="5" t="s">
        <v>36</v>
      </c>
      <c r="D171" s="5" t="s">
        <v>36</v>
      </c>
      <c r="E171" s="6">
        <v>3000.0</v>
      </c>
      <c r="F171" s="6">
        <v>750.0</v>
      </c>
      <c r="G171" s="5" t="s">
        <v>96</v>
      </c>
      <c r="H171" s="5" t="s">
        <v>96</v>
      </c>
      <c r="I171" s="5" t="s">
        <v>2800</v>
      </c>
      <c r="J171" s="5"/>
      <c r="K171" s="6" t="s">
        <v>42</v>
      </c>
      <c r="L171" s="5" t="s">
        <v>172</v>
      </c>
      <c r="M171" s="5" t="s">
        <v>61</v>
      </c>
      <c r="N171" s="20" t="s">
        <v>44</v>
      </c>
      <c r="O171" s="20" t="s">
        <v>4026</v>
      </c>
      <c r="P171" s="5" t="s">
        <v>48</v>
      </c>
      <c r="Q171" s="5" t="s">
        <v>4735</v>
      </c>
      <c r="R171" s="6">
        <v>5006.0</v>
      </c>
    </row>
    <row r="172" ht="56.25" customHeight="1">
      <c r="A172" s="5" t="s">
        <v>4736</v>
      </c>
      <c r="B172" s="6" t="str">
        <f>IMAGE("https://storage.googleapis.com/acdb/floors/RoomTexFloorCedar00.png")</f>
        <v/>
      </c>
      <c r="C172" s="5" t="s">
        <v>36</v>
      </c>
      <c r="D172" s="5" t="s">
        <v>36</v>
      </c>
      <c r="E172" s="6">
        <v>780.0</v>
      </c>
      <c r="F172" s="6">
        <v>195.0</v>
      </c>
      <c r="G172" s="5" t="s">
        <v>39</v>
      </c>
      <c r="H172" s="5" t="s">
        <v>39</v>
      </c>
      <c r="I172" s="5" t="s">
        <v>59</v>
      </c>
      <c r="J172" s="5"/>
      <c r="K172" s="6" t="s">
        <v>42</v>
      </c>
      <c r="L172" s="5" t="s">
        <v>90</v>
      </c>
      <c r="M172" s="5" t="s">
        <v>99</v>
      </c>
      <c r="N172" s="20" t="s">
        <v>44</v>
      </c>
      <c r="O172" s="20" t="s">
        <v>4050</v>
      </c>
      <c r="P172" s="5" t="s">
        <v>64</v>
      </c>
      <c r="Q172" s="5" t="s">
        <v>4740</v>
      </c>
      <c r="R172" s="6">
        <v>5049.0</v>
      </c>
    </row>
    <row r="173" ht="56.25" customHeight="1">
      <c r="A173" s="5" t="s">
        <v>4741</v>
      </c>
      <c r="B173" s="6" t="str">
        <f>IMAGE("https://storage.googleapis.com/acdb/floors/RoomTexFloorDecoWood00.png")</f>
        <v/>
      </c>
      <c r="C173" s="5" t="s">
        <v>36</v>
      </c>
      <c r="D173" s="5" t="s">
        <v>36</v>
      </c>
      <c r="E173" s="6">
        <v>1520.0</v>
      </c>
      <c r="F173" s="6">
        <v>380.0</v>
      </c>
      <c r="G173" s="5" t="s">
        <v>114</v>
      </c>
      <c r="H173" s="5" t="s">
        <v>114</v>
      </c>
      <c r="I173" s="5" t="s">
        <v>59</v>
      </c>
      <c r="J173" s="5"/>
      <c r="K173" s="6" t="s">
        <v>42</v>
      </c>
      <c r="L173" s="5" t="s">
        <v>62</v>
      </c>
      <c r="M173" s="5" t="s">
        <v>90</v>
      </c>
      <c r="N173" s="20" t="s">
        <v>44</v>
      </c>
      <c r="O173" s="20" t="s">
        <v>4076</v>
      </c>
      <c r="P173" s="5" t="s">
        <v>64</v>
      </c>
      <c r="Q173" s="5" t="s">
        <v>4746</v>
      </c>
      <c r="R173" s="6">
        <v>5073.0</v>
      </c>
    </row>
    <row r="174" ht="56.25" customHeight="1">
      <c r="A174" s="5" t="s">
        <v>4748</v>
      </c>
      <c r="B174" s="6" t="str">
        <f>IMAGE("https://storage.googleapis.com/acdb/floors/RoomTexFloorAnimal02.png")</f>
        <v/>
      </c>
      <c r="C174" s="5" t="s">
        <v>36</v>
      </c>
      <c r="D174" s="5" t="s">
        <v>36</v>
      </c>
      <c r="E174" s="6">
        <v>1300.0</v>
      </c>
      <c r="F174" s="6">
        <v>325.0</v>
      </c>
      <c r="G174" s="5" t="s">
        <v>54</v>
      </c>
      <c r="H174" s="5" t="s">
        <v>57</v>
      </c>
      <c r="I174" s="5" t="s">
        <v>59</v>
      </c>
      <c r="J174" s="5"/>
      <c r="K174" s="6" t="s">
        <v>42</v>
      </c>
      <c r="L174" s="5" t="s">
        <v>465</v>
      </c>
      <c r="M174" s="5" t="s">
        <v>61</v>
      </c>
      <c r="N174" s="20" t="s">
        <v>44</v>
      </c>
      <c r="O174" s="20" t="s">
        <v>4309</v>
      </c>
      <c r="P174" s="5" t="s">
        <v>64</v>
      </c>
      <c r="Q174" s="5" t="s">
        <v>4752</v>
      </c>
      <c r="R174" s="6">
        <v>4962.0</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2" width="10.86"/>
    <col customWidth="1" min="3" max="3" width="4.43"/>
    <col customWidth="1" min="4" max="5" width="5.86"/>
    <col customWidth="1" min="6" max="7" width="8.0"/>
    <col customWidth="1" min="8" max="8" width="5.14"/>
    <col customWidth="1" min="9" max="9" width="12.29"/>
    <col customWidth="1" min="10" max="10" width="25.14"/>
    <col customWidth="1" min="11" max="11" width="8.0"/>
    <col customWidth="1" min="12" max="13" width="10.14"/>
    <col customWidth="1" min="14" max="14" width="9.43"/>
    <col customWidth="1" min="15" max="15" width="10.14"/>
    <col customWidth="1" min="16" max="16" width="8.0"/>
    <col customWidth="1" min="17" max="17" width="10.86"/>
    <col customWidth="1" min="18" max="18" width="8.0"/>
  </cols>
  <sheetData>
    <row r="1" ht="26.25" customHeight="1">
      <c r="A1" s="1" t="s">
        <v>0</v>
      </c>
      <c r="B1" s="2" t="s">
        <v>1</v>
      </c>
      <c r="C1" s="1" t="s">
        <v>6</v>
      </c>
      <c r="D1" s="2" t="s">
        <v>10</v>
      </c>
      <c r="E1" s="2" t="s">
        <v>11</v>
      </c>
      <c r="F1" s="1" t="s">
        <v>12</v>
      </c>
      <c r="G1" s="1" t="s">
        <v>13</v>
      </c>
      <c r="H1" s="2" t="s">
        <v>14</v>
      </c>
      <c r="I1" s="1" t="s">
        <v>15</v>
      </c>
      <c r="J1" s="1" t="s">
        <v>16</v>
      </c>
      <c r="K1" s="2" t="s">
        <v>17</v>
      </c>
      <c r="L1" s="1" t="s">
        <v>18</v>
      </c>
      <c r="M1" s="1" t="s">
        <v>19</v>
      </c>
      <c r="N1" s="1" t="s">
        <v>20</v>
      </c>
      <c r="O1" s="1" t="s">
        <v>23</v>
      </c>
      <c r="P1" s="1" t="s">
        <v>26</v>
      </c>
      <c r="Q1" s="1" t="s">
        <v>27</v>
      </c>
      <c r="R1" s="2" t="s">
        <v>29</v>
      </c>
    </row>
    <row r="2" ht="56.25" customHeight="1">
      <c r="A2" s="5" t="s">
        <v>4772</v>
      </c>
      <c r="B2" s="16" t="str">
        <f>IMAGE("https://storage.googleapis.com/acdb/rugs/RugRectAluminumM00.png")</f>
        <v/>
      </c>
      <c r="C2" s="5" t="s">
        <v>36</v>
      </c>
      <c r="D2" s="6">
        <v>1500.0</v>
      </c>
      <c r="E2" s="6">
        <v>375.0</v>
      </c>
      <c r="F2" s="5" t="s">
        <v>95</v>
      </c>
      <c r="G2" s="5" t="s">
        <v>95</v>
      </c>
      <c r="H2" s="6" t="s">
        <v>4774</v>
      </c>
      <c r="I2" s="5" t="s">
        <v>2800</v>
      </c>
      <c r="J2" s="5" t="s">
        <v>4775</v>
      </c>
      <c r="K2" s="6" t="s">
        <v>42</v>
      </c>
      <c r="L2" s="5" t="s">
        <v>172</v>
      </c>
      <c r="M2" s="5" t="s">
        <v>765</v>
      </c>
      <c r="N2" s="5" t="s">
        <v>44</v>
      </c>
      <c r="O2" s="5" t="s">
        <v>4777</v>
      </c>
      <c r="P2" s="5" t="s">
        <v>64</v>
      </c>
      <c r="Q2" s="5" t="s">
        <v>4778</v>
      </c>
      <c r="R2" s="6">
        <v>7356.0</v>
      </c>
    </row>
    <row r="3" ht="56.25" customHeight="1">
      <c r="A3" s="5" t="s">
        <v>4779</v>
      </c>
      <c r="B3" s="16" t="str">
        <f>IMAGE("https://storage.googleapis.com/acdb/rugs/RugOtherAppleM00.png")</f>
        <v/>
      </c>
      <c r="C3" s="5" t="s">
        <v>35</v>
      </c>
      <c r="D3" s="6" t="s">
        <v>37</v>
      </c>
      <c r="E3" s="6">
        <v>1200.0</v>
      </c>
      <c r="F3" s="5" t="s">
        <v>52</v>
      </c>
      <c r="G3" s="5" t="s">
        <v>52</v>
      </c>
      <c r="H3" s="6" t="s">
        <v>4782</v>
      </c>
      <c r="I3" s="5" t="s">
        <v>41</v>
      </c>
      <c r="J3" s="5"/>
      <c r="K3" s="6" t="s">
        <v>42</v>
      </c>
      <c r="L3" s="5" t="s">
        <v>61</v>
      </c>
      <c r="M3" s="5" t="s">
        <v>99</v>
      </c>
      <c r="N3" s="5" t="s">
        <v>338</v>
      </c>
      <c r="O3" s="5" t="s">
        <v>4784</v>
      </c>
      <c r="P3" s="5" t="s">
        <v>48</v>
      </c>
      <c r="Q3" s="5" t="s">
        <v>4785</v>
      </c>
      <c r="R3" s="6">
        <v>7327.0</v>
      </c>
    </row>
    <row r="4" ht="56.25" customHeight="1">
      <c r="A4" s="5" t="s">
        <v>4786</v>
      </c>
      <c r="B4" s="16" t="str">
        <f>IMAGE("https://storage.googleapis.com/acdb/rugs/RugSquareBlockM03.png")</f>
        <v/>
      </c>
      <c r="C4" s="5" t="s">
        <v>36</v>
      </c>
      <c r="D4" s="6">
        <v>1500.0</v>
      </c>
      <c r="E4" s="6">
        <v>375.0</v>
      </c>
      <c r="F4" s="5" t="s">
        <v>54</v>
      </c>
      <c r="G4" s="5" t="s">
        <v>95</v>
      </c>
      <c r="H4" s="6" t="s">
        <v>4782</v>
      </c>
      <c r="I4" s="5" t="s">
        <v>2800</v>
      </c>
      <c r="J4" s="5" t="s">
        <v>4775</v>
      </c>
      <c r="K4" s="6" t="s">
        <v>42</v>
      </c>
      <c r="L4" s="5" t="s">
        <v>90</v>
      </c>
      <c r="M4" s="5" t="s">
        <v>44</v>
      </c>
      <c r="N4" s="5" t="s">
        <v>44</v>
      </c>
      <c r="O4" s="5" t="s">
        <v>4789</v>
      </c>
      <c r="P4" s="5" t="s">
        <v>64</v>
      </c>
      <c r="Q4" s="5" t="s">
        <v>4790</v>
      </c>
      <c r="R4" s="6">
        <v>11104.0</v>
      </c>
    </row>
    <row r="5" ht="56.25" customHeight="1">
      <c r="A5" s="5" t="s">
        <v>4791</v>
      </c>
      <c r="B5" s="16" t="str">
        <f>IMAGE("https://storage.googleapis.com/acdb/rugs/RugRectDeckM03.png")</f>
        <v/>
      </c>
      <c r="C5" s="5" t="s">
        <v>36</v>
      </c>
      <c r="D5" s="6">
        <v>1500.0</v>
      </c>
      <c r="E5" s="6">
        <v>375.0</v>
      </c>
      <c r="F5" s="5" t="s">
        <v>54</v>
      </c>
      <c r="G5" s="5" t="s">
        <v>54</v>
      </c>
      <c r="H5" s="6" t="s">
        <v>4774</v>
      </c>
      <c r="I5" s="5" t="s">
        <v>2800</v>
      </c>
      <c r="J5" s="5" t="s">
        <v>4775</v>
      </c>
      <c r="K5" s="6" t="s">
        <v>42</v>
      </c>
      <c r="L5" s="5" t="s">
        <v>765</v>
      </c>
      <c r="M5" s="5" t="s">
        <v>44</v>
      </c>
      <c r="N5" s="5" t="s">
        <v>44</v>
      </c>
      <c r="O5" s="5" t="s">
        <v>4793</v>
      </c>
      <c r="P5" s="5" t="s">
        <v>64</v>
      </c>
      <c r="Q5" s="5" t="s">
        <v>4794</v>
      </c>
      <c r="R5" s="6">
        <v>7382.0</v>
      </c>
    </row>
    <row r="6" ht="56.25" customHeight="1">
      <c r="A6" s="5" t="s">
        <v>4796</v>
      </c>
      <c r="B6" s="16" t="str">
        <f>IMAGE("https://storage.googleapis.com/acdb/rugs/RugRectNativeKitchenS03.png")</f>
        <v/>
      </c>
      <c r="C6" s="5" t="s">
        <v>36</v>
      </c>
      <c r="D6" s="6">
        <v>1000.0</v>
      </c>
      <c r="E6" s="6">
        <v>250.0</v>
      </c>
      <c r="F6" s="5" t="s">
        <v>54</v>
      </c>
      <c r="G6" s="5" t="s">
        <v>142</v>
      </c>
      <c r="H6" s="6" t="s">
        <v>136</v>
      </c>
      <c r="I6" s="5" t="s">
        <v>2800</v>
      </c>
      <c r="J6" s="5" t="s">
        <v>4798</v>
      </c>
      <c r="K6" s="6" t="s">
        <v>42</v>
      </c>
      <c r="L6" s="5" t="s">
        <v>159</v>
      </c>
      <c r="M6" s="5" t="s">
        <v>44</v>
      </c>
      <c r="N6" s="5" t="s">
        <v>44</v>
      </c>
      <c r="O6" s="5" t="s">
        <v>4799</v>
      </c>
      <c r="P6" s="5" t="s">
        <v>64</v>
      </c>
      <c r="Q6" s="5" t="s">
        <v>4800</v>
      </c>
      <c r="R6" s="6">
        <v>7594.0</v>
      </c>
    </row>
    <row r="7" ht="56.25" customHeight="1">
      <c r="A7" s="5" t="s">
        <v>4803</v>
      </c>
      <c r="B7" s="16" t="str">
        <f>IMAGE("https://storage.googleapis.com/acdb/rugs/RugRectArgyleL02.png")</f>
        <v/>
      </c>
      <c r="C7" s="5" t="s">
        <v>36</v>
      </c>
      <c r="D7" s="6">
        <v>2000.0</v>
      </c>
      <c r="E7" s="6">
        <v>500.0</v>
      </c>
      <c r="F7" s="5" t="s">
        <v>68</v>
      </c>
      <c r="G7" s="5" t="s">
        <v>96</v>
      </c>
      <c r="H7" s="6" t="s">
        <v>4807</v>
      </c>
      <c r="I7" s="5" t="s">
        <v>2800</v>
      </c>
      <c r="J7" s="5" t="s">
        <v>4808</v>
      </c>
      <c r="K7" s="6" t="s">
        <v>42</v>
      </c>
      <c r="L7" s="5" t="s">
        <v>90</v>
      </c>
      <c r="M7" s="5" t="s">
        <v>116</v>
      </c>
      <c r="N7" s="5" t="s">
        <v>44</v>
      </c>
      <c r="O7" s="5" t="s">
        <v>4810</v>
      </c>
      <c r="P7" s="5" t="s">
        <v>64</v>
      </c>
      <c r="Q7" s="5" t="s">
        <v>4812</v>
      </c>
      <c r="R7" s="6">
        <v>8467.0</v>
      </c>
    </row>
    <row r="8" ht="56.25" customHeight="1">
      <c r="A8" s="5" t="s">
        <v>4813</v>
      </c>
      <c r="B8" s="16" t="str">
        <f>IMAGE("https://storage.googleapis.com/acdb/rugs/RugSquareBlockM01.png")</f>
        <v/>
      </c>
      <c r="C8" s="5" t="s">
        <v>36</v>
      </c>
      <c r="D8" s="6">
        <v>1500.0</v>
      </c>
      <c r="E8" s="6">
        <v>375.0</v>
      </c>
      <c r="F8" s="5" t="s">
        <v>68</v>
      </c>
      <c r="G8" s="5" t="s">
        <v>68</v>
      </c>
      <c r="H8" s="6" t="s">
        <v>4782</v>
      </c>
      <c r="I8" s="5" t="s">
        <v>2800</v>
      </c>
      <c r="J8" s="5" t="s">
        <v>4775</v>
      </c>
      <c r="K8" s="6" t="s">
        <v>42</v>
      </c>
      <c r="L8" s="5" t="s">
        <v>90</v>
      </c>
      <c r="M8" s="5" t="s">
        <v>44</v>
      </c>
      <c r="N8" s="5" t="s">
        <v>44</v>
      </c>
      <c r="O8" s="5" t="s">
        <v>4789</v>
      </c>
      <c r="P8" s="5" t="s">
        <v>64</v>
      </c>
      <c r="Q8" s="5" t="s">
        <v>4816</v>
      </c>
      <c r="R8" s="6">
        <v>11102.0</v>
      </c>
    </row>
    <row r="9" ht="56.25" customHeight="1">
      <c r="A9" s="5" t="s">
        <v>4818</v>
      </c>
      <c r="B9" s="16" t="str">
        <f>IMAGE("https://storage.googleapis.com/acdb/rugs/RugRectDotL03.png")</f>
        <v/>
      </c>
      <c r="C9" s="5" t="s">
        <v>36</v>
      </c>
      <c r="D9" s="6">
        <v>2000.0</v>
      </c>
      <c r="E9" s="6">
        <v>500.0</v>
      </c>
      <c r="F9" s="5" t="s">
        <v>68</v>
      </c>
      <c r="G9" s="5" t="s">
        <v>68</v>
      </c>
      <c r="H9" s="6" t="s">
        <v>4807</v>
      </c>
      <c r="I9" s="5" t="s">
        <v>2800</v>
      </c>
      <c r="J9" s="5" t="s">
        <v>4808</v>
      </c>
      <c r="K9" s="6" t="s">
        <v>42</v>
      </c>
      <c r="L9" s="5" t="s">
        <v>61</v>
      </c>
      <c r="M9" s="5" t="s">
        <v>99</v>
      </c>
      <c r="N9" s="5" t="s">
        <v>44</v>
      </c>
      <c r="O9" s="5" t="s">
        <v>4810</v>
      </c>
      <c r="P9" s="5" t="s">
        <v>64</v>
      </c>
      <c r="Q9" s="5" t="s">
        <v>4822</v>
      </c>
      <c r="R9" s="6">
        <v>7467.0</v>
      </c>
    </row>
    <row r="10" ht="56.25" customHeight="1">
      <c r="A10" s="5" t="s">
        <v>4823</v>
      </c>
      <c r="B10" s="16" t="str">
        <f>IMAGE("https://storage.googleapis.com/acdb/rugs/RugSquareKirimL01.png")</f>
        <v/>
      </c>
      <c r="C10" s="5" t="s">
        <v>36</v>
      </c>
      <c r="D10" s="6">
        <v>2000.0</v>
      </c>
      <c r="E10" s="6">
        <v>500.0</v>
      </c>
      <c r="F10" s="5" t="s">
        <v>68</v>
      </c>
      <c r="G10" s="5" t="s">
        <v>54</v>
      </c>
      <c r="H10" s="6" t="s">
        <v>4826</v>
      </c>
      <c r="I10" s="5" t="s">
        <v>2800</v>
      </c>
      <c r="J10" s="5" t="s">
        <v>4808</v>
      </c>
      <c r="K10" s="6" t="s">
        <v>42</v>
      </c>
      <c r="L10" s="5" t="s">
        <v>90</v>
      </c>
      <c r="M10" s="5" t="s">
        <v>44</v>
      </c>
      <c r="N10" s="5" t="s">
        <v>44</v>
      </c>
      <c r="O10" s="5" t="s">
        <v>4789</v>
      </c>
      <c r="P10" s="5" t="s">
        <v>64</v>
      </c>
      <c r="Q10" s="5" t="s">
        <v>4828</v>
      </c>
      <c r="R10" s="6">
        <v>9316.0</v>
      </c>
    </row>
    <row r="11" ht="56.25" customHeight="1">
      <c r="A11" s="5" t="s">
        <v>4831</v>
      </c>
      <c r="B11" s="16" t="str">
        <f>IMAGE("https://storage.googleapis.com/acdb/rugs/RugRectKitchenS02.png")</f>
        <v/>
      </c>
      <c r="C11" s="5" t="s">
        <v>36</v>
      </c>
      <c r="D11" s="6">
        <v>1000.0</v>
      </c>
      <c r="E11" s="6">
        <v>250.0</v>
      </c>
      <c r="F11" s="5" t="s">
        <v>68</v>
      </c>
      <c r="G11" s="5" t="s">
        <v>68</v>
      </c>
      <c r="H11" s="6" t="s">
        <v>136</v>
      </c>
      <c r="I11" s="5" t="s">
        <v>2800</v>
      </c>
      <c r="J11" s="5" t="s">
        <v>4798</v>
      </c>
      <c r="K11" s="6" t="s">
        <v>42</v>
      </c>
      <c r="L11" s="5" t="s">
        <v>159</v>
      </c>
      <c r="M11" s="5" t="s">
        <v>44</v>
      </c>
      <c r="N11" s="5" t="s">
        <v>44</v>
      </c>
      <c r="O11" s="5" t="s">
        <v>4799</v>
      </c>
      <c r="P11" s="5" t="s">
        <v>64</v>
      </c>
      <c r="Q11" s="5" t="s">
        <v>4835</v>
      </c>
      <c r="R11" s="6">
        <v>8394.0</v>
      </c>
    </row>
    <row r="12" ht="56.25" customHeight="1">
      <c r="A12" s="5" t="s">
        <v>4836</v>
      </c>
      <c r="B12" s="16" t="str">
        <f>IMAGE("https://storage.googleapis.com/acdb/rugs/RugRoundSimpleM02.png")</f>
        <v/>
      </c>
      <c r="C12" s="5" t="s">
        <v>36</v>
      </c>
      <c r="D12" s="6">
        <v>1500.0</v>
      </c>
      <c r="E12" s="6">
        <v>375.0</v>
      </c>
      <c r="F12" s="5" t="s">
        <v>68</v>
      </c>
      <c r="G12" s="5" t="s">
        <v>68</v>
      </c>
      <c r="H12" s="6" t="s">
        <v>4782</v>
      </c>
      <c r="I12" s="5" t="s">
        <v>2800</v>
      </c>
      <c r="J12" s="5" t="s">
        <v>4775</v>
      </c>
      <c r="K12" s="6" t="s">
        <v>42</v>
      </c>
      <c r="L12" s="5" t="s">
        <v>90</v>
      </c>
      <c r="M12" s="5" t="s">
        <v>99</v>
      </c>
      <c r="N12" s="5" t="s">
        <v>44</v>
      </c>
      <c r="O12" s="5" t="s">
        <v>4840</v>
      </c>
      <c r="P12" s="5" t="s">
        <v>64</v>
      </c>
      <c r="Q12" s="5" t="s">
        <v>4841</v>
      </c>
      <c r="R12" s="6">
        <v>9546.0</v>
      </c>
    </row>
    <row r="13" ht="56.25" customHeight="1">
      <c r="A13" s="5" t="s">
        <v>4843</v>
      </c>
      <c r="B13" s="16" t="str">
        <f>IMAGE("https://storage.googleapis.com/acdb/rugs/RugOtherMessageS01.png")</f>
        <v/>
      </c>
      <c r="C13" s="5" t="s">
        <v>36</v>
      </c>
      <c r="D13" s="6">
        <v>1000.0</v>
      </c>
      <c r="E13" s="6">
        <v>250.0</v>
      </c>
      <c r="F13" s="5" t="s">
        <v>68</v>
      </c>
      <c r="G13" s="5" t="s">
        <v>68</v>
      </c>
      <c r="H13" s="6" t="s">
        <v>136</v>
      </c>
      <c r="I13" s="5" t="s">
        <v>2800</v>
      </c>
      <c r="J13" s="5" t="s">
        <v>4798</v>
      </c>
      <c r="K13" s="6" t="s">
        <v>42</v>
      </c>
      <c r="L13" s="5" t="s">
        <v>99</v>
      </c>
      <c r="M13" s="5" t="s">
        <v>44</v>
      </c>
      <c r="N13" s="5" t="s">
        <v>44</v>
      </c>
      <c r="O13" s="5" t="s">
        <v>4847</v>
      </c>
      <c r="P13" s="5" t="s">
        <v>64</v>
      </c>
      <c r="Q13" s="5" t="s">
        <v>4848</v>
      </c>
      <c r="R13" s="6">
        <v>9310.0</v>
      </c>
    </row>
    <row r="14" ht="56.25" customHeight="1">
      <c r="A14" s="5" t="s">
        <v>4849</v>
      </c>
      <c r="B14" s="16" t="str">
        <f>IMAGE("https://storage.googleapis.com/acdb/rugs/RugSquarePersianL01.png")</f>
        <v/>
      </c>
      <c r="C14" s="5" t="s">
        <v>36</v>
      </c>
      <c r="D14" s="6">
        <v>2000.0</v>
      </c>
      <c r="E14" s="6">
        <v>500.0</v>
      </c>
      <c r="F14" s="5" t="s">
        <v>68</v>
      </c>
      <c r="G14" s="5" t="s">
        <v>38</v>
      </c>
      <c r="H14" s="6" t="s">
        <v>4826</v>
      </c>
      <c r="I14" s="5" t="s">
        <v>2800</v>
      </c>
      <c r="J14" s="5" t="s">
        <v>4808</v>
      </c>
      <c r="K14" s="6" t="s">
        <v>42</v>
      </c>
      <c r="L14" s="5" t="s">
        <v>116</v>
      </c>
      <c r="M14" s="5" t="s">
        <v>90</v>
      </c>
      <c r="N14" s="5" t="s">
        <v>44</v>
      </c>
      <c r="O14" s="5" t="s">
        <v>4789</v>
      </c>
      <c r="P14" s="5" t="s">
        <v>64</v>
      </c>
      <c r="Q14" s="5" t="s">
        <v>4854</v>
      </c>
      <c r="R14" s="6">
        <v>8035.0</v>
      </c>
    </row>
    <row r="15" ht="56.25" customHeight="1">
      <c r="A15" s="5" t="s">
        <v>4855</v>
      </c>
      <c r="B15" s="16" t="str">
        <f>IMAGE("https://storage.googleapis.com/acdb/rugs/RugSquareShaggyL02.png")</f>
        <v/>
      </c>
      <c r="C15" s="5" t="s">
        <v>36</v>
      </c>
      <c r="D15" s="6">
        <v>2000.0</v>
      </c>
      <c r="E15" s="6">
        <v>500.0</v>
      </c>
      <c r="F15" s="5" t="s">
        <v>68</v>
      </c>
      <c r="G15" s="5" t="s">
        <v>68</v>
      </c>
      <c r="H15" s="6" t="s">
        <v>4826</v>
      </c>
      <c r="I15" s="5" t="s">
        <v>2800</v>
      </c>
      <c r="J15" s="5" t="s">
        <v>4808</v>
      </c>
      <c r="K15" s="6" t="s">
        <v>42</v>
      </c>
      <c r="L15" s="5" t="s">
        <v>90</v>
      </c>
      <c r="M15" s="5" t="s">
        <v>44</v>
      </c>
      <c r="N15" s="5" t="s">
        <v>44</v>
      </c>
      <c r="O15" s="5" t="s">
        <v>4789</v>
      </c>
      <c r="P15" s="5" t="s">
        <v>64</v>
      </c>
      <c r="Q15" s="5" t="s">
        <v>4858</v>
      </c>
      <c r="R15" s="6">
        <v>9564.0</v>
      </c>
    </row>
    <row r="16" ht="56.25" customHeight="1">
      <c r="A16" s="5" t="s">
        <v>4859</v>
      </c>
      <c r="B16" s="16" t="str">
        <f>IMAGE("https://storage.googleapis.com/acdb/rugs/RugRoundSimpleS02.png")</f>
        <v/>
      </c>
      <c r="C16" s="5" t="s">
        <v>36</v>
      </c>
      <c r="D16" s="6">
        <v>1000.0</v>
      </c>
      <c r="E16" s="6">
        <v>250.0</v>
      </c>
      <c r="F16" s="5" t="s">
        <v>68</v>
      </c>
      <c r="G16" s="5" t="s">
        <v>68</v>
      </c>
      <c r="H16" s="6" t="s">
        <v>4863</v>
      </c>
      <c r="I16" s="5" t="s">
        <v>2800</v>
      </c>
      <c r="J16" s="5" t="s">
        <v>4798</v>
      </c>
      <c r="K16" s="6" t="s">
        <v>42</v>
      </c>
      <c r="L16" s="5" t="s">
        <v>90</v>
      </c>
      <c r="M16" s="5" t="s">
        <v>99</v>
      </c>
      <c r="N16" s="5" t="s">
        <v>44</v>
      </c>
      <c r="O16" s="5" t="s">
        <v>4840</v>
      </c>
      <c r="P16" s="5" t="s">
        <v>64</v>
      </c>
      <c r="Q16" s="5" t="s">
        <v>4864</v>
      </c>
      <c r="R16" s="6">
        <v>9549.0</v>
      </c>
    </row>
    <row r="17" ht="56.25" customHeight="1">
      <c r="A17" s="5" t="s">
        <v>4865</v>
      </c>
      <c r="B17" s="16" t="str">
        <f>IMAGE("https://storage.googleapis.com/acdb/rugs/RugRectBorderL02.png")</f>
        <v/>
      </c>
      <c r="C17" s="5" t="s">
        <v>36</v>
      </c>
      <c r="D17" s="6">
        <v>2000.0</v>
      </c>
      <c r="E17" s="6">
        <v>500.0</v>
      </c>
      <c r="F17" s="5" t="s">
        <v>68</v>
      </c>
      <c r="G17" s="5" t="s">
        <v>57</v>
      </c>
      <c r="H17" s="6" t="s">
        <v>4807</v>
      </c>
      <c r="I17" s="5" t="s">
        <v>2800</v>
      </c>
      <c r="J17" s="5" t="s">
        <v>4808</v>
      </c>
      <c r="K17" s="6" t="s">
        <v>42</v>
      </c>
      <c r="L17" s="5" t="s">
        <v>61</v>
      </c>
      <c r="M17" s="5" t="s">
        <v>99</v>
      </c>
      <c r="N17" s="5" t="s">
        <v>44</v>
      </c>
      <c r="O17" s="5" t="s">
        <v>4810</v>
      </c>
      <c r="P17" s="5" t="s">
        <v>64</v>
      </c>
      <c r="Q17" s="5" t="s">
        <v>4869</v>
      </c>
      <c r="R17" s="6">
        <v>7533.0</v>
      </c>
    </row>
    <row r="18" ht="56.25" customHeight="1">
      <c r="A18" s="5" t="s">
        <v>4870</v>
      </c>
      <c r="B18" s="16" t="str">
        <f>IMAGE("https://storage.googleapis.com/acdb/rugs/RugRectVinylM01.png")</f>
        <v/>
      </c>
      <c r="C18" s="5" t="s">
        <v>36</v>
      </c>
      <c r="D18" s="6">
        <v>1500.0</v>
      </c>
      <c r="E18" s="6">
        <v>375.0</v>
      </c>
      <c r="F18" s="5" t="s">
        <v>68</v>
      </c>
      <c r="G18" s="5" t="s">
        <v>58</v>
      </c>
      <c r="H18" s="6" t="s">
        <v>4774</v>
      </c>
      <c r="I18" s="5" t="s">
        <v>2800</v>
      </c>
      <c r="J18" s="5" t="s">
        <v>4775</v>
      </c>
      <c r="K18" s="6" t="s">
        <v>42</v>
      </c>
      <c r="L18" s="5" t="s">
        <v>172</v>
      </c>
      <c r="M18" s="5" t="s">
        <v>44</v>
      </c>
      <c r="N18" s="5" t="s">
        <v>44</v>
      </c>
      <c r="O18" s="5" t="s">
        <v>4810</v>
      </c>
      <c r="P18" s="5" t="s">
        <v>64</v>
      </c>
      <c r="Q18" s="5" t="s">
        <v>4873</v>
      </c>
      <c r="R18" s="6">
        <v>7404.0</v>
      </c>
    </row>
    <row r="19" ht="56.25" customHeight="1">
      <c r="A19" s="5" t="s">
        <v>4874</v>
      </c>
      <c r="B19" s="16" t="str">
        <f>IMAGE("https://storage.googleapis.com/acdb/rugs/RugRectWaveL02.png")</f>
        <v/>
      </c>
      <c r="C19" s="5" t="s">
        <v>36</v>
      </c>
      <c r="D19" s="6">
        <v>2000.0</v>
      </c>
      <c r="E19" s="6">
        <v>500.0</v>
      </c>
      <c r="F19" s="5" t="s">
        <v>68</v>
      </c>
      <c r="G19" s="5" t="s">
        <v>83</v>
      </c>
      <c r="H19" s="6" t="s">
        <v>4807</v>
      </c>
      <c r="I19" s="5" t="s">
        <v>2800</v>
      </c>
      <c r="J19" s="5" t="s">
        <v>4808</v>
      </c>
      <c r="K19" s="6" t="s">
        <v>42</v>
      </c>
      <c r="L19" s="5" t="s">
        <v>90</v>
      </c>
      <c r="M19" s="5" t="s">
        <v>99</v>
      </c>
      <c r="N19" s="5" t="s">
        <v>44</v>
      </c>
      <c r="O19" s="5" t="s">
        <v>4810</v>
      </c>
      <c r="P19" s="5" t="s">
        <v>64</v>
      </c>
      <c r="Q19" s="5" t="s">
        <v>4877</v>
      </c>
      <c r="R19" s="6">
        <v>7458.0</v>
      </c>
    </row>
    <row r="20" ht="56.25" customHeight="1">
      <c r="A20" s="5" t="s">
        <v>4878</v>
      </c>
      <c r="B20" s="16" t="str">
        <f>IMAGE("https://storage.googleapis.com/acdb/rugs/RugRectNativeKitchenS01.png")</f>
        <v/>
      </c>
      <c r="C20" s="5" t="s">
        <v>36</v>
      </c>
      <c r="D20" s="6">
        <v>1000.0</v>
      </c>
      <c r="E20" s="6">
        <v>250.0</v>
      </c>
      <c r="F20" s="5" t="s">
        <v>68</v>
      </c>
      <c r="G20" s="5" t="s">
        <v>54</v>
      </c>
      <c r="H20" s="6" t="s">
        <v>136</v>
      </c>
      <c r="I20" s="5" t="s">
        <v>2800</v>
      </c>
      <c r="J20" s="5" t="s">
        <v>4798</v>
      </c>
      <c r="K20" s="6" t="s">
        <v>42</v>
      </c>
      <c r="L20" s="5" t="s">
        <v>159</v>
      </c>
      <c r="M20" s="5" t="s">
        <v>44</v>
      </c>
      <c r="N20" s="5" t="s">
        <v>44</v>
      </c>
      <c r="O20" s="5" t="s">
        <v>4799</v>
      </c>
      <c r="P20" s="5" t="s">
        <v>64</v>
      </c>
      <c r="Q20" s="5" t="s">
        <v>4882</v>
      </c>
      <c r="R20" s="6">
        <v>7595.0</v>
      </c>
    </row>
    <row r="21" ht="56.25" customHeight="1">
      <c r="A21" s="5" t="s">
        <v>4884</v>
      </c>
      <c r="B21" s="16" t="str">
        <f>IMAGE("https://storage.googleapis.com/acdb/rugs/RugRectBotanicalL00.png")</f>
        <v/>
      </c>
      <c r="C21" s="5" t="s">
        <v>36</v>
      </c>
      <c r="D21" s="6">
        <v>2000.0</v>
      </c>
      <c r="E21" s="6">
        <v>500.0</v>
      </c>
      <c r="F21" s="5" t="s">
        <v>96</v>
      </c>
      <c r="G21" s="5" t="s">
        <v>96</v>
      </c>
      <c r="H21" s="6" t="s">
        <v>4807</v>
      </c>
      <c r="I21" s="5" t="s">
        <v>2800</v>
      </c>
      <c r="J21" s="5" t="s">
        <v>4808</v>
      </c>
      <c r="K21" s="6" t="s">
        <v>42</v>
      </c>
      <c r="L21" s="5" t="s">
        <v>90</v>
      </c>
      <c r="M21" s="5" t="s">
        <v>44</v>
      </c>
      <c r="N21" s="5" t="s">
        <v>44</v>
      </c>
      <c r="O21" s="5" t="s">
        <v>4810</v>
      </c>
      <c r="P21" s="5" t="s">
        <v>64</v>
      </c>
      <c r="Q21" s="5" t="s">
        <v>4886</v>
      </c>
      <c r="R21" s="6">
        <v>7353.0</v>
      </c>
    </row>
    <row r="22" ht="56.25" customHeight="1">
      <c r="A22" s="5" t="s">
        <v>4888</v>
      </c>
      <c r="B22" s="16" t="str">
        <f>IMAGE("https://storage.googleapis.com/acdb/rugs/RugRectArgyleL03.png")</f>
        <v/>
      </c>
      <c r="C22" s="5" t="s">
        <v>36</v>
      </c>
      <c r="D22" s="6">
        <v>2000.0</v>
      </c>
      <c r="E22" s="6">
        <v>500.0</v>
      </c>
      <c r="F22" s="5" t="s">
        <v>39</v>
      </c>
      <c r="G22" s="5" t="s">
        <v>114</v>
      </c>
      <c r="H22" s="6" t="s">
        <v>4807</v>
      </c>
      <c r="I22" s="5" t="s">
        <v>2800</v>
      </c>
      <c r="J22" s="5" t="s">
        <v>4808</v>
      </c>
      <c r="K22" s="6" t="s">
        <v>42</v>
      </c>
      <c r="L22" s="5" t="s">
        <v>90</v>
      </c>
      <c r="M22" s="5" t="s">
        <v>116</v>
      </c>
      <c r="N22" s="5" t="s">
        <v>44</v>
      </c>
      <c r="O22" s="5" t="s">
        <v>4810</v>
      </c>
      <c r="P22" s="5" t="s">
        <v>64</v>
      </c>
      <c r="Q22" s="5" t="s">
        <v>4890</v>
      </c>
      <c r="R22" s="6">
        <v>8468.0</v>
      </c>
    </row>
    <row r="23" ht="56.25" customHeight="1">
      <c r="A23" s="5" t="s">
        <v>4891</v>
      </c>
      <c r="B23" s="16" t="str">
        <f>IMAGE("https://storage.googleapis.com/acdb/rugs/RugRectKitchenS00.png")</f>
        <v/>
      </c>
      <c r="C23" s="5" t="s">
        <v>36</v>
      </c>
      <c r="D23" s="6">
        <v>1000.0</v>
      </c>
      <c r="E23" s="6">
        <v>250.0</v>
      </c>
      <c r="F23" s="5" t="s">
        <v>39</v>
      </c>
      <c r="G23" s="5" t="s">
        <v>39</v>
      </c>
      <c r="H23" s="6" t="s">
        <v>136</v>
      </c>
      <c r="I23" s="5" t="s">
        <v>2800</v>
      </c>
      <c r="J23" s="5" t="s">
        <v>4798</v>
      </c>
      <c r="K23" s="6" t="s">
        <v>42</v>
      </c>
      <c r="L23" s="5" t="s">
        <v>159</v>
      </c>
      <c r="M23" s="5" t="s">
        <v>44</v>
      </c>
      <c r="N23" s="5" t="s">
        <v>44</v>
      </c>
      <c r="O23" s="5" t="s">
        <v>4799</v>
      </c>
      <c r="P23" s="5" t="s">
        <v>64</v>
      </c>
      <c r="Q23" s="5" t="s">
        <v>4894</v>
      </c>
      <c r="R23" s="6">
        <v>7341.0</v>
      </c>
    </row>
    <row r="24" ht="56.25" customHeight="1">
      <c r="A24" s="5" t="s">
        <v>4895</v>
      </c>
      <c r="B24" s="16" t="str">
        <f>IMAGE("https://storage.googleapis.com/acdb/rugs/RugSquareShaggyL01.png")</f>
        <v/>
      </c>
      <c r="C24" s="5" t="s">
        <v>36</v>
      </c>
      <c r="D24" s="6">
        <v>2000.0</v>
      </c>
      <c r="E24" s="6">
        <v>500.0</v>
      </c>
      <c r="F24" s="5" t="s">
        <v>39</v>
      </c>
      <c r="G24" s="5" t="s">
        <v>39</v>
      </c>
      <c r="H24" s="6" t="s">
        <v>4826</v>
      </c>
      <c r="I24" s="5" t="s">
        <v>2800</v>
      </c>
      <c r="J24" s="5" t="s">
        <v>4808</v>
      </c>
      <c r="K24" s="6" t="s">
        <v>42</v>
      </c>
      <c r="L24" s="5" t="s">
        <v>90</v>
      </c>
      <c r="M24" s="5" t="s">
        <v>44</v>
      </c>
      <c r="N24" s="5" t="s">
        <v>44</v>
      </c>
      <c r="O24" s="5" t="s">
        <v>4789</v>
      </c>
      <c r="P24" s="5" t="s">
        <v>64</v>
      </c>
      <c r="Q24" s="5" t="s">
        <v>4899</v>
      </c>
      <c r="R24" s="6">
        <v>9563.0</v>
      </c>
    </row>
    <row r="25" ht="56.25" customHeight="1">
      <c r="A25" s="5" t="s">
        <v>4900</v>
      </c>
      <c r="B25" s="16" t="str">
        <f>IMAGE("https://storage.googleapis.com/acdb/rugs/RugRectDeckM00.png")</f>
        <v/>
      </c>
      <c r="C25" s="5" t="s">
        <v>36</v>
      </c>
      <c r="D25" s="6">
        <v>1500.0</v>
      </c>
      <c r="E25" s="6">
        <v>375.0</v>
      </c>
      <c r="F25" s="5" t="s">
        <v>39</v>
      </c>
      <c r="G25" s="5" t="s">
        <v>39</v>
      </c>
      <c r="H25" s="6" t="s">
        <v>4774</v>
      </c>
      <c r="I25" s="5" t="s">
        <v>2800</v>
      </c>
      <c r="J25" s="5" t="s">
        <v>4775</v>
      </c>
      <c r="K25" s="6" t="s">
        <v>42</v>
      </c>
      <c r="L25" s="5" t="s">
        <v>765</v>
      </c>
      <c r="M25" s="5" t="s">
        <v>44</v>
      </c>
      <c r="N25" s="5" t="s">
        <v>44</v>
      </c>
      <c r="O25" s="5" t="s">
        <v>4793</v>
      </c>
      <c r="P25" s="5" t="s">
        <v>64</v>
      </c>
      <c r="Q25" s="5" t="s">
        <v>4902</v>
      </c>
      <c r="R25" s="6">
        <v>7323.0</v>
      </c>
    </row>
    <row r="26" ht="56.25" customHeight="1">
      <c r="A26" s="5" t="s">
        <v>4903</v>
      </c>
      <c r="B26" s="16" t="str">
        <f>IMAGE("https://storage.googleapis.com/acdb/rugs/RugOtherEasterM00.png")</f>
        <v/>
      </c>
      <c r="C26" s="5" t="s">
        <v>35</v>
      </c>
      <c r="D26" s="6" t="s">
        <v>37</v>
      </c>
      <c r="E26" s="6">
        <v>2400.0</v>
      </c>
      <c r="F26" s="5" t="s">
        <v>44</v>
      </c>
      <c r="G26" s="5" t="s">
        <v>44</v>
      </c>
      <c r="H26" s="6" t="s">
        <v>4708</v>
      </c>
      <c r="I26" s="5" t="s">
        <v>41</v>
      </c>
      <c r="J26" s="5" t="s">
        <v>461</v>
      </c>
      <c r="K26" s="6" t="s">
        <v>1410</v>
      </c>
      <c r="L26" s="5" t="s">
        <v>61</v>
      </c>
      <c r="M26" s="5" t="s">
        <v>99</v>
      </c>
      <c r="N26" s="5" t="s">
        <v>466</v>
      </c>
      <c r="O26" s="5" t="s">
        <v>4906</v>
      </c>
      <c r="P26" s="5" t="s">
        <v>48</v>
      </c>
      <c r="Q26" s="5" t="s">
        <v>4907</v>
      </c>
      <c r="R26" s="6">
        <v>7546.0</v>
      </c>
    </row>
    <row r="27" ht="56.25" customHeight="1">
      <c r="A27" s="5" t="s">
        <v>4908</v>
      </c>
      <c r="B27" s="16" t="str">
        <f>IMAGE("https://storage.googleapis.com/acdb/rugs/RugOtherCherryM00.png")</f>
        <v/>
      </c>
      <c r="C27" s="5" t="s">
        <v>35</v>
      </c>
      <c r="D27" s="6" t="s">
        <v>37</v>
      </c>
      <c r="E27" s="6">
        <v>1200.0</v>
      </c>
      <c r="F27" s="5" t="s">
        <v>52</v>
      </c>
      <c r="G27" s="5" t="s">
        <v>52</v>
      </c>
      <c r="H27" s="6" t="s">
        <v>4782</v>
      </c>
      <c r="I27" s="5" t="s">
        <v>41</v>
      </c>
      <c r="J27" s="5"/>
      <c r="K27" s="6" t="s">
        <v>42</v>
      </c>
      <c r="L27" s="5" t="s">
        <v>61</v>
      </c>
      <c r="M27" s="5" t="s">
        <v>99</v>
      </c>
      <c r="N27" s="5" t="s">
        <v>338</v>
      </c>
      <c r="O27" s="5" t="s">
        <v>4784</v>
      </c>
      <c r="P27" s="5" t="s">
        <v>48</v>
      </c>
      <c r="Q27" s="5" t="s">
        <v>4910</v>
      </c>
      <c r="R27" s="6">
        <v>7328.0</v>
      </c>
    </row>
    <row r="28" ht="56.25" customHeight="1">
      <c r="A28" s="5" t="s">
        <v>4911</v>
      </c>
      <c r="B28" s="16" t="str">
        <f>IMAGE("https://storage.googleapis.com/acdb/rugs/RugRectVinylM00.png")</f>
        <v/>
      </c>
      <c r="C28" s="5" t="s">
        <v>36</v>
      </c>
      <c r="D28" s="6">
        <v>1500.0</v>
      </c>
      <c r="E28" s="6">
        <v>375.0</v>
      </c>
      <c r="F28" s="5" t="s">
        <v>58</v>
      </c>
      <c r="G28" s="5" t="s">
        <v>58</v>
      </c>
      <c r="H28" s="6" t="s">
        <v>4774</v>
      </c>
      <c r="I28" s="5" t="s">
        <v>2800</v>
      </c>
      <c r="J28" s="5" t="s">
        <v>4775</v>
      </c>
      <c r="K28" s="6" t="s">
        <v>42</v>
      </c>
      <c r="L28" s="5" t="s">
        <v>172</v>
      </c>
      <c r="M28" s="5" t="s">
        <v>44</v>
      </c>
      <c r="N28" s="5" t="s">
        <v>44</v>
      </c>
      <c r="O28" s="5" t="s">
        <v>4810</v>
      </c>
      <c r="P28" s="5" t="s">
        <v>64</v>
      </c>
      <c r="Q28" s="5" t="s">
        <v>4913</v>
      </c>
      <c r="R28" s="6">
        <v>7359.0</v>
      </c>
    </row>
    <row r="29" ht="56.25" customHeight="1">
      <c r="A29" s="5" t="s">
        <v>4914</v>
      </c>
      <c r="B29" s="16" t="str">
        <f>IMAGE("https://storage.googleapis.com/acdb/rugs/RugRectBambooM01.png")</f>
        <v/>
      </c>
      <c r="C29" s="5" t="s">
        <v>35</v>
      </c>
      <c r="D29" s="6" t="s">
        <v>37</v>
      </c>
      <c r="E29" s="6">
        <v>960.0</v>
      </c>
      <c r="F29" s="5" t="s">
        <v>39</v>
      </c>
      <c r="G29" s="5" t="s">
        <v>39</v>
      </c>
      <c r="H29" s="6" t="s">
        <v>4774</v>
      </c>
      <c r="I29" s="5" t="s">
        <v>41</v>
      </c>
      <c r="J29" s="5"/>
      <c r="K29" s="6" t="s">
        <v>42</v>
      </c>
      <c r="L29" s="5" t="s">
        <v>266</v>
      </c>
      <c r="M29" s="5" t="s">
        <v>44</v>
      </c>
      <c r="N29" s="5" t="s">
        <v>44</v>
      </c>
      <c r="O29" s="5" t="s">
        <v>4793</v>
      </c>
      <c r="P29" s="5" t="s">
        <v>48</v>
      </c>
      <c r="Q29" s="5" t="s">
        <v>4916</v>
      </c>
      <c r="R29" s="6">
        <v>11114.0</v>
      </c>
    </row>
    <row r="30" ht="56.25" customHeight="1">
      <c r="A30" s="5" t="s">
        <v>4917</v>
      </c>
      <c r="B30" s="16" t="str">
        <f>IMAGE("https://storage.googleapis.com/acdb/rugs/RugRoundEarthM00.png")</f>
        <v/>
      </c>
      <c r="C30" s="5" t="s">
        <v>36</v>
      </c>
      <c r="D30" s="6">
        <v>1500.0</v>
      </c>
      <c r="E30" s="6">
        <v>375.0</v>
      </c>
      <c r="F30" s="5" t="s">
        <v>68</v>
      </c>
      <c r="G30" s="5" t="s">
        <v>57</v>
      </c>
      <c r="H30" s="6" t="s">
        <v>4782</v>
      </c>
      <c r="I30" s="5" t="s">
        <v>2800</v>
      </c>
      <c r="J30" s="5" t="s">
        <v>4775</v>
      </c>
      <c r="K30" s="6" t="s">
        <v>42</v>
      </c>
      <c r="L30" s="5" t="s">
        <v>401</v>
      </c>
      <c r="M30" s="5" t="s">
        <v>99</v>
      </c>
      <c r="N30" s="5" t="s">
        <v>44</v>
      </c>
      <c r="O30" s="5" t="s">
        <v>4906</v>
      </c>
      <c r="P30" s="5" t="s">
        <v>64</v>
      </c>
      <c r="Q30" s="5" t="s">
        <v>4919</v>
      </c>
      <c r="R30" s="6">
        <v>7357.0</v>
      </c>
    </row>
    <row r="31" ht="56.25" customHeight="1">
      <c r="A31" s="5" t="s">
        <v>4921</v>
      </c>
      <c r="B31" s="16" t="str">
        <f>IMAGE("https://storage.googleapis.com/acdb/rugs/RugOtherFishM00.png")</f>
        <v/>
      </c>
      <c r="C31" s="5" t="s">
        <v>36</v>
      </c>
      <c r="D31" s="6" t="s">
        <v>37</v>
      </c>
      <c r="E31" s="6">
        <v>375.0</v>
      </c>
      <c r="F31" s="5" t="s">
        <v>83</v>
      </c>
      <c r="G31" s="5" t="s">
        <v>83</v>
      </c>
      <c r="H31" s="6" t="s">
        <v>4782</v>
      </c>
      <c r="I31" s="5" t="s">
        <v>137</v>
      </c>
      <c r="J31" s="5"/>
      <c r="K31" s="6" t="s">
        <v>42</v>
      </c>
      <c r="L31" s="5" t="s">
        <v>138</v>
      </c>
      <c r="M31" s="5" t="s">
        <v>99</v>
      </c>
      <c r="N31" s="5" t="s">
        <v>44</v>
      </c>
      <c r="O31" s="5" t="s">
        <v>4906</v>
      </c>
      <c r="P31" s="5" t="s">
        <v>48</v>
      </c>
      <c r="Q31" s="5" t="s">
        <v>4922</v>
      </c>
      <c r="R31" s="6">
        <v>7361.0</v>
      </c>
    </row>
    <row r="32" ht="56.25" customHeight="1">
      <c r="A32" s="5" t="s">
        <v>4923</v>
      </c>
      <c r="B32" s="16" t="str">
        <f>IMAGE("https://storage.googleapis.com/acdb/rugs/RugOtherCloudM00.png")</f>
        <v/>
      </c>
      <c r="C32" s="5" t="s">
        <v>36</v>
      </c>
      <c r="D32" s="6">
        <v>1500.0</v>
      </c>
      <c r="E32" s="6">
        <v>375.0</v>
      </c>
      <c r="F32" s="5" t="s">
        <v>57</v>
      </c>
      <c r="G32" s="5" t="s">
        <v>57</v>
      </c>
      <c r="H32" s="6" t="s">
        <v>4782</v>
      </c>
      <c r="I32" s="5" t="s">
        <v>2800</v>
      </c>
      <c r="J32" s="5" t="s">
        <v>4775</v>
      </c>
      <c r="K32" s="6" t="s">
        <v>42</v>
      </c>
      <c r="L32" s="5" t="s">
        <v>61</v>
      </c>
      <c r="M32" s="5" t="s">
        <v>99</v>
      </c>
      <c r="N32" s="5" t="s">
        <v>44</v>
      </c>
      <c r="O32" s="5" t="s">
        <v>4906</v>
      </c>
      <c r="P32" s="5" t="s">
        <v>64</v>
      </c>
      <c r="Q32" s="5" t="s">
        <v>4925</v>
      </c>
      <c r="R32" s="6">
        <v>7329.0</v>
      </c>
    </row>
    <row r="33" ht="56.25" customHeight="1">
      <c r="A33" s="5" t="s">
        <v>4927</v>
      </c>
      <c r="B33" s="16" t="str">
        <f>IMAGE("https://storage.googleapis.com/acdb/rugs/RugOtherFossilM00.png")</f>
        <v/>
      </c>
      <c r="C33" s="5" t="s">
        <v>36</v>
      </c>
      <c r="D33" s="6">
        <v>1500.0</v>
      </c>
      <c r="E33" s="6">
        <v>375.0</v>
      </c>
      <c r="F33" s="5" t="s">
        <v>106</v>
      </c>
      <c r="G33" s="5" t="s">
        <v>57</v>
      </c>
      <c r="H33" s="6" t="s">
        <v>4782</v>
      </c>
      <c r="I33" s="5" t="s">
        <v>2800</v>
      </c>
      <c r="J33" s="5" t="s">
        <v>4775</v>
      </c>
      <c r="K33" s="6" t="s">
        <v>42</v>
      </c>
      <c r="L33" s="5" t="s">
        <v>61</v>
      </c>
      <c r="M33" s="5" t="s">
        <v>99</v>
      </c>
      <c r="N33" s="5" t="s">
        <v>44</v>
      </c>
      <c r="O33" s="5" t="s">
        <v>4928</v>
      </c>
      <c r="P33" s="5" t="s">
        <v>64</v>
      </c>
      <c r="Q33" s="5" t="s">
        <v>4929</v>
      </c>
      <c r="R33" s="6">
        <v>7366.0</v>
      </c>
    </row>
    <row r="34" ht="56.25" customHeight="1">
      <c r="A34" s="5" t="s">
        <v>4931</v>
      </c>
      <c r="B34" s="16" t="str">
        <f>IMAGE("https://storage.googleapis.com/acdb/rugs/RugSquareCheckQuiltL03.png")</f>
        <v/>
      </c>
      <c r="C34" s="5" t="s">
        <v>36</v>
      </c>
      <c r="D34" s="6">
        <v>2000.0</v>
      </c>
      <c r="E34" s="6">
        <v>500.0</v>
      </c>
      <c r="F34" s="5" t="s">
        <v>96</v>
      </c>
      <c r="G34" s="5" t="s">
        <v>106</v>
      </c>
      <c r="H34" s="6" t="s">
        <v>4932</v>
      </c>
      <c r="I34" s="5" t="s">
        <v>2800</v>
      </c>
      <c r="J34" s="5" t="s">
        <v>4808</v>
      </c>
      <c r="K34" s="6" t="s">
        <v>42</v>
      </c>
      <c r="L34" s="5" t="s">
        <v>90</v>
      </c>
      <c r="M34" s="5" t="s">
        <v>99</v>
      </c>
      <c r="N34" s="5" t="s">
        <v>44</v>
      </c>
      <c r="O34" s="5" t="s">
        <v>4789</v>
      </c>
      <c r="P34" s="5" t="s">
        <v>64</v>
      </c>
      <c r="Q34" s="5" t="s">
        <v>4934</v>
      </c>
      <c r="R34" s="6">
        <v>7464.0</v>
      </c>
    </row>
    <row r="35" ht="56.25" customHeight="1">
      <c r="A35" s="5" t="s">
        <v>4935</v>
      </c>
      <c r="B35" s="16" t="str">
        <f>IMAGE("https://storage.googleapis.com/acdb/rugs/RugSquareKirimL02.png")</f>
        <v/>
      </c>
      <c r="C35" s="5" t="s">
        <v>36</v>
      </c>
      <c r="D35" s="6">
        <v>2000.0</v>
      </c>
      <c r="E35" s="6">
        <v>500.0</v>
      </c>
      <c r="F35" s="5" t="s">
        <v>96</v>
      </c>
      <c r="G35" s="5" t="s">
        <v>96</v>
      </c>
      <c r="H35" s="6" t="s">
        <v>4826</v>
      </c>
      <c r="I35" s="5" t="s">
        <v>2800</v>
      </c>
      <c r="J35" s="5" t="s">
        <v>4808</v>
      </c>
      <c r="K35" s="6" t="s">
        <v>42</v>
      </c>
      <c r="L35" s="5" t="s">
        <v>90</v>
      </c>
      <c r="M35" s="5" t="s">
        <v>44</v>
      </c>
      <c r="N35" s="5" t="s">
        <v>44</v>
      </c>
      <c r="O35" s="5" t="s">
        <v>4789</v>
      </c>
      <c r="P35" s="5" t="s">
        <v>64</v>
      </c>
      <c r="Q35" s="5" t="s">
        <v>4937</v>
      </c>
      <c r="R35" s="6">
        <v>9314.0</v>
      </c>
    </row>
    <row r="36" ht="56.25" customHeight="1">
      <c r="A36" s="5" t="s">
        <v>4938</v>
      </c>
      <c r="B36" s="16" t="str">
        <f>IMAGE("https://storage.googleapis.com/acdb/rugs/RugRectKitchenS03.png")</f>
        <v/>
      </c>
      <c r="C36" s="5" t="s">
        <v>36</v>
      </c>
      <c r="D36" s="6">
        <v>1000.0</v>
      </c>
      <c r="E36" s="6">
        <v>250.0</v>
      </c>
      <c r="F36" s="5" t="s">
        <v>96</v>
      </c>
      <c r="G36" s="5" t="s">
        <v>96</v>
      </c>
      <c r="H36" s="6" t="s">
        <v>136</v>
      </c>
      <c r="I36" s="5" t="s">
        <v>2800</v>
      </c>
      <c r="J36" s="5" t="s">
        <v>4798</v>
      </c>
      <c r="K36" s="6" t="s">
        <v>42</v>
      </c>
      <c r="L36" s="5" t="s">
        <v>159</v>
      </c>
      <c r="M36" s="5" t="s">
        <v>44</v>
      </c>
      <c r="N36" s="5" t="s">
        <v>44</v>
      </c>
      <c r="O36" s="5" t="s">
        <v>4799</v>
      </c>
      <c r="P36" s="5" t="s">
        <v>64</v>
      </c>
      <c r="Q36" s="5" t="s">
        <v>4939</v>
      </c>
      <c r="R36" s="6">
        <v>8393.0</v>
      </c>
    </row>
    <row r="37" ht="56.25" customHeight="1">
      <c r="A37" s="5" t="s">
        <v>4941</v>
      </c>
      <c r="B37" s="16" t="str">
        <f>IMAGE("https://storage.googleapis.com/acdb/rugs/RugSquareShaggyL00.png")</f>
        <v/>
      </c>
      <c r="C37" s="5" t="s">
        <v>36</v>
      </c>
      <c r="D37" s="6">
        <v>2000.0</v>
      </c>
      <c r="E37" s="6">
        <v>500.0</v>
      </c>
      <c r="F37" s="5" t="s">
        <v>96</v>
      </c>
      <c r="G37" s="5" t="s">
        <v>96</v>
      </c>
      <c r="H37" s="6" t="s">
        <v>4826</v>
      </c>
      <c r="I37" s="5" t="s">
        <v>2800</v>
      </c>
      <c r="J37" s="5" t="s">
        <v>4808</v>
      </c>
      <c r="K37" s="6" t="s">
        <v>42</v>
      </c>
      <c r="L37" s="5" t="s">
        <v>90</v>
      </c>
      <c r="M37" s="5" t="s">
        <v>44</v>
      </c>
      <c r="N37" s="5" t="s">
        <v>44</v>
      </c>
      <c r="O37" s="5" t="s">
        <v>4789</v>
      </c>
      <c r="P37" s="5" t="s">
        <v>64</v>
      </c>
      <c r="Q37" s="5" t="s">
        <v>4943</v>
      </c>
      <c r="R37" s="6">
        <v>7354.0</v>
      </c>
    </row>
    <row r="38" ht="56.25" customHeight="1">
      <c r="A38" s="5" t="s">
        <v>4945</v>
      </c>
      <c r="B38" s="16" t="str">
        <f>IMAGE("https://storage.googleapis.com/acdb/rugs/RugRectBorderL03.png")</f>
        <v/>
      </c>
      <c r="C38" s="5" t="s">
        <v>36</v>
      </c>
      <c r="D38" s="6">
        <v>2000.0</v>
      </c>
      <c r="E38" s="6">
        <v>500.0</v>
      </c>
      <c r="F38" s="5" t="s">
        <v>96</v>
      </c>
      <c r="G38" s="5" t="s">
        <v>57</v>
      </c>
      <c r="H38" s="6" t="s">
        <v>4807</v>
      </c>
      <c r="I38" s="5" t="s">
        <v>2800</v>
      </c>
      <c r="J38" s="5" t="s">
        <v>4808</v>
      </c>
      <c r="K38" s="6" t="s">
        <v>42</v>
      </c>
      <c r="L38" s="5" t="s">
        <v>61</v>
      </c>
      <c r="M38" s="5" t="s">
        <v>99</v>
      </c>
      <c r="N38" s="5" t="s">
        <v>44</v>
      </c>
      <c r="O38" s="5" t="s">
        <v>4810</v>
      </c>
      <c r="P38" s="5" t="s">
        <v>64</v>
      </c>
      <c r="Q38" s="5" t="s">
        <v>4948</v>
      </c>
      <c r="R38" s="6">
        <v>7534.0</v>
      </c>
    </row>
    <row r="39" ht="56.25" customHeight="1">
      <c r="A39" s="5" t="s">
        <v>4949</v>
      </c>
      <c r="B39" s="16" t="str">
        <f>IMAGE("https://storage.googleapis.com/acdb/rugs/RugRectIronmatS00.png")</f>
        <v/>
      </c>
      <c r="C39" s="5" t="s">
        <v>36</v>
      </c>
      <c r="D39" s="6">
        <v>1000.0</v>
      </c>
      <c r="E39" s="6">
        <v>250.0</v>
      </c>
      <c r="F39" s="5" t="s">
        <v>54</v>
      </c>
      <c r="G39" s="5" t="s">
        <v>54</v>
      </c>
      <c r="H39" s="6" t="s">
        <v>136</v>
      </c>
      <c r="I39" s="5" t="s">
        <v>2800</v>
      </c>
      <c r="J39" s="5" t="s">
        <v>4798</v>
      </c>
      <c r="K39" s="6" t="s">
        <v>42</v>
      </c>
      <c r="L39" s="5" t="s">
        <v>62</v>
      </c>
      <c r="M39" s="5" t="s">
        <v>116</v>
      </c>
      <c r="N39" s="5" t="s">
        <v>1448</v>
      </c>
      <c r="O39" s="5" t="s">
        <v>4777</v>
      </c>
      <c r="P39" s="5" t="s">
        <v>64</v>
      </c>
      <c r="Q39" s="5" t="s">
        <v>4951</v>
      </c>
      <c r="R39" s="6">
        <v>7337.0</v>
      </c>
    </row>
    <row r="40" ht="56.25" customHeight="1">
      <c r="A40" s="5" t="s">
        <v>4952</v>
      </c>
      <c r="B40" s="16" t="str">
        <f>IMAGE("https://storage.googleapis.com/acdb/rugs/RugRoundSimpleM00.png")</f>
        <v/>
      </c>
      <c r="C40" s="5" t="s">
        <v>36</v>
      </c>
      <c r="D40" s="6">
        <v>1500.0</v>
      </c>
      <c r="E40" s="6">
        <v>375.0</v>
      </c>
      <c r="F40" s="5" t="s">
        <v>38</v>
      </c>
      <c r="G40" s="5" t="s">
        <v>57</v>
      </c>
      <c r="H40" s="6" t="s">
        <v>4782</v>
      </c>
      <c r="I40" s="5" t="s">
        <v>2800</v>
      </c>
      <c r="J40" s="5" t="s">
        <v>4775</v>
      </c>
      <c r="K40" s="6" t="s">
        <v>42</v>
      </c>
      <c r="L40" s="5" t="s">
        <v>90</v>
      </c>
      <c r="M40" s="5" t="s">
        <v>99</v>
      </c>
      <c r="N40" s="5" t="s">
        <v>44</v>
      </c>
      <c r="O40" s="5" t="s">
        <v>4840</v>
      </c>
      <c r="P40" s="5" t="s">
        <v>64</v>
      </c>
      <c r="Q40" s="5" t="s">
        <v>4955</v>
      </c>
      <c r="R40" s="6">
        <v>7325.0</v>
      </c>
    </row>
    <row r="41" ht="56.25" customHeight="1">
      <c r="A41" s="5" t="s">
        <v>4956</v>
      </c>
      <c r="B41" s="16" t="str">
        <f>IMAGE("https://storage.googleapis.com/acdb/rugs/RugRectBathmatS00.png")</f>
        <v/>
      </c>
      <c r="C41" s="5" t="s">
        <v>36</v>
      </c>
      <c r="D41" s="6">
        <v>1000.0</v>
      </c>
      <c r="E41" s="6">
        <v>250.0</v>
      </c>
      <c r="F41" s="5" t="s">
        <v>38</v>
      </c>
      <c r="G41" s="5" t="s">
        <v>38</v>
      </c>
      <c r="H41" s="6" t="s">
        <v>136</v>
      </c>
      <c r="I41" s="5" t="s">
        <v>2800</v>
      </c>
      <c r="J41" s="5" t="s">
        <v>4798</v>
      </c>
      <c r="K41" s="6" t="s">
        <v>42</v>
      </c>
      <c r="L41" s="5" t="s">
        <v>288</v>
      </c>
      <c r="M41" s="5" t="s">
        <v>44</v>
      </c>
      <c r="N41" s="5" t="s">
        <v>44</v>
      </c>
      <c r="O41" s="5" t="s">
        <v>4777</v>
      </c>
      <c r="P41" s="5" t="s">
        <v>64</v>
      </c>
      <c r="Q41" s="5" t="s">
        <v>4958</v>
      </c>
      <c r="R41" s="6">
        <v>7333.0</v>
      </c>
    </row>
    <row r="42" ht="56.25" customHeight="1">
      <c r="A42" s="5" t="s">
        <v>4959</v>
      </c>
      <c r="B42" s="16" t="str">
        <f>IMAGE("https://storage.googleapis.com/acdb/rugs/RugRoundSimpleS00.png")</f>
        <v/>
      </c>
      <c r="C42" s="5" t="s">
        <v>36</v>
      </c>
      <c r="D42" s="6">
        <v>1000.0</v>
      </c>
      <c r="E42" s="6">
        <v>250.0</v>
      </c>
      <c r="F42" s="5" t="s">
        <v>38</v>
      </c>
      <c r="G42" s="5" t="s">
        <v>57</v>
      </c>
      <c r="H42" s="6" t="s">
        <v>4863</v>
      </c>
      <c r="I42" s="5" t="s">
        <v>2800</v>
      </c>
      <c r="J42" s="5" t="s">
        <v>4798</v>
      </c>
      <c r="K42" s="6" t="s">
        <v>42</v>
      </c>
      <c r="L42" s="5" t="s">
        <v>90</v>
      </c>
      <c r="M42" s="5" t="s">
        <v>99</v>
      </c>
      <c r="N42" s="5" t="s">
        <v>44</v>
      </c>
      <c r="O42" s="5" t="s">
        <v>4840</v>
      </c>
      <c r="P42" s="5" t="s">
        <v>64</v>
      </c>
      <c r="Q42" s="5" t="s">
        <v>4961</v>
      </c>
      <c r="R42" s="6">
        <v>7334.0</v>
      </c>
    </row>
    <row r="43" ht="56.25" customHeight="1">
      <c r="A43" s="5" t="s">
        <v>4962</v>
      </c>
      <c r="B43" s="16" t="str">
        <f>IMAGE("https://storage.googleapis.com/acdb/rugs/RugRoundLaceM00.png")</f>
        <v/>
      </c>
      <c r="C43" s="5" t="s">
        <v>36</v>
      </c>
      <c r="D43" s="6">
        <v>1500.0</v>
      </c>
      <c r="E43" s="6">
        <v>375.0</v>
      </c>
      <c r="F43" s="5" t="s">
        <v>38</v>
      </c>
      <c r="G43" s="5" t="s">
        <v>57</v>
      </c>
      <c r="H43" s="6" t="s">
        <v>4782</v>
      </c>
      <c r="I43" s="5" t="s">
        <v>2800</v>
      </c>
      <c r="J43" s="5" t="s">
        <v>4775</v>
      </c>
      <c r="K43" s="6" t="s">
        <v>42</v>
      </c>
      <c r="L43" s="5" t="s">
        <v>61</v>
      </c>
      <c r="M43" s="5" t="s">
        <v>116</v>
      </c>
      <c r="N43" s="5" t="s">
        <v>44</v>
      </c>
      <c r="O43" s="5" t="s">
        <v>4840</v>
      </c>
      <c r="P43" s="5" t="s">
        <v>64</v>
      </c>
      <c r="Q43" s="5" t="s">
        <v>4963</v>
      </c>
      <c r="R43" s="6">
        <v>7368.0</v>
      </c>
    </row>
    <row r="44" ht="56.25" customHeight="1">
      <c r="A44" s="5" t="s">
        <v>4965</v>
      </c>
      <c r="B44" s="16" t="str">
        <f>IMAGE("https://storage.googleapis.com/acdb/rugs/RugRoundLadybirdM00.png")</f>
        <v/>
      </c>
      <c r="C44" s="5" t="s">
        <v>36</v>
      </c>
      <c r="D44" s="6" t="s">
        <v>37</v>
      </c>
      <c r="E44" s="6">
        <v>375.0</v>
      </c>
      <c r="F44" s="5" t="s">
        <v>52</v>
      </c>
      <c r="G44" s="5" t="s">
        <v>54</v>
      </c>
      <c r="H44" s="6" t="s">
        <v>4782</v>
      </c>
      <c r="I44" s="5" t="s">
        <v>393</v>
      </c>
      <c r="J44" s="5"/>
      <c r="K44" s="6" t="s">
        <v>42</v>
      </c>
      <c r="L44" s="5" t="s">
        <v>61</v>
      </c>
      <c r="M44" s="5" t="s">
        <v>99</v>
      </c>
      <c r="N44" s="5" t="s">
        <v>44</v>
      </c>
      <c r="O44" s="5" t="s">
        <v>4906</v>
      </c>
      <c r="P44" s="5" t="s">
        <v>48</v>
      </c>
      <c r="Q44" s="5" t="s">
        <v>4967</v>
      </c>
      <c r="R44" s="6">
        <v>7360.0</v>
      </c>
    </row>
    <row r="45" ht="56.25" customHeight="1">
      <c r="A45" s="5" t="s">
        <v>4968</v>
      </c>
      <c r="B45" s="16" t="str">
        <f>IMAGE("https://storage.googleapis.com/acdb/rugs/RugRectBambooM00.png")</f>
        <v/>
      </c>
      <c r="C45" s="5" t="s">
        <v>35</v>
      </c>
      <c r="D45" s="6" t="s">
        <v>37</v>
      </c>
      <c r="E45" s="6">
        <v>2400.0</v>
      </c>
      <c r="F45" s="5" t="s">
        <v>38</v>
      </c>
      <c r="G45" s="5" t="s">
        <v>39</v>
      </c>
      <c r="H45" s="6" t="s">
        <v>4774</v>
      </c>
      <c r="I45" s="5" t="s">
        <v>41</v>
      </c>
      <c r="J45" s="5" t="s">
        <v>265</v>
      </c>
      <c r="K45" s="6" t="s">
        <v>42</v>
      </c>
      <c r="L45" s="5" t="s">
        <v>266</v>
      </c>
      <c r="M45" s="5" t="s">
        <v>44</v>
      </c>
      <c r="N45" s="5" t="s">
        <v>44</v>
      </c>
      <c r="O45" s="5" t="s">
        <v>4793</v>
      </c>
      <c r="P45" s="5" t="s">
        <v>48</v>
      </c>
      <c r="Q45" s="5" t="s">
        <v>4969</v>
      </c>
      <c r="R45" s="6">
        <v>11113.0</v>
      </c>
    </row>
    <row r="46" ht="56.25" customHeight="1">
      <c r="A46" s="5" t="s">
        <v>4970</v>
      </c>
      <c r="B46" s="16" t="str">
        <f>IMAGE("https://storage.googleapis.com/acdb/rugs/RugRoundMagicM00.png")</f>
        <v/>
      </c>
      <c r="C46" s="5" t="s">
        <v>36</v>
      </c>
      <c r="D46" s="6">
        <v>1500.0</v>
      </c>
      <c r="E46" s="6">
        <v>375.0</v>
      </c>
      <c r="F46" s="5" t="s">
        <v>106</v>
      </c>
      <c r="G46" s="5" t="s">
        <v>106</v>
      </c>
      <c r="H46" s="6" t="s">
        <v>4782</v>
      </c>
      <c r="I46" s="5" t="s">
        <v>2800</v>
      </c>
      <c r="J46" s="5" t="s">
        <v>4775</v>
      </c>
      <c r="K46" s="6" t="s">
        <v>42</v>
      </c>
      <c r="L46" s="5" t="s">
        <v>732</v>
      </c>
      <c r="M46" s="5" t="s">
        <v>99</v>
      </c>
      <c r="N46" s="5" t="s">
        <v>44</v>
      </c>
      <c r="O46" s="5" t="s">
        <v>4840</v>
      </c>
      <c r="P46" s="5" t="s">
        <v>64</v>
      </c>
      <c r="Q46" s="5" t="s">
        <v>4974</v>
      </c>
      <c r="R46" s="6">
        <v>7367.0</v>
      </c>
    </row>
    <row r="47" ht="56.25" customHeight="1">
      <c r="A47" s="5" t="s">
        <v>4975</v>
      </c>
      <c r="B47" s="16" t="str">
        <f>IMAGE("https://storage.googleapis.com/acdb/rugs/RugRectWaveL00.png")</f>
        <v/>
      </c>
      <c r="C47" s="5" t="s">
        <v>36</v>
      </c>
      <c r="D47" s="6">
        <v>2000.0</v>
      </c>
      <c r="E47" s="6">
        <v>500.0</v>
      </c>
      <c r="F47" s="5" t="s">
        <v>58</v>
      </c>
      <c r="G47" s="5" t="s">
        <v>58</v>
      </c>
      <c r="H47" s="6" t="s">
        <v>4807</v>
      </c>
      <c r="I47" s="5" t="s">
        <v>2800</v>
      </c>
      <c r="J47" s="5" t="s">
        <v>4808</v>
      </c>
      <c r="K47" s="6" t="s">
        <v>42</v>
      </c>
      <c r="L47" s="5" t="s">
        <v>90</v>
      </c>
      <c r="M47" s="5" t="s">
        <v>99</v>
      </c>
      <c r="N47" s="5" t="s">
        <v>44</v>
      </c>
      <c r="O47" s="5" t="s">
        <v>4810</v>
      </c>
      <c r="P47" s="5" t="s">
        <v>64</v>
      </c>
      <c r="Q47" s="5" t="s">
        <v>4976</v>
      </c>
      <c r="R47" s="6">
        <v>7350.0</v>
      </c>
    </row>
    <row r="48" ht="56.25" customHeight="1">
      <c r="A48" s="5" t="s">
        <v>4978</v>
      </c>
      <c r="B48" s="16" t="str">
        <f>IMAGE("https://storage.googleapis.com/acdb/rugs/RugRectMomS00.png")</f>
        <v/>
      </c>
      <c r="C48" s="5" t="s">
        <v>36</v>
      </c>
      <c r="D48" s="6" t="s">
        <v>37</v>
      </c>
      <c r="E48" s="6">
        <v>88.0</v>
      </c>
      <c r="F48" s="5" t="s">
        <v>83</v>
      </c>
      <c r="G48" s="5" t="s">
        <v>83</v>
      </c>
      <c r="H48" s="6" t="s">
        <v>136</v>
      </c>
      <c r="I48" s="5" t="s">
        <v>1684</v>
      </c>
      <c r="J48" s="5"/>
      <c r="K48" s="6" t="s">
        <v>42</v>
      </c>
      <c r="L48" s="5" t="s">
        <v>61</v>
      </c>
      <c r="M48" s="5" t="s">
        <v>159</v>
      </c>
      <c r="N48" s="5" t="s">
        <v>1686</v>
      </c>
      <c r="O48" s="5" t="s">
        <v>4799</v>
      </c>
      <c r="P48" s="5" t="s">
        <v>48</v>
      </c>
      <c r="Q48" s="5" t="s">
        <v>4981</v>
      </c>
      <c r="R48" s="6">
        <v>7402.0</v>
      </c>
    </row>
    <row r="49" ht="56.25" customHeight="1">
      <c r="A49" s="5" t="s">
        <v>4982</v>
      </c>
      <c r="B49" s="16" t="str">
        <f>IMAGE("https://storage.googleapis.com/acdb/rugs/RugRectMomS02.png")</f>
        <v/>
      </c>
      <c r="C49" s="5" t="s">
        <v>36</v>
      </c>
      <c r="D49" s="6" t="s">
        <v>37</v>
      </c>
      <c r="E49" s="6">
        <v>88.0</v>
      </c>
      <c r="F49" s="5" t="s">
        <v>114</v>
      </c>
      <c r="G49" s="5" t="s">
        <v>114</v>
      </c>
      <c r="H49" s="6" t="s">
        <v>136</v>
      </c>
      <c r="I49" s="5" t="s">
        <v>1684</v>
      </c>
      <c r="J49" s="5"/>
      <c r="K49" s="6" t="s">
        <v>42</v>
      </c>
      <c r="L49" s="5" t="s">
        <v>61</v>
      </c>
      <c r="M49" s="5" t="s">
        <v>159</v>
      </c>
      <c r="N49" s="5" t="s">
        <v>1686</v>
      </c>
      <c r="O49" s="5" t="s">
        <v>4799</v>
      </c>
      <c r="P49" s="5" t="s">
        <v>48</v>
      </c>
      <c r="Q49" s="5" t="s">
        <v>4985</v>
      </c>
      <c r="R49" s="6">
        <v>9543.0</v>
      </c>
    </row>
    <row r="50" ht="56.25" customHeight="1">
      <c r="A50" s="5" t="s">
        <v>4986</v>
      </c>
      <c r="B50" s="16" t="str">
        <f>IMAGE("https://storage.googleapis.com/acdb/rugs/RugRectMomS01.png")</f>
        <v/>
      </c>
      <c r="C50" s="5" t="s">
        <v>36</v>
      </c>
      <c r="D50" s="6" t="s">
        <v>37</v>
      </c>
      <c r="E50" s="6">
        <v>88.0</v>
      </c>
      <c r="F50" s="5" t="s">
        <v>69</v>
      </c>
      <c r="G50" s="5" t="s">
        <v>69</v>
      </c>
      <c r="H50" s="6" t="s">
        <v>136</v>
      </c>
      <c r="I50" s="5" t="s">
        <v>1684</v>
      </c>
      <c r="J50" s="5"/>
      <c r="K50" s="6" t="s">
        <v>42</v>
      </c>
      <c r="L50" s="5" t="s">
        <v>61</v>
      </c>
      <c r="M50" s="5" t="s">
        <v>159</v>
      </c>
      <c r="N50" s="5" t="s">
        <v>1686</v>
      </c>
      <c r="O50" s="5" t="s">
        <v>4799</v>
      </c>
      <c r="P50" s="5" t="s">
        <v>48</v>
      </c>
      <c r="Q50" s="5" t="s">
        <v>4989</v>
      </c>
      <c r="R50" s="6">
        <v>9542.0</v>
      </c>
    </row>
    <row r="51" ht="56.25" customHeight="1">
      <c r="A51" s="5" t="s">
        <v>4990</v>
      </c>
      <c r="B51" s="16" t="str">
        <f>IMAGE("https://storage.googleapis.com/acdb/rugs/RugRectMomS03.png")</f>
        <v/>
      </c>
      <c r="C51" s="5" t="s">
        <v>36</v>
      </c>
      <c r="D51" s="6" t="s">
        <v>37</v>
      </c>
      <c r="E51" s="6">
        <v>88.0</v>
      </c>
      <c r="F51" s="5" t="s">
        <v>106</v>
      </c>
      <c r="G51" s="5" t="s">
        <v>106</v>
      </c>
      <c r="H51" s="6" t="s">
        <v>136</v>
      </c>
      <c r="I51" s="5" t="s">
        <v>1684</v>
      </c>
      <c r="J51" s="5"/>
      <c r="K51" s="6" t="s">
        <v>42</v>
      </c>
      <c r="L51" s="5" t="s">
        <v>61</v>
      </c>
      <c r="M51" s="5" t="s">
        <v>159</v>
      </c>
      <c r="N51" s="5" t="s">
        <v>1686</v>
      </c>
      <c r="O51" s="5" t="s">
        <v>4799</v>
      </c>
      <c r="P51" s="5" t="s">
        <v>48</v>
      </c>
      <c r="Q51" s="5" t="s">
        <v>4992</v>
      </c>
      <c r="R51" s="6">
        <v>9541.0</v>
      </c>
    </row>
    <row r="52" ht="56.25" customHeight="1">
      <c r="A52" s="5" t="s">
        <v>4993</v>
      </c>
      <c r="B52" s="16" t="str">
        <f>IMAGE("https://storage.googleapis.com/acdb/rugs/RugRectDotL00.png")</f>
        <v/>
      </c>
      <c r="C52" s="5" t="s">
        <v>36</v>
      </c>
      <c r="D52" s="6">
        <v>2000.0</v>
      </c>
      <c r="E52" s="6">
        <v>500.0</v>
      </c>
      <c r="F52" s="5" t="s">
        <v>54</v>
      </c>
      <c r="G52" s="5" t="s">
        <v>57</v>
      </c>
      <c r="H52" s="6" t="s">
        <v>4807</v>
      </c>
      <c r="I52" s="5" t="s">
        <v>2800</v>
      </c>
      <c r="J52" s="5" t="s">
        <v>4808</v>
      </c>
      <c r="K52" s="6" t="s">
        <v>42</v>
      </c>
      <c r="L52" s="5" t="s">
        <v>61</v>
      </c>
      <c r="M52" s="5" t="s">
        <v>99</v>
      </c>
      <c r="N52" s="5" t="s">
        <v>44</v>
      </c>
      <c r="O52" s="5" t="s">
        <v>4810</v>
      </c>
      <c r="P52" s="5" t="s">
        <v>64</v>
      </c>
      <c r="Q52" s="5" t="s">
        <v>4995</v>
      </c>
      <c r="R52" s="6">
        <v>7349.0</v>
      </c>
    </row>
    <row r="53" ht="56.25" customHeight="1">
      <c r="A53" s="5" t="s">
        <v>4996</v>
      </c>
      <c r="B53" s="16" t="str">
        <f>IMAGE("https://storage.googleapis.com/acdb/rugs/RugRectWaveL01.png")</f>
        <v/>
      </c>
      <c r="C53" s="5" t="s">
        <v>36</v>
      </c>
      <c r="D53" s="6">
        <v>2000.0</v>
      </c>
      <c r="E53" s="6">
        <v>500.0</v>
      </c>
      <c r="F53" s="5" t="s">
        <v>54</v>
      </c>
      <c r="G53" s="5" t="s">
        <v>57</v>
      </c>
      <c r="H53" s="6" t="s">
        <v>4807</v>
      </c>
      <c r="I53" s="5" t="s">
        <v>2800</v>
      </c>
      <c r="J53" s="5" t="s">
        <v>4808</v>
      </c>
      <c r="K53" s="6" t="s">
        <v>42</v>
      </c>
      <c r="L53" s="5" t="s">
        <v>90</v>
      </c>
      <c r="M53" s="5" t="s">
        <v>99</v>
      </c>
      <c r="N53" s="5" t="s">
        <v>44</v>
      </c>
      <c r="O53" s="5" t="s">
        <v>4810</v>
      </c>
      <c r="P53" s="5" t="s">
        <v>64</v>
      </c>
      <c r="Q53" s="5" t="s">
        <v>4998</v>
      </c>
      <c r="R53" s="6">
        <v>7456.0</v>
      </c>
    </row>
    <row r="54" ht="56.25" customHeight="1">
      <c r="A54" s="5" t="s">
        <v>4999</v>
      </c>
      <c r="B54" s="16" t="str">
        <f>IMAGE("https://storage.googleapis.com/acdb/rugs/RugOtherMushM00.png")</f>
        <v/>
      </c>
      <c r="C54" s="5" t="s">
        <v>36</v>
      </c>
      <c r="D54" s="6">
        <v>1500.0</v>
      </c>
      <c r="E54" s="6">
        <v>375.0</v>
      </c>
      <c r="F54" s="5" t="s">
        <v>52</v>
      </c>
      <c r="G54" s="5" t="s">
        <v>52</v>
      </c>
      <c r="H54" s="6" t="s">
        <v>4782</v>
      </c>
      <c r="I54" s="5" t="s">
        <v>2800</v>
      </c>
      <c r="J54" s="5" t="s">
        <v>4775</v>
      </c>
      <c r="K54" s="6" t="s">
        <v>42</v>
      </c>
      <c r="L54" s="5" t="s">
        <v>61</v>
      </c>
      <c r="M54" s="5" t="s">
        <v>99</v>
      </c>
      <c r="N54" s="5" t="s">
        <v>1786</v>
      </c>
      <c r="O54" s="5" t="s">
        <v>4906</v>
      </c>
      <c r="P54" s="5" t="s">
        <v>64</v>
      </c>
      <c r="Q54" s="5" t="s">
        <v>5000</v>
      </c>
      <c r="R54" s="6">
        <v>7363.0</v>
      </c>
    </row>
    <row r="55" ht="56.25" customHeight="1">
      <c r="A55" s="5" t="s">
        <v>5002</v>
      </c>
      <c r="B55" s="16" t="str">
        <f>IMAGE("https://storage.googleapis.com/acdb/rugs/RugRectDeckM01.png")</f>
        <v/>
      </c>
      <c r="C55" s="5" t="s">
        <v>36</v>
      </c>
      <c r="D55" s="6">
        <v>1500.0</v>
      </c>
      <c r="E55" s="6">
        <v>375.0</v>
      </c>
      <c r="F55" s="5" t="s">
        <v>39</v>
      </c>
      <c r="G55" s="5" t="s">
        <v>39</v>
      </c>
      <c r="H55" s="6" t="s">
        <v>4774</v>
      </c>
      <c r="I55" s="5" t="s">
        <v>2800</v>
      </c>
      <c r="J55" s="5" t="s">
        <v>4775</v>
      </c>
      <c r="K55" s="6" t="s">
        <v>42</v>
      </c>
      <c r="L55" s="5" t="s">
        <v>765</v>
      </c>
      <c r="M55" s="5" t="s">
        <v>44</v>
      </c>
      <c r="N55" s="5" t="s">
        <v>44</v>
      </c>
      <c r="O55" s="5" t="s">
        <v>4793</v>
      </c>
      <c r="P55" s="5" t="s">
        <v>64</v>
      </c>
      <c r="Q55" s="5" t="s">
        <v>5004</v>
      </c>
      <c r="R55" s="6">
        <v>7380.0</v>
      </c>
    </row>
    <row r="56" ht="56.25" customHeight="1">
      <c r="A56" s="5" t="s">
        <v>5005</v>
      </c>
      <c r="B56" s="16" t="str">
        <f>IMAGE("https://storage.googleapis.com/acdb/rugs/RugOtherTanukiM00.png")</f>
        <v/>
      </c>
      <c r="C56" s="5" t="s">
        <v>36</v>
      </c>
      <c r="D56" s="6" t="s">
        <v>37</v>
      </c>
      <c r="E56" s="6">
        <v>5000.0</v>
      </c>
      <c r="F56" s="5" t="s">
        <v>44</v>
      </c>
      <c r="G56" s="5" t="s">
        <v>44</v>
      </c>
      <c r="H56" s="6" t="s">
        <v>4708</v>
      </c>
      <c r="I56" s="5" t="s">
        <v>2140</v>
      </c>
      <c r="J56" s="5" t="s">
        <v>4775</v>
      </c>
      <c r="K56" s="6" t="s">
        <v>98</v>
      </c>
      <c r="L56" s="5" t="s">
        <v>61</v>
      </c>
      <c r="M56" s="5" t="s">
        <v>90</v>
      </c>
      <c r="N56" s="5" t="s">
        <v>44</v>
      </c>
      <c r="O56" s="5" t="s">
        <v>4928</v>
      </c>
      <c r="P56" s="5" t="s">
        <v>48</v>
      </c>
      <c r="Q56" s="5" t="s">
        <v>5006</v>
      </c>
      <c r="R56" s="6">
        <v>12325.0</v>
      </c>
    </row>
    <row r="57" ht="56.25" customHeight="1">
      <c r="A57" s="5" t="s">
        <v>5007</v>
      </c>
      <c r="B57" s="16" t="str">
        <f>IMAGE("https://storage.googleapis.com/acdb/rugs/RugOtherLeafM00.png")</f>
        <v/>
      </c>
      <c r="C57" s="5" t="s">
        <v>36</v>
      </c>
      <c r="D57" s="6" t="s">
        <v>37</v>
      </c>
      <c r="E57" s="6">
        <v>5000.0</v>
      </c>
      <c r="F57" s="5" t="s">
        <v>96</v>
      </c>
      <c r="G57" s="5" t="s">
        <v>96</v>
      </c>
      <c r="H57" s="6" t="s">
        <v>4782</v>
      </c>
      <c r="I57" s="5" t="s">
        <v>2140</v>
      </c>
      <c r="J57" s="5" t="s">
        <v>4775</v>
      </c>
      <c r="K57" s="6" t="s">
        <v>42</v>
      </c>
      <c r="L57" s="5" t="s">
        <v>61</v>
      </c>
      <c r="M57" s="5" t="s">
        <v>99</v>
      </c>
      <c r="N57" s="5" t="s">
        <v>44</v>
      </c>
      <c r="O57" s="5" t="s">
        <v>4928</v>
      </c>
      <c r="P57" s="5" t="s">
        <v>48</v>
      </c>
      <c r="Q57" s="5" t="s">
        <v>5010</v>
      </c>
      <c r="R57" s="6">
        <v>7364.0</v>
      </c>
    </row>
    <row r="58" ht="56.25" customHeight="1">
      <c r="A58" s="5" t="s">
        <v>5011</v>
      </c>
      <c r="B58" s="16" t="str">
        <f>IMAGE("https://i.imgur.com/cexNE4T.png")</f>
        <v/>
      </c>
      <c r="C58" s="5" t="s">
        <v>36</v>
      </c>
      <c r="D58" s="6" t="s">
        <v>37</v>
      </c>
      <c r="E58" s="6">
        <v>3000.0</v>
      </c>
      <c r="F58" s="5" t="s">
        <v>44</v>
      </c>
      <c r="G58" s="5" t="s">
        <v>44</v>
      </c>
      <c r="H58" s="6" t="s">
        <v>5012</v>
      </c>
      <c r="I58" s="5" t="s">
        <v>2140</v>
      </c>
      <c r="J58" s="5" t="s">
        <v>4808</v>
      </c>
      <c r="K58" s="6" t="s">
        <v>98</v>
      </c>
      <c r="L58" s="5" t="s">
        <v>141</v>
      </c>
      <c r="M58" s="5" t="s">
        <v>62</v>
      </c>
      <c r="N58" s="5" t="s">
        <v>44</v>
      </c>
      <c r="O58" s="5" t="s">
        <v>4928</v>
      </c>
      <c r="P58" s="5" t="s">
        <v>48</v>
      </c>
      <c r="Q58" s="5" t="s">
        <v>5013</v>
      </c>
      <c r="R58" s="6">
        <v>12396.0</v>
      </c>
    </row>
    <row r="59" ht="56.25" customHeight="1">
      <c r="A59" s="5" t="s">
        <v>5014</v>
      </c>
      <c r="B59" s="16" t="str">
        <f>IMAGE("https://storage.googleapis.com/acdb/rugs/RugOtherOrangeM00.png")</f>
        <v/>
      </c>
      <c r="C59" s="5" t="s">
        <v>35</v>
      </c>
      <c r="D59" s="6" t="s">
        <v>37</v>
      </c>
      <c r="E59" s="6">
        <v>1200.0</v>
      </c>
      <c r="F59" s="5" t="s">
        <v>142</v>
      </c>
      <c r="G59" s="5" t="s">
        <v>142</v>
      </c>
      <c r="H59" s="6" t="s">
        <v>4782</v>
      </c>
      <c r="I59" s="5" t="s">
        <v>41</v>
      </c>
      <c r="J59" s="5" t="s">
        <v>4775</v>
      </c>
      <c r="K59" s="6" t="s">
        <v>42</v>
      </c>
      <c r="L59" s="5" t="s">
        <v>61</v>
      </c>
      <c r="M59" s="5" t="s">
        <v>99</v>
      </c>
      <c r="N59" s="5" t="s">
        <v>338</v>
      </c>
      <c r="O59" s="5" t="s">
        <v>4784</v>
      </c>
      <c r="P59" s="5" t="s">
        <v>48</v>
      </c>
      <c r="Q59" s="5" t="s">
        <v>5017</v>
      </c>
      <c r="R59" s="6">
        <v>7330.0</v>
      </c>
    </row>
    <row r="60" ht="56.25" customHeight="1">
      <c r="A60" s="5" t="s">
        <v>5018</v>
      </c>
      <c r="B60" s="16" t="str">
        <f>IMAGE("https://storage.googleapis.com/acdb/rugs/RugOtherCountryS00.png")</f>
        <v/>
      </c>
      <c r="C60" s="5" t="s">
        <v>36</v>
      </c>
      <c r="D60" s="6">
        <v>1000.0</v>
      </c>
      <c r="E60" s="6">
        <v>250.0</v>
      </c>
      <c r="F60" s="5" t="s">
        <v>68</v>
      </c>
      <c r="G60" s="5" t="s">
        <v>68</v>
      </c>
      <c r="H60" s="6" t="s">
        <v>136</v>
      </c>
      <c r="I60" s="5" t="s">
        <v>2800</v>
      </c>
      <c r="J60" s="5" t="s">
        <v>4798</v>
      </c>
      <c r="K60" s="6" t="s">
        <v>42</v>
      </c>
      <c r="L60" s="5" t="s">
        <v>90</v>
      </c>
      <c r="M60" s="5" t="s">
        <v>44</v>
      </c>
      <c r="N60" s="5" t="s">
        <v>44</v>
      </c>
      <c r="O60" s="5" t="s">
        <v>4777</v>
      </c>
      <c r="P60" s="5" t="s">
        <v>64</v>
      </c>
      <c r="Q60" s="5" t="s">
        <v>5020</v>
      </c>
      <c r="R60" s="6">
        <v>7370.0</v>
      </c>
    </row>
    <row r="61" ht="56.25" customHeight="1">
      <c r="A61" s="5" t="s">
        <v>5021</v>
      </c>
      <c r="B61" s="16" t="str">
        <f>IMAGE("https://storage.googleapis.com/acdb/rugs/RugSquareCheckQuiltL02.png")</f>
        <v/>
      </c>
      <c r="C61" s="5" t="s">
        <v>36</v>
      </c>
      <c r="D61" s="6">
        <v>2000.0</v>
      </c>
      <c r="E61" s="6">
        <v>500.0</v>
      </c>
      <c r="F61" s="5" t="s">
        <v>69</v>
      </c>
      <c r="G61" s="5" t="s">
        <v>83</v>
      </c>
      <c r="H61" s="6" t="s">
        <v>4932</v>
      </c>
      <c r="I61" s="5" t="s">
        <v>2800</v>
      </c>
      <c r="J61" s="5" t="s">
        <v>4808</v>
      </c>
      <c r="K61" s="6" t="s">
        <v>42</v>
      </c>
      <c r="L61" s="5" t="s">
        <v>90</v>
      </c>
      <c r="M61" s="5" t="s">
        <v>99</v>
      </c>
      <c r="N61" s="5" t="s">
        <v>44</v>
      </c>
      <c r="O61" s="5" t="s">
        <v>4789</v>
      </c>
      <c r="P61" s="5" t="s">
        <v>64</v>
      </c>
      <c r="Q61" s="5" t="s">
        <v>5022</v>
      </c>
      <c r="R61" s="6">
        <v>7463.0</v>
      </c>
    </row>
    <row r="62" ht="56.25" customHeight="1">
      <c r="A62" s="5" t="s">
        <v>5024</v>
      </c>
      <c r="B62" s="16" t="str">
        <f>IMAGE("https://storage.googleapis.com/acdb/rugs/RugOtherPeachM00.png")</f>
        <v/>
      </c>
      <c r="C62" s="5" t="s">
        <v>35</v>
      </c>
      <c r="D62" s="6" t="s">
        <v>37</v>
      </c>
      <c r="E62" s="6">
        <v>1200.0</v>
      </c>
      <c r="F62" s="5" t="s">
        <v>69</v>
      </c>
      <c r="G62" s="5" t="s">
        <v>69</v>
      </c>
      <c r="H62" s="6" t="s">
        <v>4782</v>
      </c>
      <c r="I62" s="5" t="s">
        <v>41</v>
      </c>
      <c r="J62" s="5" t="s">
        <v>4775</v>
      </c>
      <c r="K62" s="6" t="s">
        <v>42</v>
      </c>
      <c r="L62" s="5" t="s">
        <v>61</v>
      </c>
      <c r="M62" s="5" t="s">
        <v>99</v>
      </c>
      <c r="N62" s="5" t="s">
        <v>338</v>
      </c>
      <c r="O62" s="5" t="s">
        <v>4784</v>
      </c>
      <c r="P62" s="5" t="s">
        <v>48</v>
      </c>
      <c r="Q62" s="5" t="s">
        <v>5027</v>
      </c>
      <c r="R62" s="6">
        <v>7331.0</v>
      </c>
    </row>
    <row r="63" ht="56.25" customHeight="1">
      <c r="A63" s="5" t="s">
        <v>5028</v>
      </c>
      <c r="B63" s="16" t="str">
        <f>IMAGE("https://storage.googleapis.com/acdb/rugs/RugRectBorderL01.png")</f>
        <v/>
      </c>
      <c r="C63" s="5" t="s">
        <v>36</v>
      </c>
      <c r="D63" s="6">
        <v>2000.0</v>
      </c>
      <c r="E63" s="6">
        <v>500.0</v>
      </c>
      <c r="F63" s="5" t="s">
        <v>69</v>
      </c>
      <c r="G63" s="5" t="s">
        <v>57</v>
      </c>
      <c r="H63" s="6" t="s">
        <v>4807</v>
      </c>
      <c r="I63" s="5" t="s">
        <v>2800</v>
      </c>
      <c r="J63" s="5" t="s">
        <v>4808</v>
      </c>
      <c r="K63" s="6" t="s">
        <v>42</v>
      </c>
      <c r="L63" s="5" t="s">
        <v>61</v>
      </c>
      <c r="M63" s="5" t="s">
        <v>99</v>
      </c>
      <c r="N63" s="5" t="s">
        <v>44</v>
      </c>
      <c r="O63" s="5" t="s">
        <v>4810</v>
      </c>
      <c r="P63" s="5" t="s">
        <v>64</v>
      </c>
      <c r="Q63" s="5" t="s">
        <v>5030</v>
      </c>
      <c r="R63" s="6">
        <v>7532.0</v>
      </c>
    </row>
    <row r="64" ht="56.25" customHeight="1">
      <c r="A64" s="5" t="s">
        <v>5031</v>
      </c>
      <c r="B64" s="16" t="str">
        <f>IMAGE("https://storage.googleapis.com/acdb/rugs/RugOtherPearM00.png")</f>
        <v/>
      </c>
      <c r="C64" s="5" t="s">
        <v>35</v>
      </c>
      <c r="D64" s="6" t="s">
        <v>37</v>
      </c>
      <c r="E64" s="6">
        <v>1200.0</v>
      </c>
      <c r="F64" s="5" t="s">
        <v>96</v>
      </c>
      <c r="G64" s="5" t="s">
        <v>96</v>
      </c>
      <c r="H64" s="6" t="s">
        <v>4782</v>
      </c>
      <c r="I64" s="5" t="s">
        <v>41</v>
      </c>
      <c r="J64" s="5"/>
      <c r="K64" s="6" t="s">
        <v>42</v>
      </c>
      <c r="L64" s="5" t="s">
        <v>61</v>
      </c>
      <c r="M64" s="5" t="s">
        <v>99</v>
      </c>
      <c r="N64" s="5" t="s">
        <v>338</v>
      </c>
      <c r="O64" s="5" t="s">
        <v>4784</v>
      </c>
      <c r="P64" s="5" t="s">
        <v>48</v>
      </c>
      <c r="Q64" s="5" t="s">
        <v>5033</v>
      </c>
      <c r="R64" s="6">
        <v>7332.0</v>
      </c>
    </row>
    <row r="65" ht="56.25" customHeight="1">
      <c r="A65" s="5" t="s">
        <v>5034</v>
      </c>
      <c r="B65" s="16" t="str">
        <f>IMAGE("https://storage.googleapis.com/acdb/rugs/RugOtherHeartM00.png")</f>
        <v/>
      </c>
      <c r="C65" s="5" t="s">
        <v>36</v>
      </c>
      <c r="D65" s="6">
        <v>1500.0</v>
      </c>
      <c r="E65" s="6">
        <v>375.0</v>
      </c>
      <c r="F65" s="5" t="s">
        <v>69</v>
      </c>
      <c r="G65" s="5" t="s">
        <v>69</v>
      </c>
      <c r="H65" s="6" t="s">
        <v>4782</v>
      </c>
      <c r="I65" s="5" t="s">
        <v>2800</v>
      </c>
      <c r="J65" s="5" t="s">
        <v>4775</v>
      </c>
      <c r="K65" s="6" t="s">
        <v>42</v>
      </c>
      <c r="L65" s="5" t="s">
        <v>61</v>
      </c>
      <c r="M65" s="5" t="s">
        <v>99</v>
      </c>
      <c r="N65" s="5" t="s">
        <v>44</v>
      </c>
      <c r="O65" s="5" t="s">
        <v>5036</v>
      </c>
      <c r="P65" s="5" t="s">
        <v>64</v>
      </c>
      <c r="Q65" s="5" t="s">
        <v>5037</v>
      </c>
      <c r="R65" s="6">
        <v>7322.0</v>
      </c>
    </row>
    <row r="66" ht="56.25" customHeight="1">
      <c r="A66" s="5" t="s">
        <v>5038</v>
      </c>
      <c r="B66" s="16" t="str">
        <f>IMAGE("https://storage.googleapis.com/acdb/rugs/RugOtherRoseM00.png")</f>
        <v/>
      </c>
      <c r="C66" s="5" t="s">
        <v>36</v>
      </c>
      <c r="D66" s="6">
        <v>1500.0</v>
      </c>
      <c r="E66" s="6">
        <v>375.0</v>
      </c>
      <c r="F66" s="5" t="s">
        <v>69</v>
      </c>
      <c r="G66" s="5" t="s">
        <v>69</v>
      </c>
      <c r="H66" s="6" t="s">
        <v>4782</v>
      </c>
      <c r="I66" s="5" t="s">
        <v>2800</v>
      </c>
      <c r="J66" s="5" t="s">
        <v>4775</v>
      </c>
      <c r="K66" s="6" t="s">
        <v>42</v>
      </c>
      <c r="L66" s="5" t="s">
        <v>61</v>
      </c>
      <c r="M66" s="5" t="s">
        <v>116</v>
      </c>
      <c r="N66" s="5" t="s">
        <v>44</v>
      </c>
      <c r="O66" s="5" t="s">
        <v>5039</v>
      </c>
      <c r="P66" s="5" t="s">
        <v>64</v>
      </c>
      <c r="Q66" s="5" t="s">
        <v>5040</v>
      </c>
      <c r="R66" s="6">
        <v>7365.0</v>
      </c>
    </row>
    <row r="67" ht="56.25" customHeight="1">
      <c r="A67" s="5" t="s">
        <v>5041</v>
      </c>
      <c r="B67" s="16" t="str">
        <f>IMAGE("https://storage.googleapis.com/acdb/rugs/RugOtherHeartM02.png")</f>
        <v/>
      </c>
      <c r="C67" s="5" t="s">
        <v>36</v>
      </c>
      <c r="D67" s="6">
        <v>1500.0</v>
      </c>
      <c r="E67" s="6">
        <v>375.0</v>
      </c>
      <c r="F67" s="5" t="s">
        <v>106</v>
      </c>
      <c r="G67" s="5" t="s">
        <v>69</v>
      </c>
      <c r="H67" s="6" t="s">
        <v>4782</v>
      </c>
      <c r="I67" s="5" t="s">
        <v>2800</v>
      </c>
      <c r="J67" s="5" t="s">
        <v>4775</v>
      </c>
      <c r="K67" s="6" t="s">
        <v>42</v>
      </c>
      <c r="L67" s="5" t="s">
        <v>61</v>
      </c>
      <c r="M67" s="5" t="s">
        <v>99</v>
      </c>
      <c r="N67" s="5" t="s">
        <v>44</v>
      </c>
      <c r="O67" s="5" t="s">
        <v>5036</v>
      </c>
      <c r="P67" s="5" t="s">
        <v>64</v>
      </c>
      <c r="Q67" s="5" t="s">
        <v>5044</v>
      </c>
      <c r="R67" s="6">
        <v>7580.0</v>
      </c>
    </row>
    <row r="68" ht="56.25" customHeight="1">
      <c r="A68" s="5" t="s">
        <v>5045</v>
      </c>
      <c r="B68" s="16" t="str">
        <f>IMAGE("https://storage.googleapis.com/acdb/rugs/RugSquarePersianL03.png")</f>
        <v/>
      </c>
      <c r="C68" s="5" t="s">
        <v>36</v>
      </c>
      <c r="D68" s="6">
        <v>2000.0</v>
      </c>
      <c r="E68" s="6">
        <v>500.0</v>
      </c>
      <c r="F68" s="5" t="s">
        <v>106</v>
      </c>
      <c r="G68" s="5" t="s">
        <v>38</v>
      </c>
      <c r="H68" s="6" t="s">
        <v>4826</v>
      </c>
      <c r="I68" s="5" t="s">
        <v>2800</v>
      </c>
      <c r="J68" s="5" t="s">
        <v>4808</v>
      </c>
      <c r="K68" s="6" t="s">
        <v>42</v>
      </c>
      <c r="L68" s="5" t="s">
        <v>116</v>
      </c>
      <c r="M68" s="5" t="s">
        <v>90</v>
      </c>
      <c r="N68" s="5" t="s">
        <v>44</v>
      </c>
      <c r="O68" s="5" t="s">
        <v>4789</v>
      </c>
      <c r="P68" s="5" t="s">
        <v>64</v>
      </c>
      <c r="Q68" s="5" t="s">
        <v>5046</v>
      </c>
      <c r="R68" s="6">
        <v>8037.0</v>
      </c>
    </row>
    <row r="69" ht="56.25" customHeight="1">
      <c r="A69" s="5" t="s">
        <v>5047</v>
      </c>
      <c r="B69" s="16" t="str">
        <f>IMAGE("https://storage.googleapis.com/acdb/rugs/RugSquareShaggyL03.png")</f>
        <v/>
      </c>
      <c r="C69" s="5" t="s">
        <v>36</v>
      </c>
      <c r="D69" s="6">
        <v>2000.0</v>
      </c>
      <c r="E69" s="6">
        <v>500.0</v>
      </c>
      <c r="F69" s="5" t="s">
        <v>106</v>
      </c>
      <c r="G69" s="5" t="s">
        <v>106</v>
      </c>
      <c r="H69" s="6" t="s">
        <v>4826</v>
      </c>
      <c r="I69" s="5" t="s">
        <v>2800</v>
      </c>
      <c r="J69" s="5" t="s">
        <v>4808</v>
      </c>
      <c r="K69" s="6" t="s">
        <v>42</v>
      </c>
      <c r="L69" s="5" t="s">
        <v>90</v>
      </c>
      <c r="M69" s="5" t="s">
        <v>44</v>
      </c>
      <c r="N69" s="5" t="s">
        <v>44</v>
      </c>
      <c r="O69" s="5" t="s">
        <v>4789</v>
      </c>
      <c r="P69" s="5" t="s">
        <v>64</v>
      </c>
      <c r="Q69" s="5" t="s">
        <v>5051</v>
      </c>
      <c r="R69" s="6">
        <v>9562.0</v>
      </c>
    </row>
    <row r="70" ht="56.25" customHeight="1">
      <c r="A70" s="5" t="s">
        <v>5052</v>
      </c>
      <c r="B70" s="16" t="str">
        <f>IMAGE("https://storage.googleapis.com/acdb/rugs/RugRectArgyleL01.png")</f>
        <v/>
      </c>
      <c r="C70" s="5" t="s">
        <v>36</v>
      </c>
      <c r="D70" s="6">
        <v>2000.0</v>
      </c>
      <c r="E70" s="6">
        <v>500.0</v>
      </c>
      <c r="F70" s="5" t="s">
        <v>52</v>
      </c>
      <c r="G70" s="5" t="s">
        <v>52</v>
      </c>
      <c r="H70" s="6" t="s">
        <v>4807</v>
      </c>
      <c r="I70" s="5" t="s">
        <v>2800</v>
      </c>
      <c r="J70" s="5" t="s">
        <v>4808</v>
      </c>
      <c r="K70" s="6" t="s">
        <v>42</v>
      </c>
      <c r="L70" s="5" t="s">
        <v>90</v>
      </c>
      <c r="M70" s="5" t="s">
        <v>116</v>
      </c>
      <c r="N70" s="5" t="s">
        <v>44</v>
      </c>
      <c r="O70" s="5" t="s">
        <v>4810</v>
      </c>
      <c r="P70" s="5" t="s">
        <v>64</v>
      </c>
      <c r="Q70" s="5" t="s">
        <v>5053</v>
      </c>
      <c r="R70" s="6">
        <v>8466.0</v>
      </c>
    </row>
    <row r="71" ht="56.25" customHeight="1">
      <c r="A71" s="5" t="s">
        <v>5055</v>
      </c>
      <c r="B71" s="16" t="str">
        <f>IMAGE("https://storage.googleapis.com/acdb/rugs/RugSquareBlockM00.png")</f>
        <v/>
      </c>
      <c r="C71" s="5" t="s">
        <v>36</v>
      </c>
      <c r="D71" s="6">
        <v>1500.0</v>
      </c>
      <c r="E71" s="6">
        <v>375.0</v>
      </c>
      <c r="F71" s="5" t="s">
        <v>52</v>
      </c>
      <c r="G71" s="5" t="s">
        <v>52</v>
      </c>
      <c r="H71" s="6" t="s">
        <v>4782</v>
      </c>
      <c r="I71" s="5" t="s">
        <v>2800</v>
      </c>
      <c r="J71" s="5" t="s">
        <v>4775</v>
      </c>
      <c r="K71" s="6" t="s">
        <v>42</v>
      </c>
      <c r="L71" s="5" t="s">
        <v>90</v>
      </c>
      <c r="M71" s="5" t="s">
        <v>44</v>
      </c>
      <c r="N71" s="5" t="s">
        <v>44</v>
      </c>
      <c r="O71" s="5" t="s">
        <v>4789</v>
      </c>
      <c r="P71" s="5" t="s">
        <v>64</v>
      </c>
      <c r="Q71" s="5" t="s">
        <v>5056</v>
      </c>
      <c r="R71" s="6">
        <v>11101.0</v>
      </c>
    </row>
    <row r="72" ht="56.25" customHeight="1">
      <c r="A72" s="5" t="s">
        <v>5057</v>
      </c>
      <c r="B72" s="16" t="str">
        <f>IMAGE("https://storage.googleapis.com/acdb/rugs/RugRectElegantM00.png")</f>
        <v/>
      </c>
      <c r="C72" s="5" t="s">
        <v>36</v>
      </c>
      <c r="D72" s="6">
        <v>1500.0</v>
      </c>
      <c r="E72" s="6">
        <v>375.0</v>
      </c>
      <c r="F72" s="5" t="s">
        <v>52</v>
      </c>
      <c r="G72" s="5" t="s">
        <v>52</v>
      </c>
      <c r="H72" s="6" t="s">
        <v>4774</v>
      </c>
      <c r="I72" s="5" t="s">
        <v>2800</v>
      </c>
      <c r="J72" s="5" t="s">
        <v>4775</v>
      </c>
      <c r="K72" s="6" t="s">
        <v>42</v>
      </c>
      <c r="L72" s="5" t="s">
        <v>116</v>
      </c>
      <c r="M72" s="5" t="s">
        <v>44</v>
      </c>
      <c r="N72" s="5" t="s">
        <v>44</v>
      </c>
      <c r="O72" s="5" t="s">
        <v>4777</v>
      </c>
      <c r="P72" s="5" t="s">
        <v>64</v>
      </c>
      <c r="Q72" s="5" t="s">
        <v>5061</v>
      </c>
      <c r="R72" s="6">
        <v>7348.0</v>
      </c>
    </row>
    <row r="73" ht="56.25" customHeight="1">
      <c r="A73" s="5" t="s">
        <v>5062</v>
      </c>
      <c r="B73" s="16" t="str">
        <f>IMAGE("https://storage.googleapis.com/acdb/rugs/RugRectDotL02.png")</f>
        <v/>
      </c>
      <c r="C73" s="5" t="s">
        <v>36</v>
      </c>
      <c r="D73" s="6">
        <v>2000.0</v>
      </c>
      <c r="E73" s="6">
        <v>500.0</v>
      </c>
      <c r="F73" s="5" t="s">
        <v>52</v>
      </c>
      <c r="G73" s="5" t="s">
        <v>52</v>
      </c>
      <c r="H73" s="6" t="s">
        <v>4807</v>
      </c>
      <c r="I73" s="5" t="s">
        <v>2800</v>
      </c>
      <c r="J73" s="5" t="s">
        <v>4808</v>
      </c>
      <c r="K73" s="6" t="s">
        <v>42</v>
      </c>
      <c r="L73" s="5" t="s">
        <v>61</v>
      </c>
      <c r="M73" s="5" t="s">
        <v>99</v>
      </c>
      <c r="N73" s="5" t="s">
        <v>44</v>
      </c>
      <c r="O73" s="5" t="s">
        <v>4810</v>
      </c>
      <c r="P73" s="5" t="s">
        <v>64</v>
      </c>
      <c r="Q73" s="5" t="s">
        <v>5065</v>
      </c>
      <c r="R73" s="6">
        <v>7465.0</v>
      </c>
    </row>
    <row r="74" ht="56.25" customHeight="1">
      <c r="A74" s="5" t="s">
        <v>5066</v>
      </c>
      <c r="B74" s="16" t="str">
        <f>IMAGE("https://storage.googleapis.com/acdb/rugs/RugSquareKirimL00.png")</f>
        <v/>
      </c>
      <c r="C74" s="5" t="s">
        <v>36</v>
      </c>
      <c r="D74" s="6">
        <v>2000.0</v>
      </c>
      <c r="E74" s="6">
        <v>500.0</v>
      </c>
      <c r="F74" s="5" t="s">
        <v>52</v>
      </c>
      <c r="G74" s="5" t="s">
        <v>52</v>
      </c>
      <c r="H74" s="6" t="s">
        <v>4826</v>
      </c>
      <c r="I74" s="5" t="s">
        <v>2800</v>
      </c>
      <c r="J74" s="5" t="s">
        <v>4808</v>
      </c>
      <c r="K74" s="6" t="s">
        <v>42</v>
      </c>
      <c r="L74" s="5" t="s">
        <v>90</v>
      </c>
      <c r="M74" s="5" t="s">
        <v>44</v>
      </c>
      <c r="N74" s="5" t="s">
        <v>44</v>
      </c>
      <c r="O74" s="5" t="s">
        <v>4789</v>
      </c>
      <c r="P74" s="5" t="s">
        <v>64</v>
      </c>
      <c r="Q74" s="5" t="s">
        <v>5069</v>
      </c>
      <c r="R74" s="6">
        <v>9313.0</v>
      </c>
    </row>
    <row r="75" ht="56.25" customHeight="1">
      <c r="A75" s="5" t="s">
        <v>5070</v>
      </c>
      <c r="B75" s="16" t="str">
        <f>IMAGE("https://storage.googleapis.com/acdb/rugs/RugRoundSimpleM01.png")</f>
        <v/>
      </c>
      <c r="C75" s="5" t="s">
        <v>36</v>
      </c>
      <c r="D75" s="6">
        <v>1500.0</v>
      </c>
      <c r="E75" s="6">
        <v>375.0</v>
      </c>
      <c r="F75" s="5" t="s">
        <v>52</v>
      </c>
      <c r="G75" s="5" t="s">
        <v>52</v>
      </c>
      <c r="H75" s="6" t="s">
        <v>4782</v>
      </c>
      <c r="I75" s="5" t="s">
        <v>2800</v>
      </c>
      <c r="J75" s="5" t="s">
        <v>4775</v>
      </c>
      <c r="K75" s="6" t="s">
        <v>42</v>
      </c>
      <c r="L75" s="5" t="s">
        <v>90</v>
      </c>
      <c r="M75" s="5" t="s">
        <v>99</v>
      </c>
      <c r="N75" s="5" t="s">
        <v>44</v>
      </c>
      <c r="O75" s="5" t="s">
        <v>4840</v>
      </c>
      <c r="P75" s="5" t="s">
        <v>64</v>
      </c>
      <c r="Q75" s="5" t="s">
        <v>5073</v>
      </c>
      <c r="R75" s="6">
        <v>9545.0</v>
      </c>
    </row>
    <row r="76" ht="56.25" customHeight="1">
      <c r="A76" s="5" t="s">
        <v>5075</v>
      </c>
      <c r="B76" s="16" t="str">
        <f>IMAGE("https://storage.googleapis.com/acdb/rugs/RugOtherMessageS03.png")</f>
        <v/>
      </c>
      <c r="C76" s="5" t="s">
        <v>36</v>
      </c>
      <c r="D76" s="6">
        <v>1000.0</v>
      </c>
      <c r="E76" s="6">
        <v>250.0</v>
      </c>
      <c r="F76" s="5" t="s">
        <v>52</v>
      </c>
      <c r="G76" s="5" t="s">
        <v>52</v>
      </c>
      <c r="H76" s="6" t="s">
        <v>136</v>
      </c>
      <c r="I76" s="5" t="s">
        <v>2800</v>
      </c>
      <c r="J76" s="5" t="s">
        <v>4798</v>
      </c>
      <c r="K76" s="6" t="s">
        <v>42</v>
      </c>
      <c r="L76" s="5" t="s">
        <v>99</v>
      </c>
      <c r="M76" s="5" t="s">
        <v>44</v>
      </c>
      <c r="N76" s="5" t="s">
        <v>44</v>
      </c>
      <c r="O76" s="5" t="s">
        <v>4847</v>
      </c>
      <c r="P76" s="5" t="s">
        <v>64</v>
      </c>
      <c r="Q76" s="5" t="s">
        <v>5077</v>
      </c>
      <c r="R76" s="6">
        <v>9312.0</v>
      </c>
    </row>
    <row r="77" ht="56.25" customHeight="1">
      <c r="A77" s="5" t="s">
        <v>5078</v>
      </c>
      <c r="B77" s="16" t="str">
        <f>IMAGE("https://storage.googleapis.com/acdb/rugs/RugSquarePersianL00.png")</f>
        <v/>
      </c>
      <c r="C77" s="5" t="s">
        <v>36</v>
      </c>
      <c r="D77" s="6">
        <v>2000.0</v>
      </c>
      <c r="E77" s="6">
        <v>500.0</v>
      </c>
      <c r="F77" s="5" t="s">
        <v>52</v>
      </c>
      <c r="G77" s="5" t="s">
        <v>38</v>
      </c>
      <c r="H77" s="6" t="s">
        <v>4826</v>
      </c>
      <c r="I77" s="5" t="s">
        <v>2800</v>
      </c>
      <c r="J77" s="5" t="s">
        <v>4808</v>
      </c>
      <c r="K77" s="6" t="s">
        <v>42</v>
      </c>
      <c r="L77" s="5" t="s">
        <v>116</v>
      </c>
      <c r="M77" s="5" t="s">
        <v>90</v>
      </c>
      <c r="N77" s="5" t="s">
        <v>44</v>
      </c>
      <c r="O77" s="5" t="s">
        <v>4789</v>
      </c>
      <c r="P77" s="5" t="s">
        <v>64</v>
      </c>
      <c r="Q77" s="5" t="s">
        <v>5081</v>
      </c>
      <c r="R77" s="6">
        <v>7347.0</v>
      </c>
    </row>
    <row r="78" ht="56.25" customHeight="1">
      <c r="A78" s="5" t="s">
        <v>5083</v>
      </c>
      <c r="B78" s="16" t="str">
        <f>IMAGE("https://storage.googleapis.com/acdb/rugs/RugOtherRoseM01.png")</f>
        <v/>
      </c>
      <c r="C78" s="5" t="s">
        <v>36</v>
      </c>
      <c r="D78" s="6">
        <v>1500.0</v>
      </c>
      <c r="E78" s="6">
        <v>375.0</v>
      </c>
      <c r="F78" s="5" t="s">
        <v>52</v>
      </c>
      <c r="G78" s="5" t="s">
        <v>52</v>
      </c>
      <c r="H78" s="6" t="s">
        <v>4782</v>
      </c>
      <c r="I78" s="5" t="s">
        <v>2800</v>
      </c>
      <c r="J78" s="5" t="s">
        <v>4775</v>
      </c>
      <c r="K78" s="6" t="s">
        <v>42</v>
      </c>
      <c r="L78" s="5" t="s">
        <v>61</v>
      </c>
      <c r="M78" s="5" t="s">
        <v>116</v>
      </c>
      <c r="N78" s="5" t="s">
        <v>311</v>
      </c>
      <c r="O78" s="5" t="s">
        <v>5039</v>
      </c>
      <c r="P78" s="5" t="s">
        <v>64</v>
      </c>
      <c r="Q78" s="5" t="s">
        <v>5086</v>
      </c>
      <c r="R78" s="6">
        <v>8758.0</v>
      </c>
    </row>
    <row r="79" ht="56.25" customHeight="1">
      <c r="A79" s="5" t="s">
        <v>5087</v>
      </c>
      <c r="B79" s="16" t="str">
        <f>IMAGE("https://storage.googleapis.com/acdb/rugs/RugRoundSimpleS01.png")</f>
        <v/>
      </c>
      <c r="C79" s="5" t="s">
        <v>36</v>
      </c>
      <c r="D79" s="6">
        <v>1000.0</v>
      </c>
      <c r="E79" s="6">
        <v>250.0</v>
      </c>
      <c r="F79" s="5" t="s">
        <v>52</v>
      </c>
      <c r="G79" s="5" t="s">
        <v>52</v>
      </c>
      <c r="H79" s="6" t="s">
        <v>4863</v>
      </c>
      <c r="I79" s="5" t="s">
        <v>2800</v>
      </c>
      <c r="J79" s="5" t="s">
        <v>4798</v>
      </c>
      <c r="K79" s="6" t="s">
        <v>42</v>
      </c>
      <c r="L79" s="5" t="s">
        <v>90</v>
      </c>
      <c r="M79" s="5" t="s">
        <v>99</v>
      </c>
      <c r="N79" s="5" t="s">
        <v>44</v>
      </c>
      <c r="O79" s="5" t="s">
        <v>4840</v>
      </c>
      <c r="P79" s="5" t="s">
        <v>64</v>
      </c>
      <c r="Q79" s="5" t="s">
        <v>5089</v>
      </c>
      <c r="R79" s="6">
        <v>9548.0</v>
      </c>
    </row>
    <row r="80" ht="56.25" customHeight="1">
      <c r="A80" s="5" t="s">
        <v>5090</v>
      </c>
      <c r="B80" s="16" t="str">
        <f>IMAGE("https://storage.googleapis.com/acdb/rugs/RugRectVinylM02.png")</f>
        <v/>
      </c>
      <c r="C80" s="5" t="s">
        <v>36</v>
      </c>
      <c r="D80" s="6">
        <v>1500.0</v>
      </c>
      <c r="E80" s="6">
        <v>375.0</v>
      </c>
      <c r="F80" s="5" t="s">
        <v>52</v>
      </c>
      <c r="G80" s="5" t="s">
        <v>58</v>
      </c>
      <c r="H80" s="6" t="s">
        <v>4774</v>
      </c>
      <c r="I80" s="5" t="s">
        <v>2800</v>
      </c>
      <c r="J80" s="5" t="s">
        <v>4775</v>
      </c>
      <c r="K80" s="6" t="s">
        <v>42</v>
      </c>
      <c r="L80" s="5" t="s">
        <v>172</v>
      </c>
      <c r="M80" s="5" t="s">
        <v>44</v>
      </c>
      <c r="N80" s="5" t="s">
        <v>44</v>
      </c>
      <c r="O80" s="5" t="s">
        <v>4810</v>
      </c>
      <c r="P80" s="5" t="s">
        <v>64</v>
      </c>
      <c r="Q80" s="5" t="s">
        <v>5094</v>
      </c>
      <c r="R80" s="6">
        <v>7405.0</v>
      </c>
    </row>
    <row r="81" ht="56.25" customHeight="1">
      <c r="A81" s="5" t="s">
        <v>5095</v>
      </c>
      <c r="B81" s="16" t="str">
        <f>IMAGE("https://storage.googleapis.com/acdb/rugs/RugRectWaveL03.png")</f>
        <v/>
      </c>
      <c r="C81" s="5" t="s">
        <v>36</v>
      </c>
      <c r="D81" s="6">
        <v>2000.0</v>
      </c>
      <c r="E81" s="6">
        <v>500.0</v>
      </c>
      <c r="F81" s="5" t="s">
        <v>52</v>
      </c>
      <c r="G81" s="5" t="s">
        <v>114</v>
      </c>
      <c r="H81" s="6" t="s">
        <v>4807</v>
      </c>
      <c r="I81" s="5" t="s">
        <v>2800</v>
      </c>
      <c r="J81" s="5" t="s">
        <v>4808</v>
      </c>
      <c r="K81" s="6" t="s">
        <v>42</v>
      </c>
      <c r="L81" s="5" t="s">
        <v>90</v>
      </c>
      <c r="M81" s="5" t="s">
        <v>99</v>
      </c>
      <c r="N81" s="5" t="s">
        <v>44</v>
      </c>
      <c r="O81" s="5" t="s">
        <v>4810</v>
      </c>
      <c r="P81" s="5" t="s">
        <v>64</v>
      </c>
      <c r="Q81" s="5" t="s">
        <v>5098</v>
      </c>
      <c r="R81" s="6">
        <v>7457.0</v>
      </c>
    </row>
    <row r="82" ht="56.25" customHeight="1">
      <c r="A82" s="5" t="s">
        <v>5099</v>
      </c>
      <c r="B82" s="6" t="str">
        <f>IMAGE("https://storage.googleapis.com/acdb/rugs/RugSquareCheckQuiltL00.png")</f>
        <v/>
      </c>
      <c r="C82" s="5" t="s">
        <v>36</v>
      </c>
      <c r="D82" s="6">
        <v>2000.0</v>
      </c>
      <c r="E82" s="6">
        <v>500.0</v>
      </c>
      <c r="F82" s="5" t="s">
        <v>52</v>
      </c>
      <c r="G82" s="5" t="s">
        <v>68</v>
      </c>
      <c r="H82" s="6" t="s">
        <v>4932</v>
      </c>
      <c r="I82" s="5" t="s">
        <v>2800</v>
      </c>
      <c r="J82" s="5" t="s">
        <v>4808</v>
      </c>
      <c r="K82" s="6" t="s">
        <v>42</v>
      </c>
      <c r="L82" s="5" t="s">
        <v>90</v>
      </c>
      <c r="M82" s="5" t="s">
        <v>99</v>
      </c>
      <c r="N82" s="5" t="s">
        <v>44</v>
      </c>
      <c r="O82" s="5" t="s">
        <v>4789</v>
      </c>
      <c r="P82" s="5" t="s">
        <v>64</v>
      </c>
      <c r="Q82" s="5" t="s">
        <v>5101</v>
      </c>
      <c r="R82" s="6">
        <v>7343.0</v>
      </c>
    </row>
    <row r="83" ht="56.25" customHeight="1">
      <c r="A83" s="5" t="s">
        <v>5102</v>
      </c>
      <c r="B83" s="6" t="str">
        <f>IMAGE("https://storage.googleapis.com/acdb/rugs/RugRectNativeKitchenS00.png")</f>
        <v/>
      </c>
      <c r="C83" s="5" t="s">
        <v>36</v>
      </c>
      <c r="D83" s="6">
        <v>1000.0</v>
      </c>
      <c r="E83" s="6">
        <v>250.0</v>
      </c>
      <c r="F83" s="5" t="s">
        <v>52</v>
      </c>
      <c r="G83" s="5" t="s">
        <v>54</v>
      </c>
      <c r="H83" s="6" t="s">
        <v>136</v>
      </c>
      <c r="I83" s="5" t="s">
        <v>2800</v>
      </c>
      <c r="J83" s="5" t="s">
        <v>4798</v>
      </c>
      <c r="K83" s="6" t="s">
        <v>42</v>
      </c>
      <c r="L83" s="5" t="s">
        <v>159</v>
      </c>
      <c r="M83" s="5" t="s">
        <v>44</v>
      </c>
      <c r="N83" s="5" t="s">
        <v>44</v>
      </c>
      <c r="O83" s="5" t="s">
        <v>4799</v>
      </c>
      <c r="P83" s="5" t="s">
        <v>64</v>
      </c>
      <c r="Q83" s="5" t="s">
        <v>5107</v>
      </c>
      <c r="R83" s="6">
        <v>7340.0</v>
      </c>
    </row>
    <row r="84" ht="56.25" customHeight="1">
      <c r="A84" s="5" t="s">
        <v>5108</v>
      </c>
      <c r="B84" s="16" t="str">
        <f>IMAGE("https://storage.googleapis.com/acdb/rugs/RugRectDotL01.png")</f>
        <v/>
      </c>
      <c r="C84" s="5" t="s">
        <v>36</v>
      </c>
      <c r="D84" s="6">
        <v>2000.0</v>
      </c>
      <c r="E84" s="6">
        <v>500.0</v>
      </c>
      <c r="F84" s="5" t="s">
        <v>96</v>
      </c>
      <c r="G84" s="5" t="s">
        <v>96</v>
      </c>
      <c r="H84" s="6" t="s">
        <v>4807</v>
      </c>
      <c r="I84" s="5" t="s">
        <v>2800</v>
      </c>
      <c r="J84" s="5" t="s">
        <v>4808</v>
      </c>
      <c r="K84" s="6" t="s">
        <v>42</v>
      </c>
      <c r="L84" s="5" t="s">
        <v>61</v>
      </c>
      <c r="M84" s="5" t="s">
        <v>99</v>
      </c>
      <c r="N84" s="5" t="s">
        <v>44</v>
      </c>
      <c r="O84" s="5" t="s">
        <v>4810</v>
      </c>
      <c r="P84" s="5" t="s">
        <v>64</v>
      </c>
      <c r="Q84" s="5" t="s">
        <v>5109</v>
      </c>
      <c r="R84" s="6">
        <v>7466.0</v>
      </c>
    </row>
    <row r="85" ht="56.25" customHeight="1">
      <c r="A85" s="5" t="s">
        <v>5110</v>
      </c>
      <c r="B85" s="16" t="str">
        <f>IMAGE("https://storage.googleapis.com/acdb/rugs/RugRectDoormatS00.png")</f>
        <v/>
      </c>
      <c r="C85" s="5" t="s">
        <v>36</v>
      </c>
      <c r="D85" s="6">
        <v>1000.0</v>
      </c>
      <c r="E85" s="6">
        <v>250.0</v>
      </c>
      <c r="F85" s="5" t="s">
        <v>39</v>
      </c>
      <c r="G85" s="5" t="s">
        <v>39</v>
      </c>
      <c r="H85" s="6" t="s">
        <v>136</v>
      </c>
      <c r="I85" s="5" t="s">
        <v>2800</v>
      </c>
      <c r="J85" s="5" t="s">
        <v>4798</v>
      </c>
      <c r="K85" s="6" t="s">
        <v>42</v>
      </c>
      <c r="L85" s="5" t="s">
        <v>130</v>
      </c>
      <c r="M85" s="5" t="s">
        <v>141</v>
      </c>
      <c r="N85" s="5" t="s">
        <v>44</v>
      </c>
      <c r="O85" s="5" t="s">
        <v>4777</v>
      </c>
      <c r="P85" s="5" t="s">
        <v>64</v>
      </c>
      <c r="Q85" s="5" t="s">
        <v>5114</v>
      </c>
      <c r="R85" s="6">
        <v>7324.0</v>
      </c>
    </row>
    <row r="86" ht="56.25" customHeight="1">
      <c r="A86" s="5" t="s">
        <v>5115</v>
      </c>
      <c r="B86" s="16" t="str">
        <f>IMAGE("https://storage.googleapis.com/acdb/rugs/RugRectRubberScraperS00.png")</f>
        <v/>
      </c>
      <c r="C86" s="5" t="s">
        <v>36</v>
      </c>
      <c r="D86" s="6">
        <v>1000.0</v>
      </c>
      <c r="E86" s="6">
        <v>250.0</v>
      </c>
      <c r="F86" s="5" t="s">
        <v>96</v>
      </c>
      <c r="G86" s="5" t="s">
        <v>96</v>
      </c>
      <c r="H86" s="6" t="s">
        <v>136</v>
      </c>
      <c r="I86" s="5" t="s">
        <v>2800</v>
      </c>
      <c r="J86" s="5" t="s">
        <v>4798</v>
      </c>
      <c r="K86" s="6" t="s">
        <v>42</v>
      </c>
      <c r="L86" s="5" t="s">
        <v>130</v>
      </c>
      <c r="M86" s="5" t="s">
        <v>44</v>
      </c>
      <c r="N86" s="5" t="s">
        <v>44</v>
      </c>
      <c r="O86" s="5" t="s">
        <v>4777</v>
      </c>
      <c r="P86" s="5" t="s">
        <v>64</v>
      </c>
      <c r="Q86" s="5" t="s">
        <v>5119</v>
      </c>
      <c r="R86" s="6">
        <v>7339.0</v>
      </c>
    </row>
    <row r="87" ht="56.25" customHeight="1">
      <c r="A87" s="5" t="s">
        <v>5120</v>
      </c>
      <c r="B87" s="16" t="str">
        <f>IMAGE("https://storage.googleapis.com/acdb/rugs/RugSquareOldStrawL00.png")</f>
        <v/>
      </c>
      <c r="C87" s="5" t="s">
        <v>36</v>
      </c>
      <c r="D87" s="6">
        <v>2000.0</v>
      </c>
      <c r="E87" s="6">
        <v>500.0</v>
      </c>
      <c r="F87" s="5" t="s">
        <v>39</v>
      </c>
      <c r="G87" s="5" t="s">
        <v>38</v>
      </c>
      <c r="H87" s="6" t="s">
        <v>4932</v>
      </c>
      <c r="I87" s="5" t="s">
        <v>2800</v>
      </c>
      <c r="J87" s="5" t="s">
        <v>4808</v>
      </c>
      <c r="K87" s="6" t="s">
        <v>42</v>
      </c>
      <c r="L87" s="5" t="s">
        <v>266</v>
      </c>
      <c r="M87" s="5" t="s">
        <v>44</v>
      </c>
      <c r="N87" s="5" t="s">
        <v>44</v>
      </c>
      <c r="O87" s="5" t="s">
        <v>5122</v>
      </c>
      <c r="P87" s="5" t="s">
        <v>64</v>
      </c>
      <c r="Q87" s="5" t="s">
        <v>5124</v>
      </c>
      <c r="R87" s="6">
        <v>7345.0</v>
      </c>
    </row>
    <row r="88" ht="56.25" customHeight="1">
      <c r="A88" s="5" t="s">
        <v>5126</v>
      </c>
      <c r="B88" s="16" t="str">
        <f>IMAGE("https://storage.googleapis.com/acdb/rugs/RugOtherShellM00.png")</f>
        <v/>
      </c>
      <c r="C88" s="5" t="s">
        <v>35</v>
      </c>
      <c r="D88" s="6" t="s">
        <v>37</v>
      </c>
      <c r="E88" s="6">
        <v>5400.0</v>
      </c>
      <c r="F88" s="5" t="s">
        <v>38</v>
      </c>
      <c r="G88" s="5" t="s">
        <v>69</v>
      </c>
      <c r="H88" s="6" t="s">
        <v>4782</v>
      </c>
      <c r="I88" s="5" t="s">
        <v>41</v>
      </c>
      <c r="J88" s="5"/>
      <c r="K88" s="6" t="s">
        <v>42</v>
      </c>
      <c r="L88" s="5" t="s">
        <v>138</v>
      </c>
      <c r="M88" s="5" t="s">
        <v>61</v>
      </c>
      <c r="N88" s="5" t="s">
        <v>2112</v>
      </c>
      <c r="O88" s="5" t="s">
        <v>4928</v>
      </c>
      <c r="P88" s="5" t="s">
        <v>48</v>
      </c>
      <c r="Q88" s="5" t="s">
        <v>5127</v>
      </c>
      <c r="R88" s="6">
        <v>7362.0</v>
      </c>
    </row>
    <row r="89" ht="56.25" customHeight="1">
      <c r="A89" s="5" t="s">
        <v>5128</v>
      </c>
      <c r="B89" s="16" t="str">
        <f>IMAGE("https://storage.googleapis.com/acdb/rugs/RugRectBathmatS03.png")</f>
        <v/>
      </c>
      <c r="C89" s="5" t="s">
        <v>36</v>
      </c>
      <c r="D89" s="6">
        <v>1000.0</v>
      </c>
      <c r="E89" s="6">
        <v>250.0</v>
      </c>
      <c r="F89" s="5" t="s">
        <v>96</v>
      </c>
      <c r="G89" s="5" t="s">
        <v>96</v>
      </c>
      <c r="H89" s="6" t="s">
        <v>136</v>
      </c>
      <c r="I89" s="5" t="s">
        <v>2800</v>
      </c>
      <c r="J89" s="5" t="s">
        <v>4798</v>
      </c>
      <c r="K89" s="6" t="s">
        <v>42</v>
      </c>
      <c r="L89" s="5" t="s">
        <v>288</v>
      </c>
      <c r="M89" s="5" t="s">
        <v>44</v>
      </c>
      <c r="N89" s="5" t="s">
        <v>44</v>
      </c>
      <c r="O89" s="5" t="s">
        <v>4777</v>
      </c>
      <c r="P89" s="5" t="s">
        <v>64</v>
      </c>
      <c r="Q89" s="5" t="s">
        <v>5132</v>
      </c>
      <c r="R89" s="6">
        <v>7516.0</v>
      </c>
    </row>
    <row r="90" ht="56.25" customHeight="1">
      <c r="A90" s="5" t="s">
        <v>5133</v>
      </c>
      <c r="B90" s="16" t="str">
        <f>IMAGE("https://storage.googleapis.com/acdb/rugs/RugSquareSimpleM03.png")</f>
        <v/>
      </c>
      <c r="C90" s="5" t="s">
        <v>36</v>
      </c>
      <c r="D90" s="6">
        <v>1500.0</v>
      </c>
      <c r="E90" s="6">
        <v>375.0</v>
      </c>
      <c r="F90" s="5" t="s">
        <v>96</v>
      </c>
      <c r="G90" s="5" t="s">
        <v>96</v>
      </c>
      <c r="H90" s="6" t="s">
        <v>4782</v>
      </c>
      <c r="I90" s="5" t="s">
        <v>2800</v>
      </c>
      <c r="J90" s="5" t="s">
        <v>4775</v>
      </c>
      <c r="K90" s="6" t="s">
        <v>42</v>
      </c>
      <c r="L90" s="5" t="s">
        <v>90</v>
      </c>
      <c r="M90" s="5" t="s">
        <v>141</v>
      </c>
      <c r="N90" s="5" t="s">
        <v>44</v>
      </c>
      <c r="O90" s="5" t="s">
        <v>5122</v>
      </c>
      <c r="P90" s="5" t="s">
        <v>64</v>
      </c>
      <c r="Q90" s="5" t="s">
        <v>5135</v>
      </c>
      <c r="R90" s="6">
        <v>7524.0</v>
      </c>
    </row>
    <row r="91" ht="56.25" customHeight="1">
      <c r="A91" s="5" t="s">
        <v>5137</v>
      </c>
      <c r="B91" s="16" t="str">
        <f>IMAGE("https://storage.googleapis.com/acdb/rugs/RugSquareSimpleM07.png")</f>
        <v/>
      </c>
      <c r="C91" s="5" t="s">
        <v>36</v>
      </c>
      <c r="D91" s="6">
        <v>1500.0</v>
      </c>
      <c r="E91" s="6">
        <v>375.0</v>
      </c>
      <c r="F91" s="5" t="s">
        <v>54</v>
      </c>
      <c r="G91" s="5" t="s">
        <v>54</v>
      </c>
      <c r="H91" s="6" t="s">
        <v>4782</v>
      </c>
      <c r="I91" s="5" t="s">
        <v>2800</v>
      </c>
      <c r="J91" s="5" t="s">
        <v>4775</v>
      </c>
      <c r="K91" s="6" t="s">
        <v>42</v>
      </c>
      <c r="L91" s="5" t="s">
        <v>90</v>
      </c>
      <c r="M91" s="5" t="s">
        <v>141</v>
      </c>
      <c r="N91" s="5" t="s">
        <v>44</v>
      </c>
      <c r="O91" s="5" t="s">
        <v>5122</v>
      </c>
      <c r="P91" s="5" t="s">
        <v>64</v>
      </c>
      <c r="Q91" s="5" t="s">
        <v>5139</v>
      </c>
      <c r="R91" s="6">
        <v>7539.0</v>
      </c>
    </row>
    <row r="92" ht="56.25" customHeight="1">
      <c r="A92" s="5" t="s">
        <v>5140</v>
      </c>
      <c r="B92" s="16" t="str">
        <f>IMAGE("https://storage.googleapis.com/acdb/rugs/RugSquareSimpleM02.png")</f>
        <v/>
      </c>
      <c r="C92" s="5" t="s">
        <v>36</v>
      </c>
      <c r="D92" s="6">
        <v>1500.0</v>
      </c>
      <c r="E92" s="6">
        <v>375.0</v>
      </c>
      <c r="F92" s="5" t="s">
        <v>68</v>
      </c>
      <c r="G92" s="5" t="s">
        <v>68</v>
      </c>
      <c r="H92" s="6" t="s">
        <v>4782</v>
      </c>
      <c r="I92" s="5" t="s">
        <v>2800</v>
      </c>
      <c r="J92" s="5" t="s">
        <v>4775</v>
      </c>
      <c r="K92" s="6" t="s">
        <v>42</v>
      </c>
      <c r="L92" s="5" t="s">
        <v>90</v>
      </c>
      <c r="M92" s="5" t="s">
        <v>141</v>
      </c>
      <c r="N92" s="5" t="s">
        <v>44</v>
      </c>
      <c r="O92" s="5" t="s">
        <v>5122</v>
      </c>
      <c r="P92" s="5" t="s">
        <v>64</v>
      </c>
      <c r="Q92" s="5" t="s">
        <v>5142</v>
      </c>
      <c r="R92" s="6">
        <v>7523.0</v>
      </c>
    </row>
    <row r="93" ht="56.25" customHeight="1">
      <c r="A93" s="5" t="s">
        <v>5143</v>
      </c>
      <c r="B93" s="16" t="str">
        <f>IMAGE("https://storage.googleapis.com/acdb/rugs/RugSquareSimpleM01.png")</f>
        <v/>
      </c>
      <c r="C93" s="5" t="s">
        <v>36</v>
      </c>
      <c r="D93" s="6">
        <v>1500.0</v>
      </c>
      <c r="E93" s="6">
        <v>375.0</v>
      </c>
      <c r="F93" s="5" t="s">
        <v>39</v>
      </c>
      <c r="G93" s="5" t="s">
        <v>39</v>
      </c>
      <c r="H93" s="6" t="s">
        <v>4782</v>
      </c>
      <c r="I93" s="5" t="s">
        <v>2800</v>
      </c>
      <c r="J93" s="5" t="s">
        <v>4775</v>
      </c>
      <c r="K93" s="6" t="s">
        <v>42</v>
      </c>
      <c r="L93" s="5" t="s">
        <v>90</v>
      </c>
      <c r="M93" s="5" t="s">
        <v>141</v>
      </c>
      <c r="N93" s="5" t="s">
        <v>44</v>
      </c>
      <c r="O93" s="5" t="s">
        <v>5122</v>
      </c>
      <c r="P93" s="5" t="s">
        <v>64</v>
      </c>
      <c r="Q93" s="5" t="s">
        <v>5146</v>
      </c>
      <c r="R93" s="6">
        <v>7519.0</v>
      </c>
    </row>
    <row r="94" ht="56.25" customHeight="1">
      <c r="A94" s="5" t="s">
        <v>5147</v>
      </c>
      <c r="B94" s="6" t="str">
        <f>IMAGE("https://storage.googleapis.com/acdb/rugs/RugSquareSimpleM05.png")</f>
        <v/>
      </c>
      <c r="C94" s="5" t="s">
        <v>36</v>
      </c>
      <c r="D94" s="6">
        <v>1500.0</v>
      </c>
      <c r="E94" s="6">
        <v>375.0</v>
      </c>
      <c r="F94" s="5" t="s">
        <v>142</v>
      </c>
      <c r="G94" s="5" t="s">
        <v>142</v>
      </c>
      <c r="H94" s="6" t="s">
        <v>4782</v>
      </c>
      <c r="I94" s="5" t="s">
        <v>2800</v>
      </c>
      <c r="J94" s="5" t="s">
        <v>4775</v>
      </c>
      <c r="K94" s="6" t="s">
        <v>42</v>
      </c>
      <c r="L94" s="5" t="s">
        <v>90</v>
      </c>
      <c r="M94" s="5" t="s">
        <v>141</v>
      </c>
      <c r="N94" s="5" t="s">
        <v>44</v>
      </c>
      <c r="O94" s="5" t="s">
        <v>5122</v>
      </c>
      <c r="P94" s="5" t="s">
        <v>64</v>
      </c>
      <c r="Q94" s="5" t="s">
        <v>5149</v>
      </c>
      <c r="R94" s="6">
        <v>7536.0</v>
      </c>
    </row>
    <row r="95" ht="56.25" customHeight="1">
      <c r="A95" s="5" t="s">
        <v>5150</v>
      </c>
      <c r="B95" s="16" t="str">
        <f>IMAGE("https://storage.googleapis.com/acdb/rugs/RugSquareSimpleM06.png")</f>
        <v/>
      </c>
      <c r="C95" s="5" t="s">
        <v>36</v>
      </c>
      <c r="D95" s="6">
        <v>1500.0</v>
      </c>
      <c r="E95" s="6">
        <v>375.0</v>
      </c>
      <c r="F95" s="5" t="s">
        <v>106</v>
      </c>
      <c r="G95" s="5" t="s">
        <v>106</v>
      </c>
      <c r="H95" s="6" t="s">
        <v>4782</v>
      </c>
      <c r="I95" s="5" t="s">
        <v>2800</v>
      </c>
      <c r="J95" s="5" t="s">
        <v>4775</v>
      </c>
      <c r="K95" s="6" t="s">
        <v>42</v>
      </c>
      <c r="L95" s="5" t="s">
        <v>90</v>
      </c>
      <c r="M95" s="5" t="s">
        <v>141</v>
      </c>
      <c r="N95" s="5" t="s">
        <v>44</v>
      </c>
      <c r="O95" s="5" t="s">
        <v>5122</v>
      </c>
      <c r="P95" s="5" t="s">
        <v>64</v>
      </c>
      <c r="Q95" s="5" t="s">
        <v>5153</v>
      </c>
      <c r="R95" s="6">
        <v>7538.0</v>
      </c>
    </row>
    <row r="96" ht="56.25" customHeight="1">
      <c r="A96" s="5" t="s">
        <v>5154</v>
      </c>
      <c r="B96" s="16" t="str">
        <f>IMAGE("https://storage.googleapis.com/acdb/rugs/RugSquareSimpleM04.png")</f>
        <v/>
      </c>
      <c r="C96" s="5" t="s">
        <v>36</v>
      </c>
      <c r="D96" s="6">
        <v>1500.0</v>
      </c>
      <c r="E96" s="6">
        <v>375.0</v>
      </c>
      <c r="F96" s="5" t="s">
        <v>52</v>
      </c>
      <c r="G96" s="5" t="s">
        <v>52</v>
      </c>
      <c r="H96" s="6" t="s">
        <v>4782</v>
      </c>
      <c r="I96" s="5" t="s">
        <v>2800</v>
      </c>
      <c r="J96" s="5" t="s">
        <v>4775</v>
      </c>
      <c r="K96" s="6" t="s">
        <v>42</v>
      </c>
      <c r="L96" s="5" t="s">
        <v>90</v>
      </c>
      <c r="M96" s="5" t="s">
        <v>141</v>
      </c>
      <c r="N96" s="5" t="s">
        <v>44</v>
      </c>
      <c r="O96" s="5" t="s">
        <v>5122</v>
      </c>
      <c r="P96" s="5" t="s">
        <v>64</v>
      </c>
      <c r="Q96" s="5" t="s">
        <v>5157</v>
      </c>
      <c r="R96" s="6">
        <v>7540.0</v>
      </c>
    </row>
    <row r="97" ht="56.25" customHeight="1">
      <c r="A97" s="5" t="s">
        <v>5158</v>
      </c>
      <c r="B97" s="6" t="str">
        <f>IMAGE("https://storage.googleapis.com/acdb/rugs/RugRectBathmatS01.png")</f>
        <v/>
      </c>
      <c r="C97" s="5" t="s">
        <v>36</v>
      </c>
      <c r="D97" s="6">
        <v>1000.0</v>
      </c>
      <c r="E97" s="6">
        <v>250.0</v>
      </c>
      <c r="F97" s="5" t="s">
        <v>95</v>
      </c>
      <c r="G97" s="5" t="s">
        <v>95</v>
      </c>
      <c r="H97" s="6" t="s">
        <v>136</v>
      </c>
      <c r="I97" s="5" t="s">
        <v>2800</v>
      </c>
      <c r="J97" s="5" t="s">
        <v>4798</v>
      </c>
      <c r="K97" s="6" t="s">
        <v>42</v>
      </c>
      <c r="L97" s="5" t="s">
        <v>288</v>
      </c>
      <c r="M97" s="5" t="s">
        <v>44</v>
      </c>
      <c r="N97" s="5" t="s">
        <v>44</v>
      </c>
      <c r="O97" s="5" t="s">
        <v>4777</v>
      </c>
      <c r="P97" s="5" t="s">
        <v>64</v>
      </c>
      <c r="Q97" s="5" t="s">
        <v>5159</v>
      </c>
      <c r="R97" s="6">
        <v>7518.0</v>
      </c>
    </row>
    <row r="98" ht="56.25" customHeight="1">
      <c r="A98" s="5" t="s">
        <v>5160</v>
      </c>
      <c r="B98" s="16" t="str">
        <f>IMAGE("https://storage.googleapis.com/acdb/rugs/RugRectBathmatS02.png")</f>
        <v/>
      </c>
      <c r="C98" s="5" t="s">
        <v>36</v>
      </c>
      <c r="D98" s="6">
        <v>1000.0</v>
      </c>
      <c r="E98" s="6">
        <v>250.0</v>
      </c>
      <c r="F98" s="5" t="s">
        <v>69</v>
      </c>
      <c r="G98" s="5" t="s">
        <v>69</v>
      </c>
      <c r="H98" s="6" t="s">
        <v>136</v>
      </c>
      <c r="I98" s="5" t="s">
        <v>2800</v>
      </c>
      <c r="J98" s="5" t="s">
        <v>4798</v>
      </c>
      <c r="K98" s="6" t="s">
        <v>42</v>
      </c>
      <c r="L98" s="5" t="s">
        <v>288</v>
      </c>
      <c r="M98" s="5" t="s">
        <v>44</v>
      </c>
      <c r="N98" s="5" t="s">
        <v>44</v>
      </c>
      <c r="O98" s="5" t="s">
        <v>4777</v>
      </c>
      <c r="P98" s="5" t="s">
        <v>64</v>
      </c>
      <c r="Q98" s="5" t="s">
        <v>5164</v>
      </c>
      <c r="R98" s="6">
        <v>7517.0</v>
      </c>
    </row>
    <row r="99" ht="56.25" customHeight="1">
      <c r="A99" s="5" t="s">
        <v>5165</v>
      </c>
      <c r="B99" s="16" t="str">
        <f>IMAGE("https://storage.googleapis.com/acdb/rugs/RugSquareSimpleS03.png")</f>
        <v/>
      </c>
      <c r="C99" s="5" t="s">
        <v>36</v>
      </c>
      <c r="D99" s="6">
        <v>1000.0</v>
      </c>
      <c r="E99" s="6">
        <v>250.0</v>
      </c>
      <c r="F99" s="5" t="s">
        <v>96</v>
      </c>
      <c r="G99" s="5" t="s">
        <v>96</v>
      </c>
      <c r="H99" s="6" t="s">
        <v>4863</v>
      </c>
      <c r="I99" s="5" t="s">
        <v>2800</v>
      </c>
      <c r="J99" s="5" t="s">
        <v>4798</v>
      </c>
      <c r="K99" s="6" t="s">
        <v>42</v>
      </c>
      <c r="L99" s="5" t="s">
        <v>90</v>
      </c>
      <c r="M99" s="5" t="s">
        <v>141</v>
      </c>
      <c r="N99" s="5" t="s">
        <v>44</v>
      </c>
      <c r="O99" s="5" t="s">
        <v>5122</v>
      </c>
      <c r="P99" s="5" t="s">
        <v>64</v>
      </c>
      <c r="Q99" s="5" t="s">
        <v>5167</v>
      </c>
      <c r="R99" s="6">
        <v>7520.0</v>
      </c>
    </row>
    <row r="100" ht="56.25" customHeight="1">
      <c r="A100" s="5" t="s">
        <v>5168</v>
      </c>
      <c r="B100" s="16" t="str">
        <f>IMAGE("https://storage.googleapis.com/acdb/rugs/RugSquareSimpleS07.png")</f>
        <v/>
      </c>
      <c r="C100" s="5" t="s">
        <v>36</v>
      </c>
      <c r="D100" s="6">
        <v>1000.0</v>
      </c>
      <c r="E100" s="6">
        <v>250.0</v>
      </c>
      <c r="F100" s="5" t="s">
        <v>54</v>
      </c>
      <c r="G100" s="5" t="s">
        <v>54</v>
      </c>
      <c r="H100" s="6" t="s">
        <v>4863</v>
      </c>
      <c r="I100" s="5" t="s">
        <v>2800</v>
      </c>
      <c r="J100" s="5" t="s">
        <v>4798</v>
      </c>
      <c r="K100" s="6" t="s">
        <v>42</v>
      </c>
      <c r="L100" s="5" t="s">
        <v>90</v>
      </c>
      <c r="M100" s="5" t="s">
        <v>141</v>
      </c>
      <c r="N100" s="5" t="s">
        <v>44</v>
      </c>
      <c r="O100" s="5" t="s">
        <v>5122</v>
      </c>
      <c r="P100" s="5" t="s">
        <v>64</v>
      </c>
      <c r="Q100" s="5" t="s">
        <v>5171</v>
      </c>
      <c r="R100" s="6">
        <v>7543.0</v>
      </c>
    </row>
    <row r="101" ht="56.25" customHeight="1">
      <c r="A101" s="5" t="s">
        <v>5172</v>
      </c>
      <c r="B101" s="16" t="str">
        <f>IMAGE("https://storage.googleapis.com/acdb/rugs/RugSquareSimpleS02.png")</f>
        <v/>
      </c>
      <c r="C101" s="5" t="s">
        <v>36</v>
      </c>
      <c r="D101" s="6">
        <v>1000.0</v>
      </c>
      <c r="E101" s="6">
        <v>250.0</v>
      </c>
      <c r="F101" s="5" t="s">
        <v>68</v>
      </c>
      <c r="G101" s="5" t="s">
        <v>68</v>
      </c>
      <c r="H101" s="6" t="s">
        <v>4863</v>
      </c>
      <c r="I101" s="5" t="s">
        <v>2800</v>
      </c>
      <c r="J101" s="5" t="s">
        <v>4798</v>
      </c>
      <c r="K101" s="6" t="s">
        <v>42</v>
      </c>
      <c r="L101" s="5" t="s">
        <v>90</v>
      </c>
      <c r="M101" s="5" t="s">
        <v>141</v>
      </c>
      <c r="N101" s="5" t="s">
        <v>44</v>
      </c>
      <c r="O101" s="5" t="s">
        <v>5122</v>
      </c>
      <c r="P101" s="5" t="s">
        <v>64</v>
      </c>
      <c r="Q101" s="5" t="s">
        <v>5174</v>
      </c>
      <c r="R101" s="6">
        <v>7521.0</v>
      </c>
    </row>
    <row r="102" ht="56.25" customHeight="1">
      <c r="A102" s="5" t="s">
        <v>5175</v>
      </c>
      <c r="B102" s="16" t="str">
        <f>IMAGE("https://storage.googleapis.com/acdb/rugs/RugSquareSimpleS01.png")</f>
        <v/>
      </c>
      <c r="C102" s="5" t="s">
        <v>36</v>
      </c>
      <c r="D102" s="6">
        <v>1000.0</v>
      </c>
      <c r="E102" s="6">
        <v>250.0</v>
      </c>
      <c r="F102" s="5" t="s">
        <v>39</v>
      </c>
      <c r="G102" s="5" t="s">
        <v>39</v>
      </c>
      <c r="H102" s="6" t="s">
        <v>4863</v>
      </c>
      <c r="I102" s="5" t="s">
        <v>2800</v>
      </c>
      <c r="J102" s="5" t="s">
        <v>4798</v>
      </c>
      <c r="K102" s="6" t="s">
        <v>42</v>
      </c>
      <c r="L102" s="5" t="s">
        <v>90</v>
      </c>
      <c r="M102" s="5" t="s">
        <v>141</v>
      </c>
      <c r="N102" s="5" t="s">
        <v>44</v>
      </c>
      <c r="O102" s="5" t="s">
        <v>5122</v>
      </c>
      <c r="P102" s="5" t="s">
        <v>64</v>
      </c>
      <c r="Q102" s="5" t="s">
        <v>5179</v>
      </c>
      <c r="R102" s="6">
        <v>7522.0</v>
      </c>
    </row>
    <row r="103" ht="56.25" customHeight="1">
      <c r="A103" s="5" t="s">
        <v>5180</v>
      </c>
      <c r="B103" s="16" t="str">
        <f>IMAGE("https://storage.googleapis.com/acdb/rugs/RugSquareSimpleS05.png")</f>
        <v/>
      </c>
      <c r="C103" s="5" t="s">
        <v>36</v>
      </c>
      <c r="D103" s="6">
        <v>1000.0</v>
      </c>
      <c r="E103" s="6">
        <v>250.0</v>
      </c>
      <c r="F103" s="5" t="s">
        <v>142</v>
      </c>
      <c r="G103" s="5" t="s">
        <v>142</v>
      </c>
      <c r="H103" s="6" t="s">
        <v>4863</v>
      </c>
      <c r="I103" s="5" t="s">
        <v>2800</v>
      </c>
      <c r="J103" s="5" t="s">
        <v>4798</v>
      </c>
      <c r="K103" s="6" t="s">
        <v>42</v>
      </c>
      <c r="L103" s="5" t="s">
        <v>90</v>
      </c>
      <c r="M103" s="5" t="s">
        <v>141</v>
      </c>
      <c r="N103" s="5" t="s">
        <v>44</v>
      </c>
      <c r="O103" s="5" t="s">
        <v>5122</v>
      </c>
      <c r="P103" s="5" t="s">
        <v>64</v>
      </c>
      <c r="Q103" s="5" t="s">
        <v>5182</v>
      </c>
      <c r="R103" s="6">
        <v>7541.0</v>
      </c>
    </row>
    <row r="104" ht="56.25" customHeight="1">
      <c r="A104" s="5" t="s">
        <v>5183</v>
      </c>
      <c r="B104" s="6" t="str">
        <f>IMAGE("https://storage.googleapis.com/acdb/rugs/RugSquareSimpleS06.png")</f>
        <v/>
      </c>
      <c r="C104" s="5" t="s">
        <v>36</v>
      </c>
      <c r="D104" s="6">
        <v>1000.0</v>
      </c>
      <c r="E104" s="6">
        <v>250.0</v>
      </c>
      <c r="F104" s="5" t="s">
        <v>106</v>
      </c>
      <c r="G104" s="5" t="s">
        <v>106</v>
      </c>
      <c r="H104" s="6" t="s">
        <v>4863</v>
      </c>
      <c r="I104" s="5" t="s">
        <v>2800</v>
      </c>
      <c r="J104" s="5" t="s">
        <v>4798</v>
      </c>
      <c r="K104" s="6" t="s">
        <v>42</v>
      </c>
      <c r="L104" s="5" t="s">
        <v>90</v>
      </c>
      <c r="M104" s="5" t="s">
        <v>141</v>
      </c>
      <c r="N104" s="5" t="s">
        <v>44</v>
      </c>
      <c r="O104" s="5" t="s">
        <v>5122</v>
      </c>
      <c r="P104" s="5" t="s">
        <v>64</v>
      </c>
      <c r="Q104" s="5" t="s">
        <v>5185</v>
      </c>
      <c r="R104" s="6">
        <v>7542.0</v>
      </c>
    </row>
    <row r="105" ht="56.25" customHeight="1">
      <c r="A105" s="5" t="s">
        <v>5186</v>
      </c>
      <c r="B105" s="16" t="str">
        <f>IMAGE("https://storage.googleapis.com/acdb/rugs/RugSquareSimpleS04.png")</f>
        <v/>
      </c>
      <c r="C105" s="5" t="s">
        <v>36</v>
      </c>
      <c r="D105" s="6">
        <v>1000.0</v>
      </c>
      <c r="E105" s="6">
        <v>250.0</v>
      </c>
      <c r="F105" s="5" t="s">
        <v>52</v>
      </c>
      <c r="G105" s="5" t="s">
        <v>52</v>
      </c>
      <c r="H105" s="6" t="s">
        <v>4863</v>
      </c>
      <c r="I105" s="5" t="s">
        <v>2800</v>
      </c>
      <c r="J105" s="5" t="s">
        <v>4798</v>
      </c>
      <c r="K105" s="6" t="s">
        <v>42</v>
      </c>
      <c r="L105" s="5" t="s">
        <v>90</v>
      </c>
      <c r="M105" s="5" t="s">
        <v>141</v>
      </c>
      <c r="N105" s="5" t="s">
        <v>44</v>
      </c>
      <c r="O105" s="5" t="s">
        <v>5122</v>
      </c>
      <c r="P105" s="5" t="s">
        <v>64</v>
      </c>
      <c r="Q105" s="5" t="s">
        <v>5188</v>
      </c>
      <c r="R105" s="6">
        <v>7537.0</v>
      </c>
    </row>
    <row r="106" ht="56.25" customHeight="1">
      <c r="A106" s="5" t="s">
        <v>5189</v>
      </c>
      <c r="B106" s="16" t="str">
        <f>IMAGE("https://storage.googleapis.com/acdb/rugs/RugOtherSloppyL00.png")</f>
        <v/>
      </c>
      <c r="C106" s="5" t="s">
        <v>36</v>
      </c>
      <c r="D106" s="6">
        <v>2000.0</v>
      </c>
      <c r="E106" s="6">
        <v>500.0</v>
      </c>
      <c r="F106" s="5" t="s">
        <v>83</v>
      </c>
      <c r="G106" s="5" t="s">
        <v>83</v>
      </c>
      <c r="H106" s="6" t="s">
        <v>4932</v>
      </c>
      <c r="I106" s="5" t="s">
        <v>2800</v>
      </c>
      <c r="J106" s="5" t="s">
        <v>4808</v>
      </c>
      <c r="K106" s="6" t="s">
        <v>42</v>
      </c>
      <c r="L106" s="5" t="s">
        <v>90</v>
      </c>
      <c r="M106" s="5" t="s">
        <v>99</v>
      </c>
      <c r="N106" s="5" t="s">
        <v>44</v>
      </c>
      <c r="O106" s="5" t="s">
        <v>5122</v>
      </c>
      <c r="P106" s="5" t="s">
        <v>64</v>
      </c>
      <c r="Q106" s="5" t="s">
        <v>5191</v>
      </c>
      <c r="R106" s="6">
        <v>7371.0</v>
      </c>
    </row>
    <row r="107" ht="56.25" customHeight="1">
      <c r="A107" s="5" t="s">
        <v>5192</v>
      </c>
      <c r="B107" s="16" t="str">
        <f>IMAGE("https://storage.googleapis.com/acdb/rugs/RugRoundSnowM00.png")</f>
        <v/>
      </c>
      <c r="C107" s="5" t="s">
        <v>36</v>
      </c>
      <c r="D107" s="6">
        <v>1500.0</v>
      </c>
      <c r="E107" s="6">
        <v>375.0</v>
      </c>
      <c r="F107" s="5" t="s">
        <v>83</v>
      </c>
      <c r="G107" s="5" t="s">
        <v>57</v>
      </c>
      <c r="H107" s="6" t="s">
        <v>4782</v>
      </c>
      <c r="I107" s="5" t="s">
        <v>2800</v>
      </c>
      <c r="J107" s="5" t="s">
        <v>4775</v>
      </c>
      <c r="K107" s="6" t="s">
        <v>42</v>
      </c>
      <c r="L107" s="5" t="s">
        <v>1894</v>
      </c>
      <c r="M107" s="5" t="s">
        <v>61</v>
      </c>
      <c r="N107" s="5" t="s">
        <v>44</v>
      </c>
      <c r="O107" s="5" t="s">
        <v>4840</v>
      </c>
      <c r="P107" s="5" t="s">
        <v>64</v>
      </c>
      <c r="Q107" s="5" t="s">
        <v>5194</v>
      </c>
      <c r="R107" s="6">
        <v>7346.0</v>
      </c>
    </row>
    <row r="108" ht="56.25" customHeight="1">
      <c r="A108" s="5" t="s">
        <v>5195</v>
      </c>
      <c r="B108" s="16" t="str">
        <f>IMAGE("https://storage.googleapis.com/acdb/rugs/RugRectTatamiM00.png")</f>
        <v/>
      </c>
      <c r="C108" s="5" t="s">
        <v>36</v>
      </c>
      <c r="D108" s="6">
        <v>1500.0</v>
      </c>
      <c r="E108" s="6">
        <v>375.0</v>
      </c>
      <c r="F108" s="5" t="s">
        <v>96</v>
      </c>
      <c r="G108" s="5" t="s">
        <v>114</v>
      </c>
      <c r="H108" s="6" t="s">
        <v>4774</v>
      </c>
      <c r="I108" s="5" t="s">
        <v>2800</v>
      </c>
      <c r="J108" s="5" t="s">
        <v>4775</v>
      </c>
      <c r="K108" s="6" t="s">
        <v>42</v>
      </c>
      <c r="L108" s="5" t="s">
        <v>266</v>
      </c>
      <c r="M108" s="5" t="s">
        <v>44</v>
      </c>
      <c r="N108" s="5" t="s">
        <v>44</v>
      </c>
      <c r="O108" s="5" t="s">
        <v>4793</v>
      </c>
      <c r="P108" s="5" t="s">
        <v>64</v>
      </c>
      <c r="Q108" s="5" t="s">
        <v>5197</v>
      </c>
      <c r="R108" s="6">
        <v>7369.0</v>
      </c>
    </row>
    <row r="109" ht="56.25" customHeight="1">
      <c r="A109" s="5" t="s">
        <v>5198</v>
      </c>
      <c r="B109" s="16" t="str">
        <f>IMAGE("https://storage.googleapis.com/acdb/rugs/RugRoundIslandM00.png")</f>
        <v/>
      </c>
      <c r="C109" s="5" t="s">
        <v>36</v>
      </c>
      <c r="D109" s="6">
        <v>1500.0</v>
      </c>
      <c r="E109" s="6">
        <v>375.0</v>
      </c>
      <c r="F109" s="5" t="s">
        <v>96</v>
      </c>
      <c r="G109" s="5" t="s">
        <v>38</v>
      </c>
      <c r="H109" s="6" t="s">
        <v>4782</v>
      </c>
      <c r="I109" s="5" t="s">
        <v>2800</v>
      </c>
      <c r="J109" s="5" t="s">
        <v>4775</v>
      </c>
      <c r="K109" s="6" t="s">
        <v>42</v>
      </c>
      <c r="L109" s="5" t="s">
        <v>138</v>
      </c>
      <c r="M109" s="5" t="s">
        <v>44</v>
      </c>
      <c r="N109" s="5" t="s">
        <v>44</v>
      </c>
      <c r="O109" s="5" t="s">
        <v>4928</v>
      </c>
      <c r="P109" s="5" t="s">
        <v>64</v>
      </c>
      <c r="Q109" s="5" t="s">
        <v>5203</v>
      </c>
      <c r="R109" s="6">
        <v>7358.0</v>
      </c>
    </row>
    <row r="110" ht="56.25" customHeight="1">
      <c r="A110" s="5" t="s">
        <v>5204</v>
      </c>
      <c r="B110" s="16" t="str">
        <f>IMAGE("https://storage.googleapis.com/acdb/rugs/RugOtherHeartM01.png")</f>
        <v/>
      </c>
      <c r="C110" s="5" t="s">
        <v>36</v>
      </c>
      <c r="D110" s="6">
        <v>1500.0</v>
      </c>
      <c r="E110" s="6">
        <v>375.0</v>
      </c>
      <c r="F110" s="5" t="s">
        <v>83</v>
      </c>
      <c r="G110" s="5" t="s">
        <v>83</v>
      </c>
      <c r="H110" s="6" t="s">
        <v>4782</v>
      </c>
      <c r="I110" s="5" t="s">
        <v>2800</v>
      </c>
      <c r="J110" s="5" t="s">
        <v>4775</v>
      </c>
      <c r="K110" s="6" t="s">
        <v>42</v>
      </c>
      <c r="L110" s="5" t="s">
        <v>61</v>
      </c>
      <c r="M110" s="5" t="s">
        <v>99</v>
      </c>
      <c r="N110" s="5" t="s">
        <v>44</v>
      </c>
      <c r="O110" s="5" t="s">
        <v>5036</v>
      </c>
      <c r="P110" s="5" t="s">
        <v>64</v>
      </c>
      <c r="Q110" s="5" t="s">
        <v>5206</v>
      </c>
      <c r="R110" s="6">
        <v>7579.0</v>
      </c>
    </row>
    <row r="111" ht="56.25" customHeight="1">
      <c r="A111" s="5" t="s">
        <v>5207</v>
      </c>
      <c r="B111" s="16" t="str">
        <f>IMAGE("https://storage.googleapis.com/acdb/rugs/RugOtherHeartM03.png")</f>
        <v/>
      </c>
      <c r="C111" s="5" t="s">
        <v>36</v>
      </c>
      <c r="D111" s="6">
        <v>1500.0</v>
      </c>
      <c r="E111" s="6">
        <v>375.0</v>
      </c>
      <c r="F111" s="5" t="s">
        <v>57</v>
      </c>
      <c r="G111" s="5" t="s">
        <v>57</v>
      </c>
      <c r="H111" s="6" t="s">
        <v>4782</v>
      </c>
      <c r="I111" s="5" t="s">
        <v>2800</v>
      </c>
      <c r="J111" s="5" t="s">
        <v>4775</v>
      </c>
      <c r="K111" s="6" t="s">
        <v>42</v>
      </c>
      <c r="L111" s="5" t="s">
        <v>61</v>
      </c>
      <c r="M111" s="5" t="s">
        <v>99</v>
      </c>
      <c r="N111" s="5" t="s">
        <v>44</v>
      </c>
      <c r="O111" s="5" t="s">
        <v>5036</v>
      </c>
      <c r="P111" s="5" t="s">
        <v>64</v>
      </c>
      <c r="Q111" s="5" t="s">
        <v>5209</v>
      </c>
      <c r="R111" s="6">
        <v>7578.0</v>
      </c>
    </row>
    <row r="112" ht="56.25" customHeight="1">
      <c r="A112" s="5" t="s">
        <v>5210</v>
      </c>
      <c r="B112" s="16" t="str">
        <f>IMAGE("https://storage.googleapis.com/acdb/rugs/RugOtherMessageS00.png")</f>
        <v/>
      </c>
      <c r="C112" s="5" t="s">
        <v>36</v>
      </c>
      <c r="D112" s="6">
        <v>1000.0</v>
      </c>
      <c r="E112" s="6">
        <v>250.0</v>
      </c>
      <c r="F112" s="5" t="s">
        <v>57</v>
      </c>
      <c r="G112" s="5" t="s">
        <v>57</v>
      </c>
      <c r="H112" s="6" t="s">
        <v>136</v>
      </c>
      <c r="I112" s="5" t="s">
        <v>2800</v>
      </c>
      <c r="J112" s="5" t="s">
        <v>4798</v>
      </c>
      <c r="K112" s="6" t="s">
        <v>42</v>
      </c>
      <c r="L112" s="5" t="s">
        <v>99</v>
      </c>
      <c r="M112" s="5" t="s">
        <v>44</v>
      </c>
      <c r="N112" s="5" t="s">
        <v>44</v>
      </c>
      <c r="O112" s="5" t="s">
        <v>4847</v>
      </c>
      <c r="P112" s="5" t="s">
        <v>64</v>
      </c>
      <c r="Q112" s="5" t="s">
        <v>5212</v>
      </c>
      <c r="R112" s="6">
        <v>7338.0</v>
      </c>
    </row>
    <row r="113" ht="56.25" customHeight="1">
      <c r="A113" s="5" t="s">
        <v>5213</v>
      </c>
      <c r="B113" s="6" t="str">
        <f>IMAGE("https://storage.googleapis.com/acdb/rugs/RugOtherRoseM03.png")</f>
        <v/>
      </c>
      <c r="C113" s="5" t="s">
        <v>36</v>
      </c>
      <c r="D113" s="6">
        <v>1500.0</v>
      </c>
      <c r="E113" s="6">
        <v>375.0</v>
      </c>
      <c r="F113" s="5" t="s">
        <v>57</v>
      </c>
      <c r="G113" s="5" t="s">
        <v>57</v>
      </c>
      <c r="H113" s="6" t="s">
        <v>4782</v>
      </c>
      <c r="I113" s="5" t="s">
        <v>2800</v>
      </c>
      <c r="J113" s="5" t="s">
        <v>4775</v>
      </c>
      <c r="K113" s="6" t="s">
        <v>42</v>
      </c>
      <c r="L113" s="5" t="s">
        <v>61</v>
      </c>
      <c r="M113" s="5" t="s">
        <v>116</v>
      </c>
      <c r="N113" s="5" t="s">
        <v>311</v>
      </c>
      <c r="O113" s="5" t="s">
        <v>5039</v>
      </c>
      <c r="P113" s="5" t="s">
        <v>64</v>
      </c>
      <c r="Q113" s="5" t="s">
        <v>5217</v>
      </c>
      <c r="R113" s="6">
        <v>8757.0</v>
      </c>
    </row>
    <row r="114" ht="56.25" customHeight="1">
      <c r="A114" s="5" t="s">
        <v>5218</v>
      </c>
      <c r="B114" s="16" t="str">
        <f>IMAGE("https://storage.googleapis.com/acdb/rugs/RugSquareSimpleM00.png")</f>
        <v/>
      </c>
      <c r="C114" s="5" t="s">
        <v>36</v>
      </c>
      <c r="D114" s="6">
        <v>1500.0</v>
      </c>
      <c r="E114" s="6">
        <v>375.0</v>
      </c>
      <c r="F114" s="5" t="s">
        <v>38</v>
      </c>
      <c r="G114" s="5" t="s">
        <v>57</v>
      </c>
      <c r="H114" s="6" t="s">
        <v>4782</v>
      </c>
      <c r="I114" s="5" t="s">
        <v>2800</v>
      </c>
      <c r="J114" s="5" t="s">
        <v>4775</v>
      </c>
      <c r="K114" s="6" t="s">
        <v>42</v>
      </c>
      <c r="L114" s="5" t="s">
        <v>90</v>
      </c>
      <c r="M114" s="5" t="s">
        <v>141</v>
      </c>
      <c r="N114" s="5" t="s">
        <v>44</v>
      </c>
      <c r="O114" s="5" t="s">
        <v>5122</v>
      </c>
      <c r="P114" s="5" t="s">
        <v>64</v>
      </c>
      <c r="Q114" s="5" t="s">
        <v>5221</v>
      </c>
      <c r="R114" s="6">
        <v>7335.0</v>
      </c>
    </row>
    <row r="115" ht="56.25" customHeight="1">
      <c r="A115" s="5" t="s">
        <v>5222</v>
      </c>
      <c r="B115" s="16" t="str">
        <f>IMAGE("https://storage.googleapis.com/acdb/rugs/RugSquareSimpleS00.png")</f>
        <v/>
      </c>
      <c r="C115" s="5" t="s">
        <v>36</v>
      </c>
      <c r="D115" s="6">
        <v>1000.0</v>
      </c>
      <c r="E115" s="6">
        <v>250.0</v>
      </c>
      <c r="F115" s="5" t="s">
        <v>38</v>
      </c>
      <c r="G115" s="5" t="s">
        <v>57</v>
      </c>
      <c r="H115" s="6" t="s">
        <v>4863</v>
      </c>
      <c r="I115" s="5" t="s">
        <v>2800</v>
      </c>
      <c r="J115" s="5" t="s">
        <v>4798</v>
      </c>
      <c r="K115" s="6" t="s">
        <v>42</v>
      </c>
      <c r="L115" s="5" t="s">
        <v>90</v>
      </c>
      <c r="M115" s="5" t="s">
        <v>141</v>
      </c>
      <c r="N115" s="5" t="s">
        <v>44</v>
      </c>
      <c r="O115" s="5" t="s">
        <v>5122</v>
      </c>
      <c r="P115" s="5" t="s">
        <v>64</v>
      </c>
      <c r="Q115" s="5" t="s">
        <v>5224</v>
      </c>
      <c r="R115" s="6">
        <v>7336.0</v>
      </c>
    </row>
    <row r="116" ht="56.25" customHeight="1">
      <c r="A116" s="5" t="s">
        <v>5225</v>
      </c>
      <c r="B116" s="6" t="str">
        <f>IMAGE("https://storage.googleapis.com/acdb/rugs/RugRectDeckM02.png")</f>
        <v/>
      </c>
      <c r="C116" s="5" t="s">
        <v>36</v>
      </c>
      <c r="D116" s="6">
        <v>1500.0</v>
      </c>
      <c r="E116" s="6">
        <v>375.0</v>
      </c>
      <c r="F116" s="5" t="s">
        <v>57</v>
      </c>
      <c r="G116" s="5" t="s">
        <v>57</v>
      </c>
      <c r="H116" s="6" t="s">
        <v>4774</v>
      </c>
      <c r="I116" s="5" t="s">
        <v>2800</v>
      </c>
      <c r="J116" s="5" t="s">
        <v>4775</v>
      </c>
      <c r="K116" s="6" t="s">
        <v>42</v>
      </c>
      <c r="L116" s="5" t="s">
        <v>765</v>
      </c>
      <c r="M116" s="5" t="s">
        <v>44</v>
      </c>
      <c r="N116" s="5" t="s">
        <v>44</v>
      </c>
      <c r="O116" s="5" t="s">
        <v>4793</v>
      </c>
      <c r="P116" s="5" t="s">
        <v>64</v>
      </c>
      <c r="Q116" s="5" t="s">
        <v>5227</v>
      </c>
      <c r="R116" s="6">
        <v>7381.0</v>
      </c>
    </row>
    <row r="117" ht="56.25" customHeight="1">
      <c r="A117" s="5" t="s">
        <v>5228</v>
      </c>
      <c r="B117" s="16" t="str">
        <f>IMAGE("https://storage.googleapis.com/acdb/rugs/RugRectArgyleL00.png")</f>
        <v/>
      </c>
      <c r="C117" s="5" t="s">
        <v>36</v>
      </c>
      <c r="D117" s="6">
        <v>2000.0</v>
      </c>
      <c r="E117" s="6">
        <v>500.0</v>
      </c>
      <c r="F117" s="5" t="s">
        <v>114</v>
      </c>
      <c r="G117" s="5" t="s">
        <v>114</v>
      </c>
      <c r="H117" s="6" t="s">
        <v>4807</v>
      </c>
      <c r="I117" s="5" t="s">
        <v>2800</v>
      </c>
      <c r="J117" s="5" t="s">
        <v>4808</v>
      </c>
      <c r="K117" s="6" t="s">
        <v>42</v>
      </c>
      <c r="L117" s="5" t="s">
        <v>90</v>
      </c>
      <c r="M117" s="5" t="s">
        <v>61</v>
      </c>
      <c r="N117" s="5" t="s">
        <v>44</v>
      </c>
      <c r="O117" s="5" t="s">
        <v>4810</v>
      </c>
      <c r="P117" s="5" t="s">
        <v>64</v>
      </c>
      <c r="Q117" s="5" t="s">
        <v>5230</v>
      </c>
      <c r="R117" s="6">
        <v>7352.0</v>
      </c>
    </row>
    <row r="118" ht="56.25" customHeight="1">
      <c r="A118" s="5" t="s">
        <v>5231</v>
      </c>
      <c r="B118" s="16" t="str">
        <f>IMAGE("https://storage.googleapis.com/acdb/rugs/RugSquareBlockM02.png")</f>
        <v/>
      </c>
      <c r="C118" s="5" t="s">
        <v>36</v>
      </c>
      <c r="D118" s="6">
        <v>1500.0</v>
      </c>
      <c r="E118" s="6">
        <v>375.0</v>
      </c>
      <c r="F118" s="5" t="s">
        <v>114</v>
      </c>
      <c r="G118" s="5" t="s">
        <v>39</v>
      </c>
      <c r="H118" s="6" t="s">
        <v>4782</v>
      </c>
      <c r="I118" s="5" t="s">
        <v>2800</v>
      </c>
      <c r="J118" s="5" t="s">
        <v>4775</v>
      </c>
      <c r="K118" s="6" t="s">
        <v>42</v>
      </c>
      <c r="L118" s="5" t="s">
        <v>90</v>
      </c>
      <c r="M118" s="5" t="s">
        <v>44</v>
      </c>
      <c r="N118" s="5" t="s">
        <v>44</v>
      </c>
      <c r="O118" s="5" t="s">
        <v>4789</v>
      </c>
      <c r="P118" s="5" t="s">
        <v>64</v>
      </c>
      <c r="Q118" s="5" t="s">
        <v>5234</v>
      </c>
      <c r="R118" s="6">
        <v>11103.0</v>
      </c>
    </row>
    <row r="119" ht="56.25" customHeight="1">
      <c r="A119" s="5" t="s">
        <v>5235</v>
      </c>
      <c r="B119" s="16" t="str">
        <f>IMAGE("https://storage.googleapis.com/acdb/rugs/RugSquareCheckQuiltL01.png")</f>
        <v/>
      </c>
      <c r="C119" s="5" t="s">
        <v>36</v>
      </c>
      <c r="D119" s="6">
        <v>2000.0</v>
      </c>
      <c r="E119" s="6">
        <v>500.0</v>
      </c>
      <c r="F119" s="5" t="s">
        <v>114</v>
      </c>
      <c r="G119" s="5" t="s">
        <v>96</v>
      </c>
      <c r="H119" s="6" t="s">
        <v>4932</v>
      </c>
      <c r="I119" s="5" t="s">
        <v>2800</v>
      </c>
      <c r="J119" s="5" t="s">
        <v>4808</v>
      </c>
      <c r="K119" s="6" t="s">
        <v>42</v>
      </c>
      <c r="L119" s="5" t="s">
        <v>90</v>
      </c>
      <c r="M119" s="5" t="s">
        <v>99</v>
      </c>
      <c r="N119" s="5" t="s">
        <v>44</v>
      </c>
      <c r="O119" s="5" t="s">
        <v>4789</v>
      </c>
      <c r="P119" s="5" t="s">
        <v>64</v>
      </c>
      <c r="Q119" s="5" t="s">
        <v>5237</v>
      </c>
      <c r="R119" s="6">
        <v>7462.0</v>
      </c>
    </row>
    <row r="120" ht="56.25" customHeight="1">
      <c r="A120" s="5" t="s">
        <v>5238</v>
      </c>
      <c r="B120" s="16" t="str">
        <f>IMAGE("https://storage.googleapis.com/acdb/rugs/RugSquareKirimL03.png")</f>
        <v/>
      </c>
      <c r="C120" s="5" t="s">
        <v>36</v>
      </c>
      <c r="D120" s="6">
        <v>2000.0</v>
      </c>
      <c r="E120" s="6">
        <v>500.0</v>
      </c>
      <c r="F120" s="5" t="s">
        <v>114</v>
      </c>
      <c r="G120" s="5" t="s">
        <v>38</v>
      </c>
      <c r="H120" s="6" t="s">
        <v>4826</v>
      </c>
      <c r="I120" s="5" t="s">
        <v>2800</v>
      </c>
      <c r="J120" s="5" t="s">
        <v>4808</v>
      </c>
      <c r="K120" s="6" t="s">
        <v>42</v>
      </c>
      <c r="L120" s="5" t="s">
        <v>90</v>
      </c>
      <c r="M120" s="5" t="s">
        <v>44</v>
      </c>
      <c r="N120" s="5" t="s">
        <v>44</v>
      </c>
      <c r="O120" s="5" t="s">
        <v>4789</v>
      </c>
      <c r="P120" s="5" t="s">
        <v>64</v>
      </c>
      <c r="Q120" s="5" t="s">
        <v>5240</v>
      </c>
      <c r="R120" s="6">
        <v>9315.0</v>
      </c>
    </row>
    <row r="121" ht="56.25" customHeight="1">
      <c r="A121" s="5" t="s">
        <v>5241</v>
      </c>
      <c r="B121" s="16" t="str">
        <f>IMAGE("https://storage.googleapis.com/acdb/rugs/RugRectKitchenS01.png")</f>
        <v/>
      </c>
      <c r="C121" s="5" t="s">
        <v>36</v>
      </c>
      <c r="D121" s="6">
        <v>1000.0</v>
      </c>
      <c r="E121" s="6">
        <v>250.0</v>
      </c>
      <c r="F121" s="5" t="s">
        <v>114</v>
      </c>
      <c r="G121" s="5" t="s">
        <v>114</v>
      </c>
      <c r="H121" s="6" t="s">
        <v>136</v>
      </c>
      <c r="I121" s="5" t="s">
        <v>2800</v>
      </c>
      <c r="J121" s="5" t="s">
        <v>4798</v>
      </c>
      <c r="K121" s="6" t="s">
        <v>42</v>
      </c>
      <c r="L121" s="5" t="s">
        <v>159</v>
      </c>
      <c r="M121" s="5" t="s">
        <v>44</v>
      </c>
      <c r="N121" s="5" t="s">
        <v>44</v>
      </c>
      <c r="O121" s="5" t="s">
        <v>4799</v>
      </c>
      <c r="P121" s="5" t="s">
        <v>64</v>
      </c>
      <c r="Q121" s="5" t="s">
        <v>5244</v>
      </c>
      <c r="R121" s="6">
        <v>8395.0</v>
      </c>
    </row>
    <row r="122" ht="56.25" customHeight="1">
      <c r="A122" s="5" t="s">
        <v>5245</v>
      </c>
      <c r="B122" s="16" t="str">
        <f>IMAGE("https://storage.googleapis.com/acdb/rugs/RugRoundSimpleM03.png")</f>
        <v/>
      </c>
      <c r="C122" s="5" t="s">
        <v>36</v>
      </c>
      <c r="D122" s="6">
        <v>1500.0</v>
      </c>
      <c r="E122" s="6">
        <v>375.0</v>
      </c>
      <c r="F122" s="5" t="s">
        <v>114</v>
      </c>
      <c r="G122" s="5" t="s">
        <v>114</v>
      </c>
      <c r="H122" s="6" t="s">
        <v>4782</v>
      </c>
      <c r="I122" s="5" t="s">
        <v>2800</v>
      </c>
      <c r="J122" s="5" t="s">
        <v>4775</v>
      </c>
      <c r="K122" s="6" t="s">
        <v>42</v>
      </c>
      <c r="L122" s="5" t="s">
        <v>90</v>
      </c>
      <c r="M122" s="5" t="s">
        <v>99</v>
      </c>
      <c r="N122" s="5" t="s">
        <v>44</v>
      </c>
      <c r="O122" s="5" t="s">
        <v>4840</v>
      </c>
      <c r="P122" s="5" t="s">
        <v>64</v>
      </c>
      <c r="Q122" s="5" t="s">
        <v>5247</v>
      </c>
      <c r="R122" s="6">
        <v>9544.0</v>
      </c>
    </row>
    <row r="123" ht="56.25" customHeight="1">
      <c r="A123" s="5" t="s">
        <v>5248</v>
      </c>
      <c r="B123" s="16" t="str">
        <f>IMAGE("https://storage.googleapis.com/acdb/rugs/RugOtherMessageS02.png")</f>
        <v/>
      </c>
      <c r="C123" s="5" t="s">
        <v>36</v>
      </c>
      <c r="D123" s="6">
        <v>1000.0</v>
      </c>
      <c r="E123" s="6">
        <v>250.0</v>
      </c>
      <c r="F123" s="5" t="s">
        <v>114</v>
      </c>
      <c r="G123" s="5" t="s">
        <v>114</v>
      </c>
      <c r="H123" s="6" t="s">
        <v>136</v>
      </c>
      <c r="I123" s="5" t="s">
        <v>2800</v>
      </c>
      <c r="J123" s="5" t="s">
        <v>4798</v>
      </c>
      <c r="K123" s="6" t="s">
        <v>42</v>
      </c>
      <c r="L123" s="5" t="s">
        <v>99</v>
      </c>
      <c r="M123" s="5" t="s">
        <v>44</v>
      </c>
      <c r="N123" s="5" t="s">
        <v>44</v>
      </c>
      <c r="O123" s="5" t="s">
        <v>4847</v>
      </c>
      <c r="P123" s="5" t="s">
        <v>64</v>
      </c>
      <c r="Q123" s="5" t="s">
        <v>5252</v>
      </c>
      <c r="R123" s="6">
        <v>9311.0</v>
      </c>
    </row>
    <row r="124" ht="56.25" customHeight="1">
      <c r="A124" s="5" t="s">
        <v>5253</v>
      </c>
      <c r="B124" s="16" t="str">
        <f>IMAGE("https://storage.googleapis.com/acdb/rugs/RugSquarePersianL02.png")</f>
        <v/>
      </c>
      <c r="C124" s="5" t="s">
        <v>36</v>
      </c>
      <c r="D124" s="6">
        <v>2000.0</v>
      </c>
      <c r="E124" s="6">
        <v>500.0</v>
      </c>
      <c r="F124" s="5" t="s">
        <v>114</v>
      </c>
      <c r="G124" s="5" t="s">
        <v>38</v>
      </c>
      <c r="H124" s="6" t="s">
        <v>4826</v>
      </c>
      <c r="I124" s="5" t="s">
        <v>2800</v>
      </c>
      <c r="J124" s="5" t="s">
        <v>4808</v>
      </c>
      <c r="K124" s="6" t="s">
        <v>42</v>
      </c>
      <c r="L124" s="5" t="s">
        <v>116</v>
      </c>
      <c r="M124" s="5" t="s">
        <v>90</v>
      </c>
      <c r="N124" s="5" t="s">
        <v>44</v>
      </c>
      <c r="O124" s="5" t="s">
        <v>4789</v>
      </c>
      <c r="P124" s="5" t="s">
        <v>64</v>
      </c>
      <c r="Q124" s="5" t="s">
        <v>5255</v>
      </c>
      <c r="R124" s="6">
        <v>8036.0</v>
      </c>
    </row>
    <row r="125" ht="56.25" customHeight="1">
      <c r="A125" s="5" t="s">
        <v>5256</v>
      </c>
      <c r="B125" s="16" t="str">
        <f>IMAGE("https://storage.googleapis.com/acdb/rugs/RugOtherRoseM02.png")</f>
        <v/>
      </c>
      <c r="C125" s="5" t="s">
        <v>36</v>
      </c>
      <c r="D125" s="6">
        <v>1500.0</v>
      </c>
      <c r="E125" s="6">
        <v>375.0</v>
      </c>
      <c r="F125" s="5" t="s">
        <v>114</v>
      </c>
      <c r="G125" s="5" t="s">
        <v>114</v>
      </c>
      <c r="H125" s="6" t="s">
        <v>4782</v>
      </c>
      <c r="I125" s="5" t="s">
        <v>2800</v>
      </c>
      <c r="J125" s="5" t="s">
        <v>4775</v>
      </c>
      <c r="K125" s="6" t="s">
        <v>42</v>
      </c>
      <c r="L125" s="5" t="s">
        <v>61</v>
      </c>
      <c r="M125" s="5" t="s">
        <v>116</v>
      </c>
      <c r="N125" s="5" t="s">
        <v>311</v>
      </c>
      <c r="O125" s="5" t="s">
        <v>5039</v>
      </c>
      <c r="P125" s="5" t="s">
        <v>64</v>
      </c>
      <c r="Q125" s="5" t="s">
        <v>5260</v>
      </c>
      <c r="R125" s="6">
        <v>8759.0</v>
      </c>
    </row>
    <row r="126" ht="56.25" customHeight="1">
      <c r="A126" s="5" t="s">
        <v>5261</v>
      </c>
      <c r="B126" s="16" t="str">
        <f>IMAGE("https://storage.googleapis.com/acdb/rugs/RugRoundSimpleS03.png")</f>
        <v/>
      </c>
      <c r="C126" s="5" t="s">
        <v>36</v>
      </c>
      <c r="D126" s="6">
        <v>1000.0</v>
      </c>
      <c r="E126" s="6">
        <v>250.0</v>
      </c>
      <c r="F126" s="5" t="s">
        <v>114</v>
      </c>
      <c r="G126" s="5" t="s">
        <v>114</v>
      </c>
      <c r="H126" s="6" t="s">
        <v>4863</v>
      </c>
      <c r="I126" s="5" t="s">
        <v>2800</v>
      </c>
      <c r="J126" s="5" t="s">
        <v>4798</v>
      </c>
      <c r="K126" s="6" t="s">
        <v>42</v>
      </c>
      <c r="L126" s="5" t="s">
        <v>90</v>
      </c>
      <c r="M126" s="5" t="s">
        <v>99</v>
      </c>
      <c r="N126" s="5" t="s">
        <v>44</v>
      </c>
      <c r="O126" s="5" t="s">
        <v>4840</v>
      </c>
      <c r="P126" s="5" t="s">
        <v>64</v>
      </c>
      <c r="Q126" s="5" t="s">
        <v>5262</v>
      </c>
      <c r="R126" s="6">
        <v>9547.0</v>
      </c>
    </row>
    <row r="127" ht="56.25" customHeight="1">
      <c r="A127" s="5" t="s">
        <v>5263</v>
      </c>
      <c r="B127" s="16" t="str">
        <f>IMAGE("https://storage.googleapis.com/acdb/rugs/RugRectBorderL00.png")</f>
        <v/>
      </c>
      <c r="C127" s="5" t="s">
        <v>36</v>
      </c>
      <c r="D127" s="6">
        <v>2000.0</v>
      </c>
      <c r="E127" s="6">
        <v>500.0</v>
      </c>
      <c r="F127" s="5" t="s">
        <v>114</v>
      </c>
      <c r="G127" s="5" t="s">
        <v>57</v>
      </c>
      <c r="H127" s="6" t="s">
        <v>4807</v>
      </c>
      <c r="I127" s="5" t="s">
        <v>2800</v>
      </c>
      <c r="J127" s="5" t="s">
        <v>4808</v>
      </c>
      <c r="K127" s="6" t="s">
        <v>42</v>
      </c>
      <c r="L127" s="5" t="s">
        <v>61</v>
      </c>
      <c r="M127" s="5" t="s">
        <v>99</v>
      </c>
      <c r="N127" s="5" t="s">
        <v>44</v>
      </c>
      <c r="O127" s="5" t="s">
        <v>4810</v>
      </c>
      <c r="P127" s="5" t="s">
        <v>64</v>
      </c>
      <c r="Q127" s="5" t="s">
        <v>5267</v>
      </c>
      <c r="R127" s="6">
        <v>7351.0</v>
      </c>
    </row>
    <row r="128" ht="56.25" customHeight="1">
      <c r="A128" s="5" t="s">
        <v>5268</v>
      </c>
      <c r="B128" s="16" t="str">
        <f>IMAGE("https://storage.googleapis.com/acdb/rugs/RugRectVinylM03.png")</f>
        <v/>
      </c>
      <c r="C128" s="5" t="s">
        <v>36</v>
      </c>
      <c r="D128" s="6">
        <v>1500.0</v>
      </c>
      <c r="E128" s="6">
        <v>375.0</v>
      </c>
      <c r="F128" s="5" t="s">
        <v>114</v>
      </c>
      <c r="G128" s="5" t="s">
        <v>58</v>
      </c>
      <c r="H128" s="6" t="s">
        <v>4774</v>
      </c>
      <c r="I128" s="5" t="s">
        <v>2800</v>
      </c>
      <c r="J128" s="5" t="s">
        <v>4775</v>
      </c>
      <c r="K128" s="6" t="s">
        <v>42</v>
      </c>
      <c r="L128" s="5" t="s">
        <v>172</v>
      </c>
      <c r="M128" s="5" t="s">
        <v>44</v>
      </c>
      <c r="N128" s="5" t="s">
        <v>44</v>
      </c>
      <c r="O128" s="5" t="s">
        <v>4810</v>
      </c>
      <c r="P128" s="5" t="s">
        <v>64</v>
      </c>
      <c r="Q128" s="5" t="s">
        <v>5270</v>
      </c>
      <c r="R128" s="6">
        <v>7403.0</v>
      </c>
    </row>
    <row r="129" ht="56.25" customHeight="1">
      <c r="A129" s="5" t="s">
        <v>5271</v>
      </c>
      <c r="B129" s="16" t="str">
        <f>IMAGE("https://storage.googleapis.com/acdb/rugs/RugRectNativeKitchenS02.png")</f>
        <v/>
      </c>
      <c r="C129" s="5" t="s">
        <v>36</v>
      </c>
      <c r="D129" s="6">
        <v>1000.0</v>
      </c>
      <c r="E129" s="6">
        <v>250.0</v>
      </c>
      <c r="F129" s="5" t="s">
        <v>114</v>
      </c>
      <c r="G129" s="5" t="s">
        <v>54</v>
      </c>
      <c r="H129" s="6" t="s">
        <v>136</v>
      </c>
      <c r="I129" s="5" t="s">
        <v>2800</v>
      </c>
      <c r="J129" s="5" t="s">
        <v>4798</v>
      </c>
      <c r="K129" s="6" t="s">
        <v>42</v>
      </c>
      <c r="L129" s="5" t="s">
        <v>159</v>
      </c>
      <c r="M129" s="5" t="s">
        <v>44</v>
      </c>
      <c r="N129" s="5" t="s">
        <v>44</v>
      </c>
      <c r="O129" s="5" t="s">
        <v>4799</v>
      </c>
      <c r="P129" s="5" t="s">
        <v>64</v>
      </c>
      <c r="Q129" s="5" t="s">
        <v>5275</v>
      </c>
      <c r="R129" s="6">
        <v>7596.0</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2" width="10.86"/>
    <col customWidth="1" min="3" max="3" width="4.43"/>
    <col customWidth="1" min="4" max="5" width="5.86"/>
    <col customWidth="1" min="6" max="6" width="12.29"/>
    <col customWidth="1" min="7" max="7" width="25.14"/>
    <col customWidth="1" min="8" max="8" width="8.0"/>
    <col customWidth="1" min="9" max="9" width="10.86"/>
    <col customWidth="1" min="10" max="10" width="8.0"/>
  </cols>
  <sheetData>
    <row r="1" ht="26.25" customHeight="1">
      <c r="A1" s="1" t="s">
        <v>0</v>
      </c>
      <c r="B1" s="2" t="s">
        <v>1</v>
      </c>
      <c r="C1" s="1" t="s">
        <v>6</v>
      </c>
      <c r="D1" s="2" t="s">
        <v>10</v>
      </c>
      <c r="E1" s="2" t="s">
        <v>11</v>
      </c>
      <c r="F1" s="1" t="s">
        <v>15</v>
      </c>
      <c r="G1" s="1" t="s">
        <v>16</v>
      </c>
      <c r="H1" s="2" t="s">
        <v>17</v>
      </c>
      <c r="I1" s="1" t="s">
        <v>27</v>
      </c>
      <c r="J1" s="2" t="s">
        <v>29</v>
      </c>
    </row>
    <row r="2" ht="56.25" customHeight="1">
      <c r="A2" s="5" t="s">
        <v>5286</v>
      </c>
      <c r="B2" s="6" t="str">
        <f>IMAGE("https://storage.googleapis.com/acdb/fencing/ItemFenceBamboo.png")</f>
        <v/>
      </c>
      <c r="C2" s="5" t="s">
        <v>35</v>
      </c>
      <c r="D2" s="6" t="s">
        <v>37</v>
      </c>
      <c r="E2" s="6">
        <v>960.0</v>
      </c>
      <c r="F2" s="5" t="s">
        <v>41</v>
      </c>
      <c r="G2" s="5" t="s">
        <v>5290</v>
      </c>
      <c r="H2" s="6" t="s">
        <v>42</v>
      </c>
      <c r="I2" s="5" t="s">
        <v>5292</v>
      </c>
      <c r="J2" s="6">
        <v>3403.0</v>
      </c>
    </row>
    <row r="3" ht="56.25" customHeight="1">
      <c r="A3" s="5" t="s">
        <v>5293</v>
      </c>
      <c r="B3" s="6" t="str">
        <f>IMAGE("https://storage.googleapis.com/acdb/fencing/ItemFenceBarbedWire.png")</f>
        <v/>
      </c>
      <c r="C3" s="5" t="s">
        <v>35</v>
      </c>
      <c r="D3" s="6" t="s">
        <v>37</v>
      </c>
      <c r="E3" s="6">
        <v>1980.0</v>
      </c>
      <c r="F3" s="5" t="s">
        <v>41</v>
      </c>
      <c r="G3" s="5" t="s">
        <v>5290</v>
      </c>
      <c r="H3" s="6" t="s">
        <v>42</v>
      </c>
      <c r="I3" s="5" t="s">
        <v>5294</v>
      </c>
      <c r="J3" s="6">
        <v>5213.0</v>
      </c>
    </row>
    <row r="4" ht="56.25" customHeight="1">
      <c r="A4" s="5" t="s">
        <v>5295</v>
      </c>
      <c r="B4" s="6" t="str">
        <f>IMAGE("https://storage.googleapis.com/acdb/fencing/ItemFenceWallRenga.png")</f>
        <v/>
      </c>
      <c r="C4" s="5" t="s">
        <v>35</v>
      </c>
      <c r="D4" s="6" t="s">
        <v>37</v>
      </c>
      <c r="E4" s="6">
        <v>1200.0</v>
      </c>
      <c r="F4" s="5" t="s">
        <v>41</v>
      </c>
      <c r="G4" s="5" t="s">
        <v>5290</v>
      </c>
      <c r="H4" s="6" t="s">
        <v>42</v>
      </c>
      <c r="I4" s="5" t="s">
        <v>5299</v>
      </c>
      <c r="J4" s="6">
        <v>3080.0</v>
      </c>
    </row>
    <row r="5" ht="56.25" customHeight="1">
      <c r="A5" s="5" t="s">
        <v>5300</v>
      </c>
      <c r="B5" s="6" t="str">
        <f>IMAGE("https://storage.googleapis.com/acdb/fencing/ItemFenceEgg.png")</f>
        <v/>
      </c>
      <c r="C5" s="5" t="s">
        <v>35</v>
      </c>
      <c r="D5" s="6" t="s">
        <v>37</v>
      </c>
      <c r="E5" s="6">
        <v>2400.0</v>
      </c>
      <c r="F5" s="5" t="s">
        <v>41</v>
      </c>
      <c r="G5" s="5" t="s">
        <v>461</v>
      </c>
      <c r="H5" s="6" t="s">
        <v>1410</v>
      </c>
      <c r="I5" s="5" t="s">
        <v>5301</v>
      </c>
      <c r="J5" s="6">
        <v>12630.0</v>
      </c>
    </row>
    <row r="6" ht="56.25" customHeight="1">
      <c r="A6" s="5" t="s">
        <v>5302</v>
      </c>
      <c r="B6" s="6" t="str">
        <f>IMAGE("https://storage.googleapis.com/acdb/fencing/ItemFenceHorizontalWood.png")</f>
        <v/>
      </c>
      <c r="C6" s="5" t="s">
        <v>35</v>
      </c>
      <c r="D6" s="6" t="s">
        <v>37</v>
      </c>
      <c r="E6" s="6">
        <v>720.0</v>
      </c>
      <c r="F6" s="5" t="s">
        <v>41</v>
      </c>
      <c r="G6" s="5" t="s">
        <v>5290</v>
      </c>
      <c r="H6" s="6" t="s">
        <v>42</v>
      </c>
      <c r="I6" s="5" t="s">
        <v>5305</v>
      </c>
      <c r="J6" s="6">
        <v>4349.0</v>
      </c>
    </row>
    <row r="7" ht="56.25" customHeight="1">
      <c r="A7" s="5" t="s">
        <v>5306</v>
      </c>
      <c r="B7" s="6" t="str">
        <f>IMAGE("https://storage.googleapis.com/acdb/fencing/ItemFenceLog.png")</f>
        <v/>
      </c>
      <c r="C7" s="5" t="s">
        <v>35</v>
      </c>
      <c r="D7" s="6" t="s">
        <v>37</v>
      </c>
      <c r="E7" s="6">
        <v>720.0</v>
      </c>
      <c r="F7" s="5" t="s">
        <v>41</v>
      </c>
      <c r="G7" s="5" t="s">
        <v>5290</v>
      </c>
      <c r="H7" s="6" t="s">
        <v>42</v>
      </c>
      <c r="I7" s="5" t="s">
        <v>5307</v>
      </c>
      <c r="J7" s="6">
        <v>4350.0</v>
      </c>
    </row>
    <row r="8" ht="56.25" customHeight="1">
      <c r="A8" s="5" t="s">
        <v>5309</v>
      </c>
      <c r="B8" s="6" t="str">
        <f>IMAGE("https://storage.googleapis.com/acdb/fencing/ItemFenceChinese.png")</f>
        <v/>
      </c>
      <c r="C8" s="5" t="s">
        <v>35</v>
      </c>
      <c r="D8" s="6" t="s">
        <v>37</v>
      </c>
      <c r="E8" s="6">
        <v>1200.0</v>
      </c>
      <c r="F8" s="5" t="s">
        <v>41</v>
      </c>
      <c r="G8" s="5" t="s">
        <v>5290</v>
      </c>
      <c r="H8" s="6" t="s">
        <v>42</v>
      </c>
      <c r="I8" s="5" t="s">
        <v>5312</v>
      </c>
      <c r="J8" s="6">
        <v>4354.0</v>
      </c>
    </row>
    <row r="9" ht="56.25" customHeight="1">
      <c r="A9" s="5" t="s">
        <v>5313</v>
      </c>
      <c r="B9" s="6" t="str">
        <f>IMAGE("https://storage.googleapis.com/acdb/fencing/ItemFenceSteel.png")</f>
        <v/>
      </c>
      <c r="C9" s="5" t="s">
        <v>35</v>
      </c>
      <c r="D9" s="6" t="s">
        <v>37</v>
      </c>
      <c r="E9" s="6">
        <v>4500.0</v>
      </c>
      <c r="F9" s="5" t="s">
        <v>41</v>
      </c>
      <c r="G9" s="5" t="s">
        <v>5290</v>
      </c>
      <c r="H9" s="6" t="s">
        <v>42</v>
      </c>
      <c r="I9" s="5" t="s">
        <v>5314</v>
      </c>
      <c r="J9" s="6">
        <v>4357.0</v>
      </c>
    </row>
    <row r="10" ht="56.25" customHeight="1">
      <c r="A10" s="5" t="s">
        <v>5316</v>
      </c>
      <c r="B10" s="6" t="str">
        <f>IMAGE("https://storage.googleapis.com/acdb/fencing/ItemFenceIronAndStone.png")</f>
        <v/>
      </c>
      <c r="C10" s="5" t="s">
        <v>35</v>
      </c>
      <c r="D10" s="6" t="s">
        <v>37</v>
      </c>
      <c r="E10" s="6">
        <v>3150.0</v>
      </c>
      <c r="F10" s="5" t="s">
        <v>41</v>
      </c>
      <c r="G10" s="5" t="s">
        <v>5290</v>
      </c>
      <c r="H10" s="6" t="s">
        <v>42</v>
      </c>
      <c r="I10" s="5" t="s">
        <v>5318</v>
      </c>
      <c r="J10" s="6">
        <v>5206.0</v>
      </c>
    </row>
    <row r="11" ht="56.25" customHeight="1">
      <c r="A11" s="5" t="s">
        <v>5320</v>
      </c>
      <c r="B11" s="6" t="str">
        <f>IMAGE("https://storage.googleapis.com/acdb/fencing/ItemFenceLatiiceNatural.png")</f>
        <v/>
      </c>
      <c r="C11" s="5" t="s">
        <v>35</v>
      </c>
      <c r="D11" s="6" t="s">
        <v>37</v>
      </c>
      <c r="E11" s="6">
        <v>960.0</v>
      </c>
      <c r="F11" s="5" t="s">
        <v>41</v>
      </c>
      <c r="G11" s="5" t="s">
        <v>5290</v>
      </c>
      <c r="H11" s="6" t="s">
        <v>42</v>
      </c>
      <c r="I11" s="5" t="s">
        <v>5323</v>
      </c>
      <c r="J11" s="6">
        <v>11712.0</v>
      </c>
    </row>
    <row r="12" ht="56.25" customHeight="1">
      <c r="A12" s="5" t="s">
        <v>5324</v>
      </c>
      <c r="B12" s="6" t="str">
        <f>IMAGE("https://storage.googleapis.com/acdb/fencing/ItemFencePegRope.png")</f>
        <v/>
      </c>
      <c r="C12" s="5" t="s">
        <v>35</v>
      </c>
      <c r="D12" s="6" t="s">
        <v>37</v>
      </c>
      <c r="E12" s="6">
        <v>3000.0</v>
      </c>
      <c r="F12" s="5" t="s">
        <v>41</v>
      </c>
      <c r="G12" s="5" t="s">
        <v>5290</v>
      </c>
      <c r="H12" s="6" t="s">
        <v>42</v>
      </c>
      <c r="I12" s="5" t="s">
        <v>5326</v>
      </c>
      <c r="J12" s="6">
        <v>4352.0</v>
      </c>
    </row>
    <row r="13" ht="56.25" customHeight="1">
      <c r="A13" s="5" t="s">
        <v>5327</v>
      </c>
      <c r="B13" s="6" t="str">
        <f>IMAGE("https://storage.googleapis.com/acdb/fencing/ItemFenceNatural.png")</f>
        <v/>
      </c>
      <c r="C13" s="5" t="s">
        <v>35</v>
      </c>
      <c r="D13" s="6" t="s">
        <v>37</v>
      </c>
      <c r="E13" s="6">
        <v>720.0</v>
      </c>
      <c r="F13" s="5" t="s">
        <v>41</v>
      </c>
      <c r="G13" s="5" t="s">
        <v>5290</v>
      </c>
      <c r="H13" s="6" t="s">
        <v>42</v>
      </c>
      <c r="I13" s="5" t="s">
        <v>5328</v>
      </c>
      <c r="J13" s="6">
        <v>11711.0</v>
      </c>
    </row>
    <row r="14" ht="56.25" customHeight="1">
      <c r="A14" s="5" t="s">
        <v>5329</v>
      </c>
      <c r="B14" s="6" t="str">
        <f>IMAGE("https://storage.googleapis.com/acdb/fencing/ItemFenceSharply.png")</f>
        <v/>
      </c>
      <c r="C14" s="5" t="s">
        <v>35</v>
      </c>
      <c r="D14" s="6" t="s">
        <v>37</v>
      </c>
      <c r="E14" s="6">
        <v>960.0</v>
      </c>
      <c r="F14" s="5" t="s">
        <v>41</v>
      </c>
      <c r="G14" s="5" t="s">
        <v>5290</v>
      </c>
      <c r="H14" s="6" t="s">
        <v>42</v>
      </c>
      <c r="I14" s="5" t="s">
        <v>5333</v>
      </c>
      <c r="J14" s="6">
        <v>4358.0</v>
      </c>
    </row>
    <row r="15" ht="56.25" customHeight="1">
      <c r="A15" s="5" t="s">
        <v>5334</v>
      </c>
      <c r="B15" s="6" t="str">
        <f>IMAGE("https://storage.googleapis.com/acdb/fencing/ItemFenceStone.png")</f>
        <v/>
      </c>
      <c r="C15" s="5" t="s">
        <v>35</v>
      </c>
      <c r="D15" s="6" t="s">
        <v>37</v>
      </c>
      <c r="E15" s="6">
        <v>600.0</v>
      </c>
      <c r="F15" s="5" t="s">
        <v>41</v>
      </c>
      <c r="G15" s="5" t="s">
        <v>5290</v>
      </c>
      <c r="H15" s="6" t="s">
        <v>42</v>
      </c>
      <c r="I15" s="5" t="s">
        <v>5335</v>
      </c>
      <c r="J15" s="6">
        <v>5212.0</v>
      </c>
    </row>
    <row r="16" ht="56.25" customHeight="1">
      <c r="A16" s="5" t="s">
        <v>5337</v>
      </c>
      <c r="B16" s="6" t="str">
        <f>IMAGE("https://storage.googleapis.com/acdb/fencing/ItemFenceDriedStraw.png")</f>
        <v/>
      </c>
      <c r="C16" s="5" t="s">
        <v>35</v>
      </c>
      <c r="D16" s="6" t="s">
        <v>37</v>
      </c>
      <c r="E16" s="6">
        <v>560.0</v>
      </c>
      <c r="F16" s="5" t="s">
        <v>41</v>
      </c>
      <c r="G16" s="5" t="s">
        <v>5290</v>
      </c>
      <c r="H16" s="6" t="s">
        <v>42</v>
      </c>
      <c r="I16" s="5" t="s">
        <v>5341</v>
      </c>
      <c r="J16" s="6">
        <v>4356.0</v>
      </c>
    </row>
    <row r="17" ht="56.25" customHeight="1">
      <c r="A17" s="5" t="s">
        <v>5342</v>
      </c>
      <c r="B17" s="6" t="str">
        <f>IMAGE("https://storage.googleapis.com/acdb/fencing/ItemFenceVerticalWood.png")</f>
        <v/>
      </c>
      <c r="C17" s="5" t="s">
        <v>35</v>
      </c>
      <c r="D17" s="6" t="s">
        <v>37</v>
      </c>
      <c r="E17" s="6">
        <v>960.0</v>
      </c>
      <c r="F17" s="5" t="s">
        <v>41</v>
      </c>
      <c r="G17" s="5" t="s">
        <v>5290</v>
      </c>
      <c r="H17" s="6" t="s">
        <v>42</v>
      </c>
      <c r="I17" s="5" t="s">
        <v>5343</v>
      </c>
      <c r="J17" s="6">
        <v>3402.0</v>
      </c>
    </row>
    <row r="18" ht="56.25" customHeight="1">
      <c r="A18" s="5" t="s">
        <v>5344</v>
      </c>
      <c r="B18" s="6" t="str">
        <f>IMAGE("https://storage.googleapis.com/acdb/fencing/ItemFenceJapanese.png")</f>
        <v/>
      </c>
      <c r="C18" s="5" t="s">
        <v>35</v>
      </c>
      <c r="D18" s="6" t="s">
        <v>37</v>
      </c>
      <c r="E18" s="6">
        <v>3300.0</v>
      </c>
      <c r="F18" s="5" t="s">
        <v>41</v>
      </c>
      <c r="G18" s="5" t="s">
        <v>5290</v>
      </c>
      <c r="H18" s="6" t="s">
        <v>42</v>
      </c>
      <c r="I18" s="5" t="s">
        <v>5348</v>
      </c>
      <c r="J18" s="6">
        <v>5207.0</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6" width="10.86"/>
    <col customWidth="1" min="7" max="7" width="4.43"/>
    <col customWidth="1" min="8" max="8" width="10.86"/>
    <col customWidth="1" min="9" max="9" width="5.14"/>
    <col customWidth="1" min="10" max="11" width="5.86"/>
    <col customWidth="1" min="12" max="13" width="8.0"/>
    <col customWidth="1" min="14" max="14" width="5.14"/>
    <col customWidth="1" min="15" max="15" width="12.29"/>
    <col customWidth="1" min="16" max="17" width="8.0"/>
    <col customWidth="1" min="18" max="18" width="10.86"/>
    <col customWidth="1" min="19" max="20" width="8.0"/>
  </cols>
  <sheetData>
    <row r="1" ht="26.25" customHeight="1">
      <c r="A1" s="1" t="s">
        <v>0</v>
      </c>
      <c r="B1" s="2" t="s">
        <v>1</v>
      </c>
      <c r="C1" s="1" t="s">
        <v>2</v>
      </c>
      <c r="D1" s="1" t="s">
        <v>3</v>
      </c>
      <c r="E1" s="1" t="s">
        <v>4</v>
      </c>
      <c r="F1" s="1" t="s">
        <v>5</v>
      </c>
      <c r="G1" s="1" t="s">
        <v>6</v>
      </c>
      <c r="H1" s="1" t="s">
        <v>5358</v>
      </c>
      <c r="I1" s="2" t="s">
        <v>9</v>
      </c>
      <c r="J1" s="2" t="s">
        <v>10</v>
      </c>
      <c r="K1" s="2" t="s">
        <v>11</v>
      </c>
      <c r="L1" s="1" t="s">
        <v>12</v>
      </c>
      <c r="M1" s="1" t="s">
        <v>13</v>
      </c>
      <c r="N1" s="2" t="s">
        <v>14</v>
      </c>
      <c r="O1" s="1" t="s">
        <v>15</v>
      </c>
      <c r="P1" s="2" t="s">
        <v>17</v>
      </c>
      <c r="Q1" s="1" t="s">
        <v>26</v>
      </c>
      <c r="R1" s="1" t="s">
        <v>27</v>
      </c>
      <c r="S1" s="2" t="s">
        <v>28</v>
      </c>
      <c r="T1" s="2" t="s">
        <v>29</v>
      </c>
    </row>
    <row r="2" ht="56.25" customHeight="1">
      <c r="A2" s="5" t="s">
        <v>5360</v>
      </c>
      <c r="B2" s="6" t="str">
        <f>image("https://storage.googleapis.com/acdb/photos/BromideNpcNmlBrd06_Remake_0_0.png")</f>
        <v/>
      </c>
      <c r="C2" s="5" t="s">
        <v>366</v>
      </c>
      <c r="D2" s="5" t="s">
        <v>1327</v>
      </c>
      <c r="E2" s="5" t="s">
        <v>34</v>
      </c>
      <c r="F2" s="5" t="s">
        <v>34</v>
      </c>
      <c r="G2" s="5" t="s">
        <v>36</v>
      </c>
      <c r="H2" s="5" t="s">
        <v>35</v>
      </c>
      <c r="I2" s="6">
        <v>1.0</v>
      </c>
      <c r="J2" s="6" t="s">
        <v>37</v>
      </c>
      <c r="K2" s="6">
        <v>10.0</v>
      </c>
      <c r="L2" s="5"/>
      <c r="M2" s="5"/>
      <c r="N2" s="6" t="s">
        <v>40</v>
      </c>
      <c r="O2" s="5" t="s">
        <v>5363</v>
      </c>
      <c r="P2" s="6" t="s">
        <v>42</v>
      </c>
      <c r="Q2" s="5" t="s">
        <v>1237</v>
      </c>
      <c r="R2" s="5" t="s">
        <v>5365</v>
      </c>
      <c r="S2" s="6" t="s">
        <v>50</v>
      </c>
      <c r="T2" s="6">
        <v>6626.0</v>
      </c>
    </row>
    <row r="3" ht="56.25" customHeight="1">
      <c r="A3" s="5" t="s">
        <v>5360</v>
      </c>
      <c r="B3" s="6" t="str">
        <f>image("https://storage.googleapis.com/acdb/photos/BromideNpcNmlBrd06_Remake_1_0.png")</f>
        <v/>
      </c>
      <c r="C3" s="5" t="s">
        <v>1132</v>
      </c>
      <c r="D3" s="5" t="s">
        <v>1327</v>
      </c>
      <c r="E3" s="5" t="s">
        <v>34</v>
      </c>
      <c r="F3" s="5" t="s">
        <v>34</v>
      </c>
      <c r="G3" s="5" t="s">
        <v>36</v>
      </c>
      <c r="H3" s="5" t="s">
        <v>35</v>
      </c>
      <c r="I3" s="6">
        <v>1.0</v>
      </c>
      <c r="J3" s="6" t="s">
        <v>37</v>
      </c>
      <c r="K3" s="6">
        <v>10.0</v>
      </c>
      <c r="L3" s="5"/>
      <c r="M3" s="5"/>
      <c r="N3" s="6" t="s">
        <v>40</v>
      </c>
      <c r="O3" s="5" t="s">
        <v>5363</v>
      </c>
      <c r="P3" s="6" t="s">
        <v>42</v>
      </c>
      <c r="Q3" s="5" t="s">
        <v>1237</v>
      </c>
      <c r="R3" s="5" t="s">
        <v>5369</v>
      </c>
      <c r="S3" s="6" t="s">
        <v>56</v>
      </c>
      <c r="T3" s="6">
        <v>6626.0</v>
      </c>
    </row>
    <row r="4" ht="56.25" customHeight="1">
      <c r="A4" s="5" t="s">
        <v>5360</v>
      </c>
      <c r="B4" s="6" t="str">
        <f>image("https://storage.googleapis.com/acdb/photos/BromideNpcNmlBrd06_Remake_2_0.png")</f>
        <v/>
      </c>
      <c r="C4" s="5" t="s">
        <v>688</v>
      </c>
      <c r="D4" s="5" t="s">
        <v>1327</v>
      </c>
      <c r="E4" s="5" t="s">
        <v>34</v>
      </c>
      <c r="F4" s="5" t="s">
        <v>34</v>
      </c>
      <c r="G4" s="5" t="s">
        <v>36</v>
      </c>
      <c r="H4" s="5" t="s">
        <v>35</v>
      </c>
      <c r="I4" s="6">
        <v>1.0</v>
      </c>
      <c r="J4" s="6" t="s">
        <v>37</v>
      </c>
      <c r="K4" s="6">
        <v>10.0</v>
      </c>
      <c r="L4" s="5"/>
      <c r="M4" s="5"/>
      <c r="N4" s="6" t="s">
        <v>40</v>
      </c>
      <c r="O4" s="5" t="s">
        <v>5363</v>
      </c>
      <c r="P4" s="6" t="s">
        <v>42</v>
      </c>
      <c r="Q4" s="5" t="s">
        <v>1237</v>
      </c>
      <c r="R4" s="5" t="s">
        <v>5372</v>
      </c>
      <c r="S4" s="6" t="s">
        <v>67</v>
      </c>
      <c r="T4" s="6">
        <v>6626.0</v>
      </c>
    </row>
    <row r="5" ht="56.25" customHeight="1">
      <c r="A5" s="5" t="s">
        <v>5360</v>
      </c>
      <c r="B5" s="6" t="str">
        <f>image("https://storage.googleapis.com/acdb/photos/BromideNpcNmlBrd06_Remake_3_0.png")</f>
        <v/>
      </c>
      <c r="C5" s="5" t="s">
        <v>57</v>
      </c>
      <c r="D5" s="5" t="s">
        <v>1327</v>
      </c>
      <c r="E5" s="5" t="s">
        <v>34</v>
      </c>
      <c r="F5" s="5" t="s">
        <v>34</v>
      </c>
      <c r="G5" s="5" t="s">
        <v>36</v>
      </c>
      <c r="H5" s="5" t="s">
        <v>35</v>
      </c>
      <c r="I5" s="6">
        <v>1.0</v>
      </c>
      <c r="J5" s="6" t="s">
        <v>37</v>
      </c>
      <c r="K5" s="6">
        <v>10.0</v>
      </c>
      <c r="L5" s="5"/>
      <c r="M5" s="5"/>
      <c r="N5" s="6" t="s">
        <v>40</v>
      </c>
      <c r="O5" s="5" t="s">
        <v>5363</v>
      </c>
      <c r="P5" s="6" t="s">
        <v>42</v>
      </c>
      <c r="Q5" s="5" t="s">
        <v>1237</v>
      </c>
      <c r="R5" s="5" t="s">
        <v>5376</v>
      </c>
      <c r="S5" s="6" t="s">
        <v>71</v>
      </c>
      <c r="T5" s="6">
        <v>6626.0</v>
      </c>
    </row>
    <row r="6" ht="56.25" customHeight="1">
      <c r="A6" s="5" t="s">
        <v>5360</v>
      </c>
      <c r="B6" s="6" t="str">
        <f>image("https://storage.googleapis.com/acdb/photos/BromideNpcNmlBrd06_Remake_4_0.png")</f>
        <v/>
      </c>
      <c r="C6" s="5" t="s">
        <v>1167</v>
      </c>
      <c r="D6" s="5" t="s">
        <v>1327</v>
      </c>
      <c r="E6" s="5" t="s">
        <v>34</v>
      </c>
      <c r="F6" s="5" t="s">
        <v>34</v>
      </c>
      <c r="G6" s="5" t="s">
        <v>36</v>
      </c>
      <c r="H6" s="5" t="s">
        <v>35</v>
      </c>
      <c r="I6" s="6">
        <v>1.0</v>
      </c>
      <c r="J6" s="6" t="s">
        <v>37</v>
      </c>
      <c r="K6" s="6">
        <v>10.0</v>
      </c>
      <c r="L6" s="5"/>
      <c r="M6" s="5"/>
      <c r="N6" s="6" t="s">
        <v>40</v>
      </c>
      <c r="O6" s="5" t="s">
        <v>5363</v>
      </c>
      <c r="P6" s="6" t="s">
        <v>42</v>
      </c>
      <c r="Q6" s="5" t="s">
        <v>1237</v>
      </c>
      <c r="R6" s="5" t="s">
        <v>5379</v>
      </c>
      <c r="S6" s="6" t="s">
        <v>75</v>
      </c>
      <c r="T6" s="6">
        <v>6626.0</v>
      </c>
    </row>
    <row r="7" ht="56.25" customHeight="1">
      <c r="A7" s="5" t="s">
        <v>5360</v>
      </c>
      <c r="B7" s="6" t="str">
        <f>image("https://storage.googleapis.com/acdb/photos/BromideNpcNmlBrd06_Remake_5_0.png")</f>
        <v/>
      </c>
      <c r="C7" s="5" t="s">
        <v>58</v>
      </c>
      <c r="D7" s="5" t="s">
        <v>1327</v>
      </c>
      <c r="E7" s="5" t="s">
        <v>34</v>
      </c>
      <c r="F7" s="5" t="s">
        <v>34</v>
      </c>
      <c r="G7" s="5" t="s">
        <v>36</v>
      </c>
      <c r="H7" s="5" t="s">
        <v>35</v>
      </c>
      <c r="I7" s="6">
        <v>1.0</v>
      </c>
      <c r="J7" s="6" t="s">
        <v>37</v>
      </c>
      <c r="K7" s="6">
        <v>10.0</v>
      </c>
      <c r="L7" s="5"/>
      <c r="M7" s="5"/>
      <c r="N7" s="6" t="s">
        <v>40</v>
      </c>
      <c r="O7" s="5" t="s">
        <v>5363</v>
      </c>
      <c r="P7" s="6" t="s">
        <v>42</v>
      </c>
      <c r="Q7" s="5" t="s">
        <v>1237</v>
      </c>
      <c r="R7" s="5" t="s">
        <v>5382</v>
      </c>
      <c r="S7" s="6" t="s">
        <v>79</v>
      </c>
      <c r="T7" s="6">
        <v>6626.0</v>
      </c>
    </row>
    <row r="8" ht="56.25" customHeight="1">
      <c r="A8" s="5" t="s">
        <v>5360</v>
      </c>
      <c r="B8" s="6" t="str">
        <f>image("https://storage.googleapis.com/acdb/photos/BromideNpcNmlBrd06_Remake_6_0.png")</f>
        <v/>
      </c>
      <c r="C8" s="5" t="s">
        <v>146</v>
      </c>
      <c r="D8" s="5" t="s">
        <v>1327</v>
      </c>
      <c r="E8" s="5" t="s">
        <v>34</v>
      </c>
      <c r="F8" s="5" t="s">
        <v>34</v>
      </c>
      <c r="G8" s="5" t="s">
        <v>36</v>
      </c>
      <c r="H8" s="5" t="s">
        <v>35</v>
      </c>
      <c r="I8" s="6">
        <v>1.0</v>
      </c>
      <c r="J8" s="6" t="s">
        <v>37</v>
      </c>
      <c r="K8" s="6">
        <v>10.0</v>
      </c>
      <c r="L8" s="5"/>
      <c r="M8" s="5"/>
      <c r="N8" s="6" t="s">
        <v>40</v>
      </c>
      <c r="O8" s="5" t="s">
        <v>5363</v>
      </c>
      <c r="P8" s="6" t="s">
        <v>42</v>
      </c>
      <c r="Q8" s="5" t="s">
        <v>1237</v>
      </c>
      <c r="R8" s="5" t="s">
        <v>5386</v>
      </c>
      <c r="S8" s="6" t="s">
        <v>86</v>
      </c>
      <c r="T8" s="6">
        <v>6626.0</v>
      </c>
    </row>
    <row r="9" ht="56.25" customHeight="1">
      <c r="A9" s="5" t="s">
        <v>5360</v>
      </c>
      <c r="B9" s="6" t="str">
        <f>image("https://storage.googleapis.com/acdb/photos/BromideNpcNmlBrd06_Remake_7_0.png")</f>
        <v/>
      </c>
      <c r="C9" s="5" t="s">
        <v>151</v>
      </c>
      <c r="D9" s="5" t="s">
        <v>1327</v>
      </c>
      <c r="E9" s="5" t="s">
        <v>34</v>
      </c>
      <c r="F9" s="5" t="s">
        <v>34</v>
      </c>
      <c r="G9" s="5" t="s">
        <v>36</v>
      </c>
      <c r="H9" s="5" t="s">
        <v>35</v>
      </c>
      <c r="I9" s="6">
        <v>1.0</v>
      </c>
      <c r="J9" s="6" t="s">
        <v>37</v>
      </c>
      <c r="K9" s="6">
        <v>10.0</v>
      </c>
      <c r="L9" s="5"/>
      <c r="M9" s="5"/>
      <c r="N9" s="6" t="s">
        <v>40</v>
      </c>
      <c r="O9" s="5" t="s">
        <v>5363</v>
      </c>
      <c r="P9" s="6" t="s">
        <v>42</v>
      </c>
      <c r="Q9" s="5" t="s">
        <v>1237</v>
      </c>
      <c r="R9" s="5" t="s">
        <v>5390</v>
      </c>
      <c r="S9" s="6" t="s">
        <v>208</v>
      </c>
      <c r="T9" s="6">
        <v>6626.0</v>
      </c>
    </row>
    <row r="10" ht="56.25" customHeight="1">
      <c r="A10" s="5" t="s">
        <v>5391</v>
      </c>
      <c r="B10" s="6" t="str">
        <f>image("https://storage.googleapis.com/acdb/photos/BromideNpcNmlSqu05_Remake_0_0.png")</f>
        <v/>
      </c>
      <c r="C10" s="5" t="s">
        <v>366</v>
      </c>
      <c r="D10" s="5" t="s">
        <v>1327</v>
      </c>
      <c r="E10" s="5" t="s">
        <v>34</v>
      </c>
      <c r="F10" s="5" t="s">
        <v>34</v>
      </c>
      <c r="G10" s="5" t="s">
        <v>36</v>
      </c>
      <c r="H10" s="5" t="s">
        <v>35</v>
      </c>
      <c r="I10" s="6">
        <v>1.0</v>
      </c>
      <c r="J10" s="6" t="s">
        <v>37</v>
      </c>
      <c r="K10" s="6">
        <v>10.0</v>
      </c>
      <c r="L10" s="5"/>
      <c r="M10" s="5"/>
      <c r="N10" s="6" t="s">
        <v>40</v>
      </c>
      <c r="O10" s="5" t="s">
        <v>5363</v>
      </c>
      <c r="P10" s="6" t="s">
        <v>42</v>
      </c>
      <c r="Q10" s="5" t="s">
        <v>1237</v>
      </c>
      <c r="R10" s="5" t="s">
        <v>5396</v>
      </c>
      <c r="S10" s="6" t="s">
        <v>50</v>
      </c>
      <c r="T10" s="6">
        <v>6709.0</v>
      </c>
    </row>
    <row r="11" ht="56.25" customHeight="1">
      <c r="A11" s="5" t="s">
        <v>5391</v>
      </c>
      <c r="B11" s="6" t="str">
        <f>image("https://storage.googleapis.com/acdb/photos/BromideNpcNmlSqu05_Remake_1_0.png")</f>
        <v/>
      </c>
      <c r="C11" s="5" t="s">
        <v>1132</v>
      </c>
      <c r="D11" s="5" t="s">
        <v>1327</v>
      </c>
      <c r="E11" s="5" t="s">
        <v>34</v>
      </c>
      <c r="F11" s="5" t="s">
        <v>34</v>
      </c>
      <c r="G11" s="5" t="s">
        <v>36</v>
      </c>
      <c r="H11" s="5" t="s">
        <v>35</v>
      </c>
      <c r="I11" s="6">
        <v>1.0</v>
      </c>
      <c r="J11" s="6" t="s">
        <v>37</v>
      </c>
      <c r="K11" s="6">
        <v>10.0</v>
      </c>
      <c r="L11" s="5"/>
      <c r="M11" s="5"/>
      <c r="N11" s="6" t="s">
        <v>40</v>
      </c>
      <c r="O11" s="5" t="s">
        <v>5363</v>
      </c>
      <c r="P11" s="6" t="s">
        <v>42</v>
      </c>
      <c r="Q11" s="5" t="s">
        <v>1237</v>
      </c>
      <c r="R11" s="5" t="s">
        <v>5401</v>
      </c>
      <c r="S11" s="6" t="s">
        <v>56</v>
      </c>
      <c r="T11" s="6">
        <v>6709.0</v>
      </c>
    </row>
    <row r="12" ht="56.25" customHeight="1">
      <c r="A12" s="5" t="s">
        <v>5391</v>
      </c>
      <c r="B12" s="6" t="str">
        <f>image("https://storage.googleapis.com/acdb/photos/BromideNpcNmlSqu05_Remake_2_0.png")</f>
        <v/>
      </c>
      <c r="C12" s="5" t="s">
        <v>688</v>
      </c>
      <c r="D12" s="5" t="s">
        <v>1327</v>
      </c>
      <c r="E12" s="5" t="s">
        <v>34</v>
      </c>
      <c r="F12" s="5" t="s">
        <v>34</v>
      </c>
      <c r="G12" s="5" t="s">
        <v>36</v>
      </c>
      <c r="H12" s="5" t="s">
        <v>35</v>
      </c>
      <c r="I12" s="6">
        <v>1.0</v>
      </c>
      <c r="J12" s="6" t="s">
        <v>37</v>
      </c>
      <c r="K12" s="6">
        <v>10.0</v>
      </c>
      <c r="L12" s="5"/>
      <c r="M12" s="5"/>
      <c r="N12" s="6" t="s">
        <v>40</v>
      </c>
      <c r="O12" s="5" t="s">
        <v>5363</v>
      </c>
      <c r="P12" s="6" t="s">
        <v>42</v>
      </c>
      <c r="Q12" s="5" t="s">
        <v>1237</v>
      </c>
      <c r="R12" s="5" t="s">
        <v>5404</v>
      </c>
      <c r="S12" s="6" t="s">
        <v>67</v>
      </c>
      <c r="T12" s="6">
        <v>6709.0</v>
      </c>
    </row>
    <row r="13" ht="56.25" customHeight="1">
      <c r="A13" s="5" t="s">
        <v>5391</v>
      </c>
      <c r="B13" s="6" t="str">
        <f>image("https://storage.googleapis.com/acdb/photos/BromideNpcNmlSqu05_Remake_3_0.png")</f>
        <v/>
      </c>
      <c r="C13" s="5" t="s">
        <v>57</v>
      </c>
      <c r="D13" s="5" t="s">
        <v>1327</v>
      </c>
      <c r="E13" s="5" t="s">
        <v>34</v>
      </c>
      <c r="F13" s="5" t="s">
        <v>34</v>
      </c>
      <c r="G13" s="5" t="s">
        <v>36</v>
      </c>
      <c r="H13" s="5" t="s">
        <v>35</v>
      </c>
      <c r="I13" s="6">
        <v>1.0</v>
      </c>
      <c r="J13" s="6" t="s">
        <v>37</v>
      </c>
      <c r="K13" s="6">
        <v>10.0</v>
      </c>
      <c r="L13" s="5"/>
      <c r="M13" s="5"/>
      <c r="N13" s="6" t="s">
        <v>40</v>
      </c>
      <c r="O13" s="5" t="s">
        <v>5363</v>
      </c>
      <c r="P13" s="6" t="s">
        <v>42</v>
      </c>
      <c r="Q13" s="5" t="s">
        <v>1237</v>
      </c>
      <c r="R13" s="5" t="s">
        <v>5406</v>
      </c>
      <c r="S13" s="6" t="s">
        <v>71</v>
      </c>
      <c r="T13" s="6">
        <v>6709.0</v>
      </c>
    </row>
    <row r="14" ht="56.25" customHeight="1">
      <c r="A14" s="5" t="s">
        <v>5391</v>
      </c>
      <c r="B14" s="6" t="str">
        <f>image("https://storage.googleapis.com/acdb/photos/BromideNpcNmlSqu05_Remake_4_0.png")</f>
        <v/>
      </c>
      <c r="C14" s="5" t="s">
        <v>1167</v>
      </c>
      <c r="D14" s="5" t="s">
        <v>1327</v>
      </c>
      <c r="E14" s="5" t="s">
        <v>34</v>
      </c>
      <c r="F14" s="5" t="s">
        <v>34</v>
      </c>
      <c r="G14" s="5" t="s">
        <v>36</v>
      </c>
      <c r="H14" s="5" t="s">
        <v>35</v>
      </c>
      <c r="I14" s="6">
        <v>1.0</v>
      </c>
      <c r="J14" s="6" t="s">
        <v>37</v>
      </c>
      <c r="K14" s="6">
        <v>10.0</v>
      </c>
      <c r="L14" s="5"/>
      <c r="M14" s="5"/>
      <c r="N14" s="6" t="s">
        <v>40</v>
      </c>
      <c r="O14" s="5" t="s">
        <v>5363</v>
      </c>
      <c r="P14" s="6" t="s">
        <v>42</v>
      </c>
      <c r="Q14" s="5" t="s">
        <v>1237</v>
      </c>
      <c r="R14" s="5" t="s">
        <v>5413</v>
      </c>
      <c r="S14" s="6" t="s">
        <v>75</v>
      </c>
      <c r="T14" s="6">
        <v>6709.0</v>
      </c>
    </row>
    <row r="15" ht="56.25" customHeight="1">
      <c r="A15" s="5" t="s">
        <v>5391</v>
      </c>
      <c r="B15" s="6" t="str">
        <f>image("https://storage.googleapis.com/acdb/photos/BromideNpcNmlSqu05_Remake_5_0.png")</f>
        <v/>
      </c>
      <c r="C15" s="5" t="s">
        <v>58</v>
      </c>
      <c r="D15" s="5" t="s">
        <v>1327</v>
      </c>
      <c r="E15" s="5" t="s">
        <v>34</v>
      </c>
      <c r="F15" s="5" t="s">
        <v>34</v>
      </c>
      <c r="G15" s="5" t="s">
        <v>36</v>
      </c>
      <c r="H15" s="5" t="s">
        <v>35</v>
      </c>
      <c r="I15" s="6">
        <v>1.0</v>
      </c>
      <c r="J15" s="6" t="s">
        <v>37</v>
      </c>
      <c r="K15" s="6">
        <v>10.0</v>
      </c>
      <c r="L15" s="5"/>
      <c r="M15" s="5"/>
      <c r="N15" s="6" t="s">
        <v>40</v>
      </c>
      <c r="O15" s="5" t="s">
        <v>5363</v>
      </c>
      <c r="P15" s="6" t="s">
        <v>42</v>
      </c>
      <c r="Q15" s="5" t="s">
        <v>1237</v>
      </c>
      <c r="R15" s="5" t="s">
        <v>5417</v>
      </c>
      <c r="S15" s="6" t="s">
        <v>79</v>
      </c>
      <c r="T15" s="6">
        <v>6709.0</v>
      </c>
    </row>
    <row r="16" ht="56.25" customHeight="1">
      <c r="A16" s="5" t="s">
        <v>5391</v>
      </c>
      <c r="B16" s="6" t="str">
        <f>image("https://storage.googleapis.com/acdb/photos/BromideNpcNmlSqu05_Remake_6_0.png")</f>
        <v/>
      </c>
      <c r="C16" s="5" t="s">
        <v>146</v>
      </c>
      <c r="D16" s="5" t="s">
        <v>1327</v>
      </c>
      <c r="E16" s="5" t="s">
        <v>34</v>
      </c>
      <c r="F16" s="5" t="s">
        <v>34</v>
      </c>
      <c r="G16" s="5" t="s">
        <v>36</v>
      </c>
      <c r="H16" s="5" t="s">
        <v>35</v>
      </c>
      <c r="I16" s="6">
        <v>1.0</v>
      </c>
      <c r="J16" s="6" t="s">
        <v>37</v>
      </c>
      <c r="K16" s="6">
        <v>10.0</v>
      </c>
      <c r="L16" s="5"/>
      <c r="M16" s="5"/>
      <c r="N16" s="6" t="s">
        <v>40</v>
      </c>
      <c r="O16" s="5" t="s">
        <v>5363</v>
      </c>
      <c r="P16" s="6" t="s">
        <v>42</v>
      </c>
      <c r="Q16" s="5" t="s">
        <v>1237</v>
      </c>
      <c r="R16" s="5" t="s">
        <v>5421</v>
      </c>
      <c r="S16" s="6" t="s">
        <v>86</v>
      </c>
      <c r="T16" s="6">
        <v>6709.0</v>
      </c>
    </row>
    <row r="17" ht="56.25" customHeight="1">
      <c r="A17" s="5" t="s">
        <v>5391</v>
      </c>
      <c r="B17" s="6" t="str">
        <f>image("https://storage.googleapis.com/acdb/photos/BromideNpcNmlSqu05_Remake_7_0.png")</f>
        <v/>
      </c>
      <c r="C17" s="5" t="s">
        <v>151</v>
      </c>
      <c r="D17" s="5" t="s">
        <v>1327</v>
      </c>
      <c r="E17" s="5" t="s">
        <v>34</v>
      </c>
      <c r="F17" s="5" t="s">
        <v>34</v>
      </c>
      <c r="G17" s="5" t="s">
        <v>36</v>
      </c>
      <c r="H17" s="5" t="s">
        <v>35</v>
      </c>
      <c r="I17" s="6">
        <v>1.0</v>
      </c>
      <c r="J17" s="6" t="s">
        <v>37</v>
      </c>
      <c r="K17" s="6">
        <v>10.0</v>
      </c>
      <c r="L17" s="5"/>
      <c r="M17" s="5"/>
      <c r="N17" s="6" t="s">
        <v>40</v>
      </c>
      <c r="O17" s="5" t="s">
        <v>5363</v>
      </c>
      <c r="P17" s="6" t="s">
        <v>42</v>
      </c>
      <c r="Q17" s="5" t="s">
        <v>1237</v>
      </c>
      <c r="R17" s="5" t="s">
        <v>5424</v>
      </c>
      <c r="S17" s="6" t="s">
        <v>208</v>
      </c>
      <c r="T17" s="6">
        <v>6709.0</v>
      </c>
    </row>
    <row r="18" ht="56.25" customHeight="1">
      <c r="A18" s="5" t="s">
        <v>5425</v>
      </c>
      <c r="B18" s="6" t="str">
        <f>image("https://storage.googleapis.com/acdb/photos/BromideNpcNmlPig17_Remake_0_0.png")</f>
        <v/>
      </c>
      <c r="C18" s="5" t="s">
        <v>366</v>
      </c>
      <c r="D18" s="5" t="s">
        <v>1327</v>
      </c>
      <c r="E18" s="5" t="s">
        <v>34</v>
      </c>
      <c r="F18" s="5" t="s">
        <v>34</v>
      </c>
      <c r="G18" s="5" t="s">
        <v>36</v>
      </c>
      <c r="H18" s="5" t="s">
        <v>35</v>
      </c>
      <c r="I18" s="6">
        <v>1.0</v>
      </c>
      <c r="J18" s="6" t="s">
        <v>37</v>
      </c>
      <c r="K18" s="6">
        <v>10.0</v>
      </c>
      <c r="L18" s="5"/>
      <c r="M18" s="5"/>
      <c r="N18" s="6" t="s">
        <v>40</v>
      </c>
      <c r="O18" s="5" t="s">
        <v>5363</v>
      </c>
      <c r="P18" s="6" t="s">
        <v>42</v>
      </c>
      <c r="Q18" s="5" t="s">
        <v>1237</v>
      </c>
      <c r="R18" s="5" t="s">
        <v>5431</v>
      </c>
      <c r="S18" s="6" t="s">
        <v>50</v>
      </c>
      <c r="T18" s="6">
        <v>6661.0</v>
      </c>
    </row>
    <row r="19" ht="56.25" customHeight="1">
      <c r="A19" s="5" t="s">
        <v>5425</v>
      </c>
      <c r="B19" s="6" t="str">
        <f>image("https://storage.googleapis.com/acdb/photos/BromideNpcNmlPig17_Remake_1_0.png")</f>
        <v/>
      </c>
      <c r="C19" s="5" t="s">
        <v>1132</v>
      </c>
      <c r="D19" s="5" t="s">
        <v>1327</v>
      </c>
      <c r="E19" s="5" t="s">
        <v>34</v>
      </c>
      <c r="F19" s="5" t="s">
        <v>34</v>
      </c>
      <c r="G19" s="5" t="s">
        <v>36</v>
      </c>
      <c r="H19" s="5" t="s">
        <v>35</v>
      </c>
      <c r="I19" s="6">
        <v>1.0</v>
      </c>
      <c r="J19" s="6" t="s">
        <v>37</v>
      </c>
      <c r="K19" s="6">
        <v>10.0</v>
      </c>
      <c r="L19" s="5"/>
      <c r="M19" s="5"/>
      <c r="N19" s="6" t="s">
        <v>40</v>
      </c>
      <c r="O19" s="5" t="s">
        <v>5363</v>
      </c>
      <c r="P19" s="6" t="s">
        <v>42</v>
      </c>
      <c r="Q19" s="5" t="s">
        <v>1237</v>
      </c>
      <c r="R19" s="5" t="s">
        <v>5434</v>
      </c>
      <c r="S19" s="6" t="s">
        <v>56</v>
      </c>
      <c r="T19" s="6">
        <v>6661.0</v>
      </c>
    </row>
    <row r="20" ht="56.25" customHeight="1">
      <c r="A20" s="5" t="s">
        <v>5425</v>
      </c>
      <c r="B20" s="6" t="str">
        <f>image("https://storage.googleapis.com/acdb/photos/BromideNpcNmlPig17_Remake_2_0.png")</f>
        <v/>
      </c>
      <c r="C20" s="5" t="s">
        <v>688</v>
      </c>
      <c r="D20" s="5" t="s">
        <v>1327</v>
      </c>
      <c r="E20" s="5" t="s">
        <v>34</v>
      </c>
      <c r="F20" s="5" t="s">
        <v>34</v>
      </c>
      <c r="G20" s="5" t="s">
        <v>36</v>
      </c>
      <c r="H20" s="5" t="s">
        <v>35</v>
      </c>
      <c r="I20" s="6">
        <v>1.0</v>
      </c>
      <c r="J20" s="6" t="s">
        <v>37</v>
      </c>
      <c r="K20" s="6">
        <v>10.0</v>
      </c>
      <c r="L20" s="5"/>
      <c r="M20" s="5"/>
      <c r="N20" s="6" t="s">
        <v>40</v>
      </c>
      <c r="O20" s="5" t="s">
        <v>5363</v>
      </c>
      <c r="P20" s="6" t="s">
        <v>42</v>
      </c>
      <c r="Q20" s="5" t="s">
        <v>1237</v>
      </c>
      <c r="R20" s="5" t="s">
        <v>5439</v>
      </c>
      <c r="S20" s="6" t="s">
        <v>67</v>
      </c>
      <c r="T20" s="6">
        <v>6661.0</v>
      </c>
    </row>
    <row r="21" ht="56.25" customHeight="1">
      <c r="A21" s="5" t="s">
        <v>5425</v>
      </c>
      <c r="B21" s="6" t="str">
        <f>image("https://storage.googleapis.com/acdb/photos/BromideNpcNmlPig17_Remake_3_0.png")</f>
        <v/>
      </c>
      <c r="C21" s="5" t="s">
        <v>57</v>
      </c>
      <c r="D21" s="5" t="s">
        <v>1327</v>
      </c>
      <c r="E21" s="5" t="s">
        <v>34</v>
      </c>
      <c r="F21" s="5" t="s">
        <v>34</v>
      </c>
      <c r="G21" s="5" t="s">
        <v>36</v>
      </c>
      <c r="H21" s="5" t="s">
        <v>35</v>
      </c>
      <c r="I21" s="6">
        <v>1.0</v>
      </c>
      <c r="J21" s="6" t="s">
        <v>37</v>
      </c>
      <c r="K21" s="6">
        <v>10.0</v>
      </c>
      <c r="L21" s="5"/>
      <c r="M21" s="5"/>
      <c r="N21" s="6" t="s">
        <v>40</v>
      </c>
      <c r="O21" s="5" t="s">
        <v>5363</v>
      </c>
      <c r="P21" s="6" t="s">
        <v>42</v>
      </c>
      <c r="Q21" s="5" t="s">
        <v>1237</v>
      </c>
      <c r="R21" s="5" t="s">
        <v>5441</v>
      </c>
      <c r="S21" s="6" t="s">
        <v>71</v>
      </c>
      <c r="T21" s="6">
        <v>6661.0</v>
      </c>
    </row>
    <row r="22" ht="56.25" customHeight="1">
      <c r="A22" s="5" t="s">
        <v>5425</v>
      </c>
      <c r="B22" s="6" t="str">
        <f>image("https://storage.googleapis.com/acdb/photos/BromideNpcNmlPig17_Remake_4_0.png")</f>
        <v/>
      </c>
      <c r="C22" s="5" t="s">
        <v>1167</v>
      </c>
      <c r="D22" s="5" t="s">
        <v>1327</v>
      </c>
      <c r="E22" s="5" t="s">
        <v>34</v>
      </c>
      <c r="F22" s="5" t="s">
        <v>34</v>
      </c>
      <c r="G22" s="5" t="s">
        <v>36</v>
      </c>
      <c r="H22" s="5" t="s">
        <v>35</v>
      </c>
      <c r="I22" s="6">
        <v>1.0</v>
      </c>
      <c r="J22" s="6" t="s">
        <v>37</v>
      </c>
      <c r="K22" s="6">
        <v>10.0</v>
      </c>
      <c r="L22" s="5"/>
      <c r="M22" s="5"/>
      <c r="N22" s="6" t="s">
        <v>40</v>
      </c>
      <c r="O22" s="5" t="s">
        <v>5363</v>
      </c>
      <c r="P22" s="6" t="s">
        <v>42</v>
      </c>
      <c r="Q22" s="5" t="s">
        <v>1237</v>
      </c>
      <c r="R22" s="5" t="s">
        <v>5443</v>
      </c>
      <c r="S22" s="6" t="s">
        <v>75</v>
      </c>
      <c r="T22" s="6">
        <v>6661.0</v>
      </c>
    </row>
    <row r="23" ht="56.25" customHeight="1">
      <c r="A23" s="5" t="s">
        <v>5425</v>
      </c>
      <c r="B23" s="6" t="str">
        <f>image("https://storage.googleapis.com/acdb/photos/BromideNpcNmlPig17_Remake_5_0.png")</f>
        <v/>
      </c>
      <c r="C23" s="5" t="s">
        <v>58</v>
      </c>
      <c r="D23" s="5" t="s">
        <v>1327</v>
      </c>
      <c r="E23" s="5" t="s">
        <v>34</v>
      </c>
      <c r="F23" s="5" t="s">
        <v>34</v>
      </c>
      <c r="G23" s="5" t="s">
        <v>36</v>
      </c>
      <c r="H23" s="5" t="s">
        <v>35</v>
      </c>
      <c r="I23" s="6">
        <v>1.0</v>
      </c>
      <c r="J23" s="6" t="s">
        <v>37</v>
      </c>
      <c r="K23" s="6">
        <v>10.0</v>
      </c>
      <c r="L23" s="5"/>
      <c r="M23" s="5"/>
      <c r="N23" s="6" t="s">
        <v>40</v>
      </c>
      <c r="O23" s="5" t="s">
        <v>5363</v>
      </c>
      <c r="P23" s="6" t="s">
        <v>42</v>
      </c>
      <c r="Q23" s="5" t="s">
        <v>1237</v>
      </c>
      <c r="R23" s="5" t="s">
        <v>5446</v>
      </c>
      <c r="S23" s="6" t="s">
        <v>79</v>
      </c>
      <c r="T23" s="6">
        <v>6661.0</v>
      </c>
    </row>
    <row r="24" ht="56.25" customHeight="1">
      <c r="A24" s="5" t="s">
        <v>5425</v>
      </c>
      <c r="B24" s="6" t="str">
        <f>image("https://storage.googleapis.com/acdb/photos/BromideNpcNmlPig17_Remake_6_0.png")</f>
        <v/>
      </c>
      <c r="C24" s="5" t="s">
        <v>146</v>
      </c>
      <c r="D24" s="5" t="s">
        <v>1327</v>
      </c>
      <c r="E24" s="5" t="s">
        <v>34</v>
      </c>
      <c r="F24" s="5" t="s">
        <v>34</v>
      </c>
      <c r="G24" s="5" t="s">
        <v>36</v>
      </c>
      <c r="H24" s="5" t="s">
        <v>35</v>
      </c>
      <c r="I24" s="6">
        <v>1.0</v>
      </c>
      <c r="J24" s="6" t="s">
        <v>37</v>
      </c>
      <c r="K24" s="6">
        <v>10.0</v>
      </c>
      <c r="L24" s="5"/>
      <c r="M24" s="5"/>
      <c r="N24" s="6" t="s">
        <v>40</v>
      </c>
      <c r="O24" s="5" t="s">
        <v>5363</v>
      </c>
      <c r="P24" s="6" t="s">
        <v>42</v>
      </c>
      <c r="Q24" s="5" t="s">
        <v>1237</v>
      </c>
      <c r="R24" s="5" t="s">
        <v>5448</v>
      </c>
      <c r="S24" s="6" t="s">
        <v>86</v>
      </c>
      <c r="T24" s="6">
        <v>6661.0</v>
      </c>
    </row>
    <row r="25" ht="56.25" customHeight="1">
      <c r="A25" s="5" t="s">
        <v>5425</v>
      </c>
      <c r="B25" s="6" t="str">
        <f>image("https://storage.googleapis.com/acdb/photos/BromideNpcNmlPig17_Remake_7_0.png")</f>
        <v/>
      </c>
      <c r="C25" s="5" t="s">
        <v>151</v>
      </c>
      <c r="D25" s="5" t="s">
        <v>1327</v>
      </c>
      <c r="E25" s="5" t="s">
        <v>34</v>
      </c>
      <c r="F25" s="5" t="s">
        <v>34</v>
      </c>
      <c r="G25" s="5" t="s">
        <v>36</v>
      </c>
      <c r="H25" s="5" t="s">
        <v>35</v>
      </c>
      <c r="I25" s="6">
        <v>1.0</v>
      </c>
      <c r="J25" s="6" t="s">
        <v>37</v>
      </c>
      <c r="K25" s="6">
        <v>10.0</v>
      </c>
      <c r="L25" s="5"/>
      <c r="M25" s="5"/>
      <c r="N25" s="6" t="s">
        <v>40</v>
      </c>
      <c r="O25" s="5" t="s">
        <v>5363</v>
      </c>
      <c r="P25" s="6" t="s">
        <v>42</v>
      </c>
      <c r="Q25" s="5" t="s">
        <v>1237</v>
      </c>
      <c r="R25" s="5" t="s">
        <v>5451</v>
      </c>
      <c r="S25" s="6" t="s">
        <v>208</v>
      </c>
      <c r="T25" s="6">
        <v>6661.0</v>
      </c>
    </row>
    <row r="26" ht="56.25" customHeight="1">
      <c r="A26" s="5" t="s">
        <v>5452</v>
      </c>
      <c r="B26" s="6" t="str">
        <f>image("https://storage.googleapis.com/acdb/photos/BromideNpcNmlGor08_Remake_0_0.png")</f>
        <v/>
      </c>
      <c r="C26" s="5" t="s">
        <v>366</v>
      </c>
      <c r="D26" s="5" t="s">
        <v>1327</v>
      </c>
      <c r="E26" s="5" t="s">
        <v>34</v>
      </c>
      <c r="F26" s="5" t="s">
        <v>34</v>
      </c>
      <c r="G26" s="5" t="s">
        <v>36</v>
      </c>
      <c r="H26" s="5" t="s">
        <v>35</v>
      </c>
      <c r="I26" s="6">
        <v>1.0</v>
      </c>
      <c r="J26" s="6" t="s">
        <v>37</v>
      </c>
      <c r="K26" s="6">
        <v>10.0</v>
      </c>
      <c r="L26" s="5"/>
      <c r="M26" s="5"/>
      <c r="N26" s="6" t="s">
        <v>40</v>
      </c>
      <c r="O26" s="5" t="s">
        <v>5363</v>
      </c>
      <c r="P26" s="6" t="s">
        <v>42</v>
      </c>
      <c r="Q26" s="5" t="s">
        <v>1237</v>
      </c>
      <c r="R26" s="5" t="s">
        <v>5456</v>
      </c>
      <c r="S26" s="6" t="s">
        <v>50</v>
      </c>
      <c r="T26" s="6">
        <v>6518.0</v>
      </c>
    </row>
    <row r="27" ht="56.25" customHeight="1">
      <c r="A27" s="5" t="s">
        <v>5452</v>
      </c>
      <c r="B27" s="6" t="str">
        <f>image("https://storage.googleapis.com/acdb/photos/BromideNpcNmlGor08_Remake_1_0.png")</f>
        <v/>
      </c>
      <c r="C27" s="5" t="s">
        <v>1132</v>
      </c>
      <c r="D27" s="5" t="s">
        <v>1327</v>
      </c>
      <c r="E27" s="5" t="s">
        <v>34</v>
      </c>
      <c r="F27" s="5" t="s">
        <v>34</v>
      </c>
      <c r="G27" s="5" t="s">
        <v>36</v>
      </c>
      <c r="H27" s="5" t="s">
        <v>35</v>
      </c>
      <c r="I27" s="6">
        <v>1.0</v>
      </c>
      <c r="J27" s="6" t="s">
        <v>37</v>
      </c>
      <c r="K27" s="6">
        <v>10.0</v>
      </c>
      <c r="L27" s="5"/>
      <c r="M27" s="5"/>
      <c r="N27" s="6" t="s">
        <v>40</v>
      </c>
      <c r="O27" s="5" t="s">
        <v>5363</v>
      </c>
      <c r="P27" s="6" t="s">
        <v>42</v>
      </c>
      <c r="Q27" s="5" t="s">
        <v>1237</v>
      </c>
      <c r="R27" s="5" t="s">
        <v>5458</v>
      </c>
      <c r="S27" s="6" t="s">
        <v>56</v>
      </c>
      <c r="T27" s="6">
        <v>6518.0</v>
      </c>
    </row>
    <row r="28" ht="56.25" customHeight="1">
      <c r="A28" s="5" t="s">
        <v>5452</v>
      </c>
      <c r="B28" s="6" t="str">
        <f>image("https://storage.googleapis.com/acdb/photos/BromideNpcNmlGor08_Remake_2_0.png")</f>
        <v/>
      </c>
      <c r="C28" s="5" t="s">
        <v>688</v>
      </c>
      <c r="D28" s="5" t="s">
        <v>1327</v>
      </c>
      <c r="E28" s="5" t="s">
        <v>34</v>
      </c>
      <c r="F28" s="5" t="s">
        <v>34</v>
      </c>
      <c r="G28" s="5" t="s">
        <v>36</v>
      </c>
      <c r="H28" s="5" t="s">
        <v>35</v>
      </c>
      <c r="I28" s="6">
        <v>1.0</v>
      </c>
      <c r="J28" s="6" t="s">
        <v>37</v>
      </c>
      <c r="K28" s="6">
        <v>10.0</v>
      </c>
      <c r="L28" s="5"/>
      <c r="M28" s="5"/>
      <c r="N28" s="6" t="s">
        <v>40</v>
      </c>
      <c r="O28" s="5" t="s">
        <v>5363</v>
      </c>
      <c r="P28" s="6" t="s">
        <v>42</v>
      </c>
      <c r="Q28" s="5" t="s">
        <v>1237</v>
      </c>
      <c r="R28" s="5" t="s">
        <v>5460</v>
      </c>
      <c r="S28" s="6" t="s">
        <v>67</v>
      </c>
      <c r="T28" s="6">
        <v>6518.0</v>
      </c>
    </row>
    <row r="29" ht="56.25" customHeight="1">
      <c r="A29" s="5" t="s">
        <v>5452</v>
      </c>
      <c r="B29" s="6" t="str">
        <f>image("https://storage.googleapis.com/acdb/photos/BromideNpcNmlGor08_Remake_3_0.png")</f>
        <v/>
      </c>
      <c r="C29" s="5" t="s">
        <v>57</v>
      </c>
      <c r="D29" s="5" t="s">
        <v>1327</v>
      </c>
      <c r="E29" s="5" t="s">
        <v>34</v>
      </c>
      <c r="F29" s="5" t="s">
        <v>34</v>
      </c>
      <c r="G29" s="5" t="s">
        <v>36</v>
      </c>
      <c r="H29" s="5" t="s">
        <v>35</v>
      </c>
      <c r="I29" s="6">
        <v>1.0</v>
      </c>
      <c r="J29" s="6" t="s">
        <v>37</v>
      </c>
      <c r="K29" s="6">
        <v>10.0</v>
      </c>
      <c r="L29" s="5"/>
      <c r="M29" s="5"/>
      <c r="N29" s="6" t="s">
        <v>40</v>
      </c>
      <c r="O29" s="5" t="s">
        <v>5363</v>
      </c>
      <c r="P29" s="6" t="s">
        <v>42</v>
      </c>
      <c r="Q29" s="5" t="s">
        <v>1237</v>
      </c>
      <c r="R29" s="5" t="s">
        <v>5463</v>
      </c>
      <c r="S29" s="6" t="s">
        <v>71</v>
      </c>
      <c r="T29" s="6">
        <v>6518.0</v>
      </c>
    </row>
    <row r="30" ht="56.25" customHeight="1">
      <c r="A30" s="5" t="s">
        <v>5452</v>
      </c>
      <c r="B30" s="6" t="str">
        <f>image("https://storage.googleapis.com/acdb/photos/BromideNpcNmlGor08_Remake_4_0.png")</f>
        <v/>
      </c>
      <c r="C30" s="5" t="s">
        <v>1167</v>
      </c>
      <c r="D30" s="5" t="s">
        <v>1327</v>
      </c>
      <c r="E30" s="5" t="s">
        <v>34</v>
      </c>
      <c r="F30" s="5" t="s">
        <v>34</v>
      </c>
      <c r="G30" s="5" t="s">
        <v>36</v>
      </c>
      <c r="H30" s="5" t="s">
        <v>35</v>
      </c>
      <c r="I30" s="6">
        <v>1.0</v>
      </c>
      <c r="J30" s="6" t="s">
        <v>37</v>
      </c>
      <c r="K30" s="6">
        <v>10.0</v>
      </c>
      <c r="L30" s="5"/>
      <c r="M30" s="5"/>
      <c r="N30" s="6" t="s">
        <v>40</v>
      </c>
      <c r="O30" s="5" t="s">
        <v>5363</v>
      </c>
      <c r="P30" s="6" t="s">
        <v>42</v>
      </c>
      <c r="Q30" s="5" t="s">
        <v>1237</v>
      </c>
      <c r="R30" s="5" t="s">
        <v>5466</v>
      </c>
      <c r="S30" s="6" t="s">
        <v>75</v>
      </c>
      <c r="T30" s="6">
        <v>6518.0</v>
      </c>
    </row>
    <row r="31" ht="56.25" customHeight="1">
      <c r="A31" s="5" t="s">
        <v>5452</v>
      </c>
      <c r="B31" s="6" t="str">
        <f>image("https://storage.googleapis.com/acdb/photos/BromideNpcNmlGor08_Remake_5_0.png")</f>
        <v/>
      </c>
      <c r="C31" s="5" t="s">
        <v>58</v>
      </c>
      <c r="D31" s="5" t="s">
        <v>1327</v>
      </c>
      <c r="E31" s="5" t="s">
        <v>34</v>
      </c>
      <c r="F31" s="5" t="s">
        <v>34</v>
      </c>
      <c r="G31" s="5" t="s">
        <v>36</v>
      </c>
      <c r="H31" s="5" t="s">
        <v>35</v>
      </c>
      <c r="I31" s="6">
        <v>1.0</v>
      </c>
      <c r="J31" s="6" t="s">
        <v>37</v>
      </c>
      <c r="K31" s="6">
        <v>10.0</v>
      </c>
      <c r="L31" s="5"/>
      <c r="M31" s="5"/>
      <c r="N31" s="6" t="s">
        <v>40</v>
      </c>
      <c r="O31" s="5" t="s">
        <v>5363</v>
      </c>
      <c r="P31" s="6" t="s">
        <v>42</v>
      </c>
      <c r="Q31" s="5" t="s">
        <v>1237</v>
      </c>
      <c r="R31" s="5" t="s">
        <v>5468</v>
      </c>
      <c r="S31" s="6" t="s">
        <v>79</v>
      </c>
      <c r="T31" s="6">
        <v>6518.0</v>
      </c>
    </row>
    <row r="32" ht="56.25" customHeight="1">
      <c r="A32" s="5" t="s">
        <v>5452</v>
      </c>
      <c r="B32" s="6" t="str">
        <f>image("https://storage.googleapis.com/acdb/photos/BromideNpcNmlGor08_Remake_6_0.png")</f>
        <v/>
      </c>
      <c r="C32" s="5" t="s">
        <v>146</v>
      </c>
      <c r="D32" s="5" t="s">
        <v>1327</v>
      </c>
      <c r="E32" s="5" t="s">
        <v>34</v>
      </c>
      <c r="F32" s="5" t="s">
        <v>34</v>
      </c>
      <c r="G32" s="5" t="s">
        <v>36</v>
      </c>
      <c r="H32" s="5" t="s">
        <v>35</v>
      </c>
      <c r="I32" s="6">
        <v>1.0</v>
      </c>
      <c r="J32" s="6" t="s">
        <v>37</v>
      </c>
      <c r="K32" s="6">
        <v>10.0</v>
      </c>
      <c r="L32" s="5"/>
      <c r="M32" s="5"/>
      <c r="N32" s="6" t="s">
        <v>40</v>
      </c>
      <c r="O32" s="5" t="s">
        <v>5363</v>
      </c>
      <c r="P32" s="6" t="s">
        <v>42</v>
      </c>
      <c r="Q32" s="5" t="s">
        <v>1237</v>
      </c>
      <c r="R32" s="5" t="s">
        <v>5470</v>
      </c>
      <c r="S32" s="6" t="s">
        <v>86</v>
      </c>
      <c r="T32" s="6">
        <v>6518.0</v>
      </c>
    </row>
    <row r="33" ht="56.25" customHeight="1">
      <c r="A33" s="5" t="s">
        <v>5452</v>
      </c>
      <c r="B33" s="6" t="str">
        <f>image("https://storage.googleapis.com/acdb/photos/BromideNpcNmlGor08_Remake_7_0.png")</f>
        <v/>
      </c>
      <c r="C33" s="5" t="s">
        <v>151</v>
      </c>
      <c r="D33" s="5" t="s">
        <v>1327</v>
      </c>
      <c r="E33" s="5" t="s">
        <v>34</v>
      </c>
      <c r="F33" s="5" t="s">
        <v>34</v>
      </c>
      <c r="G33" s="5" t="s">
        <v>36</v>
      </c>
      <c r="H33" s="5" t="s">
        <v>35</v>
      </c>
      <c r="I33" s="6">
        <v>1.0</v>
      </c>
      <c r="J33" s="6" t="s">
        <v>37</v>
      </c>
      <c r="K33" s="6">
        <v>10.0</v>
      </c>
      <c r="L33" s="5"/>
      <c r="M33" s="5"/>
      <c r="N33" s="6" t="s">
        <v>40</v>
      </c>
      <c r="O33" s="5" t="s">
        <v>5363</v>
      </c>
      <c r="P33" s="6" t="s">
        <v>42</v>
      </c>
      <c r="Q33" s="5" t="s">
        <v>1237</v>
      </c>
      <c r="R33" s="5" t="s">
        <v>5472</v>
      </c>
      <c r="S33" s="6" t="s">
        <v>208</v>
      </c>
      <c r="T33" s="6">
        <v>6518.0</v>
      </c>
    </row>
    <row r="34" ht="56.25" customHeight="1">
      <c r="A34" s="5" t="s">
        <v>5473</v>
      </c>
      <c r="B34" s="6" t="str">
        <f>image("https://storage.googleapis.com/acdb/photos/BromideNpcNmlCrd00_Remake_0_0.png")</f>
        <v/>
      </c>
      <c r="C34" s="5" t="s">
        <v>366</v>
      </c>
      <c r="D34" s="5" t="s">
        <v>1327</v>
      </c>
      <c r="E34" s="5" t="s">
        <v>34</v>
      </c>
      <c r="F34" s="5" t="s">
        <v>34</v>
      </c>
      <c r="G34" s="5" t="s">
        <v>36</v>
      </c>
      <c r="H34" s="5" t="s">
        <v>35</v>
      </c>
      <c r="I34" s="6">
        <v>1.0</v>
      </c>
      <c r="J34" s="6" t="s">
        <v>37</v>
      </c>
      <c r="K34" s="6">
        <v>10.0</v>
      </c>
      <c r="L34" s="5"/>
      <c r="M34" s="5"/>
      <c r="N34" s="6" t="s">
        <v>40</v>
      </c>
      <c r="O34" s="5" t="s">
        <v>5363</v>
      </c>
      <c r="P34" s="6" t="s">
        <v>42</v>
      </c>
      <c r="Q34" s="5" t="s">
        <v>1237</v>
      </c>
      <c r="R34" s="5" t="s">
        <v>5475</v>
      </c>
      <c r="S34" s="6" t="s">
        <v>50</v>
      </c>
      <c r="T34" s="6">
        <v>6800.0</v>
      </c>
    </row>
    <row r="35" ht="56.25" customHeight="1">
      <c r="A35" s="5" t="s">
        <v>5473</v>
      </c>
      <c r="B35" s="6" t="str">
        <f>image("https://storage.googleapis.com/acdb/photos/BromideNpcNmlCrd00_Remake_1_0.png")</f>
        <v/>
      </c>
      <c r="C35" s="5" t="s">
        <v>1132</v>
      </c>
      <c r="D35" s="5" t="s">
        <v>1327</v>
      </c>
      <c r="E35" s="5" t="s">
        <v>34</v>
      </c>
      <c r="F35" s="5" t="s">
        <v>34</v>
      </c>
      <c r="G35" s="5" t="s">
        <v>36</v>
      </c>
      <c r="H35" s="5" t="s">
        <v>35</v>
      </c>
      <c r="I35" s="6">
        <v>1.0</v>
      </c>
      <c r="J35" s="6" t="s">
        <v>37</v>
      </c>
      <c r="K35" s="6">
        <v>10.0</v>
      </c>
      <c r="L35" s="5"/>
      <c r="M35" s="5"/>
      <c r="N35" s="6" t="s">
        <v>40</v>
      </c>
      <c r="O35" s="5" t="s">
        <v>5363</v>
      </c>
      <c r="P35" s="6" t="s">
        <v>42</v>
      </c>
      <c r="Q35" s="5" t="s">
        <v>1237</v>
      </c>
      <c r="R35" s="5" t="s">
        <v>5477</v>
      </c>
      <c r="S35" s="6" t="s">
        <v>56</v>
      </c>
      <c r="T35" s="6">
        <v>6800.0</v>
      </c>
    </row>
    <row r="36" ht="56.25" customHeight="1">
      <c r="A36" s="5" t="s">
        <v>5473</v>
      </c>
      <c r="B36" s="6" t="str">
        <f>image("https://storage.googleapis.com/acdb/photos/BromideNpcNmlCrd00_Remake_2_0.png")</f>
        <v/>
      </c>
      <c r="C36" s="5" t="s">
        <v>688</v>
      </c>
      <c r="D36" s="5" t="s">
        <v>1327</v>
      </c>
      <c r="E36" s="5" t="s">
        <v>34</v>
      </c>
      <c r="F36" s="5" t="s">
        <v>34</v>
      </c>
      <c r="G36" s="5" t="s">
        <v>36</v>
      </c>
      <c r="H36" s="5" t="s">
        <v>35</v>
      </c>
      <c r="I36" s="6">
        <v>1.0</v>
      </c>
      <c r="J36" s="6" t="s">
        <v>37</v>
      </c>
      <c r="K36" s="6">
        <v>10.0</v>
      </c>
      <c r="L36" s="5"/>
      <c r="M36" s="5"/>
      <c r="N36" s="6" t="s">
        <v>40</v>
      </c>
      <c r="O36" s="5" t="s">
        <v>5363</v>
      </c>
      <c r="P36" s="6" t="s">
        <v>42</v>
      </c>
      <c r="Q36" s="5" t="s">
        <v>1237</v>
      </c>
      <c r="R36" s="5" t="s">
        <v>5480</v>
      </c>
      <c r="S36" s="6" t="s">
        <v>67</v>
      </c>
      <c r="T36" s="6">
        <v>6800.0</v>
      </c>
    </row>
    <row r="37" ht="56.25" customHeight="1">
      <c r="A37" s="5" t="s">
        <v>5473</v>
      </c>
      <c r="B37" s="6" t="str">
        <f>image("https://storage.googleapis.com/acdb/photos/BromideNpcNmlCrd00_Remake_3_0.png")</f>
        <v/>
      </c>
      <c r="C37" s="5" t="s">
        <v>57</v>
      </c>
      <c r="D37" s="5" t="s">
        <v>1327</v>
      </c>
      <c r="E37" s="5" t="s">
        <v>34</v>
      </c>
      <c r="F37" s="5" t="s">
        <v>34</v>
      </c>
      <c r="G37" s="5" t="s">
        <v>36</v>
      </c>
      <c r="H37" s="5" t="s">
        <v>35</v>
      </c>
      <c r="I37" s="6">
        <v>1.0</v>
      </c>
      <c r="J37" s="6" t="s">
        <v>37</v>
      </c>
      <c r="K37" s="6">
        <v>10.0</v>
      </c>
      <c r="L37" s="5"/>
      <c r="M37" s="5"/>
      <c r="N37" s="6" t="s">
        <v>40</v>
      </c>
      <c r="O37" s="5" t="s">
        <v>5363</v>
      </c>
      <c r="P37" s="6" t="s">
        <v>42</v>
      </c>
      <c r="Q37" s="5" t="s">
        <v>1237</v>
      </c>
      <c r="R37" s="5" t="s">
        <v>5482</v>
      </c>
      <c r="S37" s="6" t="s">
        <v>71</v>
      </c>
      <c r="T37" s="6">
        <v>6800.0</v>
      </c>
    </row>
    <row r="38" ht="56.25" customHeight="1">
      <c r="A38" s="5" t="s">
        <v>5473</v>
      </c>
      <c r="B38" s="6" t="str">
        <f>image("https://storage.googleapis.com/acdb/photos/BromideNpcNmlCrd00_Remake_4_0.png")</f>
        <v/>
      </c>
      <c r="C38" s="5" t="s">
        <v>1167</v>
      </c>
      <c r="D38" s="5" t="s">
        <v>1327</v>
      </c>
      <c r="E38" s="5" t="s">
        <v>34</v>
      </c>
      <c r="F38" s="5" t="s">
        <v>34</v>
      </c>
      <c r="G38" s="5" t="s">
        <v>36</v>
      </c>
      <c r="H38" s="5" t="s">
        <v>35</v>
      </c>
      <c r="I38" s="6">
        <v>1.0</v>
      </c>
      <c r="J38" s="6" t="s">
        <v>37</v>
      </c>
      <c r="K38" s="6">
        <v>10.0</v>
      </c>
      <c r="L38" s="5"/>
      <c r="M38" s="5"/>
      <c r="N38" s="6" t="s">
        <v>40</v>
      </c>
      <c r="O38" s="5" t="s">
        <v>5363</v>
      </c>
      <c r="P38" s="6" t="s">
        <v>42</v>
      </c>
      <c r="Q38" s="5" t="s">
        <v>1237</v>
      </c>
      <c r="R38" s="5" t="s">
        <v>5485</v>
      </c>
      <c r="S38" s="6" t="s">
        <v>75</v>
      </c>
      <c r="T38" s="6">
        <v>6800.0</v>
      </c>
    </row>
    <row r="39" ht="56.25" customHeight="1">
      <c r="A39" s="5" t="s">
        <v>5473</v>
      </c>
      <c r="B39" s="6" t="str">
        <f>image("https://storage.googleapis.com/acdb/photos/BromideNpcNmlCrd00_Remake_5_0.png")</f>
        <v/>
      </c>
      <c r="C39" s="5" t="s">
        <v>58</v>
      </c>
      <c r="D39" s="5" t="s">
        <v>1327</v>
      </c>
      <c r="E39" s="5" t="s">
        <v>34</v>
      </c>
      <c r="F39" s="5" t="s">
        <v>34</v>
      </c>
      <c r="G39" s="5" t="s">
        <v>36</v>
      </c>
      <c r="H39" s="5" t="s">
        <v>35</v>
      </c>
      <c r="I39" s="6">
        <v>1.0</v>
      </c>
      <c r="J39" s="6" t="s">
        <v>37</v>
      </c>
      <c r="K39" s="6">
        <v>10.0</v>
      </c>
      <c r="L39" s="5"/>
      <c r="M39" s="5"/>
      <c r="N39" s="6" t="s">
        <v>40</v>
      </c>
      <c r="O39" s="5" t="s">
        <v>5363</v>
      </c>
      <c r="P39" s="6" t="s">
        <v>42</v>
      </c>
      <c r="Q39" s="5" t="s">
        <v>1237</v>
      </c>
      <c r="R39" s="5" t="s">
        <v>5486</v>
      </c>
      <c r="S39" s="6" t="s">
        <v>79</v>
      </c>
      <c r="T39" s="6">
        <v>6800.0</v>
      </c>
    </row>
    <row r="40" ht="56.25" customHeight="1">
      <c r="A40" s="5" t="s">
        <v>5473</v>
      </c>
      <c r="B40" s="6" t="str">
        <f>image("https://storage.googleapis.com/acdb/photos/BromideNpcNmlCrd00_Remake_6_0.png")</f>
        <v/>
      </c>
      <c r="C40" s="5" t="s">
        <v>146</v>
      </c>
      <c r="D40" s="5" t="s">
        <v>1327</v>
      </c>
      <c r="E40" s="5" t="s">
        <v>34</v>
      </c>
      <c r="F40" s="5" t="s">
        <v>34</v>
      </c>
      <c r="G40" s="5" t="s">
        <v>36</v>
      </c>
      <c r="H40" s="5" t="s">
        <v>35</v>
      </c>
      <c r="I40" s="6">
        <v>1.0</v>
      </c>
      <c r="J40" s="6" t="s">
        <v>37</v>
      </c>
      <c r="K40" s="6">
        <v>10.0</v>
      </c>
      <c r="L40" s="5"/>
      <c r="M40" s="5"/>
      <c r="N40" s="6" t="s">
        <v>40</v>
      </c>
      <c r="O40" s="5" t="s">
        <v>5363</v>
      </c>
      <c r="P40" s="6" t="s">
        <v>42</v>
      </c>
      <c r="Q40" s="5" t="s">
        <v>1237</v>
      </c>
      <c r="R40" s="5" t="s">
        <v>5490</v>
      </c>
      <c r="S40" s="6" t="s">
        <v>86</v>
      </c>
      <c r="T40" s="6">
        <v>6800.0</v>
      </c>
    </row>
    <row r="41" ht="56.25" customHeight="1">
      <c r="A41" s="5" t="s">
        <v>5473</v>
      </c>
      <c r="B41" s="6" t="str">
        <f>image("https://storage.googleapis.com/acdb/photos/BromideNpcNmlCrd00_Remake_7_0.png")</f>
        <v/>
      </c>
      <c r="C41" s="5" t="s">
        <v>151</v>
      </c>
      <c r="D41" s="5" t="s">
        <v>1327</v>
      </c>
      <c r="E41" s="5" t="s">
        <v>34</v>
      </c>
      <c r="F41" s="5" t="s">
        <v>34</v>
      </c>
      <c r="G41" s="5" t="s">
        <v>36</v>
      </c>
      <c r="H41" s="5" t="s">
        <v>35</v>
      </c>
      <c r="I41" s="6">
        <v>1.0</v>
      </c>
      <c r="J41" s="6" t="s">
        <v>37</v>
      </c>
      <c r="K41" s="6">
        <v>10.0</v>
      </c>
      <c r="L41" s="5"/>
      <c r="M41" s="5"/>
      <c r="N41" s="6" t="s">
        <v>40</v>
      </c>
      <c r="O41" s="5" t="s">
        <v>5363</v>
      </c>
      <c r="P41" s="6" t="s">
        <v>42</v>
      </c>
      <c r="Q41" s="5" t="s">
        <v>1237</v>
      </c>
      <c r="R41" s="5" t="s">
        <v>5492</v>
      </c>
      <c r="S41" s="6" t="s">
        <v>208</v>
      </c>
      <c r="T41" s="6">
        <v>6800.0</v>
      </c>
    </row>
    <row r="42" ht="56.25" customHeight="1">
      <c r="A42" s="5" t="s">
        <v>5493</v>
      </c>
      <c r="B42" s="6" t="str">
        <f>image("https://storage.googleapis.com/acdb/photos/BromideNpcNmlKal01_Remake_0_0.png")</f>
        <v/>
      </c>
      <c r="C42" s="5" t="s">
        <v>366</v>
      </c>
      <c r="D42" s="5" t="s">
        <v>1327</v>
      </c>
      <c r="E42" s="5" t="s">
        <v>34</v>
      </c>
      <c r="F42" s="5" t="s">
        <v>34</v>
      </c>
      <c r="G42" s="5" t="s">
        <v>36</v>
      </c>
      <c r="H42" s="5" t="s">
        <v>35</v>
      </c>
      <c r="I42" s="6">
        <v>1.0</v>
      </c>
      <c r="J42" s="6" t="s">
        <v>37</v>
      </c>
      <c r="K42" s="6">
        <v>10.0</v>
      </c>
      <c r="L42" s="5"/>
      <c r="M42" s="5"/>
      <c r="N42" s="6" t="s">
        <v>40</v>
      </c>
      <c r="O42" s="5" t="s">
        <v>5363</v>
      </c>
      <c r="P42" s="6" t="s">
        <v>42</v>
      </c>
      <c r="Q42" s="5" t="s">
        <v>1237</v>
      </c>
      <c r="R42" s="5" t="s">
        <v>5496</v>
      </c>
      <c r="S42" s="6" t="s">
        <v>50</v>
      </c>
      <c r="T42" s="6">
        <v>6555.0</v>
      </c>
    </row>
    <row r="43" ht="56.25" customHeight="1">
      <c r="A43" s="5" t="s">
        <v>5493</v>
      </c>
      <c r="B43" s="6" t="str">
        <f>image("https://storage.googleapis.com/acdb/photos/BromideNpcNmlKal01_Remake_1_0.png")</f>
        <v/>
      </c>
      <c r="C43" s="5" t="s">
        <v>1132</v>
      </c>
      <c r="D43" s="5" t="s">
        <v>1327</v>
      </c>
      <c r="E43" s="5" t="s">
        <v>34</v>
      </c>
      <c r="F43" s="5" t="s">
        <v>34</v>
      </c>
      <c r="G43" s="5" t="s">
        <v>36</v>
      </c>
      <c r="H43" s="5" t="s">
        <v>35</v>
      </c>
      <c r="I43" s="6">
        <v>1.0</v>
      </c>
      <c r="J43" s="6" t="s">
        <v>37</v>
      </c>
      <c r="K43" s="6">
        <v>10.0</v>
      </c>
      <c r="L43" s="5"/>
      <c r="M43" s="5"/>
      <c r="N43" s="6" t="s">
        <v>40</v>
      </c>
      <c r="O43" s="5" t="s">
        <v>5363</v>
      </c>
      <c r="P43" s="6" t="s">
        <v>42</v>
      </c>
      <c r="Q43" s="5" t="s">
        <v>1237</v>
      </c>
      <c r="R43" s="5" t="s">
        <v>5498</v>
      </c>
      <c r="S43" s="6" t="s">
        <v>56</v>
      </c>
      <c r="T43" s="6">
        <v>6555.0</v>
      </c>
    </row>
    <row r="44" ht="56.25" customHeight="1">
      <c r="A44" s="5" t="s">
        <v>5493</v>
      </c>
      <c r="B44" s="6" t="str">
        <f>image("https://storage.googleapis.com/acdb/photos/BromideNpcNmlKal01_Remake_2_0.png")</f>
        <v/>
      </c>
      <c r="C44" s="5" t="s">
        <v>688</v>
      </c>
      <c r="D44" s="5" t="s">
        <v>1327</v>
      </c>
      <c r="E44" s="5" t="s">
        <v>34</v>
      </c>
      <c r="F44" s="5" t="s">
        <v>34</v>
      </c>
      <c r="G44" s="5" t="s">
        <v>36</v>
      </c>
      <c r="H44" s="5" t="s">
        <v>35</v>
      </c>
      <c r="I44" s="6">
        <v>1.0</v>
      </c>
      <c r="J44" s="6" t="s">
        <v>37</v>
      </c>
      <c r="K44" s="6">
        <v>10.0</v>
      </c>
      <c r="L44" s="5"/>
      <c r="M44" s="5"/>
      <c r="N44" s="6" t="s">
        <v>40</v>
      </c>
      <c r="O44" s="5" t="s">
        <v>5363</v>
      </c>
      <c r="P44" s="6" t="s">
        <v>42</v>
      </c>
      <c r="Q44" s="5" t="s">
        <v>1237</v>
      </c>
      <c r="R44" s="5" t="s">
        <v>5500</v>
      </c>
      <c r="S44" s="6" t="s">
        <v>67</v>
      </c>
      <c r="T44" s="6">
        <v>6555.0</v>
      </c>
    </row>
    <row r="45" ht="56.25" customHeight="1">
      <c r="A45" s="5" t="s">
        <v>5493</v>
      </c>
      <c r="B45" s="6" t="str">
        <f>image("https://storage.googleapis.com/acdb/photos/BromideNpcNmlKal01_Remake_3_0.png")</f>
        <v/>
      </c>
      <c r="C45" s="5" t="s">
        <v>57</v>
      </c>
      <c r="D45" s="5" t="s">
        <v>1327</v>
      </c>
      <c r="E45" s="5" t="s">
        <v>34</v>
      </c>
      <c r="F45" s="5" t="s">
        <v>34</v>
      </c>
      <c r="G45" s="5" t="s">
        <v>36</v>
      </c>
      <c r="H45" s="5" t="s">
        <v>35</v>
      </c>
      <c r="I45" s="6">
        <v>1.0</v>
      </c>
      <c r="J45" s="6" t="s">
        <v>37</v>
      </c>
      <c r="K45" s="6">
        <v>10.0</v>
      </c>
      <c r="L45" s="5"/>
      <c r="M45" s="5"/>
      <c r="N45" s="6" t="s">
        <v>40</v>
      </c>
      <c r="O45" s="5" t="s">
        <v>5363</v>
      </c>
      <c r="P45" s="6" t="s">
        <v>42</v>
      </c>
      <c r="Q45" s="5" t="s">
        <v>1237</v>
      </c>
      <c r="R45" s="5" t="s">
        <v>5504</v>
      </c>
      <c r="S45" s="6" t="s">
        <v>71</v>
      </c>
      <c r="T45" s="6">
        <v>6555.0</v>
      </c>
    </row>
    <row r="46" ht="56.25" customHeight="1">
      <c r="A46" s="5" t="s">
        <v>5493</v>
      </c>
      <c r="B46" s="6" t="str">
        <f>image("https://storage.googleapis.com/acdb/photos/BromideNpcNmlKal01_Remake_4_0.png")</f>
        <v/>
      </c>
      <c r="C46" s="5" t="s">
        <v>1167</v>
      </c>
      <c r="D46" s="5" t="s">
        <v>1327</v>
      </c>
      <c r="E46" s="5" t="s">
        <v>34</v>
      </c>
      <c r="F46" s="5" t="s">
        <v>34</v>
      </c>
      <c r="G46" s="5" t="s">
        <v>36</v>
      </c>
      <c r="H46" s="5" t="s">
        <v>35</v>
      </c>
      <c r="I46" s="6">
        <v>1.0</v>
      </c>
      <c r="J46" s="6" t="s">
        <v>37</v>
      </c>
      <c r="K46" s="6">
        <v>10.0</v>
      </c>
      <c r="L46" s="5"/>
      <c r="M46" s="5"/>
      <c r="N46" s="6" t="s">
        <v>40</v>
      </c>
      <c r="O46" s="5" t="s">
        <v>5363</v>
      </c>
      <c r="P46" s="6" t="s">
        <v>42</v>
      </c>
      <c r="Q46" s="5" t="s">
        <v>1237</v>
      </c>
      <c r="R46" s="5" t="s">
        <v>5509</v>
      </c>
      <c r="S46" s="6" t="s">
        <v>75</v>
      </c>
      <c r="T46" s="6">
        <v>6555.0</v>
      </c>
    </row>
    <row r="47" ht="56.25" customHeight="1">
      <c r="A47" s="5" t="s">
        <v>5493</v>
      </c>
      <c r="B47" s="6" t="str">
        <f>image("https://storage.googleapis.com/acdb/photos/BromideNpcNmlKal01_Remake_5_0.png")</f>
        <v/>
      </c>
      <c r="C47" s="5" t="s">
        <v>58</v>
      </c>
      <c r="D47" s="5" t="s">
        <v>1327</v>
      </c>
      <c r="E47" s="5" t="s">
        <v>34</v>
      </c>
      <c r="F47" s="5" t="s">
        <v>34</v>
      </c>
      <c r="G47" s="5" t="s">
        <v>36</v>
      </c>
      <c r="H47" s="5" t="s">
        <v>35</v>
      </c>
      <c r="I47" s="6">
        <v>1.0</v>
      </c>
      <c r="J47" s="6" t="s">
        <v>37</v>
      </c>
      <c r="K47" s="6">
        <v>10.0</v>
      </c>
      <c r="L47" s="5"/>
      <c r="M47" s="5"/>
      <c r="N47" s="6" t="s">
        <v>40</v>
      </c>
      <c r="O47" s="5" t="s">
        <v>5363</v>
      </c>
      <c r="P47" s="6" t="s">
        <v>42</v>
      </c>
      <c r="Q47" s="5" t="s">
        <v>1237</v>
      </c>
      <c r="R47" s="5" t="s">
        <v>5513</v>
      </c>
      <c r="S47" s="6" t="s">
        <v>79</v>
      </c>
      <c r="T47" s="6">
        <v>6555.0</v>
      </c>
    </row>
    <row r="48" ht="56.25" customHeight="1">
      <c r="A48" s="5" t="s">
        <v>5493</v>
      </c>
      <c r="B48" s="6" t="str">
        <f>image("https://storage.googleapis.com/acdb/photos/BromideNpcNmlKal01_Remake_6_0.png")</f>
        <v/>
      </c>
      <c r="C48" s="5" t="s">
        <v>146</v>
      </c>
      <c r="D48" s="5" t="s">
        <v>1327</v>
      </c>
      <c r="E48" s="5" t="s">
        <v>34</v>
      </c>
      <c r="F48" s="5" t="s">
        <v>34</v>
      </c>
      <c r="G48" s="5" t="s">
        <v>36</v>
      </c>
      <c r="H48" s="5" t="s">
        <v>35</v>
      </c>
      <c r="I48" s="6">
        <v>1.0</v>
      </c>
      <c r="J48" s="6" t="s">
        <v>37</v>
      </c>
      <c r="K48" s="6">
        <v>10.0</v>
      </c>
      <c r="L48" s="5"/>
      <c r="M48" s="5"/>
      <c r="N48" s="6" t="s">
        <v>40</v>
      </c>
      <c r="O48" s="5" t="s">
        <v>5363</v>
      </c>
      <c r="P48" s="6" t="s">
        <v>42</v>
      </c>
      <c r="Q48" s="5" t="s">
        <v>1237</v>
      </c>
      <c r="R48" s="5" t="s">
        <v>5516</v>
      </c>
      <c r="S48" s="6" t="s">
        <v>86</v>
      </c>
      <c r="T48" s="6">
        <v>6555.0</v>
      </c>
    </row>
    <row r="49" ht="56.25" customHeight="1">
      <c r="A49" s="5" t="s">
        <v>5493</v>
      </c>
      <c r="B49" s="6" t="str">
        <f>image("https://storage.googleapis.com/acdb/photos/BromideNpcNmlKal01_Remake_7_0.png")</f>
        <v/>
      </c>
      <c r="C49" s="5" t="s">
        <v>151</v>
      </c>
      <c r="D49" s="5" t="s">
        <v>1327</v>
      </c>
      <c r="E49" s="5" t="s">
        <v>34</v>
      </c>
      <c r="F49" s="5" t="s">
        <v>34</v>
      </c>
      <c r="G49" s="5" t="s">
        <v>36</v>
      </c>
      <c r="H49" s="5" t="s">
        <v>35</v>
      </c>
      <c r="I49" s="6">
        <v>1.0</v>
      </c>
      <c r="J49" s="6" t="s">
        <v>37</v>
      </c>
      <c r="K49" s="6">
        <v>10.0</v>
      </c>
      <c r="L49" s="5"/>
      <c r="M49" s="5"/>
      <c r="N49" s="6" t="s">
        <v>40</v>
      </c>
      <c r="O49" s="5" t="s">
        <v>5363</v>
      </c>
      <c r="P49" s="6" t="s">
        <v>42</v>
      </c>
      <c r="Q49" s="5" t="s">
        <v>1237</v>
      </c>
      <c r="R49" s="5" t="s">
        <v>5519</v>
      </c>
      <c r="S49" s="6" t="s">
        <v>208</v>
      </c>
      <c r="T49" s="6">
        <v>6555.0</v>
      </c>
    </row>
    <row r="50" ht="56.25" customHeight="1">
      <c r="A50" s="5" t="s">
        <v>5521</v>
      </c>
      <c r="B50" s="6" t="str">
        <f>image("https://storage.googleapis.com/acdb/photos/BromideNpcNmlCrd01_Remake_0_0.png")</f>
        <v/>
      </c>
      <c r="C50" s="5" t="s">
        <v>366</v>
      </c>
      <c r="D50" s="5" t="s">
        <v>1327</v>
      </c>
      <c r="E50" s="5" t="s">
        <v>34</v>
      </c>
      <c r="F50" s="5" t="s">
        <v>34</v>
      </c>
      <c r="G50" s="5" t="s">
        <v>36</v>
      </c>
      <c r="H50" s="5" t="s">
        <v>35</v>
      </c>
      <c r="I50" s="6">
        <v>1.0</v>
      </c>
      <c r="J50" s="6" t="s">
        <v>37</v>
      </c>
      <c r="K50" s="6">
        <v>10.0</v>
      </c>
      <c r="L50" s="5"/>
      <c r="M50" s="5"/>
      <c r="N50" s="6" t="s">
        <v>40</v>
      </c>
      <c r="O50" s="5" t="s">
        <v>5363</v>
      </c>
      <c r="P50" s="6" t="s">
        <v>42</v>
      </c>
      <c r="Q50" s="5" t="s">
        <v>1237</v>
      </c>
      <c r="R50" s="5" t="s">
        <v>5522</v>
      </c>
      <c r="S50" s="6" t="s">
        <v>50</v>
      </c>
      <c r="T50" s="6">
        <v>6801.0</v>
      </c>
    </row>
    <row r="51" ht="56.25" customHeight="1">
      <c r="A51" s="5" t="s">
        <v>5521</v>
      </c>
      <c r="B51" s="6" t="str">
        <f>image("https://storage.googleapis.com/acdb/photos/BromideNpcNmlCrd01_Remake_1_0.png")</f>
        <v/>
      </c>
      <c r="C51" s="5" t="s">
        <v>1132</v>
      </c>
      <c r="D51" s="5" t="s">
        <v>1327</v>
      </c>
      <c r="E51" s="5" t="s">
        <v>34</v>
      </c>
      <c r="F51" s="5" t="s">
        <v>34</v>
      </c>
      <c r="G51" s="5" t="s">
        <v>36</v>
      </c>
      <c r="H51" s="5" t="s">
        <v>35</v>
      </c>
      <c r="I51" s="6">
        <v>1.0</v>
      </c>
      <c r="J51" s="6" t="s">
        <v>37</v>
      </c>
      <c r="K51" s="6">
        <v>10.0</v>
      </c>
      <c r="L51" s="5"/>
      <c r="M51" s="5"/>
      <c r="N51" s="6" t="s">
        <v>40</v>
      </c>
      <c r="O51" s="5" t="s">
        <v>5363</v>
      </c>
      <c r="P51" s="6" t="s">
        <v>42</v>
      </c>
      <c r="Q51" s="5" t="s">
        <v>1237</v>
      </c>
      <c r="R51" s="5" t="s">
        <v>5524</v>
      </c>
      <c r="S51" s="6" t="s">
        <v>56</v>
      </c>
      <c r="T51" s="6">
        <v>6801.0</v>
      </c>
    </row>
    <row r="52" ht="56.25" customHeight="1">
      <c r="A52" s="5" t="s">
        <v>5521</v>
      </c>
      <c r="B52" s="6" t="str">
        <f>image("https://storage.googleapis.com/acdb/photos/BromideNpcNmlCrd01_Remake_2_0.png")</f>
        <v/>
      </c>
      <c r="C52" s="5" t="s">
        <v>688</v>
      </c>
      <c r="D52" s="5" t="s">
        <v>1327</v>
      </c>
      <c r="E52" s="5" t="s">
        <v>34</v>
      </c>
      <c r="F52" s="5" t="s">
        <v>34</v>
      </c>
      <c r="G52" s="5" t="s">
        <v>36</v>
      </c>
      <c r="H52" s="5" t="s">
        <v>35</v>
      </c>
      <c r="I52" s="6">
        <v>1.0</v>
      </c>
      <c r="J52" s="6" t="s">
        <v>37</v>
      </c>
      <c r="K52" s="6">
        <v>10.0</v>
      </c>
      <c r="L52" s="5"/>
      <c r="M52" s="5"/>
      <c r="N52" s="6" t="s">
        <v>40</v>
      </c>
      <c r="O52" s="5" t="s">
        <v>5363</v>
      </c>
      <c r="P52" s="6" t="s">
        <v>42</v>
      </c>
      <c r="Q52" s="5" t="s">
        <v>1237</v>
      </c>
      <c r="R52" s="5" t="s">
        <v>5526</v>
      </c>
      <c r="S52" s="6" t="s">
        <v>67</v>
      </c>
      <c r="T52" s="6">
        <v>6801.0</v>
      </c>
    </row>
    <row r="53" ht="56.25" customHeight="1">
      <c r="A53" s="5" t="s">
        <v>5521</v>
      </c>
      <c r="B53" s="6" t="str">
        <f>image("https://storage.googleapis.com/acdb/photos/BromideNpcNmlCrd01_Remake_3_0.png")</f>
        <v/>
      </c>
      <c r="C53" s="5" t="s">
        <v>57</v>
      </c>
      <c r="D53" s="5" t="s">
        <v>1327</v>
      </c>
      <c r="E53" s="5" t="s">
        <v>34</v>
      </c>
      <c r="F53" s="5" t="s">
        <v>34</v>
      </c>
      <c r="G53" s="5" t="s">
        <v>36</v>
      </c>
      <c r="H53" s="5" t="s">
        <v>35</v>
      </c>
      <c r="I53" s="6">
        <v>1.0</v>
      </c>
      <c r="J53" s="6" t="s">
        <v>37</v>
      </c>
      <c r="K53" s="6">
        <v>10.0</v>
      </c>
      <c r="L53" s="5"/>
      <c r="M53" s="5"/>
      <c r="N53" s="6" t="s">
        <v>40</v>
      </c>
      <c r="O53" s="5" t="s">
        <v>5363</v>
      </c>
      <c r="P53" s="6" t="s">
        <v>42</v>
      </c>
      <c r="Q53" s="5" t="s">
        <v>1237</v>
      </c>
      <c r="R53" s="5" t="s">
        <v>5528</v>
      </c>
      <c r="S53" s="6" t="s">
        <v>71</v>
      </c>
      <c r="T53" s="6">
        <v>6801.0</v>
      </c>
    </row>
    <row r="54" ht="56.25" customHeight="1">
      <c r="A54" s="5" t="s">
        <v>5521</v>
      </c>
      <c r="B54" s="6" t="str">
        <f>image("https://storage.googleapis.com/acdb/photos/BromideNpcNmlCrd01_Remake_4_0.png")</f>
        <v/>
      </c>
      <c r="C54" s="5" t="s">
        <v>1167</v>
      </c>
      <c r="D54" s="5" t="s">
        <v>1327</v>
      </c>
      <c r="E54" s="5" t="s">
        <v>34</v>
      </c>
      <c r="F54" s="5" t="s">
        <v>34</v>
      </c>
      <c r="G54" s="5" t="s">
        <v>36</v>
      </c>
      <c r="H54" s="5" t="s">
        <v>35</v>
      </c>
      <c r="I54" s="6">
        <v>1.0</v>
      </c>
      <c r="J54" s="6" t="s">
        <v>37</v>
      </c>
      <c r="K54" s="6">
        <v>10.0</v>
      </c>
      <c r="L54" s="5"/>
      <c r="M54" s="5"/>
      <c r="N54" s="6" t="s">
        <v>40</v>
      </c>
      <c r="O54" s="5" t="s">
        <v>5363</v>
      </c>
      <c r="P54" s="6" t="s">
        <v>42</v>
      </c>
      <c r="Q54" s="5" t="s">
        <v>1237</v>
      </c>
      <c r="R54" s="5" t="s">
        <v>5531</v>
      </c>
      <c r="S54" s="6" t="s">
        <v>75</v>
      </c>
      <c r="T54" s="6">
        <v>6801.0</v>
      </c>
    </row>
    <row r="55" ht="56.25" customHeight="1">
      <c r="A55" s="5" t="s">
        <v>5521</v>
      </c>
      <c r="B55" s="6" t="str">
        <f>image("https://storage.googleapis.com/acdb/photos/BromideNpcNmlCrd01_Remake_5_0.png")</f>
        <v/>
      </c>
      <c r="C55" s="5" t="s">
        <v>58</v>
      </c>
      <c r="D55" s="5" t="s">
        <v>1327</v>
      </c>
      <c r="E55" s="5" t="s">
        <v>34</v>
      </c>
      <c r="F55" s="5" t="s">
        <v>34</v>
      </c>
      <c r="G55" s="5" t="s">
        <v>36</v>
      </c>
      <c r="H55" s="5" t="s">
        <v>35</v>
      </c>
      <c r="I55" s="6">
        <v>1.0</v>
      </c>
      <c r="J55" s="6" t="s">
        <v>37</v>
      </c>
      <c r="K55" s="6">
        <v>10.0</v>
      </c>
      <c r="L55" s="5"/>
      <c r="M55" s="5"/>
      <c r="N55" s="6" t="s">
        <v>40</v>
      </c>
      <c r="O55" s="5" t="s">
        <v>5363</v>
      </c>
      <c r="P55" s="6" t="s">
        <v>42</v>
      </c>
      <c r="Q55" s="5" t="s">
        <v>1237</v>
      </c>
      <c r="R55" s="5" t="s">
        <v>5535</v>
      </c>
      <c r="S55" s="6" t="s">
        <v>79</v>
      </c>
      <c r="T55" s="6">
        <v>6801.0</v>
      </c>
    </row>
    <row r="56" ht="56.25" customHeight="1">
      <c r="A56" s="5" t="s">
        <v>5521</v>
      </c>
      <c r="B56" s="6" t="str">
        <f>image("https://storage.googleapis.com/acdb/photos/BromideNpcNmlCrd01_Remake_6_0.png")</f>
        <v/>
      </c>
      <c r="C56" s="5" t="s">
        <v>146</v>
      </c>
      <c r="D56" s="5" t="s">
        <v>1327</v>
      </c>
      <c r="E56" s="5" t="s">
        <v>34</v>
      </c>
      <c r="F56" s="5" t="s">
        <v>34</v>
      </c>
      <c r="G56" s="5" t="s">
        <v>36</v>
      </c>
      <c r="H56" s="5" t="s">
        <v>35</v>
      </c>
      <c r="I56" s="6">
        <v>1.0</v>
      </c>
      <c r="J56" s="6" t="s">
        <v>37</v>
      </c>
      <c r="K56" s="6">
        <v>10.0</v>
      </c>
      <c r="L56" s="5"/>
      <c r="M56" s="5"/>
      <c r="N56" s="6" t="s">
        <v>40</v>
      </c>
      <c r="O56" s="5" t="s">
        <v>5363</v>
      </c>
      <c r="P56" s="6" t="s">
        <v>42</v>
      </c>
      <c r="Q56" s="5" t="s">
        <v>1237</v>
      </c>
      <c r="R56" s="5" t="s">
        <v>5536</v>
      </c>
      <c r="S56" s="6" t="s">
        <v>86</v>
      </c>
      <c r="T56" s="6">
        <v>6801.0</v>
      </c>
    </row>
    <row r="57" ht="56.25" customHeight="1">
      <c r="A57" s="5" t="s">
        <v>5521</v>
      </c>
      <c r="B57" s="6" t="str">
        <f>image("https://storage.googleapis.com/acdb/photos/BromideNpcNmlCrd01_Remake_7_0.png")</f>
        <v/>
      </c>
      <c r="C57" s="5" t="s">
        <v>151</v>
      </c>
      <c r="D57" s="5" t="s">
        <v>1327</v>
      </c>
      <c r="E57" s="5" t="s">
        <v>34</v>
      </c>
      <c r="F57" s="5" t="s">
        <v>34</v>
      </c>
      <c r="G57" s="5" t="s">
        <v>36</v>
      </c>
      <c r="H57" s="5" t="s">
        <v>35</v>
      </c>
      <c r="I57" s="6">
        <v>1.0</v>
      </c>
      <c r="J57" s="6" t="s">
        <v>37</v>
      </c>
      <c r="K57" s="6">
        <v>10.0</v>
      </c>
      <c r="L57" s="5"/>
      <c r="M57" s="5"/>
      <c r="N57" s="6" t="s">
        <v>40</v>
      </c>
      <c r="O57" s="5" t="s">
        <v>5363</v>
      </c>
      <c r="P57" s="6" t="s">
        <v>42</v>
      </c>
      <c r="Q57" s="5" t="s">
        <v>1237</v>
      </c>
      <c r="R57" s="5" t="s">
        <v>5540</v>
      </c>
      <c r="S57" s="6" t="s">
        <v>208</v>
      </c>
      <c r="T57" s="6">
        <v>6801.0</v>
      </c>
    </row>
    <row r="58" ht="56.25" customHeight="1">
      <c r="A58" s="5" t="s">
        <v>5541</v>
      </c>
      <c r="B58" s="6" t="str">
        <f>image("https://storage.googleapis.com/acdb/photos/BromideNpcNmlPbr01_Remake_0_0.png")</f>
        <v/>
      </c>
      <c r="C58" s="5" t="s">
        <v>366</v>
      </c>
      <c r="D58" s="5" t="s">
        <v>1327</v>
      </c>
      <c r="E58" s="5" t="s">
        <v>34</v>
      </c>
      <c r="F58" s="5" t="s">
        <v>34</v>
      </c>
      <c r="G58" s="5" t="s">
        <v>36</v>
      </c>
      <c r="H58" s="5" t="s">
        <v>35</v>
      </c>
      <c r="I58" s="6">
        <v>1.0</v>
      </c>
      <c r="J58" s="6" t="s">
        <v>37</v>
      </c>
      <c r="K58" s="6">
        <v>10.0</v>
      </c>
      <c r="L58" s="5"/>
      <c r="M58" s="5"/>
      <c r="N58" s="6" t="s">
        <v>40</v>
      </c>
      <c r="O58" s="5" t="s">
        <v>5363</v>
      </c>
      <c r="P58" s="6" t="s">
        <v>42</v>
      </c>
      <c r="Q58" s="5" t="s">
        <v>1237</v>
      </c>
      <c r="R58" s="5" t="s">
        <v>5542</v>
      </c>
      <c r="S58" s="6" t="s">
        <v>50</v>
      </c>
      <c r="T58" s="6">
        <v>6621.0</v>
      </c>
    </row>
    <row r="59" ht="56.25" customHeight="1">
      <c r="A59" s="5" t="s">
        <v>5541</v>
      </c>
      <c r="B59" s="6" t="str">
        <f>image("https://storage.googleapis.com/acdb/photos/BromideNpcNmlPbr01_Remake_1_0.png")</f>
        <v/>
      </c>
      <c r="C59" s="5" t="s">
        <v>1132</v>
      </c>
      <c r="D59" s="5" t="s">
        <v>1327</v>
      </c>
      <c r="E59" s="5" t="s">
        <v>34</v>
      </c>
      <c r="F59" s="5" t="s">
        <v>34</v>
      </c>
      <c r="G59" s="5" t="s">
        <v>36</v>
      </c>
      <c r="H59" s="5" t="s">
        <v>35</v>
      </c>
      <c r="I59" s="6">
        <v>1.0</v>
      </c>
      <c r="J59" s="6" t="s">
        <v>37</v>
      </c>
      <c r="K59" s="6">
        <v>10.0</v>
      </c>
      <c r="L59" s="5"/>
      <c r="M59" s="5"/>
      <c r="N59" s="6" t="s">
        <v>40</v>
      </c>
      <c r="O59" s="5" t="s">
        <v>5363</v>
      </c>
      <c r="P59" s="6" t="s">
        <v>42</v>
      </c>
      <c r="Q59" s="5" t="s">
        <v>1237</v>
      </c>
      <c r="R59" s="5" t="s">
        <v>5546</v>
      </c>
      <c r="S59" s="6" t="s">
        <v>56</v>
      </c>
      <c r="T59" s="6">
        <v>6621.0</v>
      </c>
    </row>
    <row r="60" ht="56.25" customHeight="1">
      <c r="A60" s="5" t="s">
        <v>5541</v>
      </c>
      <c r="B60" s="6" t="str">
        <f>image("https://storage.googleapis.com/acdb/photos/BromideNpcNmlPbr01_Remake_2_0.png")</f>
        <v/>
      </c>
      <c r="C60" s="5" t="s">
        <v>688</v>
      </c>
      <c r="D60" s="5" t="s">
        <v>1327</v>
      </c>
      <c r="E60" s="5" t="s">
        <v>34</v>
      </c>
      <c r="F60" s="5" t="s">
        <v>34</v>
      </c>
      <c r="G60" s="5" t="s">
        <v>36</v>
      </c>
      <c r="H60" s="5" t="s">
        <v>35</v>
      </c>
      <c r="I60" s="6">
        <v>1.0</v>
      </c>
      <c r="J60" s="6" t="s">
        <v>37</v>
      </c>
      <c r="K60" s="6">
        <v>10.0</v>
      </c>
      <c r="L60" s="5"/>
      <c r="M60" s="5"/>
      <c r="N60" s="6" t="s">
        <v>40</v>
      </c>
      <c r="O60" s="5" t="s">
        <v>5363</v>
      </c>
      <c r="P60" s="6" t="s">
        <v>42</v>
      </c>
      <c r="Q60" s="5" t="s">
        <v>1237</v>
      </c>
      <c r="R60" s="5" t="s">
        <v>5548</v>
      </c>
      <c r="S60" s="6" t="s">
        <v>67</v>
      </c>
      <c r="T60" s="6">
        <v>6621.0</v>
      </c>
    </row>
    <row r="61" ht="56.25" customHeight="1">
      <c r="A61" s="5" t="s">
        <v>5541</v>
      </c>
      <c r="B61" s="6" t="str">
        <f>image("https://storage.googleapis.com/acdb/photos/BromideNpcNmlPbr01_Remake_3_0.png")</f>
        <v/>
      </c>
      <c r="C61" s="5" t="s">
        <v>57</v>
      </c>
      <c r="D61" s="5" t="s">
        <v>1327</v>
      </c>
      <c r="E61" s="5" t="s">
        <v>34</v>
      </c>
      <c r="F61" s="5" t="s">
        <v>34</v>
      </c>
      <c r="G61" s="5" t="s">
        <v>36</v>
      </c>
      <c r="H61" s="5" t="s">
        <v>35</v>
      </c>
      <c r="I61" s="6">
        <v>1.0</v>
      </c>
      <c r="J61" s="6" t="s">
        <v>37</v>
      </c>
      <c r="K61" s="6">
        <v>10.0</v>
      </c>
      <c r="L61" s="5"/>
      <c r="M61" s="5"/>
      <c r="N61" s="6" t="s">
        <v>40</v>
      </c>
      <c r="O61" s="5" t="s">
        <v>5363</v>
      </c>
      <c r="P61" s="6" t="s">
        <v>42</v>
      </c>
      <c r="Q61" s="5" t="s">
        <v>1237</v>
      </c>
      <c r="R61" s="5" t="s">
        <v>5550</v>
      </c>
      <c r="S61" s="6" t="s">
        <v>71</v>
      </c>
      <c r="T61" s="6">
        <v>6621.0</v>
      </c>
    </row>
    <row r="62" ht="56.25" customHeight="1">
      <c r="A62" s="5" t="s">
        <v>5541</v>
      </c>
      <c r="B62" s="6" t="str">
        <f>image("https://storage.googleapis.com/acdb/photos/BromideNpcNmlPbr01_Remake_4_0.png")</f>
        <v/>
      </c>
      <c r="C62" s="5" t="s">
        <v>1167</v>
      </c>
      <c r="D62" s="5" t="s">
        <v>1327</v>
      </c>
      <c r="E62" s="5" t="s">
        <v>34</v>
      </c>
      <c r="F62" s="5" t="s">
        <v>34</v>
      </c>
      <c r="G62" s="5" t="s">
        <v>36</v>
      </c>
      <c r="H62" s="5" t="s">
        <v>35</v>
      </c>
      <c r="I62" s="6">
        <v>1.0</v>
      </c>
      <c r="J62" s="6" t="s">
        <v>37</v>
      </c>
      <c r="K62" s="6">
        <v>10.0</v>
      </c>
      <c r="L62" s="5"/>
      <c r="M62" s="5"/>
      <c r="N62" s="6" t="s">
        <v>40</v>
      </c>
      <c r="O62" s="5" t="s">
        <v>5363</v>
      </c>
      <c r="P62" s="6" t="s">
        <v>42</v>
      </c>
      <c r="Q62" s="5" t="s">
        <v>1237</v>
      </c>
      <c r="R62" s="5" t="s">
        <v>5554</v>
      </c>
      <c r="S62" s="6" t="s">
        <v>75</v>
      </c>
      <c r="T62" s="6">
        <v>6621.0</v>
      </c>
    </row>
    <row r="63" ht="56.25" customHeight="1">
      <c r="A63" s="5" t="s">
        <v>5541</v>
      </c>
      <c r="B63" s="6" t="str">
        <f>image("https://storage.googleapis.com/acdb/photos/BromideNpcNmlPbr01_Remake_5_0.png")</f>
        <v/>
      </c>
      <c r="C63" s="5" t="s">
        <v>58</v>
      </c>
      <c r="D63" s="5" t="s">
        <v>1327</v>
      </c>
      <c r="E63" s="5" t="s">
        <v>34</v>
      </c>
      <c r="F63" s="5" t="s">
        <v>34</v>
      </c>
      <c r="G63" s="5" t="s">
        <v>36</v>
      </c>
      <c r="H63" s="5" t="s">
        <v>35</v>
      </c>
      <c r="I63" s="6">
        <v>1.0</v>
      </c>
      <c r="J63" s="6" t="s">
        <v>37</v>
      </c>
      <c r="K63" s="6">
        <v>10.0</v>
      </c>
      <c r="L63" s="5"/>
      <c r="M63" s="5"/>
      <c r="N63" s="6" t="s">
        <v>40</v>
      </c>
      <c r="O63" s="5" t="s">
        <v>5363</v>
      </c>
      <c r="P63" s="6" t="s">
        <v>42</v>
      </c>
      <c r="Q63" s="5" t="s">
        <v>1237</v>
      </c>
      <c r="R63" s="5" t="s">
        <v>5557</v>
      </c>
      <c r="S63" s="6" t="s">
        <v>79</v>
      </c>
      <c r="T63" s="6">
        <v>6621.0</v>
      </c>
    </row>
    <row r="64" ht="56.25" customHeight="1">
      <c r="A64" s="5" t="s">
        <v>5541</v>
      </c>
      <c r="B64" s="6" t="str">
        <f>image("https://storage.googleapis.com/acdb/photos/BromideNpcNmlPbr01_Remake_6_0.png")</f>
        <v/>
      </c>
      <c r="C64" s="5" t="s">
        <v>146</v>
      </c>
      <c r="D64" s="5" t="s">
        <v>1327</v>
      </c>
      <c r="E64" s="5" t="s">
        <v>34</v>
      </c>
      <c r="F64" s="5" t="s">
        <v>34</v>
      </c>
      <c r="G64" s="5" t="s">
        <v>36</v>
      </c>
      <c r="H64" s="5" t="s">
        <v>35</v>
      </c>
      <c r="I64" s="6">
        <v>1.0</v>
      </c>
      <c r="J64" s="6" t="s">
        <v>37</v>
      </c>
      <c r="K64" s="6">
        <v>10.0</v>
      </c>
      <c r="L64" s="5"/>
      <c r="M64" s="5"/>
      <c r="N64" s="6" t="s">
        <v>40</v>
      </c>
      <c r="O64" s="5" t="s">
        <v>5363</v>
      </c>
      <c r="P64" s="6" t="s">
        <v>42</v>
      </c>
      <c r="Q64" s="5" t="s">
        <v>1237</v>
      </c>
      <c r="R64" s="5" t="s">
        <v>5558</v>
      </c>
      <c r="S64" s="6" t="s">
        <v>86</v>
      </c>
      <c r="T64" s="6">
        <v>6621.0</v>
      </c>
    </row>
    <row r="65" ht="56.25" customHeight="1">
      <c r="A65" s="5" t="s">
        <v>5541</v>
      </c>
      <c r="B65" s="6" t="str">
        <f>image("https://storage.googleapis.com/acdb/photos/BromideNpcNmlPbr01_Remake_7_0.png")</f>
        <v/>
      </c>
      <c r="C65" s="5" t="s">
        <v>151</v>
      </c>
      <c r="D65" s="5" t="s">
        <v>1327</v>
      </c>
      <c r="E65" s="5" t="s">
        <v>34</v>
      </c>
      <c r="F65" s="5" t="s">
        <v>34</v>
      </c>
      <c r="G65" s="5" t="s">
        <v>36</v>
      </c>
      <c r="H65" s="5" t="s">
        <v>35</v>
      </c>
      <c r="I65" s="6">
        <v>1.0</v>
      </c>
      <c r="J65" s="6" t="s">
        <v>37</v>
      </c>
      <c r="K65" s="6">
        <v>10.0</v>
      </c>
      <c r="L65" s="5"/>
      <c r="M65" s="5"/>
      <c r="N65" s="6" t="s">
        <v>40</v>
      </c>
      <c r="O65" s="5" t="s">
        <v>5363</v>
      </c>
      <c r="P65" s="6" t="s">
        <v>42</v>
      </c>
      <c r="Q65" s="5" t="s">
        <v>1237</v>
      </c>
      <c r="R65" s="5" t="s">
        <v>5561</v>
      </c>
      <c r="S65" s="6" t="s">
        <v>208</v>
      </c>
      <c r="T65" s="6">
        <v>6621.0</v>
      </c>
    </row>
    <row r="66" ht="56.25" customHeight="1">
      <c r="A66" s="5" t="s">
        <v>5562</v>
      </c>
      <c r="B66" s="6" t="str">
        <f>image("https://storage.googleapis.com/acdb/photos/BromideNpcNmlAnt03_Remake_0_0.png")</f>
        <v/>
      </c>
      <c r="C66" s="5" t="s">
        <v>366</v>
      </c>
      <c r="D66" s="5" t="s">
        <v>1327</v>
      </c>
      <c r="E66" s="5" t="s">
        <v>34</v>
      </c>
      <c r="F66" s="5" t="s">
        <v>34</v>
      </c>
      <c r="G66" s="5" t="s">
        <v>36</v>
      </c>
      <c r="H66" s="5" t="s">
        <v>35</v>
      </c>
      <c r="I66" s="6">
        <v>1.0</v>
      </c>
      <c r="J66" s="6" t="s">
        <v>37</v>
      </c>
      <c r="K66" s="6">
        <v>10.0</v>
      </c>
      <c r="L66" s="5"/>
      <c r="M66" s="5"/>
      <c r="N66" s="6" t="s">
        <v>40</v>
      </c>
      <c r="O66" s="5" t="s">
        <v>5363</v>
      </c>
      <c r="P66" s="6" t="s">
        <v>42</v>
      </c>
      <c r="Q66" s="5" t="s">
        <v>1237</v>
      </c>
      <c r="R66" s="5" t="s">
        <v>5566</v>
      </c>
      <c r="S66" s="6" t="s">
        <v>50</v>
      </c>
      <c r="T66" s="6">
        <v>6743.0</v>
      </c>
    </row>
    <row r="67" ht="56.25" customHeight="1">
      <c r="A67" s="5" t="s">
        <v>5562</v>
      </c>
      <c r="B67" s="6" t="str">
        <f>image("https://storage.googleapis.com/acdb/photos/BromideNpcNmlAnt03_Remake_1_0.png")</f>
        <v/>
      </c>
      <c r="C67" s="5" t="s">
        <v>1132</v>
      </c>
      <c r="D67" s="5" t="s">
        <v>1327</v>
      </c>
      <c r="E67" s="5" t="s">
        <v>34</v>
      </c>
      <c r="F67" s="5" t="s">
        <v>34</v>
      </c>
      <c r="G67" s="5" t="s">
        <v>36</v>
      </c>
      <c r="H67" s="5" t="s">
        <v>35</v>
      </c>
      <c r="I67" s="6">
        <v>1.0</v>
      </c>
      <c r="J67" s="6" t="s">
        <v>37</v>
      </c>
      <c r="K67" s="6">
        <v>10.0</v>
      </c>
      <c r="L67" s="5"/>
      <c r="M67" s="5"/>
      <c r="N67" s="6" t="s">
        <v>40</v>
      </c>
      <c r="O67" s="5" t="s">
        <v>5363</v>
      </c>
      <c r="P67" s="6" t="s">
        <v>42</v>
      </c>
      <c r="Q67" s="5" t="s">
        <v>1237</v>
      </c>
      <c r="R67" s="5" t="s">
        <v>5572</v>
      </c>
      <c r="S67" s="6" t="s">
        <v>56</v>
      </c>
      <c r="T67" s="6">
        <v>6743.0</v>
      </c>
    </row>
    <row r="68" ht="56.25" customHeight="1">
      <c r="A68" s="5" t="s">
        <v>5562</v>
      </c>
      <c r="B68" s="6" t="str">
        <f>image("https://storage.googleapis.com/acdb/photos/BromideNpcNmlAnt03_Remake_2_0.png")</f>
        <v/>
      </c>
      <c r="C68" s="5" t="s">
        <v>688</v>
      </c>
      <c r="D68" s="5" t="s">
        <v>1327</v>
      </c>
      <c r="E68" s="5" t="s">
        <v>34</v>
      </c>
      <c r="F68" s="5" t="s">
        <v>34</v>
      </c>
      <c r="G68" s="5" t="s">
        <v>36</v>
      </c>
      <c r="H68" s="5" t="s">
        <v>35</v>
      </c>
      <c r="I68" s="6">
        <v>1.0</v>
      </c>
      <c r="J68" s="6" t="s">
        <v>37</v>
      </c>
      <c r="K68" s="6">
        <v>10.0</v>
      </c>
      <c r="L68" s="5"/>
      <c r="M68" s="5"/>
      <c r="N68" s="6" t="s">
        <v>40</v>
      </c>
      <c r="O68" s="5" t="s">
        <v>5363</v>
      </c>
      <c r="P68" s="6" t="s">
        <v>42</v>
      </c>
      <c r="Q68" s="5" t="s">
        <v>1237</v>
      </c>
      <c r="R68" s="5" t="s">
        <v>5577</v>
      </c>
      <c r="S68" s="6" t="s">
        <v>67</v>
      </c>
      <c r="T68" s="6">
        <v>6743.0</v>
      </c>
    </row>
    <row r="69" ht="56.25" customHeight="1">
      <c r="A69" s="5" t="s">
        <v>5562</v>
      </c>
      <c r="B69" s="6" t="str">
        <f>image("https://storage.googleapis.com/acdb/photos/BromideNpcNmlAnt03_Remake_3_0.png")</f>
        <v/>
      </c>
      <c r="C69" s="5" t="s">
        <v>57</v>
      </c>
      <c r="D69" s="5" t="s">
        <v>1327</v>
      </c>
      <c r="E69" s="5" t="s">
        <v>34</v>
      </c>
      <c r="F69" s="5" t="s">
        <v>34</v>
      </c>
      <c r="G69" s="5" t="s">
        <v>36</v>
      </c>
      <c r="H69" s="5" t="s">
        <v>35</v>
      </c>
      <c r="I69" s="6">
        <v>1.0</v>
      </c>
      <c r="J69" s="6" t="s">
        <v>37</v>
      </c>
      <c r="K69" s="6">
        <v>10.0</v>
      </c>
      <c r="L69" s="5"/>
      <c r="M69" s="5"/>
      <c r="N69" s="6" t="s">
        <v>40</v>
      </c>
      <c r="O69" s="5" t="s">
        <v>5363</v>
      </c>
      <c r="P69" s="6" t="s">
        <v>42</v>
      </c>
      <c r="Q69" s="5" t="s">
        <v>1237</v>
      </c>
      <c r="R69" s="5" t="s">
        <v>5584</v>
      </c>
      <c r="S69" s="6" t="s">
        <v>71</v>
      </c>
      <c r="T69" s="6">
        <v>6743.0</v>
      </c>
    </row>
    <row r="70" ht="56.25" customHeight="1">
      <c r="A70" s="5" t="s">
        <v>5562</v>
      </c>
      <c r="B70" s="6" t="str">
        <f>image("https://storage.googleapis.com/acdb/photos/BromideNpcNmlAnt03_Remake_4_0.png")</f>
        <v/>
      </c>
      <c r="C70" s="5" t="s">
        <v>1167</v>
      </c>
      <c r="D70" s="5" t="s">
        <v>1327</v>
      </c>
      <c r="E70" s="5" t="s">
        <v>34</v>
      </c>
      <c r="F70" s="5" t="s">
        <v>34</v>
      </c>
      <c r="G70" s="5" t="s">
        <v>36</v>
      </c>
      <c r="H70" s="5" t="s">
        <v>35</v>
      </c>
      <c r="I70" s="6">
        <v>1.0</v>
      </c>
      <c r="J70" s="6" t="s">
        <v>37</v>
      </c>
      <c r="K70" s="6">
        <v>10.0</v>
      </c>
      <c r="L70" s="5"/>
      <c r="M70" s="5"/>
      <c r="N70" s="6" t="s">
        <v>40</v>
      </c>
      <c r="O70" s="5" t="s">
        <v>5363</v>
      </c>
      <c r="P70" s="6" t="s">
        <v>42</v>
      </c>
      <c r="Q70" s="5" t="s">
        <v>1237</v>
      </c>
      <c r="R70" s="5" t="s">
        <v>5589</v>
      </c>
      <c r="S70" s="6" t="s">
        <v>75</v>
      </c>
      <c r="T70" s="6">
        <v>6743.0</v>
      </c>
    </row>
    <row r="71" ht="56.25" customHeight="1">
      <c r="A71" s="5" t="s">
        <v>5562</v>
      </c>
      <c r="B71" s="6" t="str">
        <f>image("https://storage.googleapis.com/acdb/photos/BromideNpcNmlAnt03_Remake_5_0.png")</f>
        <v/>
      </c>
      <c r="C71" s="5" t="s">
        <v>58</v>
      </c>
      <c r="D71" s="5" t="s">
        <v>1327</v>
      </c>
      <c r="E71" s="5" t="s">
        <v>34</v>
      </c>
      <c r="F71" s="5" t="s">
        <v>34</v>
      </c>
      <c r="G71" s="5" t="s">
        <v>36</v>
      </c>
      <c r="H71" s="5" t="s">
        <v>35</v>
      </c>
      <c r="I71" s="6">
        <v>1.0</v>
      </c>
      <c r="J71" s="6" t="s">
        <v>37</v>
      </c>
      <c r="K71" s="6">
        <v>10.0</v>
      </c>
      <c r="L71" s="5"/>
      <c r="M71" s="5"/>
      <c r="N71" s="6" t="s">
        <v>40</v>
      </c>
      <c r="O71" s="5" t="s">
        <v>5363</v>
      </c>
      <c r="P71" s="6" t="s">
        <v>42</v>
      </c>
      <c r="Q71" s="5" t="s">
        <v>1237</v>
      </c>
      <c r="R71" s="5" t="s">
        <v>5593</v>
      </c>
      <c r="S71" s="6" t="s">
        <v>79</v>
      </c>
      <c r="T71" s="6">
        <v>6743.0</v>
      </c>
    </row>
    <row r="72" ht="56.25" customHeight="1">
      <c r="A72" s="5" t="s">
        <v>5562</v>
      </c>
      <c r="B72" s="6" t="str">
        <f>image("https://storage.googleapis.com/acdb/photos/BromideNpcNmlAnt03_Remake_6_0.png")</f>
        <v/>
      </c>
      <c r="C72" s="5" t="s">
        <v>146</v>
      </c>
      <c r="D72" s="5" t="s">
        <v>1327</v>
      </c>
      <c r="E72" s="5" t="s">
        <v>34</v>
      </c>
      <c r="F72" s="5" t="s">
        <v>34</v>
      </c>
      <c r="G72" s="5" t="s">
        <v>36</v>
      </c>
      <c r="H72" s="5" t="s">
        <v>35</v>
      </c>
      <c r="I72" s="6">
        <v>1.0</v>
      </c>
      <c r="J72" s="6" t="s">
        <v>37</v>
      </c>
      <c r="K72" s="6">
        <v>10.0</v>
      </c>
      <c r="L72" s="5"/>
      <c r="M72" s="5"/>
      <c r="N72" s="6" t="s">
        <v>40</v>
      </c>
      <c r="O72" s="5" t="s">
        <v>5363</v>
      </c>
      <c r="P72" s="6" t="s">
        <v>42</v>
      </c>
      <c r="Q72" s="5" t="s">
        <v>1237</v>
      </c>
      <c r="R72" s="5" t="s">
        <v>5597</v>
      </c>
      <c r="S72" s="6" t="s">
        <v>86</v>
      </c>
      <c r="T72" s="6">
        <v>6743.0</v>
      </c>
    </row>
    <row r="73" ht="56.25" customHeight="1">
      <c r="A73" s="5" t="s">
        <v>5562</v>
      </c>
      <c r="B73" s="6" t="str">
        <f>image("https://storage.googleapis.com/acdb/photos/BromideNpcNmlAnt03_Remake_7_0.png")</f>
        <v/>
      </c>
      <c r="C73" s="5" t="s">
        <v>151</v>
      </c>
      <c r="D73" s="5" t="s">
        <v>1327</v>
      </c>
      <c r="E73" s="5" t="s">
        <v>34</v>
      </c>
      <c r="F73" s="5" t="s">
        <v>34</v>
      </c>
      <c r="G73" s="5" t="s">
        <v>36</v>
      </c>
      <c r="H73" s="5" t="s">
        <v>35</v>
      </c>
      <c r="I73" s="6">
        <v>1.0</v>
      </c>
      <c r="J73" s="6" t="s">
        <v>37</v>
      </c>
      <c r="K73" s="6">
        <v>10.0</v>
      </c>
      <c r="L73" s="5"/>
      <c r="M73" s="5"/>
      <c r="N73" s="6" t="s">
        <v>40</v>
      </c>
      <c r="O73" s="5" t="s">
        <v>5363</v>
      </c>
      <c r="P73" s="6" t="s">
        <v>42</v>
      </c>
      <c r="Q73" s="5" t="s">
        <v>1237</v>
      </c>
      <c r="R73" s="5" t="s">
        <v>5599</v>
      </c>
      <c r="S73" s="6" t="s">
        <v>208</v>
      </c>
      <c r="T73" s="6">
        <v>6743.0</v>
      </c>
    </row>
    <row r="74" ht="56.25" customHeight="1">
      <c r="A74" s="5" t="s">
        <v>5601</v>
      </c>
      <c r="B74" s="6" t="str">
        <f>image("https://storage.googleapis.com/acdb/photos/BromideNpcNmlBrd02_Remake_0_0.png")</f>
        <v/>
      </c>
      <c r="C74" s="5" t="s">
        <v>366</v>
      </c>
      <c r="D74" s="5" t="s">
        <v>1327</v>
      </c>
      <c r="E74" s="5" t="s">
        <v>34</v>
      </c>
      <c r="F74" s="5" t="s">
        <v>34</v>
      </c>
      <c r="G74" s="5" t="s">
        <v>36</v>
      </c>
      <c r="H74" s="5" t="s">
        <v>35</v>
      </c>
      <c r="I74" s="6">
        <v>1.0</v>
      </c>
      <c r="J74" s="6" t="s">
        <v>37</v>
      </c>
      <c r="K74" s="6">
        <v>10.0</v>
      </c>
      <c r="L74" s="5"/>
      <c r="M74" s="5"/>
      <c r="N74" s="6" t="s">
        <v>40</v>
      </c>
      <c r="O74" s="5" t="s">
        <v>5363</v>
      </c>
      <c r="P74" s="6" t="s">
        <v>42</v>
      </c>
      <c r="Q74" s="5" t="s">
        <v>1237</v>
      </c>
      <c r="R74" s="5" t="s">
        <v>5605</v>
      </c>
      <c r="S74" s="6" t="s">
        <v>50</v>
      </c>
      <c r="T74" s="6">
        <v>6582.0</v>
      </c>
    </row>
    <row r="75" ht="56.25" customHeight="1">
      <c r="A75" s="5" t="s">
        <v>5601</v>
      </c>
      <c r="B75" s="6" t="str">
        <f>image("https://storage.googleapis.com/acdb/photos/BromideNpcNmlBrd02_Remake_1_0.png")</f>
        <v/>
      </c>
      <c r="C75" s="5" t="s">
        <v>1132</v>
      </c>
      <c r="D75" s="5" t="s">
        <v>1327</v>
      </c>
      <c r="E75" s="5" t="s">
        <v>34</v>
      </c>
      <c r="F75" s="5" t="s">
        <v>34</v>
      </c>
      <c r="G75" s="5" t="s">
        <v>36</v>
      </c>
      <c r="H75" s="5" t="s">
        <v>35</v>
      </c>
      <c r="I75" s="6">
        <v>1.0</v>
      </c>
      <c r="J75" s="6" t="s">
        <v>37</v>
      </c>
      <c r="K75" s="6">
        <v>10.0</v>
      </c>
      <c r="L75" s="5"/>
      <c r="M75" s="5"/>
      <c r="N75" s="6" t="s">
        <v>40</v>
      </c>
      <c r="O75" s="5" t="s">
        <v>5363</v>
      </c>
      <c r="P75" s="6" t="s">
        <v>42</v>
      </c>
      <c r="Q75" s="5" t="s">
        <v>1237</v>
      </c>
      <c r="R75" s="5" t="s">
        <v>5608</v>
      </c>
      <c r="S75" s="6" t="s">
        <v>56</v>
      </c>
      <c r="T75" s="6">
        <v>6582.0</v>
      </c>
    </row>
    <row r="76" ht="56.25" customHeight="1">
      <c r="A76" s="5" t="s">
        <v>5601</v>
      </c>
      <c r="B76" s="6" t="str">
        <f>image("https://storage.googleapis.com/acdb/photos/BromideNpcNmlBrd02_Remake_2_0.png")</f>
        <v/>
      </c>
      <c r="C76" s="5" t="s">
        <v>688</v>
      </c>
      <c r="D76" s="5" t="s">
        <v>1327</v>
      </c>
      <c r="E76" s="5" t="s">
        <v>34</v>
      </c>
      <c r="F76" s="5" t="s">
        <v>34</v>
      </c>
      <c r="G76" s="5" t="s">
        <v>36</v>
      </c>
      <c r="H76" s="5" t="s">
        <v>35</v>
      </c>
      <c r="I76" s="6">
        <v>1.0</v>
      </c>
      <c r="J76" s="6" t="s">
        <v>37</v>
      </c>
      <c r="K76" s="6">
        <v>10.0</v>
      </c>
      <c r="L76" s="5"/>
      <c r="M76" s="5"/>
      <c r="N76" s="6" t="s">
        <v>40</v>
      </c>
      <c r="O76" s="5" t="s">
        <v>5363</v>
      </c>
      <c r="P76" s="6" t="s">
        <v>42</v>
      </c>
      <c r="Q76" s="5" t="s">
        <v>1237</v>
      </c>
      <c r="R76" s="5" t="s">
        <v>5611</v>
      </c>
      <c r="S76" s="6" t="s">
        <v>67</v>
      </c>
      <c r="T76" s="6">
        <v>6582.0</v>
      </c>
    </row>
    <row r="77" ht="56.25" customHeight="1">
      <c r="A77" s="5" t="s">
        <v>5601</v>
      </c>
      <c r="B77" s="6" t="str">
        <f>image("https://storage.googleapis.com/acdb/photos/BromideNpcNmlBrd02_Remake_3_0.png")</f>
        <v/>
      </c>
      <c r="C77" s="5" t="s">
        <v>57</v>
      </c>
      <c r="D77" s="5" t="s">
        <v>1327</v>
      </c>
      <c r="E77" s="5" t="s">
        <v>34</v>
      </c>
      <c r="F77" s="5" t="s">
        <v>34</v>
      </c>
      <c r="G77" s="5" t="s">
        <v>36</v>
      </c>
      <c r="H77" s="5" t="s">
        <v>35</v>
      </c>
      <c r="I77" s="6">
        <v>1.0</v>
      </c>
      <c r="J77" s="6" t="s">
        <v>37</v>
      </c>
      <c r="K77" s="6">
        <v>10.0</v>
      </c>
      <c r="L77" s="5"/>
      <c r="M77" s="5"/>
      <c r="N77" s="6" t="s">
        <v>40</v>
      </c>
      <c r="O77" s="5" t="s">
        <v>5363</v>
      </c>
      <c r="P77" s="6" t="s">
        <v>42</v>
      </c>
      <c r="Q77" s="5" t="s">
        <v>1237</v>
      </c>
      <c r="R77" s="5" t="s">
        <v>5616</v>
      </c>
      <c r="S77" s="6" t="s">
        <v>71</v>
      </c>
      <c r="T77" s="6">
        <v>6582.0</v>
      </c>
    </row>
    <row r="78" ht="56.25" customHeight="1">
      <c r="A78" s="5" t="s">
        <v>5601</v>
      </c>
      <c r="B78" s="6" t="str">
        <f>image("https://storage.googleapis.com/acdb/photos/BromideNpcNmlBrd02_Remake_4_0.png")</f>
        <v/>
      </c>
      <c r="C78" s="5" t="s">
        <v>1167</v>
      </c>
      <c r="D78" s="5" t="s">
        <v>1327</v>
      </c>
      <c r="E78" s="5" t="s">
        <v>34</v>
      </c>
      <c r="F78" s="5" t="s">
        <v>34</v>
      </c>
      <c r="G78" s="5" t="s">
        <v>36</v>
      </c>
      <c r="H78" s="5" t="s">
        <v>35</v>
      </c>
      <c r="I78" s="6">
        <v>1.0</v>
      </c>
      <c r="J78" s="6" t="s">
        <v>37</v>
      </c>
      <c r="K78" s="6">
        <v>10.0</v>
      </c>
      <c r="L78" s="5"/>
      <c r="M78" s="5"/>
      <c r="N78" s="6" t="s">
        <v>40</v>
      </c>
      <c r="O78" s="5" t="s">
        <v>5363</v>
      </c>
      <c r="P78" s="6" t="s">
        <v>42</v>
      </c>
      <c r="Q78" s="5" t="s">
        <v>1237</v>
      </c>
      <c r="R78" s="5" t="s">
        <v>5618</v>
      </c>
      <c r="S78" s="6" t="s">
        <v>75</v>
      </c>
      <c r="T78" s="6">
        <v>6582.0</v>
      </c>
    </row>
    <row r="79" ht="56.25" customHeight="1">
      <c r="A79" s="5" t="s">
        <v>5601</v>
      </c>
      <c r="B79" s="6" t="str">
        <f>image("https://storage.googleapis.com/acdb/photos/BromideNpcNmlBrd02_Remake_5_0.png")</f>
        <v/>
      </c>
      <c r="C79" s="5" t="s">
        <v>58</v>
      </c>
      <c r="D79" s="5" t="s">
        <v>1327</v>
      </c>
      <c r="E79" s="5" t="s">
        <v>34</v>
      </c>
      <c r="F79" s="5" t="s">
        <v>34</v>
      </c>
      <c r="G79" s="5" t="s">
        <v>36</v>
      </c>
      <c r="H79" s="5" t="s">
        <v>35</v>
      </c>
      <c r="I79" s="6">
        <v>1.0</v>
      </c>
      <c r="J79" s="6" t="s">
        <v>37</v>
      </c>
      <c r="K79" s="6">
        <v>10.0</v>
      </c>
      <c r="L79" s="5"/>
      <c r="M79" s="5"/>
      <c r="N79" s="6" t="s">
        <v>40</v>
      </c>
      <c r="O79" s="5" t="s">
        <v>5363</v>
      </c>
      <c r="P79" s="6" t="s">
        <v>42</v>
      </c>
      <c r="Q79" s="5" t="s">
        <v>1237</v>
      </c>
      <c r="R79" s="5" t="s">
        <v>5623</v>
      </c>
      <c r="S79" s="6" t="s">
        <v>79</v>
      </c>
      <c r="T79" s="6">
        <v>6582.0</v>
      </c>
    </row>
    <row r="80" ht="56.25" customHeight="1">
      <c r="A80" s="5" t="s">
        <v>5601</v>
      </c>
      <c r="B80" s="6" t="str">
        <f>image("https://storage.googleapis.com/acdb/photos/BromideNpcNmlBrd02_Remake_6_0.png")</f>
        <v/>
      </c>
      <c r="C80" s="5" t="s">
        <v>146</v>
      </c>
      <c r="D80" s="5" t="s">
        <v>1327</v>
      </c>
      <c r="E80" s="5" t="s">
        <v>34</v>
      </c>
      <c r="F80" s="5" t="s">
        <v>34</v>
      </c>
      <c r="G80" s="5" t="s">
        <v>36</v>
      </c>
      <c r="H80" s="5" t="s">
        <v>35</v>
      </c>
      <c r="I80" s="6">
        <v>1.0</v>
      </c>
      <c r="J80" s="6" t="s">
        <v>37</v>
      </c>
      <c r="K80" s="6">
        <v>10.0</v>
      </c>
      <c r="L80" s="5"/>
      <c r="M80" s="5"/>
      <c r="N80" s="6" t="s">
        <v>40</v>
      </c>
      <c r="O80" s="5" t="s">
        <v>5363</v>
      </c>
      <c r="P80" s="6" t="s">
        <v>42</v>
      </c>
      <c r="Q80" s="5" t="s">
        <v>1237</v>
      </c>
      <c r="R80" s="5" t="s">
        <v>5627</v>
      </c>
      <c r="S80" s="6" t="s">
        <v>86</v>
      </c>
      <c r="T80" s="6">
        <v>6582.0</v>
      </c>
    </row>
    <row r="81" ht="56.25" customHeight="1">
      <c r="A81" s="5" t="s">
        <v>5601</v>
      </c>
      <c r="B81" s="6" t="str">
        <f>image("https://storage.googleapis.com/acdb/photos/BromideNpcNmlBrd02_Remake_7_0.png")</f>
        <v/>
      </c>
      <c r="C81" s="5" t="s">
        <v>151</v>
      </c>
      <c r="D81" s="5" t="s">
        <v>1327</v>
      </c>
      <c r="E81" s="5" t="s">
        <v>34</v>
      </c>
      <c r="F81" s="5" t="s">
        <v>34</v>
      </c>
      <c r="G81" s="5" t="s">
        <v>36</v>
      </c>
      <c r="H81" s="5" t="s">
        <v>35</v>
      </c>
      <c r="I81" s="6">
        <v>1.0</v>
      </c>
      <c r="J81" s="6" t="s">
        <v>37</v>
      </c>
      <c r="K81" s="6">
        <v>10.0</v>
      </c>
      <c r="L81" s="5"/>
      <c r="M81" s="5"/>
      <c r="N81" s="6" t="s">
        <v>40</v>
      </c>
      <c r="O81" s="5" t="s">
        <v>5363</v>
      </c>
      <c r="P81" s="6" t="s">
        <v>42</v>
      </c>
      <c r="Q81" s="5" t="s">
        <v>1237</v>
      </c>
      <c r="R81" s="5" t="s">
        <v>5630</v>
      </c>
      <c r="S81" s="6" t="s">
        <v>208</v>
      </c>
      <c r="T81" s="6">
        <v>6582.0</v>
      </c>
    </row>
    <row r="82" ht="56.25" customHeight="1">
      <c r="A82" s="5" t="s">
        <v>5631</v>
      </c>
      <c r="B82" s="6" t="str">
        <f>image("https://storage.googleapis.com/acdb/photos/BromideNpcNmlBul00_Remake_0_0.png")</f>
        <v/>
      </c>
      <c r="C82" s="5" t="s">
        <v>366</v>
      </c>
      <c r="D82" s="5" t="s">
        <v>1327</v>
      </c>
      <c r="E82" s="5" t="s">
        <v>34</v>
      </c>
      <c r="F82" s="5" t="s">
        <v>34</v>
      </c>
      <c r="G82" s="5" t="s">
        <v>36</v>
      </c>
      <c r="H82" s="5" t="s">
        <v>35</v>
      </c>
      <c r="I82" s="6">
        <v>1.0</v>
      </c>
      <c r="J82" s="6" t="s">
        <v>37</v>
      </c>
      <c r="K82" s="6">
        <v>10.0</v>
      </c>
      <c r="L82" s="5"/>
      <c r="M82" s="5"/>
      <c r="N82" s="6" t="s">
        <v>40</v>
      </c>
      <c r="O82" s="5" t="s">
        <v>5363</v>
      </c>
      <c r="P82" s="6" t="s">
        <v>42</v>
      </c>
      <c r="Q82" s="5" t="s">
        <v>1237</v>
      </c>
      <c r="R82" s="5" t="s">
        <v>5634</v>
      </c>
      <c r="S82" s="6" t="s">
        <v>50</v>
      </c>
      <c r="T82" s="6">
        <v>6704.0</v>
      </c>
    </row>
    <row r="83" ht="56.25" customHeight="1">
      <c r="A83" s="5" t="s">
        <v>5631</v>
      </c>
      <c r="B83" s="6" t="str">
        <f>image("https://storage.googleapis.com/acdb/photos/BromideNpcNmlBul00_Remake_1_0.png")</f>
        <v/>
      </c>
      <c r="C83" s="5" t="s">
        <v>1132</v>
      </c>
      <c r="D83" s="5" t="s">
        <v>1327</v>
      </c>
      <c r="E83" s="5" t="s">
        <v>34</v>
      </c>
      <c r="F83" s="5" t="s">
        <v>34</v>
      </c>
      <c r="G83" s="5" t="s">
        <v>36</v>
      </c>
      <c r="H83" s="5" t="s">
        <v>35</v>
      </c>
      <c r="I83" s="6">
        <v>1.0</v>
      </c>
      <c r="J83" s="6" t="s">
        <v>37</v>
      </c>
      <c r="K83" s="6">
        <v>10.0</v>
      </c>
      <c r="L83" s="5"/>
      <c r="M83" s="5"/>
      <c r="N83" s="6" t="s">
        <v>40</v>
      </c>
      <c r="O83" s="5" t="s">
        <v>5363</v>
      </c>
      <c r="P83" s="6" t="s">
        <v>42</v>
      </c>
      <c r="Q83" s="5" t="s">
        <v>1237</v>
      </c>
      <c r="R83" s="5" t="s">
        <v>5636</v>
      </c>
      <c r="S83" s="6" t="s">
        <v>56</v>
      </c>
      <c r="T83" s="6">
        <v>6704.0</v>
      </c>
    </row>
    <row r="84" ht="56.25" customHeight="1">
      <c r="A84" s="5" t="s">
        <v>5631</v>
      </c>
      <c r="B84" s="6" t="str">
        <f>image("https://storage.googleapis.com/acdb/photos/BromideNpcNmlBul00_Remake_2_0.png")</f>
        <v/>
      </c>
      <c r="C84" s="5" t="s">
        <v>688</v>
      </c>
      <c r="D84" s="5" t="s">
        <v>1327</v>
      </c>
      <c r="E84" s="5" t="s">
        <v>34</v>
      </c>
      <c r="F84" s="5" t="s">
        <v>34</v>
      </c>
      <c r="G84" s="5" t="s">
        <v>36</v>
      </c>
      <c r="H84" s="5" t="s">
        <v>35</v>
      </c>
      <c r="I84" s="6">
        <v>1.0</v>
      </c>
      <c r="J84" s="6" t="s">
        <v>37</v>
      </c>
      <c r="K84" s="6">
        <v>10.0</v>
      </c>
      <c r="L84" s="5"/>
      <c r="M84" s="5"/>
      <c r="N84" s="6" t="s">
        <v>40</v>
      </c>
      <c r="O84" s="5" t="s">
        <v>5363</v>
      </c>
      <c r="P84" s="6" t="s">
        <v>42</v>
      </c>
      <c r="Q84" s="5" t="s">
        <v>1237</v>
      </c>
      <c r="R84" s="5" t="s">
        <v>5639</v>
      </c>
      <c r="S84" s="6" t="s">
        <v>67</v>
      </c>
      <c r="T84" s="6">
        <v>6704.0</v>
      </c>
    </row>
    <row r="85" ht="56.25" customHeight="1">
      <c r="A85" s="5" t="s">
        <v>5631</v>
      </c>
      <c r="B85" s="6" t="str">
        <f>image("https://storage.googleapis.com/acdb/photos/BromideNpcNmlBul00_Remake_3_0.png")</f>
        <v/>
      </c>
      <c r="C85" s="5" t="s">
        <v>57</v>
      </c>
      <c r="D85" s="5" t="s">
        <v>1327</v>
      </c>
      <c r="E85" s="5" t="s">
        <v>34</v>
      </c>
      <c r="F85" s="5" t="s">
        <v>34</v>
      </c>
      <c r="G85" s="5" t="s">
        <v>36</v>
      </c>
      <c r="H85" s="5" t="s">
        <v>35</v>
      </c>
      <c r="I85" s="6">
        <v>1.0</v>
      </c>
      <c r="J85" s="6" t="s">
        <v>37</v>
      </c>
      <c r="K85" s="6">
        <v>10.0</v>
      </c>
      <c r="L85" s="5"/>
      <c r="M85" s="5"/>
      <c r="N85" s="6" t="s">
        <v>40</v>
      </c>
      <c r="O85" s="5" t="s">
        <v>5363</v>
      </c>
      <c r="P85" s="6" t="s">
        <v>42</v>
      </c>
      <c r="Q85" s="5" t="s">
        <v>1237</v>
      </c>
      <c r="R85" s="5" t="s">
        <v>5642</v>
      </c>
      <c r="S85" s="6" t="s">
        <v>71</v>
      </c>
      <c r="T85" s="6">
        <v>6704.0</v>
      </c>
    </row>
    <row r="86" ht="56.25" customHeight="1">
      <c r="A86" s="5" t="s">
        <v>5631</v>
      </c>
      <c r="B86" s="6" t="str">
        <f>image("https://storage.googleapis.com/acdb/photos/BromideNpcNmlBul00_Remake_4_0.png")</f>
        <v/>
      </c>
      <c r="C86" s="5" t="s">
        <v>1167</v>
      </c>
      <c r="D86" s="5" t="s">
        <v>1327</v>
      </c>
      <c r="E86" s="5" t="s">
        <v>34</v>
      </c>
      <c r="F86" s="5" t="s">
        <v>34</v>
      </c>
      <c r="G86" s="5" t="s">
        <v>36</v>
      </c>
      <c r="H86" s="5" t="s">
        <v>35</v>
      </c>
      <c r="I86" s="6">
        <v>1.0</v>
      </c>
      <c r="J86" s="6" t="s">
        <v>37</v>
      </c>
      <c r="K86" s="6">
        <v>10.0</v>
      </c>
      <c r="L86" s="5"/>
      <c r="M86" s="5"/>
      <c r="N86" s="6" t="s">
        <v>40</v>
      </c>
      <c r="O86" s="5" t="s">
        <v>5363</v>
      </c>
      <c r="P86" s="6" t="s">
        <v>42</v>
      </c>
      <c r="Q86" s="5" t="s">
        <v>1237</v>
      </c>
      <c r="R86" s="5" t="s">
        <v>5644</v>
      </c>
      <c r="S86" s="6" t="s">
        <v>75</v>
      </c>
      <c r="T86" s="6">
        <v>6704.0</v>
      </c>
    </row>
    <row r="87" ht="56.25" customHeight="1">
      <c r="A87" s="5" t="s">
        <v>5631</v>
      </c>
      <c r="B87" s="6" t="str">
        <f>image("https://storage.googleapis.com/acdb/photos/BromideNpcNmlBul00_Remake_5_0.png")</f>
        <v/>
      </c>
      <c r="C87" s="5" t="s">
        <v>58</v>
      </c>
      <c r="D87" s="5" t="s">
        <v>1327</v>
      </c>
      <c r="E87" s="5" t="s">
        <v>34</v>
      </c>
      <c r="F87" s="5" t="s">
        <v>34</v>
      </c>
      <c r="G87" s="5" t="s">
        <v>36</v>
      </c>
      <c r="H87" s="5" t="s">
        <v>35</v>
      </c>
      <c r="I87" s="6">
        <v>1.0</v>
      </c>
      <c r="J87" s="6" t="s">
        <v>37</v>
      </c>
      <c r="K87" s="6">
        <v>10.0</v>
      </c>
      <c r="L87" s="5"/>
      <c r="M87" s="5"/>
      <c r="N87" s="6" t="s">
        <v>40</v>
      </c>
      <c r="O87" s="5" t="s">
        <v>5363</v>
      </c>
      <c r="P87" s="6" t="s">
        <v>42</v>
      </c>
      <c r="Q87" s="5" t="s">
        <v>1237</v>
      </c>
      <c r="R87" s="5" t="s">
        <v>5648</v>
      </c>
      <c r="S87" s="6" t="s">
        <v>79</v>
      </c>
      <c r="T87" s="6">
        <v>6704.0</v>
      </c>
    </row>
    <row r="88" ht="56.25" customHeight="1">
      <c r="A88" s="5" t="s">
        <v>5631</v>
      </c>
      <c r="B88" s="6" t="str">
        <f>image("https://storage.googleapis.com/acdb/photos/BromideNpcNmlBul00_Remake_6_0.png")</f>
        <v/>
      </c>
      <c r="C88" s="5" t="s">
        <v>146</v>
      </c>
      <c r="D88" s="5" t="s">
        <v>1327</v>
      </c>
      <c r="E88" s="5" t="s">
        <v>34</v>
      </c>
      <c r="F88" s="5" t="s">
        <v>34</v>
      </c>
      <c r="G88" s="5" t="s">
        <v>36</v>
      </c>
      <c r="H88" s="5" t="s">
        <v>35</v>
      </c>
      <c r="I88" s="6">
        <v>1.0</v>
      </c>
      <c r="J88" s="6" t="s">
        <v>37</v>
      </c>
      <c r="K88" s="6">
        <v>10.0</v>
      </c>
      <c r="L88" s="5"/>
      <c r="M88" s="5"/>
      <c r="N88" s="6" t="s">
        <v>40</v>
      </c>
      <c r="O88" s="5" t="s">
        <v>5363</v>
      </c>
      <c r="P88" s="6" t="s">
        <v>42</v>
      </c>
      <c r="Q88" s="5" t="s">
        <v>1237</v>
      </c>
      <c r="R88" s="5" t="s">
        <v>5651</v>
      </c>
      <c r="S88" s="6" t="s">
        <v>86</v>
      </c>
      <c r="T88" s="6">
        <v>6704.0</v>
      </c>
    </row>
    <row r="89" ht="56.25" customHeight="1">
      <c r="A89" s="5" t="s">
        <v>5631</v>
      </c>
      <c r="B89" s="6" t="str">
        <f>image("https://storage.googleapis.com/acdb/photos/BromideNpcNmlBul00_Remake_7_0.png")</f>
        <v/>
      </c>
      <c r="C89" s="5" t="s">
        <v>151</v>
      </c>
      <c r="D89" s="5" t="s">
        <v>1327</v>
      </c>
      <c r="E89" s="5" t="s">
        <v>34</v>
      </c>
      <c r="F89" s="5" t="s">
        <v>34</v>
      </c>
      <c r="G89" s="5" t="s">
        <v>36</v>
      </c>
      <c r="H89" s="5" t="s">
        <v>35</v>
      </c>
      <c r="I89" s="6">
        <v>1.0</v>
      </c>
      <c r="J89" s="6" t="s">
        <v>37</v>
      </c>
      <c r="K89" s="6">
        <v>10.0</v>
      </c>
      <c r="L89" s="5"/>
      <c r="M89" s="5"/>
      <c r="N89" s="6" t="s">
        <v>40</v>
      </c>
      <c r="O89" s="5" t="s">
        <v>5363</v>
      </c>
      <c r="P89" s="6" t="s">
        <v>42</v>
      </c>
      <c r="Q89" s="5" t="s">
        <v>1237</v>
      </c>
      <c r="R89" s="5" t="s">
        <v>5653</v>
      </c>
      <c r="S89" s="6" t="s">
        <v>208</v>
      </c>
      <c r="T89" s="6">
        <v>6704.0</v>
      </c>
    </row>
    <row r="90" ht="56.25" customHeight="1">
      <c r="A90" s="5" t="s">
        <v>5655</v>
      </c>
      <c r="B90" s="6" t="str">
        <f>image("https://storage.googleapis.com/acdb/photos/BromideNpcNmlMus10_Remake_0_0.png")</f>
        <v/>
      </c>
      <c r="C90" s="5" t="s">
        <v>366</v>
      </c>
      <c r="D90" s="5" t="s">
        <v>1327</v>
      </c>
      <c r="E90" s="5" t="s">
        <v>34</v>
      </c>
      <c r="F90" s="5" t="s">
        <v>34</v>
      </c>
      <c r="G90" s="5" t="s">
        <v>36</v>
      </c>
      <c r="H90" s="5" t="s">
        <v>35</v>
      </c>
      <c r="I90" s="6">
        <v>1.0</v>
      </c>
      <c r="J90" s="6" t="s">
        <v>37</v>
      </c>
      <c r="K90" s="6">
        <v>10.0</v>
      </c>
      <c r="L90" s="5"/>
      <c r="M90" s="5"/>
      <c r="N90" s="6" t="s">
        <v>40</v>
      </c>
      <c r="O90" s="5" t="s">
        <v>5363</v>
      </c>
      <c r="P90" s="6" t="s">
        <v>42</v>
      </c>
      <c r="Q90" s="5" t="s">
        <v>1237</v>
      </c>
      <c r="R90" s="5" t="s">
        <v>5658</v>
      </c>
      <c r="S90" s="6" t="s">
        <v>50</v>
      </c>
      <c r="T90" s="6">
        <v>6598.0</v>
      </c>
    </row>
    <row r="91" ht="56.25" customHeight="1">
      <c r="A91" s="5" t="s">
        <v>5655</v>
      </c>
      <c r="B91" s="6" t="str">
        <f>image("https://storage.googleapis.com/acdb/photos/BromideNpcNmlMus10_Remake_1_0.png")</f>
        <v/>
      </c>
      <c r="C91" s="5" t="s">
        <v>1132</v>
      </c>
      <c r="D91" s="5" t="s">
        <v>1327</v>
      </c>
      <c r="E91" s="5" t="s">
        <v>34</v>
      </c>
      <c r="F91" s="5" t="s">
        <v>34</v>
      </c>
      <c r="G91" s="5" t="s">
        <v>36</v>
      </c>
      <c r="H91" s="5" t="s">
        <v>35</v>
      </c>
      <c r="I91" s="6">
        <v>1.0</v>
      </c>
      <c r="J91" s="6" t="s">
        <v>37</v>
      </c>
      <c r="K91" s="6">
        <v>10.0</v>
      </c>
      <c r="L91" s="5"/>
      <c r="M91" s="5"/>
      <c r="N91" s="6" t="s">
        <v>40</v>
      </c>
      <c r="O91" s="5" t="s">
        <v>5363</v>
      </c>
      <c r="P91" s="6" t="s">
        <v>42</v>
      </c>
      <c r="Q91" s="5" t="s">
        <v>1237</v>
      </c>
      <c r="R91" s="5" t="s">
        <v>5661</v>
      </c>
      <c r="S91" s="6" t="s">
        <v>56</v>
      </c>
      <c r="T91" s="6">
        <v>6598.0</v>
      </c>
    </row>
    <row r="92" ht="56.25" customHeight="1">
      <c r="A92" s="5" t="s">
        <v>5655</v>
      </c>
      <c r="B92" s="6" t="str">
        <f>image("https://storage.googleapis.com/acdb/photos/BromideNpcNmlMus10_Remake_2_0.png")</f>
        <v/>
      </c>
      <c r="C92" s="5" t="s">
        <v>688</v>
      </c>
      <c r="D92" s="5" t="s">
        <v>1327</v>
      </c>
      <c r="E92" s="5" t="s">
        <v>34</v>
      </c>
      <c r="F92" s="5" t="s">
        <v>34</v>
      </c>
      <c r="G92" s="5" t="s">
        <v>36</v>
      </c>
      <c r="H92" s="5" t="s">
        <v>35</v>
      </c>
      <c r="I92" s="6">
        <v>1.0</v>
      </c>
      <c r="J92" s="6" t="s">
        <v>37</v>
      </c>
      <c r="K92" s="6">
        <v>10.0</v>
      </c>
      <c r="L92" s="5"/>
      <c r="M92" s="5"/>
      <c r="N92" s="6" t="s">
        <v>40</v>
      </c>
      <c r="O92" s="5" t="s">
        <v>5363</v>
      </c>
      <c r="P92" s="6" t="s">
        <v>42</v>
      </c>
      <c r="Q92" s="5" t="s">
        <v>1237</v>
      </c>
      <c r="R92" s="5" t="s">
        <v>5664</v>
      </c>
      <c r="S92" s="6" t="s">
        <v>67</v>
      </c>
      <c r="T92" s="6">
        <v>6598.0</v>
      </c>
    </row>
    <row r="93" ht="56.25" customHeight="1">
      <c r="A93" s="5" t="s">
        <v>5655</v>
      </c>
      <c r="B93" s="6" t="str">
        <f>image("https://storage.googleapis.com/acdb/photos/BromideNpcNmlMus10_Remake_3_0.png")</f>
        <v/>
      </c>
      <c r="C93" s="5" t="s">
        <v>57</v>
      </c>
      <c r="D93" s="5" t="s">
        <v>1327</v>
      </c>
      <c r="E93" s="5" t="s">
        <v>34</v>
      </c>
      <c r="F93" s="5" t="s">
        <v>34</v>
      </c>
      <c r="G93" s="5" t="s">
        <v>36</v>
      </c>
      <c r="H93" s="5" t="s">
        <v>35</v>
      </c>
      <c r="I93" s="6">
        <v>1.0</v>
      </c>
      <c r="J93" s="6" t="s">
        <v>37</v>
      </c>
      <c r="K93" s="6">
        <v>10.0</v>
      </c>
      <c r="L93" s="5"/>
      <c r="M93" s="5"/>
      <c r="N93" s="6" t="s">
        <v>40</v>
      </c>
      <c r="O93" s="5" t="s">
        <v>5363</v>
      </c>
      <c r="P93" s="6" t="s">
        <v>42</v>
      </c>
      <c r="Q93" s="5" t="s">
        <v>1237</v>
      </c>
      <c r="R93" s="5" t="s">
        <v>5668</v>
      </c>
      <c r="S93" s="6" t="s">
        <v>71</v>
      </c>
      <c r="T93" s="6">
        <v>6598.0</v>
      </c>
    </row>
    <row r="94" ht="56.25" customHeight="1">
      <c r="A94" s="5" t="s">
        <v>5655</v>
      </c>
      <c r="B94" s="6" t="str">
        <f>image("https://storage.googleapis.com/acdb/photos/BromideNpcNmlMus10_Remake_4_0.png")</f>
        <v/>
      </c>
      <c r="C94" s="5" t="s">
        <v>1167</v>
      </c>
      <c r="D94" s="5" t="s">
        <v>1327</v>
      </c>
      <c r="E94" s="5" t="s">
        <v>34</v>
      </c>
      <c r="F94" s="5" t="s">
        <v>34</v>
      </c>
      <c r="G94" s="5" t="s">
        <v>36</v>
      </c>
      <c r="H94" s="5" t="s">
        <v>35</v>
      </c>
      <c r="I94" s="6">
        <v>1.0</v>
      </c>
      <c r="J94" s="6" t="s">
        <v>37</v>
      </c>
      <c r="K94" s="6">
        <v>10.0</v>
      </c>
      <c r="L94" s="5"/>
      <c r="M94" s="5"/>
      <c r="N94" s="6" t="s">
        <v>40</v>
      </c>
      <c r="O94" s="5" t="s">
        <v>5363</v>
      </c>
      <c r="P94" s="6" t="s">
        <v>42</v>
      </c>
      <c r="Q94" s="5" t="s">
        <v>1237</v>
      </c>
      <c r="R94" s="5" t="s">
        <v>5671</v>
      </c>
      <c r="S94" s="6" t="s">
        <v>75</v>
      </c>
      <c r="T94" s="6">
        <v>6598.0</v>
      </c>
    </row>
    <row r="95" ht="56.25" customHeight="1">
      <c r="A95" s="5" t="s">
        <v>5655</v>
      </c>
      <c r="B95" s="6" t="str">
        <f>image("https://storage.googleapis.com/acdb/photos/BromideNpcNmlMus10_Remake_5_0.png")</f>
        <v/>
      </c>
      <c r="C95" s="5" t="s">
        <v>58</v>
      </c>
      <c r="D95" s="5" t="s">
        <v>1327</v>
      </c>
      <c r="E95" s="5" t="s">
        <v>34</v>
      </c>
      <c r="F95" s="5" t="s">
        <v>34</v>
      </c>
      <c r="G95" s="5" t="s">
        <v>36</v>
      </c>
      <c r="H95" s="5" t="s">
        <v>35</v>
      </c>
      <c r="I95" s="6">
        <v>1.0</v>
      </c>
      <c r="J95" s="6" t="s">
        <v>37</v>
      </c>
      <c r="K95" s="6">
        <v>10.0</v>
      </c>
      <c r="L95" s="5"/>
      <c r="M95" s="5"/>
      <c r="N95" s="6" t="s">
        <v>40</v>
      </c>
      <c r="O95" s="5" t="s">
        <v>5363</v>
      </c>
      <c r="P95" s="6" t="s">
        <v>42</v>
      </c>
      <c r="Q95" s="5" t="s">
        <v>1237</v>
      </c>
      <c r="R95" s="5" t="s">
        <v>5674</v>
      </c>
      <c r="S95" s="6" t="s">
        <v>79</v>
      </c>
      <c r="T95" s="6">
        <v>6598.0</v>
      </c>
    </row>
    <row r="96" ht="56.25" customHeight="1">
      <c r="A96" s="5" t="s">
        <v>5655</v>
      </c>
      <c r="B96" s="6" t="str">
        <f>image("https://storage.googleapis.com/acdb/photos/BromideNpcNmlMus10_Remake_6_0.png")</f>
        <v/>
      </c>
      <c r="C96" s="5" t="s">
        <v>146</v>
      </c>
      <c r="D96" s="5" t="s">
        <v>1327</v>
      </c>
      <c r="E96" s="5" t="s">
        <v>34</v>
      </c>
      <c r="F96" s="5" t="s">
        <v>34</v>
      </c>
      <c r="G96" s="5" t="s">
        <v>36</v>
      </c>
      <c r="H96" s="5" t="s">
        <v>35</v>
      </c>
      <c r="I96" s="6">
        <v>1.0</v>
      </c>
      <c r="J96" s="6" t="s">
        <v>37</v>
      </c>
      <c r="K96" s="6">
        <v>10.0</v>
      </c>
      <c r="L96" s="5"/>
      <c r="M96" s="5"/>
      <c r="N96" s="6" t="s">
        <v>40</v>
      </c>
      <c r="O96" s="5" t="s">
        <v>5363</v>
      </c>
      <c r="P96" s="6" t="s">
        <v>42</v>
      </c>
      <c r="Q96" s="5" t="s">
        <v>1237</v>
      </c>
      <c r="R96" s="5" t="s">
        <v>5677</v>
      </c>
      <c r="S96" s="6" t="s">
        <v>86</v>
      </c>
      <c r="T96" s="6">
        <v>6598.0</v>
      </c>
    </row>
    <row r="97" ht="56.25" customHeight="1">
      <c r="A97" s="5" t="s">
        <v>5655</v>
      </c>
      <c r="B97" s="6" t="str">
        <f>image("https://storage.googleapis.com/acdb/photos/BromideNpcNmlMus10_Remake_7_0.png")</f>
        <v/>
      </c>
      <c r="C97" s="5" t="s">
        <v>151</v>
      </c>
      <c r="D97" s="5" t="s">
        <v>1327</v>
      </c>
      <c r="E97" s="5" t="s">
        <v>34</v>
      </c>
      <c r="F97" s="5" t="s">
        <v>34</v>
      </c>
      <c r="G97" s="5" t="s">
        <v>36</v>
      </c>
      <c r="H97" s="5" t="s">
        <v>35</v>
      </c>
      <c r="I97" s="6">
        <v>1.0</v>
      </c>
      <c r="J97" s="6" t="s">
        <v>37</v>
      </c>
      <c r="K97" s="6">
        <v>10.0</v>
      </c>
      <c r="L97" s="5"/>
      <c r="M97" s="5"/>
      <c r="N97" s="6" t="s">
        <v>40</v>
      </c>
      <c r="O97" s="5" t="s">
        <v>5363</v>
      </c>
      <c r="P97" s="6" t="s">
        <v>42</v>
      </c>
      <c r="Q97" s="5" t="s">
        <v>1237</v>
      </c>
      <c r="R97" s="5" t="s">
        <v>5680</v>
      </c>
      <c r="S97" s="6" t="s">
        <v>208</v>
      </c>
      <c r="T97" s="6">
        <v>6598.0</v>
      </c>
    </row>
    <row r="98" ht="56.25" customHeight="1">
      <c r="A98" s="5" t="s">
        <v>5682</v>
      </c>
      <c r="B98" s="6" t="str">
        <f>image("https://storage.googleapis.com/acdb/photos/BromideNpcNmlCat19_Remake_0_0.png")</f>
        <v/>
      </c>
      <c r="C98" s="5" t="s">
        <v>366</v>
      </c>
      <c r="D98" s="5" t="s">
        <v>1327</v>
      </c>
      <c r="E98" s="5" t="s">
        <v>34</v>
      </c>
      <c r="F98" s="5" t="s">
        <v>34</v>
      </c>
      <c r="G98" s="5" t="s">
        <v>36</v>
      </c>
      <c r="H98" s="5" t="s">
        <v>35</v>
      </c>
      <c r="I98" s="6">
        <v>1.0</v>
      </c>
      <c r="J98" s="6" t="s">
        <v>37</v>
      </c>
      <c r="K98" s="6">
        <v>10.0</v>
      </c>
      <c r="L98" s="5"/>
      <c r="M98" s="5"/>
      <c r="N98" s="6" t="s">
        <v>40</v>
      </c>
      <c r="O98" s="5" t="s">
        <v>5363</v>
      </c>
      <c r="P98" s="6" t="s">
        <v>42</v>
      </c>
      <c r="Q98" s="5" t="s">
        <v>1237</v>
      </c>
      <c r="R98" s="5" t="s">
        <v>5685</v>
      </c>
      <c r="S98" s="6" t="s">
        <v>50</v>
      </c>
      <c r="T98" s="6">
        <v>6766.0</v>
      </c>
    </row>
    <row r="99" ht="56.25" customHeight="1">
      <c r="A99" s="5" t="s">
        <v>5682</v>
      </c>
      <c r="B99" s="6" t="str">
        <f>image("https://storage.googleapis.com/acdb/photos/BromideNpcNmlCat19_Remake_1_0.png")</f>
        <v/>
      </c>
      <c r="C99" s="5" t="s">
        <v>1132</v>
      </c>
      <c r="D99" s="5" t="s">
        <v>1327</v>
      </c>
      <c r="E99" s="5" t="s">
        <v>34</v>
      </c>
      <c r="F99" s="5" t="s">
        <v>34</v>
      </c>
      <c r="G99" s="5" t="s">
        <v>36</v>
      </c>
      <c r="H99" s="5" t="s">
        <v>35</v>
      </c>
      <c r="I99" s="6">
        <v>1.0</v>
      </c>
      <c r="J99" s="6" t="s">
        <v>37</v>
      </c>
      <c r="K99" s="6">
        <v>10.0</v>
      </c>
      <c r="L99" s="5"/>
      <c r="M99" s="5"/>
      <c r="N99" s="6" t="s">
        <v>40</v>
      </c>
      <c r="O99" s="5" t="s">
        <v>5363</v>
      </c>
      <c r="P99" s="6" t="s">
        <v>42</v>
      </c>
      <c r="Q99" s="5" t="s">
        <v>1237</v>
      </c>
      <c r="R99" s="5" t="s">
        <v>5687</v>
      </c>
      <c r="S99" s="6" t="s">
        <v>56</v>
      </c>
      <c r="T99" s="6">
        <v>6766.0</v>
      </c>
    </row>
    <row r="100" ht="56.25" customHeight="1">
      <c r="A100" s="5" t="s">
        <v>5682</v>
      </c>
      <c r="B100" s="6" t="str">
        <f>image("https://storage.googleapis.com/acdb/photos/BromideNpcNmlCat19_Remake_2_0.png")</f>
        <v/>
      </c>
      <c r="C100" s="5" t="s">
        <v>688</v>
      </c>
      <c r="D100" s="5" t="s">
        <v>1327</v>
      </c>
      <c r="E100" s="5" t="s">
        <v>34</v>
      </c>
      <c r="F100" s="5" t="s">
        <v>34</v>
      </c>
      <c r="G100" s="5" t="s">
        <v>36</v>
      </c>
      <c r="H100" s="5" t="s">
        <v>35</v>
      </c>
      <c r="I100" s="6">
        <v>1.0</v>
      </c>
      <c r="J100" s="6" t="s">
        <v>37</v>
      </c>
      <c r="K100" s="6">
        <v>10.0</v>
      </c>
      <c r="L100" s="5"/>
      <c r="M100" s="5"/>
      <c r="N100" s="6" t="s">
        <v>40</v>
      </c>
      <c r="O100" s="5" t="s">
        <v>5363</v>
      </c>
      <c r="P100" s="6" t="s">
        <v>42</v>
      </c>
      <c r="Q100" s="5" t="s">
        <v>1237</v>
      </c>
      <c r="R100" s="5" t="s">
        <v>5691</v>
      </c>
      <c r="S100" s="6" t="s">
        <v>67</v>
      </c>
      <c r="T100" s="6">
        <v>6766.0</v>
      </c>
    </row>
    <row r="101" ht="56.25" customHeight="1">
      <c r="A101" s="5" t="s">
        <v>5682</v>
      </c>
      <c r="B101" s="6" t="str">
        <f>image("https://storage.googleapis.com/acdb/photos/BromideNpcNmlCat19_Remake_3_0.png")</f>
        <v/>
      </c>
      <c r="C101" s="5" t="s">
        <v>57</v>
      </c>
      <c r="D101" s="5" t="s">
        <v>1327</v>
      </c>
      <c r="E101" s="5" t="s">
        <v>34</v>
      </c>
      <c r="F101" s="5" t="s">
        <v>34</v>
      </c>
      <c r="G101" s="5" t="s">
        <v>36</v>
      </c>
      <c r="H101" s="5" t="s">
        <v>35</v>
      </c>
      <c r="I101" s="6">
        <v>1.0</v>
      </c>
      <c r="J101" s="6" t="s">
        <v>37</v>
      </c>
      <c r="K101" s="6">
        <v>10.0</v>
      </c>
      <c r="L101" s="5"/>
      <c r="M101" s="5"/>
      <c r="N101" s="6" t="s">
        <v>40</v>
      </c>
      <c r="O101" s="5" t="s">
        <v>5363</v>
      </c>
      <c r="P101" s="6" t="s">
        <v>42</v>
      </c>
      <c r="Q101" s="5" t="s">
        <v>1237</v>
      </c>
      <c r="R101" s="5" t="s">
        <v>5693</v>
      </c>
      <c r="S101" s="6" t="s">
        <v>71</v>
      </c>
      <c r="T101" s="6">
        <v>6766.0</v>
      </c>
    </row>
    <row r="102" ht="56.25" customHeight="1">
      <c r="A102" s="5" t="s">
        <v>5682</v>
      </c>
      <c r="B102" s="6" t="str">
        <f>image("https://storage.googleapis.com/acdb/photos/BromideNpcNmlCat19_Remake_4_0.png")</f>
        <v/>
      </c>
      <c r="C102" s="5" t="s">
        <v>1167</v>
      </c>
      <c r="D102" s="5" t="s">
        <v>1327</v>
      </c>
      <c r="E102" s="5" t="s">
        <v>34</v>
      </c>
      <c r="F102" s="5" t="s">
        <v>34</v>
      </c>
      <c r="G102" s="5" t="s">
        <v>36</v>
      </c>
      <c r="H102" s="5" t="s">
        <v>35</v>
      </c>
      <c r="I102" s="6">
        <v>1.0</v>
      </c>
      <c r="J102" s="6" t="s">
        <v>37</v>
      </c>
      <c r="K102" s="6">
        <v>10.0</v>
      </c>
      <c r="L102" s="5"/>
      <c r="M102" s="5"/>
      <c r="N102" s="6" t="s">
        <v>40</v>
      </c>
      <c r="O102" s="5" t="s">
        <v>5363</v>
      </c>
      <c r="P102" s="6" t="s">
        <v>42</v>
      </c>
      <c r="Q102" s="5" t="s">
        <v>1237</v>
      </c>
      <c r="R102" s="5" t="s">
        <v>5696</v>
      </c>
      <c r="S102" s="6" t="s">
        <v>75</v>
      </c>
      <c r="T102" s="6">
        <v>6766.0</v>
      </c>
    </row>
    <row r="103" ht="56.25" customHeight="1">
      <c r="A103" s="5" t="s">
        <v>5682</v>
      </c>
      <c r="B103" s="6" t="str">
        <f>image("https://storage.googleapis.com/acdb/photos/BromideNpcNmlCat19_Remake_5_0.png")</f>
        <v/>
      </c>
      <c r="C103" s="5" t="s">
        <v>58</v>
      </c>
      <c r="D103" s="5" t="s">
        <v>1327</v>
      </c>
      <c r="E103" s="5" t="s">
        <v>34</v>
      </c>
      <c r="F103" s="5" t="s">
        <v>34</v>
      </c>
      <c r="G103" s="5" t="s">
        <v>36</v>
      </c>
      <c r="H103" s="5" t="s">
        <v>35</v>
      </c>
      <c r="I103" s="6">
        <v>1.0</v>
      </c>
      <c r="J103" s="6" t="s">
        <v>37</v>
      </c>
      <c r="K103" s="6">
        <v>10.0</v>
      </c>
      <c r="L103" s="5"/>
      <c r="M103" s="5"/>
      <c r="N103" s="6" t="s">
        <v>40</v>
      </c>
      <c r="O103" s="5" t="s">
        <v>5363</v>
      </c>
      <c r="P103" s="6" t="s">
        <v>42</v>
      </c>
      <c r="Q103" s="5" t="s">
        <v>1237</v>
      </c>
      <c r="R103" s="5" t="s">
        <v>5699</v>
      </c>
      <c r="S103" s="6" t="s">
        <v>79</v>
      </c>
      <c r="T103" s="6">
        <v>6766.0</v>
      </c>
    </row>
    <row r="104" ht="56.25" customHeight="1">
      <c r="A104" s="5" t="s">
        <v>5682</v>
      </c>
      <c r="B104" s="6" t="str">
        <f>image("https://storage.googleapis.com/acdb/photos/BromideNpcNmlCat19_Remake_6_0.png")</f>
        <v/>
      </c>
      <c r="C104" s="5" t="s">
        <v>146</v>
      </c>
      <c r="D104" s="5" t="s">
        <v>1327</v>
      </c>
      <c r="E104" s="5" t="s">
        <v>34</v>
      </c>
      <c r="F104" s="5" t="s">
        <v>34</v>
      </c>
      <c r="G104" s="5" t="s">
        <v>36</v>
      </c>
      <c r="H104" s="5" t="s">
        <v>35</v>
      </c>
      <c r="I104" s="6">
        <v>1.0</v>
      </c>
      <c r="J104" s="6" t="s">
        <v>37</v>
      </c>
      <c r="K104" s="6">
        <v>10.0</v>
      </c>
      <c r="L104" s="5"/>
      <c r="M104" s="5"/>
      <c r="N104" s="6" t="s">
        <v>40</v>
      </c>
      <c r="O104" s="5" t="s">
        <v>5363</v>
      </c>
      <c r="P104" s="6" t="s">
        <v>42</v>
      </c>
      <c r="Q104" s="5" t="s">
        <v>1237</v>
      </c>
      <c r="R104" s="5" t="s">
        <v>5702</v>
      </c>
      <c r="S104" s="6" t="s">
        <v>86</v>
      </c>
      <c r="T104" s="6">
        <v>6766.0</v>
      </c>
    </row>
    <row r="105" ht="56.25" customHeight="1">
      <c r="A105" s="5" t="s">
        <v>5682</v>
      </c>
      <c r="B105" s="6" t="str">
        <f>image("https://storage.googleapis.com/acdb/photos/BromideNpcNmlCat19_Remake_7_0.png")</f>
        <v/>
      </c>
      <c r="C105" s="5" t="s">
        <v>151</v>
      </c>
      <c r="D105" s="5" t="s">
        <v>1327</v>
      </c>
      <c r="E105" s="5" t="s">
        <v>34</v>
      </c>
      <c r="F105" s="5" t="s">
        <v>34</v>
      </c>
      <c r="G105" s="5" t="s">
        <v>36</v>
      </c>
      <c r="H105" s="5" t="s">
        <v>35</v>
      </c>
      <c r="I105" s="6">
        <v>1.0</v>
      </c>
      <c r="J105" s="6" t="s">
        <v>37</v>
      </c>
      <c r="K105" s="6">
        <v>10.0</v>
      </c>
      <c r="L105" s="5"/>
      <c r="M105" s="5"/>
      <c r="N105" s="6" t="s">
        <v>40</v>
      </c>
      <c r="O105" s="5" t="s">
        <v>5363</v>
      </c>
      <c r="P105" s="6" t="s">
        <v>42</v>
      </c>
      <c r="Q105" s="5" t="s">
        <v>1237</v>
      </c>
      <c r="R105" s="5" t="s">
        <v>5707</v>
      </c>
      <c r="S105" s="6" t="s">
        <v>208</v>
      </c>
      <c r="T105" s="6">
        <v>6766.0</v>
      </c>
    </row>
    <row r="106" ht="56.25" customHeight="1">
      <c r="A106" s="5" t="s">
        <v>5708</v>
      </c>
      <c r="B106" s="6" t="str">
        <f>image("https://storage.googleapis.com/acdb/photos/BromideNpcNmlAnt08_Remake_0_0.png")</f>
        <v/>
      </c>
      <c r="C106" s="5" t="s">
        <v>366</v>
      </c>
      <c r="D106" s="5" t="s">
        <v>1327</v>
      </c>
      <c r="E106" s="5" t="s">
        <v>34</v>
      </c>
      <c r="F106" s="5" t="s">
        <v>34</v>
      </c>
      <c r="G106" s="5" t="s">
        <v>36</v>
      </c>
      <c r="H106" s="5" t="s">
        <v>35</v>
      </c>
      <c r="I106" s="6">
        <v>1.0</v>
      </c>
      <c r="J106" s="6" t="s">
        <v>37</v>
      </c>
      <c r="K106" s="6">
        <v>10.0</v>
      </c>
      <c r="L106" s="5"/>
      <c r="M106" s="5"/>
      <c r="N106" s="6" t="s">
        <v>40</v>
      </c>
      <c r="O106" s="5" t="s">
        <v>5363</v>
      </c>
      <c r="P106" s="6" t="s">
        <v>42</v>
      </c>
      <c r="Q106" s="5" t="s">
        <v>1237</v>
      </c>
      <c r="R106" s="5" t="s">
        <v>5711</v>
      </c>
      <c r="S106" s="6" t="s">
        <v>50</v>
      </c>
      <c r="T106" s="6">
        <v>6765.0</v>
      </c>
    </row>
    <row r="107" ht="56.25" customHeight="1">
      <c r="A107" s="5" t="s">
        <v>5708</v>
      </c>
      <c r="B107" s="6" t="str">
        <f>image("https://storage.googleapis.com/acdb/photos/BromideNpcNmlAnt08_Remake_1_0.png")</f>
        <v/>
      </c>
      <c r="C107" s="5" t="s">
        <v>1132</v>
      </c>
      <c r="D107" s="5" t="s">
        <v>1327</v>
      </c>
      <c r="E107" s="5" t="s">
        <v>34</v>
      </c>
      <c r="F107" s="5" t="s">
        <v>34</v>
      </c>
      <c r="G107" s="5" t="s">
        <v>36</v>
      </c>
      <c r="H107" s="5" t="s">
        <v>35</v>
      </c>
      <c r="I107" s="6">
        <v>1.0</v>
      </c>
      <c r="J107" s="6" t="s">
        <v>37</v>
      </c>
      <c r="K107" s="6">
        <v>10.0</v>
      </c>
      <c r="L107" s="5"/>
      <c r="M107" s="5"/>
      <c r="N107" s="6" t="s">
        <v>40</v>
      </c>
      <c r="O107" s="5" t="s">
        <v>5363</v>
      </c>
      <c r="P107" s="6" t="s">
        <v>42</v>
      </c>
      <c r="Q107" s="5" t="s">
        <v>1237</v>
      </c>
      <c r="R107" s="5" t="s">
        <v>5712</v>
      </c>
      <c r="S107" s="6" t="s">
        <v>56</v>
      </c>
      <c r="T107" s="6">
        <v>6765.0</v>
      </c>
    </row>
    <row r="108" ht="56.25" customHeight="1">
      <c r="A108" s="5" t="s">
        <v>5708</v>
      </c>
      <c r="B108" s="6" t="str">
        <f>image("https://storage.googleapis.com/acdb/photos/BromideNpcNmlAnt08_Remake_2_0.png")</f>
        <v/>
      </c>
      <c r="C108" s="5" t="s">
        <v>688</v>
      </c>
      <c r="D108" s="5" t="s">
        <v>1327</v>
      </c>
      <c r="E108" s="5" t="s">
        <v>34</v>
      </c>
      <c r="F108" s="5" t="s">
        <v>34</v>
      </c>
      <c r="G108" s="5" t="s">
        <v>36</v>
      </c>
      <c r="H108" s="5" t="s">
        <v>35</v>
      </c>
      <c r="I108" s="6">
        <v>1.0</v>
      </c>
      <c r="J108" s="6" t="s">
        <v>37</v>
      </c>
      <c r="K108" s="6">
        <v>10.0</v>
      </c>
      <c r="L108" s="5"/>
      <c r="M108" s="5"/>
      <c r="N108" s="6" t="s">
        <v>40</v>
      </c>
      <c r="O108" s="5" t="s">
        <v>5363</v>
      </c>
      <c r="P108" s="6" t="s">
        <v>42</v>
      </c>
      <c r="Q108" s="5" t="s">
        <v>1237</v>
      </c>
      <c r="R108" s="5" t="s">
        <v>5715</v>
      </c>
      <c r="S108" s="6" t="s">
        <v>67</v>
      </c>
      <c r="T108" s="6">
        <v>6765.0</v>
      </c>
    </row>
    <row r="109" ht="56.25" customHeight="1">
      <c r="A109" s="5" t="s">
        <v>5708</v>
      </c>
      <c r="B109" s="6" t="str">
        <f>image("https://storage.googleapis.com/acdb/photos/BromideNpcNmlAnt08_Remake_3_0.png")</f>
        <v/>
      </c>
      <c r="C109" s="5" t="s">
        <v>57</v>
      </c>
      <c r="D109" s="5" t="s">
        <v>1327</v>
      </c>
      <c r="E109" s="5" t="s">
        <v>34</v>
      </c>
      <c r="F109" s="5" t="s">
        <v>34</v>
      </c>
      <c r="G109" s="5" t="s">
        <v>36</v>
      </c>
      <c r="H109" s="5" t="s">
        <v>35</v>
      </c>
      <c r="I109" s="6">
        <v>1.0</v>
      </c>
      <c r="J109" s="6" t="s">
        <v>37</v>
      </c>
      <c r="K109" s="6">
        <v>10.0</v>
      </c>
      <c r="L109" s="5"/>
      <c r="M109" s="5"/>
      <c r="N109" s="6" t="s">
        <v>40</v>
      </c>
      <c r="O109" s="5" t="s">
        <v>5363</v>
      </c>
      <c r="P109" s="6" t="s">
        <v>42</v>
      </c>
      <c r="Q109" s="5" t="s">
        <v>1237</v>
      </c>
      <c r="R109" s="5" t="s">
        <v>5719</v>
      </c>
      <c r="S109" s="6" t="s">
        <v>71</v>
      </c>
      <c r="T109" s="6">
        <v>6765.0</v>
      </c>
    </row>
    <row r="110" ht="56.25" customHeight="1">
      <c r="A110" s="5" t="s">
        <v>5708</v>
      </c>
      <c r="B110" s="6" t="str">
        <f>image("https://storage.googleapis.com/acdb/photos/BromideNpcNmlAnt08_Remake_4_0.png")</f>
        <v/>
      </c>
      <c r="C110" s="5" t="s">
        <v>1167</v>
      </c>
      <c r="D110" s="5" t="s">
        <v>1327</v>
      </c>
      <c r="E110" s="5" t="s">
        <v>34</v>
      </c>
      <c r="F110" s="5" t="s">
        <v>34</v>
      </c>
      <c r="G110" s="5" t="s">
        <v>36</v>
      </c>
      <c r="H110" s="5" t="s">
        <v>35</v>
      </c>
      <c r="I110" s="6">
        <v>1.0</v>
      </c>
      <c r="J110" s="6" t="s">
        <v>37</v>
      </c>
      <c r="K110" s="6">
        <v>10.0</v>
      </c>
      <c r="L110" s="5"/>
      <c r="M110" s="5"/>
      <c r="N110" s="6" t="s">
        <v>40</v>
      </c>
      <c r="O110" s="5" t="s">
        <v>5363</v>
      </c>
      <c r="P110" s="6" t="s">
        <v>42</v>
      </c>
      <c r="Q110" s="5" t="s">
        <v>1237</v>
      </c>
      <c r="R110" s="5" t="s">
        <v>5722</v>
      </c>
      <c r="S110" s="6" t="s">
        <v>75</v>
      </c>
      <c r="T110" s="6">
        <v>6765.0</v>
      </c>
    </row>
    <row r="111" ht="56.25" customHeight="1">
      <c r="A111" s="5" t="s">
        <v>5708</v>
      </c>
      <c r="B111" s="6" t="str">
        <f>image("https://storage.googleapis.com/acdb/photos/BromideNpcNmlAnt08_Remake_5_0.png")</f>
        <v/>
      </c>
      <c r="C111" s="5" t="s">
        <v>58</v>
      </c>
      <c r="D111" s="5" t="s">
        <v>1327</v>
      </c>
      <c r="E111" s="5" t="s">
        <v>34</v>
      </c>
      <c r="F111" s="5" t="s">
        <v>34</v>
      </c>
      <c r="G111" s="5" t="s">
        <v>36</v>
      </c>
      <c r="H111" s="5" t="s">
        <v>35</v>
      </c>
      <c r="I111" s="6">
        <v>1.0</v>
      </c>
      <c r="J111" s="6" t="s">
        <v>37</v>
      </c>
      <c r="K111" s="6">
        <v>10.0</v>
      </c>
      <c r="L111" s="5"/>
      <c r="M111" s="5"/>
      <c r="N111" s="6" t="s">
        <v>40</v>
      </c>
      <c r="O111" s="5" t="s">
        <v>5363</v>
      </c>
      <c r="P111" s="6" t="s">
        <v>42</v>
      </c>
      <c r="Q111" s="5" t="s">
        <v>1237</v>
      </c>
      <c r="R111" s="5" t="s">
        <v>5725</v>
      </c>
      <c r="S111" s="6" t="s">
        <v>79</v>
      </c>
      <c r="T111" s="6">
        <v>6765.0</v>
      </c>
    </row>
    <row r="112" ht="56.25" customHeight="1">
      <c r="A112" s="5" t="s">
        <v>5708</v>
      </c>
      <c r="B112" s="6" t="str">
        <f>image("https://storage.googleapis.com/acdb/photos/BromideNpcNmlAnt08_Remake_6_0.png")</f>
        <v/>
      </c>
      <c r="C112" s="5" t="s">
        <v>146</v>
      </c>
      <c r="D112" s="5" t="s">
        <v>1327</v>
      </c>
      <c r="E112" s="5" t="s">
        <v>34</v>
      </c>
      <c r="F112" s="5" t="s">
        <v>34</v>
      </c>
      <c r="G112" s="5" t="s">
        <v>36</v>
      </c>
      <c r="H112" s="5" t="s">
        <v>35</v>
      </c>
      <c r="I112" s="6">
        <v>1.0</v>
      </c>
      <c r="J112" s="6" t="s">
        <v>37</v>
      </c>
      <c r="K112" s="6">
        <v>10.0</v>
      </c>
      <c r="L112" s="5"/>
      <c r="M112" s="5"/>
      <c r="N112" s="6" t="s">
        <v>40</v>
      </c>
      <c r="O112" s="5" t="s">
        <v>5363</v>
      </c>
      <c r="P112" s="6" t="s">
        <v>42</v>
      </c>
      <c r="Q112" s="5" t="s">
        <v>1237</v>
      </c>
      <c r="R112" s="5" t="s">
        <v>5729</v>
      </c>
      <c r="S112" s="6" t="s">
        <v>86</v>
      </c>
      <c r="T112" s="6">
        <v>6765.0</v>
      </c>
    </row>
    <row r="113" ht="56.25" customHeight="1">
      <c r="A113" s="5" t="s">
        <v>5708</v>
      </c>
      <c r="B113" s="6" t="str">
        <f>image("https://storage.googleapis.com/acdb/photos/BromideNpcNmlAnt08_Remake_7_0.png")</f>
        <v/>
      </c>
      <c r="C113" s="5" t="s">
        <v>151</v>
      </c>
      <c r="D113" s="5" t="s">
        <v>1327</v>
      </c>
      <c r="E113" s="5" t="s">
        <v>34</v>
      </c>
      <c r="F113" s="5" t="s">
        <v>34</v>
      </c>
      <c r="G113" s="5" t="s">
        <v>36</v>
      </c>
      <c r="H113" s="5" t="s">
        <v>35</v>
      </c>
      <c r="I113" s="6">
        <v>1.0</v>
      </c>
      <c r="J113" s="6" t="s">
        <v>37</v>
      </c>
      <c r="K113" s="6">
        <v>10.0</v>
      </c>
      <c r="L113" s="5"/>
      <c r="M113" s="5"/>
      <c r="N113" s="6" t="s">
        <v>40</v>
      </c>
      <c r="O113" s="5" t="s">
        <v>5363</v>
      </c>
      <c r="P113" s="6" t="s">
        <v>42</v>
      </c>
      <c r="Q113" s="5" t="s">
        <v>1237</v>
      </c>
      <c r="R113" s="5" t="s">
        <v>5732</v>
      </c>
      <c r="S113" s="6" t="s">
        <v>208</v>
      </c>
      <c r="T113" s="6">
        <v>6765.0</v>
      </c>
    </row>
    <row r="114" ht="56.25" customHeight="1">
      <c r="A114" s="5" t="s">
        <v>5733</v>
      </c>
      <c r="B114" s="6" t="str">
        <f>image("https://storage.googleapis.com/acdb/photos/BromideNpcNmlHrs09_Remake_0_0.png")</f>
        <v/>
      </c>
      <c r="C114" s="5" t="s">
        <v>366</v>
      </c>
      <c r="D114" s="5" t="s">
        <v>1327</v>
      </c>
      <c r="E114" s="5" t="s">
        <v>34</v>
      </c>
      <c r="F114" s="5" t="s">
        <v>34</v>
      </c>
      <c r="G114" s="5" t="s">
        <v>36</v>
      </c>
      <c r="H114" s="5" t="s">
        <v>35</v>
      </c>
      <c r="I114" s="6">
        <v>1.0</v>
      </c>
      <c r="J114" s="6" t="s">
        <v>37</v>
      </c>
      <c r="K114" s="6">
        <v>10.0</v>
      </c>
      <c r="L114" s="5"/>
      <c r="M114" s="5"/>
      <c r="N114" s="6" t="s">
        <v>40</v>
      </c>
      <c r="O114" s="5" t="s">
        <v>5363</v>
      </c>
      <c r="P114" s="6" t="s">
        <v>42</v>
      </c>
      <c r="Q114" s="5" t="s">
        <v>1237</v>
      </c>
      <c r="R114" s="5" t="s">
        <v>5735</v>
      </c>
      <c r="S114" s="6" t="s">
        <v>50</v>
      </c>
      <c r="T114" s="6">
        <v>6548.0</v>
      </c>
    </row>
    <row r="115" ht="56.25" customHeight="1">
      <c r="A115" s="5" t="s">
        <v>5733</v>
      </c>
      <c r="B115" s="6" t="str">
        <f>image("https://storage.googleapis.com/acdb/photos/BromideNpcNmlHrs09_Remake_1_0.png")</f>
        <v/>
      </c>
      <c r="C115" s="5" t="s">
        <v>1132</v>
      </c>
      <c r="D115" s="5" t="s">
        <v>1327</v>
      </c>
      <c r="E115" s="5" t="s">
        <v>34</v>
      </c>
      <c r="F115" s="5" t="s">
        <v>34</v>
      </c>
      <c r="G115" s="5" t="s">
        <v>36</v>
      </c>
      <c r="H115" s="5" t="s">
        <v>35</v>
      </c>
      <c r="I115" s="6">
        <v>1.0</v>
      </c>
      <c r="J115" s="6" t="s">
        <v>37</v>
      </c>
      <c r="K115" s="6">
        <v>10.0</v>
      </c>
      <c r="L115" s="5"/>
      <c r="M115" s="5"/>
      <c r="N115" s="6" t="s">
        <v>40</v>
      </c>
      <c r="O115" s="5" t="s">
        <v>5363</v>
      </c>
      <c r="P115" s="6" t="s">
        <v>42</v>
      </c>
      <c r="Q115" s="5" t="s">
        <v>1237</v>
      </c>
      <c r="R115" s="5" t="s">
        <v>5739</v>
      </c>
      <c r="S115" s="6" t="s">
        <v>56</v>
      </c>
      <c r="T115" s="6">
        <v>6548.0</v>
      </c>
    </row>
    <row r="116" ht="56.25" customHeight="1">
      <c r="A116" s="5" t="s">
        <v>5733</v>
      </c>
      <c r="B116" s="6" t="str">
        <f>image("https://storage.googleapis.com/acdb/photos/BromideNpcNmlHrs09_Remake_2_0.png")</f>
        <v/>
      </c>
      <c r="C116" s="5" t="s">
        <v>688</v>
      </c>
      <c r="D116" s="5" t="s">
        <v>1327</v>
      </c>
      <c r="E116" s="5" t="s">
        <v>34</v>
      </c>
      <c r="F116" s="5" t="s">
        <v>34</v>
      </c>
      <c r="G116" s="5" t="s">
        <v>36</v>
      </c>
      <c r="H116" s="5" t="s">
        <v>35</v>
      </c>
      <c r="I116" s="6">
        <v>1.0</v>
      </c>
      <c r="J116" s="6" t="s">
        <v>37</v>
      </c>
      <c r="K116" s="6">
        <v>10.0</v>
      </c>
      <c r="L116" s="5"/>
      <c r="M116" s="5"/>
      <c r="N116" s="6" t="s">
        <v>40</v>
      </c>
      <c r="O116" s="5" t="s">
        <v>5363</v>
      </c>
      <c r="P116" s="6" t="s">
        <v>42</v>
      </c>
      <c r="Q116" s="5" t="s">
        <v>1237</v>
      </c>
      <c r="R116" s="5" t="s">
        <v>5743</v>
      </c>
      <c r="S116" s="6" t="s">
        <v>67</v>
      </c>
      <c r="T116" s="6">
        <v>6548.0</v>
      </c>
    </row>
    <row r="117" ht="56.25" customHeight="1">
      <c r="A117" s="5" t="s">
        <v>5733</v>
      </c>
      <c r="B117" s="6" t="str">
        <f>image("https://storage.googleapis.com/acdb/photos/BromideNpcNmlHrs09_Remake_3_0.png")</f>
        <v/>
      </c>
      <c r="C117" s="5" t="s">
        <v>57</v>
      </c>
      <c r="D117" s="5" t="s">
        <v>1327</v>
      </c>
      <c r="E117" s="5" t="s">
        <v>34</v>
      </c>
      <c r="F117" s="5" t="s">
        <v>34</v>
      </c>
      <c r="G117" s="5" t="s">
        <v>36</v>
      </c>
      <c r="H117" s="5" t="s">
        <v>35</v>
      </c>
      <c r="I117" s="6">
        <v>1.0</v>
      </c>
      <c r="J117" s="6" t="s">
        <v>37</v>
      </c>
      <c r="K117" s="6">
        <v>10.0</v>
      </c>
      <c r="L117" s="5"/>
      <c r="M117" s="5"/>
      <c r="N117" s="6" t="s">
        <v>40</v>
      </c>
      <c r="O117" s="5" t="s">
        <v>5363</v>
      </c>
      <c r="P117" s="6" t="s">
        <v>42</v>
      </c>
      <c r="Q117" s="5" t="s">
        <v>1237</v>
      </c>
      <c r="R117" s="5" t="s">
        <v>5745</v>
      </c>
      <c r="S117" s="6" t="s">
        <v>71</v>
      </c>
      <c r="T117" s="6">
        <v>6548.0</v>
      </c>
    </row>
    <row r="118" ht="56.25" customHeight="1">
      <c r="A118" s="5" t="s">
        <v>5733</v>
      </c>
      <c r="B118" s="6" t="str">
        <f>image("https://storage.googleapis.com/acdb/photos/BromideNpcNmlHrs09_Remake_4_0.png")</f>
        <v/>
      </c>
      <c r="C118" s="5" t="s">
        <v>1167</v>
      </c>
      <c r="D118" s="5" t="s">
        <v>1327</v>
      </c>
      <c r="E118" s="5" t="s">
        <v>34</v>
      </c>
      <c r="F118" s="5" t="s">
        <v>34</v>
      </c>
      <c r="G118" s="5" t="s">
        <v>36</v>
      </c>
      <c r="H118" s="5" t="s">
        <v>35</v>
      </c>
      <c r="I118" s="6">
        <v>1.0</v>
      </c>
      <c r="J118" s="6" t="s">
        <v>37</v>
      </c>
      <c r="K118" s="6">
        <v>10.0</v>
      </c>
      <c r="L118" s="5"/>
      <c r="M118" s="5"/>
      <c r="N118" s="6" t="s">
        <v>40</v>
      </c>
      <c r="O118" s="5" t="s">
        <v>5363</v>
      </c>
      <c r="P118" s="6" t="s">
        <v>42</v>
      </c>
      <c r="Q118" s="5" t="s">
        <v>1237</v>
      </c>
      <c r="R118" s="5" t="s">
        <v>5748</v>
      </c>
      <c r="S118" s="6" t="s">
        <v>75</v>
      </c>
      <c r="T118" s="6">
        <v>6548.0</v>
      </c>
    </row>
    <row r="119" ht="56.25" customHeight="1">
      <c r="A119" s="5" t="s">
        <v>5733</v>
      </c>
      <c r="B119" s="6" t="str">
        <f>image("https://storage.googleapis.com/acdb/photos/BromideNpcNmlHrs09_Remake_5_0.png")</f>
        <v/>
      </c>
      <c r="C119" s="5" t="s">
        <v>58</v>
      </c>
      <c r="D119" s="5" t="s">
        <v>1327</v>
      </c>
      <c r="E119" s="5" t="s">
        <v>34</v>
      </c>
      <c r="F119" s="5" t="s">
        <v>34</v>
      </c>
      <c r="G119" s="5" t="s">
        <v>36</v>
      </c>
      <c r="H119" s="5" t="s">
        <v>35</v>
      </c>
      <c r="I119" s="6">
        <v>1.0</v>
      </c>
      <c r="J119" s="6" t="s">
        <v>37</v>
      </c>
      <c r="K119" s="6">
        <v>10.0</v>
      </c>
      <c r="L119" s="5"/>
      <c r="M119" s="5"/>
      <c r="N119" s="6" t="s">
        <v>40</v>
      </c>
      <c r="O119" s="5" t="s">
        <v>5363</v>
      </c>
      <c r="P119" s="6" t="s">
        <v>42</v>
      </c>
      <c r="Q119" s="5" t="s">
        <v>1237</v>
      </c>
      <c r="R119" s="5" t="s">
        <v>5753</v>
      </c>
      <c r="S119" s="6" t="s">
        <v>79</v>
      </c>
      <c r="T119" s="6">
        <v>6548.0</v>
      </c>
    </row>
    <row r="120" ht="56.25" customHeight="1">
      <c r="A120" s="5" t="s">
        <v>5733</v>
      </c>
      <c r="B120" s="6" t="str">
        <f>image("https://storage.googleapis.com/acdb/photos/BromideNpcNmlHrs09_Remake_6_0.png")</f>
        <v/>
      </c>
      <c r="C120" s="5" t="s">
        <v>146</v>
      </c>
      <c r="D120" s="5" t="s">
        <v>1327</v>
      </c>
      <c r="E120" s="5" t="s">
        <v>34</v>
      </c>
      <c r="F120" s="5" t="s">
        <v>34</v>
      </c>
      <c r="G120" s="5" t="s">
        <v>36</v>
      </c>
      <c r="H120" s="5" t="s">
        <v>35</v>
      </c>
      <c r="I120" s="6">
        <v>1.0</v>
      </c>
      <c r="J120" s="6" t="s">
        <v>37</v>
      </c>
      <c r="K120" s="6">
        <v>10.0</v>
      </c>
      <c r="L120" s="5"/>
      <c r="M120" s="5"/>
      <c r="N120" s="6" t="s">
        <v>40</v>
      </c>
      <c r="O120" s="5" t="s">
        <v>5363</v>
      </c>
      <c r="P120" s="6" t="s">
        <v>42</v>
      </c>
      <c r="Q120" s="5" t="s">
        <v>1237</v>
      </c>
      <c r="R120" s="5" t="s">
        <v>5758</v>
      </c>
      <c r="S120" s="6" t="s">
        <v>86</v>
      </c>
      <c r="T120" s="6">
        <v>6548.0</v>
      </c>
    </row>
    <row r="121" ht="56.25" customHeight="1">
      <c r="A121" s="5" t="s">
        <v>5733</v>
      </c>
      <c r="B121" s="6" t="str">
        <f>image("https://storage.googleapis.com/acdb/photos/BromideNpcNmlHrs09_Remake_7_0.png")</f>
        <v/>
      </c>
      <c r="C121" s="5" t="s">
        <v>151</v>
      </c>
      <c r="D121" s="5" t="s">
        <v>1327</v>
      </c>
      <c r="E121" s="5" t="s">
        <v>34</v>
      </c>
      <c r="F121" s="5" t="s">
        <v>34</v>
      </c>
      <c r="G121" s="5" t="s">
        <v>36</v>
      </c>
      <c r="H121" s="5" t="s">
        <v>35</v>
      </c>
      <c r="I121" s="6">
        <v>1.0</v>
      </c>
      <c r="J121" s="6" t="s">
        <v>37</v>
      </c>
      <c r="K121" s="6">
        <v>10.0</v>
      </c>
      <c r="L121" s="5"/>
      <c r="M121" s="5"/>
      <c r="N121" s="6" t="s">
        <v>40</v>
      </c>
      <c r="O121" s="5" t="s">
        <v>5363</v>
      </c>
      <c r="P121" s="6" t="s">
        <v>42</v>
      </c>
      <c r="Q121" s="5" t="s">
        <v>1237</v>
      </c>
      <c r="R121" s="5" t="s">
        <v>5763</v>
      </c>
      <c r="S121" s="6" t="s">
        <v>208</v>
      </c>
      <c r="T121" s="6">
        <v>6548.0</v>
      </c>
    </row>
    <row r="122" ht="56.25" customHeight="1">
      <c r="A122" s="5" t="s">
        <v>5764</v>
      </c>
      <c r="B122" s="6" t="str">
        <f>image("https://storage.googleapis.com/acdb/photos/BromideNpcNmlAnt01_Remake_0_0.png")</f>
        <v/>
      </c>
      <c r="C122" s="5" t="s">
        <v>366</v>
      </c>
      <c r="D122" s="5" t="s">
        <v>1327</v>
      </c>
      <c r="E122" s="5" t="s">
        <v>34</v>
      </c>
      <c r="F122" s="5" t="s">
        <v>34</v>
      </c>
      <c r="G122" s="5" t="s">
        <v>36</v>
      </c>
      <c r="H122" s="5" t="s">
        <v>35</v>
      </c>
      <c r="I122" s="6">
        <v>1.0</v>
      </c>
      <c r="J122" s="6" t="s">
        <v>37</v>
      </c>
      <c r="K122" s="6">
        <v>10.0</v>
      </c>
      <c r="L122" s="5"/>
      <c r="M122" s="5"/>
      <c r="N122" s="6" t="s">
        <v>40</v>
      </c>
      <c r="O122" s="5" t="s">
        <v>5363</v>
      </c>
      <c r="P122" s="6" t="s">
        <v>42</v>
      </c>
      <c r="Q122" s="5" t="s">
        <v>1237</v>
      </c>
      <c r="R122" s="5" t="s">
        <v>5765</v>
      </c>
      <c r="S122" s="6" t="s">
        <v>50</v>
      </c>
      <c r="T122" s="6">
        <v>6537.0</v>
      </c>
    </row>
    <row r="123" ht="56.25" customHeight="1">
      <c r="A123" s="5" t="s">
        <v>5764</v>
      </c>
      <c r="B123" s="6" t="str">
        <f>image("https://storage.googleapis.com/acdb/photos/BromideNpcNmlAnt01_Remake_1_0.png")</f>
        <v/>
      </c>
      <c r="C123" s="5" t="s">
        <v>1132</v>
      </c>
      <c r="D123" s="5" t="s">
        <v>1327</v>
      </c>
      <c r="E123" s="5" t="s">
        <v>34</v>
      </c>
      <c r="F123" s="5" t="s">
        <v>34</v>
      </c>
      <c r="G123" s="5" t="s">
        <v>36</v>
      </c>
      <c r="H123" s="5" t="s">
        <v>35</v>
      </c>
      <c r="I123" s="6">
        <v>1.0</v>
      </c>
      <c r="J123" s="6" t="s">
        <v>37</v>
      </c>
      <c r="K123" s="6">
        <v>10.0</v>
      </c>
      <c r="L123" s="5"/>
      <c r="M123" s="5"/>
      <c r="N123" s="6" t="s">
        <v>40</v>
      </c>
      <c r="O123" s="5" t="s">
        <v>5363</v>
      </c>
      <c r="P123" s="6" t="s">
        <v>42</v>
      </c>
      <c r="Q123" s="5" t="s">
        <v>1237</v>
      </c>
      <c r="R123" s="5" t="s">
        <v>5768</v>
      </c>
      <c r="S123" s="6" t="s">
        <v>56</v>
      </c>
      <c r="T123" s="6">
        <v>6537.0</v>
      </c>
    </row>
    <row r="124" ht="56.25" customHeight="1">
      <c r="A124" s="5" t="s">
        <v>5764</v>
      </c>
      <c r="B124" s="6" t="str">
        <f>image("https://storage.googleapis.com/acdb/photos/BromideNpcNmlAnt01_Remake_2_0.png")</f>
        <v/>
      </c>
      <c r="C124" s="5" t="s">
        <v>688</v>
      </c>
      <c r="D124" s="5" t="s">
        <v>1327</v>
      </c>
      <c r="E124" s="5" t="s">
        <v>34</v>
      </c>
      <c r="F124" s="5" t="s">
        <v>34</v>
      </c>
      <c r="G124" s="5" t="s">
        <v>36</v>
      </c>
      <c r="H124" s="5" t="s">
        <v>35</v>
      </c>
      <c r="I124" s="6">
        <v>1.0</v>
      </c>
      <c r="J124" s="6" t="s">
        <v>37</v>
      </c>
      <c r="K124" s="6">
        <v>10.0</v>
      </c>
      <c r="L124" s="5"/>
      <c r="M124" s="5"/>
      <c r="N124" s="6" t="s">
        <v>40</v>
      </c>
      <c r="O124" s="5" t="s">
        <v>5363</v>
      </c>
      <c r="P124" s="6" t="s">
        <v>42</v>
      </c>
      <c r="Q124" s="5" t="s">
        <v>1237</v>
      </c>
      <c r="R124" s="5" t="s">
        <v>5772</v>
      </c>
      <c r="S124" s="6" t="s">
        <v>67</v>
      </c>
      <c r="T124" s="6">
        <v>6537.0</v>
      </c>
    </row>
    <row r="125" ht="56.25" customHeight="1">
      <c r="A125" s="5" t="s">
        <v>5764</v>
      </c>
      <c r="B125" s="6" t="str">
        <f>image("https://storage.googleapis.com/acdb/photos/BromideNpcNmlAnt01_Remake_3_0.png")</f>
        <v/>
      </c>
      <c r="C125" s="5" t="s">
        <v>57</v>
      </c>
      <c r="D125" s="5" t="s">
        <v>1327</v>
      </c>
      <c r="E125" s="5" t="s">
        <v>34</v>
      </c>
      <c r="F125" s="5" t="s">
        <v>34</v>
      </c>
      <c r="G125" s="5" t="s">
        <v>36</v>
      </c>
      <c r="H125" s="5" t="s">
        <v>35</v>
      </c>
      <c r="I125" s="6">
        <v>1.0</v>
      </c>
      <c r="J125" s="6" t="s">
        <v>37</v>
      </c>
      <c r="K125" s="6">
        <v>10.0</v>
      </c>
      <c r="L125" s="5"/>
      <c r="M125" s="5"/>
      <c r="N125" s="6" t="s">
        <v>40</v>
      </c>
      <c r="O125" s="5" t="s">
        <v>5363</v>
      </c>
      <c r="P125" s="6" t="s">
        <v>42</v>
      </c>
      <c r="Q125" s="5" t="s">
        <v>1237</v>
      </c>
      <c r="R125" s="5" t="s">
        <v>5774</v>
      </c>
      <c r="S125" s="6" t="s">
        <v>71</v>
      </c>
      <c r="T125" s="6">
        <v>6537.0</v>
      </c>
    </row>
    <row r="126" ht="56.25" customHeight="1">
      <c r="A126" s="5" t="s">
        <v>5764</v>
      </c>
      <c r="B126" s="6" t="str">
        <f>image("https://storage.googleapis.com/acdb/photos/BromideNpcNmlAnt01_Remake_4_0.png")</f>
        <v/>
      </c>
      <c r="C126" s="5" t="s">
        <v>1167</v>
      </c>
      <c r="D126" s="5" t="s">
        <v>1327</v>
      </c>
      <c r="E126" s="5" t="s">
        <v>34</v>
      </c>
      <c r="F126" s="5" t="s">
        <v>34</v>
      </c>
      <c r="G126" s="5" t="s">
        <v>36</v>
      </c>
      <c r="H126" s="5" t="s">
        <v>35</v>
      </c>
      <c r="I126" s="6">
        <v>1.0</v>
      </c>
      <c r="J126" s="6" t="s">
        <v>37</v>
      </c>
      <c r="K126" s="6">
        <v>10.0</v>
      </c>
      <c r="L126" s="5"/>
      <c r="M126" s="5"/>
      <c r="N126" s="6" t="s">
        <v>40</v>
      </c>
      <c r="O126" s="5" t="s">
        <v>5363</v>
      </c>
      <c r="P126" s="6" t="s">
        <v>42</v>
      </c>
      <c r="Q126" s="5" t="s">
        <v>1237</v>
      </c>
      <c r="R126" s="5" t="s">
        <v>5778</v>
      </c>
      <c r="S126" s="6" t="s">
        <v>75</v>
      </c>
      <c r="T126" s="6">
        <v>6537.0</v>
      </c>
    </row>
    <row r="127" ht="56.25" customHeight="1">
      <c r="A127" s="5" t="s">
        <v>5764</v>
      </c>
      <c r="B127" s="6" t="str">
        <f>image("https://storage.googleapis.com/acdb/photos/BromideNpcNmlAnt01_Remake_5_0.png")</f>
        <v/>
      </c>
      <c r="C127" s="5" t="s">
        <v>58</v>
      </c>
      <c r="D127" s="5" t="s">
        <v>1327</v>
      </c>
      <c r="E127" s="5" t="s">
        <v>34</v>
      </c>
      <c r="F127" s="5" t="s">
        <v>34</v>
      </c>
      <c r="G127" s="5" t="s">
        <v>36</v>
      </c>
      <c r="H127" s="5" t="s">
        <v>35</v>
      </c>
      <c r="I127" s="6">
        <v>1.0</v>
      </c>
      <c r="J127" s="6" t="s">
        <v>37</v>
      </c>
      <c r="K127" s="6">
        <v>10.0</v>
      </c>
      <c r="L127" s="5"/>
      <c r="M127" s="5"/>
      <c r="N127" s="6" t="s">
        <v>40</v>
      </c>
      <c r="O127" s="5" t="s">
        <v>5363</v>
      </c>
      <c r="P127" s="6" t="s">
        <v>42</v>
      </c>
      <c r="Q127" s="5" t="s">
        <v>1237</v>
      </c>
      <c r="R127" s="5" t="s">
        <v>5780</v>
      </c>
      <c r="S127" s="6" t="s">
        <v>79</v>
      </c>
      <c r="T127" s="6">
        <v>6537.0</v>
      </c>
    </row>
    <row r="128" ht="56.25" customHeight="1">
      <c r="A128" s="5" t="s">
        <v>5764</v>
      </c>
      <c r="B128" s="6" t="str">
        <f>image("https://storage.googleapis.com/acdb/photos/BromideNpcNmlAnt01_Remake_6_0.png")</f>
        <v/>
      </c>
      <c r="C128" s="5" t="s">
        <v>146</v>
      </c>
      <c r="D128" s="5" t="s">
        <v>1327</v>
      </c>
      <c r="E128" s="5" t="s">
        <v>34</v>
      </c>
      <c r="F128" s="5" t="s">
        <v>34</v>
      </c>
      <c r="G128" s="5" t="s">
        <v>36</v>
      </c>
      <c r="H128" s="5" t="s">
        <v>35</v>
      </c>
      <c r="I128" s="6">
        <v>1.0</v>
      </c>
      <c r="J128" s="6" t="s">
        <v>37</v>
      </c>
      <c r="K128" s="6">
        <v>10.0</v>
      </c>
      <c r="L128" s="5"/>
      <c r="M128" s="5"/>
      <c r="N128" s="6" t="s">
        <v>40</v>
      </c>
      <c r="O128" s="5" t="s">
        <v>5363</v>
      </c>
      <c r="P128" s="6" t="s">
        <v>42</v>
      </c>
      <c r="Q128" s="5" t="s">
        <v>1237</v>
      </c>
      <c r="R128" s="5" t="s">
        <v>5783</v>
      </c>
      <c r="S128" s="6" t="s">
        <v>86</v>
      </c>
      <c r="T128" s="6">
        <v>6537.0</v>
      </c>
    </row>
    <row r="129" ht="56.25" customHeight="1">
      <c r="A129" s="5" t="s">
        <v>5764</v>
      </c>
      <c r="B129" s="6" t="str">
        <f>image("https://storage.googleapis.com/acdb/photos/BromideNpcNmlAnt01_Remake_7_0.png")</f>
        <v/>
      </c>
      <c r="C129" s="5" t="s">
        <v>151</v>
      </c>
      <c r="D129" s="5" t="s">
        <v>1327</v>
      </c>
      <c r="E129" s="5" t="s">
        <v>34</v>
      </c>
      <c r="F129" s="5" t="s">
        <v>34</v>
      </c>
      <c r="G129" s="5" t="s">
        <v>36</v>
      </c>
      <c r="H129" s="5" t="s">
        <v>35</v>
      </c>
      <c r="I129" s="6">
        <v>1.0</v>
      </c>
      <c r="J129" s="6" t="s">
        <v>37</v>
      </c>
      <c r="K129" s="6">
        <v>10.0</v>
      </c>
      <c r="L129" s="5"/>
      <c r="M129" s="5"/>
      <c r="N129" s="6" t="s">
        <v>40</v>
      </c>
      <c r="O129" s="5" t="s">
        <v>5363</v>
      </c>
      <c r="P129" s="6" t="s">
        <v>42</v>
      </c>
      <c r="Q129" s="5" t="s">
        <v>1237</v>
      </c>
      <c r="R129" s="5" t="s">
        <v>5787</v>
      </c>
      <c r="S129" s="6" t="s">
        <v>208</v>
      </c>
      <c r="T129" s="6">
        <v>6537.0</v>
      </c>
    </row>
    <row r="130" ht="56.25" customHeight="1">
      <c r="A130" s="5" t="s">
        <v>5788</v>
      </c>
      <c r="B130" s="6" t="str">
        <f>image("https://storage.googleapis.com/acdb/photos/BromideNpcNmlPbr00_Remake_0_0.png")</f>
        <v/>
      </c>
      <c r="C130" s="5" t="s">
        <v>366</v>
      </c>
      <c r="D130" s="5" t="s">
        <v>1327</v>
      </c>
      <c r="E130" s="5" t="s">
        <v>34</v>
      </c>
      <c r="F130" s="5" t="s">
        <v>34</v>
      </c>
      <c r="G130" s="5" t="s">
        <v>36</v>
      </c>
      <c r="H130" s="5" t="s">
        <v>35</v>
      </c>
      <c r="I130" s="6">
        <v>1.0</v>
      </c>
      <c r="J130" s="6" t="s">
        <v>37</v>
      </c>
      <c r="K130" s="6">
        <v>10.0</v>
      </c>
      <c r="L130" s="5"/>
      <c r="M130" s="5"/>
      <c r="N130" s="6" t="s">
        <v>40</v>
      </c>
      <c r="O130" s="5" t="s">
        <v>5363</v>
      </c>
      <c r="P130" s="6" t="s">
        <v>42</v>
      </c>
      <c r="Q130" s="5" t="s">
        <v>1237</v>
      </c>
      <c r="R130" s="5" t="s">
        <v>5790</v>
      </c>
      <c r="S130" s="6" t="s">
        <v>50</v>
      </c>
      <c r="T130" s="6">
        <v>6620.0</v>
      </c>
    </row>
    <row r="131" ht="56.25" customHeight="1">
      <c r="A131" s="5" t="s">
        <v>5788</v>
      </c>
      <c r="B131" s="6" t="str">
        <f>image("https://storage.googleapis.com/acdb/photos/BromideNpcNmlPbr00_Remake_1_0.png")</f>
        <v/>
      </c>
      <c r="C131" s="5" t="s">
        <v>1132</v>
      </c>
      <c r="D131" s="5" t="s">
        <v>1327</v>
      </c>
      <c r="E131" s="5" t="s">
        <v>34</v>
      </c>
      <c r="F131" s="5" t="s">
        <v>34</v>
      </c>
      <c r="G131" s="5" t="s">
        <v>36</v>
      </c>
      <c r="H131" s="5" t="s">
        <v>35</v>
      </c>
      <c r="I131" s="6">
        <v>1.0</v>
      </c>
      <c r="J131" s="6" t="s">
        <v>37</v>
      </c>
      <c r="K131" s="6">
        <v>10.0</v>
      </c>
      <c r="L131" s="5"/>
      <c r="M131" s="5"/>
      <c r="N131" s="6" t="s">
        <v>40</v>
      </c>
      <c r="O131" s="5" t="s">
        <v>5363</v>
      </c>
      <c r="P131" s="6" t="s">
        <v>42</v>
      </c>
      <c r="Q131" s="5" t="s">
        <v>1237</v>
      </c>
      <c r="R131" s="5" t="s">
        <v>5793</v>
      </c>
      <c r="S131" s="6" t="s">
        <v>56</v>
      </c>
      <c r="T131" s="6">
        <v>6620.0</v>
      </c>
    </row>
    <row r="132" ht="56.25" customHeight="1">
      <c r="A132" s="5" t="s">
        <v>5788</v>
      </c>
      <c r="B132" s="6" t="str">
        <f>image("https://storage.googleapis.com/acdb/photos/BromideNpcNmlPbr00_Remake_2_0.png")</f>
        <v/>
      </c>
      <c r="C132" s="5" t="s">
        <v>688</v>
      </c>
      <c r="D132" s="5" t="s">
        <v>1327</v>
      </c>
      <c r="E132" s="5" t="s">
        <v>34</v>
      </c>
      <c r="F132" s="5" t="s">
        <v>34</v>
      </c>
      <c r="G132" s="5" t="s">
        <v>36</v>
      </c>
      <c r="H132" s="5" t="s">
        <v>35</v>
      </c>
      <c r="I132" s="6">
        <v>1.0</v>
      </c>
      <c r="J132" s="6" t="s">
        <v>37</v>
      </c>
      <c r="K132" s="6">
        <v>10.0</v>
      </c>
      <c r="L132" s="5"/>
      <c r="M132" s="5"/>
      <c r="N132" s="6" t="s">
        <v>40</v>
      </c>
      <c r="O132" s="5" t="s">
        <v>5363</v>
      </c>
      <c r="P132" s="6" t="s">
        <v>42</v>
      </c>
      <c r="Q132" s="5" t="s">
        <v>1237</v>
      </c>
      <c r="R132" s="5" t="s">
        <v>5797</v>
      </c>
      <c r="S132" s="6" t="s">
        <v>67</v>
      </c>
      <c r="T132" s="6">
        <v>6620.0</v>
      </c>
    </row>
    <row r="133" ht="56.25" customHeight="1">
      <c r="A133" s="5" t="s">
        <v>5788</v>
      </c>
      <c r="B133" s="6" t="str">
        <f>image("https://storage.googleapis.com/acdb/photos/BromideNpcNmlPbr00_Remake_3_0.png")</f>
        <v/>
      </c>
      <c r="C133" s="5" t="s">
        <v>57</v>
      </c>
      <c r="D133" s="5" t="s">
        <v>1327</v>
      </c>
      <c r="E133" s="5" t="s">
        <v>34</v>
      </c>
      <c r="F133" s="5" t="s">
        <v>34</v>
      </c>
      <c r="G133" s="5" t="s">
        <v>36</v>
      </c>
      <c r="H133" s="5" t="s">
        <v>35</v>
      </c>
      <c r="I133" s="6">
        <v>1.0</v>
      </c>
      <c r="J133" s="6" t="s">
        <v>37</v>
      </c>
      <c r="K133" s="6">
        <v>10.0</v>
      </c>
      <c r="L133" s="5"/>
      <c r="M133" s="5"/>
      <c r="N133" s="6" t="s">
        <v>40</v>
      </c>
      <c r="O133" s="5" t="s">
        <v>5363</v>
      </c>
      <c r="P133" s="6" t="s">
        <v>42</v>
      </c>
      <c r="Q133" s="5" t="s">
        <v>1237</v>
      </c>
      <c r="R133" s="5" t="s">
        <v>5800</v>
      </c>
      <c r="S133" s="6" t="s">
        <v>71</v>
      </c>
      <c r="T133" s="6">
        <v>6620.0</v>
      </c>
    </row>
    <row r="134" ht="56.25" customHeight="1">
      <c r="A134" s="5" t="s">
        <v>5788</v>
      </c>
      <c r="B134" s="6" t="str">
        <f>image("https://storage.googleapis.com/acdb/photos/BromideNpcNmlPbr00_Remake_4_0.png")</f>
        <v/>
      </c>
      <c r="C134" s="5" t="s">
        <v>1167</v>
      </c>
      <c r="D134" s="5" t="s">
        <v>1327</v>
      </c>
      <c r="E134" s="5" t="s">
        <v>34</v>
      </c>
      <c r="F134" s="5" t="s">
        <v>34</v>
      </c>
      <c r="G134" s="5" t="s">
        <v>36</v>
      </c>
      <c r="H134" s="5" t="s">
        <v>35</v>
      </c>
      <c r="I134" s="6">
        <v>1.0</v>
      </c>
      <c r="J134" s="6" t="s">
        <v>37</v>
      </c>
      <c r="K134" s="6">
        <v>10.0</v>
      </c>
      <c r="L134" s="5"/>
      <c r="M134" s="5"/>
      <c r="N134" s="6" t="s">
        <v>40</v>
      </c>
      <c r="O134" s="5" t="s">
        <v>5363</v>
      </c>
      <c r="P134" s="6" t="s">
        <v>42</v>
      </c>
      <c r="Q134" s="5" t="s">
        <v>1237</v>
      </c>
      <c r="R134" s="5" t="s">
        <v>5803</v>
      </c>
      <c r="S134" s="6" t="s">
        <v>75</v>
      </c>
      <c r="T134" s="6">
        <v>6620.0</v>
      </c>
    </row>
    <row r="135" ht="56.25" customHeight="1">
      <c r="A135" s="5" t="s">
        <v>5788</v>
      </c>
      <c r="B135" s="6" t="str">
        <f>image("https://storage.googleapis.com/acdb/photos/BromideNpcNmlPbr00_Remake_5_0.png")</f>
        <v/>
      </c>
      <c r="C135" s="5" t="s">
        <v>58</v>
      </c>
      <c r="D135" s="5" t="s">
        <v>1327</v>
      </c>
      <c r="E135" s="5" t="s">
        <v>34</v>
      </c>
      <c r="F135" s="5" t="s">
        <v>34</v>
      </c>
      <c r="G135" s="5" t="s">
        <v>36</v>
      </c>
      <c r="H135" s="5" t="s">
        <v>35</v>
      </c>
      <c r="I135" s="6">
        <v>1.0</v>
      </c>
      <c r="J135" s="6" t="s">
        <v>37</v>
      </c>
      <c r="K135" s="6">
        <v>10.0</v>
      </c>
      <c r="L135" s="5"/>
      <c r="M135" s="5"/>
      <c r="N135" s="6" t="s">
        <v>40</v>
      </c>
      <c r="O135" s="5" t="s">
        <v>5363</v>
      </c>
      <c r="P135" s="6" t="s">
        <v>42</v>
      </c>
      <c r="Q135" s="5" t="s">
        <v>1237</v>
      </c>
      <c r="R135" s="5" t="s">
        <v>5806</v>
      </c>
      <c r="S135" s="6" t="s">
        <v>79</v>
      </c>
      <c r="T135" s="6">
        <v>6620.0</v>
      </c>
    </row>
    <row r="136" ht="56.25" customHeight="1">
      <c r="A136" s="5" t="s">
        <v>5788</v>
      </c>
      <c r="B136" s="6" t="str">
        <f>image("https://storage.googleapis.com/acdb/photos/BromideNpcNmlPbr00_Remake_6_0.png")</f>
        <v/>
      </c>
      <c r="C136" s="5" t="s">
        <v>146</v>
      </c>
      <c r="D136" s="5" t="s">
        <v>1327</v>
      </c>
      <c r="E136" s="5" t="s">
        <v>34</v>
      </c>
      <c r="F136" s="5" t="s">
        <v>34</v>
      </c>
      <c r="G136" s="5" t="s">
        <v>36</v>
      </c>
      <c r="H136" s="5" t="s">
        <v>35</v>
      </c>
      <c r="I136" s="6">
        <v>1.0</v>
      </c>
      <c r="J136" s="6" t="s">
        <v>37</v>
      </c>
      <c r="K136" s="6">
        <v>10.0</v>
      </c>
      <c r="L136" s="5"/>
      <c r="M136" s="5"/>
      <c r="N136" s="6" t="s">
        <v>40</v>
      </c>
      <c r="O136" s="5" t="s">
        <v>5363</v>
      </c>
      <c r="P136" s="6" t="s">
        <v>42</v>
      </c>
      <c r="Q136" s="5" t="s">
        <v>1237</v>
      </c>
      <c r="R136" s="5" t="s">
        <v>5808</v>
      </c>
      <c r="S136" s="6" t="s">
        <v>86</v>
      </c>
      <c r="T136" s="6">
        <v>6620.0</v>
      </c>
    </row>
    <row r="137" ht="56.25" customHeight="1">
      <c r="A137" s="5" t="s">
        <v>5788</v>
      </c>
      <c r="B137" s="6" t="str">
        <f>image("https://storage.googleapis.com/acdb/photos/BromideNpcNmlPbr00_Remake_7_0.png")</f>
        <v/>
      </c>
      <c r="C137" s="5" t="s">
        <v>151</v>
      </c>
      <c r="D137" s="5" t="s">
        <v>1327</v>
      </c>
      <c r="E137" s="5" t="s">
        <v>34</v>
      </c>
      <c r="F137" s="5" t="s">
        <v>34</v>
      </c>
      <c r="G137" s="5" t="s">
        <v>36</v>
      </c>
      <c r="H137" s="5" t="s">
        <v>35</v>
      </c>
      <c r="I137" s="6">
        <v>1.0</v>
      </c>
      <c r="J137" s="6" t="s">
        <v>37</v>
      </c>
      <c r="K137" s="6">
        <v>10.0</v>
      </c>
      <c r="L137" s="5"/>
      <c r="M137" s="5"/>
      <c r="N137" s="6" t="s">
        <v>40</v>
      </c>
      <c r="O137" s="5" t="s">
        <v>5363</v>
      </c>
      <c r="P137" s="6" t="s">
        <v>42</v>
      </c>
      <c r="Q137" s="5" t="s">
        <v>1237</v>
      </c>
      <c r="R137" s="5" t="s">
        <v>5811</v>
      </c>
      <c r="S137" s="6" t="s">
        <v>208</v>
      </c>
      <c r="T137" s="6">
        <v>6620.0</v>
      </c>
    </row>
    <row r="138" ht="56.25" customHeight="1">
      <c r="A138" s="5" t="s">
        <v>5812</v>
      </c>
      <c r="B138" s="6" t="str">
        <f>image("https://storage.googleapis.com/acdb/photos/BromideNpcNmlHam01_Remake_0_0.png")</f>
        <v/>
      </c>
      <c r="C138" s="5" t="s">
        <v>366</v>
      </c>
      <c r="D138" s="5" t="s">
        <v>1327</v>
      </c>
      <c r="E138" s="5" t="s">
        <v>34</v>
      </c>
      <c r="F138" s="5" t="s">
        <v>34</v>
      </c>
      <c r="G138" s="5" t="s">
        <v>36</v>
      </c>
      <c r="H138" s="5" t="s">
        <v>35</v>
      </c>
      <c r="I138" s="6">
        <v>1.0</v>
      </c>
      <c r="J138" s="6" t="s">
        <v>37</v>
      </c>
      <c r="K138" s="6">
        <v>10.0</v>
      </c>
      <c r="L138" s="5"/>
      <c r="M138" s="5"/>
      <c r="N138" s="6" t="s">
        <v>40</v>
      </c>
      <c r="O138" s="5" t="s">
        <v>5363</v>
      </c>
      <c r="P138" s="6" t="s">
        <v>42</v>
      </c>
      <c r="Q138" s="5" t="s">
        <v>1237</v>
      </c>
      <c r="R138" s="5" t="s">
        <v>5814</v>
      </c>
      <c r="S138" s="6" t="s">
        <v>50</v>
      </c>
      <c r="T138" s="6">
        <v>6522.0</v>
      </c>
    </row>
    <row r="139" ht="56.25" customHeight="1">
      <c r="A139" s="5" t="s">
        <v>5812</v>
      </c>
      <c r="B139" s="6" t="str">
        <f>image("https://storage.googleapis.com/acdb/photos/BromideNpcNmlHam01_Remake_1_0.png")</f>
        <v/>
      </c>
      <c r="C139" s="5" t="s">
        <v>1132</v>
      </c>
      <c r="D139" s="5" t="s">
        <v>1327</v>
      </c>
      <c r="E139" s="5" t="s">
        <v>34</v>
      </c>
      <c r="F139" s="5" t="s">
        <v>34</v>
      </c>
      <c r="G139" s="5" t="s">
        <v>36</v>
      </c>
      <c r="H139" s="5" t="s">
        <v>35</v>
      </c>
      <c r="I139" s="6">
        <v>1.0</v>
      </c>
      <c r="J139" s="6" t="s">
        <v>37</v>
      </c>
      <c r="K139" s="6">
        <v>10.0</v>
      </c>
      <c r="L139" s="5"/>
      <c r="M139" s="5"/>
      <c r="N139" s="6" t="s">
        <v>40</v>
      </c>
      <c r="O139" s="5" t="s">
        <v>5363</v>
      </c>
      <c r="P139" s="6" t="s">
        <v>42</v>
      </c>
      <c r="Q139" s="5" t="s">
        <v>1237</v>
      </c>
      <c r="R139" s="5" t="s">
        <v>5818</v>
      </c>
      <c r="S139" s="6" t="s">
        <v>56</v>
      </c>
      <c r="T139" s="6">
        <v>6522.0</v>
      </c>
    </row>
    <row r="140" ht="56.25" customHeight="1">
      <c r="A140" s="5" t="s">
        <v>5812</v>
      </c>
      <c r="B140" s="6" t="str">
        <f>image("https://storage.googleapis.com/acdb/photos/BromideNpcNmlHam01_Remake_2_0.png")</f>
        <v/>
      </c>
      <c r="C140" s="5" t="s">
        <v>688</v>
      </c>
      <c r="D140" s="5" t="s">
        <v>1327</v>
      </c>
      <c r="E140" s="5" t="s">
        <v>34</v>
      </c>
      <c r="F140" s="5" t="s">
        <v>34</v>
      </c>
      <c r="G140" s="5" t="s">
        <v>36</v>
      </c>
      <c r="H140" s="5" t="s">
        <v>35</v>
      </c>
      <c r="I140" s="6">
        <v>1.0</v>
      </c>
      <c r="J140" s="6" t="s">
        <v>37</v>
      </c>
      <c r="K140" s="6">
        <v>10.0</v>
      </c>
      <c r="L140" s="5"/>
      <c r="M140" s="5"/>
      <c r="N140" s="6" t="s">
        <v>40</v>
      </c>
      <c r="O140" s="5" t="s">
        <v>5363</v>
      </c>
      <c r="P140" s="6" t="s">
        <v>42</v>
      </c>
      <c r="Q140" s="5" t="s">
        <v>1237</v>
      </c>
      <c r="R140" s="5" t="s">
        <v>5823</v>
      </c>
      <c r="S140" s="6" t="s">
        <v>67</v>
      </c>
      <c r="T140" s="6">
        <v>6522.0</v>
      </c>
    </row>
    <row r="141" ht="56.25" customHeight="1">
      <c r="A141" s="5" t="s">
        <v>5812</v>
      </c>
      <c r="B141" s="6" t="str">
        <f>image("https://storage.googleapis.com/acdb/photos/BromideNpcNmlHam01_Remake_3_0.png")</f>
        <v/>
      </c>
      <c r="C141" s="5" t="s">
        <v>57</v>
      </c>
      <c r="D141" s="5" t="s">
        <v>1327</v>
      </c>
      <c r="E141" s="5" t="s">
        <v>34</v>
      </c>
      <c r="F141" s="5" t="s">
        <v>34</v>
      </c>
      <c r="G141" s="5" t="s">
        <v>36</v>
      </c>
      <c r="H141" s="5" t="s">
        <v>35</v>
      </c>
      <c r="I141" s="6">
        <v>1.0</v>
      </c>
      <c r="J141" s="6" t="s">
        <v>37</v>
      </c>
      <c r="K141" s="6">
        <v>10.0</v>
      </c>
      <c r="L141" s="5"/>
      <c r="M141" s="5"/>
      <c r="N141" s="6" t="s">
        <v>40</v>
      </c>
      <c r="O141" s="5" t="s">
        <v>5363</v>
      </c>
      <c r="P141" s="6" t="s">
        <v>42</v>
      </c>
      <c r="Q141" s="5" t="s">
        <v>1237</v>
      </c>
      <c r="R141" s="5" t="s">
        <v>5827</v>
      </c>
      <c r="S141" s="6" t="s">
        <v>71</v>
      </c>
      <c r="T141" s="6">
        <v>6522.0</v>
      </c>
    </row>
    <row r="142" ht="56.25" customHeight="1">
      <c r="A142" s="5" t="s">
        <v>5812</v>
      </c>
      <c r="B142" s="6" t="str">
        <f>image("https://storage.googleapis.com/acdb/photos/BromideNpcNmlHam01_Remake_4_0.png")</f>
        <v/>
      </c>
      <c r="C142" s="5" t="s">
        <v>1167</v>
      </c>
      <c r="D142" s="5" t="s">
        <v>1327</v>
      </c>
      <c r="E142" s="5" t="s">
        <v>34</v>
      </c>
      <c r="F142" s="5" t="s">
        <v>34</v>
      </c>
      <c r="G142" s="5" t="s">
        <v>36</v>
      </c>
      <c r="H142" s="5" t="s">
        <v>35</v>
      </c>
      <c r="I142" s="6">
        <v>1.0</v>
      </c>
      <c r="J142" s="6" t="s">
        <v>37</v>
      </c>
      <c r="K142" s="6">
        <v>10.0</v>
      </c>
      <c r="L142" s="5"/>
      <c r="M142" s="5"/>
      <c r="N142" s="6" t="s">
        <v>40</v>
      </c>
      <c r="O142" s="5" t="s">
        <v>5363</v>
      </c>
      <c r="P142" s="6" t="s">
        <v>42</v>
      </c>
      <c r="Q142" s="5" t="s">
        <v>1237</v>
      </c>
      <c r="R142" s="5" t="s">
        <v>5828</v>
      </c>
      <c r="S142" s="6" t="s">
        <v>75</v>
      </c>
      <c r="T142" s="6">
        <v>6522.0</v>
      </c>
    </row>
    <row r="143" ht="56.25" customHeight="1">
      <c r="A143" s="5" t="s">
        <v>5812</v>
      </c>
      <c r="B143" s="6" t="str">
        <f>image("https://storage.googleapis.com/acdb/photos/BromideNpcNmlHam01_Remake_5_0.png")</f>
        <v/>
      </c>
      <c r="C143" s="5" t="s">
        <v>58</v>
      </c>
      <c r="D143" s="5" t="s">
        <v>1327</v>
      </c>
      <c r="E143" s="5" t="s">
        <v>34</v>
      </c>
      <c r="F143" s="5" t="s">
        <v>34</v>
      </c>
      <c r="G143" s="5" t="s">
        <v>36</v>
      </c>
      <c r="H143" s="5" t="s">
        <v>35</v>
      </c>
      <c r="I143" s="6">
        <v>1.0</v>
      </c>
      <c r="J143" s="6" t="s">
        <v>37</v>
      </c>
      <c r="K143" s="6">
        <v>10.0</v>
      </c>
      <c r="L143" s="5"/>
      <c r="M143" s="5"/>
      <c r="N143" s="6" t="s">
        <v>40</v>
      </c>
      <c r="O143" s="5" t="s">
        <v>5363</v>
      </c>
      <c r="P143" s="6" t="s">
        <v>42</v>
      </c>
      <c r="Q143" s="5" t="s">
        <v>1237</v>
      </c>
      <c r="R143" s="5" t="s">
        <v>5832</v>
      </c>
      <c r="S143" s="6" t="s">
        <v>79</v>
      </c>
      <c r="T143" s="6">
        <v>6522.0</v>
      </c>
    </row>
    <row r="144" ht="56.25" customHeight="1">
      <c r="A144" s="5" t="s">
        <v>5812</v>
      </c>
      <c r="B144" s="6" t="str">
        <f>image("https://storage.googleapis.com/acdb/photos/BromideNpcNmlHam01_Remake_6_0.png")</f>
        <v/>
      </c>
      <c r="C144" s="5" t="s">
        <v>146</v>
      </c>
      <c r="D144" s="5" t="s">
        <v>1327</v>
      </c>
      <c r="E144" s="5" t="s">
        <v>34</v>
      </c>
      <c r="F144" s="5" t="s">
        <v>34</v>
      </c>
      <c r="G144" s="5" t="s">
        <v>36</v>
      </c>
      <c r="H144" s="5" t="s">
        <v>35</v>
      </c>
      <c r="I144" s="6">
        <v>1.0</v>
      </c>
      <c r="J144" s="6" t="s">
        <v>37</v>
      </c>
      <c r="K144" s="6">
        <v>10.0</v>
      </c>
      <c r="L144" s="5"/>
      <c r="M144" s="5"/>
      <c r="N144" s="6" t="s">
        <v>40</v>
      </c>
      <c r="O144" s="5" t="s">
        <v>5363</v>
      </c>
      <c r="P144" s="6" t="s">
        <v>42</v>
      </c>
      <c r="Q144" s="5" t="s">
        <v>1237</v>
      </c>
      <c r="R144" s="5" t="s">
        <v>5836</v>
      </c>
      <c r="S144" s="6" t="s">
        <v>86</v>
      </c>
      <c r="T144" s="6">
        <v>6522.0</v>
      </c>
    </row>
    <row r="145" ht="56.25" customHeight="1">
      <c r="A145" s="5" t="s">
        <v>5812</v>
      </c>
      <c r="B145" s="6" t="str">
        <f>image("https://storage.googleapis.com/acdb/photos/BromideNpcNmlHam01_Remake_7_0.png")</f>
        <v/>
      </c>
      <c r="C145" s="5" t="s">
        <v>151</v>
      </c>
      <c r="D145" s="5" t="s">
        <v>1327</v>
      </c>
      <c r="E145" s="5" t="s">
        <v>34</v>
      </c>
      <c r="F145" s="5" t="s">
        <v>34</v>
      </c>
      <c r="G145" s="5" t="s">
        <v>36</v>
      </c>
      <c r="H145" s="5" t="s">
        <v>35</v>
      </c>
      <c r="I145" s="6">
        <v>1.0</v>
      </c>
      <c r="J145" s="6" t="s">
        <v>37</v>
      </c>
      <c r="K145" s="6">
        <v>10.0</v>
      </c>
      <c r="L145" s="5"/>
      <c r="M145" s="5"/>
      <c r="N145" s="6" t="s">
        <v>40</v>
      </c>
      <c r="O145" s="5" t="s">
        <v>5363</v>
      </c>
      <c r="P145" s="6" t="s">
        <v>42</v>
      </c>
      <c r="Q145" s="5" t="s">
        <v>1237</v>
      </c>
      <c r="R145" s="5" t="s">
        <v>5841</v>
      </c>
      <c r="S145" s="6" t="s">
        <v>208</v>
      </c>
      <c r="T145" s="6">
        <v>6522.0</v>
      </c>
    </row>
    <row r="146" ht="56.25" customHeight="1">
      <c r="A146" s="5" t="s">
        <v>5842</v>
      </c>
      <c r="B146" s="6" t="str">
        <f>image("https://storage.googleapis.com/acdb/photos/BromideNpcNmlKgr05_Remake_0_0.png")</f>
        <v/>
      </c>
      <c r="C146" s="5" t="s">
        <v>366</v>
      </c>
      <c r="D146" s="5" t="s">
        <v>1327</v>
      </c>
      <c r="E146" s="5" t="s">
        <v>34</v>
      </c>
      <c r="F146" s="5" t="s">
        <v>34</v>
      </c>
      <c r="G146" s="5" t="s">
        <v>36</v>
      </c>
      <c r="H146" s="5" t="s">
        <v>35</v>
      </c>
      <c r="I146" s="6">
        <v>1.0</v>
      </c>
      <c r="J146" s="6" t="s">
        <v>37</v>
      </c>
      <c r="K146" s="6">
        <v>10.0</v>
      </c>
      <c r="L146" s="5"/>
      <c r="M146" s="5"/>
      <c r="N146" s="6" t="s">
        <v>40</v>
      </c>
      <c r="O146" s="5" t="s">
        <v>5363</v>
      </c>
      <c r="P146" s="6" t="s">
        <v>42</v>
      </c>
      <c r="Q146" s="5" t="s">
        <v>1237</v>
      </c>
      <c r="R146" s="5" t="s">
        <v>5844</v>
      </c>
      <c r="S146" s="6" t="s">
        <v>50</v>
      </c>
      <c r="T146" s="6">
        <v>6567.0</v>
      </c>
    </row>
    <row r="147" ht="56.25" customHeight="1">
      <c r="A147" s="5" t="s">
        <v>5842</v>
      </c>
      <c r="B147" s="6" t="str">
        <f>image("https://storage.googleapis.com/acdb/photos/BromideNpcNmlKgr05_Remake_1_0.png")</f>
        <v/>
      </c>
      <c r="C147" s="5" t="s">
        <v>1132</v>
      </c>
      <c r="D147" s="5" t="s">
        <v>1327</v>
      </c>
      <c r="E147" s="5" t="s">
        <v>34</v>
      </c>
      <c r="F147" s="5" t="s">
        <v>34</v>
      </c>
      <c r="G147" s="5" t="s">
        <v>36</v>
      </c>
      <c r="H147" s="5" t="s">
        <v>35</v>
      </c>
      <c r="I147" s="6">
        <v>1.0</v>
      </c>
      <c r="J147" s="6" t="s">
        <v>37</v>
      </c>
      <c r="K147" s="6">
        <v>10.0</v>
      </c>
      <c r="L147" s="5"/>
      <c r="M147" s="5"/>
      <c r="N147" s="6" t="s">
        <v>40</v>
      </c>
      <c r="O147" s="5" t="s">
        <v>5363</v>
      </c>
      <c r="P147" s="6" t="s">
        <v>42</v>
      </c>
      <c r="Q147" s="5" t="s">
        <v>1237</v>
      </c>
      <c r="R147" s="5" t="s">
        <v>5847</v>
      </c>
      <c r="S147" s="6" t="s">
        <v>56</v>
      </c>
      <c r="T147" s="6">
        <v>6567.0</v>
      </c>
    </row>
    <row r="148" ht="56.25" customHeight="1">
      <c r="A148" s="5" t="s">
        <v>5842</v>
      </c>
      <c r="B148" s="6" t="str">
        <f>image("https://storage.googleapis.com/acdb/photos/BromideNpcNmlKgr05_Remake_2_0.png")</f>
        <v/>
      </c>
      <c r="C148" s="5" t="s">
        <v>688</v>
      </c>
      <c r="D148" s="5" t="s">
        <v>1327</v>
      </c>
      <c r="E148" s="5" t="s">
        <v>34</v>
      </c>
      <c r="F148" s="5" t="s">
        <v>34</v>
      </c>
      <c r="G148" s="5" t="s">
        <v>36</v>
      </c>
      <c r="H148" s="5" t="s">
        <v>35</v>
      </c>
      <c r="I148" s="6">
        <v>1.0</v>
      </c>
      <c r="J148" s="6" t="s">
        <v>37</v>
      </c>
      <c r="K148" s="6">
        <v>10.0</v>
      </c>
      <c r="L148" s="5"/>
      <c r="M148" s="5"/>
      <c r="N148" s="6" t="s">
        <v>40</v>
      </c>
      <c r="O148" s="5" t="s">
        <v>5363</v>
      </c>
      <c r="P148" s="6" t="s">
        <v>42</v>
      </c>
      <c r="Q148" s="5" t="s">
        <v>1237</v>
      </c>
      <c r="R148" s="5" t="s">
        <v>5850</v>
      </c>
      <c r="S148" s="6" t="s">
        <v>67</v>
      </c>
      <c r="T148" s="6">
        <v>6567.0</v>
      </c>
    </row>
    <row r="149" ht="56.25" customHeight="1">
      <c r="A149" s="5" t="s">
        <v>5842</v>
      </c>
      <c r="B149" s="6" t="str">
        <f>image("https://storage.googleapis.com/acdb/photos/BromideNpcNmlKgr05_Remake_3_0.png")</f>
        <v/>
      </c>
      <c r="C149" s="5" t="s">
        <v>57</v>
      </c>
      <c r="D149" s="5" t="s">
        <v>1327</v>
      </c>
      <c r="E149" s="5" t="s">
        <v>34</v>
      </c>
      <c r="F149" s="5" t="s">
        <v>34</v>
      </c>
      <c r="G149" s="5" t="s">
        <v>36</v>
      </c>
      <c r="H149" s="5" t="s">
        <v>35</v>
      </c>
      <c r="I149" s="6">
        <v>1.0</v>
      </c>
      <c r="J149" s="6" t="s">
        <v>37</v>
      </c>
      <c r="K149" s="6">
        <v>10.0</v>
      </c>
      <c r="L149" s="5"/>
      <c r="M149" s="5"/>
      <c r="N149" s="6" t="s">
        <v>40</v>
      </c>
      <c r="O149" s="5" t="s">
        <v>5363</v>
      </c>
      <c r="P149" s="6" t="s">
        <v>42</v>
      </c>
      <c r="Q149" s="5" t="s">
        <v>1237</v>
      </c>
      <c r="R149" s="5" t="s">
        <v>5853</v>
      </c>
      <c r="S149" s="6" t="s">
        <v>71</v>
      </c>
      <c r="T149" s="6">
        <v>6567.0</v>
      </c>
    </row>
    <row r="150" ht="56.25" customHeight="1">
      <c r="A150" s="5" t="s">
        <v>5842</v>
      </c>
      <c r="B150" s="6" t="str">
        <f>image("https://storage.googleapis.com/acdb/photos/BromideNpcNmlKgr05_Remake_4_0.png")</f>
        <v/>
      </c>
      <c r="C150" s="5" t="s">
        <v>1167</v>
      </c>
      <c r="D150" s="5" t="s">
        <v>1327</v>
      </c>
      <c r="E150" s="5" t="s">
        <v>34</v>
      </c>
      <c r="F150" s="5" t="s">
        <v>34</v>
      </c>
      <c r="G150" s="5" t="s">
        <v>36</v>
      </c>
      <c r="H150" s="5" t="s">
        <v>35</v>
      </c>
      <c r="I150" s="6">
        <v>1.0</v>
      </c>
      <c r="J150" s="6" t="s">
        <v>37</v>
      </c>
      <c r="K150" s="6">
        <v>10.0</v>
      </c>
      <c r="L150" s="5"/>
      <c r="M150" s="5"/>
      <c r="N150" s="6" t="s">
        <v>40</v>
      </c>
      <c r="O150" s="5" t="s">
        <v>5363</v>
      </c>
      <c r="P150" s="6" t="s">
        <v>42</v>
      </c>
      <c r="Q150" s="5" t="s">
        <v>1237</v>
      </c>
      <c r="R150" s="5" t="s">
        <v>5856</v>
      </c>
      <c r="S150" s="6" t="s">
        <v>75</v>
      </c>
      <c r="T150" s="6">
        <v>6567.0</v>
      </c>
    </row>
    <row r="151" ht="56.25" customHeight="1">
      <c r="A151" s="5" t="s">
        <v>5842</v>
      </c>
      <c r="B151" s="6" t="str">
        <f>image("https://storage.googleapis.com/acdb/photos/BromideNpcNmlKgr05_Remake_5_0.png")</f>
        <v/>
      </c>
      <c r="C151" s="5" t="s">
        <v>58</v>
      </c>
      <c r="D151" s="5" t="s">
        <v>1327</v>
      </c>
      <c r="E151" s="5" t="s">
        <v>34</v>
      </c>
      <c r="F151" s="5" t="s">
        <v>34</v>
      </c>
      <c r="G151" s="5" t="s">
        <v>36</v>
      </c>
      <c r="H151" s="5" t="s">
        <v>35</v>
      </c>
      <c r="I151" s="6">
        <v>1.0</v>
      </c>
      <c r="J151" s="6" t="s">
        <v>37</v>
      </c>
      <c r="K151" s="6">
        <v>10.0</v>
      </c>
      <c r="L151" s="5"/>
      <c r="M151" s="5"/>
      <c r="N151" s="6" t="s">
        <v>40</v>
      </c>
      <c r="O151" s="5" t="s">
        <v>5363</v>
      </c>
      <c r="P151" s="6" t="s">
        <v>42</v>
      </c>
      <c r="Q151" s="5" t="s">
        <v>1237</v>
      </c>
      <c r="R151" s="5" t="s">
        <v>5860</v>
      </c>
      <c r="S151" s="6" t="s">
        <v>79</v>
      </c>
      <c r="T151" s="6">
        <v>6567.0</v>
      </c>
    </row>
    <row r="152" ht="56.25" customHeight="1">
      <c r="A152" s="5" t="s">
        <v>5842</v>
      </c>
      <c r="B152" s="6" t="str">
        <f>image("https://storage.googleapis.com/acdb/photos/BromideNpcNmlKgr05_Remake_6_0.png")</f>
        <v/>
      </c>
      <c r="C152" s="5" t="s">
        <v>146</v>
      </c>
      <c r="D152" s="5" t="s">
        <v>1327</v>
      </c>
      <c r="E152" s="5" t="s">
        <v>34</v>
      </c>
      <c r="F152" s="5" t="s">
        <v>34</v>
      </c>
      <c r="G152" s="5" t="s">
        <v>36</v>
      </c>
      <c r="H152" s="5" t="s">
        <v>35</v>
      </c>
      <c r="I152" s="6">
        <v>1.0</v>
      </c>
      <c r="J152" s="6" t="s">
        <v>37</v>
      </c>
      <c r="K152" s="6">
        <v>10.0</v>
      </c>
      <c r="L152" s="5"/>
      <c r="M152" s="5"/>
      <c r="N152" s="6" t="s">
        <v>40</v>
      </c>
      <c r="O152" s="5" t="s">
        <v>5363</v>
      </c>
      <c r="P152" s="6" t="s">
        <v>42</v>
      </c>
      <c r="Q152" s="5" t="s">
        <v>1237</v>
      </c>
      <c r="R152" s="5" t="s">
        <v>5864</v>
      </c>
      <c r="S152" s="6" t="s">
        <v>86</v>
      </c>
      <c r="T152" s="6">
        <v>6567.0</v>
      </c>
    </row>
    <row r="153" ht="56.25" customHeight="1">
      <c r="A153" s="5" t="s">
        <v>5842</v>
      </c>
      <c r="B153" s="6" t="str">
        <f>image("https://storage.googleapis.com/acdb/photos/BromideNpcNmlKgr05_Remake_7_0.png")</f>
        <v/>
      </c>
      <c r="C153" s="5" t="s">
        <v>151</v>
      </c>
      <c r="D153" s="5" t="s">
        <v>1327</v>
      </c>
      <c r="E153" s="5" t="s">
        <v>34</v>
      </c>
      <c r="F153" s="5" t="s">
        <v>34</v>
      </c>
      <c r="G153" s="5" t="s">
        <v>36</v>
      </c>
      <c r="H153" s="5" t="s">
        <v>35</v>
      </c>
      <c r="I153" s="6">
        <v>1.0</v>
      </c>
      <c r="J153" s="6" t="s">
        <v>37</v>
      </c>
      <c r="K153" s="6">
        <v>10.0</v>
      </c>
      <c r="L153" s="5"/>
      <c r="M153" s="5"/>
      <c r="N153" s="6" t="s">
        <v>40</v>
      </c>
      <c r="O153" s="5" t="s">
        <v>5363</v>
      </c>
      <c r="P153" s="6" t="s">
        <v>42</v>
      </c>
      <c r="Q153" s="5" t="s">
        <v>1237</v>
      </c>
      <c r="R153" s="5" t="s">
        <v>5868</v>
      </c>
      <c r="S153" s="6" t="s">
        <v>208</v>
      </c>
      <c r="T153" s="6">
        <v>6567.0</v>
      </c>
    </row>
    <row r="154" ht="56.25" customHeight="1">
      <c r="A154" s="5" t="s">
        <v>5869</v>
      </c>
      <c r="B154" s="6" t="str">
        <f>image("https://storage.googleapis.com/acdb/photos/BromideNpcNmlWol12_Remake_0_0.png")</f>
        <v/>
      </c>
      <c r="C154" s="5" t="s">
        <v>366</v>
      </c>
      <c r="D154" s="5" t="s">
        <v>1327</v>
      </c>
      <c r="E154" s="5" t="s">
        <v>34</v>
      </c>
      <c r="F154" s="5" t="s">
        <v>34</v>
      </c>
      <c r="G154" s="5" t="s">
        <v>36</v>
      </c>
      <c r="H154" s="5" t="s">
        <v>35</v>
      </c>
      <c r="I154" s="6">
        <v>1.0</v>
      </c>
      <c r="J154" s="6" t="s">
        <v>37</v>
      </c>
      <c r="K154" s="6">
        <v>10.0</v>
      </c>
      <c r="L154" s="5"/>
      <c r="M154" s="5"/>
      <c r="N154" s="6" t="s">
        <v>40</v>
      </c>
      <c r="O154" s="5" t="s">
        <v>5363</v>
      </c>
      <c r="P154" s="6" t="s">
        <v>42</v>
      </c>
      <c r="Q154" s="5" t="s">
        <v>1237</v>
      </c>
      <c r="R154" s="5" t="s">
        <v>5871</v>
      </c>
      <c r="S154" s="6" t="s">
        <v>50</v>
      </c>
      <c r="T154" s="6">
        <v>6994.0</v>
      </c>
    </row>
    <row r="155" ht="56.25" customHeight="1">
      <c r="A155" s="5" t="s">
        <v>5869</v>
      </c>
      <c r="B155" s="6" t="str">
        <f>image("https://storage.googleapis.com/acdb/photos/BromideNpcNmlWol12_Remake_1_0.png")</f>
        <v/>
      </c>
      <c r="C155" s="5" t="s">
        <v>1132</v>
      </c>
      <c r="D155" s="5" t="s">
        <v>1327</v>
      </c>
      <c r="E155" s="5" t="s">
        <v>34</v>
      </c>
      <c r="F155" s="5" t="s">
        <v>34</v>
      </c>
      <c r="G155" s="5" t="s">
        <v>36</v>
      </c>
      <c r="H155" s="5" t="s">
        <v>35</v>
      </c>
      <c r="I155" s="6">
        <v>1.0</v>
      </c>
      <c r="J155" s="6" t="s">
        <v>37</v>
      </c>
      <c r="K155" s="6">
        <v>10.0</v>
      </c>
      <c r="L155" s="5"/>
      <c r="M155" s="5"/>
      <c r="N155" s="6" t="s">
        <v>40</v>
      </c>
      <c r="O155" s="5" t="s">
        <v>5363</v>
      </c>
      <c r="P155" s="6" t="s">
        <v>42</v>
      </c>
      <c r="Q155" s="5" t="s">
        <v>1237</v>
      </c>
      <c r="R155" s="5" t="s">
        <v>5873</v>
      </c>
      <c r="S155" s="6" t="s">
        <v>56</v>
      </c>
      <c r="T155" s="6">
        <v>6994.0</v>
      </c>
    </row>
    <row r="156" ht="56.25" customHeight="1">
      <c r="A156" s="5" t="s">
        <v>5869</v>
      </c>
      <c r="B156" s="6" t="str">
        <f>image("https://storage.googleapis.com/acdb/photos/BromideNpcNmlWol12_Remake_2_0.png")</f>
        <v/>
      </c>
      <c r="C156" s="5" t="s">
        <v>688</v>
      </c>
      <c r="D156" s="5" t="s">
        <v>1327</v>
      </c>
      <c r="E156" s="5" t="s">
        <v>34</v>
      </c>
      <c r="F156" s="5" t="s">
        <v>34</v>
      </c>
      <c r="G156" s="5" t="s">
        <v>36</v>
      </c>
      <c r="H156" s="5" t="s">
        <v>35</v>
      </c>
      <c r="I156" s="6">
        <v>1.0</v>
      </c>
      <c r="J156" s="6" t="s">
        <v>37</v>
      </c>
      <c r="K156" s="6">
        <v>10.0</v>
      </c>
      <c r="L156" s="5"/>
      <c r="M156" s="5"/>
      <c r="N156" s="6" t="s">
        <v>40</v>
      </c>
      <c r="O156" s="5" t="s">
        <v>5363</v>
      </c>
      <c r="P156" s="6" t="s">
        <v>42</v>
      </c>
      <c r="Q156" s="5" t="s">
        <v>1237</v>
      </c>
      <c r="R156" s="5" t="s">
        <v>5877</v>
      </c>
      <c r="S156" s="6" t="s">
        <v>67</v>
      </c>
      <c r="T156" s="6">
        <v>6994.0</v>
      </c>
    </row>
    <row r="157" ht="56.25" customHeight="1">
      <c r="A157" s="5" t="s">
        <v>5869</v>
      </c>
      <c r="B157" s="6" t="str">
        <f>image("https://storage.googleapis.com/acdb/photos/BromideNpcNmlWol12_Remake_3_0.png")</f>
        <v/>
      </c>
      <c r="C157" s="5" t="s">
        <v>57</v>
      </c>
      <c r="D157" s="5" t="s">
        <v>1327</v>
      </c>
      <c r="E157" s="5" t="s">
        <v>34</v>
      </c>
      <c r="F157" s="5" t="s">
        <v>34</v>
      </c>
      <c r="G157" s="5" t="s">
        <v>36</v>
      </c>
      <c r="H157" s="5" t="s">
        <v>35</v>
      </c>
      <c r="I157" s="6">
        <v>1.0</v>
      </c>
      <c r="J157" s="6" t="s">
        <v>37</v>
      </c>
      <c r="K157" s="6">
        <v>10.0</v>
      </c>
      <c r="L157" s="5"/>
      <c r="M157" s="5"/>
      <c r="N157" s="6" t="s">
        <v>40</v>
      </c>
      <c r="O157" s="5" t="s">
        <v>5363</v>
      </c>
      <c r="P157" s="6" t="s">
        <v>42</v>
      </c>
      <c r="Q157" s="5" t="s">
        <v>1237</v>
      </c>
      <c r="R157" s="5" t="s">
        <v>5881</v>
      </c>
      <c r="S157" s="6" t="s">
        <v>71</v>
      </c>
      <c r="T157" s="6">
        <v>6994.0</v>
      </c>
    </row>
    <row r="158" ht="56.25" customHeight="1">
      <c r="A158" s="5" t="s">
        <v>5869</v>
      </c>
      <c r="B158" s="6" t="str">
        <f>image("https://storage.googleapis.com/acdb/photos/BromideNpcNmlWol12_Remake_4_0.png")</f>
        <v/>
      </c>
      <c r="C158" s="5" t="s">
        <v>1167</v>
      </c>
      <c r="D158" s="5" t="s">
        <v>1327</v>
      </c>
      <c r="E158" s="5" t="s">
        <v>34</v>
      </c>
      <c r="F158" s="5" t="s">
        <v>34</v>
      </c>
      <c r="G158" s="5" t="s">
        <v>36</v>
      </c>
      <c r="H158" s="5" t="s">
        <v>35</v>
      </c>
      <c r="I158" s="6">
        <v>1.0</v>
      </c>
      <c r="J158" s="6" t="s">
        <v>37</v>
      </c>
      <c r="K158" s="6">
        <v>10.0</v>
      </c>
      <c r="L158" s="5"/>
      <c r="M158" s="5"/>
      <c r="N158" s="6" t="s">
        <v>40</v>
      </c>
      <c r="O158" s="5" t="s">
        <v>5363</v>
      </c>
      <c r="P158" s="6" t="s">
        <v>42</v>
      </c>
      <c r="Q158" s="5" t="s">
        <v>1237</v>
      </c>
      <c r="R158" s="5" t="s">
        <v>5883</v>
      </c>
      <c r="S158" s="6" t="s">
        <v>75</v>
      </c>
      <c r="T158" s="6">
        <v>6994.0</v>
      </c>
    </row>
    <row r="159" ht="56.25" customHeight="1">
      <c r="A159" s="5" t="s">
        <v>5869</v>
      </c>
      <c r="B159" s="6" t="str">
        <f>image("https://storage.googleapis.com/acdb/photos/BromideNpcNmlWol12_Remake_5_0.png")</f>
        <v/>
      </c>
      <c r="C159" s="5" t="s">
        <v>58</v>
      </c>
      <c r="D159" s="5" t="s">
        <v>1327</v>
      </c>
      <c r="E159" s="5" t="s">
        <v>34</v>
      </c>
      <c r="F159" s="5" t="s">
        <v>34</v>
      </c>
      <c r="G159" s="5" t="s">
        <v>36</v>
      </c>
      <c r="H159" s="5" t="s">
        <v>35</v>
      </c>
      <c r="I159" s="6">
        <v>1.0</v>
      </c>
      <c r="J159" s="6" t="s">
        <v>37</v>
      </c>
      <c r="K159" s="6">
        <v>10.0</v>
      </c>
      <c r="L159" s="5"/>
      <c r="M159" s="5"/>
      <c r="N159" s="6" t="s">
        <v>40</v>
      </c>
      <c r="O159" s="5" t="s">
        <v>5363</v>
      </c>
      <c r="P159" s="6" t="s">
        <v>42</v>
      </c>
      <c r="Q159" s="5" t="s">
        <v>1237</v>
      </c>
      <c r="R159" s="5" t="s">
        <v>5886</v>
      </c>
      <c r="S159" s="6" t="s">
        <v>79</v>
      </c>
      <c r="T159" s="6">
        <v>6994.0</v>
      </c>
    </row>
    <row r="160" ht="56.25" customHeight="1">
      <c r="A160" s="5" t="s">
        <v>5869</v>
      </c>
      <c r="B160" s="6" t="str">
        <f>image("https://storage.googleapis.com/acdb/photos/BromideNpcNmlWol12_Remake_6_0.png")</f>
        <v/>
      </c>
      <c r="C160" s="5" t="s">
        <v>146</v>
      </c>
      <c r="D160" s="5" t="s">
        <v>1327</v>
      </c>
      <c r="E160" s="5" t="s">
        <v>34</v>
      </c>
      <c r="F160" s="5" t="s">
        <v>34</v>
      </c>
      <c r="G160" s="5" t="s">
        <v>36</v>
      </c>
      <c r="H160" s="5" t="s">
        <v>35</v>
      </c>
      <c r="I160" s="6">
        <v>1.0</v>
      </c>
      <c r="J160" s="6" t="s">
        <v>37</v>
      </c>
      <c r="K160" s="6">
        <v>10.0</v>
      </c>
      <c r="L160" s="5"/>
      <c r="M160" s="5"/>
      <c r="N160" s="6" t="s">
        <v>40</v>
      </c>
      <c r="O160" s="5" t="s">
        <v>5363</v>
      </c>
      <c r="P160" s="6" t="s">
        <v>42</v>
      </c>
      <c r="Q160" s="5" t="s">
        <v>1237</v>
      </c>
      <c r="R160" s="5" t="s">
        <v>5890</v>
      </c>
      <c r="S160" s="6" t="s">
        <v>86</v>
      </c>
      <c r="T160" s="6">
        <v>6994.0</v>
      </c>
    </row>
    <row r="161" ht="56.25" customHeight="1">
      <c r="A161" s="5" t="s">
        <v>5869</v>
      </c>
      <c r="B161" s="6" t="str">
        <f>image("https://storage.googleapis.com/acdb/photos/BromideNpcNmlWol12_Remake_7_0.png")</f>
        <v/>
      </c>
      <c r="C161" s="5" t="s">
        <v>151</v>
      </c>
      <c r="D161" s="5" t="s">
        <v>1327</v>
      </c>
      <c r="E161" s="5" t="s">
        <v>34</v>
      </c>
      <c r="F161" s="5" t="s">
        <v>34</v>
      </c>
      <c r="G161" s="5" t="s">
        <v>36</v>
      </c>
      <c r="H161" s="5" t="s">
        <v>35</v>
      </c>
      <c r="I161" s="6">
        <v>1.0</v>
      </c>
      <c r="J161" s="6" t="s">
        <v>37</v>
      </c>
      <c r="K161" s="6">
        <v>10.0</v>
      </c>
      <c r="L161" s="5"/>
      <c r="M161" s="5"/>
      <c r="N161" s="6" t="s">
        <v>40</v>
      </c>
      <c r="O161" s="5" t="s">
        <v>5363</v>
      </c>
      <c r="P161" s="6" t="s">
        <v>42</v>
      </c>
      <c r="Q161" s="5" t="s">
        <v>1237</v>
      </c>
      <c r="R161" s="5" t="s">
        <v>5892</v>
      </c>
      <c r="S161" s="6" t="s">
        <v>208</v>
      </c>
      <c r="T161" s="6">
        <v>6994.0</v>
      </c>
    </row>
    <row r="162" ht="56.25" customHeight="1">
      <c r="A162" s="5" t="s">
        <v>5894</v>
      </c>
      <c r="B162" s="6" t="str">
        <f>image("https://storage.googleapis.com/acdb/photos/BromideNpcNmlPgn00_Remake_0_0.png")</f>
        <v/>
      </c>
      <c r="C162" s="5" t="s">
        <v>366</v>
      </c>
      <c r="D162" s="5" t="s">
        <v>1327</v>
      </c>
      <c r="E162" s="5" t="s">
        <v>34</v>
      </c>
      <c r="F162" s="5" t="s">
        <v>34</v>
      </c>
      <c r="G162" s="5" t="s">
        <v>36</v>
      </c>
      <c r="H162" s="5" t="s">
        <v>35</v>
      </c>
      <c r="I162" s="6">
        <v>1.0</v>
      </c>
      <c r="J162" s="6" t="s">
        <v>37</v>
      </c>
      <c r="K162" s="6">
        <v>10.0</v>
      </c>
      <c r="L162" s="5"/>
      <c r="M162" s="5"/>
      <c r="N162" s="6" t="s">
        <v>40</v>
      </c>
      <c r="O162" s="5" t="s">
        <v>5363</v>
      </c>
      <c r="P162" s="6" t="s">
        <v>42</v>
      </c>
      <c r="Q162" s="5" t="s">
        <v>1237</v>
      </c>
      <c r="R162" s="5" t="s">
        <v>5896</v>
      </c>
      <c r="S162" s="6" t="s">
        <v>50</v>
      </c>
      <c r="T162" s="6">
        <v>6630.0</v>
      </c>
    </row>
    <row r="163" ht="56.25" customHeight="1">
      <c r="A163" s="5" t="s">
        <v>5894</v>
      </c>
      <c r="B163" s="6" t="str">
        <f>image("https://storage.googleapis.com/acdb/photos/BromideNpcNmlPgn00_Remake_1_0.png")</f>
        <v/>
      </c>
      <c r="C163" s="5" t="s">
        <v>1132</v>
      </c>
      <c r="D163" s="5" t="s">
        <v>1327</v>
      </c>
      <c r="E163" s="5" t="s">
        <v>34</v>
      </c>
      <c r="F163" s="5" t="s">
        <v>34</v>
      </c>
      <c r="G163" s="5" t="s">
        <v>36</v>
      </c>
      <c r="H163" s="5" t="s">
        <v>35</v>
      </c>
      <c r="I163" s="6">
        <v>1.0</v>
      </c>
      <c r="J163" s="6" t="s">
        <v>37</v>
      </c>
      <c r="K163" s="6">
        <v>10.0</v>
      </c>
      <c r="L163" s="5"/>
      <c r="M163" s="5"/>
      <c r="N163" s="6" t="s">
        <v>40</v>
      </c>
      <c r="O163" s="5" t="s">
        <v>5363</v>
      </c>
      <c r="P163" s="6" t="s">
        <v>42</v>
      </c>
      <c r="Q163" s="5" t="s">
        <v>1237</v>
      </c>
      <c r="R163" s="5" t="s">
        <v>5898</v>
      </c>
      <c r="S163" s="6" t="s">
        <v>56</v>
      </c>
      <c r="T163" s="6">
        <v>6630.0</v>
      </c>
    </row>
    <row r="164" ht="56.25" customHeight="1">
      <c r="A164" s="5" t="s">
        <v>5894</v>
      </c>
      <c r="B164" s="6" t="str">
        <f>image("https://storage.googleapis.com/acdb/photos/BromideNpcNmlPgn00_Remake_2_0.png")</f>
        <v/>
      </c>
      <c r="C164" s="5" t="s">
        <v>688</v>
      </c>
      <c r="D164" s="5" t="s">
        <v>1327</v>
      </c>
      <c r="E164" s="5" t="s">
        <v>34</v>
      </c>
      <c r="F164" s="5" t="s">
        <v>34</v>
      </c>
      <c r="G164" s="5" t="s">
        <v>36</v>
      </c>
      <c r="H164" s="5" t="s">
        <v>35</v>
      </c>
      <c r="I164" s="6">
        <v>1.0</v>
      </c>
      <c r="J164" s="6" t="s">
        <v>37</v>
      </c>
      <c r="K164" s="6">
        <v>10.0</v>
      </c>
      <c r="L164" s="5"/>
      <c r="M164" s="5"/>
      <c r="N164" s="6" t="s">
        <v>40</v>
      </c>
      <c r="O164" s="5" t="s">
        <v>5363</v>
      </c>
      <c r="P164" s="6" t="s">
        <v>42</v>
      </c>
      <c r="Q164" s="5" t="s">
        <v>1237</v>
      </c>
      <c r="R164" s="5" t="s">
        <v>5901</v>
      </c>
      <c r="S164" s="6" t="s">
        <v>67</v>
      </c>
      <c r="T164" s="6">
        <v>6630.0</v>
      </c>
    </row>
    <row r="165" ht="56.25" customHeight="1">
      <c r="A165" s="5" t="s">
        <v>5894</v>
      </c>
      <c r="B165" s="6" t="str">
        <f>image("https://storage.googleapis.com/acdb/photos/BromideNpcNmlPgn00_Remake_3_0.png")</f>
        <v/>
      </c>
      <c r="C165" s="5" t="s">
        <v>57</v>
      </c>
      <c r="D165" s="5" t="s">
        <v>1327</v>
      </c>
      <c r="E165" s="5" t="s">
        <v>34</v>
      </c>
      <c r="F165" s="5" t="s">
        <v>34</v>
      </c>
      <c r="G165" s="5" t="s">
        <v>36</v>
      </c>
      <c r="H165" s="5" t="s">
        <v>35</v>
      </c>
      <c r="I165" s="6">
        <v>1.0</v>
      </c>
      <c r="J165" s="6" t="s">
        <v>37</v>
      </c>
      <c r="K165" s="6">
        <v>10.0</v>
      </c>
      <c r="L165" s="5"/>
      <c r="M165" s="5"/>
      <c r="N165" s="6" t="s">
        <v>40</v>
      </c>
      <c r="O165" s="5" t="s">
        <v>5363</v>
      </c>
      <c r="P165" s="6" t="s">
        <v>42</v>
      </c>
      <c r="Q165" s="5" t="s">
        <v>1237</v>
      </c>
      <c r="R165" s="5" t="s">
        <v>5904</v>
      </c>
      <c r="S165" s="6" t="s">
        <v>71</v>
      </c>
      <c r="T165" s="6">
        <v>6630.0</v>
      </c>
    </row>
    <row r="166" ht="56.25" customHeight="1">
      <c r="A166" s="5" t="s">
        <v>5894</v>
      </c>
      <c r="B166" s="6" t="str">
        <f>image("https://storage.googleapis.com/acdb/photos/BromideNpcNmlPgn00_Remake_4_0.png")</f>
        <v/>
      </c>
      <c r="C166" s="5" t="s">
        <v>1167</v>
      </c>
      <c r="D166" s="5" t="s">
        <v>1327</v>
      </c>
      <c r="E166" s="5" t="s">
        <v>34</v>
      </c>
      <c r="F166" s="5" t="s">
        <v>34</v>
      </c>
      <c r="G166" s="5" t="s">
        <v>36</v>
      </c>
      <c r="H166" s="5" t="s">
        <v>35</v>
      </c>
      <c r="I166" s="6">
        <v>1.0</v>
      </c>
      <c r="J166" s="6" t="s">
        <v>37</v>
      </c>
      <c r="K166" s="6">
        <v>10.0</v>
      </c>
      <c r="L166" s="5"/>
      <c r="M166" s="5"/>
      <c r="N166" s="6" t="s">
        <v>40</v>
      </c>
      <c r="O166" s="5" t="s">
        <v>5363</v>
      </c>
      <c r="P166" s="6" t="s">
        <v>42</v>
      </c>
      <c r="Q166" s="5" t="s">
        <v>1237</v>
      </c>
      <c r="R166" s="5" t="s">
        <v>5909</v>
      </c>
      <c r="S166" s="6" t="s">
        <v>75</v>
      </c>
      <c r="T166" s="6">
        <v>6630.0</v>
      </c>
    </row>
    <row r="167" ht="56.25" customHeight="1">
      <c r="A167" s="5" t="s">
        <v>5894</v>
      </c>
      <c r="B167" s="6" t="str">
        <f>image("https://storage.googleapis.com/acdb/photos/BromideNpcNmlPgn00_Remake_5_0.png")</f>
        <v/>
      </c>
      <c r="C167" s="5" t="s">
        <v>58</v>
      </c>
      <c r="D167" s="5" t="s">
        <v>1327</v>
      </c>
      <c r="E167" s="5" t="s">
        <v>34</v>
      </c>
      <c r="F167" s="5" t="s">
        <v>34</v>
      </c>
      <c r="G167" s="5" t="s">
        <v>36</v>
      </c>
      <c r="H167" s="5" t="s">
        <v>35</v>
      </c>
      <c r="I167" s="6">
        <v>1.0</v>
      </c>
      <c r="J167" s="6" t="s">
        <v>37</v>
      </c>
      <c r="K167" s="6">
        <v>10.0</v>
      </c>
      <c r="L167" s="5"/>
      <c r="M167" s="5"/>
      <c r="N167" s="6" t="s">
        <v>40</v>
      </c>
      <c r="O167" s="5" t="s">
        <v>5363</v>
      </c>
      <c r="P167" s="6" t="s">
        <v>42</v>
      </c>
      <c r="Q167" s="5" t="s">
        <v>1237</v>
      </c>
      <c r="R167" s="5" t="s">
        <v>5915</v>
      </c>
      <c r="S167" s="6" t="s">
        <v>79</v>
      </c>
      <c r="T167" s="6">
        <v>6630.0</v>
      </c>
    </row>
    <row r="168" ht="56.25" customHeight="1">
      <c r="A168" s="5" t="s">
        <v>5894</v>
      </c>
      <c r="B168" s="6" t="str">
        <f>image("https://storage.googleapis.com/acdb/photos/BromideNpcNmlPgn00_Remake_6_0.png")</f>
        <v/>
      </c>
      <c r="C168" s="5" t="s">
        <v>146</v>
      </c>
      <c r="D168" s="5" t="s">
        <v>1327</v>
      </c>
      <c r="E168" s="5" t="s">
        <v>34</v>
      </c>
      <c r="F168" s="5" t="s">
        <v>34</v>
      </c>
      <c r="G168" s="5" t="s">
        <v>36</v>
      </c>
      <c r="H168" s="5" t="s">
        <v>35</v>
      </c>
      <c r="I168" s="6">
        <v>1.0</v>
      </c>
      <c r="J168" s="6" t="s">
        <v>37</v>
      </c>
      <c r="K168" s="6">
        <v>10.0</v>
      </c>
      <c r="L168" s="5"/>
      <c r="M168" s="5"/>
      <c r="N168" s="6" t="s">
        <v>40</v>
      </c>
      <c r="O168" s="5" t="s">
        <v>5363</v>
      </c>
      <c r="P168" s="6" t="s">
        <v>42</v>
      </c>
      <c r="Q168" s="5" t="s">
        <v>1237</v>
      </c>
      <c r="R168" s="5" t="s">
        <v>5919</v>
      </c>
      <c r="S168" s="6" t="s">
        <v>86</v>
      </c>
      <c r="T168" s="6">
        <v>6630.0</v>
      </c>
    </row>
    <row r="169" ht="56.25" customHeight="1">
      <c r="A169" s="5" t="s">
        <v>5894</v>
      </c>
      <c r="B169" s="6" t="str">
        <f>image("https://storage.googleapis.com/acdb/photos/BromideNpcNmlPgn00_Remake_7_0.png")</f>
        <v/>
      </c>
      <c r="C169" s="5" t="s">
        <v>151</v>
      </c>
      <c r="D169" s="5" t="s">
        <v>1327</v>
      </c>
      <c r="E169" s="5" t="s">
        <v>34</v>
      </c>
      <c r="F169" s="5" t="s">
        <v>34</v>
      </c>
      <c r="G169" s="5" t="s">
        <v>36</v>
      </c>
      <c r="H169" s="5" t="s">
        <v>35</v>
      </c>
      <c r="I169" s="6">
        <v>1.0</v>
      </c>
      <c r="J169" s="6" t="s">
        <v>37</v>
      </c>
      <c r="K169" s="6">
        <v>10.0</v>
      </c>
      <c r="L169" s="5"/>
      <c r="M169" s="5"/>
      <c r="N169" s="6" t="s">
        <v>40</v>
      </c>
      <c r="O169" s="5" t="s">
        <v>5363</v>
      </c>
      <c r="P169" s="6" t="s">
        <v>42</v>
      </c>
      <c r="Q169" s="5" t="s">
        <v>1237</v>
      </c>
      <c r="R169" s="5" t="s">
        <v>5923</v>
      </c>
      <c r="S169" s="6" t="s">
        <v>208</v>
      </c>
      <c r="T169" s="6">
        <v>6630.0</v>
      </c>
    </row>
    <row r="170" ht="56.25" customHeight="1">
      <c r="A170" s="5" t="s">
        <v>5925</v>
      </c>
      <c r="B170" s="6" t="str">
        <f>image("https://storage.googleapis.com/acdb/photos/BromideNpcNmlChn05_Remake_0_0.png")</f>
        <v/>
      </c>
      <c r="C170" s="5" t="s">
        <v>366</v>
      </c>
      <c r="D170" s="5" t="s">
        <v>1327</v>
      </c>
      <c r="E170" s="5" t="s">
        <v>34</v>
      </c>
      <c r="F170" s="5" t="s">
        <v>34</v>
      </c>
      <c r="G170" s="5" t="s">
        <v>36</v>
      </c>
      <c r="H170" s="5" t="s">
        <v>35</v>
      </c>
      <c r="I170" s="6">
        <v>1.0</v>
      </c>
      <c r="J170" s="6" t="s">
        <v>37</v>
      </c>
      <c r="K170" s="6">
        <v>10.0</v>
      </c>
      <c r="L170" s="5"/>
      <c r="M170" s="5"/>
      <c r="N170" s="6" t="s">
        <v>40</v>
      </c>
      <c r="O170" s="5" t="s">
        <v>5363</v>
      </c>
      <c r="P170" s="6" t="s">
        <v>42</v>
      </c>
      <c r="Q170" s="5" t="s">
        <v>1237</v>
      </c>
      <c r="R170" s="5" t="s">
        <v>5929</v>
      </c>
      <c r="S170" s="6" t="s">
        <v>50</v>
      </c>
      <c r="T170" s="6">
        <v>6789.0</v>
      </c>
    </row>
    <row r="171" ht="56.25" customHeight="1">
      <c r="A171" s="5" t="s">
        <v>5925</v>
      </c>
      <c r="B171" s="6" t="str">
        <f>image("https://storage.googleapis.com/acdb/photos/BromideNpcNmlChn05_Remake_1_0.png")</f>
        <v/>
      </c>
      <c r="C171" s="5" t="s">
        <v>1132</v>
      </c>
      <c r="D171" s="5" t="s">
        <v>1327</v>
      </c>
      <c r="E171" s="5" t="s">
        <v>34</v>
      </c>
      <c r="F171" s="5" t="s">
        <v>34</v>
      </c>
      <c r="G171" s="5" t="s">
        <v>36</v>
      </c>
      <c r="H171" s="5" t="s">
        <v>35</v>
      </c>
      <c r="I171" s="6">
        <v>1.0</v>
      </c>
      <c r="J171" s="6" t="s">
        <v>37</v>
      </c>
      <c r="K171" s="6">
        <v>10.0</v>
      </c>
      <c r="L171" s="5"/>
      <c r="M171" s="5"/>
      <c r="N171" s="6" t="s">
        <v>40</v>
      </c>
      <c r="O171" s="5" t="s">
        <v>5363</v>
      </c>
      <c r="P171" s="6" t="s">
        <v>42</v>
      </c>
      <c r="Q171" s="5" t="s">
        <v>1237</v>
      </c>
      <c r="R171" s="5" t="s">
        <v>5931</v>
      </c>
      <c r="S171" s="6" t="s">
        <v>56</v>
      </c>
      <c r="T171" s="6">
        <v>6789.0</v>
      </c>
    </row>
    <row r="172" ht="56.25" customHeight="1">
      <c r="A172" s="5" t="s">
        <v>5925</v>
      </c>
      <c r="B172" s="6" t="str">
        <f>image("https://storage.googleapis.com/acdb/photos/BromideNpcNmlChn05_Remake_2_0.png")</f>
        <v/>
      </c>
      <c r="C172" s="5" t="s">
        <v>688</v>
      </c>
      <c r="D172" s="5" t="s">
        <v>1327</v>
      </c>
      <c r="E172" s="5" t="s">
        <v>34</v>
      </c>
      <c r="F172" s="5" t="s">
        <v>34</v>
      </c>
      <c r="G172" s="5" t="s">
        <v>36</v>
      </c>
      <c r="H172" s="5" t="s">
        <v>35</v>
      </c>
      <c r="I172" s="6">
        <v>1.0</v>
      </c>
      <c r="J172" s="6" t="s">
        <v>37</v>
      </c>
      <c r="K172" s="6">
        <v>10.0</v>
      </c>
      <c r="L172" s="5"/>
      <c r="M172" s="5"/>
      <c r="N172" s="6" t="s">
        <v>40</v>
      </c>
      <c r="O172" s="5" t="s">
        <v>5363</v>
      </c>
      <c r="P172" s="6" t="s">
        <v>42</v>
      </c>
      <c r="Q172" s="5" t="s">
        <v>1237</v>
      </c>
      <c r="R172" s="5" t="s">
        <v>5934</v>
      </c>
      <c r="S172" s="6" t="s">
        <v>67</v>
      </c>
      <c r="T172" s="6">
        <v>6789.0</v>
      </c>
    </row>
    <row r="173" ht="56.25" customHeight="1">
      <c r="A173" s="5" t="s">
        <v>5925</v>
      </c>
      <c r="B173" s="6" t="str">
        <f>image("https://storage.googleapis.com/acdb/photos/BromideNpcNmlChn05_Remake_3_0.png")</f>
        <v/>
      </c>
      <c r="C173" s="5" t="s">
        <v>57</v>
      </c>
      <c r="D173" s="5" t="s">
        <v>1327</v>
      </c>
      <c r="E173" s="5" t="s">
        <v>34</v>
      </c>
      <c r="F173" s="5" t="s">
        <v>34</v>
      </c>
      <c r="G173" s="5" t="s">
        <v>36</v>
      </c>
      <c r="H173" s="5" t="s">
        <v>35</v>
      </c>
      <c r="I173" s="6">
        <v>1.0</v>
      </c>
      <c r="J173" s="6" t="s">
        <v>37</v>
      </c>
      <c r="K173" s="6">
        <v>10.0</v>
      </c>
      <c r="L173" s="5"/>
      <c r="M173" s="5"/>
      <c r="N173" s="6" t="s">
        <v>40</v>
      </c>
      <c r="O173" s="5" t="s">
        <v>5363</v>
      </c>
      <c r="P173" s="6" t="s">
        <v>42</v>
      </c>
      <c r="Q173" s="5" t="s">
        <v>1237</v>
      </c>
      <c r="R173" s="5" t="s">
        <v>5937</v>
      </c>
      <c r="S173" s="6" t="s">
        <v>71</v>
      </c>
      <c r="T173" s="6">
        <v>6789.0</v>
      </c>
    </row>
    <row r="174" ht="56.25" customHeight="1">
      <c r="A174" s="5" t="s">
        <v>5925</v>
      </c>
      <c r="B174" s="6" t="str">
        <f>image("https://storage.googleapis.com/acdb/photos/BromideNpcNmlChn05_Remake_4_0.png")</f>
        <v/>
      </c>
      <c r="C174" s="5" t="s">
        <v>1167</v>
      </c>
      <c r="D174" s="5" t="s">
        <v>1327</v>
      </c>
      <c r="E174" s="5" t="s">
        <v>34</v>
      </c>
      <c r="F174" s="5" t="s">
        <v>34</v>
      </c>
      <c r="G174" s="5" t="s">
        <v>36</v>
      </c>
      <c r="H174" s="5" t="s">
        <v>35</v>
      </c>
      <c r="I174" s="6">
        <v>1.0</v>
      </c>
      <c r="J174" s="6" t="s">
        <v>37</v>
      </c>
      <c r="K174" s="6">
        <v>10.0</v>
      </c>
      <c r="L174" s="5"/>
      <c r="M174" s="5"/>
      <c r="N174" s="6" t="s">
        <v>40</v>
      </c>
      <c r="O174" s="5" t="s">
        <v>5363</v>
      </c>
      <c r="P174" s="6" t="s">
        <v>42</v>
      </c>
      <c r="Q174" s="5" t="s">
        <v>1237</v>
      </c>
      <c r="R174" s="5" t="s">
        <v>5942</v>
      </c>
      <c r="S174" s="6" t="s">
        <v>75</v>
      </c>
      <c r="T174" s="6">
        <v>6789.0</v>
      </c>
    </row>
    <row r="175" ht="56.25" customHeight="1">
      <c r="A175" s="5" t="s">
        <v>5925</v>
      </c>
      <c r="B175" s="6" t="str">
        <f>image("https://storage.googleapis.com/acdb/photos/BromideNpcNmlChn05_Remake_5_0.png")</f>
        <v/>
      </c>
      <c r="C175" s="5" t="s">
        <v>58</v>
      </c>
      <c r="D175" s="5" t="s">
        <v>1327</v>
      </c>
      <c r="E175" s="5" t="s">
        <v>34</v>
      </c>
      <c r="F175" s="5" t="s">
        <v>34</v>
      </c>
      <c r="G175" s="5" t="s">
        <v>36</v>
      </c>
      <c r="H175" s="5" t="s">
        <v>35</v>
      </c>
      <c r="I175" s="6">
        <v>1.0</v>
      </c>
      <c r="J175" s="6" t="s">
        <v>37</v>
      </c>
      <c r="K175" s="6">
        <v>10.0</v>
      </c>
      <c r="L175" s="5"/>
      <c r="M175" s="5"/>
      <c r="N175" s="6" t="s">
        <v>40</v>
      </c>
      <c r="O175" s="5" t="s">
        <v>5363</v>
      </c>
      <c r="P175" s="6" t="s">
        <v>42</v>
      </c>
      <c r="Q175" s="5" t="s">
        <v>1237</v>
      </c>
      <c r="R175" s="5" t="s">
        <v>5946</v>
      </c>
      <c r="S175" s="6" t="s">
        <v>79</v>
      </c>
      <c r="T175" s="6">
        <v>6789.0</v>
      </c>
    </row>
    <row r="176" ht="56.25" customHeight="1">
      <c r="A176" s="5" t="s">
        <v>5925</v>
      </c>
      <c r="B176" s="6" t="str">
        <f>image("https://storage.googleapis.com/acdb/photos/BromideNpcNmlChn05_Remake_6_0.png")</f>
        <v/>
      </c>
      <c r="C176" s="5" t="s">
        <v>146</v>
      </c>
      <c r="D176" s="5" t="s">
        <v>1327</v>
      </c>
      <c r="E176" s="5" t="s">
        <v>34</v>
      </c>
      <c r="F176" s="5" t="s">
        <v>34</v>
      </c>
      <c r="G176" s="5" t="s">
        <v>36</v>
      </c>
      <c r="H176" s="5" t="s">
        <v>35</v>
      </c>
      <c r="I176" s="6">
        <v>1.0</v>
      </c>
      <c r="J176" s="6" t="s">
        <v>37</v>
      </c>
      <c r="K176" s="6">
        <v>10.0</v>
      </c>
      <c r="L176" s="5"/>
      <c r="M176" s="5"/>
      <c r="N176" s="6" t="s">
        <v>40</v>
      </c>
      <c r="O176" s="5" t="s">
        <v>5363</v>
      </c>
      <c r="P176" s="6" t="s">
        <v>42</v>
      </c>
      <c r="Q176" s="5" t="s">
        <v>1237</v>
      </c>
      <c r="R176" s="5" t="s">
        <v>5948</v>
      </c>
      <c r="S176" s="6" t="s">
        <v>86</v>
      </c>
      <c r="T176" s="6">
        <v>6789.0</v>
      </c>
    </row>
    <row r="177" ht="56.25" customHeight="1">
      <c r="A177" s="5" t="s">
        <v>5925</v>
      </c>
      <c r="B177" s="6" t="str">
        <f>image("https://storage.googleapis.com/acdb/photos/BromideNpcNmlChn05_Remake_7_0.png")</f>
        <v/>
      </c>
      <c r="C177" s="5" t="s">
        <v>151</v>
      </c>
      <c r="D177" s="5" t="s">
        <v>1327</v>
      </c>
      <c r="E177" s="5" t="s">
        <v>34</v>
      </c>
      <c r="F177" s="5" t="s">
        <v>34</v>
      </c>
      <c r="G177" s="5" t="s">
        <v>36</v>
      </c>
      <c r="H177" s="5" t="s">
        <v>35</v>
      </c>
      <c r="I177" s="6">
        <v>1.0</v>
      </c>
      <c r="J177" s="6" t="s">
        <v>37</v>
      </c>
      <c r="K177" s="6">
        <v>10.0</v>
      </c>
      <c r="L177" s="5"/>
      <c r="M177" s="5"/>
      <c r="N177" s="6" t="s">
        <v>40</v>
      </c>
      <c r="O177" s="5" t="s">
        <v>5363</v>
      </c>
      <c r="P177" s="6" t="s">
        <v>42</v>
      </c>
      <c r="Q177" s="5" t="s">
        <v>1237</v>
      </c>
      <c r="R177" s="5" t="s">
        <v>5952</v>
      </c>
      <c r="S177" s="6" t="s">
        <v>208</v>
      </c>
      <c r="T177" s="6">
        <v>6789.0</v>
      </c>
    </row>
    <row r="178" ht="56.25" customHeight="1">
      <c r="A178" s="5" t="s">
        <v>5953</v>
      </c>
      <c r="B178" s="6" t="str">
        <f>image("https://storage.googleapis.com/acdb/photos/BromideNpcNmlPbr05_Remake_0_0.png")</f>
        <v/>
      </c>
      <c r="C178" s="5" t="s">
        <v>366</v>
      </c>
      <c r="D178" s="5" t="s">
        <v>1327</v>
      </c>
      <c r="E178" s="5" t="s">
        <v>34</v>
      </c>
      <c r="F178" s="5" t="s">
        <v>34</v>
      </c>
      <c r="G178" s="5" t="s">
        <v>36</v>
      </c>
      <c r="H178" s="5" t="s">
        <v>35</v>
      </c>
      <c r="I178" s="6">
        <v>1.0</v>
      </c>
      <c r="J178" s="6" t="s">
        <v>37</v>
      </c>
      <c r="K178" s="6">
        <v>10.0</v>
      </c>
      <c r="L178" s="5"/>
      <c r="M178" s="5"/>
      <c r="N178" s="6" t="s">
        <v>40</v>
      </c>
      <c r="O178" s="5" t="s">
        <v>5363</v>
      </c>
      <c r="P178" s="6" t="s">
        <v>42</v>
      </c>
      <c r="Q178" s="5" t="s">
        <v>1237</v>
      </c>
      <c r="R178" s="5" t="s">
        <v>5955</v>
      </c>
      <c r="S178" s="6" t="s">
        <v>50</v>
      </c>
      <c r="T178" s="6">
        <v>6624.0</v>
      </c>
    </row>
    <row r="179" ht="56.25" customHeight="1">
      <c r="A179" s="5" t="s">
        <v>5953</v>
      </c>
      <c r="B179" s="6" t="str">
        <f>image("https://storage.googleapis.com/acdb/photos/BromideNpcNmlPbr05_Remake_1_0.png")</f>
        <v/>
      </c>
      <c r="C179" s="5" t="s">
        <v>1132</v>
      </c>
      <c r="D179" s="5" t="s">
        <v>1327</v>
      </c>
      <c r="E179" s="5" t="s">
        <v>34</v>
      </c>
      <c r="F179" s="5" t="s">
        <v>34</v>
      </c>
      <c r="G179" s="5" t="s">
        <v>36</v>
      </c>
      <c r="H179" s="5" t="s">
        <v>35</v>
      </c>
      <c r="I179" s="6">
        <v>1.0</v>
      </c>
      <c r="J179" s="6" t="s">
        <v>37</v>
      </c>
      <c r="K179" s="6">
        <v>10.0</v>
      </c>
      <c r="L179" s="5"/>
      <c r="M179" s="5"/>
      <c r="N179" s="6" t="s">
        <v>40</v>
      </c>
      <c r="O179" s="5" t="s">
        <v>5363</v>
      </c>
      <c r="P179" s="6" t="s">
        <v>42</v>
      </c>
      <c r="Q179" s="5" t="s">
        <v>1237</v>
      </c>
      <c r="R179" s="5" t="s">
        <v>5958</v>
      </c>
      <c r="S179" s="6" t="s">
        <v>56</v>
      </c>
      <c r="T179" s="6">
        <v>6624.0</v>
      </c>
    </row>
    <row r="180" ht="56.25" customHeight="1">
      <c r="A180" s="5" t="s">
        <v>5953</v>
      </c>
      <c r="B180" s="6" t="str">
        <f>image("https://storage.googleapis.com/acdb/photos/BromideNpcNmlPbr05_Remake_2_0.png")</f>
        <v/>
      </c>
      <c r="C180" s="5" t="s">
        <v>688</v>
      </c>
      <c r="D180" s="5" t="s">
        <v>1327</v>
      </c>
      <c r="E180" s="5" t="s">
        <v>34</v>
      </c>
      <c r="F180" s="5" t="s">
        <v>34</v>
      </c>
      <c r="G180" s="5" t="s">
        <v>36</v>
      </c>
      <c r="H180" s="5" t="s">
        <v>35</v>
      </c>
      <c r="I180" s="6">
        <v>1.0</v>
      </c>
      <c r="J180" s="6" t="s">
        <v>37</v>
      </c>
      <c r="K180" s="6">
        <v>10.0</v>
      </c>
      <c r="L180" s="5"/>
      <c r="M180" s="5"/>
      <c r="N180" s="6" t="s">
        <v>40</v>
      </c>
      <c r="O180" s="5" t="s">
        <v>5363</v>
      </c>
      <c r="P180" s="6" t="s">
        <v>42</v>
      </c>
      <c r="Q180" s="5" t="s">
        <v>1237</v>
      </c>
      <c r="R180" s="5" t="s">
        <v>5961</v>
      </c>
      <c r="S180" s="6" t="s">
        <v>67</v>
      </c>
      <c r="T180" s="6">
        <v>6624.0</v>
      </c>
    </row>
    <row r="181" ht="56.25" customHeight="1">
      <c r="A181" s="5" t="s">
        <v>5953</v>
      </c>
      <c r="B181" s="6" t="str">
        <f>image("https://storage.googleapis.com/acdb/photos/BromideNpcNmlPbr05_Remake_3_0.png")</f>
        <v/>
      </c>
      <c r="C181" s="5" t="s">
        <v>57</v>
      </c>
      <c r="D181" s="5" t="s">
        <v>1327</v>
      </c>
      <c r="E181" s="5" t="s">
        <v>34</v>
      </c>
      <c r="F181" s="5" t="s">
        <v>34</v>
      </c>
      <c r="G181" s="5" t="s">
        <v>36</v>
      </c>
      <c r="H181" s="5" t="s">
        <v>35</v>
      </c>
      <c r="I181" s="6">
        <v>1.0</v>
      </c>
      <c r="J181" s="6" t="s">
        <v>37</v>
      </c>
      <c r="K181" s="6">
        <v>10.0</v>
      </c>
      <c r="L181" s="5"/>
      <c r="M181" s="5"/>
      <c r="N181" s="6" t="s">
        <v>40</v>
      </c>
      <c r="O181" s="5" t="s">
        <v>5363</v>
      </c>
      <c r="P181" s="6" t="s">
        <v>42</v>
      </c>
      <c r="Q181" s="5" t="s">
        <v>1237</v>
      </c>
      <c r="R181" s="5" t="s">
        <v>5965</v>
      </c>
      <c r="S181" s="6" t="s">
        <v>71</v>
      </c>
      <c r="T181" s="6">
        <v>6624.0</v>
      </c>
    </row>
    <row r="182" ht="56.25" customHeight="1">
      <c r="A182" s="5" t="s">
        <v>5953</v>
      </c>
      <c r="B182" s="6" t="str">
        <f>image("https://storage.googleapis.com/acdb/photos/BromideNpcNmlPbr05_Remake_4_0.png")</f>
        <v/>
      </c>
      <c r="C182" s="5" t="s">
        <v>1167</v>
      </c>
      <c r="D182" s="5" t="s">
        <v>1327</v>
      </c>
      <c r="E182" s="5" t="s">
        <v>34</v>
      </c>
      <c r="F182" s="5" t="s">
        <v>34</v>
      </c>
      <c r="G182" s="5" t="s">
        <v>36</v>
      </c>
      <c r="H182" s="5" t="s">
        <v>35</v>
      </c>
      <c r="I182" s="6">
        <v>1.0</v>
      </c>
      <c r="J182" s="6" t="s">
        <v>37</v>
      </c>
      <c r="K182" s="6">
        <v>10.0</v>
      </c>
      <c r="L182" s="5"/>
      <c r="M182" s="5"/>
      <c r="N182" s="6" t="s">
        <v>40</v>
      </c>
      <c r="O182" s="5" t="s">
        <v>5363</v>
      </c>
      <c r="P182" s="6" t="s">
        <v>42</v>
      </c>
      <c r="Q182" s="5" t="s">
        <v>1237</v>
      </c>
      <c r="R182" s="5" t="s">
        <v>5967</v>
      </c>
      <c r="S182" s="6" t="s">
        <v>75</v>
      </c>
      <c r="T182" s="6">
        <v>6624.0</v>
      </c>
    </row>
    <row r="183" ht="56.25" customHeight="1">
      <c r="A183" s="5" t="s">
        <v>5953</v>
      </c>
      <c r="B183" s="6" t="str">
        <f>image("https://storage.googleapis.com/acdb/photos/BromideNpcNmlPbr05_Remake_5_0.png")</f>
        <v/>
      </c>
      <c r="C183" s="5" t="s">
        <v>58</v>
      </c>
      <c r="D183" s="5" t="s">
        <v>1327</v>
      </c>
      <c r="E183" s="5" t="s">
        <v>34</v>
      </c>
      <c r="F183" s="5" t="s">
        <v>34</v>
      </c>
      <c r="G183" s="5" t="s">
        <v>36</v>
      </c>
      <c r="H183" s="5" t="s">
        <v>35</v>
      </c>
      <c r="I183" s="6">
        <v>1.0</v>
      </c>
      <c r="J183" s="6" t="s">
        <v>37</v>
      </c>
      <c r="K183" s="6">
        <v>10.0</v>
      </c>
      <c r="L183" s="5"/>
      <c r="M183" s="5"/>
      <c r="N183" s="6" t="s">
        <v>40</v>
      </c>
      <c r="O183" s="5" t="s">
        <v>5363</v>
      </c>
      <c r="P183" s="6" t="s">
        <v>42</v>
      </c>
      <c r="Q183" s="5" t="s">
        <v>1237</v>
      </c>
      <c r="R183" s="5" t="s">
        <v>5969</v>
      </c>
      <c r="S183" s="6" t="s">
        <v>79</v>
      </c>
      <c r="T183" s="6">
        <v>6624.0</v>
      </c>
    </row>
    <row r="184" ht="56.25" customHeight="1">
      <c r="A184" s="5" t="s">
        <v>5953</v>
      </c>
      <c r="B184" s="6" t="str">
        <f>image("https://storage.googleapis.com/acdb/photos/BromideNpcNmlPbr05_Remake_6_0.png")</f>
        <v/>
      </c>
      <c r="C184" s="5" t="s">
        <v>146</v>
      </c>
      <c r="D184" s="5" t="s">
        <v>1327</v>
      </c>
      <c r="E184" s="5" t="s">
        <v>34</v>
      </c>
      <c r="F184" s="5" t="s">
        <v>34</v>
      </c>
      <c r="G184" s="5" t="s">
        <v>36</v>
      </c>
      <c r="H184" s="5" t="s">
        <v>35</v>
      </c>
      <c r="I184" s="6">
        <v>1.0</v>
      </c>
      <c r="J184" s="6" t="s">
        <v>37</v>
      </c>
      <c r="K184" s="6">
        <v>10.0</v>
      </c>
      <c r="L184" s="5"/>
      <c r="M184" s="5"/>
      <c r="N184" s="6" t="s">
        <v>40</v>
      </c>
      <c r="O184" s="5" t="s">
        <v>5363</v>
      </c>
      <c r="P184" s="6" t="s">
        <v>42</v>
      </c>
      <c r="Q184" s="5" t="s">
        <v>1237</v>
      </c>
      <c r="R184" s="5" t="s">
        <v>5972</v>
      </c>
      <c r="S184" s="6" t="s">
        <v>86</v>
      </c>
      <c r="T184" s="6">
        <v>6624.0</v>
      </c>
    </row>
    <row r="185" ht="56.25" customHeight="1">
      <c r="A185" s="5" t="s">
        <v>5953</v>
      </c>
      <c r="B185" s="6" t="str">
        <f>image("https://storage.googleapis.com/acdb/photos/BromideNpcNmlPbr05_Remake_7_0.png")</f>
        <v/>
      </c>
      <c r="C185" s="5" t="s">
        <v>151</v>
      </c>
      <c r="D185" s="5" t="s">
        <v>1327</v>
      </c>
      <c r="E185" s="5" t="s">
        <v>34</v>
      </c>
      <c r="F185" s="5" t="s">
        <v>34</v>
      </c>
      <c r="G185" s="5" t="s">
        <v>36</v>
      </c>
      <c r="H185" s="5" t="s">
        <v>35</v>
      </c>
      <c r="I185" s="6">
        <v>1.0</v>
      </c>
      <c r="J185" s="6" t="s">
        <v>37</v>
      </c>
      <c r="K185" s="6">
        <v>10.0</v>
      </c>
      <c r="L185" s="5"/>
      <c r="M185" s="5"/>
      <c r="N185" s="6" t="s">
        <v>40</v>
      </c>
      <c r="O185" s="5" t="s">
        <v>5363</v>
      </c>
      <c r="P185" s="6" t="s">
        <v>42</v>
      </c>
      <c r="Q185" s="5" t="s">
        <v>1237</v>
      </c>
      <c r="R185" s="5" t="s">
        <v>5974</v>
      </c>
      <c r="S185" s="6" t="s">
        <v>208</v>
      </c>
      <c r="T185" s="6">
        <v>6624.0</v>
      </c>
    </row>
    <row r="186" ht="56.25" customHeight="1">
      <c r="A186" s="5" t="s">
        <v>5975</v>
      </c>
      <c r="B186" s="6" t="str">
        <f>image("https://storage.googleapis.com/acdb/photos/BromideNpcNmlElp06_Remake_0_0.png")</f>
        <v/>
      </c>
      <c r="C186" s="5" t="s">
        <v>366</v>
      </c>
      <c r="D186" s="5" t="s">
        <v>1327</v>
      </c>
      <c r="E186" s="5" t="s">
        <v>34</v>
      </c>
      <c r="F186" s="5" t="s">
        <v>34</v>
      </c>
      <c r="G186" s="5" t="s">
        <v>36</v>
      </c>
      <c r="H186" s="5" t="s">
        <v>35</v>
      </c>
      <c r="I186" s="6">
        <v>1.0</v>
      </c>
      <c r="J186" s="6" t="s">
        <v>37</v>
      </c>
      <c r="K186" s="6">
        <v>10.0</v>
      </c>
      <c r="L186" s="5"/>
      <c r="M186" s="5"/>
      <c r="N186" s="6" t="s">
        <v>40</v>
      </c>
      <c r="O186" s="5" t="s">
        <v>5363</v>
      </c>
      <c r="P186" s="6" t="s">
        <v>42</v>
      </c>
      <c r="Q186" s="5" t="s">
        <v>1237</v>
      </c>
      <c r="R186" s="5" t="s">
        <v>5979</v>
      </c>
      <c r="S186" s="6" t="s">
        <v>50</v>
      </c>
      <c r="T186" s="6">
        <v>6479.0</v>
      </c>
    </row>
    <row r="187" ht="56.25" customHeight="1">
      <c r="A187" s="5" t="s">
        <v>5975</v>
      </c>
      <c r="B187" s="6" t="str">
        <f>image("https://storage.googleapis.com/acdb/photos/BromideNpcNmlElp06_Remake_1_0.png")</f>
        <v/>
      </c>
      <c r="C187" s="5" t="s">
        <v>1132</v>
      </c>
      <c r="D187" s="5" t="s">
        <v>1327</v>
      </c>
      <c r="E187" s="5" t="s">
        <v>34</v>
      </c>
      <c r="F187" s="5" t="s">
        <v>34</v>
      </c>
      <c r="G187" s="5" t="s">
        <v>36</v>
      </c>
      <c r="H187" s="5" t="s">
        <v>35</v>
      </c>
      <c r="I187" s="6">
        <v>1.0</v>
      </c>
      <c r="J187" s="6" t="s">
        <v>37</v>
      </c>
      <c r="K187" s="6">
        <v>10.0</v>
      </c>
      <c r="L187" s="5"/>
      <c r="M187" s="5"/>
      <c r="N187" s="6" t="s">
        <v>40</v>
      </c>
      <c r="O187" s="5" t="s">
        <v>5363</v>
      </c>
      <c r="P187" s="6" t="s">
        <v>42</v>
      </c>
      <c r="Q187" s="5" t="s">
        <v>1237</v>
      </c>
      <c r="R187" s="5" t="s">
        <v>5980</v>
      </c>
      <c r="S187" s="6" t="s">
        <v>56</v>
      </c>
      <c r="T187" s="6">
        <v>6479.0</v>
      </c>
    </row>
    <row r="188" ht="56.25" customHeight="1">
      <c r="A188" s="5" t="s">
        <v>5975</v>
      </c>
      <c r="B188" s="6" t="str">
        <f>image("https://storage.googleapis.com/acdb/photos/BromideNpcNmlElp06_Remake_2_0.png")</f>
        <v/>
      </c>
      <c r="C188" s="5" t="s">
        <v>688</v>
      </c>
      <c r="D188" s="5" t="s">
        <v>1327</v>
      </c>
      <c r="E188" s="5" t="s">
        <v>34</v>
      </c>
      <c r="F188" s="5" t="s">
        <v>34</v>
      </c>
      <c r="G188" s="5" t="s">
        <v>36</v>
      </c>
      <c r="H188" s="5" t="s">
        <v>35</v>
      </c>
      <c r="I188" s="6">
        <v>1.0</v>
      </c>
      <c r="J188" s="6" t="s">
        <v>37</v>
      </c>
      <c r="K188" s="6">
        <v>10.0</v>
      </c>
      <c r="L188" s="5"/>
      <c r="M188" s="5"/>
      <c r="N188" s="6" t="s">
        <v>40</v>
      </c>
      <c r="O188" s="5" t="s">
        <v>5363</v>
      </c>
      <c r="P188" s="6" t="s">
        <v>42</v>
      </c>
      <c r="Q188" s="5" t="s">
        <v>1237</v>
      </c>
      <c r="R188" s="5" t="s">
        <v>5985</v>
      </c>
      <c r="S188" s="6" t="s">
        <v>67</v>
      </c>
      <c r="T188" s="6">
        <v>6479.0</v>
      </c>
    </row>
    <row r="189" ht="56.25" customHeight="1">
      <c r="A189" s="5" t="s">
        <v>5975</v>
      </c>
      <c r="B189" s="6" t="str">
        <f>image("https://storage.googleapis.com/acdb/photos/BromideNpcNmlElp06_Remake_3_0.png")</f>
        <v/>
      </c>
      <c r="C189" s="5" t="s">
        <v>57</v>
      </c>
      <c r="D189" s="5" t="s">
        <v>1327</v>
      </c>
      <c r="E189" s="5" t="s">
        <v>34</v>
      </c>
      <c r="F189" s="5" t="s">
        <v>34</v>
      </c>
      <c r="G189" s="5" t="s">
        <v>36</v>
      </c>
      <c r="H189" s="5" t="s">
        <v>35</v>
      </c>
      <c r="I189" s="6">
        <v>1.0</v>
      </c>
      <c r="J189" s="6" t="s">
        <v>37</v>
      </c>
      <c r="K189" s="6">
        <v>10.0</v>
      </c>
      <c r="L189" s="5"/>
      <c r="M189" s="5"/>
      <c r="N189" s="6" t="s">
        <v>40</v>
      </c>
      <c r="O189" s="5" t="s">
        <v>5363</v>
      </c>
      <c r="P189" s="6" t="s">
        <v>42</v>
      </c>
      <c r="Q189" s="5" t="s">
        <v>1237</v>
      </c>
      <c r="R189" s="5" t="s">
        <v>5989</v>
      </c>
      <c r="S189" s="6" t="s">
        <v>71</v>
      </c>
      <c r="T189" s="6">
        <v>6479.0</v>
      </c>
    </row>
    <row r="190" ht="56.25" customHeight="1">
      <c r="A190" s="5" t="s">
        <v>5975</v>
      </c>
      <c r="B190" s="6" t="str">
        <f>image("https://storage.googleapis.com/acdb/photos/BromideNpcNmlElp06_Remake_4_0.png")</f>
        <v/>
      </c>
      <c r="C190" s="5" t="s">
        <v>1167</v>
      </c>
      <c r="D190" s="5" t="s">
        <v>1327</v>
      </c>
      <c r="E190" s="5" t="s">
        <v>34</v>
      </c>
      <c r="F190" s="5" t="s">
        <v>34</v>
      </c>
      <c r="G190" s="5" t="s">
        <v>36</v>
      </c>
      <c r="H190" s="5" t="s">
        <v>35</v>
      </c>
      <c r="I190" s="6">
        <v>1.0</v>
      </c>
      <c r="J190" s="6" t="s">
        <v>37</v>
      </c>
      <c r="K190" s="6">
        <v>10.0</v>
      </c>
      <c r="L190" s="5"/>
      <c r="M190" s="5"/>
      <c r="N190" s="6" t="s">
        <v>40</v>
      </c>
      <c r="O190" s="5" t="s">
        <v>5363</v>
      </c>
      <c r="P190" s="6" t="s">
        <v>42</v>
      </c>
      <c r="Q190" s="5" t="s">
        <v>1237</v>
      </c>
      <c r="R190" s="5" t="s">
        <v>5993</v>
      </c>
      <c r="S190" s="6" t="s">
        <v>75</v>
      </c>
      <c r="T190" s="6">
        <v>6479.0</v>
      </c>
    </row>
    <row r="191" ht="56.25" customHeight="1">
      <c r="A191" s="5" t="s">
        <v>5975</v>
      </c>
      <c r="B191" s="6" t="str">
        <f>image("https://storage.googleapis.com/acdb/photos/BromideNpcNmlElp06_Remake_5_0.png")</f>
        <v/>
      </c>
      <c r="C191" s="5" t="s">
        <v>58</v>
      </c>
      <c r="D191" s="5" t="s">
        <v>1327</v>
      </c>
      <c r="E191" s="5" t="s">
        <v>34</v>
      </c>
      <c r="F191" s="5" t="s">
        <v>34</v>
      </c>
      <c r="G191" s="5" t="s">
        <v>36</v>
      </c>
      <c r="H191" s="5" t="s">
        <v>35</v>
      </c>
      <c r="I191" s="6">
        <v>1.0</v>
      </c>
      <c r="J191" s="6" t="s">
        <v>37</v>
      </c>
      <c r="K191" s="6">
        <v>10.0</v>
      </c>
      <c r="L191" s="5"/>
      <c r="M191" s="5"/>
      <c r="N191" s="6" t="s">
        <v>40</v>
      </c>
      <c r="O191" s="5" t="s">
        <v>5363</v>
      </c>
      <c r="P191" s="6" t="s">
        <v>42</v>
      </c>
      <c r="Q191" s="5" t="s">
        <v>1237</v>
      </c>
      <c r="R191" s="5" t="s">
        <v>5995</v>
      </c>
      <c r="S191" s="6" t="s">
        <v>79</v>
      </c>
      <c r="T191" s="6">
        <v>6479.0</v>
      </c>
    </row>
    <row r="192" ht="56.25" customHeight="1">
      <c r="A192" s="5" t="s">
        <v>5975</v>
      </c>
      <c r="B192" s="6" t="str">
        <f>image("https://storage.googleapis.com/acdb/photos/BromideNpcNmlElp06_Remake_6_0.png")</f>
        <v/>
      </c>
      <c r="C192" s="5" t="s">
        <v>146</v>
      </c>
      <c r="D192" s="5" t="s">
        <v>1327</v>
      </c>
      <c r="E192" s="5" t="s">
        <v>34</v>
      </c>
      <c r="F192" s="5" t="s">
        <v>34</v>
      </c>
      <c r="G192" s="5" t="s">
        <v>36</v>
      </c>
      <c r="H192" s="5" t="s">
        <v>35</v>
      </c>
      <c r="I192" s="6">
        <v>1.0</v>
      </c>
      <c r="J192" s="6" t="s">
        <v>37</v>
      </c>
      <c r="K192" s="6">
        <v>10.0</v>
      </c>
      <c r="L192" s="5"/>
      <c r="M192" s="5"/>
      <c r="N192" s="6" t="s">
        <v>40</v>
      </c>
      <c r="O192" s="5" t="s">
        <v>5363</v>
      </c>
      <c r="P192" s="6" t="s">
        <v>42</v>
      </c>
      <c r="Q192" s="5" t="s">
        <v>1237</v>
      </c>
      <c r="R192" s="5" t="s">
        <v>5998</v>
      </c>
      <c r="S192" s="6" t="s">
        <v>86</v>
      </c>
      <c r="T192" s="6">
        <v>6479.0</v>
      </c>
    </row>
    <row r="193" ht="56.25" customHeight="1">
      <c r="A193" s="5" t="s">
        <v>5975</v>
      </c>
      <c r="B193" s="6" t="str">
        <f>image("https://storage.googleapis.com/acdb/photos/BromideNpcNmlElp06_Remake_7_0.png")</f>
        <v/>
      </c>
      <c r="C193" s="5" t="s">
        <v>151</v>
      </c>
      <c r="D193" s="5" t="s">
        <v>1327</v>
      </c>
      <c r="E193" s="5" t="s">
        <v>34</v>
      </c>
      <c r="F193" s="5" t="s">
        <v>34</v>
      </c>
      <c r="G193" s="5" t="s">
        <v>36</v>
      </c>
      <c r="H193" s="5" t="s">
        <v>35</v>
      </c>
      <c r="I193" s="6">
        <v>1.0</v>
      </c>
      <c r="J193" s="6" t="s">
        <v>37</v>
      </c>
      <c r="K193" s="6">
        <v>10.0</v>
      </c>
      <c r="L193" s="5"/>
      <c r="M193" s="5"/>
      <c r="N193" s="6" t="s">
        <v>40</v>
      </c>
      <c r="O193" s="5" t="s">
        <v>5363</v>
      </c>
      <c r="P193" s="6" t="s">
        <v>42</v>
      </c>
      <c r="Q193" s="5" t="s">
        <v>1237</v>
      </c>
      <c r="R193" s="5" t="s">
        <v>6000</v>
      </c>
      <c r="S193" s="6" t="s">
        <v>208</v>
      </c>
      <c r="T193" s="6">
        <v>6479.0</v>
      </c>
    </row>
    <row r="194" ht="56.25" customHeight="1">
      <c r="A194" s="5" t="s">
        <v>6001</v>
      </c>
      <c r="B194" s="6" t="str">
        <f>image("https://storage.googleapis.com/acdb/photos/BromideNpcNmlShp01_Remake_0_0.png")</f>
        <v/>
      </c>
      <c r="C194" s="5" t="s">
        <v>366</v>
      </c>
      <c r="D194" s="5" t="s">
        <v>1327</v>
      </c>
      <c r="E194" s="5" t="s">
        <v>34</v>
      </c>
      <c r="F194" s="5" t="s">
        <v>34</v>
      </c>
      <c r="G194" s="5" t="s">
        <v>36</v>
      </c>
      <c r="H194" s="5" t="s">
        <v>35</v>
      </c>
      <c r="I194" s="6">
        <v>1.0</v>
      </c>
      <c r="J194" s="6" t="s">
        <v>37</v>
      </c>
      <c r="K194" s="6">
        <v>10.0</v>
      </c>
      <c r="L194" s="5"/>
      <c r="M194" s="5"/>
      <c r="N194" s="6" t="s">
        <v>40</v>
      </c>
      <c r="O194" s="5" t="s">
        <v>5363</v>
      </c>
      <c r="P194" s="6" t="s">
        <v>42</v>
      </c>
      <c r="Q194" s="5" t="s">
        <v>1237</v>
      </c>
      <c r="R194" s="5" t="s">
        <v>6007</v>
      </c>
      <c r="S194" s="6" t="s">
        <v>50</v>
      </c>
      <c r="T194" s="6">
        <v>6691.0</v>
      </c>
    </row>
    <row r="195" ht="56.25" customHeight="1">
      <c r="A195" s="5" t="s">
        <v>6001</v>
      </c>
      <c r="B195" s="6" t="str">
        <f>image("https://storage.googleapis.com/acdb/photos/BromideNpcNmlShp01_Remake_1_0.png")</f>
        <v/>
      </c>
      <c r="C195" s="5" t="s">
        <v>1132</v>
      </c>
      <c r="D195" s="5" t="s">
        <v>1327</v>
      </c>
      <c r="E195" s="5" t="s">
        <v>34</v>
      </c>
      <c r="F195" s="5" t="s">
        <v>34</v>
      </c>
      <c r="G195" s="5" t="s">
        <v>36</v>
      </c>
      <c r="H195" s="5" t="s">
        <v>35</v>
      </c>
      <c r="I195" s="6">
        <v>1.0</v>
      </c>
      <c r="J195" s="6" t="s">
        <v>37</v>
      </c>
      <c r="K195" s="6">
        <v>10.0</v>
      </c>
      <c r="L195" s="5"/>
      <c r="M195" s="5"/>
      <c r="N195" s="6" t="s">
        <v>40</v>
      </c>
      <c r="O195" s="5" t="s">
        <v>5363</v>
      </c>
      <c r="P195" s="6" t="s">
        <v>42</v>
      </c>
      <c r="Q195" s="5" t="s">
        <v>1237</v>
      </c>
      <c r="R195" s="5" t="s">
        <v>6010</v>
      </c>
      <c r="S195" s="6" t="s">
        <v>56</v>
      </c>
      <c r="T195" s="6">
        <v>6691.0</v>
      </c>
    </row>
    <row r="196" ht="56.25" customHeight="1">
      <c r="A196" s="5" t="s">
        <v>6001</v>
      </c>
      <c r="B196" s="6" t="str">
        <f>image("https://storage.googleapis.com/acdb/photos/BromideNpcNmlShp01_Remake_2_0.png")</f>
        <v/>
      </c>
      <c r="C196" s="5" t="s">
        <v>688</v>
      </c>
      <c r="D196" s="5" t="s">
        <v>1327</v>
      </c>
      <c r="E196" s="5" t="s">
        <v>34</v>
      </c>
      <c r="F196" s="5" t="s">
        <v>34</v>
      </c>
      <c r="G196" s="5" t="s">
        <v>36</v>
      </c>
      <c r="H196" s="5" t="s">
        <v>35</v>
      </c>
      <c r="I196" s="6">
        <v>1.0</v>
      </c>
      <c r="J196" s="6" t="s">
        <v>37</v>
      </c>
      <c r="K196" s="6">
        <v>10.0</v>
      </c>
      <c r="L196" s="5"/>
      <c r="M196" s="5"/>
      <c r="N196" s="6" t="s">
        <v>40</v>
      </c>
      <c r="O196" s="5" t="s">
        <v>5363</v>
      </c>
      <c r="P196" s="6" t="s">
        <v>42</v>
      </c>
      <c r="Q196" s="5" t="s">
        <v>1237</v>
      </c>
      <c r="R196" s="5" t="s">
        <v>6012</v>
      </c>
      <c r="S196" s="6" t="s">
        <v>67</v>
      </c>
      <c r="T196" s="6">
        <v>6691.0</v>
      </c>
    </row>
    <row r="197" ht="56.25" customHeight="1">
      <c r="A197" s="5" t="s">
        <v>6001</v>
      </c>
      <c r="B197" s="6" t="str">
        <f>image("https://storage.googleapis.com/acdb/photos/BromideNpcNmlShp01_Remake_3_0.png")</f>
        <v/>
      </c>
      <c r="C197" s="5" t="s">
        <v>57</v>
      </c>
      <c r="D197" s="5" t="s">
        <v>1327</v>
      </c>
      <c r="E197" s="5" t="s">
        <v>34</v>
      </c>
      <c r="F197" s="5" t="s">
        <v>34</v>
      </c>
      <c r="G197" s="5" t="s">
        <v>36</v>
      </c>
      <c r="H197" s="5" t="s">
        <v>35</v>
      </c>
      <c r="I197" s="6">
        <v>1.0</v>
      </c>
      <c r="J197" s="6" t="s">
        <v>37</v>
      </c>
      <c r="K197" s="6">
        <v>10.0</v>
      </c>
      <c r="L197" s="5"/>
      <c r="M197" s="5"/>
      <c r="N197" s="6" t="s">
        <v>40</v>
      </c>
      <c r="O197" s="5" t="s">
        <v>5363</v>
      </c>
      <c r="P197" s="6" t="s">
        <v>42</v>
      </c>
      <c r="Q197" s="5" t="s">
        <v>1237</v>
      </c>
      <c r="R197" s="5" t="s">
        <v>6013</v>
      </c>
      <c r="S197" s="6" t="s">
        <v>71</v>
      </c>
      <c r="T197" s="6">
        <v>6691.0</v>
      </c>
    </row>
    <row r="198" ht="56.25" customHeight="1">
      <c r="A198" s="5" t="s">
        <v>6001</v>
      </c>
      <c r="B198" s="6" t="str">
        <f>image("https://storage.googleapis.com/acdb/photos/BromideNpcNmlShp01_Remake_4_0.png")</f>
        <v/>
      </c>
      <c r="C198" s="5" t="s">
        <v>1167</v>
      </c>
      <c r="D198" s="5" t="s">
        <v>1327</v>
      </c>
      <c r="E198" s="5" t="s">
        <v>34</v>
      </c>
      <c r="F198" s="5" t="s">
        <v>34</v>
      </c>
      <c r="G198" s="5" t="s">
        <v>36</v>
      </c>
      <c r="H198" s="5" t="s">
        <v>35</v>
      </c>
      <c r="I198" s="6">
        <v>1.0</v>
      </c>
      <c r="J198" s="6" t="s">
        <v>37</v>
      </c>
      <c r="K198" s="6">
        <v>10.0</v>
      </c>
      <c r="L198" s="5"/>
      <c r="M198" s="5"/>
      <c r="N198" s="6" t="s">
        <v>40</v>
      </c>
      <c r="O198" s="5" t="s">
        <v>5363</v>
      </c>
      <c r="P198" s="6" t="s">
        <v>42</v>
      </c>
      <c r="Q198" s="5" t="s">
        <v>1237</v>
      </c>
      <c r="R198" s="5" t="s">
        <v>6016</v>
      </c>
      <c r="S198" s="6" t="s">
        <v>75</v>
      </c>
      <c r="T198" s="6">
        <v>6691.0</v>
      </c>
    </row>
    <row r="199" ht="56.25" customHeight="1">
      <c r="A199" s="5" t="s">
        <v>6001</v>
      </c>
      <c r="B199" s="6" t="str">
        <f>image("https://storage.googleapis.com/acdb/photos/BromideNpcNmlShp01_Remake_5_0.png")</f>
        <v/>
      </c>
      <c r="C199" s="5" t="s">
        <v>58</v>
      </c>
      <c r="D199" s="5" t="s">
        <v>1327</v>
      </c>
      <c r="E199" s="5" t="s">
        <v>34</v>
      </c>
      <c r="F199" s="5" t="s">
        <v>34</v>
      </c>
      <c r="G199" s="5" t="s">
        <v>36</v>
      </c>
      <c r="H199" s="5" t="s">
        <v>35</v>
      </c>
      <c r="I199" s="6">
        <v>1.0</v>
      </c>
      <c r="J199" s="6" t="s">
        <v>37</v>
      </c>
      <c r="K199" s="6">
        <v>10.0</v>
      </c>
      <c r="L199" s="5"/>
      <c r="M199" s="5"/>
      <c r="N199" s="6" t="s">
        <v>40</v>
      </c>
      <c r="O199" s="5" t="s">
        <v>5363</v>
      </c>
      <c r="P199" s="6" t="s">
        <v>42</v>
      </c>
      <c r="Q199" s="5" t="s">
        <v>1237</v>
      </c>
      <c r="R199" s="5" t="s">
        <v>6019</v>
      </c>
      <c r="S199" s="6" t="s">
        <v>79</v>
      </c>
      <c r="T199" s="6">
        <v>6691.0</v>
      </c>
    </row>
    <row r="200" ht="56.25" customHeight="1">
      <c r="A200" s="5" t="s">
        <v>6001</v>
      </c>
      <c r="B200" s="6" t="str">
        <f>image("https://storage.googleapis.com/acdb/photos/BromideNpcNmlShp01_Remake_6_0.png")</f>
        <v/>
      </c>
      <c r="C200" s="5" t="s">
        <v>146</v>
      </c>
      <c r="D200" s="5" t="s">
        <v>1327</v>
      </c>
      <c r="E200" s="5" t="s">
        <v>34</v>
      </c>
      <c r="F200" s="5" t="s">
        <v>34</v>
      </c>
      <c r="G200" s="5" t="s">
        <v>36</v>
      </c>
      <c r="H200" s="5" t="s">
        <v>35</v>
      </c>
      <c r="I200" s="6">
        <v>1.0</v>
      </c>
      <c r="J200" s="6" t="s">
        <v>37</v>
      </c>
      <c r="K200" s="6">
        <v>10.0</v>
      </c>
      <c r="L200" s="5"/>
      <c r="M200" s="5"/>
      <c r="N200" s="6" t="s">
        <v>40</v>
      </c>
      <c r="O200" s="5" t="s">
        <v>5363</v>
      </c>
      <c r="P200" s="6" t="s">
        <v>42</v>
      </c>
      <c r="Q200" s="5" t="s">
        <v>1237</v>
      </c>
      <c r="R200" s="5" t="s">
        <v>6022</v>
      </c>
      <c r="S200" s="6" t="s">
        <v>86</v>
      </c>
      <c r="T200" s="6">
        <v>6691.0</v>
      </c>
    </row>
    <row r="201" ht="56.25" customHeight="1">
      <c r="A201" s="5" t="s">
        <v>6001</v>
      </c>
      <c r="B201" s="6" t="str">
        <f>image("https://storage.googleapis.com/acdb/photos/BromideNpcNmlShp01_Remake_7_0.png")</f>
        <v/>
      </c>
      <c r="C201" s="5" t="s">
        <v>151</v>
      </c>
      <c r="D201" s="5" t="s">
        <v>1327</v>
      </c>
      <c r="E201" s="5" t="s">
        <v>34</v>
      </c>
      <c r="F201" s="5" t="s">
        <v>34</v>
      </c>
      <c r="G201" s="5" t="s">
        <v>36</v>
      </c>
      <c r="H201" s="5" t="s">
        <v>35</v>
      </c>
      <c r="I201" s="6">
        <v>1.0</v>
      </c>
      <c r="J201" s="6" t="s">
        <v>37</v>
      </c>
      <c r="K201" s="6">
        <v>10.0</v>
      </c>
      <c r="L201" s="5"/>
      <c r="M201" s="5"/>
      <c r="N201" s="6" t="s">
        <v>40</v>
      </c>
      <c r="O201" s="5" t="s">
        <v>5363</v>
      </c>
      <c r="P201" s="6" t="s">
        <v>42</v>
      </c>
      <c r="Q201" s="5" t="s">
        <v>1237</v>
      </c>
      <c r="R201" s="5" t="s">
        <v>6023</v>
      </c>
      <c r="S201" s="6" t="s">
        <v>208</v>
      </c>
      <c r="T201" s="6">
        <v>6691.0</v>
      </c>
    </row>
    <row r="202" ht="56.25" customHeight="1">
      <c r="A202" s="5" t="s">
        <v>6024</v>
      </c>
      <c r="B202" s="6" t="str">
        <f>image("https://storage.googleapis.com/acdb/photos/BromideNpcNmlDer01_Remake_0_0.png")</f>
        <v/>
      </c>
      <c r="C202" s="5" t="s">
        <v>366</v>
      </c>
      <c r="D202" s="5" t="s">
        <v>1327</v>
      </c>
      <c r="E202" s="5" t="s">
        <v>34</v>
      </c>
      <c r="F202" s="5" t="s">
        <v>34</v>
      </c>
      <c r="G202" s="5" t="s">
        <v>36</v>
      </c>
      <c r="H202" s="5" t="s">
        <v>35</v>
      </c>
      <c r="I202" s="6">
        <v>1.0</v>
      </c>
      <c r="J202" s="6" t="s">
        <v>37</v>
      </c>
      <c r="K202" s="6">
        <v>10.0</v>
      </c>
      <c r="L202" s="5"/>
      <c r="M202" s="5"/>
      <c r="N202" s="6" t="s">
        <v>40</v>
      </c>
      <c r="O202" s="5" t="s">
        <v>5363</v>
      </c>
      <c r="P202" s="6" t="s">
        <v>42</v>
      </c>
      <c r="Q202" s="5" t="s">
        <v>1237</v>
      </c>
      <c r="R202" s="5" t="s">
        <v>6028</v>
      </c>
      <c r="S202" s="6" t="s">
        <v>50</v>
      </c>
      <c r="T202" s="6">
        <v>6808.0</v>
      </c>
    </row>
    <row r="203" ht="56.25" customHeight="1">
      <c r="A203" s="5" t="s">
        <v>6024</v>
      </c>
      <c r="B203" s="6" t="str">
        <f>image("https://storage.googleapis.com/acdb/photos/BromideNpcNmlDer01_Remake_1_0.png")</f>
        <v/>
      </c>
      <c r="C203" s="5" t="s">
        <v>1132</v>
      </c>
      <c r="D203" s="5" t="s">
        <v>1327</v>
      </c>
      <c r="E203" s="5" t="s">
        <v>34</v>
      </c>
      <c r="F203" s="5" t="s">
        <v>34</v>
      </c>
      <c r="G203" s="5" t="s">
        <v>36</v>
      </c>
      <c r="H203" s="5" t="s">
        <v>35</v>
      </c>
      <c r="I203" s="6">
        <v>1.0</v>
      </c>
      <c r="J203" s="6" t="s">
        <v>37</v>
      </c>
      <c r="K203" s="6">
        <v>10.0</v>
      </c>
      <c r="L203" s="5"/>
      <c r="M203" s="5"/>
      <c r="N203" s="6" t="s">
        <v>40</v>
      </c>
      <c r="O203" s="5" t="s">
        <v>5363</v>
      </c>
      <c r="P203" s="6" t="s">
        <v>42</v>
      </c>
      <c r="Q203" s="5" t="s">
        <v>1237</v>
      </c>
      <c r="R203" s="5" t="s">
        <v>6030</v>
      </c>
      <c r="S203" s="6" t="s">
        <v>56</v>
      </c>
      <c r="T203" s="6">
        <v>6808.0</v>
      </c>
    </row>
    <row r="204" ht="56.25" customHeight="1">
      <c r="A204" s="5" t="s">
        <v>6024</v>
      </c>
      <c r="B204" s="6" t="str">
        <f>image("https://storage.googleapis.com/acdb/photos/BromideNpcNmlDer01_Remake_2_0.png")</f>
        <v/>
      </c>
      <c r="C204" s="5" t="s">
        <v>688</v>
      </c>
      <c r="D204" s="5" t="s">
        <v>1327</v>
      </c>
      <c r="E204" s="5" t="s">
        <v>34</v>
      </c>
      <c r="F204" s="5" t="s">
        <v>34</v>
      </c>
      <c r="G204" s="5" t="s">
        <v>36</v>
      </c>
      <c r="H204" s="5" t="s">
        <v>35</v>
      </c>
      <c r="I204" s="6">
        <v>1.0</v>
      </c>
      <c r="J204" s="6" t="s">
        <v>37</v>
      </c>
      <c r="K204" s="6">
        <v>10.0</v>
      </c>
      <c r="L204" s="5"/>
      <c r="M204" s="5"/>
      <c r="N204" s="6" t="s">
        <v>40</v>
      </c>
      <c r="O204" s="5" t="s">
        <v>5363</v>
      </c>
      <c r="P204" s="6" t="s">
        <v>42</v>
      </c>
      <c r="Q204" s="5" t="s">
        <v>1237</v>
      </c>
      <c r="R204" s="5" t="s">
        <v>6034</v>
      </c>
      <c r="S204" s="6" t="s">
        <v>67</v>
      </c>
      <c r="T204" s="6">
        <v>6808.0</v>
      </c>
    </row>
    <row r="205" ht="56.25" customHeight="1">
      <c r="A205" s="5" t="s">
        <v>6024</v>
      </c>
      <c r="B205" s="6" t="str">
        <f>image("https://storage.googleapis.com/acdb/photos/BromideNpcNmlDer01_Remake_3_0.png")</f>
        <v/>
      </c>
      <c r="C205" s="5" t="s">
        <v>57</v>
      </c>
      <c r="D205" s="5" t="s">
        <v>1327</v>
      </c>
      <c r="E205" s="5" t="s">
        <v>34</v>
      </c>
      <c r="F205" s="5" t="s">
        <v>34</v>
      </c>
      <c r="G205" s="5" t="s">
        <v>36</v>
      </c>
      <c r="H205" s="5" t="s">
        <v>35</v>
      </c>
      <c r="I205" s="6">
        <v>1.0</v>
      </c>
      <c r="J205" s="6" t="s">
        <v>37</v>
      </c>
      <c r="K205" s="6">
        <v>10.0</v>
      </c>
      <c r="L205" s="5"/>
      <c r="M205" s="5"/>
      <c r="N205" s="6" t="s">
        <v>40</v>
      </c>
      <c r="O205" s="5" t="s">
        <v>5363</v>
      </c>
      <c r="P205" s="6" t="s">
        <v>42</v>
      </c>
      <c r="Q205" s="5" t="s">
        <v>1237</v>
      </c>
      <c r="R205" s="5" t="s">
        <v>6035</v>
      </c>
      <c r="S205" s="6" t="s">
        <v>71</v>
      </c>
      <c r="T205" s="6">
        <v>6808.0</v>
      </c>
    </row>
    <row r="206" ht="56.25" customHeight="1">
      <c r="A206" s="5" t="s">
        <v>6024</v>
      </c>
      <c r="B206" s="6" t="str">
        <f>image("https://storage.googleapis.com/acdb/photos/BromideNpcNmlDer01_Remake_4_0.png")</f>
        <v/>
      </c>
      <c r="C206" s="5" t="s">
        <v>1167</v>
      </c>
      <c r="D206" s="5" t="s">
        <v>1327</v>
      </c>
      <c r="E206" s="5" t="s">
        <v>34</v>
      </c>
      <c r="F206" s="5" t="s">
        <v>34</v>
      </c>
      <c r="G206" s="5" t="s">
        <v>36</v>
      </c>
      <c r="H206" s="5" t="s">
        <v>35</v>
      </c>
      <c r="I206" s="6">
        <v>1.0</v>
      </c>
      <c r="J206" s="6" t="s">
        <v>37</v>
      </c>
      <c r="K206" s="6">
        <v>10.0</v>
      </c>
      <c r="L206" s="5"/>
      <c r="M206" s="5"/>
      <c r="N206" s="6" t="s">
        <v>40</v>
      </c>
      <c r="O206" s="5" t="s">
        <v>5363</v>
      </c>
      <c r="P206" s="6" t="s">
        <v>42</v>
      </c>
      <c r="Q206" s="5" t="s">
        <v>1237</v>
      </c>
      <c r="R206" s="5" t="s">
        <v>6039</v>
      </c>
      <c r="S206" s="6" t="s">
        <v>75</v>
      </c>
      <c r="T206" s="6">
        <v>6808.0</v>
      </c>
    </row>
    <row r="207" ht="56.25" customHeight="1">
      <c r="A207" s="5" t="s">
        <v>6024</v>
      </c>
      <c r="B207" s="6" t="str">
        <f>image("https://storage.googleapis.com/acdb/photos/BromideNpcNmlDer01_Remake_5_0.png")</f>
        <v/>
      </c>
      <c r="C207" s="5" t="s">
        <v>58</v>
      </c>
      <c r="D207" s="5" t="s">
        <v>1327</v>
      </c>
      <c r="E207" s="5" t="s">
        <v>34</v>
      </c>
      <c r="F207" s="5" t="s">
        <v>34</v>
      </c>
      <c r="G207" s="5" t="s">
        <v>36</v>
      </c>
      <c r="H207" s="5" t="s">
        <v>35</v>
      </c>
      <c r="I207" s="6">
        <v>1.0</v>
      </c>
      <c r="J207" s="6" t="s">
        <v>37</v>
      </c>
      <c r="K207" s="6">
        <v>10.0</v>
      </c>
      <c r="L207" s="5"/>
      <c r="M207" s="5"/>
      <c r="N207" s="6" t="s">
        <v>40</v>
      </c>
      <c r="O207" s="5" t="s">
        <v>5363</v>
      </c>
      <c r="P207" s="6" t="s">
        <v>42</v>
      </c>
      <c r="Q207" s="5" t="s">
        <v>1237</v>
      </c>
      <c r="R207" s="5" t="s">
        <v>6041</v>
      </c>
      <c r="S207" s="6" t="s">
        <v>79</v>
      </c>
      <c r="T207" s="6">
        <v>6808.0</v>
      </c>
    </row>
    <row r="208" ht="56.25" customHeight="1">
      <c r="A208" s="5" t="s">
        <v>6024</v>
      </c>
      <c r="B208" s="6" t="str">
        <f>image("https://storage.googleapis.com/acdb/photos/BromideNpcNmlDer01_Remake_6_0.png")</f>
        <v/>
      </c>
      <c r="C208" s="5" t="s">
        <v>146</v>
      </c>
      <c r="D208" s="5" t="s">
        <v>1327</v>
      </c>
      <c r="E208" s="5" t="s">
        <v>34</v>
      </c>
      <c r="F208" s="5" t="s">
        <v>34</v>
      </c>
      <c r="G208" s="5" t="s">
        <v>36</v>
      </c>
      <c r="H208" s="5" t="s">
        <v>35</v>
      </c>
      <c r="I208" s="6">
        <v>1.0</v>
      </c>
      <c r="J208" s="6" t="s">
        <v>37</v>
      </c>
      <c r="K208" s="6">
        <v>10.0</v>
      </c>
      <c r="L208" s="5"/>
      <c r="M208" s="5"/>
      <c r="N208" s="6" t="s">
        <v>40</v>
      </c>
      <c r="O208" s="5" t="s">
        <v>5363</v>
      </c>
      <c r="P208" s="6" t="s">
        <v>42</v>
      </c>
      <c r="Q208" s="5" t="s">
        <v>1237</v>
      </c>
      <c r="R208" s="5" t="s">
        <v>6044</v>
      </c>
      <c r="S208" s="6" t="s">
        <v>86</v>
      </c>
      <c r="T208" s="6">
        <v>6808.0</v>
      </c>
    </row>
    <row r="209" ht="56.25" customHeight="1">
      <c r="A209" s="5" t="s">
        <v>6024</v>
      </c>
      <c r="B209" s="6" t="str">
        <f>image("https://storage.googleapis.com/acdb/photos/BromideNpcNmlDer01_Remake_7_0.png")</f>
        <v/>
      </c>
      <c r="C209" s="5" t="s">
        <v>151</v>
      </c>
      <c r="D209" s="5" t="s">
        <v>1327</v>
      </c>
      <c r="E209" s="5" t="s">
        <v>34</v>
      </c>
      <c r="F209" s="5" t="s">
        <v>34</v>
      </c>
      <c r="G209" s="5" t="s">
        <v>36</v>
      </c>
      <c r="H209" s="5" t="s">
        <v>35</v>
      </c>
      <c r="I209" s="6">
        <v>1.0</v>
      </c>
      <c r="J209" s="6" t="s">
        <v>37</v>
      </c>
      <c r="K209" s="6">
        <v>10.0</v>
      </c>
      <c r="L209" s="5"/>
      <c r="M209" s="5"/>
      <c r="N209" s="6" t="s">
        <v>40</v>
      </c>
      <c r="O209" s="5" t="s">
        <v>5363</v>
      </c>
      <c r="P209" s="6" t="s">
        <v>42</v>
      </c>
      <c r="Q209" s="5" t="s">
        <v>1237</v>
      </c>
      <c r="R209" s="5" t="s">
        <v>6046</v>
      </c>
      <c r="S209" s="6" t="s">
        <v>208</v>
      </c>
      <c r="T209" s="6">
        <v>6808.0</v>
      </c>
    </row>
    <row r="210" ht="56.25" customHeight="1">
      <c r="A210" s="5" t="s">
        <v>6047</v>
      </c>
      <c r="B210" s="6" t="str">
        <f>image("https://storage.googleapis.com/acdb/photos/BromideNpcNmlTig03_Remake_0_0.png")</f>
        <v/>
      </c>
      <c r="C210" s="5" t="s">
        <v>366</v>
      </c>
      <c r="D210" s="5" t="s">
        <v>1327</v>
      </c>
      <c r="E210" s="5" t="s">
        <v>34</v>
      </c>
      <c r="F210" s="5" t="s">
        <v>34</v>
      </c>
      <c r="G210" s="5" t="s">
        <v>36</v>
      </c>
      <c r="H210" s="5" t="s">
        <v>35</v>
      </c>
      <c r="I210" s="6">
        <v>1.0</v>
      </c>
      <c r="J210" s="6" t="s">
        <v>37</v>
      </c>
      <c r="K210" s="6">
        <v>10.0</v>
      </c>
      <c r="L210" s="5"/>
      <c r="M210" s="5"/>
      <c r="N210" s="6" t="s">
        <v>40</v>
      </c>
      <c r="O210" s="5" t="s">
        <v>5363</v>
      </c>
      <c r="P210" s="6" t="s">
        <v>42</v>
      </c>
      <c r="Q210" s="5" t="s">
        <v>1237</v>
      </c>
      <c r="R210" s="5" t="s">
        <v>6050</v>
      </c>
      <c r="S210" s="6" t="s">
        <v>50</v>
      </c>
      <c r="T210" s="6">
        <v>6727.0</v>
      </c>
    </row>
    <row r="211" ht="56.25" customHeight="1">
      <c r="A211" s="5" t="s">
        <v>6047</v>
      </c>
      <c r="B211" s="6" t="str">
        <f>image("https://storage.googleapis.com/acdb/photos/BromideNpcNmlTig03_Remake_1_0.png")</f>
        <v/>
      </c>
      <c r="C211" s="5" t="s">
        <v>1132</v>
      </c>
      <c r="D211" s="5" t="s">
        <v>1327</v>
      </c>
      <c r="E211" s="5" t="s">
        <v>34</v>
      </c>
      <c r="F211" s="5" t="s">
        <v>34</v>
      </c>
      <c r="G211" s="5" t="s">
        <v>36</v>
      </c>
      <c r="H211" s="5" t="s">
        <v>35</v>
      </c>
      <c r="I211" s="6">
        <v>1.0</v>
      </c>
      <c r="J211" s="6" t="s">
        <v>37</v>
      </c>
      <c r="K211" s="6">
        <v>10.0</v>
      </c>
      <c r="L211" s="5"/>
      <c r="M211" s="5"/>
      <c r="N211" s="6" t="s">
        <v>40</v>
      </c>
      <c r="O211" s="5" t="s">
        <v>5363</v>
      </c>
      <c r="P211" s="6" t="s">
        <v>42</v>
      </c>
      <c r="Q211" s="5" t="s">
        <v>1237</v>
      </c>
      <c r="R211" s="5" t="s">
        <v>6053</v>
      </c>
      <c r="S211" s="6" t="s">
        <v>56</v>
      </c>
      <c r="T211" s="6">
        <v>6727.0</v>
      </c>
    </row>
    <row r="212" ht="56.25" customHeight="1">
      <c r="A212" s="5" t="s">
        <v>6047</v>
      </c>
      <c r="B212" s="6" t="str">
        <f>image("https://storage.googleapis.com/acdb/photos/BromideNpcNmlTig03_Remake_2_0.png")</f>
        <v/>
      </c>
      <c r="C212" s="5" t="s">
        <v>688</v>
      </c>
      <c r="D212" s="5" t="s">
        <v>1327</v>
      </c>
      <c r="E212" s="5" t="s">
        <v>34</v>
      </c>
      <c r="F212" s="5" t="s">
        <v>34</v>
      </c>
      <c r="G212" s="5" t="s">
        <v>36</v>
      </c>
      <c r="H212" s="5" t="s">
        <v>35</v>
      </c>
      <c r="I212" s="6">
        <v>1.0</v>
      </c>
      <c r="J212" s="6" t="s">
        <v>37</v>
      </c>
      <c r="K212" s="6">
        <v>10.0</v>
      </c>
      <c r="L212" s="5"/>
      <c r="M212" s="5"/>
      <c r="N212" s="6" t="s">
        <v>40</v>
      </c>
      <c r="O212" s="5" t="s">
        <v>5363</v>
      </c>
      <c r="P212" s="6" t="s">
        <v>42</v>
      </c>
      <c r="Q212" s="5" t="s">
        <v>1237</v>
      </c>
      <c r="R212" s="5" t="s">
        <v>6057</v>
      </c>
      <c r="S212" s="6" t="s">
        <v>67</v>
      </c>
      <c r="T212" s="6">
        <v>6727.0</v>
      </c>
    </row>
    <row r="213" ht="56.25" customHeight="1">
      <c r="A213" s="5" t="s">
        <v>6047</v>
      </c>
      <c r="B213" s="6" t="str">
        <f>image("https://storage.googleapis.com/acdb/photos/BromideNpcNmlTig03_Remake_3_0.png")</f>
        <v/>
      </c>
      <c r="C213" s="5" t="s">
        <v>57</v>
      </c>
      <c r="D213" s="5" t="s">
        <v>1327</v>
      </c>
      <c r="E213" s="5" t="s">
        <v>34</v>
      </c>
      <c r="F213" s="5" t="s">
        <v>34</v>
      </c>
      <c r="G213" s="5" t="s">
        <v>36</v>
      </c>
      <c r="H213" s="5" t="s">
        <v>35</v>
      </c>
      <c r="I213" s="6">
        <v>1.0</v>
      </c>
      <c r="J213" s="6" t="s">
        <v>37</v>
      </c>
      <c r="K213" s="6">
        <v>10.0</v>
      </c>
      <c r="L213" s="5"/>
      <c r="M213" s="5"/>
      <c r="N213" s="6" t="s">
        <v>40</v>
      </c>
      <c r="O213" s="5" t="s">
        <v>5363</v>
      </c>
      <c r="P213" s="6" t="s">
        <v>42</v>
      </c>
      <c r="Q213" s="5" t="s">
        <v>1237</v>
      </c>
      <c r="R213" s="5" t="s">
        <v>6062</v>
      </c>
      <c r="S213" s="6" t="s">
        <v>71</v>
      </c>
      <c r="T213" s="6">
        <v>6727.0</v>
      </c>
    </row>
    <row r="214" ht="56.25" customHeight="1">
      <c r="A214" s="5" t="s">
        <v>6047</v>
      </c>
      <c r="B214" s="6" t="str">
        <f>image("https://storage.googleapis.com/acdb/photos/BromideNpcNmlTig03_Remake_4_0.png")</f>
        <v/>
      </c>
      <c r="C214" s="5" t="s">
        <v>1167</v>
      </c>
      <c r="D214" s="5" t="s">
        <v>1327</v>
      </c>
      <c r="E214" s="5" t="s">
        <v>34</v>
      </c>
      <c r="F214" s="5" t="s">
        <v>34</v>
      </c>
      <c r="G214" s="5" t="s">
        <v>36</v>
      </c>
      <c r="H214" s="5" t="s">
        <v>35</v>
      </c>
      <c r="I214" s="6">
        <v>1.0</v>
      </c>
      <c r="J214" s="6" t="s">
        <v>37</v>
      </c>
      <c r="K214" s="6">
        <v>10.0</v>
      </c>
      <c r="L214" s="5"/>
      <c r="M214" s="5"/>
      <c r="N214" s="6" t="s">
        <v>40</v>
      </c>
      <c r="O214" s="5" t="s">
        <v>5363</v>
      </c>
      <c r="P214" s="6" t="s">
        <v>42</v>
      </c>
      <c r="Q214" s="5" t="s">
        <v>1237</v>
      </c>
      <c r="R214" s="5" t="s">
        <v>6066</v>
      </c>
      <c r="S214" s="6" t="s">
        <v>75</v>
      </c>
      <c r="T214" s="6">
        <v>6727.0</v>
      </c>
    </row>
    <row r="215" ht="56.25" customHeight="1">
      <c r="A215" s="5" t="s">
        <v>6047</v>
      </c>
      <c r="B215" s="6" t="str">
        <f>image("https://storage.googleapis.com/acdb/photos/BromideNpcNmlTig03_Remake_5_0.png")</f>
        <v/>
      </c>
      <c r="C215" s="5" t="s">
        <v>58</v>
      </c>
      <c r="D215" s="5" t="s">
        <v>1327</v>
      </c>
      <c r="E215" s="5" t="s">
        <v>34</v>
      </c>
      <c r="F215" s="5" t="s">
        <v>34</v>
      </c>
      <c r="G215" s="5" t="s">
        <v>36</v>
      </c>
      <c r="H215" s="5" t="s">
        <v>35</v>
      </c>
      <c r="I215" s="6">
        <v>1.0</v>
      </c>
      <c r="J215" s="6" t="s">
        <v>37</v>
      </c>
      <c r="K215" s="6">
        <v>10.0</v>
      </c>
      <c r="L215" s="5"/>
      <c r="M215" s="5"/>
      <c r="N215" s="6" t="s">
        <v>40</v>
      </c>
      <c r="O215" s="5" t="s">
        <v>5363</v>
      </c>
      <c r="P215" s="6" t="s">
        <v>42</v>
      </c>
      <c r="Q215" s="5" t="s">
        <v>1237</v>
      </c>
      <c r="R215" s="5" t="s">
        <v>6071</v>
      </c>
      <c r="S215" s="6" t="s">
        <v>79</v>
      </c>
      <c r="T215" s="6">
        <v>6727.0</v>
      </c>
    </row>
    <row r="216" ht="56.25" customHeight="1">
      <c r="A216" s="5" t="s">
        <v>6047</v>
      </c>
      <c r="B216" s="6" t="str">
        <f>image("https://storage.googleapis.com/acdb/photos/BromideNpcNmlTig03_Remake_6_0.png")</f>
        <v/>
      </c>
      <c r="C216" s="5" t="s">
        <v>146</v>
      </c>
      <c r="D216" s="5" t="s">
        <v>1327</v>
      </c>
      <c r="E216" s="5" t="s">
        <v>34</v>
      </c>
      <c r="F216" s="5" t="s">
        <v>34</v>
      </c>
      <c r="G216" s="5" t="s">
        <v>36</v>
      </c>
      <c r="H216" s="5" t="s">
        <v>35</v>
      </c>
      <c r="I216" s="6">
        <v>1.0</v>
      </c>
      <c r="J216" s="6" t="s">
        <v>37</v>
      </c>
      <c r="K216" s="6">
        <v>10.0</v>
      </c>
      <c r="L216" s="5"/>
      <c r="M216" s="5"/>
      <c r="N216" s="6" t="s">
        <v>40</v>
      </c>
      <c r="O216" s="5" t="s">
        <v>5363</v>
      </c>
      <c r="P216" s="6" t="s">
        <v>42</v>
      </c>
      <c r="Q216" s="5" t="s">
        <v>1237</v>
      </c>
      <c r="R216" s="5" t="s">
        <v>6076</v>
      </c>
      <c r="S216" s="6" t="s">
        <v>86</v>
      </c>
      <c r="T216" s="6">
        <v>6727.0</v>
      </c>
    </row>
    <row r="217" ht="56.25" customHeight="1">
      <c r="A217" s="5" t="s">
        <v>6047</v>
      </c>
      <c r="B217" s="6" t="str">
        <f>image("https://storage.googleapis.com/acdb/photos/BromideNpcNmlTig03_Remake_7_0.png")</f>
        <v/>
      </c>
      <c r="C217" s="5" t="s">
        <v>151</v>
      </c>
      <c r="D217" s="5" t="s">
        <v>1327</v>
      </c>
      <c r="E217" s="5" t="s">
        <v>34</v>
      </c>
      <c r="F217" s="5" t="s">
        <v>34</v>
      </c>
      <c r="G217" s="5" t="s">
        <v>36</v>
      </c>
      <c r="H217" s="5" t="s">
        <v>35</v>
      </c>
      <c r="I217" s="6">
        <v>1.0</v>
      </c>
      <c r="J217" s="6" t="s">
        <v>37</v>
      </c>
      <c r="K217" s="6">
        <v>10.0</v>
      </c>
      <c r="L217" s="5"/>
      <c r="M217" s="5"/>
      <c r="N217" s="6" t="s">
        <v>40</v>
      </c>
      <c r="O217" s="5" t="s">
        <v>5363</v>
      </c>
      <c r="P217" s="6" t="s">
        <v>42</v>
      </c>
      <c r="Q217" s="5" t="s">
        <v>1237</v>
      </c>
      <c r="R217" s="5" t="s">
        <v>6080</v>
      </c>
      <c r="S217" s="6" t="s">
        <v>208</v>
      </c>
      <c r="T217" s="6">
        <v>6727.0</v>
      </c>
    </row>
    <row r="218" ht="56.25" customHeight="1">
      <c r="A218" s="5" t="s">
        <v>6083</v>
      </c>
      <c r="B218" s="6" t="str">
        <f>image("https://storage.googleapis.com/acdb/photos/BromideNpcNmlCbr16_Remake_0_0.png")</f>
        <v/>
      </c>
      <c r="C218" s="5" t="s">
        <v>366</v>
      </c>
      <c r="D218" s="5" t="s">
        <v>1327</v>
      </c>
      <c r="E218" s="5" t="s">
        <v>34</v>
      </c>
      <c r="F218" s="5" t="s">
        <v>34</v>
      </c>
      <c r="G218" s="5" t="s">
        <v>36</v>
      </c>
      <c r="H218" s="5" t="s">
        <v>35</v>
      </c>
      <c r="I218" s="6">
        <v>1.0</v>
      </c>
      <c r="J218" s="6" t="s">
        <v>37</v>
      </c>
      <c r="K218" s="6">
        <v>10.0</v>
      </c>
      <c r="L218" s="5"/>
      <c r="M218" s="5"/>
      <c r="N218" s="6" t="s">
        <v>40</v>
      </c>
      <c r="O218" s="5" t="s">
        <v>5363</v>
      </c>
      <c r="P218" s="6" t="s">
        <v>42</v>
      </c>
      <c r="Q218" s="5" t="s">
        <v>1237</v>
      </c>
      <c r="R218" s="5" t="s">
        <v>6085</v>
      </c>
      <c r="S218" s="6" t="s">
        <v>50</v>
      </c>
      <c r="T218" s="6">
        <v>6783.0</v>
      </c>
    </row>
    <row r="219" ht="56.25" customHeight="1">
      <c r="A219" s="5" t="s">
        <v>6083</v>
      </c>
      <c r="B219" s="6" t="str">
        <f>image("https://storage.googleapis.com/acdb/photos/BromideNpcNmlCbr16_Remake_1_0.png")</f>
        <v/>
      </c>
      <c r="C219" s="5" t="s">
        <v>1132</v>
      </c>
      <c r="D219" s="5" t="s">
        <v>1327</v>
      </c>
      <c r="E219" s="5" t="s">
        <v>34</v>
      </c>
      <c r="F219" s="5" t="s">
        <v>34</v>
      </c>
      <c r="G219" s="5" t="s">
        <v>36</v>
      </c>
      <c r="H219" s="5" t="s">
        <v>35</v>
      </c>
      <c r="I219" s="6">
        <v>1.0</v>
      </c>
      <c r="J219" s="6" t="s">
        <v>37</v>
      </c>
      <c r="K219" s="6">
        <v>10.0</v>
      </c>
      <c r="L219" s="5"/>
      <c r="M219" s="5"/>
      <c r="N219" s="6" t="s">
        <v>40</v>
      </c>
      <c r="O219" s="5" t="s">
        <v>5363</v>
      </c>
      <c r="P219" s="6" t="s">
        <v>42</v>
      </c>
      <c r="Q219" s="5" t="s">
        <v>1237</v>
      </c>
      <c r="R219" s="5" t="s">
        <v>6088</v>
      </c>
      <c r="S219" s="6" t="s">
        <v>56</v>
      </c>
      <c r="T219" s="6">
        <v>6783.0</v>
      </c>
    </row>
    <row r="220" ht="56.25" customHeight="1">
      <c r="A220" s="5" t="s">
        <v>6083</v>
      </c>
      <c r="B220" s="6" t="str">
        <f>image("https://storage.googleapis.com/acdb/photos/BromideNpcNmlCbr16_Remake_2_0.png")</f>
        <v/>
      </c>
      <c r="C220" s="5" t="s">
        <v>688</v>
      </c>
      <c r="D220" s="5" t="s">
        <v>1327</v>
      </c>
      <c r="E220" s="5" t="s">
        <v>34</v>
      </c>
      <c r="F220" s="5" t="s">
        <v>34</v>
      </c>
      <c r="G220" s="5" t="s">
        <v>36</v>
      </c>
      <c r="H220" s="5" t="s">
        <v>35</v>
      </c>
      <c r="I220" s="6">
        <v>1.0</v>
      </c>
      <c r="J220" s="6" t="s">
        <v>37</v>
      </c>
      <c r="K220" s="6">
        <v>10.0</v>
      </c>
      <c r="L220" s="5"/>
      <c r="M220" s="5"/>
      <c r="N220" s="6" t="s">
        <v>40</v>
      </c>
      <c r="O220" s="5" t="s">
        <v>5363</v>
      </c>
      <c r="P220" s="6" t="s">
        <v>42</v>
      </c>
      <c r="Q220" s="5" t="s">
        <v>1237</v>
      </c>
      <c r="R220" s="5" t="s">
        <v>6093</v>
      </c>
      <c r="S220" s="6" t="s">
        <v>67</v>
      </c>
      <c r="T220" s="6">
        <v>6783.0</v>
      </c>
    </row>
    <row r="221" ht="56.25" customHeight="1">
      <c r="A221" s="5" t="s">
        <v>6083</v>
      </c>
      <c r="B221" s="6" t="str">
        <f>image("https://storage.googleapis.com/acdb/photos/BromideNpcNmlCbr16_Remake_3_0.png")</f>
        <v/>
      </c>
      <c r="C221" s="5" t="s">
        <v>57</v>
      </c>
      <c r="D221" s="5" t="s">
        <v>1327</v>
      </c>
      <c r="E221" s="5" t="s">
        <v>34</v>
      </c>
      <c r="F221" s="5" t="s">
        <v>34</v>
      </c>
      <c r="G221" s="5" t="s">
        <v>36</v>
      </c>
      <c r="H221" s="5" t="s">
        <v>35</v>
      </c>
      <c r="I221" s="6">
        <v>1.0</v>
      </c>
      <c r="J221" s="6" t="s">
        <v>37</v>
      </c>
      <c r="K221" s="6">
        <v>10.0</v>
      </c>
      <c r="L221" s="5"/>
      <c r="M221" s="5"/>
      <c r="N221" s="6" t="s">
        <v>40</v>
      </c>
      <c r="O221" s="5" t="s">
        <v>5363</v>
      </c>
      <c r="P221" s="6" t="s">
        <v>42</v>
      </c>
      <c r="Q221" s="5" t="s">
        <v>1237</v>
      </c>
      <c r="R221" s="5" t="s">
        <v>6097</v>
      </c>
      <c r="S221" s="6" t="s">
        <v>71</v>
      </c>
      <c r="T221" s="6">
        <v>6783.0</v>
      </c>
    </row>
    <row r="222" ht="56.25" customHeight="1">
      <c r="A222" s="5" t="s">
        <v>6083</v>
      </c>
      <c r="B222" s="6" t="str">
        <f>image("https://storage.googleapis.com/acdb/photos/BromideNpcNmlCbr16_Remake_4_0.png")</f>
        <v/>
      </c>
      <c r="C222" s="5" t="s">
        <v>1167</v>
      </c>
      <c r="D222" s="5" t="s">
        <v>1327</v>
      </c>
      <c r="E222" s="5" t="s">
        <v>34</v>
      </c>
      <c r="F222" s="5" t="s">
        <v>34</v>
      </c>
      <c r="G222" s="5" t="s">
        <v>36</v>
      </c>
      <c r="H222" s="5" t="s">
        <v>35</v>
      </c>
      <c r="I222" s="6">
        <v>1.0</v>
      </c>
      <c r="J222" s="6" t="s">
        <v>37</v>
      </c>
      <c r="K222" s="6">
        <v>10.0</v>
      </c>
      <c r="L222" s="5"/>
      <c r="M222" s="5"/>
      <c r="N222" s="6" t="s">
        <v>40</v>
      </c>
      <c r="O222" s="5" t="s">
        <v>5363</v>
      </c>
      <c r="P222" s="6" t="s">
        <v>42</v>
      </c>
      <c r="Q222" s="5" t="s">
        <v>1237</v>
      </c>
      <c r="R222" s="5" t="s">
        <v>6100</v>
      </c>
      <c r="S222" s="6" t="s">
        <v>75</v>
      </c>
      <c r="T222" s="6">
        <v>6783.0</v>
      </c>
    </row>
    <row r="223" ht="56.25" customHeight="1">
      <c r="A223" s="5" t="s">
        <v>6083</v>
      </c>
      <c r="B223" s="6" t="str">
        <f>image("https://storage.googleapis.com/acdb/photos/BromideNpcNmlCbr16_Remake_5_0.png")</f>
        <v/>
      </c>
      <c r="C223" s="5" t="s">
        <v>58</v>
      </c>
      <c r="D223" s="5" t="s">
        <v>1327</v>
      </c>
      <c r="E223" s="5" t="s">
        <v>34</v>
      </c>
      <c r="F223" s="5" t="s">
        <v>34</v>
      </c>
      <c r="G223" s="5" t="s">
        <v>36</v>
      </c>
      <c r="H223" s="5" t="s">
        <v>35</v>
      </c>
      <c r="I223" s="6">
        <v>1.0</v>
      </c>
      <c r="J223" s="6" t="s">
        <v>37</v>
      </c>
      <c r="K223" s="6">
        <v>10.0</v>
      </c>
      <c r="L223" s="5"/>
      <c r="M223" s="5"/>
      <c r="N223" s="6" t="s">
        <v>40</v>
      </c>
      <c r="O223" s="5" t="s">
        <v>5363</v>
      </c>
      <c r="P223" s="6" t="s">
        <v>42</v>
      </c>
      <c r="Q223" s="5" t="s">
        <v>1237</v>
      </c>
      <c r="R223" s="5" t="s">
        <v>6102</v>
      </c>
      <c r="S223" s="6" t="s">
        <v>79</v>
      </c>
      <c r="T223" s="6">
        <v>6783.0</v>
      </c>
    </row>
    <row r="224" ht="56.25" customHeight="1">
      <c r="A224" s="5" t="s">
        <v>6083</v>
      </c>
      <c r="B224" s="6" t="str">
        <f>image("https://storage.googleapis.com/acdb/photos/BromideNpcNmlCbr16_Remake_6_0.png")</f>
        <v/>
      </c>
      <c r="C224" s="5" t="s">
        <v>146</v>
      </c>
      <c r="D224" s="5" t="s">
        <v>1327</v>
      </c>
      <c r="E224" s="5" t="s">
        <v>34</v>
      </c>
      <c r="F224" s="5" t="s">
        <v>34</v>
      </c>
      <c r="G224" s="5" t="s">
        <v>36</v>
      </c>
      <c r="H224" s="5" t="s">
        <v>35</v>
      </c>
      <c r="I224" s="6">
        <v>1.0</v>
      </c>
      <c r="J224" s="6" t="s">
        <v>37</v>
      </c>
      <c r="K224" s="6">
        <v>10.0</v>
      </c>
      <c r="L224" s="5"/>
      <c r="M224" s="5"/>
      <c r="N224" s="6" t="s">
        <v>40</v>
      </c>
      <c r="O224" s="5" t="s">
        <v>5363</v>
      </c>
      <c r="P224" s="6" t="s">
        <v>42</v>
      </c>
      <c r="Q224" s="5" t="s">
        <v>1237</v>
      </c>
      <c r="R224" s="5" t="s">
        <v>6105</v>
      </c>
      <c r="S224" s="6" t="s">
        <v>86</v>
      </c>
      <c r="T224" s="6">
        <v>6783.0</v>
      </c>
    </row>
    <row r="225" ht="56.25" customHeight="1">
      <c r="A225" s="5" t="s">
        <v>6083</v>
      </c>
      <c r="B225" s="6" t="str">
        <f>image("https://storage.googleapis.com/acdb/photos/BromideNpcNmlCbr16_Remake_7_0.png")</f>
        <v/>
      </c>
      <c r="C225" s="5" t="s">
        <v>151</v>
      </c>
      <c r="D225" s="5" t="s">
        <v>1327</v>
      </c>
      <c r="E225" s="5" t="s">
        <v>34</v>
      </c>
      <c r="F225" s="5" t="s">
        <v>34</v>
      </c>
      <c r="G225" s="5" t="s">
        <v>36</v>
      </c>
      <c r="H225" s="5" t="s">
        <v>35</v>
      </c>
      <c r="I225" s="6">
        <v>1.0</v>
      </c>
      <c r="J225" s="6" t="s">
        <v>37</v>
      </c>
      <c r="K225" s="6">
        <v>10.0</v>
      </c>
      <c r="L225" s="5"/>
      <c r="M225" s="5"/>
      <c r="N225" s="6" t="s">
        <v>40</v>
      </c>
      <c r="O225" s="5" t="s">
        <v>5363</v>
      </c>
      <c r="P225" s="6" t="s">
        <v>42</v>
      </c>
      <c r="Q225" s="5" t="s">
        <v>1237</v>
      </c>
      <c r="R225" s="5" t="s">
        <v>6109</v>
      </c>
      <c r="S225" s="6" t="s">
        <v>208</v>
      </c>
      <c r="T225" s="6">
        <v>6783.0</v>
      </c>
    </row>
    <row r="226" ht="56.25" customHeight="1">
      <c r="A226" s="5" t="s">
        <v>6110</v>
      </c>
      <c r="B226" s="6" t="str">
        <f>image("https://storage.googleapis.com/acdb/photos/BromideNpcNmlDog10_Remake_0_0.png")</f>
        <v/>
      </c>
      <c r="C226" s="5" t="s">
        <v>366</v>
      </c>
      <c r="D226" s="5" t="s">
        <v>1327</v>
      </c>
      <c r="E226" s="5" t="s">
        <v>34</v>
      </c>
      <c r="F226" s="5" t="s">
        <v>34</v>
      </c>
      <c r="G226" s="5" t="s">
        <v>36</v>
      </c>
      <c r="H226" s="5" t="s">
        <v>35</v>
      </c>
      <c r="I226" s="6">
        <v>1.0</v>
      </c>
      <c r="J226" s="6" t="s">
        <v>37</v>
      </c>
      <c r="K226" s="6">
        <v>10.0</v>
      </c>
      <c r="L226" s="5"/>
      <c r="M226" s="5"/>
      <c r="N226" s="6" t="s">
        <v>40</v>
      </c>
      <c r="O226" s="5" t="s">
        <v>5363</v>
      </c>
      <c r="P226" s="6" t="s">
        <v>42</v>
      </c>
      <c r="Q226" s="5" t="s">
        <v>1237</v>
      </c>
      <c r="R226" s="5" t="s">
        <v>6114</v>
      </c>
      <c r="S226" s="6" t="s">
        <v>50</v>
      </c>
      <c r="T226" s="6">
        <v>6447.0</v>
      </c>
    </row>
    <row r="227" ht="56.25" customHeight="1">
      <c r="A227" s="5" t="s">
        <v>6110</v>
      </c>
      <c r="B227" s="6" t="str">
        <f>image("https://storage.googleapis.com/acdb/photos/BromideNpcNmlDog10_Remake_1_0.png")</f>
        <v/>
      </c>
      <c r="C227" s="5" t="s">
        <v>1132</v>
      </c>
      <c r="D227" s="5" t="s">
        <v>1327</v>
      </c>
      <c r="E227" s="5" t="s">
        <v>34</v>
      </c>
      <c r="F227" s="5" t="s">
        <v>34</v>
      </c>
      <c r="G227" s="5" t="s">
        <v>36</v>
      </c>
      <c r="H227" s="5" t="s">
        <v>35</v>
      </c>
      <c r="I227" s="6">
        <v>1.0</v>
      </c>
      <c r="J227" s="6" t="s">
        <v>37</v>
      </c>
      <c r="K227" s="6">
        <v>10.0</v>
      </c>
      <c r="L227" s="5"/>
      <c r="M227" s="5"/>
      <c r="N227" s="6" t="s">
        <v>40</v>
      </c>
      <c r="O227" s="5" t="s">
        <v>5363</v>
      </c>
      <c r="P227" s="6" t="s">
        <v>42</v>
      </c>
      <c r="Q227" s="5" t="s">
        <v>1237</v>
      </c>
      <c r="R227" s="5" t="s">
        <v>6117</v>
      </c>
      <c r="S227" s="6" t="s">
        <v>56</v>
      </c>
      <c r="T227" s="6">
        <v>6447.0</v>
      </c>
    </row>
    <row r="228" ht="56.25" customHeight="1">
      <c r="A228" s="5" t="s">
        <v>6110</v>
      </c>
      <c r="B228" s="6" t="str">
        <f>image("https://storage.googleapis.com/acdb/photos/BromideNpcNmlDog10_Remake_2_0.png")</f>
        <v/>
      </c>
      <c r="C228" s="5" t="s">
        <v>688</v>
      </c>
      <c r="D228" s="5" t="s">
        <v>1327</v>
      </c>
      <c r="E228" s="5" t="s">
        <v>34</v>
      </c>
      <c r="F228" s="5" t="s">
        <v>34</v>
      </c>
      <c r="G228" s="5" t="s">
        <v>36</v>
      </c>
      <c r="H228" s="5" t="s">
        <v>35</v>
      </c>
      <c r="I228" s="6">
        <v>1.0</v>
      </c>
      <c r="J228" s="6" t="s">
        <v>37</v>
      </c>
      <c r="K228" s="6">
        <v>10.0</v>
      </c>
      <c r="L228" s="5"/>
      <c r="M228" s="5"/>
      <c r="N228" s="6" t="s">
        <v>40</v>
      </c>
      <c r="O228" s="5" t="s">
        <v>5363</v>
      </c>
      <c r="P228" s="6" t="s">
        <v>42</v>
      </c>
      <c r="Q228" s="5" t="s">
        <v>1237</v>
      </c>
      <c r="R228" s="5" t="s">
        <v>6120</v>
      </c>
      <c r="S228" s="6" t="s">
        <v>67</v>
      </c>
      <c r="T228" s="6">
        <v>6447.0</v>
      </c>
    </row>
    <row r="229" ht="56.25" customHeight="1">
      <c r="A229" s="5" t="s">
        <v>6110</v>
      </c>
      <c r="B229" s="6" t="str">
        <f>image("https://storage.googleapis.com/acdb/photos/BromideNpcNmlDog10_Remake_3_0.png")</f>
        <v/>
      </c>
      <c r="C229" s="5" t="s">
        <v>57</v>
      </c>
      <c r="D229" s="5" t="s">
        <v>1327</v>
      </c>
      <c r="E229" s="5" t="s">
        <v>34</v>
      </c>
      <c r="F229" s="5" t="s">
        <v>34</v>
      </c>
      <c r="G229" s="5" t="s">
        <v>36</v>
      </c>
      <c r="H229" s="5" t="s">
        <v>35</v>
      </c>
      <c r="I229" s="6">
        <v>1.0</v>
      </c>
      <c r="J229" s="6" t="s">
        <v>37</v>
      </c>
      <c r="K229" s="6">
        <v>10.0</v>
      </c>
      <c r="L229" s="5"/>
      <c r="M229" s="5"/>
      <c r="N229" s="6" t="s">
        <v>40</v>
      </c>
      <c r="O229" s="5" t="s">
        <v>5363</v>
      </c>
      <c r="P229" s="6" t="s">
        <v>42</v>
      </c>
      <c r="Q229" s="5" t="s">
        <v>1237</v>
      </c>
      <c r="R229" s="5" t="s">
        <v>6123</v>
      </c>
      <c r="S229" s="6" t="s">
        <v>71</v>
      </c>
      <c r="T229" s="6">
        <v>6447.0</v>
      </c>
    </row>
    <row r="230" ht="56.25" customHeight="1">
      <c r="A230" s="5" t="s">
        <v>6110</v>
      </c>
      <c r="B230" s="6" t="str">
        <f>image("https://storage.googleapis.com/acdb/photos/BromideNpcNmlDog10_Remake_4_0.png")</f>
        <v/>
      </c>
      <c r="C230" s="5" t="s">
        <v>1167</v>
      </c>
      <c r="D230" s="5" t="s">
        <v>1327</v>
      </c>
      <c r="E230" s="5" t="s">
        <v>34</v>
      </c>
      <c r="F230" s="5" t="s">
        <v>34</v>
      </c>
      <c r="G230" s="5" t="s">
        <v>36</v>
      </c>
      <c r="H230" s="5" t="s">
        <v>35</v>
      </c>
      <c r="I230" s="6">
        <v>1.0</v>
      </c>
      <c r="J230" s="6" t="s">
        <v>37</v>
      </c>
      <c r="K230" s="6">
        <v>10.0</v>
      </c>
      <c r="L230" s="5"/>
      <c r="M230" s="5"/>
      <c r="N230" s="6" t="s">
        <v>40</v>
      </c>
      <c r="O230" s="5" t="s">
        <v>5363</v>
      </c>
      <c r="P230" s="6" t="s">
        <v>42</v>
      </c>
      <c r="Q230" s="5" t="s">
        <v>1237</v>
      </c>
      <c r="R230" s="5" t="s">
        <v>6127</v>
      </c>
      <c r="S230" s="6" t="s">
        <v>75</v>
      </c>
      <c r="T230" s="6">
        <v>6447.0</v>
      </c>
    </row>
    <row r="231" ht="56.25" customHeight="1">
      <c r="A231" s="5" t="s">
        <v>6110</v>
      </c>
      <c r="B231" s="6" t="str">
        <f>image("https://storage.googleapis.com/acdb/photos/BromideNpcNmlDog10_Remake_5_0.png")</f>
        <v/>
      </c>
      <c r="C231" s="5" t="s">
        <v>58</v>
      </c>
      <c r="D231" s="5" t="s">
        <v>1327</v>
      </c>
      <c r="E231" s="5" t="s">
        <v>34</v>
      </c>
      <c r="F231" s="5" t="s">
        <v>34</v>
      </c>
      <c r="G231" s="5" t="s">
        <v>36</v>
      </c>
      <c r="H231" s="5" t="s">
        <v>35</v>
      </c>
      <c r="I231" s="6">
        <v>1.0</v>
      </c>
      <c r="J231" s="6" t="s">
        <v>37</v>
      </c>
      <c r="K231" s="6">
        <v>10.0</v>
      </c>
      <c r="L231" s="5"/>
      <c r="M231" s="5"/>
      <c r="N231" s="6" t="s">
        <v>40</v>
      </c>
      <c r="O231" s="5" t="s">
        <v>5363</v>
      </c>
      <c r="P231" s="6" t="s">
        <v>42</v>
      </c>
      <c r="Q231" s="5" t="s">
        <v>1237</v>
      </c>
      <c r="R231" s="5" t="s">
        <v>6130</v>
      </c>
      <c r="S231" s="6" t="s">
        <v>79</v>
      </c>
      <c r="T231" s="6">
        <v>6447.0</v>
      </c>
    </row>
    <row r="232" ht="56.25" customHeight="1">
      <c r="A232" s="5" t="s">
        <v>6110</v>
      </c>
      <c r="B232" s="6" t="str">
        <f>image("https://storage.googleapis.com/acdb/photos/BromideNpcNmlDog10_Remake_6_0.png")</f>
        <v/>
      </c>
      <c r="C232" s="5" t="s">
        <v>146</v>
      </c>
      <c r="D232" s="5" t="s">
        <v>1327</v>
      </c>
      <c r="E232" s="5" t="s">
        <v>34</v>
      </c>
      <c r="F232" s="5" t="s">
        <v>34</v>
      </c>
      <c r="G232" s="5" t="s">
        <v>36</v>
      </c>
      <c r="H232" s="5" t="s">
        <v>35</v>
      </c>
      <c r="I232" s="6">
        <v>1.0</v>
      </c>
      <c r="J232" s="6" t="s">
        <v>37</v>
      </c>
      <c r="K232" s="6">
        <v>10.0</v>
      </c>
      <c r="L232" s="5"/>
      <c r="M232" s="5"/>
      <c r="N232" s="6" t="s">
        <v>40</v>
      </c>
      <c r="O232" s="5" t="s">
        <v>5363</v>
      </c>
      <c r="P232" s="6" t="s">
        <v>42</v>
      </c>
      <c r="Q232" s="5" t="s">
        <v>1237</v>
      </c>
      <c r="R232" s="5" t="s">
        <v>6134</v>
      </c>
      <c r="S232" s="6" t="s">
        <v>86</v>
      </c>
      <c r="T232" s="6">
        <v>6447.0</v>
      </c>
    </row>
    <row r="233" ht="56.25" customHeight="1">
      <c r="A233" s="5" t="s">
        <v>6110</v>
      </c>
      <c r="B233" s="6" t="str">
        <f>image("https://storage.googleapis.com/acdb/photos/BromideNpcNmlDog10_Remake_7_0.png")</f>
        <v/>
      </c>
      <c r="C233" s="5" t="s">
        <v>151</v>
      </c>
      <c r="D233" s="5" t="s">
        <v>1327</v>
      </c>
      <c r="E233" s="5" t="s">
        <v>34</v>
      </c>
      <c r="F233" s="5" t="s">
        <v>34</v>
      </c>
      <c r="G233" s="5" t="s">
        <v>36</v>
      </c>
      <c r="H233" s="5" t="s">
        <v>35</v>
      </c>
      <c r="I233" s="6">
        <v>1.0</v>
      </c>
      <c r="J233" s="6" t="s">
        <v>37</v>
      </c>
      <c r="K233" s="6">
        <v>10.0</v>
      </c>
      <c r="L233" s="5"/>
      <c r="M233" s="5"/>
      <c r="N233" s="6" t="s">
        <v>40</v>
      </c>
      <c r="O233" s="5" t="s">
        <v>5363</v>
      </c>
      <c r="P233" s="6" t="s">
        <v>42</v>
      </c>
      <c r="Q233" s="5" t="s">
        <v>1237</v>
      </c>
      <c r="R233" s="5" t="s">
        <v>6142</v>
      </c>
      <c r="S233" s="6" t="s">
        <v>208</v>
      </c>
      <c r="T233" s="6">
        <v>6447.0</v>
      </c>
    </row>
    <row r="234" ht="56.25" customHeight="1">
      <c r="A234" s="5" t="s">
        <v>6144</v>
      </c>
      <c r="B234" s="6" t="str">
        <f>image("https://storage.googleapis.com/acdb/photos/BromideNpcNmlBea13_Remake_0_0.png")</f>
        <v/>
      </c>
      <c r="C234" s="5" t="s">
        <v>366</v>
      </c>
      <c r="D234" s="5" t="s">
        <v>1327</v>
      </c>
      <c r="E234" s="5" t="s">
        <v>34</v>
      </c>
      <c r="F234" s="5" t="s">
        <v>34</v>
      </c>
      <c r="G234" s="5" t="s">
        <v>36</v>
      </c>
      <c r="H234" s="5" t="s">
        <v>35</v>
      </c>
      <c r="I234" s="6">
        <v>1.0</v>
      </c>
      <c r="J234" s="6" t="s">
        <v>37</v>
      </c>
      <c r="K234" s="6">
        <v>10.0</v>
      </c>
      <c r="L234" s="5"/>
      <c r="M234" s="5"/>
      <c r="N234" s="6" t="s">
        <v>40</v>
      </c>
      <c r="O234" s="5" t="s">
        <v>5363</v>
      </c>
      <c r="P234" s="6" t="s">
        <v>42</v>
      </c>
      <c r="Q234" s="5" t="s">
        <v>1237</v>
      </c>
      <c r="R234" s="5" t="s">
        <v>6146</v>
      </c>
      <c r="S234" s="6" t="s">
        <v>50</v>
      </c>
      <c r="T234" s="6">
        <v>6538.0</v>
      </c>
    </row>
    <row r="235" ht="56.25" customHeight="1">
      <c r="A235" s="5" t="s">
        <v>6144</v>
      </c>
      <c r="B235" s="6" t="str">
        <f>image("https://storage.googleapis.com/acdb/photos/BromideNpcNmlBea13_Remake_1_0.png")</f>
        <v/>
      </c>
      <c r="C235" s="5" t="s">
        <v>1132</v>
      </c>
      <c r="D235" s="5" t="s">
        <v>1327</v>
      </c>
      <c r="E235" s="5" t="s">
        <v>34</v>
      </c>
      <c r="F235" s="5" t="s">
        <v>34</v>
      </c>
      <c r="G235" s="5" t="s">
        <v>36</v>
      </c>
      <c r="H235" s="5" t="s">
        <v>35</v>
      </c>
      <c r="I235" s="6">
        <v>1.0</v>
      </c>
      <c r="J235" s="6" t="s">
        <v>37</v>
      </c>
      <c r="K235" s="6">
        <v>10.0</v>
      </c>
      <c r="L235" s="5"/>
      <c r="M235" s="5"/>
      <c r="N235" s="6" t="s">
        <v>40</v>
      </c>
      <c r="O235" s="5" t="s">
        <v>5363</v>
      </c>
      <c r="P235" s="6" t="s">
        <v>42</v>
      </c>
      <c r="Q235" s="5" t="s">
        <v>1237</v>
      </c>
      <c r="R235" s="5" t="s">
        <v>6150</v>
      </c>
      <c r="S235" s="6" t="s">
        <v>56</v>
      </c>
      <c r="T235" s="6">
        <v>6538.0</v>
      </c>
    </row>
    <row r="236" ht="56.25" customHeight="1">
      <c r="A236" s="5" t="s">
        <v>6144</v>
      </c>
      <c r="B236" s="6" t="str">
        <f>image("https://storage.googleapis.com/acdb/photos/BromideNpcNmlBea13_Remake_2_0.png")</f>
        <v/>
      </c>
      <c r="C236" s="5" t="s">
        <v>688</v>
      </c>
      <c r="D236" s="5" t="s">
        <v>1327</v>
      </c>
      <c r="E236" s="5" t="s">
        <v>34</v>
      </c>
      <c r="F236" s="5" t="s">
        <v>34</v>
      </c>
      <c r="G236" s="5" t="s">
        <v>36</v>
      </c>
      <c r="H236" s="5" t="s">
        <v>35</v>
      </c>
      <c r="I236" s="6">
        <v>1.0</v>
      </c>
      <c r="J236" s="6" t="s">
        <v>37</v>
      </c>
      <c r="K236" s="6">
        <v>10.0</v>
      </c>
      <c r="L236" s="5"/>
      <c r="M236" s="5"/>
      <c r="N236" s="6" t="s">
        <v>40</v>
      </c>
      <c r="O236" s="5" t="s">
        <v>5363</v>
      </c>
      <c r="P236" s="6" t="s">
        <v>42</v>
      </c>
      <c r="Q236" s="5" t="s">
        <v>1237</v>
      </c>
      <c r="R236" s="5" t="s">
        <v>6154</v>
      </c>
      <c r="S236" s="6" t="s">
        <v>67</v>
      </c>
      <c r="T236" s="6">
        <v>6538.0</v>
      </c>
    </row>
    <row r="237" ht="56.25" customHeight="1">
      <c r="A237" s="5" t="s">
        <v>6144</v>
      </c>
      <c r="B237" s="6" t="str">
        <f>image("https://storage.googleapis.com/acdb/photos/BromideNpcNmlBea13_Remake_3_0.png")</f>
        <v/>
      </c>
      <c r="C237" s="5" t="s">
        <v>57</v>
      </c>
      <c r="D237" s="5" t="s">
        <v>1327</v>
      </c>
      <c r="E237" s="5" t="s">
        <v>34</v>
      </c>
      <c r="F237" s="5" t="s">
        <v>34</v>
      </c>
      <c r="G237" s="5" t="s">
        <v>36</v>
      </c>
      <c r="H237" s="5" t="s">
        <v>35</v>
      </c>
      <c r="I237" s="6">
        <v>1.0</v>
      </c>
      <c r="J237" s="6" t="s">
        <v>37</v>
      </c>
      <c r="K237" s="6">
        <v>10.0</v>
      </c>
      <c r="L237" s="5"/>
      <c r="M237" s="5"/>
      <c r="N237" s="6" t="s">
        <v>40</v>
      </c>
      <c r="O237" s="5" t="s">
        <v>5363</v>
      </c>
      <c r="P237" s="6" t="s">
        <v>42</v>
      </c>
      <c r="Q237" s="5" t="s">
        <v>1237</v>
      </c>
      <c r="R237" s="5" t="s">
        <v>6157</v>
      </c>
      <c r="S237" s="6" t="s">
        <v>71</v>
      </c>
      <c r="T237" s="6">
        <v>6538.0</v>
      </c>
    </row>
    <row r="238" ht="56.25" customHeight="1">
      <c r="A238" s="5" t="s">
        <v>6144</v>
      </c>
      <c r="B238" s="6" t="str">
        <f>image("https://storage.googleapis.com/acdb/photos/BromideNpcNmlBea13_Remake_4_0.png")</f>
        <v/>
      </c>
      <c r="C238" s="5" t="s">
        <v>1167</v>
      </c>
      <c r="D238" s="5" t="s">
        <v>1327</v>
      </c>
      <c r="E238" s="5" t="s">
        <v>34</v>
      </c>
      <c r="F238" s="5" t="s">
        <v>34</v>
      </c>
      <c r="G238" s="5" t="s">
        <v>36</v>
      </c>
      <c r="H238" s="5" t="s">
        <v>35</v>
      </c>
      <c r="I238" s="6">
        <v>1.0</v>
      </c>
      <c r="J238" s="6" t="s">
        <v>37</v>
      </c>
      <c r="K238" s="6">
        <v>10.0</v>
      </c>
      <c r="L238" s="5"/>
      <c r="M238" s="5"/>
      <c r="N238" s="6" t="s">
        <v>40</v>
      </c>
      <c r="O238" s="5" t="s">
        <v>5363</v>
      </c>
      <c r="P238" s="6" t="s">
        <v>42</v>
      </c>
      <c r="Q238" s="5" t="s">
        <v>1237</v>
      </c>
      <c r="R238" s="5" t="s">
        <v>6159</v>
      </c>
      <c r="S238" s="6" t="s">
        <v>75</v>
      </c>
      <c r="T238" s="6">
        <v>6538.0</v>
      </c>
    </row>
    <row r="239" ht="56.25" customHeight="1">
      <c r="A239" s="5" t="s">
        <v>6144</v>
      </c>
      <c r="B239" s="6" t="str">
        <f>image("https://storage.googleapis.com/acdb/photos/BromideNpcNmlBea13_Remake_5_0.png")</f>
        <v/>
      </c>
      <c r="C239" s="5" t="s">
        <v>58</v>
      </c>
      <c r="D239" s="5" t="s">
        <v>1327</v>
      </c>
      <c r="E239" s="5" t="s">
        <v>34</v>
      </c>
      <c r="F239" s="5" t="s">
        <v>34</v>
      </c>
      <c r="G239" s="5" t="s">
        <v>36</v>
      </c>
      <c r="H239" s="5" t="s">
        <v>35</v>
      </c>
      <c r="I239" s="6">
        <v>1.0</v>
      </c>
      <c r="J239" s="6" t="s">
        <v>37</v>
      </c>
      <c r="K239" s="6">
        <v>10.0</v>
      </c>
      <c r="L239" s="5"/>
      <c r="M239" s="5"/>
      <c r="N239" s="6" t="s">
        <v>40</v>
      </c>
      <c r="O239" s="5" t="s">
        <v>5363</v>
      </c>
      <c r="P239" s="6" t="s">
        <v>42</v>
      </c>
      <c r="Q239" s="5" t="s">
        <v>1237</v>
      </c>
      <c r="R239" s="5" t="s">
        <v>6169</v>
      </c>
      <c r="S239" s="6" t="s">
        <v>79</v>
      </c>
      <c r="T239" s="6">
        <v>6538.0</v>
      </c>
    </row>
    <row r="240" ht="56.25" customHeight="1">
      <c r="A240" s="5" t="s">
        <v>6144</v>
      </c>
      <c r="B240" s="6" t="str">
        <f>image("https://storage.googleapis.com/acdb/photos/BromideNpcNmlBea13_Remake_6_0.png")</f>
        <v/>
      </c>
      <c r="C240" s="5" t="s">
        <v>146</v>
      </c>
      <c r="D240" s="5" t="s">
        <v>1327</v>
      </c>
      <c r="E240" s="5" t="s">
        <v>34</v>
      </c>
      <c r="F240" s="5" t="s">
        <v>34</v>
      </c>
      <c r="G240" s="5" t="s">
        <v>36</v>
      </c>
      <c r="H240" s="5" t="s">
        <v>35</v>
      </c>
      <c r="I240" s="6">
        <v>1.0</v>
      </c>
      <c r="J240" s="6" t="s">
        <v>37</v>
      </c>
      <c r="K240" s="6">
        <v>10.0</v>
      </c>
      <c r="L240" s="5"/>
      <c r="M240" s="5"/>
      <c r="N240" s="6" t="s">
        <v>40</v>
      </c>
      <c r="O240" s="5" t="s">
        <v>5363</v>
      </c>
      <c r="P240" s="6" t="s">
        <v>42</v>
      </c>
      <c r="Q240" s="5" t="s">
        <v>1237</v>
      </c>
      <c r="R240" s="5" t="s">
        <v>6174</v>
      </c>
      <c r="S240" s="6" t="s">
        <v>86</v>
      </c>
      <c r="T240" s="6">
        <v>6538.0</v>
      </c>
    </row>
    <row r="241" ht="56.25" customHeight="1">
      <c r="A241" s="5" t="s">
        <v>6144</v>
      </c>
      <c r="B241" s="6" t="str">
        <f>image("https://storage.googleapis.com/acdb/photos/BromideNpcNmlBea13_Remake_7_0.png")</f>
        <v/>
      </c>
      <c r="C241" s="5" t="s">
        <v>151</v>
      </c>
      <c r="D241" s="5" t="s">
        <v>1327</v>
      </c>
      <c r="E241" s="5" t="s">
        <v>34</v>
      </c>
      <c r="F241" s="5" t="s">
        <v>34</v>
      </c>
      <c r="G241" s="5" t="s">
        <v>36</v>
      </c>
      <c r="H241" s="5" t="s">
        <v>35</v>
      </c>
      <c r="I241" s="6">
        <v>1.0</v>
      </c>
      <c r="J241" s="6" t="s">
        <v>37</v>
      </c>
      <c r="K241" s="6">
        <v>10.0</v>
      </c>
      <c r="L241" s="5"/>
      <c r="M241" s="5"/>
      <c r="N241" s="6" t="s">
        <v>40</v>
      </c>
      <c r="O241" s="5" t="s">
        <v>5363</v>
      </c>
      <c r="P241" s="6" t="s">
        <v>42</v>
      </c>
      <c r="Q241" s="5" t="s">
        <v>1237</v>
      </c>
      <c r="R241" s="5" t="s">
        <v>6178</v>
      </c>
      <c r="S241" s="6" t="s">
        <v>208</v>
      </c>
      <c r="T241" s="6">
        <v>6538.0</v>
      </c>
    </row>
    <row r="242" ht="56.25" customHeight="1">
      <c r="A242" s="5" t="s">
        <v>6180</v>
      </c>
      <c r="B242" s="6" t="str">
        <f>image("https://storage.googleapis.com/acdb/photos/BromideNpcNmlDer07_Remake_0_0.png")</f>
        <v/>
      </c>
      <c r="C242" s="5" t="s">
        <v>366</v>
      </c>
      <c r="D242" s="5" t="s">
        <v>1327</v>
      </c>
      <c r="E242" s="5" t="s">
        <v>34</v>
      </c>
      <c r="F242" s="5" t="s">
        <v>34</v>
      </c>
      <c r="G242" s="5" t="s">
        <v>36</v>
      </c>
      <c r="H242" s="5" t="s">
        <v>35</v>
      </c>
      <c r="I242" s="6">
        <v>1.0</v>
      </c>
      <c r="J242" s="6" t="s">
        <v>37</v>
      </c>
      <c r="K242" s="6">
        <v>10.0</v>
      </c>
      <c r="L242" s="5"/>
      <c r="M242" s="5"/>
      <c r="N242" s="6" t="s">
        <v>40</v>
      </c>
      <c r="O242" s="5" t="s">
        <v>5363</v>
      </c>
      <c r="P242" s="6" t="s">
        <v>42</v>
      </c>
      <c r="Q242" s="5" t="s">
        <v>1237</v>
      </c>
      <c r="R242" s="5" t="s">
        <v>6188</v>
      </c>
      <c r="S242" s="6" t="s">
        <v>50</v>
      </c>
      <c r="T242" s="6">
        <v>6433.0</v>
      </c>
    </row>
    <row r="243" ht="56.25" customHeight="1">
      <c r="A243" s="5" t="s">
        <v>6180</v>
      </c>
      <c r="B243" s="6" t="str">
        <f>image("https://storage.googleapis.com/acdb/photos/BromideNpcNmlDer07_Remake_1_0.png")</f>
        <v/>
      </c>
      <c r="C243" s="5" t="s">
        <v>1132</v>
      </c>
      <c r="D243" s="5" t="s">
        <v>1327</v>
      </c>
      <c r="E243" s="5" t="s">
        <v>34</v>
      </c>
      <c r="F243" s="5" t="s">
        <v>34</v>
      </c>
      <c r="G243" s="5" t="s">
        <v>36</v>
      </c>
      <c r="H243" s="5" t="s">
        <v>35</v>
      </c>
      <c r="I243" s="6">
        <v>1.0</v>
      </c>
      <c r="J243" s="6" t="s">
        <v>37</v>
      </c>
      <c r="K243" s="6">
        <v>10.0</v>
      </c>
      <c r="L243" s="5"/>
      <c r="M243" s="5"/>
      <c r="N243" s="6" t="s">
        <v>40</v>
      </c>
      <c r="O243" s="5" t="s">
        <v>5363</v>
      </c>
      <c r="P243" s="6" t="s">
        <v>42</v>
      </c>
      <c r="Q243" s="5" t="s">
        <v>1237</v>
      </c>
      <c r="R243" s="5" t="s">
        <v>6193</v>
      </c>
      <c r="S243" s="6" t="s">
        <v>56</v>
      </c>
      <c r="T243" s="6">
        <v>6433.0</v>
      </c>
    </row>
    <row r="244" ht="56.25" customHeight="1">
      <c r="A244" s="5" t="s">
        <v>6180</v>
      </c>
      <c r="B244" s="6" t="str">
        <f>image("https://storage.googleapis.com/acdb/photos/BromideNpcNmlDer07_Remake_2_0.png")</f>
        <v/>
      </c>
      <c r="C244" s="5" t="s">
        <v>688</v>
      </c>
      <c r="D244" s="5" t="s">
        <v>1327</v>
      </c>
      <c r="E244" s="5" t="s">
        <v>34</v>
      </c>
      <c r="F244" s="5" t="s">
        <v>34</v>
      </c>
      <c r="G244" s="5" t="s">
        <v>36</v>
      </c>
      <c r="H244" s="5" t="s">
        <v>35</v>
      </c>
      <c r="I244" s="6">
        <v>1.0</v>
      </c>
      <c r="J244" s="6" t="s">
        <v>37</v>
      </c>
      <c r="K244" s="6">
        <v>10.0</v>
      </c>
      <c r="L244" s="5"/>
      <c r="M244" s="5"/>
      <c r="N244" s="6" t="s">
        <v>40</v>
      </c>
      <c r="O244" s="5" t="s">
        <v>5363</v>
      </c>
      <c r="P244" s="6" t="s">
        <v>42</v>
      </c>
      <c r="Q244" s="5" t="s">
        <v>1237</v>
      </c>
      <c r="R244" s="5" t="s">
        <v>6198</v>
      </c>
      <c r="S244" s="6" t="s">
        <v>67</v>
      </c>
      <c r="T244" s="6">
        <v>6433.0</v>
      </c>
    </row>
    <row r="245" ht="56.25" customHeight="1">
      <c r="A245" s="5" t="s">
        <v>6180</v>
      </c>
      <c r="B245" s="6" t="str">
        <f>image("https://storage.googleapis.com/acdb/photos/BromideNpcNmlDer07_Remake_3_0.png")</f>
        <v/>
      </c>
      <c r="C245" s="5" t="s">
        <v>57</v>
      </c>
      <c r="D245" s="5" t="s">
        <v>1327</v>
      </c>
      <c r="E245" s="5" t="s">
        <v>34</v>
      </c>
      <c r="F245" s="5" t="s">
        <v>34</v>
      </c>
      <c r="G245" s="5" t="s">
        <v>36</v>
      </c>
      <c r="H245" s="5" t="s">
        <v>35</v>
      </c>
      <c r="I245" s="6">
        <v>1.0</v>
      </c>
      <c r="J245" s="6" t="s">
        <v>37</v>
      </c>
      <c r="K245" s="6">
        <v>10.0</v>
      </c>
      <c r="L245" s="5"/>
      <c r="M245" s="5"/>
      <c r="N245" s="6" t="s">
        <v>40</v>
      </c>
      <c r="O245" s="5" t="s">
        <v>5363</v>
      </c>
      <c r="P245" s="6" t="s">
        <v>42</v>
      </c>
      <c r="Q245" s="5" t="s">
        <v>1237</v>
      </c>
      <c r="R245" s="5" t="s">
        <v>6202</v>
      </c>
      <c r="S245" s="6" t="s">
        <v>71</v>
      </c>
      <c r="T245" s="6">
        <v>6433.0</v>
      </c>
    </row>
    <row r="246" ht="56.25" customHeight="1">
      <c r="A246" s="5" t="s">
        <v>6180</v>
      </c>
      <c r="B246" s="6" t="str">
        <f>image("https://storage.googleapis.com/acdb/photos/BromideNpcNmlDer07_Remake_4_0.png")</f>
        <v/>
      </c>
      <c r="C246" s="5" t="s">
        <v>1167</v>
      </c>
      <c r="D246" s="5" t="s">
        <v>1327</v>
      </c>
      <c r="E246" s="5" t="s">
        <v>34</v>
      </c>
      <c r="F246" s="5" t="s">
        <v>34</v>
      </c>
      <c r="G246" s="5" t="s">
        <v>36</v>
      </c>
      <c r="H246" s="5" t="s">
        <v>35</v>
      </c>
      <c r="I246" s="6">
        <v>1.0</v>
      </c>
      <c r="J246" s="6" t="s">
        <v>37</v>
      </c>
      <c r="K246" s="6">
        <v>10.0</v>
      </c>
      <c r="L246" s="5"/>
      <c r="M246" s="5"/>
      <c r="N246" s="6" t="s">
        <v>40</v>
      </c>
      <c r="O246" s="5" t="s">
        <v>5363</v>
      </c>
      <c r="P246" s="6" t="s">
        <v>42</v>
      </c>
      <c r="Q246" s="5" t="s">
        <v>1237</v>
      </c>
      <c r="R246" s="5" t="s">
        <v>6207</v>
      </c>
      <c r="S246" s="6" t="s">
        <v>75</v>
      </c>
      <c r="T246" s="6">
        <v>6433.0</v>
      </c>
    </row>
    <row r="247" ht="56.25" customHeight="1">
      <c r="A247" s="5" t="s">
        <v>6180</v>
      </c>
      <c r="B247" s="6" t="str">
        <f>image("https://storage.googleapis.com/acdb/photos/BromideNpcNmlDer07_Remake_5_0.png")</f>
        <v/>
      </c>
      <c r="C247" s="5" t="s">
        <v>58</v>
      </c>
      <c r="D247" s="5" t="s">
        <v>1327</v>
      </c>
      <c r="E247" s="5" t="s">
        <v>34</v>
      </c>
      <c r="F247" s="5" t="s">
        <v>34</v>
      </c>
      <c r="G247" s="5" t="s">
        <v>36</v>
      </c>
      <c r="H247" s="5" t="s">
        <v>35</v>
      </c>
      <c r="I247" s="6">
        <v>1.0</v>
      </c>
      <c r="J247" s="6" t="s">
        <v>37</v>
      </c>
      <c r="K247" s="6">
        <v>10.0</v>
      </c>
      <c r="L247" s="5"/>
      <c r="M247" s="5"/>
      <c r="N247" s="6" t="s">
        <v>40</v>
      </c>
      <c r="O247" s="5" t="s">
        <v>5363</v>
      </c>
      <c r="P247" s="6" t="s">
        <v>42</v>
      </c>
      <c r="Q247" s="5" t="s">
        <v>1237</v>
      </c>
      <c r="R247" s="5" t="s">
        <v>6211</v>
      </c>
      <c r="S247" s="6" t="s">
        <v>79</v>
      </c>
      <c r="T247" s="6">
        <v>6433.0</v>
      </c>
    </row>
    <row r="248" ht="56.25" customHeight="1">
      <c r="A248" s="5" t="s">
        <v>6180</v>
      </c>
      <c r="B248" s="6" t="str">
        <f>image("https://storage.googleapis.com/acdb/photos/BromideNpcNmlDer07_Remake_6_0.png")</f>
        <v/>
      </c>
      <c r="C248" s="5" t="s">
        <v>146</v>
      </c>
      <c r="D248" s="5" t="s">
        <v>1327</v>
      </c>
      <c r="E248" s="5" t="s">
        <v>34</v>
      </c>
      <c r="F248" s="5" t="s">
        <v>34</v>
      </c>
      <c r="G248" s="5" t="s">
        <v>36</v>
      </c>
      <c r="H248" s="5" t="s">
        <v>35</v>
      </c>
      <c r="I248" s="6">
        <v>1.0</v>
      </c>
      <c r="J248" s="6" t="s">
        <v>37</v>
      </c>
      <c r="K248" s="6">
        <v>10.0</v>
      </c>
      <c r="L248" s="5"/>
      <c r="M248" s="5"/>
      <c r="N248" s="6" t="s">
        <v>40</v>
      </c>
      <c r="O248" s="5" t="s">
        <v>5363</v>
      </c>
      <c r="P248" s="6" t="s">
        <v>42</v>
      </c>
      <c r="Q248" s="5" t="s">
        <v>1237</v>
      </c>
      <c r="R248" s="5" t="s">
        <v>6215</v>
      </c>
      <c r="S248" s="6" t="s">
        <v>86</v>
      </c>
      <c r="T248" s="6">
        <v>6433.0</v>
      </c>
    </row>
    <row r="249" ht="56.25" customHeight="1">
      <c r="A249" s="5" t="s">
        <v>6180</v>
      </c>
      <c r="B249" s="6" t="str">
        <f>image("https://storage.googleapis.com/acdb/photos/BromideNpcNmlDer07_Remake_7_0.png")</f>
        <v/>
      </c>
      <c r="C249" s="5" t="s">
        <v>151</v>
      </c>
      <c r="D249" s="5" t="s">
        <v>1327</v>
      </c>
      <c r="E249" s="5" t="s">
        <v>34</v>
      </c>
      <c r="F249" s="5" t="s">
        <v>34</v>
      </c>
      <c r="G249" s="5" t="s">
        <v>36</v>
      </c>
      <c r="H249" s="5" t="s">
        <v>35</v>
      </c>
      <c r="I249" s="6">
        <v>1.0</v>
      </c>
      <c r="J249" s="6" t="s">
        <v>37</v>
      </c>
      <c r="K249" s="6">
        <v>10.0</v>
      </c>
      <c r="L249" s="5"/>
      <c r="M249" s="5"/>
      <c r="N249" s="6" t="s">
        <v>40</v>
      </c>
      <c r="O249" s="5" t="s">
        <v>5363</v>
      </c>
      <c r="P249" s="6" t="s">
        <v>42</v>
      </c>
      <c r="Q249" s="5" t="s">
        <v>1237</v>
      </c>
      <c r="R249" s="5" t="s">
        <v>6220</v>
      </c>
      <c r="S249" s="6" t="s">
        <v>208</v>
      </c>
      <c r="T249" s="6">
        <v>6433.0</v>
      </c>
    </row>
    <row r="250" ht="56.25" customHeight="1">
      <c r="A250" s="5" t="s">
        <v>6222</v>
      </c>
      <c r="B250" s="6" t="str">
        <f>image("https://storage.googleapis.com/acdb/photos/BromideNpcNmlChn09_Remake_0_0.png")</f>
        <v/>
      </c>
      <c r="C250" s="5" t="s">
        <v>366</v>
      </c>
      <c r="D250" s="5" t="s">
        <v>1327</v>
      </c>
      <c r="E250" s="5" t="s">
        <v>34</v>
      </c>
      <c r="F250" s="5" t="s">
        <v>34</v>
      </c>
      <c r="G250" s="5" t="s">
        <v>36</v>
      </c>
      <c r="H250" s="5" t="s">
        <v>35</v>
      </c>
      <c r="I250" s="6">
        <v>1.0</v>
      </c>
      <c r="J250" s="6" t="s">
        <v>37</v>
      </c>
      <c r="K250" s="6">
        <v>10.0</v>
      </c>
      <c r="L250" s="5"/>
      <c r="M250" s="5"/>
      <c r="N250" s="6" t="s">
        <v>40</v>
      </c>
      <c r="O250" s="5" t="s">
        <v>5363</v>
      </c>
      <c r="P250" s="6" t="s">
        <v>42</v>
      </c>
      <c r="Q250" s="5" t="s">
        <v>1237</v>
      </c>
      <c r="R250" s="5" t="s">
        <v>6224</v>
      </c>
      <c r="S250" s="6" t="s">
        <v>50</v>
      </c>
      <c r="T250" s="6">
        <v>6790.0</v>
      </c>
    </row>
    <row r="251" ht="56.25" customHeight="1">
      <c r="A251" s="5" t="s">
        <v>6222</v>
      </c>
      <c r="B251" s="6" t="str">
        <f>image("https://storage.googleapis.com/acdb/photos/BromideNpcNmlChn09_Remake_1_0.png")</f>
        <v/>
      </c>
      <c r="C251" s="5" t="s">
        <v>1132</v>
      </c>
      <c r="D251" s="5" t="s">
        <v>1327</v>
      </c>
      <c r="E251" s="5" t="s">
        <v>34</v>
      </c>
      <c r="F251" s="5" t="s">
        <v>34</v>
      </c>
      <c r="G251" s="5" t="s">
        <v>36</v>
      </c>
      <c r="H251" s="5" t="s">
        <v>35</v>
      </c>
      <c r="I251" s="6">
        <v>1.0</v>
      </c>
      <c r="J251" s="6" t="s">
        <v>37</v>
      </c>
      <c r="K251" s="6">
        <v>10.0</v>
      </c>
      <c r="L251" s="5"/>
      <c r="M251" s="5"/>
      <c r="N251" s="6" t="s">
        <v>40</v>
      </c>
      <c r="O251" s="5" t="s">
        <v>5363</v>
      </c>
      <c r="P251" s="6" t="s">
        <v>42</v>
      </c>
      <c r="Q251" s="5" t="s">
        <v>1237</v>
      </c>
      <c r="R251" s="5" t="s">
        <v>6226</v>
      </c>
      <c r="S251" s="6" t="s">
        <v>56</v>
      </c>
      <c r="T251" s="6">
        <v>6790.0</v>
      </c>
    </row>
    <row r="252" ht="56.25" customHeight="1">
      <c r="A252" s="5" t="s">
        <v>6222</v>
      </c>
      <c r="B252" s="6" t="str">
        <f>image("https://storage.googleapis.com/acdb/photos/BromideNpcNmlChn09_Remake_2_0.png")</f>
        <v/>
      </c>
      <c r="C252" s="5" t="s">
        <v>688</v>
      </c>
      <c r="D252" s="5" t="s">
        <v>1327</v>
      </c>
      <c r="E252" s="5" t="s">
        <v>34</v>
      </c>
      <c r="F252" s="5" t="s">
        <v>34</v>
      </c>
      <c r="G252" s="5" t="s">
        <v>36</v>
      </c>
      <c r="H252" s="5" t="s">
        <v>35</v>
      </c>
      <c r="I252" s="6">
        <v>1.0</v>
      </c>
      <c r="J252" s="6" t="s">
        <v>37</v>
      </c>
      <c r="K252" s="6">
        <v>10.0</v>
      </c>
      <c r="L252" s="5"/>
      <c r="M252" s="5"/>
      <c r="N252" s="6" t="s">
        <v>40</v>
      </c>
      <c r="O252" s="5" t="s">
        <v>5363</v>
      </c>
      <c r="P252" s="6" t="s">
        <v>42</v>
      </c>
      <c r="Q252" s="5" t="s">
        <v>1237</v>
      </c>
      <c r="R252" s="5" t="s">
        <v>6229</v>
      </c>
      <c r="S252" s="6" t="s">
        <v>67</v>
      </c>
      <c r="T252" s="6">
        <v>6790.0</v>
      </c>
    </row>
    <row r="253" ht="56.25" customHeight="1">
      <c r="A253" s="5" t="s">
        <v>6222</v>
      </c>
      <c r="B253" s="6" t="str">
        <f>image("https://storage.googleapis.com/acdb/photos/BromideNpcNmlChn09_Remake_3_0.png")</f>
        <v/>
      </c>
      <c r="C253" s="5" t="s">
        <v>57</v>
      </c>
      <c r="D253" s="5" t="s">
        <v>1327</v>
      </c>
      <c r="E253" s="5" t="s">
        <v>34</v>
      </c>
      <c r="F253" s="5" t="s">
        <v>34</v>
      </c>
      <c r="G253" s="5" t="s">
        <v>36</v>
      </c>
      <c r="H253" s="5" t="s">
        <v>35</v>
      </c>
      <c r="I253" s="6">
        <v>1.0</v>
      </c>
      <c r="J253" s="6" t="s">
        <v>37</v>
      </c>
      <c r="K253" s="6">
        <v>10.0</v>
      </c>
      <c r="L253" s="5"/>
      <c r="M253" s="5"/>
      <c r="N253" s="6" t="s">
        <v>40</v>
      </c>
      <c r="O253" s="5" t="s">
        <v>5363</v>
      </c>
      <c r="P253" s="6" t="s">
        <v>42</v>
      </c>
      <c r="Q253" s="5" t="s">
        <v>1237</v>
      </c>
      <c r="R253" s="5" t="s">
        <v>6231</v>
      </c>
      <c r="S253" s="6" t="s">
        <v>71</v>
      </c>
      <c r="T253" s="6">
        <v>6790.0</v>
      </c>
    </row>
    <row r="254" ht="56.25" customHeight="1">
      <c r="A254" s="5" t="s">
        <v>6222</v>
      </c>
      <c r="B254" s="6" t="str">
        <f>image("https://storage.googleapis.com/acdb/photos/BromideNpcNmlChn09_Remake_4_0.png")</f>
        <v/>
      </c>
      <c r="C254" s="5" t="s">
        <v>1167</v>
      </c>
      <c r="D254" s="5" t="s">
        <v>1327</v>
      </c>
      <c r="E254" s="5" t="s">
        <v>34</v>
      </c>
      <c r="F254" s="5" t="s">
        <v>34</v>
      </c>
      <c r="G254" s="5" t="s">
        <v>36</v>
      </c>
      <c r="H254" s="5" t="s">
        <v>35</v>
      </c>
      <c r="I254" s="6">
        <v>1.0</v>
      </c>
      <c r="J254" s="6" t="s">
        <v>37</v>
      </c>
      <c r="K254" s="6">
        <v>10.0</v>
      </c>
      <c r="L254" s="5"/>
      <c r="M254" s="5"/>
      <c r="N254" s="6" t="s">
        <v>40</v>
      </c>
      <c r="O254" s="5" t="s">
        <v>5363</v>
      </c>
      <c r="P254" s="6" t="s">
        <v>42</v>
      </c>
      <c r="Q254" s="5" t="s">
        <v>1237</v>
      </c>
      <c r="R254" s="5" t="s">
        <v>6235</v>
      </c>
      <c r="S254" s="6" t="s">
        <v>75</v>
      </c>
      <c r="T254" s="6">
        <v>6790.0</v>
      </c>
    </row>
    <row r="255" ht="56.25" customHeight="1">
      <c r="A255" s="5" t="s">
        <v>6222</v>
      </c>
      <c r="B255" s="6" t="str">
        <f>image("https://storage.googleapis.com/acdb/photos/BromideNpcNmlChn09_Remake_5_0.png")</f>
        <v/>
      </c>
      <c r="C255" s="5" t="s">
        <v>58</v>
      </c>
      <c r="D255" s="5" t="s">
        <v>1327</v>
      </c>
      <c r="E255" s="5" t="s">
        <v>34</v>
      </c>
      <c r="F255" s="5" t="s">
        <v>34</v>
      </c>
      <c r="G255" s="5" t="s">
        <v>36</v>
      </c>
      <c r="H255" s="5" t="s">
        <v>35</v>
      </c>
      <c r="I255" s="6">
        <v>1.0</v>
      </c>
      <c r="J255" s="6" t="s">
        <v>37</v>
      </c>
      <c r="K255" s="6">
        <v>10.0</v>
      </c>
      <c r="L255" s="5"/>
      <c r="M255" s="5"/>
      <c r="N255" s="6" t="s">
        <v>40</v>
      </c>
      <c r="O255" s="5" t="s">
        <v>5363</v>
      </c>
      <c r="P255" s="6" t="s">
        <v>42</v>
      </c>
      <c r="Q255" s="5" t="s">
        <v>1237</v>
      </c>
      <c r="R255" s="5" t="s">
        <v>6237</v>
      </c>
      <c r="S255" s="6" t="s">
        <v>79</v>
      </c>
      <c r="T255" s="6">
        <v>6790.0</v>
      </c>
    </row>
    <row r="256" ht="56.25" customHeight="1">
      <c r="A256" s="5" t="s">
        <v>6222</v>
      </c>
      <c r="B256" s="6" t="str">
        <f>image("https://storage.googleapis.com/acdb/photos/BromideNpcNmlChn09_Remake_6_0.png")</f>
        <v/>
      </c>
      <c r="C256" s="5" t="s">
        <v>146</v>
      </c>
      <c r="D256" s="5" t="s">
        <v>1327</v>
      </c>
      <c r="E256" s="5" t="s">
        <v>34</v>
      </c>
      <c r="F256" s="5" t="s">
        <v>34</v>
      </c>
      <c r="G256" s="5" t="s">
        <v>36</v>
      </c>
      <c r="H256" s="5" t="s">
        <v>35</v>
      </c>
      <c r="I256" s="6">
        <v>1.0</v>
      </c>
      <c r="J256" s="6" t="s">
        <v>37</v>
      </c>
      <c r="K256" s="6">
        <v>10.0</v>
      </c>
      <c r="L256" s="5"/>
      <c r="M256" s="5"/>
      <c r="N256" s="6" t="s">
        <v>40</v>
      </c>
      <c r="O256" s="5" t="s">
        <v>5363</v>
      </c>
      <c r="P256" s="6" t="s">
        <v>42</v>
      </c>
      <c r="Q256" s="5" t="s">
        <v>1237</v>
      </c>
      <c r="R256" s="5" t="s">
        <v>6240</v>
      </c>
      <c r="S256" s="6" t="s">
        <v>86</v>
      </c>
      <c r="T256" s="6">
        <v>6790.0</v>
      </c>
    </row>
    <row r="257" ht="56.25" customHeight="1">
      <c r="A257" s="5" t="s">
        <v>6222</v>
      </c>
      <c r="B257" s="6" t="str">
        <f>image("https://storage.googleapis.com/acdb/photos/BromideNpcNmlChn09_Remake_7_0.png")</f>
        <v/>
      </c>
      <c r="C257" s="5" t="s">
        <v>151</v>
      </c>
      <c r="D257" s="5" t="s">
        <v>1327</v>
      </c>
      <c r="E257" s="5" t="s">
        <v>34</v>
      </c>
      <c r="F257" s="5" t="s">
        <v>34</v>
      </c>
      <c r="G257" s="5" t="s">
        <v>36</v>
      </c>
      <c r="H257" s="5" t="s">
        <v>35</v>
      </c>
      <c r="I257" s="6">
        <v>1.0</v>
      </c>
      <c r="J257" s="6" t="s">
        <v>37</v>
      </c>
      <c r="K257" s="6">
        <v>10.0</v>
      </c>
      <c r="L257" s="5"/>
      <c r="M257" s="5"/>
      <c r="N257" s="6" t="s">
        <v>40</v>
      </c>
      <c r="O257" s="5" t="s">
        <v>5363</v>
      </c>
      <c r="P257" s="6" t="s">
        <v>42</v>
      </c>
      <c r="Q257" s="5" t="s">
        <v>1237</v>
      </c>
      <c r="R257" s="5" t="s">
        <v>6242</v>
      </c>
      <c r="S257" s="6" t="s">
        <v>208</v>
      </c>
      <c r="T257" s="6">
        <v>6790.0</v>
      </c>
    </row>
    <row r="258" ht="56.25" customHeight="1">
      <c r="A258" s="5" t="s">
        <v>6243</v>
      </c>
      <c r="B258" s="6" t="str">
        <f>image("https://storage.googleapis.com/acdb/photos/BromideNpcNmlMus02_Remake_0_0.png")</f>
        <v/>
      </c>
      <c r="C258" s="5" t="s">
        <v>366</v>
      </c>
      <c r="D258" s="5" t="s">
        <v>1327</v>
      </c>
      <c r="E258" s="5" t="s">
        <v>34</v>
      </c>
      <c r="F258" s="5" t="s">
        <v>34</v>
      </c>
      <c r="G258" s="5" t="s">
        <v>36</v>
      </c>
      <c r="H258" s="5" t="s">
        <v>35</v>
      </c>
      <c r="I258" s="6">
        <v>1.0</v>
      </c>
      <c r="J258" s="6" t="s">
        <v>37</v>
      </c>
      <c r="K258" s="6">
        <v>10.0</v>
      </c>
      <c r="L258" s="5"/>
      <c r="M258" s="5"/>
      <c r="N258" s="6" t="s">
        <v>40</v>
      </c>
      <c r="O258" s="5" t="s">
        <v>5363</v>
      </c>
      <c r="P258" s="6" t="s">
        <v>42</v>
      </c>
      <c r="Q258" s="5" t="s">
        <v>1237</v>
      </c>
      <c r="R258" s="5" t="s">
        <v>6246</v>
      </c>
      <c r="S258" s="6" t="s">
        <v>50</v>
      </c>
      <c r="T258" s="6">
        <v>6591.0</v>
      </c>
    </row>
    <row r="259" ht="56.25" customHeight="1">
      <c r="A259" s="5" t="s">
        <v>6243</v>
      </c>
      <c r="B259" s="6" t="str">
        <f>image("https://storage.googleapis.com/acdb/photos/BromideNpcNmlMus02_Remake_1_0.png")</f>
        <v/>
      </c>
      <c r="C259" s="5" t="s">
        <v>1132</v>
      </c>
      <c r="D259" s="5" t="s">
        <v>1327</v>
      </c>
      <c r="E259" s="5" t="s">
        <v>34</v>
      </c>
      <c r="F259" s="5" t="s">
        <v>34</v>
      </c>
      <c r="G259" s="5" t="s">
        <v>36</v>
      </c>
      <c r="H259" s="5" t="s">
        <v>35</v>
      </c>
      <c r="I259" s="6">
        <v>1.0</v>
      </c>
      <c r="J259" s="6" t="s">
        <v>37</v>
      </c>
      <c r="K259" s="6">
        <v>10.0</v>
      </c>
      <c r="L259" s="5"/>
      <c r="M259" s="5"/>
      <c r="N259" s="6" t="s">
        <v>40</v>
      </c>
      <c r="O259" s="5" t="s">
        <v>5363</v>
      </c>
      <c r="P259" s="6" t="s">
        <v>42</v>
      </c>
      <c r="Q259" s="5" t="s">
        <v>1237</v>
      </c>
      <c r="R259" s="5" t="s">
        <v>6249</v>
      </c>
      <c r="S259" s="6" t="s">
        <v>56</v>
      </c>
      <c r="T259" s="6">
        <v>6591.0</v>
      </c>
    </row>
    <row r="260" ht="56.25" customHeight="1">
      <c r="A260" s="5" t="s">
        <v>6243</v>
      </c>
      <c r="B260" s="6" t="str">
        <f>image("https://storage.googleapis.com/acdb/photos/BromideNpcNmlMus02_Remake_2_0.png")</f>
        <v/>
      </c>
      <c r="C260" s="5" t="s">
        <v>688</v>
      </c>
      <c r="D260" s="5" t="s">
        <v>1327</v>
      </c>
      <c r="E260" s="5" t="s">
        <v>34</v>
      </c>
      <c r="F260" s="5" t="s">
        <v>34</v>
      </c>
      <c r="G260" s="5" t="s">
        <v>36</v>
      </c>
      <c r="H260" s="5" t="s">
        <v>35</v>
      </c>
      <c r="I260" s="6">
        <v>1.0</v>
      </c>
      <c r="J260" s="6" t="s">
        <v>37</v>
      </c>
      <c r="K260" s="6">
        <v>10.0</v>
      </c>
      <c r="L260" s="5"/>
      <c r="M260" s="5"/>
      <c r="N260" s="6" t="s">
        <v>40</v>
      </c>
      <c r="O260" s="5" t="s">
        <v>5363</v>
      </c>
      <c r="P260" s="6" t="s">
        <v>42</v>
      </c>
      <c r="Q260" s="5" t="s">
        <v>1237</v>
      </c>
      <c r="R260" s="5" t="s">
        <v>6251</v>
      </c>
      <c r="S260" s="6" t="s">
        <v>67</v>
      </c>
      <c r="T260" s="6">
        <v>6591.0</v>
      </c>
    </row>
    <row r="261" ht="56.25" customHeight="1">
      <c r="A261" s="5" t="s">
        <v>6243</v>
      </c>
      <c r="B261" s="6" t="str">
        <f>image("https://storage.googleapis.com/acdb/photos/BromideNpcNmlMus02_Remake_3_0.png")</f>
        <v/>
      </c>
      <c r="C261" s="5" t="s">
        <v>57</v>
      </c>
      <c r="D261" s="5" t="s">
        <v>1327</v>
      </c>
      <c r="E261" s="5" t="s">
        <v>34</v>
      </c>
      <c r="F261" s="5" t="s">
        <v>34</v>
      </c>
      <c r="G261" s="5" t="s">
        <v>36</v>
      </c>
      <c r="H261" s="5" t="s">
        <v>35</v>
      </c>
      <c r="I261" s="6">
        <v>1.0</v>
      </c>
      <c r="J261" s="6" t="s">
        <v>37</v>
      </c>
      <c r="K261" s="6">
        <v>10.0</v>
      </c>
      <c r="L261" s="5"/>
      <c r="M261" s="5"/>
      <c r="N261" s="6" t="s">
        <v>40</v>
      </c>
      <c r="O261" s="5" t="s">
        <v>5363</v>
      </c>
      <c r="P261" s="6" t="s">
        <v>42</v>
      </c>
      <c r="Q261" s="5" t="s">
        <v>1237</v>
      </c>
      <c r="R261" s="5" t="s">
        <v>6254</v>
      </c>
      <c r="S261" s="6" t="s">
        <v>71</v>
      </c>
      <c r="T261" s="6">
        <v>6591.0</v>
      </c>
    </row>
    <row r="262" ht="56.25" customHeight="1">
      <c r="A262" s="5" t="s">
        <v>6243</v>
      </c>
      <c r="B262" s="6" t="str">
        <f>image("https://storage.googleapis.com/acdb/photos/BromideNpcNmlMus02_Remake_4_0.png")</f>
        <v/>
      </c>
      <c r="C262" s="5" t="s">
        <v>1167</v>
      </c>
      <c r="D262" s="5" t="s">
        <v>1327</v>
      </c>
      <c r="E262" s="5" t="s">
        <v>34</v>
      </c>
      <c r="F262" s="5" t="s">
        <v>34</v>
      </c>
      <c r="G262" s="5" t="s">
        <v>36</v>
      </c>
      <c r="H262" s="5" t="s">
        <v>35</v>
      </c>
      <c r="I262" s="6">
        <v>1.0</v>
      </c>
      <c r="J262" s="6" t="s">
        <v>37</v>
      </c>
      <c r="K262" s="6">
        <v>10.0</v>
      </c>
      <c r="L262" s="5"/>
      <c r="M262" s="5"/>
      <c r="N262" s="6" t="s">
        <v>40</v>
      </c>
      <c r="O262" s="5" t="s">
        <v>5363</v>
      </c>
      <c r="P262" s="6" t="s">
        <v>42</v>
      </c>
      <c r="Q262" s="5" t="s">
        <v>1237</v>
      </c>
      <c r="R262" s="5" t="s">
        <v>6259</v>
      </c>
      <c r="S262" s="6" t="s">
        <v>75</v>
      </c>
      <c r="T262" s="6">
        <v>6591.0</v>
      </c>
    </row>
    <row r="263" ht="56.25" customHeight="1">
      <c r="A263" s="5" t="s">
        <v>6243</v>
      </c>
      <c r="B263" s="6" t="str">
        <f>image("https://storage.googleapis.com/acdb/photos/BromideNpcNmlMus02_Remake_5_0.png")</f>
        <v/>
      </c>
      <c r="C263" s="5" t="s">
        <v>58</v>
      </c>
      <c r="D263" s="5" t="s">
        <v>1327</v>
      </c>
      <c r="E263" s="5" t="s">
        <v>34</v>
      </c>
      <c r="F263" s="5" t="s">
        <v>34</v>
      </c>
      <c r="G263" s="5" t="s">
        <v>36</v>
      </c>
      <c r="H263" s="5" t="s">
        <v>35</v>
      </c>
      <c r="I263" s="6">
        <v>1.0</v>
      </c>
      <c r="J263" s="6" t="s">
        <v>37</v>
      </c>
      <c r="K263" s="6">
        <v>10.0</v>
      </c>
      <c r="L263" s="5"/>
      <c r="M263" s="5"/>
      <c r="N263" s="6" t="s">
        <v>40</v>
      </c>
      <c r="O263" s="5" t="s">
        <v>5363</v>
      </c>
      <c r="P263" s="6" t="s">
        <v>42</v>
      </c>
      <c r="Q263" s="5" t="s">
        <v>1237</v>
      </c>
      <c r="R263" s="5" t="s">
        <v>6263</v>
      </c>
      <c r="S263" s="6" t="s">
        <v>79</v>
      </c>
      <c r="T263" s="6">
        <v>6591.0</v>
      </c>
    </row>
    <row r="264" ht="56.25" customHeight="1">
      <c r="A264" s="5" t="s">
        <v>6243</v>
      </c>
      <c r="B264" s="6" t="str">
        <f>image("https://storage.googleapis.com/acdb/photos/BromideNpcNmlMus02_Remake_6_0.png")</f>
        <v/>
      </c>
      <c r="C264" s="5" t="s">
        <v>146</v>
      </c>
      <c r="D264" s="5" t="s">
        <v>1327</v>
      </c>
      <c r="E264" s="5" t="s">
        <v>34</v>
      </c>
      <c r="F264" s="5" t="s">
        <v>34</v>
      </c>
      <c r="G264" s="5" t="s">
        <v>36</v>
      </c>
      <c r="H264" s="5" t="s">
        <v>35</v>
      </c>
      <c r="I264" s="6">
        <v>1.0</v>
      </c>
      <c r="J264" s="6" t="s">
        <v>37</v>
      </c>
      <c r="K264" s="6">
        <v>10.0</v>
      </c>
      <c r="L264" s="5"/>
      <c r="M264" s="5"/>
      <c r="N264" s="6" t="s">
        <v>40</v>
      </c>
      <c r="O264" s="5" t="s">
        <v>5363</v>
      </c>
      <c r="P264" s="6" t="s">
        <v>42</v>
      </c>
      <c r="Q264" s="5" t="s">
        <v>1237</v>
      </c>
      <c r="R264" s="5" t="s">
        <v>6266</v>
      </c>
      <c r="S264" s="6" t="s">
        <v>86</v>
      </c>
      <c r="T264" s="6">
        <v>6591.0</v>
      </c>
    </row>
    <row r="265" ht="56.25" customHeight="1">
      <c r="A265" s="5" t="s">
        <v>6243</v>
      </c>
      <c r="B265" s="6" t="str">
        <f>image("https://storage.googleapis.com/acdb/photos/BromideNpcNmlMus02_Remake_7_0.png")</f>
        <v/>
      </c>
      <c r="C265" s="5" t="s">
        <v>151</v>
      </c>
      <c r="D265" s="5" t="s">
        <v>1327</v>
      </c>
      <c r="E265" s="5" t="s">
        <v>34</v>
      </c>
      <c r="F265" s="5" t="s">
        <v>34</v>
      </c>
      <c r="G265" s="5" t="s">
        <v>36</v>
      </c>
      <c r="H265" s="5" t="s">
        <v>35</v>
      </c>
      <c r="I265" s="6">
        <v>1.0</v>
      </c>
      <c r="J265" s="6" t="s">
        <v>37</v>
      </c>
      <c r="K265" s="6">
        <v>10.0</v>
      </c>
      <c r="L265" s="5"/>
      <c r="M265" s="5"/>
      <c r="N265" s="6" t="s">
        <v>40</v>
      </c>
      <c r="O265" s="5" t="s">
        <v>5363</v>
      </c>
      <c r="P265" s="6" t="s">
        <v>42</v>
      </c>
      <c r="Q265" s="5" t="s">
        <v>1237</v>
      </c>
      <c r="R265" s="5" t="s">
        <v>6268</v>
      </c>
      <c r="S265" s="6" t="s">
        <v>208</v>
      </c>
      <c r="T265" s="6">
        <v>6591.0</v>
      </c>
    </row>
    <row r="266" ht="56.25" customHeight="1">
      <c r="A266" s="5" t="s">
        <v>6269</v>
      </c>
      <c r="B266" s="6" t="str">
        <f>image("https://storage.googleapis.com/acdb/photos/BromideNpcNmlChn01_Remake_0_0.png")</f>
        <v/>
      </c>
      <c r="C266" s="5" t="s">
        <v>366</v>
      </c>
      <c r="D266" s="5" t="s">
        <v>1327</v>
      </c>
      <c r="E266" s="5" t="s">
        <v>34</v>
      </c>
      <c r="F266" s="5" t="s">
        <v>34</v>
      </c>
      <c r="G266" s="5" t="s">
        <v>36</v>
      </c>
      <c r="H266" s="5" t="s">
        <v>35</v>
      </c>
      <c r="I266" s="6">
        <v>1.0</v>
      </c>
      <c r="J266" s="6" t="s">
        <v>37</v>
      </c>
      <c r="K266" s="6">
        <v>10.0</v>
      </c>
      <c r="L266" s="5"/>
      <c r="M266" s="5"/>
      <c r="N266" s="6" t="s">
        <v>40</v>
      </c>
      <c r="O266" s="5" t="s">
        <v>5363</v>
      </c>
      <c r="P266" s="6" t="s">
        <v>42</v>
      </c>
      <c r="Q266" s="5" t="s">
        <v>1237</v>
      </c>
      <c r="R266" s="5" t="s">
        <v>6271</v>
      </c>
      <c r="S266" s="6" t="s">
        <v>50</v>
      </c>
      <c r="T266" s="6">
        <v>6786.0</v>
      </c>
    </row>
    <row r="267" ht="56.25" customHeight="1">
      <c r="A267" s="5" t="s">
        <v>6269</v>
      </c>
      <c r="B267" s="6" t="str">
        <f>image("https://storage.googleapis.com/acdb/photos/BromideNpcNmlChn01_Remake_1_0.png")</f>
        <v/>
      </c>
      <c r="C267" s="5" t="s">
        <v>1132</v>
      </c>
      <c r="D267" s="5" t="s">
        <v>1327</v>
      </c>
      <c r="E267" s="5" t="s">
        <v>34</v>
      </c>
      <c r="F267" s="5" t="s">
        <v>34</v>
      </c>
      <c r="G267" s="5" t="s">
        <v>36</v>
      </c>
      <c r="H267" s="5" t="s">
        <v>35</v>
      </c>
      <c r="I267" s="6">
        <v>1.0</v>
      </c>
      <c r="J267" s="6" t="s">
        <v>37</v>
      </c>
      <c r="K267" s="6">
        <v>10.0</v>
      </c>
      <c r="L267" s="5"/>
      <c r="M267" s="5"/>
      <c r="N267" s="6" t="s">
        <v>40</v>
      </c>
      <c r="O267" s="5" t="s">
        <v>5363</v>
      </c>
      <c r="P267" s="6" t="s">
        <v>42</v>
      </c>
      <c r="Q267" s="5" t="s">
        <v>1237</v>
      </c>
      <c r="R267" s="5" t="s">
        <v>6272</v>
      </c>
      <c r="S267" s="6" t="s">
        <v>56</v>
      </c>
      <c r="T267" s="6">
        <v>6786.0</v>
      </c>
    </row>
    <row r="268" ht="56.25" customHeight="1">
      <c r="A268" s="5" t="s">
        <v>6269</v>
      </c>
      <c r="B268" s="6" t="str">
        <f>image("https://storage.googleapis.com/acdb/photos/BromideNpcNmlChn01_Remake_2_0.png")</f>
        <v/>
      </c>
      <c r="C268" s="5" t="s">
        <v>688</v>
      </c>
      <c r="D268" s="5" t="s">
        <v>1327</v>
      </c>
      <c r="E268" s="5" t="s">
        <v>34</v>
      </c>
      <c r="F268" s="5" t="s">
        <v>34</v>
      </c>
      <c r="G268" s="5" t="s">
        <v>36</v>
      </c>
      <c r="H268" s="5" t="s">
        <v>35</v>
      </c>
      <c r="I268" s="6">
        <v>1.0</v>
      </c>
      <c r="J268" s="6" t="s">
        <v>37</v>
      </c>
      <c r="K268" s="6">
        <v>10.0</v>
      </c>
      <c r="L268" s="5"/>
      <c r="M268" s="5"/>
      <c r="N268" s="6" t="s">
        <v>40</v>
      </c>
      <c r="O268" s="5" t="s">
        <v>5363</v>
      </c>
      <c r="P268" s="6" t="s">
        <v>42</v>
      </c>
      <c r="Q268" s="5" t="s">
        <v>1237</v>
      </c>
      <c r="R268" s="5" t="s">
        <v>6275</v>
      </c>
      <c r="S268" s="6" t="s">
        <v>67</v>
      </c>
      <c r="T268" s="6">
        <v>6786.0</v>
      </c>
    </row>
    <row r="269" ht="56.25" customHeight="1">
      <c r="A269" s="5" t="s">
        <v>6269</v>
      </c>
      <c r="B269" s="6" t="str">
        <f>image("https://storage.googleapis.com/acdb/photos/BromideNpcNmlChn01_Remake_3_0.png")</f>
        <v/>
      </c>
      <c r="C269" s="5" t="s">
        <v>57</v>
      </c>
      <c r="D269" s="5" t="s">
        <v>1327</v>
      </c>
      <c r="E269" s="5" t="s">
        <v>34</v>
      </c>
      <c r="F269" s="5" t="s">
        <v>34</v>
      </c>
      <c r="G269" s="5" t="s">
        <v>36</v>
      </c>
      <c r="H269" s="5" t="s">
        <v>35</v>
      </c>
      <c r="I269" s="6">
        <v>1.0</v>
      </c>
      <c r="J269" s="6" t="s">
        <v>37</v>
      </c>
      <c r="K269" s="6">
        <v>10.0</v>
      </c>
      <c r="L269" s="5"/>
      <c r="M269" s="5"/>
      <c r="N269" s="6" t="s">
        <v>40</v>
      </c>
      <c r="O269" s="5" t="s">
        <v>5363</v>
      </c>
      <c r="P269" s="6" t="s">
        <v>42</v>
      </c>
      <c r="Q269" s="5" t="s">
        <v>1237</v>
      </c>
      <c r="R269" s="5" t="s">
        <v>6276</v>
      </c>
      <c r="S269" s="6" t="s">
        <v>71</v>
      </c>
      <c r="T269" s="6">
        <v>6786.0</v>
      </c>
    </row>
    <row r="270" ht="56.25" customHeight="1">
      <c r="A270" s="5" t="s">
        <v>6269</v>
      </c>
      <c r="B270" s="6" t="str">
        <f>image("https://storage.googleapis.com/acdb/photos/BromideNpcNmlChn01_Remake_4_0.png")</f>
        <v/>
      </c>
      <c r="C270" s="5" t="s">
        <v>1167</v>
      </c>
      <c r="D270" s="5" t="s">
        <v>1327</v>
      </c>
      <c r="E270" s="5" t="s">
        <v>34</v>
      </c>
      <c r="F270" s="5" t="s">
        <v>34</v>
      </c>
      <c r="G270" s="5" t="s">
        <v>36</v>
      </c>
      <c r="H270" s="5" t="s">
        <v>35</v>
      </c>
      <c r="I270" s="6">
        <v>1.0</v>
      </c>
      <c r="J270" s="6" t="s">
        <v>37</v>
      </c>
      <c r="K270" s="6">
        <v>10.0</v>
      </c>
      <c r="L270" s="5"/>
      <c r="M270" s="5"/>
      <c r="N270" s="6" t="s">
        <v>40</v>
      </c>
      <c r="O270" s="5" t="s">
        <v>5363</v>
      </c>
      <c r="P270" s="6" t="s">
        <v>42</v>
      </c>
      <c r="Q270" s="5" t="s">
        <v>1237</v>
      </c>
      <c r="R270" s="5" t="s">
        <v>6278</v>
      </c>
      <c r="S270" s="6" t="s">
        <v>75</v>
      </c>
      <c r="T270" s="6">
        <v>6786.0</v>
      </c>
    </row>
    <row r="271" ht="56.25" customHeight="1">
      <c r="A271" s="5" t="s">
        <v>6269</v>
      </c>
      <c r="B271" s="6" t="str">
        <f>image("https://storage.googleapis.com/acdb/photos/BromideNpcNmlChn01_Remake_5_0.png")</f>
        <v/>
      </c>
      <c r="C271" s="5" t="s">
        <v>58</v>
      </c>
      <c r="D271" s="5" t="s">
        <v>1327</v>
      </c>
      <c r="E271" s="5" t="s">
        <v>34</v>
      </c>
      <c r="F271" s="5" t="s">
        <v>34</v>
      </c>
      <c r="G271" s="5" t="s">
        <v>36</v>
      </c>
      <c r="H271" s="5" t="s">
        <v>35</v>
      </c>
      <c r="I271" s="6">
        <v>1.0</v>
      </c>
      <c r="J271" s="6" t="s">
        <v>37</v>
      </c>
      <c r="K271" s="6">
        <v>10.0</v>
      </c>
      <c r="L271" s="5"/>
      <c r="M271" s="5"/>
      <c r="N271" s="6" t="s">
        <v>40</v>
      </c>
      <c r="O271" s="5" t="s">
        <v>5363</v>
      </c>
      <c r="P271" s="6" t="s">
        <v>42</v>
      </c>
      <c r="Q271" s="5" t="s">
        <v>1237</v>
      </c>
      <c r="R271" s="5" t="s">
        <v>6280</v>
      </c>
      <c r="S271" s="6" t="s">
        <v>79</v>
      </c>
      <c r="T271" s="6">
        <v>6786.0</v>
      </c>
    </row>
    <row r="272" ht="56.25" customHeight="1">
      <c r="A272" s="5" t="s">
        <v>6269</v>
      </c>
      <c r="B272" s="6" t="str">
        <f>image("https://storage.googleapis.com/acdb/photos/BromideNpcNmlChn01_Remake_6_0.png")</f>
        <v/>
      </c>
      <c r="C272" s="5" t="s">
        <v>146</v>
      </c>
      <c r="D272" s="5" t="s">
        <v>1327</v>
      </c>
      <c r="E272" s="5" t="s">
        <v>34</v>
      </c>
      <c r="F272" s="5" t="s">
        <v>34</v>
      </c>
      <c r="G272" s="5" t="s">
        <v>36</v>
      </c>
      <c r="H272" s="5" t="s">
        <v>35</v>
      </c>
      <c r="I272" s="6">
        <v>1.0</v>
      </c>
      <c r="J272" s="6" t="s">
        <v>37</v>
      </c>
      <c r="K272" s="6">
        <v>10.0</v>
      </c>
      <c r="L272" s="5"/>
      <c r="M272" s="5"/>
      <c r="N272" s="6" t="s">
        <v>40</v>
      </c>
      <c r="O272" s="5" t="s">
        <v>5363</v>
      </c>
      <c r="P272" s="6" t="s">
        <v>42</v>
      </c>
      <c r="Q272" s="5" t="s">
        <v>1237</v>
      </c>
      <c r="R272" s="5" t="s">
        <v>6286</v>
      </c>
      <c r="S272" s="6" t="s">
        <v>86</v>
      </c>
      <c r="T272" s="6">
        <v>6786.0</v>
      </c>
    </row>
    <row r="273" ht="56.25" customHeight="1">
      <c r="A273" s="5" t="s">
        <v>6269</v>
      </c>
      <c r="B273" s="6" t="str">
        <f>image("https://storage.googleapis.com/acdb/photos/BromideNpcNmlChn01_Remake_7_0.png")</f>
        <v/>
      </c>
      <c r="C273" s="5" t="s">
        <v>151</v>
      </c>
      <c r="D273" s="5" t="s">
        <v>1327</v>
      </c>
      <c r="E273" s="5" t="s">
        <v>34</v>
      </c>
      <c r="F273" s="5" t="s">
        <v>34</v>
      </c>
      <c r="G273" s="5" t="s">
        <v>36</v>
      </c>
      <c r="H273" s="5" t="s">
        <v>35</v>
      </c>
      <c r="I273" s="6">
        <v>1.0</v>
      </c>
      <c r="J273" s="6" t="s">
        <v>37</v>
      </c>
      <c r="K273" s="6">
        <v>10.0</v>
      </c>
      <c r="L273" s="5"/>
      <c r="M273" s="5"/>
      <c r="N273" s="6" t="s">
        <v>40</v>
      </c>
      <c r="O273" s="5" t="s">
        <v>5363</v>
      </c>
      <c r="P273" s="6" t="s">
        <v>42</v>
      </c>
      <c r="Q273" s="5" t="s">
        <v>1237</v>
      </c>
      <c r="R273" s="5" t="s">
        <v>6291</v>
      </c>
      <c r="S273" s="6" t="s">
        <v>208</v>
      </c>
      <c r="T273" s="6">
        <v>6786.0</v>
      </c>
    </row>
    <row r="274" ht="56.25" customHeight="1">
      <c r="A274" s="5" t="s">
        <v>6293</v>
      </c>
      <c r="B274" s="6" t="str">
        <f>image("https://storage.googleapis.com/acdb/photos/BromideNpcNmlDog16_Remake_0_0.png")</f>
        <v/>
      </c>
      <c r="C274" s="5" t="s">
        <v>366</v>
      </c>
      <c r="D274" s="5" t="s">
        <v>1327</v>
      </c>
      <c r="E274" s="5" t="s">
        <v>34</v>
      </c>
      <c r="F274" s="5" t="s">
        <v>34</v>
      </c>
      <c r="G274" s="5" t="s">
        <v>36</v>
      </c>
      <c r="H274" s="5" t="s">
        <v>35</v>
      </c>
      <c r="I274" s="6">
        <v>1.0</v>
      </c>
      <c r="J274" s="6" t="s">
        <v>37</v>
      </c>
      <c r="K274" s="6">
        <v>10.0</v>
      </c>
      <c r="L274" s="5"/>
      <c r="M274" s="5"/>
      <c r="N274" s="6" t="s">
        <v>40</v>
      </c>
      <c r="O274" s="5" t="s">
        <v>5363</v>
      </c>
      <c r="P274" s="6" t="s">
        <v>42</v>
      </c>
      <c r="Q274" s="5" t="s">
        <v>1237</v>
      </c>
      <c r="R274" s="5" t="s">
        <v>6296</v>
      </c>
      <c r="S274" s="6" t="s">
        <v>50</v>
      </c>
      <c r="T274" s="6">
        <v>6451.0</v>
      </c>
    </row>
    <row r="275" ht="56.25" customHeight="1">
      <c r="A275" s="5" t="s">
        <v>6293</v>
      </c>
      <c r="B275" s="6" t="str">
        <f>image("https://storage.googleapis.com/acdb/photos/BromideNpcNmlDog16_Remake_1_0.png")</f>
        <v/>
      </c>
      <c r="C275" s="5" t="s">
        <v>1132</v>
      </c>
      <c r="D275" s="5" t="s">
        <v>1327</v>
      </c>
      <c r="E275" s="5" t="s">
        <v>34</v>
      </c>
      <c r="F275" s="5" t="s">
        <v>34</v>
      </c>
      <c r="G275" s="5" t="s">
        <v>36</v>
      </c>
      <c r="H275" s="5" t="s">
        <v>35</v>
      </c>
      <c r="I275" s="6">
        <v>1.0</v>
      </c>
      <c r="J275" s="6" t="s">
        <v>37</v>
      </c>
      <c r="K275" s="6">
        <v>10.0</v>
      </c>
      <c r="L275" s="5"/>
      <c r="M275" s="5"/>
      <c r="N275" s="6" t="s">
        <v>40</v>
      </c>
      <c r="O275" s="5" t="s">
        <v>5363</v>
      </c>
      <c r="P275" s="6" t="s">
        <v>42</v>
      </c>
      <c r="Q275" s="5" t="s">
        <v>1237</v>
      </c>
      <c r="R275" s="5" t="s">
        <v>6300</v>
      </c>
      <c r="S275" s="6" t="s">
        <v>56</v>
      </c>
      <c r="T275" s="6">
        <v>6451.0</v>
      </c>
    </row>
    <row r="276" ht="56.25" customHeight="1">
      <c r="A276" s="5" t="s">
        <v>6293</v>
      </c>
      <c r="B276" s="6" t="str">
        <f>image("https://storage.googleapis.com/acdb/photos/BromideNpcNmlDog16_Remake_2_0.png")</f>
        <v/>
      </c>
      <c r="C276" s="5" t="s">
        <v>688</v>
      </c>
      <c r="D276" s="5" t="s">
        <v>1327</v>
      </c>
      <c r="E276" s="5" t="s">
        <v>34</v>
      </c>
      <c r="F276" s="5" t="s">
        <v>34</v>
      </c>
      <c r="G276" s="5" t="s">
        <v>36</v>
      </c>
      <c r="H276" s="5" t="s">
        <v>35</v>
      </c>
      <c r="I276" s="6">
        <v>1.0</v>
      </c>
      <c r="J276" s="6" t="s">
        <v>37</v>
      </c>
      <c r="K276" s="6">
        <v>10.0</v>
      </c>
      <c r="L276" s="5"/>
      <c r="M276" s="5"/>
      <c r="N276" s="6" t="s">
        <v>40</v>
      </c>
      <c r="O276" s="5" t="s">
        <v>5363</v>
      </c>
      <c r="P276" s="6" t="s">
        <v>42</v>
      </c>
      <c r="Q276" s="5" t="s">
        <v>1237</v>
      </c>
      <c r="R276" s="5" t="s">
        <v>6307</v>
      </c>
      <c r="S276" s="6" t="s">
        <v>67</v>
      </c>
      <c r="T276" s="6">
        <v>6451.0</v>
      </c>
    </row>
    <row r="277" ht="56.25" customHeight="1">
      <c r="A277" s="5" t="s">
        <v>6293</v>
      </c>
      <c r="B277" s="6" t="str">
        <f>image("https://storage.googleapis.com/acdb/photos/BromideNpcNmlDog16_Remake_3_0.png")</f>
        <v/>
      </c>
      <c r="C277" s="5" t="s">
        <v>57</v>
      </c>
      <c r="D277" s="5" t="s">
        <v>1327</v>
      </c>
      <c r="E277" s="5" t="s">
        <v>34</v>
      </c>
      <c r="F277" s="5" t="s">
        <v>34</v>
      </c>
      <c r="G277" s="5" t="s">
        <v>36</v>
      </c>
      <c r="H277" s="5" t="s">
        <v>35</v>
      </c>
      <c r="I277" s="6">
        <v>1.0</v>
      </c>
      <c r="J277" s="6" t="s">
        <v>37</v>
      </c>
      <c r="K277" s="6">
        <v>10.0</v>
      </c>
      <c r="L277" s="5"/>
      <c r="M277" s="5"/>
      <c r="N277" s="6" t="s">
        <v>40</v>
      </c>
      <c r="O277" s="5" t="s">
        <v>5363</v>
      </c>
      <c r="P277" s="6" t="s">
        <v>42</v>
      </c>
      <c r="Q277" s="5" t="s">
        <v>1237</v>
      </c>
      <c r="R277" s="5" t="s">
        <v>6310</v>
      </c>
      <c r="S277" s="6" t="s">
        <v>71</v>
      </c>
      <c r="T277" s="6">
        <v>6451.0</v>
      </c>
    </row>
    <row r="278" ht="56.25" customHeight="1">
      <c r="A278" s="5" t="s">
        <v>6293</v>
      </c>
      <c r="B278" s="6" t="str">
        <f>image("https://storage.googleapis.com/acdb/photos/BromideNpcNmlDog16_Remake_4_0.png")</f>
        <v/>
      </c>
      <c r="C278" s="5" t="s">
        <v>1167</v>
      </c>
      <c r="D278" s="5" t="s">
        <v>1327</v>
      </c>
      <c r="E278" s="5" t="s">
        <v>34</v>
      </c>
      <c r="F278" s="5" t="s">
        <v>34</v>
      </c>
      <c r="G278" s="5" t="s">
        <v>36</v>
      </c>
      <c r="H278" s="5" t="s">
        <v>35</v>
      </c>
      <c r="I278" s="6">
        <v>1.0</v>
      </c>
      <c r="J278" s="6" t="s">
        <v>37</v>
      </c>
      <c r="K278" s="6">
        <v>10.0</v>
      </c>
      <c r="L278" s="5"/>
      <c r="M278" s="5"/>
      <c r="N278" s="6" t="s">
        <v>40</v>
      </c>
      <c r="O278" s="5" t="s">
        <v>5363</v>
      </c>
      <c r="P278" s="6" t="s">
        <v>42</v>
      </c>
      <c r="Q278" s="5" t="s">
        <v>1237</v>
      </c>
      <c r="R278" s="5" t="s">
        <v>6316</v>
      </c>
      <c r="S278" s="6" t="s">
        <v>75</v>
      </c>
      <c r="T278" s="6">
        <v>6451.0</v>
      </c>
    </row>
    <row r="279" ht="56.25" customHeight="1">
      <c r="A279" s="5" t="s">
        <v>6293</v>
      </c>
      <c r="B279" s="6" t="str">
        <f>image("https://storage.googleapis.com/acdb/photos/BromideNpcNmlDog16_Remake_5_0.png")</f>
        <v/>
      </c>
      <c r="C279" s="5" t="s">
        <v>58</v>
      </c>
      <c r="D279" s="5" t="s">
        <v>1327</v>
      </c>
      <c r="E279" s="5" t="s">
        <v>34</v>
      </c>
      <c r="F279" s="5" t="s">
        <v>34</v>
      </c>
      <c r="G279" s="5" t="s">
        <v>36</v>
      </c>
      <c r="H279" s="5" t="s">
        <v>35</v>
      </c>
      <c r="I279" s="6">
        <v>1.0</v>
      </c>
      <c r="J279" s="6" t="s">
        <v>37</v>
      </c>
      <c r="K279" s="6">
        <v>10.0</v>
      </c>
      <c r="L279" s="5"/>
      <c r="M279" s="5"/>
      <c r="N279" s="6" t="s">
        <v>40</v>
      </c>
      <c r="O279" s="5" t="s">
        <v>5363</v>
      </c>
      <c r="P279" s="6" t="s">
        <v>42</v>
      </c>
      <c r="Q279" s="5" t="s">
        <v>1237</v>
      </c>
      <c r="R279" s="5" t="s">
        <v>6319</v>
      </c>
      <c r="S279" s="6" t="s">
        <v>79</v>
      </c>
      <c r="T279" s="6">
        <v>6451.0</v>
      </c>
    </row>
    <row r="280" ht="56.25" customHeight="1">
      <c r="A280" s="5" t="s">
        <v>6293</v>
      </c>
      <c r="B280" s="6" t="str">
        <f>image("https://storage.googleapis.com/acdb/photos/BromideNpcNmlDog16_Remake_6_0.png")</f>
        <v/>
      </c>
      <c r="C280" s="5" t="s">
        <v>146</v>
      </c>
      <c r="D280" s="5" t="s">
        <v>1327</v>
      </c>
      <c r="E280" s="5" t="s">
        <v>34</v>
      </c>
      <c r="F280" s="5" t="s">
        <v>34</v>
      </c>
      <c r="G280" s="5" t="s">
        <v>36</v>
      </c>
      <c r="H280" s="5" t="s">
        <v>35</v>
      </c>
      <c r="I280" s="6">
        <v>1.0</v>
      </c>
      <c r="J280" s="6" t="s">
        <v>37</v>
      </c>
      <c r="K280" s="6">
        <v>10.0</v>
      </c>
      <c r="L280" s="5"/>
      <c r="M280" s="5"/>
      <c r="N280" s="6" t="s">
        <v>40</v>
      </c>
      <c r="O280" s="5" t="s">
        <v>5363</v>
      </c>
      <c r="P280" s="6" t="s">
        <v>42</v>
      </c>
      <c r="Q280" s="5" t="s">
        <v>1237</v>
      </c>
      <c r="R280" s="5" t="s">
        <v>6323</v>
      </c>
      <c r="S280" s="6" t="s">
        <v>86</v>
      </c>
      <c r="T280" s="6">
        <v>6451.0</v>
      </c>
    </row>
    <row r="281" ht="56.25" customHeight="1">
      <c r="A281" s="5" t="s">
        <v>6293</v>
      </c>
      <c r="B281" s="6" t="str">
        <f>image("https://storage.googleapis.com/acdb/photos/BromideNpcNmlDog16_Remake_7_0.png")</f>
        <v/>
      </c>
      <c r="C281" s="5" t="s">
        <v>151</v>
      </c>
      <c r="D281" s="5" t="s">
        <v>1327</v>
      </c>
      <c r="E281" s="5" t="s">
        <v>34</v>
      </c>
      <c r="F281" s="5" t="s">
        <v>34</v>
      </c>
      <c r="G281" s="5" t="s">
        <v>36</v>
      </c>
      <c r="H281" s="5" t="s">
        <v>35</v>
      </c>
      <c r="I281" s="6">
        <v>1.0</v>
      </c>
      <c r="J281" s="6" t="s">
        <v>37</v>
      </c>
      <c r="K281" s="6">
        <v>10.0</v>
      </c>
      <c r="L281" s="5"/>
      <c r="M281" s="5"/>
      <c r="N281" s="6" t="s">
        <v>40</v>
      </c>
      <c r="O281" s="5" t="s">
        <v>5363</v>
      </c>
      <c r="P281" s="6" t="s">
        <v>42</v>
      </c>
      <c r="Q281" s="5" t="s">
        <v>1237</v>
      </c>
      <c r="R281" s="5" t="s">
        <v>6325</v>
      </c>
      <c r="S281" s="6" t="s">
        <v>208</v>
      </c>
      <c r="T281" s="6">
        <v>6451.0</v>
      </c>
    </row>
    <row r="282" ht="56.25" customHeight="1">
      <c r="A282" s="5" t="s">
        <v>6327</v>
      </c>
      <c r="B282" s="6" t="str">
        <f>image("https://storage.googleapis.com/acdb/photos/BromideNpcNmlHip03_Remake_0_0.png")</f>
        <v/>
      </c>
      <c r="C282" s="5" t="s">
        <v>366</v>
      </c>
      <c r="D282" s="5" t="s">
        <v>1327</v>
      </c>
      <c r="E282" s="5" t="s">
        <v>34</v>
      </c>
      <c r="F282" s="5" t="s">
        <v>34</v>
      </c>
      <c r="G282" s="5" t="s">
        <v>36</v>
      </c>
      <c r="H282" s="5" t="s">
        <v>35</v>
      </c>
      <c r="I282" s="6">
        <v>1.0</v>
      </c>
      <c r="J282" s="6" t="s">
        <v>37</v>
      </c>
      <c r="K282" s="6">
        <v>10.0</v>
      </c>
      <c r="L282" s="5"/>
      <c r="M282" s="5"/>
      <c r="N282" s="6" t="s">
        <v>40</v>
      </c>
      <c r="O282" s="5" t="s">
        <v>5363</v>
      </c>
      <c r="P282" s="6" t="s">
        <v>42</v>
      </c>
      <c r="Q282" s="5" t="s">
        <v>1237</v>
      </c>
      <c r="R282" s="5" t="s">
        <v>6331</v>
      </c>
      <c r="S282" s="6" t="s">
        <v>50</v>
      </c>
      <c r="T282" s="6">
        <v>6532.0</v>
      </c>
    </row>
    <row r="283" ht="56.25" customHeight="1">
      <c r="A283" s="5" t="s">
        <v>6327</v>
      </c>
      <c r="B283" s="6" t="str">
        <f>image("https://storage.googleapis.com/acdb/photos/BromideNpcNmlHip03_Remake_1_0.png")</f>
        <v/>
      </c>
      <c r="C283" s="5" t="s">
        <v>1132</v>
      </c>
      <c r="D283" s="5" t="s">
        <v>1327</v>
      </c>
      <c r="E283" s="5" t="s">
        <v>34</v>
      </c>
      <c r="F283" s="5" t="s">
        <v>34</v>
      </c>
      <c r="G283" s="5" t="s">
        <v>36</v>
      </c>
      <c r="H283" s="5" t="s">
        <v>35</v>
      </c>
      <c r="I283" s="6">
        <v>1.0</v>
      </c>
      <c r="J283" s="6" t="s">
        <v>37</v>
      </c>
      <c r="K283" s="6">
        <v>10.0</v>
      </c>
      <c r="L283" s="5"/>
      <c r="M283" s="5"/>
      <c r="N283" s="6" t="s">
        <v>40</v>
      </c>
      <c r="O283" s="5" t="s">
        <v>5363</v>
      </c>
      <c r="P283" s="6" t="s">
        <v>42</v>
      </c>
      <c r="Q283" s="5" t="s">
        <v>1237</v>
      </c>
      <c r="R283" s="5" t="s">
        <v>6335</v>
      </c>
      <c r="S283" s="6" t="s">
        <v>56</v>
      </c>
      <c r="T283" s="6">
        <v>6532.0</v>
      </c>
    </row>
    <row r="284" ht="56.25" customHeight="1">
      <c r="A284" s="5" t="s">
        <v>6327</v>
      </c>
      <c r="B284" s="6" t="str">
        <f>image("https://storage.googleapis.com/acdb/photos/BromideNpcNmlHip03_Remake_2_0.png")</f>
        <v/>
      </c>
      <c r="C284" s="5" t="s">
        <v>688</v>
      </c>
      <c r="D284" s="5" t="s">
        <v>1327</v>
      </c>
      <c r="E284" s="5" t="s">
        <v>34</v>
      </c>
      <c r="F284" s="5" t="s">
        <v>34</v>
      </c>
      <c r="G284" s="5" t="s">
        <v>36</v>
      </c>
      <c r="H284" s="5" t="s">
        <v>35</v>
      </c>
      <c r="I284" s="6">
        <v>1.0</v>
      </c>
      <c r="J284" s="6" t="s">
        <v>37</v>
      </c>
      <c r="K284" s="6">
        <v>10.0</v>
      </c>
      <c r="L284" s="5"/>
      <c r="M284" s="5"/>
      <c r="N284" s="6" t="s">
        <v>40</v>
      </c>
      <c r="O284" s="5" t="s">
        <v>5363</v>
      </c>
      <c r="P284" s="6" t="s">
        <v>42</v>
      </c>
      <c r="Q284" s="5" t="s">
        <v>1237</v>
      </c>
      <c r="R284" s="5" t="s">
        <v>6338</v>
      </c>
      <c r="S284" s="6" t="s">
        <v>67</v>
      </c>
      <c r="T284" s="6">
        <v>6532.0</v>
      </c>
    </row>
    <row r="285" ht="56.25" customHeight="1">
      <c r="A285" s="5" t="s">
        <v>6327</v>
      </c>
      <c r="B285" s="6" t="str">
        <f>image("https://storage.googleapis.com/acdb/photos/BromideNpcNmlHip03_Remake_3_0.png")</f>
        <v/>
      </c>
      <c r="C285" s="5" t="s">
        <v>57</v>
      </c>
      <c r="D285" s="5" t="s">
        <v>1327</v>
      </c>
      <c r="E285" s="5" t="s">
        <v>34</v>
      </c>
      <c r="F285" s="5" t="s">
        <v>34</v>
      </c>
      <c r="G285" s="5" t="s">
        <v>36</v>
      </c>
      <c r="H285" s="5" t="s">
        <v>35</v>
      </c>
      <c r="I285" s="6">
        <v>1.0</v>
      </c>
      <c r="J285" s="6" t="s">
        <v>37</v>
      </c>
      <c r="K285" s="6">
        <v>10.0</v>
      </c>
      <c r="L285" s="5"/>
      <c r="M285" s="5"/>
      <c r="N285" s="6" t="s">
        <v>40</v>
      </c>
      <c r="O285" s="5" t="s">
        <v>5363</v>
      </c>
      <c r="P285" s="6" t="s">
        <v>42</v>
      </c>
      <c r="Q285" s="5" t="s">
        <v>1237</v>
      </c>
      <c r="R285" s="5" t="s">
        <v>6343</v>
      </c>
      <c r="S285" s="6" t="s">
        <v>71</v>
      </c>
      <c r="T285" s="6">
        <v>6532.0</v>
      </c>
    </row>
    <row r="286" ht="56.25" customHeight="1">
      <c r="A286" s="5" t="s">
        <v>6327</v>
      </c>
      <c r="B286" s="6" t="str">
        <f>image("https://storage.googleapis.com/acdb/photos/BromideNpcNmlHip03_Remake_4_0.png")</f>
        <v/>
      </c>
      <c r="C286" s="5" t="s">
        <v>1167</v>
      </c>
      <c r="D286" s="5" t="s">
        <v>1327</v>
      </c>
      <c r="E286" s="5" t="s">
        <v>34</v>
      </c>
      <c r="F286" s="5" t="s">
        <v>34</v>
      </c>
      <c r="G286" s="5" t="s">
        <v>36</v>
      </c>
      <c r="H286" s="5" t="s">
        <v>35</v>
      </c>
      <c r="I286" s="6">
        <v>1.0</v>
      </c>
      <c r="J286" s="6" t="s">
        <v>37</v>
      </c>
      <c r="K286" s="6">
        <v>10.0</v>
      </c>
      <c r="L286" s="5"/>
      <c r="M286" s="5"/>
      <c r="N286" s="6" t="s">
        <v>40</v>
      </c>
      <c r="O286" s="5" t="s">
        <v>5363</v>
      </c>
      <c r="P286" s="6" t="s">
        <v>42</v>
      </c>
      <c r="Q286" s="5" t="s">
        <v>1237</v>
      </c>
      <c r="R286" s="5" t="s">
        <v>6347</v>
      </c>
      <c r="S286" s="6" t="s">
        <v>75</v>
      </c>
      <c r="T286" s="6">
        <v>6532.0</v>
      </c>
    </row>
    <row r="287" ht="56.25" customHeight="1">
      <c r="A287" s="5" t="s">
        <v>6327</v>
      </c>
      <c r="B287" s="6" t="str">
        <f>image("https://storage.googleapis.com/acdb/photos/BromideNpcNmlHip03_Remake_5_0.png")</f>
        <v/>
      </c>
      <c r="C287" s="5" t="s">
        <v>58</v>
      </c>
      <c r="D287" s="5" t="s">
        <v>1327</v>
      </c>
      <c r="E287" s="5" t="s">
        <v>34</v>
      </c>
      <c r="F287" s="5" t="s">
        <v>34</v>
      </c>
      <c r="G287" s="5" t="s">
        <v>36</v>
      </c>
      <c r="H287" s="5" t="s">
        <v>35</v>
      </c>
      <c r="I287" s="6">
        <v>1.0</v>
      </c>
      <c r="J287" s="6" t="s">
        <v>37</v>
      </c>
      <c r="K287" s="6">
        <v>10.0</v>
      </c>
      <c r="L287" s="5"/>
      <c r="M287" s="5"/>
      <c r="N287" s="6" t="s">
        <v>40</v>
      </c>
      <c r="O287" s="5" t="s">
        <v>5363</v>
      </c>
      <c r="P287" s="6" t="s">
        <v>42</v>
      </c>
      <c r="Q287" s="5" t="s">
        <v>1237</v>
      </c>
      <c r="R287" s="5" t="s">
        <v>6353</v>
      </c>
      <c r="S287" s="6" t="s">
        <v>79</v>
      </c>
      <c r="T287" s="6">
        <v>6532.0</v>
      </c>
    </row>
    <row r="288" ht="56.25" customHeight="1">
      <c r="A288" s="5" t="s">
        <v>6327</v>
      </c>
      <c r="B288" s="6" t="str">
        <f>image("https://storage.googleapis.com/acdb/photos/BromideNpcNmlHip03_Remake_6_0.png")</f>
        <v/>
      </c>
      <c r="C288" s="5" t="s">
        <v>146</v>
      </c>
      <c r="D288" s="5" t="s">
        <v>1327</v>
      </c>
      <c r="E288" s="5" t="s">
        <v>34</v>
      </c>
      <c r="F288" s="5" t="s">
        <v>34</v>
      </c>
      <c r="G288" s="5" t="s">
        <v>36</v>
      </c>
      <c r="H288" s="5" t="s">
        <v>35</v>
      </c>
      <c r="I288" s="6">
        <v>1.0</v>
      </c>
      <c r="J288" s="6" t="s">
        <v>37</v>
      </c>
      <c r="K288" s="6">
        <v>10.0</v>
      </c>
      <c r="L288" s="5"/>
      <c r="M288" s="5"/>
      <c r="N288" s="6" t="s">
        <v>40</v>
      </c>
      <c r="O288" s="5" t="s">
        <v>5363</v>
      </c>
      <c r="P288" s="6" t="s">
        <v>42</v>
      </c>
      <c r="Q288" s="5" t="s">
        <v>1237</v>
      </c>
      <c r="R288" s="5" t="s">
        <v>6356</v>
      </c>
      <c r="S288" s="6" t="s">
        <v>86</v>
      </c>
      <c r="T288" s="6">
        <v>6532.0</v>
      </c>
    </row>
    <row r="289" ht="56.25" customHeight="1">
      <c r="A289" s="5" t="s">
        <v>6327</v>
      </c>
      <c r="B289" s="6" t="str">
        <f>image("https://storage.googleapis.com/acdb/photos/BromideNpcNmlHip03_Remake_7_0.png")</f>
        <v/>
      </c>
      <c r="C289" s="5" t="s">
        <v>151</v>
      </c>
      <c r="D289" s="5" t="s">
        <v>1327</v>
      </c>
      <c r="E289" s="5" t="s">
        <v>34</v>
      </c>
      <c r="F289" s="5" t="s">
        <v>34</v>
      </c>
      <c r="G289" s="5" t="s">
        <v>36</v>
      </c>
      <c r="H289" s="5" t="s">
        <v>35</v>
      </c>
      <c r="I289" s="6">
        <v>1.0</v>
      </c>
      <c r="J289" s="6" t="s">
        <v>37</v>
      </c>
      <c r="K289" s="6">
        <v>10.0</v>
      </c>
      <c r="L289" s="5"/>
      <c r="M289" s="5"/>
      <c r="N289" s="6" t="s">
        <v>40</v>
      </c>
      <c r="O289" s="5" t="s">
        <v>5363</v>
      </c>
      <c r="P289" s="6" t="s">
        <v>42</v>
      </c>
      <c r="Q289" s="5" t="s">
        <v>1237</v>
      </c>
      <c r="R289" s="5" t="s">
        <v>6360</v>
      </c>
      <c r="S289" s="6" t="s">
        <v>208</v>
      </c>
      <c r="T289" s="6">
        <v>6532.0</v>
      </c>
    </row>
    <row r="290" ht="56.25" customHeight="1">
      <c r="A290" s="5" t="s">
        <v>6361</v>
      </c>
      <c r="B290" s="6" t="str">
        <f>image("https://storage.googleapis.com/acdb/photos/BromideNpcNmlMus15_Remake_0_0.png")</f>
        <v/>
      </c>
      <c r="C290" s="5" t="s">
        <v>366</v>
      </c>
      <c r="D290" s="5" t="s">
        <v>1327</v>
      </c>
      <c r="E290" s="5" t="s">
        <v>34</v>
      </c>
      <c r="F290" s="5" t="s">
        <v>34</v>
      </c>
      <c r="G290" s="5" t="s">
        <v>36</v>
      </c>
      <c r="H290" s="5" t="s">
        <v>35</v>
      </c>
      <c r="I290" s="6">
        <v>1.0</v>
      </c>
      <c r="J290" s="6" t="s">
        <v>37</v>
      </c>
      <c r="K290" s="6">
        <v>10.0</v>
      </c>
      <c r="L290" s="5"/>
      <c r="M290" s="5"/>
      <c r="N290" s="6" t="s">
        <v>40</v>
      </c>
      <c r="O290" s="5" t="s">
        <v>5363</v>
      </c>
      <c r="P290" s="6" t="s">
        <v>42</v>
      </c>
      <c r="Q290" s="5" t="s">
        <v>1237</v>
      </c>
      <c r="R290" s="5" t="s">
        <v>6365</v>
      </c>
      <c r="S290" s="6" t="s">
        <v>50</v>
      </c>
      <c r="T290" s="6">
        <v>6601.0</v>
      </c>
    </row>
    <row r="291" ht="56.25" customHeight="1">
      <c r="A291" s="5" t="s">
        <v>6361</v>
      </c>
      <c r="B291" s="6" t="str">
        <f>image("https://storage.googleapis.com/acdb/photos/BromideNpcNmlMus15_Remake_1_0.png")</f>
        <v/>
      </c>
      <c r="C291" s="5" t="s">
        <v>1132</v>
      </c>
      <c r="D291" s="5" t="s">
        <v>1327</v>
      </c>
      <c r="E291" s="5" t="s">
        <v>34</v>
      </c>
      <c r="F291" s="5" t="s">
        <v>34</v>
      </c>
      <c r="G291" s="5" t="s">
        <v>36</v>
      </c>
      <c r="H291" s="5" t="s">
        <v>35</v>
      </c>
      <c r="I291" s="6">
        <v>1.0</v>
      </c>
      <c r="J291" s="6" t="s">
        <v>37</v>
      </c>
      <c r="K291" s="6">
        <v>10.0</v>
      </c>
      <c r="L291" s="5"/>
      <c r="M291" s="5"/>
      <c r="N291" s="6" t="s">
        <v>40</v>
      </c>
      <c r="O291" s="5" t="s">
        <v>5363</v>
      </c>
      <c r="P291" s="6" t="s">
        <v>42</v>
      </c>
      <c r="Q291" s="5" t="s">
        <v>1237</v>
      </c>
      <c r="R291" s="5" t="s">
        <v>6371</v>
      </c>
      <c r="S291" s="6" t="s">
        <v>56</v>
      </c>
      <c r="T291" s="6">
        <v>6601.0</v>
      </c>
    </row>
    <row r="292" ht="56.25" customHeight="1">
      <c r="A292" s="5" t="s">
        <v>6361</v>
      </c>
      <c r="B292" s="6" t="str">
        <f>image("https://storage.googleapis.com/acdb/photos/BromideNpcNmlMus15_Remake_2_0.png")</f>
        <v/>
      </c>
      <c r="C292" s="5" t="s">
        <v>688</v>
      </c>
      <c r="D292" s="5" t="s">
        <v>1327</v>
      </c>
      <c r="E292" s="5" t="s">
        <v>34</v>
      </c>
      <c r="F292" s="5" t="s">
        <v>34</v>
      </c>
      <c r="G292" s="5" t="s">
        <v>36</v>
      </c>
      <c r="H292" s="5" t="s">
        <v>35</v>
      </c>
      <c r="I292" s="6">
        <v>1.0</v>
      </c>
      <c r="J292" s="6" t="s">
        <v>37</v>
      </c>
      <c r="K292" s="6">
        <v>10.0</v>
      </c>
      <c r="L292" s="5"/>
      <c r="M292" s="5"/>
      <c r="N292" s="6" t="s">
        <v>40</v>
      </c>
      <c r="O292" s="5" t="s">
        <v>5363</v>
      </c>
      <c r="P292" s="6" t="s">
        <v>42</v>
      </c>
      <c r="Q292" s="5" t="s">
        <v>1237</v>
      </c>
      <c r="R292" s="5" t="s">
        <v>6375</v>
      </c>
      <c r="S292" s="6" t="s">
        <v>67</v>
      </c>
      <c r="T292" s="6">
        <v>6601.0</v>
      </c>
    </row>
    <row r="293" ht="56.25" customHeight="1">
      <c r="A293" s="5" t="s">
        <v>6361</v>
      </c>
      <c r="B293" s="6" t="str">
        <f>image("https://storage.googleapis.com/acdb/photos/BromideNpcNmlMus15_Remake_3_0.png")</f>
        <v/>
      </c>
      <c r="C293" s="5" t="s">
        <v>57</v>
      </c>
      <c r="D293" s="5" t="s">
        <v>1327</v>
      </c>
      <c r="E293" s="5" t="s">
        <v>34</v>
      </c>
      <c r="F293" s="5" t="s">
        <v>34</v>
      </c>
      <c r="G293" s="5" t="s">
        <v>36</v>
      </c>
      <c r="H293" s="5" t="s">
        <v>35</v>
      </c>
      <c r="I293" s="6">
        <v>1.0</v>
      </c>
      <c r="J293" s="6" t="s">
        <v>37</v>
      </c>
      <c r="K293" s="6">
        <v>10.0</v>
      </c>
      <c r="L293" s="5"/>
      <c r="M293" s="5"/>
      <c r="N293" s="6" t="s">
        <v>40</v>
      </c>
      <c r="O293" s="5" t="s">
        <v>5363</v>
      </c>
      <c r="P293" s="6" t="s">
        <v>42</v>
      </c>
      <c r="Q293" s="5" t="s">
        <v>1237</v>
      </c>
      <c r="R293" s="5" t="s">
        <v>6381</v>
      </c>
      <c r="S293" s="6" t="s">
        <v>71</v>
      </c>
      <c r="T293" s="6">
        <v>6601.0</v>
      </c>
    </row>
    <row r="294" ht="56.25" customHeight="1">
      <c r="A294" s="5" t="s">
        <v>6361</v>
      </c>
      <c r="B294" s="6" t="str">
        <f>image("https://storage.googleapis.com/acdb/photos/BromideNpcNmlMus15_Remake_4_0.png")</f>
        <v/>
      </c>
      <c r="C294" s="5" t="s">
        <v>1167</v>
      </c>
      <c r="D294" s="5" t="s">
        <v>1327</v>
      </c>
      <c r="E294" s="5" t="s">
        <v>34</v>
      </c>
      <c r="F294" s="5" t="s">
        <v>34</v>
      </c>
      <c r="G294" s="5" t="s">
        <v>36</v>
      </c>
      <c r="H294" s="5" t="s">
        <v>35</v>
      </c>
      <c r="I294" s="6">
        <v>1.0</v>
      </c>
      <c r="J294" s="6" t="s">
        <v>37</v>
      </c>
      <c r="K294" s="6">
        <v>10.0</v>
      </c>
      <c r="L294" s="5"/>
      <c r="M294" s="5"/>
      <c r="N294" s="6" t="s">
        <v>40</v>
      </c>
      <c r="O294" s="5" t="s">
        <v>5363</v>
      </c>
      <c r="P294" s="6" t="s">
        <v>42</v>
      </c>
      <c r="Q294" s="5" t="s">
        <v>1237</v>
      </c>
      <c r="R294" s="5" t="s">
        <v>6385</v>
      </c>
      <c r="S294" s="6" t="s">
        <v>75</v>
      </c>
      <c r="T294" s="6">
        <v>6601.0</v>
      </c>
    </row>
    <row r="295" ht="56.25" customHeight="1">
      <c r="A295" s="5" t="s">
        <v>6361</v>
      </c>
      <c r="B295" s="6" t="str">
        <f>image("https://storage.googleapis.com/acdb/photos/BromideNpcNmlMus15_Remake_5_0.png")</f>
        <v/>
      </c>
      <c r="C295" s="5" t="s">
        <v>58</v>
      </c>
      <c r="D295" s="5" t="s">
        <v>1327</v>
      </c>
      <c r="E295" s="5" t="s">
        <v>34</v>
      </c>
      <c r="F295" s="5" t="s">
        <v>34</v>
      </c>
      <c r="G295" s="5" t="s">
        <v>36</v>
      </c>
      <c r="H295" s="5" t="s">
        <v>35</v>
      </c>
      <c r="I295" s="6">
        <v>1.0</v>
      </c>
      <c r="J295" s="6" t="s">
        <v>37</v>
      </c>
      <c r="K295" s="6">
        <v>10.0</v>
      </c>
      <c r="L295" s="5"/>
      <c r="M295" s="5"/>
      <c r="N295" s="6" t="s">
        <v>40</v>
      </c>
      <c r="O295" s="5" t="s">
        <v>5363</v>
      </c>
      <c r="P295" s="6" t="s">
        <v>42</v>
      </c>
      <c r="Q295" s="5" t="s">
        <v>1237</v>
      </c>
      <c r="R295" s="5" t="s">
        <v>6388</v>
      </c>
      <c r="S295" s="6" t="s">
        <v>79</v>
      </c>
      <c r="T295" s="6">
        <v>6601.0</v>
      </c>
    </row>
    <row r="296" ht="56.25" customHeight="1">
      <c r="A296" s="5" t="s">
        <v>6361</v>
      </c>
      <c r="B296" s="6" t="str">
        <f>image("https://storage.googleapis.com/acdb/photos/BromideNpcNmlMus15_Remake_6_0.png")</f>
        <v/>
      </c>
      <c r="C296" s="5" t="s">
        <v>146</v>
      </c>
      <c r="D296" s="5" t="s">
        <v>1327</v>
      </c>
      <c r="E296" s="5" t="s">
        <v>34</v>
      </c>
      <c r="F296" s="5" t="s">
        <v>34</v>
      </c>
      <c r="G296" s="5" t="s">
        <v>36</v>
      </c>
      <c r="H296" s="5" t="s">
        <v>35</v>
      </c>
      <c r="I296" s="6">
        <v>1.0</v>
      </c>
      <c r="J296" s="6" t="s">
        <v>37</v>
      </c>
      <c r="K296" s="6">
        <v>10.0</v>
      </c>
      <c r="L296" s="5"/>
      <c r="M296" s="5"/>
      <c r="N296" s="6" t="s">
        <v>40</v>
      </c>
      <c r="O296" s="5" t="s">
        <v>5363</v>
      </c>
      <c r="P296" s="6" t="s">
        <v>42</v>
      </c>
      <c r="Q296" s="5" t="s">
        <v>1237</v>
      </c>
      <c r="R296" s="5" t="s">
        <v>6392</v>
      </c>
      <c r="S296" s="6" t="s">
        <v>86</v>
      </c>
      <c r="T296" s="6">
        <v>6601.0</v>
      </c>
    </row>
    <row r="297" ht="56.25" customHeight="1">
      <c r="A297" s="5" t="s">
        <v>6361</v>
      </c>
      <c r="B297" s="6" t="str">
        <f>image("https://storage.googleapis.com/acdb/photos/BromideNpcNmlMus15_Remake_7_0.png")</f>
        <v/>
      </c>
      <c r="C297" s="5" t="s">
        <v>151</v>
      </c>
      <c r="D297" s="5" t="s">
        <v>1327</v>
      </c>
      <c r="E297" s="5" t="s">
        <v>34</v>
      </c>
      <c r="F297" s="5" t="s">
        <v>34</v>
      </c>
      <c r="G297" s="5" t="s">
        <v>36</v>
      </c>
      <c r="H297" s="5" t="s">
        <v>35</v>
      </c>
      <c r="I297" s="6">
        <v>1.0</v>
      </c>
      <c r="J297" s="6" t="s">
        <v>37</v>
      </c>
      <c r="K297" s="6">
        <v>10.0</v>
      </c>
      <c r="L297" s="5"/>
      <c r="M297" s="5"/>
      <c r="N297" s="6" t="s">
        <v>40</v>
      </c>
      <c r="O297" s="5" t="s">
        <v>5363</v>
      </c>
      <c r="P297" s="6" t="s">
        <v>42</v>
      </c>
      <c r="Q297" s="5" t="s">
        <v>1237</v>
      </c>
      <c r="R297" s="5" t="s">
        <v>6396</v>
      </c>
      <c r="S297" s="6" t="s">
        <v>208</v>
      </c>
      <c r="T297" s="6">
        <v>6601.0</v>
      </c>
    </row>
    <row r="298" ht="56.25" customHeight="1">
      <c r="A298" s="5" t="s">
        <v>6398</v>
      </c>
      <c r="B298" s="6" t="str">
        <f>image("https://storage.googleapis.com/acdb/photos/BromideNpcNmlTig06_Remake_0_0.png")</f>
        <v/>
      </c>
      <c r="C298" s="5" t="s">
        <v>366</v>
      </c>
      <c r="D298" s="5" t="s">
        <v>1327</v>
      </c>
      <c r="E298" s="5" t="s">
        <v>34</v>
      </c>
      <c r="F298" s="5" t="s">
        <v>34</v>
      </c>
      <c r="G298" s="5" t="s">
        <v>36</v>
      </c>
      <c r="H298" s="5" t="s">
        <v>35</v>
      </c>
      <c r="I298" s="6">
        <v>1.0</v>
      </c>
      <c r="J298" s="6" t="s">
        <v>37</v>
      </c>
      <c r="K298" s="6">
        <v>10.0</v>
      </c>
      <c r="L298" s="5"/>
      <c r="M298" s="5"/>
      <c r="N298" s="6" t="s">
        <v>40</v>
      </c>
      <c r="O298" s="5" t="s">
        <v>5363</v>
      </c>
      <c r="P298" s="6" t="s">
        <v>42</v>
      </c>
      <c r="Q298" s="5" t="s">
        <v>1237</v>
      </c>
      <c r="R298" s="5" t="s">
        <v>6404</v>
      </c>
      <c r="S298" s="6" t="s">
        <v>50</v>
      </c>
      <c r="T298" s="6">
        <v>6730.0</v>
      </c>
    </row>
    <row r="299" ht="56.25" customHeight="1">
      <c r="A299" s="5" t="s">
        <v>6398</v>
      </c>
      <c r="B299" s="6" t="str">
        <f>image("https://storage.googleapis.com/acdb/photos/BromideNpcNmlTig06_Remake_1_0.png")</f>
        <v/>
      </c>
      <c r="C299" s="5" t="s">
        <v>1132</v>
      </c>
      <c r="D299" s="5" t="s">
        <v>1327</v>
      </c>
      <c r="E299" s="5" t="s">
        <v>34</v>
      </c>
      <c r="F299" s="5" t="s">
        <v>34</v>
      </c>
      <c r="G299" s="5" t="s">
        <v>36</v>
      </c>
      <c r="H299" s="5" t="s">
        <v>35</v>
      </c>
      <c r="I299" s="6">
        <v>1.0</v>
      </c>
      <c r="J299" s="6" t="s">
        <v>37</v>
      </c>
      <c r="K299" s="6">
        <v>10.0</v>
      </c>
      <c r="L299" s="5"/>
      <c r="M299" s="5"/>
      <c r="N299" s="6" t="s">
        <v>40</v>
      </c>
      <c r="O299" s="5" t="s">
        <v>5363</v>
      </c>
      <c r="P299" s="6" t="s">
        <v>42</v>
      </c>
      <c r="Q299" s="5" t="s">
        <v>1237</v>
      </c>
      <c r="R299" s="5" t="s">
        <v>6409</v>
      </c>
      <c r="S299" s="6" t="s">
        <v>56</v>
      </c>
      <c r="T299" s="6">
        <v>6730.0</v>
      </c>
    </row>
    <row r="300" ht="56.25" customHeight="1">
      <c r="A300" s="5" t="s">
        <v>6398</v>
      </c>
      <c r="B300" s="6" t="str">
        <f>image("https://storage.googleapis.com/acdb/photos/BromideNpcNmlTig06_Remake_2_0.png")</f>
        <v/>
      </c>
      <c r="C300" s="5" t="s">
        <v>688</v>
      </c>
      <c r="D300" s="5" t="s">
        <v>1327</v>
      </c>
      <c r="E300" s="5" t="s">
        <v>34</v>
      </c>
      <c r="F300" s="5" t="s">
        <v>34</v>
      </c>
      <c r="G300" s="5" t="s">
        <v>36</v>
      </c>
      <c r="H300" s="5" t="s">
        <v>35</v>
      </c>
      <c r="I300" s="6">
        <v>1.0</v>
      </c>
      <c r="J300" s="6" t="s">
        <v>37</v>
      </c>
      <c r="K300" s="6">
        <v>10.0</v>
      </c>
      <c r="L300" s="5"/>
      <c r="M300" s="5"/>
      <c r="N300" s="6" t="s">
        <v>40</v>
      </c>
      <c r="O300" s="5" t="s">
        <v>5363</v>
      </c>
      <c r="P300" s="6" t="s">
        <v>42</v>
      </c>
      <c r="Q300" s="5" t="s">
        <v>1237</v>
      </c>
      <c r="R300" s="5" t="s">
        <v>6413</v>
      </c>
      <c r="S300" s="6" t="s">
        <v>67</v>
      </c>
      <c r="T300" s="6">
        <v>6730.0</v>
      </c>
    </row>
    <row r="301" ht="56.25" customHeight="1">
      <c r="A301" s="5" t="s">
        <v>6398</v>
      </c>
      <c r="B301" s="6" t="str">
        <f>image("https://storage.googleapis.com/acdb/photos/BromideNpcNmlTig06_Remake_3_0.png")</f>
        <v/>
      </c>
      <c r="C301" s="5" t="s">
        <v>57</v>
      </c>
      <c r="D301" s="5" t="s">
        <v>1327</v>
      </c>
      <c r="E301" s="5" t="s">
        <v>34</v>
      </c>
      <c r="F301" s="5" t="s">
        <v>34</v>
      </c>
      <c r="G301" s="5" t="s">
        <v>36</v>
      </c>
      <c r="H301" s="5" t="s">
        <v>35</v>
      </c>
      <c r="I301" s="6">
        <v>1.0</v>
      </c>
      <c r="J301" s="6" t="s">
        <v>37</v>
      </c>
      <c r="K301" s="6">
        <v>10.0</v>
      </c>
      <c r="L301" s="5"/>
      <c r="M301" s="5"/>
      <c r="N301" s="6" t="s">
        <v>40</v>
      </c>
      <c r="O301" s="5" t="s">
        <v>5363</v>
      </c>
      <c r="P301" s="6" t="s">
        <v>42</v>
      </c>
      <c r="Q301" s="5" t="s">
        <v>1237</v>
      </c>
      <c r="R301" s="5" t="s">
        <v>6416</v>
      </c>
      <c r="S301" s="6" t="s">
        <v>71</v>
      </c>
      <c r="T301" s="6">
        <v>6730.0</v>
      </c>
    </row>
    <row r="302" ht="56.25" customHeight="1">
      <c r="A302" s="5" t="s">
        <v>6398</v>
      </c>
      <c r="B302" s="6" t="str">
        <f>image("https://storage.googleapis.com/acdb/photos/BromideNpcNmlTig06_Remake_4_0.png")</f>
        <v/>
      </c>
      <c r="C302" s="5" t="s">
        <v>1167</v>
      </c>
      <c r="D302" s="5" t="s">
        <v>1327</v>
      </c>
      <c r="E302" s="5" t="s">
        <v>34</v>
      </c>
      <c r="F302" s="5" t="s">
        <v>34</v>
      </c>
      <c r="G302" s="5" t="s">
        <v>36</v>
      </c>
      <c r="H302" s="5" t="s">
        <v>35</v>
      </c>
      <c r="I302" s="6">
        <v>1.0</v>
      </c>
      <c r="J302" s="6" t="s">
        <v>37</v>
      </c>
      <c r="K302" s="6">
        <v>10.0</v>
      </c>
      <c r="L302" s="5"/>
      <c r="M302" s="5"/>
      <c r="N302" s="6" t="s">
        <v>40</v>
      </c>
      <c r="O302" s="5" t="s">
        <v>5363</v>
      </c>
      <c r="P302" s="6" t="s">
        <v>42</v>
      </c>
      <c r="Q302" s="5" t="s">
        <v>1237</v>
      </c>
      <c r="R302" s="5" t="s">
        <v>6420</v>
      </c>
      <c r="S302" s="6" t="s">
        <v>75</v>
      </c>
      <c r="T302" s="6">
        <v>6730.0</v>
      </c>
    </row>
    <row r="303" ht="56.25" customHeight="1">
      <c r="A303" s="5" t="s">
        <v>6398</v>
      </c>
      <c r="B303" s="6" t="str">
        <f>image("https://storage.googleapis.com/acdb/photos/BromideNpcNmlTig06_Remake_5_0.png")</f>
        <v/>
      </c>
      <c r="C303" s="5" t="s">
        <v>58</v>
      </c>
      <c r="D303" s="5" t="s">
        <v>1327</v>
      </c>
      <c r="E303" s="5" t="s">
        <v>34</v>
      </c>
      <c r="F303" s="5" t="s">
        <v>34</v>
      </c>
      <c r="G303" s="5" t="s">
        <v>36</v>
      </c>
      <c r="H303" s="5" t="s">
        <v>35</v>
      </c>
      <c r="I303" s="6">
        <v>1.0</v>
      </c>
      <c r="J303" s="6" t="s">
        <v>37</v>
      </c>
      <c r="K303" s="6">
        <v>10.0</v>
      </c>
      <c r="L303" s="5"/>
      <c r="M303" s="5"/>
      <c r="N303" s="6" t="s">
        <v>40</v>
      </c>
      <c r="O303" s="5" t="s">
        <v>5363</v>
      </c>
      <c r="P303" s="6" t="s">
        <v>42</v>
      </c>
      <c r="Q303" s="5" t="s">
        <v>1237</v>
      </c>
      <c r="R303" s="5" t="s">
        <v>6424</v>
      </c>
      <c r="S303" s="6" t="s">
        <v>79</v>
      </c>
      <c r="T303" s="6">
        <v>6730.0</v>
      </c>
    </row>
    <row r="304" ht="56.25" customHeight="1">
      <c r="A304" s="5" t="s">
        <v>6398</v>
      </c>
      <c r="B304" s="6" t="str">
        <f>image("https://storage.googleapis.com/acdb/photos/BromideNpcNmlTig06_Remake_6_0.png")</f>
        <v/>
      </c>
      <c r="C304" s="5" t="s">
        <v>146</v>
      </c>
      <c r="D304" s="5" t="s">
        <v>1327</v>
      </c>
      <c r="E304" s="5" t="s">
        <v>34</v>
      </c>
      <c r="F304" s="5" t="s">
        <v>34</v>
      </c>
      <c r="G304" s="5" t="s">
        <v>36</v>
      </c>
      <c r="H304" s="5" t="s">
        <v>35</v>
      </c>
      <c r="I304" s="6">
        <v>1.0</v>
      </c>
      <c r="J304" s="6" t="s">
        <v>37</v>
      </c>
      <c r="K304" s="6">
        <v>10.0</v>
      </c>
      <c r="L304" s="5"/>
      <c r="M304" s="5"/>
      <c r="N304" s="6" t="s">
        <v>40</v>
      </c>
      <c r="O304" s="5" t="s">
        <v>5363</v>
      </c>
      <c r="P304" s="6" t="s">
        <v>42</v>
      </c>
      <c r="Q304" s="5" t="s">
        <v>1237</v>
      </c>
      <c r="R304" s="5" t="s">
        <v>6428</v>
      </c>
      <c r="S304" s="6" t="s">
        <v>86</v>
      </c>
      <c r="T304" s="6">
        <v>6730.0</v>
      </c>
    </row>
    <row r="305" ht="56.25" customHeight="1">
      <c r="A305" s="5" t="s">
        <v>6398</v>
      </c>
      <c r="B305" s="6" t="str">
        <f>image("https://storage.googleapis.com/acdb/photos/BromideNpcNmlTig06_Remake_7_0.png")</f>
        <v/>
      </c>
      <c r="C305" s="5" t="s">
        <v>151</v>
      </c>
      <c r="D305" s="5" t="s">
        <v>1327</v>
      </c>
      <c r="E305" s="5" t="s">
        <v>34</v>
      </c>
      <c r="F305" s="5" t="s">
        <v>34</v>
      </c>
      <c r="G305" s="5" t="s">
        <v>36</v>
      </c>
      <c r="H305" s="5" t="s">
        <v>35</v>
      </c>
      <c r="I305" s="6">
        <v>1.0</v>
      </c>
      <c r="J305" s="6" t="s">
        <v>37</v>
      </c>
      <c r="K305" s="6">
        <v>10.0</v>
      </c>
      <c r="L305" s="5"/>
      <c r="M305" s="5"/>
      <c r="N305" s="6" t="s">
        <v>40</v>
      </c>
      <c r="O305" s="5" t="s">
        <v>5363</v>
      </c>
      <c r="P305" s="6" t="s">
        <v>42</v>
      </c>
      <c r="Q305" s="5" t="s">
        <v>1237</v>
      </c>
      <c r="R305" s="5" t="s">
        <v>6433</v>
      </c>
      <c r="S305" s="6" t="s">
        <v>208</v>
      </c>
      <c r="T305" s="6">
        <v>6730.0</v>
      </c>
    </row>
    <row r="306" ht="56.25" customHeight="1">
      <c r="A306" s="5" t="s">
        <v>6436</v>
      </c>
      <c r="B306" s="6" t="str">
        <f>image("https://storage.googleapis.com/acdb/photos/BromideNpcNmlHip04_Remake_0_0.png")</f>
        <v/>
      </c>
      <c r="C306" s="5" t="s">
        <v>366</v>
      </c>
      <c r="D306" s="5" t="s">
        <v>1327</v>
      </c>
      <c r="E306" s="5" t="s">
        <v>34</v>
      </c>
      <c r="F306" s="5" t="s">
        <v>34</v>
      </c>
      <c r="G306" s="5" t="s">
        <v>36</v>
      </c>
      <c r="H306" s="5" t="s">
        <v>35</v>
      </c>
      <c r="I306" s="6">
        <v>1.0</v>
      </c>
      <c r="J306" s="6" t="s">
        <v>37</v>
      </c>
      <c r="K306" s="6">
        <v>10.0</v>
      </c>
      <c r="L306" s="5"/>
      <c r="M306" s="5"/>
      <c r="N306" s="6" t="s">
        <v>40</v>
      </c>
      <c r="O306" s="5" t="s">
        <v>5363</v>
      </c>
      <c r="P306" s="6" t="s">
        <v>42</v>
      </c>
      <c r="Q306" s="5" t="s">
        <v>1237</v>
      </c>
      <c r="R306" s="5" t="s">
        <v>6440</v>
      </c>
      <c r="S306" s="6" t="s">
        <v>50</v>
      </c>
      <c r="T306" s="6">
        <v>6533.0</v>
      </c>
    </row>
    <row r="307" ht="56.25" customHeight="1">
      <c r="A307" s="5" t="s">
        <v>6436</v>
      </c>
      <c r="B307" s="6" t="str">
        <f>image("https://storage.googleapis.com/acdb/photos/BromideNpcNmlHip04_Remake_1_0.png")</f>
        <v/>
      </c>
      <c r="C307" s="5" t="s">
        <v>1132</v>
      </c>
      <c r="D307" s="5" t="s">
        <v>1327</v>
      </c>
      <c r="E307" s="5" t="s">
        <v>34</v>
      </c>
      <c r="F307" s="5" t="s">
        <v>34</v>
      </c>
      <c r="G307" s="5" t="s">
        <v>36</v>
      </c>
      <c r="H307" s="5" t="s">
        <v>35</v>
      </c>
      <c r="I307" s="6">
        <v>1.0</v>
      </c>
      <c r="J307" s="6" t="s">
        <v>37</v>
      </c>
      <c r="K307" s="6">
        <v>10.0</v>
      </c>
      <c r="L307" s="5"/>
      <c r="M307" s="5"/>
      <c r="N307" s="6" t="s">
        <v>40</v>
      </c>
      <c r="O307" s="5" t="s">
        <v>5363</v>
      </c>
      <c r="P307" s="6" t="s">
        <v>42</v>
      </c>
      <c r="Q307" s="5" t="s">
        <v>1237</v>
      </c>
      <c r="R307" s="5" t="s">
        <v>6444</v>
      </c>
      <c r="S307" s="6" t="s">
        <v>56</v>
      </c>
      <c r="T307" s="6">
        <v>6533.0</v>
      </c>
    </row>
    <row r="308" ht="56.25" customHeight="1">
      <c r="A308" s="5" t="s">
        <v>6436</v>
      </c>
      <c r="B308" s="6" t="str">
        <f>image("https://storage.googleapis.com/acdb/photos/BromideNpcNmlHip04_Remake_2_0.png")</f>
        <v/>
      </c>
      <c r="C308" s="5" t="s">
        <v>688</v>
      </c>
      <c r="D308" s="5" t="s">
        <v>1327</v>
      </c>
      <c r="E308" s="5" t="s">
        <v>34</v>
      </c>
      <c r="F308" s="5" t="s">
        <v>34</v>
      </c>
      <c r="G308" s="5" t="s">
        <v>36</v>
      </c>
      <c r="H308" s="5" t="s">
        <v>35</v>
      </c>
      <c r="I308" s="6">
        <v>1.0</v>
      </c>
      <c r="J308" s="6" t="s">
        <v>37</v>
      </c>
      <c r="K308" s="6">
        <v>10.0</v>
      </c>
      <c r="L308" s="5"/>
      <c r="M308" s="5"/>
      <c r="N308" s="6" t="s">
        <v>40</v>
      </c>
      <c r="O308" s="5" t="s">
        <v>5363</v>
      </c>
      <c r="P308" s="6" t="s">
        <v>42</v>
      </c>
      <c r="Q308" s="5" t="s">
        <v>1237</v>
      </c>
      <c r="R308" s="5" t="s">
        <v>6449</v>
      </c>
      <c r="S308" s="6" t="s">
        <v>67</v>
      </c>
      <c r="T308" s="6">
        <v>6533.0</v>
      </c>
    </row>
    <row r="309" ht="56.25" customHeight="1">
      <c r="A309" s="5" t="s">
        <v>6436</v>
      </c>
      <c r="B309" s="6" t="str">
        <f>image("https://storage.googleapis.com/acdb/photos/BromideNpcNmlHip04_Remake_3_0.png")</f>
        <v/>
      </c>
      <c r="C309" s="5" t="s">
        <v>57</v>
      </c>
      <c r="D309" s="5" t="s">
        <v>1327</v>
      </c>
      <c r="E309" s="5" t="s">
        <v>34</v>
      </c>
      <c r="F309" s="5" t="s">
        <v>34</v>
      </c>
      <c r="G309" s="5" t="s">
        <v>36</v>
      </c>
      <c r="H309" s="5" t="s">
        <v>35</v>
      </c>
      <c r="I309" s="6">
        <v>1.0</v>
      </c>
      <c r="J309" s="6" t="s">
        <v>37</v>
      </c>
      <c r="K309" s="6">
        <v>10.0</v>
      </c>
      <c r="L309" s="5"/>
      <c r="M309" s="5"/>
      <c r="N309" s="6" t="s">
        <v>40</v>
      </c>
      <c r="O309" s="5" t="s">
        <v>5363</v>
      </c>
      <c r="P309" s="6" t="s">
        <v>42</v>
      </c>
      <c r="Q309" s="5" t="s">
        <v>1237</v>
      </c>
      <c r="R309" s="5" t="s">
        <v>6453</v>
      </c>
      <c r="S309" s="6" t="s">
        <v>71</v>
      </c>
      <c r="T309" s="6">
        <v>6533.0</v>
      </c>
    </row>
    <row r="310" ht="56.25" customHeight="1">
      <c r="A310" s="5" t="s">
        <v>6436</v>
      </c>
      <c r="B310" s="6" t="str">
        <f>image("https://storage.googleapis.com/acdb/photos/BromideNpcNmlHip04_Remake_4_0.png")</f>
        <v/>
      </c>
      <c r="C310" s="5" t="s">
        <v>1167</v>
      </c>
      <c r="D310" s="5" t="s">
        <v>1327</v>
      </c>
      <c r="E310" s="5" t="s">
        <v>34</v>
      </c>
      <c r="F310" s="5" t="s">
        <v>34</v>
      </c>
      <c r="G310" s="5" t="s">
        <v>36</v>
      </c>
      <c r="H310" s="5" t="s">
        <v>35</v>
      </c>
      <c r="I310" s="6">
        <v>1.0</v>
      </c>
      <c r="J310" s="6" t="s">
        <v>37</v>
      </c>
      <c r="K310" s="6">
        <v>10.0</v>
      </c>
      <c r="L310" s="5"/>
      <c r="M310" s="5"/>
      <c r="N310" s="6" t="s">
        <v>40</v>
      </c>
      <c r="O310" s="5" t="s">
        <v>5363</v>
      </c>
      <c r="P310" s="6" t="s">
        <v>42</v>
      </c>
      <c r="Q310" s="5" t="s">
        <v>1237</v>
      </c>
      <c r="R310" s="5" t="s">
        <v>6457</v>
      </c>
      <c r="S310" s="6" t="s">
        <v>75</v>
      </c>
      <c r="T310" s="6">
        <v>6533.0</v>
      </c>
    </row>
    <row r="311" ht="56.25" customHeight="1">
      <c r="A311" s="5" t="s">
        <v>6436</v>
      </c>
      <c r="B311" s="6" t="str">
        <f>image("https://storage.googleapis.com/acdb/photos/BromideNpcNmlHip04_Remake_5_0.png")</f>
        <v/>
      </c>
      <c r="C311" s="5" t="s">
        <v>58</v>
      </c>
      <c r="D311" s="5" t="s">
        <v>1327</v>
      </c>
      <c r="E311" s="5" t="s">
        <v>34</v>
      </c>
      <c r="F311" s="5" t="s">
        <v>34</v>
      </c>
      <c r="G311" s="5" t="s">
        <v>36</v>
      </c>
      <c r="H311" s="5" t="s">
        <v>35</v>
      </c>
      <c r="I311" s="6">
        <v>1.0</v>
      </c>
      <c r="J311" s="6" t="s">
        <v>37</v>
      </c>
      <c r="K311" s="6">
        <v>10.0</v>
      </c>
      <c r="L311" s="5"/>
      <c r="M311" s="5"/>
      <c r="N311" s="6" t="s">
        <v>40</v>
      </c>
      <c r="O311" s="5" t="s">
        <v>5363</v>
      </c>
      <c r="P311" s="6" t="s">
        <v>42</v>
      </c>
      <c r="Q311" s="5" t="s">
        <v>1237</v>
      </c>
      <c r="R311" s="5" t="s">
        <v>6463</v>
      </c>
      <c r="S311" s="6" t="s">
        <v>79</v>
      </c>
      <c r="T311" s="6">
        <v>6533.0</v>
      </c>
    </row>
    <row r="312" ht="56.25" customHeight="1">
      <c r="A312" s="5" t="s">
        <v>6436</v>
      </c>
      <c r="B312" s="6" t="str">
        <f>image("https://storage.googleapis.com/acdb/photos/BromideNpcNmlHip04_Remake_6_0.png")</f>
        <v/>
      </c>
      <c r="C312" s="5" t="s">
        <v>146</v>
      </c>
      <c r="D312" s="5" t="s">
        <v>1327</v>
      </c>
      <c r="E312" s="5" t="s">
        <v>34</v>
      </c>
      <c r="F312" s="5" t="s">
        <v>34</v>
      </c>
      <c r="G312" s="5" t="s">
        <v>36</v>
      </c>
      <c r="H312" s="5" t="s">
        <v>35</v>
      </c>
      <c r="I312" s="6">
        <v>1.0</v>
      </c>
      <c r="J312" s="6" t="s">
        <v>37</v>
      </c>
      <c r="K312" s="6">
        <v>10.0</v>
      </c>
      <c r="L312" s="5"/>
      <c r="M312" s="5"/>
      <c r="N312" s="6" t="s">
        <v>40</v>
      </c>
      <c r="O312" s="5" t="s">
        <v>5363</v>
      </c>
      <c r="P312" s="6" t="s">
        <v>42</v>
      </c>
      <c r="Q312" s="5" t="s">
        <v>1237</v>
      </c>
      <c r="R312" s="5" t="s">
        <v>6467</v>
      </c>
      <c r="S312" s="6" t="s">
        <v>86</v>
      </c>
      <c r="T312" s="6">
        <v>6533.0</v>
      </c>
    </row>
    <row r="313" ht="56.25" customHeight="1">
      <c r="A313" s="5" t="s">
        <v>6436</v>
      </c>
      <c r="B313" s="6" t="str">
        <f>image("https://storage.googleapis.com/acdb/photos/BromideNpcNmlHip04_Remake_7_0.png")</f>
        <v/>
      </c>
      <c r="C313" s="5" t="s">
        <v>151</v>
      </c>
      <c r="D313" s="5" t="s">
        <v>1327</v>
      </c>
      <c r="E313" s="5" t="s">
        <v>34</v>
      </c>
      <c r="F313" s="5" t="s">
        <v>34</v>
      </c>
      <c r="G313" s="5" t="s">
        <v>36</v>
      </c>
      <c r="H313" s="5" t="s">
        <v>35</v>
      </c>
      <c r="I313" s="6">
        <v>1.0</v>
      </c>
      <c r="J313" s="6" t="s">
        <v>37</v>
      </c>
      <c r="K313" s="6">
        <v>10.0</v>
      </c>
      <c r="L313" s="5"/>
      <c r="M313" s="5"/>
      <c r="N313" s="6" t="s">
        <v>40</v>
      </c>
      <c r="O313" s="5" t="s">
        <v>5363</v>
      </c>
      <c r="P313" s="6" t="s">
        <v>42</v>
      </c>
      <c r="Q313" s="5" t="s">
        <v>1237</v>
      </c>
      <c r="R313" s="5" t="s">
        <v>6474</v>
      </c>
      <c r="S313" s="6" t="s">
        <v>208</v>
      </c>
      <c r="T313" s="6">
        <v>6533.0</v>
      </c>
    </row>
    <row r="314" ht="56.25" customHeight="1">
      <c r="A314" s="5" t="s">
        <v>6476</v>
      </c>
      <c r="B314" s="6" t="str">
        <f>image("https://storage.googleapis.com/acdb/photos/BromideNpcNmlElp02_Remake_0_0.png")</f>
        <v/>
      </c>
      <c r="C314" s="5" t="s">
        <v>366</v>
      </c>
      <c r="D314" s="5" t="s">
        <v>1327</v>
      </c>
      <c r="E314" s="5" t="s">
        <v>34</v>
      </c>
      <c r="F314" s="5" t="s">
        <v>34</v>
      </c>
      <c r="G314" s="5" t="s">
        <v>36</v>
      </c>
      <c r="H314" s="5" t="s">
        <v>35</v>
      </c>
      <c r="I314" s="6">
        <v>1.0</v>
      </c>
      <c r="J314" s="6" t="s">
        <v>37</v>
      </c>
      <c r="K314" s="6">
        <v>10.0</v>
      </c>
      <c r="L314" s="5"/>
      <c r="M314" s="5"/>
      <c r="N314" s="6" t="s">
        <v>40</v>
      </c>
      <c r="O314" s="5" t="s">
        <v>5363</v>
      </c>
      <c r="P314" s="6" t="s">
        <v>42</v>
      </c>
      <c r="Q314" s="5" t="s">
        <v>1237</v>
      </c>
      <c r="R314" s="5" t="s">
        <v>6477</v>
      </c>
      <c r="S314" s="6" t="s">
        <v>50</v>
      </c>
      <c r="T314" s="6">
        <v>6475.0</v>
      </c>
    </row>
    <row r="315" ht="56.25" customHeight="1">
      <c r="A315" s="5" t="s">
        <v>6476</v>
      </c>
      <c r="B315" s="6" t="str">
        <f>image("https://storage.googleapis.com/acdb/photos/BromideNpcNmlElp02_Remake_1_0.png")</f>
        <v/>
      </c>
      <c r="C315" s="5" t="s">
        <v>1132</v>
      </c>
      <c r="D315" s="5" t="s">
        <v>1327</v>
      </c>
      <c r="E315" s="5" t="s">
        <v>34</v>
      </c>
      <c r="F315" s="5" t="s">
        <v>34</v>
      </c>
      <c r="G315" s="5" t="s">
        <v>36</v>
      </c>
      <c r="H315" s="5" t="s">
        <v>35</v>
      </c>
      <c r="I315" s="6">
        <v>1.0</v>
      </c>
      <c r="J315" s="6" t="s">
        <v>37</v>
      </c>
      <c r="K315" s="6">
        <v>10.0</v>
      </c>
      <c r="L315" s="5"/>
      <c r="M315" s="5"/>
      <c r="N315" s="6" t="s">
        <v>40</v>
      </c>
      <c r="O315" s="5" t="s">
        <v>5363</v>
      </c>
      <c r="P315" s="6" t="s">
        <v>42</v>
      </c>
      <c r="Q315" s="5" t="s">
        <v>1237</v>
      </c>
      <c r="R315" s="5" t="s">
        <v>6481</v>
      </c>
      <c r="S315" s="6" t="s">
        <v>56</v>
      </c>
      <c r="T315" s="6">
        <v>6475.0</v>
      </c>
    </row>
    <row r="316" ht="56.25" customHeight="1">
      <c r="A316" s="5" t="s">
        <v>6476</v>
      </c>
      <c r="B316" s="6" t="str">
        <f>image("https://storage.googleapis.com/acdb/photos/BromideNpcNmlElp02_Remake_2_0.png")</f>
        <v/>
      </c>
      <c r="C316" s="5" t="s">
        <v>688</v>
      </c>
      <c r="D316" s="5" t="s">
        <v>1327</v>
      </c>
      <c r="E316" s="5" t="s">
        <v>34</v>
      </c>
      <c r="F316" s="5" t="s">
        <v>34</v>
      </c>
      <c r="G316" s="5" t="s">
        <v>36</v>
      </c>
      <c r="H316" s="5" t="s">
        <v>35</v>
      </c>
      <c r="I316" s="6">
        <v>1.0</v>
      </c>
      <c r="J316" s="6" t="s">
        <v>37</v>
      </c>
      <c r="K316" s="6">
        <v>10.0</v>
      </c>
      <c r="L316" s="5"/>
      <c r="M316" s="5"/>
      <c r="N316" s="6" t="s">
        <v>40</v>
      </c>
      <c r="O316" s="5" t="s">
        <v>5363</v>
      </c>
      <c r="P316" s="6" t="s">
        <v>42</v>
      </c>
      <c r="Q316" s="5" t="s">
        <v>1237</v>
      </c>
      <c r="R316" s="5" t="s">
        <v>6487</v>
      </c>
      <c r="S316" s="6" t="s">
        <v>67</v>
      </c>
      <c r="T316" s="6">
        <v>6475.0</v>
      </c>
    </row>
    <row r="317" ht="56.25" customHeight="1">
      <c r="A317" s="5" t="s">
        <v>6476</v>
      </c>
      <c r="B317" s="6" t="str">
        <f>image("https://storage.googleapis.com/acdb/photos/BromideNpcNmlElp02_Remake_3_0.png")</f>
        <v/>
      </c>
      <c r="C317" s="5" t="s">
        <v>57</v>
      </c>
      <c r="D317" s="5" t="s">
        <v>1327</v>
      </c>
      <c r="E317" s="5" t="s">
        <v>34</v>
      </c>
      <c r="F317" s="5" t="s">
        <v>34</v>
      </c>
      <c r="G317" s="5" t="s">
        <v>36</v>
      </c>
      <c r="H317" s="5" t="s">
        <v>35</v>
      </c>
      <c r="I317" s="6">
        <v>1.0</v>
      </c>
      <c r="J317" s="6" t="s">
        <v>37</v>
      </c>
      <c r="K317" s="6">
        <v>10.0</v>
      </c>
      <c r="L317" s="5"/>
      <c r="M317" s="5"/>
      <c r="N317" s="6" t="s">
        <v>40</v>
      </c>
      <c r="O317" s="5" t="s">
        <v>5363</v>
      </c>
      <c r="P317" s="6" t="s">
        <v>42</v>
      </c>
      <c r="Q317" s="5" t="s">
        <v>1237</v>
      </c>
      <c r="R317" s="5" t="s">
        <v>6490</v>
      </c>
      <c r="S317" s="6" t="s">
        <v>71</v>
      </c>
      <c r="T317" s="6">
        <v>6475.0</v>
      </c>
    </row>
    <row r="318" ht="56.25" customHeight="1">
      <c r="A318" s="5" t="s">
        <v>6476</v>
      </c>
      <c r="B318" s="6" t="str">
        <f>image("https://storage.googleapis.com/acdb/photos/BromideNpcNmlElp02_Remake_4_0.png")</f>
        <v/>
      </c>
      <c r="C318" s="5" t="s">
        <v>1167</v>
      </c>
      <c r="D318" s="5" t="s">
        <v>1327</v>
      </c>
      <c r="E318" s="5" t="s">
        <v>34</v>
      </c>
      <c r="F318" s="5" t="s">
        <v>34</v>
      </c>
      <c r="G318" s="5" t="s">
        <v>36</v>
      </c>
      <c r="H318" s="5" t="s">
        <v>35</v>
      </c>
      <c r="I318" s="6">
        <v>1.0</v>
      </c>
      <c r="J318" s="6" t="s">
        <v>37</v>
      </c>
      <c r="K318" s="6">
        <v>10.0</v>
      </c>
      <c r="L318" s="5"/>
      <c r="M318" s="5"/>
      <c r="N318" s="6" t="s">
        <v>40</v>
      </c>
      <c r="O318" s="5" t="s">
        <v>5363</v>
      </c>
      <c r="P318" s="6" t="s">
        <v>42</v>
      </c>
      <c r="Q318" s="5" t="s">
        <v>1237</v>
      </c>
      <c r="R318" s="5" t="s">
        <v>6494</v>
      </c>
      <c r="S318" s="6" t="s">
        <v>75</v>
      </c>
      <c r="T318" s="6">
        <v>6475.0</v>
      </c>
    </row>
    <row r="319" ht="56.25" customHeight="1">
      <c r="A319" s="5" t="s">
        <v>6476</v>
      </c>
      <c r="B319" s="6" t="str">
        <f>image("https://storage.googleapis.com/acdb/photos/BromideNpcNmlElp02_Remake_5_0.png")</f>
        <v/>
      </c>
      <c r="C319" s="5" t="s">
        <v>58</v>
      </c>
      <c r="D319" s="5" t="s">
        <v>1327</v>
      </c>
      <c r="E319" s="5" t="s">
        <v>34</v>
      </c>
      <c r="F319" s="5" t="s">
        <v>34</v>
      </c>
      <c r="G319" s="5" t="s">
        <v>36</v>
      </c>
      <c r="H319" s="5" t="s">
        <v>35</v>
      </c>
      <c r="I319" s="6">
        <v>1.0</v>
      </c>
      <c r="J319" s="6" t="s">
        <v>37</v>
      </c>
      <c r="K319" s="6">
        <v>10.0</v>
      </c>
      <c r="L319" s="5"/>
      <c r="M319" s="5"/>
      <c r="N319" s="6" t="s">
        <v>40</v>
      </c>
      <c r="O319" s="5" t="s">
        <v>5363</v>
      </c>
      <c r="P319" s="6" t="s">
        <v>42</v>
      </c>
      <c r="Q319" s="5" t="s">
        <v>1237</v>
      </c>
      <c r="R319" s="5" t="s">
        <v>6499</v>
      </c>
      <c r="S319" s="6" t="s">
        <v>79</v>
      </c>
      <c r="T319" s="6">
        <v>6475.0</v>
      </c>
    </row>
    <row r="320" ht="56.25" customHeight="1">
      <c r="A320" s="5" t="s">
        <v>6476</v>
      </c>
      <c r="B320" s="6" t="str">
        <f>image("https://storage.googleapis.com/acdb/photos/BromideNpcNmlElp02_Remake_6_0.png")</f>
        <v/>
      </c>
      <c r="C320" s="5" t="s">
        <v>146</v>
      </c>
      <c r="D320" s="5" t="s">
        <v>1327</v>
      </c>
      <c r="E320" s="5" t="s">
        <v>34</v>
      </c>
      <c r="F320" s="5" t="s">
        <v>34</v>
      </c>
      <c r="G320" s="5" t="s">
        <v>36</v>
      </c>
      <c r="H320" s="5" t="s">
        <v>35</v>
      </c>
      <c r="I320" s="6">
        <v>1.0</v>
      </c>
      <c r="J320" s="6" t="s">
        <v>37</v>
      </c>
      <c r="K320" s="6">
        <v>10.0</v>
      </c>
      <c r="L320" s="5"/>
      <c r="M320" s="5"/>
      <c r="N320" s="6" t="s">
        <v>40</v>
      </c>
      <c r="O320" s="5" t="s">
        <v>5363</v>
      </c>
      <c r="P320" s="6" t="s">
        <v>42</v>
      </c>
      <c r="Q320" s="5" t="s">
        <v>1237</v>
      </c>
      <c r="R320" s="5" t="s">
        <v>6502</v>
      </c>
      <c r="S320" s="6" t="s">
        <v>86</v>
      </c>
      <c r="T320" s="6">
        <v>6475.0</v>
      </c>
    </row>
    <row r="321" ht="56.25" customHeight="1">
      <c r="A321" s="5" t="s">
        <v>6476</v>
      </c>
      <c r="B321" s="6" t="str">
        <f>image("https://storage.googleapis.com/acdb/photos/BromideNpcNmlElp02_Remake_7_0.png")</f>
        <v/>
      </c>
      <c r="C321" s="5" t="s">
        <v>151</v>
      </c>
      <c r="D321" s="5" t="s">
        <v>1327</v>
      </c>
      <c r="E321" s="5" t="s">
        <v>34</v>
      </c>
      <c r="F321" s="5" t="s">
        <v>34</v>
      </c>
      <c r="G321" s="5" t="s">
        <v>36</v>
      </c>
      <c r="H321" s="5" t="s">
        <v>35</v>
      </c>
      <c r="I321" s="6">
        <v>1.0</v>
      </c>
      <c r="J321" s="6" t="s">
        <v>37</v>
      </c>
      <c r="K321" s="6">
        <v>10.0</v>
      </c>
      <c r="L321" s="5"/>
      <c r="M321" s="5"/>
      <c r="N321" s="6" t="s">
        <v>40</v>
      </c>
      <c r="O321" s="5" t="s">
        <v>5363</v>
      </c>
      <c r="P321" s="6" t="s">
        <v>42</v>
      </c>
      <c r="Q321" s="5" t="s">
        <v>1237</v>
      </c>
      <c r="R321" s="5" t="s">
        <v>6507</v>
      </c>
      <c r="S321" s="6" t="s">
        <v>208</v>
      </c>
      <c r="T321" s="6">
        <v>6475.0</v>
      </c>
    </row>
    <row r="322" ht="56.25" customHeight="1">
      <c r="A322" s="5" t="s">
        <v>6508</v>
      </c>
      <c r="B322" s="6" t="str">
        <f>image("https://storage.googleapis.com/acdb/photos/BromideNpcNmlDuk00_Remake_0_0.png")</f>
        <v/>
      </c>
      <c r="C322" s="5" t="s">
        <v>366</v>
      </c>
      <c r="D322" s="5" t="s">
        <v>1327</v>
      </c>
      <c r="E322" s="5" t="s">
        <v>34</v>
      </c>
      <c r="F322" s="5" t="s">
        <v>34</v>
      </c>
      <c r="G322" s="5" t="s">
        <v>36</v>
      </c>
      <c r="H322" s="5" t="s">
        <v>35</v>
      </c>
      <c r="I322" s="6">
        <v>1.0</v>
      </c>
      <c r="J322" s="6" t="s">
        <v>37</v>
      </c>
      <c r="K322" s="6">
        <v>10.0</v>
      </c>
      <c r="L322" s="5"/>
      <c r="M322" s="5"/>
      <c r="N322" s="6" t="s">
        <v>40</v>
      </c>
      <c r="O322" s="5" t="s">
        <v>5363</v>
      </c>
      <c r="P322" s="6" t="s">
        <v>42</v>
      </c>
      <c r="Q322" s="5" t="s">
        <v>1237</v>
      </c>
      <c r="R322" s="5" t="s">
        <v>6514</v>
      </c>
      <c r="S322" s="6" t="s">
        <v>50</v>
      </c>
      <c r="T322" s="6">
        <v>6454.0</v>
      </c>
    </row>
    <row r="323" ht="56.25" customHeight="1">
      <c r="A323" s="5" t="s">
        <v>6508</v>
      </c>
      <c r="B323" s="6" t="str">
        <f>image("https://storage.googleapis.com/acdb/photos/BromideNpcNmlDuk00_Remake_1_0.png")</f>
        <v/>
      </c>
      <c r="C323" s="5" t="s">
        <v>1132</v>
      </c>
      <c r="D323" s="5" t="s">
        <v>1327</v>
      </c>
      <c r="E323" s="5" t="s">
        <v>34</v>
      </c>
      <c r="F323" s="5" t="s">
        <v>34</v>
      </c>
      <c r="G323" s="5" t="s">
        <v>36</v>
      </c>
      <c r="H323" s="5" t="s">
        <v>35</v>
      </c>
      <c r="I323" s="6">
        <v>1.0</v>
      </c>
      <c r="J323" s="6" t="s">
        <v>37</v>
      </c>
      <c r="K323" s="6">
        <v>10.0</v>
      </c>
      <c r="L323" s="5"/>
      <c r="M323" s="5"/>
      <c r="N323" s="6" t="s">
        <v>40</v>
      </c>
      <c r="O323" s="5" t="s">
        <v>5363</v>
      </c>
      <c r="P323" s="6" t="s">
        <v>42</v>
      </c>
      <c r="Q323" s="5" t="s">
        <v>1237</v>
      </c>
      <c r="R323" s="5" t="s">
        <v>6517</v>
      </c>
      <c r="S323" s="6" t="s">
        <v>56</v>
      </c>
      <c r="T323" s="6">
        <v>6454.0</v>
      </c>
    </row>
    <row r="324" ht="56.25" customHeight="1">
      <c r="A324" s="5" t="s">
        <v>6508</v>
      </c>
      <c r="B324" s="6" t="str">
        <f>image("https://storage.googleapis.com/acdb/photos/BromideNpcNmlDuk00_Remake_2_0.png")</f>
        <v/>
      </c>
      <c r="C324" s="5" t="s">
        <v>688</v>
      </c>
      <c r="D324" s="5" t="s">
        <v>1327</v>
      </c>
      <c r="E324" s="5" t="s">
        <v>34</v>
      </c>
      <c r="F324" s="5" t="s">
        <v>34</v>
      </c>
      <c r="G324" s="5" t="s">
        <v>36</v>
      </c>
      <c r="H324" s="5" t="s">
        <v>35</v>
      </c>
      <c r="I324" s="6">
        <v>1.0</v>
      </c>
      <c r="J324" s="6" t="s">
        <v>37</v>
      </c>
      <c r="K324" s="6">
        <v>10.0</v>
      </c>
      <c r="L324" s="5"/>
      <c r="M324" s="5"/>
      <c r="N324" s="6" t="s">
        <v>40</v>
      </c>
      <c r="O324" s="5" t="s">
        <v>5363</v>
      </c>
      <c r="P324" s="6" t="s">
        <v>42</v>
      </c>
      <c r="Q324" s="5" t="s">
        <v>1237</v>
      </c>
      <c r="R324" s="5" t="s">
        <v>6521</v>
      </c>
      <c r="S324" s="6" t="s">
        <v>67</v>
      </c>
      <c r="T324" s="6">
        <v>6454.0</v>
      </c>
    </row>
    <row r="325" ht="56.25" customHeight="1">
      <c r="A325" s="5" t="s">
        <v>6508</v>
      </c>
      <c r="B325" s="6" t="str">
        <f>image("https://storage.googleapis.com/acdb/photos/BromideNpcNmlDuk00_Remake_3_0.png")</f>
        <v/>
      </c>
      <c r="C325" s="5" t="s">
        <v>57</v>
      </c>
      <c r="D325" s="5" t="s">
        <v>1327</v>
      </c>
      <c r="E325" s="5" t="s">
        <v>34</v>
      </c>
      <c r="F325" s="5" t="s">
        <v>34</v>
      </c>
      <c r="G325" s="5" t="s">
        <v>36</v>
      </c>
      <c r="H325" s="5" t="s">
        <v>35</v>
      </c>
      <c r="I325" s="6">
        <v>1.0</v>
      </c>
      <c r="J325" s="6" t="s">
        <v>37</v>
      </c>
      <c r="K325" s="6">
        <v>10.0</v>
      </c>
      <c r="L325" s="5"/>
      <c r="M325" s="5"/>
      <c r="N325" s="6" t="s">
        <v>40</v>
      </c>
      <c r="O325" s="5" t="s">
        <v>5363</v>
      </c>
      <c r="P325" s="6" t="s">
        <v>42</v>
      </c>
      <c r="Q325" s="5" t="s">
        <v>1237</v>
      </c>
      <c r="R325" s="5" t="s">
        <v>6527</v>
      </c>
      <c r="S325" s="6" t="s">
        <v>71</v>
      </c>
      <c r="T325" s="6">
        <v>6454.0</v>
      </c>
    </row>
    <row r="326" ht="56.25" customHeight="1">
      <c r="A326" s="5" t="s">
        <v>6508</v>
      </c>
      <c r="B326" s="6" t="str">
        <f>image("https://storage.googleapis.com/acdb/photos/BromideNpcNmlDuk00_Remake_4_0.png")</f>
        <v/>
      </c>
      <c r="C326" s="5" t="s">
        <v>1167</v>
      </c>
      <c r="D326" s="5" t="s">
        <v>1327</v>
      </c>
      <c r="E326" s="5" t="s">
        <v>34</v>
      </c>
      <c r="F326" s="5" t="s">
        <v>34</v>
      </c>
      <c r="G326" s="5" t="s">
        <v>36</v>
      </c>
      <c r="H326" s="5" t="s">
        <v>35</v>
      </c>
      <c r="I326" s="6">
        <v>1.0</v>
      </c>
      <c r="J326" s="6" t="s">
        <v>37</v>
      </c>
      <c r="K326" s="6">
        <v>10.0</v>
      </c>
      <c r="L326" s="5"/>
      <c r="M326" s="5"/>
      <c r="N326" s="6" t="s">
        <v>40</v>
      </c>
      <c r="O326" s="5" t="s">
        <v>5363</v>
      </c>
      <c r="P326" s="6" t="s">
        <v>42</v>
      </c>
      <c r="Q326" s="5" t="s">
        <v>1237</v>
      </c>
      <c r="R326" s="5" t="s">
        <v>6533</v>
      </c>
      <c r="S326" s="6" t="s">
        <v>75</v>
      </c>
      <c r="T326" s="6">
        <v>6454.0</v>
      </c>
    </row>
    <row r="327" ht="56.25" customHeight="1">
      <c r="A327" s="5" t="s">
        <v>6508</v>
      </c>
      <c r="B327" s="6" t="str">
        <f>image("https://storage.googleapis.com/acdb/photos/BromideNpcNmlDuk00_Remake_5_0.png")</f>
        <v/>
      </c>
      <c r="C327" s="5" t="s">
        <v>58</v>
      </c>
      <c r="D327" s="5" t="s">
        <v>1327</v>
      </c>
      <c r="E327" s="5" t="s">
        <v>34</v>
      </c>
      <c r="F327" s="5" t="s">
        <v>34</v>
      </c>
      <c r="G327" s="5" t="s">
        <v>36</v>
      </c>
      <c r="H327" s="5" t="s">
        <v>35</v>
      </c>
      <c r="I327" s="6">
        <v>1.0</v>
      </c>
      <c r="J327" s="6" t="s">
        <v>37</v>
      </c>
      <c r="K327" s="6">
        <v>10.0</v>
      </c>
      <c r="L327" s="5"/>
      <c r="M327" s="5"/>
      <c r="N327" s="6" t="s">
        <v>40</v>
      </c>
      <c r="O327" s="5" t="s">
        <v>5363</v>
      </c>
      <c r="P327" s="6" t="s">
        <v>42</v>
      </c>
      <c r="Q327" s="5" t="s">
        <v>1237</v>
      </c>
      <c r="R327" s="5" t="s">
        <v>6539</v>
      </c>
      <c r="S327" s="6" t="s">
        <v>79</v>
      </c>
      <c r="T327" s="6">
        <v>6454.0</v>
      </c>
    </row>
    <row r="328" ht="56.25" customHeight="1">
      <c r="A328" s="5" t="s">
        <v>6508</v>
      </c>
      <c r="B328" s="6" t="str">
        <f>image("https://storage.googleapis.com/acdb/photos/BromideNpcNmlDuk00_Remake_6_0.png")</f>
        <v/>
      </c>
      <c r="C328" s="5" t="s">
        <v>146</v>
      </c>
      <c r="D328" s="5" t="s">
        <v>1327</v>
      </c>
      <c r="E328" s="5" t="s">
        <v>34</v>
      </c>
      <c r="F328" s="5" t="s">
        <v>34</v>
      </c>
      <c r="G328" s="5" t="s">
        <v>36</v>
      </c>
      <c r="H328" s="5" t="s">
        <v>35</v>
      </c>
      <c r="I328" s="6">
        <v>1.0</v>
      </c>
      <c r="J328" s="6" t="s">
        <v>37</v>
      </c>
      <c r="K328" s="6">
        <v>10.0</v>
      </c>
      <c r="L328" s="5"/>
      <c r="M328" s="5"/>
      <c r="N328" s="6" t="s">
        <v>40</v>
      </c>
      <c r="O328" s="5" t="s">
        <v>5363</v>
      </c>
      <c r="P328" s="6" t="s">
        <v>42</v>
      </c>
      <c r="Q328" s="5" t="s">
        <v>1237</v>
      </c>
      <c r="R328" s="5" t="s">
        <v>6544</v>
      </c>
      <c r="S328" s="6" t="s">
        <v>86</v>
      </c>
      <c r="T328" s="6">
        <v>6454.0</v>
      </c>
    </row>
    <row r="329" ht="56.25" customHeight="1">
      <c r="A329" s="5" t="s">
        <v>6508</v>
      </c>
      <c r="B329" s="6" t="str">
        <f>image("https://storage.googleapis.com/acdb/photos/BromideNpcNmlDuk00_Remake_7_0.png")</f>
        <v/>
      </c>
      <c r="C329" s="5" t="s">
        <v>151</v>
      </c>
      <c r="D329" s="5" t="s">
        <v>1327</v>
      </c>
      <c r="E329" s="5" t="s">
        <v>34</v>
      </c>
      <c r="F329" s="5" t="s">
        <v>34</v>
      </c>
      <c r="G329" s="5" t="s">
        <v>36</v>
      </c>
      <c r="H329" s="5" t="s">
        <v>35</v>
      </c>
      <c r="I329" s="6">
        <v>1.0</v>
      </c>
      <c r="J329" s="6" t="s">
        <v>37</v>
      </c>
      <c r="K329" s="6">
        <v>10.0</v>
      </c>
      <c r="L329" s="5"/>
      <c r="M329" s="5"/>
      <c r="N329" s="6" t="s">
        <v>40</v>
      </c>
      <c r="O329" s="5" t="s">
        <v>5363</v>
      </c>
      <c r="P329" s="6" t="s">
        <v>42</v>
      </c>
      <c r="Q329" s="5" t="s">
        <v>1237</v>
      </c>
      <c r="R329" s="5" t="s">
        <v>6547</v>
      </c>
      <c r="S329" s="6" t="s">
        <v>208</v>
      </c>
      <c r="T329" s="6">
        <v>6454.0</v>
      </c>
    </row>
    <row r="330" ht="56.25" customHeight="1">
      <c r="A330" s="5" t="s">
        <v>6551</v>
      </c>
      <c r="B330" s="6" t="str">
        <f>image("https://storage.googleapis.com/acdb/photos/BromideNpcNmlGoa02_Remake_0_0.png")</f>
        <v/>
      </c>
      <c r="C330" s="5" t="s">
        <v>366</v>
      </c>
      <c r="D330" s="5" t="s">
        <v>1327</v>
      </c>
      <c r="E330" s="5" t="s">
        <v>34</v>
      </c>
      <c r="F330" s="5" t="s">
        <v>34</v>
      </c>
      <c r="G330" s="5" t="s">
        <v>36</v>
      </c>
      <c r="H330" s="5" t="s">
        <v>35</v>
      </c>
      <c r="I330" s="6">
        <v>1.0</v>
      </c>
      <c r="J330" s="6" t="s">
        <v>37</v>
      </c>
      <c r="K330" s="6">
        <v>10.0</v>
      </c>
      <c r="L330" s="5"/>
      <c r="M330" s="5"/>
      <c r="N330" s="6" t="s">
        <v>40</v>
      </c>
      <c r="O330" s="5" t="s">
        <v>5363</v>
      </c>
      <c r="P330" s="6" t="s">
        <v>42</v>
      </c>
      <c r="Q330" s="5" t="s">
        <v>1237</v>
      </c>
      <c r="R330" s="5" t="s">
        <v>6554</v>
      </c>
      <c r="S330" s="6" t="s">
        <v>50</v>
      </c>
      <c r="T330" s="6">
        <v>6506.0</v>
      </c>
    </row>
    <row r="331" ht="56.25" customHeight="1">
      <c r="A331" s="5" t="s">
        <v>6551</v>
      </c>
      <c r="B331" s="6" t="str">
        <f>image("https://storage.googleapis.com/acdb/photos/BromideNpcNmlGoa02_Remake_1_0.png")</f>
        <v/>
      </c>
      <c r="C331" s="5" t="s">
        <v>1132</v>
      </c>
      <c r="D331" s="5" t="s">
        <v>1327</v>
      </c>
      <c r="E331" s="5" t="s">
        <v>34</v>
      </c>
      <c r="F331" s="5" t="s">
        <v>34</v>
      </c>
      <c r="G331" s="5" t="s">
        <v>36</v>
      </c>
      <c r="H331" s="5" t="s">
        <v>35</v>
      </c>
      <c r="I331" s="6">
        <v>1.0</v>
      </c>
      <c r="J331" s="6" t="s">
        <v>37</v>
      </c>
      <c r="K331" s="6">
        <v>10.0</v>
      </c>
      <c r="L331" s="5"/>
      <c r="M331" s="5"/>
      <c r="N331" s="6" t="s">
        <v>40</v>
      </c>
      <c r="O331" s="5" t="s">
        <v>5363</v>
      </c>
      <c r="P331" s="6" t="s">
        <v>42</v>
      </c>
      <c r="Q331" s="5" t="s">
        <v>1237</v>
      </c>
      <c r="R331" s="5" t="s">
        <v>6561</v>
      </c>
      <c r="S331" s="6" t="s">
        <v>56</v>
      </c>
      <c r="T331" s="6">
        <v>6506.0</v>
      </c>
    </row>
    <row r="332" ht="56.25" customHeight="1">
      <c r="A332" s="5" t="s">
        <v>6551</v>
      </c>
      <c r="B332" s="6" t="str">
        <f>image("https://storage.googleapis.com/acdb/photos/BromideNpcNmlGoa02_Remake_2_0.png")</f>
        <v/>
      </c>
      <c r="C332" s="5" t="s">
        <v>688</v>
      </c>
      <c r="D332" s="5" t="s">
        <v>1327</v>
      </c>
      <c r="E332" s="5" t="s">
        <v>34</v>
      </c>
      <c r="F332" s="5" t="s">
        <v>34</v>
      </c>
      <c r="G332" s="5" t="s">
        <v>36</v>
      </c>
      <c r="H332" s="5" t="s">
        <v>35</v>
      </c>
      <c r="I332" s="6">
        <v>1.0</v>
      </c>
      <c r="J332" s="6" t="s">
        <v>37</v>
      </c>
      <c r="K332" s="6">
        <v>10.0</v>
      </c>
      <c r="L332" s="5"/>
      <c r="M332" s="5"/>
      <c r="N332" s="6" t="s">
        <v>40</v>
      </c>
      <c r="O332" s="5" t="s">
        <v>5363</v>
      </c>
      <c r="P332" s="6" t="s">
        <v>42</v>
      </c>
      <c r="Q332" s="5" t="s">
        <v>1237</v>
      </c>
      <c r="R332" s="5" t="s">
        <v>6565</v>
      </c>
      <c r="S332" s="6" t="s">
        <v>67</v>
      </c>
      <c r="T332" s="6">
        <v>6506.0</v>
      </c>
    </row>
    <row r="333" ht="56.25" customHeight="1">
      <c r="A333" s="5" t="s">
        <v>6551</v>
      </c>
      <c r="B333" s="6" t="str">
        <f>image("https://storage.googleapis.com/acdb/photos/BromideNpcNmlGoa02_Remake_3_0.png")</f>
        <v/>
      </c>
      <c r="C333" s="5" t="s">
        <v>57</v>
      </c>
      <c r="D333" s="5" t="s">
        <v>1327</v>
      </c>
      <c r="E333" s="5" t="s">
        <v>34</v>
      </c>
      <c r="F333" s="5" t="s">
        <v>34</v>
      </c>
      <c r="G333" s="5" t="s">
        <v>36</v>
      </c>
      <c r="H333" s="5" t="s">
        <v>35</v>
      </c>
      <c r="I333" s="6">
        <v>1.0</v>
      </c>
      <c r="J333" s="6" t="s">
        <v>37</v>
      </c>
      <c r="K333" s="6">
        <v>10.0</v>
      </c>
      <c r="L333" s="5"/>
      <c r="M333" s="5"/>
      <c r="N333" s="6" t="s">
        <v>40</v>
      </c>
      <c r="O333" s="5" t="s">
        <v>5363</v>
      </c>
      <c r="P333" s="6" t="s">
        <v>42</v>
      </c>
      <c r="Q333" s="5" t="s">
        <v>1237</v>
      </c>
      <c r="R333" s="5" t="s">
        <v>6568</v>
      </c>
      <c r="S333" s="6" t="s">
        <v>71</v>
      </c>
      <c r="T333" s="6">
        <v>6506.0</v>
      </c>
    </row>
    <row r="334" ht="56.25" customHeight="1">
      <c r="A334" s="5" t="s">
        <v>6551</v>
      </c>
      <c r="B334" s="6" t="str">
        <f>image("https://storage.googleapis.com/acdb/photos/BromideNpcNmlGoa02_Remake_4_0.png")</f>
        <v/>
      </c>
      <c r="C334" s="5" t="s">
        <v>1167</v>
      </c>
      <c r="D334" s="5" t="s">
        <v>1327</v>
      </c>
      <c r="E334" s="5" t="s">
        <v>34</v>
      </c>
      <c r="F334" s="5" t="s">
        <v>34</v>
      </c>
      <c r="G334" s="5" t="s">
        <v>36</v>
      </c>
      <c r="H334" s="5" t="s">
        <v>35</v>
      </c>
      <c r="I334" s="6">
        <v>1.0</v>
      </c>
      <c r="J334" s="6" t="s">
        <v>37</v>
      </c>
      <c r="K334" s="6">
        <v>10.0</v>
      </c>
      <c r="L334" s="5"/>
      <c r="M334" s="5"/>
      <c r="N334" s="6" t="s">
        <v>40</v>
      </c>
      <c r="O334" s="5" t="s">
        <v>5363</v>
      </c>
      <c r="P334" s="6" t="s">
        <v>42</v>
      </c>
      <c r="Q334" s="5" t="s">
        <v>1237</v>
      </c>
      <c r="R334" s="5" t="s">
        <v>6572</v>
      </c>
      <c r="S334" s="6" t="s">
        <v>75</v>
      </c>
      <c r="T334" s="6">
        <v>6506.0</v>
      </c>
    </row>
    <row r="335" ht="56.25" customHeight="1">
      <c r="A335" s="5" t="s">
        <v>6551</v>
      </c>
      <c r="B335" s="6" t="str">
        <f>image("https://storage.googleapis.com/acdb/photos/BromideNpcNmlGoa02_Remake_5_0.png")</f>
        <v/>
      </c>
      <c r="C335" s="5" t="s">
        <v>58</v>
      </c>
      <c r="D335" s="5" t="s">
        <v>1327</v>
      </c>
      <c r="E335" s="5" t="s">
        <v>34</v>
      </c>
      <c r="F335" s="5" t="s">
        <v>34</v>
      </c>
      <c r="G335" s="5" t="s">
        <v>36</v>
      </c>
      <c r="H335" s="5" t="s">
        <v>35</v>
      </c>
      <c r="I335" s="6">
        <v>1.0</v>
      </c>
      <c r="J335" s="6" t="s">
        <v>37</v>
      </c>
      <c r="K335" s="6">
        <v>10.0</v>
      </c>
      <c r="L335" s="5"/>
      <c r="M335" s="5"/>
      <c r="N335" s="6" t="s">
        <v>40</v>
      </c>
      <c r="O335" s="5" t="s">
        <v>5363</v>
      </c>
      <c r="P335" s="6" t="s">
        <v>42</v>
      </c>
      <c r="Q335" s="5" t="s">
        <v>1237</v>
      </c>
      <c r="R335" s="5" t="s">
        <v>6577</v>
      </c>
      <c r="S335" s="6" t="s">
        <v>79</v>
      </c>
      <c r="T335" s="6">
        <v>6506.0</v>
      </c>
    </row>
    <row r="336" ht="56.25" customHeight="1">
      <c r="A336" s="5" t="s">
        <v>6551</v>
      </c>
      <c r="B336" s="6" t="str">
        <f>image("https://storage.googleapis.com/acdb/photos/BromideNpcNmlGoa02_Remake_6_0.png")</f>
        <v/>
      </c>
      <c r="C336" s="5" t="s">
        <v>146</v>
      </c>
      <c r="D336" s="5" t="s">
        <v>1327</v>
      </c>
      <c r="E336" s="5" t="s">
        <v>34</v>
      </c>
      <c r="F336" s="5" t="s">
        <v>34</v>
      </c>
      <c r="G336" s="5" t="s">
        <v>36</v>
      </c>
      <c r="H336" s="5" t="s">
        <v>35</v>
      </c>
      <c r="I336" s="6">
        <v>1.0</v>
      </c>
      <c r="J336" s="6" t="s">
        <v>37</v>
      </c>
      <c r="K336" s="6">
        <v>10.0</v>
      </c>
      <c r="L336" s="5"/>
      <c r="M336" s="5"/>
      <c r="N336" s="6" t="s">
        <v>40</v>
      </c>
      <c r="O336" s="5" t="s">
        <v>5363</v>
      </c>
      <c r="P336" s="6" t="s">
        <v>42</v>
      </c>
      <c r="Q336" s="5" t="s">
        <v>1237</v>
      </c>
      <c r="R336" s="5" t="s">
        <v>6579</v>
      </c>
      <c r="S336" s="6" t="s">
        <v>86</v>
      </c>
      <c r="T336" s="6">
        <v>6506.0</v>
      </c>
    </row>
    <row r="337" ht="56.25" customHeight="1">
      <c r="A337" s="5" t="s">
        <v>6551</v>
      </c>
      <c r="B337" s="6" t="str">
        <f>image("https://storage.googleapis.com/acdb/photos/BromideNpcNmlGoa02_Remake_7_0.png")</f>
        <v/>
      </c>
      <c r="C337" s="5" t="s">
        <v>151</v>
      </c>
      <c r="D337" s="5" t="s">
        <v>1327</v>
      </c>
      <c r="E337" s="5" t="s">
        <v>34</v>
      </c>
      <c r="F337" s="5" t="s">
        <v>34</v>
      </c>
      <c r="G337" s="5" t="s">
        <v>36</v>
      </c>
      <c r="H337" s="5" t="s">
        <v>35</v>
      </c>
      <c r="I337" s="6">
        <v>1.0</v>
      </c>
      <c r="J337" s="6" t="s">
        <v>37</v>
      </c>
      <c r="K337" s="6">
        <v>10.0</v>
      </c>
      <c r="L337" s="5"/>
      <c r="M337" s="5"/>
      <c r="N337" s="6" t="s">
        <v>40</v>
      </c>
      <c r="O337" s="5" t="s">
        <v>5363</v>
      </c>
      <c r="P337" s="6" t="s">
        <v>42</v>
      </c>
      <c r="Q337" s="5" t="s">
        <v>1237</v>
      </c>
      <c r="R337" s="5" t="s">
        <v>6584</v>
      </c>
      <c r="S337" s="6" t="s">
        <v>208</v>
      </c>
      <c r="T337" s="6">
        <v>6506.0</v>
      </c>
    </row>
    <row r="338" ht="56.25" customHeight="1">
      <c r="A338" s="5" t="s">
        <v>6586</v>
      </c>
      <c r="B338" s="6" t="str">
        <f>image("https://storage.googleapis.com/acdb/photos/BromideNpcNmlDog03_Remake_0_0.png")</f>
        <v/>
      </c>
      <c r="C338" s="5" t="s">
        <v>366</v>
      </c>
      <c r="D338" s="5" t="s">
        <v>1327</v>
      </c>
      <c r="E338" s="5" t="s">
        <v>34</v>
      </c>
      <c r="F338" s="5" t="s">
        <v>34</v>
      </c>
      <c r="G338" s="5" t="s">
        <v>36</v>
      </c>
      <c r="H338" s="5" t="s">
        <v>35</v>
      </c>
      <c r="I338" s="6">
        <v>1.0</v>
      </c>
      <c r="J338" s="6" t="s">
        <v>37</v>
      </c>
      <c r="K338" s="6">
        <v>10.0</v>
      </c>
      <c r="L338" s="5"/>
      <c r="M338" s="5"/>
      <c r="N338" s="6" t="s">
        <v>40</v>
      </c>
      <c r="O338" s="5" t="s">
        <v>5363</v>
      </c>
      <c r="P338" s="6" t="s">
        <v>42</v>
      </c>
      <c r="Q338" s="5" t="s">
        <v>1237</v>
      </c>
      <c r="R338" s="5" t="s">
        <v>6588</v>
      </c>
      <c r="S338" s="6" t="s">
        <v>50</v>
      </c>
      <c r="T338" s="6">
        <v>6440.0</v>
      </c>
    </row>
    <row r="339" ht="56.25" customHeight="1">
      <c r="A339" s="5" t="s">
        <v>6586</v>
      </c>
      <c r="B339" s="6" t="str">
        <f>image("https://storage.googleapis.com/acdb/photos/BromideNpcNmlDog03_Remake_1_0.png")</f>
        <v/>
      </c>
      <c r="C339" s="5" t="s">
        <v>1132</v>
      </c>
      <c r="D339" s="5" t="s">
        <v>1327</v>
      </c>
      <c r="E339" s="5" t="s">
        <v>34</v>
      </c>
      <c r="F339" s="5" t="s">
        <v>34</v>
      </c>
      <c r="G339" s="5" t="s">
        <v>36</v>
      </c>
      <c r="H339" s="5" t="s">
        <v>35</v>
      </c>
      <c r="I339" s="6">
        <v>1.0</v>
      </c>
      <c r="J339" s="6" t="s">
        <v>37</v>
      </c>
      <c r="K339" s="6">
        <v>10.0</v>
      </c>
      <c r="L339" s="5"/>
      <c r="M339" s="5"/>
      <c r="N339" s="6" t="s">
        <v>40</v>
      </c>
      <c r="O339" s="5" t="s">
        <v>5363</v>
      </c>
      <c r="P339" s="6" t="s">
        <v>42</v>
      </c>
      <c r="Q339" s="5" t="s">
        <v>1237</v>
      </c>
      <c r="R339" s="5" t="s">
        <v>6594</v>
      </c>
      <c r="S339" s="6" t="s">
        <v>56</v>
      </c>
      <c r="T339" s="6">
        <v>6440.0</v>
      </c>
    </row>
    <row r="340" ht="56.25" customHeight="1">
      <c r="A340" s="5" t="s">
        <v>6586</v>
      </c>
      <c r="B340" s="6" t="str">
        <f>image("https://storage.googleapis.com/acdb/photos/BromideNpcNmlDog03_Remake_2_0.png")</f>
        <v/>
      </c>
      <c r="C340" s="5" t="s">
        <v>688</v>
      </c>
      <c r="D340" s="5" t="s">
        <v>1327</v>
      </c>
      <c r="E340" s="5" t="s">
        <v>34</v>
      </c>
      <c r="F340" s="5" t="s">
        <v>34</v>
      </c>
      <c r="G340" s="5" t="s">
        <v>36</v>
      </c>
      <c r="H340" s="5" t="s">
        <v>35</v>
      </c>
      <c r="I340" s="6">
        <v>1.0</v>
      </c>
      <c r="J340" s="6" t="s">
        <v>37</v>
      </c>
      <c r="K340" s="6">
        <v>10.0</v>
      </c>
      <c r="L340" s="5"/>
      <c r="M340" s="5"/>
      <c r="N340" s="6" t="s">
        <v>40</v>
      </c>
      <c r="O340" s="5" t="s">
        <v>5363</v>
      </c>
      <c r="P340" s="6" t="s">
        <v>42</v>
      </c>
      <c r="Q340" s="5" t="s">
        <v>1237</v>
      </c>
      <c r="R340" s="5" t="s">
        <v>6599</v>
      </c>
      <c r="S340" s="6" t="s">
        <v>67</v>
      </c>
      <c r="T340" s="6">
        <v>6440.0</v>
      </c>
    </row>
    <row r="341" ht="56.25" customHeight="1">
      <c r="A341" s="5" t="s">
        <v>6586</v>
      </c>
      <c r="B341" s="6" t="str">
        <f>image("https://storage.googleapis.com/acdb/photos/BromideNpcNmlDog03_Remake_3_0.png")</f>
        <v/>
      </c>
      <c r="C341" s="5" t="s">
        <v>57</v>
      </c>
      <c r="D341" s="5" t="s">
        <v>1327</v>
      </c>
      <c r="E341" s="5" t="s">
        <v>34</v>
      </c>
      <c r="F341" s="5" t="s">
        <v>34</v>
      </c>
      <c r="G341" s="5" t="s">
        <v>36</v>
      </c>
      <c r="H341" s="5" t="s">
        <v>35</v>
      </c>
      <c r="I341" s="6">
        <v>1.0</v>
      </c>
      <c r="J341" s="6" t="s">
        <v>37</v>
      </c>
      <c r="K341" s="6">
        <v>10.0</v>
      </c>
      <c r="L341" s="5"/>
      <c r="M341" s="5"/>
      <c r="N341" s="6" t="s">
        <v>40</v>
      </c>
      <c r="O341" s="5" t="s">
        <v>5363</v>
      </c>
      <c r="P341" s="6" t="s">
        <v>42</v>
      </c>
      <c r="Q341" s="5" t="s">
        <v>1237</v>
      </c>
      <c r="R341" s="5" t="s">
        <v>6605</v>
      </c>
      <c r="S341" s="6" t="s">
        <v>71</v>
      </c>
      <c r="T341" s="6">
        <v>6440.0</v>
      </c>
    </row>
    <row r="342" ht="56.25" customHeight="1">
      <c r="A342" s="5" t="s">
        <v>6586</v>
      </c>
      <c r="B342" s="6" t="str">
        <f>image("https://storage.googleapis.com/acdb/photos/BromideNpcNmlDog03_Remake_4_0.png")</f>
        <v/>
      </c>
      <c r="C342" s="5" t="s">
        <v>1167</v>
      </c>
      <c r="D342" s="5" t="s">
        <v>1327</v>
      </c>
      <c r="E342" s="5" t="s">
        <v>34</v>
      </c>
      <c r="F342" s="5" t="s">
        <v>34</v>
      </c>
      <c r="G342" s="5" t="s">
        <v>36</v>
      </c>
      <c r="H342" s="5" t="s">
        <v>35</v>
      </c>
      <c r="I342" s="6">
        <v>1.0</v>
      </c>
      <c r="J342" s="6" t="s">
        <v>37</v>
      </c>
      <c r="K342" s="6">
        <v>10.0</v>
      </c>
      <c r="L342" s="5"/>
      <c r="M342" s="5"/>
      <c r="N342" s="6" t="s">
        <v>40</v>
      </c>
      <c r="O342" s="5" t="s">
        <v>5363</v>
      </c>
      <c r="P342" s="6" t="s">
        <v>42</v>
      </c>
      <c r="Q342" s="5" t="s">
        <v>1237</v>
      </c>
      <c r="R342" s="5" t="s">
        <v>6611</v>
      </c>
      <c r="S342" s="6" t="s">
        <v>75</v>
      </c>
      <c r="T342" s="6">
        <v>6440.0</v>
      </c>
    </row>
    <row r="343" ht="56.25" customHeight="1">
      <c r="A343" s="5" t="s">
        <v>6586</v>
      </c>
      <c r="B343" s="6" t="str">
        <f>image("https://storage.googleapis.com/acdb/photos/BromideNpcNmlDog03_Remake_5_0.png")</f>
        <v/>
      </c>
      <c r="C343" s="5" t="s">
        <v>58</v>
      </c>
      <c r="D343" s="5" t="s">
        <v>1327</v>
      </c>
      <c r="E343" s="5" t="s">
        <v>34</v>
      </c>
      <c r="F343" s="5" t="s">
        <v>34</v>
      </c>
      <c r="G343" s="5" t="s">
        <v>36</v>
      </c>
      <c r="H343" s="5" t="s">
        <v>35</v>
      </c>
      <c r="I343" s="6">
        <v>1.0</v>
      </c>
      <c r="J343" s="6" t="s">
        <v>37</v>
      </c>
      <c r="K343" s="6">
        <v>10.0</v>
      </c>
      <c r="L343" s="5"/>
      <c r="M343" s="5"/>
      <c r="N343" s="6" t="s">
        <v>40</v>
      </c>
      <c r="O343" s="5" t="s">
        <v>5363</v>
      </c>
      <c r="P343" s="6" t="s">
        <v>42</v>
      </c>
      <c r="Q343" s="5" t="s">
        <v>1237</v>
      </c>
      <c r="R343" s="5" t="s">
        <v>6615</v>
      </c>
      <c r="S343" s="6" t="s">
        <v>79</v>
      </c>
      <c r="T343" s="6">
        <v>6440.0</v>
      </c>
    </row>
    <row r="344" ht="56.25" customHeight="1">
      <c r="A344" s="5" t="s">
        <v>6586</v>
      </c>
      <c r="B344" s="6" t="str">
        <f>image("https://storage.googleapis.com/acdb/photos/BromideNpcNmlDog03_Remake_6_0.png")</f>
        <v/>
      </c>
      <c r="C344" s="5" t="s">
        <v>146</v>
      </c>
      <c r="D344" s="5" t="s">
        <v>1327</v>
      </c>
      <c r="E344" s="5" t="s">
        <v>34</v>
      </c>
      <c r="F344" s="5" t="s">
        <v>34</v>
      </c>
      <c r="G344" s="5" t="s">
        <v>36</v>
      </c>
      <c r="H344" s="5" t="s">
        <v>35</v>
      </c>
      <c r="I344" s="6">
        <v>1.0</v>
      </c>
      <c r="J344" s="6" t="s">
        <v>37</v>
      </c>
      <c r="K344" s="6">
        <v>10.0</v>
      </c>
      <c r="L344" s="5"/>
      <c r="M344" s="5"/>
      <c r="N344" s="6" t="s">
        <v>40</v>
      </c>
      <c r="O344" s="5" t="s">
        <v>5363</v>
      </c>
      <c r="P344" s="6" t="s">
        <v>42</v>
      </c>
      <c r="Q344" s="5" t="s">
        <v>1237</v>
      </c>
      <c r="R344" s="5" t="s">
        <v>6620</v>
      </c>
      <c r="S344" s="6" t="s">
        <v>86</v>
      </c>
      <c r="T344" s="6">
        <v>6440.0</v>
      </c>
    </row>
    <row r="345" ht="56.25" customHeight="1">
      <c r="A345" s="5" t="s">
        <v>6586</v>
      </c>
      <c r="B345" s="6" t="str">
        <f>image("https://storage.googleapis.com/acdb/photos/BromideNpcNmlDog03_Remake_7_0.png")</f>
        <v/>
      </c>
      <c r="C345" s="5" t="s">
        <v>151</v>
      </c>
      <c r="D345" s="5" t="s">
        <v>1327</v>
      </c>
      <c r="E345" s="5" t="s">
        <v>34</v>
      </c>
      <c r="F345" s="5" t="s">
        <v>34</v>
      </c>
      <c r="G345" s="5" t="s">
        <v>36</v>
      </c>
      <c r="H345" s="5" t="s">
        <v>35</v>
      </c>
      <c r="I345" s="6">
        <v>1.0</v>
      </c>
      <c r="J345" s="6" t="s">
        <v>37</v>
      </c>
      <c r="K345" s="6">
        <v>10.0</v>
      </c>
      <c r="L345" s="5"/>
      <c r="M345" s="5"/>
      <c r="N345" s="6" t="s">
        <v>40</v>
      </c>
      <c r="O345" s="5" t="s">
        <v>5363</v>
      </c>
      <c r="P345" s="6" t="s">
        <v>42</v>
      </c>
      <c r="Q345" s="5" t="s">
        <v>1237</v>
      </c>
      <c r="R345" s="5" t="s">
        <v>6626</v>
      </c>
      <c r="S345" s="6" t="s">
        <v>208</v>
      </c>
      <c r="T345" s="6">
        <v>6440.0</v>
      </c>
    </row>
    <row r="346" ht="56.25" customHeight="1">
      <c r="A346" s="5" t="s">
        <v>6629</v>
      </c>
      <c r="B346" s="6" t="str">
        <f>image("https://storage.googleapis.com/acdb/photos/BromideNpcNmlHip05_Remake_0_0.png")</f>
        <v/>
      </c>
      <c r="C346" s="5" t="s">
        <v>366</v>
      </c>
      <c r="D346" s="5" t="s">
        <v>1327</v>
      </c>
      <c r="E346" s="5" t="s">
        <v>34</v>
      </c>
      <c r="F346" s="5" t="s">
        <v>34</v>
      </c>
      <c r="G346" s="5" t="s">
        <v>36</v>
      </c>
      <c r="H346" s="5" t="s">
        <v>35</v>
      </c>
      <c r="I346" s="6">
        <v>1.0</v>
      </c>
      <c r="J346" s="6" t="s">
        <v>37</v>
      </c>
      <c r="K346" s="6">
        <v>10.0</v>
      </c>
      <c r="L346" s="5"/>
      <c r="M346" s="5"/>
      <c r="N346" s="6" t="s">
        <v>40</v>
      </c>
      <c r="O346" s="5" t="s">
        <v>5363</v>
      </c>
      <c r="P346" s="6" t="s">
        <v>42</v>
      </c>
      <c r="Q346" s="5" t="s">
        <v>1237</v>
      </c>
      <c r="R346" s="5" t="s">
        <v>6635</v>
      </c>
      <c r="S346" s="6" t="s">
        <v>50</v>
      </c>
      <c r="T346" s="6">
        <v>6534.0</v>
      </c>
    </row>
    <row r="347" ht="56.25" customHeight="1">
      <c r="A347" s="5" t="s">
        <v>6629</v>
      </c>
      <c r="B347" s="6" t="str">
        <f>image("https://storage.googleapis.com/acdb/photos/BromideNpcNmlHip05_Remake_1_0.png")</f>
        <v/>
      </c>
      <c r="C347" s="5" t="s">
        <v>1132</v>
      </c>
      <c r="D347" s="5" t="s">
        <v>1327</v>
      </c>
      <c r="E347" s="5" t="s">
        <v>34</v>
      </c>
      <c r="F347" s="5" t="s">
        <v>34</v>
      </c>
      <c r="G347" s="5" t="s">
        <v>36</v>
      </c>
      <c r="H347" s="5" t="s">
        <v>35</v>
      </c>
      <c r="I347" s="6">
        <v>1.0</v>
      </c>
      <c r="J347" s="6" t="s">
        <v>37</v>
      </c>
      <c r="K347" s="6">
        <v>10.0</v>
      </c>
      <c r="L347" s="5"/>
      <c r="M347" s="5"/>
      <c r="N347" s="6" t="s">
        <v>40</v>
      </c>
      <c r="O347" s="5" t="s">
        <v>5363</v>
      </c>
      <c r="P347" s="6" t="s">
        <v>42</v>
      </c>
      <c r="Q347" s="5" t="s">
        <v>1237</v>
      </c>
      <c r="R347" s="5" t="s">
        <v>6640</v>
      </c>
      <c r="S347" s="6" t="s">
        <v>56</v>
      </c>
      <c r="T347" s="6">
        <v>6534.0</v>
      </c>
    </row>
    <row r="348" ht="56.25" customHeight="1">
      <c r="A348" s="5" t="s">
        <v>6629</v>
      </c>
      <c r="B348" s="6" t="str">
        <f>image("https://storage.googleapis.com/acdb/photos/BromideNpcNmlHip05_Remake_2_0.png")</f>
        <v/>
      </c>
      <c r="C348" s="5" t="s">
        <v>688</v>
      </c>
      <c r="D348" s="5" t="s">
        <v>1327</v>
      </c>
      <c r="E348" s="5" t="s">
        <v>34</v>
      </c>
      <c r="F348" s="5" t="s">
        <v>34</v>
      </c>
      <c r="G348" s="5" t="s">
        <v>36</v>
      </c>
      <c r="H348" s="5" t="s">
        <v>35</v>
      </c>
      <c r="I348" s="6">
        <v>1.0</v>
      </c>
      <c r="J348" s="6" t="s">
        <v>37</v>
      </c>
      <c r="K348" s="6">
        <v>10.0</v>
      </c>
      <c r="L348" s="5"/>
      <c r="M348" s="5"/>
      <c r="N348" s="6" t="s">
        <v>40</v>
      </c>
      <c r="O348" s="5" t="s">
        <v>5363</v>
      </c>
      <c r="P348" s="6" t="s">
        <v>42</v>
      </c>
      <c r="Q348" s="5" t="s">
        <v>1237</v>
      </c>
      <c r="R348" s="5" t="s">
        <v>6646</v>
      </c>
      <c r="S348" s="6" t="s">
        <v>67</v>
      </c>
      <c r="T348" s="6">
        <v>6534.0</v>
      </c>
    </row>
    <row r="349" ht="56.25" customHeight="1">
      <c r="A349" s="5" t="s">
        <v>6629</v>
      </c>
      <c r="B349" s="6" t="str">
        <f>image("https://storage.googleapis.com/acdb/photos/BromideNpcNmlHip05_Remake_3_0.png")</f>
        <v/>
      </c>
      <c r="C349" s="5" t="s">
        <v>57</v>
      </c>
      <c r="D349" s="5" t="s">
        <v>1327</v>
      </c>
      <c r="E349" s="5" t="s">
        <v>34</v>
      </c>
      <c r="F349" s="5" t="s">
        <v>34</v>
      </c>
      <c r="G349" s="5" t="s">
        <v>36</v>
      </c>
      <c r="H349" s="5" t="s">
        <v>35</v>
      </c>
      <c r="I349" s="6">
        <v>1.0</v>
      </c>
      <c r="J349" s="6" t="s">
        <v>37</v>
      </c>
      <c r="K349" s="6">
        <v>10.0</v>
      </c>
      <c r="L349" s="5"/>
      <c r="M349" s="5"/>
      <c r="N349" s="6" t="s">
        <v>40</v>
      </c>
      <c r="O349" s="5" t="s">
        <v>5363</v>
      </c>
      <c r="P349" s="6" t="s">
        <v>42</v>
      </c>
      <c r="Q349" s="5" t="s">
        <v>1237</v>
      </c>
      <c r="R349" s="5" t="s">
        <v>6650</v>
      </c>
      <c r="S349" s="6" t="s">
        <v>71</v>
      </c>
      <c r="T349" s="6">
        <v>6534.0</v>
      </c>
    </row>
    <row r="350" ht="56.25" customHeight="1">
      <c r="A350" s="5" t="s">
        <v>6629</v>
      </c>
      <c r="B350" s="6" t="str">
        <f>image("https://storage.googleapis.com/acdb/photos/BromideNpcNmlHip05_Remake_4_0.png")</f>
        <v/>
      </c>
      <c r="C350" s="5" t="s">
        <v>1167</v>
      </c>
      <c r="D350" s="5" t="s">
        <v>1327</v>
      </c>
      <c r="E350" s="5" t="s">
        <v>34</v>
      </c>
      <c r="F350" s="5" t="s">
        <v>34</v>
      </c>
      <c r="G350" s="5" t="s">
        <v>36</v>
      </c>
      <c r="H350" s="5" t="s">
        <v>35</v>
      </c>
      <c r="I350" s="6">
        <v>1.0</v>
      </c>
      <c r="J350" s="6" t="s">
        <v>37</v>
      </c>
      <c r="K350" s="6">
        <v>10.0</v>
      </c>
      <c r="L350" s="5"/>
      <c r="M350" s="5"/>
      <c r="N350" s="6" t="s">
        <v>40</v>
      </c>
      <c r="O350" s="5" t="s">
        <v>5363</v>
      </c>
      <c r="P350" s="6" t="s">
        <v>42</v>
      </c>
      <c r="Q350" s="5" t="s">
        <v>1237</v>
      </c>
      <c r="R350" s="5" t="s">
        <v>6656</v>
      </c>
      <c r="S350" s="6" t="s">
        <v>75</v>
      </c>
      <c r="T350" s="6">
        <v>6534.0</v>
      </c>
    </row>
    <row r="351" ht="56.25" customHeight="1">
      <c r="A351" s="5" t="s">
        <v>6629</v>
      </c>
      <c r="B351" s="6" t="str">
        <f>image("https://storage.googleapis.com/acdb/photos/BromideNpcNmlHip05_Remake_5_0.png")</f>
        <v/>
      </c>
      <c r="C351" s="5" t="s">
        <v>58</v>
      </c>
      <c r="D351" s="5" t="s">
        <v>1327</v>
      </c>
      <c r="E351" s="5" t="s">
        <v>34</v>
      </c>
      <c r="F351" s="5" t="s">
        <v>34</v>
      </c>
      <c r="G351" s="5" t="s">
        <v>36</v>
      </c>
      <c r="H351" s="5" t="s">
        <v>35</v>
      </c>
      <c r="I351" s="6">
        <v>1.0</v>
      </c>
      <c r="J351" s="6" t="s">
        <v>37</v>
      </c>
      <c r="K351" s="6">
        <v>10.0</v>
      </c>
      <c r="L351" s="5"/>
      <c r="M351" s="5"/>
      <c r="N351" s="6" t="s">
        <v>40</v>
      </c>
      <c r="O351" s="5" t="s">
        <v>5363</v>
      </c>
      <c r="P351" s="6" t="s">
        <v>42</v>
      </c>
      <c r="Q351" s="5" t="s">
        <v>1237</v>
      </c>
      <c r="R351" s="5" t="s">
        <v>6662</v>
      </c>
      <c r="S351" s="6" t="s">
        <v>79</v>
      </c>
      <c r="T351" s="6">
        <v>6534.0</v>
      </c>
    </row>
    <row r="352" ht="56.25" customHeight="1">
      <c r="A352" s="5" t="s">
        <v>6629</v>
      </c>
      <c r="B352" s="6" t="str">
        <f>image("https://storage.googleapis.com/acdb/photos/BromideNpcNmlHip05_Remake_6_0.png")</f>
        <v/>
      </c>
      <c r="C352" s="5" t="s">
        <v>146</v>
      </c>
      <c r="D352" s="5" t="s">
        <v>1327</v>
      </c>
      <c r="E352" s="5" t="s">
        <v>34</v>
      </c>
      <c r="F352" s="5" t="s">
        <v>34</v>
      </c>
      <c r="G352" s="5" t="s">
        <v>36</v>
      </c>
      <c r="H352" s="5" t="s">
        <v>35</v>
      </c>
      <c r="I352" s="6">
        <v>1.0</v>
      </c>
      <c r="J352" s="6" t="s">
        <v>37</v>
      </c>
      <c r="K352" s="6">
        <v>10.0</v>
      </c>
      <c r="L352" s="5"/>
      <c r="M352" s="5"/>
      <c r="N352" s="6" t="s">
        <v>40</v>
      </c>
      <c r="O352" s="5" t="s">
        <v>5363</v>
      </c>
      <c r="P352" s="6" t="s">
        <v>42</v>
      </c>
      <c r="Q352" s="5" t="s">
        <v>1237</v>
      </c>
      <c r="R352" s="5" t="s">
        <v>6666</v>
      </c>
      <c r="S352" s="6" t="s">
        <v>86</v>
      </c>
      <c r="T352" s="6">
        <v>6534.0</v>
      </c>
    </row>
    <row r="353" ht="56.25" customHeight="1">
      <c r="A353" s="5" t="s">
        <v>6629</v>
      </c>
      <c r="B353" s="6" t="str">
        <f>image("https://storage.googleapis.com/acdb/photos/BromideNpcNmlHip05_Remake_7_0.png")</f>
        <v/>
      </c>
      <c r="C353" s="5" t="s">
        <v>151</v>
      </c>
      <c r="D353" s="5" t="s">
        <v>1327</v>
      </c>
      <c r="E353" s="5" t="s">
        <v>34</v>
      </c>
      <c r="F353" s="5" t="s">
        <v>34</v>
      </c>
      <c r="G353" s="5" t="s">
        <v>36</v>
      </c>
      <c r="H353" s="5" t="s">
        <v>35</v>
      </c>
      <c r="I353" s="6">
        <v>1.0</v>
      </c>
      <c r="J353" s="6" t="s">
        <v>37</v>
      </c>
      <c r="K353" s="6">
        <v>10.0</v>
      </c>
      <c r="L353" s="5"/>
      <c r="M353" s="5"/>
      <c r="N353" s="6" t="s">
        <v>40</v>
      </c>
      <c r="O353" s="5" t="s">
        <v>5363</v>
      </c>
      <c r="P353" s="6" t="s">
        <v>42</v>
      </c>
      <c r="Q353" s="5" t="s">
        <v>1237</v>
      </c>
      <c r="R353" s="5" t="s">
        <v>6670</v>
      </c>
      <c r="S353" s="6" t="s">
        <v>208</v>
      </c>
      <c r="T353" s="6">
        <v>6534.0</v>
      </c>
    </row>
    <row r="354" ht="56.25" customHeight="1">
      <c r="A354" s="5" t="s">
        <v>6671</v>
      </c>
      <c r="B354" s="6" t="str">
        <f>image("https://storage.googleapis.com/acdb/photos/BromideNpcNmlSqu01_Remake_0_0.png")</f>
        <v/>
      </c>
      <c r="C354" s="5" t="s">
        <v>366</v>
      </c>
      <c r="D354" s="5" t="s">
        <v>1327</v>
      </c>
      <c r="E354" s="5" t="s">
        <v>34</v>
      </c>
      <c r="F354" s="5" t="s">
        <v>34</v>
      </c>
      <c r="G354" s="5" t="s">
        <v>36</v>
      </c>
      <c r="H354" s="5" t="s">
        <v>35</v>
      </c>
      <c r="I354" s="6">
        <v>1.0</v>
      </c>
      <c r="J354" s="6" t="s">
        <v>37</v>
      </c>
      <c r="K354" s="6">
        <v>10.0</v>
      </c>
      <c r="L354" s="5"/>
      <c r="M354" s="5"/>
      <c r="N354" s="6" t="s">
        <v>40</v>
      </c>
      <c r="O354" s="5" t="s">
        <v>5363</v>
      </c>
      <c r="P354" s="6" t="s">
        <v>42</v>
      </c>
      <c r="Q354" s="5" t="s">
        <v>1237</v>
      </c>
      <c r="R354" s="5" t="s">
        <v>6674</v>
      </c>
      <c r="S354" s="6" t="s">
        <v>50</v>
      </c>
      <c r="T354" s="6">
        <v>6705.0</v>
      </c>
    </row>
    <row r="355" ht="56.25" customHeight="1">
      <c r="A355" s="5" t="s">
        <v>6671</v>
      </c>
      <c r="B355" s="6" t="str">
        <f>image("https://storage.googleapis.com/acdb/photos/BromideNpcNmlSqu01_Remake_1_0.png")</f>
        <v/>
      </c>
      <c r="C355" s="5" t="s">
        <v>1132</v>
      </c>
      <c r="D355" s="5" t="s">
        <v>1327</v>
      </c>
      <c r="E355" s="5" t="s">
        <v>34</v>
      </c>
      <c r="F355" s="5" t="s">
        <v>34</v>
      </c>
      <c r="G355" s="5" t="s">
        <v>36</v>
      </c>
      <c r="H355" s="5" t="s">
        <v>35</v>
      </c>
      <c r="I355" s="6">
        <v>1.0</v>
      </c>
      <c r="J355" s="6" t="s">
        <v>37</v>
      </c>
      <c r="K355" s="6">
        <v>10.0</v>
      </c>
      <c r="L355" s="5"/>
      <c r="M355" s="5"/>
      <c r="N355" s="6" t="s">
        <v>40</v>
      </c>
      <c r="O355" s="5" t="s">
        <v>5363</v>
      </c>
      <c r="P355" s="6" t="s">
        <v>42</v>
      </c>
      <c r="Q355" s="5" t="s">
        <v>1237</v>
      </c>
      <c r="R355" s="5" t="s">
        <v>6679</v>
      </c>
      <c r="S355" s="6" t="s">
        <v>56</v>
      </c>
      <c r="T355" s="6">
        <v>6705.0</v>
      </c>
    </row>
    <row r="356" ht="56.25" customHeight="1">
      <c r="A356" s="5" t="s">
        <v>6671</v>
      </c>
      <c r="B356" s="6" t="str">
        <f>image("https://storage.googleapis.com/acdb/photos/BromideNpcNmlSqu01_Remake_2_0.png")</f>
        <v/>
      </c>
      <c r="C356" s="5" t="s">
        <v>688</v>
      </c>
      <c r="D356" s="5" t="s">
        <v>1327</v>
      </c>
      <c r="E356" s="5" t="s">
        <v>34</v>
      </c>
      <c r="F356" s="5" t="s">
        <v>34</v>
      </c>
      <c r="G356" s="5" t="s">
        <v>36</v>
      </c>
      <c r="H356" s="5" t="s">
        <v>35</v>
      </c>
      <c r="I356" s="6">
        <v>1.0</v>
      </c>
      <c r="J356" s="6" t="s">
        <v>37</v>
      </c>
      <c r="K356" s="6">
        <v>10.0</v>
      </c>
      <c r="L356" s="5"/>
      <c r="M356" s="5"/>
      <c r="N356" s="6" t="s">
        <v>40</v>
      </c>
      <c r="O356" s="5" t="s">
        <v>5363</v>
      </c>
      <c r="P356" s="6" t="s">
        <v>42</v>
      </c>
      <c r="Q356" s="5" t="s">
        <v>1237</v>
      </c>
      <c r="R356" s="5" t="s">
        <v>6682</v>
      </c>
      <c r="S356" s="6" t="s">
        <v>67</v>
      </c>
      <c r="T356" s="6">
        <v>6705.0</v>
      </c>
    </row>
    <row r="357" ht="56.25" customHeight="1">
      <c r="A357" s="5" t="s">
        <v>6671</v>
      </c>
      <c r="B357" s="6" t="str">
        <f>image("https://storage.googleapis.com/acdb/photos/BromideNpcNmlSqu01_Remake_3_0.png")</f>
        <v/>
      </c>
      <c r="C357" s="5" t="s">
        <v>57</v>
      </c>
      <c r="D357" s="5" t="s">
        <v>1327</v>
      </c>
      <c r="E357" s="5" t="s">
        <v>34</v>
      </c>
      <c r="F357" s="5" t="s">
        <v>34</v>
      </c>
      <c r="G357" s="5" t="s">
        <v>36</v>
      </c>
      <c r="H357" s="5" t="s">
        <v>35</v>
      </c>
      <c r="I357" s="6">
        <v>1.0</v>
      </c>
      <c r="J357" s="6" t="s">
        <v>37</v>
      </c>
      <c r="K357" s="6">
        <v>10.0</v>
      </c>
      <c r="L357" s="5"/>
      <c r="M357" s="5"/>
      <c r="N357" s="6" t="s">
        <v>40</v>
      </c>
      <c r="O357" s="5" t="s">
        <v>5363</v>
      </c>
      <c r="P357" s="6" t="s">
        <v>42</v>
      </c>
      <c r="Q357" s="5" t="s">
        <v>1237</v>
      </c>
      <c r="R357" s="5" t="s">
        <v>6688</v>
      </c>
      <c r="S357" s="6" t="s">
        <v>71</v>
      </c>
      <c r="T357" s="6">
        <v>6705.0</v>
      </c>
    </row>
    <row r="358" ht="56.25" customHeight="1">
      <c r="A358" s="5" t="s">
        <v>6671</v>
      </c>
      <c r="B358" s="6" t="str">
        <f>image("https://storage.googleapis.com/acdb/photos/BromideNpcNmlSqu01_Remake_4_0.png")</f>
        <v/>
      </c>
      <c r="C358" s="5" t="s">
        <v>1167</v>
      </c>
      <c r="D358" s="5" t="s">
        <v>1327</v>
      </c>
      <c r="E358" s="5" t="s">
        <v>34</v>
      </c>
      <c r="F358" s="5" t="s">
        <v>34</v>
      </c>
      <c r="G358" s="5" t="s">
        <v>36</v>
      </c>
      <c r="H358" s="5" t="s">
        <v>35</v>
      </c>
      <c r="I358" s="6">
        <v>1.0</v>
      </c>
      <c r="J358" s="6" t="s">
        <v>37</v>
      </c>
      <c r="K358" s="6">
        <v>10.0</v>
      </c>
      <c r="L358" s="5"/>
      <c r="M358" s="5"/>
      <c r="N358" s="6" t="s">
        <v>40</v>
      </c>
      <c r="O358" s="5" t="s">
        <v>5363</v>
      </c>
      <c r="P358" s="6" t="s">
        <v>42</v>
      </c>
      <c r="Q358" s="5" t="s">
        <v>1237</v>
      </c>
      <c r="R358" s="5" t="s">
        <v>6691</v>
      </c>
      <c r="S358" s="6" t="s">
        <v>75</v>
      </c>
      <c r="T358" s="6">
        <v>6705.0</v>
      </c>
    </row>
    <row r="359" ht="56.25" customHeight="1">
      <c r="A359" s="5" t="s">
        <v>6671</v>
      </c>
      <c r="B359" s="6" t="str">
        <f>image("https://storage.googleapis.com/acdb/photos/BromideNpcNmlSqu01_Remake_5_0.png")</f>
        <v/>
      </c>
      <c r="C359" s="5" t="s">
        <v>58</v>
      </c>
      <c r="D359" s="5" t="s">
        <v>1327</v>
      </c>
      <c r="E359" s="5" t="s">
        <v>34</v>
      </c>
      <c r="F359" s="5" t="s">
        <v>34</v>
      </c>
      <c r="G359" s="5" t="s">
        <v>36</v>
      </c>
      <c r="H359" s="5" t="s">
        <v>35</v>
      </c>
      <c r="I359" s="6">
        <v>1.0</v>
      </c>
      <c r="J359" s="6" t="s">
        <v>37</v>
      </c>
      <c r="K359" s="6">
        <v>10.0</v>
      </c>
      <c r="L359" s="5"/>
      <c r="M359" s="5"/>
      <c r="N359" s="6" t="s">
        <v>40</v>
      </c>
      <c r="O359" s="5" t="s">
        <v>5363</v>
      </c>
      <c r="P359" s="6" t="s">
        <v>42</v>
      </c>
      <c r="Q359" s="5" t="s">
        <v>1237</v>
      </c>
      <c r="R359" s="5" t="s">
        <v>6694</v>
      </c>
      <c r="S359" s="6" t="s">
        <v>79</v>
      </c>
      <c r="T359" s="6">
        <v>6705.0</v>
      </c>
    </row>
    <row r="360" ht="56.25" customHeight="1">
      <c r="A360" s="5" t="s">
        <v>6671</v>
      </c>
      <c r="B360" s="6" t="str">
        <f>image("https://storage.googleapis.com/acdb/photos/BromideNpcNmlSqu01_Remake_6_0.png")</f>
        <v/>
      </c>
      <c r="C360" s="5" t="s">
        <v>146</v>
      </c>
      <c r="D360" s="5" t="s">
        <v>1327</v>
      </c>
      <c r="E360" s="5" t="s">
        <v>34</v>
      </c>
      <c r="F360" s="5" t="s">
        <v>34</v>
      </c>
      <c r="G360" s="5" t="s">
        <v>36</v>
      </c>
      <c r="H360" s="5" t="s">
        <v>35</v>
      </c>
      <c r="I360" s="6">
        <v>1.0</v>
      </c>
      <c r="J360" s="6" t="s">
        <v>37</v>
      </c>
      <c r="K360" s="6">
        <v>10.0</v>
      </c>
      <c r="L360" s="5"/>
      <c r="M360" s="5"/>
      <c r="N360" s="6" t="s">
        <v>40</v>
      </c>
      <c r="O360" s="5" t="s">
        <v>5363</v>
      </c>
      <c r="P360" s="6" t="s">
        <v>42</v>
      </c>
      <c r="Q360" s="5" t="s">
        <v>1237</v>
      </c>
      <c r="R360" s="5" t="s">
        <v>6698</v>
      </c>
      <c r="S360" s="6" t="s">
        <v>86</v>
      </c>
      <c r="T360" s="6">
        <v>6705.0</v>
      </c>
    </row>
    <row r="361" ht="56.25" customHeight="1">
      <c r="A361" s="5" t="s">
        <v>6671</v>
      </c>
      <c r="B361" s="6" t="str">
        <f>image("https://storage.googleapis.com/acdb/photos/BromideNpcNmlSqu01_Remake_7_0.png")</f>
        <v/>
      </c>
      <c r="C361" s="5" t="s">
        <v>151</v>
      </c>
      <c r="D361" s="5" t="s">
        <v>1327</v>
      </c>
      <c r="E361" s="5" t="s">
        <v>34</v>
      </c>
      <c r="F361" s="5" t="s">
        <v>34</v>
      </c>
      <c r="G361" s="5" t="s">
        <v>36</v>
      </c>
      <c r="H361" s="5" t="s">
        <v>35</v>
      </c>
      <c r="I361" s="6">
        <v>1.0</v>
      </c>
      <c r="J361" s="6" t="s">
        <v>37</v>
      </c>
      <c r="K361" s="6">
        <v>10.0</v>
      </c>
      <c r="L361" s="5"/>
      <c r="M361" s="5"/>
      <c r="N361" s="6" t="s">
        <v>40</v>
      </c>
      <c r="O361" s="5" t="s">
        <v>5363</v>
      </c>
      <c r="P361" s="6" t="s">
        <v>42</v>
      </c>
      <c r="Q361" s="5" t="s">
        <v>1237</v>
      </c>
      <c r="R361" s="5" t="s">
        <v>6702</v>
      </c>
      <c r="S361" s="6" t="s">
        <v>208</v>
      </c>
      <c r="T361" s="6">
        <v>6705.0</v>
      </c>
    </row>
    <row r="362" ht="56.25" customHeight="1">
      <c r="A362" s="5" t="s">
        <v>6703</v>
      </c>
      <c r="B362" s="6" t="str">
        <f>image("https://storage.googleapis.com/acdb/photos/BromideNpcNmlOst08_Remake_0_0.png")</f>
        <v/>
      </c>
      <c r="C362" s="5" t="s">
        <v>366</v>
      </c>
      <c r="D362" s="5" t="s">
        <v>1327</v>
      </c>
      <c r="E362" s="5" t="s">
        <v>34</v>
      </c>
      <c r="F362" s="5" t="s">
        <v>34</v>
      </c>
      <c r="G362" s="5" t="s">
        <v>36</v>
      </c>
      <c r="H362" s="5" t="s">
        <v>35</v>
      </c>
      <c r="I362" s="6">
        <v>1.0</v>
      </c>
      <c r="J362" s="6" t="s">
        <v>37</v>
      </c>
      <c r="K362" s="6">
        <v>10.0</v>
      </c>
      <c r="L362" s="5"/>
      <c r="M362" s="5"/>
      <c r="N362" s="6" t="s">
        <v>40</v>
      </c>
      <c r="O362" s="5" t="s">
        <v>5363</v>
      </c>
      <c r="P362" s="6" t="s">
        <v>42</v>
      </c>
      <c r="Q362" s="5" t="s">
        <v>1237</v>
      </c>
      <c r="R362" s="5" t="s">
        <v>6706</v>
      </c>
      <c r="S362" s="6" t="s">
        <v>50</v>
      </c>
      <c r="T362" s="6">
        <v>6617.0</v>
      </c>
    </row>
    <row r="363" ht="56.25" customHeight="1">
      <c r="A363" s="5" t="s">
        <v>6703</v>
      </c>
      <c r="B363" s="6" t="str">
        <f>image("https://storage.googleapis.com/acdb/photos/BromideNpcNmlOst08_Remake_1_0.png")</f>
        <v/>
      </c>
      <c r="C363" s="5" t="s">
        <v>1132</v>
      </c>
      <c r="D363" s="5" t="s">
        <v>1327</v>
      </c>
      <c r="E363" s="5" t="s">
        <v>34</v>
      </c>
      <c r="F363" s="5" t="s">
        <v>34</v>
      </c>
      <c r="G363" s="5" t="s">
        <v>36</v>
      </c>
      <c r="H363" s="5" t="s">
        <v>35</v>
      </c>
      <c r="I363" s="6">
        <v>1.0</v>
      </c>
      <c r="J363" s="6" t="s">
        <v>37</v>
      </c>
      <c r="K363" s="6">
        <v>10.0</v>
      </c>
      <c r="L363" s="5"/>
      <c r="M363" s="5"/>
      <c r="N363" s="6" t="s">
        <v>40</v>
      </c>
      <c r="O363" s="5" t="s">
        <v>5363</v>
      </c>
      <c r="P363" s="6" t="s">
        <v>42</v>
      </c>
      <c r="Q363" s="5" t="s">
        <v>1237</v>
      </c>
      <c r="R363" s="5" t="s">
        <v>6710</v>
      </c>
      <c r="S363" s="6" t="s">
        <v>56</v>
      </c>
      <c r="T363" s="6">
        <v>6617.0</v>
      </c>
    </row>
    <row r="364" ht="56.25" customHeight="1">
      <c r="A364" s="5" t="s">
        <v>6703</v>
      </c>
      <c r="B364" s="6" t="str">
        <f>image("https://storage.googleapis.com/acdb/photos/BromideNpcNmlOst08_Remake_2_0.png")</f>
        <v/>
      </c>
      <c r="C364" s="5" t="s">
        <v>688</v>
      </c>
      <c r="D364" s="5" t="s">
        <v>1327</v>
      </c>
      <c r="E364" s="5" t="s">
        <v>34</v>
      </c>
      <c r="F364" s="5" t="s">
        <v>34</v>
      </c>
      <c r="G364" s="5" t="s">
        <v>36</v>
      </c>
      <c r="H364" s="5" t="s">
        <v>35</v>
      </c>
      <c r="I364" s="6">
        <v>1.0</v>
      </c>
      <c r="J364" s="6" t="s">
        <v>37</v>
      </c>
      <c r="K364" s="6">
        <v>10.0</v>
      </c>
      <c r="L364" s="5"/>
      <c r="M364" s="5"/>
      <c r="N364" s="6" t="s">
        <v>40</v>
      </c>
      <c r="O364" s="5" t="s">
        <v>5363</v>
      </c>
      <c r="P364" s="6" t="s">
        <v>42</v>
      </c>
      <c r="Q364" s="5" t="s">
        <v>1237</v>
      </c>
      <c r="R364" s="5" t="s">
        <v>6714</v>
      </c>
      <c r="S364" s="6" t="s">
        <v>67</v>
      </c>
      <c r="T364" s="6">
        <v>6617.0</v>
      </c>
    </row>
    <row r="365" ht="56.25" customHeight="1">
      <c r="A365" s="5" t="s">
        <v>6703</v>
      </c>
      <c r="B365" s="6" t="str">
        <f>image("https://storage.googleapis.com/acdb/photos/BromideNpcNmlOst08_Remake_3_0.png")</f>
        <v/>
      </c>
      <c r="C365" s="5" t="s">
        <v>57</v>
      </c>
      <c r="D365" s="5" t="s">
        <v>1327</v>
      </c>
      <c r="E365" s="5" t="s">
        <v>34</v>
      </c>
      <c r="F365" s="5" t="s">
        <v>34</v>
      </c>
      <c r="G365" s="5" t="s">
        <v>36</v>
      </c>
      <c r="H365" s="5" t="s">
        <v>35</v>
      </c>
      <c r="I365" s="6">
        <v>1.0</v>
      </c>
      <c r="J365" s="6" t="s">
        <v>37</v>
      </c>
      <c r="K365" s="6">
        <v>10.0</v>
      </c>
      <c r="L365" s="5"/>
      <c r="M365" s="5"/>
      <c r="N365" s="6" t="s">
        <v>40</v>
      </c>
      <c r="O365" s="5" t="s">
        <v>5363</v>
      </c>
      <c r="P365" s="6" t="s">
        <v>42</v>
      </c>
      <c r="Q365" s="5" t="s">
        <v>1237</v>
      </c>
      <c r="R365" s="5" t="s">
        <v>6717</v>
      </c>
      <c r="S365" s="6" t="s">
        <v>71</v>
      </c>
      <c r="T365" s="6">
        <v>6617.0</v>
      </c>
    </row>
    <row r="366" ht="56.25" customHeight="1">
      <c r="A366" s="5" t="s">
        <v>6703</v>
      </c>
      <c r="B366" s="6" t="str">
        <f>image("https://storage.googleapis.com/acdb/photos/BromideNpcNmlOst08_Remake_4_0.png")</f>
        <v/>
      </c>
      <c r="C366" s="5" t="s">
        <v>1167</v>
      </c>
      <c r="D366" s="5" t="s">
        <v>1327</v>
      </c>
      <c r="E366" s="5" t="s">
        <v>34</v>
      </c>
      <c r="F366" s="5" t="s">
        <v>34</v>
      </c>
      <c r="G366" s="5" t="s">
        <v>36</v>
      </c>
      <c r="H366" s="5" t="s">
        <v>35</v>
      </c>
      <c r="I366" s="6">
        <v>1.0</v>
      </c>
      <c r="J366" s="6" t="s">
        <v>37</v>
      </c>
      <c r="K366" s="6">
        <v>10.0</v>
      </c>
      <c r="L366" s="5"/>
      <c r="M366" s="5"/>
      <c r="N366" s="6" t="s">
        <v>40</v>
      </c>
      <c r="O366" s="5" t="s">
        <v>5363</v>
      </c>
      <c r="P366" s="6" t="s">
        <v>42</v>
      </c>
      <c r="Q366" s="5" t="s">
        <v>1237</v>
      </c>
      <c r="R366" s="5" t="s">
        <v>6722</v>
      </c>
      <c r="S366" s="6" t="s">
        <v>75</v>
      </c>
      <c r="T366" s="6">
        <v>6617.0</v>
      </c>
    </row>
    <row r="367" ht="56.25" customHeight="1">
      <c r="A367" s="5" t="s">
        <v>6703</v>
      </c>
      <c r="B367" s="6" t="str">
        <f>image("https://storage.googleapis.com/acdb/photos/BromideNpcNmlOst08_Remake_5_0.png")</f>
        <v/>
      </c>
      <c r="C367" s="5" t="s">
        <v>58</v>
      </c>
      <c r="D367" s="5" t="s">
        <v>1327</v>
      </c>
      <c r="E367" s="5" t="s">
        <v>34</v>
      </c>
      <c r="F367" s="5" t="s">
        <v>34</v>
      </c>
      <c r="G367" s="5" t="s">
        <v>36</v>
      </c>
      <c r="H367" s="5" t="s">
        <v>35</v>
      </c>
      <c r="I367" s="6">
        <v>1.0</v>
      </c>
      <c r="J367" s="6" t="s">
        <v>37</v>
      </c>
      <c r="K367" s="6">
        <v>10.0</v>
      </c>
      <c r="L367" s="5"/>
      <c r="M367" s="5"/>
      <c r="N367" s="6" t="s">
        <v>40</v>
      </c>
      <c r="O367" s="5" t="s">
        <v>5363</v>
      </c>
      <c r="P367" s="6" t="s">
        <v>42</v>
      </c>
      <c r="Q367" s="5" t="s">
        <v>1237</v>
      </c>
      <c r="R367" s="5" t="s">
        <v>6726</v>
      </c>
      <c r="S367" s="6" t="s">
        <v>79</v>
      </c>
      <c r="T367" s="6">
        <v>6617.0</v>
      </c>
    </row>
    <row r="368" ht="56.25" customHeight="1">
      <c r="A368" s="5" t="s">
        <v>6703</v>
      </c>
      <c r="B368" s="6" t="str">
        <f>image("https://storage.googleapis.com/acdb/photos/BromideNpcNmlOst08_Remake_6_0.png")</f>
        <v/>
      </c>
      <c r="C368" s="5" t="s">
        <v>146</v>
      </c>
      <c r="D368" s="5" t="s">
        <v>1327</v>
      </c>
      <c r="E368" s="5" t="s">
        <v>34</v>
      </c>
      <c r="F368" s="5" t="s">
        <v>34</v>
      </c>
      <c r="G368" s="5" t="s">
        <v>36</v>
      </c>
      <c r="H368" s="5" t="s">
        <v>35</v>
      </c>
      <c r="I368" s="6">
        <v>1.0</v>
      </c>
      <c r="J368" s="6" t="s">
        <v>37</v>
      </c>
      <c r="K368" s="6">
        <v>10.0</v>
      </c>
      <c r="L368" s="5"/>
      <c r="M368" s="5"/>
      <c r="N368" s="6" t="s">
        <v>40</v>
      </c>
      <c r="O368" s="5" t="s">
        <v>5363</v>
      </c>
      <c r="P368" s="6" t="s">
        <v>42</v>
      </c>
      <c r="Q368" s="5" t="s">
        <v>1237</v>
      </c>
      <c r="R368" s="5" t="s">
        <v>6730</v>
      </c>
      <c r="S368" s="6" t="s">
        <v>86</v>
      </c>
      <c r="T368" s="6">
        <v>6617.0</v>
      </c>
    </row>
    <row r="369" ht="56.25" customHeight="1">
      <c r="A369" s="5" t="s">
        <v>6703</v>
      </c>
      <c r="B369" s="6" t="str">
        <f>image("https://storage.googleapis.com/acdb/photos/BromideNpcNmlOst08_Remake_7_0.png")</f>
        <v/>
      </c>
      <c r="C369" s="5" t="s">
        <v>151</v>
      </c>
      <c r="D369" s="5" t="s">
        <v>1327</v>
      </c>
      <c r="E369" s="5" t="s">
        <v>34</v>
      </c>
      <c r="F369" s="5" t="s">
        <v>34</v>
      </c>
      <c r="G369" s="5" t="s">
        <v>36</v>
      </c>
      <c r="H369" s="5" t="s">
        <v>35</v>
      </c>
      <c r="I369" s="6">
        <v>1.0</v>
      </c>
      <c r="J369" s="6" t="s">
        <v>37</v>
      </c>
      <c r="K369" s="6">
        <v>10.0</v>
      </c>
      <c r="L369" s="5"/>
      <c r="M369" s="5"/>
      <c r="N369" s="6" t="s">
        <v>40</v>
      </c>
      <c r="O369" s="5" t="s">
        <v>5363</v>
      </c>
      <c r="P369" s="6" t="s">
        <v>42</v>
      </c>
      <c r="Q369" s="5" t="s">
        <v>1237</v>
      </c>
      <c r="R369" s="5" t="s">
        <v>6735</v>
      </c>
      <c r="S369" s="6" t="s">
        <v>208</v>
      </c>
      <c r="T369" s="6">
        <v>6617.0</v>
      </c>
    </row>
    <row r="370" ht="56.25" customHeight="1">
      <c r="A370" s="5" t="s">
        <v>6736</v>
      </c>
      <c r="B370" s="6" t="str">
        <f>image("https://storage.googleapis.com/acdb/photos/BromideNpcNmlCbr00_Remake_0_0.png")</f>
        <v/>
      </c>
      <c r="C370" s="5" t="s">
        <v>366</v>
      </c>
      <c r="D370" s="5" t="s">
        <v>1327</v>
      </c>
      <c r="E370" s="5" t="s">
        <v>34</v>
      </c>
      <c r="F370" s="5" t="s">
        <v>34</v>
      </c>
      <c r="G370" s="5" t="s">
        <v>36</v>
      </c>
      <c r="H370" s="5" t="s">
        <v>35</v>
      </c>
      <c r="I370" s="6">
        <v>1.0</v>
      </c>
      <c r="J370" s="6" t="s">
        <v>37</v>
      </c>
      <c r="K370" s="6">
        <v>10.0</v>
      </c>
      <c r="L370" s="5"/>
      <c r="M370" s="5"/>
      <c r="N370" s="6" t="s">
        <v>40</v>
      </c>
      <c r="O370" s="5" t="s">
        <v>5363</v>
      </c>
      <c r="P370" s="6" t="s">
        <v>42</v>
      </c>
      <c r="Q370" s="5" t="s">
        <v>1237</v>
      </c>
      <c r="R370" s="5" t="s">
        <v>6739</v>
      </c>
      <c r="S370" s="6" t="s">
        <v>50</v>
      </c>
      <c r="T370" s="6">
        <v>6769.0</v>
      </c>
    </row>
    <row r="371" ht="56.25" customHeight="1">
      <c r="A371" s="5" t="s">
        <v>6736</v>
      </c>
      <c r="B371" s="6" t="str">
        <f>image("https://storage.googleapis.com/acdb/photos/BromideNpcNmlCbr00_Remake_1_0.png")</f>
        <v/>
      </c>
      <c r="C371" s="5" t="s">
        <v>1132</v>
      </c>
      <c r="D371" s="5" t="s">
        <v>1327</v>
      </c>
      <c r="E371" s="5" t="s">
        <v>34</v>
      </c>
      <c r="F371" s="5" t="s">
        <v>34</v>
      </c>
      <c r="G371" s="5" t="s">
        <v>36</v>
      </c>
      <c r="H371" s="5" t="s">
        <v>35</v>
      </c>
      <c r="I371" s="6">
        <v>1.0</v>
      </c>
      <c r="J371" s="6" t="s">
        <v>37</v>
      </c>
      <c r="K371" s="6">
        <v>10.0</v>
      </c>
      <c r="L371" s="5"/>
      <c r="M371" s="5"/>
      <c r="N371" s="6" t="s">
        <v>40</v>
      </c>
      <c r="O371" s="5" t="s">
        <v>5363</v>
      </c>
      <c r="P371" s="6" t="s">
        <v>42</v>
      </c>
      <c r="Q371" s="5" t="s">
        <v>1237</v>
      </c>
      <c r="R371" s="5" t="s">
        <v>6744</v>
      </c>
      <c r="S371" s="6" t="s">
        <v>56</v>
      </c>
      <c r="T371" s="6">
        <v>6769.0</v>
      </c>
    </row>
    <row r="372" ht="56.25" customHeight="1">
      <c r="A372" s="5" t="s">
        <v>6736</v>
      </c>
      <c r="B372" s="6" t="str">
        <f>image("https://storage.googleapis.com/acdb/photos/BromideNpcNmlCbr00_Remake_2_0.png")</f>
        <v/>
      </c>
      <c r="C372" s="5" t="s">
        <v>688</v>
      </c>
      <c r="D372" s="5" t="s">
        <v>1327</v>
      </c>
      <c r="E372" s="5" t="s">
        <v>34</v>
      </c>
      <c r="F372" s="5" t="s">
        <v>34</v>
      </c>
      <c r="G372" s="5" t="s">
        <v>36</v>
      </c>
      <c r="H372" s="5" t="s">
        <v>35</v>
      </c>
      <c r="I372" s="6">
        <v>1.0</v>
      </c>
      <c r="J372" s="6" t="s">
        <v>37</v>
      </c>
      <c r="K372" s="6">
        <v>10.0</v>
      </c>
      <c r="L372" s="5"/>
      <c r="M372" s="5"/>
      <c r="N372" s="6" t="s">
        <v>40</v>
      </c>
      <c r="O372" s="5" t="s">
        <v>5363</v>
      </c>
      <c r="P372" s="6" t="s">
        <v>42</v>
      </c>
      <c r="Q372" s="5" t="s">
        <v>1237</v>
      </c>
      <c r="R372" s="5" t="s">
        <v>6750</v>
      </c>
      <c r="S372" s="6" t="s">
        <v>67</v>
      </c>
      <c r="T372" s="6">
        <v>6769.0</v>
      </c>
    </row>
    <row r="373" ht="56.25" customHeight="1">
      <c r="A373" s="5" t="s">
        <v>6736</v>
      </c>
      <c r="B373" s="6" t="str">
        <f>image("https://storage.googleapis.com/acdb/photos/BromideNpcNmlCbr00_Remake_3_0.png")</f>
        <v/>
      </c>
      <c r="C373" s="5" t="s">
        <v>57</v>
      </c>
      <c r="D373" s="5" t="s">
        <v>1327</v>
      </c>
      <c r="E373" s="5" t="s">
        <v>34</v>
      </c>
      <c r="F373" s="5" t="s">
        <v>34</v>
      </c>
      <c r="G373" s="5" t="s">
        <v>36</v>
      </c>
      <c r="H373" s="5" t="s">
        <v>35</v>
      </c>
      <c r="I373" s="6">
        <v>1.0</v>
      </c>
      <c r="J373" s="6" t="s">
        <v>37</v>
      </c>
      <c r="K373" s="6">
        <v>10.0</v>
      </c>
      <c r="L373" s="5"/>
      <c r="M373" s="5"/>
      <c r="N373" s="6" t="s">
        <v>40</v>
      </c>
      <c r="O373" s="5" t="s">
        <v>5363</v>
      </c>
      <c r="P373" s="6" t="s">
        <v>42</v>
      </c>
      <c r="Q373" s="5" t="s">
        <v>1237</v>
      </c>
      <c r="R373" s="5" t="s">
        <v>6753</v>
      </c>
      <c r="S373" s="6" t="s">
        <v>71</v>
      </c>
      <c r="T373" s="6">
        <v>6769.0</v>
      </c>
    </row>
    <row r="374" ht="56.25" customHeight="1">
      <c r="A374" s="5" t="s">
        <v>6736</v>
      </c>
      <c r="B374" s="6" t="str">
        <f>image("https://storage.googleapis.com/acdb/photos/BromideNpcNmlCbr00_Remake_4_0.png")</f>
        <v/>
      </c>
      <c r="C374" s="5" t="s">
        <v>1167</v>
      </c>
      <c r="D374" s="5" t="s">
        <v>1327</v>
      </c>
      <c r="E374" s="5" t="s">
        <v>34</v>
      </c>
      <c r="F374" s="5" t="s">
        <v>34</v>
      </c>
      <c r="G374" s="5" t="s">
        <v>36</v>
      </c>
      <c r="H374" s="5" t="s">
        <v>35</v>
      </c>
      <c r="I374" s="6">
        <v>1.0</v>
      </c>
      <c r="J374" s="6" t="s">
        <v>37</v>
      </c>
      <c r="K374" s="6">
        <v>10.0</v>
      </c>
      <c r="L374" s="5"/>
      <c r="M374" s="5"/>
      <c r="N374" s="6" t="s">
        <v>40</v>
      </c>
      <c r="O374" s="5" t="s">
        <v>5363</v>
      </c>
      <c r="P374" s="6" t="s">
        <v>42</v>
      </c>
      <c r="Q374" s="5" t="s">
        <v>1237</v>
      </c>
      <c r="R374" s="5" t="s">
        <v>6757</v>
      </c>
      <c r="S374" s="6" t="s">
        <v>75</v>
      </c>
      <c r="T374" s="6">
        <v>6769.0</v>
      </c>
    </row>
    <row r="375" ht="56.25" customHeight="1">
      <c r="A375" s="5" t="s">
        <v>6736</v>
      </c>
      <c r="B375" s="6" t="str">
        <f>image("https://storage.googleapis.com/acdb/photos/BromideNpcNmlCbr00_Remake_5_0.png")</f>
        <v/>
      </c>
      <c r="C375" s="5" t="s">
        <v>58</v>
      </c>
      <c r="D375" s="5" t="s">
        <v>1327</v>
      </c>
      <c r="E375" s="5" t="s">
        <v>34</v>
      </c>
      <c r="F375" s="5" t="s">
        <v>34</v>
      </c>
      <c r="G375" s="5" t="s">
        <v>36</v>
      </c>
      <c r="H375" s="5" t="s">
        <v>35</v>
      </c>
      <c r="I375" s="6">
        <v>1.0</v>
      </c>
      <c r="J375" s="6" t="s">
        <v>37</v>
      </c>
      <c r="K375" s="6">
        <v>10.0</v>
      </c>
      <c r="L375" s="5"/>
      <c r="M375" s="5"/>
      <c r="N375" s="6" t="s">
        <v>40</v>
      </c>
      <c r="O375" s="5" t="s">
        <v>5363</v>
      </c>
      <c r="P375" s="6" t="s">
        <v>42</v>
      </c>
      <c r="Q375" s="5" t="s">
        <v>1237</v>
      </c>
      <c r="R375" s="5" t="s">
        <v>6762</v>
      </c>
      <c r="S375" s="6" t="s">
        <v>79</v>
      </c>
      <c r="T375" s="6">
        <v>6769.0</v>
      </c>
    </row>
    <row r="376" ht="56.25" customHeight="1">
      <c r="A376" s="5" t="s">
        <v>6736</v>
      </c>
      <c r="B376" s="6" t="str">
        <f>image("https://storage.googleapis.com/acdb/photos/BromideNpcNmlCbr00_Remake_6_0.png")</f>
        <v/>
      </c>
      <c r="C376" s="5" t="s">
        <v>146</v>
      </c>
      <c r="D376" s="5" t="s">
        <v>1327</v>
      </c>
      <c r="E376" s="5" t="s">
        <v>34</v>
      </c>
      <c r="F376" s="5" t="s">
        <v>34</v>
      </c>
      <c r="G376" s="5" t="s">
        <v>36</v>
      </c>
      <c r="H376" s="5" t="s">
        <v>35</v>
      </c>
      <c r="I376" s="6">
        <v>1.0</v>
      </c>
      <c r="J376" s="6" t="s">
        <v>37</v>
      </c>
      <c r="K376" s="6">
        <v>10.0</v>
      </c>
      <c r="L376" s="5"/>
      <c r="M376" s="5"/>
      <c r="N376" s="6" t="s">
        <v>40</v>
      </c>
      <c r="O376" s="5" t="s">
        <v>5363</v>
      </c>
      <c r="P376" s="6" t="s">
        <v>42</v>
      </c>
      <c r="Q376" s="5" t="s">
        <v>1237</v>
      </c>
      <c r="R376" s="5" t="s">
        <v>6766</v>
      </c>
      <c r="S376" s="6" t="s">
        <v>86</v>
      </c>
      <c r="T376" s="6">
        <v>6769.0</v>
      </c>
    </row>
    <row r="377" ht="56.25" customHeight="1">
      <c r="A377" s="5" t="s">
        <v>6736</v>
      </c>
      <c r="B377" s="6" t="str">
        <f>image("https://storage.googleapis.com/acdb/photos/BromideNpcNmlCbr00_Remake_7_0.png")</f>
        <v/>
      </c>
      <c r="C377" s="5" t="s">
        <v>151</v>
      </c>
      <c r="D377" s="5" t="s">
        <v>1327</v>
      </c>
      <c r="E377" s="5" t="s">
        <v>34</v>
      </c>
      <c r="F377" s="5" t="s">
        <v>34</v>
      </c>
      <c r="G377" s="5" t="s">
        <v>36</v>
      </c>
      <c r="H377" s="5" t="s">
        <v>35</v>
      </c>
      <c r="I377" s="6">
        <v>1.0</v>
      </c>
      <c r="J377" s="6" t="s">
        <v>37</v>
      </c>
      <c r="K377" s="6">
        <v>10.0</v>
      </c>
      <c r="L377" s="5"/>
      <c r="M377" s="5"/>
      <c r="N377" s="6" t="s">
        <v>40</v>
      </c>
      <c r="O377" s="5" t="s">
        <v>5363</v>
      </c>
      <c r="P377" s="6" t="s">
        <v>42</v>
      </c>
      <c r="Q377" s="5" t="s">
        <v>1237</v>
      </c>
      <c r="R377" s="5" t="s">
        <v>6772</v>
      </c>
      <c r="S377" s="6" t="s">
        <v>208</v>
      </c>
      <c r="T377" s="6">
        <v>6769.0</v>
      </c>
    </row>
    <row r="378" ht="56.25" customHeight="1">
      <c r="A378" s="5" t="s">
        <v>6773</v>
      </c>
      <c r="B378" s="6" t="str">
        <f>image("https://storage.googleapis.com/acdb/photos/BromideNpcNmlCat00_Remake_0_0.png")</f>
        <v/>
      </c>
      <c r="C378" s="5" t="s">
        <v>366</v>
      </c>
      <c r="D378" s="5" t="s">
        <v>1327</v>
      </c>
      <c r="E378" s="5" t="s">
        <v>34</v>
      </c>
      <c r="F378" s="5" t="s">
        <v>34</v>
      </c>
      <c r="G378" s="5" t="s">
        <v>36</v>
      </c>
      <c r="H378" s="5" t="s">
        <v>35</v>
      </c>
      <c r="I378" s="6">
        <v>1.0</v>
      </c>
      <c r="J378" s="6" t="s">
        <v>37</v>
      </c>
      <c r="K378" s="6">
        <v>10.0</v>
      </c>
      <c r="L378" s="5"/>
      <c r="M378" s="5"/>
      <c r="N378" s="6" t="s">
        <v>40</v>
      </c>
      <c r="O378" s="5" t="s">
        <v>5363</v>
      </c>
      <c r="P378" s="6" t="s">
        <v>42</v>
      </c>
      <c r="Q378" s="5" t="s">
        <v>1237</v>
      </c>
      <c r="R378" s="5" t="s">
        <v>6780</v>
      </c>
      <c r="S378" s="6" t="s">
        <v>50</v>
      </c>
      <c r="T378" s="6">
        <v>6745.0</v>
      </c>
    </row>
    <row r="379" ht="56.25" customHeight="1">
      <c r="A379" s="5" t="s">
        <v>6773</v>
      </c>
      <c r="B379" s="6" t="str">
        <f>image("https://storage.googleapis.com/acdb/photos/BromideNpcNmlCat00_Remake_1_0.png")</f>
        <v/>
      </c>
      <c r="C379" s="5" t="s">
        <v>1132</v>
      </c>
      <c r="D379" s="5" t="s">
        <v>1327</v>
      </c>
      <c r="E379" s="5" t="s">
        <v>34</v>
      </c>
      <c r="F379" s="5" t="s">
        <v>34</v>
      </c>
      <c r="G379" s="5" t="s">
        <v>36</v>
      </c>
      <c r="H379" s="5" t="s">
        <v>35</v>
      </c>
      <c r="I379" s="6">
        <v>1.0</v>
      </c>
      <c r="J379" s="6" t="s">
        <v>37</v>
      </c>
      <c r="K379" s="6">
        <v>10.0</v>
      </c>
      <c r="L379" s="5"/>
      <c r="M379" s="5"/>
      <c r="N379" s="6" t="s">
        <v>40</v>
      </c>
      <c r="O379" s="5" t="s">
        <v>5363</v>
      </c>
      <c r="P379" s="6" t="s">
        <v>42</v>
      </c>
      <c r="Q379" s="5" t="s">
        <v>1237</v>
      </c>
      <c r="R379" s="5" t="s">
        <v>6784</v>
      </c>
      <c r="S379" s="6" t="s">
        <v>56</v>
      </c>
      <c r="T379" s="6">
        <v>6745.0</v>
      </c>
    </row>
    <row r="380" ht="56.25" customHeight="1">
      <c r="A380" s="5" t="s">
        <v>6773</v>
      </c>
      <c r="B380" s="6" t="str">
        <f>image("https://storage.googleapis.com/acdb/photos/BromideNpcNmlCat00_Remake_2_0.png")</f>
        <v/>
      </c>
      <c r="C380" s="5" t="s">
        <v>688</v>
      </c>
      <c r="D380" s="5" t="s">
        <v>1327</v>
      </c>
      <c r="E380" s="5" t="s">
        <v>34</v>
      </c>
      <c r="F380" s="5" t="s">
        <v>34</v>
      </c>
      <c r="G380" s="5" t="s">
        <v>36</v>
      </c>
      <c r="H380" s="5" t="s">
        <v>35</v>
      </c>
      <c r="I380" s="6">
        <v>1.0</v>
      </c>
      <c r="J380" s="6" t="s">
        <v>37</v>
      </c>
      <c r="K380" s="6">
        <v>10.0</v>
      </c>
      <c r="L380" s="5"/>
      <c r="M380" s="5"/>
      <c r="N380" s="6" t="s">
        <v>40</v>
      </c>
      <c r="O380" s="5" t="s">
        <v>5363</v>
      </c>
      <c r="P380" s="6" t="s">
        <v>42</v>
      </c>
      <c r="Q380" s="5" t="s">
        <v>1237</v>
      </c>
      <c r="R380" s="5" t="s">
        <v>6789</v>
      </c>
      <c r="S380" s="6" t="s">
        <v>67</v>
      </c>
      <c r="T380" s="6">
        <v>6745.0</v>
      </c>
    </row>
    <row r="381" ht="56.25" customHeight="1">
      <c r="A381" s="5" t="s">
        <v>6773</v>
      </c>
      <c r="B381" s="6" t="str">
        <f>image("https://storage.googleapis.com/acdb/photos/BromideNpcNmlCat00_Remake_3_0.png")</f>
        <v/>
      </c>
      <c r="C381" s="5" t="s">
        <v>57</v>
      </c>
      <c r="D381" s="5" t="s">
        <v>1327</v>
      </c>
      <c r="E381" s="5" t="s">
        <v>34</v>
      </c>
      <c r="F381" s="5" t="s">
        <v>34</v>
      </c>
      <c r="G381" s="5" t="s">
        <v>36</v>
      </c>
      <c r="H381" s="5" t="s">
        <v>35</v>
      </c>
      <c r="I381" s="6">
        <v>1.0</v>
      </c>
      <c r="J381" s="6" t="s">
        <v>37</v>
      </c>
      <c r="K381" s="6">
        <v>10.0</v>
      </c>
      <c r="L381" s="5"/>
      <c r="M381" s="5"/>
      <c r="N381" s="6" t="s">
        <v>40</v>
      </c>
      <c r="O381" s="5" t="s">
        <v>5363</v>
      </c>
      <c r="P381" s="6" t="s">
        <v>42</v>
      </c>
      <c r="Q381" s="5" t="s">
        <v>1237</v>
      </c>
      <c r="R381" s="5" t="s">
        <v>6793</v>
      </c>
      <c r="S381" s="6" t="s">
        <v>71</v>
      </c>
      <c r="T381" s="6">
        <v>6745.0</v>
      </c>
    </row>
    <row r="382" ht="56.25" customHeight="1">
      <c r="A382" s="5" t="s">
        <v>6773</v>
      </c>
      <c r="B382" s="6" t="str">
        <f>image("https://storage.googleapis.com/acdb/photos/BromideNpcNmlCat00_Remake_4_0.png")</f>
        <v/>
      </c>
      <c r="C382" s="5" t="s">
        <v>1167</v>
      </c>
      <c r="D382" s="5" t="s">
        <v>1327</v>
      </c>
      <c r="E382" s="5" t="s">
        <v>34</v>
      </c>
      <c r="F382" s="5" t="s">
        <v>34</v>
      </c>
      <c r="G382" s="5" t="s">
        <v>36</v>
      </c>
      <c r="H382" s="5" t="s">
        <v>35</v>
      </c>
      <c r="I382" s="6">
        <v>1.0</v>
      </c>
      <c r="J382" s="6" t="s">
        <v>37</v>
      </c>
      <c r="K382" s="6">
        <v>10.0</v>
      </c>
      <c r="L382" s="5"/>
      <c r="M382" s="5"/>
      <c r="N382" s="6" t="s">
        <v>40</v>
      </c>
      <c r="O382" s="5" t="s">
        <v>5363</v>
      </c>
      <c r="P382" s="6" t="s">
        <v>42</v>
      </c>
      <c r="Q382" s="5" t="s">
        <v>1237</v>
      </c>
      <c r="R382" s="5" t="s">
        <v>6799</v>
      </c>
      <c r="S382" s="6" t="s">
        <v>75</v>
      </c>
      <c r="T382" s="6">
        <v>6745.0</v>
      </c>
    </row>
    <row r="383" ht="56.25" customHeight="1">
      <c r="A383" s="5" t="s">
        <v>6773</v>
      </c>
      <c r="B383" s="6" t="str">
        <f>image("https://storage.googleapis.com/acdb/photos/BromideNpcNmlCat00_Remake_5_0.png")</f>
        <v/>
      </c>
      <c r="C383" s="5" t="s">
        <v>58</v>
      </c>
      <c r="D383" s="5" t="s">
        <v>1327</v>
      </c>
      <c r="E383" s="5" t="s">
        <v>34</v>
      </c>
      <c r="F383" s="5" t="s">
        <v>34</v>
      </c>
      <c r="G383" s="5" t="s">
        <v>36</v>
      </c>
      <c r="H383" s="5" t="s">
        <v>35</v>
      </c>
      <c r="I383" s="6">
        <v>1.0</v>
      </c>
      <c r="J383" s="6" t="s">
        <v>37</v>
      </c>
      <c r="K383" s="6">
        <v>10.0</v>
      </c>
      <c r="L383" s="5"/>
      <c r="M383" s="5"/>
      <c r="N383" s="6" t="s">
        <v>40</v>
      </c>
      <c r="O383" s="5" t="s">
        <v>5363</v>
      </c>
      <c r="P383" s="6" t="s">
        <v>42</v>
      </c>
      <c r="Q383" s="5" t="s">
        <v>1237</v>
      </c>
      <c r="R383" s="5" t="s">
        <v>6802</v>
      </c>
      <c r="S383" s="6" t="s">
        <v>79</v>
      </c>
      <c r="T383" s="6">
        <v>6745.0</v>
      </c>
    </row>
    <row r="384" ht="56.25" customHeight="1">
      <c r="A384" s="5" t="s">
        <v>6773</v>
      </c>
      <c r="B384" s="6" t="str">
        <f>image("https://storage.googleapis.com/acdb/photos/BromideNpcNmlCat00_Remake_6_0.png")</f>
        <v/>
      </c>
      <c r="C384" s="5" t="s">
        <v>146</v>
      </c>
      <c r="D384" s="5" t="s">
        <v>1327</v>
      </c>
      <c r="E384" s="5" t="s">
        <v>34</v>
      </c>
      <c r="F384" s="5" t="s">
        <v>34</v>
      </c>
      <c r="G384" s="5" t="s">
        <v>36</v>
      </c>
      <c r="H384" s="5" t="s">
        <v>35</v>
      </c>
      <c r="I384" s="6">
        <v>1.0</v>
      </c>
      <c r="J384" s="6" t="s">
        <v>37</v>
      </c>
      <c r="K384" s="6">
        <v>10.0</v>
      </c>
      <c r="L384" s="5"/>
      <c r="M384" s="5"/>
      <c r="N384" s="6" t="s">
        <v>40</v>
      </c>
      <c r="O384" s="5" t="s">
        <v>5363</v>
      </c>
      <c r="P384" s="6" t="s">
        <v>42</v>
      </c>
      <c r="Q384" s="5" t="s">
        <v>1237</v>
      </c>
      <c r="R384" s="5" t="s">
        <v>6807</v>
      </c>
      <c r="S384" s="6" t="s">
        <v>86</v>
      </c>
      <c r="T384" s="6">
        <v>6745.0</v>
      </c>
    </row>
    <row r="385" ht="56.25" customHeight="1">
      <c r="A385" s="5" t="s">
        <v>6773</v>
      </c>
      <c r="B385" s="6" t="str">
        <f>image("https://storage.googleapis.com/acdb/photos/BromideNpcNmlCat00_Remake_7_0.png")</f>
        <v/>
      </c>
      <c r="C385" s="5" t="s">
        <v>151</v>
      </c>
      <c r="D385" s="5" t="s">
        <v>1327</v>
      </c>
      <c r="E385" s="5" t="s">
        <v>34</v>
      </c>
      <c r="F385" s="5" t="s">
        <v>34</v>
      </c>
      <c r="G385" s="5" t="s">
        <v>36</v>
      </c>
      <c r="H385" s="5" t="s">
        <v>35</v>
      </c>
      <c r="I385" s="6">
        <v>1.0</v>
      </c>
      <c r="J385" s="6" t="s">
        <v>37</v>
      </c>
      <c r="K385" s="6">
        <v>10.0</v>
      </c>
      <c r="L385" s="5"/>
      <c r="M385" s="5"/>
      <c r="N385" s="6" t="s">
        <v>40</v>
      </c>
      <c r="O385" s="5" t="s">
        <v>5363</v>
      </c>
      <c r="P385" s="6" t="s">
        <v>42</v>
      </c>
      <c r="Q385" s="5" t="s">
        <v>1237</v>
      </c>
      <c r="R385" s="5" t="s">
        <v>6812</v>
      </c>
      <c r="S385" s="6" t="s">
        <v>208</v>
      </c>
      <c r="T385" s="6">
        <v>6745.0</v>
      </c>
    </row>
    <row r="386" ht="56.25" customHeight="1">
      <c r="A386" s="5" t="s">
        <v>6813</v>
      </c>
      <c r="B386" s="6" t="str">
        <f>image("https://storage.googleapis.com/acdb/photos/BromideNpcNmlRbt17_Remake_0_0.png")</f>
        <v/>
      </c>
      <c r="C386" s="5" t="s">
        <v>366</v>
      </c>
      <c r="D386" s="5" t="s">
        <v>1327</v>
      </c>
      <c r="E386" s="5" t="s">
        <v>34</v>
      </c>
      <c r="F386" s="5" t="s">
        <v>34</v>
      </c>
      <c r="G386" s="5" t="s">
        <v>36</v>
      </c>
      <c r="H386" s="5" t="s">
        <v>35</v>
      </c>
      <c r="I386" s="6">
        <v>1.0</v>
      </c>
      <c r="J386" s="6" t="s">
        <v>37</v>
      </c>
      <c r="K386" s="6">
        <v>10.0</v>
      </c>
      <c r="L386" s="5"/>
      <c r="M386" s="5"/>
      <c r="N386" s="6" t="s">
        <v>40</v>
      </c>
      <c r="O386" s="5" t="s">
        <v>5363</v>
      </c>
      <c r="P386" s="6" t="s">
        <v>42</v>
      </c>
      <c r="Q386" s="5" t="s">
        <v>1237</v>
      </c>
      <c r="R386" s="5" t="s">
        <v>6820</v>
      </c>
      <c r="S386" s="6" t="s">
        <v>50</v>
      </c>
      <c r="T386" s="6">
        <v>6680.0</v>
      </c>
    </row>
    <row r="387" ht="56.25" customHeight="1">
      <c r="A387" s="5" t="s">
        <v>6813</v>
      </c>
      <c r="B387" s="6" t="str">
        <f>image("https://storage.googleapis.com/acdb/photos/BromideNpcNmlRbt17_Remake_1_0.png")</f>
        <v/>
      </c>
      <c r="C387" s="5" t="s">
        <v>1132</v>
      </c>
      <c r="D387" s="5" t="s">
        <v>1327</v>
      </c>
      <c r="E387" s="5" t="s">
        <v>34</v>
      </c>
      <c r="F387" s="5" t="s">
        <v>34</v>
      </c>
      <c r="G387" s="5" t="s">
        <v>36</v>
      </c>
      <c r="H387" s="5" t="s">
        <v>35</v>
      </c>
      <c r="I387" s="6">
        <v>1.0</v>
      </c>
      <c r="J387" s="6" t="s">
        <v>37</v>
      </c>
      <c r="K387" s="6">
        <v>10.0</v>
      </c>
      <c r="L387" s="5"/>
      <c r="M387" s="5"/>
      <c r="N387" s="6" t="s">
        <v>40</v>
      </c>
      <c r="O387" s="5" t="s">
        <v>5363</v>
      </c>
      <c r="P387" s="6" t="s">
        <v>42</v>
      </c>
      <c r="Q387" s="5" t="s">
        <v>1237</v>
      </c>
      <c r="R387" s="5" t="s">
        <v>6823</v>
      </c>
      <c r="S387" s="6" t="s">
        <v>56</v>
      </c>
      <c r="T387" s="6">
        <v>6680.0</v>
      </c>
    </row>
    <row r="388" ht="56.25" customHeight="1">
      <c r="A388" s="5" t="s">
        <v>6813</v>
      </c>
      <c r="B388" s="6" t="str">
        <f>image("https://storage.googleapis.com/acdb/photos/BromideNpcNmlRbt17_Remake_2_0.png")</f>
        <v/>
      </c>
      <c r="C388" s="5" t="s">
        <v>688</v>
      </c>
      <c r="D388" s="5" t="s">
        <v>1327</v>
      </c>
      <c r="E388" s="5" t="s">
        <v>34</v>
      </c>
      <c r="F388" s="5" t="s">
        <v>34</v>
      </c>
      <c r="G388" s="5" t="s">
        <v>36</v>
      </c>
      <c r="H388" s="5" t="s">
        <v>35</v>
      </c>
      <c r="I388" s="6">
        <v>1.0</v>
      </c>
      <c r="J388" s="6" t="s">
        <v>37</v>
      </c>
      <c r="K388" s="6">
        <v>10.0</v>
      </c>
      <c r="L388" s="5"/>
      <c r="M388" s="5"/>
      <c r="N388" s="6" t="s">
        <v>40</v>
      </c>
      <c r="O388" s="5" t="s">
        <v>5363</v>
      </c>
      <c r="P388" s="6" t="s">
        <v>42</v>
      </c>
      <c r="Q388" s="5" t="s">
        <v>1237</v>
      </c>
      <c r="R388" s="5" t="s">
        <v>6829</v>
      </c>
      <c r="S388" s="6" t="s">
        <v>67</v>
      </c>
      <c r="T388" s="6">
        <v>6680.0</v>
      </c>
    </row>
    <row r="389" ht="56.25" customHeight="1">
      <c r="A389" s="5" t="s">
        <v>6813</v>
      </c>
      <c r="B389" s="6" t="str">
        <f>image("https://storage.googleapis.com/acdb/photos/BromideNpcNmlRbt17_Remake_3_0.png")</f>
        <v/>
      </c>
      <c r="C389" s="5" t="s">
        <v>57</v>
      </c>
      <c r="D389" s="5" t="s">
        <v>1327</v>
      </c>
      <c r="E389" s="5" t="s">
        <v>34</v>
      </c>
      <c r="F389" s="5" t="s">
        <v>34</v>
      </c>
      <c r="G389" s="5" t="s">
        <v>36</v>
      </c>
      <c r="H389" s="5" t="s">
        <v>35</v>
      </c>
      <c r="I389" s="6">
        <v>1.0</v>
      </c>
      <c r="J389" s="6" t="s">
        <v>37</v>
      </c>
      <c r="K389" s="6">
        <v>10.0</v>
      </c>
      <c r="L389" s="5"/>
      <c r="M389" s="5"/>
      <c r="N389" s="6" t="s">
        <v>40</v>
      </c>
      <c r="O389" s="5" t="s">
        <v>5363</v>
      </c>
      <c r="P389" s="6" t="s">
        <v>42</v>
      </c>
      <c r="Q389" s="5" t="s">
        <v>1237</v>
      </c>
      <c r="R389" s="5" t="s">
        <v>6833</v>
      </c>
      <c r="S389" s="6" t="s">
        <v>71</v>
      </c>
      <c r="T389" s="6">
        <v>6680.0</v>
      </c>
    </row>
    <row r="390" ht="56.25" customHeight="1">
      <c r="A390" s="5" t="s">
        <v>6813</v>
      </c>
      <c r="B390" s="6" t="str">
        <f>image("https://storage.googleapis.com/acdb/photos/BromideNpcNmlRbt17_Remake_4_0.png")</f>
        <v/>
      </c>
      <c r="C390" s="5" t="s">
        <v>1167</v>
      </c>
      <c r="D390" s="5" t="s">
        <v>1327</v>
      </c>
      <c r="E390" s="5" t="s">
        <v>34</v>
      </c>
      <c r="F390" s="5" t="s">
        <v>34</v>
      </c>
      <c r="G390" s="5" t="s">
        <v>36</v>
      </c>
      <c r="H390" s="5" t="s">
        <v>35</v>
      </c>
      <c r="I390" s="6">
        <v>1.0</v>
      </c>
      <c r="J390" s="6" t="s">
        <v>37</v>
      </c>
      <c r="K390" s="6">
        <v>10.0</v>
      </c>
      <c r="L390" s="5"/>
      <c r="M390" s="5"/>
      <c r="N390" s="6" t="s">
        <v>40</v>
      </c>
      <c r="O390" s="5" t="s">
        <v>5363</v>
      </c>
      <c r="P390" s="6" t="s">
        <v>42</v>
      </c>
      <c r="Q390" s="5" t="s">
        <v>1237</v>
      </c>
      <c r="R390" s="5" t="s">
        <v>6838</v>
      </c>
      <c r="S390" s="6" t="s">
        <v>75</v>
      </c>
      <c r="T390" s="6">
        <v>6680.0</v>
      </c>
    </row>
    <row r="391" ht="56.25" customHeight="1">
      <c r="A391" s="5" t="s">
        <v>6813</v>
      </c>
      <c r="B391" s="6" t="str">
        <f>image("https://storage.googleapis.com/acdb/photos/BromideNpcNmlRbt17_Remake_5_0.png")</f>
        <v/>
      </c>
      <c r="C391" s="5" t="s">
        <v>58</v>
      </c>
      <c r="D391" s="5" t="s">
        <v>1327</v>
      </c>
      <c r="E391" s="5" t="s">
        <v>34</v>
      </c>
      <c r="F391" s="5" t="s">
        <v>34</v>
      </c>
      <c r="G391" s="5" t="s">
        <v>36</v>
      </c>
      <c r="H391" s="5" t="s">
        <v>35</v>
      </c>
      <c r="I391" s="6">
        <v>1.0</v>
      </c>
      <c r="J391" s="6" t="s">
        <v>37</v>
      </c>
      <c r="K391" s="6">
        <v>10.0</v>
      </c>
      <c r="L391" s="5"/>
      <c r="M391" s="5"/>
      <c r="N391" s="6" t="s">
        <v>40</v>
      </c>
      <c r="O391" s="5" t="s">
        <v>5363</v>
      </c>
      <c r="P391" s="6" t="s">
        <v>42</v>
      </c>
      <c r="Q391" s="5" t="s">
        <v>1237</v>
      </c>
      <c r="R391" s="5" t="s">
        <v>6843</v>
      </c>
      <c r="S391" s="6" t="s">
        <v>79</v>
      </c>
      <c r="T391" s="6">
        <v>6680.0</v>
      </c>
    </row>
    <row r="392" ht="56.25" customHeight="1">
      <c r="A392" s="5" t="s">
        <v>6813</v>
      </c>
      <c r="B392" s="6" t="str">
        <f>image("https://storage.googleapis.com/acdb/photos/BromideNpcNmlRbt17_Remake_6_0.png")</f>
        <v/>
      </c>
      <c r="C392" s="5" t="s">
        <v>146</v>
      </c>
      <c r="D392" s="5" t="s">
        <v>1327</v>
      </c>
      <c r="E392" s="5" t="s">
        <v>34</v>
      </c>
      <c r="F392" s="5" t="s">
        <v>34</v>
      </c>
      <c r="G392" s="5" t="s">
        <v>36</v>
      </c>
      <c r="H392" s="5" t="s">
        <v>35</v>
      </c>
      <c r="I392" s="6">
        <v>1.0</v>
      </c>
      <c r="J392" s="6" t="s">
        <v>37</v>
      </c>
      <c r="K392" s="6">
        <v>10.0</v>
      </c>
      <c r="L392" s="5"/>
      <c r="M392" s="5"/>
      <c r="N392" s="6" t="s">
        <v>40</v>
      </c>
      <c r="O392" s="5" t="s">
        <v>5363</v>
      </c>
      <c r="P392" s="6" t="s">
        <v>42</v>
      </c>
      <c r="Q392" s="5" t="s">
        <v>1237</v>
      </c>
      <c r="R392" s="5" t="s">
        <v>6849</v>
      </c>
      <c r="S392" s="6" t="s">
        <v>86</v>
      </c>
      <c r="T392" s="6">
        <v>6680.0</v>
      </c>
    </row>
    <row r="393" ht="56.25" customHeight="1">
      <c r="A393" s="5" t="s">
        <v>6813</v>
      </c>
      <c r="B393" s="6" t="str">
        <f>image("https://storage.googleapis.com/acdb/photos/BromideNpcNmlRbt17_Remake_7_0.png")</f>
        <v/>
      </c>
      <c r="C393" s="5" t="s">
        <v>151</v>
      </c>
      <c r="D393" s="5" t="s">
        <v>1327</v>
      </c>
      <c r="E393" s="5" t="s">
        <v>34</v>
      </c>
      <c r="F393" s="5" t="s">
        <v>34</v>
      </c>
      <c r="G393" s="5" t="s">
        <v>36</v>
      </c>
      <c r="H393" s="5" t="s">
        <v>35</v>
      </c>
      <c r="I393" s="6">
        <v>1.0</v>
      </c>
      <c r="J393" s="6" t="s">
        <v>37</v>
      </c>
      <c r="K393" s="6">
        <v>10.0</v>
      </c>
      <c r="L393" s="5"/>
      <c r="M393" s="5"/>
      <c r="N393" s="6" t="s">
        <v>40</v>
      </c>
      <c r="O393" s="5" t="s">
        <v>5363</v>
      </c>
      <c r="P393" s="6" t="s">
        <v>42</v>
      </c>
      <c r="Q393" s="5" t="s">
        <v>1237</v>
      </c>
      <c r="R393" s="5" t="s">
        <v>6853</v>
      </c>
      <c r="S393" s="6" t="s">
        <v>208</v>
      </c>
      <c r="T393" s="6">
        <v>6680.0</v>
      </c>
    </row>
    <row r="394" ht="56.25" customHeight="1">
      <c r="A394" s="5" t="s">
        <v>6854</v>
      </c>
      <c r="B394" s="6" t="str">
        <f>image("https://storage.googleapis.com/acdb/photos/BromideNpcNmlDog04_Remake_0_0.png")</f>
        <v/>
      </c>
      <c r="C394" s="5" t="s">
        <v>366</v>
      </c>
      <c r="D394" s="5" t="s">
        <v>1327</v>
      </c>
      <c r="E394" s="5" t="s">
        <v>34</v>
      </c>
      <c r="F394" s="5" t="s">
        <v>34</v>
      </c>
      <c r="G394" s="5" t="s">
        <v>36</v>
      </c>
      <c r="H394" s="5" t="s">
        <v>35</v>
      </c>
      <c r="I394" s="6">
        <v>1.0</v>
      </c>
      <c r="J394" s="6" t="s">
        <v>37</v>
      </c>
      <c r="K394" s="6">
        <v>10.0</v>
      </c>
      <c r="L394" s="5"/>
      <c r="M394" s="5"/>
      <c r="N394" s="6" t="s">
        <v>40</v>
      </c>
      <c r="O394" s="5" t="s">
        <v>5363</v>
      </c>
      <c r="P394" s="6" t="s">
        <v>42</v>
      </c>
      <c r="Q394" s="5" t="s">
        <v>1237</v>
      </c>
      <c r="R394" s="5" t="s">
        <v>6858</v>
      </c>
      <c r="S394" s="6" t="s">
        <v>50</v>
      </c>
      <c r="T394" s="6">
        <v>6441.0</v>
      </c>
    </row>
    <row r="395" ht="56.25" customHeight="1">
      <c r="A395" s="5" t="s">
        <v>6854</v>
      </c>
      <c r="B395" s="6" t="str">
        <f>image("https://storage.googleapis.com/acdb/photos/BromideNpcNmlDog04_Remake_1_0.png")</f>
        <v/>
      </c>
      <c r="C395" s="5" t="s">
        <v>1132</v>
      </c>
      <c r="D395" s="5" t="s">
        <v>1327</v>
      </c>
      <c r="E395" s="5" t="s">
        <v>34</v>
      </c>
      <c r="F395" s="5" t="s">
        <v>34</v>
      </c>
      <c r="G395" s="5" t="s">
        <v>36</v>
      </c>
      <c r="H395" s="5" t="s">
        <v>35</v>
      </c>
      <c r="I395" s="6">
        <v>1.0</v>
      </c>
      <c r="J395" s="6" t="s">
        <v>37</v>
      </c>
      <c r="K395" s="6">
        <v>10.0</v>
      </c>
      <c r="L395" s="5"/>
      <c r="M395" s="5"/>
      <c r="N395" s="6" t="s">
        <v>40</v>
      </c>
      <c r="O395" s="5" t="s">
        <v>5363</v>
      </c>
      <c r="P395" s="6" t="s">
        <v>42</v>
      </c>
      <c r="Q395" s="5" t="s">
        <v>1237</v>
      </c>
      <c r="R395" s="5" t="s">
        <v>6863</v>
      </c>
      <c r="S395" s="6" t="s">
        <v>56</v>
      </c>
      <c r="T395" s="6">
        <v>6441.0</v>
      </c>
    </row>
    <row r="396" ht="56.25" customHeight="1">
      <c r="A396" s="5" t="s">
        <v>6854</v>
      </c>
      <c r="B396" s="6" t="str">
        <f>image("https://storage.googleapis.com/acdb/photos/BromideNpcNmlDog04_Remake_2_0.png")</f>
        <v/>
      </c>
      <c r="C396" s="5" t="s">
        <v>688</v>
      </c>
      <c r="D396" s="5" t="s">
        <v>1327</v>
      </c>
      <c r="E396" s="5" t="s">
        <v>34</v>
      </c>
      <c r="F396" s="5" t="s">
        <v>34</v>
      </c>
      <c r="G396" s="5" t="s">
        <v>36</v>
      </c>
      <c r="H396" s="5" t="s">
        <v>35</v>
      </c>
      <c r="I396" s="6">
        <v>1.0</v>
      </c>
      <c r="J396" s="6" t="s">
        <v>37</v>
      </c>
      <c r="K396" s="6">
        <v>10.0</v>
      </c>
      <c r="L396" s="5"/>
      <c r="M396" s="5"/>
      <c r="N396" s="6" t="s">
        <v>40</v>
      </c>
      <c r="O396" s="5" t="s">
        <v>5363</v>
      </c>
      <c r="P396" s="6" t="s">
        <v>42</v>
      </c>
      <c r="Q396" s="5" t="s">
        <v>1237</v>
      </c>
      <c r="R396" s="5" t="s">
        <v>6867</v>
      </c>
      <c r="S396" s="6" t="s">
        <v>67</v>
      </c>
      <c r="T396" s="6">
        <v>6441.0</v>
      </c>
    </row>
    <row r="397" ht="56.25" customHeight="1">
      <c r="A397" s="5" t="s">
        <v>6854</v>
      </c>
      <c r="B397" s="6" t="str">
        <f>image("https://storage.googleapis.com/acdb/photos/BromideNpcNmlDog04_Remake_3_0.png")</f>
        <v/>
      </c>
      <c r="C397" s="5" t="s">
        <v>57</v>
      </c>
      <c r="D397" s="5" t="s">
        <v>1327</v>
      </c>
      <c r="E397" s="5" t="s">
        <v>34</v>
      </c>
      <c r="F397" s="5" t="s">
        <v>34</v>
      </c>
      <c r="G397" s="5" t="s">
        <v>36</v>
      </c>
      <c r="H397" s="5" t="s">
        <v>35</v>
      </c>
      <c r="I397" s="6">
        <v>1.0</v>
      </c>
      <c r="J397" s="6" t="s">
        <v>37</v>
      </c>
      <c r="K397" s="6">
        <v>10.0</v>
      </c>
      <c r="L397" s="5"/>
      <c r="M397" s="5"/>
      <c r="N397" s="6" t="s">
        <v>40</v>
      </c>
      <c r="O397" s="5" t="s">
        <v>5363</v>
      </c>
      <c r="P397" s="6" t="s">
        <v>42</v>
      </c>
      <c r="Q397" s="5" t="s">
        <v>1237</v>
      </c>
      <c r="R397" s="5" t="s">
        <v>6871</v>
      </c>
      <c r="S397" s="6" t="s">
        <v>71</v>
      </c>
      <c r="T397" s="6">
        <v>6441.0</v>
      </c>
    </row>
    <row r="398" ht="56.25" customHeight="1">
      <c r="A398" s="5" t="s">
        <v>6854</v>
      </c>
      <c r="B398" s="6" t="str">
        <f>image("https://storage.googleapis.com/acdb/photos/BromideNpcNmlDog04_Remake_4_0.png")</f>
        <v/>
      </c>
      <c r="C398" s="5" t="s">
        <v>1167</v>
      </c>
      <c r="D398" s="5" t="s">
        <v>1327</v>
      </c>
      <c r="E398" s="5" t="s">
        <v>34</v>
      </c>
      <c r="F398" s="5" t="s">
        <v>34</v>
      </c>
      <c r="G398" s="5" t="s">
        <v>36</v>
      </c>
      <c r="H398" s="5" t="s">
        <v>35</v>
      </c>
      <c r="I398" s="6">
        <v>1.0</v>
      </c>
      <c r="J398" s="6" t="s">
        <v>37</v>
      </c>
      <c r="K398" s="6">
        <v>10.0</v>
      </c>
      <c r="L398" s="5"/>
      <c r="M398" s="5"/>
      <c r="N398" s="6" t="s">
        <v>40</v>
      </c>
      <c r="O398" s="5" t="s">
        <v>5363</v>
      </c>
      <c r="P398" s="6" t="s">
        <v>42</v>
      </c>
      <c r="Q398" s="5" t="s">
        <v>1237</v>
      </c>
      <c r="R398" s="5" t="s">
        <v>6875</v>
      </c>
      <c r="S398" s="6" t="s">
        <v>75</v>
      </c>
      <c r="T398" s="6">
        <v>6441.0</v>
      </c>
    </row>
    <row r="399" ht="56.25" customHeight="1">
      <c r="A399" s="5" t="s">
        <v>6854</v>
      </c>
      <c r="B399" s="6" t="str">
        <f>image("https://storage.googleapis.com/acdb/photos/BromideNpcNmlDog04_Remake_5_0.png")</f>
        <v/>
      </c>
      <c r="C399" s="5" t="s">
        <v>58</v>
      </c>
      <c r="D399" s="5" t="s">
        <v>1327</v>
      </c>
      <c r="E399" s="5" t="s">
        <v>34</v>
      </c>
      <c r="F399" s="5" t="s">
        <v>34</v>
      </c>
      <c r="G399" s="5" t="s">
        <v>36</v>
      </c>
      <c r="H399" s="5" t="s">
        <v>35</v>
      </c>
      <c r="I399" s="6">
        <v>1.0</v>
      </c>
      <c r="J399" s="6" t="s">
        <v>37</v>
      </c>
      <c r="K399" s="6">
        <v>10.0</v>
      </c>
      <c r="L399" s="5"/>
      <c r="M399" s="5"/>
      <c r="N399" s="6" t="s">
        <v>40</v>
      </c>
      <c r="O399" s="5" t="s">
        <v>5363</v>
      </c>
      <c r="P399" s="6" t="s">
        <v>42</v>
      </c>
      <c r="Q399" s="5" t="s">
        <v>1237</v>
      </c>
      <c r="R399" s="5" t="s">
        <v>6878</v>
      </c>
      <c r="S399" s="6" t="s">
        <v>79</v>
      </c>
      <c r="T399" s="6">
        <v>6441.0</v>
      </c>
    </row>
    <row r="400" ht="56.25" customHeight="1">
      <c r="A400" s="5" t="s">
        <v>6854</v>
      </c>
      <c r="B400" s="6" t="str">
        <f>image("https://storage.googleapis.com/acdb/photos/BromideNpcNmlDog04_Remake_6_0.png")</f>
        <v/>
      </c>
      <c r="C400" s="5" t="s">
        <v>146</v>
      </c>
      <c r="D400" s="5" t="s">
        <v>1327</v>
      </c>
      <c r="E400" s="5" t="s">
        <v>34</v>
      </c>
      <c r="F400" s="5" t="s">
        <v>34</v>
      </c>
      <c r="G400" s="5" t="s">
        <v>36</v>
      </c>
      <c r="H400" s="5" t="s">
        <v>35</v>
      </c>
      <c r="I400" s="6">
        <v>1.0</v>
      </c>
      <c r="J400" s="6" t="s">
        <v>37</v>
      </c>
      <c r="K400" s="6">
        <v>10.0</v>
      </c>
      <c r="L400" s="5"/>
      <c r="M400" s="5"/>
      <c r="N400" s="6" t="s">
        <v>40</v>
      </c>
      <c r="O400" s="5" t="s">
        <v>5363</v>
      </c>
      <c r="P400" s="6" t="s">
        <v>42</v>
      </c>
      <c r="Q400" s="5" t="s">
        <v>1237</v>
      </c>
      <c r="R400" s="5" t="s">
        <v>6884</v>
      </c>
      <c r="S400" s="6" t="s">
        <v>86</v>
      </c>
      <c r="T400" s="6">
        <v>6441.0</v>
      </c>
    </row>
    <row r="401" ht="56.25" customHeight="1">
      <c r="A401" s="5" t="s">
        <v>6854</v>
      </c>
      <c r="B401" s="6" t="str">
        <f>image("https://storage.googleapis.com/acdb/photos/BromideNpcNmlDog04_Remake_7_0.png")</f>
        <v/>
      </c>
      <c r="C401" s="5" t="s">
        <v>151</v>
      </c>
      <c r="D401" s="5" t="s">
        <v>1327</v>
      </c>
      <c r="E401" s="5" t="s">
        <v>34</v>
      </c>
      <c r="F401" s="5" t="s">
        <v>34</v>
      </c>
      <c r="G401" s="5" t="s">
        <v>36</v>
      </c>
      <c r="H401" s="5" t="s">
        <v>35</v>
      </c>
      <c r="I401" s="6">
        <v>1.0</v>
      </c>
      <c r="J401" s="6" t="s">
        <v>37</v>
      </c>
      <c r="K401" s="6">
        <v>10.0</v>
      </c>
      <c r="L401" s="5"/>
      <c r="M401" s="5"/>
      <c r="N401" s="6" t="s">
        <v>40</v>
      </c>
      <c r="O401" s="5" t="s">
        <v>5363</v>
      </c>
      <c r="P401" s="6" t="s">
        <v>42</v>
      </c>
      <c r="Q401" s="5" t="s">
        <v>1237</v>
      </c>
      <c r="R401" s="5" t="s">
        <v>6888</v>
      </c>
      <c r="S401" s="6" t="s">
        <v>208</v>
      </c>
      <c r="T401" s="6">
        <v>6441.0</v>
      </c>
    </row>
    <row r="402" ht="56.25" customHeight="1">
      <c r="A402" s="5" t="s">
        <v>6890</v>
      </c>
      <c r="B402" s="6" t="str">
        <f>image("https://storage.googleapis.com/acdb/photos/BromideNpcNmlPgn10_Remake_0_0.png")</f>
        <v/>
      </c>
      <c r="C402" s="5" t="s">
        <v>366</v>
      </c>
      <c r="D402" s="5" t="s">
        <v>1327</v>
      </c>
      <c r="E402" s="5" t="s">
        <v>34</v>
      </c>
      <c r="F402" s="5" t="s">
        <v>34</v>
      </c>
      <c r="G402" s="5" t="s">
        <v>36</v>
      </c>
      <c r="H402" s="5" t="s">
        <v>35</v>
      </c>
      <c r="I402" s="6">
        <v>1.0</v>
      </c>
      <c r="J402" s="6" t="s">
        <v>37</v>
      </c>
      <c r="K402" s="6">
        <v>10.0</v>
      </c>
      <c r="L402" s="5"/>
      <c r="M402" s="5"/>
      <c r="N402" s="6" t="s">
        <v>40</v>
      </c>
      <c r="O402" s="5" t="s">
        <v>5363</v>
      </c>
      <c r="P402" s="6" t="s">
        <v>42</v>
      </c>
      <c r="Q402" s="5" t="s">
        <v>1237</v>
      </c>
      <c r="R402" s="5" t="s">
        <v>6894</v>
      </c>
      <c r="S402" s="6" t="s">
        <v>50</v>
      </c>
      <c r="T402" s="6">
        <v>6639.0</v>
      </c>
    </row>
    <row r="403" ht="56.25" customHeight="1">
      <c r="A403" s="5" t="s">
        <v>6890</v>
      </c>
      <c r="B403" s="6" t="str">
        <f>image("https://storage.googleapis.com/acdb/photos/BromideNpcNmlPgn10_Remake_1_0.png")</f>
        <v/>
      </c>
      <c r="C403" s="5" t="s">
        <v>1132</v>
      </c>
      <c r="D403" s="5" t="s">
        <v>1327</v>
      </c>
      <c r="E403" s="5" t="s">
        <v>34</v>
      </c>
      <c r="F403" s="5" t="s">
        <v>34</v>
      </c>
      <c r="G403" s="5" t="s">
        <v>36</v>
      </c>
      <c r="H403" s="5" t="s">
        <v>35</v>
      </c>
      <c r="I403" s="6">
        <v>1.0</v>
      </c>
      <c r="J403" s="6" t="s">
        <v>37</v>
      </c>
      <c r="K403" s="6">
        <v>10.0</v>
      </c>
      <c r="L403" s="5"/>
      <c r="M403" s="5"/>
      <c r="N403" s="6" t="s">
        <v>40</v>
      </c>
      <c r="O403" s="5" t="s">
        <v>5363</v>
      </c>
      <c r="P403" s="6" t="s">
        <v>42</v>
      </c>
      <c r="Q403" s="5" t="s">
        <v>1237</v>
      </c>
      <c r="R403" s="5" t="s">
        <v>6897</v>
      </c>
      <c r="S403" s="6" t="s">
        <v>56</v>
      </c>
      <c r="T403" s="6">
        <v>6639.0</v>
      </c>
    </row>
    <row r="404" ht="56.25" customHeight="1">
      <c r="A404" s="5" t="s">
        <v>6890</v>
      </c>
      <c r="B404" s="6" t="str">
        <f>image("https://storage.googleapis.com/acdb/photos/BromideNpcNmlPgn10_Remake_2_0.png")</f>
        <v/>
      </c>
      <c r="C404" s="5" t="s">
        <v>688</v>
      </c>
      <c r="D404" s="5" t="s">
        <v>1327</v>
      </c>
      <c r="E404" s="5" t="s">
        <v>34</v>
      </c>
      <c r="F404" s="5" t="s">
        <v>34</v>
      </c>
      <c r="G404" s="5" t="s">
        <v>36</v>
      </c>
      <c r="H404" s="5" t="s">
        <v>35</v>
      </c>
      <c r="I404" s="6">
        <v>1.0</v>
      </c>
      <c r="J404" s="6" t="s">
        <v>37</v>
      </c>
      <c r="K404" s="6">
        <v>10.0</v>
      </c>
      <c r="L404" s="5"/>
      <c r="M404" s="5"/>
      <c r="N404" s="6" t="s">
        <v>40</v>
      </c>
      <c r="O404" s="5" t="s">
        <v>5363</v>
      </c>
      <c r="P404" s="6" t="s">
        <v>42</v>
      </c>
      <c r="Q404" s="5" t="s">
        <v>1237</v>
      </c>
      <c r="R404" s="5" t="s">
        <v>6903</v>
      </c>
      <c r="S404" s="6" t="s">
        <v>67</v>
      </c>
      <c r="T404" s="6">
        <v>6639.0</v>
      </c>
    </row>
    <row r="405" ht="56.25" customHeight="1">
      <c r="A405" s="5" t="s">
        <v>6890</v>
      </c>
      <c r="B405" s="6" t="str">
        <f>image("https://storage.googleapis.com/acdb/photos/BromideNpcNmlPgn10_Remake_3_0.png")</f>
        <v/>
      </c>
      <c r="C405" s="5" t="s">
        <v>57</v>
      </c>
      <c r="D405" s="5" t="s">
        <v>1327</v>
      </c>
      <c r="E405" s="5" t="s">
        <v>34</v>
      </c>
      <c r="F405" s="5" t="s">
        <v>34</v>
      </c>
      <c r="G405" s="5" t="s">
        <v>36</v>
      </c>
      <c r="H405" s="5" t="s">
        <v>35</v>
      </c>
      <c r="I405" s="6">
        <v>1.0</v>
      </c>
      <c r="J405" s="6" t="s">
        <v>37</v>
      </c>
      <c r="K405" s="6">
        <v>10.0</v>
      </c>
      <c r="L405" s="5"/>
      <c r="M405" s="5"/>
      <c r="N405" s="6" t="s">
        <v>40</v>
      </c>
      <c r="O405" s="5" t="s">
        <v>5363</v>
      </c>
      <c r="P405" s="6" t="s">
        <v>42</v>
      </c>
      <c r="Q405" s="5" t="s">
        <v>1237</v>
      </c>
      <c r="R405" s="5" t="s">
        <v>6907</v>
      </c>
      <c r="S405" s="6" t="s">
        <v>71</v>
      </c>
      <c r="T405" s="6">
        <v>6639.0</v>
      </c>
    </row>
    <row r="406" ht="56.25" customHeight="1">
      <c r="A406" s="5" t="s">
        <v>6890</v>
      </c>
      <c r="B406" s="6" t="str">
        <f>image("https://storage.googleapis.com/acdb/photos/BromideNpcNmlPgn10_Remake_4_0.png")</f>
        <v/>
      </c>
      <c r="C406" s="5" t="s">
        <v>1167</v>
      </c>
      <c r="D406" s="5" t="s">
        <v>1327</v>
      </c>
      <c r="E406" s="5" t="s">
        <v>34</v>
      </c>
      <c r="F406" s="5" t="s">
        <v>34</v>
      </c>
      <c r="G406" s="5" t="s">
        <v>36</v>
      </c>
      <c r="H406" s="5" t="s">
        <v>35</v>
      </c>
      <c r="I406" s="6">
        <v>1.0</v>
      </c>
      <c r="J406" s="6" t="s">
        <v>37</v>
      </c>
      <c r="K406" s="6">
        <v>10.0</v>
      </c>
      <c r="L406" s="5"/>
      <c r="M406" s="5"/>
      <c r="N406" s="6" t="s">
        <v>40</v>
      </c>
      <c r="O406" s="5" t="s">
        <v>5363</v>
      </c>
      <c r="P406" s="6" t="s">
        <v>42</v>
      </c>
      <c r="Q406" s="5" t="s">
        <v>1237</v>
      </c>
      <c r="R406" s="5" t="s">
        <v>6913</v>
      </c>
      <c r="S406" s="6" t="s">
        <v>75</v>
      </c>
      <c r="T406" s="6">
        <v>6639.0</v>
      </c>
    </row>
    <row r="407" ht="56.25" customHeight="1">
      <c r="A407" s="5" t="s">
        <v>6890</v>
      </c>
      <c r="B407" s="6" t="str">
        <f>image("https://storage.googleapis.com/acdb/photos/BromideNpcNmlPgn10_Remake_5_0.png")</f>
        <v/>
      </c>
      <c r="C407" s="5" t="s">
        <v>58</v>
      </c>
      <c r="D407" s="5" t="s">
        <v>1327</v>
      </c>
      <c r="E407" s="5" t="s">
        <v>34</v>
      </c>
      <c r="F407" s="5" t="s">
        <v>34</v>
      </c>
      <c r="G407" s="5" t="s">
        <v>36</v>
      </c>
      <c r="H407" s="5" t="s">
        <v>35</v>
      </c>
      <c r="I407" s="6">
        <v>1.0</v>
      </c>
      <c r="J407" s="6" t="s">
        <v>37</v>
      </c>
      <c r="K407" s="6">
        <v>10.0</v>
      </c>
      <c r="L407" s="5"/>
      <c r="M407" s="5"/>
      <c r="N407" s="6" t="s">
        <v>40</v>
      </c>
      <c r="O407" s="5" t="s">
        <v>5363</v>
      </c>
      <c r="P407" s="6" t="s">
        <v>42</v>
      </c>
      <c r="Q407" s="5" t="s">
        <v>1237</v>
      </c>
      <c r="R407" s="5" t="s">
        <v>6916</v>
      </c>
      <c r="S407" s="6" t="s">
        <v>79</v>
      </c>
      <c r="T407" s="6">
        <v>6639.0</v>
      </c>
    </row>
    <row r="408" ht="56.25" customHeight="1">
      <c r="A408" s="5" t="s">
        <v>6890</v>
      </c>
      <c r="B408" s="6" t="str">
        <f>image("https://storage.googleapis.com/acdb/photos/BromideNpcNmlPgn10_Remake_6_0.png")</f>
        <v/>
      </c>
      <c r="C408" s="5" t="s">
        <v>146</v>
      </c>
      <c r="D408" s="5" t="s">
        <v>1327</v>
      </c>
      <c r="E408" s="5" t="s">
        <v>34</v>
      </c>
      <c r="F408" s="5" t="s">
        <v>34</v>
      </c>
      <c r="G408" s="5" t="s">
        <v>36</v>
      </c>
      <c r="H408" s="5" t="s">
        <v>35</v>
      </c>
      <c r="I408" s="6">
        <v>1.0</v>
      </c>
      <c r="J408" s="6" t="s">
        <v>37</v>
      </c>
      <c r="K408" s="6">
        <v>10.0</v>
      </c>
      <c r="L408" s="5"/>
      <c r="M408" s="5"/>
      <c r="N408" s="6" t="s">
        <v>40</v>
      </c>
      <c r="O408" s="5" t="s">
        <v>5363</v>
      </c>
      <c r="P408" s="6" t="s">
        <v>42</v>
      </c>
      <c r="Q408" s="5" t="s">
        <v>1237</v>
      </c>
      <c r="R408" s="5" t="s">
        <v>6922</v>
      </c>
      <c r="S408" s="6" t="s">
        <v>86</v>
      </c>
      <c r="T408" s="6">
        <v>6639.0</v>
      </c>
    </row>
    <row r="409" ht="56.25" customHeight="1">
      <c r="A409" s="5" t="s">
        <v>6890</v>
      </c>
      <c r="B409" s="6" t="str">
        <f>image("https://storage.googleapis.com/acdb/photos/BromideNpcNmlPgn10_Remake_7_0.png")</f>
        <v/>
      </c>
      <c r="C409" s="5" t="s">
        <v>151</v>
      </c>
      <c r="D409" s="5" t="s">
        <v>1327</v>
      </c>
      <c r="E409" s="5" t="s">
        <v>34</v>
      </c>
      <c r="F409" s="5" t="s">
        <v>34</v>
      </c>
      <c r="G409" s="5" t="s">
        <v>36</v>
      </c>
      <c r="H409" s="5" t="s">
        <v>35</v>
      </c>
      <c r="I409" s="6">
        <v>1.0</v>
      </c>
      <c r="J409" s="6" t="s">
        <v>37</v>
      </c>
      <c r="K409" s="6">
        <v>10.0</v>
      </c>
      <c r="L409" s="5"/>
      <c r="M409" s="5"/>
      <c r="N409" s="6" t="s">
        <v>40</v>
      </c>
      <c r="O409" s="5" t="s">
        <v>5363</v>
      </c>
      <c r="P409" s="6" t="s">
        <v>42</v>
      </c>
      <c r="Q409" s="5" t="s">
        <v>1237</v>
      </c>
      <c r="R409" s="5" t="s">
        <v>6928</v>
      </c>
      <c r="S409" s="6" t="s">
        <v>208</v>
      </c>
      <c r="T409" s="6">
        <v>6639.0</v>
      </c>
    </row>
    <row r="410" ht="56.25" customHeight="1">
      <c r="A410" s="5" t="s">
        <v>6929</v>
      </c>
      <c r="B410" s="6" t="str">
        <f>image("https://storage.googleapis.com/acdb/photos/BromideNpcNmlGor02_Remake_0_0.png")</f>
        <v/>
      </c>
      <c r="C410" s="5" t="s">
        <v>366</v>
      </c>
      <c r="D410" s="5" t="s">
        <v>1327</v>
      </c>
      <c r="E410" s="5" t="s">
        <v>34</v>
      </c>
      <c r="F410" s="5" t="s">
        <v>34</v>
      </c>
      <c r="G410" s="5" t="s">
        <v>36</v>
      </c>
      <c r="H410" s="5" t="s">
        <v>35</v>
      </c>
      <c r="I410" s="6">
        <v>1.0</v>
      </c>
      <c r="J410" s="6" t="s">
        <v>37</v>
      </c>
      <c r="K410" s="6">
        <v>10.0</v>
      </c>
      <c r="L410" s="5"/>
      <c r="M410" s="5"/>
      <c r="N410" s="6" t="s">
        <v>40</v>
      </c>
      <c r="O410" s="5" t="s">
        <v>5363</v>
      </c>
      <c r="P410" s="6" t="s">
        <v>42</v>
      </c>
      <c r="Q410" s="5" t="s">
        <v>1237</v>
      </c>
      <c r="R410" s="5" t="s">
        <v>6933</v>
      </c>
      <c r="S410" s="6" t="s">
        <v>50</v>
      </c>
      <c r="T410" s="6">
        <v>6513.0</v>
      </c>
    </row>
    <row r="411" ht="56.25" customHeight="1">
      <c r="A411" s="5" t="s">
        <v>6929</v>
      </c>
      <c r="B411" s="6" t="str">
        <f>image("https://storage.googleapis.com/acdb/photos/BromideNpcNmlGor02_Remake_1_0.png")</f>
        <v/>
      </c>
      <c r="C411" s="5" t="s">
        <v>1132</v>
      </c>
      <c r="D411" s="5" t="s">
        <v>1327</v>
      </c>
      <c r="E411" s="5" t="s">
        <v>34</v>
      </c>
      <c r="F411" s="5" t="s">
        <v>34</v>
      </c>
      <c r="G411" s="5" t="s">
        <v>36</v>
      </c>
      <c r="H411" s="5" t="s">
        <v>35</v>
      </c>
      <c r="I411" s="6">
        <v>1.0</v>
      </c>
      <c r="J411" s="6" t="s">
        <v>37</v>
      </c>
      <c r="K411" s="6">
        <v>10.0</v>
      </c>
      <c r="L411" s="5"/>
      <c r="M411" s="5"/>
      <c r="N411" s="6" t="s">
        <v>40</v>
      </c>
      <c r="O411" s="5" t="s">
        <v>5363</v>
      </c>
      <c r="P411" s="6" t="s">
        <v>42</v>
      </c>
      <c r="Q411" s="5" t="s">
        <v>1237</v>
      </c>
      <c r="R411" s="5" t="s">
        <v>6938</v>
      </c>
      <c r="S411" s="6" t="s">
        <v>56</v>
      </c>
      <c r="T411" s="6">
        <v>6513.0</v>
      </c>
    </row>
    <row r="412" ht="56.25" customHeight="1">
      <c r="A412" s="5" t="s">
        <v>6929</v>
      </c>
      <c r="B412" s="6" t="str">
        <f>image("https://storage.googleapis.com/acdb/photos/BromideNpcNmlGor02_Remake_2_0.png")</f>
        <v/>
      </c>
      <c r="C412" s="5" t="s">
        <v>688</v>
      </c>
      <c r="D412" s="5" t="s">
        <v>1327</v>
      </c>
      <c r="E412" s="5" t="s">
        <v>34</v>
      </c>
      <c r="F412" s="5" t="s">
        <v>34</v>
      </c>
      <c r="G412" s="5" t="s">
        <v>36</v>
      </c>
      <c r="H412" s="5" t="s">
        <v>35</v>
      </c>
      <c r="I412" s="6">
        <v>1.0</v>
      </c>
      <c r="J412" s="6" t="s">
        <v>37</v>
      </c>
      <c r="K412" s="6">
        <v>10.0</v>
      </c>
      <c r="L412" s="5"/>
      <c r="M412" s="5"/>
      <c r="N412" s="6" t="s">
        <v>40</v>
      </c>
      <c r="O412" s="5" t="s">
        <v>5363</v>
      </c>
      <c r="P412" s="6" t="s">
        <v>42</v>
      </c>
      <c r="Q412" s="5" t="s">
        <v>1237</v>
      </c>
      <c r="R412" s="5" t="s">
        <v>6940</v>
      </c>
      <c r="S412" s="6" t="s">
        <v>67</v>
      </c>
      <c r="T412" s="6">
        <v>6513.0</v>
      </c>
    </row>
    <row r="413" ht="56.25" customHeight="1">
      <c r="A413" s="5" t="s">
        <v>6929</v>
      </c>
      <c r="B413" s="6" t="str">
        <f>image("https://storage.googleapis.com/acdb/photos/BromideNpcNmlGor02_Remake_3_0.png")</f>
        <v/>
      </c>
      <c r="C413" s="5" t="s">
        <v>57</v>
      </c>
      <c r="D413" s="5" t="s">
        <v>1327</v>
      </c>
      <c r="E413" s="5" t="s">
        <v>34</v>
      </c>
      <c r="F413" s="5" t="s">
        <v>34</v>
      </c>
      <c r="G413" s="5" t="s">
        <v>36</v>
      </c>
      <c r="H413" s="5" t="s">
        <v>35</v>
      </c>
      <c r="I413" s="6">
        <v>1.0</v>
      </c>
      <c r="J413" s="6" t="s">
        <v>37</v>
      </c>
      <c r="K413" s="6">
        <v>10.0</v>
      </c>
      <c r="L413" s="5"/>
      <c r="M413" s="5"/>
      <c r="N413" s="6" t="s">
        <v>40</v>
      </c>
      <c r="O413" s="5" t="s">
        <v>5363</v>
      </c>
      <c r="P413" s="6" t="s">
        <v>42</v>
      </c>
      <c r="Q413" s="5" t="s">
        <v>1237</v>
      </c>
      <c r="R413" s="5" t="s">
        <v>6945</v>
      </c>
      <c r="S413" s="6" t="s">
        <v>71</v>
      </c>
      <c r="T413" s="6">
        <v>6513.0</v>
      </c>
    </row>
    <row r="414" ht="56.25" customHeight="1">
      <c r="A414" s="5" t="s">
        <v>6929</v>
      </c>
      <c r="B414" s="6" t="str">
        <f>image("https://storage.googleapis.com/acdb/photos/BromideNpcNmlGor02_Remake_4_0.png")</f>
        <v/>
      </c>
      <c r="C414" s="5" t="s">
        <v>1167</v>
      </c>
      <c r="D414" s="5" t="s">
        <v>1327</v>
      </c>
      <c r="E414" s="5" t="s">
        <v>34</v>
      </c>
      <c r="F414" s="5" t="s">
        <v>34</v>
      </c>
      <c r="G414" s="5" t="s">
        <v>36</v>
      </c>
      <c r="H414" s="5" t="s">
        <v>35</v>
      </c>
      <c r="I414" s="6">
        <v>1.0</v>
      </c>
      <c r="J414" s="6" t="s">
        <v>37</v>
      </c>
      <c r="K414" s="6">
        <v>10.0</v>
      </c>
      <c r="L414" s="5"/>
      <c r="M414" s="5"/>
      <c r="N414" s="6" t="s">
        <v>40</v>
      </c>
      <c r="O414" s="5" t="s">
        <v>5363</v>
      </c>
      <c r="P414" s="6" t="s">
        <v>42</v>
      </c>
      <c r="Q414" s="5" t="s">
        <v>1237</v>
      </c>
      <c r="R414" s="5" t="s">
        <v>6949</v>
      </c>
      <c r="S414" s="6" t="s">
        <v>75</v>
      </c>
      <c r="T414" s="6">
        <v>6513.0</v>
      </c>
    </row>
    <row r="415" ht="56.25" customHeight="1">
      <c r="A415" s="5" t="s">
        <v>6929</v>
      </c>
      <c r="B415" s="6" t="str">
        <f>image("https://storage.googleapis.com/acdb/photos/BromideNpcNmlGor02_Remake_5_0.png")</f>
        <v/>
      </c>
      <c r="C415" s="5" t="s">
        <v>58</v>
      </c>
      <c r="D415" s="5" t="s">
        <v>1327</v>
      </c>
      <c r="E415" s="5" t="s">
        <v>34</v>
      </c>
      <c r="F415" s="5" t="s">
        <v>34</v>
      </c>
      <c r="G415" s="5" t="s">
        <v>36</v>
      </c>
      <c r="H415" s="5" t="s">
        <v>35</v>
      </c>
      <c r="I415" s="6">
        <v>1.0</v>
      </c>
      <c r="J415" s="6" t="s">
        <v>37</v>
      </c>
      <c r="K415" s="6">
        <v>10.0</v>
      </c>
      <c r="L415" s="5"/>
      <c r="M415" s="5"/>
      <c r="N415" s="6" t="s">
        <v>40</v>
      </c>
      <c r="O415" s="5" t="s">
        <v>5363</v>
      </c>
      <c r="P415" s="6" t="s">
        <v>42</v>
      </c>
      <c r="Q415" s="5" t="s">
        <v>1237</v>
      </c>
      <c r="R415" s="5" t="s">
        <v>6956</v>
      </c>
      <c r="S415" s="6" t="s">
        <v>79</v>
      </c>
      <c r="T415" s="6">
        <v>6513.0</v>
      </c>
    </row>
    <row r="416" ht="56.25" customHeight="1">
      <c r="A416" s="5" t="s">
        <v>6929</v>
      </c>
      <c r="B416" s="6" t="str">
        <f>image("https://storage.googleapis.com/acdb/photos/BromideNpcNmlGor02_Remake_6_0.png")</f>
        <v/>
      </c>
      <c r="C416" s="5" t="s">
        <v>146</v>
      </c>
      <c r="D416" s="5" t="s">
        <v>1327</v>
      </c>
      <c r="E416" s="5" t="s">
        <v>34</v>
      </c>
      <c r="F416" s="5" t="s">
        <v>34</v>
      </c>
      <c r="G416" s="5" t="s">
        <v>36</v>
      </c>
      <c r="H416" s="5" t="s">
        <v>35</v>
      </c>
      <c r="I416" s="6">
        <v>1.0</v>
      </c>
      <c r="J416" s="6" t="s">
        <v>37</v>
      </c>
      <c r="K416" s="6">
        <v>10.0</v>
      </c>
      <c r="L416" s="5"/>
      <c r="M416" s="5"/>
      <c r="N416" s="6" t="s">
        <v>40</v>
      </c>
      <c r="O416" s="5" t="s">
        <v>5363</v>
      </c>
      <c r="P416" s="6" t="s">
        <v>42</v>
      </c>
      <c r="Q416" s="5" t="s">
        <v>1237</v>
      </c>
      <c r="R416" s="5" t="s">
        <v>6962</v>
      </c>
      <c r="S416" s="6" t="s">
        <v>86</v>
      </c>
      <c r="T416" s="6">
        <v>6513.0</v>
      </c>
    </row>
    <row r="417" ht="56.25" customHeight="1">
      <c r="A417" s="5" t="s">
        <v>6929</v>
      </c>
      <c r="B417" s="6" t="str">
        <f>image("https://storage.googleapis.com/acdb/photos/BromideNpcNmlGor02_Remake_7_0.png")</f>
        <v/>
      </c>
      <c r="C417" s="5" t="s">
        <v>151</v>
      </c>
      <c r="D417" s="5" t="s">
        <v>1327</v>
      </c>
      <c r="E417" s="5" t="s">
        <v>34</v>
      </c>
      <c r="F417" s="5" t="s">
        <v>34</v>
      </c>
      <c r="G417" s="5" t="s">
        <v>36</v>
      </c>
      <c r="H417" s="5" t="s">
        <v>35</v>
      </c>
      <c r="I417" s="6">
        <v>1.0</v>
      </c>
      <c r="J417" s="6" t="s">
        <v>37</v>
      </c>
      <c r="K417" s="6">
        <v>10.0</v>
      </c>
      <c r="L417" s="5"/>
      <c r="M417" s="5"/>
      <c r="N417" s="6" t="s">
        <v>40</v>
      </c>
      <c r="O417" s="5" t="s">
        <v>5363</v>
      </c>
      <c r="P417" s="6" t="s">
        <v>42</v>
      </c>
      <c r="Q417" s="5" t="s">
        <v>1237</v>
      </c>
      <c r="R417" s="5" t="s">
        <v>6968</v>
      </c>
      <c r="S417" s="6" t="s">
        <v>208</v>
      </c>
      <c r="T417" s="6">
        <v>6513.0</v>
      </c>
    </row>
    <row r="418" ht="56.25" customHeight="1">
      <c r="A418" s="5" t="s">
        <v>6969</v>
      </c>
      <c r="B418" s="6" t="str">
        <f>image("https://storage.googleapis.com/acdb/photos/BromideNpcNmlCrd02_Remake_0_0.png")</f>
        <v/>
      </c>
      <c r="C418" s="5" t="s">
        <v>366</v>
      </c>
      <c r="D418" s="5" t="s">
        <v>1327</v>
      </c>
      <c r="E418" s="5" t="s">
        <v>34</v>
      </c>
      <c r="F418" s="5" t="s">
        <v>34</v>
      </c>
      <c r="G418" s="5" t="s">
        <v>36</v>
      </c>
      <c r="H418" s="5" t="s">
        <v>35</v>
      </c>
      <c r="I418" s="6">
        <v>1.0</v>
      </c>
      <c r="J418" s="6" t="s">
        <v>37</v>
      </c>
      <c r="K418" s="6">
        <v>10.0</v>
      </c>
      <c r="L418" s="5"/>
      <c r="M418" s="5"/>
      <c r="N418" s="6" t="s">
        <v>40</v>
      </c>
      <c r="O418" s="5" t="s">
        <v>5363</v>
      </c>
      <c r="P418" s="6" t="s">
        <v>42</v>
      </c>
      <c r="Q418" s="5" t="s">
        <v>1237</v>
      </c>
      <c r="R418" s="5" t="s">
        <v>6973</v>
      </c>
      <c r="S418" s="6" t="s">
        <v>50</v>
      </c>
      <c r="T418" s="6">
        <v>6802.0</v>
      </c>
    </row>
    <row r="419" ht="56.25" customHeight="1">
      <c r="A419" s="5" t="s">
        <v>6969</v>
      </c>
      <c r="B419" s="6" t="str">
        <f>image("https://storage.googleapis.com/acdb/photos/BromideNpcNmlCrd02_Remake_1_0.png")</f>
        <v/>
      </c>
      <c r="C419" s="5" t="s">
        <v>1132</v>
      </c>
      <c r="D419" s="5" t="s">
        <v>1327</v>
      </c>
      <c r="E419" s="5" t="s">
        <v>34</v>
      </c>
      <c r="F419" s="5" t="s">
        <v>34</v>
      </c>
      <c r="G419" s="5" t="s">
        <v>36</v>
      </c>
      <c r="H419" s="5" t="s">
        <v>35</v>
      </c>
      <c r="I419" s="6">
        <v>1.0</v>
      </c>
      <c r="J419" s="6" t="s">
        <v>37</v>
      </c>
      <c r="K419" s="6">
        <v>10.0</v>
      </c>
      <c r="L419" s="5"/>
      <c r="M419" s="5"/>
      <c r="N419" s="6" t="s">
        <v>40</v>
      </c>
      <c r="O419" s="5" t="s">
        <v>5363</v>
      </c>
      <c r="P419" s="6" t="s">
        <v>42</v>
      </c>
      <c r="Q419" s="5" t="s">
        <v>1237</v>
      </c>
      <c r="R419" s="5" t="s">
        <v>6978</v>
      </c>
      <c r="S419" s="6" t="s">
        <v>56</v>
      </c>
      <c r="T419" s="6">
        <v>6802.0</v>
      </c>
    </row>
    <row r="420" ht="56.25" customHeight="1">
      <c r="A420" s="5" t="s">
        <v>6969</v>
      </c>
      <c r="B420" s="6" t="str">
        <f>image("https://storage.googleapis.com/acdb/photos/BromideNpcNmlCrd02_Remake_2_0.png")</f>
        <v/>
      </c>
      <c r="C420" s="5" t="s">
        <v>688</v>
      </c>
      <c r="D420" s="5" t="s">
        <v>1327</v>
      </c>
      <c r="E420" s="5" t="s">
        <v>34</v>
      </c>
      <c r="F420" s="5" t="s">
        <v>34</v>
      </c>
      <c r="G420" s="5" t="s">
        <v>36</v>
      </c>
      <c r="H420" s="5" t="s">
        <v>35</v>
      </c>
      <c r="I420" s="6">
        <v>1.0</v>
      </c>
      <c r="J420" s="6" t="s">
        <v>37</v>
      </c>
      <c r="K420" s="6">
        <v>10.0</v>
      </c>
      <c r="L420" s="5"/>
      <c r="M420" s="5"/>
      <c r="N420" s="6" t="s">
        <v>40</v>
      </c>
      <c r="O420" s="5" t="s">
        <v>5363</v>
      </c>
      <c r="P420" s="6" t="s">
        <v>42</v>
      </c>
      <c r="Q420" s="5" t="s">
        <v>1237</v>
      </c>
      <c r="R420" s="5" t="s">
        <v>6982</v>
      </c>
      <c r="S420" s="6" t="s">
        <v>67</v>
      </c>
      <c r="T420" s="6">
        <v>6802.0</v>
      </c>
    </row>
    <row r="421" ht="56.25" customHeight="1">
      <c r="A421" s="5" t="s">
        <v>6969</v>
      </c>
      <c r="B421" s="6" t="str">
        <f>image("https://storage.googleapis.com/acdb/photos/BromideNpcNmlCrd02_Remake_3_0.png")</f>
        <v/>
      </c>
      <c r="C421" s="5" t="s">
        <v>57</v>
      </c>
      <c r="D421" s="5" t="s">
        <v>1327</v>
      </c>
      <c r="E421" s="5" t="s">
        <v>34</v>
      </c>
      <c r="F421" s="5" t="s">
        <v>34</v>
      </c>
      <c r="G421" s="5" t="s">
        <v>36</v>
      </c>
      <c r="H421" s="5" t="s">
        <v>35</v>
      </c>
      <c r="I421" s="6">
        <v>1.0</v>
      </c>
      <c r="J421" s="6" t="s">
        <v>37</v>
      </c>
      <c r="K421" s="6">
        <v>10.0</v>
      </c>
      <c r="L421" s="5"/>
      <c r="M421" s="5"/>
      <c r="N421" s="6" t="s">
        <v>40</v>
      </c>
      <c r="O421" s="5" t="s">
        <v>5363</v>
      </c>
      <c r="P421" s="6" t="s">
        <v>42</v>
      </c>
      <c r="Q421" s="5" t="s">
        <v>1237</v>
      </c>
      <c r="R421" s="5" t="s">
        <v>6991</v>
      </c>
      <c r="S421" s="6" t="s">
        <v>71</v>
      </c>
      <c r="T421" s="6">
        <v>6802.0</v>
      </c>
    </row>
    <row r="422" ht="56.25" customHeight="1">
      <c r="A422" s="5" t="s">
        <v>6969</v>
      </c>
      <c r="B422" s="6" t="str">
        <f>image("https://storage.googleapis.com/acdb/photos/BromideNpcNmlCrd02_Remake_4_0.png")</f>
        <v/>
      </c>
      <c r="C422" s="5" t="s">
        <v>1167</v>
      </c>
      <c r="D422" s="5" t="s">
        <v>1327</v>
      </c>
      <c r="E422" s="5" t="s">
        <v>34</v>
      </c>
      <c r="F422" s="5" t="s">
        <v>34</v>
      </c>
      <c r="G422" s="5" t="s">
        <v>36</v>
      </c>
      <c r="H422" s="5" t="s">
        <v>35</v>
      </c>
      <c r="I422" s="6">
        <v>1.0</v>
      </c>
      <c r="J422" s="6" t="s">
        <v>37</v>
      </c>
      <c r="K422" s="6">
        <v>10.0</v>
      </c>
      <c r="L422" s="5"/>
      <c r="M422" s="5"/>
      <c r="N422" s="6" t="s">
        <v>40</v>
      </c>
      <c r="O422" s="5" t="s">
        <v>5363</v>
      </c>
      <c r="P422" s="6" t="s">
        <v>42</v>
      </c>
      <c r="Q422" s="5" t="s">
        <v>1237</v>
      </c>
      <c r="R422" s="5" t="s">
        <v>6997</v>
      </c>
      <c r="S422" s="6" t="s">
        <v>75</v>
      </c>
      <c r="T422" s="6">
        <v>6802.0</v>
      </c>
    </row>
    <row r="423" ht="56.25" customHeight="1">
      <c r="A423" s="5" t="s">
        <v>6969</v>
      </c>
      <c r="B423" s="6" t="str">
        <f>image("https://storage.googleapis.com/acdb/photos/BromideNpcNmlCrd02_Remake_5_0.png")</f>
        <v/>
      </c>
      <c r="C423" s="5" t="s">
        <v>58</v>
      </c>
      <c r="D423" s="5" t="s">
        <v>1327</v>
      </c>
      <c r="E423" s="5" t="s">
        <v>34</v>
      </c>
      <c r="F423" s="5" t="s">
        <v>34</v>
      </c>
      <c r="G423" s="5" t="s">
        <v>36</v>
      </c>
      <c r="H423" s="5" t="s">
        <v>35</v>
      </c>
      <c r="I423" s="6">
        <v>1.0</v>
      </c>
      <c r="J423" s="6" t="s">
        <v>37</v>
      </c>
      <c r="K423" s="6">
        <v>10.0</v>
      </c>
      <c r="L423" s="5"/>
      <c r="M423" s="5"/>
      <c r="N423" s="6" t="s">
        <v>40</v>
      </c>
      <c r="O423" s="5" t="s">
        <v>5363</v>
      </c>
      <c r="P423" s="6" t="s">
        <v>42</v>
      </c>
      <c r="Q423" s="5" t="s">
        <v>1237</v>
      </c>
      <c r="R423" s="5" t="s">
        <v>7005</v>
      </c>
      <c r="S423" s="6" t="s">
        <v>79</v>
      </c>
      <c r="T423" s="6">
        <v>6802.0</v>
      </c>
    </row>
    <row r="424" ht="56.25" customHeight="1">
      <c r="A424" s="5" t="s">
        <v>6969</v>
      </c>
      <c r="B424" s="6" t="str">
        <f>image("https://storage.googleapis.com/acdb/photos/BromideNpcNmlCrd02_Remake_6_0.png")</f>
        <v/>
      </c>
      <c r="C424" s="5" t="s">
        <v>146</v>
      </c>
      <c r="D424" s="5" t="s">
        <v>1327</v>
      </c>
      <c r="E424" s="5" t="s">
        <v>34</v>
      </c>
      <c r="F424" s="5" t="s">
        <v>34</v>
      </c>
      <c r="G424" s="5" t="s">
        <v>36</v>
      </c>
      <c r="H424" s="5" t="s">
        <v>35</v>
      </c>
      <c r="I424" s="6">
        <v>1.0</v>
      </c>
      <c r="J424" s="6" t="s">
        <v>37</v>
      </c>
      <c r="K424" s="6">
        <v>10.0</v>
      </c>
      <c r="L424" s="5"/>
      <c r="M424" s="5"/>
      <c r="N424" s="6" t="s">
        <v>40</v>
      </c>
      <c r="O424" s="5" t="s">
        <v>5363</v>
      </c>
      <c r="P424" s="6" t="s">
        <v>42</v>
      </c>
      <c r="Q424" s="5" t="s">
        <v>1237</v>
      </c>
      <c r="R424" s="5" t="s">
        <v>7010</v>
      </c>
      <c r="S424" s="6" t="s">
        <v>86</v>
      </c>
      <c r="T424" s="6">
        <v>6802.0</v>
      </c>
    </row>
    <row r="425" ht="56.25" customHeight="1">
      <c r="A425" s="5" t="s">
        <v>6969</v>
      </c>
      <c r="B425" s="6" t="str">
        <f>image("https://storage.googleapis.com/acdb/photos/BromideNpcNmlCrd02_Remake_7_0.png")</f>
        <v/>
      </c>
      <c r="C425" s="5" t="s">
        <v>151</v>
      </c>
      <c r="D425" s="5" t="s">
        <v>1327</v>
      </c>
      <c r="E425" s="5" t="s">
        <v>34</v>
      </c>
      <c r="F425" s="5" t="s">
        <v>34</v>
      </c>
      <c r="G425" s="5" t="s">
        <v>36</v>
      </c>
      <c r="H425" s="5" t="s">
        <v>35</v>
      </c>
      <c r="I425" s="6">
        <v>1.0</v>
      </c>
      <c r="J425" s="6" t="s">
        <v>37</v>
      </c>
      <c r="K425" s="6">
        <v>10.0</v>
      </c>
      <c r="L425" s="5"/>
      <c r="M425" s="5"/>
      <c r="N425" s="6" t="s">
        <v>40</v>
      </c>
      <c r="O425" s="5" t="s">
        <v>5363</v>
      </c>
      <c r="P425" s="6" t="s">
        <v>42</v>
      </c>
      <c r="Q425" s="5" t="s">
        <v>1237</v>
      </c>
      <c r="R425" s="5" t="s">
        <v>7015</v>
      </c>
      <c r="S425" s="6" t="s">
        <v>208</v>
      </c>
      <c r="T425" s="6">
        <v>6802.0</v>
      </c>
    </row>
    <row r="426" ht="56.25" customHeight="1">
      <c r="A426" s="5" t="s">
        <v>7016</v>
      </c>
      <c r="B426" s="6" t="str">
        <f>image("https://storage.googleapis.com/acdb/photos/BromideNpcNmlPig09_Remake_0_0.png")</f>
        <v/>
      </c>
      <c r="C426" s="5" t="s">
        <v>366</v>
      </c>
      <c r="D426" s="5" t="s">
        <v>1327</v>
      </c>
      <c r="E426" s="5" t="s">
        <v>34</v>
      </c>
      <c r="F426" s="5" t="s">
        <v>34</v>
      </c>
      <c r="G426" s="5" t="s">
        <v>36</v>
      </c>
      <c r="H426" s="5" t="s">
        <v>35</v>
      </c>
      <c r="I426" s="6">
        <v>1.0</v>
      </c>
      <c r="J426" s="6" t="s">
        <v>37</v>
      </c>
      <c r="K426" s="6">
        <v>10.0</v>
      </c>
      <c r="L426" s="5"/>
      <c r="M426" s="5"/>
      <c r="N426" s="6" t="s">
        <v>40</v>
      </c>
      <c r="O426" s="5" t="s">
        <v>5363</v>
      </c>
      <c r="P426" s="6" t="s">
        <v>42</v>
      </c>
      <c r="Q426" s="5" t="s">
        <v>1237</v>
      </c>
      <c r="R426" s="5" t="s">
        <v>7020</v>
      </c>
      <c r="S426" s="6" t="s">
        <v>50</v>
      </c>
      <c r="T426" s="6">
        <v>6653.0</v>
      </c>
    </row>
    <row r="427" ht="56.25" customHeight="1">
      <c r="A427" s="5" t="s">
        <v>7016</v>
      </c>
      <c r="B427" s="6" t="str">
        <f>image("https://storage.googleapis.com/acdb/photos/BromideNpcNmlPig09_Remake_1_0.png")</f>
        <v/>
      </c>
      <c r="C427" s="5" t="s">
        <v>1132</v>
      </c>
      <c r="D427" s="5" t="s">
        <v>1327</v>
      </c>
      <c r="E427" s="5" t="s">
        <v>34</v>
      </c>
      <c r="F427" s="5" t="s">
        <v>34</v>
      </c>
      <c r="G427" s="5" t="s">
        <v>36</v>
      </c>
      <c r="H427" s="5" t="s">
        <v>35</v>
      </c>
      <c r="I427" s="6">
        <v>1.0</v>
      </c>
      <c r="J427" s="6" t="s">
        <v>37</v>
      </c>
      <c r="K427" s="6">
        <v>10.0</v>
      </c>
      <c r="L427" s="5"/>
      <c r="M427" s="5"/>
      <c r="N427" s="6" t="s">
        <v>40</v>
      </c>
      <c r="O427" s="5" t="s">
        <v>5363</v>
      </c>
      <c r="P427" s="6" t="s">
        <v>42</v>
      </c>
      <c r="Q427" s="5" t="s">
        <v>1237</v>
      </c>
      <c r="R427" s="5" t="s">
        <v>7023</v>
      </c>
      <c r="S427" s="6" t="s">
        <v>56</v>
      </c>
      <c r="T427" s="6">
        <v>6653.0</v>
      </c>
    </row>
    <row r="428" ht="56.25" customHeight="1">
      <c r="A428" s="5" t="s">
        <v>7016</v>
      </c>
      <c r="B428" s="6" t="str">
        <f>image("https://storage.googleapis.com/acdb/photos/BromideNpcNmlPig09_Remake_2_0.png")</f>
        <v/>
      </c>
      <c r="C428" s="5" t="s">
        <v>688</v>
      </c>
      <c r="D428" s="5" t="s">
        <v>1327</v>
      </c>
      <c r="E428" s="5" t="s">
        <v>34</v>
      </c>
      <c r="F428" s="5" t="s">
        <v>34</v>
      </c>
      <c r="G428" s="5" t="s">
        <v>36</v>
      </c>
      <c r="H428" s="5" t="s">
        <v>35</v>
      </c>
      <c r="I428" s="6">
        <v>1.0</v>
      </c>
      <c r="J428" s="6" t="s">
        <v>37</v>
      </c>
      <c r="K428" s="6">
        <v>10.0</v>
      </c>
      <c r="L428" s="5"/>
      <c r="M428" s="5"/>
      <c r="N428" s="6" t="s">
        <v>40</v>
      </c>
      <c r="O428" s="5" t="s">
        <v>5363</v>
      </c>
      <c r="P428" s="6" t="s">
        <v>42</v>
      </c>
      <c r="Q428" s="5" t="s">
        <v>1237</v>
      </c>
      <c r="R428" s="5" t="s">
        <v>7029</v>
      </c>
      <c r="S428" s="6" t="s">
        <v>67</v>
      </c>
      <c r="T428" s="6">
        <v>6653.0</v>
      </c>
    </row>
    <row r="429" ht="56.25" customHeight="1">
      <c r="A429" s="5" t="s">
        <v>7016</v>
      </c>
      <c r="B429" s="6" t="str">
        <f>image("https://storage.googleapis.com/acdb/photos/BromideNpcNmlPig09_Remake_3_0.png")</f>
        <v/>
      </c>
      <c r="C429" s="5" t="s">
        <v>57</v>
      </c>
      <c r="D429" s="5" t="s">
        <v>1327</v>
      </c>
      <c r="E429" s="5" t="s">
        <v>34</v>
      </c>
      <c r="F429" s="5" t="s">
        <v>34</v>
      </c>
      <c r="G429" s="5" t="s">
        <v>36</v>
      </c>
      <c r="H429" s="5" t="s">
        <v>35</v>
      </c>
      <c r="I429" s="6">
        <v>1.0</v>
      </c>
      <c r="J429" s="6" t="s">
        <v>37</v>
      </c>
      <c r="K429" s="6">
        <v>10.0</v>
      </c>
      <c r="L429" s="5"/>
      <c r="M429" s="5"/>
      <c r="N429" s="6" t="s">
        <v>40</v>
      </c>
      <c r="O429" s="5" t="s">
        <v>5363</v>
      </c>
      <c r="P429" s="6" t="s">
        <v>42</v>
      </c>
      <c r="Q429" s="5" t="s">
        <v>1237</v>
      </c>
      <c r="R429" s="5" t="s">
        <v>7031</v>
      </c>
      <c r="S429" s="6" t="s">
        <v>71</v>
      </c>
      <c r="T429" s="6">
        <v>6653.0</v>
      </c>
    </row>
    <row r="430" ht="56.25" customHeight="1">
      <c r="A430" s="5" t="s">
        <v>7016</v>
      </c>
      <c r="B430" s="6" t="str">
        <f>image("https://storage.googleapis.com/acdb/photos/BromideNpcNmlPig09_Remake_4_0.png")</f>
        <v/>
      </c>
      <c r="C430" s="5" t="s">
        <v>1167</v>
      </c>
      <c r="D430" s="5" t="s">
        <v>1327</v>
      </c>
      <c r="E430" s="5" t="s">
        <v>34</v>
      </c>
      <c r="F430" s="5" t="s">
        <v>34</v>
      </c>
      <c r="G430" s="5" t="s">
        <v>36</v>
      </c>
      <c r="H430" s="5" t="s">
        <v>35</v>
      </c>
      <c r="I430" s="6">
        <v>1.0</v>
      </c>
      <c r="J430" s="6" t="s">
        <v>37</v>
      </c>
      <c r="K430" s="6">
        <v>10.0</v>
      </c>
      <c r="L430" s="5"/>
      <c r="M430" s="5"/>
      <c r="N430" s="6" t="s">
        <v>40</v>
      </c>
      <c r="O430" s="5" t="s">
        <v>5363</v>
      </c>
      <c r="P430" s="6" t="s">
        <v>42</v>
      </c>
      <c r="Q430" s="5" t="s">
        <v>1237</v>
      </c>
      <c r="R430" s="5" t="s">
        <v>7034</v>
      </c>
      <c r="S430" s="6" t="s">
        <v>75</v>
      </c>
      <c r="T430" s="6">
        <v>6653.0</v>
      </c>
    </row>
    <row r="431" ht="56.25" customHeight="1">
      <c r="A431" s="5" t="s">
        <v>7016</v>
      </c>
      <c r="B431" s="6" t="str">
        <f>image("https://storage.googleapis.com/acdb/photos/BromideNpcNmlPig09_Remake_5_0.png")</f>
        <v/>
      </c>
      <c r="C431" s="5" t="s">
        <v>58</v>
      </c>
      <c r="D431" s="5" t="s">
        <v>1327</v>
      </c>
      <c r="E431" s="5" t="s">
        <v>34</v>
      </c>
      <c r="F431" s="5" t="s">
        <v>34</v>
      </c>
      <c r="G431" s="5" t="s">
        <v>36</v>
      </c>
      <c r="H431" s="5" t="s">
        <v>35</v>
      </c>
      <c r="I431" s="6">
        <v>1.0</v>
      </c>
      <c r="J431" s="6" t="s">
        <v>37</v>
      </c>
      <c r="K431" s="6">
        <v>10.0</v>
      </c>
      <c r="L431" s="5"/>
      <c r="M431" s="5"/>
      <c r="N431" s="6" t="s">
        <v>40</v>
      </c>
      <c r="O431" s="5" t="s">
        <v>5363</v>
      </c>
      <c r="P431" s="6" t="s">
        <v>42</v>
      </c>
      <c r="Q431" s="5" t="s">
        <v>1237</v>
      </c>
      <c r="R431" s="5" t="s">
        <v>7037</v>
      </c>
      <c r="S431" s="6" t="s">
        <v>79</v>
      </c>
      <c r="T431" s="6">
        <v>6653.0</v>
      </c>
    </row>
    <row r="432" ht="56.25" customHeight="1">
      <c r="A432" s="5" t="s">
        <v>7016</v>
      </c>
      <c r="B432" s="6" t="str">
        <f>image("https://storage.googleapis.com/acdb/photos/BromideNpcNmlPig09_Remake_6_0.png")</f>
        <v/>
      </c>
      <c r="C432" s="5" t="s">
        <v>146</v>
      </c>
      <c r="D432" s="5" t="s">
        <v>1327</v>
      </c>
      <c r="E432" s="5" t="s">
        <v>34</v>
      </c>
      <c r="F432" s="5" t="s">
        <v>34</v>
      </c>
      <c r="G432" s="5" t="s">
        <v>36</v>
      </c>
      <c r="H432" s="5" t="s">
        <v>35</v>
      </c>
      <c r="I432" s="6">
        <v>1.0</v>
      </c>
      <c r="J432" s="6" t="s">
        <v>37</v>
      </c>
      <c r="K432" s="6">
        <v>10.0</v>
      </c>
      <c r="L432" s="5"/>
      <c r="M432" s="5"/>
      <c r="N432" s="6" t="s">
        <v>40</v>
      </c>
      <c r="O432" s="5" t="s">
        <v>5363</v>
      </c>
      <c r="P432" s="6" t="s">
        <v>42</v>
      </c>
      <c r="Q432" s="5" t="s">
        <v>1237</v>
      </c>
      <c r="R432" s="5" t="s">
        <v>7041</v>
      </c>
      <c r="S432" s="6" t="s">
        <v>86</v>
      </c>
      <c r="T432" s="6">
        <v>6653.0</v>
      </c>
    </row>
    <row r="433" ht="56.25" customHeight="1">
      <c r="A433" s="5" t="s">
        <v>7016</v>
      </c>
      <c r="B433" s="6" t="str">
        <f>image("https://storage.googleapis.com/acdb/photos/BromideNpcNmlPig09_Remake_7_0.png")</f>
        <v/>
      </c>
      <c r="C433" s="5" t="s">
        <v>151</v>
      </c>
      <c r="D433" s="5" t="s">
        <v>1327</v>
      </c>
      <c r="E433" s="5" t="s">
        <v>34</v>
      </c>
      <c r="F433" s="5" t="s">
        <v>34</v>
      </c>
      <c r="G433" s="5" t="s">
        <v>36</v>
      </c>
      <c r="H433" s="5" t="s">
        <v>35</v>
      </c>
      <c r="I433" s="6">
        <v>1.0</v>
      </c>
      <c r="J433" s="6" t="s">
        <v>37</v>
      </c>
      <c r="K433" s="6">
        <v>10.0</v>
      </c>
      <c r="L433" s="5"/>
      <c r="M433" s="5"/>
      <c r="N433" s="6" t="s">
        <v>40</v>
      </c>
      <c r="O433" s="5" t="s">
        <v>5363</v>
      </c>
      <c r="P433" s="6" t="s">
        <v>42</v>
      </c>
      <c r="Q433" s="5" t="s">
        <v>1237</v>
      </c>
      <c r="R433" s="5" t="s">
        <v>7048</v>
      </c>
      <c r="S433" s="6" t="s">
        <v>208</v>
      </c>
      <c r="T433" s="6">
        <v>6653.0</v>
      </c>
    </row>
    <row r="434" ht="56.25" customHeight="1">
      <c r="A434" s="5" t="s">
        <v>7049</v>
      </c>
      <c r="B434" s="6" t="str">
        <f>image("https://storage.googleapis.com/acdb/photos/BromideNpcNmlGor05_Remake_0_0.png")</f>
        <v/>
      </c>
      <c r="C434" s="5" t="s">
        <v>366</v>
      </c>
      <c r="D434" s="5" t="s">
        <v>1327</v>
      </c>
      <c r="E434" s="5" t="s">
        <v>34</v>
      </c>
      <c r="F434" s="5" t="s">
        <v>34</v>
      </c>
      <c r="G434" s="5" t="s">
        <v>36</v>
      </c>
      <c r="H434" s="5" t="s">
        <v>35</v>
      </c>
      <c r="I434" s="6">
        <v>1.0</v>
      </c>
      <c r="J434" s="6" t="s">
        <v>37</v>
      </c>
      <c r="K434" s="6">
        <v>10.0</v>
      </c>
      <c r="L434" s="5"/>
      <c r="M434" s="5"/>
      <c r="N434" s="6" t="s">
        <v>40</v>
      </c>
      <c r="O434" s="5" t="s">
        <v>5363</v>
      </c>
      <c r="P434" s="6" t="s">
        <v>42</v>
      </c>
      <c r="Q434" s="5" t="s">
        <v>1237</v>
      </c>
      <c r="R434" s="5" t="s">
        <v>7052</v>
      </c>
      <c r="S434" s="6" t="s">
        <v>50</v>
      </c>
      <c r="T434" s="6">
        <v>6516.0</v>
      </c>
    </row>
    <row r="435" ht="56.25" customHeight="1">
      <c r="A435" s="5" t="s">
        <v>7049</v>
      </c>
      <c r="B435" s="6" t="str">
        <f>image("https://storage.googleapis.com/acdb/photos/BromideNpcNmlGor05_Remake_1_0.png")</f>
        <v/>
      </c>
      <c r="C435" s="5" t="s">
        <v>1132</v>
      </c>
      <c r="D435" s="5" t="s">
        <v>1327</v>
      </c>
      <c r="E435" s="5" t="s">
        <v>34</v>
      </c>
      <c r="F435" s="5" t="s">
        <v>34</v>
      </c>
      <c r="G435" s="5" t="s">
        <v>36</v>
      </c>
      <c r="H435" s="5" t="s">
        <v>35</v>
      </c>
      <c r="I435" s="6">
        <v>1.0</v>
      </c>
      <c r="J435" s="6" t="s">
        <v>37</v>
      </c>
      <c r="K435" s="6">
        <v>10.0</v>
      </c>
      <c r="L435" s="5"/>
      <c r="M435" s="5"/>
      <c r="N435" s="6" t="s">
        <v>40</v>
      </c>
      <c r="O435" s="5" t="s">
        <v>5363</v>
      </c>
      <c r="P435" s="6" t="s">
        <v>42</v>
      </c>
      <c r="Q435" s="5" t="s">
        <v>1237</v>
      </c>
      <c r="R435" s="5" t="s">
        <v>7056</v>
      </c>
      <c r="S435" s="6" t="s">
        <v>56</v>
      </c>
      <c r="T435" s="6">
        <v>6516.0</v>
      </c>
    </row>
    <row r="436" ht="56.25" customHeight="1">
      <c r="A436" s="5" t="s">
        <v>7049</v>
      </c>
      <c r="B436" s="6" t="str">
        <f>image("https://storage.googleapis.com/acdb/photos/BromideNpcNmlGor05_Remake_2_0.png")</f>
        <v/>
      </c>
      <c r="C436" s="5" t="s">
        <v>688</v>
      </c>
      <c r="D436" s="5" t="s">
        <v>1327</v>
      </c>
      <c r="E436" s="5" t="s">
        <v>34</v>
      </c>
      <c r="F436" s="5" t="s">
        <v>34</v>
      </c>
      <c r="G436" s="5" t="s">
        <v>36</v>
      </c>
      <c r="H436" s="5" t="s">
        <v>35</v>
      </c>
      <c r="I436" s="6">
        <v>1.0</v>
      </c>
      <c r="J436" s="6" t="s">
        <v>37</v>
      </c>
      <c r="K436" s="6">
        <v>10.0</v>
      </c>
      <c r="L436" s="5"/>
      <c r="M436" s="5"/>
      <c r="N436" s="6" t="s">
        <v>40</v>
      </c>
      <c r="O436" s="5" t="s">
        <v>5363</v>
      </c>
      <c r="P436" s="6" t="s">
        <v>42</v>
      </c>
      <c r="Q436" s="5" t="s">
        <v>1237</v>
      </c>
      <c r="R436" s="5" t="s">
        <v>7061</v>
      </c>
      <c r="S436" s="6" t="s">
        <v>67</v>
      </c>
      <c r="T436" s="6">
        <v>6516.0</v>
      </c>
    </row>
    <row r="437" ht="56.25" customHeight="1">
      <c r="A437" s="5" t="s">
        <v>7049</v>
      </c>
      <c r="B437" s="6" t="str">
        <f>image("https://storage.googleapis.com/acdb/photos/BromideNpcNmlGor05_Remake_3_0.png")</f>
        <v/>
      </c>
      <c r="C437" s="5" t="s">
        <v>57</v>
      </c>
      <c r="D437" s="5" t="s">
        <v>1327</v>
      </c>
      <c r="E437" s="5" t="s">
        <v>34</v>
      </c>
      <c r="F437" s="5" t="s">
        <v>34</v>
      </c>
      <c r="G437" s="5" t="s">
        <v>36</v>
      </c>
      <c r="H437" s="5" t="s">
        <v>35</v>
      </c>
      <c r="I437" s="6">
        <v>1.0</v>
      </c>
      <c r="J437" s="6" t="s">
        <v>37</v>
      </c>
      <c r="K437" s="6">
        <v>10.0</v>
      </c>
      <c r="L437" s="5"/>
      <c r="M437" s="5"/>
      <c r="N437" s="6" t="s">
        <v>40</v>
      </c>
      <c r="O437" s="5" t="s">
        <v>5363</v>
      </c>
      <c r="P437" s="6" t="s">
        <v>42</v>
      </c>
      <c r="Q437" s="5" t="s">
        <v>1237</v>
      </c>
      <c r="R437" s="5" t="s">
        <v>7066</v>
      </c>
      <c r="S437" s="6" t="s">
        <v>71</v>
      </c>
      <c r="T437" s="6">
        <v>6516.0</v>
      </c>
    </row>
    <row r="438" ht="56.25" customHeight="1">
      <c r="A438" s="5" t="s">
        <v>7049</v>
      </c>
      <c r="B438" s="6" t="str">
        <f>image("https://storage.googleapis.com/acdb/photos/BromideNpcNmlGor05_Remake_4_0.png")</f>
        <v/>
      </c>
      <c r="C438" s="5" t="s">
        <v>1167</v>
      </c>
      <c r="D438" s="5" t="s">
        <v>1327</v>
      </c>
      <c r="E438" s="5" t="s">
        <v>34</v>
      </c>
      <c r="F438" s="5" t="s">
        <v>34</v>
      </c>
      <c r="G438" s="5" t="s">
        <v>36</v>
      </c>
      <c r="H438" s="5" t="s">
        <v>35</v>
      </c>
      <c r="I438" s="6">
        <v>1.0</v>
      </c>
      <c r="J438" s="6" t="s">
        <v>37</v>
      </c>
      <c r="K438" s="6">
        <v>10.0</v>
      </c>
      <c r="L438" s="5"/>
      <c r="M438" s="5"/>
      <c r="N438" s="6" t="s">
        <v>40</v>
      </c>
      <c r="O438" s="5" t="s">
        <v>5363</v>
      </c>
      <c r="P438" s="6" t="s">
        <v>42</v>
      </c>
      <c r="Q438" s="5" t="s">
        <v>1237</v>
      </c>
      <c r="R438" s="5" t="s">
        <v>7072</v>
      </c>
      <c r="S438" s="6" t="s">
        <v>75</v>
      </c>
      <c r="T438" s="6">
        <v>6516.0</v>
      </c>
    </row>
    <row r="439" ht="56.25" customHeight="1">
      <c r="A439" s="5" t="s">
        <v>7049</v>
      </c>
      <c r="B439" s="6" t="str">
        <f>image("https://storage.googleapis.com/acdb/photos/BromideNpcNmlGor05_Remake_5_0.png")</f>
        <v/>
      </c>
      <c r="C439" s="5" t="s">
        <v>58</v>
      </c>
      <c r="D439" s="5" t="s">
        <v>1327</v>
      </c>
      <c r="E439" s="5" t="s">
        <v>34</v>
      </c>
      <c r="F439" s="5" t="s">
        <v>34</v>
      </c>
      <c r="G439" s="5" t="s">
        <v>36</v>
      </c>
      <c r="H439" s="5" t="s">
        <v>35</v>
      </c>
      <c r="I439" s="6">
        <v>1.0</v>
      </c>
      <c r="J439" s="6" t="s">
        <v>37</v>
      </c>
      <c r="K439" s="6">
        <v>10.0</v>
      </c>
      <c r="L439" s="5"/>
      <c r="M439" s="5"/>
      <c r="N439" s="6" t="s">
        <v>40</v>
      </c>
      <c r="O439" s="5" t="s">
        <v>5363</v>
      </c>
      <c r="P439" s="6" t="s">
        <v>42</v>
      </c>
      <c r="Q439" s="5" t="s">
        <v>1237</v>
      </c>
      <c r="R439" s="5" t="s">
        <v>7075</v>
      </c>
      <c r="S439" s="6" t="s">
        <v>79</v>
      </c>
      <c r="T439" s="6">
        <v>6516.0</v>
      </c>
    </row>
    <row r="440" ht="56.25" customHeight="1">
      <c r="A440" s="5" t="s">
        <v>7049</v>
      </c>
      <c r="B440" s="6" t="str">
        <f>image("https://storage.googleapis.com/acdb/photos/BromideNpcNmlGor05_Remake_6_0.png")</f>
        <v/>
      </c>
      <c r="C440" s="5" t="s">
        <v>146</v>
      </c>
      <c r="D440" s="5" t="s">
        <v>1327</v>
      </c>
      <c r="E440" s="5" t="s">
        <v>34</v>
      </c>
      <c r="F440" s="5" t="s">
        <v>34</v>
      </c>
      <c r="G440" s="5" t="s">
        <v>36</v>
      </c>
      <c r="H440" s="5" t="s">
        <v>35</v>
      </c>
      <c r="I440" s="6">
        <v>1.0</v>
      </c>
      <c r="J440" s="6" t="s">
        <v>37</v>
      </c>
      <c r="K440" s="6">
        <v>10.0</v>
      </c>
      <c r="L440" s="5"/>
      <c r="M440" s="5"/>
      <c r="N440" s="6" t="s">
        <v>40</v>
      </c>
      <c r="O440" s="5" t="s">
        <v>5363</v>
      </c>
      <c r="P440" s="6" t="s">
        <v>42</v>
      </c>
      <c r="Q440" s="5" t="s">
        <v>1237</v>
      </c>
      <c r="R440" s="5" t="s">
        <v>7077</v>
      </c>
      <c r="S440" s="6" t="s">
        <v>86</v>
      </c>
      <c r="T440" s="6">
        <v>6516.0</v>
      </c>
    </row>
    <row r="441" ht="56.25" customHeight="1">
      <c r="A441" s="5" t="s">
        <v>7049</v>
      </c>
      <c r="B441" s="6" t="str">
        <f>image("https://storage.googleapis.com/acdb/photos/BromideNpcNmlGor05_Remake_7_0.png")</f>
        <v/>
      </c>
      <c r="C441" s="5" t="s">
        <v>151</v>
      </c>
      <c r="D441" s="5" t="s">
        <v>1327</v>
      </c>
      <c r="E441" s="5" t="s">
        <v>34</v>
      </c>
      <c r="F441" s="5" t="s">
        <v>34</v>
      </c>
      <c r="G441" s="5" t="s">
        <v>36</v>
      </c>
      <c r="H441" s="5" t="s">
        <v>35</v>
      </c>
      <c r="I441" s="6">
        <v>1.0</v>
      </c>
      <c r="J441" s="6" t="s">
        <v>37</v>
      </c>
      <c r="K441" s="6">
        <v>10.0</v>
      </c>
      <c r="L441" s="5"/>
      <c r="M441" s="5"/>
      <c r="N441" s="6" t="s">
        <v>40</v>
      </c>
      <c r="O441" s="5" t="s">
        <v>5363</v>
      </c>
      <c r="P441" s="6" t="s">
        <v>42</v>
      </c>
      <c r="Q441" s="5" t="s">
        <v>1237</v>
      </c>
      <c r="R441" s="5" t="s">
        <v>7081</v>
      </c>
      <c r="S441" s="6" t="s">
        <v>208</v>
      </c>
      <c r="T441" s="6">
        <v>6516.0</v>
      </c>
    </row>
    <row r="442" ht="56.25" customHeight="1">
      <c r="A442" s="5" t="s">
        <v>7083</v>
      </c>
      <c r="B442" s="6" t="str">
        <f>image("https://storage.googleapis.com/acdb/photos/BromideNpcNmlMus03_Remake_0_0.png")</f>
        <v/>
      </c>
      <c r="C442" s="5" t="s">
        <v>366</v>
      </c>
      <c r="D442" s="5" t="s">
        <v>1327</v>
      </c>
      <c r="E442" s="5" t="s">
        <v>34</v>
      </c>
      <c r="F442" s="5" t="s">
        <v>34</v>
      </c>
      <c r="G442" s="5" t="s">
        <v>36</v>
      </c>
      <c r="H442" s="5" t="s">
        <v>35</v>
      </c>
      <c r="I442" s="6">
        <v>1.0</v>
      </c>
      <c r="J442" s="6" t="s">
        <v>37</v>
      </c>
      <c r="K442" s="6">
        <v>10.0</v>
      </c>
      <c r="L442" s="5"/>
      <c r="M442" s="5"/>
      <c r="N442" s="6" t="s">
        <v>40</v>
      </c>
      <c r="O442" s="5" t="s">
        <v>5363</v>
      </c>
      <c r="P442" s="6" t="s">
        <v>42</v>
      </c>
      <c r="Q442" s="5" t="s">
        <v>1237</v>
      </c>
      <c r="R442" s="5" t="s">
        <v>7086</v>
      </c>
      <c r="S442" s="6" t="s">
        <v>50</v>
      </c>
      <c r="T442" s="6">
        <v>6592.0</v>
      </c>
    </row>
    <row r="443" ht="56.25" customHeight="1">
      <c r="A443" s="5" t="s">
        <v>7083</v>
      </c>
      <c r="B443" s="6" t="str">
        <f>image("https://storage.googleapis.com/acdb/photos/BromideNpcNmlMus03_Remake_1_0.png")</f>
        <v/>
      </c>
      <c r="C443" s="5" t="s">
        <v>1132</v>
      </c>
      <c r="D443" s="5" t="s">
        <v>1327</v>
      </c>
      <c r="E443" s="5" t="s">
        <v>34</v>
      </c>
      <c r="F443" s="5" t="s">
        <v>34</v>
      </c>
      <c r="G443" s="5" t="s">
        <v>36</v>
      </c>
      <c r="H443" s="5" t="s">
        <v>35</v>
      </c>
      <c r="I443" s="6">
        <v>1.0</v>
      </c>
      <c r="J443" s="6" t="s">
        <v>37</v>
      </c>
      <c r="K443" s="6">
        <v>10.0</v>
      </c>
      <c r="L443" s="5"/>
      <c r="M443" s="5"/>
      <c r="N443" s="6" t="s">
        <v>40</v>
      </c>
      <c r="O443" s="5" t="s">
        <v>5363</v>
      </c>
      <c r="P443" s="6" t="s">
        <v>42</v>
      </c>
      <c r="Q443" s="5" t="s">
        <v>1237</v>
      </c>
      <c r="R443" s="5" t="s">
        <v>7090</v>
      </c>
      <c r="S443" s="6" t="s">
        <v>56</v>
      </c>
      <c r="T443" s="6">
        <v>6592.0</v>
      </c>
    </row>
    <row r="444" ht="56.25" customHeight="1">
      <c r="A444" s="5" t="s">
        <v>7083</v>
      </c>
      <c r="B444" s="6" t="str">
        <f>image("https://storage.googleapis.com/acdb/photos/BromideNpcNmlMus03_Remake_2_0.png")</f>
        <v/>
      </c>
      <c r="C444" s="5" t="s">
        <v>688</v>
      </c>
      <c r="D444" s="5" t="s">
        <v>1327</v>
      </c>
      <c r="E444" s="5" t="s">
        <v>34</v>
      </c>
      <c r="F444" s="5" t="s">
        <v>34</v>
      </c>
      <c r="G444" s="5" t="s">
        <v>36</v>
      </c>
      <c r="H444" s="5" t="s">
        <v>35</v>
      </c>
      <c r="I444" s="6">
        <v>1.0</v>
      </c>
      <c r="J444" s="6" t="s">
        <v>37</v>
      </c>
      <c r="K444" s="6">
        <v>10.0</v>
      </c>
      <c r="L444" s="5"/>
      <c r="M444" s="5"/>
      <c r="N444" s="6" t="s">
        <v>40</v>
      </c>
      <c r="O444" s="5" t="s">
        <v>5363</v>
      </c>
      <c r="P444" s="6" t="s">
        <v>42</v>
      </c>
      <c r="Q444" s="5" t="s">
        <v>1237</v>
      </c>
      <c r="R444" s="5" t="s">
        <v>7093</v>
      </c>
      <c r="S444" s="6" t="s">
        <v>67</v>
      </c>
      <c r="T444" s="6">
        <v>6592.0</v>
      </c>
    </row>
    <row r="445" ht="56.25" customHeight="1">
      <c r="A445" s="5" t="s">
        <v>7083</v>
      </c>
      <c r="B445" s="6" t="str">
        <f>image("https://storage.googleapis.com/acdb/photos/BromideNpcNmlMus03_Remake_3_0.png")</f>
        <v/>
      </c>
      <c r="C445" s="5" t="s">
        <v>57</v>
      </c>
      <c r="D445" s="5" t="s">
        <v>1327</v>
      </c>
      <c r="E445" s="5" t="s">
        <v>34</v>
      </c>
      <c r="F445" s="5" t="s">
        <v>34</v>
      </c>
      <c r="G445" s="5" t="s">
        <v>36</v>
      </c>
      <c r="H445" s="5" t="s">
        <v>35</v>
      </c>
      <c r="I445" s="6">
        <v>1.0</v>
      </c>
      <c r="J445" s="6" t="s">
        <v>37</v>
      </c>
      <c r="K445" s="6">
        <v>10.0</v>
      </c>
      <c r="L445" s="5"/>
      <c r="M445" s="5"/>
      <c r="N445" s="6" t="s">
        <v>40</v>
      </c>
      <c r="O445" s="5" t="s">
        <v>5363</v>
      </c>
      <c r="P445" s="6" t="s">
        <v>42</v>
      </c>
      <c r="Q445" s="5" t="s">
        <v>1237</v>
      </c>
      <c r="R445" s="5" t="s">
        <v>7098</v>
      </c>
      <c r="S445" s="6" t="s">
        <v>71</v>
      </c>
      <c r="T445" s="6">
        <v>6592.0</v>
      </c>
    </row>
    <row r="446" ht="56.25" customHeight="1">
      <c r="A446" s="5" t="s">
        <v>7083</v>
      </c>
      <c r="B446" s="6" t="str">
        <f>image("https://storage.googleapis.com/acdb/photos/BromideNpcNmlMus03_Remake_4_0.png")</f>
        <v/>
      </c>
      <c r="C446" s="5" t="s">
        <v>1167</v>
      </c>
      <c r="D446" s="5" t="s">
        <v>1327</v>
      </c>
      <c r="E446" s="5" t="s">
        <v>34</v>
      </c>
      <c r="F446" s="5" t="s">
        <v>34</v>
      </c>
      <c r="G446" s="5" t="s">
        <v>36</v>
      </c>
      <c r="H446" s="5" t="s">
        <v>35</v>
      </c>
      <c r="I446" s="6">
        <v>1.0</v>
      </c>
      <c r="J446" s="6" t="s">
        <v>37</v>
      </c>
      <c r="K446" s="6">
        <v>10.0</v>
      </c>
      <c r="L446" s="5"/>
      <c r="M446" s="5"/>
      <c r="N446" s="6" t="s">
        <v>40</v>
      </c>
      <c r="O446" s="5" t="s">
        <v>5363</v>
      </c>
      <c r="P446" s="6" t="s">
        <v>42</v>
      </c>
      <c r="Q446" s="5" t="s">
        <v>1237</v>
      </c>
      <c r="R446" s="5" t="s">
        <v>7102</v>
      </c>
      <c r="S446" s="6" t="s">
        <v>75</v>
      </c>
      <c r="T446" s="6">
        <v>6592.0</v>
      </c>
    </row>
    <row r="447" ht="56.25" customHeight="1">
      <c r="A447" s="5" t="s">
        <v>7083</v>
      </c>
      <c r="B447" s="6" t="str">
        <f>image("https://storage.googleapis.com/acdb/photos/BromideNpcNmlMus03_Remake_5_0.png")</f>
        <v/>
      </c>
      <c r="C447" s="5" t="s">
        <v>58</v>
      </c>
      <c r="D447" s="5" t="s">
        <v>1327</v>
      </c>
      <c r="E447" s="5" t="s">
        <v>34</v>
      </c>
      <c r="F447" s="5" t="s">
        <v>34</v>
      </c>
      <c r="G447" s="5" t="s">
        <v>36</v>
      </c>
      <c r="H447" s="5" t="s">
        <v>35</v>
      </c>
      <c r="I447" s="6">
        <v>1.0</v>
      </c>
      <c r="J447" s="6" t="s">
        <v>37</v>
      </c>
      <c r="K447" s="6">
        <v>10.0</v>
      </c>
      <c r="L447" s="5"/>
      <c r="M447" s="5"/>
      <c r="N447" s="6" t="s">
        <v>40</v>
      </c>
      <c r="O447" s="5" t="s">
        <v>5363</v>
      </c>
      <c r="P447" s="6" t="s">
        <v>42</v>
      </c>
      <c r="Q447" s="5" t="s">
        <v>1237</v>
      </c>
      <c r="R447" s="5" t="s">
        <v>7106</v>
      </c>
      <c r="S447" s="6" t="s">
        <v>79</v>
      </c>
      <c r="T447" s="6">
        <v>6592.0</v>
      </c>
    </row>
    <row r="448" ht="56.25" customHeight="1">
      <c r="A448" s="5" t="s">
        <v>7083</v>
      </c>
      <c r="B448" s="6" t="str">
        <f>image("https://storage.googleapis.com/acdb/photos/BromideNpcNmlMus03_Remake_6_0.png")</f>
        <v/>
      </c>
      <c r="C448" s="5" t="s">
        <v>146</v>
      </c>
      <c r="D448" s="5" t="s">
        <v>1327</v>
      </c>
      <c r="E448" s="5" t="s">
        <v>34</v>
      </c>
      <c r="F448" s="5" t="s">
        <v>34</v>
      </c>
      <c r="G448" s="5" t="s">
        <v>36</v>
      </c>
      <c r="H448" s="5" t="s">
        <v>35</v>
      </c>
      <c r="I448" s="6">
        <v>1.0</v>
      </c>
      <c r="J448" s="6" t="s">
        <v>37</v>
      </c>
      <c r="K448" s="6">
        <v>10.0</v>
      </c>
      <c r="L448" s="5"/>
      <c r="M448" s="5"/>
      <c r="N448" s="6" t="s">
        <v>40</v>
      </c>
      <c r="O448" s="5" t="s">
        <v>5363</v>
      </c>
      <c r="P448" s="6" t="s">
        <v>42</v>
      </c>
      <c r="Q448" s="5" t="s">
        <v>1237</v>
      </c>
      <c r="R448" s="5" t="s">
        <v>7109</v>
      </c>
      <c r="S448" s="6" t="s">
        <v>86</v>
      </c>
      <c r="T448" s="6">
        <v>6592.0</v>
      </c>
    </row>
    <row r="449" ht="56.25" customHeight="1">
      <c r="A449" s="5" t="s">
        <v>7083</v>
      </c>
      <c r="B449" s="6" t="str">
        <f>image("https://storage.googleapis.com/acdb/photos/BromideNpcNmlMus03_Remake_7_0.png")</f>
        <v/>
      </c>
      <c r="C449" s="5" t="s">
        <v>151</v>
      </c>
      <c r="D449" s="5" t="s">
        <v>1327</v>
      </c>
      <c r="E449" s="5" t="s">
        <v>34</v>
      </c>
      <c r="F449" s="5" t="s">
        <v>34</v>
      </c>
      <c r="G449" s="5" t="s">
        <v>36</v>
      </c>
      <c r="H449" s="5" t="s">
        <v>35</v>
      </c>
      <c r="I449" s="6">
        <v>1.0</v>
      </c>
      <c r="J449" s="6" t="s">
        <v>37</v>
      </c>
      <c r="K449" s="6">
        <v>10.0</v>
      </c>
      <c r="L449" s="5"/>
      <c r="M449" s="5"/>
      <c r="N449" s="6" t="s">
        <v>40</v>
      </c>
      <c r="O449" s="5" t="s">
        <v>5363</v>
      </c>
      <c r="P449" s="6" t="s">
        <v>42</v>
      </c>
      <c r="Q449" s="5" t="s">
        <v>1237</v>
      </c>
      <c r="R449" s="5" t="s">
        <v>7113</v>
      </c>
      <c r="S449" s="6" t="s">
        <v>208</v>
      </c>
      <c r="T449" s="6">
        <v>6592.0</v>
      </c>
    </row>
    <row r="450" ht="56.25" customHeight="1">
      <c r="A450" s="5" t="s">
        <v>7114</v>
      </c>
      <c r="B450" s="6" t="str">
        <f>image("https://storage.googleapis.com/acdb/photos/BromideNpcNmlMus12_Remake_0_0.png")</f>
        <v/>
      </c>
      <c r="C450" s="5" t="s">
        <v>366</v>
      </c>
      <c r="D450" s="5" t="s">
        <v>1327</v>
      </c>
      <c r="E450" s="5" t="s">
        <v>34</v>
      </c>
      <c r="F450" s="5" t="s">
        <v>34</v>
      </c>
      <c r="G450" s="5" t="s">
        <v>36</v>
      </c>
      <c r="H450" s="5" t="s">
        <v>35</v>
      </c>
      <c r="I450" s="6">
        <v>1.0</v>
      </c>
      <c r="J450" s="6" t="s">
        <v>37</v>
      </c>
      <c r="K450" s="6">
        <v>10.0</v>
      </c>
      <c r="L450" s="5"/>
      <c r="M450" s="5"/>
      <c r="N450" s="6" t="s">
        <v>40</v>
      </c>
      <c r="O450" s="5" t="s">
        <v>5363</v>
      </c>
      <c r="P450" s="6" t="s">
        <v>42</v>
      </c>
      <c r="Q450" s="5" t="s">
        <v>1237</v>
      </c>
      <c r="R450" s="5" t="s">
        <v>7119</v>
      </c>
      <c r="S450" s="6" t="s">
        <v>50</v>
      </c>
      <c r="T450" s="6">
        <v>6599.0</v>
      </c>
    </row>
    <row r="451" ht="56.25" customHeight="1">
      <c r="A451" s="5" t="s">
        <v>7114</v>
      </c>
      <c r="B451" s="6" t="str">
        <f>image("https://storage.googleapis.com/acdb/photos/BromideNpcNmlMus12_Remake_1_0.png")</f>
        <v/>
      </c>
      <c r="C451" s="5" t="s">
        <v>1132</v>
      </c>
      <c r="D451" s="5" t="s">
        <v>1327</v>
      </c>
      <c r="E451" s="5" t="s">
        <v>34</v>
      </c>
      <c r="F451" s="5" t="s">
        <v>34</v>
      </c>
      <c r="G451" s="5" t="s">
        <v>36</v>
      </c>
      <c r="H451" s="5" t="s">
        <v>35</v>
      </c>
      <c r="I451" s="6">
        <v>1.0</v>
      </c>
      <c r="J451" s="6" t="s">
        <v>37</v>
      </c>
      <c r="K451" s="6">
        <v>10.0</v>
      </c>
      <c r="L451" s="5"/>
      <c r="M451" s="5"/>
      <c r="N451" s="6" t="s">
        <v>40</v>
      </c>
      <c r="O451" s="5" t="s">
        <v>5363</v>
      </c>
      <c r="P451" s="6" t="s">
        <v>42</v>
      </c>
      <c r="Q451" s="5" t="s">
        <v>1237</v>
      </c>
      <c r="R451" s="5" t="s">
        <v>7124</v>
      </c>
      <c r="S451" s="6" t="s">
        <v>56</v>
      </c>
      <c r="T451" s="6">
        <v>6599.0</v>
      </c>
    </row>
    <row r="452" ht="56.25" customHeight="1">
      <c r="A452" s="5" t="s">
        <v>7114</v>
      </c>
      <c r="B452" s="6" t="str">
        <f>image("https://storage.googleapis.com/acdb/photos/BromideNpcNmlMus12_Remake_2_0.png")</f>
        <v/>
      </c>
      <c r="C452" s="5" t="s">
        <v>688</v>
      </c>
      <c r="D452" s="5" t="s">
        <v>1327</v>
      </c>
      <c r="E452" s="5" t="s">
        <v>34</v>
      </c>
      <c r="F452" s="5" t="s">
        <v>34</v>
      </c>
      <c r="G452" s="5" t="s">
        <v>36</v>
      </c>
      <c r="H452" s="5" t="s">
        <v>35</v>
      </c>
      <c r="I452" s="6">
        <v>1.0</v>
      </c>
      <c r="J452" s="6" t="s">
        <v>37</v>
      </c>
      <c r="K452" s="6">
        <v>10.0</v>
      </c>
      <c r="L452" s="5"/>
      <c r="M452" s="5"/>
      <c r="N452" s="6" t="s">
        <v>40</v>
      </c>
      <c r="O452" s="5" t="s">
        <v>5363</v>
      </c>
      <c r="P452" s="6" t="s">
        <v>42</v>
      </c>
      <c r="Q452" s="5" t="s">
        <v>1237</v>
      </c>
      <c r="R452" s="5" t="s">
        <v>7130</v>
      </c>
      <c r="S452" s="6" t="s">
        <v>67</v>
      </c>
      <c r="T452" s="6">
        <v>6599.0</v>
      </c>
    </row>
    <row r="453" ht="56.25" customHeight="1">
      <c r="A453" s="5" t="s">
        <v>7114</v>
      </c>
      <c r="B453" s="6" t="str">
        <f>image("https://storage.googleapis.com/acdb/photos/BromideNpcNmlMus12_Remake_3_0.png")</f>
        <v/>
      </c>
      <c r="C453" s="5" t="s">
        <v>57</v>
      </c>
      <c r="D453" s="5" t="s">
        <v>1327</v>
      </c>
      <c r="E453" s="5" t="s">
        <v>34</v>
      </c>
      <c r="F453" s="5" t="s">
        <v>34</v>
      </c>
      <c r="G453" s="5" t="s">
        <v>36</v>
      </c>
      <c r="H453" s="5" t="s">
        <v>35</v>
      </c>
      <c r="I453" s="6">
        <v>1.0</v>
      </c>
      <c r="J453" s="6" t="s">
        <v>37</v>
      </c>
      <c r="K453" s="6">
        <v>10.0</v>
      </c>
      <c r="L453" s="5"/>
      <c r="M453" s="5"/>
      <c r="N453" s="6" t="s">
        <v>40</v>
      </c>
      <c r="O453" s="5" t="s">
        <v>5363</v>
      </c>
      <c r="P453" s="6" t="s">
        <v>42</v>
      </c>
      <c r="Q453" s="5" t="s">
        <v>1237</v>
      </c>
      <c r="R453" s="5" t="s">
        <v>7136</v>
      </c>
      <c r="S453" s="6" t="s">
        <v>71</v>
      </c>
      <c r="T453" s="6">
        <v>6599.0</v>
      </c>
    </row>
    <row r="454" ht="56.25" customHeight="1">
      <c r="A454" s="5" t="s">
        <v>7114</v>
      </c>
      <c r="B454" s="6" t="str">
        <f>image("https://storage.googleapis.com/acdb/photos/BromideNpcNmlMus12_Remake_4_0.png")</f>
        <v/>
      </c>
      <c r="C454" s="5" t="s">
        <v>1167</v>
      </c>
      <c r="D454" s="5" t="s">
        <v>1327</v>
      </c>
      <c r="E454" s="5" t="s">
        <v>34</v>
      </c>
      <c r="F454" s="5" t="s">
        <v>34</v>
      </c>
      <c r="G454" s="5" t="s">
        <v>36</v>
      </c>
      <c r="H454" s="5" t="s">
        <v>35</v>
      </c>
      <c r="I454" s="6">
        <v>1.0</v>
      </c>
      <c r="J454" s="6" t="s">
        <v>37</v>
      </c>
      <c r="K454" s="6">
        <v>10.0</v>
      </c>
      <c r="L454" s="5"/>
      <c r="M454" s="5"/>
      <c r="N454" s="6" t="s">
        <v>40</v>
      </c>
      <c r="O454" s="5" t="s">
        <v>5363</v>
      </c>
      <c r="P454" s="6" t="s">
        <v>42</v>
      </c>
      <c r="Q454" s="5" t="s">
        <v>1237</v>
      </c>
      <c r="R454" s="5" t="s">
        <v>7140</v>
      </c>
      <c r="S454" s="6" t="s">
        <v>75</v>
      </c>
      <c r="T454" s="6">
        <v>6599.0</v>
      </c>
    </row>
    <row r="455" ht="56.25" customHeight="1">
      <c r="A455" s="5" t="s">
        <v>7114</v>
      </c>
      <c r="B455" s="6" t="str">
        <f>image("https://storage.googleapis.com/acdb/photos/BromideNpcNmlMus12_Remake_5_0.png")</f>
        <v/>
      </c>
      <c r="C455" s="5" t="s">
        <v>58</v>
      </c>
      <c r="D455" s="5" t="s">
        <v>1327</v>
      </c>
      <c r="E455" s="5" t="s">
        <v>34</v>
      </c>
      <c r="F455" s="5" t="s">
        <v>34</v>
      </c>
      <c r="G455" s="5" t="s">
        <v>36</v>
      </c>
      <c r="H455" s="5" t="s">
        <v>35</v>
      </c>
      <c r="I455" s="6">
        <v>1.0</v>
      </c>
      <c r="J455" s="6" t="s">
        <v>37</v>
      </c>
      <c r="K455" s="6">
        <v>10.0</v>
      </c>
      <c r="L455" s="5"/>
      <c r="M455" s="5"/>
      <c r="N455" s="6" t="s">
        <v>40</v>
      </c>
      <c r="O455" s="5" t="s">
        <v>5363</v>
      </c>
      <c r="P455" s="6" t="s">
        <v>42</v>
      </c>
      <c r="Q455" s="5" t="s">
        <v>1237</v>
      </c>
      <c r="R455" s="5" t="s">
        <v>7145</v>
      </c>
      <c r="S455" s="6" t="s">
        <v>79</v>
      </c>
      <c r="T455" s="6">
        <v>6599.0</v>
      </c>
    </row>
    <row r="456" ht="56.25" customHeight="1">
      <c r="A456" s="5" t="s">
        <v>7114</v>
      </c>
      <c r="B456" s="6" t="str">
        <f>image("https://storage.googleapis.com/acdb/photos/BromideNpcNmlMus12_Remake_6_0.png")</f>
        <v/>
      </c>
      <c r="C456" s="5" t="s">
        <v>146</v>
      </c>
      <c r="D456" s="5" t="s">
        <v>1327</v>
      </c>
      <c r="E456" s="5" t="s">
        <v>34</v>
      </c>
      <c r="F456" s="5" t="s">
        <v>34</v>
      </c>
      <c r="G456" s="5" t="s">
        <v>36</v>
      </c>
      <c r="H456" s="5" t="s">
        <v>35</v>
      </c>
      <c r="I456" s="6">
        <v>1.0</v>
      </c>
      <c r="J456" s="6" t="s">
        <v>37</v>
      </c>
      <c r="K456" s="6">
        <v>10.0</v>
      </c>
      <c r="L456" s="5"/>
      <c r="M456" s="5"/>
      <c r="N456" s="6" t="s">
        <v>40</v>
      </c>
      <c r="O456" s="5" t="s">
        <v>5363</v>
      </c>
      <c r="P456" s="6" t="s">
        <v>42</v>
      </c>
      <c r="Q456" s="5" t="s">
        <v>1237</v>
      </c>
      <c r="R456" s="5" t="s">
        <v>7149</v>
      </c>
      <c r="S456" s="6" t="s">
        <v>86</v>
      </c>
      <c r="T456" s="6">
        <v>6599.0</v>
      </c>
    </row>
    <row r="457" ht="56.25" customHeight="1">
      <c r="A457" s="5" t="s">
        <v>7114</v>
      </c>
      <c r="B457" s="6" t="str">
        <f>image("https://storage.googleapis.com/acdb/photos/BromideNpcNmlMus12_Remake_7_0.png")</f>
        <v/>
      </c>
      <c r="C457" s="5" t="s">
        <v>151</v>
      </c>
      <c r="D457" s="5" t="s">
        <v>1327</v>
      </c>
      <c r="E457" s="5" t="s">
        <v>34</v>
      </c>
      <c r="F457" s="5" t="s">
        <v>34</v>
      </c>
      <c r="G457" s="5" t="s">
        <v>36</v>
      </c>
      <c r="H457" s="5" t="s">
        <v>35</v>
      </c>
      <c r="I457" s="6">
        <v>1.0</v>
      </c>
      <c r="J457" s="6" t="s">
        <v>37</v>
      </c>
      <c r="K457" s="6">
        <v>10.0</v>
      </c>
      <c r="L457" s="5"/>
      <c r="M457" s="5"/>
      <c r="N457" s="6" t="s">
        <v>40</v>
      </c>
      <c r="O457" s="5" t="s">
        <v>5363</v>
      </c>
      <c r="P457" s="6" t="s">
        <v>42</v>
      </c>
      <c r="Q457" s="5" t="s">
        <v>1237</v>
      </c>
      <c r="R457" s="5" t="s">
        <v>7153</v>
      </c>
      <c r="S457" s="6" t="s">
        <v>208</v>
      </c>
      <c r="T457" s="6">
        <v>6599.0</v>
      </c>
    </row>
    <row r="458" ht="56.25" customHeight="1">
      <c r="A458" s="5" t="s">
        <v>7156</v>
      </c>
      <c r="B458" s="6" t="str">
        <f>image("https://storage.googleapis.com/acdb/photos/BromideNpcNmlChn12_Remake_0_0.png")</f>
        <v/>
      </c>
      <c r="C458" s="5" t="s">
        <v>366</v>
      </c>
      <c r="D458" s="5" t="s">
        <v>1327</v>
      </c>
      <c r="E458" s="5" t="s">
        <v>34</v>
      </c>
      <c r="F458" s="5" t="s">
        <v>34</v>
      </c>
      <c r="G458" s="5" t="s">
        <v>36</v>
      </c>
      <c r="H458" s="5" t="s">
        <v>35</v>
      </c>
      <c r="I458" s="6">
        <v>1.0</v>
      </c>
      <c r="J458" s="6" t="s">
        <v>37</v>
      </c>
      <c r="K458" s="6">
        <v>10.0</v>
      </c>
      <c r="L458" s="5"/>
      <c r="M458" s="5"/>
      <c r="N458" s="6" t="s">
        <v>40</v>
      </c>
      <c r="O458" s="5" t="s">
        <v>5363</v>
      </c>
      <c r="P458" s="6" t="s">
        <v>42</v>
      </c>
      <c r="Q458" s="5" t="s">
        <v>1237</v>
      </c>
      <c r="R458" s="5" t="s">
        <v>7159</v>
      </c>
      <c r="S458" s="6" t="s">
        <v>50</v>
      </c>
      <c r="T458" s="6">
        <v>6793.0</v>
      </c>
    </row>
    <row r="459" ht="56.25" customHeight="1">
      <c r="A459" s="5" t="s">
        <v>7156</v>
      </c>
      <c r="B459" s="6" t="str">
        <f>image("https://storage.googleapis.com/acdb/photos/BromideNpcNmlChn12_Remake_1_0.png")</f>
        <v/>
      </c>
      <c r="C459" s="5" t="s">
        <v>1132</v>
      </c>
      <c r="D459" s="5" t="s">
        <v>1327</v>
      </c>
      <c r="E459" s="5" t="s">
        <v>34</v>
      </c>
      <c r="F459" s="5" t="s">
        <v>34</v>
      </c>
      <c r="G459" s="5" t="s">
        <v>36</v>
      </c>
      <c r="H459" s="5" t="s">
        <v>35</v>
      </c>
      <c r="I459" s="6">
        <v>1.0</v>
      </c>
      <c r="J459" s="6" t="s">
        <v>37</v>
      </c>
      <c r="K459" s="6">
        <v>10.0</v>
      </c>
      <c r="L459" s="5"/>
      <c r="M459" s="5"/>
      <c r="N459" s="6" t="s">
        <v>40</v>
      </c>
      <c r="O459" s="5" t="s">
        <v>5363</v>
      </c>
      <c r="P459" s="6" t="s">
        <v>42</v>
      </c>
      <c r="Q459" s="5" t="s">
        <v>1237</v>
      </c>
      <c r="R459" s="5" t="s">
        <v>7165</v>
      </c>
      <c r="S459" s="6" t="s">
        <v>56</v>
      </c>
      <c r="T459" s="6">
        <v>6793.0</v>
      </c>
    </row>
    <row r="460" ht="56.25" customHeight="1">
      <c r="A460" s="5" t="s">
        <v>7156</v>
      </c>
      <c r="B460" s="6" t="str">
        <f>image("https://storage.googleapis.com/acdb/photos/BromideNpcNmlChn12_Remake_2_0.png")</f>
        <v/>
      </c>
      <c r="C460" s="5" t="s">
        <v>688</v>
      </c>
      <c r="D460" s="5" t="s">
        <v>1327</v>
      </c>
      <c r="E460" s="5" t="s">
        <v>34</v>
      </c>
      <c r="F460" s="5" t="s">
        <v>34</v>
      </c>
      <c r="G460" s="5" t="s">
        <v>36</v>
      </c>
      <c r="H460" s="5" t="s">
        <v>35</v>
      </c>
      <c r="I460" s="6">
        <v>1.0</v>
      </c>
      <c r="J460" s="6" t="s">
        <v>37</v>
      </c>
      <c r="K460" s="6">
        <v>10.0</v>
      </c>
      <c r="L460" s="5"/>
      <c r="M460" s="5"/>
      <c r="N460" s="6" t="s">
        <v>40</v>
      </c>
      <c r="O460" s="5" t="s">
        <v>5363</v>
      </c>
      <c r="P460" s="6" t="s">
        <v>42</v>
      </c>
      <c r="Q460" s="5" t="s">
        <v>1237</v>
      </c>
      <c r="R460" s="5" t="s">
        <v>7169</v>
      </c>
      <c r="S460" s="6" t="s">
        <v>67</v>
      </c>
      <c r="T460" s="6">
        <v>6793.0</v>
      </c>
    </row>
    <row r="461" ht="56.25" customHeight="1">
      <c r="A461" s="5" t="s">
        <v>7156</v>
      </c>
      <c r="B461" s="6" t="str">
        <f>image("https://storage.googleapis.com/acdb/photos/BromideNpcNmlChn12_Remake_3_0.png")</f>
        <v/>
      </c>
      <c r="C461" s="5" t="s">
        <v>57</v>
      </c>
      <c r="D461" s="5" t="s">
        <v>1327</v>
      </c>
      <c r="E461" s="5" t="s">
        <v>34</v>
      </c>
      <c r="F461" s="5" t="s">
        <v>34</v>
      </c>
      <c r="G461" s="5" t="s">
        <v>36</v>
      </c>
      <c r="H461" s="5" t="s">
        <v>35</v>
      </c>
      <c r="I461" s="6">
        <v>1.0</v>
      </c>
      <c r="J461" s="6" t="s">
        <v>37</v>
      </c>
      <c r="K461" s="6">
        <v>10.0</v>
      </c>
      <c r="L461" s="5"/>
      <c r="M461" s="5"/>
      <c r="N461" s="6" t="s">
        <v>40</v>
      </c>
      <c r="O461" s="5" t="s">
        <v>5363</v>
      </c>
      <c r="P461" s="6" t="s">
        <v>42</v>
      </c>
      <c r="Q461" s="5" t="s">
        <v>1237</v>
      </c>
      <c r="R461" s="5" t="s">
        <v>7175</v>
      </c>
      <c r="S461" s="6" t="s">
        <v>71</v>
      </c>
      <c r="T461" s="6">
        <v>6793.0</v>
      </c>
    </row>
    <row r="462" ht="56.25" customHeight="1">
      <c r="A462" s="5" t="s">
        <v>7156</v>
      </c>
      <c r="B462" s="6" t="str">
        <f>image("https://storage.googleapis.com/acdb/photos/BromideNpcNmlChn12_Remake_4_0.png")</f>
        <v/>
      </c>
      <c r="C462" s="5" t="s">
        <v>1167</v>
      </c>
      <c r="D462" s="5" t="s">
        <v>1327</v>
      </c>
      <c r="E462" s="5" t="s">
        <v>34</v>
      </c>
      <c r="F462" s="5" t="s">
        <v>34</v>
      </c>
      <c r="G462" s="5" t="s">
        <v>36</v>
      </c>
      <c r="H462" s="5" t="s">
        <v>35</v>
      </c>
      <c r="I462" s="6">
        <v>1.0</v>
      </c>
      <c r="J462" s="6" t="s">
        <v>37</v>
      </c>
      <c r="K462" s="6">
        <v>10.0</v>
      </c>
      <c r="L462" s="5"/>
      <c r="M462" s="5"/>
      <c r="N462" s="6" t="s">
        <v>40</v>
      </c>
      <c r="O462" s="5" t="s">
        <v>5363</v>
      </c>
      <c r="P462" s="6" t="s">
        <v>42</v>
      </c>
      <c r="Q462" s="5" t="s">
        <v>1237</v>
      </c>
      <c r="R462" s="5" t="s">
        <v>7182</v>
      </c>
      <c r="S462" s="6" t="s">
        <v>75</v>
      </c>
      <c r="T462" s="6">
        <v>6793.0</v>
      </c>
    </row>
    <row r="463" ht="56.25" customHeight="1">
      <c r="A463" s="5" t="s">
        <v>7156</v>
      </c>
      <c r="B463" s="6" t="str">
        <f>image("https://storage.googleapis.com/acdb/photos/BromideNpcNmlChn12_Remake_5_0.png")</f>
        <v/>
      </c>
      <c r="C463" s="5" t="s">
        <v>58</v>
      </c>
      <c r="D463" s="5" t="s">
        <v>1327</v>
      </c>
      <c r="E463" s="5" t="s">
        <v>34</v>
      </c>
      <c r="F463" s="5" t="s">
        <v>34</v>
      </c>
      <c r="G463" s="5" t="s">
        <v>36</v>
      </c>
      <c r="H463" s="5" t="s">
        <v>35</v>
      </c>
      <c r="I463" s="6">
        <v>1.0</v>
      </c>
      <c r="J463" s="6" t="s">
        <v>37</v>
      </c>
      <c r="K463" s="6">
        <v>10.0</v>
      </c>
      <c r="L463" s="5"/>
      <c r="M463" s="5"/>
      <c r="N463" s="6" t="s">
        <v>40</v>
      </c>
      <c r="O463" s="5" t="s">
        <v>5363</v>
      </c>
      <c r="P463" s="6" t="s">
        <v>42</v>
      </c>
      <c r="Q463" s="5" t="s">
        <v>1237</v>
      </c>
      <c r="R463" s="5" t="s">
        <v>7187</v>
      </c>
      <c r="S463" s="6" t="s">
        <v>79</v>
      </c>
      <c r="T463" s="6">
        <v>6793.0</v>
      </c>
    </row>
    <row r="464" ht="56.25" customHeight="1">
      <c r="A464" s="5" t="s">
        <v>7156</v>
      </c>
      <c r="B464" s="6" t="str">
        <f>image("https://storage.googleapis.com/acdb/photos/BromideNpcNmlChn12_Remake_6_0.png")</f>
        <v/>
      </c>
      <c r="C464" s="5" t="s">
        <v>146</v>
      </c>
      <c r="D464" s="5" t="s">
        <v>1327</v>
      </c>
      <c r="E464" s="5" t="s">
        <v>34</v>
      </c>
      <c r="F464" s="5" t="s">
        <v>34</v>
      </c>
      <c r="G464" s="5" t="s">
        <v>36</v>
      </c>
      <c r="H464" s="5" t="s">
        <v>35</v>
      </c>
      <c r="I464" s="6">
        <v>1.0</v>
      </c>
      <c r="J464" s="6" t="s">
        <v>37</v>
      </c>
      <c r="K464" s="6">
        <v>10.0</v>
      </c>
      <c r="L464" s="5"/>
      <c r="M464" s="5"/>
      <c r="N464" s="6" t="s">
        <v>40</v>
      </c>
      <c r="O464" s="5" t="s">
        <v>5363</v>
      </c>
      <c r="P464" s="6" t="s">
        <v>42</v>
      </c>
      <c r="Q464" s="5" t="s">
        <v>1237</v>
      </c>
      <c r="R464" s="5" t="s">
        <v>7191</v>
      </c>
      <c r="S464" s="6" t="s">
        <v>86</v>
      </c>
      <c r="T464" s="6">
        <v>6793.0</v>
      </c>
    </row>
    <row r="465" ht="56.25" customHeight="1">
      <c r="A465" s="5" t="s">
        <v>7156</v>
      </c>
      <c r="B465" s="6" t="str">
        <f>image("https://storage.googleapis.com/acdb/photos/BromideNpcNmlChn12_Remake_7_0.png")</f>
        <v/>
      </c>
      <c r="C465" s="5" t="s">
        <v>151</v>
      </c>
      <c r="D465" s="5" t="s">
        <v>1327</v>
      </c>
      <c r="E465" s="5" t="s">
        <v>34</v>
      </c>
      <c r="F465" s="5" t="s">
        <v>34</v>
      </c>
      <c r="G465" s="5" t="s">
        <v>36</v>
      </c>
      <c r="H465" s="5" t="s">
        <v>35</v>
      </c>
      <c r="I465" s="6">
        <v>1.0</v>
      </c>
      <c r="J465" s="6" t="s">
        <v>37</v>
      </c>
      <c r="K465" s="6">
        <v>10.0</v>
      </c>
      <c r="L465" s="5"/>
      <c r="M465" s="5"/>
      <c r="N465" s="6" t="s">
        <v>40</v>
      </c>
      <c r="O465" s="5" t="s">
        <v>5363</v>
      </c>
      <c r="P465" s="6" t="s">
        <v>42</v>
      </c>
      <c r="Q465" s="5" t="s">
        <v>1237</v>
      </c>
      <c r="R465" s="5" t="s">
        <v>7194</v>
      </c>
      <c r="S465" s="6" t="s">
        <v>208</v>
      </c>
      <c r="T465" s="6">
        <v>6793.0</v>
      </c>
    </row>
    <row r="466" ht="56.25" customHeight="1">
      <c r="A466" s="5" t="s">
        <v>7195</v>
      </c>
      <c r="B466" s="6" t="str">
        <f>image("https://storage.googleapis.com/acdb/photos/BromideNpcNmlDer03_Remake_0_0.png")</f>
        <v/>
      </c>
      <c r="C466" s="5" t="s">
        <v>366</v>
      </c>
      <c r="D466" s="5" t="s">
        <v>1327</v>
      </c>
      <c r="E466" s="5" t="s">
        <v>34</v>
      </c>
      <c r="F466" s="5" t="s">
        <v>34</v>
      </c>
      <c r="G466" s="5" t="s">
        <v>36</v>
      </c>
      <c r="H466" s="5" t="s">
        <v>35</v>
      </c>
      <c r="I466" s="6">
        <v>1.0</v>
      </c>
      <c r="J466" s="6" t="s">
        <v>37</v>
      </c>
      <c r="K466" s="6">
        <v>10.0</v>
      </c>
      <c r="L466" s="5"/>
      <c r="M466" s="5"/>
      <c r="N466" s="6" t="s">
        <v>40</v>
      </c>
      <c r="O466" s="5" t="s">
        <v>5363</v>
      </c>
      <c r="P466" s="6" t="s">
        <v>42</v>
      </c>
      <c r="Q466" s="5" t="s">
        <v>1237</v>
      </c>
      <c r="R466" s="5" t="s">
        <v>7201</v>
      </c>
      <c r="S466" s="6" t="s">
        <v>50</v>
      </c>
      <c r="T466" s="6">
        <v>6429.0</v>
      </c>
    </row>
    <row r="467" ht="56.25" customHeight="1">
      <c r="A467" s="5" t="s">
        <v>7195</v>
      </c>
      <c r="B467" s="6" t="str">
        <f>image("https://storage.googleapis.com/acdb/photos/BromideNpcNmlDer03_Remake_1_0.png")</f>
        <v/>
      </c>
      <c r="C467" s="5" t="s">
        <v>1132</v>
      </c>
      <c r="D467" s="5" t="s">
        <v>1327</v>
      </c>
      <c r="E467" s="5" t="s">
        <v>34</v>
      </c>
      <c r="F467" s="5" t="s">
        <v>34</v>
      </c>
      <c r="G467" s="5" t="s">
        <v>36</v>
      </c>
      <c r="H467" s="5" t="s">
        <v>35</v>
      </c>
      <c r="I467" s="6">
        <v>1.0</v>
      </c>
      <c r="J467" s="6" t="s">
        <v>37</v>
      </c>
      <c r="K467" s="6">
        <v>10.0</v>
      </c>
      <c r="L467" s="5"/>
      <c r="M467" s="5"/>
      <c r="N467" s="6" t="s">
        <v>40</v>
      </c>
      <c r="O467" s="5" t="s">
        <v>5363</v>
      </c>
      <c r="P467" s="6" t="s">
        <v>42</v>
      </c>
      <c r="Q467" s="5" t="s">
        <v>1237</v>
      </c>
      <c r="R467" s="5" t="s">
        <v>7205</v>
      </c>
      <c r="S467" s="6" t="s">
        <v>56</v>
      </c>
      <c r="T467" s="6">
        <v>6429.0</v>
      </c>
    </row>
    <row r="468" ht="56.25" customHeight="1">
      <c r="A468" s="5" t="s">
        <v>7195</v>
      </c>
      <c r="B468" s="6" t="str">
        <f>image("https://storage.googleapis.com/acdb/photos/BromideNpcNmlDer03_Remake_2_0.png")</f>
        <v/>
      </c>
      <c r="C468" s="5" t="s">
        <v>688</v>
      </c>
      <c r="D468" s="5" t="s">
        <v>1327</v>
      </c>
      <c r="E468" s="5" t="s">
        <v>34</v>
      </c>
      <c r="F468" s="5" t="s">
        <v>34</v>
      </c>
      <c r="G468" s="5" t="s">
        <v>36</v>
      </c>
      <c r="H468" s="5" t="s">
        <v>35</v>
      </c>
      <c r="I468" s="6">
        <v>1.0</v>
      </c>
      <c r="J468" s="6" t="s">
        <v>37</v>
      </c>
      <c r="K468" s="6">
        <v>10.0</v>
      </c>
      <c r="L468" s="5"/>
      <c r="M468" s="5"/>
      <c r="N468" s="6" t="s">
        <v>40</v>
      </c>
      <c r="O468" s="5" t="s">
        <v>5363</v>
      </c>
      <c r="P468" s="6" t="s">
        <v>42</v>
      </c>
      <c r="Q468" s="5" t="s">
        <v>1237</v>
      </c>
      <c r="R468" s="5" t="s">
        <v>7208</v>
      </c>
      <c r="S468" s="6" t="s">
        <v>67</v>
      </c>
      <c r="T468" s="6">
        <v>6429.0</v>
      </c>
    </row>
    <row r="469" ht="56.25" customHeight="1">
      <c r="A469" s="5" t="s">
        <v>7195</v>
      </c>
      <c r="B469" s="6" t="str">
        <f>image("https://storage.googleapis.com/acdb/photos/BromideNpcNmlDer03_Remake_3_0.png")</f>
        <v/>
      </c>
      <c r="C469" s="5" t="s">
        <v>57</v>
      </c>
      <c r="D469" s="5" t="s">
        <v>1327</v>
      </c>
      <c r="E469" s="5" t="s">
        <v>34</v>
      </c>
      <c r="F469" s="5" t="s">
        <v>34</v>
      </c>
      <c r="G469" s="5" t="s">
        <v>36</v>
      </c>
      <c r="H469" s="5" t="s">
        <v>35</v>
      </c>
      <c r="I469" s="6">
        <v>1.0</v>
      </c>
      <c r="J469" s="6" t="s">
        <v>37</v>
      </c>
      <c r="K469" s="6">
        <v>10.0</v>
      </c>
      <c r="L469" s="5"/>
      <c r="M469" s="5"/>
      <c r="N469" s="6" t="s">
        <v>40</v>
      </c>
      <c r="O469" s="5" t="s">
        <v>5363</v>
      </c>
      <c r="P469" s="6" t="s">
        <v>42</v>
      </c>
      <c r="Q469" s="5" t="s">
        <v>1237</v>
      </c>
      <c r="R469" s="5" t="s">
        <v>7211</v>
      </c>
      <c r="S469" s="6" t="s">
        <v>71</v>
      </c>
      <c r="T469" s="6">
        <v>6429.0</v>
      </c>
    </row>
    <row r="470" ht="56.25" customHeight="1">
      <c r="A470" s="5" t="s">
        <v>7195</v>
      </c>
      <c r="B470" s="6" t="str">
        <f>image("https://storage.googleapis.com/acdb/photos/BromideNpcNmlDer03_Remake_4_0.png")</f>
        <v/>
      </c>
      <c r="C470" s="5" t="s">
        <v>1167</v>
      </c>
      <c r="D470" s="5" t="s">
        <v>1327</v>
      </c>
      <c r="E470" s="5" t="s">
        <v>34</v>
      </c>
      <c r="F470" s="5" t="s">
        <v>34</v>
      </c>
      <c r="G470" s="5" t="s">
        <v>36</v>
      </c>
      <c r="H470" s="5" t="s">
        <v>35</v>
      </c>
      <c r="I470" s="6">
        <v>1.0</v>
      </c>
      <c r="J470" s="6" t="s">
        <v>37</v>
      </c>
      <c r="K470" s="6">
        <v>10.0</v>
      </c>
      <c r="L470" s="5"/>
      <c r="M470" s="5"/>
      <c r="N470" s="6" t="s">
        <v>40</v>
      </c>
      <c r="O470" s="5" t="s">
        <v>5363</v>
      </c>
      <c r="P470" s="6" t="s">
        <v>42</v>
      </c>
      <c r="Q470" s="5" t="s">
        <v>1237</v>
      </c>
      <c r="R470" s="5" t="s">
        <v>7214</v>
      </c>
      <c r="S470" s="6" t="s">
        <v>75</v>
      </c>
      <c r="T470" s="6">
        <v>6429.0</v>
      </c>
    </row>
    <row r="471" ht="56.25" customHeight="1">
      <c r="A471" s="5" t="s">
        <v>7195</v>
      </c>
      <c r="B471" s="6" t="str">
        <f>image("https://storage.googleapis.com/acdb/photos/BromideNpcNmlDer03_Remake_5_0.png")</f>
        <v/>
      </c>
      <c r="C471" s="5" t="s">
        <v>58</v>
      </c>
      <c r="D471" s="5" t="s">
        <v>1327</v>
      </c>
      <c r="E471" s="5" t="s">
        <v>34</v>
      </c>
      <c r="F471" s="5" t="s">
        <v>34</v>
      </c>
      <c r="G471" s="5" t="s">
        <v>36</v>
      </c>
      <c r="H471" s="5" t="s">
        <v>35</v>
      </c>
      <c r="I471" s="6">
        <v>1.0</v>
      </c>
      <c r="J471" s="6" t="s">
        <v>37</v>
      </c>
      <c r="K471" s="6">
        <v>10.0</v>
      </c>
      <c r="L471" s="5"/>
      <c r="M471" s="5"/>
      <c r="N471" s="6" t="s">
        <v>40</v>
      </c>
      <c r="O471" s="5" t="s">
        <v>5363</v>
      </c>
      <c r="P471" s="6" t="s">
        <v>42</v>
      </c>
      <c r="Q471" s="5" t="s">
        <v>1237</v>
      </c>
      <c r="R471" s="5" t="s">
        <v>7219</v>
      </c>
      <c r="S471" s="6" t="s">
        <v>79</v>
      </c>
      <c r="T471" s="6">
        <v>6429.0</v>
      </c>
    </row>
    <row r="472" ht="56.25" customHeight="1">
      <c r="A472" s="5" t="s">
        <v>7195</v>
      </c>
      <c r="B472" s="6" t="str">
        <f>image("https://storage.googleapis.com/acdb/photos/BromideNpcNmlDer03_Remake_6_0.png")</f>
        <v/>
      </c>
      <c r="C472" s="5" t="s">
        <v>146</v>
      </c>
      <c r="D472" s="5" t="s">
        <v>1327</v>
      </c>
      <c r="E472" s="5" t="s">
        <v>34</v>
      </c>
      <c r="F472" s="5" t="s">
        <v>34</v>
      </c>
      <c r="G472" s="5" t="s">
        <v>36</v>
      </c>
      <c r="H472" s="5" t="s">
        <v>35</v>
      </c>
      <c r="I472" s="6">
        <v>1.0</v>
      </c>
      <c r="J472" s="6" t="s">
        <v>37</v>
      </c>
      <c r="K472" s="6">
        <v>10.0</v>
      </c>
      <c r="L472" s="5"/>
      <c r="M472" s="5"/>
      <c r="N472" s="6" t="s">
        <v>40</v>
      </c>
      <c r="O472" s="5" t="s">
        <v>5363</v>
      </c>
      <c r="P472" s="6" t="s">
        <v>42</v>
      </c>
      <c r="Q472" s="5" t="s">
        <v>1237</v>
      </c>
      <c r="R472" s="5" t="s">
        <v>7223</v>
      </c>
      <c r="S472" s="6" t="s">
        <v>86</v>
      </c>
      <c r="T472" s="6">
        <v>6429.0</v>
      </c>
    </row>
    <row r="473" ht="56.25" customHeight="1">
      <c r="A473" s="5" t="s">
        <v>7195</v>
      </c>
      <c r="B473" s="6" t="str">
        <f>image("https://storage.googleapis.com/acdb/photos/BromideNpcNmlDer03_Remake_7_0.png")</f>
        <v/>
      </c>
      <c r="C473" s="5" t="s">
        <v>151</v>
      </c>
      <c r="D473" s="5" t="s">
        <v>1327</v>
      </c>
      <c r="E473" s="5" t="s">
        <v>34</v>
      </c>
      <c r="F473" s="5" t="s">
        <v>34</v>
      </c>
      <c r="G473" s="5" t="s">
        <v>36</v>
      </c>
      <c r="H473" s="5" t="s">
        <v>35</v>
      </c>
      <c r="I473" s="6">
        <v>1.0</v>
      </c>
      <c r="J473" s="6" t="s">
        <v>37</v>
      </c>
      <c r="K473" s="6">
        <v>10.0</v>
      </c>
      <c r="L473" s="5"/>
      <c r="M473" s="5"/>
      <c r="N473" s="6" t="s">
        <v>40</v>
      </c>
      <c r="O473" s="5" t="s">
        <v>5363</v>
      </c>
      <c r="P473" s="6" t="s">
        <v>42</v>
      </c>
      <c r="Q473" s="5" t="s">
        <v>1237</v>
      </c>
      <c r="R473" s="5" t="s">
        <v>7225</v>
      </c>
      <c r="S473" s="6" t="s">
        <v>208</v>
      </c>
      <c r="T473" s="6">
        <v>6429.0</v>
      </c>
    </row>
    <row r="474" ht="56.25" customHeight="1">
      <c r="A474" s="5" t="s">
        <v>7227</v>
      </c>
      <c r="B474" s="6" t="str">
        <f>image("https://storage.googleapis.com/acdb/photos/BromideNpcNmlHip02_Remake_0_0.png")</f>
        <v/>
      </c>
      <c r="C474" s="5" t="s">
        <v>366</v>
      </c>
      <c r="D474" s="5" t="s">
        <v>1327</v>
      </c>
      <c r="E474" s="5" t="s">
        <v>34</v>
      </c>
      <c r="F474" s="5" t="s">
        <v>34</v>
      </c>
      <c r="G474" s="5" t="s">
        <v>36</v>
      </c>
      <c r="H474" s="5" t="s">
        <v>35</v>
      </c>
      <c r="I474" s="6">
        <v>1.0</v>
      </c>
      <c r="J474" s="6" t="s">
        <v>37</v>
      </c>
      <c r="K474" s="6">
        <v>10.0</v>
      </c>
      <c r="L474" s="5"/>
      <c r="M474" s="5"/>
      <c r="N474" s="6" t="s">
        <v>40</v>
      </c>
      <c r="O474" s="5" t="s">
        <v>5363</v>
      </c>
      <c r="P474" s="6" t="s">
        <v>42</v>
      </c>
      <c r="Q474" s="5" t="s">
        <v>1237</v>
      </c>
      <c r="R474" s="5" t="s">
        <v>7232</v>
      </c>
      <c r="S474" s="6" t="s">
        <v>50</v>
      </c>
      <c r="T474" s="6">
        <v>6531.0</v>
      </c>
    </row>
    <row r="475" ht="56.25" customHeight="1">
      <c r="A475" s="5" t="s">
        <v>7227</v>
      </c>
      <c r="B475" s="6" t="str">
        <f>image("https://storage.googleapis.com/acdb/photos/BromideNpcNmlHip02_Remake_1_0.png")</f>
        <v/>
      </c>
      <c r="C475" s="5" t="s">
        <v>1132</v>
      </c>
      <c r="D475" s="5" t="s">
        <v>1327</v>
      </c>
      <c r="E475" s="5" t="s">
        <v>34</v>
      </c>
      <c r="F475" s="5" t="s">
        <v>34</v>
      </c>
      <c r="G475" s="5" t="s">
        <v>36</v>
      </c>
      <c r="H475" s="5" t="s">
        <v>35</v>
      </c>
      <c r="I475" s="6">
        <v>1.0</v>
      </c>
      <c r="J475" s="6" t="s">
        <v>37</v>
      </c>
      <c r="K475" s="6">
        <v>10.0</v>
      </c>
      <c r="L475" s="5"/>
      <c r="M475" s="5"/>
      <c r="N475" s="6" t="s">
        <v>40</v>
      </c>
      <c r="O475" s="5" t="s">
        <v>5363</v>
      </c>
      <c r="P475" s="6" t="s">
        <v>42</v>
      </c>
      <c r="Q475" s="5" t="s">
        <v>1237</v>
      </c>
      <c r="R475" s="5" t="s">
        <v>7237</v>
      </c>
      <c r="S475" s="6" t="s">
        <v>56</v>
      </c>
      <c r="T475" s="6">
        <v>6531.0</v>
      </c>
    </row>
    <row r="476" ht="56.25" customHeight="1">
      <c r="A476" s="5" t="s">
        <v>7227</v>
      </c>
      <c r="B476" s="6" t="str">
        <f>image("https://storage.googleapis.com/acdb/photos/BromideNpcNmlHip02_Remake_2_0.png")</f>
        <v/>
      </c>
      <c r="C476" s="5" t="s">
        <v>688</v>
      </c>
      <c r="D476" s="5" t="s">
        <v>1327</v>
      </c>
      <c r="E476" s="5" t="s">
        <v>34</v>
      </c>
      <c r="F476" s="5" t="s">
        <v>34</v>
      </c>
      <c r="G476" s="5" t="s">
        <v>36</v>
      </c>
      <c r="H476" s="5" t="s">
        <v>35</v>
      </c>
      <c r="I476" s="6">
        <v>1.0</v>
      </c>
      <c r="J476" s="6" t="s">
        <v>37</v>
      </c>
      <c r="K476" s="6">
        <v>10.0</v>
      </c>
      <c r="L476" s="5"/>
      <c r="M476" s="5"/>
      <c r="N476" s="6" t="s">
        <v>40</v>
      </c>
      <c r="O476" s="5" t="s">
        <v>5363</v>
      </c>
      <c r="P476" s="6" t="s">
        <v>42</v>
      </c>
      <c r="Q476" s="5" t="s">
        <v>1237</v>
      </c>
      <c r="R476" s="5" t="s">
        <v>7239</v>
      </c>
      <c r="S476" s="6" t="s">
        <v>67</v>
      </c>
      <c r="T476" s="6">
        <v>6531.0</v>
      </c>
    </row>
    <row r="477" ht="56.25" customHeight="1">
      <c r="A477" s="5" t="s">
        <v>7227</v>
      </c>
      <c r="B477" s="6" t="str">
        <f>image("https://storage.googleapis.com/acdb/photos/BromideNpcNmlHip02_Remake_3_0.png")</f>
        <v/>
      </c>
      <c r="C477" s="5" t="s">
        <v>57</v>
      </c>
      <c r="D477" s="5" t="s">
        <v>1327</v>
      </c>
      <c r="E477" s="5" t="s">
        <v>34</v>
      </c>
      <c r="F477" s="5" t="s">
        <v>34</v>
      </c>
      <c r="G477" s="5" t="s">
        <v>36</v>
      </c>
      <c r="H477" s="5" t="s">
        <v>35</v>
      </c>
      <c r="I477" s="6">
        <v>1.0</v>
      </c>
      <c r="J477" s="6" t="s">
        <v>37</v>
      </c>
      <c r="K477" s="6">
        <v>10.0</v>
      </c>
      <c r="L477" s="5"/>
      <c r="M477" s="5"/>
      <c r="N477" s="6" t="s">
        <v>40</v>
      </c>
      <c r="O477" s="5" t="s">
        <v>5363</v>
      </c>
      <c r="P477" s="6" t="s">
        <v>42</v>
      </c>
      <c r="Q477" s="5" t="s">
        <v>1237</v>
      </c>
      <c r="R477" s="5" t="s">
        <v>7244</v>
      </c>
      <c r="S477" s="6" t="s">
        <v>71</v>
      </c>
      <c r="T477" s="6">
        <v>6531.0</v>
      </c>
    </row>
    <row r="478" ht="56.25" customHeight="1">
      <c r="A478" s="5" t="s">
        <v>7227</v>
      </c>
      <c r="B478" s="6" t="str">
        <f>image("https://storage.googleapis.com/acdb/photos/BromideNpcNmlHip02_Remake_4_0.png")</f>
        <v/>
      </c>
      <c r="C478" s="5" t="s">
        <v>1167</v>
      </c>
      <c r="D478" s="5" t="s">
        <v>1327</v>
      </c>
      <c r="E478" s="5" t="s">
        <v>34</v>
      </c>
      <c r="F478" s="5" t="s">
        <v>34</v>
      </c>
      <c r="G478" s="5" t="s">
        <v>36</v>
      </c>
      <c r="H478" s="5" t="s">
        <v>35</v>
      </c>
      <c r="I478" s="6">
        <v>1.0</v>
      </c>
      <c r="J478" s="6" t="s">
        <v>37</v>
      </c>
      <c r="K478" s="6">
        <v>10.0</v>
      </c>
      <c r="L478" s="5"/>
      <c r="M478" s="5"/>
      <c r="N478" s="6" t="s">
        <v>40</v>
      </c>
      <c r="O478" s="5" t="s">
        <v>5363</v>
      </c>
      <c r="P478" s="6" t="s">
        <v>42</v>
      </c>
      <c r="Q478" s="5" t="s">
        <v>1237</v>
      </c>
      <c r="R478" s="5" t="s">
        <v>7248</v>
      </c>
      <c r="S478" s="6" t="s">
        <v>75</v>
      </c>
      <c r="T478" s="6">
        <v>6531.0</v>
      </c>
    </row>
    <row r="479" ht="56.25" customHeight="1">
      <c r="A479" s="5" t="s">
        <v>7227</v>
      </c>
      <c r="B479" s="6" t="str">
        <f>image("https://storage.googleapis.com/acdb/photos/BromideNpcNmlHip02_Remake_5_0.png")</f>
        <v/>
      </c>
      <c r="C479" s="5" t="s">
        <v>58</v>
      </c>
      <c r="D479" s="5" t="s">
        <v>1327</v>
      </c>
      <c r="E479" s="5" t="s">
        <v>34</v>
      </c>
      <c r="F479" s="5" t="s">
        <v>34</v>
      </c>
      <c r="G479" s="5" t="s">
        <v>36</v>
      </c>
      <c r="H479" s="5" t="s">
        <v>35</v>
      </c>
      <c r="I479" s="6">
        <v>1.0</v>
      </c>
      <c r="J479" s="6" t="s">
        <v>37</v>
      </c>
      <c r="K479" s="6">
        <v>10.0</v>
      </c>
      <c r="L479" s="5"/>
      <c r="M479" s="5"/>
      <c r="N479" s="6" t="s">
        <v>40</v>
      </c>
      <c r="O479" s="5" t="s">
        <v>5363</v>
      </c>
      <c r="P479" s="6" t="s">
        <v>42</v>
      </c>
      <c r="Q479" s="5" t="s">
        <v>1237</v>
      </c>
      <c r="R479" s="5" t="s">
        <v>7253</v>
      </c>
      <c r="S479" s="6" t="s">
        <v>79</v>
      </c>
      <c r="T479" s="6">
        <v>6531.0</v>
      </c>
    </row>
    <row r="480" ht="56.25" customHeight="1">
      <c r="A480" s="5" t="s">
        <v>7227</v>
      </c>
      <c r="B480" s="6" t="str">
        <f>image("https://storage.googleapis.com/acdb/photos/BromideNpcNmlHip02_Remake_6_0.png")</f>
        <v/>
      </c>
      <c r="C480" s="5" t="s">
        <v>146</v>
      </c>
      <c r="D480" s="5" t="s">
        <v>1327</v>
      </c>
      <c r="E480" s="5" t="s">
        <v>34</v>
      </c>
      <c r="F480" s="5" t="s">
        <v>34</v>
      </c>
      <c r="G480" s="5" t="s">
        <v>36</v>
      </c>
      <c r="H480" s="5" t="s">
        <v>35</v>
      </c>
      <c r="I480" s="6">
        <v>1.0</v>
      </c>
      <c r="J480" s="6" t="s">
        <v>37</v>
      </c>
      <c r="K480" s="6">
        <v>10.0</v>
      </c>
      <c r="L480" s="5"/>
      <c r="M480" s="5"/>
      <c r="N480" s="6" t="s">
        <v>40</v>
      </c>
      <c r="O480" s="5" t="s">
        <v>5363</v>
      </c>
      <c r="P480" s="6" t="s">
        <v>42</v>
      </c>
      <c r="Q480" s="5" t="s">
        <v>1237</v>
      </c>
      <c r="R480" s="5" t="s">
        <v>7257</v>
      </c>
      <c r="S480" s="6" t="s">
        <v>86</v>
      </c>
      <c r="T480" s="6">
        <v>6531.0</v>
      </c>
    </row>
    <row r="481" ht="56.25" customHeight="1">
      <c r="A481" s="5" t="s">
        <v>7227</v>
      </c>
      <c r="B481" s="6" t="str">
        <f>image("https://storage.googleapis.com/acdb/photos/BromideNpcNmlHip02_Remake_7_0.png")</f>
        <v/>
      </c>
      <c r="C481" s="5" t="s">
        <v>151</v>
      </c>
      <c r="D481" s="5" t="s">
        <v>1327</v>
      </c>
      <c r="E481" s="5" t="s">
        <v>34</v>
      </c>
      <c r="F481" s="5" t="s">
        <v>34</v>
      </c>
      <c r="G481" s="5" t="s">
        <v>36</v>
      </c>
      <c r="H481" s="5" t="s">
        <v>35</v>
      </c>
      <c r="I481" s="6">
        <v>1.0</v>
      </c>
      <c r="J481" s="6" t="s">
        <v>37</v>
      </c>
      <c r="K481" s="6">
        <v>10.0</v>
      </c>
      <c r="L481" s="5"/>
      <c r="M481" s="5"/>
      <c r="N481" s="6" t="s">
        <v>40</v>
      </c>
      <c r="O481" s="5" t="s">
        <v>5363</v>
      </c>
      <c r="P481" s="6" t="s">
        <v>42</v>
      </c>
      <c r="Q481" s="5" t="s">
        <v>1237</v>
      </c>
      <c r="R481" s="5" t="s">
        <v>7261</v>
      </c>
      <c r="S481" s="6" t="s">
        <v>208</v>
      </c>
      <c r="T481" s="6">
        <v>6531.0</v>
      </c>
    </row>
    <row r="482" ht="56.25" customHeight="1">
      <c r="A482" s="5" t="s">
        <v>7262</v>
      </c>
      <c r="B482" s="6" t="str">
        <f>image("https://storage.googleapis.com/acdb/photos/BromideNpcNmlHrs00_Remake_0_0.png")</f>
        <v/>
      </c>
      <c r="C482" s="5" t="s">
        <v>366</v>
      </c>
      <c r="D482" s="5" t="s">
        <v>1327</v>
      </c>
      <c r="E482" s="5" t="s">
        <v>34</v>
      </c>
      <c r="F482" s="5" t="s">
        <v>34</v>
      </c>
      <c r="G482" s="5" t="s">
        <v>36</v>
      </c>
      <c r="H482" s="5" t="s">
        <v>35</v>
      </c>
      <c r="I482" s="6">
        <v>1.0</v>
      </c>
      <c r="J482" s="6" t="s">
        <v>37</v>
      </c>
      <c r="K482" s="6">
        <v>10.0</v>
      </c>
      <c r="L482" s="5"/>
      <c r="M482" s="5"/>
      <c r="N482" s="6" t="s">
        <v>40</v>
      </c>
      <c r="O482" s="5" t="s">
        <v>5363</v>
      </c>
      <c r="P482" s="6" t="s">
        <v>42</v>
      </c>
      <c r="Q482" s="5" t="s">
        <v>1237</v>
      </c>
      <c r="R482" s="5" t="s">
        <v>7266</v>
      </c>
      <c r="S482" s="6" t="s">
        <v>50</v>
      </c>
      <c r="T482" s="6">
        <v>6539.0</v>
      </c>
    </row>
    <row r="483" ht="56.25" customHeight="1">
      <c r="A483" s="5" t="s">
        <v>7262</v>
      </c>
      <c r="B483" s="6" t="str">
        <f>image("https://storage.googleapis.com/acdb/photos/BromideNpcNmlHrs00_Remake_1_0.png")</f>
        <v/>
      </c>
      <c r="C483" s="5" t="s">
        <v>1132</v>
      </c>
      <c r="D483" s="5" t="s">
        <v>1327</v>
      </c>
      <c r="E483" s="5" t="s">
        <v>34</v>
      </c>
      <c r="F483" s="5" t="s">
        <v>34</v>
      </c>
      <c r="G483" s="5" t="s">
        <v>36</v>
      </c>
      <c r="H483" s="5" t="s">
        <v>35</v>
      </c>
      <c r="I483" s="6">
        <v>1.0</v>
      </c>
      <c r="J483" s="6" t="s">
        <v>37</v>
      </c>
      <c r="K483" s="6">
        <v>10.0</v>
      </c>
      <c r="L483" s="5"/>
      <c r="M483" s="5"/>
      <c r="N483" s="6" t="s">
        <v>40</v>
      </c>
      <c r="O483" s="5" t="s">
        <v>5363</v>
      </c>
      <c r="P483" s="6" t="s">
        <v>42</v>
      </c>
      <c r="Q483" s="5" t="s">
        <v>1237</v>
      </c>
      <c r="R483" s="5" t="s">
        <v>7269</v>
      </c>
      <c r="S483" s="6" t="s">
        <v>56</v>
      </c>
      <c r="T483" s="6">
        <v>6539.0</v>
      </c>
    </row>
    <row r="484" ht="56.25" customHeight="1">
      <c r="A484" s="5" t="s">
        <v>7262</v>
      </c>
      <c r="B484" s="6" t="str">
        <f>image("https://storage.googleapis.com/acdb/photos/BromideNpcNmlHrs00_Remake_2_0.png")</f>
        <v/>
      </c>
      <c r="C484" s="5" t="s">
        <v>688</v>
      </c>
      <c r="D484" s="5" t="s">
        <v>1327</v>
      </c>
      <c r="E484" s="5" t="s">
        <v>34</v>
      </c>
      <c r="F484" s="5" t="s">
        <v>34</v>
      </c>
      <c r="G484" s="5" t="s">
        <v>36</v>
      </c>
      <c r="H484" s="5" t="s">
        <v>35</v>
      </c>
      <c r="I484" s="6">
        <v>1.0</v>
      </c>
      <c r="J484" s="6" t="s">
        <v>37</v>
      </c>
      <c r="K484" s="6">
        <v>10.0</v>
      </c>
      <c r="L484" s="5"/>
      <c r="M484" s="5"/>
      <c r="N484" s="6" t="s">
        <v>40</v>
      </c>
      <c r="O484" s="5" t="s">
        <v>5363</v>
      </c>
      <c r="P484" s="6" t="s">
        <v>42</v>
      </c>
      <c r="Q484" s="5" t="s">
        <v>1237</v>
      </c>
      <c r="R484" s="5" t="s">
        <v>7273</v>
      </c>
      <c r="S484" s="6" t="s">
        <v>67</v>
      </c>
      <c r="T484" s="6">
        <v>6539.0</v>
      </c>
    </row>
    <row r="485" ht="56.25" customHeight="1">
      <c r="A485" s="5" t="s">
        <v>7262</v>
      </c>
      <c r="B485" s="6" t="str">
        <f>image("https://storage.googleapis.com/acdb/photos/BromideNpcNmlHrs00_Remake_3_0.png")</f>
        <v/>
      </c>
      <c r="C485" s="5" t="s">
        <v>57</v>
      </c>
      <c r="D485" s="5" t="s">
        <v>1327</v>
      </c>
      <c r="E485" s="5" t="s">
        <v>34</v>
      </c>
      <c r="F485" s="5" t="s">
        <v>34</v>
      </c>
      <c r="G485" s="5" t="s">
        <v>36</v>
      </c>
      <c r="H485" s="5" t="s">
        <v>35</v>
      </c>
      <c r="I485" s="6">
        <v>1.0</v>
      </c>
      <c r="J485" s="6" t="s">
        <v>37</v>
      </c>
      <c r="K485" s="6">
        <v>10.0</v>
      </c>
      <c r="L485" s="5"/>
      <c r="M485" s="5"/>
      <c r="N485" s="6" t="s">
        <v>40</v>
      </c>
      <c r="O485" s="5" t="s">
        <v>5363</v>
      </c>
      <c r="P485" s="6" t="s">
        <v>42</v>
      </c>
      <c r="Q485" s="5" t="s">
        <v>1237</v>
      </c>
      <c r="R485" s="5" t="s">
        <v>7278</v>
      </c>
      <c r="S485" s="6" t="s">
        <v>71</v>
      </c>
      <c r="T485" s="6">
        <v>6539.0</v>
      </c>
    </row>
    <row r="486" ht="56.25" customHeight="1">
      <c r="A486" s="5" t="s">
        <v>7262</v>
      </c>
      <c r="B486" s="6" t="str">
        <f>image("https://storage.googleapis.com/acdb/photos/BromideNpcNmlHrs00_Remake_4_0.png")</f>
        <v/>
      </c>
      <c r="C486" s="5" t="s">
        <v>1167</v>
      </c>
      <c r="D486" s="5" t="s">
        <v>1327</v>
      </c>
      <c r="E486" s="5" t="s">
        <v>34</v>
      </c>
      <c r="F486" s="5" t="s">
        <v>34</v>
      </c>
      <c r="G486" s="5" t="s">
        <v>36</v>
      </c>
      <c r="H486" s="5" t="s">
        <v>35</v>
      </c>
      <c r="I486" s="6">
        <v>1.0</v>
      </c>
      <c r="J486" s="6" t="s">
        <v>37</v>
      </c>
      <c r="K486" s="6">
        <v>10.0</v>
      </c>
      <c r="L486" s="5"/>
      <c r="M486" s="5"/>
      <c r="N486" s="6" t="s">
        <v>40</v>
      </c>
      <c r="O486" s="5" t="s">
        <v>5363</v>
      </c>
      <c r="P486" s="6" t="s">
        <v>42</v>
      </c>
      <c r="Q486" s="5" t="s">
        <v>1237</v>
      </c>
      <c r="R486" s="5" t="s">
        <v>7282</v>
      </c>
      <c r="S486" s="6" t="s">
        <v>75</v>
      </c>
      <c r="T486" s="6">
        <v>6539.0</v>
      </c>
    </row>
    <row r="487" ht="56.25" customHeight="1">
      <c r="A487" s="5" t="s">
        <v>7262</v>
      </c>
      <c r="B487" s="6" t="str">
        <f>image("https://storage.googleapis.com/acdb/photos/BromideNpcNmlHrs00_Remake_5_0.png")</f>
        <v/>
      </c>
      <c r="C487" s="5" t="s">
        <v>58</v>
      </c>
      <c r="D487" s="5" t="s">
        <v>1327</v>
      </c>
      <c r="E487" s="5" t="s">
        <v>34</v>
      </c>
      <c r="F487" s="5" t="s">
        <v>34</v>
      </c>
      <c r="G487" s="5" t="s">
        <v>36</v>
      </c>
      <c r="H487" s="5" t="s">
        <v>35</v>
      </c>
      <c r="I487" s="6">
        <v>1.0</v>
      </c>
      <c r="J487" s="6" t="s">
        <v>37</v>
      </c>
      <c r="K487" s="6">
        <v>10.0</v>
      </c>
      <c r="L487" s="5"/>
      <c r="M487" s="5"/>
      <c r="N487" s="6" t="s">
        <v>40</v>
      </c>
      <c r="O487" s="5" t="s">
        <v>5363</v>
      </c>
      <c r="P487" s="6" t="s">
        <v>42</v>
      </c>
      <c r="Q487" s="5" t="s">
        <v>1237</v>
      </c>
      <c r="R487" s="5" t="s">
        <v>7286</v>
      </c>
      <c r="S487" s="6" t="s">
        <v>79</v>
      </c>
      <c r="T487" s="6">
        <v>6539.0</v>
      </c>
    </row>
    <row r="488" ht="56.25" customHeight="1">
      <c r="A488" s="5" t="s">
        <v>7262</v>
      </c>
      <c r="B488" s="6" t="str">
        <f>image("https://storage.googleapis.com/acdb/photos/BromideNpcNmlHrs00_Remake_6_0.png")</f>
        <v/>
      </c>
      <c r="C488" s="5" t="s">
        <v>146</v>
      </c>
      <c r="D488" s="5" t="s">
        <v>1327</v>
      </c>
      <c r="E488" s="5" t="s">
        <v>34</v>
      </c>
      <c r="F488" s="5" t="s">
        <v>34</v>
      </c>
      <c r="G488" s="5" t="s">
        <v>36</v>
      </c>
      <c r="H488" s="5" t="s">
        <v>35</v>
      </c>
      <c r="I488" s="6">
        <v>1.0</v>
      </c>
      <c r="J488" s="6" t="s">
        <v>37</v>
      </c>
      <c r="K488" s="6">
        <v>10.0</v>
      </c>
      <c r="L488" s="5"/>
      <c r="M488" s="5"/>
      <c r="N488" s="6" t="s">
        <v>40</v>
      </c>
      <c r="O488" s="5" t="s">
        <v>5363</v>
      </c>
      <c r="P488" s="6" t="s">
        <v>42</v>
      </c>
      <c r="Q488" s="5" t="s">
        <v>1237</v>
      </c>
      <c r="R488" s="5" t="s">
        <v>7290</v>
      </c>
      <c r="S488" s="6" t="s">
        <v>86</v>
      </c>
      <c r="T488" s="6">
        <v>6539.0</v>
      </c>
    </row>
    <row r="489" ht="56.25" customHeight="1">
      <c r="A489" s="5" t="s">
        <v>7262</v>
      </c>
      <c r="B489" s="6" t="str">
        <f>image("https://storage.googleapis.com/acdb/photos/BromideNpcNmlHrs00_Remake_7_0.png")</f>
        <v/>
      </c>
      <c r="C489" s="5" t="s">
        <v>151</v>
      </c>
      <c r="D489" s="5" t="s">
        <v>1327</v>
      </c>
      <c r="E489" s="5" t="s">
        <v>34</v>
      </c>
      <c r="F489" s="5" t="s">
        <v>34</v>
      </c>
      <c r="G489" s="5" t="s">
        <v>36</v>
      </c>
      <c r="H489" s="5" t="s">
        <v>35</v>
      </c>
      <c r="I489" s="6">
        <v>1.0</v>
      </c>
      <c r="J489" s="6" t="s">
        <v>37</v>
      </c>
      <c r="K489" s="6">
        <v>10.0</v>
      </c>
      <c r="L489" s="5"/>
      <c r="M489" s="5"/>
      <c r="N489" s="6" t="s">
        <v>40</v>
      </c>
      <c r="O489" s="5" t="s">
        <v>5363</v>
      </c>
      <c r="P489" s="6" t="s">
        <v>42</v>
      </c>
      <c r="Q489" s="5" t="s">
        <v>1237</v>
      </c>
      <c r="R489" s="5" t="s">
        <v>7293</v>
      </c>
      <c r="S489" s="6" t="s">
        <v>208</v>
      </c>
      <c r="T489" s="6">
        <v>6539.0</v>
      </c>
    </row>
    <row r="490" ht="56.25" customHeight="1">
      <c r="A490" s="5" t="s">
        <v>7294</v>
      </c>
      <c r="B490" s="6" t="str">
        <f>image("https://storage.googleapis.com/acdb/photos/BromideNpcNmlLon00_Remake_0_0.png")</f>
        <v/>
      </c>
      <c r="C490" s="5" t="s">
        <v>366</v>
      </c>
      <c r="D490" s="5" t="s">
        <v>1327</v>
      </c>
      <c r="E490" s="5" t="s">
        <v>34</v>
      </c>
      <c r="F490" s="5" t="s">
        <v>34</v>
      </c>
      <c r="G490" s="5" t="s">
        <v>36</v>
      </c>
      <c r="H490" s="5" t="s">
        <v>35</v>
      </c>
      <c r="I490" s="6">
        <v>1.0</v>
      </c>
      <c r="J490" s="6" t="s">
        <v>37</v>
      </c>
      <c r="K490" s="6">
        <v>10.0</v>
      </c>
      <c r="L490" s="5"/>
      <c r="M490" s="5"/>
      <c r="N490" s="6" t="s">
        <v>40</v>
      </c>
      <c r="O490" s="5" t="s">
        <v>5363</v>
      </c>
      <c r="P490" s="6" t="s">
        <v>42</v>
      </c>
      <c r="Q490" s="5" t="s">
        <v>1237</v>
      </c>
      <c r="R490" s="5" t="s">
        <v>7298</v>
      </c>
      <c r="S490" s="6" t="s">
        <v>50</v>
      </c>
      <c r="T490" s="6">
        <v>6573.0</v>
      </c>
    </row>
    <row r="491" ht="56.25" customHeight="1">
      <c r="A491" s="5" t="s">
        <v>7294</v>
      </c>
      <c r="B491" s="6" t="str">
        <f>image("https://storage.googleapis.com/acdb/photos/BromideNpcNmlLon00_Remake_1_0.png")</f>
        <v/>
      </c>
      <c r="C491" s="5" t="s">
        <v>1132</v>
      </c>
      <c r="D491" s="5" t="s">
        <v>1327</v>
      </c>
      <c r="E491" s="5" t="s">
        <v>34</v>
      </c>
      <c r="F491" s="5" t="s">
        <v>34</v>
      </c>
      <c r="G491" s="5" t="s">
        <v>36</v>
      </c>
      <c r="H491" s="5" t="s">
        <v>35</v>
      </c>
      <c r="I491" s="6">
        <v>1.0</v>
      </c>
      <c r="J491" s="6" t="s">
        <v>37</v>
      </c>
      <c r="K491" s="6">
        <v>10.0</v>
      </c>
      <c r="L491" s="5"/>
      <c r="M491" s="5"/>
      <c r="N491" s="6" t="s">
        <v>40</v>
      </c>
      <c r="O491" s="5" t="s">
        <v>5363</v>
      </c>
      <c r="P491" s="6" t="s">
        <v>42</v>
      </c>
      <c r="Q491" s="5" t="s">
        <v>1237</v>
      </c>
      <c r="R491" s="5" t="s">
        <v>7302</v>
      </c>
      <c r="S491" s="6" t="s">
        <v>56</v>
      </c>
      <c r="T491" s="6">
        <v>6573.0</v>
      </c>
    </row>
    <row r="492" ht="56.25" customHeight="1">
      <c r="A492" s="5" t="s">
        <v>7294</v>
      </c>
      <c r="B492" s="6" t="str">
        <f>image("https://storage.googleapis.com/acdb/photos/BromideNpcNmlLon00_Remake_2_0.png")</f>
        <v/>
      </c>
      <c r="C492" s="5" t="s">
        <v>688</v>
      </c>
      <c r="D492" s="5" t="s">
        <v>1327</v>
      </c>
      <c r="E492" s="5" t="s">
        <v>34</v>
      </c>
      <c r="F492" s="5" t="s">
        <v>34</v>
      </c>
      <c r="G492" s="5" t="s">
        <v>36</v>
      </c>
      <c r="H492" s="5" t="s">
        <v>35</v>
      </c>
      <c r="I492" s="6">
        <v>1.0</v>
      </c>
      <c r="J492" s="6" t="s">
        <v>37</v>
      </c>
      <c r="K492" s="6">
        <v>10.0</v>
      </c>
      <c r="L492" s="5"/>
      <c r="M492" s="5"/>
      <c r="N492" s="6" t="s">
        <v>40</v>
      </c>
      <c r="O492" s="5" t="s">
        <v>5363</v>
      </c>
      <c r="P492" s="6" t="s">
        <v>42</v>
      </c>
      <c r="Q492" s="5" t="s">
        <v>1237</v>
      </c>
      <c r="R492" s="5" t="s">
        <v>7304</v>
      </c>
      <c r="S492" s="6" t="s">
        <v>67</v>
      </c>
      <c r="T492" s="6">
        <v>6573.0</v>
      </c>
    </row>
    <row r="493" ht="56.25" customHeight="1">
      <c r="A493" s="5" t="s">
        <v>7294</v>
      </c>
      <c r="B493" s="6" t="str">
        <f>image("https://storage.googleapis.com/acdb/photos/BromideNpcNmlLon00_Remake_3_0.png")</f>
        <v/>
      </c>
      <c r="C493" s="5" t="s">
        <v>57</v>
      </c>
      <c r="D493" s="5" t="s">
        <v>1327</v>
      </c>
      <c r="E493" s="5" t="s">
        <v>34</v>
      </c>
      <c r="F493" s="5" t="s">
        <v>34</v>
      </c>
      <c r="G493" s="5" t="s">
        <v>36</v>
      </c>
      <c r="H493" s="5" t="s">
        <v>35</v>
      </c>
      <c r="I493" s="6">
        <v>1.0</v>
      </c>
      <c r="J493" s="6" t="s">
        <v>37</v>
      </c>
      <c r="K493" s="6">
        <v>10.0</v>
      </c>
      <c r="L493" s="5"/>
      <c r="M493" s="5"/>
      <c r="N493" s="6" t="s">
        <v>40</v>
      </c>
      <c r="O493" s="5" t="s">
        <v>5363</v>
      </c>
      <c r="P493" s="6" t="s">
        <v>42</v>
      </c>
      <c r="Q493" s="5" t="s">
        <v>1237</v>
      </c>
      <c r="R493" s="5" t="s">
        <v>7308</v>
      </c>
      <c r="S493" s="6" t="s">
        <v>71</v>
      </c>
      <c r="T493" s="6">
        <v>6573.0</v>
      </c>
    </row>
    <row r="494" ht="56.25" customHeight="1">
      <c r="A494" s="5" t="s">
        <v>7294</v>
      </c>
      <c r="B494" s="6" t="str">
        <f>image("https://storage.googleapis.com/acdb/photos/BromideNpcNmlLon00_Remake_4_0.png")</f>
        <v/>
      </c>
      <c r="C494" s="5" t="s">
        <v>1167</v>
      </c>
      <c r="D494" s="5" t="s">
        <v>1327</v>
      </c>
      <c r="E494" s="5" t="s">
        <v>34</v>
      </c>
      <c r="F494" s="5" t="s">
        <v>34</v>
      </c>
      <c r="G494" s="5" t="s">
        <v>36</v>
      </c>
      <c r="H494" s="5" t="s">
        <v>35</v>
      </c>
      <c r="I494" s="6">
        <v>1.0</v>
      </c>
      <c r="J494" s="6" t="s">
        <v>37</v>
      </c>
      <c r="K494" s="6">
        <v>10.0</v>
      </c>
      <c r="L494" s="5"/>
      <c r="M494" s="5"/>
      <c r="N494" s="6" t="s">
        <v>40</v>
      </c>
      <c r="O494" s="5" t="s">
        <v>5363</v>
      </c>
      <c r="P494" s="6" t="s">
        <v>42</v>
      </c>
      <c r="Q494" s="5" t="s">
        <v>1237</v>
      </c>
      <c r="R494" s="5" t="s">
        <v>7312</v>
      </c>
      <c r="S494" s="6" t="s">
        <v>75</v>
      </c>
      <c r="T494" s="6">
        <v>6573.0</v>
      </c>
    </row>
    <row r="495" ht="56.25" customHeight="1">
      <c r="A495" s="5" t="s">
        <v>7294</v>
      </c>
      <c r="B495" s="6" t="str">
        <f>image("https://storage.googleapis.com/acdb/photos/BromideNpcNmlLon00_Remake_5_0.png")</f>
        <v/>
      </c>
      <c r="C495" s="5" t="s">
        <v>58</v>
      </c>
      <c r="D495" s="5" t="s">
        <v>1327</v>
      </c>
      <c r="E495" s="5" t="s">
        <v>34</v>
      </c>
      <c r="F495" s="5" t="s">
        <v>34</v>
      </c>
      <c r="G495" s="5" t="s">
        <v>36</v>
      </c>
      <c r="H495" s="5" t="s">
        <v>35</v>
      </c>
      <c r="I495" s="6">
        <v>1.0</v>
      </c>
      <c r="J495" s="6" t="s">
        <v>37</v>
      </c>
      <c r="K495" s="6">
        <v>10.0</v>
      </c>
      <c r="L495" s="5"/>
      <c r="M495" s="5"/>
      <c r="N495" s="6" t="s">
        <v>40</v>
      </c>
      <c r="O495" s="5" t="s">
        <v>5363</v>
      </c>
      <c r="P495" s="6" t="s">
        <v>42</v>
      </c>
      <c r="Q495" s="5" t="s">
        <v>1237</v>
      </c>
      <c r="R495" s="5" t="s">
        <v>7316</v>
      </c>
      <c r="S495" s="6" t="s">
        <v>79</v>
      </c>
      <c r="T495" s="6">
        <v>6573.0</v>
      </c>
    </row>
    <row r="496" ht="56.25" customHeight="1">
      <c r="A496" s="5" t="s">
        <v>7294</v>
      </c>
      <c r="B496" s="6" t="str">
        <f>image("https://storage.googleapis.com/acdb/photos/BromideNpcNmlLon00_Remake_6_0.png")</f>
        <v/>
      </c>
      <c r="C496" s="5" t="s">
        <v>146</v>
      </c>
      <c r="D496" s="5" t="s">
        <v>1327</v>
      </c>
      <c r="E496" s="5" t="s">
        <v>34</v>
      </c>
      <c r="F496" s="5" t="s">
        <v>34</v>
      </c>
      <c r="G496" s="5" t="s">
        <v>36</v>
      </c>
      <c r="H496" s="5" t="s">
        <v>35</v>
      </c>
      <c r="I496" s="6">
        <v>1.0</v>
      </c>
      <c r="J496" s="6" t="s">
        <v>37</v>
      </c>
      <c r="K496" s="6">
        <v>10.0</v>
      </c>
      <c r="L496" s="5"/>
      <c r="M496" s="5"/>
      <c r="N496" s="6" t="s">
        <v>40</v>
      </c>
      <c r="O496" s="5" t="s">
        <v>5363</v>
      </c>
      <c r="P496" s="6" t="s">
        <v>42</v>
      </c>
      <c r="Q496" s="5" t="s">
        <v>1237</v>
      </c>
      <c r="R496" s="5" t="s">
        <v>7320</v>
      </c>
      <c r="S496" s="6" t="s">
        <v>86</v>
      </c>
      <c r="T496" s="6">
        <v>6573.0</v>
      </c>
    </row>
    <row r="497" ht="56.25" customHeight="1">
      <c r="A497" s="5" t="s">
        <v>7294</v>
      </c>
      <c r="B497" s="6" t="str">
        <f>image("https://storage.googleapis.com/acdb/photos/BromideNpcNmlLon00_Remake_7_0.png")</f>
        <v/>
      </c>
      <c r="C497" s="5" t="s">
        <v>151</v>
      </c>
      <c r="D497" s="5" t="s">
        <v>1327</v>
      </c>
      <c r="E497" s="5" t="s">
        <v>34</v>
      </c>
      <c r="F497" s="5" t="s">
        <v>34</v>
      </c>
      <c r="G497" s="5" t="s">
        <v>36</v>
      </c>
      <c r="H497" s="5" t="s">
        <v>35</v>
      </c>
      <c r="I497" s="6">
        <v>1.0</v>
      </c>
      <c r="J497" s="6" t="s">
        <v>37</v>
      </c>
      <c r="K497" s="6">
        <v>10.0</v>
      </c>
      <c r="L497" s="5"/>
      <c r="M497" s="5"/>
      <c r="N497" s="6" t="s">
        <v>40</v>
      </c>
      <c r="O497" s="5" t="s">
        <v>5363</v>
      </c>
      <c r="P497" s="6" t="s">
        <v>42</v>
      </c>
      <c r="Q497" s="5" t="s">
        <v>1237</v>
      </c>
      <c r="R497" s="5" t="s">
        <v>7324</v>
      </c>
      <c r="S497" s="6" t="s">
        <v>208</v>
      </c>
      <c r="T497" s="6">
        <v>6573.0</v>
      </c>
    </row>
    <row r="498" ht="56.25" customHeight="1">
      <c r="A498" s="5" t="s">
        <v>7325</v>
      </c>
      <c r="B498" s="6" t="str">
        <f>image("https://storage.googleapis.com/acdb/photos/BromideNpcNmlRbt00_Remake_0_0.png")</f>
        <v/>
      </c>
      <c r="C498" s="5" t="s">
        <v>366</v>
      </c>
      <c r="D498" s="5" t="s">
        <v>1327</v>
      </c>
      <c r="E498" s="5" t="s">
        <v>34</v>
      </c>
      <c r="F498" s="5" t="s">
        <v>34</v>
      </c>
      <c r="G498" s="5" t="s">
        <v>36</v>
      </c>
      <c r="H498" s="5" t="s">
        <v>35</v>
      </c>
      <c r="I498" s="6">
        <v>1.0</v>
      </c>
      <c r="J498" s="6" t="s">
        <v>37</v>
      </c>
      <c r="K498" s="6">
        <v>10.0</v>
      </c>
      <c r="L498" s="5"/>
      <c r="M498" s="5"/>
      <c r="N498" s="6" t="s">
        <v>40</v>
      </c>
      <c r="O498" s="5" t="s">
        <v>5363</v>
      </c>
      <c r="P498" s="6" t="s">
        <v>42</v>
      </c>
      <c r="Q498" s="5" t="s">
        <v>1237</v>
      </c>
      <c r="R498" s="5" t="s">
        <v>7328</v>
      </c>
      <c r="S498" s="6" t="s">
        <v>50</v>
      </c>
      <c r="T498" s="6">
        <v>6662.0</v>
      </c>
    </row>
    <row r="499" ht="56.25" customHeight="1">
      <c r="A499" s="5" t="s">
        <v>7325</v>
      </c>
      <c r="B499" s="6" t="str">
        <f>image("https://storage.googleapis.com/acdb/photos/BromideNpcNmlRbt00_Remake_1_0.png")</f>
        <v/>
      </c>
      <c r="C499" s="5" t="s">
        <v>1132</v>
      </c>
      <c r="D499" s="5" t="s">
        <v>1327</v>
      </c>
      <c r="E499" s="5" t="s">
        <v>34</v>
      </c>
      <c r="F499" s="5" t="s">
        <v>34</v>
      </c>
      <c r="G499" s="5" t="s">
        <v>36</v>
      </c>
      <c r="H499" s="5" t="s">
        <v>35</v>
      </c>
      <c r="I499" s="6">
        <v>1.0</v>
      </c>
      <c r="J499" s="6" t="s">
        <v>37</v>
      </c>
      <c r="K499" s="6">
        <v>10.0</v>
      </c>
      <c r="L499" s="5"/>
      <c r="M499" s="5"/>
      <c r="N499" s="6" t="s">
        <v>40</v>
      </c>
      <c r="O499" s="5" t="s">
        <v>5363</v>
      </c>
      <c r="P499" s="6" t="s">
        <v>42</v>
      </c>
      <c r="Q499" s="5" t="s">
        <v>1237</v>
      </c>
      <c r="R499" s="5" t="s">
        <v>7334</v>
      </c>
      <c r="S499" s="6" t="s">
        <v>56</v>
      </c>
      <c r="T499" s="6">
        <v>6662.0</v>
      </c>
    </row>
    <row r="500" ht="56.25" customHeight="1">
      <c r="A500" s="5" t="s">
        <v>7325</v>
      </c>
      <c r="B500" s="6" t="str">
        <f>image("https://storage.googleapis.com/acdb/photos/BromideNpcNmlRbt00_Remake_2_0.png")</f>
        <v/>
      </c>
      <c r="C500" s="5" t="s">
        <v>688</v>
      </c>
      <c r="D500" s="5" t="s">
        <v>1327</v>
      </c>
      <c r="E500" s="5" t="s">
        <v>34</v>
      </c>
      <c r="F500" s="5" t="s">
        <v>34</v>
      </c>
      <c r="G500" s="5" t="s">
        <v>36</v>
      </c>
      <c r="H500" s="5" t="s">
        <v>35</v>
      </c>
      <c r="I500" s="6">
        <v>1.0</v>
      </c>
      <c r="J500" s="6" t="s">
        <v>37</v>
      </c>
      <c r="K500" s="6">
        <v>10.0</v>
      </c>
      <c r="L500" s="5"/>
      <c r="M500" s="5"/>
      <c r="N500" s="6" t="s">
        <v>40</v>
      </c>
      <c r="O500" s="5" t="s">
        <v>5363</v>
      </c>
      <c r="P500" s="6" t="s">
        <v>42</v>
      </c>
      <c r="Q500" s="5" t="s">
        <v>1237</v>
      </c>
      <c r="R500" s="5" t="s">
        <v>7337</v>
      </c>
      <c r="S500" s="6" t="s">
        <v>67</v>
      </c>
      <c r="T500" s="6">
        <v>6662.0</v>
      </c>
    </row>
    <row r="501" ht="56.25" customHeight="1">
      <c r="A501" s="5" t="s">
        <v>7325</v>
      </c>
      <c r="B501" s="6" t="str">
        <f>image("https://storage.googleapis.com/acdb/photos/BromideNpcNmlRbt00_Remake_3_0.png")</f>
        <v/>
      </c>
      <c r="C501" s="5" t="s">
        <v>57</v>
      </c>
      <c r="D501" s="5" t="s">
        <v>1327</v>
      </c>
      <c r="E501" s="5" t="s">
        <v>34</v>
      </c>
      <c r="F501" s="5" t="s">
        <v>34</v>
      </c>
      <c r="G501" s="5" t="s">
        <v>36</v>
      </c>
      <c r="H501" s="5" t="s">
        <v>35</v>
      </c>
      <c r="I501" s="6">
        <v>1.0</v>
      </c>
      <c r="J501" s="6" t="s">
        <v>37</v>
      </c>
      <c r="K501" s="6">
        <v>10.0</v>
      </c>
      <c r="L501" s="5"/>
      <c r="M501" s="5"/>
      <c r="N501" s="6" t="s">
        <v>40</v>
      </c>
      <c r="O501" s="5" t="s">
        <v>5363</v>
      </c>
      <c r="P501" s="6" t="s">
        <v>42</v>
      </c>
      <c r="Q501" s="5" t="s">
        <v>1237</v>
      </c>
      <c r="R501" s="5" t="s">
        <v>7341</v>
      </c>
      <c r="S501" s="6" t="s">
        <v>71</v>
      </c>
      <c r="T501" s="6">
        <v>6662.0</v>
      </c>
    </row>
    <row r="502" ht="56.25" customHeight="1">
      <c r="A502" s="5" t="s">
        <v>7325</v>
      </c>
      <c r="B502" s="6" t="str">
        <f>image("https://storage.googleapis.com/acdb/photos/BromideNpcNmlRbt00_Remake_4_0.png")</f>
        <v/>
      </c>
      <c r="C502" s="5" t="s">
        <v>1167</v>
      </c>
      <c r="D502" s="5" t="s">
        <v>1327</v>
      </c>
      <c r="E502" s="5" t="s">
        <v>34</v>
      </c>
      <c r="F502" s="5" t="s">
        <v>34</v>
      </c>
      <c r="G502" s="5" t="s">
        <v>36</v>
      </c>
      <c r="H502" s="5" t="s">
        <v>35</v>
      </c>
      <c r="I502" s="6">
        <v>1.0</v>
      </c>
      <c r="J502" s="6" t="s">
        <v>37</v>
      </c>
      <c r="K502" s="6">
        <v>10.0</v>
      </c>
      <c r="L502" s="5"/>
      <c r="M502" s="5"/>
      <c r="N502" s="6" t="s">
        <v>40</v>
      </c>
      <c r="O502" s="5" t="s">
        <v>5363</v>
      </c>
      <c r="P502" s="6" t="s">
        <v>42</v>
      </c>
      <c r="Q502" s="5" t="s">
        <v>1237</v>
      </c>
      <c r="R502" s="5" t="s">
        <v>7344</v>
      </c>
      <c r="S502" s="6" t="s">
        <v>75</v>
      </c>
      <c r="T502" s="6">
        <v>6662.0</v>
      </c>
    </row>
    <row r="503" ht="56.25" customHeight="1">
      <c r="A503" s="5" t="s">
        <v>7325</v>
      </c>
      <c r="B503" s="6" t="str">
        <f>image("https://storage.googleapis.com/acdb/photos/BromideNpcNmlRbt00_Remake_5_0.png")</f>
        <v/>
      </c>
      <c r="C503" s="5" t="s">
        <v>58</v>
      </c>
      <c r="D503" s="5" t="s">
        <v>1327</v>
      </c>
      <c r="E503" s="5" t="s">
        <v>34</v>
      </c>
      <c r="F503" s="5" t="s">
        <v>34</v>
      </c>
      <c r="G503" s="5" t="s">
        <v>36</v>
      </c>
      <c r="H503" s="5" t="s">
        <v>35</v>
      </c>
      <c r="I503" s="6">
        <v>1.0</v>
      </c>
      <c r="J503" s="6" t="s">
        <v>37</v>
      </c>
      <c r="K503" s="6">
        <v>10.0</v>
      </c>
      <c r="L503" s="5"/>
      <c r="M503" s="5"/>
      <c r="N503" s="6" t="s">
        <v>40</v>
      </c>
      <c r="O503" s="5" t="s">
        <v>5363</v>
      </c>
      <c r="P503" s="6" t="s">
        <v>42</v>
      </c>
      <c r="Q503" s="5" t="s">
        <v>1237</v>
      </c>
      <c r="R503" s="5" t="s">
        <v>7348</v>
      </c>
      <c r="S503" s="6" t="s">
        <v>79</v>
      </c>
      <c r="T503" s="6">
        <v>6662.0</v>
      </c>
    </row>
    <row r="504" ht="56.25" customHeight="1">
      <c r="A504" s="5" t="s">
        <v>7325</v>
      </c>
      <c r="B504" s="6" t="str">
        <f>image("https://storage.googleapis.com/acdb/photos/BromideNpcNmlRbt00_Remake_6_0.png")</f>
        <v/>
      </c>
      <c r="C504" s="5" t="s">
        <v>146</v>
      </c>
      <c r="D504" s="5" t="s">
        <v>1327</v>
      </c>
      <c r="E504" s="5" t="s">
        <v>34</v>
      </c>
      <c r="F504" s="5" t="s">
        <v>34</v>
      </c>
      <c r="G504" s="5" t="s">
        <v>36</v>
      </c>
      <c r="H504" s="5" t="s">
        <v>35</v>
      </c>
      <c r="I504" s="6">
        <v>1.0</v>
      </c>
      <c r="J504" s="6" t="s">
        <v>37</v>
      </c>
      <c r="K504" s="6">
        <v>10.0</v>
      </c>
      <c r="L504" s="5"/>
      <c r="M504" s="5"/>
      <c r="N504" s="6" t="s">
        <v>40</v>
      </c>
      <c r="O504" s="5" t="s">
        <v>5363</v>
      </c>
      <c r="P504" s="6" t="s">
        <v>42</v>
      </c>
      <c r="Q504" s="5" t="s">
        <v>1237</v>
      </c>
      <c r="R504" s="5" t="s">
        <v>7351</v>
      </c>
      <c r="S504" s="6" t="s">
        <v>86</v>
      </c>
      <c r="T504" s="6">
        <v>6662.0</v>
      </c>
    </row>
    <row r="505" ht="56.25" customHeight="1">
      <c r="A505" s="5" t="s">
        <v>7325</v>
      </c>
      <c r="B505" s="6" t="str">
        <f>image("https://storage.googleapis.com/acdb/photos/BromideNpcNmlRbt00_Remake_7_0.png")</f>
        <v/>
      </c>
      <c r="C505" s="5" t="s">
        <v>151</v>
      </c>
      <c r="D505" s="5" t="s">
        <v>1327</v>
      </c>
      <c r="E505" s="5" t="s">
        <v>34</v>
      </c>
      <c r="F505" s="5" t="s">
        <v>34</v>
      </c>
      <c r="G505" s="5" t="s">
        <v>36</v>
      </c>
      <c r="H505" s="5" t="s">
        <v>35</v>
      </c>
      <c r="I505" s="6">
        <v>1.0</v>
      </c>
      <c r="J505" s="6" t="s">
        <v>37</v>
      </c>
      <c r="K505" s="6">
        <v>10.0</v>
      </c>
      <c r="L505" s="5"/>
      <c r="M505" s="5"/>
      <c r="N505" s="6" t="s">
        <v>40</v>
      </c>
      <c r="O505" s="5" t="s">
        <v>5363</v>
      </c>
      <c r="P505" s="6" t="s">
        <v>42</v>
      </c>
      <c r="Q505" s="5" t="s">
        <v>1237</v>
      </c>
      <c r="R505" s="5" t="s">
        <v>7353</v>
      </c>
      <c r="S505" s="6" t="s">
        <v>208</v>
      </c>
      <c r="T505" s="6">
        <v>6662.0</v>
      </c>
    </row>
    <row r="506" ht="56.25" customHeight="1">
      <c r="A506" s="5" t="s">
        <v>7355</v>
      </c>
      <c r="B506" s="6" t="str">
        <f>image("https://storage.googleapis.com/acdb/photos/BromideNpcNmlDog01_Remake_0_0.png")</f>
        <v/>
      </c>
      <c r="C506" s="5" t="s">
        <v>366</v>
      </c>
      <c r="D506" s="5" t="s">
        <v>1327</v>
      </c>
      <c r="E506" s="5" t="s">
        <v>34</v>
      </c>
      <c r="F506" s="5" t="s">
        <v>34</v>
      </c>
      <c r="G506" s="5" t="s">
        <v>36</v>
      </c>
      <c r="H506" s="5" t="s">
        <v>35</v>
      </c>
      <c r="I506" s="6">
        <v>1.0</v>
      </c>
      <c r="J506" s="6" t="s">
        <v>37</v>
      </c>
      <c r="K506" s="6">
        <v>10.0</v>
      </c>
      <c r="L506" s="5"/>
      <c r="M506" s="5"/>
      <c r="N506" s="6" t="s">
        <v>40</v>
      </c>
      <c r="O506" s="5" t="s">
        <v>5363</v>
      </c>
      <c r="P506" s="6" t="s">
        <v>42</v>
      </c>
      <c r="Q506" s="5" t="s">
        <v>1237</v>
      </c>
      <c r="R506" s="5" t="s">
        <v>7357</v>
      </c>
      <c r="S506" s="6" t="s">
        <v>50</v>
      </c>
      <c r="T506" s="6">
        <v>6437.0</v>
      </c>
    </row>
    <row r="507" ht="56.25" customHeight="1">
      <c r="A507" s="5" t="s">
        <v>7355</v>
      </c>
      <c r="B507" s="6" t="str">
        <f>image("https://storage.googleapis.com/acdb/photos/BromideNpcNmlDog01_Remake_1_0.png")</f>
        <v/>
      </c>
      <c r="C507" s="5" t="s">
        <v>1132</v>
      </c>
      <c r="D507" s="5" t="s">
        <v>1327</v>
      </c>
      <c r="E507" s="5" t="s">
        <v>34</v>
      </c>
      <c r="F507" s="5" t="s">
        <v>34</v>
      </c>
      <c r="G507" s="5" t="s">
        <v>36</v>
      </c>
      <c r="H507" s="5" t="s">
        <v>35</v>
      </c>
      <c r="I507" s="6">
        <v>1.0</v>
      </c>
      <c r="J507" s="6" t="s">
        <v>37</v>
      </c>
      <c r="K507" s="6">
        <v>10.0</v>
      </c>
      <c r="L507" s="5"/>
      <c r="M507" s="5"/>
      <c r="N507" s="6" t="s">
        <v>40</v>
      </c>
      <c r="O507" s="5" t="s">
        <v>5363</v>
      </c>
      <c r="P507" s="6" t="s">
        <v>42</v>
      </c>
      <c r="Q507" s="5" t="s">
        <v>1237</v>
      </c>
      <c r="R507" s="5" t="s">
        <v>7360</v>
      </c>
      <c r="S507" s="6" t="s">
        <v>56</v>
      </c>
      <c r="T507" s="6">
        <v>6437.0</v>
      </c>
    </row>
    <row r="508" ht="56.25" customHeight="1">
      <c r="A508" s="5" t="s">
        <v>7355</v>
      </c>
      <c r="B508" s="6" t="str">
        <f>image("https://storage.googleapis.com/acdb/photos/BromideNpcNmlDog01_Remake_2_0.png")</f>
        <v/>
      </c>
      <c r="C508" s="5" t="s">
        <v>688</v>
      </c>
      <c r="D508" s="5" t="s">
        <v>1327</v>
      </c>
      <c r="E508" s="5" t="s">
        <v>34</v>
      </c>
      <c r="F508" s="5" t="s">
        <v>34</v>
      </c>
      <c r="G508" s="5" t="s">
        <v>36</v>
      </c>
      <c r="H508" s="5" t="s">
        <v>35</v>
      </c>
      <c r="I508" s="6">
        <v>1.0</v>
      </c>
      <c r="J508" s="6" t="s">
        <v>37</v>
      </c>
      <c r="K508" s="6">
        <v>10.0</v>
      </c>
      <c r="L508" s="5"/>
      <c r="M508" s="5"/>
      <c r="N508" s="6" t="s">
        <v>40</v>
      </c>
      <c r="O508" s="5" t="s">
        <v>5363</v>
      </c>
      <c r="P508" s="6" t="s">
        <v>42</v>
      </c>
      <c r="Q508" s="5" t="s">
        <v>1237</v>
      </c>
      <c r="R508" s="5" t="s">
        <v>7364</v>
      </c>
      <c r="S508" s="6" t="s">
        <v>67</v>
      </c>
      <c r="T508" s="6">
        <v>6437.0</v>
      </c>
    </row>
    <row r="509" ht="56.25" customHeight="1">
      <c r="A509" s="5" t="s">
        <v>7355</v>
      </c>
      <c r="B509" s="6" t="str">
        <f>image("https://storage.googleapis.com/acdb/photos/BromideNpcNmlDog01_Remake_3_0.png")</f>
        <v/>
      </c>
      <c r="C509" s="5" t="s">
        <v>57</v>
      </c>
      <c r="D509" s="5" t="s">
        <v>1327</v>
      </c>
      <c r="E509" s="5" t="s">
        <v>34</v>
      </c>
      <c r="F509" s="5" t="s">
        <v>34</v>
      </c>
      <c r="G509" s="5" t="s">
        <v>36</v>
      </c>
      <c r="H509" s="5" t="s">
        <v>35</v>
      </c>
      <c r="I509" s="6">
        <v>1.0</v>
      </c>
      <c r="J509" s="6" t="s">
        <v>37</v>
      </c>
      <c r="K509" s="6">
        <v>10.0</v>
      </c>
      <c r="L509" s="5"/>
      <c r="M509" s="5"/>
      <c r="N509" s="6" t="s">
        <v>40</v>
      </c>
      <c r="O509" s="5" t="s">
        <v>5363</v>
      </c>
      <c r="P509" s="6" t="s">
        <v>42</v>
      </c>
      <c r="Q509" s="5" t="s">
        <v>1237</v>
      </c>
      <c r="R509" s="5" t="s">
        <v>7367</v>
      </c>
      <c r="S509" s="6" t="s">
        <v>71</v>
      </c>
      <c r="T509" s="6">
        <v>6437.0</v>
      </c>
    </row>
    <row r="510" ht="56.25" customHeight="1">
      <c r="A510" s="5" t="s">
        <v>7355</v>
      </c>
      <c r="B510" s="6" t="str">
        <f>image("https://storage.googleapis.com/acdb/photos/BromideNpcNmlDog01_Remake_4_0.png")</f>
        <v/>
      </c>
      <c r="C510" s="5" t="s">
        <v>1167</v>
      </c>
      <c r="D510" s="5" t="s">
        <v>1327</v>
      </c>
      <c r="E510" s="5" t="s">
        <v>34</v>
      </c>
      <c r="F510" s="5" t="s">
        <v>34</v>
      </c>
      <c r="G510" s="5" t="s">
        <v>36</v>
      </c>
      <c r="H510" s="5" t="s">
        <v>35</v>
      </c>
      <c r="I510" s="6">
        <v>1.0</v>
      </c>
      <c r="J510" s="6" t="s">
        <v>37</v>
      </c>
      <c r="K510" s="6">
        <v>10.0</v>
      </c>
      <c r="L510" s="5"/>
      <c r="M510" s="5"/>
      <c r="N510" s="6" t="s">
        <v>40</v>
      </c>
      <c r="O510" s="5" t="s">
        <v>5363</v>
      </c>
      <c r="P510" s="6" t="s">
        <v>42</v>
      </c>
      <c r="Q510" s="5" t="s">
        <v>1237</v>
      </c>
      <c r="R510" s="5" t="s">
        <v>7371</v>
      </c>
      <c r="S510" s="6" t="s">
        <v>75</v>
      </c>
      <c r="T510" s="6">
        <v>6437.0</v>
      </c>
    </row>
    <row r="511" ht="56.25" customHeight="1">
      <c r="A511" s="5" t="s">
        <v>7355</v>
      </c>
      <c r="B511" s="6" t="str">
        <f>image("https://storage.googleapis.com/acdb/photos/BromideNpcNmlDog01_Remake_5_0.png")</f>
        <v/>
      </c>
      <c r="C511" s="5" t="s">
        <v>58</v>
      </c>
      <c r="D511" s="5" t="s">
        <v>1327</v>
      </c>
      <c r="E511" s="5" t="s">
        <v>34</v>
      </c>
      <c r="F511" s="5" t="s">
        <v>34</v>
      </c>
      <c r="G511" s="5" t="s">
        <v>36</v>
      </c>
      <c r="H511" s="5" t="s">
        <v>35</v>
      </c>
      <c r="I511" s="6">
        <v>1.0</v>
      </c>
      <c r="J511" s="6" t="s">
        <v>37</v>
      </c>
      <c r="K511" s="6">
        <v>10.0</v>
      </c>
      <c r="L511" s="5"/>
      <c r="M511" s="5"/>
      <c r="N511" s="6" t="s">
        <v>40</v>
      </c>
      <c r="O511" s="5" t="s">
        <v>5363</v>
      </c>
      <c r="P511" s="6" t="s">
        <v>42</v>
      </c>
      <c r="Q511" s="5" t="s">
        <v>1237</v>
      </c>
      <c r="R511" s="5" t="s">
        <v>7374</v>
      </c>
      <c r="S511" s="6" t="s">
        <v>79</v>
      </c>
      <c r="T511" s="6">
        <v>6437.0</v>
      </c>
    </row>
    <row r="512" ht="56.25" customHeight="1">
      <c r="A512" s="5" t="s">
        <v>7355</v>
      </c>
      <c r="B512" s="6" t="str">
        <f>image("https://storage.googleapis.com/acdb/photos/BromideNpcNmlDog01_Remake_6_0.png")</f>
        <v/>
      </c>
      <c r="C512" s="5" t="s">
        <v>146</v>
      </c>
      <c r="D512" s="5" t="s">
        <v>1327</v>
      </c>
      <c r="E512" s="5" t="s">
        <v>34</v>
      </c>
      <c r="F512" s="5" t="s">
        <v>34</v>
      </c>
      <c r="G512" s="5" t="s">
        <v>36</v>
      </c>
      <c r="H512" s="5" t="s">
        <v>35</v>
      </c>
      <c r="I512" s="6">
        <v>1.0</v>
      </c>
      <c r="J512" s="6" t="s">
        <v>37</v>
      </c>
      <c r="K512" s="6">
        <v>10.0</v>
      </c>
      <c r="L512" s="5"/>
      <c r="M512" s="5"/>
      <c r="N512" s="6" t="s">
        <v>40</v>
      </c>
      <c r="O512" s="5" t="s">
        <v>5363</v>
      </c>
      <c r="P512" s="6" t="s">
        <v>42</v>
      </c>
      <c r="Q512" s="5" t="s">
        <v>1237</v>
      </c>
      <c r="R512" s="5" t="s">
        <v>7378</v>
      </c>
      <c r="S512" s="6" t="s">
        <v>86</v>
      </c>
      <c r="T512" s="6">
        <v>6437.0</v>
      </c>
    </row>
    <row r="513" ht="56.25" customHeight="1">
      <c r="A513" s="5" t="s">
        <v>7355</v>
      </c>
      <c r="B513" s="6" t="str">
        <f>image("https://storage.googleapis.com/acdb/photos/BromideNpcNmlDog01_Remake_7_0.png")</f>
        <v/>
      </c>
      <c r="C513" s="5" t="s">
        <v>151</v>
      </c>
      <c r="D513" s="5" t="s">
        <v>1327</v>
      </c>
      <c r="E513" s="5" t="s">
        <v>34</v>
      </c>
      <c r="F513" s="5" t="s">
        <v>34</v>
      </c>
      <c r="G513" s="5" t="s">
        <v>36</v>
      </c>
      <c r="H513" s="5" t="s">
        <v>35</v>
      </c>
      <c r="I513" s="6">
        <v>1.0</v>
      </c>
      <c r="J513" s="6" t="s">
        <v>37</v>
      </c>
      <c r="K513" s="6">
        <v>10.0</v>
      </c>
      <c r="L513" s="5"/>
      <c r="M513" s="5"/>
      <c r="N513" s="6" t="s">
        <v>40</v>
      </c>
      <c r="O513" s="5" t="s">
        <v>5363</v>
      </c>
      <c r="P513" s="6" t="s">
        <v>42</v>
      </c>
      <c r="Q513" s="5" t="s">
        <v>1237</v>
      </c>
      <c r="R513" s="5" t="s">
        <v>7382</v>
      </c>
      <c r="S513" s="6" t="s">
        <v>208</v>
      </c>
      <c r="T513" s="6">
        <v>6437.0</v>
      </c>
    </row>
    <row r="514" ht="56.25" customHeight="1">
      <c r="A514" s="5" t="s">
        <v>7384</v>
      </c>
      <c r="B514" s="6" t="str">
        <f>image("https://storage.googleapis.com/acdb/photos/BromideNpcNmlPbr03_Remake_0_0.png")</f>
        <v/>
      </c>
      <c r="C514" s="5" t="s">
        <v>366</v>
      </c>
      <c r="D514" s="5" t="s">
        <v>1327</v>
      </c>
      <c r="E514" s="5" t="s">
        <v>34</v>
      </c>
      <c r="F514" s="5" t="s">
        <v>34</v>
      </c>
      <c r="G514" s="5" t="s">
        <v>36</v>
      </c>
      <c r="H514" s="5" t="s">
        <v>35</v>
      </c>
      <c r="I514" s="6">
        <v>1.0</v>
      </c>
      <c r="J514" s="6" t="s">
        <v>37</v>
      </c>
      <c r="K514" s="6">
        <v>10.0</v>
      </c>
      <c r="L514" s="5"/>
      <c r="M514" s="5"/>
      <c r="N514" s="6" t="s">
        <v>40</v>
      </c>
      <c r="O514" s="5" t="s">
        <v>5363</v>
      </c>
      <c r="P514" s="6" t="s">
        <v>42</v>
      </c>
      <c r="Q514" s="5" t="s">
        <v>1237</v>
      </c>
      <c r="R514" s="5" t="s">
        <v>7389</v>
      </c>
      <c r="S514" s="6" t="s">
        <v>50</v>
      </c>
      <c r="T514" s="6">
        <v>6623.0</v>
      </c>
    </row>
    <row r="515" ht="56.25" customHeight="1">
      <c r="A515" s="5" t="s">
        <v>7384</v>
      </c>
      <c r="B515" s="6" t="str">
        <f>image("https://storage.googleapis.com/acdb/photos/BromideNpcNmlPbr03_Remake_1_0.png")</f>
        <v/>
      </c>
      <c r="C515" s="5" t="s">
        <v>1132</v>
      </c>
      <c r="D515" s="5" t="s">
        <v>1327</v>
      </c>
      <c r="E515" s="5" t="s">
        <v>34</v>
      </c>
      <c r="F515" s="5" t="s">
        <v>34</v>
      </c>
      <c r="G515" s="5" t="s">
        <v>36</v>
      </c>
      <c r="H515" s="5" t="s">
        <v>35</v>
      </c>
      <c r="I515" s="6">
        <v>1.0</v>
      </c>
      <c r="J515" s="6" t="s">
        <v>37</v>
      </c>
      <c r="K515" s="6">
        <v>10.0</v>
      </c>
      <c r="L515" s="5"/>
      <c r="M515" s="5"/>
      <c r="N515" s="6" t="s">
        <v>40</v>
      </c>
      <c r="O515" s="5" t="s">
        <v>5363</v>
      </c>
      <c r="P515" s="6" t="s">
        <v>42</v>
      </c>
      <c r="Q515" s="5" t="s">
        <v>1237</v>
      </c>
      <c r="R515" s="5" t="s">
        <v>7392</v>
      </c>
      <c r="S515" s="6" t="s">
        <v>56</v>
      </c>
      <c r="T515" s="6">
        <v>6623.0</v>
      </c>
    </row>
    <row r="516" ht="56.25" customHeight="1">
      <c r="A516" s="5" t="s">
        <v>7384</v>
      </c>
      <c r="B516" s="6" t="str">
        <f>image("https://storage.googleapis.com/acdb/photos/BromideNpcNmlPbr03_Remake_2_0.png")</f>
        <v/>
      </c>
      <c r="C516" s="5" t="s">
        <v>688</v>
      </c>
      <c r="D516" s="5" t="s">
        <v>1327</v>
      </c>
      <c r="E516" s="5" t="s">
        <v>34</v>
      </c>
      <c r="F516" s="5" t="s">
        <v>34</v>
      </c>
      <c r="G516" s="5" t="s">
        <v>36</v>
      </c>
      <c r="H516" s="5" t="s">
        <v>35</v>
      </c>
      <c r="I516" s="6">
        <v>1.0</v>
      </c>
      <c r="J516" s="6" t="s">
        <v>37</v>
      </c>
      <c r="K516" s="6">
        <v>10.0</v>
      </c>
      <c r="L516" s="5"/>
      <c r="M516" s="5"/>
      <c r="N516" s="6" t="s">
        <v>40</v>
      </c>
      <c r="O516" s="5" t="s">
        <v>5363</v>
      </c>
      <c r="P516" s="6" t="s">
        <v>42</v>
      </c>
      <c r="Q516" s="5" t="s">
        <v>1237</v>
      </c>
      <c r="R516" s="5" t="s">
        <v>7396</v>
      </c>
      <c r="S516" s="6" t="s">
        <v>67</v>
      </c>
      <c r="T516" s="6">
        <v>6623.0</v>
      </c>
    </row>
    <row r="517" ht="56.25" customHeight="1">
      <c r="A517" s="5" t="s">
        <v>7384</v>
      </c>
      <c r="B517" s="6" t="str">
        <f>image("https://storage.googleapis.com/acdb/photos/BromideNpcNmlPbr03_Remake_3_0.png")</f>
        <v/>
      </c>
      <c r="C517" s="5" t="s">
        <v>57</v>
      </c>
      <c r="D517" s="5" t="s">
        <v>1327</v>
      </c>
      <c r="E517" s="5" t="s">
        <v>34</v>
      </c>
      <c r="F517" s="5" t="s">
        <v>34</v>
      </c>
      <c r="G517" s="5" t="s">
        <v>36</v>
      </c>
      <c r="H517" s="5" t="s">
        <v>35</v>
      </c>
      <c r="I517" s="6">
        <v>1.0</v>
      </c>
      <c r="J517" s="6" t="s">
        <v>37</v>
      </c>
      <c r="K517" s="6">
        <v>10.0</v>
      </c>
      <c r="L517" s="5"/>
      <c r="M517" s="5"/>
      <c r="N517" s="6" t="s">
        <v>40</v>
      </c>
      <c r="O517" s="5" t="s">
        <v>5363</v>
      </c>
      <c r="P517" s="6" t="s">
        <v>42</v>
      </c>
      <c r="Q517" s="5" t="s">
        <v>1237</v>
      </c>
      <c r="R517" s="5" t="s">
        <v>7400</v>
      </c>
      <c r="S517" s="6" t="s">
        <v>71</v>
      </c>
      <c r="T517" s="6">
        <v>6623.0</v>
      </c>
    </row>
    <row r="518" ht="56.25" customHeight="1">
      <c r="A518" s="5" t="s">
        <v>7384</v>
      </c>
      <c r="B518" s="6" t="str">
        <f>image("https://storage.googleapis.com/acdb/photos/BromideNpcNmlPbr03_Remake_4_0.png")</f>
        <v/>
      </c>
      <c r="C518" s="5" t="s">
        <v>1167</v>
      </c>
      <c r="D518" s="5" t="s">
        <v>1327</v>
      </c>
      <c r="E518" s="5" t="s">
        <v>34</v>
      </c>
      <c r="F518" s="5" t="s">
        <v>34</v>
      </c>
      <c r="G518" s="5" t="s">
        <v>36</v>
      </c>
      <c r="H518" s="5" t="s">
        <v>35</v>
      </c>
      <c r="I518" s="6">
        <v>1.0</v>
      </c>
      <c r="J518" s="6" t="s">
        <v>37</v>
      </c>
      <c r="K518" s="6">
        <v>10.0</v>
      </c>
      <c r="L518" s="5"/>
      <c r="M518" s="5"/>
      <c r="N518" s="6" t="s">
        <v>40</v>
      </c>
      <c r="O518" s="5" t="s">
        <v>5363</v>
      </c>
      <c r="P518" s="6" t="s">
        <v>42</v>
      </c>
      <c r="Q518" s="5" t="s">
        <v>1237</v>
      </c>
      <c r="R518" s="5" t="s">
        <v>7405</v>
      </c>
      <c r="S518" s="6" t="s">
        <v>75</v>
      </c>
      <c r="T518" s="6">
        <v>6623.0</v>
      </c>
    </row>
    <row r="519" ht="56.25" customHeight="1">
      <c r="A519" s="5" t="s">
        <v>7384</v>
      </c>
      <c r="B519" s="6" t="str">
        <f>image("https://storage.googleapis.com/acdb/photos/BromideNpcNmlPbr03_Remake_5_0.png")</f>
        <v/>
      </c>
      <c r="C519" s="5" t="s">
        <v>58</v>
      </c>
      <c r="D519" s="5" t="s">
        <v>1327</v>
      </c>
      <c r="E519" s="5" t="s">
        <v>34</v>
      </c>
      <c r="F519" s="5" t="s">
        <v>34</v>
      </c>
      <c r="G519" s="5" t="s">
        <v>36</v>
      </c>
      <c r="H519" s="5" t="s">
        <v>35</v>
      </c>
      <c r="I519" s="6">
        <v>1.0</v>
      </c>
      <c r="J519" s="6" t="s">
        <v>37</v>
      </c>
      <c r="K519" s="6">
        <v>10.0</v>
      </c>
      <c r="L519" s="5"/>
      <c r="M519" s="5"/>
      <c r="N519" s="6" t="s">
        <v>40</v>
      </c>
      <c r="O519" s="5" t="s">
        <v>5363</v>
      </c>
      <c r="P519" s="6" t="s">
        <v>42</v>
      </c>
      <c r="Q519" s="5" t="s">
        <v>1237</v>
      </c>
      <c r="R519" s="5" t="s">
        <v>7408</v>
      </c>
      <c r="S519" s="6" t="s">
        <v>79</v>
      </c>
      <c r="T519" s="6">
        <v>6623.0</v>
      </c>
    </row>
    <row r="520" ht="56.25" customHeight="1">
      <c r="A520" s="5" t="s">
        <v>7384</v>
      </c>
      <c r="B520" s="6" t="str">
        <f>image("https://storage.googleapis.com/acdb/photos/BromideNpcNmlPbr03_Remake_6_0.png")</f>
        <v/>
      </c>
      <c r="C520" s="5" t="s">
        <v>146</v>
      </c>
      <c r="D520" s="5" t="s">
        <v>1327</v>
      </c>
      <c r="E520" s="5" t="s">
        <v>34</v>
      </c>
      <c r="F520" s="5" t="s">
        <v>34</v>
      </c>
      <c r="G520" s="5" t="s">
        <v>36</v>
      </c>
      <c r="H520" s="5" t="s">
        <v>35</v>
      </c>
      <c r="I520" s="6">
        <v>1.0</v>
      </c>
      <c r="J520" s="6" t="s">
        <v>37</v>
      </c>
      <c r="K520" s="6">
        <v>10.0</v>
      </c>
      <c r="L520" s="5"/>
      <c r="M520" s="5"/>
      <c r="N520" s="6" t="s">
        <v>40</v>
      </c>
      <c r="O520" s="5" t="s">
        <v>5363</v>
      </c>
      <c r="P520" s="6" t="s">
        <v>42</v>
      </c>
      <c r="Q520" s="5" t="s">
        <v>1237</v>
      </c>
      <c r="R520" s="5" t="s">
        <v>7413</v>
      </c>
      <c r="S520" s="6" t="s">
        <v>86</v>
      </c>
      <c r="T520" s="6">
        <v>6623.0</v>
      </c>
    </row>
    <row r="521" ht="56.25" customHeight="1">
      <c r="A521" s="5" t="s">
        <v>7384</v>
      </c>
      <c r="B521" s="6" t="str">
        <f>image("https://storage.googleapis.com/acdb/photos/BromideNpcNmlPbr03_Remake_7_0.png")</f>
        <v/>
      </c>
      <c r="C521" s="5" t="s">
        <v>151</v>
      </c>
      <c r="D521" s="5" t="s">
        <v>1327</v>
      </c>
      <c r="E521" s="5" t="s">
        <v>34</v>
      </c>
      <c r="F521" s="5" t="s">
        <v>34</v>
      </c>
      <c r="G521" s="5" t="s">
        <v>36</v>
      </c>
      <c r="H521" s="5" t="s">
        <v>35</v>
      </c>
      <c r="I521" s="6">
        <v>1.0</v>
      </c>
      <c r="J521" s="6" t="s">
        <v>37</v>
      </c>
      <c r="K521" s="6">
        <v>10.0</v>
      </c>
      <c r="L521" s="5"/>
      <c r="M521" s="5"/>
      <c r="N521" s="6" t="s">
        <v>40</v>
      </c>
      <c r="O521" s="5" t="s">
        <v>5363</v>
      </c>
      <c r="P521" s="6" t="s">
        <v>42</v>
      </c>
      <c r="Q521" s="5" t="s">
        <v>1237</v>
      </c>
      <c r="R521" s="5" t="s">
        <v>7418</v>
      </c>
      <c r="S521" s="6" t="s">
        <v>208</v>
      </c>
      <c r="T521" s="6">
        <v>6623.0</v>
      </c>
    </row>
    <row r="522" ht="56.25" customHeight="1">
      <c r="A522" s="5" t="s">
        <v>7419</v>
      </c>
      <c r="B522" s="6" t="str">
        <f>image("https://storage.googleapis.com/acdb/photos/BromideNpcNmlSqu11_Remake_0_0.png")</f>
        <v/>
      </c>
      <c r="C522" s="5" t="s">
        <v>366</v>
      </c>
      <c r="D522" s="5" t="s">
        <v>1327</v>
      </c>
      <c r="E522" s="5" t="s">
        <v>34</v>
      </c>
      <c r="F522" s="5" t="s">
        <v>34</v>
      </c>
      <c r="G522" s="5" t="s">
        <v>36</v>
      </c>
      <c r="H522" s="5" t="s">
        <v>35</v>
      </c>
      <c r="I522" s="6">
        <v>1.0</v>
      </c>
      <c r="J522" s="6" t="s">
        <v>37</v>
      </c>
      <c r="K522" s="6">
        <v>10.0</v>
      </c>
      <c r="L522" s="5"/>
      <c r="M522" s="5"/>
      <c r="N522" s="6" t="s">
        <v>40</v>
      </c>
      <c r="O522" s="5" t="s">
        <v>5363</v>
      </c>
      <c r="P522" s="6" t="s">
        <v>42</v>
      </c>
      <c r="Q522" s="5" t="s">
        <v>1237</v>
      </c>
      <c r="R522" s="5" t="s">
        <v>7423</v>
      </c>
      <c r="S522" s="6" t="s">
        <v>50</v>
      </c>
      <c r="T522" s="6">
        <v>6716.0</v>
      </c>
    </row>
    <row r="523" ht="56.25" customHeight="1">
      <c r="A523" s="5" t="s">
        <v>7419</v>
      </c>
      <c r="B523" s="6" t="str">
        <f>image("https://storage.googleapis.com/acdb/photos/BromideNpcNmlSqu11_Remake_1_0.png")</f>
        <v/>
      </c>
      <c r="C523" s="5" t="s">
        <v>1132</v>
      </c>
      <c r="D523" s="5" t="s">
        <v>1327</v>
      </c>
      <c r="E523" s="5" t="s">
        <v>34</v>
      </c>
      <c r="F523" s="5" t="s">
        <v>34</v>
      </c>
      <c r="G523" s="5" t="s">
        <v>36</v>
      </c>
      <c r="H523" s="5" t="s">
        <v>35</v>
      </c>
      <c r="I523" s="6">
        <v>1.0</v>
      </c>
      <c r="J523" s="6" t="s">
        <v>37</v>
      </c>
      <c r="K523" s="6">
        <v>10.0</v>
      </c>
      <c r="L523" s="5"/>
      <c r="M523" s="5"/>
      <c r="N523" s="6" t="s">
        <v>40</v>
      </c>
      <c r="O523" s="5" t="s">
        <v>5363</v>
      </c>
      <c r="P523" s="6" t="s">
        <v>42</v>
      </c>
      <c r="Q523" s="5" t="s">
        <v>1237</v>
      </c>
      <c r="R523" s="5" t="s">
        <v>7428</v>
      </c>
      <c r="S523" s="6" t="s">
        <v>56</v>
      </c>
      <c r="T523" s="6">
        <v>6716.0</v>
      </c>
    </row>
    <row r="524" ht="56.25" customHeight="1">
      <c r="A524" s="5" t="s">
        <v>7419</v>
      </c>
      <c r="B524" s="6" t="str">
        <f>image("https://storage.googleapis.com/acdb/photos/BromideNpcNmlSqu11_Remake_2_0.png")</f>
        <v/>
      </c>
      <c r="C524" s="5" t="s">
        <v>688</v>
      </c>
      <c r="D524" s="5" t="s">
        <v>1327</v>
      </c>
      <c r="E524" s="5" t="s">
        <v>34</v>
      </c>
      <c r="F524" s="5" t="s">
        <v>34</v>
      </c>
      <c r="G524" s="5" t="s">
        <v>36</v>
      </c>
      <c r="H524" s="5" t="s">
        <v>35</v>
      </c>
      <c r="I524" s="6">
        <v>1.0</v>
      </c>
      <c r="J524" s="6" t="s">
        <v>37</v>
      </c>
      <c r="K524" s="6">
        <v>10.0</v>
      </c>
      <c r="L524" s="5"/>
      <c r="M524" s="5"/>
      <c r="N524" s="6" t="s">
        <v>40</v>
      </c>
      <c r="O524" s="5" t="s">
        <v>5363</v>
      </c>
      <c r="P524" s="6" t="s">
        <v>42</v>
      </c>
      <c r="Q524" s="5" t="s">
        <v>1237</v>
      </c>
      <c r="R524" s="5" t="s">
        <v>7432</v>
      </c>
      <c r="S524" s="6" t="s">
        <v>67</v>
      </c>
      <c r="T524" s="6">
        <v>6716.0</v>
      </c>
    </row>
    <row r="525" ht="56.25" customHeight="1">
      <c r="A525" s="5" t="s">
        <v>7419</v>
      </c>
      <c r="B525" s="6" t="str">
        <f>image("https://storage.googleapis.com/acdb/photos/BromideNpcNmlSqu11_Remake_3_0.png")</f>
        <v/>
      </c>
      <c r="C525" s="5" t="s">
        <v>57</v>
      </c>
      <c r="D525" s="5" t="s">
        <v>1327</v>
      </c>
      <c r="E525" s="5" t="s">
        <v>34</v>
      </c>
      <c r="F525" s="5" t="s">
        <v>34</v>
      </c>
      <c r="G525" s="5" t="s">
        <v>36</v>
      </c>
      <c r="H525" s="5" t="s">
        <v>35</v>
      </c>
      <c r="I525" s="6">
        <v>1.0</v>
      </c>
      <c r="J525" s="6" t="s">
        <v>37</v>
      </c>
      <c r="K525" s="6">
        <v>10.0</v>
      </c>
      <c r="L525" s="5"/>
      <c r="M525" s="5"/>
      <c r="N525" s="6" t="s">
        <v>40</v>
      </c>
      <c r="O525" s="5" t="s">
        <v>5363</v>
      </c>
      <c r="P525" s="6" t="s">
        <v>42</v>
      </c>
      <c r="Q525" s="5" t="s">
        <v>1237</v>
      </c>
      <c r="R525" s="5" t="s">
        <v>7438</v>
      </c>
      <c r="S525" s="6" t="s">
        <v>71</v>
      </c>
      <c r="T525" s="6">
        <v>6716.0</v>
      </c>
    </row>
    <row r="526" ht="56.25" customHeight="1">
      <c r="A526" s="5" t="s">
        <v>7419</v>
      </c>
      <c r="B526" s="6" t="str">
        <f>image("https://storage.googleapis.com/acdb/photos/BromideNpcNmlSqu11_Remake_4_0.png")</f>
        <v/>
      </c>
      <c r="C526" s="5" t="s">
        <v>1167</v>
      </c>
      <c r="D526" s="5" t="s">
        <v>1327</v>
      </c>
      <c r="E526" s="5" t="s">
        <v>34</v>
      </c>
      <c r="F526" s="5" t="s">
        <v>34</v>
      </c>
      <c r="G526" s="5" t="s">
        <v>36</v>
      </c>
      <c r="H526" s="5" t="s">
        <v>35</v>
      </c>
      <c r="I526" s="6">
        <v>1.0</v>
      </c>
      <c r="J526" s="6" t="s">
        <v>37</v>
      </c>
      <c r="K526" s="6">
        <v>10.0</v>
      </c>
      <c r="L526" s="5"/>
      <c r="M526" s="5"/>
      <c r="N526" s="6" t="s">
        <v>40</v>
      </c>
      <c r="O526" s="5" t="s">
        <v>5363</v>
      </c>
      <c r="P526" s="6" t="s">
        <v>42</v>
      </c>
      <c r="Q526" s="5" t="s">
        <v>1237</v>
      </c>
      <c r="R526" s="5" t="s">
        <v>7443</v>
      </c>
      <c r="S526" s="6" t="s">
        <v>75</v>
      </c>
      <c r="T526" s="6">
        <v>6716.0</v>
      </c>
    </row>
    <row r="527" ht="56.25" customHeight="1">
      <c r="A527" s="5" t="s">
        <v>7419</v>
      </c>
      <c r="B527" s="6" t="str">
        <f>image("https://storage.googleapis.com/acdb/photos/BromideNpcNmlSqu11_Remake_5_0.png")</f>
        <v/>
      </c>
      <c r="C527" s="5" t="s">
        <v>58</v>
      </c>
      <c r="D527" s="5" t="s">
        <v>1327</v>
      </c>
      <c r="E527" s="5" t="s">
        <v>34</v>
      </c>
      <c r="F527" s="5" t="s">
        <v>34</v>
      </c>
      <c r="G527" s="5" t="s">
        <v>36</v>
      </c>
      <c r="H527" s="5" t="s">
        <v>35</v>
      </c>
      <c r="I527" s="6">
        <v>1.0</v>
      </c>
      <c r="J527" s="6" t="s">
        <v>37</v>
      </c>
      <c r="K527" s="6">
        <v>10.0</v>
      </c>
      <c r="L527" s="5"/>
      <c r="M527" s="5"/>
      <c r="N527" s="6" t="s">
        <v>40</v>
      </c>
      <c r="O527" s="5" t="s">
        <v>5363</v>
      </c>
      <c r="P527" s="6" t="s">
        <v>42</v>
      </c>
      <c r="Q527" s="5" t="s">
        <v>1237</v>
      </c>
      <c r="R527" s="5" t="s">
        <v>7447</v>
      </c>
      <c r="S527" s="6" t="s">
        <v>79</v>
      </c>
      <c r="T527" s="6">
        <v>6716.0</v>
      </c>
    </row>
    <row r="528" ht="56.25" customHeight="1">
      <c r="A528" s="5" t="s">
        <v>7419</v>
      </c>
      <c r="B528" s="6" t="str">
        <f>image("https://storage.googleapis.com/acdb/photos/BromideNpcNmlSqu11_Remake_6_0.png")</f>
        <v/>
      </c>
      <c r="C528" s="5" t="s">
        <v>146</v>
      </c>
      <c r="D528" s="5" t="s">
        <v>1327</v>
      </c>
      <c r="E528" s="5" t="s">
        <v>34</v>
      </c>
      <c r="F528" s="5" t="s">
        <v>34</v>
      </c>
      <c r="G528" s="5" t="s">
        <v>36</v>
      </c>
      <c r="H528" s="5" t="s">
        <v>35</v>
      </c>
      <c r="I528" s="6">
        <v>1.0</v>
      </c>
      <c r="J528" s="6" t="s">
        <v>37</v>
      </c>
      <c r="K528" s="6">
        <v>10.0</v>
      </c>
      <c r="L528" s="5"/>
      <c r="M528" s="5"/>
      <c r="N528" s="6" t="s">
        <v>40</v>
      </c>
      <c r="O528" s="5" t="s">
        <v>5363</v>
      </c>
      <c r="P528" s="6" t="s">
        <v>42</v>
      </c>
      <c r="Q528" s="5" t="s">
        <v>1237</v>
      </c>
      <c r="R528" s="5" t="s">
        <v>7450</v>
      </c>
      <c r="S528" s="6" t="s">
        <v>86</v>
      </c>
      <c r="T528" s="6">
        <v>6716.0</v>
      </c>
    </row>
    <row r="529" ht="56.25" customHeight="1">
      <c r="A529" s="5" t="s">
        <v>7419</v>
      </c>
      <c r="B529" s="6" t="str">
        <f>image("https://storage.googleapis.com/acdb/photos/BromideNpcNmlSqu11_Remake_7_0.png")</f>
        <v/>
      </c>
      <c r="C529" s="5" t="s">
        <v>151</v>
      </c>
      <c r="D529" s="5" t="s">
        <v>1327</v>
      </c>
      <c r="E529" s="5" t="s">
        <v>34</v>
      </c>
      <c r="F529" s="5" t="s">
        <v>34</v>
      </c>
      <c r="G529" s="5" t="s">
        <v>36</v>
      </c>
      <c r="H529" s="5" t="s">
        <v>35</v>
      </c>
      <c r="I529" s="6">
        <v>1.0</v>
      </c>
      <c r="J529" s="6" t="s">
        <v>37</v>
      </c>
      <c r="K529" s="6">
        <v>10.0</v>
      </c>
      <c r="L529" s="5"/>
      <c r="M529" s="5"/>
      <c r="N529" s="6" t="s">
        <v>40</v>
      </c>
      <c r="O529" s="5" t="s">
        <v>5363</v>
      </c>
      <c r="P529" s="6" t="s">
        <v>42</v>
      </c>
      <c r="Q529" s="5" t="s">
        <v>1237</v>
      </c>
      <c r="R529" s="5" t="s">
        <v>7454</v>
      </c>
      <c r="S529" s="6" t="s">
        <v>208</v>
      </c>
      <c r="T529" s="6">
        <v>6716.0</v>
      </c>
    </row>
    <row r="530" ht="56.25" customHeight="1">
      <c r="A530" s="5" t="s">
        <v>7457</v>
      </c>
      <c r="B530" s="6" t="str">
        <f>image("https://storage.googleapis.com/acdb/photos/BromideNpcNmlFlg03_Remake_0_0.png")</f>
        <v/>
      </c>
      <c r="C530" s="5" t="s">
        <v>366</v>
      </c>
      <c r="D530" s="5" t="s">
        <v>1327</v>
      </c>
      <c r="E530" s="5" t="s">
        <v>34</v>
      </c>
      <c r="F530" s="5" t="s">
        <v>34</v>
      </c>
      <c r="G530" s="5" t="s">
        <v>36</v>
      </c>
      <c r="H530" s="5" t="s">
        <v>35</v>
      </c>
      <c r="I530" s="6">
        <v>1.0</v>
      </c>
      <c r="J530" s="6" t="s">
        <v>37</v>
      </c>
      <c r="K530" s="6">
        <v>10.0</v>
      </c>
      <c r="L530" s="5"/>
      <c r="M530" s="5"/>
      <c r="N530" s="6" t="s">
        <v>40</v>
      </c>
      <c r="O530" s="5" t="s">
        <v>5363</v>
      </c>
      <c r="P530" s="6" t="s">
        <v>42</v>
      </c>
      <c r="Q530" s="5" t="s">
        <v>1237</v>
      </c>
      <c r="R530" s="5" t="s">
        <v>7460</v>
      </c>
      <c r="S530" s="6" t="s">
        <v>50</v>
      </c>
      <c r="T530" s="6">
        <v>6487.0</v>
      </c>
    </row>
    <row r="531" ht="56.25" customHeight="1">
      <c r="A531" s="5" t="s">
        <v>7457</v>
      </c>
      <c r="B531" s="6" t="str">
        <f>image("https://storage.googleapis.com/acdb/photos/BromideNpcNmlFlg03_Remake_1_0.png")</f>
        <v/>
      </c>
      <c r="C531" s="5" t="s">
        <v>1132</v>
      </c>
      <c r="D531" s="5" t="s">
        <v>1327</v>
      </c>
      <c r="E531" s="5" t="s">
        <v>34</v>
      </c>
      <c r="F531" s="5" t="s">
        <v>34</v>
      </c>
      <c r="G531" s="5" t="s">
        <v>36</v>
      </c>
      <c r="H531" s="5" t="s">
        <v>35</v>
      </c>
      <c r="I531" s="6">
        <v>1.0</v>
      </c>
      <c r="J531" s="6" t="s">
        <v>37</v>
      </c>
      <c r="K531" s="6">
        <v>10.0</v>
      </c>
      <c r="L531" s="5"/>
      <c r="M531" s="5"/>
      <c r="N531" s="6" t="s">
        <v>40</v>
      </c>
      <c r="O531" s="5" t="s">
        <v>5363</v>
      </c>
      <c r="P531" s="6" t="s">
        <v>42</v>
      </c>
      <c r="Q531" s="5" t="s">
        <v>1237</v>
      </c>
      <c r="R531" s="5" t="s">
        <v>7466</v>
      </c>
      <c r="S531" s="6" t="s">
        <v>56</v>
      </c>
      <c r="T531" s="6">
        <v>6487.0</v>
      </c>
    </row>
    <row r="532" ht="56.25" customHeight="1">
      <c r="A532" s="5" t="s">
        <v>7457</v>
      </c>
      <c r="B532" s="6" t="str">
        <f>image("https://storage.googleapis.com/acdb/photos/BromideNpcNmlFlg03_Remake_2_0.png")</f>
        <v/>
      </c>
      <c r="C532" s="5" t="s">
        <v>688</v>
      </c>
      <c r="D532" s="5" t="s">
        <v>1327</v>
      </c>
      <c r="E532" s="5" t="s">
        <v>34</v>
      </c>
      <c r="F532" s="5" t="s">
        <v>34</v>
      </c>
      <c r="G532" s="5" t="s">
        <v>36</v>
      </c>
      <c r="H532" s="5" t="s">
        <v>35</v>
      </c>
      <c r="I532" s="6">
        <v>1.0</v>
      </c>
      <c r="J532" s="6" t="s">
        <v>37</v>
      </c>
      <c r="K532" s="6">
        <v>10.0</v>
      </c>
      <c r="L532" s="5"/>
      <c r="M532" s="5"/>
      <c r="N532" s="6" t="s">
        <v>40</v>
      </c>
      <c r="O532" s="5" t="s">
        <v>5363</v>
      </c>
      <c r="P532" s="6" t="s">
        <v>42</v>
      </c>
      <c r="Q532" s="5" t="s">
        <v>1237</v>
      </c>
      <c r="R532" s="5" t="s">
        <v>7469</v>
      </c>
      <c r="S532" s="6" t="s">
        <v>67</v>
      </c>
      <c r="T532" s="6">
        <v>6487.0</v>
      </c>
    </row>
    <row r="533" ht="56.25" customHeight="1">
      <c r="A533" s="5" t="s">
        <v>7457</v>
      </c>
      <c r="B533" s="6" t="str">
        <f>image("https://storage.googleapis.com/acdb/photos/BromideNpcNmlFlg03_Remake_3_0.png")</f>
        <v/>
      </c>
      <c r="C533" s="5" t="s">
        <v>57</v>
      </c>
      <c r="D533" s="5" t="s">
        <v>1327</v>
      </c>
      <c r="E533" s="5" t="s">
        <v>34</v>
      </c>
      <c r="F533" s="5" t="s">
        <v>34</v>
      </c>
      <c r="G533" s="5" t="s">
        <v>36</v>
      </c>
      <c r="H533" s="5" t="s">
        <v>35</v>
      </c>
      <c r="I533" s="6">
        <v>1.0</v>
      </c>
      <c r="J533" s="6" t="s">
        <v>37</v>
      </c>
      <c r="K533" s="6">
        <v>10.0</v>
      </c>
      <c r="L533" s="5"/>
      <c r="M533" s="5"/>
      <c r="N533" s="6" t="s">
        <v>40</v>
      </c>
      <c r="O533" s="5" t="s">
        <v>5363</v>
      </c>
      <c r="P533" s="6" t="s">
        <v>42</v>
      </c>
      <c r="Q533" s="5" t="s">
        <v>1237</v>
      </c>
      <c r="R533" s="5" t="s">
        <v>7475</v>
      </c>
      <c r="S533" s="6" t="s">
        <v>71</v>
      </c>
      <c r="T533" s="6">
        <v>6487.0</v>
      </c>
    </row>
    <row r="534" ht="56.25" customHeight="1">
      <c r="A534" s="5" t="s">
        <v>7457</v>
      </c>
      <c r="B534" s="6" t="str">
        <f>image("https://storage.googleapis.com/acdb/photos/BromideNpcNmlFlg03_Remake_4_0.png")</f>
        <v/>
      </c>
      <c r="C534" s="5" t="s">
        <v>1167</v>
      </c>
      <c r="D534" s="5" t="s">
        <v>1327</v>
      </c>
      <c r="E534" s="5" t="s">
        <v>34</v>
      </c>
      <c r="F534" s="5" t="s">
        <v>34</v>
      </c>
      <c r="G534" s="5" t="s">
        <v>36</v>
      </c>
      <c r="H534" s="5" t="s">
        <v>35</v>
      </c>
      <c r="I534" s="6">
        <v>1.0</v>
      </c>
      <c r="J534" s="6" t="s">
        <v>37</v>
      </c>
      <c r="K534" s="6">
        <v>10.0</v>
      </c>
      <c r="L534" s="5"/>
      <c r="M534" s="5"/>
      <c r="N534" s="6" t="s">
        <v>40</v>
      </c>
      <c r="O534" s="5" t="s">
        <v>5363</v>
      </c>
      <c r="P534" s="6" t="s">
        <v>42</v>
      </c>
      <c r="Q534" s="5" t="s">
        <v>1237</v>
      </c>
      <c r="R534" s="5" t="s">
        <v>7481</v>
      </c>
      <c r="S534" s="6" t="s">
        <v>75</v>
      </c>
      <c r="T534" s="6">
        <v>6487.0</v>
      </c>
    </row>
    <row r="535" ht="56.25" customHeight="1">
      <c r="A535" s="5" t="s">
        <v>7457</v>
      </c>
      <c r="B535" s="6" t="str">
        <f>image("https://storage.googleapis.com/acdb/photos/BromideNpcNmlFlg03_Remake_5_0.png")</f>
        <v/>
      </c>
      <c r="C535" s="5" t="s">
        <v>58</v>
      </c>
      <c r="D535" s="5" t="s">
        <v>1327</v>
      </c>
      <c r="E535" s="5" t="s">
        <v>34</v>
      </c>
      <c r="F535" s="5" t="s">
        <v>34</v>
      </c>
      <c r="G535" s="5" t="s">
        <v>36</v>
      </c>
      <c r="H535" s="5" t="s">
        <v>35</v>
      </c>
      <c r="I535" s="6">
        <v>1.0</v>
      </c>
      <c r="J535" s="6" t="s">
        <v>37</v>
      </c>
      <c r="K535" s="6">
        <v>10.0</v>
      </c>
      <c r="L535" s="5"/>
      <c r="M535" s="5"/>
      <c r="N535" s="6" t="s">
        <v>40</v>
      </c>
      <c r="O535" s="5" t="s">
        <v>5363</v>
      </c>
      <c r="P535" s="6" t="s">
        <v>42</v>
      </c>
      <c r="Q535" s="5" t="s">
        <v>1237</v>
      </c>
      <c r="R535" s="5" t="s">
        <v>7485</v>
      </c>
      <c r="S535" s="6" t="s">
        <v>79</v>
      </c>
      <c r="T535" s="6">
        <v>6487.0</v>
      </c>
    </row>
    <row r="536" ht="56.25" customHeight="1">
      <c r="A536" s="5" t="s">
        <v>7457</v>
      </c>
      <c r="B536" s="6" t="str">
        <f>image("https://storage.googleapis.com/acdb/photos/BromideNpcNmlFlg03_Remake_6_0.png")</f>
        <v/>
      </c>
      <c r="C536" s="5" t="s">
        <v>146</v>
      </c>
      <c r="D536" s="5" t="s">
        <v>1327</v>
      </c>
      <c r="E536" s="5" t="s">
        <v>34</v>
      </c>
      <c r="F536" s="5" t="s">
        <v>34</v>
      </c>
      <c r="G536" s="5" t="s">
        <v>36</v>
      </c>
      <c r="H536" s="5" t="s">
        <v>35</v>
      </c>
      <c r="I536" s="6">
        <v>1.0</v>
      </c>
      <c r="J536" s="6" t="s">
        <v>37</v>
      </c>
      <c r="K536" s="6">
        <v>10.0</v>
      </c>
      <c r="L536" s="5"/>
      <c r="M536" s="5"/>
      <c r="N536" s="6" t="s">
        <v>40</v>
      </c>
      <c r="O536" s="5" t="s">
        <v>5363</v>
      </c>
      <c r="P536" s="6" t="s">
        <v>42</v>
      </c>
      <c r="Q536" s="5" t="s">
        <v>1237</v>
      </c>
      <c r="R536" s="5" t="s">
        <v>7488</v>
      </c>
      <c r="S536" s="6" t="s">
        <v>86</v>
      </c>
      <c r="T536" s="6">
        <v>6487.0</v>
      </c>
    </row>
    <row r="537" ht="56.25" customHeight="1">
      <c r="A537" s="5" t="s">
        <v>7457</v>
      </c>
      <c r="B537" s="6" t="str">
        <f>image("https://storage.googleapis.com/acdb/photos/BromideNpcNmlFlg03_Remake_7_0.png")</f>
        <v/>
      </c>
      <c r="C537" s="5" t="s">
        <v>151</v>
      </c>
      <c r="D537" s="5" t="s">
        <v>1327</v>
      </c>
      <c r="E537" s="5" t="s">
        <v>34</v>
      </c>
      <c r="F537" s="5" t="s">
        <v>34</v>
      </c>
      <c r="G537" s="5" t="s">
        <v>36</v>
      </c>
      <c r="H537" s="5" t="s">
        <v>35</v>
      </c>
      <c r="I537" s="6">
        <v>1.0</v>
      </c>
      <c r="J537" s="6" t="s">
        <v>37</v>
      </c>
      <c r="K537" s="6">
        <v>10.0</v>
      </c>
      <c r="L537" s="5"/>
      <c r="M537" s="5"/>
      <c r="N537" s="6" t="s">
        <v>40</v>
      </c>
      <c r="O537" s="5" t="s">
        <v>5363</v>
      </c>
      <c r="P537" s="6" t="s">
        <v>42</v>
      </c>
      <c r="Q537" s="5" t="s">
        <v>1237</v>
      </c>
      <c r="R537" s="5" t="s">
        <v>7492</v>
      </c>
      <c r="S537" s="6" t="s">
        <v>208</v>
      </c>
      <c r="T537" s="6">
        <v>6487.0</v>
      </c>
    </row>
    <row r="538" ht="56.25" customHeight="1">
      <c r="A538" s="5" t="s">
        <v>7493</v>
      </c>
      <c r="B538" s="6" t="str">
        <f>image("https://storage.googleapis.com/acdb/photos/BromideNpcNmlKal08_Remake_0_0.png")</f>
        <v/>
      </c>
      <c r="C538" s="5" t="s">
        <v>366</v>
      </c>
      <c r="D538" s="5" t="s">
        <v>1327</v>
      </c>
      <c r="E538" s="5" t="s">
        <v>34</v>
      </c>
      <c r="F538" s="5" t="s">
        <v>34</v>
      </c>
      <c r="G538" s="5" t="s">
        <v>36</v>
      </c>
      <c r="H538" s="5" t="s">
        <v>35</v>
      </c>
      <c r="I538" s="6">
        <v>1.0</v>
      </c>
      <c r="J538" s="6" t="s">
        <v>37</v>
      </c>
      <c r="K538" s="6">
        <v>10.0</v>
      </c>
      <c r="L538" s="5"/>
      <c r="M538" s="5"/>
      <c r="N538" s="6" t="s">
        <v>40</v>
      </c>
      <c r="O538" s="5" t="s">
        <v>5363</v>
      </c>
      <c r="P538" s="6" t="s">
        <v>42</v>
      </c>
      <c r="Q538" s="5" t="s">
        <v>1237</v>
      </c>
      <c r="R538" s="5" t="s">
        <v>7497</v>
      </c>
      <c r="S538" s="6" t="s">
        <v>50</v>
      </c>
      <c r="T538" s="6">
        <v>6561.0</v>
      </c>
    </row>
    <row r="539" ht="56.25" customHeight="1">
      <c r="A539" s="5" t="s">
        <v>7493</v>
      </c>
      <c r="B539" s="6" t="str">
        <f>image("https://storage.googleapis.com/acdb/photos/BromideNpcNmlKal08_Remake_1_0.png")</f>
        <v/>
      </c>
      <c r="C539" s="5" t="s">
        <v>1132</v>
      </c>
      <c r="D539" s="5" t="s">
        <v>1327</v>
      </c>
      <c r="E539" s="5" t="s">
        <v>34</v>
      </c>
      <c r="F539" s="5" t="s">
        <v>34</v>
      </c>
      <c r="G539" s="5" t="s">
        <v>36</v>
      </c>
      <c r="H539" s="5" t="s">
        <v>35</v>
      </c>
      <c r="I539" s="6">
        <v>1.0</v>
      </c>
      <c r="J539" s="6" t="s">
        <v>37</v>
      </c>
      <c r="K539" s="6">
        <v>10.0</v>
      </c>
      <c r="L539" s="5"/>
      <c r="M539" s="5"/>
      <c r="N539" s="6" t="s">
        <v>40</v>
      </c>
      <c r="O539" s="5" t="s">
        <v>5363</v>
      </c>
      <c r="P539" s="6" t="s">
        <v>42</v>
      </c>
      <c r="Q539" s="5" t="s">
        <v>1237</v>
      </c>
      <c r="R539" s="5" t="s">
        <v>7500</v>
      </c>
      <c r="S539" s="6" t="s">
        <v>56</v>
      </c>
      <c r="T539" s="6">
        <v>6561.0</v>
      </c>
    </row>
    <row r="540" ht="56.25" customHeight="1">
      <c r="A540" s="5" t="s">
        <v>7493</v>
      </c>
      <c r="B540" s="6" t="str">
        <f>image("https://storage.googleapis.com/acdb/photos/BromideNpcNmlKal08_Remake_2_0.png")</f>
        <v/>
      </c>
      <c r="C540" s="5" t="s">
        <v>688</v>
      </c>
      <c r="D540" s="5" t="s">
        <v>1327</v>
      </c>
      <c r="E540" s="5" t="s">
        <v>34</v>
      </c>
      <c r="F540" s="5" t="s">
        <v>34</v>
      </c>
      <c r="G540" s="5" t="s">
        <v>36</v>
      </c>
      <c r="H540" s="5" t="s">
        <v>35</v>
      </c>
      <c r="I540" s="6">
        <v>1.0</v>
      </c>
      <c r="J540" s="6" t="s">
        <v>37</v>
      </c>
      <c r="K540" s="6">
        <v>10.0</v>
      </c>
      <c r="L540" s="5"/>
      <c r="M540" s="5"/>
      <c r="N540" s="6" t="s">
        <v>40</v>
      </c>
      <c r="O540" s="5" t="s">
        <v>5363</v>
      </c>
      <c r="P540" s="6" t="s">
        <v>42</v>
      </c>
      <c r="Q540" s="5" t="s">
        <v>1237</v>
      </c>
      <c r="R540" s="5" t="s">
        <v>7504</v>
      </c>
      <c r="S540" s="6" t="s">
        <v>67</v>
      </c>
      <c r="T540" s="6">
        <v>6561.0</v>
      </c>
    </row>
    <row r="541" ht="56.25" customHeight="1">
      <c r="A541" s="5" t="s">
        <v>7493</v>
      </c>
      <c r="B541" s="6" t="str">
        <f>image("https://storage.googleapis.com/acdb/photos/BromideNpcNmlKal08_Remake_3_0.png")</f>
        <v/>
      </c>
      <c r="C541" s="5" t="s">
        <v>57</v>
      </c>
      <c r="D541" s="5" t="s">
        <v>1327</v>
      </c>
      <c r="E541" s="5" t="s">
        <v>34</v>
      </c>
      <c r="F541" s="5" t="s">
        <v>34</v>
      </c>
      <c r="G541" s="5" t="s">
        <v>36</v>
      </c>
      <c r="H541" s="5" t="s">
        <v>35</v>
      </c>
      <c r="I541" s="6">
        <v>1.0</v>
      </c>
      <c r="J541" s="6" t="s">
        <v>37</v>
      </c>
      <c r="K541" s="6">
        <v>10.0</v>
      </c>
      <c r="L541" s="5"/>
      <c r="M541" s="5"/>
      <c r="N541" s="6" t="s">
        <v>40</v>
      </c>
      <c r="O541" s="5" t="s">
        <v>5363</v>
      </c>
      <c r="P541" s="6" t="s">
        <v>42</v>
      </c>
      <c r="Q541" s="5" t="s">
        <v>1237</v>
      </c>
      <c r="R541" s="5" t="s">
        <v>7510</v>
      </c>
      <c r="S541" s="6" t="s">
        <v>71</v>
      </c>
      <c r="T541" s="6">
        <v>6561.0</v>
      </c>
    </row>
    <row r="542" ht="56.25" customHeight="1">
      <c r="A542" s="5" t="s">
        <v>7493</v>
      </c>
      <c r="B542" s="6" t="str">
        <f>image("https://storage.googleapis.com/acdb/photos/BromideNpcNmlKal08_Remake_4_0.png")</f>
        <v/>
      </c>
      <c r="C542" s="5" t="s">
        <v>1167</v>
      </c>
      <c r="D542" s="5" t="s">
        <v>1327</v>
      </c>
      <c r="E542" s="5" t="s">
        <v>34</v>
      </c>
      <c r="F542" s="5" t="s">
        <v>34</v>
      </c>
      <c r="G542" s="5" t="s">
        <v>36</v>
      </c>
      <c r="H542" s="5" t="s">
        <v>35</v>
      </c>
      <c r="I542" s="6">
        <v>1.0</v>
      </c>
      <c r="J542" s="6" t="s">
        <v>37</v>
      </c>
      <c r="K542" s="6">
        <v>10.0</v>
      </c>
      <c r="L542" s="5"/>
      <c r="M542" s="5"/>
      <c r="N542" s="6" t="s">
        <v>40</v>
      </c>
      <c r="O542" s="5" t="s">
        <v>5363</v>
      </c>
      <c r="P542" s="6" t="s">
        <v>42</v>
      </c>
      <c r="Q542" s="5" t="s">
        <v>1237</v>
      </c>
      <c r="R542" s="5" t="s">
        <v>7513</v>
      </c>
      <c r="S542" s="6" t="s">
        <v>75</v>
      </c>
      <c r="T542" s="6">
        <v>6561.0</v>
      </c>
    </row>
    <row r="543" ht="56.25" customHeight="1">
      <c r="A543" s="5" t="s">
        <v>7493</v>
      </c>
      <c r="B543" s="6" t="str">
        <f>image("https://storage.googleapis.com/acdb/photos/BromideNpcNmlKal08_Remake_5_0.png")</f>
        <v/>
      </c>
      <c r="C543" s="5" t="s">
        <v>58</v>
      </c>
      <c r="D543" s="5" t="s">
        <v>1327</v>
      </c>
      <c r="E543" s="5" t="s">
        <v>34</v>
      </c>
      <c r="F543" s="5" t="s">
        <v>34</v>
      </c>
      <c r="G543" s="5" t="s">
        <v>36</v>
      </c>
      <c r="H543" s="5" t="s">
        <v>35</v>
      </c>
      <c r="I543" s="6">
        <v>1.0</v>
      </c>
      <c r="J543" s="6" t="s">
        <v>37</v>
      </c>
      <c r="K543" s="6">
        <v>10.0</v>
      </c>
      <c r="L543" s="5"/>
      <c r="M543" s="5"/>
      <c r="N543" s="6" t="s">
        <v>40</v>
      </c>
      <c r="O543" s="5" t="s">
        <v>5363</v>
      </c>
      <c r="P543" s="6" t="s">
        <v>42</v>
      </c>
      <c r="Q543" s="5" t="s">
        <v>1237</v>
      </c>
      <c r="R543" s="5" t="s">
        <v>7517</v>
      </c>
      <c r="S543" s="6" t="s">
        <v>79</v>
      </c>
      <c r="T543" s="6">
        <v>6561.0</v>
      </c>
    </row>
    <row r="544" ht="56.25" customHeight="1">
      <c r="A544" s="5" t="s">
        <v>7493</v>
      </c>
      <c r="B544" s="6" t="str">
        <f>image("https://storage.googleapis.com/acdb/photos/BromideNpcNmlKal08_Remake_6_0.png")</f>
        <v/>
      </c>
      <c r="C544" s="5" t="s">
        <v>146</v>
      </c>
      <c r="D544" s="5" t="s">
        <v>1327</v>
      </c>
      <c r="E544" s="5" t="s">
        <v>34</v>
      </c>
      <c r="F544" s="5" t="s">
        <v>34</v>
      </c>
      <c r="G544" s="5" t="s">
        <v>36</v>
      </c>
      <c r="H544" s="5" t="s">
        <v>35</v>
      </c>
      <c r="I544" s="6">
        <v>1.0</v>
      </c>
      <c r="J544" s="6" t="s">
        <v>37</v>
      </c>
      <c r="K544" s="6">
        <v>10.0</v>
      </c>
      <c r="L544" s="5"/>
      <c r="M544" s="5"/>
      <c r="N544" s="6" t="s">
        <v>40</v>
      </c>
      <c r="O544" s="5" t="s">
        <v>5363</v>
      </c>
      <c r="P544" s="6" t="s">
        <v>42</v>
      </c>
      <c r="Q544" s="5" t="s">
        <v>1237</v>
      </c>
      <c r="R544" s="5" t="s">
        <v>7522</v>
      </c>
      <c r="S544" s="6" t="s">
        <v>86</v>
      </c>
      <c r="T544" s="6">
        <v>6561.0</v>
      </c>
    </row>
    <row r="545" ht="56.25" customHeight="1">
      <c r="A545" s="5" t="s">
        <v>7493</v>
      </c>
      <c r="B545" s="6" t="str">
        <f>image("https://storage.googleapis.com/acdb/photos/BromideNpcNmlKal08_Remake_7_0.png")</f>
        <v/>
      </c>
      <c r="C545" s="5" t="s">
        <v>151</v>
      </c>
      <c r="D545" s="5" t="s">
        <v>1327</v>
      </c>
      <c r="E545" s="5" t="s">
        <v>34</v>
      </c>
      <c r="F545" s="5" t="s">
        <v>34</v>
      </c>
      <c r="G545" s="5" t="s">
        <v>36</v>
      </c>
      <c r="H545" s="5" t="s">
        <v>35</v>
      </c>
      <c r="I545" s="6">
        <v>1.0</v>
      </c>
      <c r="J545" s="6" t="s">
        <v>37</v>
      </c>
      <c r="K545" s="6">
        <v>10.0</v>
      </c>
      <c r="L545" s="5"/>
      <c r="M545" s="5"/>
      <c r="N545" s="6" t="s">
        <v>40</v>
      </c>
      <c r="O545" s="5" t="s">
        <v>5363</v>
      </c>
      <c r="P545" s="6" t="s">
        <v>42</v>
      </c>
      <c r="Q545" s="5" t="s">
        <v>1237</v>
      </c>
      <c r="R545" s="5" t="s">
        <v>7526</v>
      </c>
      <c r="S545" s="6" t="s">
        <v>208</v>
      </c>
      <c r="T545" s="6">
        <v>6561.0</v>
      </c>
    </row>
    <row r="546" ht="56.25" customHeight="1">
      <c r="A546" s="5" t="s">
        <v>7529</v>
      </c>
      <c r="B546" s="6" t="str">
        <f>image("https://storage.googleapis.com/acdb/photos/BromideNpcNmlMus08_Remake_0_0.png")</f>
        <v/>
      </c>
      <c r="C546" s="5" t="s">
        <v>366</v>
      </c>
      <c r="D546" s="5" t="s">
        <v>1327</v>
      </c>
      <c r="E546" s="5" t="s">
        <v>34</v>
      </c>
      <c r="F546" s="5" t="s">
        <v>34</v>
      </c>
      <c r="G546" s="5" t="s">
        <v>36</v>
      </c>
      <c r="H546" s="5" t="s">
        <v>35</v>
      </c>
      <c r="I546" s="6">
        <v>1.0</v>
      </c>
      <c r="J546" s="6" t="s">
        <v>37</v>
      </c>
      <c r="K546" s="6">
        <v>10.0</v>
      </c>
      <c r="L546" s="5"/>
      <c r="M546" s="5"/>
      <c r="N546" s="6" t="s">
        <v>40</v>
      </c>
      <c r="O546" s="5" t="s">
        <v>5363</v>
      </c>
      <c r="P546" s="6" t="s">
        <v>42</v>
      </c>
      <c r="Q546" s="5" t="s">
        <v>1237</v>
      </c>
      <c r="R546" s="5" t="s">
        <v>7533</v>
      </c>
      <c r="S546" s="6" t="s">
        <v>50</v>
      </c>
      <c r="T546" s="6">
        <v>6596.0</v>
      </c>
    </row>
    <row r="547" ht="56.25" customHeight="1">
      <c r="A547" s="5" t="s">
        <v>7529</v>
      </c>
      <c r="B547" s="6" t="str">
        <f>image("https://storage.googleapis.com/acdb/photos/BromideNpcNmlMus08_Remake_1_0.png")</f>
        <v/>
      </c>
      <c r="C547" s="5" t="s">
        <v>1132</v>
      </c>
      <c r="D547" s="5" t="s">
        <v>1327</v>
      </c>
      <c r="E547" s="5" t="s">
        <v>34</v>
      </c>
      <c r="F547" s="5" t="s">
        <v>34</v>
      </c>
      <c r="G547" s="5" t="s">
        <v>36</v>
      </c>
      <c r="H547" s="5" t="s">
        <v>35</v>
      </c>
      <c r="I547" s="6">
        <v>1.0</v>
      </c>
      <c r="J547" s="6" t="s">
        <v>37</v>
      </c>
      <c r="K547" s="6">
        <v>10.0</v>
      </c>
      <c r="L547" s="5"/>
      <c r="M547" s="5"/>
      <c r="N547" s="6" t="s">
        <v>40</v>
      </c>
      <c r="O547" s="5" t="s">
        <v>5363</v>
      </c>
      <c r="P547" s="6" t="s">
        <v>42</v>
      </c>
      <c r="Q547" s="5" t="s">
        <v>1237</v>
      </c>
      <c r="R547" s="5" t="s">
        <v>7538</v>
      </c>
      <c r="S547" s="6" t="s">
        <v>56</v>
      </c>
      <c r="T547" s="6">
        <v>6596.0</v>
      </c>
    </row>
    <row r="548" ht="56.25" customHeight="1">
      <c r="A548" s="5" t="s">
        <v>7529</v>
      </c>
      <c r="B548" s="6" t="str">
        <f>image("https://storage.googleapis.com/acdb/photos/BromideNpcNmlMus08_Remake_2_0.png")</f>
        <v/>
      </c>
      <c r="C548" s="5" t="s">
        <v>688</v>
      </c>
      <c r="D548" s="5" t="s">
        <v>1327</v>
      </c>
      <c r="E548" s="5" t="s">
        <v>34</v>
      </c>
      <c r="F548" s="5" t="s">
        <v>34</v>
      </c>
      <c r="G548" s="5" t="s">
        <v>36</v>
      </c>
      <c r="H548" s="5" t="s">
        <v>35</v>
      </c>
      <c r="I548" s="6">
        <v>1.0</v>
      </c>
      <c r="J548" s="6" t="s">
        <v>37</v>
      </c>
      <c r="K548" s="6">
        <v>10.0</v>
      </c>
      <c r="L548" s="5"/>
      <c r="M548" s="5"/>
      <c r="N548" s="6" t="s">
        <v>40</v>
      </c>
      <c r="O548" s="5" t="s">
        <v>5363</v>
      </c>
      <c r="P548" s="6" t="s">
        <v>42</v>
      </c>
      <c r="Q548" s="5" t="s">
        <v>1237</v>
      </c>
      <c r="R548" s="5" t="s">
        <v>7544</v>
      </c>
      <c r="S548" s="6" t="s">
        <v>67</v>
      </c>
      <c r="T548" s="6">
        <v>6596.0</v>
      </c>
    </row>
    <row r="549" ht="56.25" customHeight="1">
      <c r="A549" s="5" t="s">
        <v>7529</v>
      </c>
      <c r="B549" s="6" t="str">
        <f>image("https://storage.googleapis.com/acdb/photos/BromideNpcNmlMus08_Remake_3_0.png")</f>
        <v/>
      </c>
      <c r="C549" s="5" t="s">
        <v>57</v>
      </c>
      <c r="D549" s="5" t="s">
        <v>1327</v>
      </c>
      <c r="E549" s="5" t="s">
        <v>34</v>
      </c>
      <c r="F549" s="5" t="s">
        <v>34</v>
      </c>
      <c r="G549" s="5" t="s">
        <v>36</v>
      </c>
      <c r="H549" s="5" t="s">
        <v>35</v>
      </c>
      <c r="I549" s="6">
        <v>1.0</v>
      </c>
      <c r="J549" s="6" t="s">
        <v>37</v>
      </c>
      <c r="K549" s="6">
        <v>10.0</v>
      </c>
      <c r="L549" s="5"/>
      <c r="M549" s="5"/>
      <c r="N549" s="6" t="s">
        <v>40</v>
      </c>
      <c r="O549" s="5" t="s">
        <v>5363</v>
      </c>
      <c r="P549" s="6" t="s">
        <v>42</v>
      </c>
      <c r="Q549" s="5" t="s">
        <v>1237</v>
      </c>
      <c r="R549" s="5" t="s">
        <v>7549</v>
      </c>
      <c r="S549" s="6" t="s">
        <v>71</v>
      </c>
      <c r="T549" s="6">
        <v>6596.0</v>
      </c>
    </row>
    <row r="550" ht="56.25" customHeight="1">
      <c r="A550" s="5" t="s">
        <v>7529</v>
      </c>
      <c r="B550" s="6" t="str">
        <f>image("https://storage.googleapis.com/acdb/photos/BromideNpcNmlMus08_Remake_4_0.png")</f>
        <v/>
      </c>
      <c r="C550" s="5" t="s">
        <v>1167</v>
      </c>
      <c r="D550" s="5" t="s">
        <v>1327</v>
      </c>
      <c r="E550" s="5" t="s">
        <v>34</v>
      </c>
      <c r="F550" s="5" t="s">
        <v>34</v>
      </c>
      <c r="G550" s="5" t="s">
        <v>36</v>
      </c>
      <c r="H550" s="5" t="s">
        <v>35</v>
      </c>
      <c r="I550" s="6">
        <v>1.0</v>
      </c>
      <c r="J550" s="6" t="s">
        <v>37</v>
      </c>
      <c r="K550" s="6">
        <v>10.0</v>
      </c>
      <c r="L550" s="5"/>
      <c r="M550" s="5"/>
      <c r="N550" s="6" t="s">
        <v>40</v>
      </c>
      <c r="O550" s="5" t="s">
        <v>5363</v>
      </c>
      <c r="P550" s="6" t="s">
        <v>42</v>
      </c>
      <c r="Q550" s="5" t="s">
        <v>1237</v>
      </c>
      <c r="R550" s="5" t="s">
        <v>7553</v>
      </c>
      <c r="S550" s="6" t="s">
        <v>75</v>
      </c>
      <c r="T550" s="6">
        <v>6596.0</v>
      </c>
    </row>
    <row r="551" ht="56.25" customHeight="1">
      <c r="A551" s="5" t="s">
        <v>7529</v>
      </c>
      <c r="B551" s="6" t="str">
        <f>image("https://storage.googleapis.com/acdb/photos/BromideNpcNmlMus08_Remake_5_0.png")</f>
        <v/>
      </c>
      <c r="C551" s="5" t="s">
        <v>58</v>
      </c>
      <c r="D551" s="5" t="s">
        <v>1327</v>
      </c>
      <c r="E551" s="5" t="s">
        <v>34</v>
      </c>
      <c r="F551" s="5" t="s">
        <v>34</v>
      </c>
      <c r="G551" s="5" t="s">
        <v>36</v>
      </c>
      <c r="H551" s="5" t="s">
        <v>35</v>
      </c>
      <c r="I551" s="6">
        <v>1.0</v>
      </c>
      <c r="J551" s="6" t="s">
        <v>37</v>
      </c>
      <c r="K551" s="6">
        <v>10.0</v>
      </c>
      <c r="L551" s="5"/>
      <c r="M551" s="5"/>
      <c r="N551" s="6" t="s">
        <v>40</v>
      </c>
      <c r="O551" s="5" t="s">
        <v>5363</v>
      </c>
      <c r="P551" s="6" t="s">
        <v>42</v>
      </c>
      <c r="Q551" s="5" t="s">
        <v>1237</v>
      </c>
      <c r="R551" s="5" t="s">
        <v>7557</v>
      </c>
      <c r="S551" s="6" t="s">
        <v>79</v>
      </c>
      <c r="T551" s="6">
        <v>6596.0</v>
      </c>
    </row>
    <row r="552" ht="56.25" customHeight="1">
      <c r="A552" s="5" t="s">
        <v>7529</v>
      </c>
      <c r="B552" s="6" t="str">
        <f>image("https://storage.googleapis.com/acdb/photos/BromideNpcNmlMus08_Remake_6_0.png")</f>
        <v/>
      </c>
      <c r="C552" s="5" t="s">
        <v>146</v>
      </c>
      <c r="D552" s="5" t="s">
        <v>1327</v>
      </c>
      <c r="E552" s="5" t="s">
        <v>34</v>
      </c>
      <c r="F552" s="5" t="s">
        <v>34</v>
      </c>
      <c r="G552" s="5" t="s">
        <v>36</v>
      </c>
      <c r="H552" s="5" t="s">
        <v>35</v>
      </c>
      <c r="I552" s="6">
        <v>1.0</v>
      </c>
      <c r="J552" s="6" t="s">
        <v>37</v>
      </c>
      <c r="K552" s="6">
        <v>10.0</v>
      </c>
      <c r="L552" s="5"/>
      <c r="M552" s="5"/>
      <c r="N552" s="6" t="s">
        <v>40</v>
      </c>
      <c r="O552" s="5" t="s">
        <v>5363</v>
      </c>
      <c r="P552" s="6" t="s">
        <v>42</v>
      </c>
      <c r="Q552" s="5" t="s">
        <v>1237</v>
      </c>
      <c r="R552" s="5" t="s">
        <v>7563</v>
      </c>
      <c r="S552" s="6" t="s">
        <v>86</v>
      </c>
      <c r="T552" s="6">
        <v>6596.0</v>
      </c>
    </row>
    <row r="553" ht="56.25" customHeight="1">
      <c r="A553" s="5" t="s">
        <v>7529</v>
      </c>
      <c r="B553" s="6" t="str">
        <f>image("https://storage.googleapis.com/acdb/photos/BromideNpcNmlMus08_Remake_7_0.png")</f>
        <v/>
      </c>
      <c r="C553" s="5" t="s">
        <v>151</v>
      </c>
      <c r="D553" s="5" t="s">
        <v>1327</v>
      </c>
      <c r="E553" s="5" t="s">
        <v>34</v>
      </c>
      <c r="F553" s="5" t="s">
        <v>34</v>
      </c>
      <c r="G553" s="5" t="s">
        <v>36</v>
      </c>
      <c r="H553" s="5" t="s">
        <v>35</v>
      </c>
      <c r="I553" s="6">
        <v>1.0</v>
      </c>
      <c r="J553" s="6" t="s">
        <v>37</v>
      </c>
      <c r="K553" s="6">
        <v>10.0</v>
      </c>
      <c r="L553" s="5"/>
      <c r="M553" s="5"/>
      <c r="N553" s="6" t="s">
        <v>40</v>
      </c>
      <c r="O553" s="5" t="s">
        <v>5363</v>
      </c>
      <c r="P553" s="6" t="s">
        <v>42</v>
      </c>
      <c r="Q553" s="5" t="s">
        <v>1237</v>
      </c>
      <c r="R553" s="5" t="s">
        <v>7566</v>
      </c>
      <c r="S553" s="6" t="s">
        <v>208</v>
      </c>
      <c r="T553" s="6">
        <v>6596.0</v>
      </c>
    </row>
    <row r="554" ht="56.25" customHeight="1">
      <c r="A554" s="5" t="s">
        <v>7568</v>
      </c>
      <c r="B554" s="6" t="str">
        <f>image("https://storage.googleapis.com/acdb/photos/BromideNpcNmlRbt16_Remake_0_0.png")</f>
        <v/>
      </c>
      <c r="C554" s="5" t="s">
        <v>366</v>
      </c>
      <c r="D554" s="5" t="s">
        <v>1327</v>
      </c>
      <c r="E554" s="5" t="s">
        <v>34</v>
      </c>
      <c r="F554" s="5" t="s">
        <v>34</v>
      </c>
      <c r="G554" s="5" t="s">
        <v>36</v>
      </c>
      <c r="H554" s="5" t="s">
        <v>35</v>
      </c>
      <c r="I554" s="6">
        <v>1.0</v>
      </c>
      <c r="J554" s="6" t="s">
        <v>37</v>
      </c>
      <c r="K554" s="6">
        <v>10.0</v>
      </c>
      <c r="L554" s="5"/>
      <c r="M554" s="5"/>
      <c r="N554" s="6" t="s">
        <v>40</v>
      </c>
      <c r="O554" s="5" t="s">
        <v>5363</v>
      </c>
      <c r="P554" s="6" t="s">
        <v>42</v>
      </c>
      <c r="Q554" s="5" t="s">
        <v>1237</v>
      </c>
      <c r="R554" s="5" t="s">
        <v>7573</v>
      </c>
      <c r="S554" s="6" t="s">
        <v>50</v>
      </c>
      <c r="T554" s="6">
        <v>6679.0</v>
      </c>
    </row>
    <row r="555" ht="56.25" customHeight="1">
      <c r="A555" s="5" t="s">
        <v>7568</v>
      </c>
      <c r="B555" s="6" t="str">
        <f>image("https://storage.googleapis.com/acdb/photos/BromideNpcNmlRbt16_Remake_1_0.png")</f>
        <v/>
      </c>
      <c r="C555" s="5" t="s">
        <v>1132</v>
      </c>
      <c r="D555" s="5" t="s">
        <v>1327</v>
      </c>
      <c r="E555" s="5" t="s">
        <v>34</v>
      </c>
      <c r="F555" s="5" t="s">
        <v>34</v>
      </c>
      <c r="G555" s="5" t="s">
        <v>36</v>
      </c>
      <c r="H555" s="5" t="s">
        <v>35</v>
      </c>
      <c r="I555" s="6">
        <v>1.0</v>
      </c>
      <c r="J555" s="6" t="s">
        <v>37</v>
      </c>
      <c r="K555" s="6">
        <v>10.0</v>
      </c>
      <c r="L555" s="5"/>
      <c r="M555" s="5"/>
      <c r="N555" s="6" t="s">
        <v>40</v>
      </c>
      <c r="O555" s="5" t="s">
        <v>5363</v>
      </c>
      <c r="P555" s="6" t="s">
        <v>42</v>
      </c>
      <c r="Q555" s="5" t="s">
        <v>1237</v>
      </c>
      <c r="R555" s="5" t="s">
        <v>7577</v>
      </c>
      <c r="S555" s="6" t="s">
        <v>56</v>
      </c>
      <c r="T555" s="6">
        <v>6679.0</v>
      </c>
    </row>
    <row r="556" ht="56.25" customHeight="1">
      <c r="A556" s="5" t="s">
        <v>7568</v>
      </c>
      <c r="B556" s="6" t="str">
        <f>image("https://storage.googleapis.com/acdb/photos/BromideNpcNmlRbt16_Remake_2_0.png")</f>
        <v/>
      </c>
      <c r="C556" s="5" t="s">
        <v>688</v>
      </c>
      <c r="D556" s="5" t="s">
        <v>1327</v>
      </c>
      <c r="E556" s="5" t="s">
        <v>34</v>
      </c>
      <c r="F556" s="5" t="s">
        <v>34</v>
      </c>
      <c r="G556" s="5" t="s">
        <v>36</v>
      </c>
      <c r="H556" s="5" t="s">
        <v>35</v>
      </c>
      <c r="I556" s="6">
        <v>1.0</v>
      </c>
      <c r="J556" s="6" t="s">
        <v>37</v>
      </c>
      <c r="K556" s="6">
        <v>10.0</v>
      </c>
      <c r="L556" s="5"/>
      <c r="M556" s="5"/>
      <c r="N556" s="6" t="s">
        <v>40</v>
      </c>
      <c r="O556" s="5" t="s">
        <v>5363</v>
      </c>
      <c r="P556" s="6" t="s">
        <v>42</v>
      </c>
      <c r="Q556" s="5" t="s">
        <v>1237</v>
      </c>
      <c r="R556" s="5" t="s">
        <v>7583</v>
      </c>
      <c r="S556" s="6" t="s">
        <v>67</v>
      </c>
      <c r="T556" s="6">
        <v>6679.0</v>
      </c>
    </row>
    <row r="557" ht="56.25" customHeight="1">
      <c r="A557" s="5" t="s">
        <v>7568</v>
      </c>
      <c r="B557" s="6" t="str">
        <f>image("https://storage.googleapis.com/acdb/photos/BromideNpcNmlRbt16_Remake_3_0.png")</f>
        <v/>
      </c>
      <c r="C557" s="5" t="s">
        <v>57</v>
      </c>
      <c r="D557" s="5" t="s">
        <v>1327</v>
      </c>
      <c r="E557" s="5" t="s">
        <v>34</v>
      </c>
      <c r="F557" s="5" t="s">
        <v>34</v>
      </c>
      <c r="G557" s="5" t="s">
        <v>36</v>
      </c>
      <c r="H557" s="5" t="s">
        <v>35</v>
      </c>
      <c r="I557" s="6">
        <v>1.0</v>
      </c>
      <c r="J557" s="6" t="s">
        <v>37</v>
      </c>
      <c r="K557" s="6">
        <v>10.0</v>
      </c>
      <c r="L557" s="5"/>
      <c r="M557" s="5"/>
      <c r="N557" s="6" t="s">
        <v>40</v>
      </c>
      <c r="O557" s="5" t="s">
        <v>5363</v>
      </c>
      <c r="P557" s="6" t="s">
        <v>42</v>
      </c>
      <c r="Q557" s="5" t="s">
        <v>1237</v>
      </c>
      <c r="R557" s="5" t="s">
        <v>7586</v>
      </c>
      <c r="S557" s="6" t="s">
        <v>71</v>
      </c>
      <c r="T557" s="6">
        <v>6679.0</v>
      </c>
    </row>
    <row r="558" ht="56.25" customHeight="1">
      <c r="A558" s="5" t="s">
        <v>7568</v>
      </c>
      <c r="B558" s="6" t="str">
        <f>image("https://storage.googleapis.com/acdb/photos/BromideNpcNmlRbt16_Remake_4_0.png")</f>
        <v/>
      </c>
      <c r="C558" s="5" t="s">
        <v>1167</v>
      </c>
      <c r="D558" s="5" t="s">
        <v>1327</v>
      </c>
      <c r="E558" s="5" t="s">
        <v>34</v>
      </c>
      <c r="F558" s="5" t="s">
        <v>34</v>
      </c>
      <c r="G558" s="5" t="s">
        <v>36</v>
      </c>
      <c r="H558" s="5" t="s">
        <v>35</v>
      </c>
      <c r="I558" s="6">
        <v>1.0</v>
      </c>
      <c r="J558" s="6" t="s">
        <v>37</v>
      </c>
      <c r="K558" s="6">
        <v>10.0</v>
      </c>
      <c r="L558" s="5"/>
      <c r="M558" s="5"/>
      <c r="N558" s="6" t="s">
        <v>40</v>
      </c>
      <c r="O558" s="5" t="s">
        <v>5363</v>
      </c>
      <c r="P558" s="6" t="s">
        <v>42</v>
      </c>
      <c r="Q558" s="5" t="s">
        <v>1237</v>
      </c>
      <c r="R558" s="5" t="s">
        <v>7592</v>
      </c>
      <c r="S558" s="6" t="s">
        <v>75</v>
      </c>
      <c r="T558" s="6">
        <v>6679.0</v>
      </c>
    </row>
    <row r="559" ht="56.25" customHeight="1">
      <c r="A559" s="5" t="s">
        <v>7568</v>
      </c>
      <c r="B559" s="6" t="str">
        <f>image("https://storage.googleapis.com/acdb/photos/BromideNpcNmlRbt16_Remake_5_0.png")</f>
        <v/>
      </c>
      <c r="C559" s="5" t="s">
        <v>58</v>
      </c>
      <c r="D559" s="5" t="s">
        <v>1327</v>
      </c>
      <c r="E559" s="5" t="s">
        <v>34</v>
      </c>
      <c r="F559" s="5" t="s">
        <v>34</v>
      </c>
      <c r="G559" s="5" t="s">
        <v>36</v>
      </c>
      <c r="H559" s="5" t="s">
        <v>35</v>
      </c>
      <c r="I559" s="6">
        <v>1.0</v>
      </c>
      <c r="J559" s="6" t="s">
        <v>37</v>
      </c>
      <c r="K559" s="6">
        <v>10.0</v>
      </c>
      <c r="L559" s="5"/>
      <c r="M559" s="5"/>
      <c r="N559" s="6" t="s">
        <v>40</v>
      </c>
      <c r="O559" s="5" t="s">
        <v>5363</v>
      </c>
      <c r="P559" s="6" t="s">
        <v>42</v>
      </c>
      <c r="Q559" s="5" t="s">
        <v>1237</v>
      </c>
      <c r="R559" s="5" t="s">
        <v>7596</v>
      </c>
      <c r="S559" s="6" t="s">
        <v>79</v>
      </c>
      <c r="T559" s="6">
        <v>6679.0</v>
      </c>
    </row>
    <row r="560" ht="56.25" customHeight="1">
      <c r="A560" s="5" t="s">
        <v>7568</v>
      </c>
      <c r="B560" s="6" t="str">
        <f>image("https://storage.googleapis.com/acdb/photos/BromideNpcNmlRbt16_Remake_6_0.png")</f>
        <v/>
      </c>
      <c r="C560" s="5" t="s">
        <v>146</v>
      </c>
      <c r="D560" s="5" t="s">
        <v>1327</v>
      </c>
      <c r="E560" s="5" t="s">
        <v>34</v>
      </c>
      <c r="F560" s="5" t="s">
        <v>34</v>
      </c>
      <c r="G560" s="5" t="s">
        <v>36</v>
      </c>
      <c r="H560" s="5" t="s">
        <v>35</v>
      </c>
      <c r="I560" s="6">
        <v>1.0</v>
      </c>
      <c r="J560" s="6" t="s">
        <v>37</v>
      </c>
      <c r="K560" s="6">
        <v>10.0</v>
      </c>
      <c r="L560" s="5"/>
      <c r="M560" s="5"/>
      <c r="N560" s="6" t="s">
        <v>40</v>
      </c>
      <c r="O560" s="5" t="s">
        <v>5363</v>
      </c>
      <c r="P560" s="6" t="s">
        <v>42</v>
      </c>
      <c r="Q560" s="5" t="s">
        <v>1237</v>
      </c>
      <c r="R560" s="5" t="s">
        <v>7601</v>
      </c>
      <c r="S560" s="6" t="s">
        <v>86</v>
      </c>
      <c r="T560" s="6">
        <v>6679.0</v>
      </c>
    </row>
    <row r="561" ht="56.25" customHeight="1">
      <c r="A561" s="5" t="s">
        <v>7568</v>
      </c>
      <c r="B561" s="6" t="str">
        <f>image("https://storage.googleapis.com/acdb/photos/BromideNpcNmlRbt16_Remake_7_0.png")</f>
        <v/>
      </c>
      <c r="C561" s="5" t="s">
        <v>151</v>
      </c>
      <c r="D561" s="5" t="s">
        <v>1327</v>
      </c>
      <c r="E561" s="5" t="s">
        <v>34</v>
      </c>
      <c r="F561" s="5" t="s">
        <v>34</v>
      </c>
      <c r="G561" s="5" t="s">
        <v>36</v>
      </c>
      <c r="H561" s="5" t="s">
        <v>35</v>
      </c>
      <c r="I561" s="6">
        <v>1.0</v>
      </c>
      <c r="J561" s="6" t="s">
        <v>37</v>
      </c>
      <c r="K561" s="6">
        <v>10.0</v>
      </c>
      <c r="L561" s="5"/>
      <c r="M561" s="5"/>
      <c r="N561" s="6" t="s">
        <v>40</v>
      </c>
      <c r="O561" s="5" t="s">
        <v>5363</v>
      </c>
      <c r="P561" s="6" t="s">
        <v>42</v>
      </c>
      <c r="Q561" s="5" t="s">
        <v>1237</v>
      </c>
      <c r="R561" s="5" t="s">
        <v>7605</v>
      </c>
      <c r="S561" s="6" t="s">
        <v>208</v>
      </c>
      <c r="T561" s="6">
        <v>6679.0</v>
      </c>
    </row>
    <row r="562" ht="56.25" customHeight="1">
      <c r="A562" s="5" t="s">
        <v>7608</v>
      </c>
      <c r="B562" s="6" t="str">
        <f>image("https://storage.googleapis.com/acdb/photos/BromideNpcNmlSqu06_Remake_0_0.png")</f>
        <v/>
      </c>
      <c r="C562" s="5" t="s">
        <v>366</v>
      </c>
      <c r="D562" s="5" t="s">
        <v>1327</v>
      </c>
      <c r="E562" s="5" t="s">
        <v>34</v>
      </c>
      <c r="F562" s="5" t="s">
        <v>34</v>
      </c>
      <c r="G562" s="5" t="s">
        <v>36</v>
      </c>
      <c r="H562" s="5" t="s">
        <v>35</v>
      </c>
      <c r="I562" s="6">
        <v>1.0</v>
      </c>
      <c r="J562" s="6" t="s">
        <v>37</v>
      </c>
      <c r="K562" s="6">
        <v>10.0</v>
      </c>
      <c r="L562" s="5"/>
      <c r="M562" s="5"/>
      <c r="N562" s="6" t="s">
        <v>40</v>
      </c>
      <c r="O562" s="5" t="s">
        <v>5363</v>
      </c>
      <c r="P562" s="6" t="s">
        <v>42</v>
      </c>
      <c r="Q562" s="5" t="s">
        <v>1237</v>
      </c>
      <c r="R562" s="5" t="s">
        <v>7611</v>
      </c>
      <c r="S562" s="6" t="s">
        <v>50</v>
      </c>
      <c r="T562" s="6">
        <v>6710.0</v>
      </c>
    </row>
    <row r="563" ht="56.25" customHeight="1">
      <c r="A563" s="5" t="s">
        <v>7608</v>
      </c>
      <c r="B563" s="6" t="str">
        <f>image("https://storage.googleapis.com/acdb/photos/BromideNpcNmlSqu06_Remake_1_0.png")</f>
        <v/>
      </c>
      <c r="C563" s="5" t="s">
        <v>1132</v>
      </c>
      <c r="D563" s="5" t="s">
        <v>1327</v>
      </c>
      <c r="E563" s="5" t="s">
        <v>34</v>
      </c>
      <c r="F563" s="5" t="s">
        <v>34</v>
      </c>
      <c r="G563" s="5" t="s">
        <v>36</v>
      </c>
      <c r="H563" s="5" t="s">
        <v>35</v>
      </c>
      <c r="I563" s="6">
        <v>1.0</v>
      </c>
      <c r="J563" s="6" t="s">
        <v>37</v>
      </c>
      <c r="K563" s="6">
        <v>10.0</v>
      </c>
      <c r="L563" s="5"/>
      <c r="M563" s="5"/>
      <c r="N563" s="6" t="s">
        <v>40</v>
      </c>
      <c r="O563" s="5" t="s">
        <v>5363</v>
      </c>
      <c r="P563" s="6" t="s">
        <v>42</v>
      </c>
      <c r="Q563" s="5" t="s">
        <v>1237</v>
      </c>
      <c r="R563" s="5" t="s">
        <v>7615</v>
      </c>
      <c r="S563" s="6" t="s">
        <v>56</v>
      </c>
      <c r="T563" s="6">
        <v>6710.0</v>
      </c>
    </row>
    <row r="564" ht="56.25" customHeight="1">
      <c r="A564" s="5" t="s">
        <v>7608</v>
      </c>
      <c r="B564" s="6" t="str">
        <f>image("https://storage.googleapis.com/acdb/photos/BromideNpcNmlSqu06_Remake_2_0.png")</f>
        <v/>
      </c>
      <c r="C564" s="5" t="s">
        <v>688</v>
      </c>
      <c r="D564" s="5" t="s">
        <v>1327</v>
      </c>
      <c r="E564" s="5" t="s">
        <v>34</v>
      </c>
      <c r="F564" s="5" t="s">
        <v>34</v>
      </c>
      <c r="G564" s="5" t="s">
        <v>36</v>
      </c>
      <c r="H564" s="5" t="s">
        <v>35</v>
      </c>
      <c r="I564" s="6">
        <v>1.0</v>
      </c>
      <c r="J564" s="6" t="s">
        <v>37</v>
      </c>
      <c r="K564" s="6">
        <v>10.0</v>
      </c>
      <c r="L564" s="5"/>
      <c r="M564" s="5"/>
      <c r="N564" s="6" t="s">
        <v>40</v>
      </c>
      <c r="O564" s="5" t="s">
        <v>5363</v>
      </c>
      <c r="P564" s="6" t="s">
        <v>42</v>
      </c>
      <c r="Q564" s="5" t="s">
        <v>1237</v>
      </c>
      <c r="R564" s="5" t="s">
        <v>7621</v>
      </c>
      <c r="S564" s="6" t="s">
        <v>67</v>
      </c>
      <c r="T564" s="6">
        <v>6710.0</v>
      </c>
    </row>
    <row r="565" ht="56.25" customHeight="1">
      <c r="A565" s="5" t="s">
        <v>7608</v>
      </c>
      <c r="B565" s="6" t="str">
        <f>image("https://storage.googleapis.com/acdb/photos/BromideNpcNmlSqu06_Remake_3_0.png")</f>
        <v/>
      </c>
      <c r="C565" s="5" t="s">
        <v>57</v>
      </c>
      <c r="D565" s="5" t="s">
        <v>1327</v>
      </c>
      <c r="E565" s="5" t="s">
        <v>34</v>
      </c>
      <c r="F565" s="5" t="s">
        <v>34</v>
      </c>
      <c r="G565" s="5" t="s">
        <v>36</v>
      </c>
      <c r="H565" s="5" t="s">
        <v>35</v>
      </c>
      <c r="I565" s="6">
        <v>1.0</v>
      </c>
      <c r="J565" s="6" t="s">
        <v>37</v>
      </c>
      <c r="K565" s="6">
        <v>10.0</v>
      </c>
      <c r="L565" s="5"/>
      <c r="M565" s="5"/>
      <c r="N565" s="6" t="s">
        <v>40</v>
      </c>
      <c r="O565" s="5" t="s">
        <v>5363</v>
      </c>
      <c r="P565" s="6" t="s">
        <v>42</v>
      </c>
      <c r="Q565" s="5" t="s">
        <v>1237</v>
      </c>
      <c r="R565" s="5" t="s">
        <v>7627</v>
      </c>
      <c r="S565" s="6" t="s">
        <v>71</v>
      </c>
      <c r="T565" s="6">
        <v>6710.0</v>
      </c>
    </row>
    <row r="566" ht="56.25" customHeight="1">
      <c r="A566" s="5" t="s">
        <v>7608</v>
      </c>
      <c r="B566" s="6" t="str">
        <f>image("https://storage.googleapis.com/acdb/photos/BromideNpcNmlSqu06_Remake_4_0.png")</f>
        <v/>
      </c>
      <c r="C566" s="5" t="s">
        <v>1167</v>
      </c>
      <c r="D566" s="5" t="s">
        <v>1327</v>
      </c>
      <c r="E566" s="5" t="s">
        <v>34</v>
      </c>
      <c r="F566" s="5" t="s">
        <v>34</v>
      </c>
      <c r="G566" s="5" t="s">
        <v>36</v>
      </c>
      <c r="H566" s="5" t="s">
        <v>35</v>
      </c>
      <c r="I566" s="6">
        <v>1.0</v>
      </c>
      <c r="J566" s="6" t="s">
        <v>37</v>
      </c>
      <c r="K566" s="6">
        <v>10.0</v>
      </c>
      <c r="L566" s="5"/>
      <c r="M566" s="5"/>
      <c r="N566" s="6" t="s">
        <v>40</v>
      </c>
      <c r="O566" s="5" t="s">
        <v>5363</v>
      </c>
      <c r="P566" s="6" t="s">
        <v>42</v>
      </c>
      <c r="Q566" s="5" t="s">
        <v>1237</v>
      </c>
      <c r="R566" s="5" t="s">
        <v>7631</v>
      </c>
      <c r="S566" s="6" t="s">
        <v>75</v>
      </c>
      <c r="T566" s="6">
        <v>6710.0</v>
      </c>
    </row>
    <row r="567" ht="56.25" customHeight="1">
      <c r="A567" s="5" t="s">
        <v>7608</v>
      </c>
      <c r="B567" s="6" t="str">
        <f>image("https://storage.googleapis.com/acdb/photos/BromideNpcNmlSqu06_Remake_5_0.png")</f>
        <v/>
      </c>
      <c r="C567" s="5" t="s">
        <v>58</v>
      </c>
      <c r="D567" s="5" t="s">
        <v>1327</v>
      </c>
      <c r="E567" s="5" t="s">
        <v>34</v>
      </c>
      <c r="F567" s="5" t="s">
        <v>34</v>
      </c>
      <c r="G567" s="5" t="s">
        <v>36</v>
      </c>
      <c r="H567" s="5" t="s">
        <v>35</v>
      </c>
      <c r="I567" s="6">
        <v>1.0</v>
      </c>
      <c r="J567" s="6" t="s">
        <v>37</v>
      </c>
      <c r="K567" s="6">
        <v>10.0</v>
      </c>
      <c r="L567" s="5"/>
      <c r="M567" s="5"/>
      <c r="N567" s="6" t="s">
        <v>40</v>
      </c>
      <c r="O567" s="5" t="s">
        <v>5363</v>
      </c>
      <c r="P567" s="6" t="s">
        <v>42</v>
      </c>
      <c r="Q567" s="5" t="s">
        <v>1237</v>
      </c>
      <c r="R567" s="5" t="s">
        <v>7637</v>
      </c>
      <c r="S567" s="6" t="s">
        <v>79</v>
      </c>
      <c r="T567" s="6">
        <v>6710.0</v>
      </c>
    </row>
    <row r="568" ht="56.25" customHeight="1">
      <c r="A568" s="5" t="s">
        <v>7608</v>
      </c>
      <c r="B568" s="6" t="str">
        <f>image("https://storage.googleapis.com/acdb/photos/BromideNpcNmlSqu06_Remake_6_0.png")</f>
        <v/>
      </c>
      <c r="C568" s="5" t="s">
        <v>146</v>
      </c>
      <c r="D568" s="5" t="s">
        <v>1327</v>
      </c>
      <c r="E568" s="5" t="s">
        <v>34</v>
      </c>
      <c r="F568" s="5" t="s">
        <v>34</v>
      </c>
      <c r="G568" s="5" t="s">
        <v>36</v>
      </c>
      <c r="H568" s="5" t="s">
        <v>35</v>
      </c>
      <c r="I568" s="6">
        <v>1.0</v>
      </c>
      <c r="J568" s="6" t="s">
        <v>37</v>
      </c>
      <c r="K568" s="6">
        <v>10.0</v>
      </c>
      <c r="L568" s="5"/>
      <c r="M568" s="5"/>
      <c r="N568" s="6" t="s">
        <v>40</v>
      </c>
      <c r="O568" s="5" t="s">
        <v>5363</v>
      </c>
      <c r="P568" s="6" t="s">
        <v>42</v>
      </c>
      <c r="Q568" s="5" t="s">
        <v>1237</v>
      </c>
      <c r="R568" s="5" t="s">
        <v>7643</v>
      </c>
      <c r="S568" s="6" t="s">
        <v>86</v>
      </c>
      <c r="T568" s="6">
        <v>6710.0</v>
      </c>
    </row>
    <row r="569" ht="56.25" customHeight="1">
      <c r="A569" s="5" t="s">
        <v>7608</v>
      </c>
      <c r="B569" s="6" t="str">
        <f>image("https://storage.googleapis.com/acdb/photos/BromideNpcNmlSqu06_Remake_7_0.png")</f>
        <v/>
      </c>
      <c r="C569" s="5" t="s">
        <v>151</v>
      </c>
      <c r="D569" s="5" t="s">
        <v>1327</v>
      </c>
      <c r="E569" s="5" t="s">
        <v>34</v>
      </c>
      <c r="F569" s="5" t="s">
        <v>34</v>
      </c>
      <c r="G569" s="5" t="s">
        <v>36</v>
      </c>
      <c r="H569" s="5" t="s">
        <v>35</v>
      </c>
      <c r="I569" s="6">
        <v>1.0</v>
      </c>
      <c r="J569" s="6" t="s">
        <v>37</v>
      </c>
      <c r="K569" s="6">
        <v>10.0</v>
      </c>
      <c r="L569" s="5"/>
      <c r="M569" s="5"/>
      <c r="N569" s="6" t="s">
        <v>40</v>
      </c>
      <c r="O569" s="5" t="s">
        <v>5363</v>
      </c>
      <c r="P569" s="6" t="s">
        <v>42</v>
      </c>
      <c r="Q569" s="5" t="s">
        <v>1237</v>
      </c>
      <c r="R569" s="5" t="s">
        <v>7651</v>
      </c>
      <c r="S569" s="6" t="s">
        <v>208</v>
      </c>
      <c r="T569" s="6">
        <v>6710.0</v>
      </c>
    </row>
    <row r="570" ht="56.25" customHeight="1">
      <c r="A570" s="5" t="s">
        <v>7652</v>
      </c>
      <c r="B570" s="6" t="str">
        <f>image("https://storage.googleapis.com/acdb/photos/BromideNpcNmlKgr02_Remake_0_0.png")</f>
        <v/>
      </c>
      <c r="C570" s="5" t="s">
        <v>366</v>
      </c>
      <c r="D570" s="5" t="s">
        <v>1327</v>
      </c>
      <c r="E570" s="5" t="s">
        <v>34</v>
      </c>
      <c r="F570" s="5" t="s">
        <v>34</v>
      </c>
      <c r="G570" s="5" t="s">
        <v>36</v>
      </c>
      <c r="H570" s="5" t="s">
        <v>35</v>
      </c>
      <c r="I570" s="6">
        <v>1.0</v>
      </c>
      <c r="J570" s="6" t="s">
        <v>37</v>
      </c>
      <c r="K570" s="6">
        <v>10.0</v>
      </c>
      <c r="L570" s="5"/>
      <c r="M570" s="5"/>
      <c r="N570" s="6" t="s">
        <v>40</v>
      </c>
      <c r="O570" s="5" t="s">
        <v>5363</v>
      </c>
      <c r="P570" s="6" t="s">
        <v>42</v>
      </c>
      <c r="Q570" s="5" t="s">
        <v>1237</v>
      </c>
      <c r="R570" s="5" t="s">
        <v>7658</v>
      </c>
      <c r="S570" s="6" t="s">
        <v>50</v>
      </c>
      <c r="T570" s="6">
        <v>6566.0</v>
      </c>
    </row>
    <row r="571" ht="56.25" customHeight="1">
      <c r="A571" s="5" t="s">
        <v>7652</v>
      </c>
      <c r="B571" s="6" t="str">
        <f>image("https://storage.googleapis.com/acdb/photos/BromideNpcNmlKgr02_Remake_1_0.png")</f>
        <v/>
      </c>
      <c r="C571" s="5" t="s">
        <v>1132</v>
      </c>
      <c r="D571" s="5" t="s">
        <v>1327</v>
      </c>
      <c r="E571" s="5" t="s">
        <v>34</v>
      </c>
      <c r="F571" s="5" t="s">
        <v>34</v>
      </c>
      <c r="G571" s="5" t="s">
        <v>36</v>
      </c>
      <c r="H571" s="5" t="s">
        <v>35</v>
      </c>
      <c r="I571" s="6">
        <v>1.0</v>
      </c>
      <c r="J571" s="6" t="s">
        <v>37</v>
      </c>
      <c r="K571" s="6">
        <v>10.0</v>
      </c>
      <c r="L571" s="5"/>
      <c r="M571" s="5"/>
      <c r="N571" s="6" t="s">
        <v>40</v>
      </c>
      <c r="O571" s="5" t="s">
        <v>5363</v>
      </c>
      <c r="P571" s="6" t="s">
        <v>42</v>
      </c>
      <c r="Q571" s="5" t="s">
        <v>1237</v>
      </c>
      <c r="R571" s="5" t="s">
        <v>7664</v>
      </c>
      <c r="S571" s="6" t="s">
        <v>56</v>
      </c>
      <c r="T571" s="6">
        <v>6566.0</v>
      </c>
    </row>
    <row r="572" ht="56.25" customHeight="1">
      <c r="A572" s="5" t="s">
        <v>7652</v>
      </c>
      <c r="B572" s="6" t="str">
        <f>image("https://storage.googleapis.com/acdb/photos/BromideNpcNmlKgr02_Remake_2_0.png")</f>
        <v/>
      </c>
      <c r="C572" s="5" t="s">
        <v>688</v>
      </c>
      <c r="D572" s="5" t="s">
        <v>1327</v>
      </c>
      <c r="E572" s="5" t="s">
        <v>34</v>
      </c>
      <c r="F572" s="5" t="s">
        <v>34</v>
      </c>
      <c r="G572" s="5" t="s">
        <v>36</v>
      </c>
      <c r="H572" s="5" t="s">
        <v>35</v>
      </c>
      <c r="I572" s="6">
        <v>1.0</v>
      </c>
      <c r="J572" s="6" t="s">
        <v>37</v>
      </c>
      <c r="K572" s="6">
        <v>10.0</v>
      </c>
      <c r="L572" s="5"/>
      <c r="M572" s="5"/>
      <c r="N572" s="6" t="s">
        <v>40</v>
      </c>
      <c r="O572" s="5" t="s">
        <v>5363</v>
      </c>
      <c r="P572" s="6" t="s">
        <v>42</v>
      </c>
      <c r="Q572" s="5" t="s">
        <v>1237</v>
      </c>
      <c r="R572" s="5" t="s">
        <v>7668</v>
      </c>
      <c r="S572" s="6" t="s">
        <v>67</v>
      </c>
      <c r="T572" s="6">
        <v>6566.0</v>
      </c>
    </row>
    <row r="573" ht="56.25" customHeight="1">
      <c r="A573" s="5" t="s">
        <v>7652</v>
      </c>
      <c r="B573" s="6" t="str">
        <f>image("https://storage.googleapis.com/acdb/photos/BromideNpcNmlKgr02_Remake_3_0.png")</f>
        <v/>
      </c>
      <c r="C573" s="5" t="s">
        <v>57</v>
      </c>
      <c r="D573" s="5" t="s">
        <v>1327</v>
      </c>
      <c r="E573" s="5" t="s">
        <v>34</v>
      </c>
      <c r="F573" s="5" t="s">
        <v>34</v>
      </c>
      <c r="G573" s="5" t="s">
        <v>36</v>
      </c>
      <c r="H573" s="5" t="s">
        <v>35</v>
      </c>
      <c r="I573" s="6">
        <v>1.0</v>
      </c>
      <c r="J573" s="6" t="s">
        <v>37</v>
      </c>
      <c r="K573" s="6">
        <v>10.0</v>
      </c>
      <c r="L573" s="5"/>
      <c r="M573" s="5"/>
      <c r="N573" s="6" t="s">
        <v>40</v>
      </c>
      <c r="O573" s="5" t="s">
        <v>5363</v>
      </c>
      <c r="P573" s="6" t="s">
        <v>42</v>
      </c>
      <c r="Q573" s="5" t="s">
        <v>1237</v>
      </c>
      <c r="R573" s="5" t="s">
        <v>7674</v>
      </c>
      <c r="S573" s="6" t="s">
        <v>71</v>
      </c>
      <c r="T573" s="6">
        <v>6566.0</v>
      </c>
    </row>
    <row r="574" ht="56.25" customHeight="1">
      <c r="A574" s="5" t="s">
        <v>7652</v>
      </c>
      <c r="B574" s="6" t="str">
        <f>image("https://storage.googleapis.com/acdb/photos/BromideNpcNmlKgr02_Remake_4_0.png")</f>
        <v/>
      </c>
      <c r="C574" s="5" t="s">
        <v>1167</v>
      </c>
      <c r="D574" s="5" t="s">
        <v>1327</v>
      </c>
      <c r="E574" s="5" t="s">
        <v>34</v>
      </c>
      <c r="F574" s="5" t="s">
        <v>34</v>
      </c>
      <c r="G574" s="5" t="s">
        <v>36</v>
      </c>
      <c r="H574" s="5" t="s">
        <v>35</v>
      </c>
      <c r="I574" s="6">
        <v>1.0</v>
      </c>
      <c r="J574" s="6" t="s">
        <v>37</v>
      </c>
      <c r="K574" s="6">
        <v>10.0</v>
      </c>
      <c r="L574" s="5"/>
      <c r="M574" s="5"/>
      <c r="N574" s="6" t="s">
        <v>40</v>
      </c>
      <c r="O574" s="5" t="s">
        <v>5363</v>
      </c>
      <c r="P574" s="6" t="s">
        <v>42</v>
      </c>
      <c r="Q574" s="5" t="s">
        <v>1237</v>
      </c>
      <c r="R574" s="5" t="s">
        <v>7680</v>
      </c>
      <c r="S574" s="6" t="s">
        <v>75</v>
      </c>
      <c r="T574" s="6">
        <v>6566.0</v>
      </c>
    </row>
    <row r="575" ht="56.25" customHeight="1">
      <c r="A575" s="5" t="s">
        <v>7652</v>
      </c>
      <c r="B575" s="6" t="str">
        <f>image("https://storage.googleapis.com/acdb/photos/BromideNpcNmlKgr02_Remake_5_0.png")</f>
        <v/>
      </c>
      <c r="C575" s="5" t="s">
        <v>58</v>
      </c>
      <c r="D575" s="5" t="s">
        <v>1327</v>
      </c>
      <c r="E575" s="5" t="s">
        <v>34</v>
      </c>
      <c r="F575" s="5" t="s">
        <v>34</v>
      </c>
      <c r="G575" s="5" t="s">
        <v>36</v>
      </c>
      <c r="H575" s="5" t="s">
        <v>35</v>
      </c>
      <c r="I575" s="6">
        <v>1.0</v>
      </c>
      <c r="J575" s="6" t="s">
        <v>37</v>
      </c>
      <c r="K575" s="6">
        <v>10.0</v>
      </c>
      <c r="L575" s="5"/>
      <c r="M575" s="5"/>
      <c r="N575" s="6" t="s">
        <v>40</v>
      </c>
      <c r="O575" s="5" t="s">
        <v>5363</v>
      </c>
      <c r="P575" s="6" t="s">
        <v>42</v>
      </c>
      <c r="Q575" s="5" t="s">
        <v>1237</v>
      </c>
      <c r="R575" s="5" t="s">
        <v>7687</v>
      </c>
      <c r="S575" s="6" t="s">
        <v>79</v>
      </c>
      <c r="T575" s="6">
        <v>6566.0</v>
      </c>
    </row>
    <row r="576" ht="56.25" customHeight="1">
      <c r="A576" s="5" t="s">
        <v>7652</v>
      </c>
      <c r="B576" s="6" t="str">
        <f>image("https://storage.googleapis.com/acdb/photos/BromideNpcNmlKgr02_Remake_6_0.png")</f>
        <v/>
      </c>
      <c r="C576" s="5" t="s">
        <v>146</v>
      </c>
      <c r="D576" s="5" t="s">
        <v>1327</v>
      </c>
      <c r="E576" s="5" t="s">
        <v>34</v>
      </c>
      <c r="F576" s="5" t="s">
        <v>34</v>
      </c>
      <c r="G576" s="5" t="s">
        <v>36</v>
      </c>
      <c r="H576" s="5" t="s">
        <v>35</v>
      </c>
      <c r="I576" s="6">
        <v>1.0</v>
      </c>
      <c r="J576" s="6" t="s">
        <v>37</v>
      </c>
      <c r="K576" s="6">
        <v>10.0</v>
      </c>
      <c r="L576" s="5"/>
      <c r="M576" s="5"/>
      <c r="N576" s="6" t="s">
        <v>40</v>
      </c>
      <c r="O576" s="5" t="s">
        <v>5363</v>
      </c>
      <c r="P576" s="6" t="s">
        <v>42</v>
      </c>
      <c r="Q576" s="5" t="s">
        <v>1237</v>
      </c>
      <c r="R576" s="5" t="s">
        <v>7693</v>
      </c>
      <c r="S576" s="6" t="s">
        <v>86</v>
      </c>
      <c r="T576" s="6">
        <v>6566.0</v>
      </c>
    </row>
    <row r="577" ht="56.25" customHeight="1">
      <c r="A577" s="5" t="s">
        <v>7652</v>
      </c>
      <c r="B577" s="6" t="str">
        <f>image("https://storage.googleapis.com/acdb/photos/BromideNpcNmlKgr02_Remake_7_0.png")</f>
        <v/>
      </c>
      <c r="C577" s="5" t="s">
        <v>151</v>
      </c>
      <c r="D577" s="5" t="s">
        <v>1327</v>
      </c>
      <c r="E577" s="5" t="s">
        <v>34</v>
      </c>
      <c r="F577" s="5" t="s">
        <v>34</v>
      </c>
      <c r="G577" s="5" t="s">
        <v>36</v>
      </c>
      <c r="H577" s="5" t="s">
        <v>35</v>
      </c>
      <c r="I577" s="6">
        <v>1.0</v>
      </c>
      <c r="J577" s="6" t="s">
        <v>37</v>
      </c>
      <c r="K577" s="6">
        <v>10.0</v>
      </c>
      <c r="L577" s="5"/>
      <c r="M577" s="5"/>
      <c r="N577" s="6" t="s">
        <v>40</v>
      </c>
      <c r="O577" s="5" t="s">
        <v>5363</v>
      </c>
      <c r="P577" s="6" t="s">
        <v>42</v>
      </c>
      <c r="Q577" s="5" t="s">
        <v>1237</v>
      </c>
      <c r="R577" s="5" t="s">
        <v>7699</v>
      </c>
      <c r="S577" s="6" t="s">
        <v>208</v>
      </c>
      <c r="T577" s="6">
        <v>6566.0</v>
      </c>
    </row>
    <row r="578" ht="56.25" customHeight="1">
      <c r="A578" s="5" t="s">
        <v>7701</v>
      </c>
      <c r="B578" s="6" t="str">
        <f>image("https://storage.googleapis.com/acdb/photos/BromideNpcNmlShp04_Remake_0_0.png")</f>
        <v/>
      </c>
      <c r="C578" s="5" t="s">
        <v>366</v>
      </c>
      <c r="D578" s="5" t="s">
        <v>1327</v>
      </c>
      <c r="E578" s="5" t="s">
        <v>34</v>
      </c>
      <c r="F578" s="5" t="s">
        <v>34</v>
      </c>
      <c r="G578" s="5" t="s">
        <v>36</v>
      </c>
      <c r="H578" s="5" t="s">
        <v>35</v>
      </c>
      <c r="I578" s="6">
        <v>1.0</v>
      </c>
      <c r="J578" s="6" t="s">
        <v>37</v>
      </c>
      <c r="K578" s="6">
        <v>10.0</v>
      </c>
      <c r="L578" s="5"/>
      <c r="M578" s="5"/>
      <c r="N578" s="6" t="s">
        <v>40</v>
      </c>
      <c r="O578" s="5" t="s">
        <v>5363</v>
      </c>
      <c r="P578" s="6" t="s">
        <v>42</v>
      </c>
      <c r="Q578" s="5" t="s">
        <v>1237</v>
      </c>
      <c r="R578" s="5" t="s">
        <v>7706</v>
      </c>
      <c r="S578" s="6" t="s">
        <v>50</v>
      </c>
      <c r="T578" s="6">
        <v>6695.0</v>
      </c>
    </row>
    <row r="579" ht="56.25" customHeight="1">
      <c r="A579" s="5" t="s">
        <v>7701</v>
      </c>
      <c r="B579" s="6" t="str">
        <f>image("https://storage.googleapis.com/acdb/photos/BromideNpcNmlShp04_Remake_1_0.png")</f>
        <v/>
      </c>
      <c r="C579" s="5" t="s">
        <v>1132</v>
      </c>
      <c r="D579" s="5" t="s">
        <v>1327</v>
      </c>
      <c r="E579" s="5" t="s">
        <v>34</v>
      </c>
      <c r="F579" s="5" t="s">
        <v>34</v>
      </c>
      <c r="G579" s="5" t="s">
        <v>36</v>
      </c>
      <c r="H579" s="5" t="s">
        <v>35</v>
      </c>
      <c r="I579" s="6">
        <v>1.0</v>
      </c>
      <c r="J579" s="6" t="s">
        <v>37</v>
      </c>
      <c r="K579" s="6">
        <v>10.0</v>
      </c>
      <c r="L579" s="5"/>
      <c r="M579" s="5"/>
      <c r="N579" s="6" t="s">
        <v>40</v>
      </c>
      <c r="O579" s="5" t="s">
        <v>5363</v>
      </c>
      <c r="P579" s="6" t="s">
        <v>42</v>
      </c>
      <c r="Q579" s="5" t="s">
        <v>1237</v>
      </c>
      <c r="R579" s="5" t="s">
        <v>7712</v>
      </c>
      <c r="S579" s="6" t="s">
        <v>56</v>
      </c>
      <c r="T579" s="6">
        <v>6695.0</v>
      </c>
    </row>
    <row r="580" ht="56.25" customHeight="1">
      <c r="A580" s="5" t="s">
        <v>7701</v>
      </c>
      <c r="B580" s="6" t="str">
        <f>image("https://storage.googleapis.com/acdb/photos/BromideNpcNmlShp04_Remake_2_0.png")</f>
        <v/>
      </c>
      <c r="C580" s="5" t="s">
        <v>688</v>
      </c>
      <c r="D580" s="5" t="s">
        <v>1327</v>
      </c>
      <c r="E580" s="5" t="s">
        <v>34</v>
      </c>
      <c r="F580" s="5" t="s">
        <v>34</v>
      </c>
      <c r="G580" s="5" t="s">
        <v>36</v>
      </c>
      <c r="H580" s="5" t="s">
        <v>35</v>
      </c>
      <c r="I580" s="6">
        <v>1.0</v>
      </c>
      <c r="J580" s="6" t="s">
        <v>37</v>
      </c>
      <c r="K580" s="6">
        <v>10.0</v>
      </c>
      <c r="L580" s="5"/>
      <c r="M580" s="5"/>
      <c r="N580" s="6" t="s">
        <v>40</v>
      </c>
      <c r="O580" s="5" t="s">
        <v>5363</v>
      </c>
      <c r="P580" s="6" t="s">
        <v>42</v>
      </c>
      <c r="Q580" s="5" t="s">
        <v>1237</v>
      </c>
      <c r="R580" s="5" t="s">
        <v>7717</v>
      </c>
      <c r="S580" s="6" t="s">
        <v>67</v>
      </c>
      <c r="T580" s="6">
        <v>6695.0</v>
      </c>
    </row>
    <row r="581" ht="56.25" customHeight="1">
      <c r="A581" s="5" t="s">
        <v>7701</v>
      </c>
      <c r="B581" s="6" t="str">
        <f>image("https://storage.googleapis.com/acdb/photos/BromideNpcNmlShp04_Remake_3_0.png")</f>
        <v/>
      </c>
      <c r="C581" s="5" t="s">
        <v>57</v>
      </c>
      <c r="D581" s="5" t="s">
        <v>1327</v>
      </c>
      <c r="E581" s="5" t="s">
        <v>34</v>
      </c>
      <c r="F581" s="5" t="s">
        <v>34</v>
      </c>
      <c r="G581" s="5" t="s">
        <v>36</v>
      </c>
      <c r="H581" s="5" t="s">
        <v>35</v>
      </c>
      <c r="I581" s="6">
        <v>1.0</v>
      </c>
      <c r="J581" s="6" t="s">
        <v>37</v>
      </c>
      <c r="K581" s="6">
        <v>10.0</v>
      </c>
      <c r="L581" s="5"/>
      <c r="M581" s="5"/>
      <c r="N581" s="6" t="s">
        <v>40</v>
      </c>
      <c r="O581" s="5" t="s">
        <v>5363</v>
      </c>
      <c r="P581" s="6" t="s">
        <v>42</v>
      </c>
      <c r="Q581" s="5" t="s">
        <v>1237</v>
      </c>
      <c r="R581" s="5" t="s">
        <v>7724</v>
      </c>
      <c r="S581" s="6" t="s">
        <v>71</v>
      </c>
      <c r="T581" s="6">
        <v>6695.0</v>
      </c>
    </row>
    <row r="582" ht="56.25" customHeight="1">
      <c r="A582" s="5" t="s">
        <v>7701</v>
      </c>
      <c r="B582" s="6" t="str">
        <f>image("https://storage.googleapis.com/acdb/photos/BromideNpcNmlShp04_Remake_4_0.png")</f>
        <v/>
      </c>
      <c r="C582" s="5" t="s">
        <v>1167</v>
      </c>
      <c r="D582" s="5" t="s">
        <v>1327</v>
      </c>
      <c r="E582" s="5" t="s">
        <v>34</v>
      </c>
      <c r="F582" s="5" t="s">
        <v>34</v>
      </c>
      <c r="G582" s="5" t="s">
        <v>36</v>
      </c>
      <c r="H582" s="5" t="s">
        <v>35</v>
      </c>
      <c r="I582" s="6">
        <v>1.0</v>
      </c>
      <c r="J582" s="6" t="s">
        <v>37</v>
      </c>
      <c r="K582" s="6">
        <v>10.0</v>
      </c>
      <c r="L582" s="5"/>
      <c r="M582" s="5"/>
      <c r="N582" s="6" t="s">
        <v>40</v>
      </c>
      <c r="O582" s="5" t="s">
        <v>5363</v>
      </c>
      <c r="P582" s="6" t="s">
        <v>42</v>
      </c>
      <c r="Q582" s="5" t="s">
        <v>1237</v>
      </c>
      <c r="R582" s="5" t="s">
        <v>7730</v>
      </c>
      <c r="S582" s="6" t="s">
        <v>75</v>
      </c>
      <c r="T582" s="6">
        <v>6695.0</v>
      </c>
    </row>
    <row r="583" ht="56.25" customHeight="1">
      <c r="A583" s="5" t="s">
        <v>7701</v>
      </c>
      <c r="B583" s="6" t="str">
        <f>image("https://storage.googleapis.com/acdb/photos/BromideNpcNmlShp04_Remake_5_0.png")</f>
        <v/>
      </c>
      <c r="C583" s="5" t="s">
        <v>58</v>
      </c>
      <c r="D583" s="5" t="s">
        <v>1327</v>
      </c>
      <c r="E583" s="5" t="s">
        <v>34</v>
      </c>
      <c r="F583" s="5" t="s">
        <v>34</v>
      </c>
      <c r="G583" s="5" t="s">
        <v>36</v>
      </c>
      <c r="H583" s="5" t="s">
        <v>35</v>
      </c>
      <c r="I583" s="6">
        <v>1.0</v>
      </c>
      <c r="J583" s="6" t="s">
        <v>37</v>
      </c>
      <c r="K583" s="6">
        <v>10.0</v>
      </c>
      <c r="L583" s="5"/>
      <c r="M583" s="5"/>
      <c r="N583" s="6" t="s">
        <v>40</v>
      </c>
      <c r="O583" s="5" t="s">
        <v>5363</v>
      </c>
      <c r="P583" s="6" t="s">
        <v>42</v>
      </c>
      <c r="Q583" s="5" t="s">
        <v>1237</v>
      </c>
      <c r="R583" s="5" t="s">
        <v>7735</v>
      </c>
      <c r="S583" s="6" t="s">
        <v>79</v>
      </c>
      <c r="T583" s="6">
        <v>6695.0</v>
      </c>
    </row>
    <row r="584" ht="56.25" customHeight="1">
      <c r="A584" s="5" t="s">
        <v>7701</v>
      </c>
      <c r="B584" s="6" t="str">
        <f>image("https://storage.googleapis.com/acdb/photos/BromideNpcNmlShp04_Remake_6_0.png")</f>
        <v/>
      </c>
      <c r="C584" s="5" t="s">
        <v>146</v>
      </c>
      <c r="D584" s="5" t="s">
        <v>1327</v>
      </c>
      <c r="E584" s="5" t="s">
        <v>34</v>
      </c>
      <c r="F584" s="5" t="s">
        <v>34</v>
      </c>
      <c r="G584" s="5" t="s">
        <v>36</v>
      </c>
      <c r="H584" s="5" t="s">
        <v>35</v>
      </c>
      <c r="I584" s="6">
        <v>1.0</v>
      </c>
      <c r="J584" s="6" t="s">
        <v>37</v>
      </c>
      <c r="K584" s="6">
        <v>10.0</v>
      </c>
      <c r="L584" s="5"/>
      <c r="M584" s="5"/>
      <c r="N584" s="6" t="s">
        <v>40</v>
      </c>
      <c r="O584" s="5" t="s">
        <v>5363</v>
      </c>
      <c r="P584" s="6" t="s">
        <v>42</v>
      </c>
      <c r="Q584" s="5" t="s">
        <v>1237</v>
      </c>
      <c r="R584" s="5" t="s">
        <v>7741</v>
      </c>
      <c r="S584" s="6" t="s">
        <v>86</v>
      </c>
      <c r="T584" s="6">
        <v>6695.0</v>
      </c>
    </row>
    <row r="585" ht="56.25" customHeight="1">
      <c r="A585" s="5" t="s">
        <v>7701</v>
      </c>
      <c r="B585" s="6" t="str">
        <f>image("https://storage.googleapis.com/acdb/photos/BromideNpcNmlShp04_Remake_7_0.png")</f>
        <v/>
      </c>
      <c r="C585" s="5" t="s">
        <v>151</v>
      </c>
      <c r="D585" s="5" t="s">
        <v>1327</v>
      </c>
      <c r="E585" s="5" t="s">
        <v>34</v>
      </c>
      <c r="F585" s="5" t="s">
        <v>34</v>
      </c>
      <c r="G585" s="5" t="s">
        <v>36</v>
      </c>
      <c r="H585" s="5" t="s">
        <v>35</v>
      </c>
      <c r="I585" s="6">
        <v>1.0</v>
      </c>
      <c r="J585" s="6" t="s">
        <v>37</v>
      </c>
      <c r="K585" s="6">
        <v>10.0</v>
      </c>
      <c r="L585" s="5"/>
      <c r="M585" s="5"/>
      <c r="N585" s="6" t="s">
        <v>40</v>
      </c>
      <c r="O585" s="5" t="s">
        <v>5363</v>
      </c>
      <c r="P585" s="6" t="s">
        <v>42</v>
      </c>
      <c r="Q585" s="5" t="s">
        <v>1237</v>
      </c>
      <c r="R585" s="5" t="s">
        <v>7744</v>
      </c>
      <c r="S585" s="6" t="s">
        <v>208</v>
      </c>
      <c r="T585" s="6">
        <v>6695.0</v>
      </c>
    </row>
    <row r="586" ht="56.25" customHeight="1">
      <c r="A586" s="5" t="s">
        <v>7746</v>
      </c>
      <c r="B586" s="6" t="str">
        <f>image("https://storage.googleapis.com/acdb/photos/BromideNpcNmlPbr09_Remake_0_0.png")</f>
        <v/>
      </c>
      <c r="C586" s="5" t="s">
        <v>366</v>
      </c>
      <c r="D586" s="5" t="s">
        <v>1327</v>
      </c>
      <c r="E586" s="5" t="s">
        <v>34</v>
      </c>
      <c r="F586" s="5" t="s">
        <v>34</v>
      </c>
      <c r="G586" s="5" t="s">
        <v>36</v>
      </c>
      <c r="H586" s="5" t="s">
        <v>35</v>
      </c>
      <c r="I586" s="6">
        <v>1.0</v>
      </c>
      <c r="J586" s="6" t="s">
        <v>37</v>
      </c>
      <c r="K586" s="6">
        <v>10.0</v>
      </c>
      <c r="L586" s="5"/>
      <c r="M586" s="5"/>
      <c r="N586" s="6" t="s">
        <v>40</v>
      </c>
      <c r="O586" s="5" t="s">
        <v>5363</v>
      </c>
      <c r="P586" s="6" t="s">
        <v>42</v>
      </c>
      <c r="Q586" s="5" t="s">
        <v>1237</v>
      </c>
      <c r="R586" s="5" t="s">
        <v>7751</v>
      </c>
      <c r="S586" s="6" t="s">
        <v>50</v>
      </c>
      <c r="T586" s="6">
        <v>6629.0</v>
      </c>
    </row>
    <row r="587" ht="56.25" customHeight="1">
      <c r="A587" s="5" t="s">
        <v>7746</v>
      </c>
      <c r="B587" s="6" t="str">
        <f>image("https://storage.googleapis.com/acdb/photos/BromideNpcNmlPbr09_Remake_1_0.png")</f>
        <v/>
      </c>
      <c r="C587" s="5" t="s">
        <v>1132</v>
      </c>
      <c r="D587" s="5" t="s">
        <v>1327</v>
      </c>
      <c r="E587" s="5" t="s">
        <v>34</v>
      </c>
      <c r="F587" s="5" t="s">
        <v>34</v>
      </c>
      <c r="G587" s="5" t="s">
        <v>36</v>
      </c>
      <c r="H587" s="5" t="s">
        <v>35</v>
      </c>
      <c r="I587" s="6">
        <v>1.0</v>
      </c>
      <c r="J587" s="6" t="s">
        <v>37</v>
      </c>
      <c r="K587" s="6">
        <v>10.0</v>
      </c>
      <c r="L587" s="5"/>
      <c r="M587" s="5"/>
      <c r="N587" s="6" t="s">
        <v>40</v>
      </c>
      <c r="O587" s="5" t="s">
        <v>5363</v>
      </c>
      <c r="P587" s="6" t="s">
        <v>42</v>
      </c>
      <c r="Q587" s="5" t="s">
        <v>1237</v>
      </c>
      <c r="R587" s="5" t="s">
        <v>7758</v>
      </c>
      <c r="S587" s="6" t="s">
        <v>56</v>
      </c>
      <c r="T587" s="6">
        <v>6629.0</v>
      </c>
    </row>
    <row r="588" ht="56.25" customHeight="1">
      <c r="A588" s="5" t="s">
        <v>7746</v>
      </c>
      <c r="B588" s="6" t="str">
        <f>image("https://storage.googleapis.com/acdb/photos/BromideNpcNmlPbr09_Remake_2_0.png")</f>
        <v/>
      </c>
      <c r="C588" s="5" t="s">
        <v>688</v>
      </c>
      <c r="D588" s="5" t="s">
        <v>1327</v>
      </c>
      <c r="E588" s="5" t="s">
        <v>34</v>
      </c>
      <c r="F588" s="5" t="s">
        <v>34</v>
      </c>
      <c r="G588" s="5" t="s">
        <v>36</v>
      </c>
      <c r="H588" s="5" t="s">
        <v>35</v>
      </c>
      <c r="I588" s="6">
        <v>1.0</v>
      </c>
      <c r="J588" s="6" t="s">
        <v>37</v>
      </c>
      <c r="K588" s="6">
        <v>10.0</v>
      </c>
      <c r="L588" s="5"/>
      <c r="M588" s="5"/>
      <c r="N588" s="6" t="s">
        <v>40</v>
      </c>
      <c r="O588" s="5" t="s">
        <v>5363</v>
      </c>
      <c r="P588" s="6" t="s">
        <v>42</v>
      </c>
      <c r="Q588" s="5" t="s">
        <v>1237</v>
      </c>
      <c r="R588" s="5" t="s">
        <v>7765</v>
      </c>
      <c r="S588" s="6" t="s">
        <v>67</v>
      </c>
      <c r="T588" s="6">
        <v>6629.0</v>
      </c>
    </row>
    <row r="589" ht="56.25" customHeight="1">
      <c r="A589" s="5" t="s">
        <v>7746</v>
      </c>
      <c r="B589" s="6" t="str">
        <f>image("https://storage.googleapis.com/acdb/photos/BromideNpcNmlPbr09_Remake_3_0.png")</f>
        <v/>
      </c>
      <c r="C589" s="5" t="s">
        <v>57</v>
      </c>
      <c r="D589" s="5" t="s">
        <v>1327</v>
      </c>
      <c r="E589" s="5" t="s">
        <v>34</v>
      </c>
      <c r="F589" s="5" t="s">
        <v>34</v>
      </c>
      <c r="G589" s="5" t="s">
        <v>36</v>
      </c>
      <c r="H589" s="5" t="s">
        <v>35</v>
      </c>
      <c r="I589" s="6">
        <v>1.0</v>
      </c>
      <c r="J589" s="6" t="s">
        <v>37</v>
      </c>
      <c r="K589" s="6">
        <v>10.0</v>
      </c>
      <c r="L589" s="5"/>
      <c r="M589" s="5"/>
      <c r="N589" s="6" t="s">
        <v>40</v>
      </c>
      <c r="O589" s="5" t="s">
        <v>5363</v>
      </c>
      <c r="P589" s="6" t="s">
        <v>42</v>
      </c>
      <c r="Q589" s="5" t="s">
        <v>1237</v>
      </c>
      <c r="R589" s="5" t="s">
        <v>7771</v>
      </c>
      <c r="S589" s="6" t="s">
        <v>71</v>
      </c>
      <c r="T589" s="6">
        <v>6629.0</v>
      </c>
    </row>
    <row r="590" ht="56.25" customHeight="1">
      <c r="A590" s="5" t="s">
        <v>7746</v>
      </c>
      <c r="B590" s="6" t="str">
        <f>image("https://storage.googleapis.com/acdb/photos/BromideNpcNmlPbr09_Remake_4_0.png")</f>
        <v/>
      </c>
      <c r="C590" s="5" t="s">
        <v>1167</v>
      </c>
      <c r="D590" s="5" t="s">
        <v>1327</v>
      </c>
      <c r="E590" s="5" t="s">
        <v>34</v>
      </c>
      <c r="F590" s="5" t="s">
        <v>34</v>
      </c>
      <c r="G590" s="5" t="s">
        <v>36</v>
      </c>
      <c r="H590" s="5" t="s">
        <v>35</v>
      </c>
      <c r="I590" s="6">
        <v>1.0</v>
      </c>
      <c r="J590" s="6" t="s">
        <v>37</v>
      </c>
      <c r="K590" s="6">
        <v>10.0</v>
      </c>
      <c r="L590" s="5"/>
      <c r="M590" s="5"/>
      <c r="N590" s="6" t="s">
        <v>40</v>
      </c>
      <c r="O590" s="5" t="s">
        <v>5363</v>
      </c>
      <c r="P590" s="6" t="s">
        <v>42</v>
      </c>
      <c r="Q590" s="5" t="s">
        <v>1237</v>
      </c>
      <c r="R590" s="5" t="s">
        <v>7777</v>
      </c>
      <c r="S590" s="6" t="s">
        <v>75</v>
      </c>
      <c r="T590" s="6">
        <v>6629.0</v>
      </c>
    </row>
    <row r="591" ht="56.25" customHeight="1">
      <c r="A591" s="5" t="s">
        <v>7746</v>
      </c>
      <c r="B591" s="6" t="str">
        <f>image("https://storage.googleapis.com/acdb/photos/BromideNpcNmlPbr09_Remake_5_0.png")</f>
        <v/>
      </c>
      <c r="C591" s="5" t="s">
        <v>58</v>
      </c>
      <c r="D591" s="5" t="s">
        <v>1327</v>
      </c>
      <c r="E591" s="5" t="s">
        <v>34</v>
      </c>
      <c r="F591" s="5" t="s">
        <v>34</v>
      </c>
      <c r="G591" s="5" t="s">
        <v>36</v>
      </c>
      <c r="H591" s="5" t="s">
        <v>35</v>
      </c>
      <c r="I591" s="6">
        <v>1.0</v>
      </c>
      <c r="J591" s="6" t="s">
        <v>37</v>
      </c>
      <c r="K591" s="6">
        <v>10.0</v>
      </c>
      <c r="L591" s="5"/>
      <c r="M591" s="5"/>
      <c r="N591" s="6" t="s">
        <v>40</v>
      </c>
      <c r="O591" s="5" t="s">
        <v>5363</v>
      </c>
      <c r="P591" s="6" t="s">
        <v>42</v>
      </c>
      <c r="Q591" s="5" t="s">
        <v>1237</v>
      </c>
      <c r="R591" s="5" t="s">
        <v>7781</v>
      </c>
      <c r="S591" s="6" t="s">
        <v>79</v>
      </c>
      <c r="T591" s="6">
        <v>6629.0</v>
      </c>
    </row>
    <row r="592" ht="56.25" customHeight="1">
      <c r="A592" s="5" t="s">
        <v>7746</v>
      </c>
      <c r="B592" s="6" t="str">
        <f>image("https://storage.googleapis.com/acdb/photos/BromideNpcNmlPbr09_Remake_6_0.png")</f>
        <v/>
      </c>
      <c r="C592" s="5" t="s">
        <v>146</v>
      </c>
      <c r="D592" s="5" t="s">
        <v>1327</v>
      </c>
      <c r="E592" s="5" t="s">
        <v>34</v>
      </c>
      <c r="F592" s="5" t="s">
        <v>34</v>
      </c>
      <c r="G592" s="5" t="s">
        <v>36</v>
      </c>
      <c r="H592" s="5" t="s">
        <v>35</v>
      </c>
      <c r="I592" s="6">
        <v>1.0</v>
      </c>
      <c r="J592" s="6" t="s">
        <v>37</v>
      </c>
      <c r="K592" s="6">
        <v>10.0</v>
      </c>
      <c r="L592" s="5"/>
      <c r="M592" s="5"/>
      <c r="N592" s="6" t="s">
        <v>40</v>
      </c>
      <c r="O592" s="5" t="s">
        <v>5363</v>
      </c>
      <c r="P592" s="6" t="s">
        <v>42</v>
      </c>
      <c r="Q592" s="5" t="s">
        <v>1237</v>
      </c>
      <c r="R592" s="5" t="s">
        <v>7786</v>
      </c>
      <c r="S592" s="6" t="s">
        <v>86</v>
      </c>
      <c r="T592" s="6">
        <v>6629.0</v>
      </c>
    </row>
    <row r="593" ht="56.25" customHeight="1">
      <c r="A593" s="5" t="s">
        <v>7746</v>
      </c>
      <c r="B593" s="6" t="str">
        <f>image("https://storage.googleapis.com/acdb/photos/BromideNpcNmlPbr09_Remake_7_0.png")</f>
        <v/>
      </c>
      <c r="C593" s="5" t="s">
        <v>151</v>
      </c>
      <c r="D593" s="5" t="s">
        <v>1327</v>
      </c>
      <c r="E593" s="5" t="s">
        <v>34</v>
      </c>
      <c r="F593" s="5" t="s">
        <v>34</v>
      </c>
      <c r="G593" s="5" t="s">
        <v>36</v>
      </c>
      <c r="H593" s="5" t="s">
        <v>35</v>
      </c>
      <c r="I593" s="6">
        <v>1.0</v>
      </c>
      <c r="J593" s="6" t="s">
        <v>37</v>
      </c>
      <c r="K593" s="6">
        <v>10.0</v>
      </c>
      <c r="L593" s="5"/>
      <c r="M593" s="5"/>
      <c r="N593" s="6" t="s">
        <v>40</v>
      </c>
      <c r="O593" s="5" t="s">
        <v>5363</v>
      </c>
      <c r="P593" s="6" t="s">
        <v>42</v>
      </c>
      <c r="Q593" s="5" t="s">
        <v>1237</v>
      </c>
      <c r="R593" s="5" t="s">
        <v>7792</v>
      </c>
      <c r="S593" s="6" t="s">
        <v>208</v>
      </c>
      <c r="T593" s="6">
        <v>6629.0</v>
      </c>
    </row>
    <row r="594" ht="56.25" customHeight="1">
      <c r="A594" s="5" t="s">
        <v>7793</v>
      </c>
      <c r="B594" s="6" t="str">
        <f>image("https://storage.googleapis.com/acdb/photos/BromideNpcNmlGor00_Remake_0_0.png")</f>
        <v/>
      </c>
      <c r="C594" s="5" t="s">
        <v>366</v>
      </c>
      <c r="D594" s="5" t="s">
        <v>1327</v>
      </c>
      <c r="E594" s="5" t="s">
        <v>34</v>
      </c>
      <c r="F594" s="5" t="s">
        <v>34</v>
      </c>
      <c r="G594" s="5" t="s">
        <v>36</v>
      </c>
      <c r="H594" s="5" t="s">
        <v>35</v>
      </c>
      <c r="I594" s="6">
        <v>1.0</v>
      </c>
      <c r="J594" s="6" t="s">
        <v>37</v>
      </c>
      <c r="K594" s="6">
        <v>10.0</v>
      </c>
      <c r="L594" s="5"/>
      <c r="M594" s="5"/>
      <c r="N594" s="6" t="s">
        <v>40</v>
      </c>
      <c r="O594" s="5" t="s">
        <v>5363</v>
      </c>
      <c r="P594" s="6" t="s">
        <v>42</v>
      </c>
      <c r="Q594" s="5" t="s">
        <v>1237</v>
      </c>
      <c r="R594" s="5" t="s">
        <v>7797</v>
      </c>
      <c r="S594" s="6" t="s">
        <v>50</v>
      </c>
      <c r="T594" s="6">
        <v>6511.0</v>
      </c>
    </row>
    <row r="595" ht="56.25" customHeight="1">
      <c r="A595" s="5" t="s">
        <v>7793</v>
      </c>
      <c r="B595" s="6" t="str">
        <f>image("https://storage.googleapis.com/acdb/photos/BromideNpcNmlGor00_Remake_1_0.png")</f>
        <v/>
      </c>
      <c r="C595" s="5" t="s">
        <v>1132</v>
      </c>
      <c r="D595" s="5" t="s">
        <v>1327</v>
      </c>
      <c r="E595" s="5" t="s">
        <v>34</v>
      </c>
      <c r="F595" s="5" t="s">
        <v>34</v>
      </c>
      <c r="G595" s="5" t="s">
        <v>36</v>
      </c>
      <c r="H595" s="5" t="s">
        <v>35</v>
      </c>
      <c r="I595" s="6">
        <v>1.0</v>
      </c>
      <c r="J595" s="6" t="s">
        <v>37</v>
      </c>
      <c r="K595" s="6">
        <v>10.0</v>
      </c>
      <c r="L595" s="5"/>
      <c r="M595" s="5"/>
      <c r="N595" s="6" t="s">
        <v>40</v>
      </c>
      <c r="O595" s="5" t="s">
        <v>5363</v>
      </c>
      <c r="P595" s="6" t="s">
        <v>42</v>
      </c>
      <c r="Q595" s="5" t="s">
        <v>1237</v>
      </c>
      <c r="R595" s="5" t="s">
        <v>7803</v>
      </c>
      <c r="S595" s="6" t="s">
        <v>56</v>
      </c>
      <c r="T595" s="6">
        <v>6511.0</v>
      </c>
    </row>
    <row r="596" ht="56.25" customHeight="1">
      <c r="A596" s="5" t="s">
        <v>7793</v>
      </c>
      <c r="B596" s="6" t="str">
        <f>image("https://storage.googleapis.com/acdb/photos/BromideNpcNmlGor00_Remake_2_0.png")</f>
        <v/>
      </c>
      <c r="C596" s="5" t="s">
        <v>688</v>
      </c>
      <c r="D596" s="5" t="s">
        <v>1327</v>
      </c>
      <c r="E596" s="5" t="s">
        <v>34</v>
      </c>
      <c r="F596" s="5" t="s">
        <v>34</v>
      </c>
      <c r="G596" s="5" t="s">
        <v>36</v>
      </c>
      <c r="H596" s="5" t="s">
        <v>35</v>
      </c>
      <c r="I596" s="6">
        <v>1.0</v>
      </c>
      <c r="J596" s="6" t="s">
        <v>37</v>
      </c>
      <c r="K596" s="6">
        <v>10.0</v>
      </c>
      <c r="L596" s="5"/>
      <c r="M596" s="5"/>
      <c r="N596" s="6" t="s">
        <v>40</v>
      </c>
      <c r="O596" s="5" t="s">
        <v>5363</v>
      </c>
      <c r="P596" s="6" t="s">
        <v>42</v>
      </c>
      <c r="Q596" s="5" t="s">
        <v>1237</v>
      </c>
      <c r="R596" s="5" t="s">
        <v>7811</v>
      </c>
      <c r="S596" s="6" t="s">
        <v>67</v>
      </c>
      <c r="T596" s="6">
        <v>6511.0</v>
      </c>
    </row>
    <row r="597" ht="56.25" customHeight="1">
      <c r="A597" s="5" t="s">
        <v>7793</v>
      </c>
      <c r="B597" s="6" t="str">
        <f>image("https://storage.googleapis.com/acdb/photos/BromideNpcNmlGor00_Remake_3_0.png")</f>
        <v/>
      </c>
      <c r="C597" s="5" t="s">
        <v>57</v>
      </c>
      <c r="D597" s="5" t="s">
        <v>1327</v>
      </c>
      <c r="E597" s="5" t="s">
        <v>34</v>
      </c>
      <c r="F597" s="5" t="s">
        <v>34</v>
      </c>
      <c r="G597" s="5" t="s">
        <v>36</v>
      </c>
      <c r="H597" s="5" t="s">
        <v>35</v>
      </c>
      <c r="I597" s="6">
        <v>1.0</v>
      </c>
      <c r="J597" s="6" t="s">
        <v>37</v>
      </c>
      <c r="K597" s="6">
        <v>10.0</v>
      </c>
      <c r="L597" s="5"/>
      <c r="M597" s="5"/>
      <c r="N597" s="6" t="s">
        <v>40</v>
      </c>
      <c r="O597" s="5" t="s">
        <v>5363</v>
      </c>
      <c r="P597" s="6" t="s">
        <v>42</v>
      </c>
      <c r="Q597" s="5" t="s">
        <v>1237</v>
      </c>
      <c r="R597" s="5" t="s">
        <v>7816</v>
      </c>
      <c r="S597" s="6" t="s">
        <v>71</v>
      </c>
      <c r="T597" s="6">
        <v>6511.0</v>
      </c>
    </row>
    <row r="598" ht="56.25" customHeight="1">
      <c r="A598" s="5" t="s">
        <v>7793</v>
      </c>
      <c r="B598" s="6" t="str">
        <f>image("https://storage.googleapis.com/acdb/photos/BromideNpcNmlGor00_Remake_4_0.png")</f>
        <v/>
      </c>
      <c r="C598" s="5" t="s">
        <v>1167</v>
      </c>
      <c r="D598" s="5" t="s">
        <v>1327</v>
      </c>
      <c r="E598" s="5" t="s">
        <v>34</v>
      </c>
      <c r="F598" s="5" t="s">
        <v>34</v>
      </c>
      <c r="G598" s="5" t="s">
        <v>36</v>
      </c>
      <c r="H598" s="5" t="s">
        <v>35</v>
      </c>
      <c r="I598" s="6">
        <v>1.0</v>
      </c>
      <c r="J598" s="6" t="s">
        <v>37</v>
      </c>
      <c r="K598" s="6">
        <v>10.0</v>
      </c>
      <c r="L598" s="5"/>
      <c r="M598" s="5"/>
      <c r="N598" s="6" t="s">
        <v>40</v>
      </c>
      <c r="O598" s="5" t="s">
        <v>5363</v>
      </c>
      <c r="P598" s="6" t="s">
        <v>42</v>
      </c>
      <c r="Q598" s="5" t="s">
        <v>1237</v>
      </c>
      <c r="R598" s="5" t="s">
        <v>7822</v>
      </c>
      <c r="S598" s="6" t="s">
        <v>75</v>
      </c>
      <c r="T598" s="6">
        <v>6511.0</v>
      </c>
    </row>
    <row r="599" ht="56.25" customHeight="1">
      <c r="A599" s="5" t="s">
        <v>7793</v>
      </c>
      <c r="B599" s="6" t="str">
        <f>image("https://storage.googleapis.com/acdb/photos/BromideNpcNmlGor00_Remake_5_0.png")</f>
        <v/>
      </c>
      <c r="C599" s="5" t="s">
        <v>58</v>
      </c>
      <c r="D599" s="5" t="s">
        <v>1327</v>
      </c>
      <c r="E599" s="5" t="s">
        <v>34</v>
      </c>
      <c r="F599" s="5" t="s">
        <v>34</v>
      </c>
      <c r="G599" s="5" t="s">
        <v>36</v>
      </c>
      <c r="H599" s="5" t="s">
        <v>35</v>
      </c>
      <c r="I599" s="6">
        <v>1.0</v>
      </c>
      <c r="J599" s="6" t="s">
        <v>37</v>
      </c>
      <c r="K599" s="6">
        <v>10.0</v>
      </c>
      <c r="L599" s="5"/>
      <c r="M599" s="5"/>
      <c r="N599" s="6" t="s">
        <v>40</v>
      </c>
      <c r="O599" s="5" t="s">
        <v>5363</v>
      </c>
      <c r="P599" s="6" t="s">
        <v>42</v>
      </c>
      <c r="Q599" s="5" t="s">
        <v>1237</v>
      </c>
      <c r="R599" s="5" t="s">
        <v>7826</v>
      </c>
      <c r="S599" s="6" t="s">
        <v>79</v>
      </c>
      <c r="T599" s="6">
        <v>6511.0</v>
      </c>
    </row>
    <row r="600" ht="56.25" customHeight="1">
      <c r="A600" s="5" t="s">
        <v>7793</v>
      </c>
      <c r="B600" s="6" t="str">
        <f>image("https://storage.googleapis.com/acdb/photos/BromideNpcNmlGor00_Remake_6_0.png")</f>
        <v/>
      </c>
      <c r="C600" s="5" t="s">
        <v>146</v>
      </c>
      <c r="D600" s="5" t="s">
        <v>1327</v>
      </c>
      <c r="E600" s="5" t="s">
        <v>34</v>
      </c>
      <c r="F600" s="5" t="s">
        <v>34</v>
      </c>
      <c r="G600" s="5" t="s">
        <v>36</v>
      </c>
      <c r="H600" s="5" t="s">
        <v>35</v>
      </c>
      <c r="I600" s="6">
        <v>1.0</v>
      </c>
      <c r="J600" s="6" t="s">
        <v>37</v>
      </c>
      <c r="K600" s="6">
        <v>10.0</v>
      </c>
      <c r="L600" s="5"/>
      <c r="M600" s="5"/>
      <c r="N600" s="6" t="s">
        <v>40</v>
      </c>
      <c r="O600" s="5" t="s">
        <v>5363</v>
      </c>
      <c r="P600" s="6" t="s">
        <v>42</v>
      </c>
      <c r="Q600" s="5" t="s">
        <v>1237</v>
      </c>
      <c r="R600" s="5" t="s">
        <v>7830</v>
      </c>
      <c r="S600" s="6" t="s">
        <v>86</v>
      </c>
      <c r="T600" s="6">
        <v>6511.0</v>
      </c>
    </row>
    <row r="601" ht="56.25" customHeight="1">
      <c r="A601" s="5" t="s">
        <v>7793</v>
      </c>
      <c r="B601" s="6" t="str">
        <f>image("https://storage.googleapis.com/acdb/photos/BromideNpcNmlGor00_Remake_7_0.png")</f>
        <v/>
      </c>
      <c r="C601" s="5" t="s">
        <v>151</v>
      </c>
      <c r="D601" s="5" t="s">
        <v>1327</v>
      </c>
      <c r="E601" s="5" t="s">
        <v>34</v>
      </c>
      <c r="F601" s="5" t="s">
        <v>34</v>
      </c>
      <c r="G601" s="5" t="s">
        <v>36</v>
      </c>
      <c r="H601" s="5" t="s">
        <v>35</v>
      </c>
      <c r="I601" s="6">
        <v>1.0</v>
      </c>
      <c r="J601" s="6" t="s">
        <v>37</v>
      </c>
      <c r="K601" s="6">
        <v>10.0</v>
      </c>
      <c r="L601" s="5"/>
      <c r="M601" s="5"/>
      <c r="N601" s="6" t="s">
        <v>40</v>
      </c>
      <c r="O601" s="5" t="s">
        <v>5363</v>
      </c>
      <c r="P601" s="6" t="s">
        <v>42</v>
      </c>
      <c r="Q601" s="5" t="s">
        <v>1237</v>
      </c>
      <c r="R601" s="5" t="s">
        <v>7835</v>
      </c>
      <c r="S601" s="6" t="s">
        <v>208</v>
      </c>
      <c r="T601" s="6">
        <v>6511.0</v>
      </c>
    </row>
    <row r="602" ht="56.25" customHeight="1">
      <c r="A602" s="5" t="s">
        <v>7837</v>
      </c>
      <c r="B602" s="6" t="str">
        <f>image("https://storage.googleapis.com/acdb/photos/BromideNpcNmlMus18_Remake_0_0.png")</f>
        <v/>
      </c>
      <c r="C602" s="5" t="s">
        <v>366</v>
      </c>
      <c r="D602" s="5" t="s">
        <v>1327</v>
      </c>
      <c r="E602" s="5" t="s">
        <v>34</v>
      </c>
      <c r="F602" s="5" t="s">
        <v>34</v>
      </c>
      <c r="G602" s="5" t="s">
        <v>36</v>
      </c>
      <c r="H602" s="5" t="s">
        <v>35</v>
      </c>
      <c r="I602" s="6">
        <v>1.0</v>
      </c>
      <c r="J602" s="6" t="s">
        <v>37</v>
      </c>
      <c r="K602" s="6">
        <v>10.0</v>
      </c>
      <c r="L602" s="5"/>
      <c r="M602" s="5"/>
      <c r="N602" s="6" t="s">
        <v>40</v>
      </c>
      <c r="O602" s="5" t="s">
        <v>5363</v>
      </c>
      <c r="P602" s="6" t="s">
        <v>42</v>
      </c>
      <c r="Q602" s="5" t="s">
        <v>1237</v>
      </c>
      <c r="R602" s="5" t="s">
        <v>7841</v>
      </c>
      <c r="S602" s="6" t="s">
        <v>50</v>
      </c>
      <c r="T602" s="6">
        <v>6605.0</v>
      </c>
    </row>
    <row r="603" ht="56.25" customHeight="1">
      <c r="A603" s="5" t="s">
        <v>7837</v>
      </c>
      <c r="B603" s="6" t="str">
        <f>image("https://storage.googleapis.com/acdb/photos/BromideNpcNmlMus18_Remake_1_0.png")</f>
        <v/>
      </c>
      <c r="C603" s="5" t="s">
        <v>1132</v>
      </c>
      <c r="D603" s="5" t="s">
        <v>1327</v>
      </c>
      <c r="E603" s="5" t="s">
        <v>34</v>
      </c>
      <c r="F603" s="5" t="s">
        <v>34</v>
      </c>
      <c r="G603" s="5" t="s">
        <v>36</v>
      </c>
      <c r="H603" s="5" t="s">
        <v>35</v>
      </c>
      <c r="I603" s="6">
        <v>1.0</v>
      </c>
      <c r="J603" s="6" t="s">
        <v>37</v>
      </c>
      <c r="K603" s="6">
        <v>10.0</v>
      </c>
      <c r="L603" s="5"/>
      <c r="M603" s="5"/>
      <c r="N603" s="6" t="s">
        <v>40</v>
      </c>
      <c r="O603" s="5" t="s">
        <v>5363</v>
      </c>
      <c r="P603" s="6" t="s">
        <v>42</v>
      </c>
      <c r="Q603" s="5" t="s">
        <v>1237</v>
      </c>
      <c r="R603" s="5" t="s">
        <v>7845</v>
      </c>
      <c r="S603" s="6" t="s">
        <v>56</v>
      </c>
      <c r="T603" s="6">
        <v>6605.0</v>
      </c>
    </row>
    <row r="604" ht="56.25" customHeight="1">
      <c r="A604" s="5" t="s">
        <v>7837</v>
      </c>
      <c r="B604" s="6" t="str">
        <f>image("https://storage.googleapis.com/acdb/photos/BromideNpcNmlMus18_Remake_2_0.png")</f>
        <v/>
      </c>
      <c r="C604" s="5" t="s">
        <v>688</v>
      </c>
      <c r="D604" s="5" t="s">
        <v>1327</v>
      </c>
      <c r="E604" s="5" t="s">
        <v>34</v>
      </c>
      <c r="F604" s="5" t="s">
        <v>34</v>
      </c>
      <c r="G604" s="5" t="s">
        <v>36</v>
      </c>
      <c r="H604" s="5" t="s">
        <v>35</v>
      </c>
      <c r="I604" s="6">
        <v>1.0</v>
      </c>
      <c r="J604" s="6" t="s">
        <v>37</v>
      </c>
      <c r="K604" s="6">
        <v>10.0</v>
      </c>
      <c r="L604" s="5"/>
      <c r="M604" s="5"/>
      <c r="N604" s="6" t="s">
        <v>40</v>
      </c>
      <c r="O604" s="5" t="s">
        <v>5363</v>
      </c>
      <c r="P604" s="6" t="s">
        <v>42</v>
      </c>
      <c r="Q604" s="5" t="s">
        <v>1237</v>
      </c>
      <c r="R604" s="5" t="s">
        <v>7852</v>
      </c>
      <c r="S604" s="6" t="s">
        <v>67</v>
      </c>
      <c r="T604" s="6">
        <v>6605.0</v>
      </c>
    </row>
    <row r="605" ht="56.25" customHeight="1">
      <c r="A605" s="5" t="s">
        <v>7837</v>
      </c>
      <c r="B605" s="6" t="str">
        <f>image("https://storage.googleapis.com/acdb/photos/BromideNpcNmlMus18_Remake_3_0.png")</f>
        <v/>
      </c>
      <c r="C605" s="5" t="s">
        <v>57</v>
      </c>
      <c r="D605" s="5" t="s">
        <v>1327</v>
      </c>
      <c r="E605" s="5" t="s">
        <v>34</v>
      </c>
      <c r="F605" s="5" t="s">
        <v>34</v>
      </c>
      <c r="G605" s="5" t="s">
        <v>36</v>
      </c>
      <c r="H605" s="5" t="s">
        <v>35</v>
      </c>
      <c r="I605" s="6">
        <v>1.0</v>
      </c>
      <c r="J605" s="6" t="s">
        <v>37</v>
      </c>
      <c r="K605" s="6">
        <v>10.0</v>
      </c>
      <c r="L605" s="5"/>
      <c r="M605" s="5"/>
      <c r="N605" s="6" t="s">
        <v>40</v>
      </c>
      <c r="O605" s="5" t="s">
        <v>5363</v>
      </c>
      <c r="P605" s="6" t="s">
        <v>42</v>
      </c>
      <c r="Q605" s="5" t="s">
        <v>1237</v>
      </c>
      <c r="R605" s="5" t="s">
        <v>7859</v>
      </c>
      <c r="S605" s="6" t="s">
        <v>71</v>
      </c>
      <c r="T605" s="6">
        <v>6605.0</v>
      </c>
    </row>
    <row r="606" ht="56.25" customHeight="1">
      <c r="A606" s="5" t="s">
        <v>7837</v>
      </c>
      <c r="B606" s="6" t="str">
        <f>image("https://storage.googleapis.com/acdb/photos/BromideNpcNmlMus18_Remake_4_0.png")</f>
        <v/>
      </c>
      <c r="C606" s="5" t="s">
        <v>1167</v>
      </c>
      <c r="D606" s="5" t="s">
        <v>1327</v>
      </c>
      <c r="E606" s="5" t="s">
        <v>34</v>
      </c>
      <c r="F606" s="5" t="s">
        <v>34</v>
      </c>
      <c r="G606" s="5" t="s">
        <v>36</v>
      </c>
      <c r="H606" s="5" t="s">
        <v>35</v>
      </c>
      <c r="I606" s="6">
        <v>1.0</v>
      </c>
      <c r="J606" s="6" t="s">
        <v>37</v>
      </c>
      <c r="K606" s="6">
        <v>10.0</v>
      </c>
      <c r="L606" s="5"/>
      <c r="M606" s="5"/>
      <c r="N606" s="6" t="s">
        <v>40</v>
      </c>
      <c r="O606" s="5" t="s">
        <v>5363</v>
      </c>
      <c r="P606" s="6" t="s">
        <v>42</v>
      </c>
      <c r="Q606" s="5" t="s">
        <v>1237</v>
      </c>
      <c r="R606" s="5" t="s">
        <v>7865</v>
      </c>
      <c r="S606" s="6" t="s">
        <v>75</v>
      </c>
      <c r="T606" s="6">
        <v>6605.0</v>
      </c>
    </row>
    <row r="607" ht="56.25" customHeight="1">
      <c r="A607" s="5" t="s">
        <v>7837</v>
      </c>
      <c r="B607" s="6" t="str">
        <f>image("https://storage.googleapis.com/acdb/photos/BromideNpcNmlMus18_Remake_5_0.png")</f>
        <v/>
      </c>
      <c r="C607" s="5" t="s">
        <v>58</v>
      </c>
      <c r="D607" s="5" t="s">
        <v>1327</v>
      </c>
      <c r="E607" s="5" t="s">
        <v>34</v>
      </c>
      <c r="F607" s="5" t="s">
        <v>34</v>
      </c>
      <c r="G607" s="5" t="s">
        <v>36</v>
      </c>
      <c r="H607" s="5" t="s">
        <v>35</v>
      </c>
      <c r="I607" s="6">
        <v>1.0</v>
      </c>
      <c r="J607" s="6" t="s">
        <v>37</v>
      </c>
      <c r="K607" s="6">
        <v>10.0</v>
      </c>
      <c r="L607" s="5"/>
      <c r="M607" s="5"/>
      <c r="N607" s="6" t="s">
        <v>40</v>
      </c>
      <c r="O607" s="5" t="s">
        <v>5363</v>
      </c>
      <c r="P607" s="6" t="s">
        <v>42</v>
      </c>
      <c r="Q607" s="5" t="s">
        <v>1237</v>
      </c>
      <c r="R607" s="5" t="s">
        <v>7874</v>
      </c>
      <c r="S607" s="6" t="s">
        <v>79</v>
      </c>
      <c r="T607" s="6">
        <v>6605.0</v>
      </c>
    </row>
    <row r="608" ht="56.25" customHeight="1">
      <c r="A608" s="5" t="s">
        <v>7837</v>
      </c>
      <c r="B608" s="6" t="str">
        <f>image("https://storage.googleapis.com/acdb/photos/BromideNpcNmlMus18_Remake_6_0.png")</f>
        <v/>
      </c>
      <c r="C608" s="5" t="s">
        <v>146</v>
      </c>
      <c r="D608" s="5" t="s">
        <v>1327</v>
      </c>
      <c r="E608" s="5" t="s">
        <v>34</v>
      </c>
      <c r="F608" s="5" t="s">
        <v>34</v>
      </c>
      <c r="G608" s="5" t="s">
        <v>36</v>
      </c>
      <c r="H608" s="5" t="s">
        <v>35</v>
      </c>
      <c r="I608" s="6">
        <v>1.0</v>
      </c>
      <c r="J608" s="6" t="s">
        <v>37</v>
      </c>
      <c r="K608" s="6">
        <v>10.0</v>
      </c>
      <c r="L608" s="5"/>
      <c r="M608" s="5"/>
      <c r="N608" s="6" t="s">
        <v>40</v>
      </c>
      <c r="O608" s="5" t="s">
        <v>5363</v>
      </c>
      <c r="P608" s="6" t="s">
        <v>42</v>
      </c>
      <c r="Q608" s="5" t="s">
        <v>1237</v>
      </c>
      <c r="R608" s="5" t="s">
        <v>7880</v>
      </c>
      <c r="S608" s="6" t="s">
        <v>86</v>
      </c>
      <c r="T608" s="6">
        <v>6605.0</v>
      </c>
    </row>
    <row r="609" ht="56.25" customHeight="1">
      <c r="A609" s="5" t="s">
        <v>7837</v>
      </c>
      <c r="B609" s="6" t="str">
        <f>image("https://storage.googleapis.com/acdb/photos/BromideNpcNmlMus18_Remake_7_0.png")</f>
        <v/>
      </c>
      <c r="C609" s="5" t="s">
        <v>151</v>
      </c>
      <c r="D609" s="5" t="s">
        <v>1327</v>
      </c>
      <c r="E609" s="5" t="s">
        <v>34</v>
      </c>
      <c r="F609" s="5" t="s">
        <v>34</v>
      </c>
      <c r="G609" s="5" t="s">
        <v>36</v>
      </c>
      <c r="H609" s="5" t="s">
        <v>35</v>
      </c>
      <c r="I609" s="6">
        <v>1.0</v>
      </c>
      <c r="J609" s="6" t="s">
        <v>37</v>
      </c>
      <c r="K609" s="6">
        <v>10.0</v>
      </c>
      <c r="L609" s="5"/>
      <c r="M609" s="5"/>
      <c r="N609" s="6" t="s">
        <v>40</v>
      </c>
      <c r="O609" s="5" t="s">
        <v>5363</v>
      </c>
      <c r="P609" s="6" t="s">
        <v>42</v>
      </c>
      <c r="Q609" s="5" t="s">
        <v>1237</v>
      </c>
      <c r="R609" s="5" t="s">
        <v>7883</v>
      </c>
      <c r="S609" s="6" t="s">
        <v>208</v>
      </c>
      <c r="T609" s="6">
        <v>6605.0</v>
      </c>
    </row>
    <row r="610" ht="56.25" customHeight="1">
      <c r="A610" s="5" t="s">
        <v>7884</v>
      </c>
      <c r="B610" s="6" t="str">
        <f>image("https://storage.googleapis.com/acdb/photos/BromideNpcNmlBea12_Remake_0_0.png")</f>
        <v/>
      </c>
      <c r="C610" s="5" t="s">
        <v>366</v>
      </c>
      <c r="D610" s="5" t="s">
        <v>1327</v>
      </c>
      <c r="E610" s="5" t="s">
        <v>34</v>
      </c>
      <c r="F610" s="5" t="s">
        <v>34</v>
      </c>
      <c r="G610" s="5" t="s">
        <v>36</v>
      </c>
      <c r="H610" s="5" t="s">
        <v>35</v>
      </c>
      <c r="I610" s="6">
        <v>1.0</v>
      </c>
      <c r="J610" s="6" t="s">
        <v>37</v>
      </c>
      <c r="K610" s="6">
        <v>10.0</v>
      </c>
      <c r="L610" s="5"/>
      <c r="M610" s="5"/>
      <c r="N610" s="6" t="s">
        <v>40</v>
      </c>
      <c r="O610" s="5" t="s">
        <v>5363</v>
      </c>
      <c r="P610" s="6" t="s">
        <v>42</v>
      </c>
      <c r="Q610" s="5" t="s">
        <v>1237</v>
      </c>
      <c r="R610" s="5" t="s">
        <v>7886</v>
      </c>
      <c r="S610" s="6" t="s">
        <v>50</v>
      </c>
      <c r="T610" s="6">
        <v>6526.0</v>
      </c>
    </row>
    <row r="611" ht="56.25" customHeight="1">
      <c r="A611" s="5" t="s">
        <v>7884</v>
      </c>
      <c r="B611" s="6" t="str">
        <f>image("https://storage.googleapis.com/acdb/photos/BromideNpcNmlBea12_Remake_1_0.png")</f>
        <v/>
      </c>
      <c r="C611" s="5" t="s">
        <v>1132</v>
      </c>
      <c r="D611" s="5" t="s">
        <v>1327</v>
      </c>
      <c r="E611" s="5" t="s">
        <v>34</v>
      </c>
      <c r="F611" s="5" t="s">
        <v>34</v>
      </c>
      <c r="G611" s="5" t="s">
        <v>36</v>
      </c>
      <c r="H611" s="5" t="s">
        <v>35</v>
      </c>
      <c r="I611" s="6">
        <v>1.0</v>
      </c>
      <c r="J611" s="6" t="s">
        <v>37</v>
      </c>
      <c r="K611" s="6">
        <v>10.0</v>
      </c>
      <c r="L611" s="5"/>
      <c r="M611" s="5"/>
      <c r="N611" s="6" t="s">
        <v>40</v>
      </c>
      <c r="O611" s="5" t="s">
        <v>5363</v>
      </c>
      <c r="P611" s="6" t="s">
        <v>42</v>
      </c>
      <c r="Q611" s="5" t="s">
        <v>1237</v>
      </c>
      <c r="R611" s="5" t="s">
        <v>7889</v>
      </c>
      <c r="S611" s="6" t="s">
        <v>56</v>
      </c>
      <c r="T611" s="6">
        <v>6526.0</v>
      </c>
    </row>
    <row r="612" ht="56.25" customHeight="1">
      <c r="A612" s="5" t="s">
        <v>7884</v>
      </c>
      <c r="B612" s="6" t="str">
        <f>image("https://storage.googleapis.com/acdb/photos/BromideNpcNmlBea12_Remake_2_0.png")</f>
        <v/>
      </c>
      <c r="C612" s="5" t="s">
        <v>688</v>
      </c>
      <c r="D612" s="5" t="s">
        <v>1327</v>
      </c>
      <c r="E612" s="5" t="s">
        <v>34</v>
      </c>
      <c r="F612" s="5" t="s">
        <v>34</v>
      </c>
      <c r="G612" s="5" t="s">
        <v>36</v>
      </c>
      <c r="H612" s="5" t="s">
        <v>35</v>
      </c>
      <c r="I612" s="6">
        <v>1.0</v>
      </c>
      <c r="J612" s="6" t="s">
        <v>37</v>
      </c>
      <c r="K612" s="6">
        <v>10.0</v>
      </c>
      <c r="L612" s="5"/>
      <c r="M612" s="5"/>
      <c r="N612" s="6" t="s">
        <v>40</v>
      </c>
      <c r="O612" s="5" t="s">
        <v>5363</v>
      </c>
      <c r="P612" s="6" t="s">
        <v>42</v>
      </c>
      <c r="Q612" s="5" t="s">
        <v>1237</v>
      </c>
      <c r="R612" s="5" t="s">
        <v>7891</v>
      </c>
      <c r="S612" s="6" t="s">
        <v>67</v>
      </c>
      <c r="T612" s="6">
        <v>6526.0</v>
      </c>
    </row>
    <row r="613" ht="56.25" customHeight="1">
      <c r="A613" s="5" t="s">
        <v>7884</v>
      </c>
      <c r="B613" s="6" t="str">
        <f>image("https://storage.googleapis.com/acdb/photos/BromideNpcNmlBea12_Remake_3_0.png")</f>
        <v/>
      </c>
      <c r="C613" s="5" t="s">
        <v>57</v>
      </c>
      <c r="D613" s="5" t="s">
        <v>1327</v>
      </c>
      <c r="E613" s="5" t="s">
        <v>34</v>
      </c>
      <c r="F613" s="5" t="s">
        <v>34</v>
      </c>
      <c r="G613" s="5" t="s">
        <v>36</v>
      </c>
      <c r="H613" s="5" t="s">
        <v>35</v>
      </c>
      <c r="I613" s="6">
        <v>1.0</v>
      </c>
      <c r="J613" s="6" t="s">
        <v>37</v>
      </c>
      <c r="K613" s="6">
        <v>10.0</v>
      </c>
      <c r="L613" s="5"/>
      <c r="M613" s="5"/>
      <c r="N613" s="6" t="s">
        <v>40</v>
      </c>
      <c r="O613" s="5" t="s">
        <v>5363</v>
      </c>
      <c r="P613" s="6" t="s">
        <v>42</v>
      </c>
      <c r="Q613" s="5" t="s">
        <v>1237</v>
      </c>
      <c r="R613" s="5" t="s">
        <v>7893</v>
      </c>
      <c r="S613" s="6" t="s">
        <v>71</v>
      </c>
      <c r="T613" s="6">
        <v>6526.0</v>
      </c>
    </row>
    <row r="614" ht="56.25" customHeight="1">
      <c r="A614" s="5" t="s">
        <v>7884</v>
      </c>
      <c r="B614" s="6" t="str">
        <f>image("https://storage.googleapis.com/acdb/photos/BromideNpcNmlBea12_Remake_4_0.png")</f>
        <v/>
      </c>
      <c r="C614" s="5" t="s">
        <v>1167</v>
      </c>
      <c r="D614" s="5" t="s">
        <v>1327</v>
      </c>
      <c r="E614" s="5" t="s">
        <v>34</v>
      </c>
      <c r="F614" s="5" t="s">
        <v>34</v>
      </c>
      <c r="G614" s="5" t="s">
        <v>36</v>
      </c>
      <c r="H614" s="5" t="s">
        <v>35</v>
      </c>
      <c r="I614" s="6">
        <v>1.0</v>
      </c>
      <c r="J614" s="6" t="s">
        <v>37</v>
      </c>
      <c r="K614" s="6">
        <v>10.0</v>
      </c>
      <c r="L614" s="5"/>
      <c r="M614" s="5"/>
      <c r="N614" s="6" t="s">
        <v>40</v>
      </c>
      <c r="O614" s="5" t="s">
        <v>5363</v>
      </c>
      <c r="P614" s="6" t="s">
        <v>42</v>
      </c>
      <c r="Q614" s="5" t="s">
        <v>1237</v>
      </c>
      <c r="R614" s="5" t="s">
        <v>7897</v>
      </c>
      <c r="S614" s="6" t="s">
        <v>75</v>
      </c>
      <c r="T614" s="6">
        <v>6526.0</v>
      </c>
    </row>
    <row r="615" ht="56.25" customHeight="1">
      <c r="A615" s="5" t="s">
        <v>7884</v>
      </c>
      <c r="B615" s="6" t="str">
        <f>image("https://storage.googleapis.com/acdb/photos/BromideNpcNmlBea12_Remake_5_0.png")</f>
        <v/>
      </c>
      <c r="C615" s="5" t="s">
        <v>58</v>
      </c>
      <c r="D615" s="5" t="s">
        <v>1327</v>
      </c>
      <c r="E615" s="5" t="s">
        <v>34</v>
      </c>
      <c r="F615" s="5" t="s">
        <v>34</v>
      </c>
      <c r="G615" s="5" t="s">
        <v>36</v>
      </c>
      <c r="H615" s="5" t="s">
        <v>35</v>
      </c>
      <c r="I615" s="6">
        <v>1.0</v>
      </c>
      <c r="J615" s="6" t="s">
        <v>37</v>
      </c>
      <c r="K615" s="6">
        <v>10.0</v>
      </c>
      <c r="L615" s="5"/>
      <c r="M615" s="5"/>
      <c r="N615" s="6" t="s">
        <v>40</v>
      </c>
      <c r="O615" s="5" t="s">
        <v>5363</v>
      </c>
      <c r="P615" s="6" t="s">
        <v>42</v>
      </c>
      <c r="Q615" s="5" t="s">
        <v>1237</v>
      </c>
      <c r="R615" s="5" t="s">
        <v>7900</v>
      </c>
      <c r="S615" s="6" t="s">
        <v>79</v>
      </c>
      <c r="T615" s="6">
        <v>6526.0</v>
      </c>
    </row>
    <row r="616" ht="56.25" customHeight="1">
      <c r="A616" s="5" t="s">
        <v>7884</v>
      </c>
      <c r="B616" s="6" t="str">
        <f>image("https://storage.googleapis.com/acdb/photos/BromideNpcNmlBea12_Remake_6_0.png")</f>
        <v/>
      </c>
      <c r="C616" s="5" t="s">
        <v>146</v>
      </c>
      <c r="D616" s="5" t="s">
        <v>1327</v>
      </c>
      <c r="E616" s="5" t="s">
        <v>34</v>
      </c>
      <c r="F616" s="5" t="s">
        <v>34</v>
      </c>
      <c r="G616" s="5" t="s">
        <v>36</v>
      </c>
      <c r="H616" s="5" t="s">
        <v>35</v>
      </c>
      <c r="I616" s="6">
        <v>1.0</v>
      </c>
      <c r="J616" s="6" t="s">
        <v>37</v>
      </c>
      <c r="K616" s="6">
        <v>10.0</v>
      </c>
      <c r="L616" s="5"/>
      <c r="M616" s="5"/>
      <c r="N616" s="6" t="s">
        <v>40</v>
      </c>
      <c r="O616" s="5" t="s">
        <v>5363</v>
      </c>
      <c r="P616" s="6" t="s">
        <v>42</v>
      </c>
      <c r="Q616" s="5" t="s">
        <v>1237</v>
      </c>
      <c r="R616" s="5" t="s">
        <v>7904</v>
      </c>
      <c r="S616" s="6" t="s">
        <v>86</v>
      </c>
      <c r="T616" s="6">
        <v>6526.0</v>
      </c>
    </row>
    <row r="617" ht="56.25" customHeight="1">
      <c r="A617" s="5" t="s">
        <v>7884</v>
      </c>
      <c r="B617" s="6" t="str">
        <f>image("https://storage.googleapis.com/acdb/photos/BromideNpcNmlBea12_Remake_7_0.png")</f>
        <v/>
      </c>
      <c r="C617" s="5" t="s">
        <v>151</v>
      </c>
      <c r="D617" s="5" t="s">
        <v>1327</v>
      </c>
      <c r="E617" s="5" t="s">
        <v>34</v>
      </c>
      <c r="F617" s="5" t="s">
        <v>34</v>
      </c>
      <c r="G617" s="5" t="s">
        <v>36</v>
      </c>
      <c r="H617" s="5" t="s">
        <v>35</v>
      </c>
      <c r="I617" s="6">
        <v>1.0</v>
      </c>
      <c r="J617" s="6" t="s">
        <v>37</v>
      </c>
      <c r="K617" s="6">
        <v>10.0</v>
      </c>
      <c r="L617" s="5"/>
      <c r="M617" s="5"/>
      <c r="N617" s="6" t="s">
        <v>40</v>
      </c>
      <c r="O617" s="5" t="s">
        <v>5363</v>
      </c>
      <c r="P617" s="6" t="s">
        <v>42</v>
      </c>
      <c r="Q617" s="5" t="s">
        <v>1237</v>
      </c>
      <c r="R617" s="5" t="s">
        <v>7907</v>
      </c>
      <c r="S617" s="6" t="s">
        <v>208</v>
      </c>
      <c r="T617" s="6">
        <v>6526.0</v>
      </c>
    </row>
    <row r="618" ht="56.25" customHeight="1">
      <c r="A618" s="5" t="s">
        <v>7908</v>
      </c>
      <c r="B618" s="6" t="str">
        <f>image("https://storage.googleapis.com/acdb/photos/BromideNpcNmlCbr10_Remake_0_0.png")</f>
        <v/>
      </c>
      <c r="C618" s="5" t="s">
        <v>366</v>
      </c>
      <c r="D618" s="5" t="s">
        <v>1327</v>
      </c>
      <c r="E618" s="5" t="s">
        <v>34</v>
      </c>
      <c r="F618" s="5" t="s">
        <v>34</v>
      </c>
      <c r="G618" s="5" t="s">
        <v>36</v>
      </c>
      <c r="H618" s="5" t="s">
        <v>35</v>
      </c>
      <c r="I618" s="6">
        <v>1.0</v>
      </c>
      <c r="J618" s="6" t="s">
        <v>37</v>
      </c>
      <c r="K618" s="6">
        <v>10.0</v>
      </c>
      <c r="L618" s="5"/>
      <c r="M618" s="5"/>
      <c r="N618" s="6" t="s">
        <v>40</v>
      </c>
      <c r="O618" s="5" t="s">
        <v>5363</v>
      </c>
      <c r="P618" s="6" t="s">
        <v>42</v>
      </c>
      <c r="Q618" s="5" t="s">
        <v>1237</v>
      </c>
      <c r="R618" s="5" t="s">
        <v>7912</v>
      </c>
      <c r="S618" s="6" t="s">
        <v>50</v>
      </c>
      <c r="T618" s="6">
        <v>6779.0</v>
      </c>
    </row>
    <row r="619" ht="56.25" customHeight="1">
      <c r="A619" s="5" t="s">
        <v>7908</v>
      </c>
      <c r="B619" s="6" t="str">
        <f>image("https://storage.googleapis.com/acdb/photos/BromideNpcNmlCbr10_Remake_1_0.png")</f>
        <v/>
      </c>
      <c r="C619" s="5" t="s">
        <v>1132</v>
      </c>
      <c r="D619" s="5" t="s">
        <v>1327</v>
      </c>
      <c r="E619" s="5" t="s">
        <v>34</v>
      </c>
      <c r="F619" s="5" t="s">
        <v>34</v>
      </c>
      <c r="G619" s="5" t="s">
        <v>36</v>
      </c>
      <c r="H619" s="5" t="s">
        <v>35</v>
      </c>
      <c r="I619" s="6">
        <v>1.0</v>
      </c>
      <c r="J619" s="6" t="s">
        <v>37</v>
      </c>
      <c r="K619" s="6">
        <v>10.0</v>
      </c>
      <c r="L619" s="5"/>
      <c r="M619" s="5"/>
      <c r="N619" s="6" t="s">
        <v>40</v>
      </c>
      <c r="O619" s="5" t="s">
        <v>5363</v>
      </c>
      <c r="P619" s="6" t="s">
        <v>42</v>
      </c>
      <c r="Q619" s="5" t="s">
        <v>1237</v>
      </c>
      <c r="R619" s="5" t="s">
        <v>7916</v>
      </c>
      <c r="S619" s="6" t="s">
        <v>56</v>
      </c>
      <c r="T619" s="6">
        <v>6779.0</v>
      </c>
    </row>
    <row r="620" ht="56.25" customHeight="1">
      <c r="A620" s="5" t="s">
        <v>7908</v>
      </c>
      <c r="B620" s="6" t="str">
        <f>image("https://storage.googleapis.com/acdb/photos/BromideNpcNmlCbr10_Remake_2_0.png")</f>
        <v/>
      </c>
      <c r="C620" s="5" t="s">
        <v>688</v>
      </c>
      <c r="D620" s="5" t="s">
        <v>1327</v>
      </c>
      <c r="E620" s="5" t="s">
        <v>34</v>
      </c>
      <c r="F620" s="5" t="s">
        <v>34</v>
      </c>
      <c r="G620" s="5" t="s">
        <v>36</v>
      </c>
      <c r="H620" s="5" t="s">
        <v>35</v>
      </c>
      <c r="I620" s="6">
        <v>1.0</v>
      </c>
      <c r="J620" s="6" t="s">
        <v>37</v>
      </c>
      <c r="K620" s="6">
        <v>10.0</v>
      </c>
      <c r="L620" s="5"/>
      <c r="M620" s="5"/>
      <c r="N620" s="6" t="s">
        <v>40</v>
      </c>
      <c r="O620" s="5" t="s">
        <v>5363</v>
      </c>
      <c r="P620" s="6" t="s">
        <v>42</v>
      </c>
      <c r="Q620" s="5" t="s">
        <v>1237</v>
      </c>
      <c r="R620" s="5" t="s">
        <v>7920</v>
      </c>
      <c r="S620" s="6" t="s">
        <v>67</v>
      </c>
      <c r="T620" s="6">
        <v>6779.0</v>
      </c>
    </row>
    <row r="621" ht="56.25" customHeight="1">
      <c r="A621" s="5" t="s">
        <v>7908</v>
      </c>
      <c r="B621" s="6" t="str">
        <f>image("https://storage.googleapis.com/acdb/photos/BromideNpcNmlCbr10_Remake_3_0.png")</f>
        <v/>
      </c>
      <c r="C621" s="5" t="s">
        <v>57</v>
      </c>
      <c r="D621" s="5" t="s">
        <v>1327</v>
      </c>
      <c r="E621" s="5" t="s">
        <v>34</v>
      </c>
      <c r="F621" s="5" t="s">
        <v>34</v>
      </c>
      <c r="G621" s="5" t="s">
        <v>36</v>
      </c>
      <c r="H621" s="5" t="s">
        <v>35</v>
      </c>
      <c r="I621" s="6">
        <v>1.0</v>
      </c>
      <c r="J621" s="6" t="s">
        <v>37</v>
      </c>
      <c r="K621" s="6">
        <v>10.0</v>
      </c>
      <c r="L621" s="5"/>
      <c r="M621" s="5"/>
      <c r="N621" s="6" t="s">
        <v>40</v>
      </c>
      <c r="O621" s="5" t="s">
        <v>5363</v>
      </c>
      <c r="P621" s="6" t="s">
        <v>42</v>
      </c>
      <c r="Q621" s="5" t="s">
        <v>1237</v>
      </c>
      <c r="R621" s="5" t="s">
        <v>7924</v>
      </c>
      <c r="S621" s="6" t="s">
        <v>71</v>
      </c>
      <c r="T621" s="6">
        <v>6779.0</v>
      </c>
    </row>
    <row r="622" ht="56.25" customHeight="1">
      <c r="A622" s="5" t="s">
        <v>7908</v>
      </c>
      <c r="B622" s="6" t="str">
        <f>image("https://storage.googleapis.com/acdb/photos/BromideNpcNmlCbr10_Remake_4_0.png")</f>
        <v/>
      </c>
      <c r="C622" s="5" t="s">
        <v>1167</v>
      </c>
      <c r="D622" s="5" t="s">
        <v>1327</v>
      </c>
      <c r="E622" s="5" t="s">
        <v>34</v>
      </c>
      <c r="F622" s="5" t="s">
        <v>34</v>
      </c>
      <c r="G622" s="5" t="s">
        <v>36</v>
      </c>
      <c r="H622" s="5" t="s">
        <v>35</v>
      </c>
      <c r="I622" s="6">
        <v>1.0</v>
      </c>
      <c r="J622" s="6" t="s">
        <v>37</v>
      </c>
      <c r="K622" s="6">
        <v>10.0</v>
      </c>
      <c r="L622" s="5"/>
      <c r="M622" s="5"/>
      <c r="N622" s="6" t="s">
        <v>40</v>
      </c>
      <c r="O622" s="5" t="s">
        <v>5363</v>
      </c>
      <c r="P622" s="6" t="s">
        <v>42</v>
      </c>
      <c r="Q622" s="5" t="s">
        <v>1237</v>
      </c>
      <c r="R622" s="5" t="s">
        <v>7927</v>
      </c>
      <c r="S622" s="6" t="s">
        <v>75</v>
      </c>
      <c r="T622" s="6">
        <v>6779.0</v>
      </c>
    </row>
    <row r="623" ht="56.25" customHeight="1">
      <c r="A623" s="5" t="s">
        <v>7908</v>
      </c>
      <c r="B623" s="6" t="str">
        <f>image("https://storage.googleapis.com/acdb/photos/BromideNpcNmlCbr10_Remake_5_0.png")</f>
        <v/>
      </c>
      <c r="C623" s="5" t="s">
        <v>58</v>
      </c>
      <c r="D623" s="5" t="s">
        <v>1327</v>
      </c>
      <c r="E623" s="5" t="s">
        <v>34</v>
      </c>
      <c r="F623" s="5" t="s">
        <v>34</v>
      </c>
      <c r="G623" s="5" t="s">
        <v>36</v>
      </c>
      <c r="H623" s="5" t="s">
        <v>35</v>
      </c>
      <c r="I623" s="6">
        <v>1.0</v>
      </c>
      <c r="J623" s="6" t="s">
        <v>37</v>
      </c>
      <c r="K623" s="6">
        <v>10.0</v>
      </c>
      <c r="L623" s="5"/>
      <c r="M623" s="5"/>
      <c r="N623" s="6" t="s">
        <v>40</v>
      </c>
      <c r="O623" s="5" t="s">
        <v>5363</v>
      </c>
      <c r="P623" s="6" t="s">
        <v>42</v>
      </c>
      <c r="Q623" s="5" t="s">
        <v>1237</v>
      </c>
      <c r="R623" s="5" t="s">
        <v>7929</v>
      </c>
      <c r="S623" s="6" t="s">
        <v>79</v>
      </c>
      <c r="T623" s="6">
        <v>6779.0</v>
      </c>
    </row>
    <row r="624" ht="56.25" customHeight="1">
      <c r="A624" s="5" t="s">
        <v>7908</v>
      </c>
      <c r="B624" s="6" t="str">
        <f>image("https://storage.googleapis.com/acdb/photos/BromideNpcNmlCbr10_Remake_6_0.png")</f>
        <v/>
      </c>
      <c r="C624" s="5" t="s">
        <v>146</v>
      </c>
      <c r="D624" s="5" t="s">
        <v>1327</v>
      </c>
      <c r="E624" s="5" t="s">
        <v>34</v>
      </c>
      <c r="F624" s="5" t="s">
        <v>34</v>
      </c>
      <c r="G624" s="5" t="s">
        <v>36</v>
      </c>
      <c r="H624" s="5" t="s">
        <v>35</v>
      </c>
      <c r="I624" s="6">
        <v>1.0</v>
      </c>
      <c r="J624" s="6" t="s">
        <v>37</v>
      </c>
      <c r="K624" s="6">
        <v>10.0</v>
      </c>
      <c r="L624" s="5"/>
      <c r="M624" s="5"/>
      <c r="N624" s="6" t="s">
        <v>40</v>
      </c>
      <c r="O624" s="5" t="s">
        <v>5363</v>
      </c>
      <c r="P624" s="6" t="s">
        <v>42</v>
      </c>
      <c r="Q624" s="5" t="s">
        <v>1237</v>
      </c>
      <c r="R624" s="5" t="s">
        <v>7932</v>
      </c>
      <c r="S624" s="6" t="s">
        <v>86</v>
      </c>
      <c r="T624" s="6">
        <v>6779.0</v>
      </c>
    </row>
    <row r="625" ht="56.25" customHeight="1">
      <c r="A625" s="5" t="s">
        <v>7908</v>
      </c>
      <c r="B625" s="6" t="str">
        <f>image("https://storage.googleapis.com/acdb/photos/BromideNpcNmlCbr10_Remake_7_0.png")</f>
        <v/>
      </c>
      <c r="C625" s="5" t="s">
        <v>151</v>
      </c>
      <c r="D625" s="5" t="s">
        <v>1327</v>
      </c>
      <c r="E625" s="5" t="s">
        <v>34</v>
      </c>
      <c r="F625" s="5" t="s">
        <v>34</v>
      </c>
      <c r="G625" s="5" t="s">
        <v>36</v>
      </c>
      <c r="H625" s="5" t="s">
        <v>35</v>
      </c>
      <c r="I625" s="6">
        <v>1.0</v>
      </c>
      <c r="J625" s="6" t="s">
        <v>37</v>
      </c>
      <c r="K625" s="6">
        <v>10.0</v>
      </c>
      <c r="L625" s="5"/>
      <c r="M625" s="5"/>
      <c r="N625" s="6" t="s">
        <v>40</v>
      </c>
      <c r="O625" s="5" t="s">
        <v>5363</v>
      </c>
      <c r="P625" s="6" t="s">
        <v>42</v>
      </c>
      <c r="Q625" s="5" t="s">
        <v>1237</v>
      </c>
      <c r="R625" s="5" t="s">
        <v>7934</v>
      </c>
      <c r="S625" s="6" t="s">
        <v>208</v>
      </c>
      <c r="T625" s="6">
        <v>6779.0</v>
      </c>
    </row>
    <row r="626" ht="56.25" customHeight="1">
      <c r="A626" s="5" t="s">
        <v>7937</v>
      </c>
      <c r="B626" s="6" t="str">
        <f>image("https://storage.googleapis.com/acdb/photos/BromideNpcNmlDog17_Remake_0_0.png")</f>
        <v/>
      </c>
      <c r="C626" s="5" t="s">
        <v>366</v>
      </c>
      <c r="D626" s="5" t="s">
        <v>1327</v>
      </c>
      <c r="E626" s="5" t="s">
        <v>34</v>
      </c>
      <c r="F626" s="5" t="s">
        <v>34</v>
      </c>
      <c r="G626" s="5" t="s">
        <v>36</v>
      </c>
      <c r="H626" s="5" t="s">
        <v>35</v>
      </c>
      <c r="I626" s="6">
        <v>1.0</v>
      </c>
      <c r="J626" s="6" t="s">
        <v>37</v>
      </c>
      <c r="K626" s="6">
        <v>10.0</v>
      </c>
      <c r="L626" s="5"/>
      <c r="M626" s="5"/>
      <c r="N626" s="6" t="s">
        <v>40</v>
      </c>
      <c r="O626" s="5" t="s">
        <v>5363</v>
      </c>
      <c r="P626" s="6" t="s">
        <v>42</v>
      </c>
      <c r="Q626" s="5" t="s">
        <v>1237</v>
      </c>
      <c r="R626" s="5" t="s">
        <v>7940</v>
      </c>
      <c r="S626" s="6" t="s">
        <v>50</v>
      </c>
      <c r="T626" s="6">
        <v>6452.0</v>
      </c>
    </row>
    <row r="627" ht="56.25" customHeight="1">
      <c r="A627" s="5" t="s">
        <v>7937</v>
      </c>
      <c r="B627" s="6" t="str">
        <f>image("https://storage.googleapis.com/acdb/photos/BromideNpcNmlDog17_Remake_1_0.png")</f>
        <v/>
      </c>
      <c r="C627" s="5" t="s">
        <v>1132</v>
      </c>
      <c r="D627" s="5" t="s">
        <v>1327</v>
      </c>
      <c r="E627" s="5" t="s">
        <v>34</v>
      </c>
      <c r="F627" s="5" t="s">
        <v>34</v>
      </c>
      <c r="G627" s="5" t="s">
        <v>36</v>
      </c>
      <c r="H627" s="5" t="s">
        <v>35</v>
      </c>
      <c r="I627" s="6">
        <v>1.0</v>
      </c>
      <c r="J627" s="6" t="s">
        <v>37</v>
      </c>
      <c r="K627" s="6">
        <v>10.0</v>
      </c>
      <c r="L627" s="5"/>
      <c r="M627" s="5"/>
      <c r="N627" s="6" t="s">
        <v>40</v>
      </c>
      <c r="O627" s="5" t="s">
        <v>5363</v>
      </c>
      <c r="P627" s="6" t="s">
        <v>42</v>
      </c>
      <c r="Q627" s="5" t="s">
        <v>1237</v>
      </c>
      <c r="R627" s="5" t="s">
        <v>7944</v>
      </c>
      <c r="S627" s="6" t="s">
        <v>56</v>
      </c>
      <c r="T627" s="6">
        <v>6452.0</v>
      </c>
    </row>
    <row r="628" ht="56.25" customHeight="1">
      <c r="A628" s="5" t="s">
        <v>7937</v>
      </c>
      <c r="B628" s="6" t="str">
        <f>image("https://storage.googleapis.com/acdb/photos/BromideNpcNmlDog17_Remake_2_0.png")</f>
        <v/>
      </c>
      <c r="C628" s="5" t="s">
        <v>688</v>
      </c>
      <c r="D628" s="5" t="s">
        <v>1327</v>
      </c>
      <c r="E628" s="5" t="s">
        <v>34</v>
      </c>
      <c r="F628" s="5" t="s">
        <v>34</v>
      </c>
      <c r="G628" s="5" t="s">
        <v>36</v>
      </c>
      <c r="H628" s="5" t="s">
        <v>35</v>
      </c>
      <c r="I628" s="6">
        <v>1.0</v>
      </c>
      <c r="J628" s="6" t="s">
        <v>37</v>
      </c>
      <c r="K628" s="6">
        <v>10.0</v>
      </c>
      <c r="L628" s="5"/>
      <c r="M628" s="5"/>
      <c r="N628" s="6" t="s">
        <v>40</v>
      </c>
      <c r="O628" s="5" t="s">
        <v>5363</v>
      </c>
      <c r="P628" s="6" t="s">
        <v>42</v>
      </c>
      <c r="Q628" s="5" t="s">
        <v>1237</v>
      </c>
      <c r="R628" s="5" t="s">
        <v>7947</v>
      </c>
      <c r="S628" s="6" t="s">
        <v>67</v>
      </c>
      <c r="T628" s="6">
        <v>6452.0</v>
      </c>
    </row>
    <row r="629" ht="56.25" customHeight="1">
      <c r="A629" s="5" t="s">
        <v>7937</v>
      </c>
      <c r="B629" s="6" t="str">
        <f>image("https://storage.googleapis.com/acdb/photos/BromideNpcNmlDog17_Remake_3_0.png")</f>
        <v/>
      </c>
      <c r="C629" s="5" t="s">
        <v>57</v>
      </c>
      <c r="D629" s="5" t="s">
        <v>1327</v>
      </c>
      <c r="E629" s="5" t="s">
        <v>34</v>
      </c>
      <c r="F629" s="5" t="s">
        <v>34</v>
      </c>
      <c r="G629" s="5" t="s">
        <v>36</v>
      </c>
      <c r="H629" s="5" t="s">
        <v>35</v>
      </c>
      <c r="I629" s="6">
        <v>1.0</v>
      </c>
      <c r="J629" s="6" t="s">
        <v>37</v>
      </c>
      <c r="K629" s="6">
        <v>10.0</v>
      </c>
      <c r="L629" s="5"/>
      <c r="M629" s="5"/>
      <c r="N629" s="6" t="s">
        <v>40</v>
      </c>
      <c r="O629" s="5" t="s">
        <v>5363</v>
      </c>
      <c r="P629" s="6" t="s">
        <v>42</v>
      </c>
      <c r="Q629" s="5" t="s">
        <v>1237</v>
      </c>
      <c r="R629" s="5" t="s">
        <v>7950</v>
      </c>
      <c r="S629" s="6" t="s">
        <v>71</v>
      </c>
      <c r="T629" s="6">
        <v>6452.0</v>
      </c>
    </row>
    <row r="630" ht="56.25" customHeight="1">
      <c r="A630" s="5" t="s">
        <v>7937</v>
      </c>
      <c r="B630" s="6" t="str">
        <f>image("https://storage.googleapis.com/acdb/photos/BromideNpcNmlDog17_Remake_4_0.png")</f>
        <v/>
      </c>
      <c r="C630" s="5" t="s">
        <v>1167</v>
      </c>
      <c r="D630" s="5" t="s">
        <v>1327</v>
      </c>
      <c r="E630" s="5" t="s">
        <v>34</v>
      </c>
      <c r="F630" s="5" t="s">
        <v>34</v>
      </c>
      <c r="G630" s="5" t="s">
        <v>36</v>
      </c>
      <c r="H630" s="5" t="s">
        <v>35</v>
      </c>
      <c r="I630" s="6">
        <v>1.0</v>
      </c>
      <c r="J630" s="6" t="s">
        <v>37</v>
      </c>
      <c r="K630" s="6">
        <v>10.0</v>
      </c>
      <c r="L630" s="5"/>
      <c r="M630" s="5"/>
      <c r="N630" s="6" t="s">
        <v>40</v>
      </c>
      <c r="O630" s="5" t="s">
        <v>5363</v>
      </c>
      <c r="P630" s="6" t="s">
        <v>42</v>
      </c>
      <c r="Q630" s="5" t="s">
        <v>1237</v>
      </c>
      <c r="R630" s="5" t="s">
        <v>7954</v>
      </c>
      <c r="S630" s="6" t="s">
        <v>75</v>
      </c>
      <c r="T630" s="6">
        <v>6452.0</v>
      </c>
    </row>
    <row r="631" ht="56.25" customHeight="1">
      <c r="A631" s="5" t="s">
        <v>7937</v>
      </c>
      <c r="B631" s="6" t="str">
        <f>image("https://storage.googleapis.com/acdb/photos/BromideNpcNmlDog17_Remake_5_0.png")</f>
        <v/>
      </c>
      <c r="C631" s="5" t="s">
        <v>58</v>
      </c>
      <c r="D631" s="5" t="s">
        <v>1327</v>
      </c>
      <c r="E631" s="5" t="s">
        <v>34</v>
      </c>
      <c r="F631" s="5" t="s">
        <v>34</v>
      </c>
      <c r="G631" s="5" t="s">
        <v>36</v>
      </c>
      <c r="H631" s="5" t="s">
        <v>35</v>
      </c>
      <c r="I631" s="6">
        <v>1.0</v>
      </c>
      <c r="J631" s="6" t="s">
        <v>37</v>
      </c>
      <c r="K631" s="6">
        <v>10.0</v>
      </c>
      <c r="L631" s="5"/>
      <c r="M631" s="5"/>
      <c r="N631" s="6" t="s">
        <v>40</v>
      </c>
      <c r="O631" s="5" t="s">
        <v>5363</v>
      </c>
      <c r="P631" s="6" t="s">
        <v>42</v>
      </c>
      <c r="Q631" s="5" t="s">
        <v>1237</v>
      </c>
      <c r="R631" s="5" t="s">
        <v>7960</v>
      </c>
      <c r="S631" s="6" t="s">
        <v>79</v>
      </c>
      <c r="T631" s="6">
        <v>6452.0</v>
      </c>
    </row>
    <row r="632" ht="56.25" customHeight="1">
      <c r="A632" s="5" t="s">
        <v>7937</v>
      </c>
      <c r="B632" s="6" t="str">
        <f>image("https://storage.googleapis.com/acdb/photos/BromideNpcNmlDog17_Remake_6_0.png")</f>
        <v/>
      </c>
      <c r="C632" s="5" t="s">
        <v>146</v>
      </c>
      <c r="D632" s="5" t="s">
        <v>1327</v>
      </c>
      <c r="E632" s="5" t="s">
        <v>34</v>
      </c>
      <c r="F632" s="5" t="s">
        <v>34</v>
      </c>
      <c r="G632" s="5" t="s">
        <v>36</v>
      </c>
      <c r="H632" s="5" t="s">
        <v>35</v>
      </c>
      <c r="I632" s="6">
        <v>1.0</v>
      </c>
      <c r="J632" s="6" t="s">
        <v>37</v>
      </c>
      <c r="K632" s="6">
        <v>10.0</v>
      </c>
      <c r="L632" s="5"/>
      <c r="M632" s="5"/>
      <c r="N632" s="6" t="s">
        <v>40</v>
      </c>
      <c r="O632" s="5" t="s">
        <v>5363</v>
      </c>
      <c r="P632" s="6" t="s">
        <v>42</v>
      </c>
      <c r="Q632" s="5" t="s">
        <v>1237</v>
      </c>
      <c r="R632" s="5" t="s">
        <v>7964</v>
      </c>
      <c r="S632" s="6" t="s">
        <v>86</v>
      </c>
      <c r="T632" s="6">
        <v>6452.0</v>
      </c>
    </row>
    <row r="633" ht="56.25" customHeight="1">
      <c r="A633" s="5" t="s">
        <v>7937</v>
      </c>
      <c r="B633" s="6" t="str">
        <f>image("https://storage.googleapis.com/acdb/photos/BromideNpcNmlDog17_Remake_7_0.png")</f>
        <v/>
      </c>
      <c r="C633" s="5" t="s">
        <v>151</v>
      </c>
      <c r="D633" s="5" t="s">
        <v>1327</v>
      </c>
      <c r="E633" s="5" t="s">
        <v>34</v>
      </c>
      <c r="F633" s="5" t="s">
        <v>34</v>
      </c>
      <c r="G633" s="5" t="s">
        <v>36</v>
      </c>
      <c r="H633" s="5" t="s">
        <v>35</v>
      </c>
      <c r="I633" s="6">
        <v>1.0</v>
      </c>
      <c r="J633" s="6" t="s">
        <v>37</v>
      </c>
      <c r="K633" s="6">
        <v>10.0</v>
      </c>
      <c r="L633" s="5"/>
      <c r="M633" s="5"/>
      <c r="N633" s="6" t="s">
        <v>40</v>
      </c>
      <c r="O633" s="5" t="s">
        <v>5363</v>
      </c>
      <c r="P633" s="6" t="s">
        <v>42</v>
      </c>
      <c r="Q633" s="5" t="s">
        <v>1237</v>
      </c>
      <c r="R633" s="5" t="s">
        <v>7968</v>
      </c>
      <c r="S633" s="6" t="s">
        <v>208</v>
      </c>
      <c r="T633" s="6">
        <v>6452.0</v>
      </c>
    </row>
    <row r="634" ht="56.25" customHeight="1">
      <c r="A634" s="5" t="s">
        <v>7970</v>
      </c>
      <c r="B634" s="6" t="str">
        <f>image("https://storage.googleapis.com/acdb/photos/BromideNpcNmlCbr15_Remake_0_0.png")</f>
        <v/>
      </c>
      <c r="C634" s="5" t="s">
        <v>366</v>
      </c>
      <c r="D634" s="5" t="s">
        <v>1327</v>
      </c>
      <c r="E634" s="5" t="s">
        <v>34</v>
      </c>
      <c r="F634" s="5" t="s">
        <v>34</v>
      </c>
      <c r="G634" s="5" t="s">
        <v>36</v>
      </c>
      <c r="H634" s="5" t="s">
        <v>35</v>
      </c>
      <c r="I634" s="6">
        <v>1.0</v>
      </c>
      <c r="J634" s="6" t="s">
        <v>37</v>
      </c>
      <c r="K634" s="6">
        <v>10.0</v>
      </c>
      <c r="L634" s="5"/>
      <c r="M634" s="5"/>
      <c r="N634" s="6" t="s">
        <v>40</v>
      </c>
      <c r="O634" s="5" t="s">
        <v>5363</v>
      </c>
      <c r="P634" s="6" t="s">
        <v>42</v>
      </c>
      <c r="Q634" s="5" t="s">
        <v>1237</v>
      </c>
      <c r="R634" s="5" t="s">
        <v>7975</v>
      </c>
      <c r="S634" s="6" t="s">
        <v>50</v>
      </c>
      <c r="T634" s="6">
        <v>6782.0</v>
      </c>
    </row>
    <row r="635" ht="56.25" customHeight="1">
      <c r="A635" s="5" t="s">
        <v>7970</v>
      </c>
      <c r="B635" s="6" t="str">
        <f>image("https://storage.googleapis.com/acdb/photos/BromideNpcNmlCbr15_Remake_1_0.png")</f>
        <v/>
      </c>
      <c r="C635" s="5" t="s">
        <v>1132</v>
      </c>
      <c r="D635" s="5" t="s">
        <v>1327</v>
      </c>
      <c r="E635" s="5" t="s">
        <v>34</v>
      </c>
      <c r="F635" s="5" t="s">
        <v>34</v>
      </c>
      <c r="G635" s="5" t="s">
        <v>36</v>
      </c>
      <c r="H635" s="5" t="s">
        <v>35</v>
      </c>
      <c r="I635" s="6">
        <v>1.0</v>
      </c>
      <c r="J635" s="6" t="s">
        <v>37</v>
      </c>
      <c r="K635" s="6">
        <v>10.0</v>
      </c>
      <c r="L635" s="5"/>
      <c r="M635" s="5"/>
      <c r="N635" s="6" t="s">
        <v>40</v>
      </c>
      <c r="O635" s="5" t="s">
        <v>5363</v>
      </c>
      <c r="P635" s="6" t="s">
        <v>42</v>
      </c>
      <c r="Q635" s="5" t="s">
        <v>1237</v>
      </c>
      <c r="R635" s="5" t="s">
        <v>7980</v>
      </c>
      <c r="S635" s="6" t="s">
        <v>56</v>
      </c>
      <c r="T635" s="6">
        <v>6782.0</v>
      </c>
    </row>
    <row r="636" ht="56.25" customHeight="1">
      <c r="A636" s="5" t="s">
        <v>7970</v>
      </c>
      <c r="B636" s="6" t="str">
        <f>image("https://storage.googleapis.com/acdb/photos/BromideNpcNmlCbr15_Remake_2_0.png")</f>
        <v/>
      </c>
      <c r="C636" s="5" t="s">
        <v>688</v>
      </c>
      <c r="D636" s="5" t="s">
        <v>1327</v>
      </c>
      <c r="E636" s="5" t="s">
        <v>34</v>
      </c>
      <c r="F636" s="5" t="s">
        <v>34</v>
      </c>
      <c r="G636" s="5" t="s">
        <v>36</v>
      </c>
      <c r="H636" s="5" t="s">
        <v>35</v>
      </c>
      <c r="I636" s="6">
        <v>1.0</v>
      </c>
      <c r="J636" s="6" t="s">
        <v>37</v>
      </c>
      <c r="K636" s="6">
        <v>10.0</v>
      </c>
      <c r="L636" s="5"/>
      <c r="M636" s="5"/>
      <c r="N636" s="6" t="s">
        <v>40</v>
      </c>
      <c r="O636" s="5" t="s">
        <v>5363</v>
      </c>
      <c r="P636" s="6" t="s">
        <v>42</v>
      </c>
      <c r="Q636" s="5" t="s">
        <v>1237</v>
      </c>
      <c r="R636" s="5" t="s">
        <v>7983</v>
      </c>
      <c r="S636" s="6" t="s">
        <v>67</v>
      </c>
      <c r="T636" s="6">
        <v>6782.0</v>
      </c>
    </row>
    <row r="637" ht="56.25" customHeight="1">
      <c r="A637" s="5" t="s">
        <v>7970</v>
      </c>
      <c r="B637" s="6" t="str">
        <f>image("https://storage.googleapis.com/acdb/photos/BromideNpcNmlCbr15_Remake_3_0.png")</f>
        <v/>
      </c>
      <c r="C637" s="5" t="s">
        <v>57</v>
      </c>
      <c r="D637" s="5" t="s">
        <v>1327</v>
      </c>
      <c r="E637" s="5" t="s">
        <v>34</v>
      </c>
      <c r="F637" s="5" t="s">
        <v>34</v>
      </c>
      <c r="G637" s="5" t="s">
        <v>36</v>
      </c>
      <c r="H637" s="5" t="s">
        <v>35</v>
      </c>
      <c r="I637" s="6">
        <v>1.0</v>
      </c>
      <c r="J637" s="6" t="s">
        <v>37</v>
      </c>
      <c r="K637" s="6">
        <v>10.0</v>
      </c>
      <c r="L637" s="5"/>
      <c r="M637" s="5"/>
      <c r="N637" s="6" t="s">
        <v>40</v>
      </c>
      <c r="O637" s="5" t="s">
        <v>5363</v>
      </c>
      <c r="P637" s="6" t="s">
        <v>42</v>
      </c>
      <c r="Q637" s="5" t="s">
        <v>1237</v>
      </c>
      <c r="R637" s="5" t="s">
        <v>7986</v>
      </c>
      <c r="S637" s="6" t="s">
        <v>71</v>
      </c>
      <c r="T637" s="6">
        <v>6782.0</v>
      </c>
    </row>
    <row r="638" ht="56.25" customHeight="1">
      <c r="A638" s="5" t="s">
        <v>7970</v>
      </c>
      <c r="B638" s="6" t="str">
        <f>image("https://storage.googleapis.com/acdb/photos/BromideNpcNmlCbr15_Remake_4_0.png")</f>
        <v/>
      </c>
      <c r="C638" s="5" t="s">
        <v>1167</v>
      </c>
      <c r="D638" s="5" t="s">
        <v>1327</v>
      </c>
      <c r="E638" s="5" t="s">
        <v>34</v>
      </c>
      <c r="F638" s="5" t="s">
        <v>34</v>
      </c>
      <c r="G638" s="5" t="s">
        <v>36</v>
      </c>
      <c r="H638" s="5" t="s">
        <v>35</v>
      </c>
      <c r="I638" s="6">
        <v>1.0</v>
      </c>
      <c r="J638" s="6" t="s">
        <v>37</v>
      </c>
      <c r="K638" s="6">
        <v>10.0</v>
      </c>
      <c r="L638" s="5"/>
      <c r="M638" s="5"/>
      <c r="N638" s="6" t="s">
        <v>40</v>
      </c>
      <c r="O638" s="5" t="s">
        <v>5363</v>
      </c>
      <c r="P638" s="6" t="s">
        <v>42</v>
      </c>
      <c r="Q638" s="5" t="s">
        <v>1237</v>
      </c>
      <c r="R638" s="5" t="s">
        <v>7988</v>
      </c>
      <c r="S638" s="6" t="s">
        <v>75</v>
      </c>
      <c r="T638" s="6">
        <v>6782.0</v>
      </c>
    </row>
    <row r="639" ht="56.25" customHeight="1">
      <c r="A639" s="5" t="s">
        <v>7970</v>
      </c>
      <c r="B639" s="6" t="str">
        <f>image("https://storage.googleapis.com/acdb/photos/BromideNpcNmlCbr15_Remake_5_0.png")</f>
        <v/>
      </c>
      <c r="C639" s="5" t="s">
        <v>58</v>
      </c>
      <c r="D639" s="5" t="s">
        <v>1327</v>
      </c>
      <c r="E639" s="5" t="s">
        <v>34</v>
      </c>
      <c r="F639" s="5" t="s">
        <v>34</v>
      </c>
      <c r="G639" s="5" t="s">
        <v>36</v>
      </c>
      <c r="H639" s="5" t="s">
        <v>35</v>
      </c>
      <c r="I639" s="6">
        <v>1.0</v>
      </c>
      <c r="J639" s="6" t="s">
        <v>37</v>
      </c>
      <c r="K639" s="6">
        <v>10.0</v>
      </c>
      <c r="L639" s="5"/>
      <c r="M639" s="5"/>
      <c r="N639" s="6" t="s">
        <v>40</v>
      </c>
      <c r="O639" s="5" t="s">
        <v>5363</v>
      </c>
      <c r="P639" s="6" t="s">
        <v>42</v>
      </c>
      <c r="Q639" s="5" t="s">
        <v>1237</v>
      </c>
      <c r="R639" s="5" t="s">
        <v>7991</v>
      </c>
      <c r="S639" s="6" t="s">
        <v>79</v>
      </c>
      <c r="T639" s="6">
        <v>6782.0</v>
      </c>
    </row>
    <row r="640" ht="56.25" customHeight="1">
      <c r="A640" s="5" t="s">
        <v>7970</v>
      </c>
      <c r="B640" s="6" t="str">
        <f>image("https://storage.googleapis.com/acdb/photos/BromideNpcNmlCbr15_Remake_6_0.png")</f>
        <v/>
      </c>
      <c r="C640" s="5" t="s">
        <v>146</v>
      </c>
      <c r="D640" s="5" t="s">
        <v>1327</v>
      </c>
      <c r="E640" s="5" t="s">
        <v>34</v>
      </c>
      <c r="F640" s="5" t="s">
        <v>34</v>
      </c>
      <c r="G640" s="5" t="s">
        <v>36</v>
      </c>
      <c r="H640" s="5" t="s">
        <v>35</v>
      </c>
      <c r="I640" s="6">
        <v>1.0</v>
      </c>
      <c r="J640" s="6" t="s">
        <v>37</v>
      </c>
      <c r="K640" s="6">
        <v>10.0</v>
      </c>
      <c r="L640" s="5"/>
      <c r="M640" s="5"/>
      <c r="N640" s="6" t="s">
        <v>40</v>
      </c>
      <c r="O640" s="5" t="s">
        <v>5363</v>
      </c>
      <c r="P640" s="6" t="s">
        <v>42</v>
      </c>
      <c r="Q640" s="5" t="s">
        <v>1237</v>
      </c>
      <c r="R640" s="5" t="s">
        <v>7994</v>
      </c>
      <c r="S640" s="6" t="s">
        <v>86</v>
      </c>
      <c r="T640" s="6">
        <v>6782.0</v>
      </c>
    </row>
    <row r="641" ht="56.25" customHeight="1">
      <c r="A641" s="5" t="s">
        <v>7970</v>
      </c>
      <c r="B641" s="6" t="str">
        <f>image("https://storage.googleapis.com/acdb/photos/BromideNpcNmlCbr15_Remake_7_0.png")</f>
        <v/>
      </c>
      <c r="C641" s="5" t="s">
        <v>151</v>
      </c>
      <c r="D641" s="5" t="s">
        <v>1327</v>
      </c>
      <c r="E641" s="5" t="s">
        <v>34</v>
      </c>
      <c r="F641" s="5" t="s">
        <v>34</v>
      </c>
      <c r="G641" s="5" t="s">
        <v>36</v>
      </c>
      <c r="H641" s="5" t="s">
        <v>35</v>
      </c>
      <c r="I641" s="6">
        <v>1.0</v>
      </c>
      <c r="J641" s="6" t="s">
        <v>37</v>
      </c>
      <c r="K641" s="6">
        <v>10.0</v>
      </c>
      <c r="L641" s="5"/>
      <c r="M641" s="5"/>
      <c r="N641" s="6" t="s">
        <v>40</v>
      </c>
      <c r="O641" s="5" t="s">
        <v>5363</v>
      </c>
      <c r="P641" s="6" t="s">
        <v>42</v>
      </c>
      <c r="Q641" s="5" t="s">
        <v>1237</v>
      </c>
      <c r="R641" s="5" t="s">
        <v>7998</v>
      </c>
      <c r="S641" s="6" t="s">
        <v>208</v>
      </c>
      <c r="T641" s="6">
        <v>6782.0</v>
      </c>
    </row>
    <row r="642" ht="56.25" customHeight="1">
      <c r="A642" s="5" t="s">
        <v>7999</v>
      </c>
      <c r="B642" s="6" t="str">
        <f>image("https://storage.googleapis.com/acdb/photos/BromideNpcNmlGoa00_Remake_0_0.png")</f>
        <v/>
      </c>
      <c r="C642" s="5" t="s">
        <v>366</v>
      </c>
      <c r="D642" s="5" t="s">
        <v>1327</v>
      </c>
      <c r="E642" s="5" t="s">
        <v>34</v>
      </c>
      <c r="F642" s="5" t="s">
        <v>34</v>
      </c>
      <c r="G642" s="5" t="s">
        <v>36</v>
      </c>
      <c r="H642" s="5" t="s">
        <v>35</v>
      </c>
      <c r="I642" s="6">
        <v>1.0</v>
      </c>
      <c r="J642" s="6" t="s">
        <v>37</v>
      </c>
      <c r="K642" s="6">
        <v>10.0</v>
      </c>
      <c r="L642" s="5"/>
      <c r="M642" s="5"/>
      <c r="N642" s="6" t="s">
        <v>40</v>
      </c>
      <c r="O642" s="5" t="s">
        <v>5363</v>
      </c>
      <c r="P642" s="6" t="s">
        <v>42</v>
      </c>
      <c r="Q642" s="5" t="s">
        <v>1237</v>
      </c>
      <c r="R642" s="5" t="s">
        <v>8001</v>
      </c>
      <c r="S642" s="6" t="s">
        <v>50</v>
      </c>
      <c r="T642" s="6">
        <v>6503.0</v>
      </c>
    </row>
    <row r="643" ht="56.25" customHeight="1">
      <c r="A643" s="5" t="s">
        <v>7999</v>
      </c>
      <c r="B643" s="6" t="str">
        <f>image("https://storage.googleapis.com/acdb/photos/BromideNpcNmlGoa00_Remake_1_0.png")</f>
        <v/>
      </c>
      <c r="C643" s="5" t="s">
        <v>1132</v>
      </c>
      <c r="D643" s="5" t="s">
        <v>1327</v>
      </c>
      <c r="E643" s="5" t="s">
        <v>34</v>
      </c>
      <c r="F643" s="5" t="s">
        <v>34</v>
      </c>
      <c r="G643" s="5" t="s">
        <v>36</v>
      </c>
      <c r="H643" s="5" t="s">
        <v>35</v>
      </c>
      <c r="I643" s="6">
        <v>1.0</v>
      </c>
      <c r="J643" s="6" t="s">
        <v>37</v>
      </c>
      <c r="K643" s="6">
        <v>10.0</v>
      </c>
      <c r="L643" s="5"/>
      <c r="M643" s="5"/>
      <c r="N643" s="6" t="s">
        <v>40</v>
      </c>
      <c r="O643" s="5" t="s">
        <v>5363</v>
      </c>
      <c r="P643" s="6" t="s">
        <v>42</v>
      </c>
      <c r="Q643" s="5" t="s">
        <v>1237</v>
      </c>
      <c r="R643" s="5" t="s">
        <v>8004</v>
      </c>
      <c r="S643" s="6" t="s">
        <v>56</v>
      </c>
      <c r="T643" s="6">
        <v>6503.0</v>
      </c>
    </row>
    <row r="644" ht="56.25" customHeight="1">
      <c r="A644" s="5" t="s">
        <v>7999</v>
      </c>
      <c r="B644" s="6" t="str">
        <f>image("https://storage.googleapis.com/acdb/photos/BromideNpcNmlGoa00_Remake_2_0.png")</f>
        <v/>
      </c>
      <c r="C644" s="5" t="s">
        <v>688</v>
      </c>
      <c r="D644" s="5" t="s">
        <v>1327</v>
      </c>
      <c r="E644" s="5" t="s">
        <v>34</v>
      </c>
      <c r="F644" s="5" t="s">
        <v>34</v>
      </c>
      <c r="G644" s="5" t="s">
        <v>36</v>
      </c>
      <c r="H644" s="5" t="s">
        <v>35</v>
      </c>
      <c r="I644" s="6">
        <v>1.0</v>
      </c>
      <c r="J644" s="6" t="s">
        <v>37</v>
      </c>
      <c r="K644" s="6">
        <v>10.0</v>
      </c>
      <c r="L644" s="5"/>
      <c r="M644" s="5"/>
      <c r="N644" s="6" t="s">
        <v>40</v>
      </c>
      <c r="O644" s="5" t="s">
        <v>5363</v>
      </c>
      <c r="P644" s="6" t="s">
        <v>42</v>
      </c>
      <c r="Q644" s="5" t="s">
        <v>1237</v>
      </c>
      <c r="R644" s="5" t="s">
        <v>8007</v>
      </c>
      <c r="S644" s="6" t="s">
        <v>67</v>
      </c>
      <c r="T644" s="6">
        <v>6503.0</v>
      </c>
    </row>
    <row r="645" ht="56.25" customHeight="1">
      <c r="A645" s="5" t="s">
        <v>7999</v>
      </c>
      <c r="B645" s="6" t="str">
        <f>image("https://storage.googleapis.com/acdb/photos/BromideNpcNmlGoa00_Remake_3_0.png")</f>
        <v/>
      </c>
      <c r="C645" s="5" t="s">
        <v>57</v>
      </c>
      <c r="D645" s="5" t="s">
        <v>1327</v>
      </c>
      <c r="E645" s="5" t="s">
        <v>34</v>
      </c>
      <c r="F645" s="5" t="s">
        <v>34</v>
      </c>
      <c r="G645" s="5" t="s">
        <v>36</v>
      </c>
      <c r="H645" s="5" t="s">
        <v>35</v>
      </c>
      <c r="I645" s="6">
        <v>1.0</v>
      </c>
      <c r="J645" s="6" t="s">
        <v>37</v>
      </c>
      <c r="K645" s="6">
        <v>10.0</v>
      </c>
      <c r="L645" s="5"/>
      <c r="M645" s="5"/>
      <c r="N645" s="6" t="s">
        <v>40</v>
      </c>
      <c r="O645" s="5" t="s">
        <v>5363</v>
      </c>
      <c r="P645" s="6" t="s">
        <v>42</v>
      </c>
      <c r="Q645" s="5" t="s">
        <v>1237</v>
      </c>
      <c r="R645" s="5" t="s">
        <v>8009</v>
      </c>
      <c r="S645" s="6" t="s">
        <v>71</v>
      </c>
      <c r="T645" s="6">
        <v>6503.0</v>
      </c>
    </row>
    <row r="646" ht="56.25" customHeight="1">
      <c r="A646" s="5" t="s">
        <v>7999</v>
      </c>
      <c r="B646" s="6" t="str">
        <f>image("https://storage.googleapis.com/acdb/photos/BromideNpcNmlGoa00_Remake_4_0.png")</f>
        <v/>
      </c>
      <c r="C646" s="5" t="s">
        <v>1167</v>
      </c>
      <c r="D646" s="5" t="s">
        <v>1327</v>
      </c>
      <c r="E646" s="5" t="s">
        <v>34</v>
      </c>
      <c r="F646" s="5" t="s">
        <v>34</v>
      </c>
      <c r="G646" s="5" t="s">
        <v>36</v>
      </c>
      <c r="H646" s="5" t="s">
        <v>35</v>
      </c>
      <c r="I646" s="6">
        <v>1.0</v>
      </c>
      <c r="J646" s="6" t="s">
        <v>37</v>
      </c>
      <c r="K646" s="6">
        <v>10.0</v>
      </c>
      <c r="L646" s="5"/>
      <c r="M646" s="5"/>
      <c r="N646" s="6" t="s">
        <v>40</v>
      </c>
      <c r="O646" s="5" t="s">
        <v>5363</v>
      </c>
      <c r="P646" s="6" t="s">
        <v>42</v>
      </c>
      <c r="Q646" s="5" t="s">
        <v>1237</v>
      </c>
      <c r="R646" s="5" t="s">
        <v>8012</v>
      </c>
      <c r="S646" s="6" t="s">
        <v>75</v>
      </c>
      <c r="T646" s="6">
        <v>6503.0</v>
      </c>
    </row>
    <row r="647" ht="56.25" customHeight="1">
      <c r="A647" s="5" t="s">
        <v>7999</v>
      </c>
      <c r="B647" s="6" t="str">
        <f>image("https://storage.googleapis.com/acdb/photos/BromideNpcNmlGoa00_Remake_5_0.png")</f>
        <v/>
      </c>
      <c r="C647" s="5" t="s">
        <v>58</v>
      </c>
      <c r="D647" s="5" t="s">
        <v>1327</v>
      </c>
      <c r="E647" s="5" t="s">
        <v>34</v>
      </c>
      <c r="F647" s="5" t="s">
        <v>34</v>
      </c>
      <c r="G647" s="5" t="s">
        <v>36</v>
      </c>
      <c r="H647" s="5" t="s">
        <v>35</v>
      </c>
      <c r="I647" s="6">
        <v>1.0</v>
      </c>
      <c r="J647" s="6" t="s">
        <v>37</v>
      </c>
      <c r="K647" s="6">
        <v>10.0</v>
      </c>
      <c r="L647" s="5"/>
      <c r="M647" s="5"/>
      <c r="N647" s="6" t="s">
        <v>40</v>
      </c>
      <c r="O647" s="5" t="s">
        <v>5363</v>
      </c>
      <c r="P647" s="6" t="s">
        <v>42</v>
      </c>
      <c r="Q647" s="5" t="s">
        <v>1237</v>
      </c>
      <c r="R647" s="5" t="s">
        <v>8015</v>
      </c>
      <c r="S647" s="6" t="s">
        <v>79</v>
      </c>
      <c r="T647" s="6">
        <v>6503.0</v>
      </c>
    </row>
    <row r="648" ht="56.25" customHeight="1">
      <c r="A648" s="5" t="s">
        <v>7999</v>
      </c>
      <c r="B648" s="6" t="str">
        <f>image("https://storage.googleapis.com/acdb/photos/BromideNpcNmlGoa00_Remake_6_0.png")</f>
        <v/>
      </c>
      <c r="C648" s="5" t="s">
        <v>146</v>
      </c>
      <c r="D648" s="5" t="s">
        <v>1327</v>
      </c>
      <c r="E648" s="5" t="s">
        <v>34</v>
      </c>
      <c r="F648" s="5" t="s">
        <v>34</v>
      </c>
      <c r="G648" s="5" t="s">
        <v>36</v>
      </c>
      <c r="H648" s="5" t="s">
        <v>35</v>
      </c>
      <c r="I648" s="6">
        <v>1.0</v>
      </c>
      <c r="J648" s="6" t="s">
        <v>37</v>
      </c>
      <c r="K648" s="6">
        <v>10.0</v>
      </c>
      <c r="L648" s="5"/>
      <c r="M648" s="5"/>
      <c r="N648" s="6" t="s">
        <v>40</v>
      </c>
      <c r="O648" s="5" t="s">
        <v>5363</v>
      </c>
      <c r="P648" s="6" t="s">
        <v>42</v>
      </c>
      <c r="Q648" s="5" t="s">
        <v>1237</v>
      </c>
      <c r="R648" s="5" t="s">
        <v>8017</v>
      </c>
      <c r="S648" s="6" t="s">
        <v>86</v>
      </c>
      <c r="T648" s="6">
        <v>6503.0</v>
      </c>
    </row>
    <row r="649" ht="56.25" customHeight="1">
      <c r="A649" s="5" t="s">
        <v>7999</v>
      </c>
      <c r="B649" s="6" t="str">
        <f>image("https://storage.googleapis.com/acdb/photos/BromideNpcNmlGoa00_Remake_7_0.png")</f>
        <v/>
      </c>
      <c r="C649" s="5" t="s">
        <v>151</v>
      </c>
      <c r="D649" s="5" t="s">
        <v>1327</v>
      </c>
      <c r="E649" s="5" t="s">
        <v>34</v>
      </c>
      <c r="F649" s="5" t="s">
        <v>34</v>
      </c>
      <c r="G649" s="5" t="s">
        <v>36</v>
      </c>
      <c r="H649" s="5" t="s">
        <v>35</v>
      </c>
      <c r="I649" s="6">
        <v>1.0</v>
      </c>
      <c r="J649" s="6" t="s">
        <v>37</v>
      </c>
      <c r="K649" s="6">
        <v>10.0</v>
      </c>
      <c r="L649" s="5"/>
      <c r="M649" s="5"/>
      <c r="N649" s="6" t="s">
        <v>40</v>
      </c>
      <c r="O649" s="5" t="s">
        <v>5363</v>
      </c>
      <c r="P649" s="6" t="s">
        <v>42</v>
      </c>
      <c r="Q649" s="5" t="s">
        <v>1237</v>
      </c>
      <c r="R649" s="5" t="s">
        <v>8021</v>
      </c>
      <c r="S649" s="6" t="s">
        <v>208</v>
      </c>
      <c r="T649" s="6">
        <v>6503.0</v>
      </c>
    </row>
    <row r="650" ht="56.25" customHeight="1">
      <c r="A650" s="5" t="s">
        <v>8022</v>
      </c>
      <c r="B650" s="6" t="str">
        <f>image("https://storage.googleapis.com/acdb/photos/BromideNpcNmlWol00_Remake_0_0.png")</f>
        <v/>
      </c>
      <c r="C650" s="5" t="s">
        <v>366</v>
      </c>
      <c r="D650" s="5" t="s">
        <v>1327</v>
      </c>
      <c r="E650" s="5" t="s">
        <v>34</v>
      </c>
      <c r="F650" s="5" t="s">
        <v>34</v>
      </c>
      <c r="G650" s="5" t="s">
        <v>36</v>
      </c>
      <c r="H650" s="5" t="s">
        <v>35</v>
      </c>
      <c r="I650" s="6">
        <v>1.0</v>
      </c>
      <c r="J650" s="6" t="s">
        <v>37</v>
      </c>
      <c r="K650" s="6">
        <v>10.0</v>
      </c>
      <c r="L650" s="5"/>
      <c r="M650" s="5"/>
      <c r="N650" s="6" t="s">
        <v>40</v>
      </c>
      <c r="O650" s="5" t="s">
        <v>5363</v>
      </c>
      <c r="P650" s="6" t="s">
        <v>42</v>
      </c>
      <c r="Q650" s="5" t="s">
        <v>1237</v>
      </c>
      <c r="R650" s="5" t="s">
        <v>8025</v>
      </c>
      <c r="S650" s="6" t="s">
        <v>50</v>
      </c>
      <c r="T650" s="6">
        <v>6731.0</v>
      </c>
    </row>
    <row r="651" ht="56.25" customHeight="1">
      <c r="A651" s="5" t="s">
        <v>8022</v>
      </c>
      <c r="B651" s="6" t="str">
        <f>image("https://storage.googleapis.com/acdb/photos/BromideNpcNmlWol00_Remake_1_0.png")</f>
        <v/>
      </c>
      <c r="C651" s="5" t="s">
        <v>1132</v>
      </c>
      <c r="D651" s="5" t="s">
        <v>1327</v>
      </c>
      <c r="E651" s="5" t="s">
        <v>34</v>
      </c>
      <c r="F651" s="5" t="s">
        <v>34</v>
      </c>
      <c r="G651" s="5" t="s">
        <v>36</v>
      </c>
      <c r="H651" s="5" t="s">
        <v>35</v>
      </c>
      <c r="I651" s="6">
        <v>1.0</v>
      </c>
      <c r="J651" s="6" t="s">
        <v>37</v>
      </c>
      <c r="K651" s="6">
        <v>10.0</v>
      </c>
      <c r="L651" s="5"/>
      <c r="M651" s="5"/>
      <c r="N651" s="6" t="s">
        <v>40</v>
      </c>
      <c r="O651" s="5" t="s">
        <v>5363</v>
      </c>
      <c r="P651" s="6" t="s">
        <v>42</v>
      </c>
      <c r="Q651" s="5" t="s">
        <v>1237</v>
      </c>
      <c r="R651" s="5" t="s">
        <v>8028</v>
      </c>
      <c r="S651" s="6" t="s">
        <v>56</v>
      </c>
      <c r="T651" s="6">
        <v>6731.0</v>
      </c>
    </row>
    <row r="652" ht="56.25" customHeight="1">
      <c r="A652" s="5" t="s">
        <v>8022</v>
      </c>
      <c r="B652" s="6" t="str">
        <f>image("https://storage.googleapis.com/acdb/photos/BromideNpcNmlWol00_Remake_2_0.png")</f>
        <v/>
      </c>
      <c r="C652" s="5" t="s">
        <v>688</v>
      </c>
      <c r="D652" s="5" t="s">
        <v>1327</v>
      </c>
      <c r="E652" s="5" t="s">
        <v>34</v>
      </c>
      <c r="F652" s="5" t="s">
        <v>34</v>
      </c>
      <c r="G652" s="5" t="s">
        <v>36</v>
      </c>
      <c r="H652" s="5" t="s">
        <v>35</v>
      </c>
      <c r="I652" s="6">
        <v>1.0</v>
      </c>
      <c r="J652" s="6" t="s">
        <v>37</v>
      </c>
      <c r="K652" s="6">
        <v>10.0</v>
      </c>
      <c r="L652" s="5"/>
      <c r="M652" s="5"/>
      <c r="N652" s="6" t="s">
        <v>40</v>
      </c>
      <c r="O652" s="5" t="s">
        <v>5363</v>
      </c>
      <c r="P652" s="6" t="s">
        <v>42</v>
      </c>
      <c r="Q652" s="5" t="s">
        <v>1237</v>
      </c>
      <c r="R652" s="5" t="s">
        <v>8030</v>
      </c>
      <c r="S652" s="6" t="s">
        <v>67</v>
      </c>
      <c r="T652" s="6">
        <v>6731.0</v>
      </c>
    </row>
    <row r="653" ht="56.25" customHeight="1">
      <c r="A653" s="5" t="s">
        <v>8022</v>
      </c>
      <c r="B653" s="6" t="str">
        <f>image("https://storage.googleapis.com/acdb/photos/BromideNpcNmlWol00_Remake_3_0.png")</f>
        <v/>
      </c>
      <c r="C653" s="5" t="s">
        <v>57</v>
      </c>
      <c r="D653" s="5" t="s">
        <v>1327</v>
      </c>
      <c r="E653" s="5" t="s">
        <v>34</v>
      </c>
      <c r="F653" s="5" t="s">
        <v>34</v>
      </c>
      <c r="G653" s="5" t="s">
        <v>36</v>
      </c>
      <c r="H653" s="5" t="s">
        <v>35</v>
      </c>
      <c r="I653" s="6">
        <v>1.0</v>
      </c>
      <c r="J653" s="6" t="s">
        <v>37</v>
      </c>
      <c r="K653" s="6">
        <v>10.0</v>
      </c>
      <c r="L653" s="5"/>
      <c r="M653" s="5"/>
      <c r="N653" s="6" t="s">
        <v>40</v>
      </c>
      <c r="O653" s="5" t="s">
        <v>5363</v>
      </c>
      <c r="P653" s="6" t="s">
        <v>42</v>
      </c>
      <c r="Q653" s="5" t="s">
        <v>1237</v>
      </c>
      <c r="R653" s="5" t="s">
        <v>8034</v>
      </c>
      <c r="S653" s="6" t="s">
        <v>71</v>
      </c>
      <c r="T653" s="6">
        <v>6731.0</v>
      </c>
    </row>
    <row r="654" ht="56.25" customHeight="1">
      <c r="A654" s="5" t="s">
        <v>8022</v>
      </c>
      <c r="B654" s="6" t="str">
        <f>image("https://storage.googleapis.com/acdb/photos/BromideNpcNmlWol00_Remake_4_0.png")</f>
        <v/>
      </c>
      <c r="C654" s="5" t="s">
        <v>1167</v>
      </c>
      <c r="D654" s="5" t="s">
        <v>1327</v>
      </c>
      <c r="E654" s="5" t="s">
        <v>34</v>
      </c>
      <c r="F654" s="5" t="s">
        <v>34</v>
      </c>
      <c r="G654" s="5" t="s">
        <v>36</v>
      </c>
      <c r="H654" s="5" t="s">
        <v>35</v>
      </c>
      <c r="I654" s="6">
        <v>1.0</v>
      </c>
      <c r="J654" s="6" t="s">
        <v>37</v>
      </c>
      <c r="K654" s="6">
        <v>10.0</v>
      </c>
      <c r="L654" s="5"/>
      <c r="M654" s="5"/>
      <c r="N654" s="6" t="s">
        <v>40</v>
      </c>
      <c r="O654" s="5" t="s">
        <v>5363</v>
      </c>
      <c r="P654" s="6" t="s">
        <v>42</v>
      </c>
      <c r="Q654" s="5" t="s">
        <v>1237</v>
      </c>
      <c r="R654" s="5" t="s">
        <v>8037</v>
      </c>
      <c r="S654" s="6" t="s">
        <v>75</v>
      </c>
      <c r="T654" s="6">
        <v>6731.0</v>
      </c>
    </row>
    <row r="655" ht="56.25" customHeight="1">
      <c r="A655" s="5" t="s">
        <v>8022</v>
      </c>
      <c r="B655" s="6" t="str">
        <f>image("https://storage.googleapis.com/acdb/photos/BromideNpcNmlWol00_Remake_5_0.png")</f>
        <v/>
      </c>
      <c r="C655" s="5" t="s">
        <v>58</v>
      </c>
      <c r="D655" s="5" t="s">
        <v>1327</v>
      </c>
      <c r="E655" s="5" t="s">
        <v>34</v>
      </c>
      <c r="F655" s="5" t="s">
        <v>34</v>
      </c>
      <c r="G655" s="5" t="s">
        <v>36</v>
      </c>
      <c r="H655" s="5" t="s">
        <v>35</v>
      </c>
      <c r="I655" s="6">
        <v>1.0</v>
      </c>
      <c r="J655" s="6" t="s">
        <v>37</v>
      </c>
      <c r="K655" s="6">
        <v>10.0</v>
      </c>
      <c r="L655" s="5"/>
      <c r="M655" s="5"/>
      <c r="N655" s="6" t="s">
        <v>40</v>
      </c>
      <c r="O655" s="5" t="s">
        <v>5363</v>
      </c>
      <c r="P655" s="6" t="s">
        <v>42</v>
      </c>
      <c r="Q655" s="5" t="s">
        <v>1237</v>
      </c>
      <c r="R655" s="5" t="s">
        <v>8040</v>
      </c>
      <c r="S655" s="6" t="s">
        <v>79</v>
      </c>
      <c r="T655" s="6">
        <v>6731.0</v>
      </c>
    </row>
    <row r="656" ht="56.25" customHeight="1">
      <c r="A656" s="5" t="s">
        <v>8022</v>
      </c>
      <c r="B656" s="6" t="str">
        <f>image("https://storage.googleapis.com/acdb/photos/BromideNpcNmlWol00_Remake_6_0.png")</f>
        <v/>
      </c>
      <c r="C656" s="5" t="s">
        <v>146</v>
      </c>
      <c r="D656" s="5" t="s">
        <v>1327</v>
      </c>
      <c r="E656" s="5" t="s">
        <v>34</v>
      </c>
      <c r="F656" s="5" t="s">
        <v>34</v>
      </c>
      <c r="G656" s="5" t="s">
        <v>36</v>
      </c>
      <c r="H656" s="5" t="s">
        <v>35</v>
      </c>
      <c r="I656" s="6">
        <v>1.0</v>
      </c>
      <c r="J656" s="6" t="s">
        <v>37</v>
      </c>
      <c r="K656" s="6">
        <v>10.0</v>
      </c>
      <c r="L656" s="5"/>
      <c r="M656" s="5"/>
      <c r="N656" s="6" t="s">
        <v>40</v>
      </c>
      <c r="O656" s="5" t="s">
        <v>5363</v>
      </c>
      <c r="P656" s="6" t="s">
        <v>42</v>
      </c>
      <c r="Q656" s="5" t="s">
        <v>1237</v>
      </c>
      <c r="R656" s="5" t="s">
        <v>8043</v>
      </c>
      <c r="S656" s="6" t="s">
        <v>86</v>
      </c>
      <c r="T656" s="6">
        <v>6731.0</v>
      </c>
    </row>
    <row r="657" ht="56.25" customHeight="1">
      <c r="A657" s="5" t="s">
        <v>8022</v>
      </c>
      <c r="B657" s="6" t="str">
        <f>image("https://storage.googleapis.com/acdb/photos/BromideNpcNmlWol00_Remake_7_0.png")</f>
        <v/>
      </c>
      <c r="C657" s="5" t="s">
        <v>151</v>
      </c>
      <c r="D657" s="5" t="s">
        <v>1327</v>
      </c>
      <c r="E657" s="5" t="s">
        <v>34</v>
      </c>
      <c r="F657" s="5" t="s">
        <v>34</v>
      </c>
      <c r="G657" s="5" t="s">
        <v>36</v>
      </c>
      <c r="H657" s="5" t="s">
        <v>35</v>
      </c>
      <c r="I657" s="6">
        <v>1.0</v>
      </c>
      <c r="J657" s="6" t="s">
        <v>37</v>
      </c>
      <c r="K657" s="6">
        <v>10.0</v>
      </c>
      <c r="L657" s="5"/>
      <c r="M657" s="5"/>
      <c r="N657" s="6" t="s">
        <v>40</v>
      </c>
      <c r="O657" s="5" t="s">
        <v>5363</v>
      </c>
      <c r="P657" s="6" t="s">
        <v>42</v>
      </c>
      <c r="Q657" s="5" t="s">
        <v>1237</v>
      </c>
      <c r="R657" s="5" t="s">
        <v>8048</v>
      </c>
      <c r="S657" s="6" t="s">
        <v>208</v>
      </c>
      <c r="T657" s="6">
        <v>6731.0</v>
      </c>
    </row>
    <row r="658" ht="56.25" customHeight="1">
      <c r="A658" s="5" t="s">
        <v>8049</v>
      </c>
      <c r="B658" s="6" t="str">
        <f>image("https://storage.googleapis.com/acdb/photos/BromideNpcNmlPig14_Remake_0_0.png")</f>
        <v/>
      </c>
      <c r="C658" s="5" t="s">
        <v>366</v>
      </c>
      <c r="D658" s="5" t="s">
        <v>1327</v>
      </c>
      <c r="E658" s="5" t="s">
        <v>34</v>
      </c>
      <c r="F658" s="5" t="s">
        <v>34</v>
      </c>
      <c r="G658" s="5" t="s">
        <v>36</v>
      </c>
      <c r="H658" s="5" t="s">
        <v>35</v>
      </c>
      <c r="I658" s="6">
        <v>1.0</v>
      </c>
      <c r="J658" s="6" t="s">
        <v>37</v>
      </c>
      <c r="K658" s="6">
        <v>10.0</v>
      </c>
      <c r="L658" s="5"/>
      <c r="M658" s="5"/>
      <c r="N658" s="6" t="s">
        <v>40</v>
      </c>
      <c r="O658" s="5" t="s">
        <v>5363</v>
      </c>
      <c r="P658" s="6" t="s">
        <v>42</v>
      </c>
      <c r="Q658" s="5" t="s">
        <v>1237</v>
      </c>
      <c r="R658" s="5" t="s">
        <v>8052</v>
      </c>
      <c r="S658" s="6" t="s">
        <v>50</v>
      </c>
      <c r="T658" s="6">
        <v>6657.0</v>
      </c>
    </row>
    <row r="659" ht="56.25" customHeight="1">
      <c r="A659" s="5" t="s">
        <v>8049</v>
      </c>
      <c r="B659" s="6" t="str">
        <f>image("https://storage.googleapis.com/acdb/photos/BromideNpcNmlPig14_Remake_1_0.png")</f>
        <v/>
      </c>
      <c r="C659" s="5" t="s">
        <v>1132</v>
      </c>
      <c r="D659" s="5" t="s">
        <v>1327</v>
      </c>
      <c r="E659" s="5" t="s">
        <v>34</v>
      </c>
      <c r="F659" s="5" t="s">
        <v>34</v>
      </c>
      <c r="G659" s="5" t="s">
        <v>36</v>
      </c>
      <c r="H659" s="5" t="s">
        <v>35</v>
      </c>
      <c r="I659" s="6">
        <v>1.0</v>
      </c>
      <c r="J659" s="6" t="s">
        <v>37</v>
      </c>
      <c r="K659" s="6">
        <v>10.0</v>
      </c>
      <c r="L659" s="5"/>
      <c r="M659" s="5"/>
      <c r="N659" s="6" t="s">
        <v>40</v>
      </c>
      <c r="O659" s="5" t="s">
        <v>5363</v>
      </c>
      <c r="P659" s="6" t="s">
        <v>42</v>
      </c>
      <c r="Q659" s="5" t="s">
        <v>1237</v>
      </c>
      <c r="R659" s="5" t="s">
        <v>8055</v>
      </c>
      <c r="S659" s="6" t="s">
        <v>56</v>
      </c>
      <c r="T659" s="6">
        <v>6657.0</v>
      </c>
    </row>
    <row r="660" ht="56.25" customHeight="1">
      <c r="A660" s="5" t="s">
        <v>8049</v>
      </c>
      <c r="B660" s="6" t="str">
        <f>image("https://storage.googleapis.com/acdb/photos/BromideNpcNmlPig14_Remake_2_0.png")</f>
        <v/>
      </c>
      <c r="C660" s="5" t="s">
        <v>688</v>
      </c>
      <c r="D660" s="5" t="s">
        <v>1327</v>
      </c>
      <c r="E660" s="5" t="s">
        <v>34</v>
      </c>
      <c r="F660" s="5" t="s">
        <v>34</v>
      </c>
      <c r="G660" s="5" t="s">
        <v>36</v>
      </c>
      <c r="H660" s="5" t="s">
        <v>35</v>
      </c>
      <c r="I660" s="6">
        <v>1.0</v>
      </c>
      <c r="J660" s="6" t="s">
        <v>37</v>
      </c>
      <c r="K660" s="6">
        <v>10.0</v>
      </c>
      <c r="L660" s="5"/>
      <c r="M660" s="5"/>
      <c r="N660" s="6" t="s">
        <v>40</v>
      </c>
      <c r="O660" s="5" t="s">
        <v>5363</v>
      </c>
      <c r="P660" s="6" t="s">
        <v>42</v>
      </c>
      <c r="Q660" s="5" t="s">
        <v>1237</v>
      </c>
      <c r="R660" s="5" t="s">
        <v>8058</v>
      </c>
      <c r="S660" s="6" t="s">
        <v>67</v>
      </c>
      <c r="T660" s="6">
        <v>6657.0</v>
      </c>
    </row>
    <row r="661" ht="56.25" customHeight="1">
      <c r="A661" s="5" t="s">
        <v>8049</v>
      </c>
      <c r="B661" s="6" t="str">
        <f>image("https://storage.googleapis.com/acdb/photos/BromideNpcNmlPig14_Remake_3_0.png")</f>
        <v/>
      </c>
      <c r="C661" s="5" t="s">
        <v>57</v>
      </c>
      <c r="D661" s="5" t="s">
        <v>1327</v>
      </c>
      <c r="E661" s="5" t="s">
        <v>34</v>
      </c>
      <c r="F661" s="5" t="s">
        <v>34</v>
      </c>
      <c r="G661" s="5" t="s">
        <v>36</v>
      </c>
      <c r="H661" s="5" t="s">
        <v>35</v>
      </c>
      <c r="I661" s="6">
        <v>1.0</v>
      </c>
      <c r="J661" s="6" t="s">
        <v>37</v>
      </c>
      <c r="K661" s="6">
        <v>10.0</v>
      </c>
      <c r="L661" s="5"/>
      <c r="M661" s="5"/>
      <c r="N661" s="6" t="s">
        <v>40</v>
      </c>
      <c r="O661" s="5" t="s">
        <v>5363</v>
      </c>
      <c r="P661" s="6" t="s">
        <v>42</v>
      </c>
      <c r="Q661" s="5" t="s">
        <v>1237</v>
      </c>
      <c r="R661" s="5" t="s">
        <v>8059</v>
      </c>
      <c r="S661" s="6" t="s">
        <v>71</v>
      </c>
      <c r="T661" s="6">
        <v>6657.0</v>
      </c>
    </row>
    <row r="662" ht="56.25" customHeight="1">
      <c r="A662" s="5" t="s">
        <v>8049</v>
      </c>
      <c r="B662" s="6" t="str">
        <f>image("https://storage.googleapis.com/acdb/photos/BromideNpcNmlPig14_Remake_4_0.png")</f>
        <v/>
      </c>
      <c r="C662" s="5" t="s">
        <v>1167</v>
      </c>
      <c r="D662" s="5" t="s">
        <v>1327</v>
      </c>
      <c r="E662" s="5" t="s">
        <v>34</v>
      </c>
      <c r="F662" s="5" t="s">
        <v>34</v>
      </c>
      <c r="G662" s="5" t="s">
        <v>36</v>
      </c>
      <c r="H662" s="5" t="s">
        <v>35</v>
      </c>
      <c r="I662" s="6">
        <v>1.0</v>
      </c>
      <c r="J662" s="6" t="s">
        <v>37</v>
      </c>
      <c r="K662" s="6">
        <v>10.0</v>
      </c>
      <c r="L662" s="5"/>
      <c r="M662" s="5"/>
      <c r="N662" s="6" t="s">
        <v>40</v>
      </c>
      <c r="O662" s="5" t="s">
        <v>5363</v>
      </c>
      <c r="P662" s="6" t="s">
        <v>42</v>
      </c>
      <c r="Q662" s="5" t="s">
        <v>1237</v>
      </c>
      <c r="R662" s="5" t="s">
        <v>8062</v>
      </c>
      <c r="S662" s="6" t="s">
        <v>75</v>
      </c>
      <c r="T662" s="6">
        <v>6657.0</v>
      </c>
    </row>
    <row r="663" ht="56.25" customHeight="1">
      <c r="A663" s="5" t="s">
        <v>8049</v>
      </c>
      <c r="B663" s="6" t="str">
        <f>image("https://storage.googleapis.com/acdb/photos/BromideNpcNmlPig14_Remake_5_0.png")</f>
        <v/>
      </c>
      <c r="C663" s="5" t="s">
        <v>58</v>
      </c>
      <c r="D663" s="5" t="s">
        <v>1327</v>
      </c>
      <c r="E663" s="5" t="s">
        <v>34</v>
      </c>
      <c r="F663" s="5" t="s">
        <v>34</v>
      </c>
      <c r="G663" s="5" t="s">
        <v>36</v>
      </c>
      <c r="H663" s="5" t="s">
        <v>35</v>
      </c>
      <c r="I663" s="6">
        <v>1.0</v>
      </c>
      <c r="J663" s="6" t="s">
        <v>37</v>
      </c>
      <c r="K663" s="6">
        <v>10.0</v>
      </c>
      <c r="L663" s="5"/>
      <c r="M663" s="5"/>
      <c r="N663" s="6" t="s">
        <v>40</v>
      </c>
      <c r="O663" s="5" t="s">
        <v>5363</v>
      </c>
      <c r="P663" s="6" t="s">
        <v>42</v>
      </c>
      <c r="Q663" s="5" t="s">
        <v>1237</v>
      </c>
      <c r="R663" s="5" t="s">
        <v>8067</v>
      </c>
      <c r="S663" s="6" t="s">
        <v>79</v>
      </c>
      <c r="T663" s="6">
        <v>6657.0</v>
      </c>
    </row>
    <row r="664" ht="56.25" customHeight="1">
      <c r="A664" s="5" t="s">
        <v>8049</v>
      </c>
      <c r="B664" s="6" t="str">
        <f>image("https://storage.googleapis.com/acdb/photos/BromideNpcNmlPig14_Remake_6_0.png")</f>
        <v/>
      </c>
      <c r="C664" s="5" t="s">
        <v>146</v>
      </c>
      <c r="D664" s="5" t="s">
        <v>1327</v>
      </c>
      <c r="E664" s="5" t="s">
        <v>34</v>
      </c>
      <c r="F664" s="5" t="s">
        <v>34</v>
      </c>
      <c r="G664" s="5" t="s">
        <v>36</v>
      </c>
      <c r="H664" s="5" t="s">
        <v>35</v>
      </c>
      <c r="I664" s="6">
        <v>1.0</v>
      </c>
      <c r="J664" s="6" t="s">
        <v>37</v>
      </c>
      <c r="K664" s="6">
        <v>10.0</v>
      </c>
      <c r="L664" s="5"/>
      <c r="M664" s="5"/>
      <c r="N664" s="6" t="s">
        <v>40</v>
      </c>
      <c r="O664" s="5" t="s">
        <v>5363</v>
      </c>
      <c r="P664" s="6" t="s">
        <v>42</v>
      </c>
      <c r="Q664" s="5" t="s">
        <v>1237</v>
      </c>
      <c r="R664" s="5" t="s">
        <v>8070</v>
      </c>
      <c r="S664" s="6" t="s">
        <v>86</v>
      </c>
      <c r="T664" s="6">
        <v>6657.0</v>
      </c>
    </row>
    <row r="665" ht="56.25" customHeight="1">
      <c r="A665" s="5" t="s">
        <v>8049</v>
      </c>
      <c r="B665" s="6" t="str">
        <f>image("https://storage.googleapis.com/acdb/photos/BromideNpcNmlPig14_Remake_7_0.png")</f>
        <v/>
      </c>
      <c r="C665" s="5" t="s">
        <v>151</v>
      </c>
      <c r="D665" s="5" t="s">
        <v>1327</v>
      </c>
      <c r="E665" s="5" t="s">
        <v>34</v>
      </c>
      <c r="F665" s="5" t="s">
        <v>34</v>
      </c>
      <c r="G665" s="5" t="s">
        <v>36</v>
      </c>
      <c r="H665" s="5" t="s">
        <v>35</v>
      </c>
      <c r="I665" s="6">
        <v>1.0</v>
      </c>
      <c r="J665" s="6" t="s">
        <v>37</v>
      </c>
      <c r="K665" s="6">
        <v>10.0</v>
      </c>
      <c r="L665" s="5"/>
      <c r="M665" s="5"/>
      <c r="N665" s="6" t="s">
        <v>40</v>
      </c>
      <c r="O665" s="5" t="s">
        <v>5363</v>
      </c>
      <c r="P665" s="6" t="s">
        <v>42</v>
      </c>
      <c r="Q665" s="5" t="s">
        <v>1237</v>
      </c>
      <c r="R665" s="5" t="s">
        <v>8074</v>
      </c>
      <c r="S665" s="6" t="s">
        <v>208</v>
      </c>
      <c r="T665" s="6">
        <v>6657.0</v>
      </c>
    </row>
    <row r="666" ht="56.25" customHeight="1">
      <c r="A666" s="5" t="s">
        <v>8075</v>
      </c>
      <c r="B666" s="6" t="str">
        <f>image("https://storage.googleapis.com/acdb/photos/BromideNpcNmlBea03_Remake_0_0.png")</f>
        <v/>
      </c>
      <c r="C666" s="5" t="s">
        <v>366</v>
      </c>
      <c r="D666" s="5" t="s">
        <v>1327</v>
      </c>
      <c r="E666" s="5" t="s">
        <v>34</v>
      </c>
      <c r="F666" s="5" t="s">
        <v>34</v>
      </c>
      <c r="G666" s="5" t="s">
        <v>36</v>
      </c>
      <c r="H666" s="5" t="s">
        <v>35</v>
      </c>
      <c r="I666" s="6">
        <v>1.0</v>
      </c>
      <c r="J666" s="6" t="s">
        <v>37</v>
      </c>
      <c r="K666" s="6">
        <v>10.0</v>
      </c>
      <c r="L666" s="5"/>
      <c r="M666" s="5"/>
      <c r="N666" s="6" t="s">
        <v>40</v>
      </c>
      <c r="O666" s="5" t="s">
        <v>5363</v>
      </c>
      <c r="P666" s="6" t="s">
        <v>42</v>
      </c>
      <c r="Q666" s="5" t="s">
        <v>1237</v>
      </c>
      <c r="R666" s="5" t="s">
        <v>8079</v>
      </c>
      <c r="S666" s="6" t="s">
        <v>50</v>
      </c>
      <c r="T666" s="6">
        <v>6438.0</v>
      </c>
    </row>
    <row r="667" ht="56.25" customHeight="1">
      <c r="A667" s="5" t="s">
        <v>8075</v>
      </c>
      <c r="B667" s="6" t="str">
        <f>image("https://storage.googleapis.com/acdb/photos/BromideNpcNmlBea03_Remake_1_0.png")</f>
        <v/>
      </c>
      <c r="C667" s="5" t="s">
        <v>1132</v>
      </c>
      <c r="D667" s="5" t="s">
        <v>1327</v>
      </c>
      <c r="E667" s="5" t="s">
        <v>34</v>
      </c>
      <c r="F667" s="5" t="s">
        <v>34</v>
      </c>
      <c r="G667" s="5" t="s">
        <v>36</v>
      </c>
      <c r="H667" s="5" t="s">
        <v>35</v>
      </c>
      <c r="I667" s="6">
        <v>1.0</v>
      </c>
      <c r="J667" s="6" t="s">
        <v>37</v>
      </c>
      <c r="K667" s="6">
        <v>10.0</v>
      </c>
      <c r="L667" s="5"/>
      <c r="M667" s="5"/>
      <c r="N667" s="6" t="s">
        <v>40</v>
      </c>
      <c r="O667" s="5" t="s">
        <v>5363</v>
      </c>
      <c r="P667" s="6" t="s">
        <v>42</v>
      </c>
      <c r="Q667" s="5" t="s">
        <v>1237</v>
      </c>
      <c r="R667" s="5" t="s">
        <v>8085</v>
      </c>
      <c r="S667" s="6" t="s">
        <v>56</v>
      </c>
      <c r="T667" s="6">
        <v>6438.0</v>
      </c>
    </row>
    <row r="668" ht="56.25" customHeight="1">
      <c r="A668" s="5" t="s">
        <v>8075</v>
      </c>
      <c r="B668" s="6" t="str">
        <f>image("https://storage.googleapis.com/acdb/photos/BromideNpcNmlBea03_Remake_2_0.png")</f>
        <v/>
      </c>
      <c r="C668" s="5" t="s">
        <v>688</v>
      </c>
      <c r="D668" s="5" t="s">
        <v>1327</v>
      </c>
      <c r="E668" s="5" t="s">
        <v>34</v>
      </c>
      <c r="F668" s="5" t="s">
        <v>34</v>
      </c>
      <c r="G668" s="5" t="s">
        <v>36</v>
      </c>
      <c r="H668" s="5" t="s">
        <v>35</v>
      </c>
      <c r="I668" s="6">
        <v>1.0</v>
      </c>
      <c r="J668" s="6" t="s">
        <v>37</v>
      </c>
      <c r="K668" s="6">
        <v>10.0</v>
      </c>
      <c r="L668" s="5"/>
      <c r="M668" s="5"/>
      <c r="N668" s="6" t="s">
        <v>40</v>
      </c>
      <c r="O668" s="5" t="s">
        <v>5363</v>
      </c>
      <c r="P668" s="6" t="s">
        <v>42</v>
      </c>
      <c r="Q668" s="5" t="s">
        <v>1237</v>
      </c>
      <c r="R668" s="5" t="s">
        <v>8087</v>
      </c>
      <c r="S668" s="6" t="s">
        <v>67</v>
      </c>
      <c r="T668" s="6">
        <v>6438.0</v>
      </c>
    </row>
    <row r="669" ht="56.25" customHeight="1">
      <c r="A669" s="5" t="s">
        <v>8075</v>
      </c>
      <c r="B669" s="6" t="str">
        <f>image("https://storage.googleapis.com/acdb/photos/BromideNpcNmlBea03_Remake_3_0.png")</f>
        <v/>
      </c>
      <c r="C669" s="5" t="s">
        <v>57</v>
      </c>
      <c r="D669" s="5" t="s">
        <v>1327</v>
      </c>
      <c r="E669" s="5" t="s">
        <v>34</v>
      </c>
      <c r="F669" s="5" t="s">
        <v>34</v>
      </c>
      <c r="G669" s="5" t="s">
        <v>36</v>
      </c>
      <c r="H669" s="5" t="s">
        <v>35</v>
      </c>
      <c r="I669" s="6">
        <v>1.0</v>
      </c>
      <c r="J669" s="6" t="s">
        <v>37</v>
      </c>
      <c r="K669" s="6">
        <v>10.0</v>
      </c>
      <c r="L669" s="5"/>
      <c r="M669" s="5"/>
      <c r="N669" s="6" t="s">
        <v>40</v>
      </c>
      <c r="O669" s="5" t="s">
        <v>5363</v>
      </c>
      <c r="P669" s="6" t="s">
        <v>42</v>
      </c>
      <c r="Q669" s="5" t="s">
        <v>1237</v>
      </c>
      <c r="R669" s="5" t="s">
        <v>8091</v>
      </c>
      <c r="S669" s="6" t="s">
        <v>71</v>
      </c>
      <c r="T669" s="6">
        <v>6438.0</v>
      </c>
    </row>
    <row r="670" ht="56.25" customHeight="1">
      <c r="A670" s="5" t="s">
        <v>8075</v>
      </c>
      <c r="B670" s="6" t="str">
        <f>image("https://storage.googleapis.com/acdb/photos/BromideNpcNmlBea03_Remake_4_0.png")</f>
        <v/>
      </c>
      <c r="C670" s="5" t="s">
        <v>1167</v>
      </c>
      <c r="D670" s="5" t="s">
        <v>1327</v>
      </c>
      <c r="E670" s="5" t="s">
        <v>34</v>
      </c>
      <c r="F670" s="5" t="s">
        <v>34</v>
      </c>
      <c r="G670" s="5" t="s">
        <v>36</v>
      </c>
      <c r="H670" s="5" t="s">
        <v>35</v>
      </c>
      <c r="I670" s="6">
        <v>1.0</v>
      </c>
      <c r="J670" s="6" t="s">
        <v>37</v>
      </c>
      <c r="K670" s="6">
        <v>10.0</v>
      </c>
      <c r="L670" s="5"/>
      <c r="M670" s="5"/>
      <c r="N670" s="6" t="s">
        <v>40</v>
      </c>
      <c r="O670" s="5" t="s">
        <v>5363</v>
      </c>
      <c r="P670" s="6" t="s">
        <v>42</v>
      </c>
      <c r="Q670" s="5" t="s">
        <v>1237</v>
      </c>
      <c r="R670" s="5" t="s">
        <v>8094</v>
      </c>
      <c r="S670" s="6" t="s">
        <v>75</v>
      </c>
      <c r="T670" s="6">
        <v>6438.0</v>
      </c>
    </row>
    <row r="671" ht="56.25" customHeight="1">
      <c r="A671" s="5" t="s">
        <v>8075</v>
      </c>
      <c r="B671" s="6" t="str">
        <f>image("https://storage.googleapis.com/acdb/photos/BromideNpcNmlBea03_Remake_5_0.png")</f>
        <v/>
      </c>
      <c r="C671" s="5" t="s">
        <v>58</v>
      </c>
      <c r="D671" s="5" t="s">
        <v>1327</v>
      </c>
      <c r="E671" s="5" t="s">
        <v>34</v>
      </c>
      <c r="F671" s="5" t="s">
        <v>34</v>
      </c>
      <c r="G671" s="5" t="s">
        <v>36</v>
      </c>
      <c r="H671" s="5" t="s">
        <v>35</v>
      </c>
      <c r="I671" s="6">
        <v>1.0</v>
      </c>
      <c r="J671" s="6" t="s">
        <v>37</v>
      </c>
      <c r="K671" s="6">
        <v>10.0</v>
      </c>
      <c r="L671" s="5"/>
      <c r="M671" s="5"/>
      <c r="N671" s="6" t="s">
        <v>40</v>
      </c>
      <c r="O671" s="5" t="s">
        <v>5363</v>
      </c>
      <c r="P671" s="6" t="s">
        <v>42</v>
      </c>
      <c r="Q671" s="5" t="s">
        <v>1237</v>
      </c>
      <c r="R671" s="5" t="s">
        <v>8097</v>
      </c>
      <c r="S671" s="6" t="s">
        <v>79</v>
      </c>
      <c r="T671" s="6">
        <v>6438.0</v>
      </c>
    </row>
    <row r="672" ht="56.25" customHeight="1">
      <c r="A672" s="5" t="s">
        <v>8075</v>
      </c>
      <c r="B672" s="6" t="str">
        <f>image("https://storage.googleapis.com/acdb/photos/BromideNpcNmlBea03_Remake_6_0.png")</f>
        <v/>
      </c>
      <c r="C672" s="5" t="s">
        <v>146</v>
      </c>
      <c r="D672" s="5" t="s">
        <v>1327</v>
      </c>
      <c r="E672" s="5" t="s">
        <v>34</v>
      </c>
      <c r="F672" s="5" t="s">
        <v>34</v>
      </c>
      <c r="G672" s="5" t="s">
        <v>36</v>
      </c>
      <c r="H672" s="5" t="s">
        <v>35</v>
      </c>
      <c r="I672" s="6">
        <v>1.0</v>
      </c>
      <c r="J672" s="6" t="s">
        <v>37</v>
      </c>
      <c r="K672" s="6">
        <v>10.0</v>
      </c>
      <c r="L672" s="5"/>
      <c r="M672" s="5"/>
      <c r="N672" s="6" t="s">
        <v>40</v>
      </c>
      <c r="O672" s="5" t="s">
        <v>5363</v>
      </c>
      <c r="P672" s="6" t="s">
        <v>42</v>
      </c>
      <c r="Q672" s="5" t="s">
        <v>1237</v>
      </c>
      <c r="R672" s="5" t="s">
        <v>8100</v>
      </c>
      <c r="S672" s="6" t="s">
        <v>86</v>
      </c>
      <c r="T672" s="6">
        <v>6438.0</v>
      </c>
    </row>
    <row r="673" ht="56.25" customHeight="1">
      <c r="A673" s="5" t="s">
        <v>8075</v>
      </c>
      <c r="B673" s="6" t="str">
        <f>image("https://storage.googleapis.com/acdb/photos/BromideNpcNmlBea03_Remake_7_0.png")</f>
        <v/>
      </c>
      <c r="C673" s="5" t="s">
        <v>151</v>
      </c>
      <c r="D673" s="5" t="s">
        <v>1327</v>
      </c>
      <c r="E673" s="5" t="s">
        <v>34</v>
      </c>
      <c r="F673" s="5" t="s">
        <v>34</v>
      </c>
      <c r="G673" s="5" t="s">
        <v>36</v>
      </c>
      <c r="H673" s="5" t="s">
        <v>35</v>
      </c>
      <c r="I673" s="6">
        <v>1.0</v>
      </c>
      <c r="J673" s="6" t="s">
        <v>37</v>
      </c>
      <c r="K673" s="6">
        <v>10.0</v>
      </c>
      <c r="L673" s="5"/>
      <c r="M673" s="5"/>
      <c r="N673" s="6" t="s">
        <v>40</v>
      </c>
      <c r="O673" s="5" t="s">
        <v>5363</v>
      </c>
      <c r="P673" s="6" t="s">
        <v>42</v>
      </c>
      <c r="Q673" s="5" t="s">
        <v>1237</v>
      </c>
      <c r="R673" s="5" t="s">
        <v>8103</v>
      </c>
      <c r="S673" s="6" t="s">
        <v>208</v>
      </c>
      <c r="T673" s="6">
        <v>6438.0</v>
      </c>
    </row>
    <row r="674" ht="56.25" customHeight="1">
      <c r="A674" s="5" t="s">
        <v>8104</v>
      </c>
      <c r="B674" s="6" t="str">
        <f>image("https://storage.googleapis.com/acdb/photos/BromideNpcNmlRbt13_Remake_0_0.png")</f>
        <v/>
      </c>
      <c r="C674" s="5" t="s">
        <v>366</v>
      </c>
      <c r="D674" s="5" t="s">
        <v>1327</v>
      </c>
      <c r="E674" s="5" t="s">
        <v>34</v>
      </c>
      <c r="F674" s="5" t="s">
        <v>34</v>
      </c>
      <c r="G674" s="5" t="s">
        <v>36</v>
      </c>
      <c r="H674" s="5" t="s">
        <v>35</v>
      </c>
      <c r="I674" s="6">
        <v>1.0</v>
      </c>
      <c r="J674" s="6" t="s">
        <v>37</v>
      </c>
      <c r="K674" s="6">
        <v>10.0</v>
      </c>
      <c r="L674" s="5"/>
      <c r="M674" s="5"/>
      <c r="N674" s="6" t="s">
        <v>40</v>
      </c>
      <c r="O674" s="5" t="s">
        <v>5363</v>
      </c>
      <c r="P674" s="6" t="s">
        <v>42</v>
      </c>
      <c r="Q674" s="5" t="s">
        <v>1237</v>
      </c>
      <c r="R674" s="5" t="s">
        <v>8107</v>
      </c>
      <c r="S674" s="6" t="s">
        <v>50</v>
      </c>
      <c r="T674" s="6">
        <v>6676.0</v>
      </c>
    </row>
    <row r="675" ht="56.25" customHeight="1">
      <c r="A675" s="5" t="s">
        <v>8104</v>
      </c>
      <c r="B675" s="6" t="str">
        <f>image("https://storage.googleapis.com/acdb/photos/BromideNpcNmlRbt13_Remake_1_0.png")</f>
        <v/>
      </c>
      <c r="C675" s="5" t="s">
        <v>1132</v>
      </c>
      <c r="D675" s="5" t="s">
        <v>1327</v>
      </c>
      <c r="E675" s="5" t="s">
        <v>34</v>
      </c>
      <c r="F675" s="5" t="s">
        <v>34</v>
      </c>
      <c r="G675" s="5" t="s">
        <v>36</v>
      </c>
      <c r="H675" s="5" t="s">
        <v>35</v>
      </c>
      <c r="I675" s="6">
        <v>1.0</v>
      </c>
      <c r="J675" s="6" t="s">
        <v>37</v>
      </c>
      <c r="K675" s="6">
        <v>10.0</v>
      </c>
      <c r="L675" s="5"/>
      <c r="M675" s="5"/>
      <c r="N675" s="6" t="s">
        <v>40</v>
      </c>
      <c r="O675" s="5" t="s">
        <v>5363</v>
      </c>
      <c r="P675" s="6" t="s">
        <v>42</v>
      </c>
      <c r="Q675" s="5" t="s">
        <v>1237</v>
      </c>
      <c r="R675" s="5" t="s">
        <v>8113</v>
      </c>
      <c r="S675" s="6" t="s">
        <v>56</v>
      </c>
      <c r="T675" s="6">
        <v>6676.0</v>
      </c>
    </row>
    <row r="676" ht="56.25" customHeight="1">
      <c r="A676" s="5" t="s">
        <v>8104</v>
      </c>
      <c r="B676" s="6" t="str">
        <f>image("https://storage.googleapis.com/acdb/photos/BromideNpcNmlRbt13_Remake_2_0.png")</f>
        <v/>
      </c>
      <c r="C676" s="5" t="s">
        <v>688</v>
      </c>
      <c r="D676" s="5" t="s">
        <v>1327</v>
      </c>
      <c r="E676" s="5" t="s">
        <v>34</v>
      </c>
      <c r="F676" s="5" t="s">
        <v>34</v>
      </c>
      <c r="G676" s="5" t="s">
        <v>36</v>
      </c>
      <c r="H676" s="5" t="s">
        <v>35</v>
      </c>
      <c r="I676" s="6">
        <v>1.0</v>
      </c>
      <c r="J676" s="6" t="s">
        <v>37</v>
      </c>
      <c r="K676" s="6">
        <v>10.0</v>
      </c>
      <c r="L676" s="5"/>
      <c r="M676" s="5"/>
      <c r="N676" s="6" t="s">
        <v>40</v>
      </c>
      <c r="O676" s="5" t="s">
        <v>5363</v>
      </c>
      <c r="P676" s="6" t="s">
        <v>42</v>
      </c>
      <c r="Q676" s="5" t="s">
        <v>1237</v>
      </c>
      <c r="R676" s="5" t="s">
        <v>8115</v>
      </c>
      <c r="S676" s="6" t="s">
        <v>67</v>
      </c>
      <c r="T676" s="6">
        <v>6676.0</v>
      </c>
    </row>
    <row r="677" ht="56.25" customHeight="1">
      <c r="A677" s="5" t="s">
        <v>8104</v>
      </c>
      <c r="B677" s="6" t="str">
        <f>image("https://storage.googleapis.com/acdb/photos/BromideNpcNmlRbt13_Remake_3_0.png")</f>
        <v/>
      </c>
      <c r="C677" s="5" t="s">
        <v>57</v>
      </c>
      <c r="D677" s="5" t="s">
        <v>1327</v>
      </c>
      <c r="E677" s="5" t="s">
        <v>34</v>
      </c>
      <c r="F677" s="5" t="s">
        <v>34</v>
      </c>
      <c r="G677" s="5" t="s">
        <v>36</v>
      </c>
      <c r="H677" s="5" t="s">
        <v>35</v>
      </c>
      <c r="I677" s="6">
        <v>1.0</v>
      </c>
      <c r="J677" s="6" t="s">
        <v>37</v>
      </c>
      <c r="K677" s="6">
        <v>10.0</v>
      </c>
      <c r="L677" s="5"/>
      <c r="M677" s="5"/>
      <c r="N677" s="6" t="s">
        <v>40</v>
      </c>
      <c r="O677" s="5" t="s">
        <v>5363</v>
      </c>
      <c r="P677" s="6" t="s">
        <v>42</v>
      </c>
      <c r="Q677" s="5" t="s">
        <v>1237</v>
      </c>
      <c r="R677" s="5" t="s">
        <v>8118</v>
      </c>
      <c r="S677" s="6" t="s">
        <v>71</v>
      </c>
      <c r="T677" s="6">
        <v>6676.0</v>
      </c>
    </row>
    <row r="678" ht="56.25" customHeight="1">
      <c r="A678" s="5" t="s">
        <v>8104</v>
      </c>
      <c r="B678" s="6" t="str">
        <f>image("https://storage.googleapis.com/acdb/photos/BromideNpcNmlRbt13_Remake_4_0.png")</f>
        <v/>
      </c>
      <c r="C678" s="5" t="s">
        <v>1167</v>
      </c>
      <c r="D678" s="5" t="s">
        <v>1327</v>
      </c>
      <c r="E678" s="5" t="s">
        <v>34</v>
      </c>
      <c r="F678" s="5" t="s">
        <v>34</v>
      </c>
      <c r="G678" s="5" t="s">
        <v>36</v>
      </c>
      <c r="H678" s="5" t="s">
        <v>35</v>
      </c>
      <c r="I678" s="6">
        <v>1.0</v>
      </c>
      <c r="J678" s="6" t="s">
        <v>37</v>
      </c>
      <c r="K678" s="6">
        <v>10.0</v>
      </c>
      <c r="L678" s="5"/>
      <c r="M678" s="5"/>
      <c r="N678" s="6" t="s">
        <v>40</v>
      </c>
      <c r="O678" s="5" t="s">
        <v>5363</v>
      </c>
      <c r="P678" s="6" t="s">
        <v>42</v>
      </c>
      <c r="Q678" s="5" t="s">
        <v>1237</v>
      </c>
      <c r="R678" s="5" t="s">
        <v>8120</v>
      </c>
      <c r="S678" s="6" t="s">
        <v>75</v>
      </c>
      <c r="T678" s="6">
        <v>6676.0</v>
      </c>
    </row>
    <row r="679" ht="56.25" customHeight="1">
      <c r="A679" s="5" t="s">
        <v>8104</v>
      </c>
      <c r="B679" s="6" t="str">
        <f>image("https://storage.googleapis.com/acdb/photos/BromideNpcNmlRbt13_Remake_5_0.png")</f>
        <v/>
      </c>
      <c r="C679" s="5" t="s">
        <v>58</v>
      </c>
      <c r="D679" s="5" t="s">
        <v>1327</v>
      </c>
      <c r="E679" s="5" t="s">
        <v>34</v>
      </c>
      <c r="F679" s="5" t="s">
        <v>34</v>
      </c>
      <c r="G679" s="5" t="s">
        <v>36</v>
      </c>
      <c r="H679" s="5" t="s">
        <v>35</v>
      </c>
      <c r="I679" s="6">
        <v>1.0</v>
      </c>
      <c r="J679" s="6" t="s">
        <v>37</v>
      </c>
      <c r="K679" s="6">
        <v>10.0</v>
      </c>
      <c r="L679" s="5"/>
      <c r="M679" s="5"/>
      <c r="N679" s="6" t="s">
        <v>40</v>
      </c>
      <c r="O679" s="5" t="s">
        <v>5363</v>
      </c>
      <c r="P679" s="6" t="s">
        <v>42</v>
      </c>
      <c r="Q679" s="5" t="s">
        <v>1237</v>
      </c>
      <c r="R679" s="5" t="s">
        <v>8123</v>
      </c>
      <c r="S679" s="6" t="s">
        <v>79</v>
      </c>
      <c r="T679" s="6">
        <v>6676.0</v>
      </c>
    </row>
    <row r="680" ht="56.25" customHeight="1">
      <c r="A680" s="5" t="s">
        <v>8104</v>
      </c>
      <c r="B680" s="6" t="str">
        <f>image("https://storage.googleapis.com/acdb/photos/BromideNpcNmlRbt13_Remake_6_0.png")</f>
        <v/>
      </c>
      <c r="C680" s="5" t="s">
        <v>146</v>
      </c>
      <c r="D680" s="5" t="s">
        <v>1327</v>
      </c>
      <c r="E680" s="5" t="s">
        <v>34</v>
      </c>
      <c r="F680" s="5" t="s">
        <v>34</v>
      </c>
      <c r="G680" s="5" t="s">
        <v>36</v>
      </c>
      <c r="H680" s="5" t="s">
        <v>35</v>
      </c>
      <c r="I680" s="6">
        <v>1.0</v>
      </c>
      <c r="J680" s="6" t="s">
        <v>37</v>
      </c>
      <c r="K680" s="6">
        <v>10.0</v>
      </c>
      <c r="L680" s="5"/>
      <c r="M680" s="5"/>
      <c r="N680" s="6" t="s">
        <v>40</v>
      </c>
      <c r="O680" s="5" t="s">
        <v>5363</v>
      </c>
      <c r="P680" s="6" t="s">
        <v>42</v>
      </c>
      <c r="Q680" s="5" t="s">
        <v>1237</v>
      </c>
      <c r="R680" s="5" t="s">
        <v>8126</v>
      </c>
      <c r="S680" s="6" t="s">
        <v>86</v>
      </c>
      <c r="T680" s="6">
        <v>6676.0</v>
      </c>
    </row>
    <row r="681" ht="56.25" customHeight="1">
      <c r="A681" s="5" t="s">
        <v>8104</v>
      </c>
      <c r="B681" s="6" t="str">
        <f>image("https://storage.googleapis.com/acdb/photos/BromideNpcNmlRbt13_Remake_7_0.png")</f>
        <v/>
      </c>
      <c r="C681" s="5" t="s">
        <v>151</v>
      </c>
      <c r="D681" s="5" t="s">
        <v>1327</v>
      </c>
      <c r="E681" s="5" t="s">
        <v>34</v>
      </c>
      <c r="F681" s="5" t="s">
        <v>34</v>
      </c>
      <c r="G681" s="5" t="s">
        <v>36</v>
      </c>
      <c r="H681" s="5" t="s">
        <v>35</v>
      </c>
      <c r="I681" s="6">
        <v>1.0</v>
      </c>
      <c r="J681" s="6" t="s">
        <v>37</v>
      </c>
      <c r="K681" s="6">
        <v>10.0</v>
      </c>
      <c r="L681" s="5"/>
      <c r="M681" s="5"/>
      <c r="N681" s="6" t="s">
        <v>40</v>
      </c>
      <c r="O681" s="5" t="s">
        <v>5363</v>
      </c>
      <c r="P681" s="6" t="s">
        <v>42</v>
      </c>
      <c r="Q681" s="5" t="s">
        <v>1237</v>
      </c>
      <c r="R681" s="5" t="s">
        <v>8129</v>
      </c>
      <c r="S681" s="6" t="s">
        <v>208</v>
      </c>
      <c r="T681" s="6">
        <v>6676.0</v>
      </c>
    </row>
    <row r="682" ht="56.25" customHeight="1">
      <c r="A682" s="5" t="s">
        <v>8130</v>
      </c>
      <c r="B682" s="6" t="str">
        <f>image("https://storage.googleapis.com/acdb/photos/BromideNpcNmlRbt11_Remake_0_0.png")</f>
        <v/>
      </c>
      <c r="C682" s="5" t="s">
        <v>366</v>
      </c>
      <c r="D682" s="5" t="s">
        <v>1327</v>
      </c>
      <c r="E682" s="5" t="s">
        <v>34</v>
      </c>
      <c r="F682" s="5" t="s">
        <v>34</v>
      </c>
      <c r="G682" s="5" t="s">
        <v>36</v>
      </c>
      <c r="H682" s="5" t="s">
        <v>35</v>
      </c>
      <c r="I682" s="6">
        <v>1.0</v>
      </c>
      <c r="J682" s="6" t="s">
        <v>37</v>
      </c>
      <c r="K682" s="6">
        <v>10.0</v>
      </c>
      <c r="L682" s="5"/>
      <c r="M682" s="5"/>
      <c r="N682" s="6" t="s">
        <v>40</v>
      </c>
      <c r="O682" s="5" t="s">
        <v>5363</v>
      </c>
      <c r="P682" s="6" t="s">
        <v>42</v>
      </c>
      <c r="Q682" s="5" t="s">
        <v>1237</v>
      </c>
      <c r="R682" s="5" t="s">
        <v>8133</v>
      </c>
      <c r="S682" s="6" t="s">
        <v>50</v>
      </c>
      <c r="T682" s="6">
        <v>6674.0</v>
      </c>
    </row>
    <row r="683" ht="56.25" customHeight="1">
      <c r="A683" s="5" t="s">
        <v>8130</v>
      </c>
      <c r="B683" s="6" t="str">
        <f>image("https://storage.googleapis.com/acdb/photos/BromideNpcNmlRbt11_Remake_1_0.png")</f>
        <v/>
      </c>
      <c r="C683" s="5" t="s">
        <v>1132</v>
      </c>
      <c r="D683" s="5" t="s">
        <v>1327</v>
      </c>
      <c r="E683" s="5" t="s">
        <v>34</v>
      </c>
      <c r="F683" s="5" t="s">
        <v>34</v>
      </c>
      <c r="G683" s="5" t="s">
        <v>36</v>
      </c>
      <c r="H683" s="5" t="s">
        <v>35</v>
      </c>
      <c r="I683" s="6">
        <v>1.0</v>
      </c>
      <c r="J683" s="6" t="s">
        <v>37</v>
      </c>
      <c r="K683" s="6">
        <v>10.0</v>
      </c>
      <c r="L683" s="5"/>
      <c r="M683" s="5"/>
      <c r="N683" s="6" t="s">
        <v>40</v>
      </c>
      <c r="O683" s="5" t="s">
        <v>5363</v>
      </c>
      <c r="P683" s="6" t="s">
        <v>42</v>
      </c>
      <c r="Q683" s="5" t="s">
        <v>1237</v>
      </c>
      <c r="R683" s="5" t="s">
        <v>8136</v>
      </c>
      <c r="S683" s="6" t="s">
        <v>56</v>
      </c>
      <c r="T683" s="6">
        <v>6674.0</v>
      </c>
    </row>
    <row r="684" ht="56.25" customHeight="1">
      <c r="A684" s="5" t="s">
        <v>8130</v>
      </c>
      <c r="B684" s="6" t="str">
        <f>image("https://storage.googleapis.com/acdb/photos/BromideNpcNmlRbt11_Remake_2_0.png")</f>
        <v/>
      </c>
      <c r="C684" s="5" t="s">
        <v>688</v>
      </c>
      <c r="D684" s="5" t="s">
        <v>1327</v>
      </c>
      <c r="E684" s="5" t="s">
        <v>34</v>
      </c>
      <c r="F684" s="5" t="s">
        <v>34</v>
      </c>
      <c r="G684" s="5" t="s">
        <v>36</v>
      </c>
      <c r="H684" s="5" t="s">
        <v>35</v>
      </c>
      <c r="I684" s="6">
        <v>1.0</v>
      </c>
      <c r="J684" s="6" t="s">
        <v>37</v>
      </c>
      <c r="K684" s="6">
        <v>10.0</v>
      </c>
      <c r="L684" s="5"/>
      <c r="M684" s="5"/>
      <c r="N684" s="6" t="s">
        <v>40</v>
      </c>
      <c r="O684" s="5" t="s">
        <v>5363</v>
      </c>
      <c r="P684" s="6" t="s">
        <v>42</v>
      </c>
      <c r="Q684" s="5" t="s">
        <v>1237</v>
      </c>
      <c r="R684" s="5" t="s">
        <v>8142</v>
      </c>
      <c r="S684" s="6" t="s">
        <v>67</v>
      </c>
      <c r="T684" s="6">
        <v>6674.0</v>
      </c>
    </row>
    <row r="685" ht="56.25" customHeight="1">
      <c r="A685" s="5" t="s">
        <v>8130</v>
      </c>
      <c r="B685" s="6" t="str">
        <f>image("https://storage.googleapis.com/acdb/photos/BromideNpcNmlRbt11_Remake_3_0.png")</f>
        <v/>
      </c>
      <c r="C685" s="5" t="s">
        <v>57</v>
      </c>
      <c r="D685" s="5" t="s">
        <v>1327</v>
      </c>
      <c r="E685" s="5" t="s">
        <v>34</v>
      </c>
      <c r="F685" s="5" t="s">
        <v>34</v>
      </c>
      <c r="G685" s="5" t="s">
        <v>36</v>
      </c>
      <c r="H685" s="5" t="s">
        <v>35</v>
      </c>
      <c r="I685" s="6">
        <v>1.0</v>
      </c>
      <c r="J685" s="6" t="s">
        <v>37</v>
      </c>
      <c r="K685" s="6">
        <v>10.0</v>
      </c>
      <c r="L685" s="5"/>
      <c r="M685" s="5"/>
      <c r="N685" s="6" t="s">
        <v>40</v>
      </c>
      <c r="O685" s="5" t="s">
        <v>5363</v>
      </c>
      <c r="P685" s="6" t="s">
        <v>42</v>
      </c>
      <c r="Q685" s="5" t="s">
        <v>1237</v>
      </c>
      <c r="R685" s="5" t="s">
        <v>8145</v>
      </c>
      <c r="S685" s="6" t="s">
        <v>71</v>
      </c>
      <c r="T685" s="6">
        <v>6674.0</v>
      </c>
    </row>
    <row r="686" ht="56.25" customHeight="1">
      <c r="A686" s="5" t="s">
        <v>8130</v>
      </c>
      <c r="B686" s="6" t="str">
        <f>image("https://storage.googleapis.com/acdb/photos/BromideNpcNmlRbt11_Remake_4_0.png")</f>
        <v/>
      </c>
      <c r="C686" s="5" t="s">
        <v>1167</v>
      </c>
      <c r="D686" s="5" t="s">
        <v>1327</v>
      </c>
      <c r="E686" s="5" t="s">
        <v>34</v>
      </c>
      <c r="F686" s="5" t="s">
        <v>34</v>
      </c>
      <c r="G686" s="5" t="s">
        <v>36</v>
      </c>
      <c r="H686" s="5" t="s">
        <v>35</v>
      </c>
      <c r="I686" s="6">
        <v>1.0</v>
      </c>
      <c r="J686" s="6" t="s">
        <v>37</v>
      </c>
      <c r="K686" s="6">
        <v>10.0</v>
      </c>
      <c r="L686" s="5"/>
      <c r="M686" s="5"/>
      <c r="N686" s="6" t="s">
        <v>40</v>
      </c>
      <c r="O686" s="5" t="s">
        <v>5363</v>
      </c>
      <c r="P686" s="6" t="s">
        <v>42</v>
      </c>
      <c r="Q686" s="5" t="s">
        <v>1237</v>
      </c>
      <c r="R686" s="5" t="s">
        <v>8149</v>
      </c>
      <c r="S686" s="6" t="s">
        <v>75</v>
      </c>
      <c r="T686" s="6">
        <v>6674.0</v>
      </c>
    </row>
    <row r="687" ht="56.25" customHeight="1">
      <c r="A687" s="5" t="s">
        <v>8130</v>
      </c>
      <c r="B687" s="6" t="str">
        <f>image("https://storage.googleapis.com/acdb/photos/BromideNpcNmlRbt11_Remake_5_0.png")</f>
        <v/>
      </c>
      <c r="C687" s="5" t="s">
        <v>58</v>
      </c>
      <c r="D687" s="5" t="s">
        <v>1327</v>
      </c>
      <c r="E687" s="5" t="s">
        <v>34</v>
      </c>
      <c r="F687" s="5" t="s">
        <v>34</v>
      </c>
      <c r="G687" s="5" t="s">
        <v>36</v>
      </c>
      <c r="H687" s="5" t="s">
        <v>35</v>
      </c>
      <c r="I687" s="6">
        <v>1.0</v>
      </c>
      <c r="J687" s="6" t="s">
        <v>37</v>
      </c>
      <c r="K687" s="6">
        <v>10.0</v>
      </c>
      <c r="L687" s="5"/>
      <c r="M687" s="5"/>
      <c r="N687" s="6" t="s">
        <v>40</v>
      </c>
      <c r="O687" s="5" t="s">
        <v>5363</v>
      </c>
      <c r="P687" s="6" t="s">
        <v>42</v>
      </c>
      <c r="Q687" s="5" t="s">
        <v>1237</v>
      </c>
      <c r="R687" s="5" t="s">
        <v>8154</v>
      </c>
      <c r="S687" s="6" t="s">
        <v>79</v>
      </c>
      <c r="T687" s="6">
        <v>6674.0</v>
      </c>
    </row>
    <row r="688" ht="56.25" customHeight="1">
      <c r="A688" s="5" t="s">
        <v>8130</v>
      </c>
      <c r="B688" s="6" t="str">
        <f>image("https://storage.googleapis.com/acdb/photos/BromideNpcNmlRbt11_Remake_6_0.png")</f>
        <v/>
      </c>
      <c r="C688" s="5" t="s">
        <v>146</v>
      </c>
      <c r="D688" s="5" t="s">
        <v>1327</v>
      </c>
      <c r="E688" s="5" t="s">
        <v>34</v>
      </c>
      <c r="F688" s="5" t="s">
        <v>34</v>
      </c>
      <c r="G688" s="5" t="s">
        <v>36</v>
      </c>
      <c r="H688" s="5" t="s">
        <v>35</v>
      </c>
      <c r="I688" s="6">
        <v>1.0</v>
      </c>
      <c r="J688" s="6" t="s">
        <v>37</v>
      </c>
      <c r="K688" s="6">
        <v>10.0</v>
      </c>
      <c r="L688" s="5"/>
      <c r="M688" s="5"/>
      <c r="N688" s="6" t="s">
        <v>40</v>
      </c>
      <c r="O688" s="5" t="s">
        <v>5363</v>
      </c>
      <c r="P688" s="6" t="s">
        <v>42</v>
      </c>
      <c r="Q688" s="5" t="s">
        <v>1237</v>
      </c>
      <c r="R688" s="5" t="s">
        <v>8155</v>
      </c>
      <c r="S688" s="6" t="s">
        <v>86</v>
      </c>
      <c r="T688" s="6">
        <v>6674.0</v>
      </c>
    </row>
    <row r="689" ht="56.25" customHeight="1">
      <c r="A689" s="5" t="s">
        <v>8130</v>
      </c>
      <c r="B689" s="6" t="str">
        <f>image("https://storage.googleapis.com/acdb/photos/BromideNpcNmlRbt11_Remake_7_0.png")</f>
        <v/>
      </c>
      <c r="C689" s="5" t="s">
        <v>151</v>
      </c>
      <c r="D689" s="5" t="s">
        <v>1327</v>
      </c>
      <c r="E689" s="5" t="s">
        <v>34</v>
      </c>
      <c r="F689" s="5" t="s">
        <v>34</v>
      </c>
      <c r="G689" s="5" t="s">
        <v>36</v>
      </c>
      <c r="H689" s="5" t="s">
        <v>35</v>
      </c>
      <c r="I689" s="6">
        <v>1.0</v>
      </c>
      <c r="J689" s="6" t="s">
        <v>37</v>
      </c>
      <c r="K689" s="6">
        <v>10.0</v>
      </c>
      <c r="L689" s="5"/>
      <c r="M689" s="5"/>
      <c r="N689" s="6" t="s">
        <v>40</v>
      </c>
      <c r="O689" s="5" t="s">
        <v>5363</v>
      </c>
      <c r="P689" s="6" t="s">
        <v>42</v>
      </c>
      <c r="Q689" s="5" t="s">
        <v>1237</v>
      </c>
      <c r="R689" s="5" t="s">
        <v>8159</v>
      </c>
      <c r="S689" s="6" t="s">
        <v>208</v>
      </c>
      <c r="T689" s="6">
        <v>6674.0</v>
      </c>
    </row>
    <row r="690" ht="56.25" customHeight="1">
      <c r="A690" s="5" t="s">
        <v>8160</v>
      </c>
      <c r="B690" s="6" t="str">
        <f>image("https://storage.googleapis.com/acdb/photos/BromideNpcNmlTig05_Remake_0_0.png")</f>
        <v/>
      </c>
      <c r="C690" s="5" t="s">
        <v>366</v>
      </c>
      <c r="D690" s="5" t="s">
        <v>1327</v>
      </c>
      <c r="E690" s="5" t="s">
        <v>34</v>
      </c>
      <c r="F690" s="5" t="s">
        <v>34</v>
      </c>
      <c r="G690" s="5" t="s">
        <v>36</v>
      </c>
      <c r="H690" s="5" t="s">
        <v>35</v>
      </c>
      <c r="I690" s="6">
        <v>1.0</v>
      </c>
      <c r="J690" s="6" t="s">
        <v>37</v>
      </c>
      <c r="K690" s="6">
        <v>10.0</v>
      </c>
      <c r="L690" s="5"/>
      <c r="M690" s="5"/>
      <c r="N690" s="6" t="s">
        <v>40</v>
      </c>
      <c r="O690" s="5" t="s">
        <v>5363</v>
      </c>
      <c r="P690" s="6" t="s">
        <v>42</v>
      </c>
      <c r="Q690" s="5" t="s">
        <v>1237</v>
      </c>
      <c r="R690" s="5" t="s">
        <v>8164</v>
      </c>
      <c r="S690" s="6" t="s">
        <v>50</v>
      </c>
      <c r="T690" s="6">
        <v>6729.0</v>
      </c>
    </row>
    <row r="691" ht="56.25" customHeight="1">
      <c r="A691" s="5" t="s">
        <v>8160</v>
      </c>
      <c r="B691" s="6" t="str">
        <f>image("https://storage.googleapis.com/acdb/photos/BromideNpcNmlTig05_Remake_1_0.png")</f>
        <v/>
      </c>
      <c r="C691" s="5" t="s">
        <v>1132</v>
      </c>
      <c r="D691" s="5" t="s">
        <v>1327</v>
      </c>
      <c r="E691" s="5" t="s">
        <v>34</v>
      </c>
      <c r="F691" s="5" t="s">
        <v>34</v>
      </c>
      <c r="G691" s="5" t="s">
        <v>36</v>
      </c>
      <c r="H691" s="5" t="s">
        <v>35</v>
      </c>
      <c r="I691" s="6">
        <v>1.0</v>
      </c>
      <c r="J691" s="6" t="s">
        <v>37</v>
      </c>
      <c r="K691" s="6">
        <v>10.0</v>
      </c>
      <c r="L691" s="5"/>
      <c r="M691" s="5"/>
      <c r="N691" s="6" t="s">
        <v>40</v>
      </c>
      <c r="O691" s="5" t="s">
        <v>5363</v>
      </c>
      <c r="P691" s="6" t="s">
        <v>42</v>
      </c>
      <c r="Q691" s="5" t="s">
        <v>1237</v>
      </c>
      <c r="R691" s="5" t="s">
        <v>8167</v>
      </c>
      <c r="S691" s="6" t="s">
        <v>56</v>
      </c>
      <c r="T691" s="6">
        <v>6729.0</v>
      </c>
    </row>
    <row r="692" ht="56.25" customHeight="1">
      <c r="A692" s="5" t="s">
        <v>8160</v>
      </c>
      <c r="B692" s="6" t="str">
        <f>image("https://storage.googleapis.com/acdb/photos/BromideNpcNmlTig05_Remake_2_0.png")</f>
        <v/>
      </c>
      <c r="C692" s="5" t="s">
        <v>688</v>
      </c>
      <c r="D692" s="5" t="s">
        <v>1327</v>
      </c>
      <c r="E692" s="5" t="s">
        <v>34</v>
      </c>
      <c r="F692" s="5" t="s">
        <v>34</v>
      </c>
      <c r="G692" s="5" t="s">
        <v>36</v>
      </c>
      <c r="H692" s="5" t="s">
        <v>35</v>
      </c>
      <c r="I692" s="6">
        <v>1.0</v>
      </c>
      <c r="J692" s="6" t="s">
        <v>37</v>
      </c>
      <c r="K692" s="6">
        <v>10.0</v>
      </c>
      <c r="L692" s="5"/>
      <c r="M692" s="5"/>
      <c r="N692" s="6" t="s">
        <v>40</v>
      </c>
      <c r="O692" s="5" t="s">
        <v>5363</v>
      </c>
      <c r="P692" s="6" t="s">
        <v>42</v>
      </c>
      <c r="Q692" s="5" t="s">
        <v>1237</v>
      </c>
      <c r="R692" s="5" t="s">
        <v>8169</v>
      </c>
      <c r="S692" s="6" t="s">
        <v>67</v>
      </c>
      <c r="T692" s="6">
        <v>6729.0</v>
      </c>
    </row>
    <row r="693" ht="56.25" customHeight="1">
      <c r="A693" s="5" t="s">
        <v>8160</v>
      </c>
      <c r="B693" s="6" t="str">
        <f>image("https://storage.googleapis.com/acdb/photos/BromideNpcNmlTig05_Remake_3_0.png")</f>
        <v/>
      </c>
      <c r="C693" s="5" t="s">
        <v>57</v>
      </c>
      <c r="D693" s="5" t="s">
        <v>1327</v>
      </c>
      <c r="E693" s="5" t="s">
        <v>34</v>
      </c>
      <c r="F693" s="5" t="s">
        <v>34</v>
      </c>
      <c r="G693" s="5" t="s">
        <v>36</v>
      </c>
      <c r="H693" s="5" t="s">
        <v>35</v>
      </c>
      <c r="I693" s="6">
        <v>1.0</v>
      </c>
      <c r="J693" s="6" t="s">
        <v>37</v>
      </c>
      <c r="K693" s="6">
        <v>10.0</v>
      </c>
      <c r="L693" s="5"/>
      <c r="M693" s="5"/>
      <c r="N693" s="6" t="s">
        <v>40</v>
      </c>
      <c r="O693" s="5" t="s">
        <v>5363</v>
      </c>
      <c r="P693" s="6" t="s">
        <v>42</v>
      </c>
      <c r="Q693" s="5" t="s">
        <v>1237</v>
      </c>
      <c r="R693" s="5" t="s">
        <v>8173</v>
      </c>
      <c r="S693" s="6" t="s">
        <v>71</v>
      </c>
      <c r="T693" s="6">
        <v>6729.0</v>
      </c>
    </row>
    <row r="694" ht="56.25" customHeight="1">
      <c r="A694" s="5" t="s">
        <v>8160</v>
      </c>
      <c r="B694" s="6" t="str">
        <f>image("https://storage.googleapis.com/acdb/photos/BromideNpcNmlTig05_Remake_4_0.png")</f>
        <v/>
      </c>
      <c r="C694" s="5" t="s">
        <v>1167</v>
      </c>
      <c r="D694" s="5" t="s">
        <v>1327</v>
      </c>
      <c r="E694" s="5" t="s">
        <v>34</v>
      </c>
      <c r="F694" s="5" t="s">
        <v>34</v>
      </c>
      <c r="G694" s="5" t="s">
        <v>36</v>
      </c>
      <c r="H694" s="5" t="s">
        <v>35</v>
      </c>
      <c r="I694" s="6">
        <v>1.0</v>
      </c>
      <c r="J694" s="6" t="s">
        <v>37</v>
      </c>
      <c r="K694" s="6">
        <v>10.0</v>
      </c>
      <c r="L694" s="5"/>
      <c r="M694" s="5"/>
      <c r="N694" s="6" t="s">
        <v>40</v>
      </c>
      <c r="O694" s="5" t="s">
        <v>5363</v>
      </c>
      <c r="P694" s="6" t="s">
        <v>42</v>
      </c>
      <c r="Q694" s="5" t="s">
        <v>1237</v>
      </c>
      <c r="R694" s="5" t="s">
        <v>8177</v>
      </c>
      <c r="S694" s="6" t="s">
        <v>75</v>
      </c>
      <c r="T694" s="6">
        <v>6729.0</v>
      </c>
    </row>
    <row r="695" ht="56.25" customHeight="1">
      <c r="A695" s="5" t="s">
        <v>8160</v>
      </c>
      <c r="B695" s="6" t="str">
        <f>image("https://storage.googleapis.com/acdb/photos/BromideNpcNmlTig05_Remake_5_0.png")</f>
        <v/>
      </c>
      <c r="C695" s="5" t="s">
        <v>58</v>
      </c>
      <c r="D695" s="5" t="s">
        <v>1327</v>
      </c>
      <c r="E695" s="5" t="s">
        <v>34</v>
      </c>
      <c r="F695" s="5" t="s">
        <v>34</v>
      </c>
      <c r="G695" s="5" t="s">
        <v>36</v>
      </c>
      <c r="H695" s="5" t="s">
        <v>35</v>
      </c>
      <c r="I695" s="6">
        <v>1.0</v>
      </c>
      <c r="J695" s="6" t="s">
        <v>37</v>
      </c>
      <c r="K695" s="6">
        <v>10.0</v>
      </c>
      <c r="L695" s="5"/>
      <c r="M695" s="5"/>
      <c r="N695" s="6" t="s">
        <v>40</v>
      </c>
      <c r="O695" s="5" t="s">
        <v>5363</v>
      </c>
      <c r="P695" s="6" t="s">
        <v>42</v>
      </c>
      <c r="Q695" s="5" t="s">
        <v>1237</v>
      </c>
      <c r="R695" s="5" t="s">
        <v>8180</v>
      </c>
      <c r="S695" s="6" t="s">
        <v>79</v>
      </c>
      <c r="T695" s="6">
        <v>6729.0</v>
      </c>
    </row>
    <row r="696" ht="56.25" customHeight="1">
      <c r="A696" s="5" t="s">
        <v>8160</v>
      </c>
      <c r="B696" s="6" t="str">
        <f>image("https://storage.googleapis.com/acdb/photos/BromideNpcNmlTig05_Remake_6_0.png")</f>
        <v/>
      </c>
      <c r="C696" s="5" t="s">
        <v>146</v>
      </c>
      <c r="D696" s="5" t="s">
        <v>1327</v>
      </c>
      <c r="E696" s="5" t="s">
        <v>34</v>
      </c>
      <c r="F696" s="5" t="s">
        <v>34</v>
      </c>
      <c r="G696" s="5" t="s">
        <v>36</v>
      </c>
      <c r="H696" s="5" t="s">
        <v>35</v>
      </c>
      <c r="I696" s="6">
        <v>1.0</v>
      </c>
      <c r="J696" s="6" t="s">
        <v>37</v>
      </c>
      <c r="K696" s="6">
        <v>10.0</v>
      </c>
      <c r="L696" s="5"/>
      <c r="M696" s="5"/>
      <c r="N696" s="6" t="s">
        <v>40</v>
      </c>
      <c r="O696" s="5" t="s">
        <v>5363</v>
      </c>
      <c r="P696" s="6" t="s">
        <v>42</v>
      </c>
      <c r="Q696" s="5" t="s">
        <v>1237</v>
      </c>
      <c r="R696" s="5" t="s">
        <v>8184</v>
      </c>
      <c r="S696" s="6" t="s">
        <v>86</v>
      </c>
      <c r="T696" s="6">
        <v>6729.0</v>
      </c>
    </row>
    <row r="697" ht="56.25" customHeight="1">
      <c r="A697" s="5" t="s">
        <v>8160</v>
      </c>
      <c r="B697" s="6" t="str">
        <f>image("https://storage.googleapis.com/acdb/photos/BromideNpcNmlTig05_Remake_7_0.png")</f>
        <v/>
      </c>
      <c r="C697" s="5" t="s">
        <v>151</v>
      </c>
      <c r="D697" s="5" t="s">
        <v>1327</v>
      </c>
      <c r="E697" s="5" t="s">
        <v>34</v>
      </c>
      <c r="F697" s="5" t="s">
        <v>34</v>
      </c>
      <c r="G697" s="5" t="s">
        <v>36</v>
      </c>
      <c r="H697" s="5" t="s">
        <v>35</v>
      </c>
      <c r="I697" s="6">
        <v>1.0</v>
      </c>
      <c r="J697" s="6" t="s">
        <v>37</v>
      </c>
      <c r="K697" s="6">
        <v>10.0</v>
      </c>
      <c r="L697" s="5"/>
      <c r="M697" s="5"/>
      <c r="N697" s="6" t="s">
        <v>40</v>
      </c>
      <c r="O697" s="5" t="s">
        <v>5363</v>
      </c>
      <c r="P697" s="6" t="s">
        <v>42</v>
      </c>
      <c r="Q697" s="5" t="s">
        <v>1237</v>
      </c>
      <c r="R697" s="5" t="s">
        <v>8187</v>
      </c>
      <c r="S697" s="6" t="s">
        <v>208</v>
      </c>
      <c r="T697" s="6">
        <v>6729.0</v>
      </c>
    </row>
    <row r="698" ht="56.25" customHeight="1">
      <c r="A698" s="5" t="s">
        <v>8188</v>
      </c>
      <c r="B698" s="6" t="str">
        <f>image("https://storage.googleapis.com/acdb/photos/BromideNpcNmlHam05_Remake_0_0.png")</f>
        <v/>
      </c>
      <c r="C698" s="5" t="s">
        <v>366</v>
      </c>
      <c r="D698" s="5" t="s">
        <v>1327</v>
      </c>
      <c r="E698" s="5" t="s">
        <v>34</v>
      </c>
      <c r="F698" s="5" t="s">
        <v>34</v>
      </c>
      <c r="G698" s="5" t="s">
        <v>36</v>
      </c>
      <c r="H698" s="5" t="s">
        <v>35</v>
      </c>
      <c r="I698" s="6">
        <v>1.0</v>
      </c>
      <c r="J698" s="6" t="s">
        <v>37</v>
      </c>
      <c r="K698" s="6">
        <v>10.0</v>
      </c>
      <c r="L698" s="5"/>
      <c r="M698" s="5"/>
      <c r="N698" s="6" t="s">
        <v>40</v>
      </c>
      <c r="O698" s="5" t="s">
        <v>5363</v>
      </c>
      <c r="P698" s="6" t="s">
        <v>42</v>
      </c>
      <c r="Q698" s="5" t="s">
        <v>1237</v>
      </c>
      <c r="R698" s="5" t="s">
        <v>8193</v>
      </c>
      <c r="S698" s="6" t="s">
        <v>50</v>
      </c>
      <c r="T698" s="6">
        <v>6527.0</v>
      </c>
    </row>
    <row r="699" ht="56.25" customHeight="1">
      <c r="A699" s="5" t="s">
        <v>8188</v>
      </c>
      <c r="B699" s="6" t="str">
        <f>image("https://storage.googleapis.com/acdb/photos/BromideNpcNmlHam05_Remake_1_0.png")</f>
        <v/>
      </c>
      <c r="C699" s="5" t="s">
        <v>1132</v>
      </c>
      <c r="D699" s="5" t="s">
        <v>1327</v>
      </c>
      <c r="E699" s="5" t="s">
        <v>34</v>
      </c>
      <c r="F699" s="5" t="s">
        <v>34</v>
      </c>
      <c r="G699" s="5" t="s">
        <v>36</v>
      </c>
      <c r="H699" s="5" t="s">
        <v>35</v>
      </c>
      <c r="I699" s="6">
        <v>1.0</v>
      </c>
      <c r="J699" s="6" t="s">
        <v>37</v>
      </c>
      <c r="K699" s="6">
        <v>10.0</v>
      </c>
      <c r="L699" s="5"/>
      <c r="M699" s="5"/>
      <c r="N699" s="6" t="s">
        <v>40</v>
      </c>
      <c r="O699" s="5" t="s">
        <v>5363</v>
      </c>
      <c r="P699" s="6" t="s">
        <v>42</v>
      </c>
      <c r="Q699" s="5" t="s">
        <v>1237</v>
      </c>
      <c r="R699" s="5" t="s">
        <v>8198</v>
      </c>
      <c r="S699" s="6" t="s">
        <v>56</v>
      </c>
      <c r="T699" s="6">
        <v>6527.0</v>
      </c>
    </row>
    <row r="700" ht="56.25" customHeight="1">
      <c r="A700" s="5" t="s">
        <v>8188</v>
      </c>
      <c r="B700" s="6" t="str">
        <f>image("https://storage.googleapis.com/acdb/photos/BromideNpcNmlHam05_Remake_2_0.png")</f>
        <v/>
      </c>
      <c r="C700" s="5" t="s">
        <v>688</v>
      </c>
      <c r="D700" s="5" t="s">
        <v>1327</v>
      </c>
      <c r="E700" s="5" t="s">
        <v>34</v>
      </c>
      <c r="F700" s="5" t="s">
        <v>34</v>
      </c>
      <c r="G700" s="5" t="s">
        <v>36</v>
      </c>
      <c r="H700" s="5" t="s">
        <v>35</v>
      </c>
      <c r="I700" s="6">
        <v>1.0</v>
      </c>
      <c r="J700" s="6" t="s">
        <v>37</v>
      </c>
      <c r="K700" s="6">
        <v>10.0</v>
      </c>
      <c r="L700" s="5"/>
      <c r="M700" s="5"/>
      <c r="N700" s="6" t="s">
        <v>40</v>
      </c>
      <c r="O700" s="5" t="s">
        <v>5363</v>
      </c>
      <c r="P700" s="6" t="s">
        <v>42</v>
      </c>
      <c r="Q700" s="5" t="s">
        <v>1237</v>
      </c>
      <c r="R700" s="5" t="s">
        <v>8203</v>
      </c>
      <c r="S700" s="6" t="s">
        <v>67</v>
      </c>
      <c r="T700" s="6">
        <v>6527.0</v>
      </c>
    </row>
    <row r="701" ht="56.25" customHeight="1">
      <c r="A701" s="5" t="s">
        <v>8188</v>
      </c>
      <c r="B701" s="6" t="str">
        <f>image("https://storage.googleapis.com/acdb/photos/BromideNpcNmlHam05_Remake_3_0.png")</f>
        <v/>
      </c>
      <c r="C701" s="5" t="s">
        <v>57</v>
      </c>
      <c r="D701" s="5" t="s">
        <v>1327</v>
      </c>
      <c r="E701" s="5" t="s">
        <v>34</v>
      </c>
      <c r="F701" s="5" t="s">
        <v>34</v>
      </c>
      <c r="G701" s="5" t="s">
        <v>36</v>
      </c>
      <c r="H701" s="5" t="s">
        <v>35</v>
      </c>
      <c r="I701" s="6">
        <v>1.0</v>
      </c>
      <c r="J701" s="6" t="s">
        <v>37</v>
      </c>
      <c r="K701" s="6">
        <v>10.0</v>
      </c>
      <c r="L701" s="5"/>
      <c r="M701" s="5"/>
      <c r="N701" s="6" t="s">
        <v>40</v>
      </c>
      <c r="O701" s="5" t="s">
        <v>5363</v>
      </c>
      <c r="P701" s="6" t="s">
        <v>42</v>
      </c>
      <c r="Q701" s="5" t="s">
        <v>1237</v>
      </c>
      <c r="R701" s="5" t="s">
        <v>8206</v>
      </c>
      <c r="S701" s="6" t="s">
        <v>71</v>
      </c>
      <c r="T701" s="6">
        <v>6527.0</v>
      </c>
    </row>
    <row r="702" ht="56.25" customHeight="1">
      <c r="A702" s="5" t="s">
        <v>8188</v>
      </c>
      <c r="B702" s="6" t="str">
        <f>image("https://storage.googleapis.com/acdb/photos/BromideNpcNmlHam05_Remake_4_0.png")</f>
        <v/>
      </c>
      <c r="C702" s="5" t="s">
        <v>1167</v>
      </c>
      <c r="D702" s="5" t="s">
        <v>1327</v>
      </c>
      <c r="E702" s="5" t="s">
        <v>34</v>
      </c>
      <c r="F702" s="5" t="s">
        <v>34</v>
      </c>
      <c r="G702" s="5" t="s">
        <v>36</v>
      </c>
      <c r="H702" s="5" t="s">
        <v>35</v>
      </c>
      <c r="I702" s="6">
        <v>1.0</v>
      </c>
      <c r="J702" s="6" t="s">
        <v>37</v>
      </c>
      <c r="K702" s="6">
        <v>10.0</v>
      </c>
      <c r="L702" s="5"/>
      <c r="M702" s="5"/>
      <c r="N702" s="6" t="s">
        <v>40</v>
      </c>
      <c r="O702" s="5" t="s">
        <v>5363</v>
      </c>
      <c r="P702" s="6" t="s">
        <v>42</v>
      </c>
      <c r="Q702" s="5" t="s">
        <v>1237</v>
      </c>
      <c r="R702" s="5" t="s">
        <v>8210</v>
      </c>
      <c r="S702" s="6" t="s">
        <v>75</v>
      </c>
      <c r="T702" s="6">
        <v>6527.0</v>
      </c>
    </row>
    <row r="703" ht="56.25" customHeight="1">
      <c r="A703" s="5" t="s">
        <v>8188</v>
      </c>
      <c r="B703" s="6" t="str">
        <f>image("https://storage.googleapis.com/acdb/photos/BromideNpcNmlHam05_Remake_5_0.png")</f>
        <v/>
      </c>
      <c r="C703" s="5" t="s">
        <v>58</v>
      </c>
      <c r="D703" s="5" t="s">
        <v>1327</v>
      </c>
      <c r="E703" s="5" t="s">
        <v>34</v>
      </c>
      <c r="F703" s="5" t="s">
        <v>34</v>
      </c>
      <c r="G703" s="5" t="s">
        <v>36</v>
      </c>
      <c r="H703" s="5" t="s">
        <v>35</v>
      </c>
      <c r="I703" s="6">
        <v>1.0</v>
      </c>
      <c r="J703" s="6" t="s">
        <v>37</v>
      </c>
      <c r="K703" s="6">
        <v>10.0</v>
      </c>
      <c r="L703" s="5"/>
      <c r="M703" s="5"/>
      <c r="N703" s="6" t="s">
        <v>40</v>
      </c>
      <c r="O703" s="5" t="s">
        <v>5363</v>
      </c>
      <c r="P703" s="6" t="s">
        <v>42</v>
      </c>
      <c r="Q703" s="5" t="s">
        <v>1237</v>
      </c>
      <c r="R703" s="5" t="s">
        <v>8214</v>
      </c>
      <c r="S703" s="6" t="s">
        <v>79</v>
      </c>
      <c r="T703" s="6">
        <v>6527.0</v>
      </c>
    </row>
    <row r="704" ht="56.25" customHeight="1">
      <c r="A704" s="5" t="s">
        <v>8188</v>
      </c>
      <c r="B704" s="6" t="str">
        <f>image("https://storage.googleapis.com/acdb/photos/BromideNpcNmlHam05_Remake_6_0.png")</f>
        <v/>
      </c>
      <c r="C704" s="5" t="s">
        <v>146</v>
      </c>
      <c r="D704" s="5" t="s">
        <v>1327</v>
      </c>
      <c r="E704" s="5" t="s">
        <v>34</v>
      </c>
      <c r="F704" s="5" t="s">
        <v>34</v>
      </c>
      <c r="G704" s="5" t="s">
        <v>36</v>
      </c>
      <c r="H704" s="5" t="s">
        <v>35</v>
      </c>
      <c r="I704" s="6">
        <v>1.0</v>
      </c>
      <c r="J704" s="6" t="s">
        <v>37</v>
      </c>
      <c r="K704" s="6">
        <v>10.0</v>
      </c>
      <c r="L704" s="5"/>
      <c r="M704" s="5"/>
      <c r="N704" s="6" t="s">
        <v>40</v>
      </c>
      <c r="O704" s="5" t="s">
        <v>5363</v>
      </c>
      <c r="P704" s="6" t="s">
        <v>42</v>
      </c>
      <c r="Q704" s="5" t="s">
        <v>1237</v>
      </c>
      <c r="R704" s="5" t="s">
        <v>8222</v>
      </c>
      <c r="S704" s="6" t="s">
        <v>86</v>
      </c>
      <c r="T704" s="6">
        <v>6527.0</v>
      </c>
    </row>
    <row r="705" ht="56.25" customHeight="1">
      <c r="A705" s="5" t="s">
        <v>8188</v>
      </c>
      <c r="B705" s="6" t="str">
        <f>image("https://storage.googleapis.com/acdb/photos/BromideNpcNmlHam05_Remake_7_0.png")</f>
        <v/>
      </c>
      <c r="C705" s="5" t="s">
        <v>151</v>
      </c>
      <c r="D705" s="5" t="s">
        <v>1327</v>
      </c>
      <c r="E705" s="5" t="s">
        <v>34</v>
      </c>
      <c r="F705" s="5" t="s">
        <v>34</v>
      </c>
      <c r="G705" s="5" t="s">
        <v>36</v>
      </c>
      <c r="H705" s="5" t="s">
        <v>35</v>
      </c>
      <c r="I705" s="6">
        <v>1.0</v>
      </c>
      <c r="J705" s="6" t="s">
        <v>37</v>
      </c>
      <c r="K705" s="6">
        <v>10.0</v>
      </c>
      <c r="L705" s="5"/>
      <c r="M705" s="5"/>
      <c r="N705" s="6" t="s">
        <v>40</v>
      </c>
      <c r="O705" s="5" t="s">
        <v>5363</v>
      </c>
      <c r="P705" s="6" t="s">
        <v>42</v>
      </c>
      <c r="Q705" s="5" t="s">
        <v>1237</v>
      </c>
      <c r="R705" s="5" t="s">
        <v>8225</v>
      </c>
      <c r="S705" s="6" t="s">
        <v>208</v>
      </c>
      <c r="T705" s="6">
        <v>6527.0</v>
      </c>
    </row>
    <row r="706" ht="56.25" customHeight="1">
      <c r="A706" s="5" t="s">
        <v>8227</v>
      </c>
      <c r="B706" s="6" t="str">
        <f>image("https://storage.googleapis.com/acdb/photos/BromideNpcNmlHrs07_Remake_0_0.png")</f>
        <v/>
      </c>
      <c r="C706" s="5" t="s">
        <v>366</v>
      </c>
      <c r="D706" s="5" t="s">
        <v>1327</v>
      </c>
      <c r="E706" s="5" t="s">
        <v>34</v>
      </c>
      <c r="F706" s="5" t="s">
        <v>34</v>
      </c>
      <c r="G706" s="5" t="s">
        <v>36</v>
      </c>
      <c r="H706" s="5" t="s">
        <v>35</v>
      </c>
      <c r="I706" s="6">
        <v>1.0</v>
      </c>
      <c r="J706" s="6" t="s">
        <v>37</v>
      </c>
      <c r="K706" s="6">
        <v>10.0</v>
      </c>
      <c r="L706" s="5"/>
      <c r="M706" s="5"/>
      <c r="N706" s="6" t="s">
        <v>40</v>
      </c>
      <c r="O706" s="5" t="s">
        <v>5363</v>
      </c>
      <c r="P706" s="6" t="s">
        <v>42</v>
      </c>
      <c r="Q706" s="5" t="s">
        <v>1237</v>
      </c>
      <c r="R706" s="5" t="s">
        <v>8230</v>
      </c>
      <c r="S706" s="6" t="s">
        <v>50</v>
      </c>
      <c r="T706" s="6">
        <v>6546.0</v>
      </c>
    </row>
    <row r="707" ht="56.25" customHeight="1">
      <c r="A707" s="5" t="s">
        <v>8227</v>
      </c>
      <c r="B707" s="6" t="str">
        <f>image("https://storage.googleapis.com/acdb/photos/BromideNpcNmlHrs07_Remake_1_0.png")</f>
        <v/>
      </c>
      <c r="C707" s="5" t="s">
        <v>1132</v>
      </c>
      <c r="D707" s="5" t="s">
        <v>1327</v>
      </c>
      <c r="E707" s="5" t="s">
        <v>34</v>
      </c>
      <c r="F707" s="5" t="s">
        <v>34</v>
      </c>
      <c r="G707" s="5" t="s">
        <v>36</v>
      </c>
      <c r="H707" s="5" t="s">
        <v>35</v>
      </c>
      <c r="I707" s="6">
        <v>1.0</v>
      </c>
      <c r="J707" s="6" t="s">
        <v>37</v>
      </c>
      <c r="K707" s="6">
        <v>10.0</v>
      </c>
      <c r="L707" s="5"/>
      <c r="M707" s="5"/>
      <c r="N707" s="6" t="s">
        <v>40</v>
      </c>
      <c r="O707" s="5" t="s">
        <v>5363</v>
      </c>
      <c r="P707" s="6" t="s">
        <v>42</v>
      </c>
      <c r="Q707" s="5" t="s">
        <v>1237</v>
      </c>
      <c r="R707" s="5" t="s">
        <v>8235</v>
      </c>
      <c r="S707" s="6" t="s">
        <v>56</v>
      </c>
      <c r="T707" s="6">
        <v>6546.0</v>
      </c>
    </row>
    <row r="708" ht="56.25" customHeight="1">
      <c r="A708" s="5" t="s">
        <v>8227</v>
      </c>
      <c r="B708" s="6" t="str">
        <f>image("https://storage.googleapis.com/acdb/photos/BromideNpcNmlHrs07_Remake_2_0.png")</f>
        <v/>
      </c>
      <c r="C708" s="5" t="s">
        <v>688</v>
      </c>
      <c r="D708" s="5" t="s">
        <v>1327</v>
      </c>
      <c r="E708" s="5" t="s">
        <v>34</v>
      </c>
      <c r="F708" s="5" t="s">
        <v>34</v>
      </c>
      <c r="G708" s="5" t="s">
        <v>36</v>
      </c>
      <c r="H708" s="5" t="s">
        <v>35</v>
      </c>
      <c r="I708" s="6">
        <v>1.0</v>
      </c>
      <c r="J708" s="6" t="s">
        <v>37</v>
      </c>
      <c r="K708" s="6">
        <v>10.0</v>
      </c>
      <c r="L708" s="5"/>
      <c r="M708" s="5"/>
      <c r="N708" s="6" t="s">
        <v>40</v>
      </c>
      <c r="O708" s="5" t="s">
        <v>5363</v>
      </c>
      <c r="P708" s="6" t="s">
        <v>42</v>
      </c>
      <c r="Q708" s="5" t="s">
        <v>1237</v>
      </c>
      <c r="R708" s="5" t="s">
        <v>8240</v>
      </c>
      <c r="S708" s="6" t="s">
        <v>67</v>
      </c>
      <c r="T708" s="6">
        <v>6546.0</v>
      </c>
    </row>
    <row r="709" ht="56.25" customHeight="1">
      <c r="A709" s="5" t="s">
        <v>8227</v>
      </c>
      <c r="B709" s="6" t="str">
        <f>image("https://storage.googleapis.com/acdb/photos/BromideNpcNmlHrs07_Remake_3_0.png")</f>
        <v/>
      </c>
      <c r="C709" s="5" t="s">
        <v>57</v>
      </c>
      <c r="D709" s="5" t="s">
        <v>1327</v>
      </c>
      <c r="E709" s="5" t="s">
        <v>34</v>
      </c>
      <c r="F709" s="5" t="s">
        <v>34</v>
      </c>
      <c r="G709" s="5" t="s">
        <v>36</v>
      </c>
      <c r="H709" s="5" t="s">
        <v>35</v>
      </c>
      <c r="I709" s="6">
        <v>1.0</v>
      </c>
      <c r="J709" s="6" t="s">
        <v>37</v>
      </c>
      <c r="K709" s="6">
        <v>10.0</v>
      </c>
      <c r="L709" s="5"/>
      <c r="M709" s="5"/>
      <c r="N709" s="6" t="s">
        <v>40</v>
      </c>
      <c r="O709" s="5" t="s">
        <v>5363</v>
      </c>
      <c r="P709" s="6" t="s">
        <v>42</v>
      </c>
      <c r="Q709" s="5" t="s">
        <v>1237</v>
      </c>
      <c r="R709" s="5" t="s">
        <v>8242</v>
      </c>
      <c r="S709" s="6" t="s">
        <v>71</v>
      </c>
      <c r="T709" s="6">
        <v>6546.0</v>
      </c>
    </row>
    <row r="710" ht="56.25" customHeight="1">
      <c r="A710" s="5" t="s">
        <v>8227</v>
      </c>
      <c r="B710" s="6" t="str">
        <f>image("https://storage.googleapis.com/acdb/photos/BromideNpcNmlHrs07_Remake_4_0.png")</f>
        <v/>
      </c>
      <c r="C710" s="5" t="s">
        <v>1167</v>
      </c>
      <c r="D710" s="5" t="s">
        <v>1327</v>
      </c>
      <c r="E710" s="5" t="s">
        <v>34</v>
      </c>
      <c r="F710" s="5" t="s">
        <v>34</v>
      </c>
      <c r="G710" s="5" t="s">
        <v>36</v>
      </c>
      <c r="H710" s="5" t="s">
        <v>35</v>
      </c>
      <c r="I710" s="6">
        <v>1.0</v>
      </c>
      <c r="J710" s="6" t="s">
        <v>37</v>
      </c>
      <c r="K710" s="6">
        <v>10.0</v>
      </c>
      <c r="L710" s="5"/>
      <c r="M710" s="5"/>
      <c r="N710" s="6" t="s">
        <v>40</v>
      </c>
      <c r="O710" s="5" t="s">
        <v>5363</v>
      </c>
      <c r="P710" s="6" t="s">
        <v>42</v>
      </c>
      <c r="Q710" s="5" t="s">
        <v>1237</v>
      </c>
      <c r="R710" s="5" t="s">
        <v>8245</v>
      </c>
      <c r="S710" s="6" t="s">
        <v>75</v>
      </c>
      <c r="T710" s="6">
        <v>6546.0</v>
      </c>
    </row>
    <row r="711" ht="56.25" customHeight="1">
      <c r="A711" s="5" t="s">
        <v>8227</v>
      </c>
      <c r="B711" s="6" t="str">
        <f>image("https://storage.googleapis.com/acdb/photos/BromideNpcNmlHrs07_Remake_5_0.png")</f>
        <v/>
      </c>
      <c r="C711" s="5" t="s">
        <v>58</v>
      </c>
      <c r="D711" s="5" t="s">
        <v>1327</v>
      </c>
      <c r="E711" s="5" t="s">
        <v>34</v>
      </c>
      <c r="F711" s="5" t="s">
        <v>34</v>
      </c>
      <c r="G711" s="5" t="s">
        <v>36</v>
      </c>
      <c r="H711" s="5" t="s">
        <v>35</v>
      </c>
      <c r="I711" s="6">
        <v>1.0</v>
      </c>
      <c r="J711" s="6" t="s">
        <v>37</v>
      </c>
      <c r="K711" s="6">
        <v>10.0</v>
      </c>
      <c r="L711" s="5"/>
      <c r="M711" s="5"/>
      <c r="N711" s="6" t="s">
        <v>40</v>
      </c>
      <c r="O711" s="5" t="s">
        <v>5363</v>
      </c>
      <c r="P711" s="6" t="s">
        <v>42</v>
      </c>
      <c r="Q711" s="5" t="s">
        <v>1237</v>
      </c>
      <c r="R711" s="5" t="s">
        <v>8248</v>
      </c>
      <c r="S711" s="6" t="s">
        <v>79</v>
      </c>
      <c r="T711" s="6">
        <v>6546.0</v>
      </c>
    </row>
    <row r="712" ht="56.25" customHeight="1">
      <c r="A712" s="5" t="s">
        <v>8227</v>
      </c>
      <c r="B712" s="6" t="str">
        <f>image("https://storage.googleapis.com/acdb/photos/BromideNpcNmlHrs07_Remake_6_0.png")</f>
        <v/>
      </c>
      <c r="C712" s="5" t="s">
        <v>146</v>
      </c>
      <c r="D712" s="5" t="s">
        <v>1327</v>
      </c>
      <c r="E712" s="5" t="s">
        <v>34</v>
      </c>
      <c r="F712" s="5" t="s">
        <v>34</v>
      </c>
      <c r="G712" s="5" t="s">
        <v>36</v>
      </c>
      <c r="H712" s="5" t="s">
        <v>35</v>
      </c>
      <c r="I712" s="6">
        <v>1.0</v>
      </c>
      <c r="J712" s="6" t="s">
        <v>37</v>
      </c>
      <c r="K712" s="6">
        <v>10.0</v>
      </c>
      <c r="L712" s="5"/>
      <c r="M712" s="5"/>
      <c r="N712" s="6" t="s">
        <v>40</v>
      </c>
      <c r="O712" s="5" t="s">
        <v>5363</v>
      </c>
      <c r="P712" s="6" t="s">
        <v>42</v>
      </c>
      <c r="Q712" s="5" t="s">
        <v>1237</v>
      </c>
      <c r="R712" s="5" t="s">
        <v>8250</v>
      </c>
      <c r="S712" s="6" t="s">
        <v>86</v>
      </c>
      <c r="T712" s="6">
        <v>6546.0</v>
      </c>
    </row>
    <row r="713" ht="56.25" customHeight="1">
      <c r="A713" s="5" t="s">
        <v>8227</v>
      </c>
      <c r="B713" s="6" t="str">
        <f>image("https://storage.googleapis.com/acdb/photos/BromideNpcNmlHrs07_Remake_7_0.png")</f>
        <v/>
      </c>
      <c r="C713" s="5" t="s">
        <v>151</v>
      </c>
      <c r="D713" s="5" t="s">
        <v>1327</v>
      </c>
      <c r="E713" s="5" t="s">
        <v>34</v>
      </c>
      <c r="F713" s="5" t="s">
        <v>34</v>
      </c>
      <c r="G713" s="5" t="s">
        <v>36</v>
      </c>
      <c r="H713" s="5" t="s">
        <v>35</v>
      </c>
      <c r="I713" s="6">
        <v>1.0</v>
      </c>
      <c r="J713" s="6" t="s">
        <v>37</v>
      </c>
      <c r="K713" s="6">
        <v>10.0</v>
      </c>
      <c r="L713" s="5"/>
      <c r="M713" s="5"/>
      <c r="N713" s="6" t="s">
        <v>40</v>
      </c>
      <c r="O713" s="5" t="s">
        <v>5363</v>
      </c>
      <c r="P713" s="6" t="s">
        <v>42</v>
      </c>
      <c r="Q713" s="5" t="s">
        <v>1237</v>
      </c>
      <c r="R713" s="5" t="s">
        <v>8253</v>
      </c>
      <c r="S713" s="6" t="s">
        <v>208</v>
      </c>
      <c r="T713" s="6">
        <v>6546.0</v>
      </c>
    </row>
    <row r="714" ht="56.25" customHeight="1">
      <c r="A714" s="5" t="s">
        <v>8254</v>
      </c>
      <c r="B714" s="6" t="str">
        <f>image("https://storage.googleapis.com/acdb/photos/BromideNpcNmlHrs10_Remake_0_0.png")</f>
        <v/>
      </c>
      <c r="C714" s="5" t="s">
        <v>366</v>
      </c>
      <c r="D714" s="5" t="s">
        <v>1327</v>
      </c>
      <c r="E714" s="5" t="s">
        <v>34</v>
      </c>
      <c r="F714" s="5" t="s">
        <v>34</v>
      </c>
      <c r="G714" s="5" t="s">
        <v>36</v>
      </c>
      <c r="H714" s="5" t="s">
        <v>35</v>
      </c>
      <c r="I714" s="6">
        <v>1.0</v>
      </c>
      <c r="J714" s="6" t="s">
        <v>37</v>
      </c>
      <c r="K714" s="6">
        <v>10.0</v>
      </c>
      <c r="L714" s="5"/>
      <c r="M714" s="5"/>
      <c r="N714" s="6" t="s">
        <v>40</v>
      </c>
      <c r="O714" s="5" t="s">
        <v>5363</v>
      </c>
      <c r="P714" s="6" t="s">
        <v>42</v>
      </c>
      <c r="Q714" s="5" t="s">
        <v>1237</v>
      </c>
      <c r="R714" s="5" t="s">
        <v>8257</v>
      </c>
      <c r="S714" s="6" t="s">
        <v>50</v>
      </c>
      <c r="T714" s="6">
        <v>6550.0</v>
      </c>
    </row>
    <row r="715" ht="56.25" customHeight="1">
      <c r="A715" s="5" t="s">
        <v>8254</v>
      </c>
      <c r="B715" s="6" t="str">
        <f>image("https://storage.googleapis.com/acdb/photos/BromideNpcNmlHrs10_Remake_1_0.png")</f>
        <v/>
      </c>
      <c r="C715" s="5" t="s">
        <v>1132</v>
      </c>
      <c r="D715" s="5" t="s">
        <v>1327</v>
      </c>
      <c r="E715" s="5" t="s">
        <v>34</v>
      </c>
      <c r="F715" s="5" t="s">
        <v>34</v>
      </c>
      <c r="G715" s="5" t="s">
        <v>36</v>
      </c>
      <c r="H715" s="5" t="s">
        <v>35</v>
      </c>
      <c r="I715" s="6">
        <v>1.0</v>
      </c>
      <c r="J715" s="6" t="s">
        <v>37</v>
      </c>
      <c r="K715" s="6">
        <v>10.0</v>
      </c>
      <c r="L715" s="5"/>
      <c r="M715" s="5"/>
      <c r="N715" s="6" t="s">
        <v>40</v>
      </c>
      <c r="O715" s="5" t="s">
        <v>5363</v>
      </c>
      <c r="P715" s="6" t="s">
        <v>42</v>
      </c>
      <c r="Q715" s="5" t="s">
        <v>1237</v>
      </c>
      <c r="R715" s="5" t="s">
        <v>8261</v>
      </c>
      <c r="S715" s="6" t="s">
        <v>56</v>
      </c>
      <c r="T715" s="6">
        <v>6550.0</v>
      </c>
    </row>
    <row r="716" ht="56.25" customHeight="1">
      <c r="A716" s="5" t="s">
        <v>8254</v>
      </c>
      <c r="B716" s="6" t="str">
        <f>image("https://storage.googleapis.com/acdb/photos/BromideNpcNmlHrs10_Remake_2_0.png")</f>
        <v/>
      </c>
      <c r="C716" s="5" t="s">
        <v>688</v>
      </c>
      <c r="D716" s="5" t="s">
        <v>1327</v>
      </c>
      <c r="E716" s="5" t="s">
        <v>34</v>
      </c>
      <c r="F716" s="5" t="s">
        <v>34</v>
      </c>
      <c r="G716" s="5" t="s">
        <v>36</v>
      </c>
      <c r="H716" s="5" t="s">
        <v>35</v>
      </c>
      <c r="I716" s="6">
        <v>1.0</v>
      </c>
      <c r="J716" s="6" t="s">
        <v>37</v>
      </c>
      <c r="K716" s="6">
        <v>10.0</v>
      </c>
      <c r="L716" s="5"/>
      <c r="M716" s="5"/>
      <c r="N716" s="6" t="s">
        <v>40</v>
      </c>
      <c r="O716" s="5" t="s">
        <v>5363</v>
      </c>
      <c r="P716" s="6" t="s">
        <v>42</v>
      </c>
      <c r="Q716" s="5" t="s">
        <v>1237</v>
      </c>
      <c r="R716" s="5" t="s">
        <v>8265</v>
      </c>
      <c r="S716" s="6" t="s">
        <v>67</v>
      </c>
      <c r="T716" s="6">
        <v>6550.0</v>
      </c>
    </row>
    <row r="717" ht="56.25" customHeight="1">
      <c r="A717" s="5" t="s">
        <v>8254</v>
      </c>
      <c r="B717" s="6" t="str">
        <f>image("https://storage.googleapis.com/acdb/photos/BromideNpcNmlHrs10_Remake_3_0.png")</f>
        <v/>
      </c>
      <c r="C717" s="5" t="s">
        <v>57</v>
      </c>
      <c r="D717" s="5" t="s">
        <v>1327</v>
      </c>
      <c r="E717" s="5" t="s">
        <v>34</v>
      </c>
      <c r="F717" s="5" t="s">
        <v>34</v>
      </c>
      <c r="G717" s="5" t="s">
        <v>36</v>
      </c>
      <c r="H717" s="5" t="s">
        <v>35</v>
      </c>
      <c r="I717" s="6">
        <v>1.0</v>
      </c>
      <c r="J717" s="6" t="s">
        <v>37</v>
      </c>
      <c r="K717" s="6">
        <v>10.0</v>
      </c>
      <c r="L717" s="5"/>
      <c r="M717" s="5"/>
      <c r="N717" s="6" t="s">
        <v>40</v>
      </c>
      <c r="O717" s="5" t="s">
        <v>5363</v>
      </c>
      <c r="P717" s="6" t="s">
        <v>42</v>
      </c>
      <c r="Q717" s="5" t="s">
        <v>1237</v>
      </c>
      <c r="R717" s="5" t="s">
        <v>8268</v>
      </c>
      <c r="S717" s="6" t="s">
        <v>71</v>
      </c>
      <c r="T717" s="6">
        <v>6550.0</v>
      </c>
    </row>
    <row r="718" ht="56.25" customHeight="1">
      <c r="A718" s="5" t="s">
        <v>8254</v>
      </c>
      <c r="B718" s="6" t="str">
        <f>image("https://storage.googleapis.com/acdb/photos/BromideNpcNmlHrs10_Remake_4_0.png")</f>
        <v/>
      </c>
      <c r="C718" s="5" t="s">
        <v>1167</v>
      </c>
      <c r="D718" s="5" t="s">
        <v>1327</v>
      </c>
      <c r="E718" s="5" t="s">
        <v>34</v>
      </c>
      <c r="F718" s="5" t="s">
        <v>34</v>
      </c>
      <c r="G718" s="5" t="s">
        <v>36</v>
      </c>
      <c r="H718" s="5" t="s">
        <v>35</v>
      </c>
      <c r="I718" s="6">
        <v>1.0</v>
      </c>
      <c r="J718" s="6" t="s">
        <v>37</v>
      </c>
      <c r="K718" s="6">
        <v>10.0</v>
      </c>
      <c r="L718" s="5"/>
      <c r="M718" s="5"/>
      <c r="N718" s="6" t="s">
        <v>40</v>
      </c>
      <c r="O718" s="5" t="s">
        <v>5363</v>
      </c>
      <c r="P718" s="6" t="s">
        <v>42</v>
      </c>
      <c r="Q718" s="5" t="s">
        <v>1237</v>
      </c>
      <c r="R718" s="5" t="s">
        <v>8272</v>
      </c>
      <c r="S718" s="6" t="s">
        <v>75</v>
      </c>
      <c r="T718" s="6">
        <v>6550.0</v>
      </c>
    </row>
    <row r="719" ht="56.25" customHeight="1">
      <c r="A719" s="5" t="s">
        <v>8254</v>
      </c>
      <c r="B719" s="6" t="str">
        <f>image("https://storage.googleapis.com/acdb/photos/BromideNpcNmlHrs10_Remake_5_0.png")</f>
        <v/>
      </c>
      <c r="C719" s="5" t="s">
        <v>58</v>
      </c>
      <c r="D719" s="5" t="s">
        <v>1327</v>
      </c>
      <c r="E719" s="5" t="s">
        <v>34</v>
      </c>
      <c r="F719" s="5" t="s">
        <v>34</v>
      </c>
      <c r="G719" s="5" t="s">
        <v>36</v>
      </c>
      <c r="H719" s="5" t="s">
        <v>35</v>
      </c>
      <c r="I719" s="6">
        <v>1.0</v>
      </c>
      <c r="J719" s="6" t="s">
        <v>37</v>
      </c>
      <c r="K719" s="6">
        <v>10.0</v>
      </c>
      <c r="L719" s="5"/>
      <c r="M719" s="5"/>
      <c r="N719" s="6" t="s">
        <v>40</v>
      </c>
      <c r="O719" s="5" t="s">
        <v>5363</v>
      </c>
      <c r="P719" s="6" t="s">
        <v>42</v>
      </c>
      <c r="Q719" s="5" t="s">
        <v>1237</v>
      </c>
      <c r="R719" s="5" t="s">
        <v>8274</v>
      </c>
      <c r="S719" s="6" t="s">
        <v>79</v>
      </c>
      <c r="T719" s="6">
        <v>6550.0</v>
      </c>
    </row>
    <row r="720" ht="56.25" customHeight="1">
      <c r="A720" s="5" t="s">
        <v>8254</v>
      </c>
      <c r="B720" s="6" t="str">
        <f>image("https://storage.googleapis.com/acdb/photos/BromideNpcNmlHrs10_Remake_6_0.png")</f>
        <v/>
      </c>
      <c r="C720" s="5" t="s">
        <v>146</v>
      </c>
      <c r="D720" s="5" t="s">
        <v>1327</v>
      </c>
      <c r="E720" s="5" t="s">
        <v>34</v>
      </c>
      <c r="F720" s="5" t="s">
        <v>34</v>
      </c>
      <c r="G720" s="5" t="s">
        <v>36</v>
      </c>
      <c r="H720" s="5" t="s">
        <v>35</v>
      </c>
      <c r="I720" s="6">
        <v>1.0</v>
      </c>
      <c r="J720" s="6" t="s">
        <v>37</v>
      </c>
      <c r="K720" s="6">
        <v>10.0</v>
      </c>
      <c r="L720" s="5"/>
      <c r="M720" s="5"/>
      <c r="N720" s="6" t="s">
        <v>40</v>
      </c>
      <c r="O720" s="5" t="s">
        <v>5363</v>
      </c>
      <c r="P720" s="6" t="s">
        <v>42</v>
      </c>
      <c r="Q720" s="5" t="s">
        <v>1237</v>
      </c>
      <c r="R720" s="5" t="s">
        <v>8277</v>
      </c>
      <c r="S720" s="6" t="s">
        <v>86</v>
      </c>
      <c r="T720" s="6">
        <v>6550.0</v>
      </c>
    </row>
    <row r="721" ht="56.25" customHeight="1">
      <c r="A721" s="5" t="s">
        <v>8254</v>
      </c>
      <c r="B721" s="6" t="str">
        <f>image("https://storage.googleapis.com/acdb/photos/BromideNpcNmlHrs10_Remake_7_0.png")</f>
        <v/>
      </c>
      <c r="C721" s="5" t="s">
        <v>151</v>
      </c>
      <c r="D721" s="5" t="s">
        <v>1327</v>
      </c>
      <c r="E721" s="5" t="s">
        <v>34</v>
      </c>
      <c r="F721" s="5" t="s">
        <v>34</v>
      </c>
      <c r="G721" s="5" t="s">
        <v>36</v>
      </c>
      <c r="H721" s="5" t="s">
        <v>35</v>
      </c>
      <c r="I721" s="6">
        <v>1.0</v>
      </c>
      <c r="J721" s="6" t="s">
        <v>37</v>
      </c>
      <c r="K721" s="6">
        <v>10.0</v>
      </c>
      <c r="L721" s="5"/>
      <c r="M721" s="5"/>
      <c r="N721" s="6" t="s">
        <v>40</v>
      </c>
      <c r="O721" s="5" t="s">
        <v>5363</v>
      </c>
      <c r="P721" s="6" t="s">
        <v>42</v>
      </c>
      <c r="Q721" s="5" t="s">
        <v>1237</v>
      </c>
      <c r="R721" s="5" t="s">
        <v>8280</v>
      </c>
      <c r="S721" s="6" t="s">
        <v>208</v>
      </c>
      <c r="T721" s="6">
        <v>6550.0</v>
      </c>
    </row>
    <row r="722" ht="56.25" customHeight="1">
      <c r="A722" s="5" t="s">
        <v>8281</v>
      </c>
      <c r="B722" s="6" t="str">
        <f>image("https://storage.googleapis.com/acdb/photos/BromideNpcNmlBul07_Remake_0_0.png")</f>
        <v/>
      </c>
      <c r="C722" s="5" t="s">
        <v>366</v>
      </c>
      <c r="D722" s="5" t="s">
        <v>1327</v>
      </c>
      <c r="E722" s="5" t="s">
        <v>34</v>
      </c>
      <c r="F722" s="5" t="s">
        <v>34</v>
      </c>
      <c r="G722" s="5" t="s">
        <v>36</v>
      </c>
      <c r="H722" s="5" t="s">
        <v>35</v>
      </c>
      <c r="I722" s="6">
        <v>1.0</v>
      </c>
      <c r="J722" s="6" t="s">
        <v>37</v>
      </c>
      <c r="K722" s="6">
        <v>10.0</v>
      </c>
      <c r="L722" s="5"/>
      <c r="M722" s="5"/>
      <c r="N722" s="6" t="s">
        <v>40</v>
      </c>
      <c r="O722" s="5" t="s">
        <v>5363</v>
      </c>
      <c r="P722" s="6" t="s">
        <v>42</v>
      </c>
      <c r="Q722" s="5" t="s">
        <v>1237</v>
      </c>
      <c r="R722" s="5" t="s">
        <v>8283</v>
      </c>
      <c r="S722" s="6" t="s">
        <v>50</v>
      </c>
      <c r="T722" s="6">
        <v>6742.0</v>
      </c>
    </row>
    <row r="723" ht="56.25" customHeight="1">
      <c r="A723" s="5" t="s">
        <v>8281</v>
      </c>
      <c r="B723" s="6" t="str">
        <f>image("https://storage.googleapis.com/acdb/photos/BromideNpcNmlBul07_Remake_1_0.png")</f>
        <v/>
      </c>
      <c r="C723" s="5" t="s">
        <v>1132</v>
      </c>
      <c r="D723" s="5" t="s">
        <v>1327</v>
      </c>
      <c r="E723" s="5" t="s">
        <v>34</v>
      </c>
      <c r="F723" s="5" t="s">
        <v>34</v>
      </c>
      <c r="G723" s="5" t="s">
        <v>36</v>
      </c>
      <c r="H723" s="5" t="s">
        <v>35</v>
      </c>
      <c r="I723" s="6">
        <v>1.0</v>
      </c>
      <c r="J723" s="6" t="s">
        <v>37</v>
      </c>
      <c r="K723" s="6">
        <v>10.0</v>
      </c>
      <c r="L723" s="5"/>
      <c r="M723" s="5"/>
      <c r="N723" s="6" t="s">
        <v>40</v>
      </c>
      <c r="O723" s="5" t="s">
        <v>5363</v>
      </c>
      <c r="P723" s="6" t="s">
        <v>42</v>
      </c>
      <c r="Q723" s="5" t="s">
        <v>1237</v>
      </c>
      <c r="R723" s="5" t="s">
        <v>8286</v>
      </c>
      <c r="S723" s="6" t="s">
        <v>56</v>
      </c>
      <c r="T723" s="6">
        <v>6742.0</v>
      </c>
    </row>
    <row r="724" ht="56.25" customHeight="1">
      <c r="A724" s="5" t="s">
        <v>8281</v>
      </c>
      <c r="B724" s="6" t="str">
        <f>image("https://storage.googleapis.com/acdb/photos/BromideNpcNmlBul07_Remake_2_0.png")</f>
        <v/>
      </c>
      <c r="C724" s="5" t="s">
        <v>688</v>
      </c>
      <c r="D724" s="5" t="s">
        <v>1327</v>
      </c>
      <c r="E724" s="5" t="s">
        <v>34</v>
      </c>
      <c r="F724" s="5" t="s">
        <v>34</v>
      </c>
      <c r="G724" s="5" t="s">
        <v>36</v>
      </c>
      <c r="H724" s="5" t="s">
        <v>35</v>
      </c>
      <c r="I724" s="6">
        <v>1.0</v>
      </c>
      <c r="J724" s="6" t="s">
        <v>37</v>
      </c>
      <c r="K724" s="6">
        <v>10.0</v>
      </c>
      <c r="L724" s="5"/>
      <c r="M724" s="5"/>
      <c r="N724" s="6" t="s">
        <v>40</v>
      </c>
      <c r="O724" s="5" t="s">
        <v>5363</v>
      </c>
      <c r="P724" s="6" t="s">
        <v>42</v>
      </c>
      <c r="Q724" s="5" t="s">
        <v>1237</v>
      </c>
      <c r="R724" s="5" t="s">
        <v>8291</v>
      </c>
      <c r="S724" s="6" t="s">
        <v>67</v>
      </c>
      <c r="T724" s="6">
        <v>6742.0</v>
      </c>
    </row>
    <row r="725" ht="56.25" customHeight="1">
      <c r="A725" s="5" t="s">
        <v>8281</v>
      </c>
      <c r="B725" s="6" t="str">
        <f>image("https://storage.googleapis.com/acdb/photos/BromideNpcNmlBul07_Remake_3_0.png")</f>
        <v/>
      </c>
      <c r="C725" s="5" t="s">
        <v>57</v>
      </c>
      <c r="D725" s="5" t="s">
        <v>1327</v>
      </c>
      <c r="E725" s="5" t="s">
        <v>34</v>
      </c>
      <c r="F725" s="5" t="s">
        <v>34</v>
      </c>
      <c r="G725" s="5" t="s">
        <v>36</v>
      </c>
      <c r="H725" s="5" t="s">
        <v>35</v>
      </c>
      <c r="I725" s="6">
        <v>1.0</v>
      </c>
      <c r="J725" s="6" t="s">
        <v>37</v>
      </c>
      <c r="K725" s="6">
        <v>10.0</v>
      </c>
      <c r="L725" s="5"/>
      <c r="M725" s="5"/>
      <c r="N725" s="6" t="s">
        <v>40</v>
      </c>
      <c r="O725" s="5" t="s">
        <v>5363</v>
      </c>
      <c r="P725" s="6" t="s">
        <v>42</v>
      </c>
      <c r="Q725" s="5" t="s">
        <v>1237</v>
      </c>
      <c r="R725" s="5" t="s">
        <v>8295</v>
      </c>
      <c r="S725" s="6" t="s">
        <v>71</v>
      </c>
      <c r="T725" s="6">
        <v>6742.0</v>
      </c>
    </row>
    <row r="726" ht="56.25" customHeight="1">
      <c r="A726" s="5" t="s">
        <v>8281</v>
      </c>
      <c r="B726" s="6" t="str">
        <f>image("https://storage.googleapis.com/acdb/photos/BromideNpcNmlBul07_Remake_4_0.png")</f>
        <v/>
      </c>
      <c r="C726" s="5" t="s">
        <v>1167</v>
      </c>
      <c r="D726" s="5" t="s">
        <v>1327</v>
      </c>
      <c r="E726" s="5" t="s">
        <v>34</v>
      </c>
      <c r="F726" s="5" t="s">
        <v>34</v>
      </c>
      <c r="G726" s="5" t="s">
        <v>36</v>
      </c>
      <c r="H726" s="5" t="s">
        <v>35</v>
      </c>
      <c r="I726" s="6">
        <v>1.0</v>
      </c>
      <c r="J726" s="6" t="s">
        <v>37</v>
      </c>
      <c r="K726" s="6">
        <v>10.0</v>
      </c>
      <c r="L726" s="5"/>
      <c r="M726" s="5"/>
      <c r="N726" s="6" t="s">
        <v>40</v>
      </c>
      <c r="O726" s="5" t="s">
        <v>5363</v>
      </c>
      <c r="P726" s="6" t="s">
        <v>42</v>
      </c>
      <c r="Q726" s="5" t="s">
        <v>1237</v>
      </c>
      <c r="R726" s="5" t="s">
        <v>8299</v>
      </c>
      <c r="S726" s="6" t="s">
        <v>75</v>
      </c>
      <c r="T726" s="6">
        <v>6742.0</v>
      </c>
    </row>
    <row r="727" ht="56.25" customHeight="1">
      <c r="A727" s="5" t="s">
        <v>8281</v>
      </c>
      <c r="B727" s="6" t="str">
        <f>image("https://storage.googleapis.com/acdb/photos/BromideNpcNmlBul07_Remake_5_0.png")</f>
        <v/>
      </c>
      <c r="C727" s="5" t="s">
        <v>58</v>
      </c>
      <c r="D727" s="5" t="s">
        <v>1327</v>
      </c>
      <c r="E727" s="5" t="s">
        <v>34</v>
      </c>
      <c r="F727" s="5" t="s">
        <v>34</v>
      </c>
      <c r="G727" s="5" t="s">
        <v>36</v>
      </c>
      <c r="H727" s="5" t="s">
        <v>35</v>
      </c>
      <c r="I727" s="6">
        <v>1.0</v>
      </c>
      <c r="J727" s="6" t="s">
        <v>37</v>
      </c>
      <c r="K727" s="6">
        <v>10.0</v>
      </c>
      <c r="L727" s="5"/>
      <c r="M727" s="5"/>
      <c r="N727" s="6" t="s">
        <v>40</v>
      </c>
      <c r="O727" s="5" t="s">
        <v>5363</v>
      </c>
      <c r="P727" s="6" t="s">
        <v>42</v>
      </c>
      <c r="Q727" s="5" t="s">
        <v>1237</v>
      </c>
      <c r="R727" s="5" t="s">
        <v>8301</v>
      </c>
      <c r="S727" s="6" t="s">
        <v>79</v>
      </c>
      <c r="T727" s="6">
        <v>6742.0</v>
      </c>
    </row>
    <row r="728" ht="56.25" customHeight="1">
      <c r="A728" s="5" t="s">
        <v>8281</v>
      </c>
      <c r="B728" s="6" t="str">
        <f>image("https://storage.googleapis.com/acdb/photos/BromideNpcNmlBul07_Remake_6_0.png")</f>
        <v/>
      </c>
      <c r="C728" s="5" t="s">
        <v>146</v>
      </c>
      <c r="D728" s="5" t="s">
        <v>1327</v>
      </c>
      <c r="E728" s="5" t="s">
        <v>34</v>
      </c>
      <c r="F728" s="5" t="s">
        <v>34</v>
      </c>
      <c r="G728" s="5" t="s">
        <v>36</v>
      </c>
      <c r="H728" s="5" t="s">
        <v>35</v>
      </c>
      <c r="I728" s="6">
        <v>1.0</v>
      </c>
      <c r="J728" s="6" t="s">
        <v>37</v>
      </c>
      <c r="K728" s="6">
        <v>10.0</v>
      </c>
      <c r="L728" s="5"/>
      <c r="M728" s="5"/>
      <c r="N728" s="6" t="s">
        <v>40</v>
      </c>
      <c r="O728" s="5" t="s">
        <v>5363</v>
      </c>
      <c r="P728" s="6" t="s">
        <v>42</v>
      </c>
      <c r="Q728" s="5" t="s">
        <v>1237</v>
      </c>
      <c r="R728" s="5" t="s">
        <v>8304</v>
      </c>
      <c r="S728" s="6" t="s">
        <v>86</v>
      </c>
      <c r="T728" s="6">
        <v>6742.0</v>
      </c>
    </row>
    <row r="729" ht="56.25" customHeight="1">
      <c r="A729" s="5" t="s">
        <v>8281</v>
      </c>
      <c r="B729" s="6" t="str">
        <f>image("https://storage.googleapis.com/acdb/photos/BromideNpcNmlBul07_Remake_7_0.png")</f>
        <v/>
      </c>
      <c r="C729" s="5" t="s">
        <v>151</v>
      </c>
      <c r="D729" s="5" t="s">
        <v>1327</v>
      </c>
      <c r="E729" s="5" t="s">
        <v>34</v>
      </c>
      <c r="F729" s="5" t="s">
        <v>34</v>
      </c>
      <c r="G729" s="5" t="s">
        <v>36</v>
      </c>
      <c r="H729" s="5" t="s">
        <v>35</v>
      </c>
      <c r="I729" s="6">
        <v>1.0</v>
      </c>
      <c r="J729" s="6" t="s">
        <v>37</v>
      </c>
      <c r="K729" s="6">
        <v>10.0</v>
      </c>
      <c r="L729" s="5"/>
      <c r="M729" s="5"/>
      <c r="N729" s="6" t="s">
        <v>40</v>
      </c>
      <c r="O729" s="5" t="s">
        <v>5363</v>
      </c>
      <c r="P729" s="6" t="s">
        <v>42</v>
      </c>
      <c r="Q729" s="5" t="s">
        <v>1237</v>
      </c>
      <c r="R729" s="5" t="s">
        <v>8306</v>
      </c>
      <c r="S729" s="6" t="s">
        <v>208</v>
      </c>
      <c r="T729" s="6">
        <v>6742.0</v>
      </c>
    </row>
    <row r="730" ht="56.25" customHeight="1">
      <c r="A730" s="5" t="s">
        <v>8308</v>
      </c>
      <c r="B730" s="6" t="str">
        <f>image("https://storage.googleapis.com/acdb/photos/BromideNpcNmlPig08_Remake_0_0.png")</f>
        <v/>
      </c>
      <c r="C730" s="5" t="s">
        <v>366</v>
      </c>
      <c r="D730" s="5" t="s">
        <v>1327</v>
      </c>
      <c r="E730" s="5" t="s">
        <v>34</v>
      </c>
      <c r="F730" s="5" t="s">
        <v>34</v>
      </c>
      <c r="G730" s="5" t="s">
        <v>36</v>
      </c>
      <c r="H730" s="5" t="s">
        <v>35</v>
      </c>
      <c r="I730" s="6">
        <v>1.0</v>
      </c>
      <c r="J730" s="6" t="s">
        <v>37</v>
      </c>
      <c r="K730" s="6">
        <v>10.0</v>
      </c>
      <c r="L730" s="5"/>
      <c r="M730" s="5"/>
      <c r="N730" s="6" t="s">
        <v>40</v>
      </c>
      <c r="O730" s="5" t="s">
        <v>5363</v>
      </c>
      <c r="P730" s="6" t="s">
        <v>42</v>
      </c>
      <c r="Q730" s="5" t="s">
        <v>1237</v>
      </c>
      <c r="R730" s="5" t="s">
        <v>8311</v>
      </c>
      <c r="S730" s="6" t="s">
        <v>50</v>
      </c>
      <c r="T730" s="6">
        <v>6652.0</v>
      </c>
    </row>
    <row r="731" ht="56.25" customHeight="1">
      <c r="A731" s="5" t="s">
        <v>8308</v>
      </c>
      <c r="B731" s="6" t="str">
        <f>image("https://storage.googleapis.com/acdb/photos/BromideNpcNmlPig08_Remake_1_0.png")</f>
        <v/>
      </c>
      <c r="C731" s="5" t="s">
        <v>1132</v>
      </c>
      <c r="D731" s="5" t="s">
        <v>1327</v>
      </c>
      <c r="E731" s="5" t="s">
        <v>34</v>
      </c>
      <c r="F731" s="5" t="s">
        <v>34</v>
      </c>
      <c r="G731" s="5" t="s">
        <v>36</v>
      </c>
      <c r="H731" s="5" t="s">
        <v>35</v>
      </c>
      <c r="I731" s="6">
        <v>1.0</v>
      </c>
      <c r="J731" s="6" t="s">
        <v>37</v>
      </c>
      <c r="K731" s="6">
        <v>10.0</v>
      </c>
      <c r="L731" s="5"/>
      <c r="M731" s="5"/>
      <c r="N731" s="6" t="s">
        <v>40</v>
      </c>
      <c r="O731" s="5" t="s">
        <v>5363</v>
      </c>
      <c r="P731" s="6" t="s">
        <v>42</v>
      </c>
      <c r="Q731" s="5" t="s">
        <v>1237</v>
      </c>
      <c r="R731" s="5" t="s">
        <v>8315</v>
      </c>
      <c r="S731" s="6" t="s">
        <v>56</v>
      </c>
      <c r="T731" s="6">
        <v>6652.0</v>
      </c>
    </row>
    <row r="732" ht="56.25" customHeight="1">
      <c r="A732" s="5" t="s">
        <v>8308</v>
      </c>
      <c r="B732" s="6" t="str">
        <f>image("https://storage.googleapis.com/acdb/photos/BromideNpcNmlPig08_Remake_2_0.png")</f>
        <v/>
      </c>
      <c r="C732" s="5" t="s">
        <v>688</v>
      </c>
      <c r="D732" s="5" t="s">
        <v>1327</v>
      </c>
      <c r="E732" s="5" t="s">
        <v>34</v>
      </c>
      <c r="F732" s="5" t="s">
        <v>34</v>
      </c>
      <c r="G732" s="5" t="s">
        <v>36</v>
      </c>
      <c r="H732" s="5" t="s">
        <v>35</v>
      </c>
      <c r="I732" s="6">
        <v>1.0</v>
      </c>
      <c r="J732" s="6" t="s">
        <v>37</v>
      </c>
      <c r="K732" s="6">
        <v>10.0</v>
      </c>
      <c r="L732" s="5"/>
      <c r="M732" s="5"/>
      <c r="N732" s="6" t="s">
        <v>40</v>
      </c>
      <c r="O732" s="5" t="s">
        <v>5363</v>
      </c>
      <c r="P732" s="6" t="s">
        <v>42</v>
      </c>
      <c r="Q732" s="5" t="s">
        <v>1237</v>
      </c>
      <c r="R732" s="5" t="s">
        <v>8318</v>
      </c>
      <c r="S732" s="6" t="s">
        <v>67</v>
      </c>
      <c r="T732" s="6">
        <v>6652.0</v>
      </c>
    </row>
    <row r="733" ht="56.25" customHeight="1">
      <c r="A733" s="5" t="s">
        <v>8308</v>
      </c>
      <c r="B733" s="6" t="str">
        <f>image("https://storage.googleapis.com/acdb/photos/BromideNpcNmlPig08_Remake_3_0.png")</f>
        <v/>
      </c>
      <c r="C733" s="5" t="s">
        <v>57</v>
      </c>
      <c r="D733" s="5" t="s">
        <v>1327</v>
      </c>
      <c r="E733" s="5" t="s">
        <v>34</v>
      </c>
      <c r="F733" s="5" t="s">
        <v>34</v>
      </c>
      <c r="G733" s="5" t="s">
        <v>36</v>
      </c>
      <c r="H733" s="5" t="s">
        <v>35</v>
      </c>
      <c r="I733" s="6">
        <v>1.0</v>
      </c>
      <c r="J733" s="6" t="s">
        <v>37</v>
      </c>
      <c r="K733" s="6">
        <v>10.0</v>
      </c>
      <c r="L733" s="5"/>
      <c r="M733" s="5"/>
      <c r="N733" s="6" t="s">
        <v>40</v>
      </c>
      <c r="O733" s="5" t="s">
        <v>5363</v>
      </c>
      <c r="P733" s="6" t="s">
        <v>42</v>
      </c>
      <c r="Q733" s="5" t="s">
        <v>1237</v>
      </c>
      <c r="R733" s="5" t="s">
        <v>8320</v>
      </c>
      <c r="S733" s="6" t="s">
        <v>71</v>
      </c>
      <c r="T733" s="6">
        <v>6652.0</v>
      </c>
    </row>
    <row r="734" ht="56.25" customHeight="1">
      <c r="A734" s="5" t="s">
        <v>8308</v>
      </c>
      <c r="B734" s="6" t="str">
        <f>image("https://storage.googleapis.com/acdb/photos/BromideNpcNmlPig08_Remake_4_0.png")</f>
        <v/>
      </c>
      <c r="C734" s="5" t="s">
        <v>1167</v>
      </c>
      <c r="D734" s="5" t="s">
        <v>1327</v>
      </c>
      <c r="E734" s="5" t="s">
        <v>34</v>
      </c>
      <c r="F734" s="5" t="s">
        <v>34</v>
      </c>
      <c r="G734" s="5" t="s">
        <v>36</v>
      </c>
      <c r="H734" s="5" t="s">
        <v>35</v>
      </c>
      <c r="I734" s="6">
        <v>1.0</v>
      </c>
      <c r="J734" s="6" t="s">
        <v>37</v>
      </c>
      <c r="K734" s="6">
        <v>10.0</v>
      </c>
      <c r="L734" s="5"/>
      <c r="M734" s="5"/>
      <c r="N734" s="6" t="s">
        <v>40</v>
      </c>
      <c r="O734" s="5" t="s">
        <v>5363</v>
      </c>
      <c r="P734" s="6" t="s">
        <v>42</v>
      </c>
      <c r="Q734" s="5" t="s">
        <v>1237</v>
      </c>
      <c r="R734" s="5" t="s">
        <v>8325</v>
      </c>
      <c r="S734" s="6" t="s">
        <v>75</v>
      </c>
      <c r="T734" s="6">
        <v>6652.0</v>
      </c>
    </row>
    <row r="735" ht="56.25" customHeight="1">
      <c r="A735" s="5" t="s">
        <v>8308</v>
      </c>
      <c r="B735" s="6" t="str">
        <f>image("https://storage.googleapis.com/acdb/photos/BromideNpcNmlPig08_Remake_5_0.png")</f>
        <v/>
      </c>
      <c r="C735" s="5" t="s">
        <v>58</v>
      </c>
      <c r="D735" s="5" t="s">
        <v>1327</v>
      </c>
      <c r="E735" s="5" t="s">
        <v>34</v>
      </c>
      <c r="F735" s="5" t="s">
        <v>34</v>
      </c>
      <c r="G735" s="5" t="s">
        <v>36</v>
      </c>
      <c r="H735" s="5" t="s">
        <v>35</v>
      </c>
      <c r="I735" s="6">
        <v>1.0</v>
      </c>
      <c r="J735" s="6" t="s">
        <v>37</v>
      </c>
      <c r="K735" s="6">
        <v>10.0</v>
      </c>
      <c r="L735" s="5"/>
      <c r="M735" s="5"/>
      <c r="N735" s="6" t="s">
        <v>40</v>
      </c>
      <c r="O735" s="5" t="s">
        <v>5363</v>
      </c>
      <c r="P735" s="6" t="s">
        <v>42</v>
      </c>
      <c r="Q735" s="5" t="s">
        <v>1237</v>
      </c>
      <c r="R735" s="5" t="s">
        <v>8328</v>
      </c>
      <c r="S735" s="6" t="s">
        <v>79</v>
      </c>
      <c r="T735" s="6">
        <v>6652.0</v>
      </c>
    </row>
    <row r="736" ht="56.25" customHeight="1">
      <c r="A736" s="5" t="s">
        <v>8308</v>
      </c>
      <c r="B736" s="6" t="str">
        <f>image("https://storage.googleapis.com/acdb/photos/BromideNpcNmlPig08_Remake_6_0.png")</f>
        <v/>
      </c>
      <c r="C736" s="5" t="s">
        <v>146</v>
      </c>
      <c r="D736" s="5" t="s">
        <v>1327</v>
      </c>
      <c r="E736" s="5" t="s">
        <v>34</v>
      </c>
      <c r="F736" s="5" t="s">
        <v>34</v>
      </c>
      <c r="G736" s="5" t="s">
        <v>36</v>
      </c>
      <c r="H736" s="5" t="s">
        <v>35</v>
      </c>
      <c r="I736" s="6">
        <v>1.0</v>
      </c>
      <c r="J736" s="6" t="s">
        <v>37</v>
      </c>
      <c r="K736" s="6">
        <v>10.0</v>
      </c>
      <c r="L736" s="5"/>
      <c r="M736" s="5"/>
      <c r="N736" s="6" t="s">
        <v>40</v>
      </c>
      <c r="O736" s="5" t="s">
        <v>5363</v>
      </c>
      <c r="P736" s="6" t="s">
        <v>42</v>
      </c>
      <c r="Q736" s="5" t="s">
        <v>1237</v>
      </c>
      <c r="R736" s="5" t="s">
        <v>8330</v>
      </c>
      <c r="S736" s="6" t="s">
        <v>86</v>
      </c>
      <c r="T736" s="6">
        <v>6652.0</v>
      </c>
    </row>
    <row r="737" ht="56.25" customHeight="1">
      <c r="A737" s="5" t="s">
        <v>8308</v>
      </c>
      <c r="B737" s="6" t="str">
        <f>image("https://storage.googleapis.com/acdb/photos/BromideNpcNmlPig08_Remake_7_0.png")</f>
        <v/>
      </c>
      <c r="C737" s="5" t="s">
        <v>151</v>
      </c>
      <c r="D737" s="5" t="s">
        <v>1327</v>
      </c>
      <c r="E737" s="5" t="s">
        <v>34</v>
      </c>
      <c r="F737" s="5" t="s">
        <v>34</v>
      </c>
      <c r="G737" s="5" t="s">
        <v>36</v>
      </c>
      <c r="H737" s="5" t="s">
        <v>35</v>
      </c>
      <c r="I737" s="6">
        <v>1.0</v>
      </c>
      <c r="J737" s="6" t="s">
        <v>37</v>
      </c>
      <c r="K737" s="6">
        <v>10.0</v>
      </c>
      <c r="L737" s="5"/>
      <c r="M737" s="5"/>
      <c r="N737" s="6" t="s">
        <v>40</v>
      </c>
      <c r="O737" s="5" t="s">
        <v>5363</v>
      </c>
      <c r="P737" s="6" t="s">
        <v>42</v>
      </c>
      <c r="Q737" s="5" t="s">
        <v>1237</v>
      </c>
      <c r="R737" s="5" t="s">
        <v>8334</v>
      </c>
      <c r="S737" s="6" t="s">
        <v>208</v>
      </c>
      <c r="T737" s="6">
        <v>6652.0</v>
      </c>
    </row>
    <row r="738" ht="56.25" customHeight="1">
      <c r="A738" s="5" t="s">
        <v>8335</v>
      </c>
      <c r="B738" s="6" t="str">
        <f>image("https://storage.googleapis.com/acdb/photos/BromideNpcNmlRbt02_Remake_0_0.png")</f>
        <v/>
      </c>
      <c r="C738" s="5" t="s">
        <v>366</v>
      </c>
      <c r="D738" s="5" t="s">
        <v>1327</v>
      </c>
      <c r="E738" s="5" t="s">
        <v>34</v>
      </c>
      <c r="F738" s="5" t="s">
        <v>34</v>
      </c>
      <c r="G738" s="5" t="s">
        <v>36</v>
      </c>
      <c r="H738" s="5" t="s">
        <v>35</v>
      </c>
      <c r="I738" s="6">
        <v>1.0</v>
      </c>
      <c r="J738" s="6" t="s">
        <v>37</v>
      </c>
      <c r="K738" s="6">
        <v>10.0</v>
      </c>
      <c r="L738" s="5"/>
      <c r="M738" s="5"/>
      <c r="N738" s="6" t="s">
        <v>40</v>
      </c>
      <c r="O738" s="5" t="s">
        <v>5363</v>
      </c>
      <c r="P738" s="6" t="s">
        <v>42</v>
      </c>
      <c r="Q738" s="5" t="s">
        <v>1237</v>
      </c>
      <c r="R738" s="5" t="s">
        <v>8338</v>
      </c>
      <c r="S738" s="6" t="s">
        <v>50</v>
      </c>
      <c r="T738" s="6">
        <v>6664.0</v>
      </c>
    </row>
    <row r="739" ht="56.25" customHeight="1">
      <c r="A739" s="5" t="s">
        <v>8335</v>
      </c>
      <c r="B739" s="6" t="str">
        <f>image("https://storage.googleapis.com/acdb/photos/BromideNpcNmlRbt02_Remake_1_0.png")</f>
        <v/>
      </c>
      <c r="C739" s="5" t="s">
        <v>1132</v>
      </c>
      <c r="D739" s="5" t="s">
        <v>1327</v>
      </c>
      <c r="E739" s="5" t="s">
        <v>34</v>
      </c>
      <c r="F739" s="5" t="s">
        <v>34</v>
      </c>
      <c r="G739" s="5" t="s">
        <v>36</v>
      </c>
      <c r="H739" s="5" t="s">
        <v>35</v>
      </c>
      <c r="I739" s="6">
        <v>1.0</v>
      </c>
      <c r="J739" s="6" t="s">
        <v>37</v>
      </c>
      <c r="K739" s="6">
        <v>10.0</v>
      </c>
      <c r="L739" s="5"/>
      <c r="M739" s="5"/>
      <c r="N739" s="6" t="s">
        <v>40</v>
      </c>
      <c r="O739" s="5" t="s">
        <v>5363</v>
      </c>
      <c r="P739" s="6" t="s">
        <v>42</v>
      </c>
      <c r="Q739" s="5" t="s">
        <v>1237</v>
      </c>
      <c r="R739" s="5" t="s">
        <v>8342</v>
      </c>
      <c r="S739" s="6" t="s">
        <v>56</v>
      </c>
      <c r="T739" s="6">
        <v>6664.0</v>
      </c>
    </row>
    <row r="740" ht="56.25" customHeight="1">
      <c r="A740" s="5" t="s">
        <v>8335</v>
      </c>
      <c r="B740" s="6" t="str">
        <f>image("https://storage.googleapis.com/acdb/photos/BromideNpcNmlRbt02_Remake_2_0.png")</f>
        <v/>
      </c>
      <c r="C740" s="5" t="s">
        <v>688</v>
      </c>
      <c r="D740" s="5" t="s">
        <v>1327</v>
      </c>
      <c r="E740" s="5" t="s">
        <v>34</v>
      </c>
      <c r="F740" s="5" t="s">
        <v>34</v>
      </c>
      <c r="G740" s="5" t="s">
        <v>36</v>
      </c>
      <c r="H740" s="5" t="s">
        <v>35</v>
      </c>
      <c r="I740" s="6">
        <v>1.0</v>
      </c>
      <c r="J740" s="6" t="s">
        <v>37</v>
      </c>
      <c r="K740" s="6">
        <v>10.0</v>
      </c>
      <c r="L740" s="5"/>
      <c r="M740" s="5"/>
      <c r="N740" s="6" t="s">
        <v>40</v>
      </c>
      <c r="O740" s="5" t="s">
        <v>5363</v>
      </c>
      <c r="P740" s="6" t="s">
        <v>42</v>
      </c>
      <c r="Q740" s="5" t="s">
        <v>1237</v>
      </c>
      <c r="R740" s="5" t="s">
        <v>8345</v>
      </c>
      <c r="S740" s="6" t="s">
        <v>67</v>
      </c>
      <c r="T740" s="6">
        <v>6664.0</v>
      </c>
    </row>
    <row r="741" ht="56.25" customHeight="1">
      <c r="A741" s="5" t="s">
        <v>8335</v>
      </c>
      <c r="B741" s="6" t="str">
        <f>image("https://storage.googleapis.com/acdb/photos/BromideNpcNmlRbt02_Remake_3_0.png")</f>
        <v/>
      </c>
      <c r="C741" s="5" t="s">
        <v>57</v>
      </c>
      <c r="D741" s="5" t="s">
        <v>1327</v>
      </c>
      <c r="E741" s="5" t="s">
        <v>34</v>
      </c>
      <c r="F741" s="5" t="s">
        <v>34</v>
      </c>
      <c r="G741" s="5" t="s">
        <v>36</v>
      </c>
      <c r="H741" s="5" t="s">
        <v>35</v>
      </c>
      <c r="I741" s="6">
        <v>1.0</v>
      </c>
      <c r="J741" s="6" t="s">
        <v>37</v>
      </c>
      <c r="K741" s="6">
        <v>10.0</v>
      </c>
      <c r="L741" s="5"/>
      <c r="M741" s="5"/>
      <c r="N741" s="6" t="s">
        <v>40</v>
      </c>
      <c r="O741" s="5" t="s">
        <v>5363</v>
      </c>
      <c r="P741" s="6" t="s">
        <v>42</v>
      </c>
      <c r="Q741" s="5" t="s">
        <v>1237</v>
      </c>
      <c r="R741" s="5" t="s">
        <v>8348</v>
      </c>
      <c r="S741" s="6" t="s">
        <v>71</v>
      </c>
      <c r="T741" s="6">
        <v>6664.0</v>
      </c>
    </row>
    <row r="742" ht="56.25" customHeight="1">
      <c r="A742" s="5" t="s">
        <v>8335</v>
      </c>
      <c r="B742" s="6" t="str">
        <f>image("https://storage.googleapis.com/acdb/photos/BromideNpcNmlRbt02_Remake_4_0.png")</f>
        <v/>
      </c>
      <c r="C742" s="5" t="s">
        <v>1167</v>
      </c>
      <c r="D742" s="5" t="s">
        <v>1327</v>
      </c>
      <c r="E742" s="5" t="s">
        <v>34</v>
      </c>
      <c r="F742" s="5" t="s">
        <v>34</v>
      </c>
      <c r="G742" s="5" t="s">
        <v>36</v>
      </c>
      <c r="H742" s="5" t="s">
        <v>35</v>
      </c>
      <c r="I742" s="6">
        <v>1.0</v>
      </c>
      <c r="J742" s="6" t="s">
        <v>37</v>
      </c>
      <c r="K742" s="6">
        <v>10.0</v>
      </c>
      <c r="L742" s="5"/>
      <c r="M742" s="5"/>
      <c r="N742" s="6" t="s">
        <v>40</v>
      </c>
      <c r="O742" s="5" t="s">
        <v>5363</v>
      </c>
      <c r="P742" s="6" t="s">
        <v>42</v>
      </c>
      <c r="Q742" s="5" t="s">
        <v>1237</v>
      </c>
      <c r="R742" s="5" t="s">
        <v>8351</v>
      </c>
      <c r="S742" s="6" t="s">
        <v>75</v>
      </c>
      <c r="T742" s="6">
        <v>6664.0</v>
      </c>
    </row>
    <row r="743" ht="56.25" customHeight="1">
      <c r="A743" s="5" t="s">
        <v>8335</v>
      </c>
      <c r="B743" s="6" t="str">
        <f>image("https://storage.googleapis.com/acdb/photos/BromideNpcNmlRbt02_Remake_5_0.png")</f>
        <v/>
      </c>
      <c r="C743" s="5" t="s">
        <v>58</v>
      </c>
      <c r="D743" s="5" t="s">
        <v>1327</v>
      </c>
      <c r="E743" s="5" t="s">
        <v>34</v>
      </c>
      <c r="F743" s="5" t="s">
        <v>34</v>
      </c>
      <c r="G743" s="5" t="s">
        <v>36</v>
      </c>
      <c r="H743" s="5" t="s">
        <v>35</v>
      </c>
      <c r="I743" s="6">
        <v>1.0</v>
      </c>
      <c r="J743" s="6" t="s">
        <v>37</v>
      </c>
      <c r="K743" s="6">
        <v>10.0</v>
      </c>
      <c r="L743" s="5"/>
      <c r="M743" s="5"/>
      <c r="N743" s="6" t="s">
        <v>40</v>
      </c>
      <c r="O743" s="5" t="s">
        <v>5363</v>
      </c>
      <c r="P743" s="6" t="s">
        <v>42</v>
      </c>
      <c r="Q743" s="5" t="s">
        <v>1237</v>
      </c>
      <c r="R743" s="5" t="s">
        <v>8355</v>
      </c>
      <c r="S743" s="6" t="s">
        <v>79</v>
      </c>
      <c r="T743" s="6">
        <v>6664.0</v>
      </c>
    </row>
    <row r="744" ht="56.25" customHeight="1">
      <c r="A744" s="5" t="s">
        <v>8335</v>
      </c>
      <c r="B744" s="6" t="str">
        <f>image("https://storage.googleapis.com/acdb/photos/BromideNpcNmlRbt02_Remake_6_0.png")</f>
        <v/>
      </c>
      <c r="C744" s="5" t="s">
        <v>146</v>
      </c>
      <c r="D744" s="5" t="s">
        <v>1327</v>
      </c>
      <c r="E744" s="5" t="s">
        <v>34</v>
      </c>
      <c r="F744" s="5" t="s">
        <v>34</v>
      </c>
      <c r="G744" s="5" t="s">
        <v>36</v>
      </c>
      <c r="H744" s="5" t="s">
        <v>35</v>
      </c>
      <c r="I744" s="6">
        <v>1.0</v>
      </c>
      <c r="J744" s="6" t="s">
        <v>37</v>
      </c>
      <c r="K744" s="6">
        <v>10.0</v>
      </c>
      <c r="L744" s="5"/>
      <c r="M744" s="5"/>
      <c r="N744" s="6" t="s">
        <v>40</v>
      </c>
      <c r="O744" s="5" t="s">
        <v>5363</v>
      </c>
      <c r="P744" s="6" t="s">
        <v>42</v>
      </c>
      <c r="Q744" s="5" t="s">
        <v>1237</v>
      </c>
      <c r="R744" s="5" t="s">
        <v>8359</v>
      </c>
      <c r="S744" s="6" t="s">
        <v>86</v>
      </c>
      <c r="T744" s="6">
        <v>6664.0</v>
      </c>
    </row>
    <row r="745" ht="56.25" customHeight="1">
      <c r="A745" s="5" t="s">
        <v>8335</v>
      </c>
      <c r="B745" s="6" t="str">
        <f>image("https://storage.googleapis.com/acdb/photos/BromideNpcNmlRbt02_Remake_7_0.png")</f>
        <v/>
      </c>
      <c r="C745" s="5" t="s">
        <v>151</v>
      </c>
      <c r="D745" s="5" t="s">
        <v>1327</v>
      </c>
      <c r="E745" s="5" t="s">
        <v>34</v>
      </c>
      <c r="F745" s="5" t="s">
        <v>34</v>
      </c>
      <c r="G745" s="5" t="s">
        <v>36</v>
      </c>
      <c r="H745" s="5" t="s">
        <v>35</v>
      </c>
      <c r="I745" s="6">
        <v>1.0</v>
      </c>
      <c r="J745" s="6" t="s">
        <v>37</v>
      </c>
      <c r="K745" s="6">
        <v>10.0</v>
      </c>
      <c r="L745" s="5"/>
      <c r="M745" s="5"/>
      <c r="N745" s="6" t="s">
        <v>40</v>
      </c>
      <c r="O745" s="5" t="s">
        <v>5363</v>
      </c>
      <c r="P745" s="6" t="s">
        <v>42</v>
      </c>
      <c r="Q745" s="5" t="s">
        <v>1237</v>
      </c>
      <c r="R745" s="5" t="s">
        <v>8363</v>
      </c>
      <c r="S745" s="6" t="s">
        <v>208</v>
      </c>
      <c r="T745" s="6">
        <v>6664.0</v>
      </c>
    </row>
    <row r="746" ht="56.25" customHeight="1">
      <c r="A746" s="5" t="s">
        <v>8364</v>
      </c>
      <c r="B746" s="6" t="str">
        <f>image("https://storage.googleapis.com/acdb/photos/BromideNpcNmlRbt18_Remake_0_0.png")</f>
        <v/>
      </c>
      <c r="C746" s="5" t="s">
        <v>366</v>
      </c>
      <c r="D746" s="5" t="s">
        <v>1327</v>
      </c>
      <c r="E746" s="5" t="s">
        <v>34</v>
      </c>
      <c r="F746" s="5" t="s">
        <v>34</v>
      </c>
      <c r="G746" s="5" t="s">
        <v>36</v>
      </c>
      <c r="H746" s="5" t="s">
        <v>35</v>
      </c>
      <c r="I746" s="6">
        <v>1.0</v>
      </c>
      <c r="J746" s="6" t="s">
        <v>37</v>
      </c>
      <c r="K746" s="6">
        <v>10.0</v>
      </c>
      <c r="L746" s="5"/>
      <c r="M746" s="5"/>
      <c r="N746" s="6" t="s">
        <v>40</v>
      </c>
      <c r="O746" s="5" t="s">
        <v>5363</v>
      </c>
      <c r="P746" s="6" t="s">
        <v>42</v>
      </c>
      <c r="Q746" s="5" t="s">
        <v>1237</v>
      </c>
      <c r="R746" s="5" t="s">
        <v>8366</v>
      </c>
      <c r="S746" s="6" t="s">
        <v>50</v>
      </c>
      <c r="T746" s="6">
        <v>6681.0</v>
      </c>
    </row>
    <row r="747" ht="56.25" customHeight="1">
      <c r="A747" s="5" t="s">
        <v>8364</v>
      </c>
      <c r="B747" s="6" t="str">
        <f>image("https://storage.googleapis.com/acdb/photos/BromideNpcNmlRbt18_Remake_1_0.png")</f>
        <v/>
      </c>
      <c r="C747" s="5" t="s">
        <v>1132</v>
      </c>
      <c r="D747" s="5" t="s">
        <v>1327</v>
      </c>
      <c r="E747" s="5" t="s">
        <v>34</v>
      </c>
      <c r="F747" s="5" t="s">
        <v>34</v>
      </c>
      <c r="G747" s="5" t="s">
        <v>36</v>
      </c>
      <c r="H747" s="5" t="s">
        <v>35</v>
      </c>
      <c r="I747" s="6">
        <v>1.0</v>
      </c>
      <c r="J747" s="6" t="s">
        <v>37</v>
      </c>
      <c r="K747" s="6">
        <v>10.0</v>
      </c>
      <c r="L747" s="5"/>
      <c r="M747" s="5"/>
      <c r="N747" s="6" t="s">
        <v>40</v>
      </c>
      <c r="O747" s="5" t="s">
        <v>5363</v>
      </c>
      <c r="P747" s="6" t="s">
        <v>42</v>
      </c>
      <c r="Q747" s="5" t="s">
        <v>1237</v>
      </c>
      <c r="R747" s="5" t="s">
        <v>8371</v>
      </c>
      <c r="S747" s="6" t="s">
        <v>56</v>
      </c>
      <c r="T747" s="6">
        <v>6681.0</v>
      </c>
    </row>
    <row r="748" ht="56.25" customHeight="1">
      <c r="A748" s="5" t="s">
        <v>8364</v>
      </c>
      <c r="B748" s="6" t="str">
        <f>image("https://storage.googleapis.com/acdb/photos/BromideNpcNmlRbt18_Remake_2_0.png")</f>
        <v/>
      </c>
      <c r="C748" s="5" t="s">
        <v>688</v>
      </c>
      <c r="D748" s="5" t="s">
        <v>1327</v>
      </c>
      <c r="E748" s="5" t="s">
        <v>34</v>
      </c>
      <c r="F748" s="5" t="s">
        <v>34</v>
      </c>
      <c r="G748" s="5" t="s">
        <v>36</v>
      </c>
      <c r="H748" s="5" t="s">
        <v>35</v>
      </c>
      <c r="I748" s="6">
        <v>1.0</v>
      </c>
      <c r="J748" s="6" t="s">
        <v>37</v>
      </c>
      <c r="K748" s="6">
        <v>10.0</v>
      </c>
      <c r="L748" s="5"/>
      <c r="M748" s="5"/>
      <c r="N748" s="6" t="s">
        <v>40</v>
      </c>
      <c r="O748" s="5" t="s">
        <v>5363</v>
      </c>
      <c r="P748" s="6" t="s">
        <v>42</v>
      </c>
      <c r="Q748" s="5" t="s">
        <v>1237</v>
      </c>
      <c r="R748" s="5" t="s">
        <v>8374</v>
      </c>
      <c r="S748" s="6" t="s">
        <v>67</v>
      </c>
      <c r="T748" s="6">
        <v>6681.0</v>
      </c>
    </row>
    <row r="749" ht="56.25" customHeight="1">
      <c r="A749" s="5" t="s">
        <v>8364</v>
      </c>
      <c r="B749" s="6" t="str">
        <f>image("https://storage.googleapis.com/acdb/photos/BromideNpcNmlRbt18_Remake_3_0.png")</f>
        <v/>
      </c>
      <c r="C749" s="5" t="s">
        <v>57</v>
      </c>
      <c r="D749" s="5" t="s">
        <v>1327</v>
      </c>
      <c r="E749" s="5" t="s">
        <v>34</v>
      </c>
      <c r="F749" s="5" t="s">
        <v>34</v>
      </c>
      <c r="G749" s="5" t="s">
        <v>36</v>
      </c>
      <c r="H749" s="5" t="s">
        <v>35</v>
      </c>
      <c r="I749" s="6">
        <v>1.0</v>
      </c>
      <c r="J749" s="6" t="s">
        <v>37</v>
      </c>
      <c r="K749" s="6">
        <v>10.0</v>
      </c>
      <c r="L749" s="5"/>
      <c r="M749" s="5"/>
      <c r="N749" s="6" t="s">
        <v>40</v>
      </c>
      <c r="O749" s="5" t="s">
        <v>5363</v>
      </c>
      <c r="P749" s="6" t="s">
        <v>42</v>
      </c>
      <c r="Q749" s="5" t="s">
        <v>1237</v>
      </c>
      <c r="R749" s="5" t="s">
        <v>8377</v>
      </c>
      <c r="S749" s="6" t="s">
        <v>71</v>
      </c>
      <c r="T749" s="6">
        <v>6681.0</v>
      </c>
    </row>
    <row r="750" ht="56.25" customHeight="1">
      <c r="A750" s="5" t="s">
        <v>8364</v>
      </c>
      <c r="B750" s="6" t="str">
        <f>image("https://storage.googleapis.com/acdb/photos/BromideNpcNmlRbt18_Remake_4_0.png")</f>
        <v/>
      </c>
      <c r="C750" s="5" t="s">
        <v>1167</v>
      </c>
      <c r="D750" s="5" t="s">
        <v>1327</v>
      </c>
      <c r="E750" s="5" t="s">
        <v>34</v>
      </c>
      <c r="F750" s="5" t="s">
        <v>34</v>
      </c>
      <c r="G750" s="5" t="s">
        <v>36</v>
      </c>
      <c r="H750" s="5" t="s">
        <v>35</v>
      </c>
      <c r="I750" s="6">
        <v>1.0</v>
      </c>
      <c r="J750" s="6" t="s">
        <v>37</v>
      </c>
      <c r="K750" s="6">
        <v>10.0</v>
      </c>
      <c r="L750" s="5"/>
      <c r="M750" s="5"/>
      <c r="N750" s="6" t="s">
        <v>40</v>
      </c>
      <c r="O750" s="5" t="s">
        <v>5363</v>
      </c>
      <c r="P750" s="6" t="s">
        <v>42</v>
      </c>
      <c r="Q750" s="5" t="s">
        <v>1237</v>
      </c>
      <c r="R750" s="5" t="s">
        <v>8379</v>
      </c>
      <c r="S750" s="6" t="s">
        <v>75</v>
      </c>
      <c r="T750" s="6">
        <v>6681.0</v>
      </c>
    </row>
    <row r="751" ht="56.25" customHeight="1">
      <c r="A751" s="5" t="s">
        <v>8364</v>
      </c>
      <c r="B751" s="6" t="str">
        <f>image("https://storage.googleapis.com/acdb/photos/BromideNpcNmlRbt18_Remake_5_0.png")</f>
        <v/>
      </c>
      <c r="C751" s="5" t="s">
        <v>58</v>
      </c>
      <c r="D751" s="5" t="s">
        <v>1327</v>
      </c>
      <c r="E751" s="5" t="s">
        <v>34</v>
      </c>
      <c r="F751" s="5" t="s">
        <v>34</v>
      </c>
      <c r="G751" s="5" t="s">
        <v>36</v>
      </c>
      <c r="H751" s="5" t="s">
        <v>35</v>
      </c>
      <c r="I751" s="6">
        <v>1.0</v>
      </c>
      <c r="J751" s="6" t="s">
        <v>37</v>
      </c>
      <c r="K751" s="6">
        <v>10.0</v>
      </c>
      <c r="L751" s="5"/>
      <c r="M751" s="5"/>
      <c r="N751" s="6" t="s">
        <v>40</v>
      </c>
      <c r="O751" s="5" t="s">
        <v>5363</v>
      </c>
      <c r="P751" s="6" t="s">
        <v>42</v>
      </c>
      <c r="Q751" s="5" t="s">
        <v>1237</v>
      </c>
      <c r="R751" s="5" t="s">
        <v>8383</v>
      </c>
      <c r="S751" s="6" t="s">
        <v>79</v>
      </c>
      <c r="T751" s="6">
        <v>6681.0</v>
      </c>
    </row>
    <row r="752" ht="56.25" customHeight="1">
      <c r="A752" s="5" t="s">
        <v>8364</v>
      </c>
      <c r="B752" s="6" t="str">
        <f>image("https://storage.googleapis.com/acdb/photos/BromideNpcNmlRbt18_Remake_6_0.png")</f>
        <v/>
      </c>
      <c r="C752" s="5" t="s">
        <v>146</v>
      </c>
      <c r="D752" s="5" t="s">
        <v>1327</v>
      </c>
      <c r="E752" s="5" t="s">
        <v>34</v>
      </c>
      <c r="F752" s="5" t="s">
        <v>34</v>
      </c>
      <c r="G752" s="5" t="s">
        <v>36</v>
      </c>
      <c r="H752" s="5" t="s">
        <v>35</v>
      </c>
      <c r="I752" s="6">
        <v>1.0</v>
      </c>
      <c r="J752" s="6" t="s">
        <v>37</v>
      </c>
      <c r="K752" s="6">
        <v>10.0</v>
      </c>
      <c r="L752" s="5"/>
      <c r="M752" s="5"/>
      <c r="N752" s="6" t="s">
        <v>40</v>
      </c>
      <c r="O752" s="5" t="s">
        <v>5363</v>
      </c>
      <c r="P752" s="6" t="s">
        <v>42</v>
      </c>
      <c r="Q752" s="5" t="s">
        <v>1237</v>
      </c>
      <c r="R752" s="5" t="s">
        <v>8384</v>
      </c>
      <c r="S752" s="6" t="s">
        <v>86</v>
      </c>
      <c r="T752" s="6">
        <v>6681.0</v>
      </c>
    </row>
    <row r="753" ht="56.25" customHeight="1">
      <c r="A753" s="5" t="s">
        <v>8364</v>
      </c>
      <c r="B753" s="6" t="str">
        <f>image("https://storage.googleapis.com/acdb/photos/BromideNpcNmlRbt18_Remake_7_0.png")</f>
        <v/>
      </c>
      <c r="C753" s="5" t="s">
        <v>151</v>
      </c>
      <c r="D753" s="5" t="s">
        <v>1327</v>
      </c>
      <c r="E753" s="5" t="s">
        <v>34</v>
      </c>
      <c r="F753" s="5" t="s">
        <v>34</v>
      </c>
      <c r="G753" s="5" t="s">
        <v>36</v>
      </c>
      <c r="H753" s="5" t="s">
        <v>35</v>
      </c>
      <c r="I753" s="6">
        <v>1.0</v>
      </c>
      <c r="J753" s="6" t="s">
        <v>37</v>
      </c>
      <c r="K753" s="6">
        <v>10.0</v>
      </c>
      <c r="L753" s="5"/>
      <c r="M753" s="5"/>
      <c r="N753" s="6" t="s">
        <v>40</v>
      </c>
      <c r="O753" s="5" t="s">
        <v>5363</v>
      </c>
      <c r="P753" s="6" t="s">
        <v>42</v>
      </c>
      <c r="Q753" s="5" t="s">
        <v>1237</v>
      </c>
      <c r="R753" s="5" t="s">
        <v>8387</v>
      </c>
      <c r="S753" s="6" t="s">
        <v>208</v>
      </c>
      <c r="T753" s="6">
        <v>6681.0</v>
      </c>
    </row>
    <row r="754" ht="56.25" customHeight="1">
      <c r="A754" s="5" t="s">
        <v>8389</v>
      </c>
      <c r="B754" s="6" t="str">
        <f>image("https://storage.googleapis.com/acdb/photos/BromideNpcNmlHrs11_Remake_0_0.png")</f>
        <v/>
      </c>
      <c r="C754" s="5" t="s">
        <v>366</v>
      </c>
      <c r="D754" s="5" t="s">
        <v>1327</v>
      </c>
      <c r="E754" s="5" t="s">
        <v>34</v>
      </c>
      <c r="F754" s="5" t="s">
        <v>34</v>
      </c>
      <c r="G754" s="5" t="s">
        <v>36</v>
      </c>
      <c r="H754" s="5" t="s">
        <v>35</v>
      </c>
      <c r="I754" s="6">
        <v>1.0</v>
      </c>
      <c r="J754" s="6" t="s">
        <v>37</v>
      </c>
      <c r="K754" s="6">
        <v>10.0</v>
      </c>
      <c r="L754" s="5"/>
      <c r="M754" s="5"/>
      <c r="N754" s="6" t="s">
        <v>40</v>
      </c>
      <c r="O754" s="5" t="s">
        <v>5363</v>
      </c>
      <c r="P754" s="6" t="s">
        <v>42</v>
      </c>
      <c r="Q754" s="5" t="s">
        <v>1237</v>
      </c>
      <c r="R754" s="5" t="s">
        <v>8393</v>
      </c>
      <c r="S754" s="6" t="s">
        <v>50</v>
      </c>
      <c r="T754" s="6">
        <v>6551.0</v>
      </c>
    </row>
    <row r="755" ht="56.25" customHeight="1">
      <c r="A755" s="5" t="s">
        <v>8389</v>
      </c>
      <c r="B755" s="6" t="str">
        <f>image("https://storage.googleapis.com/acdb/photos/BromideNpcNmlHrs11_Remake_1_0.png")</f>
        <v/>
      </c>
      <c r="C755" s="5" t="s">
        <v>1132</v>
      </c>
      <c r="D755" s="5" t="s">
        <v>1327</v>
      </c>
      <c r="E755" s="5" t="s">
        <v>34</v>
      </c>
      <c r="F755" s="5" t="s">
        <v>34</v>
      </c>
      <c r="G755" s="5" t="s">
        <v>36</v>
      </c>
      <c r="H755" s="5" t="s">
        <v>35</v>
      </c>
      <c r="I755" s="6">
        <v>1.0</v>
      </c>
      <c r="J755" s="6" t="s">
        <v>37</v>
      </c>
      <c r="K755" s="6">
        <v>10.0</v>
      </c>
      <c r="L755" s="5"/>
      <c r="M755" s="5"/>
      <c r="N755" s="6" t="s">
        <v>40</v>
      </c>
      <c r="O755" s="5" t="s">
        <v>5363</v>
      </c>
      <c r="P755" s="6" t="s">
        <v>42</v>
      </c>
      <c r="Q755" s="5" t="s">
        <v>1237</v>
      </c>
      <c r="R755" s="5" t="s">
        <v>8397</v>
      </c>
      <c r="S755" s="6" t="s">
        <v>56</v>
      </c>
      <c r="T755" s="6">
        <v>6551.0</v>
      </c>
    </row>
    <row r="756" ht="56.25" customHeight="1">
      <c r="A756" s="5" t="s">
        <v>8389</v>
      </c>
      <c r="B756" s="6" t="str">
        <f>image("https://storage.googleapis.com/acdb/photos/BromideNpcNmlHrs11_Remake_2_0.png")</f>
        <v/>
      </c>
      <c r="C756" s="5" t="s">
        <v>688</v>
      </c>
      <c r="D756" s="5" t="s">
        <v>1327</v>
      </c>
      <c r="E756" s="5" t="s">
        <v>34</v>
      </c>
      <c r="F756" s="5" t="s">
        <v>34</v>
      </c>
      <c r="G756" s="5" t="s">
        <v>36</v>
      </c>
      <c r="H756" s="5" t="s">
        <v>35</v>
      </c>
      <c r="I756" s="6">
        <v>1.0</v>
      </c>
      <c r="J756" s="6" t="s">
        <v>37</v>
      </c>
      <c r="K756" s="6">
        <v>10.0</v>
      </c>
      <c r="L756" s="5"/>
      <c r="M756" s="5"/>
      <c r="N756" s="6" t="s">
        <v>40</v>
      </c>
      <c r="O756" s="5" t="s">
        <v>5363</v>
      </c>
      <c r="P756" s="6" t="s">
        <v>42</v>
      </c>
      <c r="Q756" s="5" t="s">
        <v>1237</v>
      </c>
      <c r="R756" s="5" t="s">
        <v>8402</v>
      </c>
      <c r="S756" s="6" t="s">
        <v>67</v>
      </c>
      <c r="T756" s="6">
        <v>6551.0</v>
      </c>
    </row>
    <row r="757" ht="56.25" customHeight="1">
      <c r="A757" s="5" t="s">
        <v>8389</v>
      </c>
      <c r="B757" s="6" t="str">
        <f>image("https://storage.googleapis.com/acdb/photos/BromideNpcNmlHrs11_Remake_3_0.png")</f>
        <v/>
      </c>
      <c r="C757" s="5" t="s">
        <v>57</v>
      </c>
      <c r="D757" s="5" t="s">
        <v>1327</v>
      </c>
      <c r="E757" s="5" t="s">
        <v>34</v>
      </c>
      <c r="F757" s="5" t="s">
        <v>34</v>
      </c>
      <c r="G757" s="5" t="s">
        <v>36</v>
      </c>
      <c r="H757" s="5" t="s">
        <v>35</v>
      </c>
      <c r="I757" s="6">
        <v>1.0</v>
      </c>
      <c r="J757" s="6" t="s">
        <v>37</v>
      </c>
      <c r="K757" s="6">
        <v>10.0</v>
      </c>
      <c r="L757" s="5"/>
      <c r="M757" s="5"/>
      <c r="N757" s="6" t="s">
        <v>40</v>
      </c>
      <c r="O757" s="5" t="s">
        <v>5363</v>
      </c>
      <c r="P757" s="6" t="s">
        <v>42</v>
      </c>
      <c r="Q757" s="5" t="s">
        <v>1237</v>
      </c>
      <c r="R757" s="5" t="s">
        <v>8408</v>
      </c>
      <c r="S757" s="6" t="s">
        <v>71</v>
      </c>
      <c r="T757" s="6">
        <v>6551.0</v>
      </c>
    </row>
    <row r="758" ht="56.25" customHeight="1">
      <c r="A758" s="5" t="s">
        <v>8389</v>
      </c>
      <c r="B758" s="6" t="str">
        <f>image("https://storage.googleapis.com/acdb/photos/BromideNpcNmlHrs11_Remake_4_0.png")</f>
        <v/>
      </c>
      <c r="C758" s="5" t="s">
        <v>1167</v>
      </c>
      <c r="D758" s="5" t="s">
        <v>1327</v>
      </c>
      <c r="E758" s="5" t="s">
        <v>34</v>
      </c>
      <c r="F758" s="5" t="s">
        <v>34</v>
      </c>
      <c r="G758" s="5" t="s">
        <v>36</v>
      </c>
      <c r="H758" s="5" t="s">
        <v>35</v>
      </c>
      <c r="I758" s="6">
        <v>1.0</v>
      </c>
      <c r="J758" s="6" t="s">
        <v>37</v>
      </c>
      <c r="K758" s="6">
        <v>10.0</v>
      </c>
      <c r="L758" s="5"/>
      <c r="M758" s="5"/>
      <c r="N758" s="6" t="s">
        <v>40</v>
      </c>
      <c r="O758" s="5" t="s">
        <v>5363</v>
      </c>
      <c r="P758" s="6" t="s">
        <v>42</v>
      </c>
      <c r="Q758" s="5" t="s">
        <v>1237</v>
      </c>
      <c r="R758" s="5" t="s">
        <v>8410</v>
      </c>
      <c r="S758" s="6" t="s">
        <v>75</v>
      </c>
      <c r="T758" s="6">
        <v>6551.0</v>
      </c>
    </row>
    <row r="759" ht="56.25" customHeight="1">
      <c r="A759" s="5" t="s">
        <v>8389</v>
      </c>
      <c r="B759" s="6" t="str">
        <f>image("https://storage.googleapis.com/acdb/photos/BromideNpcNmlHrs11_Remake_5_0.png")</f>
        <v/>
      </c>
      <c r="C759" s="5" t="s">
        <v>58</v>
      </c>
      <c r="D759" s="5" t="s">
        <v>1327</v>
      </c>
      <c r="E759" s="5" t="s">
        <v>34</v>
      </c>
      <c r="F759" s="5" t="s">
        <v>34</v>
      </c>
      <c r="G759" s="5" t="s">
        <v>36</v>
      </c>
      <c r="H759" s="5" t="s">
        <v>35</v>
      </c>
      <c r="I759" s="6">
        <v>1.0</v>
      </c>
      <c r="J759" s="6" t="s">
        <v>37</v>
      </c>
      <c r="K759" s="6">
        <v>10.0</v>
      </c>
      <c r="L759" s="5"/>
      <c r="M759" s="5"/>
      <c r="N759" s="6" t="s">
        <v>40</v>
      </c>
      <c r="O759" s="5" t="s">
        <v>5363</v>
      </c>
      <c r="P759" s="6" t="s">
        <v>42</v>
      </c>
      <c r="Q759" s="5" t="s">
        <v>1237</v>
      </c>
      <c r="R759" s="5" t="s">
        <v>8414</v>
      </c>
      <c r="S759" s="6" t="s">
        <v>79</v>
      </c>
      <c r="T759" s="6">
        <v>6551.0</v>
      </c>
    </row>
    <row r="760" ht="56.25" customHeight="1">
      <c r="A760" s="5" t="s">
        <v>8389</v>
      </c>
      <c r="B760" s="6" t="str">
        <f>image("https://storage.googleapis.com/acdb/photos/BromideNpcNmlHrs11_Remake_6_0.png")</f>
        <v/>
      </c>
      <c r="C760" s="5" t="s">
        <v>146</v>
      </c>
      <c r="D760" s="5" t="s">
        <v>1327</v>
      </c>
      <c r="E760" s="5" t="s">
        <v>34</v>
      </c>
      <c r="F760" s="5" t="s">
        <v>34</v>
      </c>
      <c r="G760" s="5" t="s">
        <v>36</v>
      </c>
      <c r="H760" s="5" t="s">
        <v>35</v>
      </c>
      <c r="I760" s="6">
        <v>1.0</v>
      </c>
      <c r="J760" s="6" t="s">
        <v>37</v>
      </c>
      <c r="K760" s="6">
        <v>10.0</v>
      </c>
      <c r="L760" s="5"/>
      <c r="M760" s="5"/>
      <c r="N760" s="6" t="s">
        <v>40</v>
      </c>
      <c r="O760" s="5" t="s">
        <v>5363</v>
      </c>
      <c r="P760" s="6" t="s">
        <v>42</v>
      </c>
      <c r="Q760" s="5" t="s">
        <v>1237</v>
      </c>
      <c r="R760" s="5" t="s">
        <v>8417</v>
      </c>
      <c r="S760" s="6" t="s">
        <v>86</v>
      </c>
      <c r="T760" s="6">
        <v>6551.0</v>
      </c>
    </row>
    <row r="761" ht="56.25" customHeight="1">
      <c r="A761" s="5" t="s">
        <v>8389</v>
      </c>
      <c r="B761" s="6" t="str">
        <f>image("https://storage.googleapis.com/acdb/photos/BromideNpcNmlHrs11_Remake_7_0.png")</f>
        <v/>
      </c>
      <c r="C761" s="5" t="s">
        <v>151</v>
      </c>
      <c r="D761" s="5" t="s">
        <v>1327</v>
      </c>
      <c r="E761" s="5" t="s">
        <v>34</v>
      </c>
      <c r="F761" s="5" t="s">
        <v>34</v>
      </c>
      <c r="G761" s="5" t="s">
        <v>36</v>
      </c>
      <c r="H761" s="5" t="s">
        <v>35</v>
      </c>
      <c r="I761" s="6">
        <v>1.0</v>
      </c>
      <c r="J761" s="6" t="s">
        <v>37</v>
      </c>
      <c r="K761" s="6">
        <v>10.0</v>
      </c>
      <c r="L761" s="5"/>
      <c r="M761" s="5"/>
      <c r="N761" s="6" t="s">
        <v>40</v>
      </c>
      <c r="O761" s="5" t="s">
        <v>5363</v>
      </c>
      <c r="P761" s="6" t="s">
        <v>42</v>
      </c>
      <c r="Q761" s="5" t="s">
        <v>1237</v>
      </c>
      <c r="R761" s="5" t="s">
        <v>8419</v>
      </c>
      <c r="S761" s="6" t="s">
        <v>208</v>
      </c>
      <c r="T761" s="6">
        <v>6551.0</v>
      </c>
    </row>
    <row r="762" ht="56.25" customHeight="1">
      <c r="A762" s="5" t="s">
        <v>8420</v>
      </c>
      <c r="B762" s="6" t="str">
        <f>image("https://storage.googleapis.com/acdb/photos/BromideNpcNmlDog08_Remake_0_0.png")</f>
        <v/>
      </c>
      <c r="C762" s="5" t="s">
        <v>366</v>
      </c>
      <c r="D762" s="5" t="s">
        <v>1327</v>
      </c>
      <c r="E762" s="5" t="s">
        <v>34</v>
      </c>
      <c r="F762" s="5" t="s">
        <v>34</v>
      </c>
      <c r="G762" s="5" t="s">
        <v>36</v>
      </c>
      <c r="H762" s="5" t="s">
        <v>35</v>
      </c>
      <c r="I762" s="6">
        <v>1.0</v>
      </c>
      <c r="J762" s="6" t="s">
        <v>37</v>
      </c>
      <c r="K762" s="6">
        <v>10.0</v>
      </c>
      <c r="L762" s="5"/>
      <c r="M762" s="5"/>
      <c r="N762" s="6" t="s">
        <v>40</v>
      </c>
      <c r="O762" s="5" t="s">
        <v>5363</v>
      </c>
      <c r="P762" s="6" t="s">
        <v>42</v>
      </c>
      <c r="Q762" s="5" t="s">
        <v>1237</v>
      </c>
      <c r="R762" s="5" t="s">
        <v>8423</v>
      </c>
      <c r="S762" s="6" t="s">
        <v>50</v>
      </c>
      <c r="T762" s="6">
        <v>6445.0</v>
      </c>
    </row>
    <row r="763" ht="56.25" customHeight="1">
      <c r="A763" s="5" t="s">
        <v>8420</v>
      </c>
      <c r="B763" s="6" t="str">
        <f>image("https://storage.googleapis.com/acdb/photos/BromideNpcNmlDog08_Remake_1_0.png")</f>
        <v/>
      </c>
      <c r="C763" s="5" t="s">
        <v>1132</v>
      </c>
      <c r="D763" s="5" t="s">
        <v>1327</v>
      </c>
      <c r="E763" s="5" t="s">
        <v>34</v>
      </c>
      <c r="F763" s="5" t="s">
        <v>34</v>
      </c>
      <c r="G763" s="5" t="s">
        <v>36</v>
      </c>
      <c r="H763" s="5" t="s">
        <v>35</v>
      </c>
      <c r="I763" s="6">
        <v>1.0</v>
      </c>
      <c r="J763" s="6" t="s">
        <v>37</v>
      </c>
      <c r="K763" s="6">
        <v>10.0</v>
      </c>
      <c r="L763" s="5"/>
      <c r="M763" s="5"/>
      <c r="N763" s="6" t="s">
        <v>40</v>
      </c>
      <c r="O763" s="5" t="s">
        <v>5363</v>
      </c>
      <c r="P763" s="6" t="s">
        <v>42</v>
      </c>
      <c r="Q763" s="5" t="s">
        <v>1237</v>
      </c>
      <c r="R763" s="5" t="s">
        <v>8426</v>
      </c>
      <c r="S763" s="6" t="s">
        <v>56</v>
      </c>
      <c r="T763" s="6">
        <v>6445.0</v>
      </c>
    </row>
    <row r="764" ht="56.25" customHeight="1">
      <c r="A764" s="5" t="s">
        <v>8420</v>
      </c>
      <c r="B764" s="6" t="str">
        <f>image("https://storage.googleapis.com/acdb/photos/BromideNpcNmlDog08_Remake_2_0.png")</f>
        <v/>
      </c>
      <c r="C764" s="5" t="s">
        <v>688</v>
      </c>
      <c r="D764" s="5" t="s">
        <v>1327</v>
      </c>
      <c r="E764" s="5" t="s">
        <v>34</v>
      </c>
      <c r="F764" s="5" t="s">
        <v>34</v>
      </c>
      <c r="G764" s="5" t="s">
        <v>36</v>
      </c>
      <c r="H764" s="5" t="s">
        <v>35</v>
      </c>
      <c r="I764" s="6">
        <v>1.0</v>
      </c>
      <c r="J764" s="6" t="s">
        <v>37</v>
      </c>
      <c r="K764" s="6">
        <v>10.0</v>
      </c>
      <c r="L764" s="5"/>
      <c r="M764" s="5"/>
      <c r="N764" s="6" t="s">
        <v>40</v>
      </c>
      <c r="O764" s="5" t="s">
        <v>5363</v>
      </c>
      <c r="P764" s="6" t="s">
        <v>42</v>
      </c>
      <c r="Q764" s="5" t="s">
        <v>1237</v>
      </c>
      <c r="R764" s="5" t="s">
        <v>8430</v>
      </c>
      <c r="S764" s="6" t="s">
        <v>67</v>
      </c>
      <c r="T764" s="6">
        <v>6445.0</v>
      </c>
    </row>
    <row r="765" ht="56.25" customHeight="1">
      <c r="A765" s="5" t="s">
        <v>8420</v>
      </c>
      <c r="B765" s="6" t="str">
        <f>image("https://storage.googleapis.com/acdb/photos/BromideNpcNmlDog08_Remake_3_0.png")</f>
        <v/>
      </c>
      <c r="C765" s="5" t="s">
        <v>57</v>
      </c>
      <c r="D765" s="5" t="s">
        <v>1327</v>
      </c>
      <c r="E765" s="5" t="s">
        <v>34</v>
      </c>
      <c r="F765" s="5" t="s">
        <v>34</v>
      </c>
      <c r="G765" s="5" t="s">
        <v>36</v>
      </c>
      <c r="H765" s="5" t="s">
        <v>35</v>
      </c>
      <c r="I765" s="6">
        <v>1.0</v>
      </c>
      <c r="J765" s="6" t="s">
        <v>37</v>
      </c>
      <c r="K765" s="6">
        <v>10.0</v>
      </c>
      <c r="L765" s="5"/>
      <c r="M765" s="5"/>
      <c r="N765" s="6" t="s">
        <v>40</v>
      </c>
      <c r="O765" s="5" t="s">
        <v>5363</v>
      </c>
      <c r="P765" s="6" t="s">
        <v>42</v>
      </c>
      <c r="Q765" s="5" t="s">
        <v>1237</v>
      </c>
      <c r="R765" s="5" t="s">
        <v>8433</v>
      </c>
      <c r="S765" s="6" t="s">
        <v>71</v>
      </c>
      <c r="T765" s="6">
        <v>6445.0</v>
      </c>
    </row>
    <row r="766" ht="56.25" customHeight="1">
      <c r="A766" s="5" t="s">
        <v>8420</v>
      </c>
      <c r="B766" s="6" t="str">
        <f>image("https://storage.googleapis.com/acdb/photos/BromideNpcNmlDog08_Remake_4_0.png")</f>
        <v/>
      </c>
      <c r="C766" s="5" t="s">
        <v>1167</v>
      </c>
      <c r="D766" s="5" t="s">
        <v>1327</v>
      </c>
      <c r="E766" s="5" t="s">
        <v>34</v>
      </c>
      <c r="F766" s="5" t="s">
        <v>34</v>
      </c>
      <c r="G766" s="5" t="s">
        <v>36</v>
      </c>
      <c r="H766" s="5" t="s">
        <v>35</v>
      </c>
      <c r="I766" s="6">
        <v>1.0</v>
      </c>
      <c r="J766" s="6" t="s">
        <v>37</v>
      </c>
      <c r="K766" s="6">
        <v>10.0</v>
      </c>
      <c r="L766" s="5"/>
      <c r="M766" s="5"/>
      <c r="N766" s="6" t="s">
        <v>40</v>
      </c>
      <c r="O766" s="5" t="s">
        <v>5363</v>
      </c>
      <c r="P766" s="6" t="s">
        <v>42</v>
      </c>
      <c r="Q766" s="5" t="s">
        <v>1237</v>
      </c>
      <c r="R766" s="5" t="s">
        <v>8436</v>
      </c>
      <c r="S766" s="6" t="s">
        <v>75</v>
      </c>
      <c r="T766" s="6">
        <v>6445.0</v>
      </c>
    </row>
    <row r="767" ht="56.25" customHeight="1">
      <c r="A767" s="5" t="s">
        <v>8420</v>
      </c>
      <c r="B767" s="6" t="str">
        <f>image("https://storage.googleapis.com/acdb/photos/BromideNpcNmlDog08_Remake_5_0.png")</f>
        <v/>
      </c>
      <c r="C767" s="5" t="s">
        <v>58</v>
      </c>
      <c r="D767" s="5" t="s">
        <v>1327</v>
      </c>
      <c r="E767" s="5" t="s">
        <v>34</v>
      </c>
      <c r="F767" s="5" t="s">
        <v>34</v>
      </c>
      <c r="G767" s="5" t="s">
        <v>36</v>
      </c>
      <c r="H767" s="5" t="s">
        <v>35</v>
      </c>
      <c r="I767" s="6">
        <v>1.0</v>
      </c>
      <c r="J767" s="6" t="s">
        <v>37</v>
      </c>
      <c r="K767" s="6">
        <v>10.0</v>
      </c>
      <c r="L767" s="5"/>
      <c r="M767" s="5"/>
      <c r="N767" s="6" t="s">
        <v>40</v>
      </c>
      <c r="O767" s="5" t="s">
        <v>5363</v>
      </c>
      <c r="P767" s="6" t="s">
        <v>42</v>
      </c>
      <c r="Q767" s="5" t="s">
        <v>1237</v>
      </c>
      <c r="R767" s="5" t="s">
        <v>8439</v>
      </c>
      <c r="S767" s="6" t="s">
        <v>79</v>
      </c>
      <c r="T767" s="6">
        <v>6445.0</v>
      </c>
    </row>
    <row r="768" ht="56.25" customHeight="1">
      <c r="A768" s="5" t="s">
        <v>8420</v>
      </c>
      <c r="B768" s="6" t="str">
        <f>image("https://storage.googleapis.com/acdb/photos/BromideNpcNmlDog08_Remake_6_0.png")</f>
        <v/>
      </c>
      <c r="C768" s="5" t="s">
        <v>146</v>
      </c>
      <c r="D768" s="5" t="s">
        <v>1327</v>
      </c>
      <c r="E768" s="5" t="s">
        <v>34</v>
      </c>
      <c r="F768" s="5" t="s">
        <v>34</v>
      </c>
      <c r="G768" s="5" t="s">
        <v>36</v>
      </c>
      <c r="H768" s="5" t="s">
        <v>35</v>
      </c>
      <c r="I768" s="6">
        <v>1.0</v>
      </c>
      <c r="J768" s="6" t="s">
        <v>37</v>
      </c>
      <c r="K768" s="6">
        <v>10.0</v>
      </c>
      <c r="L768" s="5"/>
      <c r="M768" s="5"/>
      <c r="N768" s="6" t="s">
        <v>40</v>
      </c>
      <c r="O768" s="5" t="s">
        <v>5363</v>
      </c>
      <c r="P768" s="6" t="s">
        <v>42</v>
      </c>
      <c r="Q768" s="5" t="s">
        <v>1237</v>
      </c>
      <c r="R768" s="5" t="s">
        <v>8441</v>
      </c>
      <c r="S768" s="6" t="s">
        <v>86</v>
      </c>
      <c r="T768" s="6">
        <v>6445.0</v>
      </c>
    </row>
    <row r="769" ht="56.25" customHeight="1">
      <c r="A769" s="5" t="s">
        <v>8420</v>
      </c>
      <c r="B769" s="6" t="str">
        <f>image("https://storage.googleapis.com/acdb/photos/BromideNpcNmlDog08_Remake_7_0.png")</f>
        <v/>
      </c>
      <c r="C769" s="5" t="s">
        <v>151</v>
      </c>
      <c r="D769" s="5" t="s">
        <v>1327</v>
      </c>
      <c r="E769" s="5" t="s">
        <v>34</v>
      </c>
      <c r="F769" s="5" t="s">
        <v>34</v>
      </c>
      <c r="G769" s="5" t="s">
        <v>36</v>
      </c>
      <c r="H769" s="5" t="s">
        <v>35</v>
      </c>
      <c r="I769" s="6">
        <v>1.0</v>
      </c>
      <c r="J769" s="6" t="s">
        <v>37</v>
      </c>
      <c r="K769" s="6">
        <v>10.0</v>
      </c>
      <c r="L769" s="5"/>
      <c r="M769" s="5"/>
      <c r="N769" s="6" t="s">
        <v>40</v>
      </c>
      <c r="O769" s="5" t="s">
        <v>5363</v>
      </c>
      <c r="P769" s="6" t="s">
        <v>42</v>
      </c>
      <c r="Q769" s="5" t="s">
        <v>1237</v>
      </c>
      <c r="R769" s="5" t="s">
        <v>8446</v>
      </c>
      <c r="S769" s="6" t="s">
        <v>208</v>
      </c>
      <c r="T769" s="6">
        <v>6445.0</v>
      </c>
    </row>
    <row r="770" ht="56.25" customHeight="1">
      <c r="A770" s="5" t="s">
        <v>8447</v>
      </c>
      <c r="B770" s="6" t="str">
        <f>image("https://storage.googleapis.com/acdb/photos/BromideNpcNmlFlg10_Remake_0_0.png")</f>
        <v/>
      </c>
      <c r="C770" s="5" t="s">
        <v>366</v>
      </c>
      <c r="D770" s="5" t="s">
        <v>1327</v>
      </c>
      <c r="E770" s="5" t="s">
        <v>34</v>
      </c>
      <c r="F770" s="5" t="s">
        <v>34</v>
      </c>
      <c r="G770" s="5" t="s">
        <v>36</v>
      </c>
      <c r="H770" s="5" t="s">
        <v>35</v>
      </c>
      <c r="I770" s="6">
        <v>1.0</v>
      </c>
      <c r="J770" s="6" t="s">
        <v>37</v>
      </c>
      <c r="K770" s="6">
        <v>10.0</v>
      </c>
      <c r="L770" s="5"/>
      <c r="M770" s="5"/>
      <c r="N770" s="6" t="s">
        <v>40</v>
      </c>
      <c r="O770" s="5" t="s">
        <v>5363</v>
      </c>
      <c r="P770" s="6" t="s">
        <v>42</v>
      </c>
      <c r="Q770" s="5" t="s">
        <v>1237</v>
      </c>
      <c r="R770" s="5" t="s">
        <v>8451</v>
      </c>
      <c r="S770" s="6" t="s">
        <v>50</v>
      </c>
      <c r="T770" s="6">
        <v>6494.0</v>
      </c>
    </row>
    <row r="771" ht="56.25" customHeight="1">
      <c r="A771" s="5" t="s">
        <v>8447</v>
      </c>
      <c r="B771" s="6" t="str">
        <f>image("https://storage.googleapis.com/acdb/photos/BromideNpcNmlFlg10_Remake_1_0.png")</f>
        <v/>
      </c>
      <c r="C771" s="5" t="s">
        <v>1132</v>
      </c>
      <c r="D771" s="5" t="s">
        <v>1327</v>
      </c>
      <c r="E771" s="5" t="s">
        <v>34</v>
      </c>
      <c r="F771" s="5" t="s">
        <v>34</v>
      </c>
      <c r="G771" s="5" t="s">
        <v>36</v>
      </c>
      <c r="H771" s="5" t="s">
        <v>35</v>
      </c>
      <c r="I771" s="6">
        <v>1.0</v>
      </c>
      <c r="J771" s="6" t="s">
        <v>37</v>
      </c>
      <c r="K771" s="6">
        <v>10.0</v>
      </c>
      <c r="L771" s="5"/>
      <c r="M771" s="5"/>
      <c r="N771" s="6" t="s">
        <v>40</v>
      </c>
      <c r="O771" s="5" t="s">
        <v>5363</v>
      </c>
      <c r="P771" s="6" t="s">
        <v>42</v>
      </c>
      <c r="Q771" s="5" t="s">
        <v>1237</v>
      </c>
      <c r="R771" s="5" t="s">
        <v>8455</v>
      </c>
      <c r="S771" s="6" t="s">
        <v>56</v>
      </c>
      <c r="T771" s="6">
        <v>6494.0</v>
      </c>
    </row>
    <row r="772" ht="56.25" customHeight="1">
      <c r="A772" s="5" t="s">
        <v>8447</v>
      </c>
      <c r="B772" s="6" t="str">
        <f>image("https://storage.googleapis.com/acdb/photos/BromideNpcNmlFlg10_Remake_2_0.png")</f>
        <v/>
      </c>
      <c r="C772" s="5" t="s">
        <v>688</v>
      </c>
      <c r="D772" s="5" t="s">
        <v>1327</v>
      </c>
      <c r="E772" s="5" t="s">
        <v>34</v>
      </c>
      <c r="F772" s="5" t="s">
        <v>34</v>
      </c>
      <c r="G772" s="5" t="s">
        <v>36</v>
      </c>
      <c r="H772" s="5" t="s">
        <v>35</v>
      </c>
      <c r="I772" s="6">
        <v>1.0</v>
      </c>
      <c r="J772" s="6" t="s">
        <v>37</v>
      </c>
      <c r="K772" s="6">
        <v>10.0</v>
      </c>
      <c r="L772" s="5"/>
      <c r="M772" s="5"/>
      <c r="N772" s="6" t="s">
        <v>40</v>
      </c>
      <c r="O772" s="5" t="s">
        <v>5363</v>
      </c>
      <c r="P772" s="6" t="s">
        <v>42</v>
      </c>
      <c r="Q772" s="5" t="s">
        <v>1237</v>
      </c>
      <c r="R772" s="5" t="s">
        <v>8457</v>
      </c>
      <c r="S772" s="6" t="s">
        <v>67</v>
      </c>
      <c r="T772" s="6">
        <v>6494.0</v>
      </c>
    </row>
    <row r="773" ht="56.25" customHeight="1">
      <c r="A773" s="5" t="s">
        <v>8447</v>
      </c>
      <c r="B773" s="6" t="str">
        <f>image("https://storage.googleapis.com/acdb/photos/BromideNpcNmlFlg10_Remake_3_0.png")</f>
        <v/>
      </c>
      <c r="C773" s="5" t="s">
        <v>57</v>
      </c>
      <c r="D773" s="5" t="s">
        <v>1327</v>
      </c>
      <c r="E773" s="5" t="s">
        <v>34</v>
      </c>
      <c r="F773" s="5" t="s">
        <v>34</v>
      </c>
      <c r="G773" s="5" t="s">
        <v>36</v>
      </c>
      <c r="H773" s="5" t="s">
        <v>35</v>
      </c>
      <c r="I773" s="6">
        <v>1.0</v>
      </c>
      <c r="J773" s="6" t="s">
        <v>37</v>
      </c>
      <c r="K773" s="6">
        <v>10.0</v>
      </c>
      <c r="L773" s="5"/>
      <c r="M773" s="5"/>
      <c r="N773" s="6" t="s">
        <v>40</v>
      </c>
      <c r="O773" s="5" t="s">
        <v>5363</v>
      </c>
      <c r="P773" s="6" t="s">
        <v>42</v>
      </c>
      <c r="Q773" s="5" t="s">
        <v>1237</v>
      </c>
      <c r="R773" s="5" t="s">
        <v>8461</v>
      </c>
      <c r="S773" s="6" t="s">
        <v>71</v>
      </c>
      <c r="T773" s="6">
        <v>6494.0</v>
      </c>
    </row>
    <row r="774" ht="56.25" customHeight="1">
      <c r="A774" s="5" t="s">
        <v>8447</v>
      </c>
      <c r="B774" s="6" t="str">
        <f>image("https://storage.googleapis.com/acdb/photos/BromideNpcNmlFlg10_Remake_4_0.png")</f>
        <v/>
      </c>
      <c r="C774" s="5" t="s">
        <v>1167</v>
      </c>
      <c r="D774" s="5" t="s">
        <v>1327</v>
      </c>
      <c r="E774" s="5" t="s">
        <v>34</v>
      </c>
      <c r="F774" s="5" t="s">
        <v>34</v>
      </c>
      <c r="G774" s="5" t="s">
        <v>36</v>
      </c>
      <c r="H774" s="5" t="s">
        <v>35</v>
      </c>
      <c r="I774" s="6">
        <v>1.0</v>
      </c>
      <c r="J774" s="6" t="s">
        <v>37</v>
      </c>
      <c r="K774" s="6">
        <v>10.0</v>
      </c>
      <c r="L774" s="5"/>
      <c r="M774" s="5"/>
      <c r="N774" s="6" t="s">
        <v>40</v>
      </c>
      <c r="O774" s="5" t="s">
        <v>5363</v>
      </c>
      <c r="P774" s="6" t="s">
        <v>42</v>
      </c>
      <c r="Q774" s="5" t="s">
        <v>1237</v>
      </c>
      <c r="R774" s="5" t="s">
        <v>8464</v>
      </c>
      <c r="S774" s="6" t="s">
        <v>75</v>
      </c>
      <c r="T774" s="6">
        <v>6494.0</v>
      </c>
    </row>
    <row r="775" ht="56.25" customHeight="1">
      <c r="A775" s="5" t="s">
        <v>8447</v>
      </c>
      <c r="B775" s="6" t="str">
        <f>image("https://storage.googleapis.com/acdb/photos/BromideNpcNmlFlg10_Remake_5_0.png")</f>
        <v/>
      </c>
      <c r="C775" s="5" t="s">
        <v>58</v>
      </c>
      <c r="D775" s="5" t="s">
        <v>1327</v>
      </c>
      <c r="E775" s="5" t="s">
        <v>34</v>
      </c>
      <c r="F775" s="5" t="s">
        <v>34</v>
      </c>
      <c r="G775" s="5" t="s">
        <v>36</v>
      </c>
      <c r="H775" s="5" t="s">
        <v>35</v>
      </c>
      <c r="I775" s="6">
        <v>1.0</v>
      </c>
      <c r="J775" s="6" t="s">
        <v>37</v>
      </c>
      <c r="K775" s="6">
        <v>10.0</v>
      </c>
      <c r="L775" s="5"/>
      <c r="M775" s="5"/>
      <c r="N775" s="6" t="s">
        <v>40</v>
      </c>
      <c r="O775" s="5" t="s">
        <v>5363</v>
      </c>
      <c r="P775" s="6" t="s">
        <v>42</v>
      </c>
      <c r="Q775" s="5" t="s">
        <v>1237</v>
      </c>
      <c r="R775" s="5" t="s">
        <v>8467</v>
      </c>
      <c r="S775" s="6" t="s">
        <v>79</v>
      </c>
      <c r="T775" s="6">
        <v>6494.0</v>
      </c>
    </row>
    <row r="776" ht="56.25" customHeight="1">
      <c r="A776" s="5" t="s">
        <v>8447</v>
      </c>
      <c r="B776" s="6" t="str">
        <f>image("https://storage.googleapis.com/acdb/photos/BromideNpcNmlFlg10_Remake_6_0.png")</f>
        <v/>
      </c>
      <c r="C776" s="5" t="s">
        <v>146</v>
      </c>
      <c r="D776" s="5" t="s">
        <v>1327</v>
      </c>
      <c r="E776" s="5" t="s">
        <v>34</v>
      </c>
      <c r="F776" s="5" t="s">
        <v>34</v>
      </c>
      <c r="G776" s="5" t="s">
        <v>36</v>
      </c>
      <c r="H776" s="5" t="s">
        <v>35</v>
      </c>
      <c r="I776" s="6">
        <v>1.0</v>
      </c>
      <c r="J776" s="6" t="s">
        <v>37</v>
      </c>
      <c r="K776" s="6">
        <v>10.0</v>
      </c>
      <c r="L776" s="5"/>
      <c r="M776" s="5"/>
      <c r="N776" s="6" t="s">
        <v>40</v>
      </c>
      <c r="O776" s="5" t="s">
        <v>5363</v>
      </c>
      <c r="P776" s="6" t="s">
        <v>42</v>
      </c>
      <c r="Q776" s="5" t="s">
        <v>1237</v>
      </c>
      <c r="R776" s="5" t="s">
        <v>8470</v>
      </c>
      <c r="S776" s="6" t="s">
        <v>86</v>
      </c>
      <c r="T776" s="6">
        <v>6494.0</v>
      </c>
    </row>
    <row r="777" ht="56.25" customHeight="1">
      <c r="A777" s="5" t="s">
        <v>8447</v>
      </c>
      <c r="B777" s="6" t="str">
        <f>image("https://storage.googleapis.com/acdb/photos/BromideNpcNmlFlg10_Remake_7_0.png")</f>
        <v/>
      </c>
      <c r="C777" s="5" t="s">
        <v>151</v>
      </c>
      <c r="D777" s="5" t="s">
        <v>1327</v>
      </c>
      <c r="E777" s="5" t="s">
        <v>34</v>
      </c>
      <c r="F777" s="5" t="s">
        <v>34</v>
      </c>
      <c r="G777" s="5" t="s">
        <v>36</v>
      </c>
      <c r="H777" s="5" t="s">
        <v>35</v>
      </c>
      <c r="I777" s="6">
        <v>1.0</v>
      </c>
      <c r="J777" s="6" t="s">
        <v>37</v>
      </c>
      <c r="K777" s="6">
        <v>10.0</v>
      </c>
      <c r="L777" s="5"/>
      <c r="M777" s="5"/>
      <c r="N777" s="6" t="s">
        <v>40</v>
      </c>
      <c r="O777" s="5" t="s">
        <v>5363</v>
      </c>
      <c r="P777" s="6" t="s">
        <v>42</v>
      </c>
      <c r="Q777" s="5" t="s">
        <v>1237</v>
      </c>
      <c r="R777" s="5" t="s">
        <v>8472</v>
      </c>
      <c r="S777" s="6" t="s">
        <v>208</v>
      </c>
      <c r="T777" s="6">
        <v>6494.0</v>
      </c>
    </row>
    <row r="778" ht="56.25" customHeight="1">
      <c r="A778" s="5" t="s">
        <v>8474</v>
      </c>
      <c r="B778" s="6" t="str">
        <f>image("https://storage.googleapis.com/acdb/photos/BromideNpcNmlPig05_Remake_0_0.png")</f>
        <v/>
      </c>
      <c r="C778" s="5" t="s">
        <v>366</v>
      </c>
      <c r="D778" s="5" t="s">
        <v>1327</v>
      </c>
      <c r="E778" s="5" t="s">
        <v>34</v>
      </c>
      <c r="F778" s="5" t="s">
        <v>34</v>
      </c>
      <c r="G778" s="5" t="s">
        <v>36</v>
      </c>
      <c r="H778" s="5" t="s">
        <v>35</v>
      </c>
      <c r="I778" s="6">
        <v>1.0</v>
      </c>
      <c r="J778" s="6" t="s">
        <v>37</v>
      </c>
      <c r="K778" s="6">
        <v>10.0</v>
      </c>
      <c r="L778" s="5"/>
      <c r="M778" s="5"/>
      <c r="N778" s="6" t="s">
        <v>40</v>
      </c>
      <c r="O778" s="5" t="s">
        <v>5363</v>
      </c>
      <c r="P778" s="6" t="s">
        <v>42</v>
      </c>
      <c r="Q778" s="5" t="s">
        <v>1237</v>
      </c>
      <c r="R778" s="5" t="s">
        <v>8477</v>
      </c>
      <c r="S778" s="6" t="s">
        <v>50</v>
      </c>
      <c r="T778" s="6">
        <v>6651.0</v>
      </c>
    </row>
    <row r="779" ht="56.25" customHeight="1">
      <c r="A779" s="5" t="s">
        <v>8474</v>
      </c>
      <c r="B779" s="6" t="str">
        <f>image("https://storage.googleapis.com/acdb/photos/BromideNpcNmlPig05_Remake_1_0.png")</f>
        <v/>
      </c>
      <c r="C779" s="5" t="s">
        <v>1132</v>
      </c>
      <c r="D779" s="5" t="s">
        <v>1327</v>
      </c>
      <c r="E779" s="5" t="s">
        <v>34</v>
      </c>
      <c r="F779" s="5" t="s">
        <v>34</v>
      </c>
      <c r="G779" s="5" t="s">
        <v>36</v>
      </c>
      <c r="H779" s="5" t="s">
        <v>35</v>
      </c>
      <c r="I779" s="6">
        <v>1.0</v>
      </c>
      <c r="J779" s="6" t="s">
        <v>37</v>
      </c>
      <c r="K779" s="6">
        <v>10.0</v>
      </c>
      <c r="L779" s="5"/>
      <c r="M779" s="5"/>
      <c r="N779" s="6" t="s">
        <v>40</v>
      </c>
      <c r="O779" s="5" t="s">
        <v>5363</v>
      </c>
      <c r="P779" s="6" t="s">
        <v>42</v>
      </c>
      <c r="Q779" s="5" t="s">
        <v>1237</v>
      </c>
      <c r="R779" s="5" t="s">
        <v>8481</v>
      </c>
      <c r="S779" s="6" t="s">
        <v>56</v>
      </c>
      <c r="T779" s="6">
        <v>6651.0</v>
      </c>
    </row>
    <row r="780" ht="56.25" customHeight="1">
      <c r="A780" s="5" t="s">
        <v>8474</v>
      </c>
      <c r="B780" s="6" t="str">
        <f>image("https://storage.googleapis.com/acdb/photos/BromideNpcNmlPig05_Remake_2_0.png")</f>
        <v/>
      </c>
      <c r="C780" s="5" t="s">
        <v>688</v>
      </c>
      <c r="D780" s="5" t="s">
        <v>1327</v>
      </c>
      <c r="E780" s="5" t="s">
        <v>34</v>
      </c>
      <c r="F780" s="5" t="s">
        <v>34</v>
      </c>
      <c r="G780" s="5" t="s">
        <v>36</v>
      </c>
      <c r="H780" s="5" t="s">
        <v>35</v>
      </c>
      <c r="I780" s="6">
        <v>1.0</v>
      </c>
      <c r="J780" s="6" t="s">
        <v>37</v>
      </c>
      <c r="K780" s="6">
        <v>10.0</v>
      </c>
      <c r="L780" s="5"/>
      <c r="M780" s="5"/>
      <c r="N780" s="6" t="s">
        <v>40</v>
      </c>
      <c r="O780" s="5" t="s">
        <v>5363</v>
      </c>
      <c r="P780" s="6" t="s">
        <v>42</v>
      </c>
      <c r="Q780" s="5" t="s">
        <v>1237</v>
      </c>
      <c r="R780" s="5" t="s">
        <v>8486</v>
      </c>
      <c r="S780" s="6" t="s">
        <v>67</v>
      </c>
      <c r="T780" s="6">
        <v>6651.0</v>
      </c>
    </row>
    <row r="781" ht="56.25" customHeight="1">
      <c r="A781" s="5" t="s">
        <v>8474</v>
      </c>
      <c r="B781" s="6" t="str">
        <f>image("https://storage.googleapis.com/acdb/photos/BromideNpcNmlPig05_Remake_3_0.png")</f>
        <v/>
      </c>
      <c r="C781" s="5" t="s">
        <v>57</v>
      </c>
      <c r="D781" s="5" t="s">
        <v>1327</v>
      </c>
      <c r="E781" s="5" t="s">
        <v>34</v>
      </c>
      <c r="F781" s="5" t="s">
        <v>34</v>
      </c>
      <c r="G781" s="5" t="s">
        <v>36</v>
      </c>
      <c r="H781" s="5" t="s">
        <v>35</v>
      </c>
      <c r="I781" s="6">
        <v>1.0</v>
      </c>
      <c r="J781" s="6" t="s">
        <v>37</v>
      </c>
      <c r="K781" s="6">
        <v>10.0</v>
      </c>
      <c r="L781" s="5"/>
      <c r="M781" s="5"/>
      <c r="N781" s="6" t="s">
        <v>40</v>
      </c>
      <c r="O781" s="5" t="s">
        <v>5363</v>
      </c>
      <c r="P781" s="6" t="s">
        <v>42</v>
      </c>
      <c r="Q781" s="5" t="s">
        <v>1237</v>
      </c>
      <c r="R781" s="5" t="s">
        <v>8489</v>
      </c>
      <c r="S781" s="6" t="s">
        <v>71</v>
      </c>
      <c r="T781" s="6">
        <v>6651.0</v>
      </c>
    </row>
    <row r="782" ht="56.25" customHeight="1">
      <c r="A782" s="5" t="s">
        <v>8474</v>
      </c>
      <c r="B782" s="6" t="str">
        <f>image("https://storage.googleapis.com/acdb/photos/BromideNpcNmlPig05_Remake_4_0.png")</f>
        <v/>
      </c>
      <c r="C782" s="5" t="s">
        <v>1167</v>
      </c>
      <c r="D782" s="5" t="s">
        <v>1327</v>
      </c>
      <c r="E782" s="5" t="s">
        <v>34</v>
      </c>
      <c r="F782" s="5" t="s">
        <v>34</v>
      </c>
      <c r="G782" s="5" t="s">
        <v>36</v>
      </c>
      <c r="H782" s="5" t="s">
        <v>35</v>
      </c>
      <c r="I782" s="6">
        <v>1.0</v>
      </c>
      <c r="J782" s="6" t="s">
        <v>37</v>
      </c>
      <c r="K782" s="6">
        <v>10.0</v>
      </c>
      <c r="L782" s="5"/>
      <c r="M782" s="5"/>
      <c r="N782" s="6" t="s">
        <v>40</v>
      </c>
      <c r="O782" s="5" t="s">
        <v>5363</v>
      </c>
      <c r="P782" s="6" t="s">
        <v>42</v>
      </c>
      <c r="Q782" s="5" t="s">
        <v>1237</v>
      </c>
      <c r="R782" s="5" t="s">
        <v>8491</v>
      </c>
      <c r="S782" s="6" t="s">
        <v>75</v>
      </c>
      <c r="T782" s="6">
        <v>6651.0</v>
      </c>
    </row>
    <row r="783" ht="56.25" customHeight="1">
      <c r="A783" s="5" t="s">
        <v>8474</v>
      </c>
      <c r="B783" s="6" t="str">
        <f>image("https://storage.googleapis.com/acdb/photos/BromideNpcNmlPig05_Remake_5_0.png")</f>
        <v/>
      </c>
      <c r="C783" s="5" t="s">
        <v>58</v>
      </c>
      <c r="D783" s="5" t="s">
        <v>1327</v>
      </c>
      <c r="E783" s="5" t="s">
        <v>34</v>
      </c>
      <c r="F783" s="5" t="s">
        <v>34</v>
      </c>
      <c r="G783" s="5" t="s">
        <v>36</v>
      </c>
      <c r="H783" s="5" t="s">
        <v>35</v>
      </c>
      <c r="I783" s="6">
        <v>1.0</v>
      </c>
      <c r="J783" s="6" t="s">
        <v>37</v>
      </c>
      <c r="K783" s="6">
        <v>10.0</v>
      </c>
      <c r="L783" s="5"/>
      <c r="M783" s="5"/>
      <c r="N783" s="6" t="s">
        <v>40</v>
      </c>
      <c r="O783" s="5" t="s">
        <v>5363</v>
      </c>
      <c r="P783" s="6" t="s">
        <v>42</v>
      </c>
      <c r="Q783" s="5" t="s">
        <v>1237</v>
      </c>
      <c r="R783" s="5" t="s">
        <v>8494</v>
      </c>
      <c r="S783" s="6" t="s">
        <v>79</v>
      </c>
      <c r="T783" s="6">
        <v>6651.0</v>
      </c>
    </row>
    <row r="784" ht="56.25" customHeight="1">
      <c r="A784" s="5" t="s">
        <v>8474</v>
      </c>
      <c r="B784" s="6" t="str">
        <f>image("https://storage.googleapis.com/acdb/photos/BromideNpcNmlPig05_Remake_6_0.png")</f>
        <v/>
      </c>
      <c r="C784" s="5" t="s">
        <v>146</v>
      </c>
      <c r="D784" s="5" t="s">
        <v>1327</v>
      </c>
      <c r="E784" s="5" t="s">
        <v>34</v>
      </c>
      <c r="F784" s="5" t="s">
        <v>34</v>
      </c>
      <c r="G784" s="5" t="s">
        <v>36</v>
      </c>
      <c r="H784" s="5" t="s">
        <v>35</v>
      </c>
      <c r="I784" s="6">
        <v>1.0</v>
      </c>
      <c r="J784" s="6" t="s">
        <v>37</v>
      </c>
      <c r="K784" s="6">
        <v>10.0</v>
      </c>
      <c r="L784" s="5"/>
      <c r="M784" s="5"/>
      <c r="N784" s="6" t="s">
        <v>40</v>
      </c>
      <c r="O784" s="5" t="s">
        <v>5363</v>
      </c>
      <c r="P784" s="6" t="s">
        <v>42</v>
      </c>
      <c r="Q784" s="5" t="s">
        <v>1237</v>
      </c>
      <c r="R784" s="5" t="s">
        <v>8496</v>
      </c>
      <c r="S784" s="6" t="s">
        <v>86</v>
      </c>
      <c r="T784" s="6">
        <v>6651.0</v>
      </c>
    </row>
    <row r="785" ht="56.25" customHeight="1">
      <c r="A785" s="5" t="s">
        <v>8474</v>
      </c>
      <c r="B785" s="6" t="str">
        <f>image("https://storage.googleapis.com/acdb/photos/BromideNpcNmlPig05_Remake_7_0.png")</f>
        <v/>
      </c>
      <c r="C785" s="5" t="s">
        <v>151</v>
      </c>
      <c r="D785" s="5" t="s">
        <v>1327</v>
      </c>
      <c r="E785" s="5" t="s">
        <v>34</v>
      </c>
      <c r="F785" s="5" t="s">
        <v>34</v>
      </c>
      <c r="G785" s="5" t="s">
        <v>36</v>
      </c>
      <c r="H785" s="5" t="s">
        <v>35</v>
      </c>
      <c r="I785" s="6">
        <v>1.0</v>
      </c>
      <c r="J785" s="6" t="s">
        <v>37</v>
      </c>
      <c r="K785" s="6">
        <v>10.0</v>
      </c>
      <c r="L785" s="5"/>
      <c r="M785" s="5"/>
      <c r="N785" s="6" t="s">
        <v>40</v>
      </c>
      <c r="O785" s="5" t="s">
        <v>5363</v>
      </c>
      <c r="P785" s="6" t="s">
        <v>42</v>
      </c>
      <c r="Q785" s="5" t="s">
        <v>1237</v>
      </c>
      <c r="R785" s="5" t="s">
        <v>8499</v>
      </c>
      <c r="S785" s="6" t="s">
        <v>208</v>
      </c>
      <c r="T785" s="6">
        <v>6651.0</v>
      </c>
    </row>
    <row r="786" ht="56.25" customHeight="1">
      <c r="A786" s="5" t="s">
        <v>8501</v>
      </c>
      <c r="B786" s="6" t="str">
        <f>image("https://storage.googleapis.com/acdb/photos/BromideNpcNmlOst06_Remake_0_0.png")</f>
        <v/>
      </c>
      <c r="C786" s="5" t="s">
        <v>366</v>
      </c>
      <c r="D786" s="5" t="s">
        <v>1327</v>
      </c>
      <c r="E786" s="5" t="s">
        <v>34</v>
      </c>
      <c r="F786" s="5" t="s">
        <v>34</v>
      </c>
      <c r="G786" s="5" t="s">
        <v>36</v>
      </c>
      <c r="H786" s="5" t="s">
        <v>35</v>
      </c>
      <c r="I786" s="6">
        <v>1.0</v>
      </c>
      <c r="J786" s="6" t="s">
        <v>37</v>
      </c>
      <c r="K786" s="6">
        <v>10.0</v>
      </c>
      <c r="L786" s="5"/>
      <c r="M786" s="5"/>
      <c r="N786" s="6" t="s">
        <v>40</v>
      </c>
      <c r="O786" s="5" t="s">
        <v>5363</v>
      </c>
      <c r="P786" s="6" t="s">
        <v>42</v>
      </c>
      <c r="Q786" s="5" t="s">
        <v>1237</v>
      </c>
      <c r="R786" s="5" t="s">
        <v>8504</v>
      </c>
      <c r="S786" s="6" t="s">
        <v>50</v>
      </c>
      <c r="T786" s="6">
        <v>6614.0</v>
      </c>
    </row>
    <row r="787" ht="56.25" customHeight="1">
      <c r="A787" s="5" t="s">
        <v>8501</v>
      </c>
      <c r="B787" s="6" t="str">
        <f>image("https://storage.googleapis.com/acdb/photos/BromideNpcNmlOst06_Remake_1_0.png")</f>
        <v/>
      </c>
      <c r="C787" s="5" t="s">
        <v>1132</v>
      </c>
      <c r="D787" s="5" t="s">
        <v>1327</v>
      </c>
      <c r="E787" s="5" t="s">
        <v>34</v>
      </c>
      <c r="F787" s="5" t="s">
        <v>34</v>
      </c>
      <c r="G787" s="5" t="s">
        <v>36</v>
      </c>
      <c r="H787" s="5" t="s">
        <v>35</v>
      </c>
      <c r="I787" s="6">
        <v>1.0</v>
      </c>
      <c r="J787" s="6" t="s">
        <v>37</v>
      </c>
      <c r="K787" s="6">
        <v>10.0</v>
      </c>
      <c r="L787" s="5"/>
      <c r="M787" s="5"/>
      <c r="N787" s="6" t="s">
        <v>40</v>
      </c>
      <c r="O787" s="5" t="s">
        <v>5363</v>
      </c>
      <c r="P787" s="6" t="s">
        <v>42</v>
      </c>
      <c r="Q787" s="5" t="s">
        <v>1237</v>
      </c>
      <c r="R787" s="5" t="s">
        <v>8508</v>
      </c>
      <c r="S787" s="6" t="s">
        <v>56</v>
      </c>
      <c r="T787" s="6">
        <v>6614.0</v>
      </c>
    </row>
    <row r="788" ht="56.25" customHeight="1">
      <c r="A788" s="5" t="s">
        <v>8501</v>
      </c>
      <c r="B788" s="6" t="str">
        <f>image("https://storage.googleapis.com/acdb/photos/BromideNpcNmlOst06_Remake_2_0.png")</f>
        <v/>
      </c>
      <c r="C788" s="5" t="s">
        <v>688</v>
      </c>
      <c r="D788" s="5" t="s">
        <v>1327</v>
      </c>
      <c r="E788" s="5" t="s">
        <v>34</v>
      </c>
      <c r="F788" s="5" t="s">
        <v>34</v>
      </c>
      <c r="G788" s="5" t="s">
        <v>36</v>
      </c>
      <c r="H788" s="5" t="s">
        <v>35</v>
      </c>
      <c r="I788" s="6">
        <v>1.0</v>
      </c>
      <c r="J788" s="6" t="s">
        <v>37</v>
      </c>
      <c r="K788" s="6">
        <v>10.0</v>
      </c>
      <c r="L788" s="5"/>
      <c r="M788" s="5"/>
      <c r="N788" s="6" t="s">
        <v>40</v>
      </c>
      <c r="O788" s="5" t="s">
        <v>5363</v>
      </c>
      <c r="P788" s="6" t="s">
        <v>42</v>
      </c>
      <c r="Q788" s="5" t="s">
        <v>1237</v>
      </c>
      <c r="R788" s="5" t="s">
        <v>8512</v>
      </c>
      <c r="S788" s="6" t="s">
        <v>67</v>
      </c>
      <c r="T788" s="6">
        <v>6614.0</v>
      </c>
    </row>
    <row r="789" ht="56.25" customHeight="1">
      <c r="A789" s="5" t="s">
        <v>8501</v>
      </c>
      <c r="B789" s="6" t="str">
        <f>image("https://storage.googleapis.com/acdb/photos/BromideNpcNmlOst06_Remake_3_0.png")</f>
        <v/>
      </c>
      <c r="C789" s="5" t="s">
        <v>57</v>
      </c>
      <c r="D789" s="5" t="s">
        <v>1327</v>
      </c>
      <c r="E789" s="5" t="s">
        <v>34</v>
      </c>
      <c r="F789" s="5" t="s">
        <v>34</v>
      </c>
      <c r="G789" s="5" t="s">
        <v>36</v>
      </c>
      <c r="H789" s="5" t="s">
        <v>35</v>
      </c>
      <c r="I789" s="6">
        <v>1.0</v>
      </c>
      <c r="J789" s="6" t="s">
        <v>37</v>
      </c>
      <c r="K789" s="6">
        <v>10.0</v>
      </c>
      <c r="L789" s="5"/>
      <c r="M789" s="5"/>
      <c r="N789" s="6" t="s">
        <v>40</v>
      </c>
      <c r="O789" s="5" t="s">
        <v>5363</v>
      </c>
      <c r="P789" s="6" t="s">
        <v>42</v>
      </c>
      <c r="Q789" s="5" t="s">
        <v>1237</v>
      </c>
      <c r="R789" s="5" t="s">
        <v>8515</v>
      </c>
      <c r="S789" s="6" t="s">
        <v>71</v>
      </c>
      <c r="T789" s="6">
        <v>6614.0</v>
      </c>
    </row>
    <row r="790" ht="56.25" customHeight="1">
      <c r="A790" s="5" t="s">
        <v>8501</v>
      </c>
      <c r="B790" s="6" t="str">
        <f>image("https://storage.googleapis.com/acdb/photos/BromideNpcNmlOst06_Remake_4_0.png")</f>
        <v/>
      </c>
      <c r="C790" s="5" t="s">
        <v>1167</v>
      </c>
      <c r="D790" s="5" t="s">
        <v>1327</v>
      </c>
      <c r="E790" s="5" t="s">
        <v>34</v>
      </c>
      <c r="F790" s="5" t="s">
        <v>34</v>
      </c>
      <c r="G790" s="5" t="s">
        <v>36</v>
      </c>
      <c r="H790" s="5" t="s">
        <v>35</v>
      </c>
      <c r="I790" s="6">
        <v>1.0</v>
      </c>
      <c r="J790" s="6" t="s">
        <v>37</v>
      </c>
      <c r="K790" s="6">
        <v>10.0</v>
      </c>
      <c r="L790" s="5"/>
      <c r="M790" s="5"/>
      <c r="N790" s="6" t="s">
        <v>40</v>
      </c>
      <c r="O790" s="5" t="s">
        <v>5363</v>
      </c>
      <c r="P790" s="6" t="s">
        <v>42</v>
      </c>
      <c r="Q790" s="5" t="s">
        <v>1237</v>
      </c>
      <c r="R790" s="5" t="s">
        <v>8519</v>
      </c>
      <c r="S790" s="6" t="s">
        <v>75</v>
      </c>
      <c r="T790" s="6">
        <v>6614.0</v>
      </c>
    </row>
    <row r="791" ht="56.25" customHeight="1">
      <c r="A791" s="5" t="s">
        <v>8501</v>
      </c>
      <c r="B791" s="6" t="str">
        <f>image("https://storage.googleapis.com/acdb/photos/BromideNpcNmlOst06_Remake_5_0.png")</f>
        <v/>
      </c>
      <c r="C791" s="5" t="s">
        <v>58</v>
      </c>
      <c r="D791" s="5" t="s">
        <v>1327</v>
      </c>
      <c r="E791" s="5" t="s">
        <v>34</v>
      </c>
      <c r="F791" s="5" t="s">
        <v>34</v>
      </c>
      <c r="G791" s="5" t="s">
        <v>36</v>
      </c>
      <c r="H791" s="5" t="s">
        <v>35</v>
      </c>
      <c r="I791" s="6">
        <v>1.0</v>
      </c>
      <c r="J791" s="6" t="s">
        <v>37</v>
      </c>
      <c r="K791" s="6">
        <v>10.0</v>
      </c>
      <c r="L791" s="5"/>
      <c r="M791" s="5"/>
      <c r="N791" s="6" t="s">
        <v>40</v>
      </c>
      <c r="O791" s="5" t="s">
        <v>5363</v>
      </c>
      <c r="P791" s="6" t="s">
        <v>42</v>
      </c>
      <c r="Q791" s="5" t="s">
        <v>1237</v>
      </c>
      <c r="R791" s="5" t="s">
        <v>8520</v>
      </c>
      <c r="S791" s="6" t="s">
        <v>79</v>
      </c>
      <c r="T791" s="6">
        <v>6614.0</v>
      </c>
    </row>
    <row r="792" ht="56.25" customHeight="1">
      <c r="A792" s="5" t="s">
        <v>8501</v>
      </c>
      <c r="B792" s="6" t="str">
        <f>image("https://storage.googleapis.com/acdb/photos/BromideNpcNmlOst06_Remake_6_0.png")</f>
        <v/>
      </c>
      <c r="C792" s="5" t="s">
        <v>146</v>
      </c>
      <c r="D792" s="5" t="s">
        <v>1327</v>
      </c>
      <c r="E792" s="5" t="s">
        <v>34</v>
      </c>
      <c r="F792" s="5" t="s">
        <v>34</v>
      </c>
      <c r="G792" s="5" t="s">
        <v>36</v>
      </c>
      <c r="H792" s="5" t="s">
        <v>35</v>
      </c>
      <c r="I792" s="6">
        <v>1.0</v>
      </c>
      <c r="J792" s="6" t="s">
        <v>37</v>
      </c>
      <c r="K792" s="6">
        <v>10.0</v>
      </c>
      <c r="L792" s="5"/>
      <c r="M792" s="5"/>
      <c r="N792" s="6" t="s">
        <v>40</v>
      </c>
      <c r="O792" s="5" t="s">
        <v>5363</v>
      </c>
      <c r="P792" s="6" t="s">
        <v>42</v>
      </c>
      <c r="Q792" s="5" t="s">
        <v>1237</v>
      </c>
      <c r="R792" s="5" t="s">
        <v>8525</v>
      </c>
      <c r="S792" s="6" t="s">
        <v>86</v>
      </c>
      <c r="T792" s="6">
        <v>6614.0</v>
      </c>
    </row>
    <row r="793" ht="56.25" customHeight="1">
      <c r="A793" s="5" t="s">
        <v>8501</v>
      </c>
      <c r="B793" s="6" t="str">
        <f>image("https://storage.googleapis.com/acdb/photos/BromideNpcNmlOst06_Remake_7_0.png")</f>
        <v/>
      </c>
      <c r="C793" s="5" t="s">
        <v>151</v>
      </c>
      <c r="D793" s="5" t="s">
        <v>1327</v>
      </c>
      <c r="E793" s="5" t="s">
        <v>34</v>
      </c>
      <c r="F793" s="5" t="s">
        <v>34</v>
      </c>
      <c r="G793" s="5" t="s">
        <v>36</v>
      </c>
      <c r="H793" s="5" t="s">
        <v>35</v>
      </c>
      <c r="I793" s="6">
        <v>1.0</v>
      </c>
      <c r="J793" s="6" t="s">
        <v>37</v>
      </c>
      <c r="K793" s="6">
        <v>10.0</v>
      </c>
      <c r="L793" s="5"/>
      <c r="M793" s="5"/>
      <c r="N793" s="6" t="s">
        <v>40</v>
      </c>
      <c r="O793" s="5" t="s">
        <v>5363</v>
      </c>
      <c r="P793" s="6" t="s">
        <v>42</v>
      </c>
      <c r="Q793" s="5" t="s">
        <v>1237</v>
      </c>
      <c r="R793" s="5" t="s">
        <v>8528</v>
      </c>
      <c r="S793" s="6" t="s">
        <v>208</v>
      </c>
      <c r="T793" s="6">
        <v>6614.0</v>
      </c>
    </row>
    <row r="794" ht="56.25" customHeight="1">
      <c r="A794" s="5" t="s">
        <v>8529</v>
      </c>
      <c r="B794" s="6" t="str">
        <f>image("https://storage.googleapis.com/acdb/photos/BromideNpcNmlFlg17_Remake_0_0.png")</f>
        <v/>
      </c>
      <c r="C794" s="5" t="s">
        <v>366</v>
      </c>
      <c r="D794" s="5" t="s">
        <v>1327</v>
      </c>
      <c r="E794" s="5" t="s">
        <v>34</v>
      </c>
      <c r="F794" s="5" t="s">
        <v>34</v>
      </c>
      <c r="G794" s="5" t="s">
        <v>36</v>
      </c>
      <c r="H794" s="5" t="s">
        <v>35</v>
      </c>
      <c r="I794" s="6">
        <v>1.0</v>
      </c>
      <c r="J794" s="6" t="s">
        <v>37</v>
      </c>
      <c r="K794" s="6">
        <v>10.0</v>
      </c>
      <c r="L794" s="5"/>
      <c r="M794" s="5"/>
      <c r="N794" s="6" t="s">
        <v>40</v>
      </c>
      <c r="O794" s="5" t="s">
        <v>5363</v>
      </c>
      <c r="P794" s="6" t="s">
        <v>42</v>
      </c>
      <c r="Q794" s="5" t="s">
        <v>1237</v>
      </c>
      <c r="R794" s="5" t="s">
        <v>8531</v>
      </c>
      <c r="S794" s="6" t="s">
        <v>50</v>
      </c>
      <c r="T794" s="6">
        <v>6500.0</v>
      </c>
    </row>
    <row r="795" ht="56.25" customHeight="1">
      <c r="A795" s="5" t="s">
        <v>8529</v>
      </c>
      <c r="B795" s="6" t="str">
        <f>image("https://storage.googleapis.com/acdb/photos/BromideNpcNmlFlg17_Remake_1_0.png")</f>
        <v/>
      </c>
      <c r="C795" s="5" t="s">
        <v>1132</v>
      </c>
      <c r="D795" s="5" t="s">
        <v>1327</v>
      </c>
      <c r="E795" s="5" t="s">
        <v>34</v>
      </c>
      <c r="F795" s="5" t="s">
        <v>34</v>
      </c>
      <c r="G795" s="5" t="s">
        <v>36</v>
      </c>
      <c r="H795" s="5" t="s">
        <v>35</v>
      </c>
      <c r="I795" s="6">
        <v>1.0</v>
      </c>
      <c r="J795" s="6" t="s">
        <v>37</v>
      </c>
      <c r="K795" s="6">
        <v>10.0</v>
      </c>
      <c r="L795" s="5"/>
      <c r="M795" s="5"/>
      <c r="N795" s="6" t="s">
        <v>40</v>
      </c>
      <c r="O795" s="5" t="s">
        <v>5363</v>
      </c>
      <c r="P795" s="6" t="s">
        <v>42</v>
      </c>
      <c r="Q795" s="5" t="s">
        <v>1237</v>
      </c>
      <c r="R795" s="5" t="s">
        <v>8534</v>
      </c>
      <c r="S795" s="6" t="s">
        <v>56</v>
      </c>
      <c r="T795" s="6">
        <v>6500.0</v>
      </c>
    </row>
    <row r="796" ht="56.25" customHeight="1">
      <c r="A796" s="5" t="s">
        <v>8529</v>
      </c>
      <c r="B796" s="6" t="str">
        <f>image("https://storage.googleapis.com/acdb/photos/BromideNpcNmlFlg17_Remake_2_0.png")</f>
        <v/>
      </c>
      <c r="C796" s="5" t="s">
        <v>688</v>
      </c>
      <c r="D796" s="5" t="s">
        <v>1327</v>
      </c>
      <c r="E796" s="5" t="s">
        <v>34</v>
      </c>
      <c r="F796" s="5" t="s">
        <v>34</v>
      </c>
      <c r="G796" s="5" t="s">
        <v>36</v>
      </c>
      <c r="H796" s="5" t="s">
        <v>35</v>
      </c>
      <c r="I796" s="6">
        <v>1.0</v>
      </c>
      <c r="J796" s="6" t="s">
        <v>37</v>
      </c>
      <c r="K796" s="6">
        <v>10.0</v>
      </c>
      <c r="L796" s="5"/>
      <c r="M796" s="5"/>
      <c r="N796" s="6" t="s">
        <v>40</v>
      </c>
      <c r="O796" s="5" t="s">
        <v>5363</v>
      </c>
      <c r="P796" s="6" t="s">
        <v>42</v>
      </c>
      <c r="Q796" s="5" t="s">
        <v>1237</v>
      </c>
      <c r="R796" s="5" t="s">
        <v>8537</v>
      </c>
      <c r="S796" s="6" t="s">
        <v>67</v>
      </c>
      <c r="T796" s="6">
        <v>6500.0</v>
      </c>
    </row>
    <row r="797" ht="56.25" customHeight="1">
      <c r="A797" s="5" t="s">
        <v>8529</v>
      </c>
      <c r="B797" s="6" t="str">
        <f>image("https://storage.googleapis.com/acdb/photos/BromideNpcNmlFlg17_Remake_3_0.png")</f>
        <v/>
      </c>
      <c r="C797" s="5" t="s">
        <v>57</v>
      </c>
      <c r="D797" s="5" t="s">
        <v>1327</v>
      </c>
      <c r="E797" s="5" t="s">
        <v>34</v>
      </c>
      <c r="F797" s="5" t="s">
        <v>34</v>
      </c>
      <c r="G797" s="5" t="s">
        <v>36</v>
      </c>
      <c r="H797" s="5" t="s">
        <v>35</v>
      </c>
      <c r="I797" s="6">
        <v>1.0</v>
      </c>
      <c r="J797" s="6" t="s">
        <v>37</v>
      </c>
      <c r="K797" s="6">
        <v>10.0</v>
      </c>
      <c r="L797" s="5"/>
      <c r="M797" s="5"/>
      <c r="N797" s="6" t="s">
        <v>40</v>
      </c>
      <c r="O797" s="5" t="s">
        <v>5363</v>
      </c>
      <c r="P797" s="6" t="s">
        <v>42</v>
      </c>
      <c r="Q797" s="5" t="s">
        <v>1237</v>
      </c>
      <c r="R797" s="5" t="s">
        <v>8539</v>
      </c>
      <c r="S797" s="6" t="s">
        <v>71</v>
      </c>
      <c r="T797" s="6">
        <v>6500.0</v>
      </c>
    </row>
    <row r="798" ht="56.25" customHeight="1">
      <c r="A798" s="5" t="s">
        <v>8529</v>
      </c>
      <c r="B798" s="6" t="str">
        <f>image("https://storage.googleapis.com/acdb/photos/BromideNpcNmlFlg17_Remake_4_0.png")</f>
        <v/>
      </c>
      <c r="C798" s="5" t="s">
        <v>1167</v>
      </c>
      <c r="D798" s="5" t="s">
        <v>1327</v>
      </c>
      <c r="E798" s="5" t="s">
        <v>34</v>
      </c>
      <c r="F798" s="5" t="s">
        <v>34</v>
      </c>
      <c r="G798" s="5" t="s">
        <v>36</v>
      </c>
      <c r="H798" s="5" t="s">
        <v>35</v>
      </c>
      <c r="I798" s="6">
        <v>1.0</v>
      </c>
      <c r="J798" s="6" t="s">
        <v>37</v>
      </c>
      <c r="K798" s="6">
        <v>10.0</v>
      </c>
      <c r="L798" s="5"/>
      <c r="M798" s="5"/>
      <c r="N798" s="6" t="s">
        <v>40</v>
      </c>
      <c r="O798" s="5" t="s">
        <v>5363</v>
      </c>
      <c r="P798" s="6" t="s">
        <v>42</v>
      </c>
      <c r="Q798" s="5" t="s">
        <v>1237</v>
      </c>
      <c r="R798" s="5" t="s">
        <v>8541</v>
      </c>
      <c r="S798" s="6" t="s">
        <v>75</v>
      </c>
      <c r="T798" s="6">
        <v>6500.0</v>
      </c>
    </row>
    <row r="799" ht="56.25" customHeight="1">
      <c r="A799" s="5" t="s">
        <v>8529</v>
      </c>
      <c r="B799" s="6" t="str">
        <f>image("https://storage.googleapis.com/acdb/photos/BromideNpcNmlFlg17_Remake_5_0.png")</f>
        <v/>
      </c>
      <c r="C799" s="5" t="s">
        <v>58</v>
      </c>
      <c r="D799" s="5" t="s">
        <v>1327</v>
      </c>
      <c r="E799" s="5" t="s">
        <v>34</v>
      </c>
      <c r="F799" s="5" t="s">
        <v>34</v>
      </c>
      <c r="G799" s="5" t="s">
        <v>36</v>
      </c>
      <c r="H799" s="5" t="s">
        <v>35</v>
      </c>
      <c r="I799" s="6">
        <v>1.0</v>
      </c>
      <c r="J799" s="6" t="s">
        <v>37</v>
      </c>
      <c r="K799" s="6">
        <v>10.0</v>
      </c>
      <c r="L799" s="5"/>
      <c r="M799" s="5"/>
      <c r="N799" s="6" t="s">
        <v>40</v>
      </c>
      <c r="O799" s="5" t="s">
        <v>5363</v>
      </c>
      <c r="P799" s="6" t="s">
        <v>42</v>
      </c>
      <c r="Q799" s="5" t="s">
        <v>1237</v>
      </c>
      <c r="R799" s="5" t="s">
        <v>8543</v>
      </c>
      <c r="S799" s="6" t="s">
        <v>79</v>
      </c>
      <c r="T799" s="6">
        <v>6500.0</v>
      </c>
    </row>
    <row r="800" ht="56.25" customHeight="1">
      <c r="A800" s="5" t="s">
        <v>8529</v>
      </c>
      <c r="B800" s="6" t="str">
        <f>image("https://storage.googleapis.com/acdb/photos/BromideNpcNmlFlg17_Remake_6_0.png")</f>
        <v/>
      </c>
      <c r="C800" s="5" t="s">
        <v>146</v>
      </c>
      <c r="D800" s="5" t="s">
        <v>1327</v>
      </c>
      <c r="E800" s="5" t="s">
        <v>34</v>
      </c>
      <c r="F800" s="5" t="s">
        <v>34</v>
      </c>
      <c r="G800" s="5" t="s">
        <v>36</v>
      </c>
      <c r="H800" s="5" t="s">
        <v>35</v>
      </c>
      <c r="I800" s="6">
        <v>1.0</v>
      </c>
      <c r="J800" s="6" t="s">
        <v>37</v>
      </c>
      <c r="K800" s="6">
        <v>10.0</v>
      </c>
      <c r="L800" s="5"/>
      <c r="M800" s="5"/>
      <c r="N800" s="6" t="s">
        <v>40</v>
      </c>
      <c r="O800" s="5" t="s">
        <v>5363</v>
      </c>
      <c r="P800" s="6" t="s">
        <v>42</v>
      </c>
      <c r="Q800" s="5" t="s">
        <v>1237</v>
      </c>
      <c r="R800" s="5" t="s">
        <v>8545</v>
      </c>
      <c r="S800" s="6" t="s">
        <v>86</v>
      </c>
      <c r="T800" s="6">
        <v>6500.0</v>
      </c>
    </row>
    <row r="801" ht="56.25" customHeight="1">
      <c r="A801" s="5" t="s">
        <v>8529</v>
      </c>
      <c r="B801" s="6" t="str">
        <f>image("https://storage.googleapis.com/acdb/photos/BromideNpcNmlFlg17_Remake_7_0.png")</f>
        <v/>
      </c>
      <c r="C801" s="5" t="s">
        <v>151</v>
      </c>
      <c r="D801" s="5" t="s">
        <v>1327</v>
      </c>
      <c r="E801" s="5" t="s">
        <v>34</v>
      </c>
      <c r="F801" s="5" t="s">
        <v>34</v>
      </c>
      <c r="G801" s="5" t="s">
        <v>36</v>
      </c>
      <c r="H801" s="5" t="s">
        <v>35</v>
      </c>
      <c r="I801" s="6">
        <v>1.0</v>
      </c>
      <c r="J801" s="6" t="s">
        <v>37</v>
      </c>
      <c r="K801" s="6">
        <v>10.0</v>
      </c>
      <c r="L801" s="5"/>
      <c r="M801" s="5"/>
      <c r="N801" s="6" t="s">
        <v>40</v>
      </c>
      <c r="O801" s="5" t="s">
        <v>5363</v>
      </c>
      <c r="P801" s="6" t="s">
        <v>42</v>
      </c>
      <c r="Q801" s="5" t="s">
        <v>1237</v>
      </c>
      <c r="R801" s="5" t="s">
        <v>8550</v>
      </c>
      <c r="S801" s="6" t="s">
        <v>208</v>
      </c>
      <c r="T801" s="6">
        <v>6500.0</v>
      </c>
    </row>
    <row r="802" ht="56.25" customHeight="1">
      <c r="A802" s="5" t="s">
        <v>8551</v>
      </c>
      <c r="B802" s="6" t="str">
        <f>image("https://storage.googleapis.com/acdb/photos/BromideNpcNmlPgn02_Remake_0_0.png")</f>
        <v/>
      </c>
      <c r="C802" s="5" t="s">
        <v>366</v>
      </c>
      <c r="D802" s="5" t="s">
        <v>1327</v>
      </c>
      <c r="E802" s="5" t="s">
        <v>34</v>
      </c>
      <c r="F802" s="5" t="s">
        <v>34</v>
      </c>
      <c r="G802" s="5" t="s">
        <v>36</v>
      </c>
      <c r="H802" s="5" t="s">
        <v>35</v>
      </c>
      <c r="I802" s="6">
        <v>1.0</v>
      </c>
      <c r="J802" s="6" t="s">
        <v>37</v>
      </c>
      <c r="K802" s="6">
        <v>10.0</v>
      </c>
      <c r="L802" s="5"/>
      <c r="M802" s="5"/>
      <c r="N802" s="6" t="s">
        <v>40</v>
      </c>
      <c r="O802" s="5" t="s">
        <v>5363</v>
      </c>
      <c r="P802" s="6" t="s">
        <v>42</v>
      </c>
      <c r="Q802" s="5" t="s">
        <v>1237</v>
      </c>
      <c r="R802" s="5" t="s">
        <v>8552</v>
      </c>
      <c r="S802" s="6" t="s">
        <v>50</v>
      </c>
      <c r="T802" s="6">
        <v>6632.0</v>
      </c>
    </row>
    <row r="803" ht="56.25" customHeight="1">
      <c r="A803" s="5" t="s">
        <v>8551</v>
      </c>
      <c r="B803" s="6" t="str">
        <f>image("https://storage.googleapis.com/acdb/photos/BromideNpcNmlPgn02_Remake_1_0.png")</f>
        <v/>
      </c>
      <c r="C803" s="5" t="s">
        <v>1132</v>
      </c>
      <c r="D803" s="5" t="s">
        <v>1327</v>
      </c>
      <c r="E803" s="5" t="s">
        <v>34</v>
      </c>
      <c r="F803" s="5" t="s">
        <v>34</v>
      </c>
      <c r="G803" s="5" t="s">
        <v>36</v>
      </c>
      <c r="H803" s="5" t="s">
        <v>35</v>
      </c>
      <c r="I803" s="6">
        <v>1.0</v>
      </c>
      <c r="J803" s="6" t="s">
        <v>37</v>
      </c>
      <c r="K803" s="6">
        <v>10.0</v>
      </c>
      <c r="L803" s="5"/>
      <c r="M803" s="5"/>
      <c r="N803" s="6" t="s">
        <v>40</v>
      </c>
      <c r="O803" s="5" t="s">
        <v>5363</v>
      </c>
      <c r="P803" s="6" t="s">
        <v>42</v>
      </c>
      <c r="Q803" s="5" t="s">
        <v>1237</v>
      </c>
      <c r="R803" s="5" t="s">
        <v>8555</v>
      </c>
      <c r="S803" s="6" t="s">
        <v>56</v>
      </c>
      <c r="T803" s="6">
        <v>6632.0</v>
      </c>
    </row>
    <row r="804" ht="56.25" customHeight="1">
      <c r="A804" s="5" t="s">
        <v>8551</v>
      </c>
      <c r="B804" s="6" t="str">
        <f>image("https://storage.googleapis.com/acdb/photos/BromideNpcNmlPgn02_Remake_2_0.png")</f>
        <v/>
      </c>
      <c r="C804" s="5" t="s">
        <v>688</v>
      </c>
      <c r="D804" s="5" t="s">
        <v>1327</v>
      </c>
      <c r="E804" s="5" t="s">
        <v>34</v>
      </c>
      <c r="F804" s="5" t="s">
        <v>34</v>
      </c>
      <c r="G804" s="5" t="s">
        <v>36</v>
      </c>
      <c r="H804" s="5" t="s">
        <v>35</v>
      </c>
      <c r="I804" s="6">
        <v>1.0</v>
      </c>
      <c r="J804" s="6" t="s">
        <v>37</v>
      </c>
      <c r="K804" s="6">
        <v>10.0</v>
      </c>
      <c r="L804" s="5"/>
      <c r="M804" s="5"/>
      <c r="N804" s="6" t="s">
        <v>40</v>
      </c>
      <c r="O804" s="5" t="s">
        <v>5363</v>
      </c>
      <c r="P804" s="6" t="s">
        <v>42</v>
      </c>
      <c r="Q804" s="5" t="s">
        <v>1237</v>
      </c>
      <c r="R804" s="5" t="s">
        <v>8558</v>
      </c>
      <c r="S804" s="6" t="s">
        <v>67</v>
      </c>
      <c r="T804" s="6">
        <v>6632.0</v>
      </c>
    </row>
    <row r="805" ht="56.25" customHeight="1">
      <c r="A805" s="5" t="s">
        <v>8551</v>
      </c>
      <c r="B805" s="6" t="str">
        <f>image("https://storage.googleapis.com/acdb/photos/BromideNpcNmlPgn02_Remake_3_0.png")</f>
        <v/>
      </c>
      <c r="C805" s="5" t="s">
        <v>57</v>
      </c>
      <c r="D805" s="5" t="s">
        <v>1327</v>
      </c>
      <c r="E805" s="5" t="s">
        <v>34</v>
      </c>
      <c r="F805" s="5" t="s">
        <v>34</v>
      </c>
      <c r="G805" s="5" t="s">
        <v>36</v>
      </c>
      <c r="H805" s="5" t="s">
        <v>35</v>
      </c>
      <c r="I805" s="6">
        <v>1.0</v>
      </c>
      <c r="J805" s="6" t="s">
        <v>37</v>
      </c>
      <c r="K805" s="6">
        <v>10.0</v>
      </c>
      <c r="L805" s="5"/>
      <c r="M805" s="5"/>
      <c r="N805" s="6" t="s">
        <v>40</v>
      </c>
      <c r="O805" s="5" t="s">
        <v>5363</v>
      </c>
      <c r="P805" s="6" t="s">
        <v>42</v>
      </c>
      <c r="Q805" s="5" t="s">
        <v>1237</v>
      </c>
      <c r="R805" s="5" t="s">
        <v>8560</v>
      </c>
      <c r="S805" s="6" t="s">
        <v>71</v>
      </c>
      <c r="T805" s="6">
        <v>6632.0</v>
      </c>
    </row>
    <row r="806" ht="56.25" customHeight="1">
      <c r="A806" s="5" t="s">
        <v>8551</v>
      </c>
      <c r="B806" s="6" t="str">
        <f>image("https://storage.googleapis.com/acdb/photos/BromideNpcNmlPgn02_Remake_4_0.png")</f>
        <v/>
      </c>
      <c r="C806" s="5" t="s">
        <v>1167</v>
      </c>
      <c r="D806" s="5" t="s">
        <v>1327</v>
      </c>
      <c r="E806" s="5" t="s">
        <v>34</v>
      </c>
      <c r="F806" s="5" t="s">
        <v>34</v>
      </c>
      <c r="G806" s="5" t="s">
        <v>36</v>
      </c>
      <c r="H806" s="5" t="s">
        <v>35</v>
      </c>
      <c r="I806" s="6">
        <v>1.0</v>
      </c>
      <c r="J806" s="6" t="s">
        <v>37</v>
      </c>
      <c r="K806" s="6">
        <v>10.0</v>
      </c>
      <c r="L806" s="5"/>
      <c r="M806" s="5"/>
      <c r="N806" s="6" t="s">
        <v>40</v>
      </c>
      <c r="O806" s="5" t="s">
        <v>5363</v>
      </c>
      <c r="P806" s="6" t="s">
        <v>42</v>
      </c>
      <c r="Q806" s="5" t="s">
        <v>1237</v>
      </c>
      <c r="R806" s="5" t="s">
        <v>8563</v>
      </c>
      <c r="S806" s="6" t="s">
        <v>75</v>
      </c>
      <c r="T806" s="6">
        <v>6632.0</v>
      </c>
    </row>
    <row r="807" ht="56.25" customHeight="1">
      <c r="A807" s="5" t="s">
        <v>8551</v>
      </c>
      <c r="B807" s="6" t="str">
        <f>image("https://storage.googleapis.com/acdb/photos/BromideNpcNmlPgn02_Remake_5_0.png")</f>
        <v/>
      </c>
      <c r="C807" s="5" t="s">
        <v>58</v>
      </c>
      <c r="D807" s="5" t="s">
        <v>1327</v>
      </c>
      <c r="E807" s="5" t="s">
        <v>34</v>
      </c>
      <c r="F807" s="5" t="s">
        <v>34</v>
      </c>
      <c r="G807" s="5" t="s">
        <v>36</v>
      </c>
      <c r="H807" s="5" t="s">
        <v>35</v>
      </c>
      <c r="I807" s="6">
        <v>1.0</v>
      </c>
      <c r="J807" s="6" t="s">
        <v>37</v>
      </c>
      <c r="K807" s="6">
        <v>10.0</v>
      </c>
      <c r="L807" s="5"/>
      <c r="M807" s="5"/>
      <c r="N807" s="6" t="s">
        <v>40</v>
      </c>
      <c r="O807" s="5" t="s">
        <v>5363</v>
      </c>
      <c r="P807" s="6" t="s">
        <v>42</v>
      </c>
      <c r="Q807" s="5" t="s">
        <v>1237</v>
      </c>
      <c r="R807" s="5" t="s">
        <v>8564</v>
      </c>
      <c r="S807" s="6" t="s">
        <v>79</v>
      </c>
      <c r="T807" s="6">
        <v>6632.0</v>
      </c>
    </row>
    <row r="808" ht="56.25" customHeight="1">
      <c r="A808" s="5" t="s">
        <v>8551</v>
      </c>
      <c r="B808" s="6" t="str">
        <f>image("https://storage.googleapis.com/acdb/photos/BromideNpcNmlPgn02_Remake_6_0.png")</f>
        <v/>
      </c>
      <c r="C808" s="5" t="s">
        <v>146</v>
      </c>
      <c r="D808" s="5" t="s">
        <v>1327</v>
      </c>
      <c r="E808" s="5" t="s">
        <v>34</v>
      </c>
      <c r="F808" s="5" t="s">
        <v>34</v>
      </c>
      <c r="G808" s="5" t="s">
        <v>36</v>
      </c>
      <c r="H808" s="5" t="s">
        <v>35</v>
      </c>
      <c r="I808" s="6">
        <v>1.0</v>
      </c>
      <c r="J808" s="6" t="s">
        <v>37</v>
      </c>
      <c r="K808" s="6">
        <v>10.0</v>
      </c>
      <c r="L808" s="5"/>
      <c r="M808" s="5"/>
      <c r="N808" s="6" t="s">
        <v>40</v>
      </c>
      <c r="O808" s="5" t="s">
        <v>5363</v>
      </c>
      <c r="P808" s="6" t="s">
        <v>42</v>
      </c>
      <c r="Q808" s="5" t="s">
        <v>1237</v>
      </c>
      <c r="R808" s="5" t="s">
        <v>8566</v>
      </c>
      <c r="S808" s="6" t="s">
        <v>86</v>
      </c>
      <c r="T808" s="6">
        <v>6632.0</v>
      </c>
    </row>
    <row r="809" ht="56.25" customHeight="1">
      <c r="A809" s="5" t="s">
        <v>8551</v>
      </c>
      <c r="B809" s="6" t="str">
        <f>image("https://storage.googleapis.com/acdb/photos/BromideNpcNmlPgn02_Remake_7_0.png")</f>
        <v/>
      </c>
      <c r="C809" s="5" t="s">
        <v>151</v>
      </c>
      <c r="D809" s="5" t="s">
        <v>1327</v>
      </c>
      <c r="E809" s="5" t="s">
        <v>34</v>
      </c>
      <c r="F809" s="5" t="s">
        <v>34</v>
      </c>
      <c r="G809" s="5" t="s">
        <v>36</v>
      </c>
      <c r="H809" s="5" t="s">
        <v>35</v>
      </c>
      <c r="I809" s="6">
        <v>1.0</v>
      </c>
      <c r="J809" s="6" t="s">
        <v>37</v>
      </c>
      <c r="K809" s="6">
        <v>10.0</v>
      </c>
      <c r="L809" s="5"/>
      <c r="M809" s="5"/>
      <c r="N809" s="6" t="s">
        <v>40</v>
      </c>
      <c r="O809" s="5" t="s">
        <v>5363</v>
      </c>
      <c r="P809" s="6" t="s">
        <v>42</v>
      </c>
      <c r="Q809" s="5" t="s">
        <v>1237</v>
      </c>
      <c r="R809" s="5" t="s">
        <v>8567</v>
      </c>
      <c r="S809" s="6" t="s">
        <v>208</v>
      </c>
      <c r="T809" s="6">
        <v>6632.0</v>
      </c>
    </row>
    <row r="810" ht="56.25" customHeight="1">
      <c r="A810" s="5" t="s">
        <v>8568</v>
      </c>
      <c r="B810" s="6" t="str">
        <f>image("https://storage.googleapis.com/acdb/photos/BromideNpcNmlShp08_Remake_0_0.png")</f>
        <v/>
      </c>
      <c r="C810" s="5" t="s">
        <v>366</v>
      </c>
      <c r="D810" s="5" t="s">
        <v>1327</v>
      </c>
      <c r="E810" s="5" t="s">
        <v>34</v>
      </c>
      <c r="F810" s="5" t="s">
        <v>34</v>
      </c>
      <c r="G810" s="5" t="s">
        <v>36</v>
      </c>
      <c r="H810" s="5" t="s">
        <v>35</v>
      </c>
      <c r="I810" s="6">
        <v>1.0</v>
      </c>
      <c r="J810" s="6" t="s">
        <v>37</v>
      </c>
      <c r="K810" s="6">
        <v>10.0</v>
      </c>
      <c r="L810" s="5"/>
      <c r="M810" s="5"/>
      <c r="N810" s="6" t="s">
        <v>40</v>
      </c>
      <c r="O810" s="5" t="s">
        <v>5363</v>
      </c>
      <c r="P810" s="6" t="s">
        <v>42</v>
      </c>
      <c r="Q810" s="5" t="s">
        <v>1237</v>
      </c>
      <c r="R810" s="5" t="s">
        <v>8571</v>
      </c>
      <c r="S810" s="6" t="s">
        <v>50</v>
      </c>
      <c r="T810" s="6">
        <v>6697.0</v>
      </c>
    </row>
    <row r="811" ht="56.25" customHeight="1">
      <c r="A811" s="5" t="s">
        <v>8568</v>
      </c>
      <c r="B811" s="6" t="str">
        <f>image("https://storage.googleapis.com/acdb/photos/BromideNpcNmlShp08_Remake_1_0.png")</f>
        <v/>
      </c>
      <c r="C811" s="5" t="s">
        <v>1132</v>
      </c>
      <c r="D811" s="5" t="s">
        <v>1327</v>
      </c>
      <c r="E811" s="5" t="s">
        <v>34</v>
      </c>
      <c r="F811" s="5" t="s">
        <v>34</v>
      </c>
      <c r="G811" s="5" t="s">
        <v>36</v>
      </c>
      <c r="H811" s="5" t="s">
        <v>35</v>
      </c>
      <c r="I811" s="6">
        <v>1.0</v>
      </c>
      <c r="J811" s="6" t="s">
        <v>37</v>
      </c>
      <c r="K811" s="6">
        <v>10.0</v>
      </c>
      <c r="L811" s="5"/>
      <c r="M811" s="5"/>
      <c r="N811" s="6" t="s">
        <v>40</v>
      </c>
      <c r="O811" s="5" t="s">
        <v>5363</v>
      </c>
      <c r="P811" s="6" t="s">
        <v>42</v>
      </c>
      <c r="Q811" s="5" t="s">
        <v>1237</v>
      </c>
      <c r="R811" s="5" t="s">
        <v>8572</v>
      </c>
      <c r="S811" s="6" t="s">
        <v>56</v>
      </c>
      <c r="T811" s="6">
        <v>6697.0</v>
      </c>
    </row>
    <row r="812" ht="56.25" customHeight="1">
      <c r="A812" s="5" t="s">
        <v>8568</v>
      </c>
      <c r="B812" s="6" t="str">
        <f>image("https://storage.googleapis.com/acdb/photos/BromideNpcNmlShp08_Remake_2_0.png")</f>
        <v/>
      </c>
      <c r="C812" s="5" t="s">
        <v>688</v>
      </c>
      <c r="D812" s="5" t="s">
        <v>1327</v>
      </c>
      <c r="E812" s="5" t="s">
        <v>34</v>
      </c>
      <c r="F812" s="5" t="s">
        <v>34</v>
      </c>
      <c r="G812" s="5" t="s">
        <v>36</v>
      </c>
      <c r="H812" s="5" t="s">
        <v>35</v>
      </c>
      <c r="I812" s="6">
        <v>1.0</v>
      </c>
      <c r="J812" s="6" t="s">
        <v>37</v>
      </c>
      <c r="K812" s="6">
        <v>10.0</v>
      </c>
      <c r="L812" s="5"/>
      <c r="M812" s="5"/>
      <c r="N812" s="6" t="s">
        <v>40</v>
      </c>
      <c r="O812" s="5" t="s">
        <v>5363</v>
      </c>
      <c r="P812" s="6" t="s">
        <v>42</v>
      </c>
      <c r="Q812" s="5" t="s">
        <v>1237</v>
      </c>
      <c r="R812" s="5" t="s">
        <v>8576</v>
      </c>
      <c r="S812" s="6" t="s">
        <v>67</v>
      </c>
      <c r="T812" s="6">
        <v>6697.0</v>
      </c>
    </row>
    <row r="813" ht="56.25" customHeight="1">
      <c r="A813" s="5" t="s">
        <v>8568</v>
      </c>
      <c r="B813" s="6" t="str">
        <f>image("https://storage.googleapis.com/acdb/photos/BromideNpcNmlShp08_Remake_3_0.png")</f>
        <v/>
      </c>
      <c r="C813" s="5" t="s">
        <v>57</v>
      </c>
      <c r="D813" s="5" t="s">
        <v>1327</v>
      </c>
      <c r="E813" s="5" t="s">
        <v>34</v>
      </c>
      <c r="F813" s="5" t="s">
        <v>34</v>
      </c>
      <c r="G813" s="5" t="s">
        <v>36</v>
      </c>
      <c r="H813" s="5" t="s">
        <v>35</v>
      </c>
      <c r="I813" s="6">
        <v>1.0</v>
      </c>
      <c r="J813" s="6" t="s">
        <v>37</v>
      </c>
      <c r="K813" s="6">
        <v>10.0</v>
      </c>
      <c r="L813" s="5"/>
      <c r="M813" s="5"/>
      <c r="N813" s="6" t="s">
        <v>40</v>
      </c>
      <c r="O813" s="5" t="s">
        <v>5363</v>
      </c>
      <c r="P813" s="6" t="s">
        <v>42</v>
      </c>
      <c r="Q813" s="5" t="s">
        <v>1237</v>
      </c>
      <c r="R813" s="5" t="s">
        <v>8579</v>
      </c>
      <c r="S813" s="6" t="s">
        <v>71</v>
      </c>
      <c r="T813" s="6">
        <v>6697.0</v>
      </c>
    </row>
    <row r="814" ht="56.25" customHeight="1">
      <c r="A814" s="5" t="s">
        <v>8568</v>
      </c>
      <c r="B814" s="6" t="str">
        <f>image("https://storage.googleapis.com/acdb/photos/BromideNpcNmlShp08_Remake_4_0.png")</f>
        <v/>
      </c>
      <c r="C814" s="5" t="s">
        <v>1167</v>
      </c>
      <c r="D814" s="5" t="s">
        <v>1327</v>
      </c>
      <c r="E814" s="5" t="s">
        <v>34</v>
      </c>
      <c r="F814" s="5" t="s">
        <v>34</v>
      </c>
      <c r="G814" s="5" t="s">
        <v>36</v>
      </c>
      <c r="H814" s="5" t="s">
        <v>35</v>
      </c>
      <c r="I814" s="6">
        <v>1.0</v>
      </c>
      <c r="J814" s="6" t="s">
        <v>37</v>
      </c>
      <c r="K814" s="6">
        <v>10.0</v>
      </c>
      <c r="L814" s="5"/>
      <c r="M814" s="5"/>
      <c r="N814" s="6" t="s">
        <v>40</v>
      </c>
      <c r="O814" s="5" t="s">
        <v>5363</v>
      </c>
      <c r="P814" s="6" t="s">
        <v>42</v>
      </c>
      <c r="Q814" s="5" t="s">
        <v>1237</v>
      </c>
      <c r="R814" s="5" t="s">
        <v>8584</v>
      </c>
      <c r="S814" s="6" t="s">
        <v>75</v>
      </c>
      <c r="T814" s="6">
        <v>6697.0</v>
      </c>
    </row>
    <row r="815" ht="56.25" customHeight="1">
      <c r="A815" s="5" t="s">
        <v>8568</v>
      </c>
      <c r="B815" s="6" t="str">
        <f>image("https://storage.googleapis.com/acdb/photos/BromideNpcNmlShp08_Remake_5_0.png")</f>
        <v/>
      </c>
      <c r="C815" s="5" t="s">
        <v>58</v>
      </c>
      <c r="D815" s="5" t="s">
        <v>1327</v>
      </c>
      <c r="E815" s="5" t="s">
        <v>34</v>
      </c>
      <c r="F815" s="5" t="s">
        <v>34</v>
      </c>
      <c r="G815" s="5" t="s">
        <v>36</v>
      </c>
      <c r="H815" s="5" t="s">
        <v>35</v>
      </c>
      <c r="I815" s="6">
        <v>1.0</v>
      </c>
      <c r="J815" s="6" t="s">
        <v>37</v>
      </c>
      <c r="K815" s="6">
        <v>10.0</v>
      </c>
      <c r="L815" s="5"/>
      <c r="M815" s="5"/>
      <c r="N815" s="6" t="s">
        <v>40</v>
      </c>
      <c r="O815" s="5" t="s">
        <v>5363</v>
      </c>
      <c r="P815" s="6" t="s">
        <v>42</v>
      </c>
      <c r="Q815" s="5" t="s">
        <v>1237</v>
      </c>
      <c r="R815" s="5" t="s">
        <v>8588</v>
      </c>
      <c r="S815" s="6" t="s">
        <v>79</v>
      </c>
      <c r="T815" s="6">
        <v>6697.0</v>
      </c>
    </row>
    <row r="816" ht="56.25" customHeight="1">
      <c r="A816" s="5" t="s">
        <v>8568</v>
      </c>
      <c r="B816" s="6" t="str">
        <f>image("https://storage.googleapis.com/acdb/photos/BromideNpcNmlShp08_Remake_6_0.png")</f>
        <v/>
      </c>
      <c r="C816" s="5" t="s">
        <v>146</v>
      </c>
      <c r="D816" s="5" t="s">
        <v>1327</v>
      </c>
      <c r="E816" s="5" t="s">
        <v>34</v>
      </c>
      <c r="F816" s="5" t="s">
        <v>34</v>
      </c>
      <c r="G816" s="5" t="s">
        <v>36</v>
      </c>
      <c r="H816" s="5" t="s">
        <v>35</v>
      </c>
      <c r="I816" s="6">
        <v>1.0</v>
      </c>
      <c r="J816" s="6" t="s">
        <v>37</v>
      </c>
      <c r="K816" s="6">
        <v>10.0</v>
      </c>
      <c r="L816" s="5"/>
      <c r="M816" s="5"/>
      <c r="N816" s="6" t="s">
        <v>40</v>
      </c>
      <c r="O816" s="5" t="s">
        <v>5363</v>
      </c>
      <c r="P816" s="6" t="s">
        <v>42</v>
      </c>
      <c r="Q816" s="5" t="s">
        <v>1237</v>
      </c>
      <c r="R816" s="5" t="s">
        <v>8592</v>
      </c>
      <c r="S816" s="6" t="s">
        <v>86</v>
      </c>
      <c r="T816" s="6">
        <v>6697.0</v>
      </c>
    </row>
    <row r="817" ht="56.25" customHeight="1">
      <c r="A817" s="5" t="s">
        <v>8568</v>
      </c>
      <c r="B817" s="6" t="str">
        <f>image("https://storage.googleapis.com/acdb/photos/BromideNpcNmlShp08_Remake_7_0.png")</f>
        <v/>
      </c>
      <c r="C817" s="5" t="s">
        <v>151</v>
      </c>
      <c r="D817" s="5" t="s">
        <v>1327</v>
      </c>
      <c r="E817" s="5" t="s">
        <v>34</v>
      </c>
      <c r="F817" s="5" t="s">
        <v>34</v>
      </c>
      <c r="G817" s="5" t="s">
        <v>36</v>
      </c>
      <c r="H817" s="5" t="s">
        <v>35</v>
      </c>
      <c r="I817" s="6">
        <v>1.0</v>
      </c>
      <c r="J817" s="6" t="s">
        <v>37</v>
      </c>
      <c r="K817" s="6">
        <v>10.0</v>
      </c>
      <c r="L817" s="5"/>
      <c r="M817" s="5"/>
      <c r="N817" s="6" t="s">
        <v>40</v>
      </c>
      <c r="O817" s="5" t="s">
        <v>5363</v>
      </c>
      <c r="P817" s="6" t="s">
        <v>42</v>
      </c>
      <c r="Q817" s="5" t="s">
        <v>1237</v>
      </c>
      <c r="R817" s="5" t="s">
        <v>8595</v>
      </c>
      <c r="S817" s="6" t="s">
        <v>208</v>
      </c>
      <c r="T817" s="6">
        <v>6697.0</v>
      </c>
    </row>
    <row r="818" ht="56.25" customHeight="1">
      <c r="A818" s="5" t="s">
        <v>8596</v>
      </c>
      <c r="B818" s="6" t="str">
        <f>image("https://storage.googleapis.com/acdb/photos/BromideNpcNmlPig00_Remake_0_0.png")</f>
        <v/>
      </c>
      <c r="C818" s="5" t="s">
        <v>366</v>
      </c>
      <c r="D818" s="5" t="s">
        <v>1327</v>
      </c>
      <c r="E818" s="5" t="s">
        <v>34</v>
      </c>
      <c r="F818" s="5" t="s">
        <v>34</v>
      </c>
      <c r="G818" s="5" t="s">
        <v>36</v>
      </c>
      <c r="H818" s="5" t="s">
        <v>35</v>
      </c>
      <c r="I818" s="6">
        <v>1.0</v>
      </c>
      <c r="J818" s="6" t="s">
        <v>37</v>
      </c>
      <c r="K818" s="6">
        <v>10.0</v>
      </c>
      <c r="L818" s="5"/>
      <c r="M818" s="5"/>
      <c r="N818" s="6" t="s">
        <v>40</v>
      </c>
      <c r="O818" s="5" t="s">
        <v>5363</v>
      </c>
      <c r="P818" s="6" t="s">
        <v>42</v>
      </c>
      <c r="Q818" s="5" t="s">
        <v>1237</v>
      </c>
      <c r="R818" s="5" t="s">
        <v>8597</v>
      </c>
      <c r="S818" s="6" t="s">
        <v>50</v>
      </c>
      <c r="T818" s="6">
        <v>6644.0</v>
      </c>
    </row>
    <row r="819" ht="56.25" customHeight="1">
      <c r="A819" s="5" t="s">
        <v>8596</v>
      </c>
      <c r="B819" s="6" t="str">
        <f>image("https://storage.googleapis.com/acdb/photos/BromideNpcNmlPig00_Remake_1_0.png")</f>
        <v/>
      </c>
      <c r="C819" s="5" t="s">
        <v>1132</v>
      </c>
      <c r="D819" s="5" t="s">
        <v>1327</v>
      </c>
      <c r="E819" s="5" t="s">
        <v>34</v>
      </c>
      <c r="F819" s="5" t="s">
        <v>34</v>
      </c>
      <c r="G819" s="5" t="s">
        <v>36</v>
      </c>
      <c r="H819" s="5" t="s">
        <v>35</v>
      </c>
      <c r="I819" s="6">
        <v>1.0</v>
      </c>
      <c r="J819" s="6" t="s">
        <v>37</v>
      </c>
      <c r="K819" s="6">
        <v>10.0</v>
      </c>
      <c r="L819" s="5"/>
      <c r="M819" s="5"/>
      <c r="N819" s="6" t="s">
        <v>40</v>
      </c>
      <c r="O819" s="5" t="s">
        <v>5363</v>
      </c>
      <c r="P819" s="6" t="s">
        <v>42</v>
      </c>
      <c r="Q819" s="5" t="s">
        <v>1237</v>
      </c>
      <c r="R819" s="5" t="s">
        <v>8600</v>
      </c>
      <c r="S819" s="6" t="s">
        <v>56</v>
      </c>
      <c r="T819" s="6">
        <v>6644.0</v>
      </c>
    </row>
    <row r="820" ht="56.25" customHeight="1">
      <c r="A820" s="5" t="s">
        <v>8596</v>
      </c>
      <c r="B820" s="6" t="str">
        <f>image("https://storage.googleapis.com/acdb/photos/BromideNpcNmlPig00_Remake_2_0.png")</f>
        <v/>
      </c>
      <c r="C820" s="5" t="s">
        <v>688</v>
      </c>
      <c r="D820" s="5" t="s">
        <v>1327</v>
      </c>
      <c r="E820" s="5" t="s">
        <v>34</v>
      </c>
      <c r="F820" s="5" t="s">
        <v>34</v>
      </c>
      <c r="G820" s="5" t="s">
        <v>36</v>
      </c>
      <c r="H820" s="5" t="s">
        <v>35</v>
      </c>
      <c r="I820" s="6">
        <v>1.0</v>
      </c>
      <c r="J820" s="6" t="s">
        <v>37</v>
      </c>
      <c r="K820" s="6">
        <v>10.0</v>
      </c>
      <c r="L820" s="5"/>
      <c r="M820" s="5"/>
      <c r="N820" s="6" t="s">
        <v>40</v>
      </c>
      <c r="O820" s="5" t="s">
        <v>5363</v>
      </c>
      <c r="P820" s="6" t="s">
        <v>42</v>
      </c>
      <c r="Q820" s="5" t="s">
        <v>1237</v>
      </c>
      <c r="R820" s="5" t="s">
        <v>8603</v>
      </c>
      <c r="S820" s="6" t="s">
        <v>67</v>
      </c>
      <c r="T820" s="6">
        <v>6644.0</v>
      </c>
    </row>
    <row r="821" ht="56.25" customHeight="1">
      <c r="A821" s="5" t="s">
        <v>8596</v>
      </c>
      <c r="B821" s="6" t="str">
        <f>image("https://storage.googleapis.com/acdb/photos/BromideNpcNmlPig00_Remake_3_0.png")</f>
        <v/>
      </c>
      <c r="C821" s="5" t="s">
        <v>57</v>
      </c>
      <c r="D821" s="5" t="s">
        <v>1327</v>
      </c>
      <c r="E821" s="5" t="s">
        <v>34</v>
      </c>
      <c r="F821" s="5" t="s">
        <v>34</v>
      </c>
      <c r="G821" s="5" t="s">
        <v>36</v>
      </c>
      <c r="H821" s="5" t="s">
        <v>35</v>
      </c>
      <c r="I821" s="6">
        <v>1.0</v>
      </c>
      <c r="J821" s="6" t="s">
        <v>37</v>
      </c>
      <c r="K821" s="6">
        <v>10.0</v>
      </c>
      <c r="L821" s="5"/>
      <c r="M821" s="5"/>
      <c r="N821" s="6" t="s">
        <v>40</v>
      </c>
      <c r="O821" s="5" t="s">
        <v>5363</v>
      </c>
      <c r="P821" s="6" t="s">
        <v>42</v>
      </c>
      <c r="Q821" s="5" t="s">
        <v>1237</v>
      </c>
      <c r="R821" s="5" t="s">
        <v>8605</v>
      </c>
      <c r="S821" s="6" t="s">
        <v>71</v>
      </c>
      <c r="T821" s="6">
        <v>6644.0</v>
      </c>
    </row>
    <row r="822" ht="56.25" customHeight="1">
      <c r="A822" s="5" t="s">
        <v>8596</v>
      </c>
      <c r="B822" s="6" t="str">
        <f>image("https://storage.googleapis.com/acdb/photos/BromideNpcNmlPig00_Remake_4_0.png")</f>
        <v/>
      </c>
      <c r="C822" s="5" t="s">
        <v>1167</v>
      </c>
      <c r="D822" s="5" t="s">
        <v>1327</v>
      </c>
      <c r="E822" s="5" t="s">
        <v>34</v>
      </c>
      <c r="F822" s="5" t="s">
        <v>34</v>
      </c>
      <c r="G822" s="5" t="s">
        <v>36</v>
      </c>
      <c r="H822" s="5" t="s">
        <v>35</v>
      </c>
      <c r="I822" s="6">
        <v>1.0</v>
      </c>
      <c r="J822" s="6" t="s">
        <v>37</v>
      </c>
      <c r="K822" s="6">
        <v>10.0</v>
      </c>
      <c r="L822" s="5"/>
      <c r="M822" s="5"/>
      <c r="N822" s="6" t="s">
        <v>40</v>
      </c>
      <c r="O822" s="5" t="s">
        <v>5363</v>
      </c>
      <c r="P822" s="6" t="s">
        <v>42</v>
      </c>
      <c r="Q822" s="5" t="s">
        <v>1237</v>
      </c>
      <c r="R822" s="5" t="s">
        <v>8607</v>
      </c>
      <c r="S822" s="6" t="s">
        <v>75</v>
      </c>
      <c r="T822" s="6">
        <v>6644.0</v>
      </c>
    </row>
    <row r="823" ht="56.25" customHeight="1">
      <c r="A823" s="5" t="s">
        <v>8596</v>
      </c>
      <c r="B823" s="6" t="str">
        <f>image("https://storage.googleapis.com/acdb/photos/BromideNpcNmlPig00_Remake_5_0.png")</f>
        <v/>
      </c>
      <c r="C823" s="5" t="s">
        <v>58</v>
      </c>
      <c r="D823" s="5" t="s">
        <v>1327</v>
      </c>
      <c r="E823" s="5" t="s">
        <v>34</v>
      </c>
      <c r="F823" s="5" t="s">
        <v>34</v>
      </c>
      <c r="G823" s="5" t="s">
        <v>36</v>
      </c>
      <c r="H823" s="5" t="s">
        <v>35</v>
      </c>
      <c r="I823" s="6">
        <v>1.0</v>
      </c>
      <c r="J823" s="6" t="s">
        <v>37</v>
      </c>
      <c r="K823" s="6">
        <v>10.0</v>
      </c>
      <c r="L823" s="5"/>
      <c r="M823" s="5"/>
      <c r="N823" s="6" t="s">
        <v>40</v>
      </c>
      <c r="O823" s="5" t="s">
        <v>5363</v>
      </c>
      <c r="P823" s="6" t="s">
        <v>42</v>
      </c>
      <c r="Q823" s="5" t="s">
        <v>1237</v>
      </c>
      <c r="R823" s="5" t="s">
        <v>8609</v>
      </c>
      <c r="S823" s="6" t="s">
        <v>79</v>
      </c>
      <c r="T823" s="6">
        <v>6644.0</v>
      </c>
    </row>
    <row r="824" ht="56.25" customHeight="1">
      <c r="A824" s="5" t="s">
        <v>8596</v>
      </c>
      <c r="B824" s="6" t="str">
        <f>image("https://storage.googleapis.com/acdb/photos/BromideNpcNmlPig00_Remake_6_0.png")</f>
        <v/>
      </c>
      <c r="C824" s="5" t="s">
        <v>146</v>
      </c>
      <c r="D824" s="5" t="s">
        <v>1327</v>
      </c>
      <c r="E824" s="5" t="s">
        <v>34</v>
      </c>
      <c r="F824" s="5" t="s">
        <v>34</v>
      </c>
      <c r="G824" s="5" t="s">
        <v>36</v>
      </c>
      <c r="H824" s="5" t="s">
        <v>35</v>
      </c>
      <c r="I824" s="6">
        <v>1.0</v>
      </c>
      <c r="J824" s="6" t="s">
        <v>37</v>
      </c>
      <c r="K824" s="6">
        <v>10.0</v>
      </c>
      <c r="L824" s="5"/>
      <c r="M824" s="5"/>
      <c r="N824" s="6" t="s">
        <v>40</v>
      </c>
      <c r="O824" s="5" t="s">
        <v>5363</v>
      </c>
      <c r="P824" s="6" t="s">
        <v>42</v>
      </c>
      <c r="Q824" s="5" t="s">
        <v>1237</v>
      </c>
      <c r="R824" s="5" t="s">
        <v>8613</v>
      </c>
      <c r="S824" s="6" t="s">
        <v>86</v>
      </c>
      <c r="T824" s="6">
        <v>6644.0</v>
      </c>
    </row>
    <row r="825" ht="56.25" customHeight="1">
      <c r="A825" s="5" t="s">
        <v>8596</v>
      </c>
      <c r="B825" s="6" t="str">
        <f>image("https://storage.googleapis.com/acdb/photos/BromideNpcNmlPig00_Remake_7_0.png")</f>
        <v/>
      </c>
      <c r="C825" s="5" t="s">
        <v>151</v>
      </c>
      <c r="D825" s="5" t="s">
        <v>1327</v>
      </c>
      <c r="E825" s="5" t="s">
        <v>34</v>
      </c>
      <c r="F825" s="5" t="s">
        <v>34</v>
      </c>
      <c r="G825" s="5" t="s">
        <v>36</v>
      </c>
      <c r="H825" s="5" t="s">
        <v>35</v>
      </c>
      <c r="I825" s="6">
        <v>1.0</v>
      </c>
      <c r="J825" s="6" t="s">
        <v>37</v>
      </c>
      <c r="K825" s="6">
        <v>10.0</v>
      </c>
      <c r="L825" s="5"/>
      <c r="M825" s="5"/>
      <c r="N825" s="6" t="s">
        <v>40</v>
      </c>
      <c r="O825" s="5" t="s">
        <v>5363</v>
      </c>
      <c r="P825" s="6" t="s">
        <v>42</v>
      </c>
      <c r="Q825" s="5" t="s">
        <v>1237</v>
      </c>
      <c r="R825" s="5" t="s">
        <v>8616</v>
      </c>
      <c r="S825" s="6" t="s">
        <v>208</v>
      </c>
      <c r="T825" s="6">
        <v>6644.0</v>
      </c>
    </row>
    <row r="826" ht="56.25" customHeight="1">
      <c r="A826" s="5" t="s">
        <v>8617</v>
      </c>
      <c r="B826" s="6" t="str">
        <f>image("https://storage.googleapis.com/acdb/photos/BromideNpcNmlBea02_Remake_0_0.png")</f>
        <v/>
      </c>
      <c r="C826" s="5" t="s">
        <v>366</v>
      </c>
      <c r="D826" s="5" t="s">
        <v>1327</v>
      </c>
      <c r="E826" s="5" t="s">
        <v>34</v>
      </c>
      <c r="F826" s="5" t="s">
        <v>34</v>
      </c>
      <c r="G826" s="5" t="s">
        <v>36</v>
      </c>
      <c r="H826" s="5" t="s">
        <v>35</v>
      </c>
      <c r="I826" s="6">
        <v>1.0</v>
      </c>
      <c r="J826" s="6" t="s">
        <v>37</v>
      </c>
      <c r="K826" s="6">
        <v>10.0</v>
      </c>
      <c r="L826" s="5"/>
      <c r="M826" s="5"/>
      <c r="N826" s="6" t="s">
        <v>40</v>
      </c>
      <c r="O826" s="5" t="s">
        <v>5363</v>
      </c>
      <c r="P826" s="6" t="s">
        <v>42</v>
      </c>
      <c r="Q826" s="5" t="s">
        <v>1237</v>
      </c>
      <c r="R826" s="5" t="s">
        <v>8620</v>
      </c>
      <c r="S826" s="6" t="s">
        <v>50</v>
      </c>
      <c r="T826" s="6">
        <v>6427.0</v>
      </c>
    </row>
    <row r="827" ht="56.25" customHeight="1">
      <c r="A827" s="5" t="s">
        <v>8617</v>
      </c>
      <c r="B827" s="6" t="str">
        <f>image("https://storage.googleapis.com/acdb/photos/BromideNpcNmlBea02_Remake_1_0.png")</f>
        <v/>
      </c>
      <c r="C827" s="5" t="s">
        <v>1132</v>
      </c>
      <c r="D827" s="5" t="s">
        <v>1327</v>
      </c>
      <c r="E827" s="5" t="s">
        <v>34</v>
      </c>
      <c r="F827" s="5" t="s">
        <v>34</v>
      </c>
      <c r="G827" s="5" t="s">
        <v>36</v>
      </c>
      <c r="H827" s="5" t="s">
        <v>35</v>
      </c>
      <c r="I827" s="6">
        <v>1.0</v>
      </c>
      <c r="J827" s="6" t="s">
        <v>37</v>
      </c>
      <c r="K827" s="6">
        <v>10.0</v>
      </c>
      <c r="L827" s="5"/>
      <c r="M827" s="5"/>
      <c r="N827" s="6" t="s">
        <v>40</v>
      </c>
      <c r="O827" s="5" t="s">
        <v>5363</v>
      </c>
      <c r="P827" s="6" t="s">
        <v>42</v>
      </c>
      <c r="Q827" s="5" t="s">
        <v>1237</v>
      </c>
      <c r="R827" s="5" t="s">
        <v>8623</v>
      </c>
      <c r="S827" s="6" t="s">
        <v>56</v>
      </c>
      <c r="T827" s="6">
        <v>6427.0</v>
      </c>
    </row>
    <row r="828" ht="56.25" customHeight="1">
      <c r="A828" s="5" t="s">
        <v>8617</v>
      </c>
      <c r="B828" s="6" t="str">
        <f>image("https://storage.googleapis.com/acdb/photos/BromideNpcNmlBea02_Remake_2_0.png")</f>
        <v/>
      </c>
      <c r="C828" s="5" t="s">
        <v>688</v>
      </c>
      <c r="D828" s="5" t="s">
        <v>1327</v>
      </c>
      <c r="E828" s="5" t="s">
        <v>34</v>
      </c>
      <c r="F828" s="5" t="s">
        <v>34</v>
      </c>
      <c r="G828" s="5" t="s">
        <v>36</v>
      </c>
      <c r="H828" s="5" t="s">
        <v>35</v>
      </c>
      <c r="I828" s="6">
        <v>1.0</v>
      </c>
      <c r="J828" s="6" t="s">
        <v>37</v>
      </c>
      <c r="K828" s="6">
        <v>10.0</v>
      </c>
      <c r="L828" s="5"/>
      <c r="M828" s="5"/>
      <c r="N828" s="6" t="s">
        <v>40</v>
      </c>
      <c r="O828" s="5" t="s">
        <v>5363</v>
      </c>
      <c r="P828" s="6" t="s">
        <v>42</v>
      </c>
      <c r="Q828" s="5" t="s">
        <v>1237</v>
      </c>
      <c r="R828" s="5" t="s">
        <v>8626</v>
      </c>
      <c r="S828" s="6" t="s">
        <v>67</v>
      </c>
      <c r="T828" s="6">
        <v>6427.0</v>
      </c>
    </row>
    <row r="829" ht="56.25" customHeight="1">
      <c r="A829" s="5" t="s">
        <v>8617</v>
      </c>
      <c r="B829" s="6" t="str">
        <f>image("https://storage.googleapis.com/acdb/photos/BromideNpcNmlBea02_Remake_3_0.png")</f>
        <v/>
      </c>
      <c r="C829" s="5" t="s">
        <v>57</v>
      </c>
      <c r="D829" s="5" t="s">
        <v>1327</v>
      </c>
      <c r="E829" s="5" t="s">
        <v>34</v>
      </c>
      <c r="F829" s="5" t="s">
        <v>34</v>
      </c>
      <c r="G829" s="5" t="s">
        <v>36</v>
      </c>
      <c r="H829" s="5" t="s">
        <v>35</v>
      </c>
      <c r="I829" s="6">
        <v>1.0</v>
      </c>
      <c r="J829" s="6" t="s">
        <v>37</v>
      </c>
      <c r="K829" s="6">
        <v>10.0</v>
      </c>
      <c r="L829" s="5"/>
      <c r="M829" s="5"/>
      <c r="N829" s="6" t="s">
        <v>40</v>
      </c>
      <c r="O829" s="5" t="s">
        <v>5363</v>
      </c>
      <c r="P829" s="6" t="s">
        <v>42</v>
      </c>
      <c r="Q829" s="5" t="s">
        <v>1237</v>
      </c>
      <c r="R829" s="5" t="s">
        <v>8633</v>
      </c>
      <c r="S829" s="6" t="s">
        <v>71</v>
      </c>
      <c r="T829" s="6">
        <v>6427.0</v>
      </c>
    </row>
    <row r="830" ht="56.25" customHeight="1">
      <c r="A830" s="5" t="s">
        <v>8617</v>
      </c>
      <c r="B830" s="6" t="str">
        <f>image("https://storage.googleapis.com/acdb/photos/BromideNpcNmlBea02_Remake_4_0.png")</f>
        <v/>
      </c>
      <c r="C830" s="5" t="s">
        <v>1167</v>
      </c>
      <c r="D830" s="5" t="s">
        <v>1327</v>
      </c>
      <c r="E830" s="5" t="s">
        <v>34</v>
      </c>
      <c r="F830" s="5" t="s">
        <v>34</v>
      </c>
      <c r="G830" s="5" t="s">
        <v>36</v>
      </c>
      <c r="H830" s="5" t="s">
        <v>35</v>
      </c>
      <c r="I830" s="6">
        <v>1.0</v>
      </c>
      <c r="J830" s="6" t="s">
        <v>37</v>
      </c>
      <c r="K830" s="6">
        <v>10.0</v>
      </c>
      <c r="L830" s="5"/>
      <c r="M830" s="5"/>
      <c r="N830" s="6" t="s">
        <v>40</v>
      </c>
      <c r="O830" s="5" t="s">
        <v>5363</v>
      </c>
      <c r="P830" s="6" t="s">
        <v>42</v>
      </c>
      <c r="Q830" s="5" t="s">
        <v>1237</v>
      </c>
      <c r="R830" s="5" t="s">
        <v>8637</v>
      </c>
      <c r="S830" s="6" t="s">
        <v>75</v>
      </c>
      <c r="T830" s="6">
        <v>6427.0</v>
      </c>
    </row>
    <row r="831" ht="56.25" customHeight="1">
      <c r="A831" s="5" t="s">
        <v>8617</v>
      </c>
      <c r="B831" s="6" t="str">
        <f>image("https://storage.googleapis.com/acdb/photos/BromideNpcNmlBea02_Remake_5_0.png")</f>
        <v/>
      </c>
      <c r="C831" s="5" t="s">
        <v>58</v>
      </c>
      <c r="D831" s="5" t="s">
        <v>1327</v>
      </c>
      <c r="E831" s="5" t="s">
        <v>34</v>
      </c>
      <c r="F831" s="5" t="s">
        <v>34</v>
      </c>
      <c r="G831" s="5" t="s">
        <v>36</v>
      </c>
      <c r="H831" s="5" t="s">
        <v>35</v>
      </c>
      <c r="I831" s="6">
        <v>1.0</v>
      </c>
      <c r="J831" s="6" t="s">
        <v>37</v>
      </c>
      <c r="K831" s="6">
        <v>10.0</v>
      </c>
      <c r="L831" s="5"/>
      <c r="M831" s="5"/>
      <c r="N831" s="6" t="s">
        <v>40</v>
      </c>
      <c r="O831" s="5" t="s">
        <v>5363</v>
      </c>
      <c r="P831" s="6" t="s">
        <v>42</v>
      </c>
      <c r="Q831" s="5" t="s">
        <v>1237</v>
      </c>
      <c r="R831" s="5" t="s">
        <v>8640</v>
      </c>
      <c r="S831" s="6" t="s">
        <v>79</v>
      </c>
      <c r="T831" s="6">
        <v>6427.0</v>
      </c>
    </row>
    <row r="832" ht="56.25" customHeight="1">
      <c r="A832" s="5" t="s">
        <v>8617</v>
      </c>
      <c r="B832" s="6" t="str">
        <f>image("https://storage.googleapis.com/acdb/photos/BromideNpcNmlBea02_Remake_6_0.png")</f>
        <v/>
      </c>
      <c r="C832" s="5" t="s">
        <v>146</v>
      </c>
      <c r="D832" s="5" t="s">
        <v>1327</v>
      </c>
      <c r="E832" s="5" t="s">
        <v>34</v>
      </c>
      <c r="F832" s="5" t="s">
        <v>34</v>
      </c>
      <c r="G832" s="5" t="s">
        <v>36</v>
      </c>
      <c r="H832" s="5" t="s">
        <v>35</v>
      </c>
      <c r="I832" s="6">
        <v>1.0</v>
      </c>
      <c r="J832" s="6" t="s">
        <v>37</v>
      </c>
      <c r="K832" s="6">
        <v>10.0</v>
      </c>
      <c r="L832" s="5"/>
      <c r="M832" s="5"/>
      <c r="N832" s="6" t="s">
        <v>40</v>
      </c>
      <c r="O832" s="5" t="s">
        <v>5363</v>
      </c>
      <c r="P832" s="6" t="s">
        <v>42</v>
      </c>
      <c r="Q832" s="5" t="s">
        <v>1237</v>
      </c>
      <c r="R832" s="5" t="s">
        <v>8645</v>
      </c>
      <c r="S832" s="6" t="s">
        <v>86</v>
      </c>
      <c r="T832" s="6">
        <v>6427.0</v>
      </c>
    </row>
    <row r="833" ht="56.25" customHeight="1">
      <c r="A833" s="5" t="s">
        <v>8617</v>
      </c>
      <c r="B833" s="6" t="str">
        <f>image("https://storage.googleapis.com/acdb/photos/BromideNpcNmlBea02_Remake_7_0.png")</f>
        <v/>
      </c>
      <c r="C833" s="5" t="s">
        <v>151</v>
      </c>
      <c r="D833" s="5" t="s">
        <v>1327</v>
      </c>
      <c r="E833" s="5" t="s">
        <v>34</v>
      </c>
      <c r="F833" s="5" t="s">
        <v>34</v>
      </c>
      <c r="G833" s="5" t="s">
        <v>36</v>
      </c>
      <c r="H833" s="5" t="s">
        <v>35</v>
      </c>
      <c r="I833" s="6">
        <v>1.0</v>
      </c>
      <c r="J833" s="6" t="s">
        <v>37</v>
      </c>
      <c r="K833" s="6">
        <v>10.0</v>
      </c>
      <c r="L833" s="5"/>
      <c r="M833" s="5"/>
      <c r="N833" s="6" t="s">
        <v>40</v>
      </c>
      <c r="O833" s="5" t="s">
        <v>5363</v>
      </c>
      <c r="P833" s="6" t="s">
        <v>42</v>
      </c>
      <c r="Q833" s="5" t="s">
        <v>1237</v>
      </c>
      <c r="R833" s="5" t="s">
        <v>8648</v>
      </c>
      <c r="S833" s="6" t="s">
        <v>208</v>
      </c>
      <c r="T833" s="6">
        <v>6427.0</v>
      </c>
    </row>
    <row r="834" ht="56.25" customHeight="1">
      <c r="A834" s="5" t="s">
        <v>8649</v>
      </c>
      <c r="B834" s="6" t="str">
        <f>image("https://storage.googleapis.com/acdb/photos/BromideNpcNmlElp12_Remake_0_0.png")</f>
        <v/>
      </c>
      <c r="C834" s="5" t="s">
        <v>366</v>
      </c>
      <c r="D834" s="5" t="s">
        <v>1327</v>
      </c>
      <c r="E834" s="5" t="s">
        <v>34</v>
      </c>
      <c r="F834" s="5" t="s">
        <v>34</v>
      </c>
      <c r="G834" s="5" t="s">
        <v>36</v>
      </c>
      <c r="H834" s="5" t="s">
        <v>35</v>
      </c>
      <c r="I834" s="6">
        <v>1.0</v>
      </c>
      <c r="J834" s="6" t="s">
        <v>37</v>
      </c>
      <c r="K834" s="6">
        <v>10.0</v>
      </c>
      <c r="L834" s="5"/>
      <c r="M834" s="5"/>
      <c r="N834" s="6" t="s">
        <v>40</v>
      </c>
      <c r="O834" s="5" t="s">
        <v>5363</v>
      </c>
      <c r="P834" s="6" t="s">
        <v>42</v>
      </c>
      <c r="Q834" s="5" t="s">
        <v>1237</v>
      </c>
      <c r="R834" s="5" t="s">
        <v>8653</v>
      </c>
      <c r="S834" s="6" t="s">
        <v>50</v>
      </c>
      <c r="T834" s="6">
        <v>6997.0</v>
      </c>
    </row>
    <row r="835" ht="56.25" customHeight="1">
      <c r="A835" s="5" t="s">
        <v>8649</v>
      </c>
      <c r="B835" s="6" t="str">
        <f>image("https://storage.googleapis.com/acdb/photos/BromideNpcNmlElp12_Remake_1_0.png")</f>
        <v/>
      </c>
      <c r="C835" s="5" t="s">
        <v>1132</v>
      </c>
      <c r="D835" s="5" t="s">
        <v>1327</v>
      </c>
      <c r="E835" s="5" t="s">
        <v>34</v>
      </c>
      <c r="F835" s="5" t="s">
        <v>34</v>
      </c>
      <c r="G835" s="5" t="s">
        <v>36</v>
      </c>
      <c r="H835" s="5" t="s">
        <v>35</v>
      </c>
      <c r="I835" s="6">
        <v>1.0</v>
      </c>
      <c r="J835" s="6" t="s">
        <v>37</v>
      </c>
      <c r="K835" s="6">
        <v>10.0</v>
      </c>
      <c r="L835" s="5"/>
      <c r="M835" s="5"/>
      <c r="N835" s="6" t="s">
        <v>40</v>
      </c>
      <c r="O835" s="5" t="s">
        <v>5363</v>
      </c>
      <c r="P835" s="6" t="s">
        <v>42</v>
      </c>
      <c r="Q835" s="5" t="s">
        <v>1237</v>
      </c>
      <c r="R835" s="5" t="s">
        <v>8657</v>
      </c>
      <c r="S835" s="6" t="s">
        <v>56</v>
      </c>
      <c r="T835" s="6">
        <v>6997.0</v>
      </c>
    </row>
    <row r="836" ht="56.25" customHeight="1">
      <c r="A836" s="5" t="s">
        <v>8649</v>
      </c>
      <c r="B836" s="6" t="str">
        <f>image("https://storage.googleapis.com/acdb/photos/BromideNpcNmlElp12_Remake_2_0.png")</f>
        <v/>
      </c>
      <c r="C836" s="5" t="s">
        <v>688</v>
      </c>
      <c r="D836" s="5" t="s">
        <v>1327</v>
      </c>
      <c r="E836" s="5" t="s">
        <v>34</v>
      </c>
      <c r="F836" s="5" t="s">
        <v>34</v>
      </c>
      <c r="G836" s="5" t="s">
        <v>36</v>
      </c>
      <c r="H836" s="5" t="s">
        <v>35</v>
      </c>
      <c r="I836" s="6">
        <v>1.0</v>
      </c>
      <c r="J836" s="6" t="s">
        <v>37</v>
      </c>
      <c r="K836" s="6">
        <v>10.0</v>
      </c>
      <c r="L836" s="5"/>
      <c r="M836" s="5"/>
      <c r="N836" s="6" t="s">
        <v>40</v>
      </c>
      <c r="O836" s="5" t="s">
        <v>5363</v>
      </c>
      <c r="P836" s="6" t="s">
        <v>42</v>
      </c>
      <c r="Q836" s="5" t="s">
        <v>1237</v>
      </c>
      <c r="R836" s="5" t="s">
        <v>8660</v>
      </c>
      <c r="S836" s="6" t="s">
        <v>67</v>
      </c>
      <c r="T836" s="6">
        <v>6997.0</v>
      </c>
    </row>
    <row r="837" ht="56.25" customHeight="1">
      <c r="A837" s="5" t="s">
        <v>8649</v>
      </c>
      <c r="B837" s="6" t="str">
        <f>image("https://storage.googleapis.com/acdb/photos/BromideNpcNmlElp12_Remake_3_0.png")</f>
        <v/>
      </c>
      <c r="C837" s="5" t="s">
        <v>57</v>
      </c>
      <c r="D837" s="5" t="s">
        <v>1327</v>
      </c>
      <c r="E837" s="5" t="s">
        <v>34</v>
      </c>
      <c r="F837" s="5" t="s">
        <v>34</v>
      </c>
      <c r="G837" s="5" t="s">
        <v>36</v>
      </c>
      <c r="H837" s="5" t="s">
        <v>35</v>
      </c>
      <c r="I837" s="6">
        <v>1.0</v>
      </c>
      <c r="J837" s="6" t="s">
        <v>37</v>
      </c>
      <c r="K837" s="6">
        <v>10.0</v>
      </c>
      <c r="L837" s="5"/>
      <c r="M837" s="5"/>
      <c r="N837" s="6" t="s">
        <v>40</v>
      </c>
      <c r="O837" s="5" t="s">
        <v>5363</v>
      </c>
      <c r="P837" s="6" t="s">
        <v>42</v>
      </c>
      <c r="Q837" s="5" t="s">
        <v>1237</v>
      </c>
      <c r="R837" s="5" t="s">
        <v>8664</v>
      </c>
      <c r="S837" s="6" t="s">
        <v>71</v>
      </c>
      <c r="T837" s="6">
        <v>6997.0</v>
      </c>
    </row>
    <row r="838" ht="56.25" customHeight="1">
      <c r="A838" s="5" t="s">
        <v>8649</v>
      </c>
      <c r="B838" s="6" t="str">
        <f>image("https://storage.googleapis.com/acdb/photos/BromideNpcNmlElp12_Remake_4_0.png")</f>
        <v/>
      </c>
      <c r="C838" s="5" t="s">
        <v>1167</v>
      </c>
      <c r="D838" s="5" t="s">
        <v>1327</v>
      </c>
      <c r="E838" s="5" t="s">
        <v>34</v>
      </c>
      <c r="F838" s="5" t="s">
        <v>34</v>
      </c>
      <c r="G838" s="5" t="s">
        <v>36</v>
      </c>
      <c r="H838" s="5" t="s">
        <v>35</v>
      </c>
      <c r="I838" s="6">
        <v>1.0</v>
      </c>
      <c r="J838" s="6" t="s">
        <v>37</v>
      </c>
      <c r="K838" s="6">
        <v>10.0</v>
      </c>
      <c r="L838" s="5"/>
      <c r="M838" s="5"/>
      <c r="N838" s="6" t="s">
        <v>40</v>
      </c>
      <c r="O838" s="5" t="s">
        <v>5363</v>
      </c>
      <c r="P838" s="6" t="s">
        <v>42</v>
      </c>
      <c r="Q838" s="5" t="s">
        <v>1237</v>
      </c>
      <c r="R838" s="5" t="s">
        <v>8666</v>
      </c>
      <c r="S838" s="6" t="s">
        <v>75</v>
      </c>
      <c r="T838" s="6">
        <v>6997.0</v>
      </c>
    </row>
    <row r="839" ht="56.25" customHeight="1">
      <c r="A839" s="5" t="s">
        <v>8649</v>
      </c>
      <c r="B839" s="6" t="str">
        <f>image("https://storage.googleapis.com/acdb/photos/BromideNpcNmlElp12_Remake_5_0.png")</f>
        <v/>
      </c>
      <c r="C839" s="5" t="s">
        <v>58</v>
      </c>
      <c r="D839" s="5" t="s">
        <v>1327</v>
      </c>
      <c r="E839" s="5" t="s">
        <v>34</v>
      </c>
      <c r="F839" s="5" t="s">
        <v>34</v>
      </c>
      <c r="G839" s="5" t="s">
        <v>36</v>
      </c>
      <c r="H839" s="5" t="s">
        <v>35</v>
      </c>
      <c r="I839" s="6">
        <v>1.0</v>
      </c>
      <c r="J839" s="6" t="s">
        <v>37</v>
      </c>
      <c r="K839" s="6">
        <v>10.0</v>
      </c>
      <c r="L839" s="5"/>
      <c r="M839" s="5"/>
      <c r="N839" s="6" t="s">
        <v>40</v>
      </c>
      <c r="O839" s="5" t="s">
        <v>5363</v>
      </c>
      <c r="P839" s="6" t="s">
        <v>42</v>
      </c>
      <c r="Q839" s="5" t="s">
        <v>1237</v>
      </c>
      <c r="R839" s="5" t="s">
        <v>8670</v>
      </c>
      <c r="S839" s="6" t="s">
        <v>79</v>
      </c>
      <c r="T839" s="6">
        <v>6997.0</v>
      </c>
    </row>
    <row r="840" ht="56.25" customHeight="1">
      <c r="A840" s="5" t="s">
        <v>8649</v>
      </c>
      <c r="B840" s="6" t="str">
        <f>image("https://storage.googleapis.com/acdb/photos/BromideNpcNmlElp12_Remake_6_0.png")</f>
        <v/>
      </c>
      <c r="C840" s="5" t="s">
        <v>146</v>
      </c>
      <c r="D840" s="5" t="s">
        <v>1327</v>
      </c>
      <c r="E840" s="5" t="s">
        <v>34</v>
      </c>
      <c r="F840" s="5" t="s">
        <v>34</v>
      </c>
      <c r="G840" s="5" t="s">
        <v>36</v>
      </c>
      <c r="H840" s="5" t="s">
        <v>35</v>
      </c>
      <c r="I840" s="6">
        <v>1.0</v>
      </c>
      <c r="J840" s="6" t="s">
        <v>37</v>
      </c>
      <c r="K840" s="6">
        <v>10.0</v>
      </c>
      <c r="L840" s="5"/>
      <c r="M840" s="5"/>
      <c r="N840" s="6" t="s">
        <v>40</v>
      </c>
      <c r="O840" s="5" t="s">
        <v>5363</v>
      </c>
      <c r="P840" s="6" t="s">
        <v>42</v>
      </c>
      <c r="Q840" s="5" t="s">
        <v>1237</v>
      </c>
      <c r="R840" s="5" t="s">
        <v>8672</v>
      </c>
      <c r="S840" s="6" t="s">
        <v>86</v>
      </c>
      <c r="T840" s="6">
        <v>6997.0</v>
      </c>
    </row>
    <row r="841" ht="56.25" customHeight="1">
      <c r="A841" s="5" t="s">
        <v>8649</v>
      </c>
      <c r="B841" s="6" t="str">
        <f>image("https://storage.googleapis.com/acdb/photos/BromideNpcNmlElp12_Remake_7_0.png")</f>
        <v/>
      </c>
      <c r="C841" s="5" t="s">
        <v>151</v>
      </c>
      <c r="D841" s="5" t="s">
        <v>1327</v>
      </c>
      <c r="E841" s="5" t="s">
        <v>34</v>
      </c>
      <c r="F841" s="5" t="s">
        <v>34</v>
      </c>
      <c r="G841" s="5" t="s">
        <v>36</v>
      </c>
      <c r="H841" s="5" t="s">
        <v>35</v>
      </c>
      <c r="I841" s="6">
        <v>1.0</v>
      </c>
      <c r="J841" s="6" t="s">
        <v>37</v>
      </c>
      <c r="K841" s="6">
        <v>10.0</v>
      </c>
      <c r="L841" s="5"/>
      <c r="M841" s="5"/>
      <c r="N841" s="6" t="s">
        <v>40</v>
      </c>
      <c r="O841" s="5" t="s">
        <v>5363</v>
      </c>
      <c r="P841" s="6" t="s">
        <v>42</v>
      </c>
      <c r="Q841" s="5" t="s">
        <v>1237</v>
      </c>
      <c r="R841" s="5" t="s">
        <v>8676</v>
      </c>
      <c r="S841" s="6" t="s">
        <v>208</v>
      </c>
      <c r="T841" s="6">
        <v>6997.0</v>
      </c>
    </row>
    <row r="842" ht="56.25" customHeight="1">
      <c r="A842" s="5" t="s">
        <v>8677</v>
      </c>
      <c r="B842" s="6" t="str">
        <f>image("https://storage.googleapis.com/acdb/photos/BromideNpcNmlAnt00_Remake_0_0.png")</f>
        <v/>
      </c>
      <c r="C842" s="5" t="s">
        <v>366</v>
      </c>
      <c r="D842" s="5" t="s">
        <v>1327</v>
      </c>
      <c r="E842" s="5" t="s">
        <v>34</v>
      </c>
      <c r="F842" s="5" t="s">
        <v>34</v>
      </c>
      <c r="G842" s="5" t="s">
        <v>36</v>
      </c>
      <c r="H842" s="5" t="s">
        <v>35</v>
      </c>
      <c r="I842" s="6">
        <v>1.0</v>
      </c>
      <c r="J842" s="6" t="s">
        <v>37</v>
      </c>
      <c r="K842" s="6">
        <v>10.0</v>
      </c>
      <c r="L842" s="5"/>
      <c r="M842" s="5"/>
      <c r="N842" s="6" t="s">
        <v>40</v>
      </c>
      <c r="O842" s="5" t="s">
        <v>5363</v>
      </c>
      <c r="P842" s="6" t="s">
        <v>42</v>
      </c>
      <c r="Q842" s="5" t="s">
        <v>1237</v>
      </c>
      <c r="R842" s="5" t="s">
        <v>8680</v>
      </c>
      <c r="S842" s="6" t="s">
        <v>50</v>
      </c>
      <c r="T842" s="6">
        <v>6426.0</v>
      </c>
    </row>
    <row r="843" ht="56.25" customHeight="1">
      <c r="A843" s="5" t="s">
        <v>8677</v>
      </c>
      <c r="B843" s="6" t="str">
        <f>image("https://storage.googleapis.com/acdb/photos/BromideNpcNmlAnt00_Remake_1_0.png")</f>
        <v/>
      </c>
      <c r="C843" s="5" t="s">
        <v>1132</v>
      </c>
      <c r="D843" s="5" t="s">
        <v>1327</v>
      </c>
      <c r="E843" s="5" t="s">
        <v>34</v>
      </c>
      <c r="F843" s="5" t="s">
        <v>34</v>
      </c>
      <c r="G843" s="5" t="s">
        <v>36</v>
      </c>
      <c r="H843" s="5" t="s">
        <v>35</v>
      </c>
      <c r="I843" s="6">
        <v>1.0</v>
      </c>
      <c r="J843" s="6" t="s">
        <v>37</v>
      </c>
      <c r="K843" s="6">
        <v>10.0</v>
      </c>
      <c r="L843" s="5"/>
      <c r="M843" s="5"/>
      <c r="N843" s="6" t="s">
        <v>40</v>
      </c>
      <c r="O843" s="5" t="s">
        <v>5363</v>
      </c>
      <c r="P843" s="6" t="s">
        <v>42</v>
      </c>
      <c r="Q843" s="5" t="s">
        <v>1237</v>
      </c>
      <c r="R843" s="5" t="s">
        <v>8684</v>
      </c>
      <c r="S843" s="6" t="s">
        <v>56</v>
      </c>
      <c r="T843" s="6">
        <v>6426.0</v>
      </c>
    </row>
    <row r="844" ht="56.25" customHeight="1">
      <c r="A844" s="5" t="s">
        <v>8677</v>
      </c>
      <c r="B844" s="6" t="str">
        <f>image("https://storage.googleapis.com/acdb/photos/BromideNpcNmlAnt00_Remake_2_0.png")</f>
        <v/>
      </c>
      <c r="C844" s="5" t="s">
        <v>688</v>
      </c>
      <c r="D844" s="5" t="s">
        <v>1327</v>
      </c>
      <c r="E844" s="5" t="s">
        <v>34</v>
      </c>
      <c r="F844" s="5" t="s">
        <v>34</v>
      </c>
      <c r="G844" s="5" t="s">
        <v>36</v>
      </c>
      <c r="H844" s="5" t="s">
        <v>35</v>
      </c>
      <c r="I844" s="6">
        <v>1.0</v>
      </c>
      <c r="J844" s="6" t="s">
        <v>37</v>
      </c>
      <c r="K844" s="6">
        <v>10.0</v>
      </c>
      <c r="L844" s="5"/>
      <c r="M844" s="5"/>
      <c r="N844" s="6" t="s">
        <v>40</v>
      </c>
      <c r="O844" s="5" t="s">
        <v>5363</v>
      </c>
      <c r="P844" s="6" t="s">
        <v>42</v>
      </c>
      <c r="Q844" s="5" t="s">
        <v>1237</v>
      </c>
      <c r="R844" s="5" t="s">
        <v>8687</v>
      </c>
      <c r="S844" s="6" t="s">
        <v>67</v>
      </c>
      <c r="T844" s="6">
        <v>6426.0</v>
      </c>
    </row>
    <row r="845" ht="56.25" customHeight="1">
      <c r="A845" s="5" t="s">
        <v>8677</v>
      </c>
      <c r="B845" s="6" t="str">
        <f>image("https://storage.googleapis.com/acdb/photos/BromideNpcNmlAnt00_Remake_3_0.png")</f>
        <v/>
      </c>
      <c r="C845" s="5" t="s">
        <v>57</v>
      </c>
      <c r="D845" s="5" t="s">
        <v>1327</v>
      </c>
      <c r="E845" s="5" t="s">
        <v>34</v>
      </c>
      <c r="F845" s="5" t="s">
        <v>34</v>
      </c>
      <c r="G845" s="5" t="s">
        <v>36</v>
      </c>
      <c r="H845" s="5" t="s">
        <v>35</v>
      </c>
      <c r="I845" s="6">
        <v>1.0</v>
      </c>
      <c r="J845" s="6" t="s">
        <v>37</v>
      </c>
      <c r="K845" s="6">
        <v>10.0</v>
      </c>
      <c r="L845" s="5"/>
      <c r="M845" s="5"/>
      <c r="N845" s="6" t="s">
        <v>40</v>
      </c>
      <c r="O845" s="5" t="s">
        <v>5363</v>
      </c>
      <c r="P845" s="6" t="s">
        <v>42</v>
      </c>
      <c r="Q845" s="5" t="s">
        <v>1237</v>
      </c>
      <c r="R845" s="5" t="s">
        <v>8690</v>
      </c>
      <c r="S845" s="6" t="s">
        <v>71</v>
      </c>
      <c r="T845" s="6">
        <v>6426.0</v>
      </c>
    </row>
    <row r="846" ht="56.25" customHeight="1">
      <c r="A846" s="5" t="s">
        <v>8677</v>
      </c>
      <c r="B846" s="6" t="str">
        <f>image("https://storage.googleapis.com/acdb/photos/BromideNpcNmlAnt00_Remake_4_0.png")</f>
        <v/>
      </c>
      <c r="C846" s="5" t="s">
        <v>1167</v>
      </c>
      <c r="D846" s="5" t="s">
        <v>1327</v>
      </c>
      <c r="E846" s="5" t="s">
        <v>34</v>
      </c>
      <c r="F846" s="5" t="s">
        <v>34</v>
      </c>
      <c r="G846" s="5" t="s">
        <v>36</v>
      </c>
      <c r="H846" s="5" t="s">
        <v>35</v>
      </c>
      <c r="I846" s="6">
        <v>1.0</v>
      </c>
      <c r="J846" s="6" t="s">
        <v>37</v>
      </c>
      <c r="K846" s="6">
        <v>10.0</v>
      </c>
      <c r="L846" s="5"/>
      <c r="M846" s="5"/>
      <c r="N846" s="6" t="s">
        <v>40</v>
      </c>
      <c r="O846" s="5" t="s">
        <v>5363</v>
      </c>
      <c r="P846" s="6" t="s">
        <v>42</v>
      </c>
      <c r="Q846" s="5" t="s">
        <v>1237</v>
      </c>
      <c r="R846" s="5" t="s">
        <v>8693</v>
      </c>
      <c r="S846" s="6" t="s">
        <v>75</v>
      </c>
      <c r="T846" s="6">
        <v>6426.0</v>
      </c>
    </row>
    <row r="847" ht="56.25" customHeight="1">
      <c r="A847" s="5" t="s">
        <v>8677</v>
      </c>
      <c r="B847" s="6" t="str">
        <f>image("https://storage.googleapis.com/acdb/photos/BromideNpcNmlAnt00_Remake_5_0.png")</f>
        <v/>
      </c>
      <c r="C847" s="5" t="s">
        <v>58</v>
      </c>
      <c r="D847" s="5" t="s">
        <v>1327</v>
      </c>
      <c r="E847" s="5" t="s">
        <v>34</v>
      </c>
      <c r="F847" s="5" t="s">
        <v>34</v>
      </c>
      <c r="G847" s="5" t="s">
        <v>36</v>
      </c>
      <c r="H847" s="5" t="s">
        <v>35</v>
      </c>
      <c r="I847" s="6">
        <v>1.0</v>
      </c>
      <c r="J847" s="6" t="s">
        <v>37</v>
      </c>
      <c r="K847" s="6">
        <v>10.0</v>
      </c>
      <c r="L847" s="5"/>
      <c r="M847" s="5"/>
      <c r="N847" s="6" t="s">
        <v>40</v>
      </c>
      <c r="O847" s="5" t="s">
        <v>5363</v>
      </c>
      <c r="P847" s="6" t="s">
        <v>42</v>
      </c>
      <c r="Q847" s="5" t="s">
        <v>1237</v>
      </c>
      <c r="R847" s="5" t="s">
        <v>8695</v>
      </c>
      <c r="S847" s="6" t="s">
        <v>79</v>
      </c>
      <c r="T847" s="6">
        <v>6426.0</v>
      </c>
    </row>
    <row r="848" ht="56.25" customHeight="1">
      <c r="A848" s="5" t="s">
        <v>8677</v>
      </c>
      <c r="B848" s="6" t="str">
        <f>image("https://storage.googleapis.com/acdb/photos/BromideNpcNmlAnt00_Remake_6_0.png")</f>
        <v/>
      </c>
      <c r="C848" s="5" t="s">
        <v>146</v>
      </c>
      <c r="D848" s="5" t="s">
        <v>1327</v>
      </c>
      <c r="E848" s="5" t="s">
        <v>34</v>
      </c>
      <c r="F848" s="5" t="s">
        <v>34</v>
      </c>
      <c r="G848" s="5" t="s">
        <v>36</v>
      </c>
      <c r="H848" s="5" t="s">
        <v>35</v>
      </c>
      <c r="I848" s="6">
        <v>1.0</v>
      </c>
      <c r="J848" s="6" t="s">
        <v>37</v>
      </c>
      <c r="K848" s="6">
        <v>10.0</v>
      </c>
      <c r="L848" s="5"/>
      <c r="M848" s="5"/>
      <c r="N848" s="6" t="s">
        <v>40</v>
      </c>
      <c r="O848" s="5" t="s">
        <v>5363</v>
      </c>
      <c r="P848" s="6" t="s">
        <v>42</v>
      </c>
      <c r="Q848" s="5" t="s">
        <v>1237</v>
      </c>
      <c r="R848" s="5" t="s">
        <v>8698</v>
      </c>
      <c r="S848" s="6" t="s">
        <v>86</v>
      </c>
      <c r="T848" s="6">
        <v>6426.0</v>
      </c>
    </row>
    <row r="849" ht="56.25" customHeight="1">
      <c r="A849" s="5" t="s">
        <v>8677</v>
      </c>
      <c r="B849" s="6" t="str">
        <f>image("https://storage.googleapis.com/acdb/photos/BromideNpcNmlAnt00_Remake_7_0.png")</f>
        <v/>
      </c>
      <c r="C849" s="5" t="s">
        <v>151</v>
      </c>
      <c r="D849" s="5" t="s">
        <v>1327</v>
      </c>
      <c r="E849" s="5" t="s">
        <v>34</v>
      </c>
      <c r="F849" s="5" t="s">
        <v>34</v>
      </c>
      <c r="G849" s="5" t="s">
        <v>36</v>
      </c>
      <c r="H849" s="5" t="s">
        <v>35</v>
      </c>
      <c r="I849" s="6">
        <v>1.0</v>
      </c>
      <c r="J849" s="6" t="s">
        <v>37</v>
      </c>
      <c r="K849" s="6">
        <v>10.0</v>
      </c>
      <c r="L849" s="5"/>
      <c r="M849" s="5"/>
      <c r="N849" s="6" t="s">
        <v>40</v>
      </c>
      <c r="O849" s="5" t="s">
        <v>5363</v>
      </c>
      <c r="P849" s="6" t="s">
        <v>42</v>
      </c>
      <c r="Q849" s="5" t="s">
        <v>1237</v>
      </c>
      <c r="R849" s="5" t="s">
        <v>8700</v>
      </c>
      <c r="S849" s="6" t="s">
        <v>208</v>
      </c>
      <c r="T849" s="6">
        <v>6426.0</v>
      </c>
    </row>
    <row r="850" ht="56.25" customHeight="1">
      <c r="A850" s="5" t="s">
        <v>8701</v>
      </c>
      <c r="B850" s="6" t="str">
        <f>image("https://storage.googleapis.com/acdb/photos/BromideNpcNmlDog07_Remake_0_0.png")</f>
        <v/>
      </c>
      <c r="C850" s="5" t="s">
        <v>366</v>
      </c>
      <c r="D850" s="5" t="s">
        <v>1327</v>
      </c>
      <c r="E850" s="5" t="s">
        <v>34</v>
      </c>
      <c r="F850" s="5" t="s">
        <v>34</v>
      </c>
      <c r="G850" s="5" t="s">
        <v>36</v>
      </c>
      <c r="H850" s="5" t="s">
        <v>35</v>
      </c>
      <c r="I850" s="6">
        <v>1.0</v>
      </c>
      <c r="J850" s="6" t="s">
        <v>37</v>
      </c>
      <c r="K850" s="6">
        <v>10.0</v>
      </c>
      <c r="L850" s="5"/>
      <c r="M850" s="5"/>
      <c r="N850" s="6" t="s">
        <v>40</v>
      </c>
      <c r="O850" s="5" t="s">
        <v>5363</v>
      </c>
      <c r="P850" s="6" t="s">
        <v>42</v>
      </c>
      <c r="Q850" s="5" t="s">
        <v>1237</v>
      </c>
      <c r="R850" s="5" t="s">
        <v>8704</v>
      </c>
      <c r="S850" s="6" t="s">
        <v>50</v>
      </c>
      <c r="T850" s="6">
        <v>6444.0</v>
      </c>
    </row>
    <row r="851" ht="56.25" customHeight="1">
      <c r="A851" s="5" t="s">
        <v>8701</v>
      </c>
      <c r="B851" s="6" t="str">
        <f>image("https://storage.googleapis.com/acdb/photos/BromideNpcNmlDog07_Remake_1_0.png")</f>
        <v/>
      </c>
      <c r="C851" s="5" t="s">
        <v>1132</v>
      </c>
      <c r="D851" s="5" t="s">
        <v>1327</v>
      </c>
      <c r="E851" s="5" t="s">
        <v>34</v>
      </c>
      <c r="F851" s="5" t="s">
        <v>34</v>
      </c>
      <c r="G851" s="5" t="s">
        <v>36</v>
      </c>
      <c r="H851" s="5" t="s">
        <v>35</v>
      </c>
      <c r="I851" s="6">
        <v>1.0</v>
      </c>
      <c r="J851" s="6" t="s">
        <v>37</v>
      </c>
      <c r="K851" s="6">
        <v>10.0</v>
      </c>
      <c r="L851" s="5"/>
      <c r="M851" s="5"/>
      <c r="N851" s="6" t="s">
        <v>40</v>
      </c>
      <c r="O851" s="5" t="s">
        <v>5363</v>
      </c>
      <c r="P851" s="6" t="s">
        <v>42</v>
      </c>
      <c r="Q851" s="5" t="s">
        <v>1237</v>
      </c>
      <c r="R851" s="5" t="s">
        <v>8707</v>
      </c>
      <c r="S851" s="6" t="s">
        <v>56</v>
      </c>
      <c r="T851" s="6">
        <v>6444.0</v>
      </c>
    </row>
    <row r="852" ht="56.25" customHeight="1">
      <c r="A852" s="5" t="s">
        <v>8701</v>
      </c>
      <c r="B852" s="6" t="str">
        <f>image("https://storage.googleapis.com/acdb/photos/BromideNpcNmlDog07_Remake_2_0.png")</f>
        <v/>
      </c>
      <c r="C852" s="5" t="s">
        <v>688</v>
      </c>
      <c r="D852" s="5" t="s">
        <v>1327</v>
      </c>
      <c r="E852" s="5" t="s">
        <v>34</v>
      </c>
      <c r="F852" s="5" t="s">
        <v>34</v>
      </c>
      <c r="G852" s="5" t="s">
        <v>36</v>
      </c>
      <c r="H852" s="5" t="s">
        <v>35</v>
      </c>
      <c r="I852" s="6">
        <v>1.0</v>
      </c>
      <c r="J852" s="6" t="s">
        <v>37</v>
      </c>
      <c r="K852" s="6">
        <v>10.0</v>
      </c>
      <c r="L852" s="5"/>
      <c r="M852" s="5"/>
      <c r="N852" s="6" t="s">
        <v>40</v>
      </c>
      <c r="O852" s="5" t="s">
        <v>5363</v>
      </c>
      <c r="P852" s="6" t="s">
        <v>42</v>
      </c>
      <c r="Q852" s="5" t="s">
        <v>1237</v>
      </c>
      <c r="R852" s="5" t="s">
        <v>8713</v>
      </c>
      <c r="S852" s="6" t="s">
        <v>67</v>
      </c>
      <c r="T852" s="6">
        <v>6444.0</v>
      </c>
    </row>
    <row r="853" ht="56.25" customHeight="1">
      <c r="A853" s="5" t="s">
        <v>8701</v>
      </c>
      <c r="B853" s="6" t="str">
        <f>image("https://storage.googleapis.com/acdb/photos/BromideNpcNmlDog07_Remake_3_0.png")</f>
        <v/>
      </c>
      <c r="C853" s="5" t="s">
        <v>57</v>
      </c>
      <c r="D853" s="5" t="s">
        <v>1327</v>
      </c>
      <c r="E853" s="5" t="s">
        <v>34</v>
      </c>
      <c r="F853" s="5" t="s">
        <v>34</v>
      </c>
      <c r="G853" s="5" t="s">
        <v>36</v>
      </c>
      <c r="H853" s="5" t="s">
        <v>35</v>
      </c>
      <c r="I853" s="6">
        <v>1.0</v>
      </c>
      <c r="J853" s="6" t="s">
        <v>37</v>
      </c>
      <c r="K853" s="6">
        <v>10.0</v>
      </c>
      <c r="L853" s="5"/>
      <c r="M853" s="5"/>
      <c r="N853" s="6" t="s">
        <v>40</v>
      </c>
      <c r="O853" s="5" t="s">
        <v>5363</v>
      </c>
      <c r="P853" s="6" t="s">
        <v>42</v>
      </c>
      <c r="Q853" s="5" t="s">
        <v>1237</v>
      </c>
      <c r="R853" s="5" t="s">
        <v>8715</v>
      </c>
      <c r="S853" s="6" t="s">
        <v>71</v>
      </c>
      <c r="T853" s="6">
        <v>6444.0</v>
      </c>
    </row>
    <row r="854" ht="56.25" customHeight="1">
      <c r="A854" s="5" t="s">
        <v>8701</v>
      </c>
      <c r="B854" s="6" t="str">
        <f>image("https://storage.googleapis.com/acdb/photos/BromideNpcNmlDog07_Remake_4_0.png")</f>
        <v/>
      </c>
      <c r="C854" s="5" t="s">
        <v>1167</v>
      </c>
      <c r="D854" s="5" t="s">
        <v>1327</v>
      </c>
      <c r="E854" s="5" t="s">
        <v>34</v>
      </c>
      <c r="F854" s="5" t="s">
        <v>34</v>
      </c>
      <c r="G854" s="5" t="s">
        <v>36</v>
      </c>
      <c r="H854" s="5" t="s">
        <v>35</v>
      </c>
      <c r="I854" s="6">
        <v>1.0</v>
      </c>
      <c r="J854" s="6" t="s">
        <v>37</v>
      </c>
      <c r="K854" s="6">
        <v>10.0</v>
      </c>
      <c r="L854" s="5"/>
      <c r="M854" s="5"/>
      <c r="N854" s="6" t="s">
        <v>40</v>
      </c>
      <c r="O854" s="5" t="s">
        <v>5363</v>
      </c>
      <c r="P854" s="6" t="s">
        <v>42</v>
      </c>
      <c r="Q854" s="5" t="s">
        <v>1237</v>
      </c>
      <c r="R854" s="5" t="s">
        <v>8717</v>
      </c>
      <c r="S854" s="6" t="s">
        <v>75</v>
      </c>
      <c r="T854" s="6">
        <v>6444.0</v>
      </c>
    </row>
    <row r="855" ht="56.25" customHeight="1">
      <c r="A855" s="5" t="s">
        <v>8701</v>
      </c>
      <c r="B855" s="6" t="str">
        <f>image("https://storage.googleapis.com/acdb/photos/BromideNpcNmlDog07_Remake_5_0.png")</f>
        <v/>
      </c>
      <c r="C855" s="5" t="s">
        <v>58</v>
      </c>
      <c r="D855" s="5" t="s">
        <v>1327</v>
      </c>
      <c r="E855" s="5" t="s">
        <v>34</v>
      </c>
      <c r="F855" s="5" t="s">
        <v>34</v>
      </c>
      <c r="G855" s="5" t="s">
        <v>36</v>
      </c>
      <c r="H855" s="5" t="s">
        <v>35</v>
      </c>
      <c r="I855" s="6">
        <v>1.0</v>
      </c>
      <c r="J855" s="6" t="s">
        <v>37</v>
      </c>
      <c r="K855" s="6">
        <v>10.0</v>
      </c>
      <c r="L855" s="5"/>
      <c r="M855" s="5"/>
      <c r="N855" s="6" t="s">
        <v>40</v>
      </c>
      <c r="O855" s="5" t="s">
        <v>5363</v>
      </c>
      <c r="P855" s="6" t="s">
        <v>42</v>
      </c>
      <c r="Q855" s="5" t="s">
        <v>1237</v>
      </c>
      <c r="R855" s="5" t="s">
        <v>8719</v>
      </c>
      <c r="S855" s="6" t="s">
        <v>79</v>
      </c>
      <c r="T855" s="6">
        <v>6444.0</v>
      </c>
    </row>
    <row r="856" ht="56.25" customHeight="1">
      <c r="A856" s="5" t="s">
        <v>8701</v>
      </c>
      <c r="B856" s="6" t="str">
        <f>image("https://storage.googleapis.com/acdb/photos/BromideNpcNmlDog07_Remake_6_0.png")</f>
        <v/>
      </c>
      <c r="C856" s="5" t="s">
        <v>146</v>
      </c>
      <c r="D856" s="5" t="s">
        <v>1327</v>
      </c>
      <c r="E856" s="5" t="s">
        <v>34</v>
      </c>
      <c r="F856" s="5" t="s">
        <v>34</v>
      </c>
      <c r="G856" s="5" t="s">
        <v>36</v>
      </c>
      <c r="H856" s="5" t="s">
        <v>35</v>
      </c>
      <c r="I856" s="6">
        <v>1.0</v>
      </c>
      <c r="J856" s="6" t="s">
        <v>37</v>
      </c>
      <c r="K856" s="6">
        <v>10.0</v>
      </c>
      <c r="L856" s="5"/>
      <c r="M856" s="5"/>
      <c r="N856" s="6" t="s">
        <v>40</v>
      </c>
      <c r="O856" s="5" t="s">
        <v>5363</v>
      </c>
      <c r="P856" s="6" t="s">
        <v>42</v>
      </c>
      <c r="Q856" s="5" t="s">
        <v>1237</v>
      </c>
      <c r="R856" s="5" t="s">
        <v>8722</v>
      </c>
      <c r="S856" s="6" t="s">
        <v>86</v>
      </c>
      <c r="T856" s="6">
        <v>6444.0</v>
      </c>
    </row>
    <row r="857" ht="56.25" customHeight="1">
      <c r="A857" s="5" t="s">
        <v>8701</v>
      </c>
      <c r="B857" s="6" t="str">
        <f>image("https://storage.googleapis.com/acdb/photos/BromideNpcNmlDog07_Remake_7_0.png")</f>
        <v/>
      </c>
      <c r="C857" s="5" t="s">
        <v>151</v>
      </c>
      <c r="D857" s="5" t="s">
        <v>1327</v>
      </c>
      <c r="E857" s="5" t="s">
        <v>34</v>
      </c>
      <c r="F857" s="5" t="s">
        <v>34</v>
      </c>
      <c r="G857" s="5" t="s">
        <v>36</v>
      </c>
      <c r="H857" s="5" t="s">
        <v>35</v>
      </c>
      <c r="I857" s="6">
        <v>1.0</v>
      </c>
      <c r="J857" s="6" t="s">
        <v>37</v>
      </c>
      <c r="K857" s="6">
        <v>10.0</v>
      </c>
      <c r="L857" s="5"/>
      <c r="M857" s="5"/>
      <c r="N857" s="6" t="s">
        <v>40</v>
      </c>
      <c r="O857" s="5" t="s">
        <v>5363</v>
      </c>
      <c r="P857" s="6" t="s">
        <v>42</v>
      </c>
      <c r="Q857" s="5" t="s">
        <v>1237</v>
      </c>
      <c r="R857" s="5" t="s">
        <v>8725</v>
      </c>
      <c r="S857" s="6" t="s">
        <v>208</v>
      </c>
      <c r="T857" s="6">
        <v>6444.0</v>
      </c>
    </row>
    <row r="858" ht="56.25" customHeight="1">
      <c r="A858" s="5" t="s">
        <v>8726</v>
      </c>
      <c r="B858" s="6" t="str">
        <f>image("https://storage.googleapis.com/acdb/photos/BromideNpcNmlDuk04_Remake_0_0.png")</f>
        <v/>
      </c>
      <c r="C858" s="5" t="s">
        <v>366</v>
      </c>
      <c r="D858" s="5" t="s">
        <v>1327</v>
      </c>
      <c r="E858" s="5" t="s">
        <v>34</v>
      </c>
      <c r="F858" s="5" t="s">
        <v>34</v>
      </c>
      <c r="G858" s="5" t="s">
        <v>36</v>
      </c>
      <c r="H858" s="5" t="s">
        <v>35</v>
      </c>
      <c r="I858" s="6">
        <v>1.0</v>
      </c>
      <c r="J858" s="6" t="s">
        <v>37</v>
      </c>
      <c r="K858" s="6">
        <v>10.0</v>
      </c>
      <c r="L858" s="5"/>
      <c r="M858" s="5"/>
      <c r="N858" s="6" t="s">
        <v>40</v>
      </c>
      <c r="O858" s="5" t="s">
        <v>5363</v>
      </c>
      <c r="P858" s="6" t="s">
        <v>42</v>
      </c>
      <c r="Q858" s="5" t="s">
        <v>1237</v>
      </c>
      <c r="R858" s="5" t="s">
        <v>8729</v>
      </c>
      <c r="S858" s="6" t="s">
        <v>50</v>
      </c>
      <c r="T858" s="6">
        <v>6458.0</v>
      </c>
    </row>
    <row r="859" ht="56.25" customHeight="1">
      <c r="A859" s="5" t="s">
        <v>8726</v>
      </c>
      <c r="B859" s="6" t="str">
        <f>image("https://storage.googleapis.com/acdb/photos/BromideNpcNmlDuk04_Remake_1_0.png")</f>
        <v/>
      </c>
      <c r="C859" s="5" t="s">
        <v>1132</v>
      </c>
      <c r="D859" s="5" t="s">
        <v>1327</v>
      </c>
      <c r="E859" s="5" t="s">
        <v>34</v>
      </c>
      <c r="F859" s="5" t="s">
        <v>34</v>
      </c>
      <c r="G859" s="5" t="s">
        <v>36</v>
      </c>
      <c r="H859" s="5" t="s">
        <v>35</v>
      </c>
      <c r="I859" s="6">
        <v>1.0</v>
      </c>
      <c r="J859" s="6" t="s">
        <v>37</v>
      </c>
      <c r="K859" s="6">
        <v>10.0</v>
      </c>
      <c r="L859" s="5"/>
      <c r="M859" s="5"/>
      <c r="N859" s="6" t="s">
        <v>40</v>
      </c>
      <c r="O859" s="5" t="s">
        <v>5363</v>
      </c>
      <c r="P859" s="6" t="s">
        <v>42</v>
      </c>
      <c r="Q859" s="5" t="s">
        <v>1237</v>
      </c>
      <c r="R859" s="5" t="s">
        <v>8732</v>
      </c>
      <c r="S859" s="6" t="s">
        <v>56</v>
      </c>
      <c r="T859" s="6">
        <v>6458.0</v>
      </c>
    </row>
    <row r="860" ht="56.25" customHeight="1">
      <c r="A860" s="5" t="s">
        <v>8726</v>
      </c>
      <c r="B860" s="6" t="str">
        <f>image("https://storage.googleapis.com/acdb/photos/BromideNpcNmlDuk04_Remake_2_0.png")</f>
        <v/>
      </c>
      <c r="C860" s="5" t="s">
        <v>688</v>
      </c>
      <c r="D860" s="5" t="s">
        <v>1327</v>
      </c>
      <c r="E860" s="5" t="s">
        <v>34</v>
      </c>
      <c r="F860" s="5" t="s">
        <v>34</v>
      </c>
      <c r="G860" s="5" t="s">
        <v>36</v>
      </c>
      <c r="H860" s="5" t="s">
        <v>35</v>
      </c>
      <c r="I860" s="6">
        <v>1.0</v>
      </c>
      <c r="J860" s="6" t="s">
        <v>37</v>
      </c>
      <c r="K860" s="6">
        <v>10.0</v>
      </c>
      <c r="L860" s="5"/>
      <c r="M860" s="5"/>
      <c r="N860" s="6" t="s">
        <v>40</v>
      </c>
      <c r="O860" s="5" t="s">
        <v>5363</v>
      </c>
      <c r="P860" s="6" t="s">
        <v>42</v>
      </c>
      <c r="Q860" s="5" t="s">
        <v>1237</v>
      </c>
      <c r="R860" s="5" t="s">
        <v>8734</v>
      </c>
      <c r="S860" s="6" t="s">
        <v>67</v>
      </c>
      <c r="T860" s="6">
        <v>6458.0</v>
      </c>
    </row>
    <row r="861" ht="56.25" customHeight="1">
      <c r="A861" s="5" t="s">
        <v>8726</v>
      </c>
      <c r="B861" s="6" t="str">
        <f>image("https://storage.googleapis.com/acdb/photos/BromideNpcNmlDuk04_Remake_3_0.png")</f>
        <v/>
      </c>
      <c r="C861" s="5" t="s">
        <v>57</v>
      </c>
      <c r="D861" s="5" t="s">
        <v>1327</v>
      </c>
      <c r="E861" s="5" t="s">
        <v>34</v>
      </c>
      <c r="F861" s="5" t="s">
        <v>34</v>
      </c>
      <c r="G861" s="5" t="s">
        <v>36</v>
      </c>
      <c r="H861" s="5" t="s">
        <v>35</v>
      </c>
      <c r="I861" s="6">
        <v>1.0</v>
      </c>
      <c r="J861" s="6" t="s">
        <v>37</v>
      </c>
      <c r="K861" s="6">
        <v>10.0</v>
      </c>
      <c r="L861" s="5"/>
      <c r="M861" s="5"/>
      <c r="N861" s="6" t="s">
        <v>40</v>
      </c>
      <c r="O861" s="5" t="s">
        <v>5363</v>
      </c>
      <c r="P861" s="6" t="s">
        <v>42</v>
      </c>
      <c r="Q861" s="5" t="s">
        <v>1237</v>
      </c>
      <c r="R861" s="5" t="s">
        <v>8737</v>
      </c>
      <c r="S861" s="6" t="s">
        <v>71</v>
      </c>
      <c r="T861" s="6">
        <v>6458.0</v>
      </c>
    </row>
    <row r="862" ht="56.25" customHeight="1">
      <c r="A862" s="5" t="s">
        <v>8726</v>
      </c>
      <c r="B862" s="6" t="str">
        <f>image("https://storage.googleapis.com/acdb/photos/BromideNpcNmlDuk04_Remake_4_0.png")</f>
        <v/>
      </c>
      <c r="C862" s="5" t="s">
        <v>1167</v>
      </c>
      <c r="D862" s="5" t="s">
        <v>1327</v>
      </c>
      <c r="E862" s="5" t="s">
        <v>34</v>
      </c>
      <c r="F862" s="5" t="s">
        <v>34</v>
      </c>
      <c r="G862" s="5" t="s">
        <v>36</v>
      </c>
      <c r="H862" s="5" t="s">
        <v>35</v>
      </c>
      <c r="I862" s="6">
        <v>1.0</v>
      </c>
      <c r="J862" s="6" t="s">
        <v>37</v>
      </c>
      <c r="K862" s="6">
        <v>10.0</v>
      </c>
      <c r="L862" s="5"/>
      <c r="M862" s="5"/>
      <c r="N862" s="6" t="s">
        <v>40</v>
      </c>
      <c r="O862" s="5" t="s">
        <v>5363</v>
      </c>
      <c r="P862" s="6" t="s">
        <v>42</v>
      </c>
      <c r="Q862" s="5" t="s">
        <v>1237</v>
      </c>
      <c r="R862" s="5" t="s">
        <v>8739</v>
      </c>
      <c r="S862" s="6" t="s">
        <v>75</v>
      </c>
      <c r="T862" s="6">
        <v>6458.0</v>
      </c>
    </row>
    <row r="863" ht="56.25" customHeight="1">
      <c r="A863" s="5" t="s">
        <v>8726</v>
      </c>
      <c r="B863" s="6" t="str">
        <f>image("https://storage.googleapis.com/acdb/photos/BromideNpcNmlDuk04_Remake_5_0.png")</f>
        <v/>
      </c>
      <c r="C863" s="5" t="s">
        <v>58</v>
      </c>
      <c r="D863" s="5" t="s">
        <v>1327</v>
      </c>
      <c r="E863" s="5" t="s">
        <v>34</v>
      </c>
      <c r="F863" s="5" t="s">
        <v>34</v>
      </c>
      <c r="G863" s="5" t="s">
        <v>36</v>
      </c>
      <c r="H863" s="5" t="s">
        <v>35</v>
      </c>
      <c r="I863" s="6">
        <v>1.0</v>
      </c>
      <c r="J863" s="6" t="s">
        <v>37</v>
      </c>
      <c r="K863" s="6">
        <v>10.0</v>
      </c>
      <c r="L863" s="5"/>
      <c r="M863" s="5"/>
      <c r="N863" s="6" t="s">
        <v>40</v>
      </c>
      <c r="O863" s="5" t="s">
        <v>5363</v>
      </c>
      <c r="P863" s="6" t="s">
        <v>42</v>
      </c>
      <c r="Q863" s="5" t="s">
        <v>1237</v>
      </c>
      <c r="R863" s="5" t="s">
        <v>8743</v>
      </c>
      <c r="S863" s="6" t="s">
        <v>79</v>
      </c>
      <c r="T863" s="6">
        <v>6458.0</v>
      </c>
    </row>
    <row r="864" ht="56.25" customHeight="1">
      <c r="A864" s="5" t="s">
        <v>8726</v>
      </c>
      <c r="B864" s="6" t="str">
        <f>image("https://storage.googleapis.com/acdb/photos/BromideNpcNmlDuk04_Remake_6_0.png")</f>
        <v/>
      </c>
      <c r="C864" s="5" t="s">
        <v>146</v>
      </c>
      <c r="D864" s="5" t="s">
        <v>1327</v>
      </c>
      <c r="E864" s="5" t="s">
        <v>34</v>
      </c>
      <c r="F864" s="5" t="s">
        <v>34</v>
      </c>
      <c r="G864" s="5" t="s">
        <v>36</v>
      </c>
      <c r="H864" s="5" t="s">
        <v>35</v>
      </c>
      <c r="I864" s="6">
        <v>1.0</v>
      </c>
      <c r="J864" s="6" t="s">
        <v>37</v>
      </c>
      <c r="K864" s="6">
        <v>10.0</v>
      </c>
      <c r="L864" s="5"/>
      <c r="M864" s="5"/>
      <c r="N864" s="6" t="s">
        <v>40</v>
      </c>
      <c r="O864" s="5" t="s">
        <v>5363</v>
      </c>
      <c r="P864" s="6" t="s">
        <v>42</v>
      </c>
      <c r="Q864" s="5" t="s">
        <v>1237</v>
      </c>
      <c r="R864" s="5" t="s">
        <v>8747</v>
      </c>
      <c r="S864" s="6" t="s">
        <v>86</v>
      </c>
      <c r="T864" s="6">
        <v>6458.0</v>
      </c>
    </row>
    <row r="865" ht="56.25" customHeight="1">
      <c r="A865" s="5" t="s">
        <v>8726</v>
      </c>
      <c r="B865" s="6" t="str">
        <f>image("https://storage.googleapis.com/acdb/photos/BromideNpcNmlDuk04_Remake_7_0.png")</f>
        <v/>
      </c>
      <c r="C865" s="5" t="s">
        <v>151</v>
      </c>
      <c r="D865" s="5" t="s">
        <v>1327</v>
      </c>
      <c r="E865" s="5" t="s">
        <v>34</v>
      </c>
      <c r="F865" s="5" t="s">
        <v>34</v>
      </c>
      <c r="G865" s="5" t="s">
        <v>36</v>
      </c>
      <c r="H865" s="5" t="s">
        <v>35</v>
      </c>
      <c r="I865" s="6">
        <v>1.0</v>
      </c>
      <c r="J865" s="6" t="s">
        <v>37</v>
      </c>
      <c r="K865" s="6">
        <v>10.0</v>
      </c>
      <c r="L865" s="5"/>
      <c r="M865" s="5"/>
      <c r="N865" s="6" t="s">
        <v>40</v>
      </c>
      <c r="O865" s="5" t="s">
        <v>5363</v>
      </c>
      <c r="P865" s="6" t="s">
        <v>42</v>
      </c>
      <c r="Q865" s="5" t="s">
        <v>1237</v>
      </c>
      <c r="R865" s="5" t="s">
        <v>8751</v>
      </c>
      <c r="S865" s="6" t="s">
        <v>208</v>
      </c>
      <c r="T865" s="6">
        <v>6458.0</v>
      </c>
    </row>
    <row r="866" ht="56.25" customHeight="1">
      <c r="A866" s="5" t="s">
        <v>8752</v>
      </c>
      <c r="B866" s="6" t="str">
        <f>image("https://storage.googleapis.com/acdb/photos/BromideNpcNmlDer04_Remake_0_0.png")</f>
        <v/>
      </c>
      <c r="C866" s="5" t="s">
        <v>366</v>
      </c>
      <c r="D866" s="5" t="s">
        <v>1327</v>
      </c>
      <c r="E866" s="5" t="s">
        <v>34</v>
      </c>
      <c r="F866" s="5" t="s">
        <v>34</v>
      </c>
      <c r="G866" s="5" t="s">
        <v>36</v>
      </c>
      <c r="H866" s="5" t="s">
        <v>35</v>
      </c>
      <c r="I866" s="6">
        <v>1.0</v>
      </c>
      <c r="J866" s="6" t="s">
        <v>37</v>
      </c>
      <c r="K866" s="6">
        <v>10.0</v>
      </c>
      <c r="L866" s="5"/>
      <c r="M866" s="5"/>
      <c r="N866" s="6" t="s">
        <v>40</v>
      </c>
      <c r="O866" s="5" t="s">
        <v>5363</v>
      </c>
      <c r="P866" s="6" t="s">
        <v>42</v>
      </c>
      <c r="Q866" s="5" t="s">
        <v>1237</v>
      </c>
      <c r="R866" s="5" t="s">
        <v>8754</v>
      </c>
      <c r="S866" s="6" t="s">
        <v>50</v>
      </c>
      <c r="T866" s="6">
        <v>6430.0</v>
      </c>
    </row>
    <row r="867" ht="56.25" customHeight="1">
      <c r="A867" s="5" t="s">
        <v>8752</v>
      </c>
      <c r="B867" s="6" t="str">
        <f>image("https://storage.googleapis.com/acdb/photos/BromideNpcNmlDer04_Remake_1_0.png")</f>
        <v/>
      </c>
      <c r="C867" s="5" t="s">
        <v>1132</v>
      </c>
      <c r="D867" s="5" t="s">
        <v>1327</v>
      </c>
      <c r="E867" s="5" t="s">
        <v>34</v>
      </c>
      <c r="F867" s="5" t="s">
        <v>34</v>
      </c>
      <c r="G867" s="5" t="s">
        <v>36</v>
      </c>
      <c r="H867" s="5" t="s">
        <v>35</v>
      </c>
      <c r="I867" s="6">
        <v>1.0</v>
      </c>
      <c r="J867" s="6" t="s">
        <v>37</v>
      </c>
      <c r="K867" s="6">
        <v>10.0</v>
      </c>
      <c r="L867" s="5"/>
      <c r="M867" s="5"/>
      <c r="N867" s="6" t="s">
        <v>40</v>
      </c>
      <c r="O867" s="5" t="s">
        <v>5363</v>
      </c>
      <c r="P867" s="6" t="s">
        <v>42</v>
      </c>
      <c r="Q867" s="5" t="s">
        <v>1237</v>
      </c>
      <c r="R867" s="5" t="s">
        <v>8757</v>
      </c>
      <c r="S867" s="6" t="s">
        <v>56</v>
      </c>
      <c r="T867" s="6">
        <v>6430.0</v>
      </c>
    </row>
    <row r="868" ht="56.25" customHeight="1">
      <c r="A868" s="5" t="s">
        <v>8752</v>
      </c>
      <c r="B868" s="6" t="str">
        <f>image("https://storage.googleapis.com/acdb/photos/BromideNpcNmlDer04_Remake_2_0.png")</f>
        <v/>
      </c>
      <c r="C868" s="5" t="s">
        <v>688</v>
      </c>
      <c r="D868" s="5" t="s">
        <v>1327</v>
      </c>
      <c r="E868" s="5" t="s">
        <v>34</v>
      </c>
      <c r="F868" s="5" t="s">
        <v>34</v>
      </c>
      <c r="G868" s="5" t="s">
        <v>36</v>
      </c>
      <c r="H868" s="5" t="s">
        <v>35</v>
      </c>
      <c r="I868" s="6">
        <v>1.0</v>
      </c>
      <c r="J868" s="6" t="s">
        <v>37</v>
      </c>
      <c r="K868" s="6">
        <v>10.0</v>
      </c>
      <c r="L868" s="5"/>
      <c r="M868" s="5"/>
      <c r="N868" s="6" t="s">
        <v>40</v>
      </c>
      <c r="O868" s="5" t="s">
        <v>5363</v>
      </c>
      <c r="P868" s="6" t="s">
        <v>42</v>
      </c>
      <c r="Q868" s="5" t="s">
        <v>1237</v>
      </c>
      <c r="R868" s="5" t="s">
        <v>8759</v>
      </c>
      <c r="S868" s="6" t="s">
        <v>67</v>
      </c>
      <c r="T868" s="6">
        <v>6430.0</v>
      </c>
    </row>
    <row r="869" ht="56.25" customHeight="1">
      <c r="A869" s="5" t="s">
        <v>8752</v>
      </c>
      <c r="B869" s="6" t="str">
        <f>image("https://storage.googleapis.com/acdb/photos/BromideNpcNmlDer04_Remake_3_0.png")</f>
        <v/>
      </c>
      <c r="C869" s="5" t="s">
        <v>57</v>
      </c>
      <c r="D869" s="5" t="s">
        <v>1327</v>
      </c>
      <c r="E869" s="5" t="s">
        <v>34</v>
      </c>
      <c r="F869" s="5" t="s">
        <v>34</v>
      </c>
      <c r="G869" s="5" t="s">
        <v>36</v>
      </c>
      <c r="H869" s="5" t="s">
        <v>35</v>
      </c>
      <c r="I869" s="6">
        <v>1.0</v>
      </c>
      <c r="J869" s="6" t="s">
        <v>37</v>
      </c>
      <c r="K869" s="6">
        <v>10.0</v>
      </c>
      <c r="L869" s="5"/>
      <c r="M869" s="5"/>
      <c r="N869" s="6" t="s">
        <v>40</v>
      </c>
      <c r="O869" s="5" t="s">
        <v>5363</v>
      </c>
      <c r="P869" s="6" t="s">
        <v>42</v>
      </c>
      <c r="Q869" s="5" t="s">
        <v>1237</v>
      </c>
      <c r="R869" s="5" t="s">
        <v>8764</v>
      </c>
      <c r="S869" s="6" t="s">
        <v>71</v>
      </c>
      <c r="T869" s="6">
        <v>6430.0</v>
      </c>
    </row>
    <row r="870" ht="56.25" customHeight="1">
      <c r="A870" s="5" t="s">
        <v>8752</v>
      </c>
      <c r="B870" s="6" t="str">
        <f>image("https://storage.googleapis.com/acdb/photos/BromideNpcNmlDer04_Remake_4_0.png")</f>
        <v/>
      </c>
      <c r="C870" s="5" t="s">
        <v>1167</v>
      </c>
      <c r="D870" s="5" t="s">
        <v>1327</v>
      </c>
      <c r="E870" s="5" t="s">
        <v>34</v>
      </c>
      <c r="F870" s="5" t="s">
        <v>34</v>
      </c>
      <c r="G870" s="5" t="s">
        <v>36</v>
      </c>
      <c r="H870" s="5" t="s">
        <v>35</v>
      </c>
      <c r="I870" s="6">
        <v>1.0</v>
      </c>
      <c r="J870" s="6" t="s">
        <v>37</v>
      </c>
      <c r="K870" s="6">
        <v>10.0</v>
      </c>
      <c r="L870" s="5"/>
      <c r="M870" s="5"/>
      <c r="N870" s="6" t="s">
        <v>40</v>
      </c>
      <c r="O870" s="5" t="s">
        <v>5363</v>
      </c>
      <c r="P870" s="6" t="s">
        <v>42</v>
      </c>
      <c r="Q870" s="5" t="s">
        <v>1237</v>
      </c>
      <c r="R870" s="5" t="s">
        <v>8767</v>
      </c>
      <c r="S870" s="6" t="s">
        <v>75</v>
      </c>
      <c r="T870" s="6">
        <v>6430.0</v>
      </c>
    </row>
    <row r="871" ht="56.25" customHeight="1">
      <c r="A871" s="5" t="s">
        <v>8752</v>
      </c>
      <c r="B871" s="6" t="str">
        <f>image("https://storage.googleapis.com/acdb/photos/BromideNpcNmlDer04_Remake_5_0.png")</f>
        <v/>
      </c>
      <c r="C871" s="5" t="s">
        <v>58</v>
      </c>
      <c r="D871" s="5" t="s">
        <v>1327</v>
      </c>
      <c r="E871" s="5" t="s">
        <v>34</v>
      </c>
      <c r="F871" s="5" t="s">
        <v>34</v>
      </c>
      <c r="G871" s="5" t="s">
        <v>36</v>
      </c>
      <c r="H871" s="5" t="s">
        <v>35</v>
      </c>
      <c r="I871" s="6">
        <v>1.0</v>
      </c>
      <c r="J871" s="6" t="s">
        <v>37</v>
      </c>
      <c r="K871" s="6">
        <v>10.0</v>
      </c>
      <c r="L871" s="5"/>
      <c r="M871" s="5"/>
      <c r="N871" s="6" t="s">
        <v>40</v>
      </c>
      <c r="O871" s="5" t="s">
        <v>5363</v>
      </c>
      <c r="P871" s="6" t="s">
        <v>42</v>
      </c>
      <c r="Q871" s="5" t="s">
        <v>1237</v>
      </c>
      <c r="R871" s="5" t="s">
        <v>8771</v>
      </c>
      <c r="S871" s="6" t="s">
        <v>79</v>
      </c>
      <c r="T871" s="6">
        <v>6430.0</v>
      </c>
    </row>
    <row r="872" ht="56.25" customHeight="1">
      <c r="A872" s="5" t="s">
        <v>8752</v>
      </c>
      <c r="B872" s="6" t="str">
        <f>image("https://storage.googleapis.com/acdb/photos/BromideNpcNmlDer04_Remake_6_0.png")</f>
        <v/>
      </c>
      <c r="C872" s="5" t="s">
        <v>146</v>
      </c>
      <c r="D872" s="5" t="s">
        <v>1327</v>
      </c>
      <c r="E872" s="5" t="s">
        <v>34</v>
      </c>
      <c r="F872" s="5" t="s">
        <v>34</v>
      </c>
      <c r="G872" s="5" t="s">
        <v>36</v>
      </c>
      <c r="H872" s="5" t="s">
        <v>35</v>
      </c>
      <c r="I872" s="6">
        <v>1.0</v>
      </c>
      <c r="J872" s="6" t="s">
        <v>37</v>
      </c>
      <c r="K872" s="6">
        <v>10.0</v>
      </c>
      <c r="L872" s="5"/>
      <c r="M872" s="5"/>
      <c r="N872" s="6" t="s">
        <v>40</v>
      </c>
      <c r="O872" s="5" t="s">
        <v>5363</v>
      </c>
      <c r="P872" s="6" t="s">
        <v>42</v>
      </c>
      <c r="Q872" s="5" t="s">
        <v>1237</v>
      </c>
      <c r="R872" s="5" t="s">
        <v>8775</v>
      </c>
      <c r="S872" s="6" t="s">
        <v>86</v>
      </c>
      <c r="T872" s="6">
        <v>6430.0</v>
      </c>
    </row>
    <row r="873" ht="56.25" customHeight="1">
      <c r="A873" s="5" t="s">
        <v>8752</v>
      </c>
      <c r="B873" s="6" t="str">
        <f>image("https://storage.googleapis.com/acdb/photos/BromideNpcNmlDer04_Remake_7_0.png")</f>
        <v/>
      </c>
      <c r="C873" s="5" t="s">
        <v>151</v>
      </c>
      <c r="D873" s="5" t="s">
        <v>1327</v>
      </c>
      <c r="E873" s="5" t="s">
        <v>34</v>
      </c>
      <c r="F873" s="5" t="s">
        <v>34</v>
      </c>
      <c r="G873" s="5" t="s">
        <v>36</v>
      </c>
      <c r="H873" s="5" t="s">
        <v>35</v>
      </c>
      <c r="I873" s="6">
        <v>1.0</v>
      </c>
      <c r="J873" s="6" t="s">
        <v>37</v>
      </c>
      <c r="K873" s="6">
        <v>10.0</v>
      </c>
      <c r="L873" s="5"/>
      <c r="M873" s="5"/>
      <c r="N873" s="6" t="s">
        <v>40</v>
      </c>
      <c r="O873" s="5" t="s">
        <v>5363</v>
      </c>
      <c r="P873" s="6" t="s">
        <v>42</v>
      </c>
      <c r="Q873" s="5" t="s">
        <v>1237</v>
      </c>
      <c r="R873" s="5" t="s">
        <v>8778</v>
      </c>
      <c r="S873" s="6" t="s">
        <v>208</v>
      </c>
      <c r="T873" s="6">
        <v>6430.0</v>
      </c>
    </row>
    <row r="874" ht="56.25" customHeight="1">
      <c r="A874" s="5" t="s">
        <v>8779</v>
      </c>
      <c r="B874" s="6" t="str">
        <f>image("https://storage.googleapis.com/acdb/photos/BromideNpcNmlCrd04_Remake_0_0.png")</f>
        <v/>
      </c>
      <c r="C874" s="5" t="s">
        <v>366</v>
      </c>
      <c r="D874" s="5" t="s">
        <v>1327</v>
      </c>
      <c r="E874" s="5" t="s">
        <v>34</v>
      </c>
      <c r="F874" s="5" t="s">
        <v>34</v>
      </c>
      <c r="G874" s="5" t="s">
        <v>36</v>
      </c>
      <c r="H874" s="5" t="s">
        <v>35</v>
      </c>
      <c r="I874" s="6">
        <v>1.0</v>
      </c>
      <c r="J874" s="6" t="s">
        <v>37</v>
      </c>
      <c r="K874" s="6">
        <v>10.0</v>
      </c>
      <c r="L874" s="5"/>
      <c r="M874" s="5"/>
      <c r="N874" s="6" t="s">
        <v>40</v>
      </c>
      <c r="O874" s="5" t="s">
        <v>5363</v>
      </c>
      <c r="P874" s="6" t="s">
        <v>42</v>
      </c>
      <c r="Q874" s="5" t="s">
        <v>1237</v>
      </c>
      <c r="R874" s="5" t="s">
        <v>8781</v>
      </c>
      <c r="S874" s="6" t="s">
        <v>50</v>
      </c>
      <c r="T874" s="6">
        <v>6803.0</v>
      </c>
    </row>
    <row r="875" ht="56.25" customHeight="1">
      <c r="A875" s="5" t="s">
        <v>8779</v>
      </c>
      <c r="B875" s="6" t="str">
        <f>image("https://storage.googleapis.com/acdb/photos/BromideNpcNmlCrd04_Remake_1_0.png")</f>
        <v/>
      </c>
      <c r="C875" s="5" t="s">
        <v>1132</v>
      </c>
      <c r="D875" s="5" t="s">
        <v>1327</v>
      </c>
      <c r="E875" s="5" t="s">
        <v>34</v>
      </c>
      <c r="F875" s="5" t="s">
        <v>34</v>
      </c>
      <c r="G875" s="5" t="s">
        <v>36</v>
      </c>
      <c r="H875" s="5" t="s">
        <v>35</v>
      </c>
      <c r="I875" s="6">
        <v>1.0</v>
      </c>
      <c r="J875" s="6" t="s">
        <v>37</v>
      </c>
      <c r="K875" s="6">
        <v>10.0</v>
      </c>
      <c r="L875" s="5"/>
      <c r="M875" s="5"/>
      <c r="N875" s="6" t="s">
        <v>40</v>
      </c>
      <c r="O875" s="5" t="s">
        <v>5363</v>
      </c>
      <c r="P875" s="6" t="s">
        <v>42</v>
      </c>
      <c r="Q875" s="5" t="s">
        <v>1237</v>
      </c>
      <c r="R875" s="5" t="s">
        <v>8784</v>
      </c>
      <c r="S875" s="6" t="s">
        <v>56</v>
      </c>
      <c r="T875" s="6">
        <v>6803.0</v>
      </c>
    </row>
    <row r="876" ht="56.25" customHeight="1">
      <c r="A876" s="5" t="s">
        <v>8779</v>
      </c>
      <c r="B876" s="6" t="str">
        <f>image("https://storage.googleapis.com/acdb/photos/BromideNpcNmlCrd04_Remake_2_0.png")</f>
        <v/>
      </c>
      <c r="C876" s="5" t="s">
        <v>688</v>
      </c>
      <c r="D876" s="5" t="s">
        <v>1327</v>
      </c>
      <c r="E876" s="5" t="s">
        <v>34</v>
      </c>
      <c r="F876" s="5" t="s">
        <v>34</v>
      </c>
      <c r="G876" s="5" t="s">
        <v>36</v>
      </c>
      <c r="H876" s="5" t="s">
        <v>35</v>
      </c>
      <c r="I876" s="6">
        <v>1.0</v>
      </c>
      <c r="J876" s="6" t="s">
        <v>37</v>
      </c>
      <c r="K876" s="6">
        <v>10.0</v>
      </c>
      <c r="L876" s="5"/>
      <c r="M876" s="5"/>
      <c r="N876" s="6" t="s">
        <v>40</v>
      </c>
      <c r="O876" s="5" t="s">
        <v>5363</v>
      </c>
      <c r="P876" s="6" t="s">
        <v>42</v>
      </c>
      <c r="Q876" s="5" t="s">
        <v>1237</v>
      </c>
      <c r="R876" s="5" t="s">
        <v>8787</v>
      </c>
      <c r="S876" s="6" t="s">
        <v>67</v>
      </c>
      <c r="T876" s="6">
        <v>6803.0</v>
      </c>
    </row>
    <row r="877" ht="56.25" customHeight="1">
      <c r="A877" s="5" t="s">
        <v>8779</v>
      </c>
      <c r="B877" s="6" t="str">
        <f>image("https://storage.googleapis.com/acdb/photos/BromideNpcNmlCrd04_Remake_3_0.png")</f>
        <v/>
      </c>
      <c r="C877" s="5" t="s">
        <v>57</v>
      </c>
      <c r="D877" s="5" t="s">
        <v>1327</v>
      </c>
      <c r="E877" s="5" t="s">
        <v>34</v>
      </c>
      <c r="F877" s="5" t="s">
        <v>34</v>
      </c>
      <c r="G877" s="5" t="s">
        <v>36</v>
      </c>
      <c r="H877" s="5" t="s">
        <v>35</v>
      </c>
      <c r="I877" s="6">
        <v>1.0</v>
      </c>
      <c r="J877" s="6" t="s">
        <v>37</v>
      </c>
      <c r="K877" s="6">
        <v>10.0</v>
      </c>
      <c r="L877" s="5"/>
      <c r="M877" s="5"/>
      <c r="N877" s="6" t="s">
        <v>40</v>
      </c>
      <c r="O877" s="5" t="s">
        <v>5363</v>
      </c>
      <c r="P877" s="6" t="s">
        <v>42</v>
      </c>
      <c r="Q877" s="5" t="s">
        <v>1237</v>
      </c>
      <c r="R877" s="5" t="s">
        <v>8791</v>
      </c>
      <c r="S877" s="6" t="s">
        <v>71</v>
      </c>
      <c r="T877" s="6">
        <v>6803.0</v>
      </c>
    </row>
    <row r="878" ht="56.25" customHeight="1">
      <c r="A878" s="5" t="s">
        <v>8779</v>
      </c>
      <c r="B878" s="6" t="str">
        <f>image("https://storage.googleapis.com/acdb/photos/BromideNpcNmlCrd04_Remake_4_0.png")</f>
        <v/>
      </c>
      <c r="C878" s="5" t="s">
        <v>1167</v>
      </c>
      <c r="D878" s="5" t="s">
        <v>1327</v>
      </c>
      <c r="E878" s="5" t="s">
        <v>34</v>
      </c>
      <c r="F878" s="5" t="s">
        <v>34</v>
      </c>
      <c r="G878" s="5" t="s">
        <v>36</v>
      </c>
      <c r="H878" s="5" t="s">
        <v>35</v>
      </c>
      <c r="I878" s="6">
        <v>1.0</v>
      </c>
      <c r="J878" s="6" t="s">
        <v>37</v>
      </c>
      <c r="K878" s="6">
        <v>10.0</v>
      </c>
      <c r="L878" s="5"/>
      <c r="M878" s="5"/>
      <c r="N878" s="6" t="s">
        <v>40</v>
      </c>
      <c r="O878" s="5" t="s">
        <v>5363</v>
      </c>
      <c r="P878" s="6" t="s">
        <v>42</v>
      </c>
      <c r="Q878" s="5" t="s">
        <v>1237</v>
      </c>
      <c r="R878" s="5" t="s">
        <v>8793</v>
      </c>
      <c r="S878" s="6" t="s">
        <v>75</v>
      </c>
      <c r="T878" s="6">
        <v>6803.0</v>
      </c>
    </row>
    <row r="879" ht="56.25" customHeight="1">
      <c r="A879" s="5" t="s">
        <v>8779</v>
      </c>
      <c r="B879" s="6" t="str">
        <f>image("https://storage.googleapis.com/acdb/photos/BromideNpcNmlCrd04_Remake_5_0.png")</f>
        <v/>
      </c>
      <c r="C879" s="5" t="s">
        <v>58</v>
      </c>
      <c r="D879" s="5" t="s">
        <v>1327</v>
      </c>
      <c r="E879" s="5" t="s">
        <v>34</v>
      </c>
      <c r="F879" s="5" t="s">
        <v>34</v>
      </c>
      <c r="G879" s="5" t="s">
        <v>36</v>
      </c>
      <c r="H879" s="5" t="s">
        <v>35</v>
      </c>
      <c r="I879" s="6">
        <v>1.0</v>
      </c>
      <c r="J879" s="6" t="s">
        <v>37</v>
      </c>
      <c r="K879" s="6">
        <v>10.0</v>
      </c>
      <c r="L879" s="5"/>
      <c r="M879" s="5"/>
      <c r="N879" s="6" t="s">
        <v>40</v>
      </c>
      <c r="O879" s="5" t="s">
        <v>5363</v>
      </c>
      <c r="P879" s="6" t="s">
        <v>42</v>
      </c>
      <c r="Q879" s="5" t="s">
        <v>1237</v>
      </c>
      <c r="R879" s="5" t="s">
        <v>8796</v>
      </c>
      <c r="S879" s="6" t="s">
        <v>79</v>
      </c>
      <c r="T879" s="6">
        <v>6803.0</v>
      </c>
    </row>
    <row r="880" ht="56.25" customHeight="1">
      <c r="A880" s="5" t="s">
        <v>8779</v>
      </c>
      <c r="B880" s="6" t="str">
        <f>image("https://storage.googleapis.com/acdb/photos/BromideNpcNmlCrd04_Remake_6_0.png")</f>
        <v/>
      </c>
      <c r="C880" s="5" t="s">
        <v>146</v>
      </c>
      <c r="D880" s="5" t="s">
        <v>1327</v>
      </c>
      <c r="E880" s="5" t="s">
        <v>34</v>
      </c>
      <c r="F880" s="5" t="s">
        <v>34</v>
      </c>
      <c r="G880" s="5" t="s">
        <v>36</v>
      </c>
      <c r="H880" s="5" t="s">
        <v>35</v>
      </c>
      <c r="I880" s="6">
        <v>1.0</v>
      </c>
      <c r="J880" s="6" t="s">
        <v>37</v>
      </c>
      <c r="K880" s="6">
        <v>10.0</v>
      </c>
      <c r="L880" s="5"/>
      <c r="M880" s="5"/>
      <c r="N880" s="6" t="s">
        <v>40</v>
      </c>
      <c r="O880" s="5" t="s">
        <v>5363</v>
      </c>
      <c r="P880" s="6" t="s">
        <v>42</v>
      </c>
      <c r="Q880" s="5" t="s">
        <v>1237</v>
      </c>
      <c r="R880" s="5" t="s">
        <v>8799</v>
      </c>
      <c r="S880" s="6" t="s">
        <v>86</v>
      </c>
      <c r="T880" s="6">
        <v>6803.0</v>
      </c>
    </row>
    <row r="881" ht="56.25" customHeight="1">
      <c r="A881" s="5" t="s">
        <v>8779</v>
      </c>
      <c r="B881" s="6" t="str">
        <f>image("https://storage.googleapis.com/acdb/photos/BromideNpcNmlCrd04_Remake_7_0.png")</f>
        <v/>
      </c>
      <c r="C881" s="5" t="s">
        <v>151</v>
      </c>
      <c r="D881" s="5" t="s">
        <v>1327</v>
      </c>
      <c r="E881" s="5" t="s">
        <v>34</v>
      </c>
      <c r="F881" s="5" t="s">
        <v>34</v>
      </c>
      <c r="G881" s="5" t="s">
        <v>36</v>
      </c>
      <c r="H881" s="5" t="s">
        <v>35</v>
      </c>
      <c r="I881" s="6">
        <v>1.0</v>
      </c>
      <c r="J881" s="6" t="s">
        <v>37</v>
      </c>
      <c r="K881" s="6">
        <v>10.0</v>
      </c>
      <c r="L881" s="5"/>
      <c r="M881" s="5"/>
      <c r="N881" s="6" t="s">
        <v>40</v>
      </c>
      <c r="O881" s="5" t="s">
        <v>5363</v>
      </c>
      <c r="P881" s="6" t="s">
        <v>42</v>
      </c>
      <c r="Q881" s="5" t="s">
        <v>1237</v>
      </c>
      <c r="R881" s="5" t="s">
        <v>8802</v>
      </c>
      <c r="S881" s="6" t="s">
        <v>208</v>
      </c>
      <c r="T881" s="6">
        <v>6803.0</v>
      </c>
    </row>
    <row r="882" ht="56.25" customHeight="1">
      <c r="A882" s="5" t="s">
        <v>8804</v>
      </c>
      <c r="B882" s="6" t="str">
        <f>image("https://storage.googleapis.com/acdb/photos/BromideNpcNmlMnk08_Remake_0_0.png")</f>
        <v/>
      </c>
      <c r="C882" s="5" t="s">
        <v>366</v>
      </c>
      <c r="D882" s="5" t="s">
        <v>1327</v>
      </c>
      <c r="E882" s="5" t="s">
        <v>34</v>
      </c>
      <c r="F882" s="5" t="s">
        <v>34</v>
      </c>
      <c r="G882" s="5" t="s">
        <v>36</v>
      </c>
      <c r="H882" s="5" t="s">
        <v>35</v>
      </c>
      <c r="I882" s="6">
        <v>1.0</v>
      </c>
      <c r="J882" s="6" t="s">
        <v>37</v>
      </c>
      <c r="K882" s="6">
        <v>10.0</v>
      </c>
      <c r="L882" s="5"/>
      <c r="M882" s="5"/>
      <c r="N882" s="6" t="s">
        <v>40</v>
      </c>
      <c r="O882" s="5" t="s">
        <v>5363</v>
      </c>
      <c r="P882" s="6" t="s">
        <v>42</v>
      </c>
      <c r="Q882" s="5" t="s">
        <v>1237</v>
      </c>
      <c r="R882" s="5" t="s">
        <v>8806</v>
      </c>
      <c r="S882" s="6" t="s">
        <v>50</v>
      </c>
      <c r="T882" s="6">
        <v>6588.0</v>
      </c>
    </row>
    <row r="883" ht="56.25" customHeight="1">
      <c r="A883" s="5" t="s">
        <v>8804</v>
      </c>
      <c r="B883" s="6" t="str">
        <f>image("https://storage.googleapis.com/acdb/photos/BromideNpcNmlMnk08_Remake_1_0.png")</f>
        <v/>
      </c>
      <c r="C883" s="5" t="s">
        <v>1132</v>
      </c>
      <c r="D883" s="5" t="s">
        <v>1327</v>
      </c>
      <c r="E883" s="5" t="s">
        <v>34</v>
      </c>
      <c r="F883" s="5" t="s">
        <v>34</v>
      </c>
      <c r="G883" s="5" t="s">
        <v>36</v>
      </c>
      <c r="H883" s="5" t="s">
        <v>35</v>
      </c>
      <c r="I883" s="6">
        <v>1.0</v>
      </c>
      <c r="J883" s="6" t="s">
        <v>37</v>
      </c>
      <c r="K883" s="6">
        <v>10.0</v>
      </c>
      <c r="L883" s="5"/>
      <c r="M883" s="5"/>
      <c r="N883" s="6" t="s">
        <v>40</v>
      </c>
      <c r="O883" s="5" t="s">
        <v>5363</v>
      </c>
      <c r="P883" s="6" t="s">
        <v>42</v>
      </c>
      <c r="Q883" s="5" t="s">
        <v>1237</v>
      </c>
      <c r="R883" s="5" t="s">
        <v>8810</v>
      </c>
      <c r="S883" s="6" t="s">
        <v>56</v>
      </c>
      <c r="T883" s="6">
        <v>6588.0</v>
      </c>
    </row>
    <row r="884" ht="56.25" customHeight="1">
      <c r="A884" s="5" t="s">
        <v>8804</v>
      </c>
      <c r="B884" s="6" t="str">
        <f>image("https://storage.googleapis.com/acdb/photos/BromideNpcNmlMnk08_Remake_2_0.png")</f>
        <v/>
      </c>
      <c r="C884" s="5" t="s">
        <v>688</v>
      </c>
      <c r="D884" s="5" t="s">
        <v>1327</v>
      </c>
      <c r="E884" s="5" t="s">
        <v>34</v>
      </c>
      <c r="F884" s="5" t="s">
        <v>34</v>
      </c>
      <c r="G884" s="5" t="s">
        <v>36</v>
      </c>
      <c r="H884" s="5" t="s">
        <v>35</v>
      </c>
      <c r="I884" s="6">
        <v>1.0</v>
      </c>
      <c r="J884" s="6" t="s">
        <v>37</v>
      </c>
      <c r="K884" s="6">
        <v>10.0</v>
      </c>
      <c r="L884" s="5"/>
      <c r="M884" s="5"/>
      <c r="N884" s="6" t="s">
        <v>40</v>
      </c>
      <c r="O884" s="5" t="s">
        <v>5363</v>
      </c>
      <c r="P884" s="6" t="s">
        <v>42</v>
      </c>
      <c r="Q884" s="5" t="s">
        <v>1237</v>
      </c>
      <c r="R884" s="5" t="s">
        <v>8813</v>
      </c>
      <c r="S884" s="6" t="s">
        <v>67</v>
      </c>
      <c r="T884" s="6">
        <v>6588.0</v>
      </c>
    </row>
    <row r="885" ht="56.25" customHeight="1">
      <c r="A885" s="5" t="s">
        <v>8804</v>
      </c>
      <c r="B885" s="6" t="str">
        <f>image("https://storage.googleapis.com/acdb/photos/BromideNpcNmlMnk08_Remake_3_0.png")</f>
        <v/>
      </c>
      <c r="C885" s="5" t="s">
        <v>57</v>
      </c>
      <c r="D885" s="5" t="s">
        <v>1327</v>
      </c>
      <c r="E885" s="5" t="s">
        <v>34</v>
      </c>
      <c r="F885" s="5" t="s">
        <v>34</v>
      </c>
      <c r="G885" s="5" t="s">
        <v>36</v>
      </c>
      <c r="H885" s="5" t="s">
        <v>35</v>
      </c>
      <c r="I885" s="6">
        <v>1.0</v>
      </c>
      <c r="J885" s="6" t="s">
        <v>37</v>
      </c>
      <c r="K885" s="6">
        <v>10.0</v>
      </c>
      <c r="L885" s="5"/>
      <c r="M885" s="5"/>
      <c r="N885" s="6" t="s">
        <v>40</v>
      </c>
      <c r="O885" s="5" t="s">
        <v>5363</v>
      </c>
      <c r="P885" s="6" t="s">
        <v>42</v>
      </c>
      <c r="Q885" s="5" t="s">
        <v>1237</v>
      </c>
      <c r="R885" s="5" t="s">
        <v>8817</v>
      </c>
      <c r="S885" s="6" t="s">
        <v>71</v>
      </c>
      <c r="T885" s="6">
        <v>6588.0</v>
      </c>
    </row>
    <row r="886" ht="56.25" customHeight="1">
      <c r="A886" s="5" t="s">
        <v>8804</v>
      </c>
      <c r="B886" s="6" t="str">
        <f>image("https://storage.googleapis.com/acdb/photos/BromideNpcNmlMnk08_Remake_4_0.png")</f>
        <v/>
      </c>
      <c r="C886" s="5" t="s">
        <v>1167</v>
      </c>
      <c r="D886" s="5" t="s">
        <v>1327</v>
      </c>
      <c r="E886" s="5" t="s">
        <v>34</v>
      </c>
      <c r="F886" s="5" t="s">
        <v>34</v>
      </c>
      <c r="G886" s="5" t="s">
        <v>36</v>
      </c>
      <c r="H886" s="5" t="s">
        <v>35</v>
      </c>
      <c r="I886" s="6">
        <v>1.0</v>
      </c>
      <c r="J886" s="6" t="s">
        <v>37</v>
      </c>
      <c r="K886" s="6">
        <v>10.0</v>
      </c>
      <c r="L886" s="5"/>
      <c r="M886" s="5"/>
      <c r="N886" s="6" t="s">
        <v>40</v>
      </c>
      <c r="O886" s="5" t="s">
        <v>5363</v>
      </c>
      <c r="P886" s="6" t="s">
        <v>42</v>
      </c>
      <c r="Q886" s="5" t="s">
        <v>1237</v>
      </c>
      <c r="R886" s="5" t="s">
        <v>8820</v>
      </c>
      <c r="S886" s="6" t="s">
        <v>75</v>
      </c>
      <c r="T886" s="6">
        <v>6588.0</v>
      </c>
    </row>
    <row r="887" ht="56.25" customHeight="1">
      <c r="A887" s="5" t="s">
        <v>8804</v>
      </c>
      <c r="B887" s="6" t="str">
        <f>image("https://storage.googleapis.com/acdb/photos/BromideNpcNmlMnk08_Remake_5_0.png")</f>
        <v/>
      </c>
      <c r="C887" s="5" t="s">
        <v>58</v>
      </c>
      <c r="D887" s="5" t="s">
        <v>1327</v>
      </c>
      <c r="E887" s="5" t="s">
        <v>34</v>
      </c>
      <c r="F887" s="5" t="s">
        <v>34</v>
      </c>
      <c r="G887" s="5" t="s">
        <v>36</v>
      </c>
      <c r="H887" s="5" t="s">
        <v>35</v>
      </c>
      <c r="I887" s="6">
        <v>1.0</v>
      </c>
      <c r="J887" s="6" t="s">
        <v>37</v>
      </c>
      <c r="K887" s="6">
        <v>10.0</v>
      </c>
      <c r="L887" s="5"/>
      <c r="M887" s="5"/>
      <c r="N887" s="6" t="s">
        <v>40</v>
      </c>
      <c r="O887" s="5" t="s">
        <v>5363</v>
      </c>
      <c r="P887" s="6" t="s">
        <v>42</v>
      </c>
      <c r="Q887" s="5" t="s">
        <v>1237</v>
      </c>
      <c r="R887" s="5" t="s">
        <v>8823</v>
      </c>
      <c r="S887" s="6" t="s">
        <v>79</v>
      </c>
      <c r="T887" s="6">
        <v>6588.0</v>
      </c>
    </row>
    <row r="888" ht="56.25" customHeight="1">
      <c r="A888" s="5" t="s">
        <v>8804</v>
      </c>
      <c r="B888" s="6" t="str">
        <f>image("https://storage.googleapis.com/acdb/photos/BromideNpcNmlMnk08_Remake_6_0.png")</f>
        <v/>
      </c>
      <c r="C888" s="5" t="s">
        <v>146</v>
      </c>
      <c r="D888" s="5" t="s">
        <v>1327</v>
      </c>
      <c r="E888" s="5" t="s">
        <v>34</v>
      </c>
      <c r="F888" s="5" t="s">
        <v>34</v>
      </c>
      <c r="G888" s="5" t="s">
        <v>36</v>
      </c>
      <c r="H888" s="5" t="s">
        <v>35</v>
      </c>
      <c r="I888" s="6">
        <v>1.0</v>
      </c>
      <c r="J888" s="6" t="s">
        <v>37</v>
      </c>
      <c r="K888" s="6">
        <v>10.0</v>
      </c>
      <c r="L888" s="5"/>
      <c r="M888" s="5"/>
      <c r="N888" s="6" t="s">
        <v>40</v>
      </c>
      <c r="O888" s="5" t="s">
        <v>5363</v>
      </c>
      <c r="P888" s="6" t="s">
        <v>42</v>
      </c>
      <c r="Q888" s="5" t="s">
        <v>1237</v>
      </c>
      <c r="R888" s="5" t="s">
        <v>8825</v>
      </c>
      <c r="S888" s="6" t="s">
        <v>86</v>
      </c>
      <c r="T888" s="6">
        <v>6588.0</v>
      </c>
    </row>
    <row r="889" ht="56.25" customHeight="1">
      <c r="A889" s="5" t="s">
        <v>8804</v>
      </c>
      <c r="B889" s="6" t="str">
        <f>image("https://storage.googleapis.com/acdb/photos/BromideNpcNmlMnk08_Remake_7_0.png")</f>
        <v/>
      </c>
      <c r="C889" s="5" t="s">
        <v>151</v>
      </c>
      <c r="D889" s="5" t="s">
        <v>1327</v>
      </c>
      <c r="E889" s="5" t="s">
        <v>34</v>
      </c>
      <c r="F889" s="5" t="s">
        <v>34</v>
      </c>
      <c r="G889" s="5" t="s">
        <v>36</v>
      </c>
      <c r="H889" s="5" t="s">
        <v>35</v>
      </c>
      <c r="I889" s="6">
        <v>1.0</v>
      </c>
      <c r="J889" s="6" t="s">
        <v>37</v>
      </c>
      <c r="K889" s="6">
        <v>10.0</v>
      </c>
      <c r="L889" s="5"/>
      <c r="M889" s="5"/>
      <c r="N889" s="6" t="s">
        <v>40</v>
      </c>
      <c r="O889" s="5" t="s">
        <v>5363</v>
      </c>
      <c r="P889" s="6" t="s">
        <v>42</v>
      </c>
      <c r="Q889" s="5" t="s">
        <v>1237</v>
      </c>
      <c r="R889" s="5" t="s">
        <v>8830</v>
      </c>
      <c r="S889" s="6" t="s">
        <v>208</v>
      </c>
      <c r="T889" s="6">
        <v>6588.0</v>
      </c>
    </row>
    <row r="890" ht="56.25" customHeight="1">
      <c r="A890" s="5" t="s">
        <v>8831</v>
      </c>
      <c r="B890" s="6" t="str">
        <f>image("https://storage.googleapis.com/acdb/photos/BromideNpcNmlDuk08_Remake_0_0.png")</f>
        <v/>
      </c>
      <c r="C890" s="5" t="s">
        <v>366</v>
      </c>
      <c r="D890" s="5" t="s">
        <v>1327</v>
      </c>
      <c r="E890" s="5" t="s">
        <v>34</v>
      </c>
      <c r="F890" s="5" t="s">
        <v>34</v>
      </c>
      <c r="G890" s="5" t="s">
        <v>36</v>
      </c>
      <c r="H890" s="5" t="s">
        <v>35</v>
      </c>
      <c r="I890" s="6">
        <v>1.0</v>
      </c>
      <c r="J890" s="6" t="s">
        <v>37</v>
      </c>
      <c r="K890" s="6">
        <v>10.0</v>
      </c>
      <c r="L890" s="5"/>
      <c r="M890" s="5"/>
      <c r="N890" s="6" t="s">
        <v>40</v>
      </c>
      <c r="O890" s="5" t="s">
        <v>5363</v>
      </c>
      <c r="P890" s="6" t="s">
        <v>42</v>
      </c>
      <c r="Q890" s="5" t="s">
        <v>1237</v>
      </c>
      <c r="R890" s="5" t="s">
        <v>8835</v>
      </c>
      <c r="S890" s="6" t="s">
        <v>50</v>
      </c>
      <c r="T890" s="6">
        <v>6463.0</v>
      </c>
    </row>
    <row r="891" ht="56.25" customHeight="1">
      <c r="A891" s="5" t="s">
        <v>8831</v>
      </c>
      <c r="B891" s="6" t="str">
        <f>image("https://storage.googleapis.com/acdb/photos/BromideNpcNmlDuk08_Remake_1_0.png")</f>
        <v/>
      </c>
      <c r="C891" s="5" t="s">
        <v>1132</v>
      </c>
      <c r="D891" s="5" t="s">
        <v>1327</v>
      </c>
      <c r="E891" s="5" t="s">
        <v>34</v>
      </c>
      <c r="F891" s="5" t="s">
        <v>34</v>
      </c>
      <c r="G891" s="5" t="s">
        <v>36</v>
      </c>
      <c r="H891" s="5" t="s">
        <v>35</v>
      </c>
      <c r="I891" s="6">
        <v>1.0</v>
      </c>
      <c r="J891" s="6" t="s">
        <v>37</v>
      </c>
      <c r="K891" s="6">
        <v>10.0</v>
      </c>
      <c r="L891" s="5"/>
      <c r="M891" s="5"/>
      <c r="N891" s="6" t="s">
        <v>40</v>
      </c>
      <c r="O891" s="5" t="s">
        <v>5363</v>
      </c>
      <c r="P891" s="6" t="s">
        <v>42</v>
      </c>
      <c r="Q891" s="5" t="s">
        <v>1237</v>
      </c>
      <c r="R891" s="5" t="s">
        <v>8838</v>
      </c>
      <c r="S891" s="6" t="s">
        <v>56</v>
      </c>
      <c r="T891" s="6">
        <v>6463.0</v>
      </c>
    </row>
    <row r="892" ht="56.25" customHeight="1">
      <c r="A892" s="5" t="s">
        <v>8831</v>
      </c>
      <c r="B892" s="6" t="str">
        <f>image("https://storage.googleapis.com/acdb/photos/BromideNpcNmlDuk08_Remake_2_0.png")</f>
        <v/>
      </c>
      <c r="C892" s="5" t="s">
        <v>688</v>
      </c>
      <c r="D892" s="5" t="s">
        <v>1327</v>
      </c>
      <c r="E892" s="5" t="s">
        <v>34</v>
      </c>
      <c r="F892" s="5" t="s">
        <v>34</v>
      </c>
      <c r="G892" s="5" t="s">
        <v>36</v>
      </c>
      <c r="H892" s="5" t="s">
        <v>35</v>
      </c>
      <c r="I892" s="6">
        <v>1.0</v>
      </c>
      <c r="J892" s="6" t="s">
        <v>37</v>
      </c>
      <c r="K892" s="6">
        <v>10.0</v>
      </c>
      <c r="L892" s="5"/>
      <c r="M892" s="5"/>
      <c r="N892" s="6" t="s">
        <v>40</v>
      </c>
      <c r="O892" s="5" t="s">
        <v>5363</v>
      </c>
      <c r="P892" s="6" t="s">
        <v>42</v>
      </c>
      <c r="Q892" s="5" t="s">
        <v>1237</v>
      </c>
      <c r="R892" s="5" t="s">
        <v>8841</v>
      </c>
      <c r="S892" s="6" t="s">
        <v>67</v>
      </c>
      <c r="T892" s="6">
        <v>6463.0</v>
      </c>
    </row>
    <row r="893" ht="56.25" customHeight="1">
      <c r="A893" s="5" t="s">
        <v>8831</v>
      </c>
      <c r="B893" s="6" t="str">
        <f>image("https://storage.googleapis.com/acdb/photos/BromideNpcNmlDuk08_Remake_3_0.png")</f>
        <v/>
      </c>
      <c r="C893" s="5" t="s">
        <v>57</v>
      </c>
      <c r="D893" s="5" t="s">
        <v>1327</v>
      </c>
      <c r="E893" s="5" t="s">
        <v>34</v>
      </c>
      <c r="F893" s="5" t="s">
        <v>34</v>
      </c>
      <c r="G893" s="5" t="s">
        <v>36</v>
      </c>
      <c r="H893" s="5" t="s">
        <v>35</v>
      </c>
      <c r="I893" s="6">
        <v>1.0</v>
      </c>
      <c r="J893" s="6" t="s">
        <v>37</v>
      </c>
      <c r="K893" s="6">
        <v>10.0</v>
      </c>
      <c r="L893" s="5"/>
      <c r="M893" s="5"/>
      <c r="N893" s="6" t="s">
        <v>40</v>
      </c>
      <c r="O893" s="5" t="s">
        <v>5363</v>
      </c>
      <c r="P893" s="6" t="s">
        <v>42</v>
      </c>
      <c r="Q893" s="5" t="s">
        <v>1237</v>
      </c>
      <c r="R893" s="5" t="s">
        <v>8845</v>
      </c>
      <c r="S893" s="6" t="s">
        <v>71</v>
      </c>
      <c r="T893" s="6">
        <v>6463.0</v>
      </c>
    </row>
    <row r="894" ht="56.25" customHeight="1">
      <c r="A894" s="5" t="s">
        <v>8831</v>
      </c>
      <c r="B894" s="6" t="str">
        <f>image("https://storage.googleapis.com/acdb/photos/BromideNpcNmlDuk08_Remake_4_0.png")</f>
        <v/>
      </c>
      <c r="C894" s="5" t="s">
        <v>1167</v>
      </c>
      <c r="D894" s="5" t="s">
        <v>1327</v>
      </c>
      <c r="E894" s="5" t="s">
        <v>34</v>
      </c>
      <c r="F894" s="5" t="s">
        <v>34</v>
      </c>
      <c r="G894" s="5" t="s">
        <v>36</v>
      </c>
      <c r="H894" s="5" t="s">
        <v>35</v>
      </c>
      <c r="I894" s="6">
        <v>1.0</v>
      </c>
      <c r="J894" s="6" t="s">
        <v>37</v>
      </c>
      <c r="K894" s="6">
        <v>10.0</v>
      </c>
      <c r="L894" s="5"/>
      <c r="M894" s="5"/>
      <c r="N894" s="6" t="s">
        <v>40</v>
      </c>
      <c r="O894" s="5" t="s">
        <v>5363</v>
      </c>
      <c r="P894" s="6" t="s">
        <v>42</v>
      </c>
      <c r="Q894" s="5" t="s">
        <v>1237</v>
      </c>
      <c r="R894" s="5" t="s">
        <v>8848</v>
      </c>
      <c r="S894" s="6" t="s">
        <v>75</v>
      </c>
      <c r="T894" s="6">
        <v>6463.0</v>
      </c>
    </row>
    <row r="895" ht="56.25" customHeight="1">
      <c r="A895" s="5" t="s">
        <v>8831</v>
      </c>
      <c r="B895" s="6" t="str">
        <f>image("https://storage.googleapis.com/acdb/photos/BromideNpcNmlDuk08_Remake_5_0.png")</f>
        <v/>
      </c>
      <c r="C895" s="5" t="s">
        <v>58</v>
      </c>
      <c r="D895" s="5" t="s">
        <v>1327</v>
      </c>
      <c r="E895" s="5" t="s">
        <v>34</v>
      </c>
      <c r="F895" s="5" t="s">
        <v>34</v>
      </c>
      <c r="G895" s="5" t="s">
        <v>36</v>
      </c>
      <c r="H895" s="5" t="s">
        <v>35</v>
      </c>
      <c r="I895" s="6">
        <v>1.0</v>
      </c>
      <c r="J895" s="6" t="s">
        <v>37</v>
      </c>
      <c r="K895" s="6">
        <v>10.0</v>
      </c>
      <c r="L895" s="5"/>
      <c r="M895" s="5"/>
      <c r="N895" s="6" t="s">
        <v>40</v>
      </c>
      <c r="O895" s="5" t="s">
        <v>5363</v>
      </c>
      <c r="P895" s="6" t="s">
        <v>42</v>
      </c>
      <c r="Q895" s="5" t="s">
        <v>1237</v>
      </c>
      <c r="R895" s="5" t="s">
        <v>8851</v>
      </c>
      <c r="S895" s="6" t="s">
        <v>79</v>
      </c>
      <c r="T895" s="6">
        <v>6463.0</v>
      </c>
    </row>
    <row r="896" ht="56.25" customHeight="1">
      <c r="A896" s="5" t="s">
        <v>8831</v>
      </c>
      <c r="B896" s="6" t="str">
        <f>image("https://storage.googleapis.com/acdb/photos/BromideNpcNmlDuk08_Remake_6_0.png")</f>
        <v/>
      </c>
      <c r="C896" s="5" t="s">
        <v>146</v>
      </c>
      <c r="D896" s="5" t="s">
        <v>1327</v>
      </c>
      <c r="E896" s="5" t="s">
        <v>34</v>
      </c>
      <c r="F896" s="5" t="s">
        <v>34</v>
      </c>
      <c r="G896" s="5" t="s">
        <v>36</v>
      </c>
      <c r="H896" s="5" t="s">
        <v>35</v>
      </c>
      <c r="I896" s="6">
        <v>1.0</v>
      </c>
      <c r="J896" s="6" t="s">
        <v>37</v>
      </c>
      <c r="K896" s="6">
        <v>10.0</v>
      </c>
      <c r="L896" s="5"/>
      <c r="M896" s="5"/>
      <c r="N896" s="6" t="s">
        <v>40</v>
      </c>
      <c r="O896" s="5" t="s">
        <v>5363</v>
      </c>
      <c r="P896" s="6" t="s">
        <v>42</v>
      </c>
      <c r="Q896" s="5" t="s">
        <v>1237</v>
      </c>
      <c r="R896" s="5" t="s">
        <v>8855</v>
      </c>
      <c r="S896" s="6" t="s">
        <v>86</v>
      </c>
      <c r="T896" s="6">
        <v>6463.0</v>
      </c>
    </row>
    <row r="897" ht="56.25" customHeight="1">
      <c r="A897" s="5" t="s">
        <v>8831</v>
      </c>
      <c r="B897" s="6" t="str">
        <f>image("https://storage.googleapis.com/acdb/photos/BromideNpcNmlDuk08_Remake_7_0.png")</f>
        <v/>
      </c>
      <c r="C897" s="5" t="s">
        <v>151</v>
      </c>
      <c r="D897" s="5" t="s">
        <v>1327</v>
      </c>
      <c r="E897" s="5" t="s">
        <v>34</v>
      </c>
      <c r="F897" s="5" t="s">
        <v>34</v>
      </c>
      <c r="G897" s="5" t="s">
        <v>36</v>
      </c>
      <c r="H897" s="5" t="s">
        <v>35</v>
      </c>
      <c r="I897" s="6">
        <v>1.0</v>
      </c>
      <c r="J897" s="6" t="s">
        <v>37</v>
      </c>
      <c r="K897" s="6">
        <v>10.0</v>
      </c>
      <c r="L897" s="5"/>
      <c r="M897" s="5"/>
      <c r="N897" s="6" t="s">
        <v>40</v>
      </c>
      <c r="O897" s="5" t="s">
        <v>5363</v>
      </c>
      <c r="P897" s="6" t="s">
        <v>42</v>
      </c>
      <c r="Q897" s="5" t="s">
        <v>1237</v>
      </c>
      <c r="R897" s="5" t="s">
        <v>8859</v>
      </c>
      <c r="S897" s="6" t="s">
        <v>208</v>
      </c>
      <c r="T897" s="6">
        <v>6463.0</v>
      </c>
    </row>
    <row r="898" ht="56.25" customHeight="1">
      <c r="A898" s="5" t="s">
        <v>8861</v>
      </c>
      <c r="B898" s="6" t="str">
        <f>image("https://storage.googleapis.com/acdb/photos/BromideNpcNmlDer08_Remake_0_0.png")</f>
        <v/>
      </c>
      <c r="C898" s="5" t="s">
        <v>366</v>
      </c>
      <c r="D898" s="5" t="s">
        <v>1327</v>
      </c>
      <c r="E898" s="5" t="s">
        <v>34</v>
      </c>
      <c r="F898" s="5" t="s">
        <v>34</v>
      </c>
      <c r="G898" s="5" t="s">
        <v>36</v>
      </c>
      <c r="H898" s="5" t="s">
        <v>35</v>
      </c>
      <c r="I898" s="6">
        <v>1.0</v>
      </c>
      <c r="J898" s="6" t="s">
        <v>37</v>
      </c>
      <c r="K898" s="6">
        <v>10.0</v>
      </c>
      <c r="L898" s="5"/>
      <c r="M898" s="5"/>
      <c r="N898" s="6" t="s">
        <v>40</v>
      </c>
      <c r="O898" s="5" t="s">
        <v>5363</v>
      </c>
      <c r="P898" s="6" t="s">
        <v>42</v>
      </c>
      <c r="Q898" s="5" t="s">
        <v>1237</v>
      </c>
      <c r="R898" s="5" t="s">
        <v>8864</v>
      </c>
      <c r="S898" s="6" t="s">
        <v>50</v>
      </c>
      <c r="T898" s="6">
        <v>6434.0</v>
      </c>
    </row>
    <row r="899" ht="56.25" customHeight="1">
      <c r="A899" s="5" t="s">
        <v>8861</v>
      </c>
      <c r="B899" s="6" t="str">
        <f>image("https://storage.googleapis.com/acdb/photos/BromideNpcNmlDer08_Remake_1_0.png")</f>
        <v/>
      </c>
      <c r="C899" s="5" t="s">
        <v>1132</v>
      </c>
      <c r="D899" s="5" t="s">
        <v>1327</v>
      </c>
      <c r="E899" s="5" t="s">
        <v>34</v>
      </c>
      <c r="F899" s="5" t="s">
        <v>34</v>
      </c>
      <c r="G899" s="5" t="s">
        <v>36</v>
      </c>
      <c r="H899" s="5" t="s">
        <v>35</v>
      </c>
      <c r="I899" s="6">
        <v>1.0</v>
      </c>
      <c r="J899" s="6" t="s">
        <v>37</v>
      </c>
      <c r="K899" s="6">
        <v>10.0</v>
      </c>
      <c r="L899" s="5"/>
      <c r="M899" s="5"/>
      <c r="N899" s="6" t="s">
        <v>40</v>
      </c>
      <c r="O899" s="5" t="s">
        <v>5363</v>
      </c>
      <c r="P899" s="6" t="s">
        <v>42</v>
      </c>
      <c r="Q899" s="5" t="s">
        <v>1237</v>
      </c>
      <c r="R899" s="5" t="s">
        <v>8866</v>
      </c>
      <c r="S899" s="6" t="s">
        <v>56</v>
      </c>
      <c r="T899" s="6">
        <v>6434.0</v>
      </c>
    </row>
    <row r="900" ht="56.25" customHeight="1">
      <c r="A900" s="5" t="s">
        <v>8861</v>
      </c>
      <c r="B900" s="6" t="str">
        <f>image("https://storage.googleapis.com/acdb/photos/BromideNpcNmlDer08_Remake_2_0.png")</f>
        <v/>
      </c>
      <c r="C900" s="5" t="s">
        <v>688</v>
      </c>
      <c r="D900" s="5" t="s">
        <v>1327</v>
      </c>
      <c r="E900" s="5" t="s">
        <v>34</v>
      </c>
      <c r="F900" s="5" t="s">
        <v>34</v>
      </c>
      <c r="G900" s="5" t="s">
        <v>36</v>
      </c>
      <c r="H900" s="5" t="s">
        <v>35</v>
      </c>
      <c r="I900" s="6">
        <v>1.0</v>
      </c>
      <c r="J900" s="6" t="s">
        <v>37</v>
      </c>
      <c r="K900" s="6">
        <v>10.0</v>
      </c>
      <c r="L900" s="5"/>
      <c r="M900" s="5"/>
      <c r="N900" s="6" t="s">
        <v>40</v>
      </c>
      <c r="O900" s="5" t="s">
        <v>5363</v>
      </c>
      <c r="P900" s="6" t="s">
        <v>42</v>
      </c>
      <c r="Q900" s="5" t="s">
        <v>1237</v>
      </c>
      <c r="R900" s="5" t="s">
        <v>8869</v>
      </c>
      <c r="S900" s="6" t="s">
        <v>67</v>
      </c>
      <c r="T900" s="6">
        <v>6434.0</v>
      </c>
    </row>
    <row r="901" ht="56.25" customHeight="1">
      <c r="A901" s="5" t="s">
        <v>8861</v>
      </c>
      <c r="B901" s="6" t="str">
        <f>image("https://storage.googleapis.com/acdb/photos/BromideNpcNmlDer08_Remake_3_0.png")</f>
        <v/>
      </c>
      <c r="C901" s="5" t="s">
        <v>57</v>
      </c>
      <c r="D901" s="5" t="s">
        <v>1327</v>
      </c>
      <c r="E901" s="5" t="s">
        <v>34</v>
      </c>
      <c r="F901" s="5" t="s">
        <v>34</v>
      </c>
      <c r="G901" s="5" t="s">
        <v>36</v>
      </c>
      <c r="H901" s="5" t="s">
        <v>35</v>
      </c>
      <c r="I901" s="6">
        <v>1.0</v>
      </c>
      <c r="J901" s="6" t="s">
        <v>37</v>
      </c>
      <c r="K901" s="6">
        <v>10.0</v>
      </c>
      <c r="L901" s="5"/>
      <c r="M901" s="5"/>
      <c r="N901" s="6" t="s">
        <v>40</v>
      </c>
      <c r="O901" s="5" t="s">
        <v>5363</v>
      </c>
      <c r="P901" s="6" t="s">
        <v>42</v>
      </c>
      <c r="Q901" s="5" t="s">
        <v>1237</v>
      </c>
      <c r="R901" s="5" t="s">
        <v>8873</v>
      </c>
      <c r="S901" s="6" t="s">
        <v>71</v>
      </c>
      <c r="T901" s="6">
        <v>6434.0</v>
      </c>
    </row>
    <row r="902" ht="56.25" customHeight="1">
      <c r="A902" s="5" t="s">
        <v>8861</v>
      </c>
      <c r="B902" s="6" t="str">
        <f>image("https://storage.googleapis.com/acdb/photos/BromideNpcNmlDer08_Remake_4_0.png")</f>
        <v/>
      </c>
      <c r="C902" s="5" t="s">
        <v>1167</v>
      </c>
      <c r="D902" s="5" t="s">
        <v>1327</v>
      </c>
      <c r="E902" s="5" t="s">
        <v>34</v>
      </c>
      <c r="F902" s="5" t="s">
        <v>34</v>
      </c>
      <c r="G902" s="5" t="s">
        <v>36</v>
      </c>
      <c r="H902" s="5" t="s">
        <v>35</v>
      </c>
      <c r="I902" s="6">
        <v>1.0</v>
      </c>
      <c r="J902" s="6" t="s">
        <v>37</v>
      </c>
      <c r="K902" s="6">
        <v>10.0</v>
      </c>
      <c r="L902" s="5"/>
      <c r="M902" s="5"/>
      <c r="N902" s="6" t="s">
        <v>40</v>
      </c>
      <c r="O902" s="5" t="s">
        <v>5363</v>
      </c>
      <c r="P902" s="6" t="s">
        <v>42</v>
      </c>
      <c r="Q902" s="5" t="s">
        <v>1237</v>
      </c>
      <c r="R902" s="5" t="s">
        <v>8878</v>
      </c>
      <c r="S902" s="6" t="s">
        <v>75</v>
      </c>
      <c r="T902" s="6">
        <v>6434.0</v>
      </c>
    </row>
    <row r="903" ht="56.25" customHeight="1">
      <c r="A903" s="5" t="s">
        <v>8861</v>
      </c>
      <c r="B903" s="6" t="str">
        <f>image("https://storage.googleapis.com/acdb/photos/BromideNpcNmlDer08_Remake_5_0.png")</f>
        <v/>
      </c>
      <c r="C903" s="5" t="s">
        <v>58</v>
      </c>
      <c r="D903" s="5" t="s">
        <v>1327</v>
      </c>
      <c r="E903" s="5" t="s">
        <v>34</v>
      </c>
      <c r="F903" s="5" t="s">
        <v>34</v>
      </c>
      <c r="G903" s="5" t="s">
        <v>36</v>
      </c>
      <c r="H903" s="5" t="s">
        <v>35</v>
      </c>
      <c r="I903" s="6">
        <v>1.0</v>
      </c>
      <c r="J903" s="6" t="s">
        <v>37</v>
      </c>
      <c r="K903" s="6">
        <v>10.0</v>
      </c>
      <c r="L903" s="5"/>
      <c r="M903" s="5"/>
      <c r="N903" s="6" t="s">
        <v>40</v>
      </c>
      <c r="O903" s="5" t="s">
        <v>5363</v>
      </c>
      <c r="P903" s="6" t="s">
        <v>42</v>
      </c>
      <c r="Q903" s="5" t="s">
        <v>1237</v>
      </c>
      <c r="R903" s="5" t="s">
        <v>8883</v>
      </c>
      <c r="S903" s="6" t="s">
        <v>79</v>
      </c>
      <c r="T903" s="6">
        <v>6434.0</v>
      </c>
    </row>
    <row r="904" ht="56.25" customHeight="1">
      <c r="A904" s="5" t="s">
        <v>8861</v>
      </c>
      <c r="B904" s="6" t="str">
        <f>image("https://storage.googleapis.com/acdb/photos/BromideNpcNmlDer08_Remake_6_0.png")</f>
        <v/>
      </c>
      <c r="C904" s="5" t="s">
        <v>146</v>
      </c>
      <c r="D904" s="5" t="s">
        <v>1327</v>
      </c>
      <c r="E904" s="5" t="s">
        <v>34</v>
      </c>
      <c r="F904" s="5" t="s">
        <v>34</v>
      </c>
      <c r="G904" s="5" t="s">
        <v>36</v>
      </c>
      <c r="H904" s="5" t="s">
        <v>35</v>
      </c>
      <c r="I904" s="6">
        <v>1.0</v>
      </c>
      <c r="J904" s="6" t="s">
        <v>37</v>
      </c>
      <c r="K904" s="6">
        <v>10.0</v>
      </c>
      <c r="L904" s="5"/>
      <c r="M904" s="5"/>
      <c r="N904" s="6" t="s">
        <v>40</v>
      </c>
      <c r="O904" s="5" t="s">
        <v>5363</v>
      </c>
      <c r="P904" s="6" t="s">
        <v>42</v>
      </c>
      <c r="Q904" s="5" t="s">
        <v>1237</v>
      </c>
      <c r="R904" s="5" t="s">
        <v>8886</v>
      </c>
      <c r="S904" s="6" t="s">
        <v>86</v>
      </c>
      <c r="T904" s="6">
        <v>6434.0</v>
      </c>
    </row>
    <row r="905" ht="56.25" customHeight="1">
      <c r="A905" s="5" t="s">
        <v>8861</v>
      </c>
      <c r="B905" s="6" t="str">
        <f>image("https://storage.googleapis.com/acdb/photos/BromideNpcNmlDer08_Remake_7_0.png")</f>
        <v/>
      </c>
      <c r="C905" s="5" t="s">
        <v>151</v>
      </c>
      <c r="D905" s="5" t="s">
        <v>1327</v>
      </c>
      <c r="E905" s="5" t="s">
        <v>34</v>
      </c>
      <c r="F905" s="5" t="s">
        <v>34</v>
      </c>
      <c r="G905" s="5" t="s">
        <v>36</v>
      </c>
      <c r="H905" s="5" t="s">
        <v>35</v>
      </c>
      <c r="I905" s="6">
        <v>1.0</v>
      </c>
      <c r="J905" s="6" t="s">
        <v>37</v>
      </c>
      <c r="K905" s="6">
        <v>10.0</v>
      </c>
      <c r="L905" s="5"/>
      <c r="M905" s="5"/>
      <c r="N905" s="6" t="s">
        <v>40</v>
      </c>
      <c r="O905" s="5" t="s">
        <v>5363</v>
      </c>
      <c r="P905" s="6" t="s">
        <v>42</v>
      </c>
      <c r="Q905" s="5" t="s">
        <v>1237</v>
      </c>
      <c r="R905" s="5" t="s">
        <v>8890</v>
      </c>
      <c r="S905" s="6" t="s">
        <v>208</v>
      </c>
      <c r="T905" s="6">
        <v>6434.0</v>
      </c>
    </row>
    <row r="906" ht="56.25" customHeight="1">
      <c r="A906" s="5" t="s">
        <v>8892</v>
      </c>
      <c r="B906" s="6" t="str">
        <f>image("https://storage.googleapis.com/acdb/photos/BromideNpcNmlFlg18_Remake_0_0.png")</f>
        <v/>
      </c>
      <c r="C906" s="5" t="s">
        <v>366</v>
      </c>
      <c r="D906" s="5" t="s">
        <v>1327</v>
      </c>
      <c r="E906" s="5" t="s">
        <v>34</v>
      </c>
      <c r="F906" s="5" t="s">
        <v>34</v>
      </c>
      <c r="G906" s="5" t="s">
        <v>36</v>
      </c>
      <c r="H906" s="5" t="s">
        <v>35</v>
      </c>
      <c r="I906" s="6">
        <v>1.0</v>
      </c>
      <c r="J906" s="6" t="s">
        <v>37</v>
      </c>
      <c r="K906" s="6">
        <v>10.0</v>
      </c>
      <c r="L906" s="5"/>
      <c r="M906" s="5"/>
      <c r="N906" s="6" t="s">
        <v>40</v>
      </c>
      <c r="O906" s="5" t="s">
        <v>5363</v>
      </c>
      <c r="P906" s="6" t="s">
        <v>42</v>
      </c>
      <c r="Q906" s="5" t="s">
        <v>1237</v>
      </c>
      <c r="R906" s="5" t="s">
        <v>8896</v>
      </c>
      <c r="S906" s="6" t="s">
        <v>50</v>
      </c>
      <c r="T906" s="6">
        <v>6501.0</v>
      </c>
    </row>
    <row r="907" ht="56.25" customHeight="1">
      <c r="A907" s="5" t="s">
        <v>8892</v>
      </c>
      <c r="B907" s="6" t="str">
        <f>image("https://storage.googleapis.com/acdb/photos/BromideNpcNmlFlg18_Remake_1_0.png")</f>
        <v/>
      </c>
      <c r="C907" s="5" t="s">
        <v>1132</v>
      </c>
      <c r="D907" s="5" t="s">
        <v>1327</v>
      </c>
      <c r="E907" s="5" t="s">
        <v>34</v>
      </c>
      <c r="F907" s="5" t="s">
        <v>34</v>
      </c>
      <c r="G907" s="5" t="s">
        <v>36</v>
      </c>
      <c r="H907" s="5" t="s">
        <v>35</v>
      </c>
      <c r="I907" s="6">
        <v>1.0</v>
      </c>
      <c r="J907" s="6" t="s">
        <v>37</v>
      </c>
      <c r="K907" s="6">
        <v>10.0</v>
      </c>
      <c r="L907" s="5"/>
      <c r="M907" s="5"/>
      <c r="N907" s="6" t="s">
        <v>40</v>
      </c>
      <c r="O907" s="5" t="s">
        <v>5363</v>
      </c>
      <c r="P907" s="6" t="s">
        <v>42</v>
      </c>
      <c r="Q907" s="5" t="s">
        <v>1237</v>
      </c>
      <c r="R907" s="5" t="s">
        <v>8900</v>
      </c>
      <c r="S907" s="6" t="s">
        <v>56</v>
      </c>
      <c r="T907" s="6">
        <v>6501.0</v>
      </c>
    </row>
    <row r="908" ht="56.25" customHeight="1">
      <c r="A908" s="5" t="s">
        <v>8892</v>
      </c>
      <c r="B908" s="6" t="str">
        <f>image("https://storage.googleapis.com/acdb/photos/BromideNpcNmlFlg18_Remake_2_0.png")</f>
        <v/>
      </c>
      <c r="C908" s="5" t="s">
        <v>688</v>
      </c>
      <c r="D908" s="5" t="s">
        <v>1327</v>
      </c>
      <c r="E908" s="5" t="s">
        <v>34</v>
      </c>
      <c r="F908" s="5" t="s">
        <v>34</v>
      </c>
      <c r="G908" s="5" t="s">
        <v>36</v>
      </c>
      <c r="H908" s="5" t="s">
        <v>35</v>
      </c>
      <c r="I908" s="6">
        <v>1.0</v>
      </c>
      <c r="J908" s="6" t="s">
        <v>37</v>
      </c>
      <c r="K908" s="6">
        <v>10.0</v>
      </c>
      <c r="L908" s="5"/>
      <c r="M908" s="5"/>
      <c r="N908" s="6" t="s">
        <v>40</v>
      </c>
      <c r="O908" s="5" t="s">
        <v>5363</v>
      </c>
      <c r="P908" s="6" t="s">
        <v>42</v>
      </c>
      <c r="Q908" s="5" t="s">
        <v>1237</v>
      </c>
      <c r="R908" s="5" t="s">
        <v>8904</v>
      </c>
      <c r="S908" s="6" t="s">
        <v>67</v>
      </c>
      <c r="T908" s="6">
        <v>6501.0</v>
      </c>
    </row>
    <row r="909" ht="56.25" customHeight="1">
      <c r="A909" s="5" t="s">
        <v>8892</v>
      </c>
      <c r="B909" s="6" t="str">
        <f>image("https://storage.googleapis.com/acdb/photos/BromideNpcNmlFlg18_Remake_3_0.png")</f>
        <v/>
      </c>
      <c r="C909" s="5" t="s">
        <v>57</v>
      </c>
      <c r="D909" s="5" t="s">
        <v>1327</v>
      </c>
      <c r="E909" s="5" t="s">
        <v>34</v>
      </c>
      <c r="F909" s="5" t="s">
        <v>34</v>
      </c>
      <c r="G909" s="5" t="s">
        <v>36</v>
      </c>
      <c r="H909" s="5" t="s">
        <v>35</v>
      </c>
      <c r="I909" s="6">
        <v>1.0</v>
      </c>
      <c r="J909" s="6" t="s">
        <v>37</v>
      </c>
      <c r="K909" s="6">
        <v>10.0</v>
      </c>
      <c r="L909" s="5"/>
      <c r="M909" s="5"/>
      <c r="N909" s="6" t="s">
        <v>40</v>
      </c>
      <c r="O909" s="5" t="s">
        <v>5363</v>
      </c>
      <c r="P909" s="6" t="s">
        <v>42</v>
      </c>
      <c r="Q909" s="5" t="s">
        <v>1237</v>
      </c>
      <c r="R909" s="5" t="s">
        <v>8908</v>
      </c>
      <c r="S909" s="6" t="s">
        <v>71</v>
      </c>
      <c r="T909" s="6">
        <v>6501.0</v>
      </c>
    </row>
    <row r="910" ht="56.25" customHeight="1">
      <c r="A910" s="5" t="s">
        <v>8892</v>
      </c>
      <c r="B910" s="6" t="str">
        <f>image("https://storage.googleapis.com/acdb/photos/BromideNpcNmlFlg18_Remake_4_0.png")</f>
        <v/>
      </c>
      <c r="C910" s="5" t="s">
        <v>1167</v>
      </c>
      <c r="D910" s="5" t="s">
        <v>1327</v>
      </c>
      <c r="E910" s="5" t="s">
        <v>34</v>
      </c>
      <c r="F910" s="5" t="s">
        <v>34</v>
      </c>
      <c r="G910" s="5" t="s">
        <v>36</v>
      </c>
      <c r="H910" s="5" t="s">
        <v>35</v>
      </c>
      <c r="I910" s="6">
        <v>1.0</v>
      </c>
      <c r="J910" s="6" t="s">
        <v>37</v>
      </c>
      <c r="K910" s="6">
        <v>10.0</v>
      </c>
      <c r="L910" s="5"/>
      <c r="M910" s="5"/>
      <c r="N910" s="6" t="s">
        <v>40</v>
      </c>
      <c r="O910" s="5" t="s">
        <v>5363</v>
      </c>
      <c r="P910" s="6" t="s">
        <v>42</v>
      </c>
      <c r="Q910" s="5" t="s">
        <v>1237</v>
      </c>
      <c r="R910" s="5" t="s">
        <v>8910</v>
      </c>
      <c r="S910" s="6" t="s">
        <v>75</v>
      </c>
      <c r="T910" s="6">
        <v>6501.0</v>
      </c>
    </row>
    <row r="911" ht="56.25" customHeight="1">
      <c r="A911" s="5" t="s">
        <v>8892</v>
      </c>
      <c r="B911" s="6" t="str">
        <f>image("https://storage.googleapis.com/acdb/photos/BromideNpcNmlFlg18_Remake_5_0.png")</f>
        <v/>
      </c>
      <c r="C911" s="5" t="s">
        <v>58</v>
      </c>
      <c r="D911" s="5" t="s">
        <v>1327</v>
      </c>
      <c r="E911" s="5" t="s">
        <v>34</v>
      </c>
      <c r="F911" s="5" t="s">
        <v>34</v>
      </c>
      <c r="G911" s="5" t="s">
        <v>36</v>
      </c>
      <c r="H911" s="5" t="s">
        <v>35</v>
      </c>
      <c r="I911" s="6">
        <v>1.0</v>
      </c>
      <c r="J911" s="6" t="s">
        <v>37</v>
      </c>
      <c r="K911" s="6">
        <v>10.0</v>
      </c>
      <c r="L911" s="5"/>
      <c r="M911" s="5"/>
      <c r="N911" s="6" t="s">
        <v>40</v>
      </c>
      <c r="O911" s="5" t="s">
        <v>5363</v>
      </c>
      <c r="P911" s="6" t="s">
        <v>42</v>
      </c>
      <c r="Q911" s="5" t="s">
        <v>1237</v>
      </c>
      <c r="R911" s="5" t="s">
        <v>8913</v>
      </c>
      <c r="S911" s="6" t="s">
        <v>79</v>
      </c>
      <c r="T911" s="6">
        <v>6501.0</v>
      </c>
    </row>
    <row r="912" ht="56.25" customHeight="1">
      <c r="A912" s="5" t="s">
        <v>8892</v>
      </c>
      <c r="B912" s="6" t="str">
        <f>image("https://storage.googleapis.com/acdb/photos/BromideNpcNmlFlg18_Remake_6_0.png")</f>
        <v/>
      </c>
      <c r="C912" s="5" t="s">
        <v>146</v>
      </c>
      <c r="D912" s="5" t="s">
        <v>1327</v>
      </c>
      <c r="E912" s="5" t="s">
        <v>34</v>
      </c>
      <c r="F912" s="5" t="s">
        <v>34</v>
      </c>
      <c r="G912" s="5" t="s">
        <v>36</v>
      </c>
      <c r="H912" s="5" t="s">
        <v>35</v>
      </c>
      <c r="I912" s="6">
        <v>1.0</v>
      </c>
      <c r="J912" s="6" t="s">
        <v>37</v>
      </c>
      <c r="K912" s="6">
        <v>10.0</v>
      </c>
      <c r="L912" s="5"/>
      <c r="M912" s="5"/>
      <c r="N912" s="6" t="s">
        <v>40</v>
      </c>
      <c r="O912" s="5" t="s">
        <v>5363</v>
      </c>
      <c r="P912" s="6" t="s">
        <v>42</v>
      </c>
      <c r="Q912" s="5" t="s">
        <v>1237</v>
      </c>
      <c r="R912" s="5" t="s">
        <v>8918</v>
      </c>
      <c r="S912" s="6" t="s">
        <v>86</v>
      </c>
      <c r="T912" s="6">
        <v>6501.0</v>
      </c>
    </row>
    <row r="913" ht="56.25" customHeight="1">
      <c r="A913" s="5" t="s">
        <v>8892</v>
      </c>
      <c r="B913" s="6" t="str">
        <f>image("https://storage.googleapis.com/acdb/photos/BromideNpcNmlFlg18_Remake_7_0.png")</f>
        <v/>
      </c>
      <c r="C913" s="5" t="s">
        <v>151</v>
      </c>
      <c r="D913" s="5" t="s">
        <v>1327</v>
      </c>
      <c r="E913" s="5" t="s">
        <v>34</v>
      </c>
      <c r="F913" s="5" t="s">
        <v>34</v>
      </c>
      <c r="G913" s="5" t="s">
        <v>36</v>
      </c>
      <c r="H913" s="5" t="s">
        <v>35</v>
      </c>
      <c r="I913" s="6">
        <v>1.0</v>
      </c>
      <c r="J913" s="6" t="s">
        <v>37</v>
      </c>
      <c r="K913" s="6">
        <v>10.0</v>
      </c>
      <c r="L913" s="5"/>
      <c r="M913" s="5"/>
      <c r="N913" s="6" t="s">
        <v>40</v>
      </c>
      <c r="O913" s="5" t="s">
        <v>5363</v>
      </c>
      <c r="P913" s="6" t="s">
        <v>42</v>
      </c>
      <c r="Q913" s="5" t="s">
        <v>1237</v>
      </c>
      <c r="R913" s="5" t="s">
        <v>8920</v>
      </c>
      <c r="S913" s="6" t="s">
        <v>208</v>
      </c>
      <c r="T913" s="6">
        <v>6501.0</v>
      </c>
    </row>
    <row r="914" ht="56.25" customHeight="1">
      <c r="A914" s="5" t="s">
        <v>8921</v>
      </c>
      <c r="B914" s="6" t="str">
        <f>image("https://storage.googleapis.com/acdb/photos/BromideNpcNmlElp01_Remake_0_0.png")</f>
        <v/>
      </c>
      <c r="C914" s="5" t="s">
        <v>366</v>
      </c>
      <c r="D914" s="5" t="s">
        <v>1327</v>
      </c>
      <c r="E914" s="5" t="s">
        <v>34</v>
      </c>
      <c r="F914" s="5" t="s">
        <v>34</v>
      </c>
      <c r="G914" s="5" t="s">
        <v>36</v>
      </c>
      <c r="H914" s="5" t="s">
        <v>35</v>
      </c>
      <c r="I914" s="6">
        <v>1.0</v>
      </c>
      <c r="J914" s="6" t="s">
        <v>37</v>
      </c>
      <c r="K914" s="6">
        <v>10.0</v>
      </c>
      <c r="L914" s="5"/>
      <c r="M914" s="5"/>
      <c r="N914" s="6" t="s">
        <v>40</v>
      </c>
      <c r="O914" s="5" t="s">
        <v>5363</v>
      </c>
      <c r="P914" s="6" t="s">
        <v>42</v>
      </c>
      <c r="Q914" s="5" t="s">
        <v>1237</v>
      </c>
      <c r="R914" s="5" t="s">
        <v>8924</v>
      </c>
      <c r="S914" s="6" t="s">
        <v>50</v>
      </c>
      <c r="T914" s="6">
        <v>6474.0</v>
      </c>
    </row>
    <row r="915" ht="56.25" customHeight="1">
      <c r="A915" s="5" t="s">
        <v>8921</v>
      </c>
      <c r="B915" s="6" t="str">
        <f>image("https://storage.googleapis.com/acdb/photos/BromideNpcNmlElp01_Remake_1_0.png")</f>
        <v/>
      </c>
      <c r="C915" s="5" t="s">
        <v>1132</v>
      </c>
      <c r="D915" s="5" t="s">
        <v>1327</v>
      </c>
      <c r="E915" s="5" t="s">
        <v>34</v>
      </c>
      <c r="F915" s="5" t="s">
        <v>34</v>
      </c>
      <c r="G915" s="5" t="s">
        <v>36</v>
      </c>
      <c r="H915" s="5" t="s">
        <v>35</v>
      </c>
      <c r="I915" s="6">
        <v>1.0</v>
      </c>
      <c r="J915" s="6" t="s">
        <v>37</v>
      </c>
      <c r="K915" s="6">
        <v>10.0</v>
      </c>
      <c r="L915" s="5"/>
      <c r="M915" s="5"/>
      <c r="N915" s="6" t="s">
        <v>40</v>
      </c>
      <c r="O915" s="5" t="s">
        <v>5363</v>
      </c>
      <c r="P915" s="6" t="s">
        <v>42</v>
      </c>
      <c r="Q915" s="5" t="s">
        <v>1237</v>
      </c>
      <c r="R915" s="5" t="s">
        <v>8926</v>
      </c>
      <c r="S915" s="6" t="s">
        <v>56</v>
      </c>
      <c r="T915" s="6">
        <v>6474.0</v>
      </c>
    </row>
    <row r="916" ht="56.25" customHeight="1">
      <c r="A916" s="5" t="s">
        <v>8921</v>
      </c>
      <c r="B916" s="6" t="str">
        <f>image("https://storage.googleapis.com/acdb/photos/BromideNpcNmlElp01_Remake_2_0.png")</f>
        <v/>
      </c>
      <c r="C916" s="5" t="s">
        <v>688</v>
      </c>
      <c r="D916" s="5" t="s">
        <v>1327</v>
      </c>
      <c r="E916" s="5" t="s">
        <v>34</v>
      </c>
      <c r="F916" s="5" t="s">
        <v>34</v>
      </c>
      <c r="G916" s="5" t="s">
        <v>36</v>
      </c>
      <c r="H916" s="5" t="s">
        <v>35</v>
      </c>
      <c r="I916" s="6">
        <v>1.0</v>
      </c>
      <c r="J916" s="6" t="s">
        <v>37</v>
      </c>
      <c r="K916" s="6">
        <v>10.0</v>
      </c>
      <c r="L916" s="5"/>
      <c r="M916" s="5"/>
      <c r="N916" s="6" t="s">
        <v>40</v>
      </c>
      <c r="O916" s="5" t="s">
        <v>5363</v>
      </c>
      <c r="P916" s="6" t="s">
        <v>42</v>
      </c>
      <c r="Q916" s="5" t="s">
        <v>1237</v>
      </c>
      <c r="R916" s="5" t="s">
        <v>8931</v>
      </c>
      <c r="S916" s="6" t="s">
        <v>67</v>
      </c>
      <c r="T916" s="6">
        <v>6474.0</v>
      </c>
    </row>
    <row r="917" ht="56.25" customHeight="1">
      <c r="A917" s="5" t="s">
        <v>8921</v>
      </c>
      <c r="B917" s="6" t="str">
        <f>image("https://storage.googleapis.com/acdb/photos/BromideNpcNmlElp01_Remake_3_0.png")</f>
        <v/>
      </c>
      <c r="C917" s="5" t="s">
        <v>57</v>
      </c>
      <c r="D917" s="5" t="s">
        <v>1327</v>
      </c>
      <c r="E917" s="5" t="s">
        <v>34</v>
      </c>
      <c r="F917" s="5" t="s">
        <v>34</v>
      </c>
      <c r="G917" s="5" t="s">
        <v>36</v>
      </c>
      <c r="H917" s="5" t="s">
        <v>35</v>
      </c>
      <c r="I917" s="6">
        <v>1.0</v>
      </c>
      <c r="J917" s="6" t="s">
        <v>37</v>
      </c>
      <c r="K917" s="6">
        <v>10.0</v>
      </c>
      <c r="L917" s="5"/>
      <c r="M917" s="5"/>
      <c r="N917" s="6" t="s">
        <v>40</v>
      </c>
      <c r="O917" s="5" t="s">
        <v>5363</v>
      </c>
      <c r="P917" s="6" t="s">
        <v>42</v>
      </c>
      <c r="Q917" s="5" t="s">
        <v>1237</v>
      </c>
      <c r="R917" s="5" t="s">
        <v>8934</v>
      </c>
      <c r="S917" s="6" t="s">
        <v>71</v>
      </c>
      <c r="T917" s="6">
        <v>6474.0</v>
      </c>
    </row>
    <row r="918" ht="56.25" customHeight="1">
      <c r="A918" s="5" t="s">
        <v>8921</v>
      </c>
      <c r="B918" s="6" t="str">
        <f>image("https://storage.googleapis.com/acdb/photos/BromideNpcNmlElp01_Remake_4_0.png")</f>
        <v/>
      </c>
      <c r="C918" s="5" t="s">
        <v>1167</v>
      </c>
      <c r="D918" s="5" t="s">
        <v>1327</v>
      </c>
      <c r="E918" s="5" t="s">
        <v>34</v>
      </c>
      <c r="F918" s="5" t="s">
        <v>34</v>
      </c>
      <c r="G918" s="5" t="s">
        <v>36</v>
      </c>
      <c r="H918" s="5" t="s">
        <v>35</v>
      </c>
      <c r="I918" s="6">
        <v>1.0</v>
      </c>
      <c r="J918" s="6" t="s">
        <v>37</v>
      </c>
      <c r="K918" s="6">
        <v>10.0</v>
      </c>
      <c r="L918" s="5"/>
      <c r="M918" s="5"/>
      <c r="N918" s="6" t="s">
        <v>40</v>
      </c>
      <c r="O918" s="5" t="s">
        <v>5363</v>
      </c>
      <c r="P918" s="6" t="s">
        <v>42</v>
      </c>
      <c r="Q918" s="5" t="s">
        <v>1237</v>
      </c>
      <c r="R918" s="5" t="s">
        <v>8938</v>
      </c>
      <c r="S918" s="6" t="s">
        <v>75</v>
      </c>
      <c r="T918" s="6">
        <v>6474.0</v>
      </c>
    </row>
    <row r="919" ht="56.25" customHeight="1">
      <c r="A919" s="5" t="s">
        <v>8921</v>
      </c>
      <c r="B919" s="6" t="str">
        <f>image("https://storage.googleapis.com/acdb/photos/BromideNpcNmlElp01_Remake_5_0.png")</f>
        <v/>
      </c>
      <c r="C919" s="5" t="s">
        <v>58</v>
      </c>
      <c r="D919" s="5" t="s">
        <v>1327</v>
      </c>
      <c r="E919" s="5" t="s">
        <v>34</v>
      </c>
      <c r="F919" s="5" t="s">
        <v>34</v>
      </c>
      <c r="G919" s="5" t="s">
        <v>36</v>
      </c>
      <c r="H919" s="5" t="s">
        <v>35</v>
      </c>
      <c r="I919" s="6">
        <v>1.0</v>
      </c>
      <c r="J919" s="6" t="s">
        <v>37</v>
      </c>
      <c r="K919" s="6">
        <v>10.0</v>
      </c>
      <c r="L919" s="5"/>
      <c r="M919" s="5"/>
      <c r="N919" s="6" t="s">
        <v>40</v>
      </c>
      <c r="O919" s="5" t="s">
        <v>5363</v>
      </c>
      <c r="P919" s="6" t="s">
        <v>42</v>
      </c>
      <c r="Q919" s="5" t="s">
        <v>1237</v>
      </c>
      <c r="R919" s="5" t="s">
        <v>8941</v>
      </c>
      <c r="S919" s="6" t="s">
        <v>79</v>
      </c>
      <c r="T919" s="6">
        <v>6474.0</v>
      </c>
    </row>
    <row r="920" ht="56.25" customHeight="1">
      <c r="A920" s="5" t="s">
        <v>8921</v>
      </c>
      <c r="B920" s="6" t="str">
        <f>image("https://storage.googleapis.com/acdb/photos/BromideNpcNmlElp01_Remake_6_0.png")</f>
        <v/>
      </c>
      <c r="C920" s="5" t="s">
        <v>146</v>
      </c>
      <c r="D920" s="5" t="s">
        <v>1327</v>
      </c>
      <c r="E920" s="5" t="s">
        <v>34</v>
      </c>
      <c r="F920" s="5" t="s">
        <v>34</v>
      </c>
      <c r="G920" s="5" t="s">
        <v>36</v>
      </c>
      <c r="H920" s="5" t="s">
        <v>35</v>
      </c>
      <c r="I920" s="6">
        <v>1.0</v>
      </c>
      <c r="J920" s="6" t="s">
        <v>37</v>
      </c>
      <c r="K920" s="6">
        <v>10.0</v>
      </c>
      <c r="L920" s="5"/>
      <c r="M920" s="5"/>
      <c r="N920" s="6" t="s">
        <v>40</v>
      </c>
      <c r="O920" s="5" t="s">
        <v>5363</v>
      </c>
      <c r="P920" s="6" t="s">
        <v>42</v>
      </c>
      <c r="Q920" s="5" t="s">
        <v>1237</v>
      </c>
      <c r="R920" s="5" t="s">
        <v>8945</v>
      </c>
      <c r="S920" s="6" t="s">
        <v>86</v>
      </c>
      <c r="T920" s="6">
        <v>6474.0</v>
      </c>
    </row>
    <row r="921" ht="56.25" customHeight="1">
      <c r="A921" s="5" t="s">
        <v>8921</v>
      </c>
      <c r="B921" s="6" t="str">
        <f>image("https://storage.googleapis.com/acdb/photos/BromideNpcNmlElp01_Remake_7_0.png")</f>
        <v/>
      </c>
      <c r="C921" s="5" t="s">
        <v>151</v>
      </c>
      <c r="D921" s="5" t="s">
        <v>1327</v>
      </c>
      <c r="E921" s="5" t="s">
        <v>34</v>
      </c>
      <c r="F921" s="5" t="s">
        <v>34</v>
      </c>
      <c r="G921" s="5" t="s">
        <v>36</v>
      </c>
      <c r="H921" s="5" t="s">
        <v>35</v>
      </c>
      <c r="I921" s="6">
        <v>1.0</v>
      </c>
      <c r="J921" s="6" t="s">
        <v>37</v>
      </c>
      <c r="K921" s="6">
        <v>10.0</v>
      </c>
      <c r="L921" s="5"/>
      <c r="M921" s="5"/>
      <c r="N921" s="6" t="s">
        <v>40</v>
      </c>
      <c r="O921" s="5" t="s">
        <v>5363</v>
      </c>
      <c r="P921" s="6" t="s">
        <v>42</v>
      </c>
      <c r="Q921" s="5" t="s">
        <v>1237</v>
      </c>
      <c r="R921" s="5" t="s">
        <v>8949</v>
      </c>
      <c r="S921" s="6" t="s">
        <v>208</v>
      </c>
      <c r="T921" s="6">
        <v>6474.0</v>
      </c>
    </row>
    <row r="922" ht="56.25" customHeight="1">
      <c r="A922" s="5" t="s">
        <v>8950</v>
      </c>
      <c r="B922" s="6" t="str">
        <f>image("https://storage.googleapis.com/acdb/photos/BromideNpcNmlWol04_Remake_0_0.png")</f>
        <v/>
      </c>
      <c r="C922" s="5" t="s">
        <v>366</v>
      </c>
      <c r="D922" s="5" t="s">
        <v>1327</v>
      </c>
      <c r="E922" s="5" t="s">
        <v>34</v>
      </c>
      <c r="F922" s="5" t="s">
        <v>34</v>
      </c>
      <c r="G922" s="5" t="s">
        <v>36</v>
      </c>
      <c r="H922" s="5" t="s">
        <v>35</v>
      </c>
      <c r="I922" s="6">
        <v>1.0</v>
      </c>
      <c r="J922" s="6" t="s">
        <v>37</v>
      </c>
      <c r="K922" s="6">
        <v>10.0</v>
      </c>
      <c r="L922" s="5"/>
      <c r="M922" s="5"/>
      <c r="N922" s="6" t="s">
        <v>40</v>
      </c>
      <c r="O922" s="5" t="s">
        <v>5363</v>
      </c>
      <c r="P922" s="6" t="s">
        <v>42</v>
      </c>
      <c r="Q922" s="5" t="s">
        <v>1237</v>
      </c>
      <c r="R922" s="5" t="s">
        <v>8954</v>
      </c>
      <c r="S922" s="6" t="s">
        <v>50</v>
      </c>
      <c r="T922" s="6">
        <v>6735.0</v>
      </c>
    </row>
    <row r="923" ht="56.25" customHeight="1">
      <c r="A923" s="5" t="s">
        <v>8950</v>
      </c>
      <c r="B923" s="6" t="str">
        <f>image("https://storage.googleapis.com/acdb/photos/BromideNpcNmlWol04_Remake_1_0.png")</f>
        <v/>
      </c>
      <c r="C923" s="5" t="s">
        <v>1132</v>
      </c>
      <c r="D923" s="5" t="s">
        <v>1327</v>
      </c>
      <c r="E923" s="5" t="s">
        <v>34</v>
      </c>
      <c r="F923" s="5" t="s">
        <v>34</v>
      </c>
      <c r="G923" s="5" t="s">
        <v>36</v>
      </c>
      <c r="H923" s="5" t="s">
        <v>35</v>
      </c>
      <c r="I923" s="6">
        <v>1.0</v>
      </c>
      <c r="J923" s="6" t="s">
        <v>37</v>
      </c>
      <c r="K923" s="6">
        <v>10.0</v>
      </c>
      <c r="L923" s="5"/>
      <c r="M923" s="5"/>
      <c r="N923" s="6" t="s">
        <v>40</v>
      </c>
      <c r="O923" s="5" t="s">
        <v>5363</v>
      </c>
      <c r="P923" s="6" t="s">
        <v>42</v>
      </c>
      <c r="Q923" s="5" t="s">
        <v>1237</v>
      </c>
      <c r="R923" s="5" t="s">
        <v>8955</v>
      </c>
      <c r="S923" s="6" t="s">
        <v>56</v>
      </c>
      <c r="T923" s="6">
        <v>6735.0</v>
      </c>
    </row>
    <row r="924" ht="56.25" customHeight="1">
      <c r="A924" s="5" t="s">
        <v>8950</v>
      </c>
      <c r="B924" s="6" t="str">
        <f>image("https://storage.googleapis.com/acdb/photos/BromideNpcNmlWol04_Remake_2_0.png")</f>
        <v/>
      </c>
      <c r="C924" s="5" t="s">
        <v>688</v>
      </c>
      <c r="D924" s="5" t="s">
        <v>1327</v>
      </c>
      <c r="E924" s="5" t="s">
        <v>34</v>
      </c>
      <c r="F924" s="5" t="s">
        <v>34</v>
      </c>
      <c r="G924" s="5" t="s">
        <v>36</v>
      </c>
      <c r="H924" s="5" t="s">
        <v>35</v>
      </c>
      <c r="I924" s="6">
        <v>1.0</v>
      </c>
      <c r="J924" s="6" t="s">
        <v>37</v>
      </c>
      <c r="K924" s="6">
        <v>10.0</v>
      </c>
      <c r="L924" s="5"/>
      <c r="M924" s="5"/>
      <c r="N924" s="6" t="s">
        <v>40</v>
      </c>
      <c r="O924" s="5" t="s">
        <v>5363</v>
      </c>
      <c r="P924" s="6" t="s">
        <v>42</v>
      </c>
      <c r="Q924" s="5" t="s">
        <v>1237</v>
      </c>
      <c r="R924" s="5" t="s">
        <v>8959</v>
      </c>
      <c r="S924" s="6" t="s">
        <v>67</v>
      </c>
      <c r="T924" s="6">
        <v>6735.0</v>
      </c>
    </row>
    <row r="925" ht="56.25" customHeight="1">
      <c r="A925" s="5" t="s">
        <v>8950</v>
      </c>
      <c r="B925" s="6" t="str">
        <f>image("https://storage.googleapis.com/acdb/photos/BromideNpcNmlWol04_Remake_3_0.png")</f>
        <v/>
      </c>
      <c r="C925" s="5" t="s">
        <v>57</v>
      </c>
      <c r="D925" s="5" t="s">
        <v>1327</v>
      </c>
      <c r="E925" s="5" t="s">
        <v>34</v>
      </c>
      <c r="F925" s="5" t="s">
        <v>34</v>
      </c>
      <c r="G925" s="5" t="s">
        <v>36</v>
      </c>
      <c r="H925" s="5" t="s">
        <v>35</v>
      </c>
      <c r="I925" s="6">
        <v>1.0</v>
      </c>
      <c r="J925" s="6" t="s">
        <v>37</v>
      </c>
      <c r="K925" s="6">
        <v>10.0</v>
      </c>
      <c r="L925" s="5"/>
      <c r="M925" s="5"/>
      <c r="N925" s="6" t="s">
        <v>40</v>
      </c>
      <c r="O925" s="5" t="s">
        <v>5363</v>
      </c>
      <c r="P925" s="6" t="s">
        <v>42</v>
      </c>
      <c r="Q925" s="5" t="s">
        <v>1237</v>
      </c>
      <c r="R925" s="5" t="s">
        <v>8963</v>
      </c>
      <c r="S925" s="6" t="s">
        <v>71</v>
      </c>
      <c r="T925" s="6">
        <v>6735.0</v>
      </c>
    </row>
    <row r="926" ht="56.25" customHeight="1">
      <c r="A926" s="5" t="s">
        <v>8950</v>
      </c>
      <c r="B926" s="6" t="str">
        <f>image("https://storage.googleapis.com/acdb/photos/BromideNpcNmlWol04_Remake_4_0.png")</f>
        <v/>
      </c>
      <c r="C926" s="5" t="s">
        <v>1167</v>
      </c>
      <c r="D926" s="5" t="s">
        <v>1327</v>
      </c>
      <c r="E926" s="5" t="s">
        <v>34</v>
      </c>
      <c r="F926" s="5" t="s">
        <v>34</v>
      </c>
      <c r="G926" s="5" t="s">
        <v>36</v>
      </c>
      <c r="H926" s="5" t="s">
        <v>35</v>
      </c>
      <c r="I926" s="6">
        <v>1.0</v>
      </c>
      <c r="J926" s="6" t="s">
        <v>37</v>
      </c>
      <c r="K926" s="6">
        <v>10.0</v>
      </c>
      <c r="L926" s="5"/>
      <c r="M926" s="5"/>
      <c r="N926" s="6" t="s">
        <v>40</v>
      </c>
      <c r="O926" s="5" t="s">
        <v>5363</v>
      </c>
      <c r="P926" s="6" t="s">
        <v>42</v>
      </c>
      <c r="Q926" s="5" t="s">
        <v>1237</v>
      </c>
      <c r="R926" s="5" t="s">
        <v>8966</v>
      </c>
      <c r="S926" s="6" t="s">
        <v>75</v>
      </c>
      <c r="T926" s="6">
        <v>6735.0</v>
      </c>
    </row>
    <row r="927" ht="56.25" customHeight="1">
      <c r="A927" s="5" t="s">
        <v>8950</v>
      </c>
      <c r="B927" s="6" t="str">
        <f>image("https://storage.googleapis.com/acdb/photos/BromideNpcNmlWol04_Remake_5_0.png")</f>
        <v/>
      </c>
      <c r="C927" s="5" t="s">
        <v>58</v>
      </c>
      <c r="D927" s="5" t="s">
        <v>1327</v>
      </c>
      <c r="E927" s="5" t="s">
        <v>34</v>
      </c>
      <c r="F927" s="5" t="s">
        <v>34</v>
      </c>
      <c r="G927" s="5" t="s">
        <v>36</v>
      </c>
      <c r="H927" s="5" t="s">
        <v>35</v>
      </c>
      <c r="I927" s="6">
        <v>1.0</v>
      </c>
      <c r="J927" s="6" t="s">
        <v>37</v>
      </c>
      <c r="K927" s="6">
        <v>10.0</v>
      </c>
      <c r="L927" s="5"/>
      <c r="M927" s="5"/>
      <c r="N927" s="6" t="s">
        <v>40</v>
      </c>
      <c r="O927" s="5" t="s">
        <v>5363</v>
      </c>
      <c r="P927" s="6" t="s">
        <v>42</v>
      </c>
      <c r="Q927" s="5" t="s">
        <v>1237</v>
      </c>
      <c r="R927" s="5" t="s">
        <v>8969</v>
      </c>
      <c r="S927" s="6" t="s">
        <v>79</v>
      </c>
      <c r="T927" s="6">
        <v>6735.0</v>
      </c>
    </row>
    <row r="928" ht="56.25" customHeight="1">
      <c r="A928" s="5" t="s">
        <v>8950</v>
      </c>
      <c r="B928" s="6" t="str">
        <f>image("https://storage.googleapis.com/acdb/photos/BromideNpcNmlWol04_Remake_6_0.png")</f>
        <v/>
      </c>
      <c r="C928" s="5" t="s">
        <v>146</v>
      </c>
      <c r="D928" s="5" t="s">
        <v>1327</v>
      </c>
      <c r="E928" s="5" t="s">
        <v>34</v>
      </c>
      <c r="F928" s="5" t="s">
        <v>34</v>
      </c>
      <c r="G928" s="5" t="s">
        <v>36</v>
      </c>
      <c r="H928" s="5" t="s">
        <v>35</v>
      </c>
      <c r="I928" s="6">
        <v>1.0</v>
      </c>
      <c r="J928" s="6" t="s">
        <v>37</v>
      </c>
      <c r="K928" s="6">
        <v>10.0</v>
      </c>
      <c r="L928" s="5"/>
      <c r="M928" s="5"/>
      <c r="N928" s="6" t="s">
        <v>40</v>
      </c>
      <c r="O928" s="5" t="s">
        <v>5363</v>
      </c>
      <c r="P928" s="6" t="s">
        <v>42</v>
      </c>
      <c r="Q928" s="5" t="s">
        <v>1237</v>
      </c>
      <c r="R928" s="5" t="s">
        <v>8973</v>
      </c>
      <c r="S928" s="6" t="s">
        <v>86</v>
      </c>
      <c r="T928" s="6">
        <v>6735.0</v>
      </c>
    </row>
    <row r="929" ht="56.25" customHeight="1">
      <c r="A929" s="5" t="s">
        <v>8950</v>
      </c>
      <c r="B929" s="6" t="str">
        <f>image("https://storage.googleapis.com/acdb/photos/BromideNpcNmlWol04_Remake_7_0.png")</f>
        <v/>
      </c>
      <c r="C929" s="5" t="s">
        <v>151</v>
      </c>
      <c r="D929" s="5" t="s">
        <v>1327</v>
      </c>
      <c r="E929" s="5" t="s">
        <v>34</v>
      </c>
      <c r="F929" s="5" t="s">
        <v>34</v>
      </c>
      <c r="G929" s="5" t="s">
        <v>36</v>
      </c>
      <c r="H929" s="5" t="s">
        <v>35</v>
      </c>
      <c r="I929" s="6">
        <v>1.0</v>
      </c>
      <c r="J929" s="6" t="s">
        <v>37</v>
      </c>
      <c r="K929" s="6">
        <v>10.0</v>
      </c>
      <c r="L929" s="5"/>
      <c r="M929" s="5"/>
      <c r="N929" s="6" t="s">
        <v>40</v>
      </c>
      <c r="O929" s="5" t="s">
        <v>5363</v>
      </c>
      <c r="P929" s="6" t="s">
        <v>42</v>
      </c>
      <c r="Q929" s="5" t="s">
        <v>1237</v>
      </c>
      <c r="R929" s="5" t="s">
        <v>8975</v>
      </c>
      <c r="S929" s="6" t="s">
        <v>208</v>
      </c>
      <c r="T929" s="6">
        <v>6735.0</v>
      </c>
    </row>
    <row r="930" ht="56.25" customHeight="1">
      <c r="A930" s="5" t="s">
        <v>8976</v>
      </c>
      <c r="B930" s="6" t="str">
        <f>image("https://storage.googleapis.com/acdb/photos/BromideNpcNmlRbt10_Remake_0_0.png")</f>
        <v/>
      </c>
      <c r="C930" s="5" t="s">
        <v>366</v>
      </c>
      <c r="D930" s="5" t="s">
        <v>1327</v>
      </c>
      <c r="E930" s="5" t="s">
        <v>34</v>
      </c>
      <c r="F930" s="5" t="s">
        <v>34</v>
      </c>
      <c r="G930" s="5" t="s">
        <v>36</v>
      </c>
      <c r="H930" s="5" t="s">
        <v>35</v>
      </c>
      <c r="I930" s="6">
        <v>1.0</v>
      </c>
      <c r="J930" s="6" t="s">
        <v>37</v>
      </c>
      <c r="K930" s="6">
        <v>10.0</v>
      </c>
      <c r="L930" s="5"/>
      <c r="M930" s="5"/>
      <c r="N930" s="6" t="s">
        <v>40</v>
      </c>
      <c r="O930" s="5" t="s">
        <v>5363</v>
      </c>
      <c r="P930" s="6" t="s">
        <v>42</v>
      </c>
      <c r="Q930" s="5" t="s">
        <v>1237</v>
      </c>
      <c r="R930" s="5" t="s">
        <v>8978</v>
      </c>
      <c r="S930" s="6" t="s">
        <v>50</v>
      </c>
      <c r="T930" s="6">
        <v>6673.0</v>
      </c>
    </row>
    <row r="931" ht="56.25" customHeight="1">
      <c r="A931" s="5" t="s">
        <v>8976</v>
      </c>
      <c r="B931" s="6" t="str">
        <f>image("https://storage.googleapis.com/acdb/photos/BromideNpcNmlRbt10_Remake_1_0.png")</f>
        <v/>
      </c>
      <c r="C931" s="5" t="s">
        <v>1132</v>
      </c>
      <c r="D931" s="5" t="s">
        <v>1327</v>
      </c>
      <c r="E931" s="5" t="s">
        <v>34</v>
      </c>
      <c r="F931" s="5" t="s">
        <v>34</v>
      </c>
      <c r="G931" s="5" t="s">
        <v>36</v>
      </c>
      <c r="H931" s="5" t="s">
        <v>35</v>
      </c>
      <c r="I931" s="6">
        <v>1.0</v>
      </c>
      <c r="J931" s="6" t="s">
        <v>37</v>
      </c>
      <c r="K931" s="6">
        <v>10.0</v>
      </c>
      <c r="L931" s="5"/>
      <c r="M931" s="5"/>
      <c r="N931" s="6" t="s">
        <v>40</v>
      </c>
      <c r="O931" s="5" t="s">
        <v>5363</v>
      </c>
      <c r="P931" s="6" t="s">
        <v>42</v>
      </c>
      <c r="Q931" s="5" t="s">
        <v>1237</v>
      </c>
      <c r="R931" s="5" t="s">
        <v>8980</v>
      </c>
      <c r="S931" s="6" t="s">
        <v>56</v>
      </c>
      <c r="T931" s="6">
        <v>6673.0</v>
      </c>
    </row>
    <row r="932" ht="56.25" customHeight="1">
      <c r="A932" s="5" t="s">
        <v>8976</v>
      </c>
      <c r="B932" s="6" t="str">
        <f>image("https://storage.googleapis.com/acdb/photos/BromideNpcNmlRbt10_Remake_2_0.png")</f>
        <v/>
      </c>
      <c r="C932" s="5" t="s">
        <v>688</v>
      </c>
      <c r="D932" s="5" t="s">
        <v>1327</v>
      </c>
      <c r="E932" s="5" t="s">
        <v>34</v>
      </c>
      <c r="F932" s="5" t="s">
        <v>34</v>
      </c>
      <c r="G932" s="5" t="s">
        <v>36</v>
      </c>
      <c r="H932" s="5" t="s">
        <v>35</v>
      </c>
      <c r="I932" s="6">
        <v>1.0</v>
      </c>
      <c r="J932" s="6" t="s">
        <v>37</v>
      </c>
      <c r="K932" s="6">
        <v>10.0</v>
      </c>
      <c r="L932" s="5"/>
      <c r="M932" s="5"/>
      <c r="N932" s="6" t="s">
        <v>40</v>
      </c>
      <c r="O932" s="5" t="s">
        <v>5363</v>
      </c>
      <c r="P932" s="6" t="s">
        <v>42</v>
      </c>
      <c r="Q932" s="5" t="s">
        <v>1237</v>
      </c>
      <c r="R932" s="5" t="s">
        <v>8984</v>
      </c>
      <c r="S932" s="6" t="s">
        <v>67</v>
      </c>
      <c r="T932" s="6">
        <v>6673.0</v>
      </c>
    </row>
    <row r="933" ht="56.25" customHeight="1">
      <c r="A933" s="5" t="s">
        <v>8976</v>
      </c>
      <c r="B933" s="6" t="str">
        <f>image("https://storage.googleapis.com/acdb/photos/BromideNpcNmlRbt10_Remake_3_0.png")</f>
        <v/>
      </c>
      <c r="C933" s="5" t="s">
        <v>57</v>
      </c>
      <c r="D933" s="5" t="s">
        <v>1327</v>
      </c>
      <c r="E933" s="5" t="s">
        <v>34</v>
      </c>
      <c r="F933" s="5" t="s">
        <v>34</v>
      </c>
      <c r="G933" s="5" t="s">
        <v>36</v>
      </c>
      <c r="H933" s="5" t="s">
        <v>35</v>
      </c>
      <c r="I933" s="6">
        <v>1.0</v>
      </c>
      <c r="J933" s="6" t="s">
        <v>37</v>
      </c>
      <c r="K933" s="6">
        <v>10.0</v>
      </c>
      <c r="L933" s="5"/>
      <c r="M933" s="5"/>
      <c r="N933" s="6" t="s">
        <v>40</v>
      </c>
      <c r="O933" s="5" t="s">
        <v>5363</v>
      </c>
      <c r="P933" s="6" t="s">
        <v>42</v>
      </c>
      <c r="Q933" s="5" t="s">
        <v>1237</v>
      </c>
      <c r="R933" s="5" t="s">
        <v>8986</v>
      </c>
      <c r="S933" s="6" t="s">
        <v>71</v>
      </c>
      <c r="T933" s="6">
        <v>6673.0</v>
      </c>
    </row>
    <row r="934" ht="56.25" customHeight="1">
      <c r="A934" s="5" t="s">
        <v>8976</v>
      </c>
      <c r="B934" s="6" t="str">
        <f>image("https://storage.googleapis.com/acdb/photos/BromideNpcNmlRbt10_Remake_4_0.png")</f>
        <v/>
      </c>
      <c r="C934" s="5" t="s">
        <v>1167</v>
      </c>
      <c r="D934" s="5" t="s">
        <v>1327</v>
      </c>
      <c r="E934" s="5" t="s">
        <v>34</v>
      </c>
      <c r="F934" s="5" t="s">
        <v>34</v>
      </c>
      <c r="G934" s="5" t="s">
        <v>36</v>
      </c>
      <c r="H934" s="5" t="s">
        <v>35</v>
      </c>
      <c r="I934" s="6">
        <v>1.0</v>
      </c>
      <c r="J934" s="6" t="s">
        <v>37</v>
      </c>
      <c r="K934" s="6">
        <v>10.0</v>
      </c>
      <c r="L934" s="5"/>
      <c r="M934" s="5"/>
      <c r="N934" s="6" t="s">
        <v>40</v>
      </c>
      <c r="O934" s="5" t="s">
        <v>5363</v>
      </c>
      <c r="P934" s="6" t="s">
        <v>42</v>
      </c>
      <c r="Q934" s="5" t="s">
        <v>1237</v>
      </c>
      <c r="R934" s="5" t="s">
        <v>8990</v>
      </c>
      <c r="S934" s="6" t="s">
        <v>75</v>
      </c>
      <c r="T934" s="6">
        <v>6673.0</v>
      </c>
    </row>
    <row r="935" ht="56.25" customHeight="1">
      <c r="A935" s="5" t="s">
        <v>8976</v>
      </c>
      <c r="B935" s="6" t="str">
        <f>image("https://storage.googleapis.com/acdb/photos/BromideNpcNmlRbt10_Remake_5_0.png")</f>
        <v/>
      </c>
      <c r="C935" s="5" t="s">
        <v>58</v>
      </c>
      <c r="D935" s="5" t="s">
        <v>1327</v>
      </c>
      <c r="E935" s="5" t="s">
        <v>34</v>
      </c>
      <c r="F935" s="5" t="s">
        <v>34</v>
      </c>
      <c r="G935" s="5" t="s">
        <v>36</v>
      </c>
      <c r="H935" s="5" t="s">
        <v>35</v>
      </c>
      <c r="I935" s="6">
        <v>1.0</v>
      </c>
      <c r="J935" s="6" t="s">
        <v>37</v>
      </c>
      <c r="K935" s="6">
        <v>10.0</v>
      </c>
      <c r="L935" s="5"/>
      <c r="M935" s="5"/>
      <c r="N935" s="6" t="s">
        <v>40</v>
      </c>
      <c r="O935" s="5" t="s">
        <v>5363</v>
      </c>
      <c r="P935" s="6" t="s">
        <v>42</v>
      </c>
      <c r="Q935" s="5" t="s">
        <v>1237</v>
      </c>
      <c r="R935" s="5" t="s">
        <v>8993</v>
      </c>
      <c r="S935" s="6" t="s">
        <v>79</v>
      </c>
      <c r="T935" s="6">
        <v>6673.0</v>
      </c>
    </row>
    <row r="936" ht="56.25" customHeight="1">
      <c r="A936" s="5" t="s">
        <v>8976</v>
      </c>
      <c r="B936" s="6" t="str">
        <f>image("https://storage.googleapis.com/acdb/photos/BromideNpcNmlRbt10_Remake_6_0.png")</f>
        <v/>
      </c>
      <c r="C936" s="5" t="s">
        <v>146</v>
      </c>
      <c r="D936" s="5" t="s">
        <v>1327</v>
      </c>
      <c r="E936" s="5" t="s">
        <v>34</v>
      </c>
      <c r="F936" s="5" t="s">
        <v>34</v>
      </c>
      <c r="G936" s="5" t="s">
        <v>36</v>
      </c>
      <c r="H936" s="5" t="s">
        <v>35</v>
      </c>
      <c r="I936" s="6">
        <v>1.0</v>
      </c>
      <c r="J936" s="6" t="s">
        <v>37</v>
      </c>
      <c r="K936" s="6">
        <v>10.0</v>
      </c>
      <c r="L936" s="5"/>
      <c r="M936" s="5"/>
      <c r="N936" s="6" t="s">
        <v>40</v>
      </c>
      <c r="O936" s="5" t="s">
        <v>5363</v>
      </c>
      <c r="P936" s="6" t="s">
        <v>42</v>
      </c>
      <c r="Q936" s="5" t="s">
        <v>1237</v>
      </c>
      <c r="R936" s="5" t="s">
        <v>8997</v>
      </c>
      <c r="S936" s="6" t="s">
        <v>86</v>
      </c>
      <c r="T936" s="6">
        <v>6673.0</v>
      </c>
    </row>
    <row r="937" ht="56.25" customHeight="1">
      <c r="A937" s="5" t="s">
        <v>8976</v>
      </c>
      <c r="B937" s="6" t="str">
        <f>image("https://storage.googleapis.com/acdb/photos/BromideNpcNmlRbt10_Remake_7_0.png")</f>
        <v/>
      </c>
      <c r="C937" s="5" t="s">
        <v>151</v>
      </c>
      <c r="D937" s="5" t="s">
        <v>1327</v>
      </c>
      <c r="E937" s="5" t="s">
        <v>34</v>
      </c>
      <c r="F937" s="5" t="s">
        <v>34</v>
      </c>
      <c r="G937" s="5" t="s">
        <v>36</v>
      </c>
      <c r="H937" s="5" t="s">
        <v>35</v>
      </c>
      <c r="I937" s="6">
        <v>1.0</v>
      </c>
      <c r="J937" s="6" t="s">
        <v>37</v>
      </c>
      <c r="K937" s="6">
        <v>10.0</v>
      </c>
      <c r="L937" s="5"/>
      <c r="M937" s="5"/>
      <c r="N937" s="6" t="s">
        <v>40</v>
      </c>
      <c r="O937" s="5" t="s">
        <v>5363</v>
      </c>
      <c r="P937" s="6" t="s">
        <v>42</v>
      </c>
      <c r="Q937" s="5" t="s">
        <v>1237</v>
      </c>
      <c r="R937" s="5" t="s">
        <v>9000</v>
      </c>
      <c r="S937" s="6" t="s">
        <v>208</v>
      </c>
      <c r="T937" s="6">
        <v>6673.0</v>
      </c>
    </row>
    <row r="938" ht="56.25" customHeight="1">
      <c r="A938" s="5" t="s">
        <v>9002</v>
      </c>
      <c r="B938" s="6" t="str">
        <f>image("https://storage.googleapis.com/acdb/photos/BromideNpcNmlShp15_Remake_0_0.png")</f>
        <v/>
      </c>
      <c r="C938" s="5" t="s">
        <v>366</v>
      </c>
      <c r="D938" s="5" t="s">
        <v>1327</v>
      </c>
      <c r="E938" s="5" t="s">
        <v>34</v>
      </c>
      <c r="F938" s="5" t="s">
        <v>34</v>
      </c>
      <c r="G938" s="5" t="s">
        <v>36</v>
      </c>
      <c r="H938" s="5" t="s">
        <v>35</v>
      </c>
      <c r="I938" s="6">
        <v>1.0</v>
      </c>
      <c r="J938" s="6" t="s">
        <v>37</v>
      </c>
      <c r="K938" s="6">
        <v>10.0</v>
      </c>
      <c r="L938" s="5"/>
      <c r="M938" s="5"/>
      <c r="N938" s="6" t="s">
        <v>40</v>
      </c>
      <c r="O938" s="5" t="s">
        <v>5363</v>
      </c>
      <c r="P938" s="6" t="s">
        <v>42</v>
      </c>
      <c r="Q938" s="5" t="s">
        <v>1237</v>
      </c>
      <c r="R938" s="5" t="s">
        <v>9004</v>
      </c>
      <c r="S938" s="6" t="s">
        <v>50</v>
      </c>
      <c r="T938" s="6">
        <v>7213.0</v>
      </c>
    </row>
    <row r="939" ht="56.25" customHeight="1">
      <c r="A939" s="5" t="s">
        <v>9002</v>
      </c>
      <c r="B939" s="6" t="str">
        <f>image("https://storage.googleapis.com/acdb/photos/BromideNpcNmlShp15_Remake_1_0.png")</f>
        <v/>
      </c>
      <c r="C939" s="5" t="s">
        <v>1132</v>
      </c>
      <c r="D939" s="5" t="s">
        <v>1327</v>
      </c>
      <c r="E939" s="5" t="s">
        <v>34</v>
      </c>
      <c r="F939" s="5" t="s">
        <v>34</v>
      </c>
      <c r="G939" s="5" t="s">
        <v>36</v>
      </c>
      <c r="H939" s="5" t="s">
        <v>35</v>
      </c>
      <c r="I939" s="6">
        <v>1.0</v>
      </c>
      <c r="J939" s="6" t="s">
        <v>37</v>
      </c>
      <c r="K939" s="6">
        <v>10.0</v>
      </c>
      <c r="L939" s="5"/>
      <c r="M939" s="5"/>
      <c r="N939" s="6" t="s">
        <v>40</v>
      </c>
      <c r="O939" s="5" t="s">
        <v>5363</v>
      </c>
      <c r="P939" s="6" t="s">
        <v>42</v>
      </c>
      <c r="Q939" s="5" t="s">
        <v>1237</v>
      </c>
      <c r="R939" s="5" t="s">
        <v>9007</v>
      </c>
      <c r="S939" s="6" t="s">
        <v>56</v>
      </c>
      <c r="T939" s="6">
        <v>7213.0</v>
      </c>
    </row>
    <row r="940" ht="56.25" customHeight="1">
      <c r="A940" s="5" t="s">
        <v>9002</v>
      </c>
      <c r="B940" s="6" t="str">
        <f>image("https://storage.googleapis.com/acdb/photos/BromideNpcNmlShp15_Remake_2_0.png")</f>
        <v/>
      </c>
      <c r="C940" s="5" t="s">
        <v>688</v>
      </c>
      <c r="D940" s="5" t="s">
        <v>1327</v>
      </c>
      <c r="E940" s="5" t="s">
        <v>34</v>
      </c>
      <c r="F940" s="5" t="s">
        <v>34</v>
      </c>
      <c r="G940" s="5" t="s">
        <v>36</v>
      </c>
      <c r="H940" s="5" t="s">
        <v>35</v>
      </c>
      <c r="I940" s="6">
        <v>1.0</v>
      </c>
      <c r="J940" s="6" t="s">
        <v>37</v>
      </c>
      <c r="K940" s="6">
        <v>10.0</v>
      </c>
      <c r="L940" s="5"/>
      <c r="M940" s="5"/>
      <c r="N940" s="6" t="s">
        <v>40</v>
      </c>
      <c r="O940" s="5" t="s">
        <v>5363</v>
      </c>
      <c r="P940" s="6" t="s">
        <v>42</v>
      </c>
      <c r="Q940" s="5" t="s">
        <v>1237</v>
      </c>
      <c r="R940" s="5" t="s">
        <v>9012</v>
      </c>
      <c r="S940" s="6" t="s">
        <v>67</v>
      </c>
      <c r="T940" s="6">
        <v>7213.0</v>
      </c>
    </row>
    <row r="941" ht="56.25" customHeight="1">
      <c r="A941" s="5" t="s">
        <v>9002</v>
      </c>
      <c r="B941" s="6" t="str">
        <f>image("https://storage.googleapis.com/acdb/photos/BromideNpcNmlShp15_Remake_3_0.png")</f>
        <v/>
      </c>
      <c r="C941" s="5" t="s">
        <v>57</v>
      </c>
      <c r="D941" s="5" t="s">
        <v>1327</v>
      </c>
      <c r="E941" s="5" t="s">
        <v>34</v>
      </c>
      <c r="F941" s="5" t="s">
        <v>34</v>
      </c>
      <c r="G941" s="5" t="s">
        <v>36</v>
      </c>
      <c r="H941" s="5" t="s">
        <v>35</v>
      </c>
      <c r="I941" s="6">
        <v>1.0</v>
      </c>
      <c r="J941" s="6" t="s">
        <v>37</v>
      </c>
      <c r="K941" s="6">
        <v>10.0</v>
      </c>
      <c r="L941" s="5"/>
      <c r="M941" s="5"/>
      <c r="N941" s="6" t="s">
        <v>40</v>
      </c>
      <c r="O941" s="5" t="s">
        <v>5363</v>
      </c>
      <c r="P941" s="6" t="s">
        <v>42</v>
      </c>
      <c r="Q941" s="5" t="s">
        <v>1237</v>
      </c>
      <c r="R941" s="5" t="s">
        <v>9015</v>
      </c>
      <c r="S941" s="6" t="s">
        <v>71</v>
      </c>
      <c r="T941" s="6">
        <v>7213.0</v>
      </c>
    </row>
    <row r="942" ht="56.25" customHeight="1">
      <c r="A942" s="5" t="s">
        <v>9002</v>
      </c>
      <c r="B942" s="6" t="str">
        <f>image("https://storage.googleapis.com/acdb/photos/BromideNpcNmlShp15_Remake_4_0.png")</f>
        <v/>
      </c>
      <c r="C942" s="5" t="s">
        <v>1167</v>
      </c>
      <c r="D942" s="5" t="s">
        <v>1327</v>
      </c>
      <c r="E942" s="5" t="s">
        <v>34</v>
      </c>
      <c r="F942" s="5" t="s">
        <v>34</v>
      </c>
      <c r="G942" s="5" t="s">
        <v>36</v>
      </c>
      <c r="H942" s="5" t="s">
        <v>35</v>
      </c>
      <c r="I942" s="6">
        <v>1.0</v>
      </c>
      <c r="J942" s="6" t="s">
        <v>37</v>
      </c>
      <c r="K942" s="6">
        <v>10.0</v>
      </c>
      <c r="L942" s="5"/>
      <c r="M942" s="5"/>
      <c r="N942" s="6" t="s">
        <v>40</v>
      </c>
      <c r="O942" s="5" t="s">
        <v>5363</v>
      </c>
      <c r="P942" s="6" t="s">
        <v>42</v>
      </c>
      <c r="Q942" s="5" t="s">
        <v>1237</v>
      </c>
      <c r="R942" s="5" t="s">
        <v>9022</v>
      </c>
      <c r="S942" s="6" t="s">
        <v>75</v>
      </c>
      <c r="T942" s="6">
        <v>7213.0</v>
      </c>
    </row>
    <row r="943" ht="56.25" customHeight="1">
      <c r="A943" s="5" t="s">
        <v>9002</v>
      </c>
      <c r="B943" s="6" t="str">
        <f>image("https://storage.googleapis.com/acdb/photos/BromideNpcNmlShp15_Remake_5_0.png")</f>
        <v/>
      </c>
      <c r="C943" s="5" t="s">
        <v>58</v>
      </c>
      <c r="D943" s="5" t="s">
        <v>1327</v>
      </c>
      <c r="E943" s="5" t="s">
        <v>34</v>
      </c>
      <c r="F943" s="5" t="s">
        <v>34</v>
      </c>
      <c r="G943" s="5" t="s">
        <v>36</v>
      </c>
      <c r="H943" s="5" t="s">
        <v>35</v>
      </c>
      <c r="I943" s="6">
        <v>1.0</v>
      </c>
      <c r="J943" s="6" t="s">
        <v>37</v>
      </c>
      <c r="K943" s="6">
        <v>10.0</v>
      </c>
      <c r="L943" s="5"/>
      <c r="M943" s="5"/>
      <c r="N943" s="6" t="s">
        <v>40</v>
      </c>
      <c r="O943" s="5" t="s">
        <v>5363</v>
      </c>
      <c r="P943" s="6" t="s">
        <v>42</v>
      </c>
      <c r="Q943" s="5" t="s">
        <v>1237</v>
      </c>
      <c r="R943" s="5" t="s">
        <v>9026</v>
      </c>
      <c r="S943" s="6" t="s">
        <v>79</v>
      </c>
      <c r="T943" s="6">
        <v>7213.0</v>
      </c>
    </row>
    <row r="944" ht="56.25" customHeight="1">
      <c r="A944" s="5" t="s">
        <v>9002</v>
      </c>
      <c r="B944" s="6" t="str">
        <f>image("https://storage.googleapis.com/acdb/photos/BromideNpcNmlShp15_Remake_6_0.png")</f>
        <v/>
      </c>
      <c r="C944" s="5" t="s">
        <v>146</v>
      </c>
      <c r="D944" s="5" t="s">
        <v>1327</v>
      </c>
      <c r="E944" s="5" t="s">
        <v>34</v>
      </c>
      <c r="F944" s="5" t="s">
        <v>34</v>
      </c>
      <c r="G944" s="5" t="s">
        <v>36</v>
      </c>
      <c r="H944" s="5" t="s">
        <v>35</v>
      </c>
      <c r="I944" s="6">
        <v>1.0</v>
      </c>
      <c r="J944" s="6" t="s">
        <v>37</v>
      </c>
      <c r="K944" s="6">
        <v>10.0</v>
      </c>
      <c r="L944" s="5"/>
      <c r="M944" s="5"/>
      <c r="N944" s="6" t="s">
        <v>40</v>
      </c>
      <c r="O944" s="5" t="s">
        <v>5363</v>
      </c>
      <c r="P944" s="6" t="s">
        <v>42</v>
      </c>
      <c r="Q944" s="5" t="s">
        <v>1237</v>
      </c>
      <c r="R944" s="5" t="s">
        <v>9029</v>
      </c>
      <c r="S944" s="6" t="s">
        <v>86</v>
      </c>
      <c r="T944" s="6">
        <v>7213.0</v>
      </c>
    </row>
    <row r="945" ht="56.25" customHeight="1">
      <c r="A945" s="5" t="s">
        <v>9002</v>
      </c>
      <c r="B945" s="6" t="str">
        <f>image("https://storage.googleapis.com/acdb/photos/BromideNpcNmlShp15_Remake_7_0.png")</f>
        <v/>
      </c>
      <c r="C945" s="5" t="s">
        <v>151</v>
      </c>
      <c r="D945" s="5" t="s">
        <v>1327</v>
      </c>
      <c r="E945" s="5" t="s">
        <v>34</v>
      </c>
      <c r="F945" s="5" t="s">
        <v>34</v>
      </c>
      <c r="G945" s="5" t="s">
        <v>36</v>
      </c>
      <c r="H945" s="5" t="s">
        <v>35</v>
      </c>
      <c r="I945" s="6">
        <v>1.0</v>
      </c>
      <c r="J945" s="6" t="s">
        <v>37</v>
      </c>
      <c r="K945" s="6">
        <v>10.0</v>
      </c>
      <c r="L945" s="5"/>
      <c r="M945" s="5"/>
      <c r="N945" s="6" t="s">
        <v>40</v>
      </c>
      <c r="O945" s="5" t="s">
        <v>5363</v>
      </c>
      <c r="P945" s="6" t="s">
        <v>42</v>
      </c>
      <c r="Q945" s="5" t="s">
        <v>1237</v>
      </c>
      <c r="R945" s="5" t="s">
        <v>9030</v>
      </c>
      <c r="S945" s="6" t="s">
        <v>208</v>
      </c>
      <c r="T945" s="6">
        <v>7213.0</v>
      </c>
    </row>
    <row r="946" ht="56.25" customHeight="1">
      <c r="A946" s="5" t="s">
        <v>9032</v>
      </c>
      <c r="B946" s="6" t="str">
        <f>image("https://storage.googleapis.com/acdb/photos/BromideNpcNmlMus00_Remake_0_0.png")</f>
        <v/>
      </c>
      <c r="C946" s="5" t="s">
        <v>366</v>
      </c>
      <c r="D946" s="5" t="s">
        <v>1327</v>
      </c>
      <c r="E946" s="5" t="s">
        <v>34</v>
      </c>
      <c r="F946" s="5" t="s">
        <v>34</v>
      </c>
      <c r="G946" s="5" t="s">
        <v>36</v>
      </c>
      <c r="H946" s="5" t="s">
        <v>35</v>
      </c>
      <c r="I946" s="6">
        <v>1.0</v>
      </c>
      <c r="J946" s="6" t="s">
        <v>37</v>
      </c>
      <c r="K946" s="6">
        <v>10.0</v>
      </c>
      <c r="L946" s="5"/>
      <c r="M946" s="5"/>
      <c r="N946" s="6" t="s">
        <v>40</v>
      </c>
      <c r="O946" s="5" t="s">
        <v>5363</v>
      </c>
      <c r="P946" s="6" t="s">
        <v>42</v>
      </c>
      <c r="Q946" s="5" t="s">
        <v>1237</v>
      </c>
      <c r="R946" s="5" t="s">
        <v>9034</v>
      </c>
      <c r="S946" s="6" t="s">
        <v>50</v>
      </c>
      <c r="T946" s="6">
        <v>6589.0</v>
      </c>
    </row>
    <row r="947" ht="56.25" customHeight="1">
      <c r="A947" s="5" t="s">
        <v>9032</v>
      </c>
      <c r="B947" s="6" t="str">
        <f>image("https://storage.googleapis.com/acdb/photos/BromideNpcNmlMus00_Remake_1_0.png")</f>
        <v/>
      </c>
      <c r="C947" s="5" t="s">
        <v>1132</v>
      </c>
      <c r="D947" s="5" t="s">
        <v>1327</v>
      </c>
      <c r="E947" s="5" t="s">
        <v>34</v>
      </c>
      <c r="F947" s="5" t="s">
        <v>34</v>
      </c>
      <c r="G947" s="5" t="s">
        <v>36</v>
      </c>
      <c r="H947" s="5" t="s">
        <v>35</v>
      </c>
      <c r="I947" s="6">
        <v>1.0</v>
      </c>
      <c r="J947" s="6" t="s">
        <v>37</v>
      </c>
      <c r="K947" s="6">
        <v>10.0</v>
      </c>
      <c r="L947" s="5"/>
      <c r="M947" s="5"/>
      <c r="N947" s="6" t="s">
        <v>40</v>
      </c>
      <c r="O947" s="5" t="s">
        <v>5363</v>
      </c>
      <c r="P947" s="6" t="s">
        <v>42</v>
      </c>
      <c r="Q947" s="5" t="s">
        <v>1237</v>
      </c>
      <c r="R947" s="5" t="s">
        <v>9038</v>
      </c>
      <c r="S947" s="6" t="s">
        <v>56</v>
      </c>
      <c r="T947" s="6">
        <v>6589.0</v>
      </c>
    </row>
    <row r="948" ht="56.25" customHeight="1">
      <c r="A948" s="5" t="s">
        <v>9032</v>
      </c>
      <c r="B948" s="6" t="str">
        <f>image("https://storage.googleapis.com/acdb/photos/BromideNpcNmlMus00_Remake_2_0.png")</f>
        <v/>
      </c>
      <c r="C948" s="5" t="s">
        <v>688</v>
      </c>
      <c r="D948" s="5" t="s">
        <v>1327</v>
      </c>
      <c r="E948" s="5" t="s">
        <v>34</v>
      </c>
      <c r="F948" s="5" t="s">
        <v>34</v>
      </c>
      <c r="G948" s="5" t="s">
        <v>36</v>
      </c>
      <c r="H948" s="5" t="s">
        <v>35</v>
      </c>
      <c r="I948" s="6">
        <v>1.0</v>
      </c>
      <c r="J948" s="6" t="s">
        <v>37</v>
      </c>
      <c r="K948" s="6">
        <v>10.0</v>
      </c>
      <c r="L948" s="5"/>
      <c r="M948" s="5"/>
      <c r="N948" s="6" t="s">
        <v>40</v>
      </c>
      <c r="O948" s="5" t="s">
        <v>5363</v>
      </c>
      <c r="P948" s="6" t="s">
        <v>42</v>
      </c>
      <c r="Q948" s="5" t="s">
        <v>1237</v>
      </c>
      <c r="R948" s="5" t="s">
        <v>9042</v>
      </c>
      <c r="S948" s="6" t="s">
        <v>67</v>
      </c>
      <c r="T948" s="6">
        <v>6589.0</v>
      </c>
    </row>
    <row r="949" ht="56.25" customHeight="1">
      <c r="A949" s="5" t="s">
        <v>9032</v>
      </c>
      <c r="B949" s="6" t="str">
        <f>image("https://storage.googleapis.com/acdb/photos/BromideNpcNmlMus00_Remake_3_0.png")</f>
        <v/>
      </c>
      <c r="C949" s="5" t="s">
        <v>57</v>
      </c>
      <c r="D949" s="5" t="s">
        <v>1327</v>
      </c>
      <c r="E949" s="5" t="s">
        <v>34</v>
      </c>
      <c r="F949" s="5" t="s">
        <v>34</v>
      </c>
      <c r="G949" s="5" t="s">
        <v>36</v>
      </c>
      <c r="H949" s="5" t="s">
        <v>35</v>
      </c>
      <c r="I949" s="6">
        <v>1.0</v>
      </c>
      <c r="J949" s="6" t="s">
        <v>37</v>
      </c>
      <c r="K949" s="6">
        <v>10.0</v>
      </c>
      <c r="L949" s="5"/>
      <c r="M949" s="5"/>
      <c r="N949" s="6" t="s">
        <v>40</v>
      </c>
      <c r="O949" s="5" t="s">
        <v>5363</v>
      </c>
      <c r="P949" s="6" t="s">
        <v>42</v>
      </c>
      <c r="Q949" s="5" t="s">
        <v>1237</v>
      </c>
      <c r="R949" s="5" t="s">
        <v>9044</v>
      </c>
      <c r="S949" s="6" t="s">
        <v>71</v>
      </c>
      <c r="T949" s="6">
        <v>6589.0</v>
      </c>
    </row>
    <row r="950" ht="56.25" customHeight="1">
      <c r="A950" s="5" t="s">
        <v>9032</v>
      </c>
      <c r="B950" s="6" t="str">
        <f>image("https://storage.googleapis.com/acdb/photos/BromideNpcNmlMus00_Remake_4_0.png")</f>
        <v/>
      </c>
      <c r="C950" s="5" t="s">
        <v>1167</v>
      </c>
      <c r="D950" s="5" t="s">
        <v>1327</v>
      </c>
      <c r="E950" s="5" t="s">
        <v>34</v>
      </c>
      <c r="F950" s="5" t="s">
        <v>34</v>
      </c>
      <c r="G950" s="5" t="s">
        <v>36</v>
      </c>
      <c r="H950" s="5" t="s">
        <v>35</v>
      </c>
      <c r="I950" s="6">
        <v>1.0</v>
      </c>
      <c r="J950" s="6" t="s">
        <v>37</v>
      </c>
      <c r="K950" s="6">
        <v>10.0</v>
      </c>
      <c r="L950" s="5"/>
      <c r="M950" s="5"/>
      <c r="N950" s="6" t="s">
        <v>40</v>
      </c>
      <c r="O950" s="5" t="s">
        <v>5363</v>
      </c>
      <c r="P950" s="6" t="s">
        <v>42</v>
      </c>
      <c r="Q950" s="5" t="s">
        <v>1237</v>
      </c>
      <c r="R950" s="5" t="s">
        <v>9048</v>
      </c>
      <c r="S950" s="6" t="s">
        <v>75</v>
      </c>
      <c r="T950" s="6">
        <v>6589.0</v>
      </c>
    </row>
    <row r="951" ht="56.25" customHeight="1">
      <c r="A951" s="5" t="s">
        <v>9032</v>
      </c>
      <c r="B951" s="6" t="str">
        <f>image("https://storage.googleapis.com/acdb/photos/BromideNpcNmlMus00_Remake_5_0.png")</f>
        <v/>
      </c>
      <c r="C951" s="5" t="s">
        <v>58</v>
      </c>
      <c r="D951" s="5" t="s">
        <v>1327</v>
      </c>
      <c r="E951" s="5" t="s">
        <v>34</v>
      </c>
      <c r="F951" s="5" t="s">
        <v>34</v>
      </c>
      <c r="G951" s="5" t="s">
        <v>36</v>
      </c>
      <c r="H951" s="5" t="s">
        <v>35</v>
      </c>
      <c r="I951" s="6">
        <v>1.0</v>
      </c>
      <c r="J951" s="6" t="s">
        <v>37</v>
      </c>
      <c r="K951" s="6">
        <v>10.0</v>
      </c>
      <c r="L951" s="5"/>
      <c r="M951" s="5"/>
      <c r="N951" s="6" t="s">
        <v>40</v>
      </c>
      <c r="O951" s="5" t="s">
        <v>5363</v>
      </c>
      <c r="P951" s="6" t="s">
        <v>42</v>
      </c>
      <c r="Q951" s="5" t="s">
        <v>1237</v>
      </c>
      <c r="R951" s="5" t="s">
        <v>9052</v>
      </c>
      <c r="S951" s="6" t="s">
        <v>79</v>
      </c>
      <c r="T951" s="6">
        <v>6589.0</v>
      </c>
    </row>
    <row r="952" ht="56.25" customHeight="1">
      <c r="A952" s="5" t="s">
        <v>9032</v>
      </c>
      <c r="B952" s="6" t="str">
        <f>image("https://storage.googleapis.com/acdb/photos/BromideNpcNmlMus00_Remake_6_0.png")</f>
        <v/>
      </c>
      <c r="C952" s="5" t="s">
        <v>146</v>
      </c>
      <c r="D952" s="5" t="s">
        <v>1327</v>
      </c>
      <c r="E952" s="5" t="s">
        <v>34</v>
      </c>
      <c r="F952" s="5" t="s">
        <v>34</v>
      </c>
      <c r="G952" s="5" t="s">
        <v>36</v>
      </c>
      <c r="H952" s="5" t="s">
        <v>35</v>
      </c>
      <c r="I952" s="6">
        <v>1.0</v>
      </c>
      <c r="J952" s="6" t="s">
        <v>37</v>
      </c>
      <c r="K952" s="6">
        <v>10.0</v>
      </c>
      <c r="L952" s="5"/>
      <c r="M952" s="5"/>
      <c r="N952" s="6" t="s">
        <v>40</v>
      </c>
      <c r="O952" s="5" t="s">
        <v>5363</v>
      </c>
      <c r="P952" s="6" t="s">
        <v>42</v>
      </c>
      <c r="Q952" s="5" t="s">
        <v>1237</v>
      </c>
      <c r="R952" s="5" t="s">
        <v>9055</v>
      </c>
      <c r="S952" s="6" t="s">
        <v>86</v>
      </c>
      <c r="T952" s="6">
        <v>6589.0</v>
      </c>
    </row>
    <row r="953" ht="56.25" customHeight="1">
      <c r="A953" s="5" t="s">
        <v>9032</v>
      </c>
      <c r="B953" s="6" t="str">
        <f>image("https://storage.googleapis.com/acdb/photos/BromideNpcNmlMus00_Remake_7_0.png")</f>
        <v/>
      </c>
      <c r="C953" s="5" t="s">
        <v>151</v>
      </c>
      <c r="D953" s="5" t="s">
        <v>1327</v>
      </c>
      <c r="E953" s="5" t="s">
        <v>34</v>
      </c>
      <c r="F953" s="5" t="s">
        <v>34</v>
      </c>
      <c r="G953" s="5" t="s">
        <v>36</v>
      </c>
      <c r="H953" s="5" t="s">
        <v>35</v>
      </c>
      <c r="I953" s="6">
        <v>1.0</v>
      </c>
      <c r="J953" s="6" t="s">
        <v>37</v>
      </c>
      <c r="K953" s="6">
        <v>10.0</v>
      </c>
      <c r="L953" s="5"/>
      <c r="M953" s="5"/>
      <c r="N953" s="6" t="s">
        <v>40</v>
      </c>
      <c r="O953" s="5" t="s">
        <v>5363</v>
      </c>
      <c r="P953" s="6" t="s">
        <v>42</v>
      </c>
      <c r="Q953" s="5" t="s">
        <v>1237</v>
      </c>
      <c r="R953" s="5" t="s">
        <v>9059</v>
      </c>
      <c r="S953" s="6" t="s">
        <v>208</v>
      </c>
      <c r="T953" s="6">
        <v>6589.0</v>
      </c>
    </row>
    <row r="954" ht="56.25" customHeight="1">
      <c r="A954" s="5" t="s">
        <v>9060</v>
      </c>
      <c r="B954" s="6" t="str">
        <f>image("https://storage.googleapis.com/acdb/photos/BromideNpcNmlRbt01_Remake_0_0.png")</f>
        <v/>
      </c>
      <c r="C954" s="5" t="s">
        <v>366</v>
      </c>
      <c r="D954" s="5" t="s">
        <v>1327</v>
      </c>
      <c r="E954" s="5" t="s">
        <v>34</v>
      </c>
      <c r="F954" s="5" t="s">
        <v>34</v>
      </c>
      <c r="G954" s="5" t="s">
        <v>36</v>
      </c>
      <c r="H954" s="5" t="s">
        <v>35</v>
      </c>
      <c r="I954" s="6">
        <v>1.0</v>
      </c>
      <c r="J954" s="6" t="s">
        <v>37</v>
      </c>
      <c r="K954" s="6">
        <v>10.0</v>
      </c>
      <c r="L954" s="5"/>
      <c r="M954" s="5"/>
      <c r="N954" s="6" t="s">
        <v>40</v>
      </c>
      <c r="O954" s="5" t="s">
        <v>5363</v>
      </c>
      <c r="P954" s="6" t="s">
        <v>42</v>
      </c>
      <c r="Q954" s="5" t="s">
        <v>1237</v>
      </c>
      <c r="R954" s="5" t="s">
        <v>9063</v>
      </c>
      <c r="S954" s="6" t="s">
        <v>50</v>
      </c>
      <c r="T954" s="6">
        <v>6663.0</v>
      </c>
    </row>
    <row r="955" ht="56.25" customHeight="1">
      <c r="A955" s="5" t="s">
        <v>9060</v>
      </c>
      <c r="B955" s="6" t="str">
        <f>image("https://storage.googleapis.com/acdb/photos/BromideNpcNmlRbt01_Remake_1_0.png")</f>
        <v/>
      </c>
      <c r="C955" s="5" t="s">
        <v>1132</v>
      </c>
      <c r="D955" s="5" t="s">
        <v>1327</v>
      </c>
      <c r="E955" s="5" t="s">
        <v>34</v>
      </c>
      <c r="F955" s="5" t="s">
        <v>34</v>
      </c>
      <c r="G955" s="5" t="s">
        <v>36</v>
      </c>
      <c r="H955" s="5" t="s">
        <v>35</v>
      </c>
      <c r="I955" s="6">
        <v>1.0</v>
      </c>
      <c r="J955" s="6" t="s">
        <v>37</v>
      </c>
      <c r="K955" s="6">
        <v>10.0</v>
      </c>
      <c r="L955" s="5"/>
      <c r="M955" s="5"/>
      <c r="N955" s="6" t="s">
        <v>40</v>
      </c>
      <c r="O955" s="5" t="s">
        <v>5363</v>
      </c>
      <c r="P955" s="6" t="s">
        <v>42</v>
      </c>
      <c r="Q955" s="5" t="s">
        <v>1237</v>
      </c>
      <c r="R955" s="5" t="s">
        <v>9065</v>
      </c>
      <c r="S955" s="6" t="s">
        <v>56</v>
      </c>
      <c r="T955" s="6">
        <v>6663.0</v>
      </c>
    </row>
    <row r="956" ht="56.25" customHeight="1">
      <c r="A956" s="5" t="s">
        <v>9060</v>
      </c>
      <c r="B956" s="6" t="str">
        <f>image("https://storage.googleapis.com/acdb/photos/BromideNpcNmlRbt01_Remake_2_0.png")</f>
        <v/>
      </c>
      <c r="C956" s="5" t="s">
        <v>688</v>
      </c>
      <c r="D956" s="5" t="s">
        <v>1327</v>
      </c>
      <c r="E956" s="5" t="s">
        <v>34</v>
      </c>
      <c r="F956" s="5" t="s">
        <v>34</v>
      </c>
      <c r="G956" s="5" t="s">
        <v>36</v>
      </c>
      <c r="H956" s="5" t="s">
        <v>35</v>
      </c>
      <c r="I956" s="6">
        <v>1.0</v>
      </c>
      <c r="J956" s="6" t="s">
        <v>37</v>
      </c>
      <c r="K956" s="6">
        <v>10.0</v>
      </c>
      <c r="L956" s="5"/>
      <c r="M956" s="5"/>
      <c r="N956" s="6" t="s">
        <v>40</v>
      </c>
      <c r="O956" s="5" t="s">
        <v>5363</v>
      </c>
      <c r="P956" s="6" t="s">
        <v>42</v>
      </c>
      <c r="Q956" s="5" t="s">
        <v>1237</v>
      </c>
      <c r="R956" s="5" t="s">
        <v>9071</v>
      </c>
      <c r="S956" s="6" t="s">
        <v>67</v>
      </c>
      <c r="T956" s="6">
        <v>6663.0</v>
      </c>
    </row>
    <row r="957" ht="56.25" customHeight="1">
      <c r="A957" s="5" t="s">
        <v>9060</v>
      </c>
      <c r="B957" s="6" t="str">
        <f>image("https://storage.googleapis.com/acdb/photos/BromideNpcNmlRbt01_Remake_3_0.png")</f>
        <v/>
      </c>
      <c r="C957" s="5" t="s">
        <v>57</v>
      </c>
      <c r="D957" s="5" t="s">
        <v>1327</v>
      </c>
      <c r="E957" s="5" t="s">
        <v>34</v>
      </c>
      <c r="F957" s="5" t="s">
        <v>34</v>
      </c>
      <c r="G957" s="5" t="s">
        <v>36</v>
      </c>
      <c r="H957" s="5" t="s">
        <v>35</v>
      </c>
      <c r="I957" s="6">
        <v>1.0</v>
      </c>
      <c r="J957" s="6" t="s">
        <v>37</v>
      </c>
      <c r="K957" s="6">
        <v>10.0</v>
      </c>
      <c r="L957" s="5"/>
      <c r="M957" s="5"/>
      <c r="N957" s="6" t="s">
        <v>40</v>
      </c>
      <c r="O957" s="5" t="s">
        <v>5363</v>
      </c>
      <c r="P957" s="6" t="s">
        <v>42</v>
      </c>
      <c r="Q957" s="5" t="s">
        <v>1237</v>
      </c>
      <c r="R957" s="5" t="s">
        <v>9075</v>
      </c>
      <c r="S957" s="6" t="s">
        <v>71</v>
      </c>
      <c r="T957" s="6">
        <v>6663.0</v>
      </c>
    </row>
    <row r="958" ht="56.25" customHeight="1">
      <c r="A958" s="5" t="s">
        <v>9060</v>
      </c>
      <c r="B958" s="6" t="str">
        <f>image("https://storage.googleapis.com/acdb/photos/BromideNpcNmlRbt01_Remake_4_0.png")</f>
        <v/>
      </c>
      <c r="C958" s="5" t="s">
        <v>1167</v>
      </c>
      <c r="D958" s="5" t="s">
        <v>1327</v>
      </c>
      <c r="E958" s="5" t="s">
        <v>34</v>
      </c>
      <c r="F958" s="5" t="s">
        <v>34</v>
      </c>
      <c r="G958" s="5" t="s">
        <v>36</v>
      </c>
      <c r="H958" s="5" t="s">
        <v>35</v>
      </c>
      <c r="I958" s="6">
        <v>1.0</v>
      </c>
      <c r="J958" s="6" t="s">
        <v>37</v>
      </c>
      <c r="K958" s="6">
        <v>10.0</v>
      </c>
      <c r="L958" s="5"/>
      <c r="M958" s="5"/>
      <c r="N958" s="6" t="s">
        <v>40</v>
      </c>
      <c r="O958" s="5" t="s">
        <v>5363</v>
      </c>
      <c r="P958" s="6" t="s">
        <v>42</v>
      </c>
      <c r="Q958" s="5" t="s">
        <v>1237</v>
      </c>
      <c r="R958" s="5" t="s">
        <v>9078</v>
      </c>
      <c r="S958" s="6" t="s">
        <v>75</v>
      </c>
      <c r="T958" s="6">
        <v>6663.0</v>
      </c>
    </row>
    <row r="959" ht="56.25" customHeight="1">
      <c r="A959" s="5" t="s">
        <v>9060</v>
      </c>
      <c r="B959" s="6" t="str">
        <f>image("https://storage.googleapis.com/acdb/photos/BromideNpcNmlRbt01_Remake_5_0.png")</f>
        <v/>
      </c>
      <c r="C959" s="5" t="s">
        <v>58</v>
      </c>
      <c r="D959" s="5" t="s">
        <v>1327</v>
      </c>
      <c r="E959" s="5" t="s">
        <v>34</v>
      </c>
      <c r="F959" s="5" t="s">
        <v>34</v>
      </c>
      <c r="G959" s="5" t="s">
        <v>36</v>
      </c>
      <c r="H959" s="5" t="s">
        <v>35</v>
      </c>
      <c r="I959" s="6">
        <v>1.0</v>
      </c>
      <c r="J959" s="6" t="s">
        <v>37</v>
      </c>
      <c r="K959" s="6">
        <v>10.0</v>
      </c>
      <c r="L959" s="5"/>
      <c r="M959" s="5"/>
      <c r="N959" s="6" t="s">
        <v>40</v>
      </c>
      <c r="O959" s="5" t="s">
        <v>5363</v>
      </c>
      <c r="P959" s="6" t="s">
        <v>42</v>
      </c>
      <c r="Q959" s="5" t="s">
        <v>1237</v>
      </c>
      <c r="R959" s="5" t="s">
        <v>9084</v>
      </c>
      <c r="S959" s="6" t="s">
        <v>79</v>
      </c>
      <c r="T959" s="6">
        <v>6663.0</v>
      </c>
    </row>
    <row r="960" ht="56.25" customHeight="1">
      <c r="A960" s="5" t="s">
        <v>9060</v>
      </c>
      <c r="B960" s="6" t="str">
        <f>image("https://storage.googleapis.com/acdb/photos/BromideNpcNmlRbt01_Remake_6_0.png")</f>
        <v/>
      </c>
      <c r="C960" s="5" t="s">
        <v>146</v>
      </c>
      <c r="D960" s="5" t="s">
        <v>1327</v>
      </c>
      <c r="E960" s="5" t="s">
        <v>34</v>
      </c>
      <c r="F960" s="5" t="s">
        <v>34</v>
      </c>
      <c r="G960" s="5" t="s">
        <v>36</v>
      </c>
      <c r="H960" s="5" t="s">
        <v>35</v>
      </c>
      <c r="I960" s="6">
        <v>1.0</v>
      </c>
      <c r="J960" s="6" t="s">
        <v>37</v>
      </c>
      <c r="K960" s="6">
        <v>10.0</v>
      </c>
      <c r="L960" s="5"/>
      <c r="M960" s="5"/>
      <c r="N960" s="6" t="s">
        <v>40</v>
      </c>
      <c r="O960" s="5" t="s">
        <v>5363</v>
      </c>
      <c r="P960" s="6" t="s">
        <v>42</v>
      </c>
      <c r="Q960" s="5" t="s">
        <v>1237</v>
      </c>
      <c r="R960" s="5" t="s">
        <v>9088</v>
      </c>
      <c r="S960" s="6" t="s">
        <v>86</v>
      </c>
      <c r="T960" s="6">
        <v>6663.0</v>
      </c>
    </row>
    <row r="961" ht="56.25" customHeight="1">
      <c r="A961" s="5" t="s">
        <v>9060</v>
      </c>
      <c r="B961" s="6" t="str">
        <f>image("https://storage.googleapis.com/acdb/photos/BromideNpcNmlRbt01_Remake_7_0.png")</f>
        <v/>
      </c>
      <c r="C961" s="5" t="s">
        <v>151</v>
      </c>
      <c r="D961" s="5" t="s">
        <v>1327</v>
      </c>
      <c r="E961" s="5" t="s">
        <v>34</v>
      </c>
      <c r="F961" s="5" t="s">
        <v>34</v>
      </c>
      <c r="G961" s="5" t="s">
        <v>36</v>
      </c>
      <c r="H961" s="5" t="s">
        <v>35</v>
      </c>
      <c r="I961" s="6">
        <v>1.0</v>
      </c>
      <c r="J961" s="6" t="s">
        <v>37</v>
      </c>
      <c r="K961" s="6">
        <v>10.0</v>
      </c>
      <c r="L961" s="5"/>
      <c r="M961" s="5"/>
      <c r="N961" s="6" t="s">
        <v>40</v>
      </c>
      <c r="O961" s="5" t="s">
        <v>5363</v>
      </c>
      <c r="P961" s="6" t="s">
        <v>42</v>
      </c>
      <c r="Q961" s="5" t="s">
        <v>1237</v>
      </c>
      <c r="R961" s="5" t="s">
        <v>9093</v>
      </c>
      <c r="S961" s="6" t="s">
        <v>208</v>
      </c>
      <c r="T961" s="6">
        <v>6663.0</v>
      </c>
    </row>
    <row r="962" ht="56.25" customHeight="1">
      <c r="A962" s="5" t="s">
        <v>9094</v>
      </c>
      <c r="B962" s="6" t="str">
        <f>image("https://storage.googleapis.com/acdb/photos/BromideNpcNmlCrd08_Remake_0_0.png")</f>
        <v/>
      </c>
      <c r="C962" s="5" t="s">
        <v>366</v>
      </c>
      <c r="D962" s="5" t="s">
        <v>1327</v>
      </c>
      <c r="E962" s="5" t="s">
        <v>34</v>
      </c>
      <c r="F962" s="5" t="s">
        <v>34</v>
      </c>
      <c r="G962" s="5" t="s">
        <v>36</v>
      </c>
      <c r="H962" s="5" t="s">
        <v>35</v>
      </c>
      <c r="I962" s="6">
        <v>1.0</v>
      </c>
      <c r="J962" s="6" t="s">
        <v>37</v>
      </c>
      <c r="K962" s="6">
        <v>10.0</v>
      </c>
      <c r="L962" s="5"/>
      <c r="M962" s="5"/>
      <c r="N962" s="6" t="s">
        <v>40</v>
      </c>
      <c r="O962" s="5" t="s">
        <v>5363</v>
      </c>
      <c r="P962" s="6" t="s">
        <v>42</v>
      </c>
      <c r="Q962" s="5" t="s">
        <v>1237</v>
      </c>
      <c r="R962" s="5" t="s">
        <v>9097</v>
      </c>
      <c r="S962" s="6" t="s">
        <v>50</v>
      </c>
      <c r="T962" s="6">
        <v>6806.0</v>
      </c>
    </row>
    <row r="963" ht="56.25" customHeight="1">
      <c r="A963" s="5" t="s">
        <v>9094</v>
      </c>
      <c r="B963" s="6" t="str">
        <f>image("https://storage.googleapis.com/acdb/photos/BromideNpcNmlCrd08_Remake_1_0.png")</f>
        <v/>
      </c>
      <c r="C963" s="5" t="s">
        <v>1132</v>
      </c>
      <c r="D963" s="5" t="s">
        <v>1327</v>
      </c>
      <c r="E963" s="5" t="s">
        <v>34</v>
      </c>
      <c r="F963" s="5" t="s">
        <v>34</v>
      </c>
      <c r="G963" s="5" t="s">
        <v>36</v>
      </c>
      <c r="H963" s="5" t="s">
        <v>35</v>
      </c>
      <c r="I963" s="6">
        <v>1.0</v>
      </c>
      <c r="J963" s="6" t="s">
        <v>37</v>
      </c>
      <c r="K963" s="6">
        <v>10.0</v>
      </c>
      <c r="L963" s="5"/>
      <c r="M963" s="5"/>
      <c r="N963" s="6" t="s">
        <v>40</v>
      </c>
      <c r="O963" s="5" t="s">
        <v>5363</v>
      </c>
      <c r="P963" s="6" t="s">
        <v>42</v>
      </c>
      <c r="Q963" s="5" t="s">
        <v>1237</v>
      </c>
      <c r="R963" s="5" t="s">
        <v>9099</v>
      </c>
      <c r="S963" s="6" t="s">
        <v>56</v>
      </c>
      <c r="T963" s="6">
        <v>6806.0</v>
      </c>
    </row>
    <row r="964" ht="56.25" customHeight="1">
      <c r="A964" s="5" t="s">
        <v>9094</v>
      </c>
      <c r="B964" s="6" t="str">
        <f>image("https://storage.googleapis.com/acdb/photos/BromideNpcNmlCrd08_Remake_2_0.png")</f>
        <v/>
      </c>
      <c r="C964" s="5" t="s">
        <v>688</v>
      </c>
      <c r="D964" s="5" t="s">
        <v>1327</v>
      </c>
      <c r="E964" s="5" t="s">
        <v>34</v>
      </c>
      <c r="F964" s="5" t="s">
        <v>34</v>
      </c>
      <c r="G964" s="5" t="s">
        <v>36</v>
      </c>
      <c r="H964" s="5" t="s">
        <v>35</v>
      </c>
      <c r="I964" s="6">
        <v>1.0</v>
      </c>
      <c r="J964" s="6" t="s">
        <v>37</v>
      </c>
      <c r="K964" s="6">
        <v>10.0</v>
      </c>
      <c r="L964" s="5"/>
      <c r="M964" s="5"/>
      <c r="N964" s="6" t="s">
        <v>40</v>
      </c>
      <c r="O964" s="5" t="s">
        <v>5363</v>
      </c>
      <c r="P964" s="6" t="s">
        <v>42</v>
      </c>
      <c r="Q964" s="5" t="s">
        <v>1237</v>
      </c>
      <c r="R964" s="5" t="s">
        <v>9103</v>
      </c>
      <c r="S964" s="6" t="s">
        <v>67</v>
      </c>
      <c r="T964" s="6">
        <v>6806.0</v>
      </c>
    </row>
    <row r="965" ht="56.25" customHeight="1">
      <c r="A965" s="5" t="s">
        <v>9094</v>
      </c>
      <c r="B965" s="6" t="str">
        <f>image("https://storage.googleapis.com/acdb/photos/BromideNpcNmlCrd08_Remake_3_0.png")</f>
        <v/>
      </c>
      <c r="C965" s="5" t="s">
        <v>57</v>
      </c>
      <c r="D965" s="5" t="s">
        <v>1327</v>
      </c>
      <c r="E965" s="5" t="s">
        <v>34</v>
      </c>
      <c r="F965" s="5" t="s">
        <v>34</v>
      </c>
      <c r="G965" s="5" t="s">
        <v>36</v>
      </c>
      <c r="H965" s="5" t="s">
        <v>35</v>
      </c>
      <c r="I965" s="6">
        <v>1.0</v>
      </c>
      <c r="J965" s="6" t="s">
        <v>37</v>
      </c>
      <c r="K965" s="6">
        <v>10.0</v>
      </c>
      <c r="L965" s="5"/>
      <c r="M965" s="5"/>
      <c r="N965" s="6" t="s">
        <v>40</v>
      </c>
      <c r="O965" s="5" t="s">
        <v>5363</v>
      </c>
      <c r="P965" s="6" t="s">
        <v>42</v>
      </c>
      <c r="Q965" s="5" t="s">
        <v>1237</v>
      </c>
      <c r="R965" s="5" t="s">
        <v>9109</v>
      </c>
      <c r="S965" s="6" t="s">
        <v>71</v>
      </c>
      <c r="T965" s="6">
        <v>6806.0</v>
      </c>
    </row>
    <row r="966" ht="56.25" customHeight="1">
      <c r="A966" s="5" t="s">
        <v>9094</v>
      </c>
      <c r="B966" s="6" t="str">
        <f>image("https://storage.googleapis.com/acdb/photos/BromideNpcNmlCrd08_Remake_4_0.png")</f>
        <v/>
      </c>
      <c r="C966" s="5" t="s">
        <v>1167</v>
      </c>
      <c r="D966" s="5" t="s">
        <v>1327</v>
      </c>
      <c r="E966" s="5" t="s">
        <v>34</v>
      </c>
      <c r="F966" s="5" t="s">
        <v>34</v>
      </c>
      <c r="G966" s="5" t="s">
        <v>36</v>
      </c>
      <c r="H966" s="5" t="s">
        <v>35</v>
      </c>
      <c r="I966" s="6">
        <v>1.0</v>
      </c>
      <c r="J966" s="6" t="s">
        <v>37</v>
      </c>
      <c r="K966" s="6">
        <v>10.0</v>
      </c>
      <c r="L966" s="5"/>
      <c r="M966" s="5"/>
      <c r="N966" s="6" t="s">
        <v>40</v>
      </c>
      <c r="O966" s="5" t="s">
        <v>5363</v>
      </c>
      <c r="P966" s="6" t="s">
        <v>42</v>
      </c>
      <c r="Q966" s="5" t="s">
        <v>1237</v>
      </c>
      <c r="R966" s="5" t="s">
        <v>9112</v>
      </c>
      <c r="S966" s="6" t="s">
        <v>75</v>
      </c>
      <c r="T966" s="6">
        <v>6806.0</v>
      </c>
    </row>
    <row r="967" ht="56.25" customHeight="1">
      <c r="A967" s="5" t="s">
        <v>9094</v>
      </c>
      <c r="B967" s="6" t="str">
        <f>image("https://storage.googleapis.com/acdb/photos/BromideNpcNmlCrd08_Remake_5_0.png")</f>
        <v/>
      </c>
      <c r="C967" s="5" t="s">
        <v>58</v>
      </c>
      <c r="D967" s="5" t="s">
        <v>1327</v>
      </c>
      <c r="E967" s="5" t="s">
        <v>34</v>
      </c>
      <c r="F967" s="5" t="s">
        <v>34</v>
      </c>
      <c r="G967" s="5" t="s">
        <v>36</v>
      </c>
      <c r="H967" s="5" t="s">
        <v>35</v>
      </c>
      <c r="I967" s="6">
        <v>1.0</v>
      </c>
      <c r="J967" s="6" t="s">
        <v>37</v>
      </c>
      <c r="K967" s="6">
        <v>10.0</v>
      </c>
      <c r="L967" s="5"/>
      <c r="M967" s="5"/>
      <c r="N967" s="6" t="s">
        <v>40</v>
      </c>
      <c r="O967" s="5" t="s">
        <v>5363</v>
      </c>
      <c r="P967" s="6" t="s">
        <v>42</v>
      </c>
      <c r="Q967" s="5" t="s">
        <v>1237</v>
      </c>
      <c r="R967" s="5" t="s">
        <v>9115</v>
      </c>
      <c r="S967" s="6" t="s">
        <v>79</v>
      </c>
      <c r="T967" s="6">
        <v>6806.0</v>
      </c>
    </row>
    <row r="968" ht="56.25" customHeight="1">
      <c r="A968" s="5" t="s">
        <v>9094</v>
      </c>
      <c r="B968" s="6" t="str">
        <f>image("https://storage.googleapis.com/acdb/photos/BromideNpcNmlCrd08_Remake_6_0.png")</f>
        <v/>
      </c>
      <c r="C968" s="5" t="s">
        <v>146</v>
      </c>
      <c r="D968" s="5" t="s">
        <v>1327</v>
      </c>
      <c r="E968" s="5" t="s">
        <v>34</v>
      </c>
      <c r="F968" s="5" t="s">
        <v>34</v>
      </c>
      <c r="G968" s="5" t="s">
        <v>36</v>
      </c>
      <c r="H968" s="5" t="s">
        <v>35</v>
      </c>
      <c r="I968" s="6">
        <v>1.0</v>
      </c>
      <c r="J968" s="6" t="s">
        <v>37</v>
      </c>
      <c r="K968" s="6">
        <v>10.0</v>
      </c>
      <c r="L968" s="5"/>
      <c r="M968" s="5"/>
      <c r="N968" s="6" t="s">
        <v>40</v>
      </c>
      <c r="O968" s="5" t="s">
        <v>5363</v>
      </c>
      <c r="P968" s="6" t="s">
        <v>42</v>
      </c>
      <c r="Q968" s="5" t="s">
        <v>1237</v>
      </c>
      <c r="R968" s="5" t="s">
        <v>9118</v>
      </c>
      <c r="S968" s="6" t="s">
        <v>86</v>
      </c>
      <c r="T968" s="6">
        <v>6806.0</v>
      </c>
    </row>
    <row r="969" ht="56.25" customHeight="1">
      <c r="A969" s="5" t="s">
        <v>9094</v>
      </c>
      <c r="B969" s="6" t="str">
        <f>image("https://storage.googleapis.com/acdb/photos/BromideNpcNmlCrd08_Remake_7_0.png")</f>
        <v/>
      </c>
      <c r="C969" s="5" t="s">
        <v>151</v>
      </c>
      <c r="D969" s="5" t="s">
        <v>1327</v>
      </c>
      <c r="E969" s="5" t="s">
        <v>34</v>
      </c>
      <c r="F969" s="5" t="s">
        <v>34</v>
      </c>
      <c r="G969" s="5" t="s">
        <v>36</v>
      </c>
      <c r="H969" s="5" t="s">
        <v>35</v>
      </c>
      <c r="I969" s="6">
        <v>1.0</v>
      </c>
      <c r="J969" s="6" t="s">
        <v>37</v>
      </c>
      <c r="K969" s="6">
        <v>10.0</v>
      </c>
      <c r="L969" s="5"/>
      <c r="M969" s="5"/>
      <c r="N969" s="6" t="s">
        <v>40</v>
      </c>
      <c r="O969" s="5" t="s">
        <v>5363</v>
      </c>
      <c r="P969" s="6" t="s">
        <v>42</v>
      </c>
      <c r="Q969" s="5" t="s">
        <v>1237</v>
      </c>
      <c r="R969" s="5" t="s">
        <v>9121</v>
      </c>
      <c r="S969" s="6" t="s">
        <v>208</v>
      </c>
      <c r="T969" s="6">
        <v>6806.0</v>
      </c>
    </row>
    <row r="970" ht="56.25" customHeight="1">
      <c r="A970" s="5" t="s">
        <v>9122</v>
      </c>
      <c r="B970" s="6" t="str">
        <f>image("https://storage.googleapis.com/acdb/photos/BromideNpcNmlDuk09_Remake_0_0.png")</f>
        <v/>
      </c>
      <c r="C970" s="5" t="s">
        <v>366</v>
      </c>
      <c r="D970" s="5" t="s">
        <v>1327</v>
      </c>
      <c r="E970" s="5" t="s">
        <v>34</v>
      </c>
      <c r="F970" s="5" t="s">
        <v>34</v>
      </c>
      <c r="G970" s="5" t="s">
        <v>36</v>
      </c>
      <c r="H970" s="5" t="s">
        <v>35</v>
      </c>
      <c r="I970" s="6">
        <v>1.0</v>
      </c>
      <c r="J970" s="6" t="s">
        <v>37</v>
      </c>
      <c r="K970" s="6">
        <v>10.0</v>
      </c>
      <c r="L970" s="5"/>
      <c r="M970" s="5"/>
      <c r="N970" s="6" t="s">
        <v>40</v>
      </c>
      <c r="O970" s="5" t="s">
        <v>5363</v>
      </c>
      <c r="P970" s="6" t="s">
        <v>42</v>
      </c>
      <c r="Q970" s="5" t="s">
        <v>1237</v>
      </c>
      <c r="R970" s="5" t="s">
        <v>9126</v>
      </c>
      <c r="S970" s="6" t="s">
        <v>50</v>
      </c>
      <c r="T970" s="6">
        <v>6464.0</v>
      </c>
    </row>
    <row r="971" ht="56.25" customHeight="1">
      <c r="A971" s="5" t="s">
        <v>9122</v>
      </c>
      <c r="B971" s="6" t="str">
        <f>image("https://storage.googleapis.com/acdb/photos/BromideNpcNmlDuk09_Remake_1_0.png")</f>
        <v/>
      </c>
      <c r="C971" s="5" t="s">
        <v>1132</v>
      </c>
      <c r="D971" s="5" t="s">
        <v>1327</v>
      </c>
      <c r="E971" s="5" t="s">
        <v>34</v>
      </c>
      <c r="F971" s="5" t="s">
        <v>34</v>
      </c>
      <c r="G971" s="5" t="s">
        <v>36</v>
      </c>
      <c r="H971" s="5" t="s">
        <v>35</v>
      </c>
      <c r="I971" s="6">
        <v>1.0</v>
      </c>
      <c r="J971" s="6" t="s">
        <v>37</v>
      </c>
      <c r="K971" s="6">
        <v>10.0</v>
      </c>
      <c r="L971" s="5"/>
      <c r="M971" s="5"/>
      <c r="N971" s="6" t="s">
        <v>40</v>
      </c>
      <c r="O971" s="5" t="s">
        <v>5363</v>
      </c>
      <c r="P971" s="6" t="s">
        <v>42</v>
      </c>
      <c r="Q971" s="5" t="s">
        <v>1237</v>
      </c>
      <c r="R971" s="5" t="s">
        <v>9129</v>
      </c>
      <c r="S971" s="6" t="s">
        <v>56</v>
      </c>
      <c r="T971" s="6">
        <v>6464.0</v>
      </c>
    </row>
    <row r="972" ht="56.25" customHeight="1">
      <c r="A972" s="5" t="s">
        <v>9122</v>
      </c>
      <c r="B972" s="6" t="str">
        <f>image("https://storage.googleapis.com/acdb/photos/BromideNpcNmlDuk09_Remake_2_0.png")</f>
        <v/>
      </c>
      <c r="C972" s="5" t="s">
        <v>688</v>
      </c>
      <c r="D972" s="5" t="s">
        <v>1327</v>
      </c>
      <c r="E972" s="5" t="s">
        <v>34</v>
      </c>
      <c r="F972" s="5" t="s">
        <v>34</v>
      </c>
      <c r="G972" s="5" t="s">
        <v>36</v>
      </c>
      <c r="H972" s="5" t="s">
        <v>35</v>
      </c>
      <c r="I972" s="6">
        <v>1.0</v>
      </c>
      <c r="J972" s="6" t="s">
        <v>37</v>
      </c>
      <c r="K972" s="6">
        <v>10.0</v>
      </c>
      <c r="L972" s="5"/>
      <c r="M972" s="5"/>
      <c r="N972" s="6" t="s">
        <v>40</v>
      </c>
      <c r="O972" s="5" t="s">
        <v>5363</v>
      </c>
      <c r="P972" s="6" t="s">
        <v>42</v>
      </c>
      <c r="Q972" s="5" t="s">
        <v>1237</v>
      </c>
      <c r="R972" s="5" t="s">
        <v>9132</v>
      </c>
      <c r="S972" s="6" t="s">
        <v>67</v>
      </c>
      <c r="T972" s="6">
        <v>6464.0</v>
      </c>
    </row>
    <row r="973" ht="56.25" customHeight="1">
      <c r="A973" s="5" t="s">
        <v>9122</v>
      </c>
      <c r="B973" s="6" t="str">
        <f>image("https://storage.googleapis.com/acdb/photos/BromideNpcNmlDuk09_Remake_3_0.png")</f>
        <v/>
      </c>
      <c r="C973" s="5" t="s">
        <v>57</v>
      </c>
      <c r="D973" s="5" t="s">
        <v>1327</v>
      </c>
      <c r="E973" s="5" t="s">
        <v>34</v>
      </c>
      <c r="F973" s="5" t="s">
        <v>34</v>
      </c>
      <c r="G973" s="5" t="s">
        <v>36</v>
      </c>
      <c r="H973" s="5" t="s">
        <v>35</v>
      </c>
      <c r="I973" s="6">
        <v>1.0</v>
      </c>
      <c r="J973" s="6" t="s">
        <v>37</v>
      </c>
      <c r="K973" s="6">
        <v>10.0</v>
      </c>
      <c r="L973" s="5"/>
      <c r="M973" s="5"/>
      <c r="N973" s="6" t="s">
        <v>40</v>
      </c>
      <c r="O973" s="5" t="s">
        <v>5363</v>
      </c>
      <c r="P973" s="6" t="s">
        <v>42</v>
      </c>
      <c r="Q973" s="5" t="s">
        <v>1237</v>
      </c>
      <c r="R973" s="5" t="s">
        <v>9135</v>
      </c>
      <c r="S973" s="6" t="s">
        <v>71</v>
      </c>
      <c r="T973" s="6">
        <v>6464.0</v>
      </c>
    </row>
    <row r="974" ht="56.25" customHeight="1">
      <c r="A974" s="5" t="s">
        <v>9122</v>
      </c>
      <c r="B974" s="6" t="str">
        <f>image("https://storage.googleapis.com/acdb/photos/BromideNpcNmlDuk09_Remake_4_0.png")</f>
        <v/>
      </c>
      <c r="C974" s="5" t="s">
        <v>1167</v>
      </c>
      <c r="D974" s="5" t="s">
        <v>1327</v>
      </c>
      <c r="E974" s="5" t="s">
        <v>34</v>
      </c>
      <c r="F974" s="5" t="s">
        <v>34</v>
      </c>
      <c r="G974" s="5" t="s">
        <v>36</v>
      </c>
      <c r="H974" s="5" t="s">
        <v>35</v>
      </c>
      <c r="I974" s="6">
        <v>1.0</v>
      </c>
      <c r="J974" s="6" t="s">
        <v>37</v>
      </c>
      <c r="K974" s="6">
        <v>10.0</v>
      </c>
      <c r="L974" s="5"/>
      <c r="M974" s="5"/>
      <c r="N974" s="6" t="s">
        <v>40</v>
      </c>
      <c r="O974" s="5" t="s">
        <v>5363</v>
      </c>
      <c r="P974" s="6" t="s">
        <v>42</v>
      </c>
      <c r="Q974" s="5" t="s">
        <v>1237</v>
      </c>
      <c r="R974" s="5" t="s">
        <v>9138</v>
      </c>
      <c r="S974" s="6" t="s">
        <v>75</v>
      </c>
      <c r="T974" s="6">
        <v>6464.0</v>
      </c>
    </row>
    <row r="975" ht="56.25" customHeight="1">
      <c r="A975" s="5" t="s">
        <v>9122</v>
      </c>
      <c r="B975" s="6" t="str">
        <f>image("https://storage.googleapis.com/acdb/photos/BromideNpcNmlDuk09_Remake_5_0.png")</f>
        <v/>
      </c>
      <c r="C975" s="5" t="s">
        <v>58</v>
      </c>
      <c r="D975" s="5" t="s">
        <v>1327</v>
      </c>
      <c r="E975" s="5" t="s">
        <v>34</v>
      </c>
      <c r="F975" s="5" t="s">
        <v>34</v>
      </c>
      <c r="G975" s="5" t="s">
        <v>36</v>
      </c>
      <c r="H975" s="5" t="s">
        <v>35</v>
      </c>
      <c r="I975" s="6">
        <v>1.0</v>
      </c>
      <c r="J975" s="6" t="s">
        <v>37</v>
      </c>
      <c r="K975" s="6">
        <v>10.0</v>
      </c>
      <c r="L975" s="5"/>
      <c r="M975" s="5"/>
      <c r="N975" s="6" t="s">
        <v>40</v>
      </c>
      <c r="O975" s="5" t="s">
        <v>5363</v>
      </c>
      <c r="P975" s="6" t="s">
        <v>42</v>
      </c>
      <c r="Q975" s="5" t="s">
        <v>1237</v>
      </c>
      <c r="R975" s="5" t="s">
        <v>9144</v>
      </c>
      <c r="S975" s="6" t="s">
        <v>79</v>
      </c>
      <c r="T975" s="6">
        <v>6464.0</v>
      </c>
    </row>
    <row r="976" ht="56.25" customHeight="1">
      <c r="A976" s="5" t="s">
        <v>9122</v>
      </c>
      <c r="B976" s="6" t="str">
        <f>image("https://storage.googleapis.com/acdb/photos/BromideNpcNmlDuk09_Remake_6_0.png")</f>
        <v/>
      </c>
      <c r="C976" s="5" t="s">
        <v>146</v>
      </c>
      <c r="D976" s="5" t="s">
        <v>1327</v>
      </c>
      <c r="E976" s="5" t="s">
        <v>34</v>
      </c>
      <c r="F976" s="5" t="s">
        <v>34</v>
      </c>
      <c r="G976" s="5" t="s">
        <v>36</v>
      </c>
      <c r="H976" s="5" t="s">
        <v>35</v>
      </c>
      <c r="I976" s="6">
        <v>1.0</v>
      </c>
      <c r="J976" s="6" t="s">
        <v>37</v>
      </c>
      <c r="K976" s="6">
        <v>10.0</v>
      </c>
      <c r="L976" s="5"/>
      <c r="M976" s="5"/>
      <c r="N976" s="6" t="s">
        <v>40</v>
      </c>
      <c r="O976" s="5" t="s">
        <v>5363</v>
      </c>
      <c r="P976" s="6" t="s">
        <v>42</v>
      </c>
      <c r="Q976" s="5" t="s">
        <v>1237</v>
      </c>
      <c r="R976" s="5" t="s">
        <v>9147</v>
      </c>
      <c r="S976" s="6" t="s">
        <v>86</v>
      </c>
      <c r="T976" s="6">
        <v>6464.0</v>
      </c>
    </row>
    <row r="977" ht="56.25" customHeight="1">
      <c r="A977" s="5" t="s">
        <v>9122</v>
      </c>
      <c r="B977" s="6" t="str">
        <f>image("https://storage.googleapis.com/acdb/photos/BromideNpcNmlDuk09_Remake_7_0.png")</f>
        <v/>
      </c>
      <c r="C977" s="5" t="s">
        <v>151</v>
      </c>
      <c r="D977" s="5" t="s">
        <v>1327</v>
      </c>
      <c r="E977" s="5" t="s">
        <v>34</v>
      </c>
      <c r="F977" s="5" t="s">
        <v>34</v>
      </c>
      <c r="G977" s="5" t="s">
        <v>36</v>
      </c>
      <c r="H977" s="5" t="s">
        <v>35</v>
      </c>
      <c r="I977" s="6">
        <v>1.0</v>
      </c>
      <c r="J977" s="6" t="s">
        <v>37</v>
      </c>
      <c r="K977" s="6">
        <v>10.0</v>
      </c>
      <c r="L977" s="5"/>
      <c r="M977" s="5"/>
      <c r="N977" s="6" t="s">
        <v>40</v>
      </c>
      <c r="O977" s="5" t="s">
        <v>5363</v>
      </c>
      <c r="P977" s="6" t="s">
        <v>42</v>
      </c>
      <c r="Q977" s="5" t="s">
        <v>1237</v>
      </c>
      <c r="R977" s="5" t="s">
        <v>9152</v>
      </c>
      <c r="S977" s="6" t="s">
        <v>208</v>
      </c>
      <c r="T977" s="6">
        <v>6464.0</v>
      </c>
    </row>
    <row r="978" ht="56.25" customHeight="1">
      <c r="A978" s="5" t="s">
        <v>9154</v>
      </c>
      <c r="B978" s="6" t="str">
        <f>image("https://storage.googleapis.com/acdb/photos/BromideNpcNmlFlg04_Remake_0_0.png")</f>
        <v/>
      </c>
      <c r="C978" s="5" t="s">
        <v>366</v>
      </c>
      <c r="D978" s="5" t="s">
        <v>1327</v>
      </c>
      <c r="E978" s="5" t="s">
        <v>34</v>
      </c>
      <c r="F978" s="5" t="s">
        <v>34</v>
      </c>
      <c r="G978" s="5" t="s">
        <v>36</v>
      </c>
      <c r="H978" s="5" t="s">
        <v>35</v>
      </c>
      <c r="I978" s="6">
        <v>1.0</v>
      </c>
      <c r="J978" s="6" t="s">
        <v>37</v>
      </c>
      <c r="K978" s="6">
        <v>10.0</v>
      </c>
      <c r="L978" s="5"/>
      <c r="M978" s="5"/>
      <c r="N978" s="6" t="s">
        <v>40</v>
      </c>
      <c r="O978" s="5" t="s">
        <v>5363</v>
      </c>
      <c r="P978" s="6" t="s">
        <v>42</v>
      </c>
      <c r="Q978" s="5" t="s">
        <v>1237</v>
      </c>
      <c r="R978" s="5" t="s">
        <v>9157</v>
      </c>
      <c r="S978" s="6" t="s">
        <v>50</v>
      </c>
      <c r="T978" s="6">
        <v>6488.0</v>
      </c>
    </row>
    <row r="979" ht="56.25" customHeight="1">
      <c r="A979" s="5" t="s">
        <v>9154</v>
      </c>
      <c r="B979" s="6" t="str">
        <f>image("https://storage.googleapis.com/acdb/photos/BromideNpcNmlFlg04_Remake_1_0.png")</f>
        <v/>
      </c>
      <c r="C979" s="5" t="s">
        <v>1132</v>
      </c>
      <c r="D979" s="5" t="s">
        <v>1327</v>
      </c>
      <c r="E979" s="5" t="s">
        <v>34</v>
      </c>
      <c r="F979" s="5" t="s">
        <v>34</v>
      </c>
      <c r="G979" s="5" t="s">
        <v>36</v>
      </c>
      <c r="H979" s="5" t="s">
        <v>35</v>
      </c>
      <c r="I979" s="6">
        <v>1.0</v>
      </c>
      <c r="J979" s="6" t="s">
        <v>37</v>
      </c>
      <c r="K979" s="6">
        <v>10.0</v>
      </c>
      <c r="L979" s="5"/>
      <c r="M979" s="5"/>
      <c r="N979" s="6" t="s">
        <v>40</v>
      </c>
      <c r="O979" s="5" t="s">
        <v>5363</v>
      </c>
      <c r="P979" s="6" t="s">
        <v>42</v>
      </c>
      <c r="Q979" s="5" t="s">
        <v>1237</v>
      </c>
      <c r="R979" s="5" t="s">
        <v>9162</v>
      </c>
      <c r="S979" s="6" t="s">
        <v>56</v>
      </c>
      <c r="T979" s="6">
        <v>6488.0</v>
      </c>
    </row>
    <row r="980" ht="56.25" customHeight="1">
      <c r="A980" s="5" t="s">
        <v>9154</v>
      </c>
      <c r="B980" s="6" t="str">
        <f>image("https://storage.googleapis.com/acdb/photos/BromideNpcNmlFlg04_Remake_2_0.png")</f>
        <v/>
      </c>
      <c r="C980" s="5" t="s">
        <v>688</v>
      </c>
      <c r="D980" s="5" t="s">
        <v>1327</v>
      </c>
      <c r="E980" s="5" t="s">
        <v>34</v>
      </c>
      <c r="F980" s="5" t="s">
        <v>34</v>
      </c>
      <c r="G980" s="5" t="s">
        <v>36</v>
      </c>
      <c r="H980" s="5" t="s">
        <v>35</v>
      </c>
      <c r="I980" s="6">
        <v>1.0</v>
      </c>
      <c r="J980" s="6" t="s">
        <v>37</v>
      </c>
      <c r="K980" s="6">
        <v>10.0</v>
      </c>
      <c r="L980" s="5"/>
      <c r="M980" s="5"/>
      <c r="N980" s="6" t="s">
        <v>40</v>
      </c>
      <c r="O980" s="5" t="s">
        <v>5363</v>
      </c>
      <c r="P980" s="6" t="s">
        <v>42</v>
      </c>
      <c r="Q980" s="5" t="s">
        <v>1237</v>
      </c>
      <c r="R980" s="5" t="s">
        <v>9166</v>
      </c>
      <c r="S980" s="6" t="s">
        <v>67</v>
      </c>
      <c r="T980" s="6">
        <v>6488.0</v>
      </c>
    </row>
    <row r="981" ht="56.25" customHeight="1">
      <c r="A981" s="5" t="s">
        <v>9154</v>
      </c>
      <c r="B981" s="6" t="str">
        <f>image("https://storage.googleapis.com/acdb/photos/BromideNpcNmlFlg04_Remake_3_0.png")</f>
        <v/>
      </c>
      <c r="C981" s="5" t="s">
        <v>57</v>
      </c>
      <c r="D981" s="5" t="s">
        <v>1327</v>
      </c>
      <c r="E981" s="5" t="s">
        <v>34</v>
      </c>
      <c r="F981" s="5" t="s">
        <v>34</v>
      </c>
      <c r="G981" s="5" t="s">
        <v>36</v>
      </c>
      <c r="H981" s="5" t="s">
        <v>35</v>
      </c>
      <c r="I981" s="6">
        <v>1.0</v>
      </c>
      <c r="J981" s="6" t="s">
        <v>37</v>
      </c>
      <c r="K981" s="6">
        <v>10.0</v>
      </c>
      <c r="L981" s="5"/>
      <c r="M981" s="5"/>
      <c r="N981" s="6" t="s">
        <v>40</v>
      </c>
      <c r="O981" s="5" t="s">
        <v>5363</v>
      </c>
      <c r="P981" s="6" t="s">
        <v>42</v>
      </c>
      <c r="Q981" s="5" t="s">
        <v>1237</v>
      </c>
      <c r="R981" s="5" t="s">
        <v>9171</v>
      </c>
      <c r="S981" s="6" t="s">
        <v>71</v>
      </c>
      <c r="T981" s="6">
        <v>6488.0</v>
      </c>
    </row>
    <row r="982" ht="56.25" customHeight="1">
      <c r="A982" s="5" t="s">
        <v>9154</v>
      </c>
      <c r="B982" s="6" t="str">
        <f>image("https://storage.googleapis.com/acdb/photos/BromideNpcNmlFlg04_Remake_4_0.png")</f>
        <v/>
      </c>
      <c r="C982" s="5" t="s">
        <v>1167</v>
      </c>
      <c r="D982" s="5" t="s">
        <v>1327</v>
      </c>
      <c r="E982" s="5" t="s">
        <v>34</v>
      </c>
      <c r="F982" s="5" t="s">
        <v>34</v>
      </c>
      <c r="G982" s="5" t="s">
        <v>36</v>
      </c>
      <c r="H982" s="5" t="s">
        <v>35</v>
      </c>
      <c r="I982" s="6">
        <v>1.0</v>
      </c>
      <c r="J982" s="6" t="s">
        <v>37</v>
      </c>
      <c r="K982" s="6">
        <v>10.0</v>
      </c>
      <c r="L982" s="5"/>
      <c r="M982" s="5"/>
      <c r="N982" s="6" t="s">
        <v>40</v>
      </c>
      <c r="O982" s="5" t="s">
        <v>5363</v>
      </c>
      <c r="P982" s="6" t="s">
        <v>42</v>
      </c>
      <c r="Q982" s="5" t="s">
        <v>1237</v>
      </c>
      <c r="R982" s="5" t="s">
        <v>9176</v>
      </c>
      <c r="S982" s="6" t="s">
        <v>75</v>
      </c>
      <c r="T982" s="6">
        <v>6488.0</v>
      </c>
    </row>
    <row r="983" ht="56.25" customHeight="1">
      <c r="A983" s="5" t="s">
        <v>9154</v>
      </c>
      <c r="B983" s="6" t="str">
        <f>image("https://storage.googleapis.com/acdb/photos/BromideNpcNmlFlg04_Remake_5_0.png")</f>
        <v/>
      </c>
      <c r="C983" s="5" t="s">
        <v>58</v>
      </c>
      <c r="D983" s="5" t="s">
        <v>1327</v>
      </c>
      <c r="E983" s="5" t="s">
        <v>34</v>
      </c>
      <c r="F983" s="5" t="s">
        <v>34</v>
      </c>
      <c r="G983" s="5" t="s">
        <v>36</v>
      </c>
      <c r="H983" s="5" t="s">
        <v>35</v>
      </c>
      <c r="I983" s="6">
        <v>1.0</v>
      </c>
      <c r="J983" s="6" t="s">
        <v>37</v>
      </c>
      <c r="K983" s="6">
        <v>10.0</v>
      </c>
      <c r="L983" s="5"/>
      <c r="M983" s="5"/>
      <c r="N983" s="6" t="s">
        <v>40</v>
      </c>
      <c r="O983" s="5" t="s">
        <v>5363</v>
      </c>
      <c r="P983" s="6" t="s">
        <v>42</v>
      </c>
      <c r="Q983" s="5" t="s">
        <v>1237</v>
      </c>
      <c r="R983" s="5" t="s">
        <v>9181</v>
      </c>
      <c r="S983" s="6" t="s">
        <v>79</v>
      </c>
      <c r="T983" s="6">
        <v>6488.0</v>
      </c>
    </row>
    <row r="984" ht="56.25" customHeight="1">
      <c r="A984" s="5" t="s">
        <v>9154</v>
      </c>
      <c r="B984" s="6" t="str">
        <f>image("https://storage.googleapis.com/acdb/photos/BromideNpcNmlFlg04_Remake_6_0.png")</f>
        <v/>
      </c>
      <c r="C984" s="5" t="s">
        <v>146</v>
      </c>
      <c r="D984" s="5" t="s">
        <v>1327</v>
      </c>
      <c r="E984" s="5" t="s">
        <v>34</v>
      </c>
      <c r="F984" s="5" t="s">
        <v>34</v>
      </c>
      <c r="G984" s="5" t="s">
        <v>36</v>
      </c>
      <c r="H984" s="5" t="s">
        <v>35</v>
      </c>
      <c r="I984" s="6">
        <v>1.0</v>
      </c>
      <c r="J984" s="6" t="s">
        <v>37</v>
      </c>
      <c r="K984" s="6">
        <v>10.0</v>
      </c>
      <c r="L984" s="5"/>
      <c r="M984" s="5"/>
      <c r="N984" s="6" t="s">
        <v>40</v>
      </c>
      <c r="O984" s="5" t="s">
        <v>5363</v>
      </c>
      <c r="P984" s="6" t="s">
        <v>42</v>
      </c>
      <c r="Q984" s="5" t="s">
        <v>1237</v>
      </c>
      <c r="R984" s="5" t="s">
        <v>9185</v>
      </c>
      <c r="S984" s="6" t="s">
        <v>86</v>
      </c>
      <c r="T984" s="6">
        <v>6488.0</v>
      </c>
    </row>
    <row r="985" ht="56.25" customHeight="1">
      <c r="A985" s="5" t="s">
        <v>9154</v>
      </c>
      <c r="B985" s="6" t="str">
        <f>image("https://storage.googleapis.com/acdb/photos/BromideNpcNmlFlg04_Remake_7_0.png")</f>
        <v/>
      </c>
      <c r="C985" s="5" t="s">
        <v>151</v>
      </c>
      <c r="D985" s="5" t="s">
        <v>1327</v>
      </c>
      <c r="E985" s="5" t="s">
        <v>34</v>
      </c>
      <c r="F985" s="5" t="s">
        <v>34</v>
      </c>
      <c r="G985" s="5" t="s">
        <v>36</v>
      </c>
      <c r="H985" s="5" t="s">
        <v>35</v>
      </c>
      <c r="I985" s="6">
        <v>1.0</v>
      </c>
      <c r="J985" s="6" t="s">
        <v>37</v>
      </c>
      <c r="K985" s="6">
        <v>10.0</v>
      </c>
      <c r="L985" s="5"/>
      <c r="M985" s="5"/>
      <c r="N985" s="6" t="s">
        <v>40</v>
      </c>
      <c r="O985" s="5" t="s">
        <v>5363</v>
      </c>
      <c r="P985" s="6" t="s">
        <v>42</v>
      </c>
      <c r="Q985" s="5" t="s">
        <v>1237</v>
      </c>
      <c r="R985" s="5" t="s">
        <v>9189</v>
      </c>
      <c r="S985" s="6" t="s">
        <v>208</v>
      </c>
      <c r="T985" s="6">
        <v>6488.0</v>
      </c>
    </row>
    <row r="986" ht="56.25" customHeight="1">
      <c r="A986" s="5" t="s">
        <v>9190</v>
      </c>
      <c r="B986" s="6" t="str">
        <f>image("https://storage.googleapis.com/acdb/photos/BromideNpcNmlHrs06_Remake_0_0.png")</f>
        <v/>
      </c>
      <c r="C986" s="5" t="s">
        <v>366</v>
      </c>
      <c r="D986" s="5" t="s">
        <v>1327</v>
      </c>
      <c r="E986" s="5" t="s">
        <v>34</v>
      </c>
      <c r="F986" s="5" t="s">
        <v>34</v>
      </c>
      <c r="G986" s="5" t="s">
        <v>36</v>
      </c>
      <c r="H986" s="5" t="s">
        <v>35</v>
      </c>
      <c r="I986" s="6">
        <v>1.0</v>
      </c>
      <c r="J986" s="6" t="s">
        <v>37</v>
      </c>
      <c r="K986" s="6">
        <v>10.0</v>
      </c>
      <c r="L986" s="5"/>
      <c r="M986" s="5"/>
      <c r="N986" s="6" t="s">
        <v>40</v>
      </c>
      <c r="O986" s="5" t="s">
        <v>5363</v>
      </c>
      <c r="P986" s="6" t="s">
        <v>42</v>
      </c>
      <c r="Q986" s="5" t="s">
        <v>1237</v>
      </c>
      <c r="R986" s="5" t="s">
        <v>9193</v>
      </c>
      <c r="S986" s="6" t="s">
        <v>50</v>
      </c>
      <c r="T986" s="6">
        <v>6545.0</v>
      </c>
    </row>
    <row r="987" ht="56.25" customHeight="1">
      <c r="A987" s="5" t="s">
        <v>9190</v>
      </c>
      <c r="B987" s="6" t="str">
        <f>image("https://storage.googleapis.com/acdb/photos/BromideNpcNmlHrs06_Remake_1_0.png")</f>
        <v/>
      </c>
      <c r="C987" s="5" t="s">
        <v>1132</v>
      </c>
      <c r="D987" s="5" t="s">
        <v>1327</v>
      </c>
      <c r="E987" s="5" t="s">
        <v>34</v>
      </c>
      <c r="F987" s="5" t="s">
        <v>34</v>
      </c>
      <c r="G987" s="5" t="s">
        <v>36</v>
      </c>
      <c r="H987" s="5" t="s">
        <v>35</v>
      </c>
      <c r="I987" s="6">
        <v>1.0</v>
      </c>
      <c r="J987" s="6" t="s">
        <v>37</v>
      </c>
      <c r="K987" s="6">
        <v>10.0</v>
      </c>
      <c r="L987" s="5"/>
      <c r="M987" s="5"/>
      <c r="N987" s="6" t="s">
        <v>40</v>
      </c>
      <c r="O987" s="5" t="s">
        <v>5363</v>
      </c>
      <c r="P987" s="6" t="s">
        <v>42</v>
      </c>
      <c r="Q987" s="5" t="s">
        <v>1237</v>
      </c>
      <c r="R987" s="5" t="s">
        <v>9200</v>
      </c>
      <c r="S987" s="6" t="s">
        <v>56</v>
      </c>
      <c r="T987" s="6">
        <v>6545.0</v>
      </c>
    </row>
    <row r="988" ht="56.25" customHeight="1">
      <c r="A988" s="5" t="s">
        <v>9190</v>
      </c>
      <c r="B988" s="6" t="str">
        <f>image("https://storage.googleapis.com/acdb/photos/BromideNpcNmlHrs06_Remake_2_0.png")</f>
        <v/>
      </c>
      <c r="C988" s="5" t="s">
        <v>688</v>
      </c>
      <c r="D988" s="5" t="s">
        <v>1327</v>
      </c>
      <c r="E988" s="5" t="s">
        <v>34</v>
      </c>
      <c r="F988" s="5" t="s">
        <v>34</v>
      </c>
      <c r="G988" s="5" t="s">
        <v>36</v>
      </c>
      <c r="H988" s="5" t="s">
        <v>35</v>
      </c>
      <c r="I988" s="6">
        <v>1.0</v>
      </c>
      <c r="J988" s="6" t="s">
        <v>37</v>
      </c>
      <c r="K988" s="6">
        <v>10.0</v>
      </c>
      <c r="L988" s="5"/>
      <c r="M988" s="5"/>
      <c r="N988" s="6" t="s">
        <v>40</v>
      </c>
      <c r="O988" s="5" t="s">
        <v>5363</v>
      </c>
      <c r="P988" s="6" t="s">
        <v>42</v>
      </c>
      <c r="Q988" s="5" t="s">
        <v>1237</v>
      </c>
      <c r="R988" s="5" t="s">
        <v>9204</v>
      </c>
      <c r="S988" s="6" t="s">
        <v>67</v>
      </c>
      <c r="T988" s="6">
        <v>6545.0</v>
      </c>
    </row>
    <row r="989" ht="56.25" customHeight="1">
      <c r="A989" s="5" t="s">
        <v>9190</v>
      </c>
      <c r="B989" s="6" t="str">
        <f>image("https://storage.googleapis.com/acdb/photos/BromideNpcNmlHrs06_Remake_3_0.png")</f>
        <v/>
      </c>
      <c r="C989" s="5" t="s">
        <v>57</v>
      </c>
      <c r="D989" s="5" t="s">
        <v>1327</v>
      </c>
      <c r="E989" s="5" t="s">
        <v>34</v>
      </c>
      <c r="F989" s="5" t="s">
        <v>34</v>
      </c>
      <c r="G989" s="5" t="s">
        <v>36</v>
      </c>
      <c r="H989" s="5" t="s">
        <v>35</v>
      </c>
      <c r="I989" s="6">
        <v>1.0</v>
      </c>
      <c r="J989" s="6" t="s">
        <v>37</v>
      </c>
      <c r="K989" s="6">
        <v>10.0</v>
      </c>
      <c r="L989" s="5"/>
      <c r="M989" s="5"/>
      <c r="N989" s="6" t="s">
        <v>40</v>
      </c>
      <c r="O989" s="5" t="s">
        <v>5363</v>
      </c>
      <c r="P989" s="6" t="s">
        <v>42</v>
      </c>
      <c r="Q989" s="5" t="s">
        <v>1237</v>
      </c>
      <c r="R989" s="5" t="s">
        <v>9208</v>
      </c>
      <c r="S989" s="6" t="s">
        <v>71</v>
      </c>
      <c r="T989" s="6">
        <v>6545.0</v>
      </c>
    </row>
    <row r="990" ht="56.25" customHeight="1">
      <c r="A990" s="5" t="s">
        <v>9190</v>
      </c>
      <c r="B990" s="6" t="str">
        <f>image("https://storage.googleapis.com/acdb/photos/BromideNpcNmlHrs06_Remake_4_0.png")</f>
        <v/>
      </c>
      <c r="C990" s="5" t="s">
        <v>1167</v>
      </c>
      <c r="D990" s="5" t="s">
        <v>1327</v>
      </c>
      <c r="E990" s="5" t="s">
        <v>34</v>
      </c>
      <c r="F990" s="5" t="s">
        <v>34</v>
      </c>
      <c r="G990" s="5" t="s">
        <v>36</v>
      </c>
      <c r="H990" s="5" t="s">
        <v>35</v>
      </c>
      <c r="I990" s="6">
        <v>1.0</v>
      </c>
      <c r="J990" s="6" t="s">
        <v>37</v>
      </c>
      <c r="K990" s="6">
        <v>10.0</v>
      </c>
      <c r="L990" s="5"/>
      <c r="M990" s="5"/>
      <c r="N990" s="6" t="s">
        <v>40</v>
      </c>
      <c r="O990" s="5" t="s">
        <v>5363</v>
      </c>
      <c r="P990" s="6" t="s">
        <v>42</v>
      </c>
      <c r="Q990" s="5" t="s">
        <v>1237</v>
      </c>
      <c r="R990" s="5" t="s">
        <v>9213</v>
      </c>
      <c r="S990" s="6" t="s">
        <v>75</v>
      </c>
      <c r="T990" s="6">
        <v>6545.0</v>
      </c>
    </row>
    <row r="991" ht="56.25" customHeight="1">
      <c r="A991" s="5" t="s">
        <v>9190</v>
      </c>
      <c r="B991" s="6" t="str">
        <f>image("https://storage.googleapis.com/acdb/photos/BromideNpcNmlHrs06_Remake_5_0.png")</f>
        <v/>
      </c>
      <c r="C991" s="5" t="s">
        <v>58</v>
      </c>
      <c r="D991" s="5" t="s">
        <v>1327</v>
      </c>
      <c r="E991" s="5" t="s">
        <v>34</v>
      </c>
      <c r="F991" s="5" t="s">
        <v>34</v>
      </c>
      <c r="G991" s="5" t="s">
        <v>36</v>
      </c>
      <c r="H991" s="5" t="s">
        <v>35</v>
      </c>
      <c r="I991" s="6">
        <v>1.0</v>
      </c>
      <c r="J991" s="6" t="s">
        <v>37</v>
      </c>
      <c r="K991" s="6">
        <v>10.0</v>
      </c>
      <c r="L991" s="5"/>
      <c r="M991" s="5"/>
      <c r="N991" s="6" t="s">
        <v>40</v>
      </c>
      <c r="O991" s="5" t="s">
        <v>5363</v>
      </c>
      <c r="P991" s="6" t="s">
        <v>42</v>
      </c>
      <c r="Q991" s="5" t="s">
        <v>1237</v>
      </c>
      <c r="R991" s="5" t="s">
        <v>9218</v>
      </c>
      <c r="S991" s="6" t="s">
        <v>79</v>
      </c>
      <c r="T991" s="6">
        <v>6545.0</v>
      </c>
    </row>
    <row r="992" ht="56.25" customHeight="1">
      <c r="A992" s="5" t="s">
        <v>9190</v>
      </c>
      <c r="B992" s="6" t="str">
        <f>image("https://storage.googleapis.com/acdb/photos/BromideNpcNmlHrs06_Remake_6_0.png")</f>
        <v/>
      </c>
      <c r="C992" s="5" t="s">
        <v>146</v>
      </c>
      <c r="D992" s="5" t="s">
        <v>1327</v>
      </c>
      <c r="E992" s="5" t="s">
        <v>34</v>
      </c>
      <c r="F992" s="5" t="s">
        <v>34</v>
      </c>
      <c r="G992" s="5" t="s">
        <v>36</v>
      </c>
      <c r="H992" s="5" t="s">
        <v>35</v>
      </c>
      <c r="I992" s="6">
        <v>1.0</v>
      </c>
      <c r="J992" s="6" t="s">
        <v>37</v>
      </c>
      <c r="K992" s="6">
        <v>10.0</v>
      </c>
      <c r="L992" s="5"/>
      <c r="M992" s="5"/>
      <c r="N992" s="6" t="s">
        <v>40</v>
      </c>
      <c r="O992" s="5" t="s">
        <v>5363</v>
      </c>
      <c r="P992" s="6" t="s">
        <v>42</v>
      </c>
      <c r="Q992" s="5" t="s">
        <v>1237</v>
      </c>
      <c r="R992" s="5" t="s">
        <v>9221</v>
      </c>
      <c r="S992" s="6" t="s">
        <v>86</v>
      </c>
      <c r="T992" s="6">
        <v>6545.0</v>
      </c>
    </row>
    <row r="993" ht="56.25" customHeight="1">
      <c r="A993" s="5" t="s">
        <v>9190</v>
      </c>
      <c r="B993" s="6" t="str">
        <f>image("https://storage.googleapis.com/acdb/photos/BromideNpcNmlHrs06_Remake_7_0.png")</f>
        <v/>
      </c>
      <c r="C993" s="5" t="s">
        <v>151</v>
      </c>
      <c r="D993" s="5" t="s">
        <v>1327</v>
      </c>
      <c r="E993" s="5" t="s">
        <v>34</v>
      </c>
      <c r="F993" s="5" t="s">
        <v>34</v>
      </c>
      <c r="G993" s="5" t="s">
        <v>36</v>
      </c>
      <c r="H993" s="5" t="s">
        <v>35</v>
      </c>
      <c r="I993" s="6">
        <v>1.0</v>
      </c>
      <c r="J993" s="6" t="s">
        <v>37</v>
      </c>
      <c r="K993" s="6">
        <v>10.0</v>
      </c>
      <c r="L993" s="5"/>
      <c r="M993" s="5"/>
      <c r="N993" s="6" t="s">
        <v>40</v>
      </c>
      <c r="O993" s="5" t="s">
        <v>5363</v>
      </c>
      <c r="P993" s="6" t="s">
        <v>42</v>
      </c>
      <c r="Q993" s="5" t="s">
        <v>1237</v>
      </c>
      <c r="R993" s="5" t="s">
        <v>9223</v>
      </c>
      <c r="S993" s="6" t="s">
        <v>208</v>
      </c>
      <c r="T993" s="6">
        <v>6545.0</v>
      </c>
    </row>
    <row r="994" ht="56.25" customHeight="1">
      <c r="A994" s="5" t="s">
        <v>9225</v>
      </c>
      <c r="B994" s="6" t="str">
        <f>image("https://storage.googleapis.com/acdb/photos/BromideNpcNmlChn02_Remake_0_0.png")</f>
        <v/>
      </c>
      <c r="C994" s="5" t="s">
        <v>366</v>
      </c>
      <c r="D994" s="5" t="s">
        <v>1327</v>
      </c>
      <c r="E994" s="5" t="s">
        <v>34</v>
      </c>
      <c r="F994" s="5" t="s">
        <v>34</v>
      </c>
      <c r="G994" s="5" t="s">
        <v>36</v>
      </c>
      <c r="H994" s="5" t="s">
        <v>35</v>
      </c>
      <c r="I994" s="6">
        <v>1.0</v>
      </c>
      <c r="J994" s="6" t="s">
        <v>37</v>
      </c>
      <c r="K994" s="6">
        <v>10.0</v>
      </c>
      <c r="L994" s="5"/>
      <c r="M994" s="5"/>
      <c r="N994" s="6" t="s">
        <v>40</v>
      </c>
      <c r="O994" s="5" t="s">
        <v>5363</v>
      </c>
      <c r="P994" s="6" t="s">
        <v>42</v>
      </c>
      <c r="Q994" s="5" t="s">
        <v>1237</v>
      </c>
      <c r="R994" s="5" t="s">
        <v>9228</v>
      </c>
      <c r="S994" s="6" t="s">
        <v>50</v>
      </c>
      <c r="T994" s="6">
        <v>6788.0</v>
      </c>
    </row>
    <row r="995" ht="56.25" customHeight="1">
      <c r="A995" s="5" t="s">
        <v>9225</v>
      </c>
      <c r="B995" s="6" t="str">
        <f>image("https://storage.googleapis.com/acdb/photos/BromideNpcNmlChn02_Remake_1_0.png")</f>
        <v/>
      </c>
      <c r="C995" s="5" t="s">
        <v>1132</v>
      </c>
      <c r="D995" s="5" t="s">
        <v>1327</v>
      </c>
      <c r="E995" s="5" t="s">
        <v>34</v>
      </c>
      <c r="F995" s="5" t="s">
        <v>34</v>
      </c>
      <c r="G995" s="5" t="s">
        <v>36</v>
      </c>
      <c r="H995" s="5" t="s">
        <v>35</v>
      </c>
      <c r="I995" s="6">
        <v>1.0</v>
      </c>
      <c r="J995" s="6" t="s">
        <v>37</v>
      </c>
      <c r="K995" s="6">
        <v>10.0</v>
      </c>
      <c r="L995" s="5"/>
      <c r="M995" s="5"/>
      <c r="N995" s="6" t="s">
        <v>40</v>
      </c>
      <c r="O995" s="5" t="s">
        <v>5363</v>
      </c>
      <c r="P995" s="6" t="s">
        <v>42</v>
      </c>
      <c r="Q995" s="5" t="s">
        <v>1237</v>
      </c>
      <c r="R995" s="5" t="s">
        <v>9231</v>
      </c>
      <c r="S995" s="6" t="s">
        <v>56</v>
      </c>
      <c r="T995" s="6">
        <v>6788.0</v>
      </c>
    </row>
    <row r="996" ht="56.25" customHeight="1">
      <c r="A996" s="5" t="s">
        <v>9225</v>
      </c>
      <c r="B996" s="6" t="str">
        <f>image("https://storage.googleapis.com/acdb/photos/BromideNpcNmlChn02_Remake_2_0.png")</f>
        <v/>
      </c>
      <c r="C996" s="5" t="s">
        <v>688</v>
      </c>
      <c r="D996" s="5" t="s">
        <v>1327</v>
      </c>
      <c r="E996" s="5" t="s">
        <v>34</v>
      </c>
      <c r="F996" s="5" t="s">
        <v>34</v>
      </c>
      <c r="G996" s="5" t="s">
        <v>36</v>
      </c>
      <c r="H996" s="5" t="s">
        <v>35</v>
      </c>
      <c r="I996" s="6">
        <v>1.0</v>
      </c>
      <c r="J996" s="6" t="s">
        <v>37</v>
      </c>
      <c r="K996" s="6">
        <v>10.0</v>
      </c>
      <c r="L996" s="5"/>
      <c r="M996" s="5"/>
      <c r="N996" s="6" t="s">
        <v>40</v>
      </c>
      <c r="O996" s="5" t="s">
        <v>5363</v>
      </c>
      <c r="P996" s="6" t="s">
        <v>42</v>
      </c>
      <c r="Q996" s="5" t="s">
        <v>1237</v>
      </c>
      <c r="R996" s="5" t="s">
        <v>9233</v>
      </c>
      <c r="S996" s="6" t="s">
        <v>67</v>
      </c>
      <c r="T996" s="6">
        <v>6788.0</v>
      </c>
    </row>
    <row r="997" ht="56.25" customHeight="1">
      <c r="A997" s="5" t="s">
        <v>9225</v>
      </c>
      <c r="B997" s="6" t="str">
        <f>image("https://storage.googleapis.com/acdb/photos/BromideNpcNmlChn02_Remake_3_0.png")</f>
        <v/>
      </c>
      <c r="C997" s="5" t="s">
        <v>57</v>
      </c>
      <c r="D997" s="5" t="s">
        <v>1327</v>
      </c>
      <c r="E997" s="5" t="s">
        <v>34</v>
      </c>
      <c r="F997" s="5" t="s">
        <v>34</v>
      </c>
      <c r="G997" s="5" t="s">
        <v>36</v>
      </c>
      <c r="H997" s="5" t="s">
        <v>35</v>
      </c>
      <c r="I997" s="6">
        <v>1.0</v>
      </c>
      <c r="J997" s="6" t="s">
        <v>37</v>
      </c>
      <c r="K997" s="6">
        <v>10.0</v>
      </c>
      <c r="L997" s="5"/>
      <c r="M997" s="5"/>
      <c r="N997" s="6" t="s">
        <v>40</v>
      </c>
      <c r="O997" s="5" t="s">
        <v>5363</v>
      </c>
      <c r="P997" s="6" t="s">
        <v>42</v>
      </c>
      <c r="Q997" s="5" t="s">
        <v>1237</v>
      </c>
      <c r="R997" s="5" t="s">
        <v>9238</v>
      </c>
      <c r="S997" s="6" t="s">
        <v>71</v>
      </c>
      <c r="T997" s="6">
        <v>6788.0</v>
      </c>
    </row>
    <row r="998" ht="56.25" customHeight="1">
      <c r="A998" s="5" t="s">
        <v>9225</v>
      </c>
      <c r="B998" s="6" t="str">
        <f>image("https://storage.googleapis.com/acdb/photos/BromideNpcNmlChn02_Remake_4_0.png")</f>
        <v/>
      </c>
      <c r="C998" s="5" t="s">
        <v>1167</v>
      </c>
      <c r="D998" s="5" t="s">
        <v>1327</v>
      </c>
      <c r="E998" s="5" t="s">
        <v>34</v>
      </c>
      <c r="F998" s="5" t="s">
        <v>34</v>
      </c>
      <c r="G998" s="5" t="s">
        <v>36</v>
      </c>
      <c r="H998" s="5" t="s">
        <v>35</v>
      </c>
      <c r="I998" s="6">
        <v>1.0</v>
      </c>
      <c r="J998" s="6" t="s">
        <v>37</v>
      </c>
      <c r="K998" s="6">
        <v>10.0</v>
      </c>
      <c r="L998" s="5"/>
      <c r="M998" s="5"/>
      <c r="N998" s="6" t="s">
        <v>40</v>
      </c>
      <c r="O998" s="5" t="s">
        <v>5363</v>
      </c>
      <c r="P998" s="6" t="s">
        <v>42</v>
      </c>
      <c r="Q998" s="5" t="s">
        <v>1237</v>
      </c>
      <c r="R998" s="5" t="s">
        <v>9240</v>
      </c>
      <c r="S998" s="6" t="s">
        <v>75</v>
      </c>
      <c r="T998" s="6">
        <v>6788.0</v>
      </c>
    </row>
    <row r="999" ht="56.25" customHeight="1">
      <c r="A999" s="5" t="s">
        <v>9225</v>
      </c>
      <c r="B999" s="6" t="str">
        <f>image("https://storage.googleapis.com/acdb/photos/BromideNpcNmlChn02_Remake_5_0.png")</f>
        <v/>
      </c>
      <c r="C999" s="5" t="s">
        <v>58</v>
      </c>
      <c r="D999" s="5" t="s">
        <v>1327</v>
      </c>
      <c r="E999" s="5" t="s">
        <v>34</v>
      </c>
      <c r="F999" s="5" t="s">
        <v>34</v>
      </c>
      <c r="G999" s="5" t="s">
        <v>36</v>
      </c>
      <c r="H999" s="5" t="s">
        <v>35</v>
      </c>
      <c r="I999" s="6">
        <v>1.0</v>
      </c>
      <c r="J999" s="6" t="s">
        <v>37</v>
      </c>
      <c r="K999" s="6">
        <v>10.0</v>
      </c>
      <c r="L999" s="5"/>
      <c r="M999" s="5"/>
      <c r="N999" s="6" t="s">
        <v>40</v>
      </c>
      <c r="O999" s="5" t="s">
        <v>5363</v>
      </c>
      <c r="P999" s="6" t="s">
        <v>42</v>
      </c>
      <c r="Q999" s="5" t="s">
        <v>1237</v>
      </c>
      <c r="R999" s="5" t="s">
        <v>9243</v>
      </c>
      <c r="S999" s="6" t="s">
        <v>79</v>
      </c>
      <c r="T999" s="6">
        <v>6788.0</v>
      </c>
    </row>
    <row r="1000" ht="56.25" customHeight="1">
      <c r="A1000" s="5" t="s">
        <v>9225</v>
      </c>
      <c r="B1000" s="6" t="str">
        <f>image("https://storage.googleapis.com/acdb/photos/BromideNpcNmlChn02_Remake_6_0.png")</f>
        <v/>
      </c>
      <c r="C1000" s="5" t="s">
        <v>146</v>
      </c>
      <c r="D1000" s="5" t="s">
        <v>1327</v>
      </c>
      <c r="E1000" s="5" t="s">
        <v>34</v>
      </c>
      <c r="F1000" s="5" t="s">
        <v>34</v>
      </c>
      <c r="G1000" s="5" t="s">
        <v>36</v>
      </c>
      <c r="H1000" s="5" t="s">
        <v>35</v>
      </c>
      <c r="I1000" s="6">
        <v>1.0</v>
      </c>
      <c r="J1000" s="6" t="s">
        <v>37</v>
      </c>
      <c r="K1000" s="6">
        <v>10.0</v>
      </c>
      <c r="L1000" s="5"/>
      <c r="M1000" s="5"/>
      <c r="N1000" s="6" t="s">
        <v>40</v>
      </c>
      <c r="O1000" s="5" t="s">
        <v>5363</v>
      </c>
      <c r="P1000" s="6" t="s">
        <v>42</v>
      </c>
      <c r="Q1000" s="5" t="s">
        <v>1237</v>
      </c>
      <c r="R1000" s="5" t="s">
        <v>9245</v>
      </c>
      <c r="S1000" s="6" t="s">
        <v>86</v>
      </c>
      <c r="T1000" s="6">
        <v>6788.0</v>
      </c>
    </row>
    <row r="1001" ht="56.25" customHeight="1">
      <c r="A1001" s="5" t="s">
        <v>9225</v>
      </c>
      <c r="B1001" s="6" t="str">
        <f>image("https://storage.googleapis.com/acdb/photos/BromideNpcNmlChn02_Remake_7_0.png")</f>
        <v/>
      </c>
      <c r="C1001" s="5" t="s">
        <v>151</v>
      </c>
      <c r="D1001" s="5" t="s">
        <v>1327</v>
      </c>
      <c r="E1001" s="5" t="s">
        <v>34</v>
      </c>
      <c r="F1001" s="5" t="s">
        <v>34</v>
      </c>
      <c r="G1001" s="5" t="s">
        <v>36</v>
      </c>
      <c r="H1001" s="5" t="s">
        <v>35</v>
      </c>
      <c r="I1001" s="6">
        <v>1.0</v>
      </c>
      <c r="J1001" s="6" t="s">
        <v>37</v>
      </c>
      <c r="K1001" s="6">
        <v>10.0</v>
      </c>
      <c r="L1001" s="5"/>
      <c r="M1001" s="5"/>
      <c r="N1001" s="6" t="s">
        <v>40</v>
      </c>
      <c r="O1001" s="5" t="s">
        <v>5363</v>
      </c>
      <c r="P1001" s="6" t="s">
        <v>42</v>
      </c>
      <c r="Q1001" s="5" t="s">
        <v>1237</v>
      </c>
      <c r="R1001" s="5" t="s">
        <v>9250</v>
      </c>
      <c r="S1001" s="6" t="s">
        <v>208</v>
      </c>
      <c r="T1001" s="6">
        <v>6788.0</v>
      </c>
    </row>
    <row r="1002" ht="56.25" customHeight="1">
      <c r="A1002" s="5" t="s">
        <v>9252</v>
      </c>
      <c r="B1002" s="6" t="str">
        <f>image("https://storage.googleapis.com/acdb/photos/BromideNpcNmlMnk05_Remake_0_0.png")</f>
        <v/>
      </c>
      <c r="C1002" s="5" t="s">
        <v>366</v>
      </c>
      <c r="D1002" s="5" t="s">
        <v>1327</v>
      </c>
      <c r="E1002" s="5" t="s">
        <v>34</v>
      </c>
      <c r="F1002" s="5" t="s">
        <v>34</v>
      </c>
      <c r="G1002" s="5" t="s">
        <v>36</v>
      </c>
      <c r="H1002" s="5" t="s">
        <v>35</v>
      </c>
      <c r="I1002" s="6">
        <v>1.0</v>
      </c>
      <c r="J1002" s="6" t="s">
        <v>37</v>
      </c>
      <c r="K1002" s="6">
        <v>10.0</v>
      </c>
      <c r="L1002" s="5"/>
      <c r="M1002" s="5"/>
      <c r="N1002" s="6" t="s">
        <v>40</v>
      </c>
      <c r="O1002" s="5" t="s">
        <v>5363</v>
      </c>
      <c r="P1002" s="6" t="s">
        <v>42</v>
      </c>
      <c r="Q1002" s="5" t="s">
        <v>1237</v>
      </c>
      <c r="R1002" s="5" t="s">
        <v>9254</v>
      </c>
      <c r="S1002" s="6" t="s">
        <v>50</v>
      </c>
      <c r="T1002" s="6">
        <v>6585.0</v>
      </c>
    </row>
    <row r="1003" ht="56.25" customHeight="1">
      <c r="A1003" s="5" t="s">
        <v>9252</v>
      </c>
      <c r="B1003" s="6" t="str">
        <f>image("https://storage.googleapis.com/acdb/photos/BromideNpcNmlMnk05_Remake_1_0.png")</f>
        <v/>
      </c>
      <c r="C1003" s="5" t="s">
        <v>1132</v>
      </c>
      <c r="D1003" s="5" t="s">
        <v>1327</v>
      </c>
      <c r="E1003" s="5" t="s">
        <v>34</v>
      </c>
      <c r="F1003" s="5" t="s">
        <v>34</v>
      </c>
      <c r="G1003" s="5" t="s">
        <v>36</v>
      </c>
      <c r="H1003" s="5" t="s">
        <v>35</v>
      </c>
      <c r="I1003" s="6">
        <v>1.0</v>
      </c>
      <c r="J1003" s="6" t="s">
        <v>37</v>
      </c>
      <c r="K1003" s="6">
        <v>10.0</v>
      </c>
      <c r="L1003" s="5"/>
      <c r="M1003" s="5"/>
      <c r="N1003" s="6" t="s">
        <v>40</v>
      </c>
      <c r="O1003" s="5" t="s">
        <v>5363</v>
      </c>
      <c r="P1003" s="6" t="s">
        <v>42</v>
      </c>
      <c r="Q1003" s="5" t="s">
        <v>1237</v>
      </c>
      <c r="R1003" s="5" t="s">
        <v>9257</v>
      </c>
      <c r="S1003" s="6" t="s">
        <v>56</v>
      </c>
      <c r="T1003" s="6">
        <v>6585.0</v>
      </c>
    </row>
    <row r="1004" ht="56.25" customHeight="1">
      <c r="A1004" s="5" t="s">
        <v>9252</v>
      </c>
      <c r="B1004" s="6" t="str">
        <f>image("https://storage.googleapis.com/acdb/photos/BromideNpcNmlMnk05_Remake_2_0.png")</f>
        <v/>
      </c>
      <c r="C1004" s="5" t="s">
        <v>688</v>
      </c>
      <c r="D1004" s="5" t="s">
        <v>1327</v>
      </c>
      <c r="E1004" s="5" t="s">
        <v>34</v>
      </c>
      <c r="F1004" s="5" t="s">
        <v>34</v>
      </c>
      <c r="G1004" s="5" t="s">
        <v>36</v>
      </c>
      <c r="H1004" s="5" t="s">
        <v>35</v>
      </c>
      <c r="I1004" s="6">
        <v>1.0</v>
      </c>
      <c r="J1004" s="6" t="s">
        <v>37</v>
      </c>
      <c r="K1004" s="6">
        <v>10.0</v>
      </c>
      <c r="L1004" s="5"/>
      <c r="M1004" s="5"/>
      <c r="N1004" s="6" t="s">
        <v>40</v>
      </c>
      <c r="O1004" s="5" t="s">
        <v>5363</v>
      </c>
      <c r="P1004" s="6" t="s">
        <v>42</v>
      </c>
      <c r="Q1004" s="5" t="s">
        <v>1237</v>
      </c>
      <c r="R1004" s="5" t="s">
        <v>9261</v>
      </c>
      <c r="S1004" s="6" t="s">
        <v>67</v>
      </c>
      <c r="T1004" s="6">
        <v>6585.0</v>
      </c>
    </row>
    <row r="1005" ht="56.25" customHeight="1">
      <c r="A1005" s="5" t="s">
        <v>9252</v>
      </c>
      <c r="B1005" s="6" t="str">
        <f>image("https://storage.googleapis.com/acdb/photos/BromideNpcNmlMnk05_Remake_3_0.png")</f>
        <v/>
      </c>
      <c r="C1005" s="5" t="s">
        <v>57</v>
      </c>
      <c r="D1005" s="5" t="s">
        <v>1327</v>
      </c>
      <c r="E1005" s="5" t="s">
        <v>34</v>
      </c>
      <c r="F1005" s="5" t="s">
        <v>34</v>
      </c>
      <c r="G1005" s="5" t="s">
        <v>36</v>
      </c>
      <c r="H1005" s="5" t="s">
        <v>35</v>
      </c>
      <c r="I1005" s="6">
        <v>1.0</v>
      </c>
      <c r="J1005" s="6" t="s">
        <v>37</v>
      </c>
      <c r="K1005" s="6">
        <v>10.0</v>
      </c>
      <c r="L1005" s="5"/>
      <c r="M1005" s="5"/>
      <c r="N1005" s="6" t="s">
        <v>40</v>
      </c>
      <c r="O1005" s="5" t="s">
        <v>5363</v>
      </c>
      <c r="P1005" s="6" t="s">
        <v>42</v>
      </c>
      <c r="Q1005" s="5" t="s">
        <v>1237</v>
      </c>
      <c r="R1005" s="5" t="s">
        <v>9266</v>
      </c>
      <c r="S1005" s="6" t="s">
        <v>71</v>
      </c>
      <c r="T1005" s="6">
        <v>6585.0</v>
      </c>
    </row>
    <row r="1006" ht="56.25" customHeight="1">
      <c r="A1006" s="5" t="s">
        <v>9252</v>
      </c>
      <c r="B1006" s="6" t="str">
        <f>image("https://storage.googleapis.com/acdb/photos/BromideNpcNmlMnk05_Remake_4_0.png")</f>
        <v/>
      </c>
      <c r="C1006" s="5" t="s">
        <v>1167</v>
      </c>
      <c r="D1006" s="5" t="s">
        <v>1327</v>
      </c>
      <c r="E1006" s="5" t="s">
        <v>34</v>
      </c>
      <c r="F1006" s="5" t="s">
        <v>34</v>
      </c>
      <c r="G1006" s="5" t="s">
        <v>36</v>
      </c>
      <c r="H1006" s="5" t="s">
        <v>35</v>
      </c>
      <c r="I1006" s="6">
        <v>1.0</v>
      </c>
      <c r="J1006" s="6" t="s">
        <v>37</v>
      </c>
      <c r="K1006" s="6">
        <v>10.0</v>
      </c>
      <c r="L1006" s="5"/>
      <c r="M1006" s="5"/>
      <c r="N1006" s="6" t="s">
        <v>40</v>
      </c>
      <c r="O1006" s="5" t="s">
        <v>5363</v>
      </c>
      <c r="P1006" s="6" t="s">
        <v>42</v>
      </c>
      <c r="Q1006" s="5" t="s">
        <v>1237</v>
      </c>
      <c r="R1006" s="5" t="s">
        <v>9271</v>
      </c>
      <c r="S1006" s="6" t="s">
        <v>75</v>
      </c>
      <c r="T1006" s="6">
        <v>6585.0</v>
      </c>
    </row>
    <row r="1007" ht="56.25" customHeight="1">
      <c r="A1007" s="5" t="s">
        <v>9252</v>
      </c>
      <c r="B1007" s="6" t="str">
        <f>image("https://storage.googleapis.com/acdb/photos/BromideNpcNmlMnk05_Remake_5_0.png")</f>
        <v/>
      </c>
      <c r="C1007" s="5" t="s">
        <v>58</v>
      </c>
      <c r="D1007" s="5" t="s">
        <v>1327</v>
      </c>
      <c r="E1007" s="5" t="s">
        <v>34</v>
      </c>
      <c r="F1007" s="5" t="s">
        <v>34</v>
      </c>
      <c r="G1007" s="5" t="s">
        <v>36</v>
      </c>
      <c r="H1007" s="5" t="s">
        <v>35</v>
      </c>
      <c r="I1007" s="6">
        <v>1.0</v>
      </c>
      <c r="J1007" s="6" t="s">
        <v>37</v>
      </c>
      <c r="K1007" s="6">
        <v>10.0</v>
      </c>
      <c r="L1007" s="5"/>
      <c r="M1007" s="5"/>
      <c r="N1007" s="6" t="s">
        <v>40</v>
      </c>
      <c r="O1007" s="5" t="s">
        <v>5363</v>
      </c>
      <c r="P1007" s="6" t="s">
        <v>42</v>
      </c>
      <c r="Q1007" s="5" t="s">
        <v>1237</v>
      </c>
      <c r="R1007" s="5" t="s">
        <v>9276</v>
      </c>
      <c r="S1007" s="6" t="s">
        <v>79</v>
      </c>
      <c r="T1007" s="6">
        <v>6585.0</v>
      </c>
    </row>
    <row r="1008" ht="56.25" customHeight="1">
      <c r="A1008" s="5" t="s">
        <v>9252</v>
      </c>
      <c r="B1008" s="6" t="str">
        <f>image("https://storage.googleapis.com/acdb/photos/BromideNpcNmlMnk05_Remake_6_0.png")</f>
        <v/>
      </c>
      <c r="C1008" s="5" t="s">
        <v>146</v>
      </c>
      <c r="D1008" s="5" t="s">
        <v>1327</v>
      </c>
      <c r="E1008" s="5" t="s">
        <v>34</v>
      </c>
      <c r="F1008" s="5" t="s">
        <v>34</v>
      </c>
      <c r="G1008" s="5" t="s">
        <v>36</v>
      </c>
      <c r="H1008" s="5" t="s">
        <v>35</v>
      </c>
      <c r="I1008" s="6">
        <v>1.0</v>
      </c>
      <c r="J1008" s="6" t="s">
        <v>37</v>
      </c>
      <c r="K1008" s="6">
        <v>10.0</v>
      </c>
      <c r="L1008" s="5"/>
      <c r="M1008" s="5"/>
      <c r="N1008" s="6" t="s">
        <v>40</v>
      </c>
      <c r="O1008" s="5" t="s">
        <v>5363</v>
      </c>
      <c r="P1008" s="6" t="s">
        <v>42</v>
      </c>
      <c r="Q1008" s="5" t="s">
        <v>1237</v>
      </c>
      <c r="R1008" s="5" t="s">
        <v>9281</v>
      </c>
      <c r="S1008" s="6" t="s">
        <v>86</v>
      </c>
      <c r="T1008" s="6">
        <v>6585.0</v>
      </c>
    </row>
    <row r="1009" ht="56.25" customHeight="1">
      <c r="A1009" s="5" t="s">
        <v>9252</v>
      </c>
      <c r="B1009" s="6" t="str">
        <f>image("https://storage.googleapis.com/acdb/photos/BromideNpcNmlMnk05_Remake_7_0.png")</f>
        <v/>
      </c>
      <c r="C1009" s="5" t="s">
        <v>151</v>
      </c>
      <c r="D1009" s="5" t="s">
        <v>1327</v>
      </c>
      <c r="E1009" s="5" t="s">
        <v>34</v>
      </c>
      <c r="F1009" s="5" t="s">
        <v>34</v>
      </c>
      <c r="G1009" s="5" t="s">
        <v>36</v>
      </c>
      <c r="H1009" s="5" t="s">
        <v>35</v>
      </c>
      <c r="I1009" s="6">
        <v>1.0</v>
      </c>
      <c r="J1009" s="6" t="s">
        <v>37</v>
      </c>
      <c r="K1009" s="6">
        <v>10.0</v>
      </c>
      <c r="L1009" s="5"/>
      <c r="M1009" s="5"/>
      <c r="N1009" s="6" t="s">
        <v>40</v>
      </c>
      <c r="O1009" s="5" t="s">
        <v>5363</v>
      </c>
      <c r="P1009" s="6" t="s">
        <v>42</v>
      </c>
      <c r="Q1009" s="5" t="s">
        <v>1237</v>
      </c>
      <c r="R1009" s="5" t="s">
        <v>9284</v>
      </c>
      <c r="S1009" s="6" t="s">
        <v>208</v>
      </c>
      <c r="T1009" s="6">
        <v>6585.0</v>
      </c>
    </row>
    <row r="1010" ht="56.25" customHeight="1">
      <c r="A1010" s="5" t="s">
        <v>9285</v>
      </c>
      <c r="B1010" s="6" t="str">
        <f>image("https://storage.googleapis.com/acdb/photos/BromideNpcNmlElp07_Remake_0_0.png")</f>
        <v/>
      </c>
      <c r="C1010" s="5" t="s">
        <v>366</v>
      </c>
      <c r="D1010" s="5" t="s">
        <v>1327</v>
      </c>
      <c r="E1010" s="5" t="s">
        <v>34</v>
      </c>
      <c r="F1010" s="5" t="s">
        <v>34</v>
      </c>
      <c r="G1010" s="5" t="s">
        <v>36</v>
      </c>
      <c r="H1010" s="5" t="s">
        <v>35</v>
      </c>
      <c r="I1010" s="6">
        <v>1.0</v>
      </c>
      <c r="J1010" s="6" t="s">
        <v>37</v>
      </c>
      <c r="K1010" s="6">
        <v>10.0</v>
      </c>
      <c r="L1010" s="5"/>
      <c r="M1010" s="5"/>
      <c r="N1010" s="6" t="s">
        <v>40</v>
      </c>
      <c r="O1010" s="5" t="s">
        <v>5363</v>
      </c>
      <c r="P1010" s="6" t="s">
        <v>42</v>
      </c>
      <c r="Q1010" s="5" t="s">
        <v>1237</v>
      </c>
      <c r="R1010" s="5" t="s">
        <v>9289</v>
      </c>
      <c r="S1010" s="6" t="s">
        <v>50</v>
      </c>
      <c r="T1010" s="6">
        <v>6480.0</v>
      </c>
    </row>
    <row r="1011" ht="56.25" customHeight="1">
      <c r="A1011" s="5" t="s">
        <v>9285</v>
      </c>
      <c r="B1011" s="6" t="str">
        <f>image("https://storage.googleapis.com/acdb/photos/BromideNpcNmlElp07_Remake_1_0.png")</f>
        <v/>
      </c>
      <c r="C1011" s="5" t="s">
        <v>1132</v>
      </c>
      <c r="D1011" s="5" t="s">
        <v>1327</v>
      </c>
      <c r="E1011" s="5" t="s">
        <v>34</v>
      </c>
      <c r="F1011" s="5" t="s">
        <v>34</v>
      </c>
      <c r="G1011" s="5" t="s">
        <v>36</v>
      </c>
      <c r="H1011" s="5" t="s">
        <v>35</v>
      </c>
      <c r="I1011" s="6">
        <v>1.0</v>
      </c>
      <c r="J1011" s="6" t="s">
        <v>37</v>
      </c>
      <c r="K1011" s="6">
        <v>10.0</v>
      </c>
      <c r="L1011" s="5"/>
      <c r="M1011" s="5"/>
      <c r="N1011" s="6" t="s">
        <v>40</v>
      </c>
      <c r="O1011" s="5" t="s">
        <v>5363</v>
      </c>
      <c r="P1011" s="6" t="s">
        <v>42</v>
      </c>
      <c r="Q1011" s="5" t="s">
        <v>1237</v>
      </c>
      <c r="R1011" s="5" t="s">
        <v>9292</v>
      </c>
      <c r="S1011" s="6" t="s">
        <v>56</v>
      </c>
      <c r="T1011" s="6">
        <v>6480.0</v>
      </c>
    </row>
    <row r="1012" ht="56.25" customHeight="1">
      <c r="A1012" s="5" t="s">
        <v>9285</v>
      </c>
      <c r="B1012" s="6" t="str">
        <f>image("https://storage.googleapis.com/acdb/photos/BromideNpcNmlElp07_Remake_2_0.png")</f>
        <v/>
      </c>
      <c r="C1012" s="5" t="s">
        <v>688</v>
      </c>
      <c r="D1012" s="5" t="s">
        <v>1327</v>
      </c>
      <c r="E1012" s="5" t="s">
        <v>34</v>
      </c>
      <c r="F1012" s="5" t="s">
        <v>34</v>
      </c>
      <c r="G1012" s="5" t="s">
        <v>36</v>
      </c>
      <c r="H1012" s="5" t="s">
        <v>35</v>
      </c>
      <c r="I1012" s="6">
        <v>1.0</v>
      </c>
      <c r="J1012" s="6" t="s">
        <v>37</v>
      </c>
      <c r="K1012" s="6">
        <v>10.0</v>
      </c>
      <c r="L1012" s="5"/>
      <c r="M1012" s="5"/>
      <c r="N1012" s="6" t="s">
        <v>40</v>
      </c>
      <c r="O1012" s="5" t="s">
        <v>5363</v>
      </c>
      <c r="P1012" s="6" t="s">
        <v>42</v>
      </c>
      <c r="Q1012" s="5" t="s">
        <v>1237</v>
      </c>
      <c r="R1012" s="5" t="s">
        <v>9296</v>
      </c>
      <c r="S1012" s="6" t="s">
        <v>67</v>
      </c>
      <c r="T1012" s="6">
        <v>6480.0</v>
      </c>
    </row>
    <row r="1013" ht="56.25" customHeight="1">
      <c r="A1013" s="5" t="s">
        <v>9285</v>
      </c>
      <c r="B1013" s="6" t="str">
        <f>image("https://storage.googleapis.com/acdb/photos/BromideNpcNmlElp07_Remake_3_0.png")</f>
        <v/>
      </c>
      <c r="C1013" s="5" t="s">
        <v>57</v>
      </c>
      <c r="D1013" s="5" t="s">
        <v>1327</v>
      </c>
      <c r="E1013" s="5" t="s">
        <v>34</v>
      </c>
      <c r="F1013" s="5" t="s">
        <v>34</v>
      </c>
      <c r="G1013" s="5" t="s">
        <v>36</v>
      </c>
      <c r="H1013" s="5" t="s">
        <v>35</v>
      </c>
      <c r="I1013" s="6">
        <v>1.0</v>
      </c>
      <c r="J1013" s="6" t="s">
        <v>37</v>
      </c>
      <c r="K1013" s="6">
        <v>10.0</v>
      </c>
      <c r="L1013" s="5"/>
      <c r="M1013" s="5"/>
      <c r="N1013" s="6" t="s">
        <v>40</v>
      </c>
      <c r="O1013" s="5" t="s">
        <v>5363</v>
      </c>
      <c r="P1013" s="6" t="s">
        <v>42</v>
      </c>
      <c r="Q1013" s="5" t="s">
        <v>1237</v>
      </c>
      <c r="R1013" s="5" t="s">
        <v>9299</v>
      </c>
      <c r="S1013" s="6" t="s">
        <v>71</v>
      </c>
      <c r="T1013" s="6">
        <v>6480.0</v>
      </c>
    </row>
    <row r="1014" ht="56.25" customHeight="1">
      <c r="A1014" s="5" t="s">
        <v>9285</v>
      </c>
      <c r="B1014" s="6" t="str">
        <f>image("https://storage.googleapis.com/acdb/photos/BromideNpcNmlElp07_Remake_4_0.png")</f>
        <v/>
      </c>
      <c r="C1014" s="5" t="s">
        <v>1167</v>
      </c>
      <c r="D1014" s="5" t="s">
        <v>1327</v>
      </c>
      <c r="E1014" s="5" t="s">
        <v>34</v>
      </c>
      <c r="F1014" s="5" t="s">
        <v>34</v>
      </c>
      <c r="G1014" s="5" t="s">
        <v>36</v>
      </c>
      <c r="H1014" s="5" t="s">
        <v>35</v>
      </c>
      <c r="I1014" s="6">
        <v>1.0</v>
      </c>
      <c r="J1014" s="6" t="s">
        <v>37</v>
      </c>
      <c r="K1014" s="6">
        <v>10.0</v>
      </c>
      <c r="L1014" s="5"/>
      <c r="M1014" s="5"/>
      <c r="N1014" s="6" t="s">
        <v>40</v>
      </c>
      <c r="O1014" s="5" t="s">
        <v>5363</v>
      </c>
      <c r="P1014" s="6" t="s">
        <v>42</v>
      </c>
      <c r="Q1014" s="5" t="s">
        <v>1237</v>
      </c>
      <c r="R1014" s="5" t="s">
        <v>9304</v>
      </c>
      <c r="S1014" s="6" t="s">
        <v>75</v>
      </c>
      <c r="T1014" s="6">
        <v>6480.0</v>
      </c>
    </row>
    <row r="1015" ht="56.25" customHeight="1">
      <c r="A1015" s="5" t="s">
        <v>9285</v>
      </c>
      <c r="B1015" s="6" t="str">
        <f>image("https://storage.googleapis.com/acdb/photos/BromideNpcNmlElp07_Remake_5_0.png")</f>
        <v/>
      </c>
      <c r="C1015" s="5" t="s">
        <v>58</v>
      </c>
      <c r="D1015" s="5" t="s">
        <v>1327</v>
      </c>
      <c r="E1015" s="5" t="s">
        <v>34</v>
      </c>
      <c r="F1015" s="5" t="s">
        <v>34</v>
      </c>
      <c r="G1015" s="5" t="s">
        <v>36</v>
      </c>
      <c r="H1015" s="5" t="s">
        <v>35</v>
      </c>
      <c r="I1015" s="6">
        <v>1.0</v>
      </c>
      <c r="J1015" s="6" t="s">
        <v>37</v>
      </c>
      <c r="K1015" s="6">
        <v>10.0</v>
      </c>
      <c r="L1015" s="5"/>
      <c r="M1015" s="5"/>
      <c r="N1015" s="6" t="s">
        <v>40</v>
      </c>
      <c r="O1015" s="5" t="s">
        <v>5363</v>
      </c>
      <c r="P1015" s="6" t="s">
        <v>42</v>
      </c>
      <c r="Q1015" s="5" t="s">
        <v>1237</v>
      </c>
      <c r="R1015" s="5" t="s">
        <v>9307</v>
      </c>
      <c r="S1015" s="6" t="s">
        <v>79</v>
      </c>
      <c r="T1015" s="6">
        <v>6480.0</v>
      </c>
    </row>
    <row r="1016" ht="56.25" customHeight="1">
      <c r="A1016" s="5" t="s">
        <v>9285</v>
      </c>
      <c r="B1016" s="6" t="str">
        <f>image("https://storage.googleapis.com/acdb/photos/BromideNpcNmlElp07_Remake_6_0.png")</f>
        <v/>
      </c>
      <c r="C1016" s="5" t="s">
        <v>146</v>
      </c>
      <c r="D1016" s="5" t="s">
        <v>1327</v>
      </c>
      <c r="E1016" s="5" t="s">
        <v>34</v>
      </c>
      <c r="F1016" s="5" t="s">
        <v>34</v>
      </c>
      <c r="G1016" s="5" t="s">
        <v>36</v>
      </c>
      <c r="H1016" s="5" t="s">
        <v>35</v>
      </c>
      <c r="I1016" s="6">
        <v>1.0</v>
      </c>
      <c r="J1016" s="6" t="s">
        <v>37</v>
      </c>
      <c r="K1016" s="6">
        <v>10.0</v>
      </c>
      <c r="L1016" s="5"/>
      <c r="M1016" s="5"/>
      <c r="N1016" s="6" t="s">
        <v>40</v>
      </c>
      <c r="O1016" s="5" t="s">
        <v>5363</v>
      </c>
      <c r="P1016" s="6" t="s">
        <v>42</v>
      </c>
      <c r="Q1016" s="5" t="s">
        <v>1237</v>
      </c>
      <c r="R1016" s="5" t="s">
        <v>9310</v>
      </c>
      <c r="S1016" s="6" t="s">
        <v>86</v>
      </c>
      <c r="T1016" s="6">
        <v>6480.0</v>
      </c>
    </row>
    <row r="1017" ht="56.25" customHeight="1">
      <c r="A1017" s="5" t="s">
        <v>9285</v>
      </c>
      <c r="B1017" s="6" t="str">
        <f>image("https://storage.googleapis.com/acdb/photos/BromideNpcNmlElp07_Remake_7_0.png")</f>
        <v/>
      </c>
      <c r="C1017" s="5" t="s">
        <v>151</v>
      </c>
      <c r="D1017" s="5" t="s">
        <v>1327</v>
      </c>
      <c r="E1017" s="5" t="s">
        <v>34</v>
      </c>
      <c r="F1017" s="5" t="s">
        <v>34</v>
      </c>
      <c r="G1017" s="5" t="s">
        <v>36</v>
      </c>
      <c r="H1017" s="5" t="s">
        <v>35</v>
      </c>
      <c r="I1017" s="6">
        <v>1.0</v>
      </c>
      <c r="J1017" s="6" t="s">
        <v>37</v>
      </c>
      <c r="K1017" s="6">
        <v>10.0</v>
      </c>
      <c r="L1017" s="5"/>
      <c r="M1017" s="5"/>
      <c r="N1017" s="6" t="s">
        <v>40</v>
      </c>
      <c r="O1017" s="5" t="s">
        <v>5363</v>
      </c>
      <c r="P1017" s="6" t="s">
        <v>42</v>
      </c>
      <c r="Q1017" s="5" t="s">
        <v>1237</v>
      </c>
      <c r="R1017" s="5" t="s">
        <v>9313</v>
      </c>
      <c r="S1017" s="6" t="s">
        <v>208</v>
      </c>
      <c r="T1017" s="6">
        <v>6480.0</v>
      </c>
    </row>
    <row r="1018" ht="56.25" customHeight="1">
      <c r="A1018" s="5" t="s">
        <v>9314</v>
      </c>
      <c r="B1018" s="6" t="str">
        <f>image("https://storage.googleapis.com/acdb/photos/BromideNpcNmlHrs03_Remake_0_0.png")</f>
        <v/>
      </c>
      <c r="C1018" s="5" t="s">
        <v>366</v>
      </c>
      <c r="D1018" s="5" t="s">
        <v>1327</v>
      </c>
      <c r="E1018" s="5" t="s">
        <v>34</v>
      </c>
      <c r="F1018" s="5" t="s">
        <v>34</v>
      </c>
      <c r="G1018" s="5" t="s">
        <v>36</v>
      </c>
      <c r="H1018" s="5" t="s">
        <v>35</v>
      </c>
      <c r="I1018" s="6">
        <v>1.0</v>
      </c>
      <c r="J1018" s="6" t="s">
        <v>37</v>
      </c>
      <c r="K1018" s="6">
        <v>10.0</v>
      </c>
      <c r="L1018" s="5"/>
      <c r="M1018" s="5"/>
      <c r="N1018" s="6" t="s">
        <v>40</v>
      </c>
      <c r="O1018" s="5" t="s">
        <v>5363</v>
      </c>
      <c r="P1018" s="6" t="s">
        <v>42</v>
      </c>
      <c r="Q1018" s="5" t="s">
        <v>1237</v>
      </c>
      <c r="R1018" s="5" t="s">
        <v>9316</v>
      </c>
      <c r="S1018" s="6" t="s">
        <v>50</v>
      </c>
      <c r="T1018" s="6">
        <v>6542.0</v>
      </c>
    </row>
    <row r="1019" ht="56.25" customHeight="1">
      <c r="A1019" s="5" t="s">
        <v>9314</v>
      </c>
      <c r="B1019" s="6" t="str">
        <f>image("https://storage.googleapis.com/acdb/photos/BromideNpcNmlHrs03_Remake_1_0.png")</f>
        <v/>
      </c>
      <c r="C1019" s="5" t="s">
        <v>1132</v>
      </c>
      <c r="D1019" s="5" t="s">
        <v>1327</v>
      </c>
      <c r="E1019" s="5" t="s">
        <v>34</v>
      </c>
      <c r="F1019" s="5" t="s">
        <v>34</v>
      </c>
      <c r="G1019" s="5" t="s">
        <v>36</v>
      </c>
      <c r="H1019" s="5" t="s">
        <v>35</v>
      </c>
      <c r="I1019" s="6">
        <v>1.0</v>
      </c>
      <c r="J1019" s="6" t="s">
        <v>37</v>
      </c>
      <c r="K1019" s="6">
        <v>10.0</v>
      </c>
      <c r="L1019" s="5"/>
      <c r="M1019" s="5"/>
      <c r="N1019" s="6" t="s">
        <v>40</v>
      </c>
      <c r="O1019" s="5" t="s">
        <v>5363</v>
      </c>
      <c r="P1019" s="6" t="s">
        <v>42</v>
      </c>
      <c r="Q1019" s="5" t="s">
        <v>1237</v>
      </c>
      <c r="R1019" s="5" t="s">
        <v>9320</v>
      </c>
      <c r="S1019" s="6" t="s">
        <v>56</v>
      </c>
      <c r="T1019" s="6">
        <v>6542.0</v>
      </c>
    </row>
    <row r="1020" ht="56.25" customHeight="1">
      <c r="A1020" s="5" t="s">
        <v>9314</v>
      </c>
      <c r="B1020" s="6" t="str">
        <f>image("https://storage.googleapis.com/acdb/photos/BromideNpcNmlHrs03_Remake_2_0.png")</f>
        <v/>
      </c>
      <c r="C1020" s="5" t="s">
        <v>688</v>
      </c>
      <c r="D1020" s="5" t="s">
        <v>1327</v>
      </c>
      <c r="E1020" s="5" t="s">
        <v>34</v>
      </c>
      <c r="F1020" s="5" t="s">
        <v>34</v>
      </c>
      <c r="G1020" s="5" t="s">
        <v>36</v>
      </c>
      <c r="H1020" s="5" t="s">
        <v>35</v>
      </c>
      <c r="I1020" s="6">
        <v>1.0</v>
      </c>
      <c r="J1020" s="6" t="s">
        <v>37</v>
      </c>
      <c r="K1020" s="6">
        <v>10.0</v>
      </c>
      <c r="L1020" s="5"/>
      <c r="M1020" s="5"/>
      <c r="N1020" s="6" t="s">
        <v>40</v>
      </c>
      <c r="O1020" s="5" t="s">
        <v>5363</v>
      </c>
      <c r="P1020" s="6" t="s">
        <v>42</v>
      </c>
      <c r="Q1020" s="5" t="s">
        <v>1237</v>
      </c>
      <c r="R1020" s="5" t="s">
        <v>9324</v>
      </c>
      <c r="S1020" s="6" t="s">
        <v>67</v>
      </c>
      <c r="T1020" s="6">
        <v>6542.0</v>
      </c>
    </row>
    <row r="1021" ht="56.25" customHeight="1">
      <c r="A1021" s="5" t="s">
        <v>9314</v>
      </c>
      <c r="B1021" s="6" t="str">
        <f>image("https://storage.googleapis.com/acdb/photos/BromideNpcNmlHrs03_Remake_3_0.png")</f>
        <v/>
      </c>
      <c r="C1021" s="5" t="s">
        <v>57</v>
      </c>
      <c r="D1021" s="5" t="s">
        <v>1327</v>
      </c>
      <c r="E1021" s="5" t="s">
        <v>34</v>
      </c>
      <c r="F1021" s="5" t="s">
        <v>34</v>
      </c>
      <c r="G1021" s="5" t="s">
        <v>36</v>
      </c>
      <c r="H1021" s="5" t="s">
        <v>35</v>
      </c>
      <c r="I1021" s="6">
        <v>1.0</v>
      </c>
      <c r="J1021" s="6" t="s">
        <v>37</v>
      </c>
      <c r="K1021" s="6">
        <v>10.0</v>
      </c>
      <c r="L1021" s="5"/>
      <c r="M1021" s="5"/>
      <c r="N1021" s="6" t="s">
        <v>40</v>
      </c>
      <c r="O1021" s="5" t="s">
        <v>5363</v>
      </c>
      <c r="P1021" s="6" t="s">
        <v>42</v>
      </c>
      <c r="Q1021" s="5" t="s">
        <v>1237</v>
      </c>
      <c r="R1021" s="5" t="s">
        <v>9327</v>
      </c>
      <c r="S1021" s="6" t="s">
        <v>71</v>
      </c>
      <c r="T1021" s="6">
        <v>6542.0</v>
      </c>
    </row>
    <row r="1022" ht="56.25" customHeight="1">
      <c r="A1022" s="5" t="s">
        <v>9314</v>
      </c>
      <c r="B1022" s="6" t="str">
        <f>image("https://storage.googleapis.com/acdb/photos/BromideNpcNmlHrs03_Remake_4_0.png")</f>
        <v/>
      </c>
      <c r="C1022" s="5" t="s">
        <v>1167</v>
      </c>
      <c r="D1022" s="5" t="s">
        <v>1327</v>
      </c>
      <c r="E1022" s="5" t="s">
        <v>34</v>
      </c>
      <c r="F1022" s="5" t="s">
        <v>34</v>
      </c>
      <c r="G1022" s="5" t="s">
        <v>36</v>
      </c>
      <c r="H1022" s="5" t="s">
        <v>35</v>
      </c>
      <c r="I1022" s="6">
        <v>1.0</v>
      </c>
      <c r="J1022" s="6" t="s">
        <v>37</v>
      </c>
      <c r="K1022" s="6">
        <v>10.0</v>
      </c>
      <c r="L1022" s="5"/>
      <c r="M1022" s="5"/>
      <c r="N1022" s="6" t="s">
        <v>40</v>
      </c>
      <c r="O1022" s="5" t="s">
        <v>5363</v>
      </c>
      <c r="P1022" s="6" t="s">
        <v>42</v>
      </c>
      <c r="Q1022" s="5" t="s">
        <v>1237</v>
      </c>
      <c r="R1022" s="5" t="s">
        <v>9331</v>
      </c>
      <c r="S1022" s="6" t="s">
        <v>75</v>
      </c>
      <c r="T1022" s="6">
        <v>6542.0</v>
      </c>
    </row>
    <row r="1023" ht="56.25" customHeight="1">
      <c r="A1023" s="5" t="s">
        <v>9314</v>
      </c>
      <c r="B1023" s="6" t="str">
        <f>image("https://storage.googleapis.com/acdb/photos/BromideNpcNmlHrs03_Remake_5_0.png")</f>
        <v/>
      </c>
      <c r="C1023" s="5" t="s">
        <v>58</v>
      </c>
      <c r="D1023" s="5" t="s">
        <v>1327</v>
      </c>
      <c r="E1023" s="5" t="s">
        <v>34</v>
      </c>
      <c r="F1023" s="5" t="s">
        <v>34</v>
      </c>
      <c r="G1023" s="5" t="s">
        <v>36</v>
      </c>
      <c r="H1023" s="5" t="s">
        <v>35</v>
      </c>
      <c r="I1023" s="6">
        <v>1.0</v>
      </c>
      <c r="J1023" s="6" t="s">
        <v>37</v>
      </c>
      <c r="K1023" s="6">
        <v>10.0</v>
      </c>
      <c r="L1023" s="5"/>
      <c r="M1023" s="5"/>
      <c r="N1023" s="6" t="s">
        <v>40</v>
      </c>
      <c r="O1023" s="5" t="s">
        <v>5363</v>
      </c>
      <c r="P1023" s="6" t="s">
        <v>42</v>
      </c>
      <c r="Q1023" s="5" t="s">
        <v>1237</v>
      </c>
      <c r="R1023" s="5" t="s">
        <v>9336</v>
      </c>
      <c r="S1023" s="6" t="s">
        <v>79</v>
      </c>
      <c r="T1023" s="6">
        <v>6542.0</v>
      </c>
    </row>
    <row r="1024" ht="56.25" customHeight="1">
      <c r="A1024" s="5" t="s">
        <v>9314</v>
      </c>
      <c r="B1024" s="6" t="str">
        <f>image("https://storage.googleapis.com/acdb/photos/BromideNpcNmlHrs03_Remake_6_0.png")</f>
        <v/>
      </c>
      <c r="C1024" s="5" t="s">
        <v>146</v>
      </c>
      <c r="D1024" s="5" t="s">
        <v>1327</v>
      </c>
      <c r="E1024" s="5" t="s">
        <v>34</v>
      </c>
      <c r="F1024" s="5" t="s">
        <v>34</v>
      </c>
      <c r="G1024" s="5" t="s">
        <v>36</v>
      </c>
      <c r="H1024" s="5" t="s">
        <v>35</v>
      </c>
      <c r="I1024" s="6">
        <v>1.0</v>
      </c>
      <c r="J1024" s="6" t="s">
        <v>37</v>
      </c>
      <c r="K1024" s="6">
        <v>10.0</v>
      </c>
      <c r="L1024" s="5"/>
      <c r="M1024" s="5"/>
      <c r="N1024" s="6" t="s">
        <v>40</v>
      </c>
      <c r="O1024" s="5" t="s">
        <v>5363</v>
      </c>
      <c r="P1024" s="6" t="s">
        <v>42</v>
      </c>
      <c r="Q1024" s="5" t="s">
        <v>1237</v>
      </c>
      <c r="R1024" s="5" t="s">
        <v>9340</v>
      </c>
      <c r="S1024" s="6" t="s">
        <v>86</v>
      </c>
      <c r="T1024" s="6">
        <v>6542.0</v>
      </c>
    </row>
    <row r="1025" ht="56.25" customHeight="1">
      <c r="A1025" s="5" t="s">
        <v>9314</v>
      </c>
      <c r="B1025" s="6" t="str">
        <f>image("https://storage.googleapis.com/acdb/photos/BromideNpcNmlHrs03_Remake_7_0.png")</f>
        <v/>
      </c>
      <c r="C1025" s="5" t="s">
        <v>151</v>
      </c>
      <c r="D1025" s="5" t="s">
        <v>1327</v>
      </c>
      <c r="E1025" s="5" t="s">
        <v>34</v>
      </c>
      <c r="F1025" s="5" t="s">
        <v>34</v>
      </c>
      <c r="G1025" s="5" t="s">
        <v>36</v>
      </c>
      <c r="H1025" s="5" t="s">
        <v>35</v>
      </c>
      <c r="I1025" s="6">
        <v>1.0</v>
      </c>
      <c r="J1025" s="6" t="s">
        <v>37</v>
      </c>
      <c r="K1025" s="6">
        <v>10.0</v>
      </c>
      <c r="L1025" s="5"/>
      <c r="M1025" s="5"/>
      <c r="N1025" s="6" t="s">
        <v>40</v>
      </c>
      <c r="O1025" s="5" t="s">
        <v>5363</v>
      </c>
      <c r="P1025" s="6" t="s">
        <v>42</v>
      </c>
      <c r="Q1025" s="5" t="s">
        <v>1237</v>
      </c>
      <c r="R1025" s="5" t="s">
        <v>9345</v>
      </c>
      <c r="S1025" s="6" t="s">
        <v>208</v>
      </c>
      <c r="T1025" s="6">
        <v>6542.0</v>
      </c>
    </row>
    <row r="1026" ht="56.25" customHeight="1">
      <c r="A1026" s="5" t="s">
        <v>9347</v>
      </c>
      <c r="B1026" s="6" t="str">
        <f>image("https://storage.googleapis.com/acdb/photos/BromideNpcNmlElp03_Remake_0_0.png")</f>
        <v/>
      </c>
      <c r="C1026" s="5" t="s">
        <v>366</v>
      </c>
      <c r="D1026" s="5" t="s">
        <v>1327</v>
      </c>
      <c r="E1026" s="5" t="s">
        <v>34</v>
      </c>
      <c r="F1026" s="5" t="s">
        <v>34</v>
      </c>
      <c r="G1026" s="5" t="s">
        <v>36</v>
      </c>
      <c r="H1026" s="5" t="s">
        <v>35</v>
      </c>
      <c r="I1026" s="6">
        <v>1.0</v>
      </c>
      <c r="J1026" s="6" t="s">
        <v>37</v>
      </c>
      <c r="K1026" s="6">
        <v>10.0</v>
      </c>
      <c r="L1026" s="5"/>
      <c r="M1026" s="5"/>
      <c r="N1026" s="6" t="s">
        <v>40</v>
      </c>
      <c r="O1026" s="5" t="s">
        <v>5363</v>
      </c>
      <c r="P1026" s="6" t="s">
        <v>42</v>
      </c>
      <c r="Q1026" s="5" t="s">
        <v>1237</v>
      </c>
      <c r="R1026" s="5" t="s">
        <v>9349</v>
      </c>
      <c r="S1026" s="6" t="s">
        <v>50</v>
      </c>
      <c r="T1026" s="6">
        <v>6476.0</v>
      </c>
    </row>
    <row r="1027" ht="56.25" customHeight="1">
      <c r="A1027" s="5" t="s">
        <v>9347</v>
      </c>
      <c r="B1027" s="6" t="str">
        <f>image("https://storage.googleapis.com/acdb/photos/BromideNpcNmlElp03_Remake_1_0.png")</f>
        <v/>
      </c>
      <c r="C1027" s="5" t="s">
        <v>1132</v>
      </c>
      <c r="D1027" s="5" t="s">
        <v>1327</v>
      </c>
      <c r="E1027" s="5" t="s">
        <v>34</v>
      </c>
      <c r="F1027" s="5" t="s">
        <v>34</v>
      </c>
      <c r="G1027" s="5" t="s">
        <v>36</v>
      </c>
      <c r="H1027" s="5" t="s">
        <v>35</v>
      </c>
      <c r="I1027" s="6">
        <v>1.0</v>
      </c>
      <c r="J1027" s="6" t="s">
        <v>37</v>
      </c>
      <c r="K1027" s="6">
        <v>10.0</v>
      </c>
      <c r="L1027" s="5"/>
      <c r="M1027" s="5"/>
      <c r="N1027" s="6" t="s">
        <v>40</v>
      </c>
      <c r="O1027" s="5" t="s">
        <v>5363</v>
      </c>
      <c r="P1027" s="6" t="s">
        <v>42</v>
      </c>
      <c r="Q1027" s="5" t="s">
        <v>1237</v>
      </c>
      <c r="R1027" s="5" t="s">
        <v>9353</v>
      </c>
      <c r="S1027" s="6" t="s">
        <v>56</v>
      </c>
      <c r="T1027" s="6">
        <v>6476.0</v>
      </c>
    </row>
    <row r="1028" ht="56.25" customHeight="1">
      <c r="A1028" s="5" t="s">
        <v>9347</v>
      </c>
      <c r="B1028" s="6" t="str">
        <f>image("https://storage.googleapis.com/acdb/photos/BromideNpcNmlElp03_Remake_2_0.png")</f>
        <v/>
      </c>
      <c r="C1028" s="5" t="s">
        <v>688</v>
      </c>
      <c r="D1028" s="5" t="s">
        <v>1327</v>
      </c>
      <c r="E1028" s="5" t="s">
        <v>34</v>
      </c>
      <c r="F1028" s="5" t="s">
        <v>34</v>
      </c>
      <c r="G1028" s="5" t="s">
        <v>36</v>
      </c>
      <c r="H1028" s="5" t="s">
        <v>35</v>
      </c>
      <c r="I1028" s="6">
        <v>1.0</v>
      </c>
      <c r="J1028" s="6" t="s">
        <v>37</v>
      </c>
      <c r="K1028" s="6">
        <v>10.0</v>
      </c>
      <c r="L1028" s="5"/>
      <c r="M1028" s="5"/>
      <c r="N1028" s="6" t="s">
        <v>40</v>
      </c>
      <c r="O1028" s="5" t="s">
        <v>5363</v>
      </c>
      <c r="P1028" s="6" t="s">
        <v>42</v>
      </c>
      <c r="Q1028" s="5" t="s">
        <v>1237</v>
      </c>
      <c r="R1028" s="5" t="s">
        <v>9357</v>
      </c>
      <c r="S1028" s="6" t="s">
        <v>67</v>
      </c>
      <c r="T1028" s="6">
        <v>6476.0</v>
      </c>
    </row>
    <row r="1029" ht="56.25" customHeight="1">
      <c r="A1029" s="5" t="s">
        <v>9347</v>
      </c>
      <c r="B1029" s="6" t="str">
        <f>image("https://storage.googleapis.com/acdb/photos/BromideNpcNmlElp03_Remake_3_0.png")</f>
        <v/>
      </c>
      <c r="C1029" s="5" t="s">
        <v>57</v>
      </c>
      <c r="D1029" s="5" t="s">
        <v>1327</v>
      </c>
      <c r="E1029" s="5" t="s">
        <v>34</v>
      </c>
      <c r="F1029" s="5" t="s">
        <v>34</v>
      </c>
      <c r="G1029" s="5" t="s">
        <v>36</v>
      </c>
      <c r="H1029" s="5" t="s">
        <v>35</v>
      </c>
      <c r="I1029" s="6">
        <v>1.0</v>
      </c>
      <c r="J1029" s="6" t="s">
        <v>37</v>
      </c>
      <c r="K1029" s="6">
        <v>10.0</v>
      </c>
      <c r="L1029" s="5"/>
      <c r="M1029" s="5"/>
      <c r="N1029" s="6" t="s">
        <v>40</v>
      </c>
      <c r="O1029" s="5" t="s">
        <v>5363</v>
      </c>
      <c r="P1029" s="6" t="s">
        <v>42</v>
      </c>
      <c r="Q1029" s="5" t="s">
        <v>1237</v>
      </c>
      <c r="R1029" s="5" t="s">
        <v>9363</v>
      </c>
      <c r="S1029" s="6" t="s">
        <v>71</v>
      </c>
      <c r="T1029" s="6">
        <v>6476.0</v>
      </c>
    </row>
    <row r="1030" ht="56.25" customHeight="1">
      <c r="A1030" s="5" t="s">
        <v>9347</v>
      </c>
      <c r="B1030" s="6" t="str">
        <f>image("https://storage.googleapis.com/acdb/photos/BromideNpcNmlElp03_Remake_4_0.png")</f>
        <v/>
      </c>
      <c r="C1030" s="5" t="s">
        <v>1167</v>
      </c>
      <c r="D1030" s="5" t="s">
        <v>1327</v>
      </c>
      <c r="E1030" s="5" t="s">
        <v>34</v>
      </c>
      <c r="F1030" s="5" t="s">
        <v>34</v>
      </c>
      <c r="G1030" s="5" t="s">
        <v>36</v>
      </c>
      <c r="H1030" s="5" t="s">
        <v>35</v>
      </c>
      <c r="I1030" s="6">
        <v>1.0</v>
      </c>
      <c r="J1030" s="6" t="s">
        <v>37</v>
      </c>
      <c r="K1030" s="6">
        <v>10.0</v>
      </c>
      <c r="L1030" s="5"/>
      <c r="M1030" s="5"/>
      <c r="N1030" s="6" t="s">
        <v>40</v>
      </c>
      <c r="O1030" s="5" t="s">
        <v>5363</v>
      </c>
      <c r="P1030" s="6" t="s">
        <v>42</v>
      </c>
      <c r="Q1030" s="5" t="s">
        <v>1237</v>
      </c>
      <c r="R1030" s="5" t="s">
        <v>9370</v>
      </c>
      <c r="S1030" s="6" t="s">
        <v>75</v>
      </c>
      <c r="T1030" s="6">
        <v>6476.0</v>
      </c>
    </row>
    <row r="1031" ht="56.25" customHeight="1">
      <c r="A1031" s="5" t="s">
        <v>9347</v>
      </c>
      <c r="B1031" s="6" t="str">
        <f>image("https://storage.googleapis.com/acdb/photos/BromideNpcNmlElp03_Remake_5_0.png")</f>
        <v/>
      </c>
      <c r="C1031" s="5" t="s">
        <v>58</v>
      </c>
      <c r="D1031" s="5" t="s">
        <v>1327</v>
      </c>
      <c r="E1031" s="5" t="s">
        <v>34</v>
      </c>
      <c r="F1031" s="5" t="s">
        <v>34</v>
      </c>
      <c r="G1031" s="5" t="s">
        <v>36</v>
      </c>
      <c r="H1031" s="5" t="s">
        <v>35</v>
      </c>
      <c r="I1031" s="6">
        <v>1.0</v>
      </c>
      <c r="J1031" s="6" t="s">
        <v>37</v>
      </c>
      <c r="K1031" s="6">
        <v>10.0</v>
      </c>
      <c r="L1031" s="5"/>
      <c r="M1031" s="5"/>
      <c r="N1031" s="6" t="s">
        <v>40</v>
      </c>
      <c r="O1031" s="5" t="s">
        <v>5363</v>
      </c>
      <c r="P1031" s="6" t="s">
        <v>42</v>
      </c>
      <c r="Q1031" s="5" t="s">
        <v>1237</v>
      </c>
      <c r="R1031" s="5" t="s">
        <v>9374</v>
      </c>
      <c r="S1031" s="6" t="s">
        <v>79</v>
      </c>
      <c r="T1031" s="6">
        <v>6476.0</v>
      </c>
    </row>
    <row r="1032" ht="56.25" customHeight="1">
      <c r="A1032" s="5" t="s">
        <v>9347</v>
      </c>
      <c r="B1032" s="6" t="str">
        <f>image("https://storage.googleapis.com/acdb/photos/BromideNpcNmlElp03_Remake_6_0.png")</f>
        <v/>
      </c>
      <c r="C1032" s="5" t="s">
        <v>146</v>
      </c>
      <c r="D1032" s="5" t="s">
        <v>1327</v>
      </c>
      <c r="E1032" s="5" t="s">
        <v>34</v>
      </c>
      <c r="F1032" s="5" t="s">
        <v>34</v>
      </c>
      <c r="G1032" s="5" t="s">
        <v>36</v>
      </c>
      <c r="H1032" s="5" t="s">
        <v>35</v>
      </c>
      <c r="I1032" s="6">
        <v>1.0</v>
      </c>
      <c r="J1032" s="6" t="s">
        <v>37</v>
      </c>
      <c r="K1032" s="6">
        <v>10.0</v>
      </c>
      <c r="L1032" s="5"/>
      <c r="M1032" s="5"/>
      <c r="N1032" s="6" t="s">
        <v>40</v>
      </c>
      <c r="O1032" s="5" t="s">
        <v>5363</v>
      </c>
      <c r="P1032" s="6" t="s">
        <v>42</v>
      </c>
      <c r="Q1032" s="5" t="s">
        <v>1237</v>
      </c>
      <c r="R1032" s="5" t="s">
        <v>9379</v>
      </c>
      <c r="S1032" s="6" t="s">
        <v>86</v>
      </c>
      <c r="T1032" s="6">
        <v>6476.0</v>
      </c>
    </row>
    <row r="1033" ht="56.25" customHeight="1">
      <c r="A1033" s="5" t="s">
        <v>9347</v>
      </c>
      <c r="B1033" s="6" t="str">
        <f>image("https://storage.googleapis.com/acdb/photos/BromideNpcNmlElp03_Remake_7_0.png")</f>
        <v/>
      </c>
      <c r="C1033" s="5" t="s">
        <v>151</v>
      </c>
      <c r="D1033" s="5" t="s">
        <v>1327</v>
      </c>
      <c r="E1033" s="5" t="s">
        <v>34</v>
      </c>
      <c r="F1033" s="5" t="s">
        <v>34</v>
      </c>
      <c r="G1033" s="5" t="s">
        <v>36</v>
      </c>
      <c r="H1033" s="5" t="s">
        <v>35</v>
      </c>
      <c r="I1033" s="6">
        <v>1.0</v>
      </c>
      <c r="J1033" s="6" t="s">
        <v>37</v>
      </c>
      <c r="K1033" s="6">
        <v>10.0</v>
      </c>
      <c r="L1033" s="5"/>
      <c r="M1033" s="5"/>
      <c r="N1033" s="6" t="s">
        <v>40</v>
      </c>
      <c r="O1033" s="5" t="s">
        <v>5363</v>
      </c>
      <c r="P1033" s="6" t="s">
        <v>42</v>
      </c>
      <c r="Q1033" s="5" t="s">
        <v>1237</v>
      </c>
      <c r="R1033" s="5" t="s">
        <v>9383</v>
      </c>
      <c r="S1033" s="6" t="s">
        <v>208</v>
      </c>
      <c r="T1033" s="6">
        <v>6476.0</v>
      </c>
    </row>
    <row r="1034" ht="56.25" customHeight="1">
      <c r="A1034" s="5" t="s">
        <v>9384</v>
      </c>
      <c r="B1034" s="6" t="str">
        <f>image("https://storage.googleapis.com/acdb/photos/BromideNpcNmlLon01_Remake_0_0.png")</f>
        <v/>
      </c>
      <c r="C1034" s="5" t="s">
        <v>366</v>
      </c>
      <c r="D1034" s="5" t="s">
        <v>1327</v>
      </c>
      <c r="E1034" s="5" t="s">
        <v>34</v>
      </c>
      <c r="F1034" s="5" t="s">
        <v>34</v>
      </c>
      <c r="G1034" s="5" t="s">
        <v>36</v>
      </c>
      <c r="H1034" s="5" t="s">
        <v>35</v>
      </c>
      <c r="I1034" s="6">
        <v>1.0</v>
      </c>
      <c r="J1034" s="6" t="s">
        <v>37</v>
      </c>
      <c r="K1034" s="6">
        <v>10.0</v>
      </c>
      <c r="L1034" s="5"/>
      <c r="M1034" s="5"/>
      <c r="N1034" s="6" t="s">
        <v>40</v>
      </c>
      <c r="O1034" s="5" t="s">
        <v>5363</v>
      </c>
      <c r="P1034" s="6" t="s">
        <v>42</v>
      </c>
      <c r="Q1034" s="5" t="s">
        <v>1237</v>
      </c>
      <c r="R1034" s="5" t="s">
        <v>9388</v>
      </c>
      <c r="S1034" s="6" t="s">
        <v>50</v>
      </c>
      <c r="T1034" s="6">
        <v>6574.0</v>
      </c>
    </row>
    <row r="1035" ht="56.25" customHeight="1">
      <c r="A1035" s="5" t="s">
        <v>9384</v>
      </c>
      <c r="B1035" s="6" t="str">
        <f>image("https://storage.googleapis.com/acdb/photos/BromideNpcNmlLon01_Remake_1_0.png")</f>
        <v/>
      </c>
      <c r="C1035" s="5" t="s">
        <v>1132</v>
      </c>
      <c r="D1035" s="5" t="s">
        <v>1327</v>
      </c>
      <c r="E1035" s="5" t="s">
        <v>34</v>
      </c>
      <c r="F1035" s="5" t="s">
        <v>34</v>
      </c>
      <c r="G1035" s="5" t="s">
        <v>36</v>
      </c>
      <c r="H1035" s="5" t="s">
        <v>35</v>
      </c>
      <c r="I1035" s="6">
        <v>1.0</v>
      </c>
      <c r="J1035" s="6" t="s">
        <v>37</v>
      </c>
      <c r="K1035" s="6">
        <v>10.0</v>
      </c>
      <c r="L1035" s="5"/>
      <c r="M1035" s="5"/>
      <c r="N1035" s="6" t="s">
        <v>40</v>
      </c>
      <c r="O1035" s="5" t="s">
        <v>5363</v>
      </c>
      <c r="P1035" s="6" t="s">
        <v>42</v>
      </c>
      <c r="Q1035" s="5" t="s">
        <v>1237</v>
      </c>
      <c r="R1035" s="5" t="s">
        <v>9393</v>
      </c>
      <c r="S1035" s="6" t="s">
        <v>56</v>
      </c>
      <c r="T1035" s="6">
        <v>6574.0</v>
      </c>
    </row>
    <row r="1036" ht="56.25" customHeight="1">
      <c r="A1036" s="5" t="s">
        <v>9384</v>
      </c>
      <c r="B1036" s="6" t="str">
        <f>image("https://storage.googleapis.com/acdb/photos/BromideNpcNmlLon01_Remake_2_0.png")</f>
        <v/>
      </c>
      <c r="C1036" s="5" t="s">
        <v>688</v>
      </c>
      <c r="D1036" s="5" t="s">
        <v>1327</v>
      </c>
      <c r="E1036" s="5" t="s">
        <v>34</v>
      </c>
      <c r="F1036" s="5" t="s">
        <v>34</v>
      </c>
      <c r="G1036" s="5" t="s">
        <v>36</v>
      </c>
      <c r="H1036" s="5" t="s">
        <v>35</v>
      </c>
      <c r="I1036" s="6">
        <v>1.0</v>
      </c>
      <c r="J1036" s="6" t="s">
        <v>37</v>
      </c>
      <c r="K1036" s="6">
        <v>10.0</v>
      </c>
      <c r="L1036" s="5"/>
      <c r="M1036" s="5"/>
      <c r="N1036" s="6" t="s">
        <v>40</v>
      </c>
      <c r="O1036" s="5" t="s">
        <v>5363</v>
      </c>
      <c r="P1036" s="6" t="s">
        <v>42</v>
      </c>
      <c r="Q1036" s="5" t="s">
        <v>1237</v>
      </c>
      <c r="R1036" s="5" t="s">
        <v>9397</v>
      </c>
      <c r="S1036" s="6" t="s">
        <v>67</v>
      </c>
      <c r="T1036" s="6">
        <v>6574.0</v>
      </c>
    </row>
    <row r="1037" ht="56.25" customHeight="1">
      <c r="A1037" s="5" t="s">
        <v>9384</v>
      </c>
      <c r="B1037" s="6" t="str">
        <f>image("https://storage.googleapis.com/acdb/photos/BromideNpcNmlLon01_Remake_3_0.png")</f>
        <v/>
      </c>
      <c r="C1037" s="5" t="s">
        <v>57</v>
      </c>
      <c r="D1037" s="5" t="s">
        <v>1327</v>
      </c>
      <c r="E1037" s="5" t="s">
        <v>34</v>
      </c>
      <c r="F1037" s="5" t="s">
        <v>34</v>
      </c>
      <c r="G1037" s="5" t="s">
        <v>36</v>
      </c>
      <c r="H1037" s="5" t="s">
        <v>35</v>
      </c>
      <c r="I1037" s="6">
        <v>1.0</v>
      </c>
      <c r="J1037" s="6" t="s">
        <v>37</v>
      </c>
      <c r="K1037" s="6">
        <v>10.0</v>
      </c>
      <c r="L1037" s="5"/>
      <c r="M1037" s="5"/>
      <c r="N1037" s="6" t="s">
        <v>40</v>
      </c>
      <c r="O1037" s="5" t="s">
        <v>5363</v>
      </c>
      <c r="P1037" s="6" t="s">
        <v>42</v>
      </c>
      <c r="Q1037" s="5" t="s">
        <v>1237</v>
      </c>
      <c r="R1037" s="5" t="s">
        <v>9402</v>
      </c>
      <c r="S1037" s="6" t="s">
        <v>71</v>
      </c>
      <c r="T1037" s="6">
        <v>6574.0</v>
      </c>
    </row>
    <row r="1038" ht="56.25" customHeight="1">
      <c r="A1038" s="5" t="s">
        <v>9384</v>
      </c>
      <c r="B1038" s="6" t="str">
        <f>image("https://storage.googleapis.com/acdb/photos/BromideNpcNmlLon01_Remake_4_0.png")</f>
        <v/>
      </c>
      <c r="C1038" s="5" t="s">
        <v>1167</v>
      </c>
      <c r="D1038" s="5" t="s">
        <v>1327</v>
      </c>
      <c r="E1038" s="5" t="s">
        <v>34</v>
      </c>
      <c r="F1038" s="5" t="s">
        <v>34</v>
      </c>
      <c r="G1038" s="5" t="s">
        <v>36</v>
      </c>
      <c r="H1038" s="5" t="s">
        <v>35</v>
      </c>
      <c r="I1038" s="6">
        <v>1.0</v>
      </c>
      <c r="J1038" s="6" t="s">
        <v>37</v>
      </c>
      <c r="K1038" s="6">
        <v>10.0</v>
      </c>
      <c r="L1038" s="5"/>
      <c r="M1038" s="5"/>
      <c r="N1038" s="6" t="s">
        <v>40</v>
      </c>
      <c r="O1038" s="5" t="s">
        <v>5363</v>
      </c>
      <c r="P1038" s="6" t="s">
        <v>42</v>
      </c>
      <c r="Q1038" s="5" t="s">
        <v>1237</v>
      </c>
      <c r="R1038" s="5" t="s">
        <v>9407</v>
      </c>
      <c r="S1038" s="6" t="s">
        <v>75</v>
      </c>
      <c r="T1038" s="6">
        <v>6574.0</v>
      </c>
    </row>
    <row r="1039" ht="56.25" customHeight="1">
      <c r="A1039" s="5" t="s">
        <v>9384</v>
      </c>
      <c r="B1039" s="6" t="str">
        <f>image("https://storage.googleapis.com/acdb/photos/BromideNpcNmlLon01_Remake_5_0.png")</f>
        <v/>
      </c>
      <c r="C1039" s="5" t="s">
        <v>58</v>
      </c>
      <c r="D1039" s="5" t="s">
        <v>1327</v>
      </c>
      <c r="E1039" s="5" t="s">
        <v>34</v>
      </c>
      <c r="F1039" s="5" t="s">
        <v>34</v>
      </c>
      <c r="G1039" s="5" t="s">
        <v>36</v>
      </c>
      <c r="H1039" s="5" t="s">
        <v>35</v>
      </c>
      <c r="I1039" s="6">
        <v>1.0</v>
      </c>
      <c r="J1039" s="6" t="s">
        <v>37</v>
      </c>
      <c r="K1039" s="6">
        <v>10.0</v>
      </c>
      <c r="L1039" s="5"/>
      <c r="M1039" s="5"/>
      <c r="N1039" s="6" t="s">
        <v>40</v>
      </c>
      <c r="O1039" s="5" t="s">
        <v>5363</v>
      </c>
      <c r="P1039" s="6" t="s">
        <v>42</v>
      </c>
      <c r="Q1039" s="5" t="s">
        <v>1237</v>
      </c>
      <c r="R1039" s="5" t="s">
        <v>9411</v>
      </c>
      <c r="S1039" s="6" t="s">
        <v>79</v>
      </c>
      <c r="T1039" s="6">
        <v>6574.0</v>
      </c>
    </row>
    <row r="1040" ht="56.25" customHeight="1">
      <c r="A1040" s="5" t="s">
        <v>9384</v>
      </c>
      <c r="B1040" s="6" t="str">
        <f>image("https://storage.googleapis.com/acdb/photos/BromideNpcNmlLon01_Remake_6_0.png")</f>
        <v/>
      </c>
      <c r="C1040" s="5" t="s">
        <v>146</v>
      </c>
      <c r="D1040" s="5" t="s">
        <v>1327</v>
      </c>
      <c r="E1040" s="5" t="s">
        <v>34</v>
      </c>
      <c r="F1040" s="5" t="s">
        <v>34</v>
      </c>
      <c r="G1040" s="5" t="s">
        <v>36</v>
      </c>
      <c r="H1040" s="5" t="s">
        <v>35</v>
      </c>
      <c r="I1040" s="6">
        <v>1.0</v>
      </c>
      <c r="J1040" s="6" t="s">
        <v>37</v>
      </c>
      <c r="K1040" s="6">
        <v>10.0</v>
      </c>
      <c r="L1040" s="5"/>
      <c r="M1040" s="5"/>
      <c r="N1040" s="6" t="s">
        <v>40</v>
      </c>
      <c r="O1040" s="5" t="s">
        <v>5363</v>
      </c>
      <c r="P1040" s="6" t="s">
        <v>42</v>
      </c>
      <c r="Q1040" s="5" t="s">
        <v>1237</v>
      </c>
      <c r="R1040" s="5" t="s">
        <v>9415</v>
      </c>
      <c r="S1040" s="6" t="s">
        <v>86</v>
      </c>
      <c r="T1040" s="6">
        <v>6574.0</v>
      </c>
    </row>
    <row r="1041" ht="56.25" customHeight="1">
      <c r="A1041" s="5" t="s">
        <v>9384</v>
      </c>
      <c r="B1041" s="6" t="str">
        <f>image("https://storage.googleapis.com/acdb/photos/BromideNpcNmlLon01_Remake_7_0.png")</f>
        <v/>
      </c>
      <c r="C1041" s="5" t="s">
        <v>151</v>
      </c>
      <c r="D1041" s="5" t="s">
        <v>1327</v>
      </c>
      <c r="E1041" s="5" t="s">
        <v>34</v>
      </c>
      <c r="F1041" s="5" t="s">
        <v>34</v>
      </c>
      <c r="G1041" s="5" t="s">
        <v>36</v>
      </c>
      <c r="H1041" s="5" t="s">
        <v>35</v>
      </c>
      <c r="I1041" s="6">
        <v>1.0</v>
      </c>
      <c r="J1041" s="6" t="s">
        <v>37</v>
      </c>
      <c r="K1041" s="6">
        <v>10.0</v>
      </c>
      <c r="L1041" s="5"/>
      <c r="M1041" s="5"/>
      <c r="N1041" s="6" t="s">
        <v>40</v>
      </c>
      <c r="O1041" s="5" t="s">
        <v>5363</v>
      </c>
      <c r="P1041" s="6" t="s">
        <v>42</v>
      </c>
      <c r="Q1041" s="5" t="s">
        <v>1237</v>
      </c>
      <c r="R1041" s="5" t="s">
        <v>9422</v>
      </c>
      <c r="S1041" s="6" t="s">
        <v>208</v>
      </c>
      <c r="T1041" s="6">
        <v>6574.0</v>
      </c>
    </row>
    <row r="1042" ht="56.25" customHeight="1">
      <c r="A1042" s="5" t="s">
        <v>9424</v>
      </c>
      <c r="B1042" s="6" t="str">
        <f>image("https://storage.googleapis.com/acdb/photos/BromideNpcNmlDer09_Remake_0_0.png")</f>
        <v/>
      </c>
      <c r="C1042" s="5" t="s">
        <v>366</v>
      </c>
      <c r="D1042" s="5" t="s">
        <v>1327</v>
      </c>
      <c r="E1042" s="5" t="s">
        <v>34</v>
      </c>
      <c r="F1042" s="5" t="s">
        <v>34</v>
      </c>
      <c r="G1042" s="5" t="s">
        <v>36</v>
      </c>
      <c r="H1042" s="5" t="s">
        <v>35</v>
      </c>
      <c r="I1042" s="6">
        <v>1.0</v>
      </c>
      <c r="J1042" s="6" t="s">
        <v>37</v>
      </c>
      <c r="K1042" s="6">
        <v>10.0</v>
      </c>
      <c r="L1042" s="5"/>
      <c r="M1042" s="5"/>
      <c r="N1042" s="6" t="s">
        <v>40</v>
      </c>
      <c r="O1042" s="5" t="s">
        <v>5363</v>
      </c>
      <c r="P1042" s="6" t="s">
        <v>42</v>
      </c>
      <c r="Q1042" s="5" t="s">
        <v>1237</v>
      </c>
      <c r="R1042" s="5" t="s">
        <v>9430</v>
      </c>
      <c r="S1042" s="6" t="s">
        <v>50</v>
      </c>
      <c r="T1042" s="6">
        <v>6435.0</v>
      </c>
    </row>
    <row r="1043" ht="56.25" customHeight="1">
      <c r="A1043" s="5" t="s">
        <v>9424</v>
      </c>
      <c r="B1043" s="6" t="str">
        <f>image("https://storage.googleapis.com/acdb/photos/BromideNpcNmlDer09_Remake_1_0.png")</f>
        <v/>
      </c>
      <c r="C1043" s="5" t="s">
        <v>1132</v>
      </c>
      <c r="D1043" s="5" t="s">
        <v>1327</v>
      </c>
      <c r="E1043" s="5" t="s">
        <v>34</v>
      </c>
      <c r="F1043" s="5" t="s">
        <v>34</v>
      </c>
      <c r="G1043" s="5" t="s">
        <v>36</v>
      </c>
      <c r="H1043" s="5" t="s">
        <v>35</v>
      </c>
      <c r="I1043" s="6">
        <v>1.0</v>
      </c>
      <c r="J1043" s="6" t="s">
        <v>37</v>
      </c>
      <c r="K1043" s="6">
        <v>10.0</v>
      </c>
      <c r="L1043" s="5"/>
      <c r="M1043" s="5"/>
      <c r="N1043" s="6" t="s">
        <v>40</v>
      </c>
      <c r="O1043" s="5" t="s">
        <v>5363</v>
      </c>
      <c r="P1043" s="6" t="s">
        <v>42</v>
      </c>
      <c r="Q1043" s="5" t="s">
        <v>1237</v>
      </c>
      <c r="R1043" s="5" t="s">
        <v>9436</v>
      </c>
      <c r="S1043" s="6" t="s">
        <v>56</v>
      </c>
      <c r="T1043" s="6">
        <v>6435.0</v>
      </c>
    </row>
    <row r="1044" ht="56.25" customHeight="1">
      <c r="A1044" s="5" t="s">
        <v>9424</v>
      </c>
      <c r="B1044" s="6" t="str">
        <f>image("https://storage.googleapis.com/acdb/photos/BromideNpcNmlDer09_Remake_2_0.png")</f>
        <v/>
      </c>
      <c r="C1044" s="5" t="s">
        <v>688</v>
      </c>
      <c r="D1044" s="5" t="s">
        <v>1327</v>
      </c>
      <c r="E1044" s="5" t="s">
        <v>34</v>
      </c>
      <c r="F1044" s="5" t="s">
        <v>34</v>
      </c>
      <c r="G1044" s="5" t="s">
        <v>36</v>
      </c>
      <c r="H1044" s="5" t="s">
        <v>35</v>
      </c>
      <c r="I1044" s="6">
        <v>1.0</v>
      </c>
      <c r="J1044" s="6" t="s">
        <v>37</v>
      </c>
      <c r="K1044" s="6">
        <v>10.0</v>
      </c>
      <c r="L1044" s="5"/>
      <c r="M1044" s="5"/>
      <c r="N1044" s="6" t="s">
        <v>40</v>
      </c>
      <c r="O1044" s="5" t="s">
        <v>5363</v>
      </c>
      <c r="P1044" s="6" t="s">
        <v>42</v>
      </c>
      <c r="Q1044" s="5" t="s">
        <v>1237</v>
      </c>
      <c r="R1044" s="5" t="s">
        <v>9439</v>
      </c>
      <c r="S1044" s="6" t="s">
        <v>67</v>
      </c>
      <c r="T1044" s="6">
        <v>6435.0</v>
      </c>
    </row>
    <row r="1045" ht="56.25" customHeight="1">
      <c r="A1045" s="5" t="s">
        <v>9424</v>
      </c>
      <c r="B1045" s="6" t="str">
        <f>image("https://storage.googleapis.com/acdb/photos/BromideNpcNmlDer09_Remake_3_0.png")</f>
        <v/>
      </c>
      <c r="C1045" s="5" t="s">
        <v>57</v>
      </c>
      <c r="D1045" s="5" t="s">
        <v>1327</v>
      </c>
      <c r="E1045" s="5" t="s">
        <v>34</v>
      </c>
      <c r="F1045" s="5" t="s">
        <v>34</v>
      </c>
      <c r="G1045" s="5" t="s">
        <v>36</v>
      </c>
      <c r="H1045" s="5" t="s">
        <v>35</v>
      </c>
      <c r="I1045" s="6">
        <v>1.0</v>
      </c>
      <c r="J1045" s="6" t="s">
        <v>37</v>
      </c>
      <c r="K1045" s="6">
        <v>10.0</v>
      </c>
      <c r="L1045" s="5"/>
      <c r="M1045" s="5"/>
      <c r="N1045" s="6" t="s">
        <v>40</v>
      </c>
      <c r="O1045" s="5" t="s">
        <v>5363</v>
      </c>
      <c r="P1045" s="6" t="s">
        <v>42</v>
      </c>
      <c r="Q1045" s="5" t="s">
        <v>1237</v>
      </c>
      <c r="R1045" s="5" t="s">
        <v>9442</v>
      </c>
      <c r="S1045" s="6" t="s">
        <v>71</v>
      </c>
      <c r="T1045" s="6">
        <v>6435.0</v>
      </c>
    </row>
    <row r="1046" ht="56.25" customHeight="1">
      <c r="A1046" s="5" t="s">
        <v>9424</v>
      </c>
      <c r="B1046" s="6" t="str">
        <f>image("https://storage.googleapis.com/acdb/photos/BromideNpcNmlDer09_Remake_4_0.png")</f>
        <v/>
      </c>
      <c r="C1046" s="5" t="s">
        <v>1167</v>
      </c>
      <c r="D1046" s="5" t="s">
        <v>1327</v>
      </c>
      <c r="E1046" s="5" t="s">
        <v>34</v>
      </c>
      <c r="F1046" s="5" t="s">
        <v>34</v>
      </c>
      <c r="G1046" s="5" t="s">
        <v>36</v>
      </c>
      <c r="H1046" s="5" t="s">
        <v>35</v>
      </c>
      <c r="I1046" s="6">
        <v>1.0</v>
      </c>
      <c r="J1046" s="6" t="s">
        <v>37</v>
      </c>
      <c r="K1046" s="6">
        <v>10.0</v>
      </c>
      <c r="L1046" s="5"/>
      <c r="M1046" s="5"/>
      <c r="N1046" s="6" t="s">
        <v>40</v>
      </c>
      <c r="O1046" s="5" t="s">
        <v>5363</v>
      </c>
      <c r="P1046" s="6" t="s">
        <v>42</v>
      </c>
      <c r="Q1046" s="5" t="s">
        <v>1237</v>
      </c>
      <c r="R1046" s="5" t="s">
        <v>9445</v>
      </c>
      <c r="S1046" s="6" t="s">
        <v>75</v>
      </c>
      <c r="T1046" s="6">
        <v>6435.0</v>
      </c>
    </row>
    <row r="1047" ht="56.25" customHeight="1">
      <c r="A1047" s="5" t="s">
        <v>9424</v>
      </c>
      <c r="B1047" s="6" t="str">
        <f>image("https://storage.googleapis.com/acdb/photos/BromideNpcNmlDer09_Remake_5_0.png")</f>
        <v/>
      </c>
      <c r="C1047" s="5" t="s">
        <v>58</v>
      </c>
      <c r="D1047" s="5" t="s">
        <v>1327</v>
      </c>
      <c r="E1047" s="5" t="s">
        <v>34</v>
      </c>
      <c r="F1047" s="5" t="s">
        <v>34</v>
      </c>
      <c r="G1047" s="5" t="s">
        <v>36</v>
      </c>
      <c r="H1047" s="5" t="s">
        <v>35</v>
      </c>
      <c r="I1047" s="6">
        <v>1.0</v>
      </c>
      <c r="J1047" s="6" t="s">
        <v>37</v>
      </c>
      <c r="K1047" s="6">
        <v>10.0</v>
      </c>
      <c r="L1047" s="5"/>
      <c r="M1047" s="5"/>
      <c r="N1047" s="6" t="s">
        <v>40</v>
      </c>
      <c r="O1047" s="5" t="s">
        <v>5363</v>
      </c>
      <c r="P1047" s="6" t="s">
        <v>42</v>
      </c>
      <c r="Q1047" s="5" t="s">
        <v>1237</v>
      </c>
      <c r="R1047" s="5" t="s">
        <v>9450</v>
      </c>
      <c r="S1047" s="6" t="s">
        <v>79</v>
      </c>
      <c r="T1047" s="6">
        <v>6435.0</v>
      </c>
    </row>
    <row r="1048" ht="56.25" customHeight="1">
      <c r="A1048" s="5" t="s">
        <v>9424</v>
      </c>
      <c r="B1048" s="6" t="str">
        <f>image("https://storage.googleapis.com/acdb/photos/BromideNpcNmlDer09_Remake_6_0.png")</f>
        <v/>
      </c>
      <c r="C1048" s="5" t="s">
        <v>146</v>
      </c>
      <c r="D1048" s="5" t="s">
        <v>1327</v>
      </c>
      <c r="E1048" s="5" t="s">
        <v>34</v>
      </c>
      <c r="F1048" s="5" t="s">
        <v>34</v>
      </c>
      <c r="G1048" s="5" t="s">
        <v>36</v>
      </c>
      <c r="H1048" s="5" t="s">
        <v>35</v>
      </c>
      <c r="I1048" s="6">
        <v>1.0</v>
      </c>
      <c r="J1048" s="6" t="s">
        <v>37</v>
      </c>
      <c r="K1048" s="6">
        <v>10.0</v>
      </c>
      <c r="L1048" s="5"/>
      <c r="M1048" s="5"/>
      <c r="N1048" s="6" t="s">
        <v>40</v>
      </c>
      <c r="O1048" s="5" t="s">
        <v>5363</v>
      </c>
      <c r="P1048" s="6" t="s">
        <v>42</v>
      </c>
      <c r="Q1048" s="5" t="s">
        <v>1237</v>
      </c>
      <c r="R1048" s="5" t="s">
        <v>9454</v>
      </c>
      <c r="S1048" s="6" t="s">
        <v>86</v>
      </c>
      <c r="T1048" s="6">
        <v>6435.0</v>
      </c>
    </row>
    <row r="1049" ht="56.25" customHeight="1">
      <c r="A1049" s="5" t="s">
        <v>9424</v>
      </c>
      <c r="B1049" s="6" t="str">
        <f>image("https://storage.googleapis.com/acdb/photos/BromideNpcNmlDer09_Remake_7_0.png")</f>
        <v/>
      </c>
      <c r="C1049" s="5" t="s">
        <v>151</v>
      </c>
      <c r="D1049" s="5" t="s">
        <v>1327</v>
      </c>
      <c r="E1049" s="5" t="s">
        <v>34</v>
      </c>
      <c r="F1049" s="5" t="s">
        <v>34</v>
      </c>
      <c r="G1049" s="5" t="s">
        <v>36</v>
      </c>
      <c r="H1049" s="5" t="s">
        <v>35</v>
      </c>
      <c r="I1049" s="6">
        <v>1.0</v>
      </c>
      <c r="J1049" s="6" t="s">
        <v>37</v>
      </c>
      <c r="K1049" s="6">
        <v>10.0</v>
      </c>
      <c r="L1049" s="5"/>
      <c r="M1049" s="5"/>
      <c r="N1049" s="6" t="s">
        <v>40</v>
      </c>
      <c r="O1049" s="5" t="s">
        <v>5363</v>
      </c>
      <c r="P1049" s="6" t="s">
        <v>42</v>
      </c>
      <c r="Q1049" s="5" t="s">
        <v>1237</v>
      </c>
      <c r="R1049" s="5" t="s">
        <v>9458</v>
      </c>
      <c r="S1049" s="6" t="s">
        <v>208</v>
      </c>
      <c r="T1049" s="6">
        <v>6435.0</v>
      </c>
    </row>
    <row r="1050" ht="56.25" customHeight="1">
      <c r="A1050" s="5" t="s">
        <v>9461</v>
      </c>
      <c r="B1050" s="6" t="str">
        <f>image("https://storage.googleapis.com/acdb/photos/BromideNpcNmlKal10_Remake_0_0.png")</f>
        <v/>
      </c>
      <c r="C1050" s="5" t="s">
        <v>366</v>
      </c>
      <c r="D1050" s="5" t="s">
        <v>1327</v>
      </c>
      <c r="E1050" s="5" t="s">
        <v>34</v>
      </c>
      <c r="F1050" s="5" t="s">
        <v>34</v>
      </c>
      <c r="G1050" s="5" t="s">
        <v>36</v>
      </c>
      <c r="H1050" s="5" t="s">
        <v>35</v>
      </c>
      <c r="I1050" s="6">
        <v>1.0</v>
      </c>
      <c r="J1050" s="6" t="s">
        <v>37</v>
      </c>
      <c r="K1050" s="6">
        <v>10.0</v>
      </c>
      <c r="L1050" s="5"/>
      <c r="M1050" s="5"/>
      <c r="N1050" s="6" t="s">
        <v>40</v>
      </c>
      <c r="O1050" s="5" t="s">
        <v>5363</v>
      </c>
      <c r="P1050" s="6" t="s">
        <v>42</v>
      </c>
      <c r="Q1050" s="5" t="s">
        <v>1237</v>
      </c>
      <c r="R1050" s="5" t="s">
        <v>9465</v>
      </c>
      <c r="S1050" s="6" t="s">
        <v>50</v>
      </c>
      <c r="T1050" s="6">
        <v>6563.0</v>
      </c>
    </row>
    <row r="1051" ht="56.25" customHeight="1">
      <c r="A1051" s="5" t="s">
        <v>9461</v>
      </c>
      <c r="B1051" s="6" t="str">
        <f>image("https://storage.googleapis.com/acdb/photos/BromideNpcNmlKal10_Remake_1_0.png")</f>
        <v/>
      </c>
      <c r="C1051" s="5" t="s">
        <v>1132</v>
      </c>
      <c r="D1051" s="5" t="s">
        <v>1327</v>
      </c>
      <c r="E1051" s="5" t="s">
        <v>34</v>
      </c>
      <c r="F1051" s="5" t="s">
        <v>34</v>
      </c>
      <c r="G1051" s="5" t="s">
        <v>36</v>
      </c>
      <c r="H1051" s="5" t="s">
        <v>35</v>
      </c>
      <c r="I1051" s="6">
        <v>1.0</v>
      </c>
      <c r="J1051" s="6" t="s">
        <v>37</v>
      </c>
      <c r="K1051" s="6">
        <v>10.0</v>
      </c>
      <c r="L1051" s="5"/>
      <c r="M1051" s="5"/>
      <c r="N1051" s="6" t="s">
        <v>40</v>
      </c>
      <c r="O1051" s="5" t="s">
        <v>5363</v>
      </c>
      <c r="P1051" s="6" t="s">
        <v>42</v>
      </c>
      <c r="Q1051" s="5" t="s">
        <v>1237</v>
      </c>
      <c r="R1051" s="5" t="s">
        <v>9468</v>
      </c>
      <c r="S1051" s="6" t="s">
        <v>56</v>
      </c>
      <c r="T1051" s="6">
        <v>6563.0</v>
      </c>
    </row>
    <row r="1052" ht="56.25" customHeight="1">
      <c r="A1052" s="5" t="s">
        <v>9461</v>
      </c>
      <c r="B1052" s="6" t="str">
        <f>image("https://storage.googleapis.com/acdb/photos/BromideNpcNmlKal10_Remake_2_0.png")</f>
        <v/>
      </c>
      <c r="C1052" s="5" t="s">
        <v>688</v>
      </c>
      <c r="D1052" s="5" t="s">
        <v>1327</v>
      </c>
      <c r="E1052" s="5" t="s">
        <v>34</v>
      </c>
      <c r="F1052" s="5" t="s">
        <v>34</v>
      </c>
      <c r="G1052" s="5" t="s">
        <v>36</v>
      </c>
      <c r="H1052" s="5" t="s">
        <v>35</v>
      </c>
      <c r="I1052" s="6">
        <v>1.0</v>
      </c>
      <c r="J1052" s="6" t="s">
        <v>37</v>
      </c>
      <c r="K1052" s="6">
        <v>10.0</v>
      </c>
      <c r="L1052" s="5"/>
      <c r="M1052" s="5"/>
      <c r="N1052" s="6" t="s">
        <v>40</v>
      </c>
      <c r="O1052" s="5" t="s">
        <v>5363</v>
      </c>
      <c r="P1052" s="6" t="s">
        <v>42</v>
      </c>
      <c r="Q1052" s="5" t="s">
        <v>1237</v>
      </c>
      <c r="R1052" s="5" t="s">
        <v>9471</v>
      </c>
      <c r="S1052" s="6" t="s">
        <v>67</v>
      </c>
      <c r="T1052" s="6">
        <v>6563.0</v>
      </c>
    </row>
    <row r="1053" ht="56.25" customHeight="1">
      <c r="A1053" s="5" t="s">
        <v>9461</v>
      </c>
      <c r="B1053" s="6" t="str">
        <f>image("https://storage.googleapis.com/acdb/photos/BromideNpcNmlKal10_Remake_3_0.png")</f>
        <v/>
      </c>
      <c r="C1053" s="5" t="s">
        <v>57</v>
      </c>
      <c r="D1053" s="5" t="s">
        <v>1327</v>
      </c>
      <c r="E1053" s="5" t="s">
        <v>34</v>
      </c>
      <c r="F1053" s="5" t="s">
        <v>34</v>
      </c>
      <c r="G1053" s="5" t="s">
        <v>36</v>
      </c>
      <c r="H1053" s="5" t="s">
        <v>35</v>
      </c>
      <c r="I1053" s="6">
        <v>1.0</v>
      </c>
      <c r="J1053" s="6" t="s">
        <v>37</v>
      </c>
      <c r="K1053" s="6">
        <v>10.0</v>
      </c>
      <c r="L1053" s="5"/>
      <c r="M1053" s="5"/>
      <c r="N1053" s="6" t="s">
        <v>40</v>
      </c>
      <c r="O1053" s="5" t="s">
        <v>5363</v>
      </c>
      <c r="P1053" s="6" t="s">
        <v>42</v>
      </c>
      <c r="Q1053" s="5" t="s">
        <v>1237</v>
      </c>
      <c r="R1053" s="5" t="s">
        <v>9475</v>
      </c>
      <c r="S1053" s="6" t="s">
        <v>71</v>
      </c>
      <c r="T1053" s="6">
        <v>6563.0</v>
      </c>
    </row>
    <row r="1054" ht="56.25" customHeight="1">
      <c r="A1054" s="5" t="s">
        <v>9461</v>
      </c>
      <c r="B1054" s="6" t="str">
        <f>image("https://storage.googleapis.com/acdb/photos/BromideNpcNmlKal10_Remake_4_0.png")</f>
        <v/>
      </c>
      <c r="C1054" s="5" t="s">
        <v>1167</v>
      </c>
      <c r="D1054" s="5" t="s">
        <v>1327</v>
      </c>
      <c r="E1054" s="5" t="s">
        <v>34</v>
      </c>
      <c r="F1054" s="5" t="s">
        <v>34</v>
      </c>
      <c r="G1054" s="5" t="s">
        <v>36</v>
      </c>
      <c r="H1054" s="5" t="s">
        <v>35</v>
      </c>
      <c r="I1054" s="6">
        <v>1.0</v>
      </c>
      <c r="J1054" s="6" t="s">
        <v>37</v>
      </c>
      <c r="K1054" s="6">
        <v>10.0</v>
      </c>
      <c r="L1054" s="5"/>
      <c r="M1054" s="5"/>
      <c r="N1054" s="6" t="s">
        <v>40</v>
      </c>
      <c r="O1054" s="5" t="s">
        <v>5363</v>
      </c>
      <c r="P1054" s="6" t="s">
        <v>42</v>
      </c>
      <c r="Q1054" s="5" t="s">
        <v>1237</v>
      </c>
      <c r="R1054" s="5" t="s">
        <v>9480</v>
      </c>
      <c r="S1054" s="6" t="s">
        <v>75</v>
      </c>
      <c r="T1054" s="6">
        <v>6563.0</v>
      </c>
    </row>
    <row r="1055" ht="56.25" customHeight="1">
      <c r="A1055" s="5" t="s">
        <v>9461</v>
      </c>
      <c r="B1055" s="6" t="str">
        <f>image("https://storage.googleapis.com/acdb/photos/BromideNpcNmlKal10_Remake_5_0.png")</f>
        <v/>
      </c>
      <c r="C1055" s="5" t="s">
        <v>58</v>
      </c>
      <c r="D1055" s="5" t="s">
        <v>1327</v>
      </c>
      <c r="E1055" s="5" t="s">
        <v>34</v>
      </c>
      <c r="F1055" s="5" t="s">
        <v>34</v>
      </c>
      <c r="G1055" s="5" t="s">
        <v>36</v>
      </c>
      <c r="H1055" s="5" t="s">
        <v>35</v>
      </c>
      <c r="I1055" s="6">
        <v>1.0</v>
      </c>
      <c r="J1055" s="6" t="s">
        <v>37</v>
      </c>
      <c r="K1055" s="6">
        <v>10.0</v>
      </c>
      <c r="L1055" s="5"/>
      <c r="M1055" s="5"/>
      <c r="N1055" s="6" t="s">
        <v>40</v>
      </c>
      <c r="O1055" s="5" t="s">
        <v>5363</v>
      </c>
      <c r="P1055" s="6" t="s">
        <v>42</v>
      </c>
      <c r="Q1055" s="5" t="s">
        <v>1237</v>
      </c>
      <c r="R1055" s="5" t="s">
        <v>9482</v>
      </c>
      <c r="S1055" s="6" t="s">
        <v>79</v>
      </c>
      <c r="T1055" s="6">
        <v>6563.0</v>
      </c>
    </row>
    <row r="1056" ht="56.25" customHeight="1">
      <c r="A1056" s="5" t="s">
        <v>9461</v>
      </c>
      <c r="B1056" s="6" t="str">
        <f>image("https://storage.googleapis.com/acdb/photos/BromideNpcNmlKal10_Remake_6_0.png")</f>
        <v/>
      </c>
      <c r="C1056" s="5" t="s">
        <v>146</v>
      </c>
      <c r="D1056" s="5" t="s">
        <v>1327</v>
      </c>
      <c r="E1056" s="5" t="s">
        <v>34</v>
      </c>
      <c r="F1056" s="5" t="s">
        <v>34</v>
      </c>
      <c r="G1056" s="5" t="s">
        <v>36</v>
      </c>
      <c r="H1056" s="5" t="s">
        <v>35</v>
      </c>
      <c r="I1056" s="6">
        <v>1.0</v>
      </c>
      <c r="J1056" s="6" t="s">
        <v>37</v>
      </c>
      <c r="K1056" s="6">
        <v>10.0</v>
      </c>
      <c r="L1056" s="5"/>
      <c r="M1056" s="5"/>
      <c r="N1056" s="6" t="s">
        <v>40</v>
      </c>
      <c r="O1056" s="5" t="s">
        <v>5363</v>
      </c>
      <c r="P1056" s="6" t="s">
        <v>42</v>
      </c>
      <c r="Q1056" s="5" t="s">
        <v>1237</v>
      </c>
      <c r="R1056" s="5" t="s">
        <v>9487</v>
      </c>
      <c r="S1056" s="6" t="s">
        <v>86</v>
      </c>
      <c r="T1056" s="6">
        <v>6563.0</v>
      </c>
    </row>
    <row r="1057" ht="56.25" customHeight="1">
      <c r="A1057" s="5" t="s">
        <v>9461</v>
      </c>
      <c r="B1057" s="6" t="str">
        <f>image("https://storage.googleapis.com/acdb/photos/BromideNpcNmlKal10_Remake_7_0.png")</f>
        <v/>
      </c>
      <c r="C1057" s="5" t="s">
        <v>151</v>
      </c>
      <c r="D1057" s="5" t="s">
        <v>1327</v>
      </c>
      <c r="E1057" s="5" t="s">
        <v>34</v>
      </c>
      <c r="F1057" s="5" t="s">
        <v>34</v>
      </c>
      <c r="G1057" s="5" t="s">
        <v>36</v>
      </c>
      <c r="H1057" s="5" t="s">
        <v>35</v>
      </c>
      <c r="I1057" s="6">
        <v>1.0</v>
      </c>
      <c r="J1057" s="6" t="s">
        <v>37</v>
      </c>
      <c r="K1057" s="6">
        <v>10.0</v>
      </c>
      <c r="L1057" s="5"/>
      <c r="M1057" s="5"/>
      <c r="N1057" s="6" t="s">
        <v>40</v>
      </c>
      <c r="O1057" s="5" t="s">
        <v>5363</v>
      </c>
      <c r="P1057" s="6" t="s">
        <v>42</v>
      </c>
      <c r="Q1057" s="5" t="s">
        <v>1237</v>
      </c>
      <c r="R1057" s="5" t="s">
        <v>9493</v>
      </c>
      <c r="S1057" s="6" t="s">
        <v>208</v>
      </c>
      <c r="T1057" s="6">
        <v>6563.0</v>
      </c>
    </row>
    <row r="1058" ht="56.25" customHeight="1">
      <c r="A1058" s="5" t="s">
        <v>9495</v>
      </c>
      <c r="B1058" s="6" t="str">
        <f>image("https://storage.googleapis.com/acdb/photos/BromideNpcNmlShp02_Remake_0_0.png")</f>
        <v/>
      </c>
      <c r="C1058" s="5" t="s">
        <v>366</v>
      </c>
      <c r="D1058" s="5" t="s">
        <v>1327</v>
      </c>
      <c r="E1058" s="5" t="s">
        <v>34</v>
      </c>
      <c r="F1058" s="5" t="s">
        <v>34</v>
      </c>
      <c r="G1058" s="5" t="s">
        <v>36</v>
      </c>
      <c r="H1058" s="5" t="s">
        <v>35</v>
      </c>
      <c r="I1058" s="6">
        <v>1.0</v>
      </c>
      <c r="J1058" s="6" t="s">
        <v>37</v>
      </c>
      <c r="K1058" s="6">
        <v>10.0</v>
      </c>
      <c r="L1058" s="5"/>
      <c r="M1058" s="5"/>
      <c r="N1058" s="6" t="s">
        <v>40</v>
      </c>
      <c r="O1058" s="5" t="s">
        <v>5363</v>
      </c>
      <c r="P1058" s="6" t="s">
        <v>42</v>
      </c>
      <c r="Q1058" s="5" t="s">
        <v>1237</v>
      </c>
      <c r="R1058" s="5" t="s">
        <v>9498</v>
      </c>
      <c r="S1058" s="6" t="s">
        <v>50</v>
      </c>
      <c r="T1058" s="6">
        <v>6692.0</v>
      </c>
    </row>
    <row r="1059" ht="56.25" customHeight="1">
      <c r="A1059" s="5" t="s">
        <v>9495</v>
      </c>
      <c r="B1059" s="6" t="str">
        <f>image("https://storage.googleapis.com/acdb/photos/BromideNpcNmlShp02_Remake_1_0.png")</f>
        <v/>
      </c>
      <c r="C1059" s="5" t="s">
        <v>1132</v>
      </c>
      <c r="D1059" s="5" t="s">
        <v>1327</v>
      </c>
      <c r="E1059" s="5" t="s">
        <v>34</v>
      </c>
      <c r="F1059" s="5" t="s">
        <v>34</v>
      </c>
      <c r="G1059" s="5" t="s">
        <v>36</v>
      </c>
      <c r="H1059" s="5" t="s">
        <v>35</v>
      </c>
      <c r="I1059" s="6">
        <v>1.0</v>
      </c>
      <c r="J1059" s="6" t="s">
        <v>37</v>
      </c>
      <c r="K1059" s="6">
        <v>10.0</v>
      </c>
      <c r="L1059" s="5"/>
      <c r="M1059" s="5"/>
      <c r="N1059" s="6" t="s">
        <v>40</v>
      </c>
      <c r="O1059" s="5" t="s">
        <v>5363</v>
      </c>
      <c r="P1059" s="6" t="s">
        <v>42</v>
      </c>
      <c r="Q1059" s="5" t="s">
        <v>1237</v>
      </c>
      <c r="R1059" s="5" t="s">
        <v>9504</v>
      </c>
      <c r="S1059" s="6" t="s">
        <v>56</v>
      </c>
      <c r="T1059" s="6">
        <v>6692.0</v>
      </c>
    </row>
    <row r="1060" ht="56.25" customHeight="1">
      <c r="A1060" s="5" t="s">
        <v>9495</v>
      </c>
      <c r="B1060" s="6" t="str">
        <f>image("https://storage.googleapis.com/acdb/photos/BromideNpcNmlShp02_Remake_2_0.png")</f>
        <v/>
      </c>
      <c r="C1060" s="5" t="s">
        <v>688</v>
      </c>
      <c r="D1060" s="5" t="s">
        <v>1327</v>
      </c>
      <c r="E1060" s="5" t="s">
        <v>34</v>
      </c>
      <c r="F1060" s="5" t="s">
        <v>34</v>
      </c>
      <c r="G1060" s="5" t="s">
        <v>36</v>
      </c>
      <c r="H1060" s="5" t="s">
        <v>35</v>
      </c>
      <c r="I1060" s="6">
        <v>1.0</v>
      </c>
      <c r="J1060" s="6" t="s">
        <v>37</v>
      </c>
      <c r="K1060" s="6">
        <v>10.0</v>
      </c>
      <c r="L1060" s="5"/>
      <c r="M1060" s="5"/>
      <c r="N1060" s="6" t="s">
        <v>40</v>
      </c>
      <c r="O1060" s="5" t="s">
        <v>5363</v>
      </c>
      <c r="P1060" s="6" t="s">
        <v>42</v>
      </c>
      <c r="Q1060" s="5" t="s">
        <v>1237</v>
      </c>
      <c r="R1060" s="5" t="s">
        <v>9509</v>
      </c>
      <c r="S1060" s="6" t="s">
        <v>67</v>
      </c>
      <c r="T1060" s="6">
        <v>6692.0</v>
      </c>
    </row>
    <row r="1061" ht="56.25" customHeight="1">
      <c r="A1061" s="5" t="s">
        <v>9495</v>
      </c>
      <c r="B1061" s="6" t="str">
        <f>image("https://storage.googleapis.com/acdb/photos/BromideNpcNmlShp02_Remake_3_0.png")</f>
        <v/>
      </c>
      <c r="C1061" s="5" t="s">
        <v>57</v>
      </c>
      <c r="D1061" s="5" t="s">
        <v>1327</v>
      </c>
      <c r="E1061" s="5" t="s">
        <v>34</v>
      </c>
      <c r="F1061" s="5" t="s">
        <v>34</v>
      </c>
      <c r="G1061" s="5" t="s">
        <v>36</v>
      </c>
      <c r="H1061" s="5" t="s">
        <v>35</v>
      </c>
      <c r="I1061" s="6">
        <v>1.0</v>
      </c>
      <c r="J1061" s="6" t="s">
        <v>37</v>
      </c>
      <c r="K1061" s="6">
        <v>10.0</v>
      </c>
      <c r="L1061" s="5"/>
      <c r="M1061" s="5"/>
      <c r="N1061" s="6" t="s">
        <v>40</v>
      </c>
      <c r="O1061" s="5" t="s">
        <v>5363</v>
      </c>
      <c r="P1061" s="6" t="s">
        <v>42</v>
      </c>
      <c r="Q1061" s="5" t="s">
        <v>1237</v>
      </c>
      <c r="R1061" s="5" t="s">
        <v>9514</v>
      </c>
      <c r="S1061" s="6" t="s">
        <v>71</v>
      </c>
      <c r="T1061" s="6">
        <v>6692.0</v>
      </c>
    </row>
    <row r="1062" ht="56.25" customHeight="1">
      <c r="A1062" s="5" t="s">
        <v>9495</v>
      </c>
      <c r="B1062" s="6" t="str">
        <f>image("https://storage.googleapis.com/acdb/photos/BromideNpcNmlShp02_Remake_4_0.png")</f>
        <v/>
      </c>
      <c r="C1062" s="5" t="s">
        <v>1167</v>
      </c>
      <c r="D1062" s="5" t="s">
        <v>1327</v>
      </c>
      <c r="E1062" s="5" t="s">
        <v>34</v>
      </c>
      <c r="F1062" s="5" t="s">
        <v>34</v>
      </c>
      <c r="G1062" s="5" t="s">
        <v>36</v>
      </c>
      <c r="H1062" s="5" t="s">
        <v>35</v>
      </c>
      <c r="I1062" s="6">
        <v>1.0</v>
      </c>
      <c r="J1062" s="6" t="s">
        <v>37</v>
      </c>
      <c r="K1062" s="6">
        <v>10.0</v>
      </c>
      <c r="L1062" s="5"/>
      <c r="M1062" s="5"/>
      <c r="N1062" s="6" t="s">
        <v>40</v>
      </c>
      <c r="O1062" s="5" t="s">
        <v>5363</v>
      </c>
      <c r="P1062" s="6" t="s">
        <v>42</v>
      </c>
      <c r="Q1062" s="5" t="s">
        <v>1237</v>
      </c>
      <c r="R1062" s="5" t="s">
        <v>9519</v>
      </c>
      <c r="S1062" s="6" t="s">
        <v>75</v>
      </c>
      <c r="T1062" s="6">
        <v>6692.0</v>
      </c>
    </row>
    <row r="1063" ht="56.25" customHeight="1">
      <c r="A1063" s="5" t="s">
        <v>9495</v>
      </c>
      <c r="B1063" s="6" t="str">
        <f>image("https://storage.googleapis.com/acdb/photos/BromideNpcNmlShp02_Remake_5_0.png")</f>
        <v/>
      </c>
      <c r="C1063" s="5" t="s">
        <v>58</v>
      </c>
      <c r="D1063" s="5" t="s">
        <v>1327</v>
      </c>
      <c r="E1063" s="5" t="s">
        <v>34</v>
      </c>
      <c r="F1063" s="5" t="s">
        <v>34</v>
      </c>
      <c r="G1063" s="5" t="s">
        <v>36</v>
      </c>
      <c r="H1063" s="5" t="s">
        <v>35</v>
      </c>
      <c r="I1063" s="6">
        <v>1.0</v>
      </c>
      <c r="J1063" s="6" t="s">
        <v>37</v>
      </c>
      <c r="K1063" s="6">
        <v>10.0</v>
      </c>
      <c r="L1063" s="5"/>
      <c r="M1063" s="5"/>
      <c r="N1063" s="6" t="s">
        <v>40</v>
      </c>
      <c r="O1063" s="5" t="s">
        <v>5363</v>
      </c>
      <c r="P1063" s="6" t="s">
        <v>42</v>
      </c>
      <c r="Q1063" s="5" t="s">
        <v>1237</v>
      </c>
      <c r="R1063" s="5" t="s">
        <v>9524</v>
      </c>
      <c r="S1063" s="6" t="s">
        <v>79</v>
      </c>
      <c r="T1063" s="6">
        <v>6692.0</v>
      </c>
    </row>
    <row r="1064" ht="56.25" customHeight="1">
      <c r="A1064" s="5" t="s">
        <v>9495</v>
      </c>
      <c r="B1064" s="6" t="str">
        <f>image("https://storage.googleapis.com/acdb/photos/BromideNpcNmlShp02_Remake_6_0.png")</f>
        <v/>
      </c>
      <c r="C1064" s="5" t="s">
        <v>146</v>
      </c>
      <c r="D1064" s="5" t="s">
        <v>1327</v>
      </c>
      <c r="E1064" s="5" t="s">
        <v>34</v>
      </c>
      <c r="F1064" s="5" t="s">
        <v>34</v>
      </c>
      <c r="G1064" s="5" t="s">
        <v>36</v>
      </c>
      <c r="H1064" s="5" t="s">
        <v>35</v>
      </c>
      <c r="I1064" s="6">
        <v>1.0</v>
      </c>
      <c r="J1064" s="6" t="s">
        <v>37</v>
      </c>
      <c r="K1064" s="6">
        <v>10.0</v>
      </c>
      <c r="L1064" s="5"/>
      <c r="M1064" s="5"/>
      <c r="N1064" s="6" t="s">
        <v>40</v>
      </c>
      <c r="O1064" s="5" t="s">
        <v>5363</v>
      </c>
      <c r="P1064" s="6" t="s">
        <v>42</v>
      </c>
      <c r="Q1064" s="5" t="s">
        <v>1237</v>
      </c>
      <c r="R1064" s="5" t="s">
        <v>9529</v>
      </c>
      <c r="S1064" s="6" t="s">
        <v>86</v>
      </c>
      <c r="T1064" s="6">
        <v>6692.0</v>
      </c>
    </row>
    <row r="1065" ht="56.25" customHeight="1">
      <c r="A1065" s="5" t="s">
        <v>9495</v>
      </c>
      <c r="B1065" s="6" t="str">
        <f>image("https://storage.googleapis.com/acdb/photos/BromideNpcNmlShp02_Remake_7_0.png")</f>
        <v/>
      </c>
      <c r="C1065" s="5" t="s">
        <v>151</v>
      </c>
      <c r="D1065" s="5" t="s">
        <v>1327</v>
      </c>
      <c r="E1065" s="5" t="s">
        <v>34</v>
      </c>
      <c r="F1065" s="5" t="s">
        <v>34</v>
      </c>
      <c r="G1065" s="5" t="s">
        <v>36</v>
      </c>
      <c r="H1065" s="5" t="s">
        <v>35</v>
      </c>
      <c r="I1065" s="6">
        <v>1.0</v>
      </c>
      <c r="J1065" s="6" t="s">
        <v>37</v>
      </c>
      <c r="K1065" s="6">
        <v>10.0</v>
      </c>
      <c r="L1065" s="5"/>
      <c r="M1065" s="5"/>
      <c r="N1065" s="6" t="s">
        <v>40</v>
      </c>
      <c r="O1065" s="5" t="s">
        <v>5363</v>
      </c>
      <c r="P1065" s="6" t="s">
        <v>42</v>
      </c>
      <c r="Q1065" s="5" t="s">
        <v>1237</v>
      </c>
      <c r="R1065" s="5" t="s">
        <v>9533</v>
      </c>
      <c r="S1065" s="6" t="s">
        <v>208</v>
      </c>
      <c r="T1065" s="6">
        <v>6692.0</v>
      </c>
    </row>
    <row r="1066" ht="56.25" customHeight="1">
      <c r="A1066" s="5" t="s">
        <v>9536</v>
      </c>
      <c r="B1066" s="6" t="str">
        <f>image("https://storage.googleapis.com/acdb/photos/BromideNpcNmlWol06_Remake_0_0.png")</f>
        <v/>
      </c>
      <c r="C1066" s="5" t="s">
        <v>366</v>
      </c>
      <c r="D1066" s="5" t="s">
        <v>1327</v>
      </c>
      <c r="E1066" s="5" t="s">
        <v>34</v>
      </c>
      <c r="F1066" s="5" t="s">
        <v>34</v>
      </c>
      <c r="G1066" s="5" t="s">
        <v>36</v>
      </c>
      <c r="H1066" s="5" t="s">
        <v>35</v>
      </c>
      <c r="I1066" s="6">
        <v>1.0</v>
      </c>
      <c r="J1066" s="6" t="s">
        <v>37</v>
      </c>
      <c r="K1066" s="6">
        <v>10.0</v>
      </c>
      <c r="L1066" s="5"/>
      <c r="M1066" s="5"/>
      <c r="N1066" s="6" t="s">
        <v>40</v>
      </c>
      <c r="O1066" s="5" t="s">
        <v>5363</v>
      </c>
      <c r="P1066" s="6" t="s">
        <v>42</v>
      </c>
      <c r="Q1066" s="5" t="s">
        <v>1237</v>
      </c>
      <c r="R1066" s="5" t="s">
        <v>9540</v>
      </c>
      <c r="S1066" s="6" t="s">
        <v>50</v>
      </c>
      <c r="T1066" s="6">
        <v>6738.0</v>
      </c>
    </row>
    <row r="1067" ht="56.25" customHeight="1">
      <c r="A1067" s="5" t="s">
        <v>9536</v>
      </c>
      <c r="B1067" s="6" t="str">
        <f>image("https://storage.googleapis.com/acdb/photos/BromideNpcNmlWol06_Remake_1_0.png")</f>
        <v/>
      </c>
      <c r="C1067" s="5" t="s">
        <v>1132</v>
      </c>
      <c r="D1067" s="5" t="s">
        <v>1327</v>
      </c>
      <c r="E1067" s="5" t="s">
        <v>34</v>
      </c>
      <c r="F1067" s="5" t="s">
        <v>34</v>
      </c>
      <c r="G1067" s="5" t="s">
        <v>36</v>
      </c>
      <c r="H1067" s="5" t="s">
        <v>35</v>
      </c>
      <c r="I1067" s="6">
        <v>1.0</v>
      </c>
      <c r="J1067" s="6" t="s">
        <v>37</v>
      </c>
      <c r="K1067" s="6">
        <v>10.0</v>
      </c>
      <c r="L1067" s="5"/>
      <c r="M1067" s="5"/>
      <c r="N1067" s="6" t="s">
        <v>40</v>
      </c>
      <c r="O1067" s="5" t="s">
        <v>5363</v>
      </c>
      <c r="P1067" s="6" t="s">
        <v>42</v>
      </c>
      <c r="Q1067" s="5" t="s">
        <v>1237</v>
      </c>
      <c r="R1067" s="5" t="s">
        <v>9544</v>
      </c>
      <c r="S1067" s="6" t="s">
        <v>56</v>
      </c>
      <c r="T1067" s="6">
        <v>6738.0</v>
      </c>
    </row>
    <row r="1068" ht="56.25" customHeight="1">
      <c r="A1068" s="5" t="s">
        <v>9536</v>
      </c>
      <c r="B1068" s="6" t="str">
        <f>image("https://storage.googleapis.com/acdb/photos/BromideNpcNmlWol06_Remake_2_0.png")</f>
        <v/>
      </c>
      <c r="C1068" s="5" t="s">
        <v>688</v>
      </c>
      <c r="D1068" s="5" t="s">
        <v>1327</v>
      </c>
      <c r="E1068" s="5" t="s">
        <v>34</v>
      </c>
      <c r="F1068" s="5" t="s">
        <v>34</v>
      </c>
      <c r="G1068" s="5" t="s">
        <v>36</v>
      </c>
      <c r="H1068" s="5" t="s">
        <v>35</v>
      </c>
      <c r="I1068" s="6">
        <v>1.0</v>
      </c>
      <c r="J1068" s="6" t="s">
        <v>37</v>
      </c>
      <c r="K1068" s="6">
        <v>10.0</v>
      </c>
      <c r="L1068" s="5"/>
      <c r="M1068" s="5"/>
      <c r="N1068" s="6" t="s">
        <v>40</v>
      </c>
      <c r="O1068" s="5" t="s">
        <v>5363</v>
      </c>
      <c r="P1068" s="6" t="s">
        <v>42</v>
      </c>
      <c r="Q1068" s="5" t="s">
        <v>1237</v>
      </c>
      <c r="R1068" s="5" t="s">
        <v>9547</v>
      </c>
      <c r="S1068" s="6" t="s">
        <v>67</v>
      </c>
      <c r="T1068" s="6">
        <v>6738.0</v>
      </c>
    </row>
    <row r="1069" ht="56.25" customHeight="1">
      <c r="A1069" s="5" t="s">
        <v>9536</v>
      </c>
      <c r="B1069" s="6" t="str">
        <f>image("https://storage.googleapis.com/acdb/photos/BromideNpcNmlWol06_Remake_3_0.png")</f>
        <v/>
      </c>
      <c r="C1069" s="5" t="s">
        <v>57</v>
      </c>
      <c r="D1069" s="5" t="s">
        <v>1327</v>
      </c>
      <c r="E1069" s="5" t="s">
        <v>34</v>
      </c>
      <c r="F1069" s="5" t="s">
        <v>34</v>
      </c>
      <c r="G1069" s="5" t="s">
        <v>36</v>
      </c>
      <c r="H1069" s="5" t="s">
        <v>35</v>
      </c>
      <c r="I1069" s="6">
        <v>1.0</v>
      </c>
      <c r="J1069" s="6" t="s">
        <v>37</v>
      </c>
      <c r="K1069" s="6">
        <v>10.0</v>
      </c>
      <c r="L1069" s="5"/>
      <c r="M1069" s="5"/>
      <c r="N1069" s="6" t="s">
        <v>40</v>
      </c>
      <c r="O1069" s="5" t="s">
        <v>5363</v>
      </c>
      <c r="P1069" s="6" t="s">
        <v>42</v>
      </c>
      <c r="Q1069" s="5" t="s">
        <v>1237</v>
      </c>
      <c r="R1069" s="5" t="s">
        <v>9549</v>
      </c>
      <c r="S1069" s="6" t="s">
        <v>71</v>
      </c>
      <c r="T1069" s="6">
        <v>6738.0</v>
      </c>
    </row>
    <row r="1070" ht="56.25" customHeight="1">
      <c r="A1070" s="5" t="s">
        <v>9536</v>
      </c>
      <c r="B1070" s="6" t="str">
        <f>image("https://storage.googleapis.com/acdb/photos/BromideNpcNmlWol06_Remake_4_0.png")</f>
        <v/>
      </c>
      <c r="C1070" s="5" t="s">
        <v>1167</v>
      </c>
      <c r="D1070" s="5" t="s">
        <v>1327</v>
      </c>
      <c r="E1070" s="5" t="s">
        <v>34</v>
      </c>
      <c r="F1070" s="5" t="s">
        <v>34</v>
      </c>
      <c r="G1070" s="5" t="s">
        <v>36</v>
      </c>
      <c r="H1070" s="5" t="s">
        <v>35</v>
      </c>
      <c r="I1070" s="6">
        <v>1.0</v>
      </c>
      <c r="J1070" s="6" t="s">
        <v>37</v>
      </c>
      <c r="K1070" s="6">
        <v>10.0</v>
      </c>
      <c r="L1070" s="5"/>
      <c r="M1070" s="5"/>
      <c r="N1070" s="6" t="s">
        <v>40</v>
      </c>
      <c r="O1070" s="5" t="s">
        <v>5363</v>
      </c>
      <c r="P1070" s="6" t="s">
        <v>42</v>
      </c>
      <c r="Q1070" s="5" t="s">
        <v>1237</v>
      </c>
      <c r="R1070" s="5" t="s">
        <v>9554</v>
      </c>
      <c r="S1070" s="6" t="s">
        <v>75</v>
      </c>
      <c r="T1070" s="6">
        <v>6738.0</v>
      </c>
    </row>
    <row r="1071" ht="56.25" customHeight="1">
      <c r="A1071" s="5" t="s">
        <v>9536</v>
      </c>
      <c r="B1071" s="6" t="str">
        <f>image("https://storage.googleapis.com/acdb/photos/BromideNpcNmlWol06_Remake_5_0.png")</f>
        <v/>
      </c>
      <c r="C1071" s="5" t="s">
        <v>58</v>
      </c>
      <c r="D1071" s="5" t="s">
        <v>1327</v>
      </c>
      <c r="E1071" s="5" t="s">
        <v>34</v>
      </c>
      <c r="F1071" s="5" t="s">
        <v>34</v>
      </c>
      <c r="G1071" s="5" t="s">
        <v>36</v>
      </c>
      <c r="H1071" s="5" t="s">
        <v>35</v>
      </c>
      <c r="I1071" s="6">
        <v>1.0</v>
      </c>
      <c r="J1071" s="6" t="s">
        <v>37</v>
      </c>
      <c r="K1071" s="6">
        <v>10.0</v>
      </c>
      <c r="L1071" s="5"/>
      <c r="M1071" s="5"/>
      <c r="N1071" s="6" t="s">
        <v>40</v>
      </c>
      <c r="O1071" s="5" t="s">
        <v>5363</v>
      </c>
      <c r="P1071" s="6" t="s">
        <v>42</v>
      </c>
      <c r="Q1071" s="5" t="s">
        <v>1237</v>
      </c>
      <c r="R1071" s="5" t="s">
        <v>9557</v>
      </c>
      <c r="S1071" s="6" t="s">
        <v>79</v>
      </c>
      <c r="T1071" s="6">
        <v>6738.0</v>
      </c>
    </row>
    <row r="1072" ht="56.25" customHeight="1">
      <c r="A1072" s="5" t="s">
        <v>9536</v>
      </c>
      <c r="B1072" s="6" t="str">
        <f>image("https://storage.googleapis.com/acdb/photos/BromideNpcNmlWol06_Remake_6_0.png")</f>
        <v/>
      </c>
      <c r="C1072" s="5" t="s">
        <v>146</v>
      </c>
      <c r="D1072" s="5" t="s">
        <v>1327</v>
      </c>
      <c r="E1072" s="5" t="s">
        <v>34</v>
      </c>
      <c r="F1072" s="5" t="s">
        <v>34</v>
      </c>
      <c r="G1072" s="5" t="s">
        <v>36</v>
      </c>
      <c r="H1072" s="5" t="s">
        <v>35</v>
      </c>
      <c r="I1072" s="6">
        <v>1.0</v>
      </c>
      <c r="J1072" s="6" t="s">
        <v>37</v>
      </c>
      <c r="K1072" s="6">
        <v>10.0</v>
      </c>
      <c r="L1072" s="5"/>
      <c r="M1072" s="5"/>
      <c r="N1072" s="6" t="s">
        <v>40</v>
      </c>
      <c r="O1072" s="5" t="s">
        <v>5363</v>
      </c>
      <c r="P1072" s="6" t="s">
        <v>42</v>
      </c>
      <c r="Q1072" s="5" t="s">
        <v>1237</v>
      </c>
      <c r="R1072" s="5" t="s">
        <v>9560</v>
      </c>
      <c r="S1072" s="6" t="s">
        <v>86</v>
      </c>
      <c r="T1072" s="6">
        <v>6738.0</v>
      </c>
    </row>
    <row r="1073" ht="56.25" customHeight="1">
      <c r="A1073" s="5" t="s">
        <v>9536</v>
      </c>
      <c r="B1073" s="6" t="str">
        <f>image("https://storage.googleapis.com/acdb/photos/BromideNpcNmlWol06_Remake_7_0.png")</f>
        <v/>
      </c>
      <c r="C1073" s="5" t="s">
        <v>151</v>
      </c>
      <c r="D1073" s="5" t="s">
        <v>1327</v>
      </c>
      <c r="E1073" s="5" t="s">
        <v>34</v>
      </c>
      <c r="F1073" s="5" t="s">
        <v>34</v>
      </c>
      <c r="G1073" s="5" t="s">
        <v>36</v>
      </c>
      <c r="H1073" s="5" t="s">
        <v>35</v>
      </c>
      <c r="I1073" s="6">
        <v>1.0</v>
      </c>
      <c r="J1073" s="6" t="s">
        <v>37</v>
      </c>
      <c r="K1073" s="6">
        <v>10.0</v>
      </c>
      <c r="L1073" s="5"/>
      <c r="M1073" s="5"/>
      <c r="N1073" s="6" t="s">
        <v>40</v>
      </c>
      <c r="O1073" s="5" t="s">
        <v>5363</v>
      </c>
      <c r="P1073" s="6" t="s">
        <v>42</v>
      </c>
      <c r="Q1073" s="5" t="s">
        <v>1237</v>
      </c>
      <c r="R1073" s="5" t="s">
        <v>9562</v>
      </c>
      <c r="S1073" s="6" t="s">
        <v>208</v>
      </c>
      <c r="T1073" s="6">
        <v>6738.0</v>
      </c>
    </row>
    <row r="1074" ht="56.25" customHeight="1">
      <c r="A1074" s="5" t="s">
        <v>9565</v>
      </c>
      <c r="B1074" s="6" t="str">
        <f>image("https://storage.googleapis.com/acdb/photos/BromideNpcNmlDer00_Remake_0_0.png")</f>
        <v/>
      </c>
      <c r="C1074" s="5" t="s">
        <v>366</v>
      </c>
      <c r="D1074" s="5" t="s">
        <v>1327</v>
      </c>
      <c r="E1074" s="5" t="s">
        <v>34</v>
      </c>
      <c r="F1074" s="5" t="s">
        <v>34</v>
      </c>
      <c r="G1074" s="5" t="s">
        <v>36</v>
      </c>
      <c r="H1074" s="5" t="s">
        <v>35</v>
      </c>
      <c r="I1074" s="6">
        <v>1.0</v>
      </c>
      <c r="J1074" s="6" t="s">
        <v>37</v>
      </c>
      <c r="K1074" s="6">
        <v>10.0</v>
      </c>
      <c r="L1074" s="5"/>
      <c r="M1074" s="5"/>
      <c r="N1074" s="6" t="s">
        <v>40</v>
      </c>
      <c r="O1074" s="5" t="s">
        <v>5363</v>
      </c>
      <c r="P1074" s="6" t="s">
        <v>42</v>
      </c>
      <c r="Q1074" s="5" t="s">
        <v>1237</v>
      </c>
      <c r="R1074" s="5" t="s">
        <v>9567</v>
      </c>
      <c r="S1074" s="6" t="s">
        <v>50</v>
      </c>
      <c r="T1074" s="6">
        <v>6807.0</v>
      </c>
    </row>
    <row r="1075" ht="56.25" customHeight="1">
      <c r="A1075" s="5" t="s">
        <v>9565</v>
      </c>
      <c r="B1075" s="6" t="str">
        <f>image("https://storage.googleapis.com/acdb/photos/BromideNpcNmlDer00_Remake_1_0.png")</f>
        <v/>
      </c>
      <c r="C1075" s="5" t="s">
        <v>1132</v>
      </c>
      <c r="D1075" s="5" t="s">
        <v>1327</v>
      </c>
      <c r="E1075" s="5" t="s">
        <v>34</v>
      </c>
      <c r="F1075" s="5" t="s">
        <v>34</v>
      </c>
      <c r="G1075" s="5" t="s">
        <v>36</v>
      </c>
      <c r="H1075" s="5" t="s">
        <v>35</v>
      </c>
      <c r="I1075" s="6">
        <v>1.0</v>
      </c>
      <c r="J1075" s="6" t="s">
        <v>37</v>
      </c>
      <c r="K1075" s="6">
        <v>10.0</v>
      </c>
      <c r="L1075" s="5"/>
      <c r="M1075" s="5"/>
      <c r="N1075" s="6" t="s">
        <v>40</v>
      </c>
      <c r="O1075" s="5" t="s">
        <v>5363</v>
      </c>
      <c r="P1075" s="6" t="s">
        <v>42</v>
      </c>
      <c r="Q1075" s="5" t="s">
        <v>1237</v>
      </c>
      <c r="R1075" s="5" t="s">
        <v>9570</v>
      </c>
      <c r="S1075" s="6" t="s">
        <v>56</v>
      </c>
      <c r="T1075" s="6">
        <v>6807.0</v>
      </c>
    </row>
    <row r="1076" ht="56.25" customHeight="1">
      <c r="A1076" s="5" t="s">
        <v>9565</v>
      </c>
      <c r="B1076" s="6" t="str">
        <f>image("https://storage.googleapis.com/acdb/photos/BromideNpcNmlDer00_Remake_2_0.png")</f>
        <v/>
      </c>
      <c r="C1076" s="5" t="s">
        <v>688</v>
      </c>
      <c r="D1076" s="5" t="s">
        <v>1327</v>
      </c>
      <c r="E1076" s="5" t="s">
        <v>34</v>
      </c>
      <c r="F1076" s="5" t="s">
        <v>34</v>
      </c>
      <c r="G1076" s="5" t="s">
        <v>36</v>
      </c>
      <c r="H1076" s="5" t="s">
        <v>35</v>
      </c>
      <c r="I1076" s="6">
        <v>1.0</v>
      </c>
      <c r="J1076" s="6" t="s">
        <v>37</v>
      </c>
      <c r="K1076" s="6">
        <v>10.0</v>
      </c>
      <c r="L1076" s="5"/>
      <c r="M1076" s="5"/>
      <c r="N1076" s="6" t="s">
        <v>40</v>
      </c>
      <c r="O1076" s="5" t="s">
        <v>5363</v>
      </c>
      <c r="P1076" s="6" t="s">
        <v>42</v>
      </c>
      <c r="Q1076" s="5" t="s">
        <v>1237</v>
      </c>
      <c r="R1076" s="5" t="s">
        <v>9574</v>
      </c>
      <c r="S1076" s="6" t="s">
        <v>67</v>
      </c>
      <c r="T1076" s="6">
        <v>6807.0</v>
      </c>
    </row>
    <row r="1077" ht="56.25" customHeight="1">
      <c r="A1077" s="5" t="s">
        <v>9565</v>
      </c>
      <c r="B1077" s="6" t="str">
        <f>image("https://storage.googleapis.com/acdb/photos/BromideNpcNmlDer00_Remake_3_0.png")</f>
        <v/>
      </c>
      <c r="C1077" s="5" t="s">
        <v>57</v>
      </c>
      <c r="D1077" s="5" t="s">
        <v>1327</v>
      </c>
      <c r="E1077" s="5" t="s">
        <v>34</v>
      </c>
      <c r="F1077" s="5" t="s">
        <v>34</v>
      </c>
      <c r="G1077" s="5" t="s">
        <v>36</v>
      </c>
      <c r="H1077" s="5" t="s">
        <v>35</v>
      </c>
      <c r="I1077" s="6">
        <v>1.0</v>
      </c>
      <c r="J1077" s="6" t="s">
        <v>37</v>
      </c>
      <c r="K1077" s="6">
        <v>10.0</v>
      </c>
      <c r="L1077" s="5"/>
      <c r="M1077" s="5"/>
      <c r="N1077" s="6" t="s">
        <v>40</v>
      </c>
      <c r="O1077" s="5" t="s">
        <v>5363</v>
      </c>
      <c r="P1077" s="6" t="s">
        <v>42</v>
      </c>
      <c r="Q1077" s="5" t="s">
        <v>1237</v>
      </c>
      <c r="R1077" s="5" t="s">
        <v>9578</v>
      </c>
      <c r="S1077" s="6" t="s">
        <v>71</v>
      </c>
      <c r="T1077" s="6">
        <v>6807.0</v>
      </c>
    </row>
    <row r="1078" ht="56.25" customHeight="1">
      <c r="A1078" s="5" t="s">
        <v>9565</v>
      </c>
      <c r="B1078" s="6" t="str">
        <f>image("https://storage.googleapis.com/acdb/photos/BromideNpcNmlDer00_Remake_4_0.png")</f>
        <v/>
      </c>
      <c r="C1078" s="5" t="s">
        <v>1167</v>
      </c>
      <c r="D1078" s="5" t="s">
        <v>1327</v>
      </c>
      <c r="E1078" s="5" t="s">
        <v>34</v>
      </c>
      <c r="F1078" s="5" t="s">
        <v>34</v>
      </c>
      <c r="G1078" s="5" t="s">
        <v>36</v>
      </c>
      <c r="H1078" s="5" t="s">
        <v>35</v>
      </c>
      <c r="I1078" s="6">
        <v>1.0</v>
      </c>
      <c r="J1078" s="6" t="s">
        <v>37</v>
      </c>
      <c r="K1078" s="6">
        <v>10.0</v>
      </c>
      <c r="L1078" s="5"/>
      <c r="M1078" s="5"/>
      <c r="N1078" s="6" t="s">
        <v>40</v>
      </c>
      <c r="O1078" s="5" t="s">
        <v>5363</v>
      </c>
      <c r="P1078" s="6" t="s">
        <v>42</v>
      </c>
      <c r="Q1078" s="5" t="s">
        <v>1237</v>
      </c>
      <c r="R1078" s="5" t="s">
        <v>9581</v>
      </c>
      <c r="S1078" s="6" t="s">
        <v>75</v>
      </c>
      <c r="T1078" s="6">
        <v>6807.0</v>
      </c>
    </row>
    <row r="1079" ht="56.25" customHeight="1">
      <c r="A1079" s="5" t="s">
        <v>9565</v>
      </c>
      <c r="B1079" s="6" t="str">
        <f>image("https://storage.googleapis.com/acdb/photos/BromideNpcNmlDer00_Remake_5_0.png")</f>
        <v/>
      </c>
      <c r="C1079" s="5" t="s">
        <v>58</v>
      </c>
      <c r="D1079" s="5" t="s">
        <v>1327</v>
      </c>
      <c r="E1079" s="5" t="s">
        <v>34</v>
      </c>
      <c r="F1079" s="5" t="s">
        <v>34</v>
      </c>
      <c r="G1079" s="5" t="s">
        <v>36</v>
      </c>
      <c r="H1079" s="5" t="s">
        <v>35</v>
      </c>
      <c r="I1079" s="6">
        <v>1.0</v>
      </c>
      <c r="J1079" s="6" t="s">
        <v>37</v>
      </c>
      <c r="K1079" s="6">
        <v>10.0</v>
      </c>
      <c r="L1079" s="5"/>
      <c r="M1079" s="5"/>
      <c r="N1079" s="6" t="s">
        <v>40</v>
      </c>
      <c r="O1079" s="5" t="s">
        <v>5363</v>
      </c>
      <c r="P1079" s="6" t="s">
        <v>42</v>
      </c>
      <c r="Q1079" s="5" t="s">
        <v>1237</v>
      </c>
      <c r="R1079" s="5" t="s">
        <v>9584</v>
      </c>
      <c r="S1079" s="6" t="s">
        <v>79</v>
      </c>
      <c r="T1079" s="6">
        <v>6807.0</v>
      </c>
    </row>
    <row r="1080" ht="56.25" customHeight="1">
      <c r="A1080" s="5" t="s">
        <v>9565</v>
      </c>
      <c r="B1080" s="6" t="str">
        <f>image("https://storage.googleapis.com/acdb/photos/BromideNpcNmlDer00_Remake_6_0.png")</f>
        <v/>
      </c>
      <c r="C1080" s="5" t="s">
        <v>146</v>
      </c>
      <c r="D1080" s="5" t="s">
        <v>1327</v>
      </c>
      <c r="E1080" s="5" t="s">
        <v>34</v>
      </c>
      <c r="F1080" s="5" t="s">
        <v>34</v>
      </c>
      <c r="G1080" s="5" t="s">
        <v>36</v>
      </c>
      <c r="H1080" s="5" t="s">
        <v>35</v>
      </c>
      <c r="I1080" s="6">
        <v>1.0</v>
      </c>
      <c r="J1080" s="6" t="s">
        <v>37</v>
      </c>
      <c r="K1080" s="6">
        <v>10.0</v>
      </c>
      <c r="L1080" s="5"/>
      <c r="M1080" s="5"/>
      <c r="N1080" s="6" t="s">
        <v>40</v>
      </c>
      <c r="O1080" s="5" t="s">
        <v>5363</v>
      </c>
      <c r="P1080" s="6" t="s">
        <v>42</v>
      </c>
      <c r="Q1080" s="5" t="s">
        <v>1237</v>
      </c>
      <c r="R1080" s="5" t="s">
        <v>9587</v>
      </c>
      <c r="S1080" s="6" t="s">
        <v>86</v>
      </c>
      <c r="T1080" s="6">
        <v>6807.0</v>
      </c>
    </row>
    <row r="1081" ht="56.25" customHeight="1">
      <c r="A1081" s="5" t="s">
        <v>9565</v>
      </c>
      <c r="B1081" s="6" t="str">
        <f>image("https://storage.googleapis.com/acdb/photos/BromideNpcNmlDer00_Remake_7_0.png")</f>
        <v/>
      </c>
      <c r="C1081" s="5" t="s">
        <v>151</v>
      </c>
      <c r="D1081" s="5" t="s">
        <v>1327</v>
      </c>
      <c r="E1081" s="5" t="s">
        <v>34</v>
      </c>
      <c r="F1081" s="5" t="s">
        <v>34</v>
      </c>
      <c r="G1081" s="5" t="s">
        <v>36</v>
      </c>
      <c r="H1081" s="5" t="s">
        <v>35</v>
      </c>
      <c r="I1081" s="6">
        <v>1.0</v>
      </c>
      <c r="J1081" s="6" t="s">
        <v>37</v>
      </c>
      <c r="K1081" s="6">
        <v>10.0</v>
      </c>
      <c r="L1081" s="5"/>
      <c r="M1081" s="5"/>
      <c r="N1081" s="6" t="s">
        <v>40</v>
      </c>
      <c r="O1081" s="5" t="s">
        <v>5363</v>
      </c>
      <c r="P1081" s="6" t="s">
        <v>42</v>
      </c>
      <c r="Q1081" s="5" t="s">
        <v>1237</v>
      </c>
      <c r="R1081" s="5" t="s">
        <v>9590</v>
      </c>
      <c r="S1081" s="6" t="s">
        <v>208</v>
      </c>
      <c r="T1081" s="6">
        <v>6807.0</v>
      </c>
    </row>
    <row r="1082" ht="56.25" customHeight="1">
      <c r="A1082" s="5" t="s">
        <v>9591</v>
      </c>
      <c r="B1082" s="6" t="str">
        <f>image("https://storage.googleapis.com/acdb/photos/BromideNpcNmlCat17_Remake_0_0.png")</f>
        <v/>
      </c>
      <c r="C1082" s="5" t="s">
        <v>366</v>
      </c>
      <c r="D1082" s="5" t="s">
        <v>1327</v>
      </c>
      <c r="E1082" s="5" t="s">
        <v>34</v>
      </c>
      <c r="F1082" s="5" t="s">
        <v>34</v>
      </c>
      <c r="G1082" s="5" t="s">
        <v>36</v>
      </c>
      <c r="H1082" s="5" t="s">
        <v>35</v>
      </c>
      <c r="I1082" s="6">
        <v>1.0</v>
      </c>
      <c r="J1082" s="6" t="s">
        <v>37</v>
      </c>
      <c r="K1082" s="6">
        <v>10.0</v>
      </c>
      <c r="L1082" s="5"/>
      <c r="M1082" s="5"/>
      <c r="N1082" s="6" t="s">
        <v>40</v>
      </c>
      <c r="O1082" s="5" t="s">
        <v>5363</v>
      </c>
      <c r="P1082" s="6" t="s">
        <v>42</v>
      </c>
      <c r="Q1082" s="5" t="s">
        <v>1237</v>
      </c>
      <c r="R1082" s="5" t="s">
        <v>9594</v>
      </c>
      <c r="S1082" s="6" t="s">
        <v>50</v>
      </c>
      <c r="T1082" s="6">
        <v>6763.0</v>
      </c>
    </row>
    <row r="1083" ht="56.25" customHeight="1">
      <c r="A1083" s="5" t="s">
        <v>9591</v>
      </c>
      <c r="B1083" s="6" t="str">
        <f>image("https://storage.googleapis.com/acdb/photos/BromideNpcNmlCat17_Remake_1_0.png")</f>
        <v/>
      </c>
      <c r="C1083" s="5" t="s">
        <v>1132</v>
      </c>
      <c r="D1083" s="5" t="s">
        <v>1327</v>
      </c>
      <c r="E1083" s="5" t="s">
        <v>34</v>
      </c>
      <c r="F1083" s="5" t="s">
        <v>34</v>
      </c>
      <c r="G1083" s="5" t="s">
        <v>36</v>
      </c>
      <c r="H1083" s="5" t="s">
        <v>35</v>
      </c>
      <c r="I1083" s="6">
        <v>1.0</v>
      </c>
      <c r="J1083" s="6" t="s">
        <v>37</v>
      </c>
      <c r="K1083" s="6">
        <v>10.0</v>
      </c>
      <c r="L1083" s="5"/>
      <c r="M1083" s="5"/>
      <c r="N1083" s="6" t="s">
        <v>40</v>
      </c>
      <c r="O1083" s="5" t="s">
        <v>5363</v>
      </c>
      <c r="P1083" s="6" t="s">
        <v>42</v>
      </c>
      <c r="Q1083" s="5" t="s">
        <v>1237</v>
      </c>
      <c r="R1083" s="5" t="s">
        <v>9597</v>
      </c>
      <c r="S1083" s="6" t="s">
        <v>56</v>
      </c>
      <c r="T1083" s="6">
        <v>6763.0</v>
      </c>
    </row>
    <row r="1084" ht="56.25" customHeight="1">
      <c r="A1084" s="5" t="s">
        <v>9591</v>
      </c>
      <c r="B1084" s="6" t="str">
        <f>image("https://storage.googleapis.com/acdb/photos/BromideNpcNmlCat17_Remake_2_0.png")</f>
        <v/>
      </c>
      <c r="C1084" s="5" t="s">
        <v>688</v>
      </c>
      <c r="D1084" s="5" t="s">
        <v>1327</v>
      </c>
      <c r="E1084" s="5" t="s">
        <v>34</v>
      </c>
      <c r="F1084" s="5" t="s">
        <v>34</v>
      </c>
      <c r="G1084" s="5" t="s">
        <v>36</v>
      </c>
      <c r="H1084" s="5" t="s">
        <v>35</v>
      </c>
      <c r="I1084" s="6">
        <v>1.0</v>
      </c>
      <c r="J1084" s="6" t="s">
        <v>37</v>
      </c>
      <c r="K1084" s="6">
        <v>10.0</v>
      </c>
      <c r="L1084" s="5"/>
      <c r="M1084" s="5"/>
      <c r="N1084" s="6" t="s">
        <v>40</v>
      </c>
      <c r="O1084" s="5" t="s">
        <v>5363</v>
      </c>
      <c r="P1084" s="6" t="s">
        <v>42</v>
      </c>
      <c r="Q1084" s="5" t="s">
        <v>1237</v>
      </c>
      <c r="R1084" s="5" t="s">
        <v>9602</v>
      </c>
      <c r="S1084" s="6" t="s">
        <v>67</v>
      </c>
      <c r="T1084" s="6">
        <v>6763.0</v>
      </c>
    </row>
    <row r="1085" ht="56.25" customHeight="1">
      <c r="A1085" s="5" t="s">
        <v>9591</v>
      </c>
      <c r="B1085" s="6" t="str">
        <f>image("https://storage.googleapis.com/acdb/photos/BromideNpcNmlCat17_Remake_3_0.png")</f>
        <v/>
      </c>
      <c r="C1085" s="5" t="s">
        <v>57</v>
      </c>
      <c r="D1085" s="5" t="s">
        <v>1327</v>
      </c>
      <c r="E1085" s="5" t="s">
        <v>34</v>
      </c>
      <c r="F1085" s="5" t="s">
        <v>34</v>
      </c>
      <c r="G1085" s="5" t="s">
        <v>36</v>
      </c>
      <c r="H1085" s="5" t="s">
        <v>35</v>
      </c>
      <c r="I1085" s="6">
        <v>1.0</v>
      </c>
      <c r="J1085" s="6" t="s">
        <v>37</v>
      </c>
      <c r="K1085" s="6">
        <v>10.0</v>
      </c>
      <c r="L1085" s="5"/>
      <c r="M1085" s="5"/>
      <c r="N1085" s="6" t="s">
        <v>40</v>
      </c>
      <c r="O1085" s="5" t="s">
        <v>5363</v>
      </c>
      <c r="P1085" s="6" t="s">
        <v>42</v>
      </c>
      <c r="Q1085" s="5" t="s">
        <v>1237</v>
      </c>
      <c r="R1085" s="5" t="s">
        <v>9605</v>
      </c>
      <c r="S1085" s="6" t="s">
        <v>71</v>
      </c>
      <c r="T1085" s="6">
        <v>6763.0</v>
      </c>
    </row>
    <row r="1086" ht="56.25" customHeight="1">
      <c r="A1086" s="5" t="s">
        <v>9591</v>
      </c>
      <c r="B1086" s="6" t="str">
        <f>image("https://storage.googleapis.com/acdb/photos/BromideNpcNmlCat17_Remake_4_0.png")</f>
        <v/>
      </c>
      <c r="C1086" s="5" t="s">
        <v>1167</v>
      </c>
      <c r="D1086" s="5" t="s">
        <v>1327</v>
      </c>
      <c r="E1086" s="5" t="s">
        <v>34</v>
      </c>
      <c r="F1086" s="5" t="s">
        <v>34</v>
      </c>
      <c r="G1086" s="5" t="s">
        <v>36</v>
      </c>
      <c r="H1086" s="5" t="s">
        <v>35</v>
      </c>
      <c r="I1086" s="6">
        <v>1.0</v>
      </c>
      <c r="J1086" s="6" t="s">
        <v>37</v>
      </c>
      <c r="K1086" s="6">
        <v>10.0</v>
      </c>
      <c r="L1086" s="5"/>
      <c r="M1086" s="5"/>
      <c r="N1086" s="6" t="s">
        <v>40</v>
      </c>
      <c r="O1086" s="5" t="s">
        <v>5363</v>
      </c>
      <c r="P1086" s="6" t="s">
        <v>42</v>
      </c>
      <c r="Q1086" s="5" t="s">
        <v>1237</v>
      </c>
      <c r="R1086" s="5" t="s">
        <v>9609</v>
      </c>
      <c r="S1086" s="6" t="s">
        <v>75</v>
      </c>
      <c r="T1086" s="6">
        <v>6763.0</v>
      </c>
    </row>
    <row r="1087" ht="56.25" customHeight="1">
      <c r="A1087" s="5" t="s">
        <v>9591</v>
      </c>
      <c r="B1087" s="6" t="str">
        <f>image("https://storage.googleapis.com/acdb/photos/BromideNpcNmlCat17_Remake_5_0.png")</f>
        <v/>
      </c>
      <c r="C1087" s="5" t="s">
        <v>58</v>
      </c>
      <c r="D1087" s="5" t="s">
        <v>1327</v>
      </c>
      <c r="E1087" s="5" t="s">
        <v>34</v>
      </c>
      <c r="F1087" s="5" t="s">
        <v>34</v>
      </c>
      <c r="G1087" s="5" t="s">
        <v>36</v>
      </c>
      <c r="H1087" s="5" t="s">
        <v>35</v>
      </c>
      <c r="I1087" s="6">
        <v>1.0</v>
      </c>
      <c r="J1087" s="6" t="s">
        <v>37</v>
      </c>
      <c r="K1087" s="6">
        <v>10.0</v>
      </c>
      <c r="L1087" s="5"/>
      <c r="M1087" s="5"/>
      <c r="N1087" s="6" t="s">
        <v>40</v>
      </c>
      <c r="O1087" s="5" t="s">
        <v>5363</v>
      </c>
      <c r="P1087" s="6" t="s">
        <v>42</v>
      </c>
      <c r="Q1087" s="5" t="s">
        <v>1237</v>
      </c>
      <c r="R1087" s="5" t="s">
        <v>9612</v>
      </c>
      <c r="S1087" s="6" t="s">
        <v>79</v>
      </c>
      <c r="T1087" s="6">
        <v>6763.0</v>
      </c>
    </row>
    <row r="1088" ht="56.25" customHeight="1">
      <c r="A1088" s="5" t="s">
        <v>9591</v>
      </c>
      <c r="B1088" s="6" t="str">
        <f>image("https://storage.googleapis.com/acdb/photos/BromideNpcNmlCat17_Remake_6_0.png")</f>
        <v/>
      </c>
      <c r="C1088" s="5" t="s">
        <v>146</v>
      </c>
      <c r="D1088" s="5" t="s">
        <v>1327</v>
      </c>
      <c r="E1088" s="5" t="s">
        <v>34</v>
      </c>
      <c r="F1088" s="5" t="s">
        <v>34</v>
      </c>
      <c r="G1088" s="5" t="s">
        <v>36</v>
      </c>
      <c r="H1088" s="5" t="s">
        <v>35</v>
      </c>
      <c r="I1088" s="6">
        <v>1.0</v>
      </c>
      <c r="J1088" s="6" t="s">
        <v>37</v>
      </c>
      <c r="K1088" s="6">
        <v>10.0</v>
      </c>
      <c r="L1088" s="5"/>
      <c r="M1088" s="5"/>
      <c r="N1088" s="6" t="s">
        <v>40</v>
      </c>
      <c r="O1088" s="5" t="s">
        <v>5363</v>
      </c>
      <c r="P1088" s="6" t="s">
        <v>42</v>
      </c>
      <c r="Q1088" s="5" t="s">
        <v>1237</v>
      </c>
      <c r="R1088" s="5" t="s">
        <v>9615</v>
      </c>
      <c r="S1088" s="6" t="s">
        <v>86</v>
      </c>
      <c r="T1088" s="6">
        <v>6763.0</v>
      </c>
    </row>
    <row r="1089" ht="56.25" customHeight="1">
      <c r="A1089" s="5" t="s">
        <v>9591</v>
      </c>
      <c r="B1089" s="6" t="str">
        <f>image("https://storage.googleapis.com/acdb/photos/BromideNpcNmlCat17_Remake_7_0.png")</f>
        <v/>
      </c>
      <c r="C1089" s="5" t="s">
        <v>151</v>
      </c>
      <c r="D1089" s="5" t="s">
        <v>1327</v>
      </c>
      <c r="E1089" s="5" t="s">
        <v>34</v>
      </c>
      <c r="F1089" s="5" t="s">
        <v>34</v>
      </c>
      <c r="G1089" s="5" t="s">
        <v>36</v>
      </c>
      <c r="H1089" s="5" t="s">
        <v>35</v>
      </c>
      <c r="I1089" s="6">
        <v>1.0</v>
      </c>
      <c r="J1089" s="6" t="s">
        <v>37</v>
      </c>
      <c r="K1089" s="6">
        <v>10.0</v>
      </c>
      <c r="L1089" s="5"/>
      <c r="M1089" s="5"/>
      <c r="N1089" s="6" t="s">
        <v>40</v>
      </c>
      <c r="O1089" s="5" t="s">
        <v>5363</v>
      </c>
      <c r="P1089" s="6" t="s">
        <v>42</v>
      </c>
      <c r="Q1089" s="5" t="s">
        <v>1237</v>
      </c>
      <c r="R1089" s="5" t="s">
        <v>9618</v>
      </c>
      <c r="S1089" s="6" t="s">
        <v>208</v>
      </c>
      <c r="T1089" s="6">
        <v>6763.0</v>
      </c>
    </row>
    <row r="1090" ht="56.25" customHeight="1">
      <c r="A1090" s="5" t="s">
        <v>9620</v>
      </c>
      <c r="B1090" s="6" t="str">
        <f>image("https://storage.googleapis.com/acdb/photos/BromideNpcNmlSqu02_Remake_0_0.png")</f>
        <v/>
      </c>
      <c r="C1090" s="5" t="s">
        <v>366</v>
      </c>
      <c r="D1090" s="5" t="s">
        <v>1327</v>
      </c>
      <c r="E1090" s="5" t="s">
        <v>34</v>
      </c>
      <c r="F1090" s="5" t="s">
        <v>34</v>
      </c>
      <c r="G1090" s="5" t="s">
        <v>36</v>
      </c>
      <c r="H1090" s="5" t="s">
        <v>35</v>
      </c>
      <c r="I1090" s="6">
        <v>1.0</v>
      </c>
      <c r="J1090" s="6" t="s">
        <v>37</v>
      </c>
      <c r="K1090" s="6">
        <v>10.0</v>
      </c>
      <c r="L1090" s="5"/>
      <c r="M1090" s="5"/>
      <c r="N1090" s="6" t="s">
        <v>40</v>
      </c>
      <c r="O1090" s="5" t="s">
        <v>5363</v>
      </c>
      <c r="P1090" s="6" t="s">
        <v>42</v>
      </c>
      <c r="Q1090" s="5" t="s">
        <v>1237</v>
      </c>
      <c r="R1090" s="5" t="s">
        <v>9624</v>
      </c>
      <c r="S1090" s="6" t="s">
        <v>50</v>
      </c>
      <c r="T1090" s="6">
        <v>6706.0</v>
      </c>
    </row>
    <row r="1091" ht="56.25" customHeight="1">
      <c r="A1091" s="5" t="s">
        <v>9620</v>
      </c>
      <c r="B1091" s="6" t="str">
        <f>image("https://storage.googleapis.com/acdb/photos/BromideNpcNmlSqu02_Remake_1_0.png")</f>
        <v/>
      </c>
      <c r="C1091" s="5" t="s">
        <v>1132</v>
      </c>
      <c r="D1091" s="5" t="s">
        <v>1327</v>
      </c>
      <c r="E1091" s="5" t="s">
        <v>34</v>
      </c>
      <c r="F1091" s="5" t="s">
        <v>34</v>
      </c>
      <c r="G1091" s="5" t="s">
        <v>36</v>
      </c>
      <c r="H1091" s="5" t="s">
        <v>35</v>
      </c>
      <c r="I1091" s="6">
        <v>1.0</v>
      </c>
      <c r="J1091" s="6" t="s">
        <v>37</v>
      </c>
      <c r="K1091" s="6">
        <v>10.0</v>
      </c>
      <c r="L1091" s="5"/>
      <c r="M1091" s="5"/>
      <c r="N1091" s="6" t="s">
        <v>40</v>
      </c>
      <c r="O1091" s="5" t="s">
        <v>5363</v>
      </c>
      <c r="P1091" s="6" t="s">
        <v>42</v>
      </c>
      <c r="Q1091" s="5" t="s">
        <v>1237</v>
      </c>
      <c r="R1091" s="5" t="s">
        <v>9627</v>
      </c>
      <c r="S1091" s="6" t="s">
        <v>56</v>
      </c>
      <c r="T1091" s="6">
        <v>6706.0</v>
      </c>
    </row>
    <row r="1092" ht="56.25" customHeight="1">
      <c r="A1092" s="5" t="s">
        <v>9620</v>
      </c>
      <c r="B1092" s="6" t="str">
        <f>image("https://storage.googleapis.com/acdb/photos/BromideNpcNmlSqu02_Remake_2_0.png")</f>
        <v/>
      </c>
      <c r="C1092" s="5" t="s">
        <v>688</v>
      </c>
      <c r="D1092" s="5" t="s">
        <v>1327</v>
      </c>
      <c r="E1092" s="5" t="s">
        <v>34</v>
      </c>
      <c r="F1092" s="5" t="s">
        <v>34</v>
      </c>
      <c r="G1092" s="5" t="s">
        <v>36</v>
      </c>
      <c r="H1092" s="5" t="s">
        <v>35</v>
      </c>
      <c r="I1092" s="6">
        <v>1.0</v>
      </c>
      <c r="J1092" s="6" t="s">
        <v>37</v>
      </c>
      <c r="K1092" s="6">
        <v>10.0</v>
      </c>
      <c r="L1092" s="5"/>
      <c r="M1092" s="5"/>
      <c r="N1092" s="6" t="s">
        <v>40</v>
      </c>
      <c r="O1092" s="5" t="s">
        <v>5363</v>
      </c>
      <c r="P1092" s="6" t="s">
        <v>42</v>
      </c>
      <c r="Q1092" s="5" t="s">
        <v>1237</v>
      </c>
      <c r="R1092" s="5" t="s">
        <v>9631</v>
      </c>
      <c r="S1092" s="6" t="s">
        <v>67</v>
      </c>
      <c r="T1092" s="6">
        <v>6706.0</v>
      </c>
    </row>
    <row r="1093" ht="56.25" customHeight="1">
      <c r="A1093" s="5" t="s">
        <v>9620</v>
      </c>
      <c r="B1093" s="6" t="str">
        <f>image("https://storage.googleapis.com/acdb/photos/BromideNpcNmlSqu02_Remake_3_0.png")</f>
        <v/>
      </c>
      <c r="C1093" s="5" t="s">
        <v>57</v>
      </c>
      <c r="D1093" s="5" t="s">
        <v>1327</v>
      </c>
      <c r="E1093" s="5" t="s">
        <v>34</v>
      </c>
      <c r="F1093" s="5" t="s">
        <v>34</v>
      </c>
      <c r="G1093" s="5" t="s">
        <v>36</v>
      </c>
      <c r="H1093" s="5" t="s">
        <v>35</v>
      </c>
      <c r="I1093" s="6">
        <v>1.0</v>
      </c>
      <c r="J1093" s="6" t="s">
        <v>37</v>
      </c>
      <c r="K1093" s="6">
        <v>10.0</v>
      </c>
      <c r="L1093" s="5"/>
      <c r="M1093" s="5"/>
      <c r="N1093" s="6" t="s">
        <v>40</v>
      </c>
      <c r="O1093" s="5" t="s">
        <v>5363</v>
      </c>
      <c r="P1093" s="6" t="s">
        <v>42</v>
      </c>
      <c r="Q1093" s="5" t="s">
        <v>1237</v>
      </c>
      <c r="R1093" s="5" t="s">
        <v>9635</v>
      </c>
      <c r="S1093" s="6" t="s">
        <v>71</v>
      </c>
      <c r="T1093" s="6">
        <v>6706.0</v>
      </c>
    </row>
    <row r="1094" ht="56.25" customHeight="1">
      <c r="A1094" s="5" t="s">
        <v>9620</v>
      </c>
      <c r="B1094" s="6" t="str">
        <f>image("https://storage.googleapis.com/acdb/photos/BromideNpcNmlSqu02_Remake_4_0.png")</f>
        <v/>
      </c>
      <c r="C1094" s="5" t="s">
        <v>1167</v>
      </c>
      <c r="D1094" s="5" t="s">
        <v>1327</v>
      </c>
      <c r="E1094" s="5" t="s">
        <v>34</v>
      </c>
      <c r="F1094" s="5" t="s">
        <v>34</v>
      </c>
      <c r="G1094" s="5" t="s">
        <v>36</v>
      </c>
      <c r="H1094" s="5" t="s">
        <v>35</v>
      </c>
      <c r="I1094" s="6">
        <v>1.0</v>
      </c>
      <c r="J1094" s="6" t="s">
        <v>37</v>
      </c>
      <c r="K1094" s="6">
        <v>10.0</v>
      </c>
      <c r="L1094" s="5"/>
      <c r="M1094" s="5"/>
      <c r="N1094" s="6" t="s">
        <v>40</v>
      </c>
      <c r="O1094" s="5" t="s">
        <v>5363</v>
      </c>
      <c r="P1094" s="6" t="s">
        <v>42</v>
      </c>
      <c r="Q1094" s="5" t="s">
        <v>1237</v>
      </c>
      <c r="R1094" s="5" t="s">
        <v>9638</v>
      </c>
      <c r="S1094" s="6" t="s">
        <v>75</v>
      </c>
      <c r="T1094" s="6">
        <v>6706.0</v>
      </c>
    </row>
    <row r="1095" ht="56.25" customHeight="1">
      <c r="A1095" s="5" t="s">
        <v>9620</v>
      </c>
      <c r="B1095" s="6" t="str">
        <f>image("https://storage.googleapis.com/acdb/photos/BromideNpcNmlSqu02_Remake_5_0.png")</f>
        <v/>
      </c>
      <c r="C1095" s="5" t="s">
        <v>58</v>
      </c>
      <c r="D1095" s="5" t="s">
        <v>1327</v>
      </c>
      <c r="E1095" s="5" t="s">
        <v>34</v>
      </c>
      <c r="F1095" s="5" t="s">
        <v>34</v>
      </c>
      <c r="G1095" s="5" t="s">
        <v>36</v>
      </c>
      <c r="H1095" s="5" t="s">
        <v>35</v>
      </c>
      <c r="I1095" s="6">
        <v>1.0</v>
      </c>
      <c r="J1095" s="6" t="s">
        <v>37</v>
      </c>
      <c r="K1095" s="6">
        <v>10.0</v>
      </c>
      <c r="L1095" s="5"/>
      <c r="M1095" s="5"/>
      <c r="N1095" s="6" t="s">
        <v>40</v>
      </c>
      <c r="O1095" s="5" t="s">
        <v>5363</v>
      </c>
      <c r="P1095" s="6" t="s">
        <v>42</v>
      </c>
      <c r="Q1095" s="5" t="s">
        <v>1237</v>
      </c>
      <c r="R1095" s="5" t="s">
        <v>9643</v>
      </c>
      <c r="S1095" s="6" t="s">
        <v>79</v>
      </c>
      <c r="T1095" s="6">
        <v>6706.0</v>
      </c>
    </row>
    <row r="1096" ht="56.25" customHeight="1">
      <c r="A1096" s="5" t="s">
        <v>9620</v>
      </c>
      <c r="B1096" s="6" t="str">
        <f>image("https://storage.googleapis.com/acdb/photos/BromideNpcNmlSqu02_Remake_6_0.png")</f>
        <v/>
      </c>
      <c r="C1096" s="5" t="s">
        <v>146</v>
      </c>
      <c r="D1096" s="5" t="s">
        <v>1327</v>
      </c>
      <c r="E1096" s="5" t="s">
        <v>34</v>
      </c>
      <c r="F1096" s="5" t="s">
        <v>34</v>
      </c>
      <c r="G1096" s="5" t="s">
        <v>36</v>
      </c>
      <c r="H1096" s="5" t="s">
        <v>35</v>
      </c>
      <c r="I1096" s="6">
        <v>1.0</v>
      </c>
      <c r="J1096" s="6" t="s">
        <v>37</v>
      </c>
      <c r="K1096" s="6">
        <v>10.0</v>
      </c>
      <c r="L1096" s="5"/>
      <c r="M1096" s="5"/>
      <c r="N1096" s="6" t="s">
        <v>40</v>
      </c>
      <c r="O1096" s="5" t="s">
        <v>5363</v>
      </c>
      <c r="P1096" s="6" t="s">
        <v>42</v>
      </c>
      <c r="Q1096" s="5" t="s">
        <v>1237</v>
      </c>
      <c r="R1096" s="5" t="s">
        <v>9646</v>
      </c>
      <c r="S1096" s="6" t="s">
        <v>86</v>
      </c>
      <c r="T1096" s="6">
        <v>6706.0</v>
      </c>
    </row>
    <row r="1097" ht="56.25" customHeight="1">
      <c r="A1097" s="5" t="s">
        <v>9620</v>
      </c>
      <c r="B1097" s="6" t="str">
        <f>image("https://storage.googleapis.com/acdb/photos/BromideNpcNmlSqu02_Remake_7_0.png")</f>
        <v/>
      </c>
      <c r="C1097" s="5" t="s">
        <v>151</v>
      </c>
      <c r="D1097" s="5" t="s">
        <v>1327</v>
      </c>
      <c r="E1097" s="5" t="s">
        <v>34</v>
      </c>
      <c r="F1097" s="5" t="s">
        <v>34</v>
      </c>
      <c r="G1097" s="5" t="s">
        <v>36</v>
      </c>
      <c r="H1097" s="5" t="s">
        <v>35</v>
      </c>
      <c r="I1097" s="6">
        <v>1.0</v>
      </c>
      <c r="J1097" s="6" t="s">
        <v>37</v>
      </c>
      <c r="K1097" s="6">
        <v>10.0</v>
      </c>
      <c r="L1097" s="5"/>
      <c r="M1097" s="5"/>
      <c r="N1097" s="6" t="s">
        <v>40</v>
      </c>
      <c r="O1097" s="5" t="s">
        <v>5363</v>
      </c>
      <c r="P1097" s="6" t="s">
        <v>42</v>
      </c>
      <c r="Q1097" s="5" t="s">
        <v>1237</v>
      </c>
      <c r="R1097" s="5" t="s">
        <v>9648</v>
      </c>
      <c r="S1097" s="6" t="s">
        <v>208</v>
      </c>
      <c r="T1097" s="6">
        <v>6706.0</v>
      </c>
    </row>
    <row r="1098" ht="56.25" customHeight="1">
      <c r="A1098" s="5" t="s">
        <v>9649</v>
      </c>
      <c r="B1098" s="6" t="str">
        <f>image("https://storage.googleapis.com/acdb/photos/BromideNpcNmlMnk06_Remake_0_0.png")</f>
        <v/>
      </c>
      <c r="C1098" s="5" t="s">
        <v>366</v>
      </c>
      <c r="D1098" s="5" t="s">
        <v>1327</v>
      </c>
      <c r="E1098" s="5" t="s">
        <v>34</v>
      </c>
      <c r="F1098" s="5" t="s">
        <v>34</v>
      </c>
      <c r="G1098" s="5" t="s">
        <v>36</v>
      </c>
      <c r="H1098" s="5" t="s">
        <v>35</v>
      </c>
      <c r="I1098" s="6">
        <v>1.0</v>
      </c>
      <c r="J1098" s="6" t="s">
        <v>37</v>
      </c>
      <c r="K1098" s="6">
        <v>10.0</v>
      </c>
      <c r="L1098" s="5"/>
      <c r="M1098" s="5"/>
      <c r="N1098" s="6" t="s">
        <v>40</v>
      </c>
      <c r="O1098" s="5" t="s">
        <v>5363</v>
      </c>
      <c r="P1098" s="6" t="s">
        <v>42</v>
      </c>
      <c r="Q1098" s="5" t="s">
        <v>1237</v>
      </c>
      <c r="R1098" s="5" t="s">
        <v>9653</v>
      </c>
      <c r="S1098" s="6" t="s">
        <v>50</v>
      </c>
      <c r="T1098" s="6">
        <v>6586.0</v>
      </c>
    </row>
    <row r="1099" ht="56.25" customHeight="1">
      <c r="A1099" s="5" t="s">
        <v>9649</v>
      </c>
      <c r="B1099" s="6" t="str">
        <f>image("https://storage.googleapis.com/acdb/photos/BromideNpcNmlMnk06_Remake_1_0.png")</f>
        <v/>
      </c>
      <c r="C1099" s="5" t="s">
        <v>1132</v>
      </c>
      <c r="D1099" s="5" t="s">
        <v>1327</v>
      </c>
      <c r="E1099" s="5" t="s">
        <v>34</v>
      </c>
      <c r="F1099" s="5" t="s">
        <v>34</v>
      </c>
      <c r="G1099" s="5" t="s">
        <v>36</v>
      </c>
      <c r="H1099" s="5" t="s">
        <v>35</v>
      </c>
      <c r="I1099" s="6">
        <v>1.0</v>
      </c>
      <c r="J1099" s="6" t="s">
        <v>37</v>
      </c>
      <c r="K1099" s="6">
        <v>10.0</v>
      </c>
      <c r="L1099" s="5"/>
      <c r="M1099" s="5"/>
      <c r="N1099" s="6" t="s">
        <v>40</v>
      </c>
      <c r="O1099" s="5" t="s">
        <v>5363</v>
      </c>
      <c r="P1099" s="6" t="s">
        <v>42</v>
      </c>
      <c r="Q1099" s="5" t="s">
        <v>1237</v>
      </c>
      <c r="R1099" s="5" t="s">
        <v>9656</v>
      </c>
      <c r="S1099" s="6" t="s">
        <v>56</v>
      </c>
      <c r="T1099" s="6">
        <v>6586.0</v>
      </c>
    </row>
    <row r="1100" ht="56.25" customHeight="1">
      <c r="A1100" s="5" t="s">
        <v>9649</v>
      </c>
      <c r="B1100" s="6" t="str">
        <f>image("https://storage.googleapis.com/acdb/photos/BromideNpcNmlMnk06_Remake_2_0.png")</f>
        <v/>
      </c>
      <c r="C1100" s="5" t="s">
        <v>688</v>
      </c>
      <c r="D1100" s="5" t="s">
        <v>1327</v>
      </c>
      <c r="E1100" s="5" t="s">
        <v>34</v>
      </c>
      <c r="F1100" s="5" t="s">
        <v>34</v>
      </c>
      <c r="G1100" s="5" t="s">
        <v>36</v>
      </c>
      <c r="H1100" s="5" t="s">
        <v>35</v>
      </c>
      <c r="I1100" s="6">
        <v>1.0</v>
      </c>
      <c r="J1100" s="6" t="s">
        <v>37</v>
      </c>
      <c r="K1100" s="6">
        <v>10.0</v>
      </c>
      <c r="L1100" s="5"/>
      <c r="M1100" s="5"/>
      <c r="N1100" s="6" t="s">
        <v>40</v>
      </c>
      <c r="O1100" s="5" t="s">
        <v>5363</v>
      </c>
      <c r="P1100" s="6" t="s">
        <v>42</v>
      </c>
      <c r="Q1100" s="5" t="s">
        <v>1237</v>
      </c>
      <c r="R1100" s="5" t="s">
        <v>9662</v>
      </c>
      <c r="S1100" s="6" t="s">
        <v>67</v>
      </c>
      <c r="T1100" s="6">
        <v>6586.0</v>
      </c>
    </row>
    <row r="1101" ht="56.25" customHeight="1">
      <c r="A1101" s="5" t="s">
        <v>9649</v>
      </c>
      <c r="B1101" s="6" t="str">
        <f>image("https://storage.googleapis.com/acdb/photos/BromideNpcNmlMnk06_Remake_3_0.png")</f>
        <v/>
      </c>
      <c r="C1101" s="5" t="s">
        <v>57</v>
      </c>
      <c r="D1101" s="5" t="s">
        <v>1327</v>
      </c>
      <c r="E1101" s="5" t="s">
        <v>34</v>
      </c>
      <c r="F1101" s="5" t="s">
        <v>34</v>
      </c>
      <c r="G1101" s="5" t="s">
        <v>36</v>
      </c>
      <c r="H1101" s="5" t="s">
        <v>35</v>
      </c>
      <c r="I1101" s="6">
        <v>1.0</v>
      </c>
      <c r="J1101" s="6" t="s">
        <v>37</v>
      </c>
      <c r="K1101" s="6">
        <v>10.0</v>
      </c>
      <c r="L1101" s="5"/>
      <c r="M1101" s="5"/>
      <c r="N1101" s="6" t="s">
        <v>40</v>
      </c>
      <c r="O1101" s="5" t="s">
        <v>5363</v>
      </c>
      <c r="P1101" s="6" t="s">
        <v>42</v>
      </c>
      <c r="Q1101" s="5" t="s">
        <v>1237</v>
      </c>
      <c r="R1101" s="5" t="s">
        <v>9665</v>
      </c>
      <c r="S1101" s="6" t="s">
        <v>71</v>
      </c>
      <c r="T1101" s="6">
        <v>6586.0</v>
      </c>
    </row>
    <row r="1102" ht="56.25" customHeight="1">
      <c r="A1102" s="5" t="s">
        <v>9649</v>
      </c>
      <c r="B1102" s="6" t="str">
        <f>image("https://storage.googleapis.com/acdb/photos/BromideNpcNmlMnk06_Remake_4_0.png")</f>
        <v/>
      </c>
      <c r="C1102" s="5" t="s">
        <v>1167</v>
      </c>
      <c r="D1102" s="5" t="s">
        <v>1327</v>
      </c>
      <c r="E1102" s="5" t="s">
        <v>34</v>
      </c>
      <c r="F1102" s="5" t="s">
        <v>34</v>
      </c>
      <c r="G1102" s="5" t="s">
        <v>36</v>
      </c>
      <c r="H1102" s="5" t="s">
        <v>35</v>
      </c>
      <c r="I1102" s="6">
        <v>1.0</v>
      </c>
      <c r="J1102" s="6" t="s">
        <v>37</v>
      </c>
      <c r="K1102" s="6">
        <v>10.0</v>
      </c>
      <c r="L1102" s="5"/>
      <c r="M1102" s="5"/>
      <c r="N1102" s="6" t="s">
        <v>40</v>
      </c>
      <c r="O1102" s="5" t="s">
        <v>5363</v>
      </c>
      <c r="P1102" s="6" t="s">
        <v>42</v>
      </c>
      <c r="Q1102" s="5" t="s">
        <v>1237</v>
      </c>
      <c r="R1102" s="5" t="s">
        <v>9669</v>
      </c>
      <c r="S1102" s="6" t="s">
        <v>75</v>
      </c>
      <c r="T1102" s="6">
        <v>6586.0</v>
      </c>
    </row>
    <row r="1103" ht="56.25" customHeight="1">
      <c r="A1103" s="5" t="s">
        <v>9649</v>
      </c>
      <c r="B1103" s="6" t="str">
        <f>image("https://storage.googleapis.com/acdb/photos/BromideNpcNmlMnk06_Remake_5_0.png")</f>
        <v/>
      </c>
      <c r="C1103" s="5" t="s">
        <v>58</v>
      </c>
      <c r="D1103" s="5" t="s">
        <v>1327</v>
      </c>
      <c r="E1103" s="5" t="s">
        <v>34</v>
      </c>
      <c r="F1103" s="5" t="s">
        <v>34</v>
      </c>
      <c r="G1103" s="5" t="s">
        <v>36</v>
      </c>
      <c r="H1103" s="5" t="s">
        <v>35</v>
      </c>
      <c r="I1103" s="6">
        <v>1.0</v>
      </c>
      <c r="J1103" s="6" t="s">
        <v>37</v>
      </c>
      <c r="K1103" s="6">
        <v>10.0</v>
      </c>
      <c r="L1103" s="5"/>
      <c r="M1103" s="5"/>
      <c r="N1103" s="6" t="s">
        <v>40</v>
      </c>
      <c r="O1103" s="5" t="s">
        <v>5363</v>
      </c>
      <c r="P1103" s="6" t="s">
        <v>42</v>
      </c>
      <c r="Q1103" s="5" t="s">
        <v>1237</v>
      </c>
      <c r="R1103" s="5" t="s">
        <v>9672</v>
      </c>
      <c r="S1103" s="6" t="s">
        <v>79</v>
      </c>
      <c r="T1103" s="6">
        <v>6586.0</v>
      </c>
    </row>
    <row r="1104" ht="56.25" customHeight="1">
      <c r="A1104" s="5" t="s">
        <v>9649</v>
      </c>
      <c r="B1104" s="6" t="str">
        <f>image("https://storage.googleapis.com/acdb/photos/BromideNpcNmlMnk06_Remake_6_0.png")</f>
        <v/>
      </c>
      <c r="C1104" s="5" t="s">
        <v>146</v>
      </c>
      <c r="D1104" s="5" t="s">
        <v>1327</v>
      </c>
      <c r="E1104" s="5" t="s">
        <v>34</v>
      </c>
      <c r="F1104" s="5" t="s">
        <v>34</v>
      </c>
      <c r="G1104" s="5" t="s">
        <v>36</v>
      </c>
      <c r="H1104" s="5" t="s">
        <v>35</v>
      </c>
      <c r="I1104" s="6">
        <v>1.0</v>
      </c>
      <c r="J1104" s="6" t="s">
        <v>37</v>
      </c>
      <c r="K1104" s="6">
        <v>10.0</v>
      </c>
      <c r="L1104" s="5"/>
      <c r="M1104" s="5"/>
      <c r="N1104" s="6" t="s">
        <v>40</v>
      </c>
      <c r="O1104" s="5" t="s">
        <v>5363</v>
      </c>
      <c r="P1104" s="6" t="s">
        <v>42</v>
      </c>
      <c r="Q1104" s="5" t="s">
        <v>1237</v>
      </c>
      <c r="R1104" s="5" t="s">
        <v>9673</v>
      </c>
      <c r="S1104" s="6" t="s">
        <v>86</v>
      </c>
      <c r="T1104" s="6">
        <v>6586.0</v>
      </c>
    </row>
    <row r="1105" ht="56.25" customHeight="1">
      <c r="A1105" s="5" t="s">
        <v>9649</v>
      </c>
      <c r="B1105" s="6" t="str">
        <f>image("https://storage.googleapis.com/acdb/photos/BromideNpcNmlMnk06_Remake_7_0.png")</f>
        <v/>
      </c>
      <c r="C1105" s="5" t="s">
        <v>151</v>
      </c>
      <c r="D1105" s="5" t="s">
        <v>1327</v>
      </c>
      <c r="E1105" s="5" t="s">
        <v>34</v>
      </c>
      <c r="F1105" s="5" t="s">
        <v>34</v>
      </c>
      <c r="G1105" s="5" t="s">
        <v>36</v>
      </c>
      <c r="H1105" s="5" t="s">
        <v>35</v>
      </c>
      <c r="I1105" s="6">
        <v>1.0</v>
      </c>
      <c r="J1105" s="6" t="s">
        <v>37</v>
      </c>
      <c r="K1105" s="6">
        <v>10.0</v>
      </c>
      <c r="L1105" s="5"/>
      <c r="M1105" s="5"/>
      <c r="N1105" s="6" t="s">
        <v>40</v>
      </c>
      <c r="O1105" s="5" t="s">
        <v>5363</v>
      </c>
      <c r="P1105" s="6" t="s">
        <v>42</v>
      </c>
      <c r="Q1105" s="5" t="s">
        <v>1237</v>
      </c>
      <c r="R1105" s="5" t="s">
        <v>9676</v>
      </c>
      <c r="S1105" s="6" t="s">
        <v>208</v>
      </c>
      <c r="T1105" s="6">
        <v>6586.0</v>
      </c>
    </row>
    <row r="1106" ht="56.25" customHeight="1">
      <c r="A1106" s="5" t="s">
        <v>9677</v>
      </c>
      <c r="B1106" s="6" t="str">
        <f>image("https://storage.googleapis.com/acdb/photos/BromideNpcNmlPgn13_Remake_0_0.png")</f>
        <v/>
      </c>
      <c r="C1106" s="5" t="s">
        <v>366</v>
      </c>
      <c r="D1106" s="5" t="s">
        <v>1327</v>
      </c>
      <c r="E1106" s="5" t="s">
        <v>34</v>
      </c>
      <c r="F1106" s="5" t="s">
        <v>34</v>
      </c>
      <c r="G1106" s="5" t="s">
        <v>36</v>
      </c>
      <c r="H1106" s="5" t="s">
        <v>35</v>
      </c>
      <c r="I1106" s="6">
        <v>1.0</v>
      </c>
      <c r="J1106" s="6" t="s">
        <v>37</v>
      </c>
      <c r="K1106" s="6">
        <v>10.0</v>
      </c>
      <c r="L1106" s="5"/>
      <c r="M1106" s="5"/>
      <c r="N1106" s="6" t="s">
        <v>40</v>
      </c>
      <c r="O1106" s="5" t="s">
        <v>5363</v>
      </c>
      <c r="P1106" s="6" t="s">
        <v>42</v>
      </c>
      <c r="Q1106" s="5" t="s">
        <v>1237</v>
      </c>
      <c r="R1106" s="5" t="s">
        <v>9680</v>
      </c>
      <c r="S1106" s="6" t="s">
        <v>50</v>
      </c>
      <c r="T1106" s="6">
        <v>6642.0</v>
      </c>
    </row>
    <row r="1107" ht="56.25" customHeight="1">
      <c r="A1107" s="5" t="s">
        <v>9677</v>
      </c>
      <c r="B1107" s="6" t="str">
        <f>image("https://storage.googleapis.com/acdb/photos/BromideNpcNmlPgn13_Remake_1_0.png")</f>
        <v/>
      </c>
      <c r="C1107" s="5" t="s">
        <v>1132</v>
      </c>
      <c r="D1107" s="5" t="s">
        <v>1327</v>
      </c>
      <c r="E1107" s="5" t="s">
        <v>34</v>
      </c>
      <c r="F1107" s="5" t="s">
        <v>34</v>
      </c>
      <c r="G1107" s="5" t="s">
        <v>36</v>
      </c>
      <c r="H1107" s="5" t="s">
        <v>35</v>
      </c>
      <c r="I1107" s="6">
        <v>1.0</v>
      </c>
      <c r="J1107" s="6" t="s">
        <v>37</v>
      </c>
      <c r="K1107" s="6">
        <v>10.0</v>
      </c>
      <c r="L1107" s="5"/>
      <c r="M1107" s="5"/>
      <c r="N1107" s="6" t="s">
        <v>40</v>
      </c>
      <c r="O1107" s="5" t="s">
        <v>5363</v>
      </c>
      <c r="P1107" s="6" t="s">
        <v>42</v>
      </c>
      <c r="Q1107" s="5" t="s">
        <v>1237</v>
      </c>
      <c r="R1107" s="5" t="s">
        <v>9682</v>
      </c>
      <c r="S1107" s="6" t="s">
        <v>56</v>
      </c>
      <c r="T1107" s="6">
        <v>6642.0</v>
      </c>
    </row>
    <row r="1108" ht="56.25" customHeight="1">
      <c r="A1108" s="5" t="s">
        <v>9677</v>
      </c>
      <c r="B1108" s="6" t="str">
        <f>image("https://storage.googleapis.com/acdb/photos/BromideNpcNmlPgn13_Remake_2_0.png")</f>
        <v/>
      </c>
      <c r="C1108" s="5" t="s">
        <v>688</v>
      </c>
      <c r="D1108" s="5" t="s">
        <v>1327</v>
      </c>
      <c r="E1108" s="5" t="s">
        <v>34</v>
      </c>
      <c r="F1108" s="5" t="s">
        <v>34</v>
      </c>
      <c r="G1108" s="5" t="s">
        <v>36</v>
      </c>
      <c r="H1108" s="5" t="s">
        <v>35</v>
      </c>
      <c r="I1108" s="6">
        <v>1.0</v>
      </c>
      <c r="J1108" s="6" t="s">
        <v>37</v>
      </c>
      <c r="K1108" s="6">
        <v>10.0</v>
      </c>
      <c r="L1108" s="5"/>
      <c r="M1108" s="5"/>
      <c r="N1108" s="6" t="s">
        <v>40</v>
      </c>
      <c r="O1108" s="5" t="s">
        <v>5363</v>
      </c>
      <c r="P1108" s="6" t="s">
        <v>42</v>
      </c>
      <c r="Q1108" s="5" t="s">
        <v>1237</v>
      </c>
      <c r="R1108" s="5" t="s">
        <v>9687</v>
      </c>
      <c r="S1108" s="6" t="s">
        <v>67</v>
      </c>
      <c r="T1108" s="6">
        <v>6642.0</v>
      </c>
    </row>
    <row r="1109" ht="56.25" customHeight="1">
      <c r="A1109" s="5" t="s">
        <v>9677</v>
      </c>
      <c r="B1109" s="6" t="str">
        <f>image("https://storage.googleapis.com/acdb/photos/BromideNpcNmlPgn13_Remake_3_0.png")</f>
        <v/>
      </c>
      <c r="C1109" s="5" t="s">
        <v>57</v>
      </c>
      <c r="D1109" s="5" t="s">
        <v>1327</v>
      </c>
      <c r="E1109" s="5" t="s">
        <v>34</v>
      </c>
      <c r="F1109" s="5" t="s">
        <v>34</v>
      </c>
      <c r="G1109" s="5" t="s">
        <v>36</v>
      </c>
      <c r="H1109" s="5" t="s">
        <v>35</v>
      </c>
      <c r="I1109" s="6">
        <v>1.0</v>
      </c>
      <c r="J1109" s="6" t="s">
        <v>37</v>
      </c>
      <c r="K1109" s="6">
        <v>10.0</v>
      </c>
      <c r="L1109" s="5"/>
      <c r="M1109" s="5"/>
      <c r="N1109" s="6" t="s">
        <v>40</v>
      </c>
      <c r="O1109" s="5" t="s">
        <v>5363</v>
      </c>
      <c r="P1109" s="6" t="s">
        <v>42</v>
      </c>
      <c r="Q1109" s="5" t="s">
        <v>1237</v>
      </c>
      <c r="R1109" s="5" t="s">
        <v>9691</v>
      </c>
      <c r="S1109" s="6" t="s">
        <v>71</v>
      </c>
      <c r="T1109" s="6">
        <v>6642.0</v>
      </c>
    </row>
    <row r="1110" ht="56.25" customHeight="1">
      <c r="A1110" s="5" t="s">
        <v>9677</v>
      </c>
      <c r="B1110" s="6" t="str">
        <f>image("https://storage.googleapis.com/acdb/photos/BromideNpcNmlPgn13_Remake_4_0.png")</f>
        <v/>
      </c>
      <c r="C1110" s="5" t="s">
        <v>1167</v>
      </c>
      <c r="D1110" s="5" t="s">
        <v>1327</v>
      </c>
      <c r="E1110" s="5" t="s">
        <v>34</v>
      </c>
      <c r="F1110" s="5" t="s">
        <v>34</v>
      </c>
      <c r="G1110" s="5" t="s">
        <v>36</v>
      </c>
      <c r="H1110" s="5" t="s">
        <v>35</v>
      </c>
      <c r="I1110" s="6">
        <v>1.0</v>
      </c>
      <c r="J1110" s="6" t="s">
        <v>37</v>
      </c>
      <c r="K1110" s="6">
        <v>10.0</v>
      </c>
      <c r="L1110" s="5"/>
      <c r="M1110" s="5"/>
      <c r="N1110" s="6" t="s">
        <v>40</v>
      </c>
      <c r="O1110" s="5" t="s">
        <v>5363</v>
      </c>
      <c r="P1110" s="6" t="s">
        <v>42</v>
      </c>
      <c r="Q1110" s="5" t="s">
        <v>1237</v>
      </c>
      <c r="R1110" s="5" t="s">
        <v>9694</v>
      </c>
      <c r="S1110" s="6" t="s">
        <v>75</v>
      </c>
      <c r="T1110" s="6">
        <v>6642.0</v>
      </c>
    </row>
    <row r="1111" ht="56.25" customHeight="1">
      <c r="A1111" s="5" t="s">
        <v>9677</v>
      </c>
      <c r="B1111" s="6" t="str">
        <f>image("https://storage.googleapis.com/acdb/photos/BromideNpcNmlPgn13_Remake_5_0.png")</f>
        <v/>
      </c>
      <c r="C1111" s="5" t="s">
        <v>58</v>
      </c>
      <c r="D1111" s="5" t="s">
        <v>1327</v>
      </c>
      <c r="E1111" s="5" t="s">
        <v>34</v>
      </c>
      <c r="F1111" s="5" t="s">
        <v>34</v>
      </c>
      <c r="G1111" s="5" t="s">
        <v>36</v>
      </c>
      <c r="H1111" s="5" t="s">
        <v>35</v>
      </c>
      <c r="I1111" s="6">
        <v>1.0</v>
      </c>
      <c r="J1111" s="6" t="s">
        <v>37</v>
      </c>
      <c r="K1111" s="6">
        <v>10.0</v>
      </c>
      <c r="L1111" s="5"/>
      <c r="M1111" s="5"/>
      <c r="N1111" s="6" t="s">
        <v>40</v>
      </c>
      <c r="O1111" s="5" t="s">
        <v>5363</v>
      </c>
      <c r="P1111" s="6" t="s">
        <v>42</v>
      </c>
      <c r="Q1111" s="5" t="s">
        <v>1237</v>
      </c>
      <c r="R1111" s="5" t="s">
        <v>9698</v>
      </c>
      <c r="S1111" s="6" t="s">
        <v>79</v>
      </c>
      <c r="T1111" s="6">
        <v>6642.0</v>
      </c>
    </row>
    <row r="1112" ht="56.25" customHeight="1">
      <c r="A1112" s="5" t="s">
        <v>9677</v>
      </c>
      <c r="B1112" s="6" t="str">
        <f>image("https://storage.googleapis.com/acdb/photos/BromideNpcNmlPgn13_Remake_6_0.png")</f>
        <v/>
      </c>
      <c r="C1112" s="5" t="s">
        <v>146</v>
      </c>
      <c r="D1112" s="5" t="s">
        <v>1327</v>
      </c>
      <c r="E1112" s="5" t="s">
        <v>34</v>
      </c>
      <c r="F1112" s="5" t="s">
        <v>34</v>
      </c>
      <c r="G1112" s="5" t="s">
        <v>36</v>
      </c>
      <c r="H1112" s="5" t="s">
        <v>35</v>
      </c>
      <c r="I1112" s="6">
        <v>1.0</v>
      </c>
      <c r="J1112" s="6" t="s">
        <v>37</v>
      </c>
      <c r="K1112" s="6">
        <v>10.0</v>
      </c>
      <c r="L1112" s="5"/>
      <c r="M1112" s="5"/>
      <c r="N1112" s="6" t="s">
        <v>40</v>
      </c>
      <c r="O1112" s="5" t="s">
        <v>5363</v>
      </c>
      <c r="P1112" s="6" t="s">
        <v>42</v>
      </c>
      <c r="Q1112" s="5" t="s">
        <v>1237</v>
      </c>
      <c r="R1112" s="5" t="s">
        <v>9702</v>
      </c>
      <c r="S1112" s="6" t="s">
        <v>86</v>
      </c>
      <c r="T1112" s="6">
        <v>6642.0</v>
      </c>
    </row>
    <row r="1113" ht="56.25" customHeight="1">
      <c r="A1113" s="5" t="s">
        <v>9677</v>
      </c>
      <c r="B1113" s="6" t="str">
        <f>image("https://storage.googleapis.com/acdb/photos/BromideNpcNmlPgn13_Remake_7_0.png")</f>
        <v/>
      </c>
      <c r="C1113" s="5" t="s">
        <v>151</v>
      </c>
      <c r="D1113" s="5" t="s">
        <v>1327</v>
      </c>
      <c r="E1113" s="5" t="s">
        <v>34</v>
      </c>
      <c r="F1113" s="5" t="s">
        <v>34</v>
      </c>
      <c r="G1113" s="5" t="s">
        <v>36</v>
      </c>
      <c r="H1113" s="5" t="s">
        <v>35</v>
      </c>
      <c r="I1113" s="6">
        <v>1.0</v>
      </c>
      <c r="J1113" s="6" t="s">
        <v>37</v>
      </c>
      <c r="K1113" s="6">
        <v>10.0</v>
      </c>
      <c r="L1113" s="5"/>
      <c r="M1113" s="5"/>
      <c r="N1113" s="6" t="s">
        <v>40</v>
      </c>
      <c r="O1113" s="5" t="s">
        <v>5363</v>
      </c>
      <c r="P1113" s="6" t="s">
        <v>42</v>
      </c>
      <c r="Q1113" s="5" t="s">
        <v>1237</v>
      </c>
      <c r="R1113" s="5" t="s">
        <v>9705</v>
      </c>
      <c r="S1113" s="6" t="s">
        <v>208</v>
      </c>
      <c r="T1113" s="6">
        <v>6642.0</v>
      </c>
    </row>
    <row r="1114" ht="56.25" customHeight="1">
      <c r="A1114" s="5" t="s">
        <v>9706</v>
      </c>
      <c r="B1114" s="6" t="str">
        <f>image("https://storage.googleapis.com/acdb/photos/BromideNpcNmlOst09_Remake_0_0.png")</f>
        <v/>
      </c>
      <c r="C1114" s="5" t="s">
        <v>366</v>
      </c>
      <c r="D1114" s="5" t="s">
        <v>1327</v>
      </c>
      <c r="E1114" s="5" t="s">
        <v>34</v>
      </c>
      <c r="F1114" s="5" t="s">
        <v>34</v>
      </c>
      <c r="G1114" s="5" t="s">
        <v>36</v>
      </c>
      <c r="H1114" s="5" t="s">
        <v>35</v>
      </c>
      <c r="I1114" s="6">
        <v>1.0</v>
      </c>
      <c r="J1114" s="6" t="s">
        <v>37</v>
      </c>
      <c r="K1114" s="6">
        <v>10.0</v>
      </c>
      <c r="L1114" s="5"/>
      <c r="M1114" s="5"/>
      <c r="N1114" s="6" t="s">
        <v>40</v>
      </c>
      <c r="O1114" s="5" t="s">
        <v>5363</v>
      </c>
      <c r="P1114" s="6" t="s">
        <v>42</v>
      </c>
      <c r="Q1114" s="5" t="s">
        <v>1237</v>
      </c>
      <c r="R1114" s="5" t="s">
        <v>9708</v>
      </c>
      <c r="S1114" s="6" t="s">
        <v>50</v>
      </c>
      <c r="T1114" s="6">
        <v>6618.0</v>
      </c>
    </row>
    <row r="1115" ht="56.25" customHeight="1">
      <c r="A1115" s="5" t="s">
        <v>9706</v>
      </c>
      <c r="B1115" s="6" t="str">
        <f>image("https://storage.googleapis.com/acdb/photos/BromideNpcNmlOst09_Remake_1_0.png")</f>
        <v/>
      </c>
      <c r="C1115" s="5" t="s">
        <v>1132</v>
      </c>
      <c r="D1115" s="5" t="s">
        <v>1327</v>
      </c>
      <c r="E1115" s="5" t="s">
        <v>34</v>
      </c>
      <c r="F1115" s="5" t="s">
        <v>34</v>
      </c>
      <c r="G1115" s="5" t="s">
        <v>36</v>
      </c>
      <c r="H1115" s="5" t="s">
        <v>35</v>
      </c>
      <c r="I1115" s="6">
        <v>1.0</v>
      </c>
      <c r="J1115" s="6" t="s">
        <v>37</v>
      </c>
      <c r="K1115" s="6">
        <v>10.0</v>
      </c>
      <c r="L1115" s="5"/>
      <c r="M1115" s="5"/>
      <c r="N1115" s="6" t="s">
        <v>40</v>
      </c>
      <c r="O1115" s="5" t="s">
        <v>5363</v>
      </c>
      <c r="P1115" s="6" t="s">
        <v>42</v>
      </c>
      <c r="Q1115" s="5" t="s">
        <v>1237</v>
      </c>
      <c r="R1115" s="5" t="s">
        <v>9711</v>
      </c>
      <c r="S1115" s="6" t="s">
        <v>56</v>
      </c>
      <c r="T1115" s="6">
        <v>6618.0</v>
      </c>
    </row>
    <row r="1116" ht="56.25" customHeight="1">
      <c r="A1116" s="5" t="s">
        <v>9706</v>
      </c>
      <c r="B1116" s="6" t="str">
        <f>image("https://storage.googleapis.com/acdb/photos/BromideNpcNmlOst09_Remake_2_0.png")</f>
        <v/>
      </c>
      <c r="C1116" s="5" t="s">
        <v>688</v>
      </c>
      <c r="D1116" s="5" t="s">
        <v>1327</v>
      </c>
      <c r="E1116" s="5" t="s">
        <v>34</v>
      </c>
      <c r="F1116" s="5" t="s">
        <v>34</v>
      </c>
      <c r="G1116" s="5" t="s">
        <v>36</v>
      </c>
      <c r="H1116" s="5" t="s">
        <v>35</v>
      </c>
      <c r="I1116" s="6">
        <v>1.0</v>
      </c>
      <c r="J1116" s="6" t="s">
        <v>37</v>
      </c>
      <c r="K1116" s="6">
        <v>10.0</v>
      </c>
      <c r="L1116" s="5"/>
      <c r="M1116" s="5"/>
      <c r="N1116" s="6" t="s">
        <v>40</v>
      </c>
      <c r="O1116" s="5" t="s">
        <v>5363</v>
      </c>
      <c r="P1116" s="6" t="s">
        <v>42</v>
      </c>
      <c r="Q1116" s="5" t="s">
        <v>1237</v>
      </c>
      <c r="R1116" s="5" t="s">
        <v>9714</v>
      </c>
      <c r="S1116" s="6" t="s">
        <v>67</v>
      </c>
      <c r="T1116" s="6">
        <v>6618.0</v>
      </c>
    </row>
    <row r="1117" ht="56.25" customHeight="1">
      <c r="A1117" s="5" t="s">
        <v>9706</v>
      </c>
      <c r="B1117" s="6" t="str">
        <f>image("https://storage.googleapis.com/acdb/photos/BromideNpcNmlOst09_Remake_3_0.png")</f>
        <v/>
      </c>
      <c r="C1117" s="5" t="s">
        <v>57</v>
      </c>
      <c r="D1117" s="5" t="s">
        <v>1327</v>
      </c>
      <c r="E1117" s="5" t="s">
        <v>34</v>
      </c>
      <c r="F1117" s="5" t="s">
        <v>34</v>
      </c>
      <c r="G1117" s="5" t="s">
        <v>36</v>
      </c>
      <c r="H1117" s="5" t="s">
        <v>35</v>
      </c>
      <c r="I1117" s="6">
        <v>1.0</v>
      </c>
      <c r="J1117" s="6" t="s">
        <v>37</v>
      </c>
      <c r="K1117" s="6">
        <v>10.0</v>
      </c>
      <c r="L1117" s="5"/>
      <c r="M1117" s="5"/>
      <c r="N1117" s="6" t="s">
        <v>40</v>
      </c>
      <c r="O1117" s="5" t="s">
        <v>5363</v>
      </c>
      <c r="P1117" s="6" t="s">
        <v>42</v>
      </c>
      <c r="Q1117" s="5" t="s">
        <v>1237</v>
      </c>
      <c r="R1117" s="5" t="s">
        <v>9717</v>
      </c>
      <c r="S1117" s="6" t="s">
        <v>71</v>
      </c>
      <c r="T1117" s="6">
        <v>6618.0</v>
      </c>
    </row>
    <row r="1118" ht="56.25" customHeight="1">
      <c r="A1118" s="5" t="s">
        <v>9706</v>
      </c>
      <c r="B1118" s="6" t="str">
        <f>image("https://storage.googleapis.com/acdb/photos/BromideNpcNmlOst09_Remake_4_0.png")</f>
        <v/>
      </c>
      <c r="C1118" s="5" t="s">
        <v>1167</v>
      </c>
      <c r="D1118" s="5" t="s">
        <v>1327</v>
      </c>
      <c r="E1118" s="5" t="s">
        <v>34</v>
      </c>
      <c r="F1118" s="5" t="s">
        <v>34</v>
      </c>
      <c r="G1118" s="5" t="s">
        <v>36</v>
      </c>
      <c r="H1118" s="5" t="s">
        <v>35</v>
      </c>
      <c r="I1118" s="6">
        <v>1.0</v>
      </c>
      <c r="J1118" s="6" t="s">
        <v>37</v>
      </c>
      <c r="K1118" s="6">
        <v>10.0</v>
      </c>
      <c r="L1118" s="5"/>
      <c r="M1118" s="5"/>
      <c r="N1118" s="6" t="s">
        <v>40</v>
      </c>
      <c r="O1118" s="5" t="s">
        <v>5363</v>
      </c>
      <c r="P1118" s="6" t="s">
        <v>42</v>
      </c>
      <c r="Q1118" s="5" t="s">
        <v>1237</v>
      </c>
      <c r="R1118" s="5" t="s">
        <v>9718</v>
      </c>
      <c r="S1118" s="6" t="s">
        <v>75</v>
      </c>
      <c r="T1118" s="6">
        <v>6618.0</v>
      </c>
    </row>
    <row r="1119" ht="56.25" customHeight="1">
      <c r="A1119" s="5" t="s">
        <v>9706</v>
      </c>
      <c r="B1119" s="6" t="str">
        <f>image("https://storage.googleapis.com/acdb/photos/BromideNpcNmlOst09_Remake_5_0.png")</f>
        <v/>
      </c>
      <c r="C1119" s="5" t="s">
        <v>58</v>
      </c>
      <c r="D1119" s="5" t="s">
        <v>1327</v>
      </c>
      <c r="E1119" s="5" t="s">
        <v>34</v>
      </c>
      <c r="F1119" s="5" t="s">
        <v>34</v>
      </c>
      <c r="G1119" s="5" t="s">
        <v>36</v>
      </c>
      <c r="H1119" s="5" t="s">
        <v>35</v>
      </c>
      <c r="I1119" s="6">
        <v>1.0</v>
      </c>
      <c r="J1119" s="6" t="s">
        <v>37</v>
      </c>
      <c r="K1119" s="6">
        <v>10.0</v>
      </c>
      <c r="L1119" s="5"/>
      <c r="M1119" s="5"/>
      <c r="N1119" s="6" t="s">
        <v>40</v>
      </c>
      <c r="O1119" s="5" t="s">
        <v>5363</v>
      </c>
      <c r="P1119" s="6" t="s">
        <v>42</v>
      </c>
      <c r="Q1119" s="5" t="s">
        <v>1237</v>
      </c>
      <c r="R1119" s="5" t="s">
        <v>9721</v>
      </c>
      <c r="S1119" s="6" t="s">
        <v>79</v>
      </c>
      <c r="T1119" s="6">
        <v>6618.0</v>
      </c>
    </row>
    <row r="1120" ht="56.25" customHeight="1">
      <c r="A1120" s="5" t="s">
        <v>9706</v>
      </c>
      <c r="B1120" s="6" t="str">
        <f>image("https://storage.googleapis.com/acdb/photos/BromideNpcNmlOst09_Remake_6_0.png")</f>
        <v/>
      </c>
      <c r="C1120" s="5" t="s">
        <v>146</v>
      </c>
      <c r="D1120" s="5" t="s">
        <v>1327</v>
      </c>
      <c r="E1120" s="5" t="s">
        <v>34</v>
      </c>
      <c r="F1120" s="5" t="s">
        <v>34</v>
      </c>
      <c r="G1120" s="5" t="s">
        <v>36</v>
      </c>
      <c r="H1120" s="5" t="s">
        <v>35</v>
      </c>
      <c r="I1120" s="6">
        <v>1.0</v>
      </c>
      <c r="J1120" s="6" t="s">
        <v>37</v>
      </c>
      <c r="K1120" s="6">
        <v>10.0</v>
      </c>
      <c r="L1120" s="5"/>
      <c r="M1120" s="5"/>
      <c r="N1120" s="6" t="s">
        <v>40</v>
      </c>
      <c r="O1120" s="5" t="s">
        <v>5363</v>
      </c>
      <c r="P1120" s="6" t="s">
        <v>42</v>
      </c>
      <c r="Q1120" s="5" t="s">
        <v>1237</v>
      </c>
      <c r="R1120" s="5" t="s">
        <v>9724</v>
      </c>
      <c r="S1120" s="6" t="s">
        <v>86</v>
      </c>
      <c r="T1120" s="6">
        <v>6618.0</v>
      </c>
    </row>
    <row r="1121" ht="56.25" customHeight="1">
      <c r="A1121" s="5" t="s">
        <v>9706</v>
      </c>
      <c r="B1121" s="6" t="str">
        <f>image("https://storage.googleapis.com/acdb/photos/BromideNpcNmlOst09_Remake_7_0.png")</f>
        <v/>
      </c>
      <c r="C1121" s="5" t="s">
        <v>151</v>
      </c>
      <c r="D1121" s="5" t="s">
        <v>1327</v>
      </c>
      <c r="E1121" s="5" t="s">
        <v>34</v>
      </c>
      <c r="F1121" s="5" t="s">
        <v>34</v>
      </c>
      <c r="G1121" s="5" t="s">
        <v>36</v>
      </c>
      <c r="H1121" s="5" t="s">
        <v>35</v>
      </c>
      <c r="I1121" s="6">
        <v>1.0</v>
      </c>
      <c r="J1121" s="6" t="s">
        <v>37</v>
      </c>
      <c r="K1121" s="6">
        <v>10.0</v>
      </c>
      <c r="L1121" s="5"/>
      <c r="M1121" s="5"/>
      <c r="N1121" s="6" t="s">
        <v>40</v>
      </c>
      <c r="O1121" s="5" t="s">
        <v>5363</v>
      </c>
      <c r="P1121" s="6" t="s">
        <v>42</v>
      </c>
      <c r="Q1121" s="5" t="s">
        <v>1237</v>
      </c>
      <c r="R1121" s="5" t="s">
        <v>9728</v>
      </c>
      <c r="S1121" s="6" t="s">
        <v>208</v>
      </c>
      <c r="T1121" s="6">
        <v>6618.0</v>
      </c>
    </row>
    <row r="1122" ht="56.25" customHeight="1">
      <c r="A1122" s="5" t="s">
        <v>9729</v>
      </c>
      <c r="B1122" s="6" t="str">
        <f>image("https://storage.googleapis.com/acdb/photos/BromideNpcNmlHam06_Remake_0_0.png")</f>
        <v/>
      </c>
      <c r="C1122" s="5" t="s">
        <v>366</v>
      </c>
      <c r="D1122" s="5" t="s">
        <v>1327</v>
      </c>
      <c r="E1122" s="5" t="s">
        <v>34</v>
      </c>
      <c r="F1122" s="5" t="s">
        <v>34</v>
      </c>
      <c r="G1122" s="5" t="s">
        <v>36</v>
      </c>
      <c r="H1122" s="5" t="s">
        <v>35</v>
      </c>
      <c r="I1122" s="6">
        <v>1.0</v>
      </c>
      <c r="J1122" s="6" t="s">
        <v>37</v>
      </c>
      <c r="K1122" s="6">
        <v>10.0</v>
      </c>
      <c r="L1122" s="5"/>
      <c r="M1122" s="5"/>
      <c r="N1122" s="6" t="s">
        <v>40</v>
      </c>
      <c r="O1122" s="5" t="s">
        <v>5363</v>
      </c>
      <c r="P1122" s="6" t="s">
        <v>42</v>
      </c>
      <c r="Q1122" s="5" t="s">
        <v>1237</v>
      </c>
      <c r="R1122" s="5" t="s">
        <v>9730</v>
      </c>
      <c r="S1122" s="6" t="s">
        <v>50</v>
      </c>
      <c r="T1122" s="6">
        <v>6528.0</v>
      </c>
    </row>
    <row r="1123" ht="56.25" customHeight="1">
      <c r="A1123" s="5" t="s">
        <v>9729</v>
      </c>
      <c r="B1123" s="6" t="str">
        <f>image("https://storage.googleapis.com/acdb/photos/BromideNpcNmlHam06_Remake_1_0.png")</f>
        <v/>
      </c>
      <c r="C1123" s="5" t="s">
        <v>1132</v>
      </c>
      <c r="D1123" s="5" t="s">
        <v>1327</v>
      </c>
      <c r="E1123" s="5" t="s">
        <v>34</v>
      </c>
      <c r="F1123" s="5" t="s">
        <v>34</v>
      </c>
      <c r="G1123" s="5" t="s">
        <v>36</v>
      </c>
      <c r="H1123" s="5" t="s">
        <v>35</v>
      </c>
      <c r="I1123" s="6">
        <v>1.0</v>
      </c>
      <c r="J1123" s="6" t="s">
        <v>37</v>
      </c>
      <c r="K1123" s="6">
        <v>10.0</v>
      </c>
      <c r="L1123" s="5"/>
      <c r="M1123" s="5"/>
      <c r="N1123" s="6" t="s">
        <v>40</v>
      </c>
      <c r="O1123" s="5" t="s">
        <v>5363</v>
      </c>
      <c r="P1123" s="6" t="s">
        <v>42</v>
      </c>
      <c r="Q1123" s="5" t="s">
        <v>1237</v>
      </c>
      <c r="R1123" s="5" t="s">
        <v>9733</v>
      </c>
      <c r="S1123" s="6" t="s">
        <v>56</v>
      </c>
      <c r="T1123" s="6">
        <v>6528.0</v>
      </c>
    </row>
    <row r="1124" ht="56.25" customHeight="1">
      <c r="A1124" s="5" t="s">
        <v>9729</v>
      </c>
      <c r="B1124" s="6" t="str">
        <f>image("https://storage.googleapis.com/acdb/photos/BromideNpcNmlHam06_Remake_2_0.png")</f>
        <v/>
      </c>
      <c r="C1124" s="5" t="s">
        <v>688</v>
      </c>
      <c r="D1124" s="5" t="s">
        <v>1327</v>
      </c>
      <c r="E1124" s="5" t="s">
        <v>34</v>
      </c>
      <c r="F1124" s="5" t="s">
        <v>34</v>
      </c>
      <c r="G1124" s="5" t="s">
        <v>36</v>
      </c>
      <c r="H1124" s="5" t="s">
        <v>35</v>
      </c>
      <c r="I1124" s="6">
        <v>1.0</v>
      </c>
      <c r="J1124" s="6" t="s">
        <v>37</v>
      </c>
      <c r="K1124" s="6">
        <v>10.0</v>
      </c>
      <c r="L1124" s="5"/>
      <c r="M1124" s="5"/>
      <c r="N1124" s="6" t="s">
        <v>40</v>
      </c>
      <c r="O1124" s="5" t="s">
        <v>5363</v>
      </c>
      <c r="P1124" s="6" t="s">
        <v>42</v>
      </c>
      <c r="Q1124" s="5" t="s">
        <v>1237</v>
      </c>
      <c r="R1124" s="5" t="s">
        <v>9735</v>
      </c>
      <c r="S1124" s="6" t="s">
        <v>67</v>
      </c>
      <c r="T1124" s="6">
        <v>6528.0</v>
      </c>
    </row>
    <row r="1125" ht="56.25" customHeight="1">
      <c r="A1125" s="5" t="s">
        <v>9729</v>
      </c>
      <c r="B1125" s="6" t="str">
        <f>image("https://storage.googleapis.com/acdb/photos/BromideNpcNmlHam06_Remake_3_0.png")</f>
        <v/>
      </c>
      <c r="C1125" s="5" t="s">
        <v>57</v>
      </c>
      <c r="D1125" s="5" t="s">
        <v>1327</v>
      </c>
      <c r="E1125" s="5" t="s">
        <v>34</v>
      </c>
      <c r="F1125" s="5" t="s">
        <v>34</v>
      </c>
      <c r="G1125" s="5" t="s">
        <v>36</v>
      </c>
      <c r="H1125" s="5" t="s">
        <v>35</v>
      </c>
      <c r="I1125" s="6">
        <v>1.0</v>
      </c>
      <c r="J1125" s="6" t="s">
        <v>37</v>
      </c>
      <c r="K1125" s="6">
        <v>10.0</v>
      </c>
      <c r="L1125" s="5"/>
      <c r="M1125" s="5"/>
      <c r="N1125" s="6" t="s">
        <v>40</v>
      </c>
      <c r="O1125" s="5" t="s">
        <v>5363</v>
      </c>
      <c r="P1125" s="6" t="s">
        <v>42</v>
      </c>
      <c r="Q1125" s="5" t="s">
        <v>1237</v>
      </c>
      <c r="R1125" s="5" t="s">
        <v>9738</v>
      </c>
      <c r="S1125" s="6" t="s">
        <v>71</v>
      </c>
      <c r="T1125" s="6">
        <v>6528.0</v>
      </c>
    </row>
    <row r="1126" ht="56.25" customHeight="1">
      <c r="A1126" s="5" t="s">
        <v>9729</v>
      </c>
      <c r="B1126" s="6" t="str">
        <f>image("https://storage.googleapis.com/acdb/photos/BromideNpcNmlHam06_Remake_4_0.png")</f>
        <v/>
      </c>
      <c r="C1126" s="5" t="s">
        <v>1167</v>
      </c>
      <c r="D1126" s="5" t="s">
        <v>1327</v>
      </c>
      <c r="E1126" s="5" t="s">
        <v>34</v>
      </c>
      <c r="F1126" s="5" t="s">
        <v>34</v>
      </c>
      <c r="G1126" s="5" t="s">
        <v>36</v>
      </c>
      <c r="H1126" s="5" t="s">
        <v>35</v>
      </c>
      <c r="I1126" s="6">
        <v>1.0</v>
      </c>
      <c r="J1126" s="6" t="s">
        <v>37</v>
      </c>
      <c r="K1126" s="6">
        <v>10.0</v>
      </c>
      <c r="L1126" s="5"/>
      <c r="M1126" s="5"/>
      <c r="N1126" s="6" t="s">
        <v>40</v>
      </c>
      <c r="O1126" s="5" t="s">
        <v>5363</v>
      </c>
      <c r="P1126" s="6" t="s">
        <v>42</v>
      </c>
      <c r="Q1126" s="5" t="s">
        <v>1237</v>
      </c>
      <c r="R1126" s="5" t="s">
        <v>9741</v>
      </c>
      <c r="S1126" s="6" t="s">
        <v>75</v>
      </c>
      <c r="T1126" s="6">
        <v>6528.0</v>
      </c>
    </row>
    <row r="1127" ht="56.25" customHeight="1">
      <c r="A1127" s="5" t="s">
        <v>9729</v>
      </c>
      <c r="B1127" s="6" t="str">
        <f>image("https://storage.googleapis.com/acdb/photos/BromideNpcNmlHam06_Remake_5_0.png")</f>
        <v/>
      </c>
      <c r="C1127" s="5" t="s">
        <v>58</v>
      </c>
      <c r="D1127" s="5" t="s">
        <v>1327</v>
      </c>
      <c r="E1127" s="5" t="s">
        <v>34</v>
      </c>
      <c r="F1127" s="5" t="s">
        <v>34</v>
      </c>
      <c r="G1127" s="5" t="s">
        <v>36</v>
      </c>
      <c r="H1127" s="5" t="s">
        <v>35</v>
      </c>
      <c r="I1127" s="6">
        <v>1.0</v>
      </c>
      <c r="J1127" s="6" t="s">
        <v>37</v>
      </c>
      <c r="K1127" s="6">
        <v>10.0</v>
      </c>
      <c r="L1127" s="5"/>
      <c r="M1127" s="5"/>
      <c r="N1127" s="6" t="s">
        <v>40</v>
      </c>
      <c r="O1127" s="5" t="s">
        <v>5363</v>
      </c>
      <c r="P1127" s="6" t="s">
        <v>42</v>
      </c>
      <c r="Q1127" s="5" t="s">
        <v>1237</v>
      </c>
      <c r="R1127" s="5" t="s">
        <v>9743</v>
      </c>
      <c r="S1127" s="6" t="s">
        <v>79</v>
      </c>
      <c r="T1127" s="6">
        <v>6528.0</v>
      </c>
    </row>
    <row r="1128" ht="56.25" customHeight="1">
      <c r="A1128" s="5" t="s">
        <v>9729</v>
      </c>
      <c r="B1128" s="6" t="str">
        <f>image("https://storage.googleapis.com/acdb/photos/BromideNpcNmlHam06_Remake_6_0.png")</f>
        <v/>
      </c>
      <c r="C1128" s="5" t="s">
        <v>146</v>
      </c>
      <c r="D1128" s="5" t="s">
        <v>1327</v>
      </c>
      <c r="E1128" s="5" t="s">
        <v>34</v>
      </c>
      <c r="F1128" s="5" t="s">
        <v>34</v>
      </c>
      <c r="G1128" s="5" t="s">
        <v>36</v>
      </c>
      <c r="H1128" s="5" t="s">
        <v>35</v>
      </c>
      <c r="I1128" s="6">
        <v>1.0</v>
      </c>
      <c r="J1128" s="6" t="s">
        <v>37</v>
      </c>
      <c r="K1128" s="6">
        <v>10.0</v>
      </c>
      <c r="L1128" s="5"/>
      <c r="M1128" s="5"/>
      <c r="N1128" s="6" t="s">
        <v>40</v>
      </c>
      <c r="O1128" s="5" t="s">
        <v>5363</v>
      </c>
      <c r="P1128" s="6" t="s">
        <v>42</v>
      </c>
      <c r="Q1128" s="5" t="s">
        <v>1237</v>
      </c>
      <c r="R1128" s="5" t="s">
        <v>9746</v>
      </c>
      <c r="S1128" s="6" t="s">
        <v>86</v>
      </c>
      <c r="T1128" s="6">
        <v>6528.0</v>
      </c>
    </row>
    <row r="1129" ht="56.25" customHeight="1">
      <c r="A1129" s="5" t="s">
        <v>9729</v>
      </c>
      <c r="B1129" s="6" t="str">
        <f>image("https://storage.googleapis.com/acdb/photos/BromideNpcNmlHam06_Remake_7_0.png")</f>
        <v/>
      </c>
      <c r="C1129" s="5" t="s">
        <v>151</v>
      </c>
      <c r="D1129" s="5" t="s">
        <v>1327</v>
      </c>
      <c r="E1129" s="5" t="s">
        <v>34</v>
      </c>
      <c r="F1129" s="5" t="s">
        <v>34</v>
      </c>
      <c r="G1129" s="5" t="s">
        <v>36</v>
      </c>
      <c r="H1129" s="5" t="s">
        <v>35</v>
      </c>
      <c r="I1129" s="6">
        <v>1.0</v>
      </c>
      <c r="J1129" s="6" t="s">
        <v>37</v>
      </c>
      <c r="K1129" s="6">
        <v>10.0</v>
      </c>
      <c r="L1129" s="5"/>
      <c r="M1129" s="5"/>
      <c r="N1129" s="6" t="s">
        <v>40</v>
      </c>
      <c r="O1129" s="5" t="s">
        <v>5363</v>
      </c>
      <c r="P1129" s="6" t="s">
        <v>42</v>
      </c>
      <c r="Q1129" s="5" t="s">
        <v>1237</v>
      </c>
      <c r="R1129" s="5" t="s">
        <v>9748</v>
      </c>
      <c r="S1129" s="6" t="s">
        <v>208</v>
      </c>
      <c r="T1129" s="6">
        <v>6528.0</v>
      </c>
    </row>
    <row r="1130" ht="56.25" customHeight="1">
      <c r="A1130" s="5" t="s">
        <v>9749</v>
      </c>
      <c r="B1130" s="6" t="str">
        <f>image("https://storage.googleapis.com/acdb/photos/BromideNpcNmlRbt12_Remake_0_0.png")</f>
        <v/>
      </c>
      <c r="C1130" s="5" t="s">
        <v>366</v>
      </c>
      <c r="D1130" s="5" t="s">
        <v>1327</v>
      </c>
      <c r="E1130" s="5" t="s">
        <v>34</v>
      </c>
      <c r="F1130" s="5" t="s">
        <v>34</v>
      </c>
      <c r="G1130" s="5" t="s">
        <v>36</v>
      </c>
      <c r="H1130" s="5" t="s">
        <v>35</v>
      </c>
      <c r="I1130" s="6">
        <v>1.0</v>
      </c>
      <c r="J1130" s="6" t="s">
        <v>37</v>
      </c>
      <c r="K1130" s="6">
        <v>10.0</v>
      </c>
      <c r="L1130" s="5"/>
      <c r="M1130" s="5"/>
      <c r="N1130" s="6" t="s">
        <v>40</v>
      </c>
      <c r="O1130" s="5" t="s">
        <v>5363</v>
      </c>
      <c r="P1130" s="6" t="s">
        <v>42</v>
      </c>
      <c r="Q1130" s="5" t="s">
        <v>1237</v>
      </c>
      <c r="R1130" s="5" t="s">
        <v>9751</v>
      </c>
      <c r="S1130" s="6" t="s">
        <v>50</v>
      </c>
      <c r="T1130" s="6">
        <v>6675.0</v>
      </c>
    </row>
    <row r="1131" ht="56.25" customHeight="1">
      <c r="A1131" s="5" t="s">
        <v>9749</v>
      </c>
      <c r="B1131" s="6" t="str">
        <f>image("https://storage.googleapis.com/acdb/photos/BromideNpcNmlRbt12_Remake_1_0.png")</f>
        <v/>
      </c>
      <c r="C1131" s="5" t="s">
        <v>1132</v>
      </c>
      <c r="D1131" s="5" t="s">
        <v>1327</v>
      </c>
      <c r="E1131" s="5" t="s">
        <v>34</v>
      </c>
      <c r="F1131" s="5" t="s">
        <v>34</v>
      </c>
      <c r="G1131" s="5" t="s">
        <v>36</v>
      </c>
      <c r="H1131" s="5" t="s">
        <v>35</v>
      </c>
      <c r="I1131" s="6">
        <v>1.0</v>
      </c>
      <c r="J1131" s="6" t="s">
        <v>37</v>
      </c>
      <c r="K1131" s="6">
        <v>10.0</v>
      </c>
      <c r="L1131" s="5"/>
      <c r="M1131" s="5"/>
      <c r="N1131" s="6" t="s">
        <v>40</v>
      </c>
      <c r="O1131" s="5" t="s">
        <v>5363</v>
      </c>
      <c r="P1131" s="6" t="s">
        <v>42</v>
      </c>
      <c r="Q1131" s="5" t="s">
        <v>1237</v>
      </c>
      <c r="R1131" s="5" t="s">
        <v>9754</v>
      </c>
      <c r="S1131" s="6" t="s">
        <v>56</v>
      </c>
      <c r="T1131" s="6">
        <v>6675.0</v>
      </c>
    </row>
    <row r="1132" ht="56.25" customHeight="1">
      <c r="A1132" s="5" t="s">
        <v>9749</v>
      </c>
      <c r="B1132" s="6" t="str">
        <f>image("https://storage.googleapis.com/acdb/photos/BromideNpcNmlRbt12_Remake_2_0.png")</f>
        <v/>
      </c>
      <c r="C1132" s="5" t="s">
        <v>688</v>
      </c>
      <c r="D1132" s="5" t="s">
        <v>1327</v>
      </c>
      <c r="E1132" s="5" t="s">
        <v>34</v>
      </c>
      <c r="F1132" s="5" t="s">
        <v>34</v>
      </c>
      <c r="G1132" s="5" t="s">
        <v>36</v>
      </c>
      <c r="H1132" s="5" t="s">
        <v>35</v>
      </c>
      <c r="I1132" s="6">
        <v>1.0</v>
      </c>
      <c r="J1132" s="6" t="s">
        <v>37</v>
      </c>
      <c r="K1132" s="6">
        <v>10.0</v>
      </c>
      <c r="L1132" s="5"/>
      <c r="M1132" s="5"/>
      <c r="N1132" s="6" t="s">
        <v>40</v>
      </c>
      <c r="O1132" s="5" t="s">
        <v>5363</v>
      </c>
      <c r="P1132" s="6" t="s">
        <v>42</v>
      </c>
      <c r="Q1132" s="5" t="s">
        <v>1237</v>
      </c>
      <c r="R1132" s="5" t="s">
        <v>9757</v>
      </c>
      <c r="S1132" s="6" t="s">
        <v>67</v>
      </c>
      <c r="T1132" s="6">
        <v>6675.0</v>
      </c>
    </row>
    <row r="1133" ht="56.25" customHeight="1">
      <c r="A1133" s="5" t="s">
        <v>9749</v>
      </c>
      <c r="B1133" s="6" t="str">
        <f>image("https://storage.googleapis.com/acdb/photos/BromideNpcNmlRbt12_Remake_3_0.png")</f>
        <v/>
      </c>
      <c r="C1133" s="5" t="s">
        <v>57</v>
      </c>
      <c r="D1133" s="5" t="s">
        <v>1327</v>
      </c>
      <c r="E1133" s="5" t="s">
        <v>34</v>
      </c>
      <c r="F1133" s="5" t="s">
        <v>34</v>
      </c>
      <c r="G1133" s="5" t="s">
        <v>36</v>
      </c>
      <c r="H1133" s="5" t="s">
        <v>35</v>
      </c>
      <c r="I1133" s="6">
        <v>1.0</v>
      </c>
      <c r="J1133" s="6" t="s">
        <v>37</v>
      </c>
      <c r="K1133" s="6">
        <v>10.0</v>
      </c>
      <c r="L1133" s="5"/>
      <c r="M1133" s="5"/>
      <c r="N1133" s="6" t="s">
        <v>40</v>
      </c>
      <c r="O1133" s="5" t="s">
        <v>5363</v>
      </c>
      <c r="P1133" s="6" t="s">
        <v>42</v>
      </c>
      <c r="Q1133" s="5" t="s">
        <v>1237</v>
      </c>
      <c r="R1133" s="5" t="s">
        <v>9760</v>
      </c>
      <c r="S1133" s="6" t="s">
        <v>71</v>
      </c>
      <c r="T1133" s="6">
        <v>6675.0</v>
      </c>
    </row>
    <row r="1134" ht="56.25" customHeight="1">
      <c r="A1134" s="5" t="s">
        <v>9749</v>
      </c>
      <c r="B1134" s="6" t="str">
        <f>image("https://storage.googleapis.com/acdb/photos/BromideNpcNmlRbt12_Remake_4_0.png")</f>
        <v/>
      </c>
      <c r="C1134" s="5" t="s">
        <v>1167</v>
      </c>
      <c r="D1134" s="5" t="s">
        <v>1327</v>
      </c>
      <c r="E1134" s="5" t="s">
        <v>34</v>
      </c>
      <c r="F1134" s="5" t="s">
        <v>34</v>
      </c>
      <c r="G1134" s="5" t="s">
        <v>36</v>
      </c>
      <c r="H1134" s="5" t="s">
        <v>35</v>
      </c>
      <c r="I1134" s="6">
        <v>1.0</v>
      </c>
      <c r="J1134" s="6" t="s">
        <v>37</v>
      </c>
      <c r="K1134" s="6">
        <v>10.0</v>
      </c>
      <c r="L1134" s="5"/>
      <c r="M1134" s="5"/>
      <c r="N1134" s="6" t="s">
        <v>40</v>
      </c>
      <c r="O1134" s="5" t="s">
        <v>5363</v>
      </c>
      <c r="P1134" s="6" t="s">
        <v>42</v>
      </c>
      <c r="Q1134" s="5" t="s">
        <v>1237</v>
      </c>
      <c r="R1134" s="5" t="s">
        <v>9763</v>
      </c>
      <c r="S1134" s="6" t="s">
        <v>75</v>
      </c>
      <c r="T1134" s="6">
        <v>6675.0</v>
      </c>
    </row>
    <row r="1135" ht="56.25" customHeight="1">
      <c r="A1135" s="5" t="s">
        <v>9749</v>
      </c>
      <c r="B1135" s="6" t="str">
        <f>image("https://storage.googleapis.com/acdb/photos/BromideNpcNmlRbt12_Remake_5_0.png")</f>
        <v/>
      </c>
      <c r="C1135" s="5" t="s">
        <v>58</v>
      </c>
      <c r="D1135" s="5" t="s">
        <v>1327</v>
      </c>
      <c r="E1135" s="5" t="s">
        <v>34</v>
      </c>
      <c r="F1135" s="5" t="s">
        <v>34</v>
      </c>
      <c r="G1135" s="5" t="s">
        <v>36</v>
      </c>
      <c r="H1135" s="5" t="s">
        <v>35</v>
      </c>
      <c r="I1135" s="6">
        <v>1.0</v>
      </c>
      <c r="J1135" s="6" t="s">
        <v>37</v>
      </c>
      <c r="K1135" s="6">
        <v>10.0</v>
      </c>
      <c r="L1135" s="5"/>
      <c r="M1135" s="5"/>
      <c r="N1135" s="6" t="s">
        <v>40</v>
      </c>
      <c r="O1135" s="5" t="s">
        <v>5363</v>
      </c>
      <c r="P1135" s="6" t="s">
        <v>42</v>
      </c>
      <c r="Q1135" s="5" t="s">
        <v>1237</v>
      </c>
      <c r="R1135" s="5" t="s">
        <v>9764</v>
      </c>
      <c r="S1135" s="6" t="s">
        <v>79</v>
      </c>
      <c r="T1135" s="6">
        <v>6675.0</v>
      </c>
    </row>
    <row r="1136" ht="56.25" customHeight="1">
      <c r="A1136" s="5" t="s">
        <v>9749</v>
      </c>
      <c r="B1136" s="6" t="str">
        <f>image("https://storage.googleapis.com/acdb/photos/BromideNpcNmlRbt12_Remake_6_0.png")</f>
        <v/>
      </c>
      <c r="C1136" s="5" t="s">
        <v>146</v>
      </c>
      <c r="D1136" s="5" t="s">
        <v>1327</v>
      </c>
      <c r="E1136" s="5" t="s">
        <v>34</v>
      </c>
      <c r="F1136" s="5" t="s">
        <v>34</v>
      </c>
      <c r="G1136" s="5" t="s">
        <v>36</v>
      </c>
      <c r="H1136" s="5" t="s">
        <v>35</v>
      </c>
      <c r="I1136" s="6">
        <v>1.0</v>
      </c>
      <c r="J1136" s="6" t="s">
        <v>37</v>
      </c>
      <c r="K1136" s="6">
        <v>10.0</v>
      </c>
      <c r="L1136" s="5"/>
      <c r="M1136" s="5"/>
      <c r="N1136" s="6" t="s">
        <v>40</v>
      </c>
      <c r="O1136" s="5" t="s">
        <v>5363</v>
      </c>
      <c r="P1136" s="6" t="s">
        <v>42</v>
      </c>
      <c r="Q1136" s="5" t="s">
        <v>1237</v>
      </c>
      <c r="R1136" s="5" t="s">
        <v>9767</v>
      </c>
      <c r="S1136" s="6" t="s">
        <v>86</v>
      </c>
      <c r="T1136" s="6">
        <v>6675.0</v>
      </c>
    </row>
    <row r="1137" ht="56.25" customHeight="1">
      <c r="A1137" s="5" t="s">
        <v>9749</v>
      </c>
      <c r="B1137" s="6" t="str">
        <f>image("https://storage.googleapis.com/acdb/photos/BromideNpcNmlRbt12_Remake_7_0.png")</f>
        <v/>
      </c>
      <c r="C1137" s="5" t="s">
        <v>151</v>
      </c>
      <c r="D1137" s="5" t="s">
        <v>1327</v>
      </c>
      <c r="E1137" s="5" t="s">
        <v>34</v>
      </c>
      <c r="F1137" s="5" t="s">
        <v>34</v>
      </c>
      <c r="G1137" s="5" t="s">
        <v>36</v>
      </c>
      <c r="H1137" s="5" t="s">
        <v>35</v>
      </c>
      <c r="I1137" s="6">
        <v>1.0</v>
      </c>
      <c r="J1137" s="6" t="s">
        <v>37</v>
      </c>
      <c r="K1137" s="6">
        <v>10.0</v>
      </c>
      <c r="L1137" s="5"/>
      <c r="M1137" s="5"/>
      <c r="N1137" s="6" t="s">
        <v>40</v>
      </c>
      <c r="O1137" s="5" t="s">
        <v>5363</v>
      </c>
      <c r="P1137" s="6" t="s">
        <v>42</v>
      </c>
      <c r="Q1137" s="5" t="s">
        <v>1237</v>
      </c>
      <c r="R1137" s="5" t="s">
        <v>9771</v>
      </c>
      <c r="S1137" s="6" t="s">
        <v>208</v>
      </c>
      <c r="T1137" s="6">
        <v>6675.0</v>
      </c>
    </row>
    <row r="1138" ht="56.25" customHeight="1">
      <c r="A1138" s="5" t="s">
        <v>9772</v>
      </c>
      <c r="B1138" s="6" t="str">
        <f>image("https://storage.googleapis.com/acdb/photos/BromideNpcNmlPbr06_Remake_0_0.png")</f>
        <v/>
      </c>
      <c r="C1138" s="5" t="s">
        <v>366</v>
      </c>
      <c r="D1138" s="5" t="s">
        <v>1327</v>
      </c>
      <c r="E1138" s="5" t="s">
        <v>34</v>
      </c>
      <c r="F1138" s="5" t="s">
        <v>34</v>
      </c>
      <c r="G1138" s="5" t="s">
        <v>36</v>
      </c>
      <c r="H1138" s="5" t="s">
        <v>35</v>
      </c>
      <c r="I1138" s="6">
        <v>1.0</v>
      </c>
      <c r="J1138" s="6" t="s">
        <v>37</v>
      </c>
      <c r="K1138" s="6">
        <v>10.0</v>
      </c>
      <c r="L1138" s="5"/>
      <c r="M1138" s="5"/>
      <c r="N1138" s="6" t="s">
        <v>40</v>
      </c>
      <c r="O1138" s="5" t="s">
        <v>5363</v>
      </c>
      <c r="P1138" s="6" t="s">
        <v>42</v>
      </c>
      <c r="Q1138" s="5" t="s">
        <v>1237</v>
      </c>
      <c r="R1138" s="5" t="s">
        <v>9776</v>
      </c>
      <c r="S1138" s="6" t="s">
        <v>50</v>
      </c>
      <c r="T1138" s="6">
        <v>6625.0</v>
      </c>
    </row>
    <row r="1139" ht="56.25" customHeight="1">
      <c r="A1139" s="5" t="s">
        <v>9772</v>
      </c>
      <c r="B1139" s="6" t="str">
        <f>image("https://storage.googleapis.com/acdb/photos/BromideNpcNmlPbr06_Remake_1_0.png")</f>
        <v/>
      </c>
      <c r="C1139" s="5" t="s">
        <v>1132</v>
      </c>
      <c r="D1139" s="5" t="s">
        <v>1327</v>
      </c>
      <c r="E1139" s="5" t="s">
        <v>34</v>
      </c>
      <c r="F1139" s="5" t="s">
        <v>34</v>
      </c>
      <c r="G1139" s="5" t="s">
        <v>36</v>
      </c>
      <c r="H1139" s="5" t="s">
        <v>35</v>
      </c>
      <c r="I1139" s="6">
        <v>1.0</v>
      </c>
      <c r="J1139" s="6" t="s">
        <v>37</v>
      </c>
      <c r="K1139" s="6">
        <v>10.0</v>
      </c>
      <c r="L1139" s="5"/>
      <c r="M1139" s="5"/>
      <c r="N1139" s="6" t="s">
        <v>40</v>
      </c>
      <c r="O1139" s="5" t="s">
        <v>5363</v>
      </c>
      <c r="P1139" s="6" t="s">
        <v>42</v>
      </c>
      <c r="Q1139" s="5" t="s">
        <v>1237</v>
      </c>
      <c r="R1139" s="5" t="s">
        <v>9781</v>
      </c>
      <c r="S1139" s="6" t="s">
        <v>56</v>
      </c>
      <c r="T1139" s="6">
        <v>6625.0</v>
      </c>
    </row>
    <row r="1140" ht="56.25" customHeight="1">
      <c r="A1140" s="5" t="s">
        <v>9772</v>
      </c>
      <c r="B1140" s="6" t="str">
        <f>image("https://storage.googleapis.com/acdb/photos/BromideNpcNmlPbr06_Remake_2_0.png")</f>
        <v/>
      </c>
      <c r="C1140" s="5" t="s">
        <v>688</v>
      </c>
      <c r="D1140" s="5" t="s">
        <v>1327</v>
      </c>
      <c r="E1140" s="5" t="s">
        <v>34</v>
      </c>
      <c r="F1140" s="5" t="s">
        <v>34</v>
      </c>
      <c r="G1140" s="5" t="s">
        <v>36</v>
      </c>
      <c r="H1140" s="5" t="s">
        <v>35</v>
      </c>
      <c r="I1140" s="6">
        <v>1.0</v>
      </c>
      <c r="J1140" s="6" t="s">
        <v>37</v>
      </c>
      <c r="K1140" s="6">
        <v>10.0</v>
      </c>
      <c r="L1140" s="5"/>
      <c r="M1140" s="5"/>
      <c r="N1140" s="6" t="s">
        <v>40</v>
      </c>
      <c r="O1140" s="5" t="s">
        <v>5363</v>
      </c>
      <c r="P1140" s="6" t="s">
        <v>42</v>
      </c>
      <c r="Q1140" s="5" t="s">
        <v>1237</v>
      </c>
      <c r="R1140" s="5" t="s">
        <v>9784</v>
      </c>
      <c r="S1140" s="6" t="s">
        <v>67</v>
      </c>
      <c r="T1140" s="6">
        <v>6625.0</v>
      </c>
    </row>
    <row r="1141" ht="56.25" customHeight="1">
      <c r="A1141" s="5" t="s">
        <v>9772</v>
      </c>
      <c r="B1141" s="6" t="str">
        <f>image("https://storage.googleapis.com/acdb/photos/BromideNpcNmlPbr06_Remake_3_0.png")</f>
        <v/>
      </c>
      <c r="C1141" s="5" t="s">
        <v>57</v>
      </c>
      <c r="D1141" s="5" t="s">
        <v>1327</v>
      </c>
      <c r="E1141" s="5" t="s">
        <v>34</v>
      </c>
      <c r="F1141" s="5" t="s">
        <v>34</v>
      </c>
      <c r="G1141" s="5" t="s">
        <v>36</v>
      </c>
      <c r="H1141" s="5" t="s">
        <v>35</v>
      </c>
      <c r="I1141" s="6">
        <v>1.0</v>
      </c>
      <c r="J1141" s="6" t="s">
        <v>37</v>
      </c>
      <c r="K1141" s="6">
        <v>10.0</v>
      </c>
      <c r="L1141" s="5"/>
      <c r="M1141" s="5"/>
      <c r="N1141" s="6" t="s">
        <v>40</v>
      </c>
      <c r="O1141" s="5" t="s">
        <v>5363</v>
      </c>
      <c r="P1141" s="6" t="s">
        <v>42</v>
      </c>
      <c r="Q1141" s="5" t="s">
        <v>1237</v>
      </c>
      <c r="R1141" s="5" t="s">
        <v>9789</v>
      </c>
      <c r="S1141" s="6" t="s">
        <v>71</v>
      </c>
      <c r="T1141" s="6">
        <v>6625.0</v>
      </c>
    </row>
    <row r="1142" ht="56.25" customHeight="1">
      <c r="A1142" s="5" t="s">
        <v>9772</v>
      </c>
      <c r="B1142" s="6" t="str">
        <f>image("https://storage.googleapis.com/acdb/photos/BromideNpcNmlPbr06_Remake_4_0.png")</f>
        <v/>
      </c>
      <c r="C1142" s="5" t="s">
        <v>1167</v>
      </c>
      <c r="D1142" s="5" t="s">
        <v>1327</v>
      </c>
      <c r="E1142" s="5" t="s">
        <v>34</v>
      </c>
      <c r="F1142" s="5" t="s">
        <v>34</v>
      </c>
      <c r="G1142" s="5" t="s">
        <v>36</v>
      </c>
      <c r="H1142" s="5" t="s">
        <v>35</v>
      </c>
      <c r="I1142" s="6">
        <v>1.0</v>
      </c>
      <c r="J1142" s="6" t="s">
        <v>37</v>
      </c>
      <c r="K1142" s="6">
        <v>10.0</v>
      </c>
      <c r="L1142" s="5"/>
      <c r="M1142" s="5"/>
      <c r="N1142" s="6" t="s">
        <v>40</v>
      </c>
      <c r="O1142" s="5" t="s">
        <v>5363</v>
      </c>
      <c r="P1142" s="6" t="s">
        <v>42</v>
      </c>
      <c r="Q1142" s="5" t="s">
        <v>1237</v>
      </c>
      <c r="R1142" s="5" t="s">
        <v>9793</v>
      </c>
      <c r="S1142" s="6" t="s">
        <v>75</v>
      </c>
      <c r="T1142" s="6">
        <v>6625.0</v>
      </c>
    </row>
    <row r="1143" ht="56.25" customHeight="1">
      <c r="A1143" s="5" t="s">
        <v>9772</v>
      </c>
      <c r="B1143" s="6" t="str">
        <f>image("https://storage.googleapis.com/acdb/photos/BromideNpcNmlPbr06_Remake_5_0.png")</f>
        <v/>
      </c>
      <c r="C1143" s="5" t="s">
        <v>58</v>
      </c>
      <c r="D1143" s="5" t="s">
        <v>1327</v>
      </c>
      <c r="E1143" s="5" t="s">
        <v>34</v>
      </c>
      <c r="F1143" s="5" t="s">
        <v>34</v>
      </c>
      <c r="G1143" s="5" t="s">
        <v>36</v>
      </c>
      <c r="H1143" s="5" t="s">
        <v>35</v>
      </c>
      <c r="I1143" s="6">
        <v>1.0</v>
      </c>
      <c r="J1143" s="6" t="s">
        <v>37</v>
      </c>
      <c r="K1143" s="6">
        <v>10.0</v>
      </c>
      <c r="L1143" s="5"/>
      <c r="M1143" s="5"/>
      <c r="N1143" s="6" t="s">
        <v>40</v>
      </c>
      <c r="O1143" s="5" t="s">
        <v>5363</v>
      </c>
      <c r="P1143" s="6" t="s">
        <v>42</v>
      </c>
      <c r="Q1143" s="5" t="s">
        <v>1237</v>
      </c>
      <c r="R1143" s="5" t="s">
        <v>9797</v>
      </c>
      <c r="S1143" s="6" t="s">
        <v>79</v>
      </c>
      <c r="T1143" s="6">
        <v>6625.0</v>
      </c>
    </row>
    <row r="1144" ht="56.25" customHeight="1">
      <c r="A1144" s="5" t="s">
        <v>9772</v>
      </c>
      <c r="B1144" s="6" t="str">
        <f>image("https://storage.googleapis.com/acdb/photos/BromideNpcNmlPbr06_Remake_6_0.png")</f>
        <v/>
      </c>
      <c r="C1144" s="5" t="s">
        <v>146</v>
      </c>
      <c r="D1144" s="5" t="s">
        <v>1327</v>
      </c>
      <c r="E1144" s="5" t="s">
        <v>34</v>
      </c>
      <c r="F1144" s="5" t="s">
        <v>34</v>
      </c>
      <c r="G1144" s="5" t="s">
        <v>36</v>
      </c>
      <c r="H1144" s="5" t="s">
        <v>35</v>
      </c>
      <c r="I1144" s="6">
        <v>1.0</v>
      </c>
      <c r="J1144" s="6" t="s">
        <v>37</v>
      </c>
      <c r="K1144" s="6">
        <v>10.0</v>
      </c>
      <c r="L1144" s="5"/>
      <c r="M1144" s="5"/>
      <c r="N1144" s="6" t="s">
        <v>40</v>
      </c>
      <c r="O1144" s="5" t="s">
        <v>5363</v>
      </c>
      <c r="P1144" s="6" t="s">
        <v>42</v>
      </c>
      <c r="Q1144" s="5" t="s">
        <v>1237</v>
      </c>
      <c r="R1144" s="5" t="s">
        <v>9800</v>
      </c>
      <c r="S1144" s="6" t="s">
        <v>86</v>
      </c>
      <c r="T1144" s="6">
        <v>6625.0</v>
      </c>
    </row>
    <row r="1145" ht="56.25" customHeight="1">
      <c r="A1145" s="5" t="s">
        <v>9772</v>
      </c>
      <c r="B1145" s="6" t="str">
        <f>image("https://storage.googleapis.com/acdb/photos/BromideNpcNmlPbr06_Remake_7_0.png")</f>
        <v/>
      </c>
      <c r="C1145" s="5" t="s">
        <v>151</v>
      </c>
      <c r="D1145" s="5" t="s">
        <v>1327</v>
      </c>
      <c r="E1145" s="5" t="s">
        <v>34</v>
      </c>
      <c r="F1145" s="5" t="s">
        <v>34</v>
      </c>
      <c r="G1145" s="5" t="s">
        <v>36</v>
      </c>
      <c r="H1145" s="5" t="s">
        <v>35</v>
      </c>
      <c r="I1145" s="6">
        <v>1.0</v>
      </c>
      <c r="J1145" s="6" t="s">
        <v>37</v>
      </c>
      <c r="K1145" s="6">
        <v>10.0</v>
      </c>
      <c r="L1145" s="5"/>
      <c r="M1145" s="5"/>
      <c r="N1145" s="6" t="s">
        <v>40</v>
      </c>
      <c r="O1145" s="5" t="s">
        <v>5363</v>
      </c>
      <c r="P1145" s="6" t="s">
        <v>42</v>
      </c>
      <c r="Q1145" s="5" t="s">
        <v>1237</v>
      </c>
      <c r="R1145" s="5" t="s">
        <v>9804</v>
      </c>
      <c r="S1145" s="6" t="s">
        <v>208</v>
      </c>
      <c r="T1145" s="6">
        <v>6625.0</v>
      </c>
    </row>
    <row r="1146" ht="56.25" customHeight="1">
      <c r="A1146" s="5" t="s">
        <v>9807</v>
      </c>
      <c r="B1146" s="6" t="str">
        <f>image("https://storage.googleapis.com/acdb/photos/BromideNpcNmlDuk07_Remake_0_0.png")</f>
        <v/>
      </c>
      <c r="C1146" s="5" t="s">
        <v>366</v>
      </c>
      <c r="D1146" s="5" t="s">
        <v>1327</v>
      </c>
      <c r="E1146" s="5" t="s">
        <v>34</v>
      </c>
      <c r="F1146" s="5" t="s">
        <v>34</v>
      </c>
      <c r="G1146" s="5" t="s">
        <v>36</v>
      </c>
      <c r="H1146" s="5" t="s">
        <v>35</v>
      </c>
      <c r="I1146" s="6">
        <v>1.0</v>
      </c>
      <c r="J1146" s="6" t="s">
        <v>37</v>
      </c>
      <c r="K1146" s="6">
        <v>10.0</v>
      </c>
      <c r="L1146" s="5"/>
      <c r="M1146" s="5"/>
      <c r="N1146" s="6" t="s">
        <v>40</v>
      </c>
      <c r="O1146" s="5" t="s">
        <v>5363</v>
      </c>
      <c r="P1146" s="6" t="s">
        <v>42</v>
      </c>
      <c r="Q1146" s="5" t="s">
        <v>1237</v>
      </c>
      <c r="R1146" s="5" t="s">
        <v>9810</v>
      </c>
      <c r="S1146" s="6" t="s">
        <v>50</v>
      </c>
      <c r="T1146" s="6">
        <v>6462.0</v>
      </c>
    </row>
    <row r="1147" ht="56.25" customHeight="1">
      <c r="A1147" s="5" t="s">
        <v>9807</v>
      </c>
      <c r="B1147" s="6" t="str">
        <f>image("https://storage.googleapis.com/acdb/photos/BromideNpcNmlDuk07_Remake_1_0.png")</f>
        <v/>
      </c>
      <c r="C1147" s="5" t="s">
        <v>1132</v>
      </c>
      <c r="D1147" s="5" t="s">
        <v>1327</v>
      </c>
      <c r="E1147" s="5" t="s">
        <v>34</v>
      </c>
      <c r="F1147" s="5" t="s">
        <v>34</v>
      </c>
      <c r="G1147" s="5" t="s">
        <v>36</v>
      </c>
      <c r="H1147" s="5" t="s">
        <v>35</v>
      </c>
      <c r="I1147" s="6">
        <v>1.0</v>
      </c>
      <c r="J1147" s="6" t="s">
        <v>37</v>
      </c>
      <c r="K1147" s="6">
        <v>10.0</v>
      </c>
      <c r="L1147" s="5"/>
      <c r="M1147" s="5"/>
      <c r="N1147" s="6" t="s">
        <v>40</v>
      </c>
      <c r="O1147" s="5" t="s">
        <v>5363</v>
      </c>
      <c r="P1147" s="6" t="s">
        <v>42</v>
      </c>
      <c r="Q1147" s="5" t="s">
        <v>1237</v>
      </c>
      <c r="R1147" s="5" t="s">
        <v>9815</v>
      </c>
      <c r="S1147" s="6" t="s">
        <v>56</v>
      </c>
      <c r="T1147" s="6">
        <v>6462.0</v>
      </c>
    </row>
    <row r="1148" ht="56.25" customHeight="1">
      <c r="A1148" s="5" t="s">
        <v>9807</v>
      </c>
      <c r="B1148" s="6" t="str">
        <f>image("https://storage.googleapis.com/acdb/photos/BromideNpcNmlDuk07_Remake_2_0.png")</f>
        <v/>
      </c>
      <c r="C1148" s="5" t="s">
        <v>688</v>
      </c>
      <c r="D1148" s="5" t="s">
        <v>1327</v>
      </c>
      <c r="E1148" s="5" t="s">
        <v>34</v>
      </c>
      <c r="F1148" s="5" t="s">
        <v>34</v>
      </c>
      <c r="G1148" s="5" t="s">
        <v>36</v>
      </c>
      <c r="H1148" s="5" t="s">
        <v>35</v>
      </c>
      <c r="I1148" s="6">
        <v>1.0</v>
      </c>
      <c r="J1148" s="6" t="s">
        <v>37</v>
      </c>
      <c r="K1148" s="6">
        <v>10.0</v>
      </c>
      <c r="L1148" s="5"/>
      <c r="M1148" s="5"/>
      <c r="N1148" s="6" t="s">
        <v>40</v>
      </c>
      <c r="O1148" s="5" t="s">
        <v>5363</v>
      </c>
      <c r="P1148" s="6" t="s">
        <v>42</v>
      </c>
      <c r="Q1148" s="5" t="s">
        <v>1237</v>
      </c>
      <c r="R1148" s="5" t="s">
        <v>9819</v>
      </c>
      <c r="S1148" s="6" t="s">
        <v>67</v>
      </c>
      <c r="T1148" s="6">
        <v>6462.0</v>
      </c>
    </row>
    <row r="1149" ht="56.25" customHeight="1">
      <c r="A1149" s="5" t="s">
        <v>9807</v>
      </c>
      <c r="B1149" s="6" t="str">
        <f>image("https://storage.googleapis.com/acdb/photos/BromideNpcNmlDuk07_Remake_3_0.png")</f>
        <v/>
      </c>
      <c r="C1149" s="5" t="s">
        <v>57</v>
      </c>
      <c r="D1149" s="5" t="s">
        <v>1327</v>
      </c>
      <c r="E1149" s="5" t="s">
        <v>34</v>
      </c>
      <c r="F1149" s="5" t="s">
        <v>34</v>
      </c>
      <c r="G1149" s="5" t="s">
        <v>36</v>
      </c>
      <c r="H1149" s="5" t="s">
        <v>35</v>
      </c>
      <c r="I1149" s="6">
        <v>1.0</v>
      </c>
      <c r="J1149" s="6" t="s">
        <v>37</v>
      </c>
      <c r="K1149" s="6">
        <v>10.0</v>
      </c>
      <c r="L1149" s="5"/>
      <c r="M1149" s="5"/>
      <c r="N1149" s="6" t="s">
        <v>40</v>
      </c>
      <c r="O1149" s="5" t="s">
        <v>5363</v>
      </c>
      <c r="P1149" s="6" t="s">
        <v>42</v>
      </c>
      <c r="Q1149" s="5" t="s">
        <v>1237</v>
      </c>
      <c r="R1149" s="5" t="s">
        <v>9825</v>
      </c>
      <c r="S1149" s="6" t="s">
        <v>71</v>
      </c>
      <c r="T1149" s="6">
        <v>6462.0</v>
      </c>
    </row>
    <row r="1150" ht="56.25" customHeight="1">
      <c r="A1150" s="5" t="s">
        <v>9807</v>
      </c>
      <c r="B1150" s="6" t="str">
        <f>image("https://storage.googleapis.com/acdb/photos/BromideNpcNmlDuk07_Remake_4_0.png")</f>
        <v/>
      </c>
      <c r="C1150" s="5" t="s">
        <v>1167</v>
      </c>
      <c r="D1150" s="5" t="s">
        <v>1327</v>
      </c>
      <c r="E1150" s="5" t="s">
        <v>34</v>
      </c>
      <c r="F1150" s="5" t="s">
        <v>34</v>
      </c>
      <c r="G1150" s="5" t="s">
        <v>36</v>
      </c>
      <c r="H1150" s="5" t="s">
        <v>35</v>
      </c>
      <c r="I1150" s="6">
        <v>1.0</v>
      </c>
      <c r="J1150" s="6" t="s">
        <v>37</v>
      </c>
      <c r="K1150" s="6">
        <v>10.0</v>
      </c>
      <c r="L1150" s="5"/>
      <c r="M1150" s="5"/>
      <c r="N1150" s="6" t="s">
        <v>40</v>
      </c>
      <c r="O1150" s="5" t="s">
        <v>5363</v>
      </c>
      <c r="P1150" s="6" t="s">
        <v>42</v>
      </c>
      <c r="Q1150" s="5" t="s">
        <v>1237</v>
      </c>
      <c r="R1150" s="5" t="s">
        <v>9831</v>
      </c>
      <c r="S1150" s="6" t="s">
        <v>75</v>
      </c>
      <c r="T1150" s="6">
        <v>6462.0</v>
      </c>
    </row>
    <row r="1151" ht="56.25" customHeight="1">
      <c r="A1151" s="5" t="s">
        <v>9807</v>
      </c>
      <c r="B1151" s="6" t="str">
        <f>image("https://storage.googleapis.com/acdb/photos/BromideNpcNmlDuk07_Remake_5_0.png")</f>
        <v/>
      </c>
      <c r="C1151" s="5" t="s">
        <v>58</v>
      </c>
      <c r="D1151" s="5" t="s">
        <v>1327</v>
      </c>
      <c r="E1151" s="5" t="s">
        <v>34</v>
      </c>
      <c r="F1151" s="5" t="s">
        <v>34</v>
      </c>
      <c r="G1151" s="5" t="s">
        <v>36</v>
      </c>
      <c r="H1151" s="5" t="s">
        <v>35</v>
      </c>
      <c r="I1151" s="6">
        <v>1.0</v>
      </c>
      <c r="J1151" s="6" t="s">
        <v>37</v>
      </c>
      <c r="K1151" s="6">
        <v>10.0</v>
      </c>
      <c r="L1151" s="5"/>
      <c r="M1151" s="5"/>
      <c r="N1151" s="6" t="s">
        <v>40</v>
      </c>
      <c r="O1151" s="5" t="s">
        <v>5363</v>
      </c>
      <c r="P1151" s="6" t="s">
        <v>42</v>
      </c>
      <c r="Q1151" s="5" t="s">
        <v>1237</v>
      </c>
      <c r="R1151" s="5" t="s">
        <v>9833</v>
      </c>
      <c r="S1151" s="6" t="s">
        <v>79</v>
      </c>
      <c r="T1151" s="6">
        <v>6462.0</v>
      </c>
    </row>
    <row r="1152" ht="56.25" customHeight="1">
      <c r="A1152" s="5" t="s">
        <v>9807</v>
      </c>
      <c r="B1152" s="6" t="str">
        <f>image("https://storage.googleapis.com/acdb/photos/BromideNpcNmlDuk07_Remake_6_0.png")</f>
        <v/>
      </c>
      <c r="C1152" s="5" t="s">
        <v>146</v>
      </c>
      <c r="D1152" s="5" t="s">
        <v>1327</v>
      </c>
      <c r="E1152" s="5" t="s">
        <v>34</v>
      </c>
      <c r="F1152" s="5" t="s">
        <v>34</v>
      </c>
      <c r="G1152" s="5" t="s">
        <v>36</v>
      </c>
      <c r="H1152" s="5" t="s">
        <v>35</v>
      </c>
      <c r="I1152" s="6">
        <v>1.0</v>
      </c>
      <c r="J1152" s="6" t="s">
        <v>37</v>
      </c>
      <c r="K1152" s="6">
        <v>10.0</v>
      </c>
      <c r="L1152" s="5"/>
      <c r="M1152" s="5"/>
      <c r="N1152" s="6" t="s">
        <v>40</v>
      </c>
      <c r="O1152" s="5" t="s">
        <v>5363</v>
      </c>
      <c r="P1152" s="6" t="s">
        <v>42</v>
      </c>
      <c r="Q1152" s="5" t="s">
        <v>1237</v>
      </c>
      <c r="R1152" s="5" t="s">
        <v>9837</v>
      </c>
      <c r="S1152" s="6" t="s">
        <v>86</v>
      </c>
      <c r="T1152" s="6">
        <v>6462.0</v>
      </c>
    </row>
    <row r="1153" ht="56.25" customHeight="1">
      <c r="A1153" s="5" t="s">
        <v>9807</v>
      </c>
      <c r="B1153" s="6" t="str">
        <f>image("https://storage.googleapis.com/acdb/photos/BromideNpcNmlDuk07_Remake_7_0.png")</f>
        <v/>
      </c>
      <c r="C1153" s="5" t="s">
        <v>151</v>
      </c>
      <c r="D1153" s="5" t="s">
        <v>1327</v>
      </c>
      <c r="E1153" s="5" t="s">
        <v>34</v>
      </c>
      <c r="F1153" s="5" t="s">
        <v>34</v>
      </c>
      <c r="G1153" s="5" t="s">
        <v>36</v>
      </c>
      <c r="H1153" s="5" t="s">
        <v>35</v>
      </c>
      <c r="I1153" s="6">
        <v>1.0</v>
      </c>
      <c r="J1153" s="6" t="s">
        <v>37</v>
      </c>
      <c r="K1153" s="6">
        <v>10.0</v>
      </c>
      <c r="L1153" s="5"/>
      <c r="M1153" s="5"/>
      <c r="N1153" s="6" t="s">
        <v>40</v>
      </c>
      <c r="O1153" s="5" t="s">
        <v>5363</v>
      </c>
      <c r="P1153" s="6" t="s">
        <v>42</v>
      </c>
      <c r="Q1153" s="5" t="s">
        <v>1237</v>
      </c>
      <c r="R1153" s="5" t="s">
        <v>9840</v>
      </c>
      <c r="S1153" s="6" t="s">
        <v>208</v>
      </c>
      <c r="T1153" s="6">
        <v>6462.0</v>
      </c>
    </row>
    <row r="1154" ht="56.25" customHeight="1">
      <c r="A1154" s="5" t="s">
        <v>9842</v>
      </c>
      <c r="B1154" s="6" t="str">
        <f>image("https://storage.googleapis.com/acdb/photos/BromideNpcNmlWol05_Remake_0_0.png")</f>
        <v/>
      </c>
      <c r="C1154" s="5" t="s">
        <v>366</v>
      </c>
      <c r="D1154" s="5" t="s">
        <v>1327</v>
      </c>
      <c r="E1154" s="5" t="s">
        <v>34</v>
      </c>
      <c r="F1154" s="5" t="s">
        <v>34</v>
      </c>
      <c r="G1154" s="5" t="s">
        <v>36</v>
      </c>
      <c r="H1154" s="5" t="s">
        <v>35</v>
      </c>
      <c r="I1154" s="6">
        <v>1.0</v>
      </c>
      <c r="J1154" s="6" t="s">
        <v>37</v>
      </c>
      <c r="K1154" s="6">
        <v>10.0</v>
      </c>
      <c r="L1154" s="5"/>
      <c r="M1154" s="5"/>
      <c r="N1154" s="6" t="s">
        <v>40</v>
      </c>
      <c r="O1154" s="5" t="s">
        <v>5363</v>
      </c>
      <c r="P1154" s="6" t="s">
        <v>42</v>
      </c>
      <c r="Q1154" s="5" t="s">
        <v>1237</v>
      </c>
      <c r="R1154" s="5" t="s">
        <v>9844</v>
      </c>
      <c r="S1154" s="6" t="s">
        <v>50</v>
      </c>
      <c r="T1154" s="6">
        <v>6736.0</v>
      </c>
    </row>
    <row r="1155" ht="56.25" customHeight="1">
      <c r="A1155" s="5" t="s">
        <v>9842</v>
      </c>
      <c r="B1155" s="6" t="str">
        <f>image("https://storage.googleapis.com/acdb/photos/BromideNpcNmlWol05_Remake_1_0.png")</f>
        <v/>
      </c>
      <c r="C1155" s="5" t="s">
        <v>1132</v>
      </c>
      <c r="D1155" s="5" t="s">
        <v>1327</v>
      </c>
      <c r="E1155" s="5" t="s">
        <v>34</v>
      </c>
      <c r="F1155" s="5" t="s">
        <v>34</v>
      </c>
      <c r="G1155" s="5" t="s">
        <v>36</v>
      </c>
      <c r="H1155" s="5" t="s">
        <v>35</v>
      </c>
      <c r="I1155" s="6">
        <v>1.0</v>
      </c>
      <c r="J1155" s="6" t="s">
        <v>37</v>
      </c>
      <c r="K1155" s="6">
        <v>10.0</v>
      </c>
      <c r="L1155" s="5"/>
      <c r="M1155" s="5"/>
      <c r="N1155" s="6" t="s">
        <v>40</v>
      </c>
      <c r="O1155" s="5" t="s">
        <v>5363</v>
      </c>
      <c r="P1155" s="6" t="s">
        <v>42</v>
      </c>
      <c r="Q1155" s="5" t="s">
        <v>1237</v>
      </c>
      <c r="R1155" s="5" t="s">
        <v>9849</v>
      </c>
      <c r="S1155" s="6" t="s">
        <v>56</v>
      </c>
      <c r="T1155" s="6">
        <v>6736.0</v>
      </c>
    </row>
    <row r="1156" ht="56.25" customHeight="1">
      <c r="A1156" s="5" t="s">
        <v>9842</v>
      </c>
      <c r="B1156" s="6" t="str">
        <f>image("https://storage.googleapis.com/acdb/photos/BromideNpcNmlWol05_Remake_2_0.png")</f>
        <v/>
      </c>
      <c r="C1156" s="5" t="s">
        <v>688</v>
      </c>
      <c r="D1156" s="5" t="s">
        <v>1327</v>
      </c>
      <c r="E1156" s="5" t="s">
        <v>34</v>
      </c>
      <c r="F1156" s="5" t="s">
        <v>34</v>
      </c>
      <c r="G1156" s="5" t="s">
        <v>36</v>
      </c>
      <c r="H1156" s="5" t="s">
        <v>35</v>
      </c>
      <c r="I1156" s="6">
        <v>1.0</v>
      </c>
      <c r="J1156" s="6" t="s">
        <v>37</v>
      </c>
      <c r="K1156" s="6">
        <v>10.0</v>
      </c>
      <c r="L1156" s="5"/>
      <c r="M1156" s="5"/>
      <c r="N1156" s="6" t="s">
        <v>40</v>
      </c>
      <c r="O1156" s="5" t="s">
        <v>5363</v>
      </c>
      <c r="P1156" s="6" t="s">
        <v>42</v>
      </c>
      <c r="Q1156" s="5" t="s">
        <v>1237</v>
      </c>
      <c r="R1156" s="5" t="s">
        <v>9853</v>
      </c>
      <c r="S1156" s="6" t="s">
        <v>67</v>
      </c>
      <c r="T1156" s="6">
        <v>6736.0</v>
      </c>
    </row>
    <row r="1157" ht="56.25" customHeight="1">
      <c r="A1157" s="5" t="s">
        <v>9842</v>
      </c>
      <c r="B1157" s="6" t="str">
        <f>image("https://storage.googleapis.com/acdb/photos/BromideNpcNmlWol05_Remake_3_0.png")</f>
        <v/>
      </c>
      <c r="C1157" s="5" t="s">
        <v>57</v>
      </c>
      <c r="D1157" s="5" t="s">
        <v>1327</v>
      </c>
      <c r="E1157" s="5" t="s">
        <v>34</v>
      </c>
      <c r="F1157" s="5" t="s">
        <v>34</v>
      </c>
      <c r="G1157" s="5" t="s">
        <v>36</v>
      </c>
      <c r="H1157" s="5" t="s">
        <v>35</v>
      </c>
      <c r="I1157" s="6">
        <v>1.0</v>
      </c>
      <c r="J1157" s="6" t="s">
        <v>37</v>
      </c>
      <c r="K1157" s="6">
        <v>10.0</v>
      </c>
      <c r="L1157" s="5"/>
      <c r="M1157" s="5"/>
      <c r="N1157" s="6" t="s">
        <v>40</v>
      </c>
      <c r="O1157" s="5" t="s">
        <v>5363</v>
      </c>
      <c r="P1157" s="6" t="s">
        <v>42</v>
      </c>
      <c r="Q1157" s="5" t="s">
        <v>1237</v>
      </c>
      <c r="R1157" s="5" t="s">
        <v>9855</v>
      </c>
      <c r="S1157" s="6" t="s">
        <v>71</v>
      </c>
      <c r="T1157" s="6">
        <v>6736.0</v>
      </c>
    </row>
    <row r="1158" ht="56.25" customHeight="1">
      <c r="A1158" s="5" t="s">
        <v>9842</v>
      </c>
      <c r="B1158" s="6" t="str">
        <f>image("https://storage.googleapis.com/acdb/photos/BromideNpcNmlWol05_Remake_4_0.png")</f>
        <v/>
      </c>
      <c r="C1158" s="5" t="s">
        <v>1167</v>
      </c>
      <c r="D1158" s="5" t="s">
        <v>1327</v>
      </c>
      <c r="E1158" s="5" t="s">
        <v>34</v>
      </c>
      <c r="F1158" s="5" t="s">
        <v>34</v>
      </c>
      <c r="G1158" s="5" t="s">
        <v>36</v>
      </c>
      <c r="H1158" s="5" t="s">
        <v>35</v>
      </c>
      <c r="I1158" s="6">
        <v>1.0</v>
      </c>
      <c r="J1158" s="6" t="s">
        <v>37</v>
      </c>
      <c r="K1158" s="6">
        <v>10.0</v>
      </c>
      <c r="L1158" s="5"/>
      <c r="M1158" s="5"/>
      <c r="N1158" s="6" t="s">
        <v>40</v>
      </c>
      <c r="O1158" s="5" t="s">
        <v>5363</v>
      </c>
      <c r="P1158" s="6" t="s">
        <v>42</v>
      </c>
      <c r="Q1158" s="5" t="s">
        <v>1237</v>
      </c>
      <c r="R1158" s="5" t="s">
        <v>9859</v>
      </c>
      <c r="S1158" s="6" t="s">
        <v>75</v>
      </c>
      <c r="T1158" s="6">
        <v>6736.0</v>
      </c>
    </row>
    <row r="1159" ht="56.25" customHeight="1">
      <c r="A1159" s="5" t="s">
        <v>9842</v>
      </c>
      <c r="B1159" s="6" t="str">
        <f>image("https://storage.googleapis.com/acdb/photos/BromideNpcNmlWol05_Remake_5_0.png")</f>
        <v/>
      </c>
      <c r="C1159" s="5" t="s">
        <v>58</v>
      </c>
      <c r="D1159" s="5" t="s">
        <v>1327</v>
      </c>
      <c r="E1159" s="5" t="s">
        <v>34</v>
      </c>
      <c r="F1159" s="5" t="s">
        <v>34</v>
      </c>
      <c r="G1159" s="5" t="s">
        <v>36</v>
      </c>
      <c r="H1159" s="5" t="s">
        <v>35</v>
      </c>
      <c r="I1159" s="6">
        <v>1.0</v>
      </c>
      <c r="J1159" s="6" t="s">
        <v>37</v>
      </c>
      <c r="K1159" s="6">
        <v>10.0</v>
      </c>
      <c r="L1159" s="5"/>
      <c r="M1159" s="5"/>
      <c r="N1159" s="6" t="s">
        <v>40</v>
      </c>
      <c r="O1159" s="5" t="s">
        <v>5363</v>
      </c>
      <c r="P1159" s="6" t="s">
        <v>42</v>
      </c>
      <c r="Q1159" s="5" t="s">
        <v>1237</v>
      </c>
      <c r="R1159" s="5" t="s">
        <v>9862</v>
      </c>
      <c r="S1159" s="6" t="s">
        <v>79</v>
      </c>
      <c r="T1159" s="6">
        <v>6736.0</v>
      </c>
    </row>
    <row r="1160" ht="56.25" customHeight="1">
      <c r="A1160" s="5" t="s">
        <v>9842</v>
      </c>
      <c r="B1160" s="6" t="str">
        <f>image("https://storage.googleapis.com/acdb/photos/BromideNpcNmlWol05_Remake_6_0.png")</f>
        <v/>
      </c>
      <c r="C1160" s="5" t="s">
        <v>146</v>
      </c>
      <c r="D1160" s="5" t="s">
        <v>1327</v>
      </c>
      <c r="E1160" s="5" t="s">
        <v>34</v>
      </c>
      <c r="F1160" s="5" t="s">
        <v>34</v>
      </c>
      <c r="G1160" s="5" t="s">
        <v>36</v>
      </c>
      <c r="H1160" s="5" t="s">
        <v>35</v>
      </c>
      <c r="I1160" s="6">
        <v>1.0</v>
      </c>
      <c r="J1160" s="6" t="s">
        <v>37</v>
      </c>
      <c r="K1160" s="6">
        <v>10.0</v>
      </c>
      <c r="L1160" s="5"/>
      <c r="M1160" s="5"/>
      <c r="N1160" s="6" t="s">
        <v>40</v>
      </c>
      <c r="O1160" s="5" t="s">
        <v>5363</v>
      </c>
      <c r="P1160" s="6" t="s">
        <v>42</v>
      </c>
      <c r="Q1160" s="5" t="s">
        <v>1237</v>
      </c>
      <c r="R1160" s="5" t="s">
        <v>9865</v>
      </c>
      <c r="S1160" s="6" t="s">
        <v>86</v>
      </c>
      <c r="T1160" s="6">
        <v>6736.0</v>
      </c>
    </row>
    <row r="1161" ht="56.25" customHeight="1">
      <c r="A1161" s="5" t="s">
        <v>9842</v>
      </c>
      <c r="B1161" s="6" t="str">
        <f>image("https://storage.googleapis.com/acdb/photos/BromideNpcNmlWol05_Remake_7_0.png")</f>
        <v/>
      </c>
      <c r="C1161" s="5" t="s">
        <v>151</v>
      </c>
      <c r="D1161" s="5" t="s">
        <v>1327</v>
      </c>
      <c r="E1161" s="5" t="s">
        <v>34</v>
      </c>
      <c r="F1161" s="5" t="s">
        <v>34</v>
      </c>
      <c r="G1161" s="5" t="s">
        <v>36</v>
      </c>
      <c r="H1161" s="5" t="s">
        <v>35</v>
      </c>
      <c r="I1161" s="6">
        <v>1.0</v>
      </c>
      <c r="J1161" s="6" t="s">
        <v>37</v>
      </c>
      <c r="K1161" s="6">
        <v>10.0</v>
      </c>
      <c r="L1161" s="5"/>
      <c r="M1161" s="5"/>
      <c r="N1161" s="6" t="s">
        <v>40</v>
      </c>
      <c r="O1161" s="5" t="s">
        <v>5363</v>
      </c>
      <c r="P1161" s="6" t="s">
        <v>42</v>
      </c>
      <c r="Q1161" s="5" t="s">
        <v>1237</v>
      </c>
      <c r="R1161" s="5" t="s">
        <v>9870</v>
      </c>
      <c r="S1161" s="6" t="s">
        <v>208</v>
      </c>
      <c r="T1161" s="6">
        <v>6736.0</v>
      </c>
    </row>
    <row r="1162" ht="56.25" customHeight="1">
      <c r="A1162" s="5" t="s">
        <v>9871</v>
      </c>
      <c r="B1162" s="6" t="str">
        <f>image("https://storage.googleapis.com/acdb/photos/BromideNpcNmlPgn04_Remake_0_0.png")</f>
        <v/>
      </c>
      <c r="C1162" s="5" t="s">
        <v>366</v>
      </c>
      <c r="D1162" s="5" t="s">
        <v>1327</v>
      </c>
      <c r="E1162" s="5" t="s">
        <v>34</v>
      </c>
      <c r="F1162" s="5" t="s">
        <v>34</v>
      </c>
      <c r="G1162" s="5" t="s">
        <v>36</v>
      </c>
      <c r="H1162" s="5" t="s">
        <v>35</v>
      </c>
      <c r="I1162" s="6">
        <v>1.0</v>
      </c>
      <c r="J1162" s="6" t="s">
        <v>37</v>
      </c>
      <c r="K1162" s="6">
        <v>10.0</v>
      </c>
      <c r="L1162" s="5"/>
      <c r="M1162" s="5"/>
      <c r="N1162" s="6" t="s">
        <v>40</v>
      </c>
      <c r="O1162" s="5" t="s">
        <v>5363</v>
      </c>
      <c r="P1162" s="6" t="s">
        <v>42</v>
      </c>
      <c r="Q1162" s="5" t="s">
        <v>1237</v>
      </c>
      <c r="R1162" s="5" t="s">
        <v>9873</v>
      </c>
      <c r="S1162" s="6" t="s">
        <v>50</v>
      </c>
      <c r="T1162" s="6">
        <v>6634.0</v>
      </c>
    </row>
    <row r="1163" ht="56.25" customHeight="1">
      <c r="A1163" s="5" t="s">
        <v>9871</v>
      </c>
      <c r="B1163" s="6" t="str">
        <f>image("https://storage.googleapis.com/acdb/photos/BromideNpcNmlPgn04_Remake_1_0.png")</f>
        <v/>
      </c>
      <c r="C1163" s="5" t="s">
        <v>1132</v>
      </c>
      <c r="D1163" s="5" t="s">
        <v>1327</v>
      </c>
      <c r="E1163" s="5" t="s">
        <v>34</v>
      </c>
      <c r="F1163" s="5" t="s">
        <v>34</v>
      </c>
      <c r="G1163" s="5" t="s">
        <v>36</v>
      </c>
      <c r="H1163" s="5" t="s">
        <v>35</v>
      </c>
      <c r="I1163" s="6">
        <v>1.0</v>
      </c>
      <c r="J1163" s="6" t="s">
        <v>37</v>
      </c>
      <c r="K1163" s="6">
        <v>10.0</v>
      </c>
      <c r="L1163" s="5"/>
      <c r="M1163" s="5"/>
      <c r="N1163" s="6" t="s">
        <v>40</v>
      </c>
      <c r="O1163" s="5" t="s">
        <v>5363</v>
      </c>
      <c r="P1163" s="6" t="s">
        <v>42</v>
      </c>
      <c r="Q1163" s="5" t="s">
        <v>1237</v>
      </c>
      <c r="R1163" s="5" t="s">
        <v>9876</v>
      </c>
      <c r="S1163" s="6" t="s">
        <v>56</v>
      </c>
      <c r="T1163" s="6">
        <v>6634.0</v>
      </c>
    </row>
    <row r="1164" ht="56.25" customHeight="1">
      <c r="A1164" s="5" t="s">
        <v>9871</v>
      </c>
      <c r="B1164" s="6" t="str">
        <f>image("https://storage.googleapis.com/acdb/photos/BromideNpcNmlPgn04_Remake_2_0.png")</f>
        <v/>
      </c>
      <c r="C1164" s="5" t="s">
        <v>688</v>
      </c>
      <c r="D1164" s="5" t="s">
        <v>1327</v>
      </c>
      <c r="E1164" s="5" t="s">
        <v>34</v>
      </c>
      <c r="F1164" s="5" t="s">
        <v>34</v>
      </c>
      <c r="G1164" s="5" t="s">
        <v>36</v>
      </c>
      <c r="H1164" s="5" t="s">
        <v>35</v>
      </c>
      <c r="I1164" s="6">
        <v>1.0</v>
      </c>
      <c r="J1164" s="6" t="s">
        <v>37</v>
      </c>
      <c r="K1164" s="6">
        <v>10.0</v>
      </c>
      <c r="L1164" s="5"/>
      <c r="M1164" s="5"/>
      <c r="N1164" s="6" t="s">
        <v>40</v>
      </c>
      <c r="O1164" s="5" t="s">
        <v>5363</v>
      </c>
      <c r="P1164" s="6" t="s">
        <v>42</v>
      </c>
      <c r="Q1164" s="5" t="s">
        <v>1237</v>
      </c>
      <c r="R1164" s="5" t="s">
        <v>9878</v>
      </c>
      <c r="S1164" s="6" t="s">
        <v>67</v>
      </c>
      <c r="T1164" s="6">
        <v>6634.0</v>
      </c>
    </row>
    <row r="1165" ht="56.25" customHeight="1">
      <c r="A1165" s="5" t="s">
        <v>9871</v>
      </c>
      <c r="B1165" s="6" t="str">
        <f>image("https://storage.googleapis.com/acdb/photos/BromideNpcNmlPgn04_Remake_3_0.png")</f>
        <v/>
      </c>
      <c r="C1165" s="5" t="s">
        <v>57</v>
      </c>
      <c r="D1165" s="5" t="s">
        <v>1327</v>
      </c>
      <c r="E1165" s="5" t="s">
        <v>34</v>
      </c>
      <c r="F1165" s="5" t="s">
        <v>34</v>
      </c>
      <c r="G1165" s="5" t="s">
        <v>36</v>
      </c>
      <c r="H1165" s="5" t="s">
        <v>35</v>
      </c>
      <c r="I1165" s="6">
        <v>1.0</v>
      </c>
      <c r="J1165" s="6" t="s">
        <v>37</v>
      </c>
      <c r="K1165" s="6">
        <v>10.0</v>
      </c>
      <c r="L1165" s="5"/>
      <c r="M1165" s="5"/>
      <c r="N1165" s="6" t="s">
        <v>40</v>
      </c>
      <c r="O1165" s="5" t="s">
        <v>5363</v>
      </c>
      <c r="P1165" s="6" t="s">
        <v>42</v>
      </c>
      <c r="Q1165" s="5" t="s">
        <v>1237</v>
      </c>
      <c r="R1165" s="5" t="s">
        <v>9880</v>
      </c>
      <c r="S1165" s="6" t="s">
        <v>71</v>
      </c>
      <c r="T1165" s="6">
        <v>6634.0</v>
      </c>
    </row>
    <row r="1166" ht="56.25" customHeight="1">
      <c r="A1166" s="5" t="s">
        <v>9871</v>
      </c>
      <c r="B1166" s="6" t="str">
        <f>image("https://storage.googleapis.com/acdb/photos/BromideNpcNmlPgn04_Remake_4_0.png")</f>
        <v/>
      </c>
      <c r="C1166" s="5" t="s">
        <v>1167</v>
      </c>
      <c r="D1166" s="5" t="s">
        <v>1327</v>
      </c>
      <c r="E1166" s="5" t="s">
        <v>34</v>
      </c>
      <c r="F1166" s="5" t="s">
        <v>34</v>
      </c>
      <c r="G1166" s="5" t="s">
        <v>36</v>
      </c>
      <c r="H1166" s="5" t="s">
        <v>35</v>
      </c>
      <c r="I1166" s="6">
        <v>1.0</v>
      </c>
      <c r="J1166" s="6" t="s">
        <v>37</v>
      </c>
      <c r="K1166" s="6">
        <v>10.0</v>
      </c>
      <c r="L1166" s="5"/>
      <c r="M1166" s="5"/>
      <c r="N1166" s="6" t="s">
        <v>40</v>
      </c>
      <c r="O1166" s="5" t="s">
        <v>5363</v>
      </c>
      <c r="P1166" s="6" t="s">
        <v>42</v>
      </c>
      <c r="Q1166" s="5" t="s">
        <v>1237</v>
      </c>
      <c r="R1166" s="5" t="s">
        <v>9882</v>
      </c>
      <c r="S1166" s="6" t="s">
        <v>75</v>
      </c>
      <c r="T1166" s="6">
        <v>6634.0</v>
      </c>
    </row>
    <row r="1167" ht="56.25" customHeight="1">
      <c r="A1167" s="5" t="s">
        <v>9871</v>
      </c>
      <c r="B1167" s="6" t="str">
        <f>image("https://storage.googleapis.com/acdb/photos/BromideNpcNmlPgn04_Remake_5_0.png")</f>
        <v/>
      </c>
      <c r="C1167" s="5" t="s">
        <v>58</v>
      </c>
      <c r="D1167" s="5" t="s">
        <v>1327</v>
      </c>
      <c r="E1167" s="5" t="s">
        <v>34</v>
      </c>
      <c r="F1167" s="5" t="s">
        <v>34</v>
      </c>
      <c r="G1167" s="5" t="s">
        <v>36</v>
      </c>
      <c r="H1167" s="5" t="s">
        <v>35</v>
      </c>
      <c r="I1167" s="6">
        <v>1.0</v>
      </c>
      <c r="J1167" s="6" t="s">
        <v>37</v>
      </c>
      <c r="K1167" s="6">
        <v>10.0</v>
      </c>
      <c r="L1167" s="5"/>
      <c r="M1167" s="5"/>
      <c r="N1167" s="6" t="s">
        <v>40</v>
      </c>
      <c r="O1167" s="5" t="s">
        <v>5363</v>
      </c>
      <c r="P1167" s="6" t="s">
        <v>42</v>
      </c>
      <c r="Q1167" s="5" t="s">
        <v>1237</v>
      </c>
      <c r="R1167" s="5" t="s">
        <v>9887</v>
      </c>
      <c r="S1167" s="6" t="s">
        <v>79</v>
      </c>
      <c r="T1167" s="6">
        <v>6634.0</v>
      </c>
    </row>
    <row r="1168" ht="56.25" customHeight="1">
      <c r="A1168" s="5" t="s">
        <v>9871</v>
      </c>
      <c r="B1168" s="6" t="str">
        <f>image("https://storage.googleapis.com/acdb/photos/BromideNpcNmlPgn04_Remake_6_0.png")</f>
        <v/>
      </c>
      <c r="C1168" s="5" t="s">
        <v>146</v>
      </c>
      <c r="D1168" s="5" t="s">
        <v>1327</v>
      </c>
      <c r="E1168" s="5" t="s">
        <v>34</v>
      </c>
      <c r="F1168" s="5" t="s">
        <v>34</v>
      </c>
      <c r="G1168" s="5" t="s">
        <v>36</v>
      </c>
      <c r="H1168" s="5" t="s">
        <v>35</v>
      </c>
      <c r="I1168" s="6">
        <v>1.0</v>
      </c>
      <c r="J1168" s="6" t="s">
        <v>37</v>
      </c>
      <c r="K1168" s="6">
        <v>10.0</v>
      </c>
      <c r="L1168" s="5"/>
      <c r="M1168" s="5"/>
      <c r="N1168" s="6" t="s">
        <v>40</v>
      </c>
      <c r="O1168" s="5" t="s">
        <v>5363</v>
      </c>
      <c r="P1168" s="6" t="s">
        <v>42</v>
      </c>
      <c r="Q1168" s="5" t="s">
        <v>1237</v>
      </c>
      <c r="R1168" s="5" t="s">
        <v>9889</v>
      </c>
      <c r="S1168" s="6" t="s">
        <v>86</v>
      </c>
      <c r="T1168" s="6">
        <v>6634.0</v>
      </c>
    </row>
    <row r="1169" ht="56.25" customHeight="1">
      <c r="A1169" s="5" t="s">
        <v>9871</v>
      </c>
      <c r="B1169" s="6" t="str">
        <f>image("https://storage.googleapis.com/acdb/photos/BromideNpcNmlPgn04_Remake_7_0.png")</f>
        <v/>
      </c>
      <c r="C1169" s="5" t="s">
        <v>151</v>
      </c>
      <c r="D1169" s="5" t="s">
        <v>1327</v>
      </c>
      <c r="E1169" s="5" t="s">
        <v>34</v>
      </c>
      <c r="F1169" s="5" t="s">
        <v>34</v>
      </c>
      <c r="G1169" s="5" t="s">
        <v>36</v>
      </c>
      <c r="H1169" s="5" t="s">
        <v>35</v>
      </c>
      <c r="I1169" s="6">
        <v>1.0</v>
      </c>
      <c r="J1169" s="6" t="s">
        <v>37</v>
      </c>
      <c r="K1169" s="6">
        <v>10.0</v>
      </c>
      <c r="L1169" s="5"/>
      <c r="M1169" s="5"/>
      <c r="N1169" s="6" t="s">
        <v>40</v>
      </c>
      <c r="O1169" s="5" t="s">
        <v>5363</v>
      </c>
      <c r="P1169" s="6" t="s">
        <v>42</v>
      </c>
      <c r="Q1169" s="5" t="s">
        <v>1237</v>
      </c>
      <c r="R1169" s="5" t="s">
        <v>9892</v>
      </c>
      <c r="S1169" s="6" t="s">
        <v>208</v>
      </c>
      <c r="T1169" s="6">
        <v>6634.0</v>
      </c>
    </row>
    <row r="1170" ht="56.25" customHeight="1">
      <c r="A1170" s="5" t="s">
        <v>9893</v>
      </c>
      <c r="B1170" s="6" t="str">
        <f>image("https://storage.googleapis.com/acdb/photos/BromideNpcNmlShp11_Remake_0_0.png")</f>
        <v/>
      </c>
      <c r="C1170" s="5" t="s">
        <v>366</v>
      </c>
      <c r="D1170" s="5" t="s">
        <v>1327</v>
      </c>
      <c r="E1170" s="5" t="s">
        <v>34</v>
      </c>
      <c r="F1170" s="5" t="s">
        <v>34</v>
      </c>
      <c r="G1170" s="5" t="s">
        <v>36</v>
      </c>
      <c r="H1170" s="5" t="s">
        <v>35</v>
      </c>
      <c r="I1170" s="6">
        <v>1.0</v>
      </c>
      <c r="J1170" s="6" t="s">
        <v>37</v>
      </c>
      <c r="K1170" s="6">
        <v>10.0</v>
      </c>
      <c r="L1170" s="5"/>
      <c r="M1170" s="5"/>
      <c r="N1170" s="6" t="s">
        <v>40</v>
      </c>
      <c r="O1170" s="5" t="s">
        <v>5363</v>
      </c>
      <c r="P1170" s="6" t="s">
        <v>42</v>
      </c>
      <c r="Q1170" s="5" t="s">
        <v>1237</v>
      </c>
      <c r="R1170" s="5" t="s">
        <v>9896</v>
      </c>
      <c r="S1170" s="6" t="s">
        <v>50</v>
      </c>
      <c r="T1170" s="6">
        <v>6700.0</v>
      </c>
    </row>
    <row r="1171" ht="56.25" customHeight="1">
      <c r="A1171" s="5" t="s">
        <v>9893</v>
      </c>
      <c r="B1171" s="6" t="str">
        <f>image("https://storage.googleapis.com/acdb/photos/BromideNpcNmlShp11_Remake_1_0.png")</f>
        <v/>
      </c>
      <c r="C1171" s="5" t="s">
        <v>1132</v>
      </c>
      <c r="D1171" s="5" t="s">
        <v>1327</v>
      </c>
      <c r="E1171" s="5" t="s">
        <v>34</v>
      </c>
      <c r="F1171" s="5" t="s">
        <v>34</v>
      </c>
      <c r="G1171" s="5" t="s">
        <v>36</v>
      </c>
      <c r="H1171" s="5" t="s">
        <v>35</v>
      </c>
      <c r="I1171" s="6">
        <v>1.0</v>
      </c>
      <c r="J1171" s="6" t="s">
        <v>37</v>
      </c>
      <c r="K1171" s="6">
        <v>10.0</v>
      </c>
      <c r="L1171" s="5"/>
      <c r="M1171" s="5"/>
      <c r="N1171" s="6" t="s">
        <v>40</v>
      </c>
      <c r="O1171" s="5" t="s">
        <v>5363</v>
      </c>
      <c r="P1171" s="6" t="s">
        <v>42</v>
      </c>
      <c r="Q1171" s="5" t="s">
        <v>1237</v>
      </c>
      <c r="R1171" s="5" t="s">
        <v>9898</v>
      </c>
      <c r="S1171" s="6" t="s">
        <v>56</v>
      </c>
      <c r="T1171" s="6">
        <v>6700.0</v>
      </c>
    </row>
    <row r="1172" ht="56.25" customHeight="1">
      <c r="A1172" s="5" t="s">
        <v>9893</v>
      </c>
      <c r="B1172" s="6" t="str">
        <f>image("https://storage.googleapis.com/acdb/photos/BromideNpcNmlShp11_Remake_2_0.png")</f>
        <v/>
      </c>
      <c r="C1172" s="5" t="s">
        <v>688</v>
      </c>
      <c r="D1172" s="5" t="s">
        <v>1327</v>
      </c>
      <c r="E1172" s="5" t="s">
        <v>34</v>
      </c>
      <c r="F1172" s="5" t="s">
        <v>34</v>
      </c>
      <c r="G1172" s="5" t="s">
        <v>36</v>
      </c>
      <c r="H1172" s="5" t="s">
        <v>35</v>
      </c>
      <c r="I1172" s="6">
        <v>1.0</v>
      </c>
      <c r="J1172" s="6" t="s">
        <v>37</v>
      </c>
      <c r="K1172" s="6">
        <v>10.0</v>
      </c>
      <c r="L1172" s="5"/>
      <c r="M1172" s="5"/>
      <c r="N1172" s="6" t="s">
        <v>40</v>
      </c>
      <c r="O1172" s="5" t="s">
        <v>5363</v>
      </c>
      <c r="P1172" s="6" t="s">
        <v>42</v>
      </c>
      <c r="Q1172" s="5" t="s">
        <v>1237</v>
      </c>
      <c r="R1172" s="5" t="s">
        <v>9900</v>
      </c>
      <c r="S1172" s="6" t="s">
        <v>67</v>
      </c>
      <c r="T1172" s="6">
        <v>6700.0</v>
      </c>
    </row>
    <row r="1173" ht="56.25" customHeight="1">
      <c r="A1173" s="5" t="s">
        <v>9893</v>
      </c>
      <c r="B1173" s="6" t="str">
        <f>image("https://storage.googleapis.com/acdb/photos/BromideNpcNmlShp11_Remake_3_0.png")</f>
        <v/>
      </c>
      <c r="C1173" s="5" t="s">
        <v>57</v>
      </c>
      <c r="D1173" s="5" t="s">
        <v>1327</v>
      </c>
      <c r="E1173" s="5" t="s">
        <v>34</v>
      </c>
      <c r="F1173" s="5" t="s">
        <v>34</v>
      </c>
      <c r="G1173" s="5" t="s">
        <v>36</v>
      </c>
      <c r="H1173" s="5" t="s">
        <v>35</v>
      </c>
      <c r="I1173" s="6">
        <v>1.0</v>
      </c>
      <c r="J1173" s="6" t="s">
        <v>37</v>
      </c>
      <c r="K1173" s="6">
        <v>10.0</v>
      </c>
      <c r="L1173" s="5"/>
      <c r="M1173" s="5"/>
      <c r="N1173" s="6" t="s">
        <v>40</v>
      </c>
      <c r="O1173" s="5" t="s">
        <v>5363</v>
      </c>
      <c r="P1173" s="6" t="s">
        <v>42</v>
      </c>
      <c r="Q1173" s="5" t="s">
        <v>1237</v>
      </c>
      <c r="R1173" s="5" t="s">
        <v>9903</v>
      </c>
      <c r="S1173" s="6" t="s">
        <v>71</v>
      </c>
      <c r="T1173" s="6">
        <v>6700.0</v>
      </c>
    </row>
    <row r="1174" ht="56.25" customHeight="1">
      <c r="A1174" s="5" t="s">
        <v>9893</v>
      </c>
      <c r="B1174" s="6" t="str">
        <f>image("https://storage.googleapis.com/acdb/photos/BromideNpcNmlShp11_Remake_4_0.png")</f>
        <v/>
      </c>
      <c r="C1174" s="5" t="s">
        <v>1167</v>
      </c>
      <c r="D1174" s="5" t="s">
        <v>1327</v>
      </c>
      <c r="E1174" s="5" t="s">
        <v>34</v>
      </c>
      <c r="F1174" s="5" t="s">
        <v>34</v>
      </c>
      <c r="G1174" s="5" t="s">
        <v>36</v>
      </c>
      <c r="H1174" s="5" t="s">
        <v>35</v>
      </c>
      <c r="I1174" s="6">
        <v>1.0</v>
      </c>
      <c r="J1174" s="6" t="s">
        <v>37</v>
      </c>
      <c r="K1174" s="6">
        <v>10.0</v>
      </c>
      <c r="L1174" s="5"/>
      <c r="M1174" s="5"/>
      <c r="N1174" s="6" t="s">
        <v>40</v>
      </c>
      <c r="O1174" s="5" t="s">
        <v>5363</v>
      </c>
      <c r="P1174" s="6" t="s">
        <v>42</v>
      </c>
      <c r="Q1174" s="5" t="s">
        <v>1237</v>
      </c>
      <c r="R1174" s="5" t="s">
        <v>9906</v>
      </c>
      <c r="S1174" s="6" t="s">
        <v>75</v>
      </c>
      <c r="T1174" s="6">
        <v>6700.0</v>
      </c>
    </row>
    <row r="1175" ht="56.25" customHeight="1">
      <c r="A1175" s="5" t="s">
        <v>9893</v>
      </c>
      <c r="B1175" s="6" t="str">
        <f>image("https://storage.googleapis.com/acdb/photos/BromideNpcNmlShp11_Remake_5_0.png")</f>
        <v/>
      </c>
      <c r="C1175" s="5" t="s">
        <v>58</v>
      </c>
      <c r="D1175" s="5" t="s">
        <v>1327</v>
      </c>
      <c r="E1175" s="5" t="s">
        <v>34</v>
      </c>
      <c r="F1175" s="5" t="s">
        <v>34</v>
      </c>
      <c r="G1175" s="5" t="s">
        <v>36</v>
      </c>
      <c r="H1175" s="5" t="s">
        <v>35</v>
      </c>
      <c r="I1175" s="6">
        <v>1.0</v>
      </c>
      <c r="J1175" s="6" t="s">
        <v>37</v>
      </c>
      <c r="K1175" s="6">
        <v>10.0</v>
      </c>
      <c r="L1175" s="5"/>
      <c r="M1175" s="5"/>
      <c r="N1175" s="6" t="s">
        <v>40</v>
      </c>
      <c r="O1175" s="5" t="s">
        <v>5363</v>
      </c>
      <c r="P1175" s="6" t="s">
        <v>42</v>
      </c>
      <c r="Q1175" s="5" t="s">
        <v>1237</v>
      </c>
      <c r="R1175" s="5" t="s">
        <v>9909</v>
      </c>
      <c r="S1175" s="6" t="s">
        <v>79</v>
      </c>
      <c r="T1175" s="6">
        <v>6700.0</v>
      </c>
    </row>
    <row r="1176" ht="56.25" customHeight="1">
      <c r="A1176" s="5" t="s">
        <v>9893</v>
      </c>
      <c r="B1176" s="6" t="str">
        <f>image("https://storage.googleapis.com/acdb/photos/BromideNpcNmlShp11_Remake_6_0.png")</f>
        <v/>
      </c>
      <c r="C1176" s="5" t="s">
        <v>146</v>
      </c>
      <c r="D1176" s="5" t="s">
        <v>1327</v>
      </c>
      <c r="E1176" s="5" t="s">
        <v>34</v>
      </c>
      <c r="F1176" s="5" t="s">
        <v>34</v>
      </c>
      <c r="G1176" s="5" t="s">
        <v>36</v>
      </c>
      <c r="H1176" s="5" t="s">
        <v>35</v>
      </c>
      <c r="I1176" s="6">
        <v>1.0</v>
      </c>
      <c r="J1176" s="6" t="s">
        <v>37</v>
      </c>
      <c r="K1176" s="6">
        <v>10.0</v>
      </c>
      <c r="L1176" s="5"/>
      <c r="M1176" s="5"/>
      <c r="N1176" s="6" t="s">
        <v>40</v>
      </c>
      <c r="O1176" s="5" t="s">
        <v>5363</v>
      </c>
      <c r="P1176" s="6" t="s">
        <v>42</v>
      </c>
      <c r="Q1176" s="5" t="s">
        <v>1237</v>
      </c>
      <c r="R1176" s="5" t="s">
        <v>9913</v>
      </c>
      <c r="S1176" s="6" t="s">
        <v>86</v>
      </c>
      <c r="T1176" s="6">
        <v>6700.0</v>
      </c>
    </row>
    <row r="1177" ht="56.25" customHeight="1">
      <c r="A1177" s="5" t="s">
        <v>9893</v>
      </c>
      <c r="B1177" s="6" t="str">
        <f>image("https://storage.googleapis.com/acdb/photos/BromideNpcNmlShp11_Remake_7_0.png")</f>
        <v/>
      </c>
      <c r="C1177" s="5" t="s">
        <v>151</v>
      </c>
      <c r="D1177" s="5" t="s">
        <v>1327</v>
      </c>
      <c r="E1177" s="5" t="s">
        <v>34</v>
      </c>
      <c r="F1177" s="5" t="s">
        <v>34</v>
      </c>
      <c r="G1177" s="5" t="s">
        <v>36</v>
      </c>
      <c r="H1177" s="5" t="s">
        <v>35</v>
      </c>
      <c r="I1177" s="6">
        <v>1.0</v>
      </c>
      <c r="J1177" s="6" t="s">
        <v>37</v>
      </c>
      <c r="K1177" s="6">
        <v>10.0</v>
      </c>
      <c r="L1177" s="5"/>
      <c r="M1177" s="5"/>
      <c r="N1177" s="6" t="s">
        <v>40</v>
      </c>
      <c r="O1177" s="5" t="s">
        <v>5363</v>
      </c>
      <c r="P1177" s="6" t="s">
        <v>42</v>
      </c>
      <c r="Q1177" s="5" t="s">
        <v>1237</v>
      </c>
      <c r="R1177" s="5" t="s">
        <v>9916</v>
      </c>
      <c r="S1177" s="6" t="s">
        <v>208</v>
      </c>
      <c r="T1177" s="6">
        <v>6700.0</v>
      </c>
    </row>
    <row r="1178" ht="56.25" customHeight="1">
      <c r="A1178" s="5" t="s">
        <v>9917</v>
      </c>
      <c r="B1178" s="6" t="str">
        <f>image("https://storage.googleapis.com/acdb/photos/BromideNpcNmlFlg02_Remake_0_0.png")</f>
        <v/>
      </c>
      <c r="C1178" s="5" t="s">
        <v>366</v>
      </c>
      <c r="D1178" s="5" t="s">
        <v>1327</v>
      </c>
      <c r="E1178" s="5" t="s">
        <v>34</v>
      </c>
      <c r="F1178" s="5" t="s">
        <v>34</v>
      </c>
      <c r="G1178" s="5" t="s">
        <v>36</v>
      </c>
      <c r="H1178" s="5" t="s">
        <v>35</v>
      </c>
      <c r="I1178" s="6">
        <v>1.0</v>
      </c>
      <c r="J1178" s="6" t="s">
        <v>37</v>
      </c>
      <c r="K1178" s="6">
        <v>10.0</v>
      </c>
      <c r="L1178" s="5"/>
      <c r="M1178" s="5"/>
      <c r="N1178" s="6" t="s">
        <v>40</v>
      </c>
      <c r="O1178" s="5" t="s">
        <v>5363</v>
      </c>
      <c r="P1178" s="6" t="s">
        <v>42</v>
      </c>
      <c r="Q1178" s="5" t="s">
        <v>1237</v>
      </c>
      <c r="R1178" s="5" t="s">
        <v>9919</v>
      </c>
      <c r="S1178" s="6" t="s">
        <v>50</v>
      </c>
      <c r="T1178" s="6">
        <v>6486.0</v>
      </c>
    </row>
    <row r="1179" ht="56.25" customHeight="1">
      <c r="A1179" s="5" t="s">
        <v>9917</v>
      </c>
      <c r="B1179" s="6" t="str">
        <f>image("https://storage.googleapis.com/acdb/photos/BromideNpcNmlFlg02_Remake_1_0.png")</f>
        <v/>
      </c>
      <c r="C1179" s="5" t="s">
        <v>1132</v>
      </c>
      <c r="D1179" s="5" t="s">
        <v>1327</v>
      </c>
      <c r="E1179" s="5" t="s">
        <v>34</v>
      </c>
      <c r="F1179" s="5" t="s">
        <v>34</v>
      </c>
      <c r="G1179" s="5" t="s">
        <v>36</v>
      </c>
      <c r="H1179" s="5" t="s">
        <v>35</v>
      </c>
      <c r="I1179" s="6">
        <v>1.0</v>
      </c>
      <c r="J1179" s="6" t="s">
        <v>37</v>
      </c>
      <c r="K1179" s="6">
        <v>10.0</v>
      </c>
      <c r="L1179" s="5"/>
      <c r="M1179" s="5"/>
      <c r="N1179" s="6" t="s">
        <v>40</v>
      </c>
      <c r="O1179" s="5" t="s">
        <v>5363</v>
      </c>
      <c r="P1179" s="6" t="s">
        <v>42</v>
      </c>
      <c r="Q1179" s="5" t="s">
        <v>1237</v>
      </c>
      <c r="R1179" s="5" t="s">
        <v>9923</v>
      </c>
      <c r="S1179" s="6" t="s">
        <v>56</v>
      </c>
      <c r="T1179" s="6">
        <v>6486.0</v>
      </c>
    </row>
    <row r="1180" ht="56.25" customHeight="1">
      <c r="A1180" s="5" t="s">
        <v>9917</v>
      </c>
      <c r="B1180" s="6" t="str">
        <f>image("https://storage.googleapis.com/acdb/photos/BromideNpcNmlFlg02_Remake_2_0.png")</f>
        <v/>
      </c>
      <c r="C1180" s="5" t="s">
        <v>688</v>
      </c>
      <c r="D1180" s="5" t="s">
        <v>1327</v>
      </c>
      <c r="E1180" s="5" t="s">
        <v>34</v>
      </c>
      <c r="F1180" s="5" t="s">
        <v>34</v>
      </c>
      <c r="G1180" s="5" t="s">
        <v>36</v>
      </c>
      <c r="H1180" s="5" t="s">
        <v>35</v>
      </c>
      <c r="I1180" s="6">
        <v>1.0</v>
      </c>
      <c r="J1180" s="6" t="s">
        <v>37</v>
      </c>
      <c r="K1180" s="6">
        <v>10.0</v>
      </c>
      <c r="L1180" s="5"/>
      <c r="M1180" s="5"/>
      <c r="N1180" s="6" t="s">
        <v>40</v>
      </c>
      <c r="O1180" s="5" t="s">
        <v>5363</v>
      </c>
      <c r="P1180" s="6" t="s">
        <v>42</v>
      </c>
      <c r="Q1180" s="5" t="s">
        <v>1237</v>
      </c>
      <c r="R1180" s="5" t="s">
        <v>9927</v>
      </c>
      <c r="S1180" s="6" t="s">
        <v>67</v>
      </c>
      <c r="T1180" s="6">
        <v>6486.0</v>
      </c>
    </row>
    <row r="1181" ht="56.25" customHeight="1">
      <c r="A1181" s="5" t="s">
        <v>9917</v>
      </c>
      <c r="B1181" s="6" t="str">
        <f>image("https://storage.googleapis.com/acdb/photos/BromideNpcNmlFlg02_Remake_3_0.png")</f>
        <v/>
      </c>
      <c r="C1181" s="5" t="s">
        <v>57</v>
      </c>
      <c r="D1181" s="5" t="s">
        <v>1327</v>
      </c>
      <c r="E1181" s="5" t="s">
        <v>34</v>
      </c>
      <c r="F1181" s="5" t="s">
        <v>34</v>
      </c>
      <c r="G1181" s="5" t="s">
        <v>36</v>
      </c>
      <c r="H1181" s="5" t="s">
        <v>35</v>
      </c>
      <c r="I1181" s="6">
        <v>1.0</v>
      </c>
      <c r="J1181" s="6" t="s">
        <v>37</v>
      </c>
      <c r="K1181" s="6">
        <v>10.0</v>
      </c>
      <c r="L1181" s="5"/>
      <c r="M1181" s="5"/>
      <c r="N1181" s="6" t="s">
        <v>40</v>
      </c>
      <c r="O1181" s="5" t="s">
        <v>5363</v>
      </c>
      <c r="P1181" s="6" t="s">
        <v>42</v>
      </c>
      <c r="Q1181" s="5" t="s">
        <v>1237</v>
      </c>
      <c r="R1181" s="5" t="s">
        <v>9930</v>
      </c>
      <c r="S1181" s="6" t="s">
        <v>71</v>
      </c>
      <c r="T1181" s="6">
        <v>6486.0</v>
      </c>
    </row>
    <row r="1182" ht="56.25" customHeight="1">
      <c r="A1182" s="5" t="s">
        <v>9917</v>
      </c>
      <c r="B1182" s="6" t="str">
        <f>image("https://storage.googleapis.com/acdb/photos/BromideNpcNmlFlg02_Remake_4_0.png")</f>
        <v/>
      </c>
      <c r="C1182" s="5" t="s">
        <v>1167</v>
      </c>
      <c r="D1182" s="5" t="s">
        <v>1327</v>
      </c>
      <c r="E1182" s="5" t="s">
        <v>34</v>
      </c>
      <c r="F1182" s="5" t="s">
        <v>34</v>
      </c>
      <c r="G1182" s="5" t="s">
        <v>36</v>
      </c>
      <c r="H1182" s="5" t="s">
        <v>35</v>
      </c>
      <c r="I1182" s="6">
        <v>1.0</v>
      </c>
      <c r="J1182" s="6" t="s">
        <v>37</v>
      </c>
      <c r="K1182" s="6">
        <v>10.0</v>
      </c>
      <c r="L1182" s="5"/>
      <c r="M1182" s="5"/>
      <c r="N1182" s="6" t="s">
        <v>40</v>
      </c>
      <c r="O1182" s="5" t="s">
        <v>5363</v>
      </c>
      <c r="P1182" s="6" t="s">
        <v>42</v>
      </c>
      <c r="Q1182" s="5" t="s">
        <v>1237</v>
      </c>
      <c r="R1182" s="5" t="s">
        <v>9933</v>
      </c>
      <c r="S1182" s="6" t="s">
        <v>75</v>
      </c>
      <c r="T1182" s="6">
        <v>6486.0</v>
      </c>
    </row>
    <row r="1183" ht="56.25" customHeight="1">
      <c r="A1183" s="5" t="s">
        <v>9917</v>
      </c>
      <c r="B1183" s="6" t="str">
        <f>image("https://storage.googleapis.com/acdb/photos/BromideNpcNmlFlg02_Remake_5_0.png")</f>
        <v/>
      </c>
      <c r="C1183" s="5" t="s">
        <v>58</v>
      </c>
      <c r="D1183" s="5" t="s">
        <v>1327</v>
      </c>
      <c r="E1183" s="5" t="s">
        <v>34</v>
      </c>
      <c r="F1183" s="5" t="s">
        <v>34</v>
      </c>
      <c r="G1183" s="5" t="s">
        <v>36</v>
      </c>
      <c r="H1183" s="5" t="s">
        <v>35</v>
      </c>
      <c r="I1183" s="6">
        <v>1.0</v>
      </c>
      <c r="J1183" s="6" t="s">
        <v>37</v>
      </c>
      <c r="K1183" s="6">
        <v>10.0</v>
      </c>
      <c r="L1183" s="5"/>
      <c r="M1183" s="5"/>
      <c r="N1183" s="6" t="s">
        <v>40</v>
      </c>
      <c r="O1183" s="5" t="s">
        <v>5363</v>
      </c>
      <c r="P1183" s="6" t="s">
        <v>42</v>
      </c>
      <c r="Q1183" s="5" t="s">
        <v>1237</v>
      </c>
      <c r="R1183" s="5" t="s">
        <v>9937</v>
      </c>
      <c r="S1183" s="6" t="s">
        <v>79</v>
      </c>
      <c r="T1183" s="6">
        <v>6486.0</v>
      </c>
    </row>
    <row r="1184" ht="56.25" customHeight="1">
      <c r="A1184" s="5" t="s">
        <v>9917</v>
      </c>
      <c r="B1184" s="6" t="str">
        <f>image("https://storage.googleapis.com/acdb/photos/BromideNpcNmlFlg02_Remake_6_0.png")</f>
        <v/>
      </c>
      <c r="C1184" s="5" t="s">
        <v>146</v>
      </c>
      <c r="D1184" s="5" t="s">
        <v>1327</v>
      </c>
      <c r="E1184" s="5" t="s">
        <v>34</v>
      </c>
      <c r="F1184" s="5" t="s">
        <v>34</v>
      </c>
      <c r="G1184" s="5" t="s">
        <v>36</v>
      </c>
      <c r="H1184" s="5" t="s">
        <v>35</v>
      </c>
      <c r="I1184" s="6">
        <v>1.0</v>
      </c>
      <c r="J1184" s="6" t="s">
        <v>37</v>
      </c>
      <c r="K1184" s="6">
        <v>10.0</v>
      </c>
      <c r="L1184" s="5"/>
      <c r="M1184" s="5"/>
      <c r="N1184" s="6" t="s">
        <v>40</v>
      </c>
      <c r="O1184" s="5" t="s">
        <v>5363</v>
      </c>
      <c r="P1184" s="6" t="s">
        <v>42</v>
      </c>
      <c r="Q1184" s="5" t="s">
        <v>1237</v>
      </c>
      <c r="R1184" s="5" t="s">
        <v>9940</v>
      </c>
      <c r="S1184" s="6" t="s">
        <v>86</v>
      </c>
      <c r="T1184" s="6">
        <v>6486.0</v>
      </c>
    </row>
    <row r="1185" ht="56.25" customHeight="1">
      <c r="A1185" s="5" t="s">
        <v>9917</v>
      </c>
      <c r="B1185" s="6" t="str">
        <f>image("https://storage.googleapis.com/acdb/photos/BromideNpcNmlFlg02_Remake_7_0.png")</f>
        <v/>
      </c>
      <c r="C1185" s="5" t="s">
        <v>151</v>
      </c>
      <c r="D1185" s="5" t="s">
        <v>1327</v>
      </c>
      <c r="E1185" s="5" t="s">
        <v>34</v>
      </c>
      <c r="F1185" s="5" t="s">
        <v>34</v>
      </c>
      <c r="G1185" s="5" t="s">
        <v>36</v>
      </c>
      <c r="H1185" s="5" t="s">
        <v>35</v>
      </c>
      <c r="I1185" s="6">
        <v>1.0</v>
      </c>
      <c r="J1185" s="6" t="s">
        <v>37</v>
      </c>
      <c r="K1185" s="6">
        <v>10.0</v>
      </c>
      <c r="L1185" s="5"/>
      <c r="M1185" s="5"/>
      <c r="N1185" s="6" t="s">
        <v>40</v>
      </c>
      <c r="O1185" s="5" t="s">
        <v>5363</v>
      </c>
      <c r="P1185" s="6" t="s">
        <v>42</v>
      </c>
      <c r="Q1185" s="5" t="s">
        <v>1237</v>
      </c>
      <c r="R1185" s="5" t="s">
        <v>9943</v>
      </c>
      <c r="S1185" s="6" t="s">
        <v>208</v>
      </c>
      <c r="T1185" s="6">
        <v>6486.0</v>
      </c>
    </row>
    <row r="1186" ht="56.25" customHeight="1">
      <c r="A1186" s="5" t="s">
        <v>9944</v>
      </c>
      <c r="B1186" s="6" t="str">
        <f>image("https://storage.googleapis.com/acdb/photos/BromideNpcNmlDer06_Remake_0_0.png")</f>
        <v/>
      </c>
      <c r="C1186" s="5" t="s">
        <v>366</v>
      </c>
      <c r="D1186" s="5" t="s">
        <v>1327</v>
      </c>
      <c r="E1186" s="5" t="s">
        <v>34</v>
      </c>
      <c r="F1186" s="5" t="s">
        <v>34</v>
      </c>
      <c r="G1186" s="5" t="s">
        <v>36</v>
      </c>
      <c r="H1186" s="5" t="s">
        <v>35</v>
      </c>
      <c r="I1186" s="6">
        <v>1.0</v>
      </c>
      <c r="J1186" s="6" t="s">
        <v>37</v>
      </c>
      <c r="K1186" s="6">
        <v>10.0</v>
      </c>
      <c r="L1186" s="5"/>
      <c r="M1186" s="5"/>
      <c r="N1186" s="6" t="s">
        <v>40</v>
      </c>
      <c r="O1186" s="5" t="s">
        <v>5363</v>
      </c>
      <c r="P1186" s="6" t="s">
        <v>42</v>
      </c>
      <c r="Q1186" s="5" t="s">
        <v>1237</v>
      </c>
      <c r="R1186" s="5" t="s">
        <v>9948</v>
      </c>
      <c r="S1186" s="6" t="s">
        <v>50</v>
      </c>
      <c r="T1186" s="6">
        <v>6432.0</v>
      </c>
    </row>
    <row r="1187" ht="56.25" customHeight="1">
      <c r="A1187" s="5" t="s">
        <v>9944</v>
      </c>
      <c r="B1187" s="6" t="str">
        <f>image("https://storage.googleapis.com/acdb/photos/BromideNpcNmlDer06_Remake_1_0.png")</f>
        <v/>
      </c>
      <c r="C1187" s="5" t="s">
        <v>1132</v>
      </c>
      <c r="D1187" s="5" t="s">
        <v>1327</v>
      </c>
      <c r="E1187" s="5" t="s">
        <v>34</v>
      </c>
      <c r="F1187" s="5" t="s">
        <v>34</v>
      </c>
      <c r="G1187" s="5" t="s">
        <v>36</v>
      </c>
      <c r="H1187" s="5" t="s">
        <v>35</v>
      </c>
      <c r="I1187" s="6">
        <v>1.0</v>
      </c>
      <c r="J1187" s="6" t="s">
        <v>37</v>
      </c>
      <c r="K1187" s="6">
        <v>10.0</v>
      </c>
      <c r="L1187" s="5"/>
      <c r="M1187" s="5"/>
      <c r="N1187" s="6" t="s">
        <v>40</v>
      </c>
      <c r="O1187" s="5" t="s">
        <v>5363</v>
      </c>
      <c r="P1187" s="6" t="s">
        <v>42</v>
      </c>
      <c r="Q1187" s="5" t="s">
        <v>1237</v>
      </c>
      <c r="R1187" s="5" t="s">
        <v>9950</v>
      </c>
      <c r="S1187" s="6" t="s">
        <v>56</v>
      </c>
      <c r="T1187" s="6">
        <v>6432.0</v>
      </c>
    </row>
    <row r="1188" ht="56.25" customHeight="1">
      <c r="A1188" s="5" t="s">
        <v>9944</v>
      </c>
      <c r="B1188" s="6" t="str">
        <f>image("https://storage.googleapis.com/acdb/photos/BromideNpcNmlDer06_Remake_2_0.png")</f>
        <v/>
      </c>
      <c r="C1188" s="5" t="s">
        <v>688</v>
      </c>
      <c r="D1188" s="5" t="s">
        <v>1327</v>
      </c>
      <c r="E1188" s="5" t="s">
        <v>34</v>
      </c>
      <c r="F1188" s="5" t="s">
        <v>34</v>
      </c>
      <c r="G1188" s="5" t="s">
        <v>36</v>
      </c>
      <c r="H1188" s="5" t="s">
        <v>35</v>
      </c>
      <c r="I1188" s="6">
        <v>1.0</v>
      </c>
      <c r="J1188" s="6" t="s">
        <v>37</v>
      </c>
      <c r="K1188" s="6">
        <v>10.0</v>
      </c>
      <c r="L1188" s="5"/>
      <c r="M1188" s="5"/>
      <c r="N1188" s="6" t="s">
        <v>40</v>
      </c>
      <c r="O1188" s="5" t="s">
        <v>5363</v>
      </c>
      <c r="P1188" s="6" t="s">
        <v>42</v>
      </c>
      <c r="Q1188" s="5" t="s">
        <v>1237</v>
      </c>
      <c r="R1188" s="5" t="s">
        <v>9955</v>
      </c>
      <c r="S1188" s="6" t="s">
        <v>67</v>
      </c>
      <c r="T1188" s="6">
        <v>6432.0</v>
      </c>
    </row>
    <row r="1189" ht="56.25" customHeight="1">
      <c r="A1189" s="5" t="s">
        <v>9944</v>
      </c>
      <c r="B1189" s="6" t="str">
        <f>image("https://storage.googleapis.com/acdb/photos/BromideNpcNmlDer06_Remake_3_0.png")</f>
        <v/>
      </c>
      <c r="C1189" s="5" t="s">
        <v>57</v>
      </c>
      <c r="D1189" s="5" t="s">
        <v>1327</v>
      </c>
      <c r="E1189" s="5" t="s">
        <v>34</v>
      </c>
      <c r="F1189" s="5" t="s">
        <v>34</v>
      </c>
      <c r="G1189" s="5" t="s">
        <v>36</v>
      </c>
      <c r="H1189" s="5" t="s">
        <v>35</v>
      </c>
      <c r="I1189" s="6">
        <v>1.0</v>
      </c>
      <c r="J1189" s="6" t="s">
        <v>37</v>
      </c>
      <c r="K1189" s="6">
        <v>10.0</v>
      </c>
      <c r="L1189" s="5"/>
      <c r="M1189" s="5"/>
      <c r="N1189" s="6" t="s">
        <v>40</v>
      </c>
      <c r="O1189" s="5" t="s">
        <v>5363</v>
      </c>
      <c r="P1189" s="6" t="s">
        <v>42</v>
      </c>
      <c r="Q1189" s="5" t="s">
        <v>1237</v>
      </c>
      <c r="R1189" s="5" t="s">
        <v>9957</v>
      </c>
      <c r="S1189" s="6" t="s">
        <v>71</v>
      </c>
      <c r="T1189" s="6">
        <v>6432.0</v>
      </c>
    </row>
    <row r="1190" ht="56.25" customHeight="1">
      <c r="A1190" s="5" t="s">
        <v>9944</v>
      </c>
      <c r="B1190" s="6" t="str">
        <f>image("https://storage.googleapis.com/acdb/photos/BromideNpcNmlDer06_Remake_4_0.png")</f>
        <v/>
      </c>
      <c r="C1190" s="5" t="s">
        <v>1167</v>
      </c>
      <c r="D1190" s="5" t="s">
        <v>1327</v>
      </c>
      <c r="E1190" s="5" t="s">
        <v>34</v>
      </c>
      <c r="F1190" s="5" t="s">
        <v>34</v>
      </c>
      <c r="G1190" s="5" t="s">
        <v>36</v>
      </c>
      <c r="H1190" s="5" t="s">
        <v>35</v>
      </c>
      <c r="I1190" s="6">
        <v>1.0</v>
      </c>
      <c r="J1190" s="6" t="s">
        <v>37</v>
      </c>
      <c r="K1190" s="6">
        <v>10.0</v>
      </c>
      <c r="L1190" s="5"/>
      <c r="M1190" s="5"/>
      <c r="N1190" s="6" t="s">
        <v>40</v>
      </c>
      <c r="O1190" s="5" t="s">
        <v>5363</v>
      </c>
      <c r="P1190" s="6" t="s">
        <v>42</v>
      </c>
      <c r="Q1190" s="5" t="s">
        <v>1237</v>
      </c>
      <c r="R1190" s="5" t="s">
        <v>9960</v>
      </c>
      <c r="S1190" s="6" t="s">
        <v>75</v>
      </c>
      <c r="T1190" s="6">
        <v>6432.0</v>
      </c>
    </row>
    <row r="1191" ht="56.25" customHeight="1">
      <c r="A1191" s="5" t="s">
        <v>9944</v>
      </c>
      <c r="B1191" s="6" t="str">
        <f>image("https://storage.googleapis.com/acdb/photos/BromideNpcNmlDer06_Remake_5_0.png")</f>
        <v/>
      </c>
      <c r="C1191" s="5" t="s">
        <v>58</v>
      </c>
      <c r="D1191" s="5" t="s">
        <v>1327</v>
      </c>
      <c r="E1191" s="5" t="s">
        <v>34</v>
      </c>
      <c r="F1191" s="5" t="s">
        <v>34</v>
      </c>
      <c r="G1191" s="5" t="s">
        <v>36</v>
      </c>
      <c r="H1191" s="5" t="s">
        <v>35</v>
      </c>
      <c r="I1191" s="6">
        <v>1.0</v>
      </c>
      <c r="J1191" s="6" t="s">
        <v>37</v>
      </c>
      <c r="K1191" s="6">
        <v>10.0</v>
      </c>
      <c r="L1191" s="5"/>
      <c r="M1191" s="5"/>
      <c r="N1191" s="6" t="s">
        <v>40</v>
      </c>
      <c r="O1191" s="5" t="s">
        <v>5363</v>
      </c>
      <c r="P1191" s="6" t="s">
        <v>42</v>
      </c>
      <c r="Q1191" s="5" t="s">
        <v>1237</v>
      </c>
      <c r="R1191" s="5" t="s">
        <v>9963</v>
      </c>
      <c r="S1191" s="6" t="s">
        <v>79</v>
      </c>
      <c r="T1191" s="6">
        <v>6432.0</v>
      </c>
    </row>
    <row r="1192" ht="56.25" customHeight="1">
      <c r="A1192" s="5" t="s">
        <v>9944</v>
      </c>
      <c r="B1192" s="6" t="str">
        <f>image("https://storage.googleapis.com/acdb/photos/BromideNpcNmlDer06_Remake_6_0.png")</f>
        <v/>
      </c>
      <c r="C1192" s="5" t="s">
        <v>146</v>
      </c>
      <c r="D1192" s="5" t="s">
        <v>1327</v>
      </c>
      <c r="E1192" s="5" t="s">
        <v>34</v>
      </c>
      <c r="F1192" s="5" t="s">
        <v>34</v>
      </c>
      <c r="G1192" s="5" t="s">
        <v>36</v>
      </c>
      <c r="H1192" s="5" t="s">
        <v>35</v>
      </c>
      <c r="I1192" s="6">
        <v>1.0</v>
      </c>
      <c r="J1192" s="6" t="s">
        <v>37</v>
      </c>
      <c r="K1192" s="6">
        <v>10.0</v>
      </c>
      <c r="L1192" s="5"/>
      <c r="M1192" s="5"/>
      <c r="N1192" s="6" t="s">
        <v>40</v>
      </c>
      <c r="O1192" s="5" t="s">
        <v>5363</v>
      </c>
      <c r="P1192" s="6" t="s">
        <v>42</v>
      </c>
      <c r="Q1192" s="5" t="s">
        <v>1237</v>
      </c>
      <c r="R1192" s="5" t="s">
        <v>9966</v>
      </c>
      <c r="S1192" s="6" t="s">
        <v>86</v>
      </c>
      <c r="T1192" s="6">
        <v>6432.0</v>
      </c>
    </row>
    <row r="1193" ht="56.25" customHeight="1">
      <c r="A1193" s="5" t="s">
        <v>9944</v>
      </c>
      <c r="B1193" s="6" t="str">
        <f>image("https://storage.googleapis.com/acdb/photos/BromideNpcNmlDer06_Remake_7_0.png")</f>
        <v/>
      </c>
      <c r="C1193" s="5" t="s">
        <v>151</v>
      </c>
      <c r="D1193" s="5" t="s">
        <v>1327</v>
      </c>
      <c r="E1193" s="5" t="s">
        <v>34</v>
      </c>
      <c r="F1193" s="5" t="s">
        <v>34</v>
      </c>
      <c r="G1193" s="5" t="s">
        <v>36</v>
      </c>
      <c r="H1193" s="5" t="s">
        <v>35</v>
      </c>
      <c r="I1193" s="6">
        <v>1.0</v>
      </c>
      <c r="J1193" s="6" t="s">
        <v>37</v>
      </c>
      <c r="K1193" s="6">
        <v>10.0</v>
      </c>
      <c r="L1193" s="5"/>
      <c r="M1193" s="5"/>
      <c r="N1193" s="6" t="s">
        <v>40</v>
      </c>
      <c r="O1193" s="5" t="s">
        <v>5363</v>
      </c>
      <c r="P1193" s="6" t="s">
        <v>42</v>
      </c>
      <c r="Q1193" s="5" t="s">
        <v>1237</v>
      </c>
      <c r="R1193" s="5" t="s">
        <v>9970</v>
      </c>
      <c r="S1193" s="6" t="s">
        <v>208</v>
      </c>
      <c r="T1193" s="6">
        <v>6432.0</v>
      </c>
    </row>
    <row r="1194" ht="56.25" customHeight="1">
      <c r="A1194" s="5" t="s">
        <v>9971</v>
      </c>
      <c r="B1194" s="6" t="str">
        <f>image("https://storage.googleapis.com/acdb/photos/BromideNpcNmlRbt05_Remake_0_0.png")</f>
        <v/>
      </c>
      <c r="C1194" s="5" t="s">
        <v>366</v>
      </c>
      <c r="D1194" s="5" t="s">
        <v>1327</v>
      </c>
      <c r="E1194" s="5" t="s">
        <v>34</v>
      </c>
      <c r="F1194" s="5" t="s">
        <v>34</v>
      </c>
      <c r="G1194" s="5" t="s">
        <v>36</v>
      </c>
      <c r="H1194" s="5" t="s">
        <v>35</v>
      </c>
      <c r="I1194" s="6">
        <v>1.0</v>
      </c>
      <c r="J1194" s="6" t="s">
        <v>37</v>
      </c>
      <c r="K1194" s="6">
        <v>10.0</v>
      </c>
      <c r="L1194" s="5"/>
      <c r="M1194" s="5"/>
      <c r="N1194" s="6" t="s">
        <v>40</v>
      </c>
      <c r="O1194" s="5" t="s">
        <v>5363</v>
      </c>
      <c r="P1194" s="6" t="s">
        <v>42</v>
      </c>
      <c r="Q1194" s="5" t="s">
        <v>1237</v>
      </c>
      <c r="R1194" s="5" t="s">
        <v>9973</v>
      </c>
      <c r="S1194" s="6" t="s">
        <v>50</v>
      </c>
      <c r="T1194" s="6">
        <v>6667.0</v>
      </c>
    </row>
    <row r="1195" ht="56.25" customHeight="1">
      <c r="A1195" s="5" t="s">
        <v>9971</v>
      </c>
      <c r="B1195" s="6" t="str">
        <f>image("https://storage.googleapis.com/acdb/photos/BromideNpcNmlRbt05_Remake_1_0.png")</f>
        <v/>
      </c>
      <c r="C1195" s="5" t="s">
        <v>1132</v>
      </c>
      <c r="D1195" s="5" t="s">
        <v>1327</v>
      </c>
      <c r="E1195" s="5" t="s">
        <v>34</v>
      </c>
      <c r="F1195" s="5" t="s">
        <v>34</v>
      </c>
      <c r="G1195" s="5" t="s">
        <v>36</v>
      </c>
      <c r="H1195" s="5" t="s">
        <v>35</v>
      </c>
      <c r="I1195" s="6">
        <v>1.0</v>
      </c>
      <c r="J1195" s="6" t="s">
        <v>37</v>
      </c>
      <c r="K1195" s="6">
        <v>10.0</v>
      </c>
      <c r="L1195" s="5"/>
      <c r="M1195" s="5"/>
      <c r="N1195" s="6" t="s">
        <v>40</v>
      </c>
      <c r="O1195" s="5" t="s">
        <v>5363</v>
      </c>
      <c r="P1195" s="6" t="s">
        <v>42</v>
      </c>
      <c r="Q1195" s="5" t="s">
        <v>1237</v>
      </c>
      <c r="R1195" s="5" t="s">
        <v>9977</v>
      </c>
      <c r="S1195" s="6" t="s">
        <v>56</v>
      </c>
      <c r="T1195" s="6">
        <v>6667.0</v>
      </c>
    </row>
    <row r="1196" ht="56.25" customHeight="1">
      <c r="A1196" s="5" t="s">
        <v>9971</v>
      </c>
      <c r="B1196" s="6" t="str">
        <f>image("https://storage.googleapis.com/acdb/photos/BromideNpcNmlRbt05_Remake_2_0.png")</f>
        <v/>
      </c>
      <c r="C1196" s="5" t="s">
        <v>688</v>
      </c>
      <c r="D1196" s="5" t="s">
        <v>1327</v>
      </c>
      <c r="E1196" s="5" t="s">
        <v>34</v>
      </c>
      <c r="F1196" s="5" t="s">
        <v>34</v>
      </c>
      <c r="G1196" s="5" t="s">
        <v>36</v>
      </c>
      <c r="H1196" s="5" t="s">
        <v>35</v>
      </c>
      <c r="I1196" s="6">
        <v>1.0</v>
      </c>
      <c r="J1196" s="6" t="s">
        <v>37</v>
      </c>
      <c r="K1196" s="6">
        <v>10.0</v>
      </c>
      <c r="L1196" s="5"/>
      <c r="M1196" s="5"/>
      <c r="N1196" s="6" t="s">
        <v>40</v>
      </c>
      <c r="O1196" s="5" t="s">
        <v>5363</v>
      </c>
      <c r="P1196" s="6" t="s">
        <v>42</v>
      </c>
      <c r="Q1196" s="5" t="s">
        <v>1237</v>
      </c>
      <c r="R1196" s="5" t="s">
        <v>9980</v>
      </c>
      <c r="S1196" s="6" t="s">
        <v>67</v>
      </c>
      <c r="T1196" s="6">
        <v>6667.0</v>
      </c>
    </row>
    <row r="1197" ht="56.25" customHeight="1">
      <c r="A1197" s="5" t="s">
        <v>9971</v>
      </c>
      <c r="B1197" s="6" t="str">
        <f>image("https://storage.googleapis.com/acdb/photos/BromideNpcNmlRbt05_Remake_3_0.png")</f>
        <v/>
      </c>
      <c r="C1197" s="5" t="s">
        <v>57</v>
      </c>
      <c r="D1197" s="5" t="s">
        <v>1327</v>
      </c>
      <c r="E1197" s="5" t="s">
        <v>34</v>
      </c>
      <c r="F1197" s="5" t="s">
        <v>34</v>
      </c>
      <c r="G1197" s="5" t="s">
        <v>36</v>
      </c>
      <c r="H1197" s="5" t="s">
        <v>35</v>
      </c>
      <c r="I1197" s="6">
        <v>1.0</v>
      </c>
      <c r="J1197" s="6" t="s">
        <v>37</v>
      </c>
      <c r="K1197" s="6">
        <v>10.0</v>
      </c>
      <c r="L1197" s="5"/>
      <c r="M1197" s="5"/>
      <c r="N1197" s="6" t="s">
        <v>40</v>
      </c>
      <c r="O1197" s="5" t="s">
        <v>5363</v>
      </c>
      <c r="P1197" s="6" t="s">
        <v>42</v>
      </c>
      <c r="Q1197" s="5" t="s">
        <v>1237</v>
      </c>
      <c r="R1197" s="5" t="s">
        <v>9984</v>
      </c>
      <c r="S1197" s="6" t="s">
        <v>71</v>
      </c>
      <c r="T1197" s="6">
        <v>6667.0</v>
      </c>
    </row>
    <row r="1198" ht="56.25" customHeight="1">
      <c r="A1198" s="5" t="s">
        <v>9971</v>
      </c>
      <c r="B1198" s="6" t="str">
        <f>image("https://storage.googleapis.com/acdb/photos/BromideNpcNmlRbt05_Remake_4_0.png")</f>
        <v/>
      </c>
      <c r="C1198" s="5" t="s">
        <v>1167</v>
      </c>
      <c r="D1198" s="5" t="s">
        <v>1327</v>
      </c>
      <c r="E1198" s="5" t="s">
        <v>34</v>
      </c>
      <c r="F1198" s="5" t="s">
        <v>34</v>
      </c>
      <c r="G1198" s="5" t="s">
        <v>36</v>
      </c>
      <c r="H1198" s="5" t="s">
        <v>35</v>
      </c>
      <c r="I1198" s="6">
        <v>1.0</v>
      </c>
      <c r="J1198" s="6" t="s">
        <v>37</v>
      </c>
      <c r="K1198" s="6">
        <v>10.0</v>
      </c>
      <c r="L1198" s="5"/>
      <c r="M1198" s="5"/>
      <c r="N1198" s="6" t="s">
        <v>40</v>
      </c>
      <c r="O1198" s="5" t="s">
        <v>5363</v>
      </c>
      <c r="P1198" s="6" t="s">
        <v>42</v>
      </c>
      <c r="Q1198" s="5" t="s">
        <v>1237</v>
      </c>
      <c r="R1198" s="5" t="s">
        <v>9987</v>
      </c>
      <c r="S1198" s="6" t="s">
        <v>75</v>
      </c>
      <c r="T1198" s="6">
        <v>6667.0</v>
      </c>
    </row>
    <row r="1199" ht="56.25" customHeight="1">
      <c r="A1199" s="5" t="s">
        <v>9971</v>
      </c>
      <c r="B1199" s="6" t="str">
        <f>image("https://storage.googleapis.com/acdb/photos/BromideNpcNmlRbt05_Remake_5_0.png")</f>
        <v/>
      </c>
      <c r="C1199" s="5" t="s">
        <v>58</v>
      </c>
      <c r="D1199" s="5" t="s">
        <v>1327</v>
      </c>
      <c r="E1199" s="5" t="s">
        <v>34</v>
      </c>
      <c r="F1199" s="5" t="s">
        <v>34</v>
      </c>
      <c r="G1199" s="5" t="s">
        <v>36</v>
      </c>
      <c r="H1199" s="5" t="s">
        <v>35</v>
      </c>
      <c r="I1199" s="6">
        <v>1.0</v>
      </c>
      <c r="J1199" s="6" t="s">
        <v>37</v>
      </c>
      <c r="K1199" s="6">
        <v>10.0</v>
      </c>
      <c r="L1199" s="5"/>
      <c r="M1199" s="5"/>
      <c r="N1199" s="6" t="s">
        <v>40</v>
      </c>
      <c r="O1199" s="5" t="s">
        <v>5363</v>
      </c>
      <c r="P1199" s="6" t="s">
        <v>42</v>
      </c>
      <c r="Q1199" s="5" t="s">
        <v>1237</v>
      </c>
      <c r="R1199" s="5" t="s">
        <v>9990</v>
      </c>
      <c r="S1199" s="6" t="s">
        <v>79</v>
      </c>
      <c r="T1199" s="6">
        <v>6667.0</v>
      </c>
    </row>
    <row r="1200" ht="56.25" customHeight="1">
      <c r="A1200" s="5" t="s">
        <v>9971</v>
      </c>
      <c r="B1200" s="6" t="str">
        <f>image("https://storage.googleapis.com/acdb/photos/BromideNpcNmlRbt05_Remake_6_0.png")</f>
        <v/>
      </c>
      <c r="C1200" s="5" t="s">
        <v>146</v>
      </c>
      <c r="D1200" s="5" t="s">
        <v>1327</v>
      </c>
      <c r="E1200" s="5" t="s">
        <v>34</v>
      </c>
      <c r="F1200" s="5" t="s">
        <v>34</v>
      </c>
      <c r="G1200" s="5" t="s">
        <v>36</v>
      </c>
      <c r="H1200" s="5" t="s">
        <v>35</v>
      </c>
      <c r="I1200" s="6">
        <v>1.0</v>
      </c>
      <c r="J1200" s="6" t="s">
        <v>37</v>
      </c>
      <c r="K1200" s="6">
        <v>10.0</v>
      </c>
      <c r="L1200" s="5"/>
      <c r="M1200" s="5"/>
      <c r="N1200" s="6" t="s">
        <v>40</v>
      </c>
      <c r="O1200" s="5" t="s">
        <v>5363</v>
      </c>
      <c r="P1200" s="6" t="s">
        <v>42</v>
      </c>
      <c r="Q1200" s="5" t="s">
        <v>1237</v>
      </c>
      <c r="R1200" s="5" t="s">
        <v>9993</v>
      </c>
      <c r="S1200" s="6" t="s">
        <v>86</v>
      </c>
      <c r="T1200" s="6">
        <v>6667.0</v>
      </c>
    </row>
    <row r="1201" ht="56.25" customHeight="1">
      <c r="A1201" s="5" t="s">
        <v>9971</v>
      </c>
      <c r="B1201" s="6" t="str">
        <f>image("https://storage.googleapis.com/acdb/photos/BromideNpcNmlRbt05_Remake_7_0.png")</f>
        <v/>
      </c>
      <c r="C1201" s="5" t="s">
        <v>151</v>
      </c>
      <c r="D1201" s="5" t="s">
        <v>1327</v>
      </c>
      <c r="E1201" s="5" t="s">
        <v>34</v>
      </c>
      <c r="F1201" s="5" t="s">
        <v>34</v>
      </c>
      <c r="G1201" s="5" t="s">
        <v>36</v>
      </c>
      <c r="H1201" s="5" t="s">
        <v>35</v>
      </c>
      <c r="I1201" s="6">
        <v>1.0</v>
      </c>
      <c r="J1201" s="6" t="s">
        <v>37</v>
      </c>
      <c r="K1201" s="6">
        <v>10.0</v>
      </c>
      <c r="L1201" s="5"/>
      <c r="M1201" s="5"/>
      <c r="N1201" s="6" t="s">
        <v>40</v>
      </c>
      <c r="O1201" s="5" t="s">
        <v>5363</v>
      </c>
      <c r="P1201" s="6" t="s">
        <v>42</v>
      </c>
      <c r="Q1201" s="5" t="s">
        <v>1237</v>
      </c>
      <c r="R1201" s="5" t="s">
        <v>9996</v>
      </c>
      <c r="S1201" s="6" t="s">
        <v>208</v>
      </c>
      <c r="T1201" s="6">
        <v>6667.0</v>
      </c>
    </row>
    <row r="1202" ht="56.25" customHeight="1">
      <c r="A1202" s="5" t="s">
        <v>9997</v>
      </c>
      <c r="B1202" s="6" t="str">
        <f>image("https://storage.googleapis.com/acdb/photos/BromideNpcNmlPig13_Remake_0_0.png")</f>
        <v/>
      </c>
      <c r="C1202" s="5" t="s">
        <v>366</v>
      </c>
      <c r="D1202" s="5" t="s">
        <v>1327</v>
      </c>
      <c r="E1202" s="5" t="s">
        <v>34</v>
      </c>
      <c r="F1202" s="5" t="s">
        <v>34</v>
      </c>
      <c r="G1202" s="5" t="s">
        <v>36</v>
      </c>
      <c r="H1202" s="5" t="s">
        <v>35</v>
      </c>
      <c r="I1202" s="6">
        <v>1.0</v>
      </c>
      <c r="J1202" s="6" t="s">
        <v>37</v>
      </c>
      <c r="K1202" s="6">
        <v>10.0</v>
      </c>
      <c r="L1202" s="5"/>
      <c r="M1202" s="5"/>
      <c r="N1202" s="6" t="s">
        <v>40</v>
      </c>
      <c r="O1202" s="5" t="s">
        <v>5363</v>
      </c>
      <c r="P1202" s="6" t="s">
        <v>42</v>
      </c>
      <c r="Q1202" s="5" t="s">
        <v>1237</v>
      </c>
      <c r="R1202" s="5" t="s">
        <v>9999</v>
      </c>
      <c r="S1202" s="6" t="s">
        <v>50</v>
      </c>
      <c r="T1202" s="6">
        <v>6656.0</v>
      </c>
    </row>
    <row r="1203" ht="56.25" customHeight="1">
      <c r="A1203" s="5" t="s">
        <v>9997</v>
      </c>
      <c r="B1203" s="6" t="str">
        <f>image("https://storage.googleapis.com/acdb/photos/BromideNpcNmlPig13_Remake_1_0.png")</f>
        <v/>
      </c>
      <c r="C1203" s="5" t="s">
        <v>1132</v>
      </c>
      <c r="D1203" s="5" t="s">
        <v>1327</v>
      </c>
      <c r="E1203" s="5" t="s">
        <v>34</v>
      </c>
      <c r="F1203" s="5" t="s">
        <v>34</v>
      </c>
      <c r="G1203" s="5" t="s">
        <v>36</v>
      </c>
      <c r="H1203" s="5" t="s">
        <v>35</v>
      </c>
      <c r="I1203" s="6">
        <v>1.0</v>
      </c>
      <c r="J1203" s="6" t="s">
        <v>37</v>
      </c>
      <c r="K1203" s="6">
        <v>10.0</v>
      </c>
      <c r="L1203" s="5"/>
      <c r="M1203" s="5"/>
      <c r="N1203" s="6" t="s">
        <v>40</v>
      </c>
      <c r="O1203" s="5" t="s">
        <v>5363</v>
      </c>
      <c r="P1203" s="6" t="s">
        <v>42</v>
      </c>
      <c r="Q1203" s="5" t="s">
        <v>1237</v>
      </c>
      <c r="R1203" s="5" t="s">
        <v>10004</v>
      </c>
      <c r="S1203" s="6" t="s">
        <v>56</v>
      </c>
      <c r="T1203" s="6">
        <v>6656.0</v>
      </c>
    </row>
    <row r="1204" ht="56.25" customHeight="1">
      <c r="A1204" s="5" t="s">
        <v>9997</v>
      </c>
      <c r="B1204" s="6" t="str">
        <f>image("https://storage.googleapis.com/acdb/photos/BromideNpcNmlPig13_Remake_2_0.png")</f>
        <v/>
      </c>
      <c r="C1204" s="5" t="s">
        <v>688</v>
      </c>
      <c r="D1204" s="5" t="s">
        <v>1327</v>
      </c>
      <c r="E1204" s="5" t="s">
        <v>34</v>
      </c>
      <c r="F1204" s="5" t="s">
        <v>34</v>
      </c>
      <c r="G1204" s="5" t="s">
        <v>36</v>
      </c>
      <c r="H1204" s="5" t="s">
        <v>35</v>
      </c>
      <c r="I1204" s="6">
        <v>1.0</v>
      </c>
      <c r="J1204" s="6" t="s">
        <v>37</v>
      </c>
      <c r="K1204" s="6">
        <v>10.0</v>
      </c>
      <c r="L1204" s="5"/>
      <c r="M1204" s="5"/>
      <c r="N1204" s="6" t="s">
        <v>40</v>
      </c>
      <c r="O1204" s="5" t="s">
        <v>5363</v>
      </c>
      <c r="P1204" s="6" t="s">
        <v>42</v>
      </c>
      <c r="Q1204" s="5" t="s">
        <v>1237</v>
      </c>
      <c r="R1204" s="5" t="s">
        <v>10008</v>
      </c>
      <c r="S1204" s="6" t="s">
        <v>67</v>
      </c>
      <c r="T1204" s="6">
        <v>6656.0</v>
      </c>
    </row>
    <row r="1205" ht="56.25" customHeight="1">
      <c r="A1205" s="5" t="s">
        <v>9997</v>
      </c>
      <c r="B1205" s="6" t="str">
        <f>image("https://storage.googleapis.com/acdb/photos/BromideNpcNmlPig13_Remake_3_0.png")</f>
        <v/>
      </c>
      <c r="C1205" s="5" t="s">
        <v>57</v>
      </c>
      <c r="D1205" s="5" t="s">
        <v>1327</v>
      </c>
      <c r="E1205" s="5" t="s">
        <v>34</v>
      </c>
      <c r="F1205" s="5" t="s">
        <v>34</v>
      </c>
      <c r="G1205" s="5" t="s">
        <v>36</v>
      </c>
      <c r="H1205" s="5" t="s">
        <v>35</v>
      </c>
      <c r="I1205" s="6">
        <v>1.0</v>
      </c>
      <c r="J1205" s="6" t="s">
        <v>37</v>
      </c>
      <c r="K1205" s="6">
        <v>10.0</v>
      </c>
      <c r="L1205" s="5"/>
      <c r="M1205" s="5"/>
      <c r="N1205" s="6" t="s">
        <v>40</v>
      </c>
      <c r="O1205" s="5" t="s">
        <v>5363</v>
      </c>
      <c r="P1205" s="6" t="s">
        <v>42</v>
      </c>
      <c r="Q1205" s="5" t="s">
        <v>1237</v>
      </c>
      <c r="R1205" s="5" t="s">
        <v>10012</v>
      </c>
      <c r="S1205" s="6" t="s">
        <v>71</v>
      </c>
      <c r="T1205" s="6">
        <v>6656.0</v>
      </c>
    </row>
    <row r="1206" ht="56.25" customHeight="1">
      <c r="A1206" s="5" t="s">
        <v>9997</v>
      </c>
      <c r="B1206" s="6" t="str">
        <f>image("https://storage.googleapis.com/acdb/photos/BromideNpcNmlPig13_Remake_4_0.png")</f>
        <v/>
      </c>
      <c r="C1206" s="5" t="s">
        <v>1167</v>
      </c>
      <c r="D1206" s="5" t="s">
        <v>1327</v>
      </c>
      <c r="E1206" s="5" t="s">
        <v>34</v>
      </c>
      <c r="F1206" s="5" t="s">
        <v>34</v>
      </c>
      <c r="G1206" s="5" t="s">
        <v>36</v>
      </c>
      <c r="H1206" s="5" t="s">
        <v>35</v>
      </c>
      <c r="I1206" s="6">
        <v>1.0</v>
      </c>
      <c r="J1206" s="6" t="s">
        <v>37</v>
      </c>
      <c r="K1206" s="6">
        <v>10.0</v>
      </c>
      <c r="L1206" s="5"/>
      <c r="M1206" s="5"/>
      <c r="N1206" s="6" t="s">
        <v>40</v>
      </c>
      <c r="O1206" s="5" t="s">
        <v>5363</v>
      </c>
      <c r="P1206" s="6" t="s">
        <v>42</v>
      </c>
      <c r="Q1206" s="5" t="s">
        <v>1237</v>
      </c>
      <c r="R1206" s="5" t="s">
        <v>10017</v>
      </c>
      <c r="S1206" s="6" t="s">
        <v>75</v>
      </c>
      <c r="T1206" s="6">
        <v>6656.0</v>
      </c>
    </row>
    <row r="1207" ht="56.25" customHeight="1">
      <c r="A1207" s="5" t="s">
        <v>9997</v>
      </c>
      <c r="B1207" s="6" t="str">
        <f>image("https://storage.googleapis.com/acdb/photos/BromideNpcNmlPig13_Remake_5_0.png")</f>
        <v/>
      </c>
      <c r="C1207" s="5" t="s">
        <v>58</v>
      </c>
      <c r="D1207" s="5" t="s">
        <v>1327</v>
      </c>
      <c r="E1207" s="5" t="s">
        <v>34</v>
      </c>
      <c r="F1207" s="5" t="s">
        <v>34</v>
      </c>
      <c r="G1207" s="5" t="s">
        <v>36</v>
      </c>
      <c r="H1207" s="5" t="s">
        <v>35</v>
      </c>
      <c r="I1207" s="6">
        <v>1.0</v>
      </c>
      <c r="J1207" s="6" t="s">
        <v>37</v>
      </c>
      <c r="K1207" s="6">
        <v>10.0</v>
      </c>
      <c r="L1207" s="5"/>
      <c r="M1207" s="5"/>
      <c r="N1207" s="6" t="s">
        <v>40</v>
      </c>
      <c r="O1207" s="5" t="s">
        <v>5363</v>
      </c>
      <c r="P1207" s="6" t="s">
        <v>42</v>
      </c>
      <c r="Q1207" s="5" t="s">
        <v>1237</v>
      </c>
      <c r="R1207" s="5" t="s">
        <v>10022</v>
      </c>
      <c r="S1207" s="6" t="s">
        <v>79</v>
      </c>
      <c r="T1207" s="6">
        <v>6656.0</v>
      </c>
    </row>
    <row r="1208" ht="56.25" customHeight="1">
      <c r="A1208" s="5" t="s">
        <v>9997</v>
      </c>
      <c r="B1208" s="6" t="str">
        <f>image("https://storage.googleapis.com/acdb/photos/BromideNpcNmlPig13_Remake_6_0.png")</f>
        <v/>
      </c>
      <c r="C1208" s="5" t="s">
        <v>146</v>
      </c>
      <c r="D1208" s="5" t="s">
        <v>1327</v>
      </c>
      <c r="E1208" s="5" t="s">
        <v>34</v>
      </c>
      <c r="F1208" s="5" t="s">
        <v>34</v>
      </c>
      <c r="G1208" s="5" t="s">
        <v>36</v>
      </c>
      <c r="H1208" s="5" t="s">
        <v>35</v>
      </c>
      <c r="I1208" s="6">
        <v>1.0</v>
      </c>
      <c r="J1208" s="6" t="s">
        <v>37</v>
      </c>
      <c r="K1208" s="6">
        <v>10.0</v>
      </c>
      <c r="L1208" s="5"/>
      <c r="M1208" s="5"/>
      <c r="N1208" s="6" t="s">
        <v>40</v>
      </c>
      <c r="O1208" s="5" t="s">
        <v>5363</v>
      </c>
      <c r="P1208" s="6" t="s">
        <v>42</v>
      </c>
      <c r="Q1208" s="5" t="s">
        <v>1237</v>
      </c>
      <c r="R1208" s="5" t="s">
        <v>10025</v>
      </c>
      <c r="S1208" s="6" t="s">
        <v>86</v>
      </c>
      <c r="T1208" s="6">
        <v>6656.0</v>
      </c>
    </row>
    <row r="1209" ht="56.25" customHeight="1">
      <c r="A1209" s="5" t="s">
        <v>9997</v>
      </c>
      <c r="B1209" s="6" t="str">
        <f>image("https://storage.googleapis.com/acdb/photos/BromideNpcNmlPig13_Remake_7_0.png")</f>
        <v/>
      </c>
      <c r="C1209" s="5" t="s">
        <v>151</v>
      </c>
      <c r="D1209" s="5" t="s">
        <v>1327</v>
      </c>
      <c r="E1209" s="5" t="s">
        <v>34</v>
      </c>
      <c r="F1209" s="5" t="s">
        <v>34</v>
      </c>
      <c r="G1209" s="5" t="s">
        <v>36</v>
      </c>
      <c r="H1209" s="5" t="s">
        <v>35</v>
      </c>
      <c r="I1209" s="6">
        <v>1.0</v>
      </c>
      <c r="J1209" s="6" t="s">
        <v>37</v>
      </c>
      <c r="K1209" s="6">
        <v>10.0</v>
      </c>
      <c r="L1209" s="5"/>
      <c r="M1209" s="5"/>
      <c r="N1209" s="6" t="s">
        <v>40</v>
      </c>
      <c r="O1209" s="5" t="s">
        <v>5363</v>
      </c>
      <c r="P1209" s="6" t="s">
        <v>42</v>
      </c>
      <c r="Q1209" s="5" t="s">
        <v>1237</v>
      </c>
      <c r="R1209" s="5" t="s">
        <v>10028</v>
      </c>
      <c r="S1209" s="6" t="s">
        <v>208</v>
      </c>
      <c r="T1209" s="6">
        <v>6656.0</v>
      </c>
    </row>
    <row r="1210" ht="56.25" customHeight="1">
      <c r="A1210" s="5" t="s">
        <v>10029</v>
      </c>
      <c r="B1210" s="6" t="str">
        <f>image("https://storage.googleapis.com/acdb/photos/BromideNpcNmlRbt04_Remake_0_0.png")</f>
        <v/>
      </c>
      <c r="C1210" s="5" t="s">
        <v>366</v>
      </c>
      <c r="D1210" s="5" t="s">
        <v>1327</v>
      </c>
      <c r="E1210" s="5" t="s">
        <v>34</v>
      </c>
      <c r="F1210" s="5" t="s">
        <v>34</v>
      </c>
      <c r="G1210" s="5" t="s">
        <v>36</v>
      </c>
      <c r="H1210" s="5" t="s">
        <v>35</v>
      </c>
      <c r="I1210" s="6">
        <v>1.0</v>
      </c>
      <c r="J1210" s="6" t="s">
        <v>37</v>
      </c>
      <c r="K1210" s="6">
        <v>10.0</v>
      </c>
      <c r="L1210" s="5"/>
      <c r="M1210" s="5"/>
      <c r="N1210" s="6" t="s">
        <v>40</v>
      </c>
      <c r="O1210" s="5" t="s">
        <v>5363</v>
      </c>
      <c r="P1210" s="6" t="s">
        <v>42</v>
      </c>
      <c r="Q1210" s="5" t="s">
        <v>1237</v>
      </c>
      <c r="R1210" s="5" t="s">
        <v>10032</v>
      </c>
      <c r="S1210" s="6" t="s">
        <v>50</v>
      </c>
      <c r="T1210" s="6">
        <v>6666.0</v>
      </c>
    </row>
    <row r="1211" ht="56.25" customHeight="1">
      <c r="A1211" s="5" t="s">
        <v>10029</v>
      </c>
      <c r="B1211" s="6" t="str">
        <f>image("https://storage.googleapis.com/acdb/photos/BromideNpcNmlRbt04_Remake_1_0.png")</f>
        <v/>
      </c>
      <c r="C1211" s="5" t="s">
        <v>1132</v>
      </c>
      <c r="D1211" s="5" t="s">
        <v>1327</v>
      </c>
      <c r="E1211" s="5" t="s">
        <v>34</v>
      </c>
      <c r="F1211" s="5" t="s">
        <v>34</v>
      </c>
      <c r="G1211" s="5" t="s">
        <v>36</v>
      </c>
      <c r="H1211" s="5" t="s">
        <v>35</v>
      </c>
      <c r="I1211" s="6">
        <v>1.0</v>
      </c>
      <c r="J1211" s="6" t="s">
        <v>37</v>
      </c>
      <c r="K1211" s="6">
        <v>10.0</v>
      </c>
      <c r="L1211" s="5"/>
      <c r="M1211" s="5"/>
      <c r="N1211" s="6" t="s">
        <v>40</v>
      </c>
      <c r="O1211" s="5" t="s">
        <v>5363</v>
      </c>
      <c r="P1211" s="6" t="s">
        <v>42</v>
      </c>
      <c r="Q1211" s="5" t="s">
        <v>1237</v>
      </c>
      <c r="R1211" s="5" t="s">
        <v>10035</v>
      </c>
      <c r="S1211" s="6" t="s">
        <v>56</v>
      </c>
      <c r="T1211" s="6">
        <v>6666.0</v>
      </c>
    </row>
    <row r="1212" ht="56.25" customHeight="1">
      <c r="A1212" s="5" t="s">
        <v>10029</v>
      </c>
      <c r="B1212" s="6" t="str">
        <f>image("https://storage.googleapis.com/acdb/photos/BromideNpcNmlRbt04_Remake_2_0.png")</f>
        <v/>
      </c>
      <c r="C1212" s="5" t="s">
        <v>688</v>
      </c>
      <c r="D1212" s="5" t="s">
        <v>1327</v>
      </c>
      <c r="E1212" s="5" t="s">
        <v>34</v>
      </c>
      <c r="F1212" s="5" t="s">
        <v>34</v>
      </c>
      <c r="G1212" s="5" t="s">
        <v>36</v>
      </c>
      <c r="H1212" s="5" t="s">
        <v>35</v>
      </c>
      <c r="I1212" s="6">
        <v>1.0</v>
      </c>
      <c r="J1212" s="6" t="s">
        <v>37</v>
      </c>
      <c r="K1212" s="6">
        <v>10.0</v>
      </c>
      <c r="L1212" s="5"/>
      <c r="M1212" s="5"/>
      <c r="N1212" s="6" t="s">
        <v>40</v>
      </c>
      <c r="O1212" s="5" t="s">
        <v>5363</v>
      </c>
      <c r="P1212" s="6" t="s">
        <v>42</v>
      </c>
      <c r="Q1212" s="5" t="s">
        <v>1237</v>
      </c>
      <c r="R1212" s="5" t="s">
        <v>10038</v>
      </c>
      <c r="S1212" s="6" t="s">
        <v>67</v>
      </c>
      <c r="T1212" s="6">
        <v>6666.0</v>
      </c>
    </row>
    <row r="1213" ht="56.25" customHeight="1">
      <c r="A1213" s="5" t="s">
        <v>10029</v>
      </c>
      <c r="B1213" s="6" t="str">
        <f>image("https://storage.googleapis.com/acdb/photos/BromideNpcNmlRbt04_Remake_3_0.png")</f>
        <v/>
      </c>
      <c r="C1213" s="5" t="s">
        <v>57</v>
      </c>
      <c r="D1213" s="5" t="s">
        <v>1327</v>
      </c>
      <c r="E1213" s="5" t="s">
        <v>34</v>
      </c>
      <c r="F1213" s="5" t="s">
        <v>34</v>
      </c>
      <c r="G1213" s="5" t="s">
        <v>36</v>
      </c>
      <c r="H1213" s="5" t="s">
        <v>35</v>
      </c>
      <c r="I1213" s="6">
        <v>1.0</v>
      </c>
      <c r="J1213" s="6" t="s">
        <v>37</v>
      </c>
      <c r="K1213" s="6">
        <v>10.0</v>
      </c>
      <c r="L1213" s="5"/>
      <c r="M1213" s="5"/>
      <c r="N1213" s="6" t="s">
        <v>40</v>
      </c>
      <c r="O1213" s="5" t="s">
        <v>5363</v>
      </c>
      <c r="P1213" s="6" t="s">
        <v>42</v>
      </c>
      <c r="Q1213" s="5" t="s">
        <v>1237</v>
      </c>
      <c r="R1213" s="5" t="s">
        <v>10042</v>
      </c>
      <c r="S1213" s="6" t="s">
        <v>71</v>
      </c>
      <c r="T1213" s="6">
        <v>6666.0</v>
      </c>
    </row>
    <row r="1214" ht="56.25" customHeight="1">
      <c r="A1214" s="5" t="s">
        <v>10029</v>
      </c>
      <c r="B1214" s="6" t="str">
        <f>image("https://storage.googleapis.com/acdb/photos/BromideNpcNmlRbt04_Remake_4_0.png")</f>
        <v/>
      </c>
      <c r="C1214" s="5" t="s">
        <v>1167</v>
      </c>
      <c r="D1214" s="5" t="s">
        <v>1327</v>
      </c>
      <c r="E1214" s="5" t="s">
        <v>34</v>
      </c>
      <c r="F1214" s="5" t="s">
        <v>34</v>
      </c>
      <c r="G1214" s="5" t="s">
        <v>36</v>
      </c>
      <c r="H1214" s="5" t="s">
        <v>35</v>
      </c>
      <c r="I1214" s="6">
        <v>1.0</v>
      </c>
      <c r="J1214" s="6" t="s">
        <v>37</v>
      </c>
      <c r="K1214" s="6">
        <v>10.0</v>
      </c>
      <c r="L1214" s="5"/>
      <c r="M1214" s="5"/>
      <c r="N1214" s="6" t="s">
        <v>40</v>
      </c>
      <c r="O1214" s="5" t="s">
        <v>5363</v>
      </c>
      <c r="P1214" s="6" t="s">
        <v>42</v>
      </c>
      <c r="Q1214" s="5" t="s">
        <v>1237</v>
      </c>
      <c r="R1214" s="5" t="s">
        <v>10045</v>
      </c>
      <c r="S1214" s="6" t="s">
        <v>75</v>
      </c>
      <c r="T1214" s="6">
        <v>6666.0</v>
      </c>
    </row>
    <row r="1215" ht="56.25" customHeight="1">
      <c r="A1215" s="5" t="s">
        <v>10029</v>
      </c>
      <c r="B1215" s="6" t="str">
        <f>image("https://storage.googleapis.com/acdb/photos/BromideNpcNmlRbt04_Remake_5_0.png")</f>
        <v/>
      </c>
      <c r="C1215" s="5" t="s">
        <v>58</v>
      </c>
      <c r="D1215" s="5" t="s">
        <v>1327</v>
      </c>
      <c r="E1215" s="5" t="s">
        <v>34</v>
      </c>
      <c r="F1215" s="5" t="s">
        <v>34</v>
      </c>
      <c r="G1215" s="5" t="s">
        <v>36</v>
      </c>
      <c r="H1215" s="5" t="s">
        <v>35</v>
      </c>
      <c r="I1215" s="6">
        <v>1.0</v>
      </c>
      <c r="J1215" s="6" t="s">
        <v>37</v>
      </c>
      <c r="K1215" s="6">
        <v>10.0</v>
      </c>
      <c r="L1215" s="5"/>
      <c r="M1215" s="5"/>
      <c r="N1215" s="6" t="s">
        <v>40</v>
      </c>
      <c r="O1215" s="5" t="s">
        <v>5363</v>
      </c>
      <c r="P1215" s="6" t="s">
        <v>42</v>
      </c>
      <c r="Q1215" s="5" t="s">
        <v>1237</v>
      </c>
      <c r="R1215" s="5" t="s">
        <v>10049</v>
      </c>
      <c r="S1215" s="6" t="s">
        <v>79</v>
      </c>
      <c r="T1215" s="6">
        <v>6666.0</v>
      </c>
    </row>
    <row r="1216" ht="56.25" customHeight="1">
      <c r="A1216" s="5" t="s">
        <v>10029</v>
      </c>
      <c r="B1216" s="6" t="str">
        <f>image("https://storage.googleapis.com/acdb/photos/BromideNpcNmlRbt04_Remake_6_0.png")</f>
        <v/>
      </c>
      <c r="C1216" s="5" t="s">
        <v>146</v>
      </c>
      <c r="D1216" s="5" t="s">
        <v>1327</v>
      </c>
      <c r="E1216" s="5" t="s">
        <v>34</v>
      </c>
      <c r="F1216" s="5" t="s">
        <v>34</v>
      </c>
      <c r="G1216" s="5" t="s">
        <v>36</v>
      </c>
      <c r="H1216" s="5" t="s">
        <v>35</v>
      </c>
      <c r="I1216" s="6">
        <v>1.0</v>
      </c>
      <c r="J1216" s="6" t="s">
        <v>37</v>
      </c>
      <c r="K1216" s="6">
        <v>10.0</v>
      </c>
      <c r="L1216" s="5"/>
      <c r="M1216" s="5"/>
      <c r="N1216" s="6" t="s">
        <v>40</v>
      </c>
      <c r="O1216" s="5" t="s">
        <v>5363</v>
      </c>
      <c r="P1216" s="6" t="s">
        <v>42</v>
      </c>
      <c r="Q1216" s="5" t="s">
        <v>1237</v>
      </c>
      <c r="R1216" s="5" t="s">
        <v>10051</v>
      </c>
      <c r="S1216" s="6" t="s">
        <v>86</v>
      </c>
      <c r="T1216" s="6">
        <v>6666.0</v>
      </c>
    </row>
    <row r="1217" ht="56.25" customHeight="1">
      <c r="A1217" s="5" t="s">
        <v>10029</v>
      </c>
      <c r="B1217" s="6" t="str">
        <f>image("https://storage.googleapis.com/acdb/photos/BromideNpcNmlRbt04_Remake_7_0.png")</f>
        <v/>
      </c>
      <c r="C1217" s="5" t="s">
        <v>151</v>
      </c>
      <c r="D1217" s="5" t="s">
        <v>1327</v>
      </c>
      <c r="E1217" s="5" t="s">
        <v>34</v>
      </c>
      <c r="F1217" s="5" t="s">
        <v>34</v>
      </c>
      <c r="G1217" s="5" t="s">
        <v>36</v>
      </c>
      <c r="H1217" s="5" t="s">
        <v>35</v>
      </c>
      <c r="I1217" s="6">
        <v>1.0</v>
      </c>
      <c r="J1217" s="6" t="s">
        <v>37</v>
      </c>
      <c r="K1217" s="6">
        <v>10.0</v>
      </c>
      <c r="L1217" s="5"/>
      <c r="M1217" s="5"/>
      <c r="N1217" s="6" t="s">
        <v>40</v>
      </c>
      <c r="O1217" s="5" t="s">
        <v>5363</v>
      </c>
      <c r="P1217" s="6" t="s">
        <v>42</v>
      </c>
      <c r="Q1217" s="5" t="s">
        <v>1237</v>
      </c>
      <c r="R1217" s="5" t="s">
        <v>10057</v>
      </c>
      <c r="S1217" s="6" t="s">
        <v>208</v>
      </c>
      <c r="T1217" s="6">
        <v>6666.0</v>
      </c>
    </row>
    <row r="1218" ht="56.25" customHeight="1">
      <c r="A1218" s="5" t="s">
        <v>10059</v>
      </c>
      <c r="B1218" s="6" t="str">
        <f>image("https://storage.googleapis.com/acdb/photos/BromideNpcNmlCrd07_Remake_0_0.png")</f>
        <v/>
      </c>
      <c r="C1218" s="5" t="s">
        <v>366</v>
      </c>
      <c r="D1218" s="5" t="s">
        <v>1327</v>
      </c>
      <c r="E1218" s="5" t="s">
        <v>34</v>
      </c>
      <c r="F1218" s="5" t="s">
        <v>34</v>
      </c>
      <c r="G1218" s="5" t="s">
        <v>36</v>
      </c>
      <c r="H1218" s="5" t="s">
        <v>35</v>
      </c>
      <c r="I1218" s="6">
        <v>1.0</v>
      </c>
      <c r="J1218" s="6" t="s">
        <v>37</v>
      </c>
      <c r="K1218" s="6">
        <v>10.0</v>
      </c>
      <c r="L1218" s="5"/>
      <c r="M1218" s="5"/>
      <c r="N1218" s="6" t="s">
        <v>40</v>
      </c>
      <c r="O1218" s="5" t="s">
        <v>5363</v>
      </c>
      <c r="P1218" s="6" t="s">
        <v>42</v>
      </c>
      <c r="Q1218" s="5" t="s">
        <v>1237</v>
      </c>
      <c r="R1218" s="5" t="s">
        <v>10063</v>
      </c>
      <c r="S1218" s="6" t="s">
        <v>50</v>
      </c>
      <c r="T1218" s="6">
        <v>6805.0</v>
      </c>
    </row>
    <row r="1219" ht="56.25" customHeight="1">
      <c r="A1219" s="5" t="s">
        <v>10059</v>
      </c>
      <c r="B1219" s="6" t="str">
        <f>image("https://storage.googleapis.com/acdb/photos/BromideNpcNmlCrd07_Remake_1_0.png")</f>
        <v/>
      </c>
      <c r="C1219" s="5" t="s">
        <v>1132</v>
      </c>
      <c r="D1219" s="5" t="s">
        <v>1327</v>
      </c>
      <c r="E1219" s="5" t="s">
        <v>34</v>
      </c>
      <c r="F1219" s="5" t="s">
        <v>34</v>
      </c>
      <c r="G1219" s="5" t="s">
        <v>36</v>
      </c>
      <c r="H1219" s="5" t="s">
        <v>35</v>
      </c>
      <c r="I1219" s="6">
        <v>1.0</v>
      </c>
      <c r="J1219" s="6" t="s">
        <v>37</v>
      </c>
      <c r="K1219" s="6">
        <v>10.0</v>
      </c>
      <c r="L1219" s="5"/>
      <c r="M1219" s="5"/>
      <c r="N1219" s="6" t="s">
        <v>40</v>
      </c>
      <c r="O1219" s="5" t="s">
        <v>5363</v>
      </c>
      <c r="P1219" s="6" t="s">
        <v>42</v>
      </c>
      <c r="Q1219" s="5" t="s">
        <v>1237</v>
      </c>
      <c r="R1219" s="5" t="s">
        <v>10066</v>
      </c>
      <c r="S1219" s="6" t="s">
        <v>56</v>
      </c>
      <c r="T1219" s="6">
        <v>6805.0</v>
      </c>
    </row>
    <row r="1220" ht="56.25" customHeight="1">
      <c r="A1220" s="5" t="s">
        <v>10059</v>
      </c>
      <c r="B1220" s="6" t="str">
        <f>image("https://storage.googleapis.com/acdb/photos/BromideNpcNmlCrd07_Remake_2_0.png")</f>
        <v/>
      </c>
      <c r="C1220" s="5" t="s">
        <v>688</v>
      </c>
      <c r="D1220" s="5" t="s">
        <v>1327</v>
      </c>
      <c r="E1220" s="5" t="s">
        <v>34</v>
      </c>
      <c r="F1220" s="5" t="s">
        <v>34</v>
      </c>
      <c r="G1220" s="5" t="s">
        <v>36</v>
      </c>
      <c r="H1220" s="5" t="s">
        <v>35</v>
      </c>
      <c r="I1220" s="6">
        <v>1.0</v>
      </c>
      <c r="J1220" s="6" t="s">
        <v>37</v>
      </c>
      <c r="K1220" s="6">
        <v>10.0</v>
      </c>
      <c r="L1220" s="5"/>
      <c r="M1220" s="5"/>
      <c r="N1220" s="6" t="s">
        <v>40</v>
      </c>
      <c r="O1220" s="5" t="s">
        <v>5363</v>
      </c>
      <c r="P1220" s="6" t="s">
        <v>42</v>
      </c>
      <c r="Q1220" s="5" t="s">
        <v>1237</v>
      </c>
      <c r="R1220" s="5" t="s">
        <v>10072</v>
      </c>
      <c r="S1220" s="6" t="s">
        <v>67</v>
      </c>
      <c r="T1220" s="6">
        <v>6805.0</v>
      </c>
    </row>
    <row r="1221" ht="56.25" customHeight="1">
      <c r="A1221" s="5" t="s">
        <v>10059</v>
      </c>
      <c r="B1221" s="6" t="str">
        <f>image("https://storage.googleapis.com/acdb/photos/BromideNpcNmlCrd07_Remake_3_0.png")</f>
        <v/>
      </c>
      <c r="C1221" s="5" t="s">
        <v>57</v>
      </c>
      <c r="D1221" s="5" t="s">
        <v>1327</v>
      </c>
      <c r="E1221" s="5" t="s">
        <v>34</v>
      </c>
      <c r="F1221" s="5" t="s">
        <v>34</v>
      </c>
      <c r="G1221" s="5" t="s">
        <v>36</v>
      </c>
      <c r="H1221" s="5" t="s">
        <v>35</v>
      </c>
      <c r="I1221" s="6">
        <v>1.0</v>
      </c>
      <c r="J1221" s="6" t="s">
        <v>37</v>
      </c>
      <c r="K1221" s="6">
        <v>10.0</v>
      </c>
      <c r="L1221" s="5"/>
      <c r="M1221" s="5"/>
      <c r="N1221" s="6" t="s">
        <v>40</v>
      </c>
      <c r="O1221" s="5" t="s">
        <v>5363</v>
      </c>
      <c r="P1221" s="6" t="s">
        <v>42</v>
      </c>
      <c r="Q1221" s="5" t="s">
        <v>1237</v>
      </c>
      <c r="R1221" s="5" t="s">
        <v>10076</v>
      </c>
      <c r="S1221" s="6" t="s">
        <v>71</v>
      </c>
      <c r="T1221" s="6">
        <v>6805.0</v>
      </c>
    </row>
    <row r="1222" ht="56.25" customHeight="1">
      <c r="A1222" s="5" t="s">
        <v>10059</v>
      </c>
      <c r="B1222" s="6" t="str">
        <f>image("https://storage.googleapis.com/acdb/photos/BromideNpcNmlCrd07_Remake_4_0.png")</f>
        <v/>
      </c>
      <c r="C1222" s="5" t="s">
        <v>1167</v>
      </c>
      <c r="D1222" s="5" t="s">
        <v>1327</v>
      </c>
      <c r="E1222" s="5" t="s">
        <v>34</v>
      </c>
      <c r="F1222" s="5" t="s">
        <v>34</v>
      </c>
      <c r="G1222" s="5" t="s">
        <v>36</v>
      </c>
      <c r="H1222" s="5" t="s">
        <v>35</v>
      </c>
      <c r="I1222" s="6">
        <v>1.0</v>
      </c>
      <c r="J1222" s="6" t="s">
        <v>37</v>
      </c>
      <c r="K1222" s="6">
        <v>10.0</v>
      </c>
      <c r="L1222" s="5"/>
      <c r="M1222" s="5"/>
      <c r="N1222" s="6" t="s">
        <v>40</v>
      </c>
      <c r="O1222" s="5" t="s">
        <v>5363</v>
      </c>
      <c r="P1222" s="6" t="s">
        <v>42</v>
      </c>
      <c r="Q1222" s="5" t="s">
        <v>1237</v>
      </c>
      <c r="R1222" s="5" t="s">
        <v>10080</v>
      </c>
      <c r="S1222" s="6" t="s">
        <v>75</v>
      </c>
      <c r="T1222" s="6">
        <v>6805.0</v>
      </c>
    </row>
    <row r="1223" ht="56.25" customHeight="1">
      <c r="A1223" s="5" t="s">
        <v>10059</v>
      </c>
      <c r="B1223" s="6" t="str">
        <f>image("https://storage.googleapis.com/acdb/photos/BromideNpcNmlCrd07_Remake_5_0.png")</f>
        <v/>
      </c>
      <c r="C1223" s="5" t="s">
        <v>58</v>
      </c>
      <c r="D1223" s="5" t="s">
        <v>1327</v>
      </c>
      <c r="E1223" s="5" t="s">
        <v>34</v>
      </c>
      <c r="F1223" s="5" t="s">
        <v>34</v>
      </c>
      <c r="G1223" s="5" t="s">
        <v>36</v>
      </c>
      <c r="H1223" s="5" t="s">
        <v>35</v>
      </c>
      <c r="I1223" s="6">
        <v>1.0</v>
      </c>
      <c r="J1223" s="6" t="s">
        <v>37</v>
      </c>
      <c r="K1223" s="6">
        <v>10.0</v>
      </c>
      <c r="L1223" s="5"/>
      <c r="M1223" s="5"/>
      <c r="N1223" s="6" t="s">
        <v>40</v>
      </c>
      <c r="O1223" s="5" t="s">
        <v>5363</v>
      </c>
      <c r="P1223" s="6" t="s">
        <v>42</v>
      </c>
      <c r="Q1223" s="5" t="s">
        <v>1237</v>
      </c>
      <c r="R1223" s="5" t="s">
        <v>10083</v>
      </c>
      <c r="S1223" s="6" t="s">
        <v>79</v>
      </c>
      <c r="T1223" s="6">
        <v>6805.0</v>
      </c>
    </row>
    <row r="1224" ht="56.25" customHeight="1">
      <c r="A1224" s="5" t="s">
        <v>10059</v>
      </c>
      <c r="B1224" s="6" t="str">
        <f>image("https://storage.googleapis.com/acdb/photos/BromideNpcNmlCrd07_Remake_6_0.png")</f>
        <v/>
      </c>
      <c r="C1224" s="5" t="s">
        <v>146</v>
      </c>
      <c r="D1224" s="5" t="s">
        <v>1327</v>
      </c>
      <c r="E1224" s="5" t="s">
        <v>34</v>
      </c>
      <c r="F1224" s="5" t="s">
        <v>34</v>
      </c>
      <c r="G1224" s="5" t="s">
        <v>36</v>
      </c>
      <c r="H1224" s="5" t="s">
        <v>35</v>
      </c>
      <c r="I1224" s="6">
        <v>1.0</v>
      </c>
      <c r="J1224" s="6" t="s">
        <v>37</v>
      </c>
      <c r="K1224" s="6">
        <v>10.0</v>
      </c>
      <c r="L1224" s="5"/>
      <c r="M1224" s="5"/>
      <c r="N1224" s="6" t="s">
        <v>40</v>
      </c>
      <c r="O1224" s="5" t="s">
        <v>5363</v>
      </c>
      <c r="P1224" s="6" t="s">
        <v>42</v>
      </c>
      <c r="Q1224" s="5" t="s">
        <v>1237</v>
      </c>
      <c r="R1224" s="5" t="s">
        <v>10085</v>
      </c>
      <c r="S1224" s="6" t="s">
        <v>86</v>
      </c>
      <c r="T1224" s="6">
        <v>6805.0</v>
      </c>
    </row>
    <row r="1225" ht="56.25" customHeight="1">
      <c r="A1225" s="5" t="s">
        <v>10059</v>
      </c>
      <c r="B1225" s="6" t="str">
        <f>image("https://storage.googleapis.com/acdb/photos/BromideNpcNmlCrd07_Remake_7_0.png")</f>
        <v/>
      </c>
      <c r="C1225" s="5" t="s">
        <v>151</v>
      </c>
      <c r="D1225" s="5" t="s">
        <v>1327</v>
      </c>
      <c r="E1225" s="5" t="s">
        <v>34</v>
      </c>
      <c r="F1225" s="5" t="s">
        <v>34</v>
      </c>
      <c r="G1225" s="5" t="s">
        <v>36</v>
      </c>
      <c r="H1225" s="5" t="s">
        <v>35</v>
      </c>
      <c r="I1225" s="6">
        <v>1.0</v>
      </c>
      <c r="J1225" s="6" t="s">
        <v>37</v>
      </c>
      <c r="K1225" s="6">
        <v>10.0</v>
      </c>
      <c r="L1225" s="5"/>
      <c r="M1225" s="5"/>
      <c r="N1225" s="6" t="s">
        <v>40</v>
      </c>
      <c r="O1225" s="5" t="s">
        <v>5363</v>
      </c>
      <c r="P1225" s="6" t="s">
        <v>42</v>
      </c>
      <c r="Q1225" s="5" t="s">
        <v>1237</v>
      </c>
      <c r="R1225" s="5" t="s">
        <v>10087</v>
      </c>
      <c r="S1225" s="6" t="s">
        <v>208</v>
      </c>
      <c r="T1225" s="6">
        <v>6805.0</v>
      </c>
    </row>
    <row r="1226" ht="56.25" customHeight="1">
      <c r="A1226" s="5" t="s">
        <v>10089</v>
      </c>
      <c r="B1226" s="6" t="str">
        <f>image("https://storage.googleapis.com/acdb/photos/BromideNpcNmlRbt08_Remake_0_0.png")</f>
        <v/>
      </c>
      <c r="C1226" s="5" t="s">
        <v>366</v>
      </c>
      <c r="D1226" s="5" t="s">
        <v>1327</v>
      </c>
      <c r="E1226" s="5" t="s">
        <v>34</v>
      </c>
      <c r="F1226" s="5" t="s">
        <v>34</v>
      </c>
      <c r="G1226" s="5" t="s">
        <v>36</v>
      </c>
      <c r="H1226" s="5" t="s">
        <v>35</v>
      </c>
      <c r="I1226" s="6">
        <v>1.0</v>
      </c>
      <c r="J1226" s="6" t="s">
        <v>37</v>
      </c>
      <c r="K1226" s="6">
        <v>10.0</v>
      </c>
      <c r="L1226" s="5"/>
      <c r="M1226" s="5"/>
      <c r="N1226" s="6" t="s">
        <v>40</v>
      </c>
      <c r="O1226" s="5" t="s">
        <v>5363</v>
      </c>
      <c r="P1226" s="6" t="s">
        <v>42</v>
      </c>
      <c r="Q1226" s="5" t="s">
        <v>1237</v>
      </c>
      <c r="R1226" s="5" t="s">
        <v>10093</v>
      </c>
      <c r="S1226" s="6" t="s">
        <v>50</v>
      </c>
      <c r="T1226" s="6">
        <v>6670.0</v>
      </c>
    </row>
    <row r="1227" ht="56.25" customHeight="1">
      <c r="A1227" s="5" t="s">
        <v>10089</v>
      </c>
      <c r="B1227" s="6" t="str">
        <f>image("https://storage.googleapis.com/acdb/photos/BromideNpcNmlRbt08_Remake_1_0.png")</f>
        <v/>
      </c>
      <c r="C1227" s="5" t="s">
        <v>1132</v>
      </c>
      <c r="D1227" s="5" t="s">
        <v>1327</v>
      </c>
      <c r="E1227" s="5" t="s">
        <v>34</v>
      </c>
      <c r="F1227" s="5" t="s">
        <v>34</v>
      </c>
      <c r="G1227" s="5" t="s">
        <v>36</v>
      </c>
      <c r="H1227" s="5" t="s">
        <v>35</v>
      </c>
      <c r="I1227" s="6">
        <v>1.0</v>
      </c>
      <c r="J1227" s="6" t="s">
        <v>37</v>
      </c>
      <c r="K1227" s="6">
        <v>10.0</v>
      </c>
      <c r="L1227" s="5"/>
      <c r="M1227" s="5"/>
      <c r="N1227" s="6" t="s">
        <v>40</v>
      </c>
      <c r="O1227" s="5" t="s">
        <v>5363</v>
      </c>
      <c r="P1227" s="6" t="s">
        <v>42</v>
      </c>
      <c r="Q1227" s="5" t="s">
        <v>1237</v>
      </c>
      <c r="R1227" s="5" t="s">
        <v>10097</v>
      </c>
      <c r="S1227" s="6" t="s">
        <v>56</v>
      </c>
      <c r="T1227" s="6">
        <v>6670.0</v>
      </c>
    </row>
    <row r="1228" ht="56.25" customHeight="1">
      <c r="A1228" s="5" t="s">
        <v>10089</v>
      </c>
      <c r="B1228" s="6" t="str">
        <f>image("https://storage.googleapis.com/acdb/photos/BromideNpcNmlRbt08_Remake_2_0.png")</f>
        <v/>
      </c>
      <c r="C1228" s="5" t="s">
        <v>688</v>
      </c>
      <c r="D1228" s="5" t="s">
        <v>1327</v>
      </c>
      <c r="E1228" s="5" t="s">
        <v>34</v>
      </c>
      <c r="F1228" s="5" t="s">
        <v>34</v>
      </c>
      <c r="G1228" s="5" t="s">
        <v>36</v>
      </c>
      <c r="H1228" s="5" t="s">
        <v>35</v>
      </c>
      <c r="I1228" s="6">
        <v>1.0</v>
      </c>
      <c r="J1228" s="6" t="s">
        <v>37</v>
      </c>
      <c r="K1228" s="6">
        <v>10.0</v>
      </c>
      <c r="L1228" s="5"/>
      <c r="M1228" s="5"/>
      <c r="N1228" s="6" t="s">
        <v>40</v>
      </c>
      <c r="O1228" s="5" t="s">
        <v>5363</v>
      </c>
      <c r="P1228" s="6" t="s">
        <v>42</v>
      </c>
      <c r="Q1228" s="5" t="s">
        <v>1237</v>
      </c>
      <c r="R1228" s="5" t="s">
        <v>10101</v>
      </c>
      <c r="S1228" s="6" t="s">
        <v>67</v>
      </c>
      <c r="T1228" s="6">
        <v>6670.0</v>
      </c>
    </row>
    <row r="1229" ht="56.25" customHeight="1">
      <c r="A1229" s="5" t="s">
        <v>10089</v>
      </c>
      <c r="B1229" s="6" t="str">
        <f>image("https://storage.googleapis.com/acdb/photos/BromideNpcNmlRbt08_Remake_3_0.png")</f>
        <v/>
      </c>
      <c r="C1229" s="5" t="s">
        <v>57</v>
      </c>
      <c r="D1229" s="5" t="s">
        <v>1327</v>
      </c>
      <c r="E1229" s="5" t="s">
        <v>34</v>
      </c>
      <c r="F1229" s="5" t="s">
        <v>34</v>
      </c>
      <c r="G1229" s="5" t="s">
        <v>36</v>
      </c>
      <c r="H1229" s="5" t="s">
        <v>35</v>
      </c>
      <c r="I1229" s="6">
        <v>1.0</v>
      </c>
      <c r="J1229" s="6" t="s">
        <v>37</v>
      </c>
      <c r="K1229" s="6">
        <v>10.0</v>
      </c>
      <c r="L1229" s="5"/>
      <c r="M1229" s="5"/>
      <c r="N1229" s="6" t="s">
        <v>40</v>
      </c>
      <c r="O1229" s="5" t="s">
        <v>5363</v>
      </c>
      <c r="P1229" s="6" t="s">
        <v>42</v>
      </c>
      <c r="Q1229" s="5" t="s">
        <v>1237</v>
      </c>
      <c r="R1229" s="5" t="s">
        <v>10104</v>
      </c>
      <c r="S1229" s="6" t="s">
        <v>71</v>
      </c>
      <c r="T1229" s="6">
        <v>6670.0</v>
      </c>
    </row>
    <row r="1230" ht="56.25" customHeight="1">
      <c r="A1230" s="5" t="s">
        <v>10089</v>
      </c>
      <c r="B1230" s="6" t="str">
        <f>image("https://storage.googleapis.com/acdb/photos/BromideNpcNmlRbt08_Remake_4_0.png")</f>
        <v/>
      </c>
      <c r="C1230" s="5" t="s">
        <v>1167</v>
      </c>
      <c r="D1230" s="5" t="s">
        <v>1327</v>
      </c>
      <c r="E1230" s="5" t="s">
        <v>34</v>
      </c>
      <c r="F1230" s="5" t="s">
        <v>34</v>
      </c>
      <c r="G1230" s="5" t="s">
        <v>36</v>
      </c>
      <c r="H1230" s="5" t="s">
        <v>35</v>
      </c>
      <c r="I1230" s="6">
        <v>1.0</v>
      </c>
      <c r="J1230" s="6" t="s">
        <v>37</v>
      </c>
      <c r="K1230" s="6">
        <v>10.0</v>
      </c>
      <c r="L1230" s="5"/>
      <c r="M1230" s="5"/>
      <c r="N1230" s="6" t="s">
        <v>40</v>
      </c>
      <c r="O1230" s="5" t="s">
        <v>5363</v>
      </c>
      <c r="P1230" s="6" t="s">
        <v>42</v>
      </c>
      <c r="Q1230" s="5" t="s">
        <v>1237</v>
      </c>
      <c r="R1230" s="5" t="s">
        <v>10105</v>
      </c>
      <c r="S1230" s="6" t="s">
        <v>75</v>
      </c>
      <c r="T1230" s="6">
        <v>6670.0</v>
      </c>
    </row>
    <row r="1231" ht="56.25" customHeight="1">
      <c r="A1231" s="5" t="s">
        <v>10089</v>
      </c>
      <c r="B1231" s="6" t="str">
        <f>image("https://storage.googleapis.com/acdb/photos/BromideNpcNmlRbt08_Remake_5_0.png")</f>
        <v/>
      </c>
      <c r="C1231" s="5" t="s">
        <v>58</v>
      </c>
      <c r="D1231" s="5" t="s">
        <v>1327</v>
      </c>
      <c r="E1231" s="5" t="s">
        <v>34</v>
      </c>
      <c r="F1231" s="5" t="s">
        <v>34</v>
      </c>
      <c r="G1231" s="5" t="s">
        <v>36</v>
      </c>
      <c r="H1231" s="5" t="s">
        <v>35</v>
      </c>
      <c r="I1231" s="6">
        <v>1.0</v>
      </c>
      <c r="J1231" s="6" t="s">
        <v>37</v>
      </c>
      <c r="K1231" s="6">
        <v>10.0</v>
      </c>
      <c r="L1231" s="5"/>
      <c r="M1231" s="5"/>
      <c r="N1231" s="6" t="s">
        <v>40</v>
      </c>
      <c r="O1231" s="5" t="s">
        <v>5363</v>
      </c>
      <c r="P1231" s="6" t="s">
        <v>42</v>
      </c>
      <c r="Q1231" s="5" t="s">
        <v>1237</v>
      </c>
      <c r="R1231" s="5" t="s">
        <v>10110</v>
      </c>
      <c r="S1231" s="6" t="s">
        <v>79</v>
      </c>
      <c r="T1231" s="6">
        <v>6670.0</v>
      </c>
    </row>
    <row r="1232" ht="56.25" customHeight="1">
      <c r="A1232" s="5" t="s">
        <v>10089</v>
      </c>
      <c r="B1232" s="6" t="str">
        <f>image("https://storage.googleapis.com/acdb/photos/BromideNpcNmlRbt08_Remake_6_0.png")</f>
        <v/>
      </c>
      <c r="C1232" s="5" t="s">
        <v>146</v>
      </c>
      <c r="D1232" s="5" t="s">
        <v>1327</v>
      </c>
      <c r="E1232" s="5" t="s">
        <v>34</v>
      </c>
      <c r="F1232" s="5" t="s">
        <v>34</v>
      </c>
      <c r="G1232" s="5" t="s">
        <v>36</v>
      </c>
      <c r="H1232" s="5" t="s">
        <v>35</v>
      </c>
      <c r="I1232" s="6">
        <v>1.0</v>
      </c>
      <c r="J1232" s="6" t="s">
        <v>37</v>
      </c>
      <c r="K1232" s="6">
        <v>10.0</v>
      </c>
      <c r="L1232" s="5"/>
      <c r="M1232" s="5"/>
      <c r="N1232" s="6" t="s">
        <v>40</v>
      </c>
      <c r="O1232" s="5" t="s">
        <v>5363</v>
      </c>
      <c r="P1232" s="6" t="s">
        <v>42</v>
      </c>
      <c r="Q1232" s="5" t="s">
        <v>1237</v>
      </c>
      <c r="R1232" s="5" t="s">
        <v>10113</v>
      </c>
      <c r="S1232" s="6" t="s">
        <v>86</v>
      </c>
      <c r="T1232" s="6">
        <v>6670.0</v>
      </c>
    </row>
    <row r="1233" ht="56.25" customHeight="1">
      <c r="A1233" s="5" t="s">
        <v>10089</v>
      </c>
      <c r="B1233" s="6" t="str">
        <f>image("https://storage.googleapis.com/acdb/photos/BromideNpcNmlRbt08_Remake_7_0.png")</f>
        <v/>
      </c>
      <c r="C1233" s="5" t="s">
        <v>151</v>
      </c>
      <c r="D1233" s="5" t="s">
        <v>1327</v>
      </c>
      <c r="E1233" s="5" t="s">
        <v>34</v>
      </c>
      <c r="F1233" s="5" t="s">
        <v>34</v>
      </c>
      <c r="G1233" s="5" t="s">
        <v>36</v>
      </c>
      <c r="H1233" s="5" t="s">
        <v>35</v>
      </c>
      <c r="I1233" s="6">
        <v>1.0</v>
      </c>
      <c r="J1233" s="6" t="s">
        <v>37</v>
      </c>
      <c r="K1233" s="6">
        <v>10.0</v>
      </c>
      <c r="L1233" s="5"/>
      <c r="M1233" s="5"/>
      <c r="N1233" s="6" t="s">
        <v>40</v>
      </c>
      <c r="O1233" s="5" t="s">
        <v>5363</v>
      </c>
      <c r="P1233" s="6" t="s">
        <v>42</v>
      </c>
      <c r="Q1233" s="5" t="s">
        <v>1237</v>
      </c>
      <c r="R1233" s="5" t="s">
        <v>10117</v>
      </c>
      <c r="S1233" s="6" t="s">
        <v>208</v>
      </c>
      <c r="T1233" s="6">
        <v>6670.0</v>
      </c>
    </row>
    <row r="1234" ht="56.25" customHeight="1">
      <c r="A1234" s="5" t="s">
        <v>10119</v>
      </c>
      <c r="B1234" s="6" t="str">
        <f>image("https://storage.googleapis.com/acdb/photos/BromideNpcNmlFlg16_Remake_0_0.png")</f>
        <v/>
      </c>
      <c r="C1234" s="5" t="s">
        <v>366</v>
      </c>
      <c r="D1234" s="5" t="s">
        <v>1327</v>
      </c>
      <c r="E1234" s="5" t="s">
        <v>34</v>
      </c>
      <c r="F1234" s="5" t="s">
        <v>34</v>
      </c>
      <c r="G1234" s="5" t="s">
        <v>36</v>
      </c>
      <c r="H1234" s="5" t="s">
        <v>35</v>
      </c>
      <c r="I1234" s="6">
        <v>1.0</v>
      </c>
      <c r="J1234" s="6" t="s">
        <v>37</v>
      </c>
      <c r="K1234" s="6">
        <v>10.0</v>
      </c>
      <c r="L1234" s="5"/>
      <c r="M1234" s="5"/>
      <c r="N1234" s="6" t="s">
        <v>40</v>
      </c>
      <c r="O1234" s="5" t="s">
        <v>5363</v>
      </c>
      <c r="P1234" s="6" t="s">
        <v>42</v>
      </c>
      <c r="Q1234" s="5" t="s">
        <v>1237</v>
      </c>
      <c r="R1234" s="5" t="s">
        <v>10123</v>
      </c>
      <c r="S1234" s="6" t="s">
        <v>50</v>
      </c>
      <c r="T1234" s="6">
        <v>6499.0</v>
      </c>
    </row>
    <row r="1235" ht="56.25" customHeight="1">
      <c r="A1235" s="5" t="s">
        <v>10119</v>
      </c>
      <c r="B1235" s="6" t="str">
        <f>image("https://storage.googleapis.com/acdb/photos/BromideNpcNmlFlg16_Remake_1_0.png")</f>
        <v/>
      </c>
      <c r="C1235" s="5" t="s">
        <v>1132</v>
      </c>
      <c r="D1235" s="5" t="s">
        <v>1327</v>
      </c>
      <c r="E1235" s="5" t="s">
        <v>34</v>
      </c>
      <c r="F1235" s="5" t="s">
        <v>34</v>
      </c>
      <c r="G1235" s="5" t="s">
        <v>36</v>
      </c>
      <c r="H1235" s="5" t="s">
        <v>35</v>
      </c>
      <c r="I1235" s="6">
        <v>1.0</v>
      </c>
      <c r="J1235" s="6" t="s">
        <v>37</v>
      </c>
      <c r="K1235" s="6">
        <v>10.0</v>
      </c>
      <c r="L1235" s="5"/>
      <c r="M1235" s="5"/>
      <c r="N1235" s="6" t="s">
        <v>40</v>
      </c>
      <c r="O1235" s="5" t="s">
        <v>5363</v>
      </c>
      <c r="P1235" s="6" t="s">
        <v>42</v>
      </c>
      <c r="Q1235" s="5" t="s">
        <v>1237</v>
      </c>
      <c r="R1235" s="5" t="s">
        <v>10127</v>
      </c>
      <c r="S1235" s="6" t="s">
        <v>56</v>
      </c>
      <c r="T1235" s="6">
        <v>6499.0</v>
      </c>
    </row>
    <row r="1236" ht="56.25" customHeight="1">
      <c r="A1236" s="5" t="s">
        <v>10119</v>
      </c>
      <c r="B1236" s="6" t="str">
        <f>image("https://storage.googleapis.com/acdb/photos/BromideNpcNmlFlg16_Remake_2_0.png")</f>
        <v/>
      </c>
      <c r="C1236" s="5" t="s">
        <v>688</v>
      </c>
      <c r="D1236" s="5" t="s">
        <v>1327</v>
      </c>
      <c r="E1236" s="5" t="s">
        <v>34</v>
      </c>
      <c r="F1236" s="5" t="s">
        <v>34</v>
      </c>
      <c r="G1236" s="5" t="s">
        <v>36</v>
      </c>
      <c r="H1236" s="5" t="s">
        <v>35</v>
      </c>
      <c r="I1236" s="6">
        <v>1.0</v>
      </c>
      <c r="J1236" s="6" t="s">
        <v>37</v>
      </c>
      <c r="K1236" s="6">
        <v>10.0</v>
      </c>
      <c r="L1236" s="5"/>
      <c r="M1236" s="5"/>
      <c r="N1236" s="6" t="s">
        <v>40</v>
      </c>
      <c r="O1236" s="5" t="s">
        <v>5363</v>
      </c>
      <c r="P1236" s="6" t="s">
        <v>42</v>
      </c>
      <c r="Q1236" s="5" t="s">
        <v>1237</v>
      </c>
      <c r="R1236" s="5" t="s">
        <v>10130</v>
      </c>
      <c r="S1236" s="6" t="s">
        <v>67</v>
      </c>
      <c r="T1236" s="6">
        <v>6499.0</v>
      </c>
    </row>
    <row r="1237" ht="56.25" customHeight="1">
      <c r="A1237" s="5" t="s">
        <v>10119</v>
      </c>
      <c r="B1237" s="6" t="str">
        <f>image("https://storage.googleapis.com/acdb/photos/BromideNpcNmlFlg16_Remake_3_0.png")</f>
        <v/>
      </c>
      <c r="C1237" s="5" t="s">
        <v>57</v>
      </c>
      <c r="D1237" s="5" t="s">
        <v>1327</v>
      </c>
      <c r="E1237" s="5" t="s">
        <v>34</v>
      </c>
      <c r="F1237" s="5" t="s">
        <v>34</v>
      </c>
      <c r="G1237" s="5" t="s">
        <v>36</v>
      </c>
      <c r="H1237" s="5" t="s">
        <v>35</v>
      </c>
      <c r="I1237" s="6">
        <v>1.0</v>
      </c>
      <c r="J1237" s="6" t="s">
        <v>37</v>
      </c>
      <c r="K1237" s="6">
        <v>10.0</v>
      </c>
      <c r="L1237" s="5"/>
      <c r="M1237" s="5"/>
      <c r="N1237" s="6" t="s">
        <v>40</v>
      </c>
      <c r="O1237" s="5" t="s">
        <v>5363</v>
      </c>
      <c r="P1237" s="6" t="s">
        <v>42</v>
      </c>
      <c r="Q1237" s="5" t="s">
        <v>1237</v>
      </c>
      <c r="R1237" s="5" t="s">
        <v>10135</v>
      </c>
      <c r="S1237" s="6" t="s">
        <v>71</v>
      </c>
      <c r="T1237" s="6">
        <v>6499.0</v>
      </c>
    </row>
    <row r="1238" ht="56.25" customHeight="1">
      <c r="A1238" s="5" t="s">
        <v>10119</v>
      </c>
      <c r="B1238" s="6" t="str">
        <f>image("https://storage.googleapis.com/acdb/photos/BromideNpcNmlFlg16_Remake_4_0.png")</f>
        <v/>
      </c>
      <c r="C1238" s="5" t="s">
        <v>1167</v>
      </c>
      <c r="D1238" s="5" t="s">
        <v>1327</v>
      </c>
      <c r="E1238" s="5" t="s">
        <v>34</v>
      </c>
      <c r="F1238" s="5" t="s">
        <v>34</v>
      </c>
      <c r="G1238" s="5" t="s">
        <v>36</v>
      </c>
      <c r="H1238" s="5" t="s">
        <v>35</v>
      </c>
      <c r="I1238" s="6">
        <v>1.0</v>
      </c>
      <c r="J1238" s="6" t="s">
        <v>37</v>
      </c>
      <c r="K1238" s="6">
        <v>10.0</v>
      </c>
      <c r="L1238" s="5"/>
      <c r="M1238" s="5"/>
      <c r="N1238" s="6" t="s">
        <v>40</v>
      </c>
      <c r="O1238" s="5" t="s">
        <v>5363</v>
      </c>
      <c r="P1238" s="6" t="s">
        <v>42</v>
      </c>
      <c r="Q1238" s="5" t="s">
        <v>1237</v>
      </c>
      <c r="R1238" s="5" t="s">
        <v>10138</v>
      </c>
      <c r="S1238" s="6" t="s">
        <v>75</v>
      </c>
      <c r="T1238" s="6">
        <v>6499.0</v>
      </c>
    </row>
    <row r="1239" ht="56.25" customHeight="1">
      <c r="A1239" s="5" t="s">
        <v>10119</v>
      </c>
      <c r="B1239" s="6" t="str">
        <f>image("https://storage.googleapis.com/acdb/photos/BromideNpcNmlFlg16_Remake_5_0.png")</f>
        <v/>
      </c>
      <c r="C1239" s="5" t="s">
        <v>58</v>
      </c>
      <c r="D1239" s="5" t="s">
        <v>1327</v>
      </c>
      <c r="E1239" s="5" t="s">
        <v>34</v>
      </c>
      <c r="F1239" s="5" t="s">
        <v>34</v>
      </c>
      <c r="G1239" s="5" t="s">
        <v>36</v>
      </c>
      <c r="H1239" s="5" t="s">
        <v>35</v>
      </c>
      <c r="I1239" s="6">
        <v>1.0</v>
      </c>
      <c r="J1239" s="6" t="s">
        <v>37</v>
      </c>
      <c r="K1239" s="6">
        <v>10.0</v>
      </c>
      <c r="L1239" s="5"/>
      <c r="M1239" s="5"/>
      <c r="N1239" s="6" t="s">
        <v>40</v>
      </c>
      <c r="O1239" s="5" t="s">
        <v>5363</v>
      </c>
      <c r="P1239" s="6" t="s">
        <v>42</v>
      </c>
      <c r="Q1239" s="5" t="s">
        <v>1237</v>
      </c>
      <c r="R1239" s="5" t="s">
        <v>10139</v>
      </c>
      <c r="S1239" s="6" t="s">
        <v>79</v>
      </c>
      <c r="T1239" s="6">
        <v>6499.0</v>
      </c>
    </row>
    <row r="1240" ht="56.25" customHeight="1">
      <c r="A1240" s="5" t="s">
        <v>10119</v>
      </c>
      <c r="B1240" s="6" t="str">
        <f>image("https://storage.googleapis.com/acdb/photos/BromideNpcNmlFlg16_Remake_6_0.png")</f>
        <v/>
      </c>
      <c r="C1240" s="5" t="s">
        <v>146</v>
      </c>
      <c r="D1240" s="5" t="s">
        <v>1327</v>
      </c>
      <c r="E1240" s="5" t="s">
        <v>34</v>
      </c>
      <c r="F1240" s="5" t="s">
        <v>34</v>
      </c>
      <c r="G1240" s="5" t="s">
        <v>36</v>
      </c>
      <c r="H1240" s="5" t="s">
        <v>35</v>
      </c>
      <c r="I1240" s="6">
        <v>1.0</v>
      </c>
      <c r="J1240" s="6" t="s">
        <v>37</v>
      </c>
      <c r="K1240" s="6">
        <v>10.0</v>
      </c>
      <c r="L1240" s="5"/>
      <c r="M1240" s="5"/>
      <c r="N1240" s="6" t="s">
        <v>40</v>
      </c>
      <c r="O1240" s="5" t="s">
        <v>5363</v>
      </c>
      <c r="P1240" s="6" t="s">
        <v>42</v>
      </c>
      <c r="Q1240" s="5" t="s">
        <v>1237</v>
      </c>
      <c r="R1240" s="5" t="s">
        <v>10142</v>
      </c>
      <c r="S1240" s="6" t="s">
        <v>86</v>
      </c>
      <c r="T1240" s="6">
        <v>6499.0</v>
      </c>
    </row>
    <row r="1241" ht="56.25" customHeight="1">
      <c r="A1241" s="5" t="s">
        <v>10119</v>
      </c>
      <c r="B1241" s="6" t="str">
        <f>image("https://storage.googleapis.com/acdb/photos/BromideNpcNmlFlg16_Remake_7_0.png")</f>
        <v/>
      </c>
      <c r="C1241" s="5" t="s">
        <v>151</v>
      </c>
      <c r="D1241" s="5" t="s">
        <v>1327</v>
      </c>
      <c r="E1241" s="5" t="s">
        <v>34</v>
      </c>
      <c r="F1241" s="5" t="s">
        <v>34</v>
      </c>
      <c r="G1241" s="5" t="s">
        <v>36</v>
      </c>
      <c r="H1241" s="5" t="s">
        <v>35</v>
      </c>
      <c r="I1241" s="6">
        <v>1.0</v>
      </c>
      <c r="J1241" s="6" t="s">
        <v>37</v>
      </c>
      <c r="K1241" s="6">
        <v>10.0</v>
      </c>
      <c r="L1241" s="5"/>
      <c r="M1241" s="5"/>
      <c r="N1241" s="6" t="s">
        <v>40</v>
      </c>
      <c r="O1241" s="5" t="s">
        <v>5363</v>
      </c>
      <c r="P1241" s="6" t="s">
        <v>42</v>
      </c>
      <c r="Q1241" s="5" t="s">
        <v>1237</v>
      </c>
      <c r="R1241" s="5" t="s">
        <v>10143</v>
      </c>
      <c r="S1241" s="6" t="s">
        <v>208</v>
      </c>
      <c r="T1241" s="6">
        <v>6499.0</v>
      </c>
    </row>
    <row r="1242" ht="56.25" customHeight="1">
      <c r="A1242" s="5" t="s">
        <v>10145</v>
      </c>
      <c r="B1242" s="6" t="str">
        <f>image("https://storage.googleapis.com/acdb/photos/BromideNpcNmlOst01_Remake_0_0.png")</f>
        <v/>
      </c>
      <c r="C1242" s="5" t="s">
        <v>366</v>
      </c>
      <c r="D1242" s="5" t="s">
        <v>1327</v>
      </c>
      <c r="E1242" s="5" t="s">
        <v>34</v>
      </c>
      <c r="F1242" s="5" t="s">
        <v>34</v>
      </c>
      <c r="G1242" s="5" t="s">
        <v>36</v>
      </c>
      <c r="H1242" s="5" t="s">
        <v>35</v>
      </c>
      <c r="I1242" s="6">
        <v>1.0</v>
      </c>
      <c r="J1242" s="6" t="s">
        <v>37</v>
      </c>
      <c r="K1242" s="6">
        <v>10.0</v>
      </c>
      <c r="L1242" s="5"/>
      <c r="M1242" s="5"/>
      <c r="N1242" s="6" t="s">
        <v>40</v>
      </c>
      <c r="O1242" s="5" t="s">
        <v>5363</v>
      </c>
      <c r="P1242" s="6" t="s">
        <v>42</v>
      </c>
      <c r="Q1242" s="5" t="s">
        <v>1237</v>
      </c>
      <c r="R1242" s="5" t="s">
        <v>10146</v>
      </c>
      <c r="S1242" s="6" t="s">
        <v>50</v>
      </c>
      <c r="T1242" s="6">
        <v>6610.0</v>
      </c>
    </row>
    <row r="1243" ht="56.25" customHeight="1">
      <c r="A1243" s="5" t="s">
        <v>10145</v>
      </c>
      <c r="B1243" s="6" t="str">
        <f>image("https://storage.googleapis.com/acdb/photos/BromideNpcNmlOst01_Remake_1_0.png")</f>
        <v/>
      </c>
      <c r="C1243" s="5" t="s">
        <v>1132</v>
      </c>
      <c r="D1243" s="5" t="s">
        <v>1327</v>
      </c>
      <c r="E1243" s="5" t="s">
        <v>34</v>
      </c>
      <c r="F1243" s="5" t="s">
        <v>34</v>
      </c>
      <c r="G1243" s="5" t="s">
        <v>36</v>
      </c>
      <c r="H1243" s="5" t="s">
        <v>35</v>
      </c>
      <c r="I1243" s="6">
        <v>1.0</v>
      </c>
      <c r="J1243" s="6" t="s">
        <v>37</v>
      </c>
      <c r="K1243" s="6">
        <v>10.0</v>
      </c>
      <c r="L1243" s="5"/>
      <c r="M1243" s="5"/>
      <c r="N1243" s="6" t="s">
        <v>40</v>
      </c>
      <c r="O1243" s="5" t="s">
        <v>5363</v>
      </c>
      <c r="P1243" s="6" t="s">
        <v>42</v>
      </c>
      <c r="Q1243" s="5" t="s">
        <v>1237</v>
      </c>
      <c r="R1243" s="5" t="s">
        <v>10150</v>
      </c>
      <c r="S1243" s="6" t="s">
        <v>56</v>
      </c>
      <c r="T1243" s="6">
        <v>6610.0</v>
      </c>
    </row>
    <row r="1244" ht="56.25" customHeight="1">
      <c r="A1244" s="5" t="s">
        <v>10145</v>
      </c>
      <c r="B1244" s="6" t="str">
        <f>image("https://storage.googleapis.com/acdb/photos/BromideNpcNmlOst01_Remake_2_0.png")</f>
        <v/>
      </c>
      <c r="C1244" s="5" t="s">
        <v>688</v>
      </c>
      <c r="D1244" s="5" t="s">
        <v>1327</v>
      </c>
      <c r="E1244" s="5" t="s">
        <v>34</v>
      </c>
      <c r="F1244" s="5" t="s">
        <v>34</v>
      </c>
      <c r="G1244" s="5" t="s">
        <v>36</v>
      </c>
      <c r="H1244" s="5" t="s">
        <v>35</v>
      </c>
      <c r="I1244" s="6">
        <v>1.0</v>
      </c>
      <c r="J1244" s="6" t="s">
        <v>37</v>
      </c>
      <c r="K1244" s="6">
        <v>10.0</v>
      </c>
      <c r="L1244" s="5"/>
      <c r="M1244" s="5"/>
      <c r="N1244" s="6" t="s">
        <v>40</v>
      </c>
      <c r="O1244" s="5" t="s">
        <v>5363</v>
      </c>
      <c r="P1244" s="6" t="s">
        <v>42</v>
      </c>
      <c r="Q1244" s="5" t="s">
        <v>1237</v>
      </c>
      <c r="R1244" s="5" t="s">
        <v>10152</v>
      </c>
      <c r="S1244" s="6" t="s">
        <v>67</v>
      </c>
      <c r="T1244" s="6">
        <v>6610.0</v>
      </c>
    </row>
    <row r="1245" ht="56.25" customHeight="1">
      <c r="A1245" s="5" t="s">
        <v>10145</v>
      </c>
      <c r="B1245" s="6" t="str">
        <f>image("https://storage.googleapis.com/acdb/photos/BromideNpcNmlOst01_Remake_3_0.png")</f>
        <v/>
      </c>
      <c r="C1245" s="5" t="s">
        <v>57</v>
      </c>
      <c r="D1245" s="5" t="s">
        <v>1327</v>
      </c>
      <c r="E1245" s="5" t="s">
        <v>34</v>
      </c>
      <c r="F1245" s="5" t="s">
        <v>34</v>
      </c>
      <c r="G1245" s="5" t="s">
        <v>36</v>
      </c>
      <c r="H1245" s="5" t="s">
        <v>35</v>
      </c>
      <c r="I1245" s="6">
        <v>1.0</v>
      </c>
      <c r="J1245" s="6" t="s">
        <v>37</v>
      </c>
      <c r="K1245" s="6">
        <v>10.0</v>
      </c>
      <c r="L1245" s="5"/>
      <c r="M1245" s="5"/>
      <c r="N1245" s="6" t="s">
        <v>40</v>
      </c>
      <c r="O1245" s="5" t="s">
        <v>5363</v>
      </c>
      <c r="P1245" s="6" t="s">
        <v>42</v>
      </c>
      <c r="Q1245" s="5" t="s">
        <v>1237</v>
      </c>
      <c r="R1245" s="5" t="s">
        <v>10154</v>
      </c>
      <c r="S1245" s="6" t="s">
        <v>71</v>
      </c>
      <c r="T1245" s="6">
        <v>6610.0</v>
      </c>
    </row>
    <row r="1246" ht="56.25" customHeight="1">
      <c r="A1246" s="5" t="s">
        <v>10145</v>
      </c>
      <c r="B1246" s="6" t="str">
        <f>image("https://storage.googleapis.com/acdb/photos/BromideNpcNmlOst01_Remake_4_0.png")</f>
        <v/>
      </c>
      <c r="C1246" s="5" t="s">
        <v>1167</v>
      </c>
      <c r="D1246" s="5" t="s">
        <v>1327</v>
      </c>
      <c r="E1246" s="5" t="s">
        <v>34</v>
      </c>
      <c r="F1246" s="5" t="s">
        <v>34</v>
      </c>
      <c r="G1246" s="5" t="s">
        <v>36</v>
      </c>
      <c r="H1246" s="5" t="s">
        <v>35</v>
      </c>
      <c r="I1246" s="6">
        <v>1.0</v>
      </c>
      <c r="J1246" s="6" t="s">
        <v>37</v>
      </c>
      <c r="K1246" s="6">
        <v>10.0</v>
      </c>
      <c r="L1246" s="5"/>
      <c r="M1246" s="5"/>
      <c r="N1246" s="6" t="s">
        <v>40</v>
      </c>
      <c r="O1246" s="5" t="s">
        <v>5363</v>
      </c>
      <c r="P1246" s="6" t="s">
        <v>42</v>
      </c>
      <c r="Q1246" s="5" t="s">
        <v>1237</v>
      </c>
      <c r="R1246" s="5" t="s">
        <v>10157</v>
      </c>
      <c r="S1246" s="6" t="s">
        <v>75</v>
      </c>
      <c r="T1246" s="6">
        <v>6610.0</v>
      </c>
    </row>
    <row r="1247" ht="56.25" customHeight="1">
      <c r="A1247" s="5" t="s">
        <v>10145</v>
      </c>
      <c r="B1247" s="6" t="str">
        <f>image("https://storage.googleapis.com/acdb/photos/BromideNpcNmlOst01_Remake_5_0.png")</f>
        <v/>
      </c>
      <c r="C1247" s="5" t="s">
        <v>58</v>
      </c>
      <c r="D1247" s="5" t="s">
        <v>1327</v>
      </c>
      <c r="E1247" s="5" t="s">
        <v>34</v>
      </c>
      <c r="F1247" s="5" t="s">
        <v>34</v>
      </c>
      <c r="G1247" s="5" t="s">
        <v>36</v>
      </c>
      <c r="H1247" s="5" t="s">
        <v>35</v>
      </c>
      <c r="I1247" s="6">
        <v>1.0</v>
      </c>
      <c r="J1247" s="6" t="s">
        <v>37</v>
      </c>
      <c r="K1247" s="6">
        <v>10.0</v>
      </c>
      <c r="L1247" s="5"/>
      <c r="M1247" s="5"/>
      <c r="N1247" s="6" t="s">
        <v>40</v>
      </c>
      <c r="O1247" s="5" t="s">
        <v>5363</v>
      </c>
      <c r="P1247" s="6" t="s">
        <v>42</v>
      </c>
      <c r="Q1247" s="5" t="s">
        <v>1237</v>
      </c>
      <c r="R1247" s="5" t="s">
        <v>10160</v>
      </c>
      <c r="S1247" s="6" t="s">
        <v>79</v>
      </c>
      <c r="T1247" s="6">
        <v>6610.0</v>
      </c>
    </row>
    <row r="1248" ht="56.25" customHeight="1">
      <c r="A1248" s="5" t="s">
        <v>10145</v>
      </c>
      <c r="B1248" s="6" t="str">
        <f>image("https://storage.googleapis.com/acdb/photos/BromideNpcNmlOst01_Remake_6_0.png")</f>
        <v/>
      </c>
      <c r="C1248" s="5" t="s">
        <v>146</v>
      </c>
      <c r="D1248" s="5" t="s">
        <v>1327</v>
      </c>
      <c r="E1248" s="5" t="s">
        <v>34</v>
      </c>
      <c r="F1248" s="5" t="s">
        <v>34</v>
      </c>
      <c r="G1248" s="5" t="s">
        <v>36</v>
      </c>
      <c r="H1248" s="5" t="s">
        <v>35</v>
      </c>
      <c r="I1248" s="6">
        <v>1.0</v>
      </c>
      <c r="J1248" s="6" t="s">
        <v>37</v>
      </c>
      <c r="K1248" s="6">
        <v>10.0</v>
      </c>
      <c r="L1248" s="5"/>
      <c r="M1248" s="5"/>
      <c r="N1248" s="6" t="s">
        <v>40</v>
      </c>
      <c r="O1248" s="5" t="s">
        <v>5363</v>
      </c>
      <c r="P1248" s="6" t="s">
        <v>42</v>
      </c>
      <c r="Q1248" s="5" t="s">
        <v>1237</v>
      </c>
      <c r="R1248" s="5" t="s">
        <v>10162</v>
      </c>
      <c r="S1248" s="6" t="s">
        <v>86</v>
      </c>
      <c r="T1248" s="6">
        <v>6610.0</v>
      </c>
    </row>
    <row r="1249" ht="56.25" customHeight="1">
      <c r="A1249" s="5" t="s">
        <v>10145</v>
      </c>
      <c r="B1249" s="6" t="str">
        <f>image("https://storage.googleapis.com/acdb/photos/BromideNpcNmlOst01_Remake_7_0.png")</f>
        <v/>
      </c>
      <c r="C1249" s="5" t="s">
        <v>151</v>
      </c>
      <c r="D1249" s="5" t="s">
        <v>1327</v>
      </c>
      <c r="E1249" s="5" t="s">
        <v>34</v>
      </c>
      <c r="F1249" s="5" t="s">
        <v>34</v>
      </c>
      <c r="G1249" s="5" t="s">
        <v>36</v>
      </c>
      <c r="H1249" s="5" t="s">
        <v>35</v>
      </c>
      <c r="I1249" s="6">
        <v>1.0</v>
      </c>
      <c r="J1249" s="6" t="s">
        <v>37</v>
      </c>
      <c r="K1249" s="6">
        <v>10.0</v>
      </c>
      <c r="L1249" s="5"/>
      <c r="M1249" s="5"/>
      <c r="N1249" s="6" t="s">
        <v>40</v>
      </c>
      <c r="O1249" s="5" t="s">
        <v>5363</v>
      </c>
      <c r="P1249" s="6" t="s">
        <v>42</v>
      </c>
      <c r="Q1249" s="5" t="s">
        <v>1237</v>
      </c>
      <c r="R1249" s="5" t="s">
        <v>10164</v>
      </c>
      <c r="S1249" s="6" t="s">
        <v>208</v>
      </c>
      <c r="T1249" s="6">
        <v>6610.0</v>
      </c>
    </row>
    <row r="1250" ht="56.25" customHeight="1">
      <c r="A1250" s="5" t="s">
        <v>10165</v>
      </c>
      <c r="B1250" s="6" t="str">
        <f>image("https://storage.googleapis.com/acdb/photos/BromideNpcNmlDuk15_Remake_0_0.png")</f>
        <v/>
      </c>
      <c r="C1250" s="5" t="s">
        <v>366</v>
      </c>
      <c r="D1250" s="5" t="s">
        <v>1327</v>
      </c>
      <c r="E1250" s="5" t="s">
        <v>34</v>
      </c>
      <c r="F1250" s="5" t="s">
        <v>34</v>
      </c>
      <c r="G1250" s="5" t="s">
        <v>36</v>
      </c>
      <c r="H1250" s="5" t="s">
        <v>35</v>
      </c>
      <c r="I1250" s="6">
        <v>1.0</v>
      </c>
      <c r="J1250" s="6" t="s">
        <v>37</v>
      </c>
      <c r="K1250" s="6">
        <v>10.0</v>
      </c>
      <c r="L1250" s="5"/>
      <c r="M1250" s="5"/>
      <c r="N1250" s="6" t="s">
        <v>40</v>
      </c>
      <c r="O1250" s="5" t="s">
        <v>5363</v>
      </c>
      <c r="P1250" s="6" t="s">
        <v>42</v>
      </c>
      <c r="Q1250" s="5" t="s">
        <v>1237</v>
      </c>
      <c r="R1250" s="5" t="s">
        <v>10167</v>
      </c>
      <c r="S1250" s="6" t="s">
        <v>50</v>
      </c>
      <c r="T1250" s="6">
        <v>6469.0</v>
      </c>
    </row>
    <row r="1251" ht="56.25" customHeight="1">
      <c r="A1251" s="5" t="s">
        <v>10165</v>
      </c>
      <c r="B1251" s="6" t="str">
        <f>image("https://storage.googleapis.com/acdb/photos/BromideNpcNmlDuk15_Remake_1_0.png")</f>
        <v/>
      </c>
      <c r="C1251" s="5" t="s">
        <v>1132</v>
      </c>
      <c r="D1251" s="5" t="s">
        <v>1327</v>
      </c>
      <c r="E1251" s="5" t="s">
        <v>34</v>
      </c>
      <c r="F1251" s="5" t="s">
        <v>34</v>
      </c>
      <c r="G1251" s="5" t="s">
        <v>36</v>
      </c>
      <c r="H1251" s="5" t="s">
        <v>35</v>
      </c>
      <c r="I1251" s="6">
        <v>1.0</v>
      </c>
      <c r="J1251" s="6" t="s">
        <v>37</v>
      </c>
      <c r="K1251" s="6">
        <v>10.0</v>
      </c>
      <c r="L1251" s="5"/>
      <c r="M1251" s="5"/>
      <c r="N1251" s="6" t="s">
        <v>40</v>
      </c>
      <c r="O1251" s="5" t="s">
        <v>5363</v>
      </c>
      <c r="P1251" s="6" t="s">
        <v>42</v>
      </c>
      <c r="Q1251" s="5" t="s">
        <v>1237</v>
      </c>
      <c r="R1251" s="5" t="s">
        <v>10168</v>
      </c>
      <c r="S1251" s="6" t="s">
        <v>56</v>
      </c>
      <c r="T1251" s="6">
        <v>6469.0</v>
      </c>
    </row>
    <row r="1252" ht="56.25" customHeight="1">
      <c r="A1252" s="5" t="s">
        <v>10165</v>
      </c>
      <c r="B1252" s="6" t="str">
        <f>image("https://storage.googleapis.com/acdb/photos/BromideNpcNmlDuk15_Remake_2_0.png")</f>
        <v/>
      </c>
      <c r="C1252" s="5" t="s">
        <v>688</v>
      </c>
      <c r="D1252" s="5" t="s">
        <v>1327</v>
      </c>
      <c r="E1252" s="5" t="s">
        <v>34</v>
      </c>
      <c r="F1252" s="5" t="s">
        <v>34</v>
      </c>
      <c r="G1252" s="5" t="s">
        <v>36</v>
      </c>
      <c r="H1252" s="5" t="s">
        <v>35</v>
      </c>
      <c r="I1252" s="6">
        <v>1.0</v>
      </c>
      <c r="J1252" s="6" t="s">
        <v>37</v>
      </c>
      <c r="K1252" s="6">
        <v>10.0</v>
      </c>
      <c r="L1252" s="5"/>
      <c r="M1252" s="5"/>
      <c r="N1252" s="6" t="s">
        <v>40</v>
      </c>
      <c r="O1252" s="5" t="s">
        <v>5363</v>
      </c>
      <c r="P1252" s="6" t="s">
        <v>42</v>
      </c>
      <c r="Q1252" s="5" t="s">
        <v>1237</v>
      </c>
      <c r="R1252" s="5" t="s">
        <v>10171</v>
      </c>
      <c r="S1252" s="6" t="s">
        <v>67</v>
      </c>
      <c r="T1252" s="6">
        <v>6469.0</v>
      </c>
    </row>
    <row r="1253" ht="56.25" customHeight="1">
      <c r="A1253" s="5" t="s">
        <v>10165</v>
      </c>
      <c r="B1253" s="6" t="str">
        <f>image("https://storage.googleapis.com/acdb/photos/BromideNpcNmlDuk15_Remake_3_0.png")</f>
        <v/>
      </c>
      <c r="C1253" s="5" t="s">
        <v>57</v>
      </c>
      <c r="D1253" s="5" t="s">
        <v>1327</v>
      </c>
      <c r="E1253" s="5" t="s">
        <v>34</v>
      </c>
      <c r="F1253" s="5" t="s">
        <v>34</v>
      </c>
      <c r="G1253" s="5" t="s">
        <v>36</v>
      </c>
      <c r="H1253" s="5" t="s">
        <v>35</v>
      </c>
      <c r="I1253" s="6">
        <v>1.0</v>
      </c>
      <c r="J1253" s="6" t="s">
        <v>37</v>
      </c>
      <c r="K1253" s="6">
        <v>10.0</v>
      </c>
      <c r="L1253" s="5"/>
      <c r="M1253" s="5"/>
      <c r="N1253" s="6" t="s">
        <v>40</v>
      </c>
      <c r="O1253" s="5" t="s">
        <v>5363</v>
      </c>
      <c r="P1253" s="6" t="s">
        <v>42</v>
      </c>
      <c r="Q1253" s="5" t="s">
        <v>1237</v>
      </c>
      <c r="R1253" s="5" t="s">
        <v>10173</v>
      </c>
      <c r="S1253" s="6" t="s">
        <v>71</v>
      </c>
      <c r="T1253" s="6">
        <v>6469.0</v>
      </c>
    </row>
    <row r="1254" ht="56.25" customHeight="1">
      <c r="A1254" s="5" t="s">
        <v>10165</v>
      </c>
      <c r="B1254" s="6" t="str">
        <f>image("https://storage.googleapis.com/acdb/photos/BromideNpcNmlDuk15_Remake_4_0.png")</f>
        <v/>
      </c>
      <c r="C1254" s="5" t="s">
        <v>1167</v>
      </c>
      <c r="D1254" s="5" t="s">
        <v>1327</v>
      </c>
      <c r="E1254" s="5" t="s">
        <v>34</v>
      </c>
      <c r="F1254" s="5" t="s">
        <v>34</v>
      </c>
      <c r="G1254" s="5" t="s">
        <v>36</v>
      </c>
      <c r="H1254" s="5" t="s">
        <v>35</v>
      </c>
      <c r="I1254" s="6">
        <v>1.0</v>
      </c>
      <c r="J1254" s="6" t="s">
        <v>37</v>
      </c>
      <c r="K1254" s="6">
        <v>10.0</v>
      </c>
      <c r="L1254" s="5"/>
      <c r="M1254" s="5"/>
      <c r="N1254" s="6" t="s">
        <v>40</v>
      </c>
      <c r="O1254" s="5" t="s">
        <v>5363</v>
      </c>
      <c r="P1254" s="6" t="s">
        <v>42</v>
      </c>
      <c r="Q1254" s="5" t="s">
        <v>1237</v>
      </c>
      <c r="R1254" s="5" t="s">
        <v>10177</v>
      </c>
      <c r="S1254" s="6" t="s">
        <v>75</v>
      </c>
      <c r="T1254" s="6">
        <v>6469.0</v>
      </c>
    </row>
    <row r="1255" ht="56.25" customHeight="1">
      <c r="A1255" s="5" t="s">
        <v>10165</v>
      </c>
      <c r="B1255" s="6" t="str">
        <f>image("https://storage.googleapis.com/acdb/photos/BromideNpcNmlDuk15_Remake_5_0.png")</f>
        <v/>
      </c>
      <c r="C1255" s="5" t="s">
        <v>58</v>
      </c>
      <c r="D1255" s="5" t="s">
        <v>1327</v>
      </c>
      <c r="E1255" s="5" t="s">
        <v>34</v>
      </c>
      <c r="F1255" s="5" t="s">
        <v>34</v>
      </c>
      <c r="G1255" s="5" t="s">
        <v>36</v>
      </c>
      <c r="H1255" s="5" t="s">
        <v>35</v>
      </c>
      <c r="I1255" s="6">
        <v>1.0</v>
      </c>
      <c r="J1255" s="6" t="s">
        <v>37</v>
      </c>
      <c r="K1255" s="6">
        <v>10.0</v>
      </c>
      <c r="L1255" s="5"/>
      <c r="M1255" s="5"/>
      <c r="N1255" s="6" t="s">
        <v>40</v>
      </c>
      <c r="O1255" s="5" t="s">
        <v>5363</v>
      </c>
      <c r="P1255" s="6" t="s">
        <v>42</v>
      </c>
      <c r="Q1255" s="5" t="s">
        <v>1237</v>
      </c>
      <c r="R1255" s="5" t="s">
        <v>10179</v>
      </c>
      <c r="S1255" s="6" t="s">
        <v>79</v>
      </c>
      <c r="T1255" s="6">
        <v>6469.0</v>
      </c>
    </row>
    <row r="1256" ht="56.25" customHeight="1">
      <c r="A1256" s="5" t="s">
        <v>10165</v>
      </c>
      <c r="B1256" s="6" t="str">
        <f>image("https://storage.googleapis.com/acdb/photos/BromideNpcNmlDuk15_Remake_6_0.png")</f>
        <v/>
      </c>
      <c r="C1256" s="5" t="s">
        <v>146</v>
      </c>
      <c r="D1256" s="5" t="s">
        <v>1327</v>
      </c>
      <c r="E1256" s="5" t="s">
        <v>34</v>
      </c>
      <c r="F1256" s="5" t="s">
        <v>34</v>
      </c>
      <c r="G1256" s="5" t="s">
        <v>36</v>
      </c>
      <c r="H1256" s="5" t="s">
        <v>35</v>
      </c>
      <c r="I1256" s="6">
        <v>1.0</v>
      </c>
      <c r="J1256" s="6" t="s">
        <v>37</v>
      </c>
      <c r="K1256" s="6">
        <v>10.0</v>
      </c>
      <c r="L1256" s="5"/>
      <c r="M1256" s="5"/>
      <c r="N1256" s="6" t="s">
        <v>40</v>
      </c>
      <c r="O1256" s="5" t="s">
        <v>5363</v>
      </c>
      <c r="P1256" s="6" t="s">
        <v>42</v>
      </c>
      <c r="Q1256" s="5" t="s">
        <v>1237</v>
      </c>
      <c r="R1256" s="5" t="s">
        <v>10181</v>
      </c>
      <c r="S1256" s="6" t="s">
        <v>86</v>
      </c>
      <c r="T1256" s="6">
        <v>6469.0</v>
      </c>
    </row>
    <row r="1257" ht="56.25" customHeight="1">
      <c r="A1257" s="5" t="s">
        <v>10165</v>
      </c>
      <c r="B1257" s="6" t="str">
        <f>image("https://storage.googleapis.com/acdb/photos/BromideNpcNmlDuk15_Remake_7_0.png")</f>
        <v/>
      </c>
      <c r="C1257" s="5" t="s">
        <v>151</v>
      </c>
      <c r="D1257" s="5" t="s">
        <v>1327</v>
      </c>
      <c r="E1257" s="5" t="s">
        <v>34</v>
      </c>
      <c r="F1257" s="5" t="s">
        <v>34</v>
      </c>
      <c r="G1257" s="5" t="s">
        <v>36</v>
      </c>
      <c r="H1257" s="5" t="s">
        <v>35</v>
      </c>
      <c r="I1257" s="6">
        <v>1.0</v>
      </c>
      <c r="J1257" s="6" t="s">
        <v>37</v>
      </c>
      <c r="K1257" s="6">
        <v>10.0</v>
      </c>
      <c r="L1257" s="5"/>
      <c r="M1257" s="5"/>
      <c r="N1257" s="6" t="s">
        <v>40</v>
      </c>
      <c r="O1257" s="5" t="s">
        <v>5363</v>
      </c>
      <c r="P1257" s="6" t="s">
        <v>42</v>
      </c>
      <c r="Q1257" s="5" t="s">
        <v>1237</v>
      </c>
      <c r="R1257" s="5" t="s">
        <v>10183</v>
      </c>
      <c r="S1257" s="6" t="s">
        <v>208</v>
      </c>
      <c r="T1257" s="6">
        <v>6469.0</v>
      </c>
    </row>
    <row r="1258" ht="56.25" customHeight="1">
      <c r="A1258" s="5" t="s">
        <v>10184</v>
      </c>
      <c r="B1258" s="6" t="str">
        <f>image("https://storage.googleapis.com/acdb/photos/BromideNpcNmlDog00_Remake_0_0.png")</f>
        <v/>
      </c>
      <c r="C1258" s="5" t="s">
        <v>366</v>
      </c>
      <c r="D1258" s="5" t="s">
        <v>1327</v>
      </c>
      <c r="E1258" s="5" t="s">
        <v>34</v>
      </c>
      <c r="F1258" s="5" t="s">
        <v>34</v>
      </c>
      <c r="G1258" s="5" t="s">
        <v>36</v>
      </c>
      <c r="H1258" s="5" t="s">
        <v>35</v>
      </c>
      <c r="I1258" s="6">
        <v>1.0</v>
      </c>
      <c r="J1258" s="6" t="s">
        <v>37</v>
      </c>
      <c r="K1258" s="6">
        <v>10.0</v>
      </c>
      <c r="L1258" s="5"/>
      <c r="M1258" s="5"/>
      <c r="N1258" s="6" t="s">
        <v>40</v>
      </c>
      <c r="O1258" s="5" t="s">
        <v>5363</v>
      </c>
      <c r="P1258" s="6" t="s">
        <v>42</v>
      </c>
      <c r="Q1258" s="5" t="s">
        <v>1237</v>
      </c>
      <c r="R1258" s="5" t="s">
        <v>10186</v>
      </c>
      <c r="S1258" s="6" t="s">
        <v>50</v>
      </c>
      <c r="T1258" s="6">
        <v>6436.0</v>
      </c>
    </row>
    <row r="1259" ht="56.25" customHeight="1">
      <c r="A1259" s="5" t="s">
        <v>10184</v>
      </c>
      <c r="B1259" s="6" t="str">
        <f>image("https://storage.googleapis.com/acdb/photos/BromideNpcNmlDog00_Remake_1_0.png")</f>
        <v/>
      </c>
      <c r="C1259" s="5" t="s">
        <v>1132</v>
      </c>
      <c r="D1259" s="5" t="s">
        <v>1327</v>
      </c>
      <c r="E1259" s="5" t="s">
        <v>34</v>
      </c>
      <c r="F1259" s="5" t="s">
        <v>34</v>
      </c>
      <c r="G1259" s="5" t="s">
        <v>36</v>
      </c>
      <c r="H1259" s="5" t="s">
        <v>35</v>
      </c>
      <c r="I1259" s="6">
        <v>1.0</v>
      </c>
      <c r="J1259" s="6" t="s">
        <v>37</v>
      </c>
      <c r="K1259" s="6">
        <v>10.0</v>
      </c>
      <c r="L1259" s="5"/>
      <c r="M1259" s="5"/>
      <c r="N1259" s="6" t="s">
        <v>40</v>
      </c>
      <c r="O1259" s="5" t="s">
        <v>5363</v>
      </c>
      <c r="P1259" s="6" t="s">
        <v>42</v>
      </c>
      <c r="Q1259" s="5" t="s">
        <v>1237</v>
      </c>
      <c r="R1259" s="5" t="s">
        <v>10191</v>
      </c>
      <c r="S1259" s="6" t="s">
        <v>56</v>
      </c>
      <c r="T1259" s="6">
        <v>6436.0</v>
      </c>
    </row>
    <row r="1260" ht="56.25" customHeight="1">
      <c r="A1260" s="5" t="s">
        <v>10184</v>
      </c>
      <c r="B1260" s="6" t="str">
        <f>image("https://storage.googleapis.com/acdb/photos/BromideNpcNmlDog00_Remake_2_0.png")</f>
        <v/>
      </c>
      <c r="C1260" s="5" t="s">
        <v>688</v>
      </c>
      <c r="D1260" s="5" t="s">
        <v>1327</v>
      </c>
      <c r="E1260" s="5" t="s">
        <v>34</v>
      </c>
      <c r="F1260" s="5" t="s">
        <v>34</v>
      </c>
      <c r="G1260" s="5" t="s">
        <v>36</v>
      </c>
      <c r="H1260" s="5" t="s">
        <v>35</v>
      </c>
      <c r="I1260" s="6">
        <v>1.0</v>
      </c>
      <c r="J1260" s="6" t="s">
        <v>37</v>
      </c>
      <c r="K1260" s="6">
        <v>10.0</v>
      </c>
      <c r="L1260" s="5"/>
      <c r="M1260" s="5"/>
      <c r="N1260" s="6" t="s">
        <v>40</v>
      </c>
      <c r="O1260" s="5" t="s">
        <v>5363</v>
      </c>
      <c r="P1260" s="6" t="s">
        <v>42</v>
      </c>
      <c r="Q1260" s="5" t="s">
        <v>1237</v>
      </c>
      <c r="R1260" s="5" t="s">
        <v>10193</v>
      </c>
      <c r="S1260" s="6" t="s">
        <v>67</v>
      </c>
      <c r="T1260" s="6">
        <v>6436.0</v>
      </c>
    </row>
    <row r="1261" ht="56.25" customHeight="1">
      <c r="A1261" s="5" t="s">
        <v>10184</v>
      </c>
      <c r="B1261" s="6" t="str">
        <f>image("https://storage.googleapis.com/acdb/photos/BromideNpcNmlDog00_Remake_3_0.png")</f>
        <v/>
      </c>
      <c r="C1261" s="5" t="s">
        <v>57</v>
      </c>
      <c r="D1261" s="5" t="s">
        <v>1327</v>
      </c>
      <c r="E1261" s="5" t="s">
        <v>34</v>
      </c>
      <c r="F1261" s="5" t="s">
        <v>34</v>
      </c>
      <c r="G1261" s="5" t="s">
        <v>36</v>
      </c>
      <c r="H1261" s="5" t="s">
        <v>35</v>
      </c>
      <c r="I1261" s="6">
        <v>1.0</v>
      </c>
      <c r="J1261" s="6" t="s">
        <v>37</v>
      </c>
      <c r="K1261" s="6">
        <v>10.0</v>
      </c>
      <c r="L1261" s="5"/>
      <c r="M1261" s="5"/>
      <c r="N1261" s="6" t="s">
        <v>40</v>
      </c>
      <c r="O1261" s="5" t="s">
        <v>5363</v>
      </c>
      <c r="P1261" s="6" t="s">
        <v>42</v>
      </c>
      <c r="Q1261" s="5" t="s">
        <v>1237</v>
      </c>
      <c r="R1261" s="5" t="s">
        <v>10194</v>
      </c>
      <c r="S1261" s="6" t="s">
        <v>71</v>
      </c>
      <c r="T1261" s="6">
        <v>6436.0</v>
      </c>
    </row>
    <row r="1262" ht="56.25" customHeight="1">
      <c r="A1262" s="5" t="s">
        <v>10184</v>
      </c>
      <c r="B1262" s="6" t="str">
        <f>image("https://storage.googleapis.com/acdb/photos/BromideNpcNmlDog00_Remake_4_0.png")</f>
        <v/>
      </c>
      <c r="C1262" s="5" t="s">
        <v>1167</v>
      </c>
      <c r="D1262" s="5" t="s">
        <v>1327</v>
      </c>
      <c r="E1262" s="5" t="s">
        <v>34</v>
      </c>
      <c r="F1262" s="5" t="s">
        <v>34</v>
      </c>
      <c r="G1262" s="5" t="s">
        <v>36</v>
      </c>
      <c r="H1262" s="5" t="s">
        <v>35</v>
      </c>
      <c r="I1262" s="6">
        <v>1.0</v>
      </c>
      <c r="J1262" s="6" t="s">
        <v>37</v>
      </c>
      <c r="K1262" s="6">
        <v>10.0</v>
      </c>
      <c r="L1262" s="5"/>
      <c r="M1262" s="5"/>
      <c r="N1262" s="6" t="s">
        <v>40</v>
      </c>
      <c r="O1262" s="5" t="s">
        <v>5363</v>
      </c>
      <c r="P1262" s="6" t="s">
        <v>42</v>
      </c>
      <c r="Q1262" s="5" t="s">
        <v>1237</v>
      </c>
      <c r="R1262" s="5" t="s">
        <v>10197</v>
      </c>
      <c r="S1262" s="6" t="s">
        <v>75</v>
      </c>
      <c r="T1262" s="6">
        <v>6436.0</v>
      </c>
    </row>
    <row r="1263" ht="56.25" customHeight="1">
      <c r="A1263" s="5" t="s">
        <v>10184</v>
      </c>
      <c r="B1263" s="6" t="str">
        <f>image("https://storage.googleapis.com/acdb/photos/BromideNpcNmlDog00_Remake_5_0.png")</f>
        <v/>
      </c>
      <c r="C1263" s="5" t="s">
        <v>58</v>
      </c>
      <c r="D1263" s="5" t="s">
        <v>1327</v>
      </c>
      <c r="E1263" s="5" t="s">
        <v>34</v>
      </c>
      <c r="F1263" s="5" t="s">
        <v>34</v>
      </c>
      <c r="G1263" s="5" t="s">
        <v>36</v>
      </c>
      <c r="H1263" s="5" t="s">
        <v>35</v>
      </c>
      <c r="I1263" s="6">
        <v>1.0</v>
      </c>
      <c r="J1263" s="6" t="s">
        <v>37</v>
      </c>
      <c r="K1263" s="6">
        <v>10.0</v>
      </c>
      <c r="L1263" s="5"/>
      <c r="M1263" s="5"/>
      <c r="N1263" s="6" t="s">
        <v>40</v>
      </c>
      <c r="O1263" s="5" t="s">
        <v>5363</v>
      </c>
      <c r="P1263" s="6" t="s">
        <v>42</v>
      </c>
      <c r="Q1263" s="5" t="s">
        <v>1237</v>
      </c>
      <c r="R1263" s="5" t="s">
        <v>10198</v>
      </c>
      <c r="S1263" s="6" t="s">
        <v>79</v>
      </c>
      <c r="T1263" s="6">
        <v>6436.0</v>
      </c>
    </row>
    <row r="1264" ht="56.25" customHeight="1">
      <c r="A1264" s="5" t="s">
        <v>10184</v>
      </c>
      <c r="B1264" s="6" t="str">
        <f>image("https://storage.googleapis.com/acdb/photos/BromideNpcNmlDog00_Remake_6_0.png")</f>
        <v/>
      </c>
      <c r="C1264" s="5" t="s">
        <v>146</v>
      </c>
      <c r="D1264" s="5" t="s">
        <v>1327</v>
      </c>
      <c r="E1264" s="5" t="s">
        <v>34</v>
      </c>
      <c r="F1264" s="5" t="s">
        <v>34</v>
      </c>
      <c r="G1264" s="5" t="s">
        <v>36</v>
      </c>
      <c r="H1264" s="5" t="s">
        <v>35</v>
      </c>
      <c r="I1264" s="6">
        <v>1.0</v>
      </c>
      <c r="J1264" s="6" t="s">
        <v>37</v>
      </c>
      <c r="K1264" s="6">
        <v>10.0</v>
      </c>
      <c r="L1264" s="5"/>
      <c r="M1264" s="5"/>
      <c r="N1264" s="6" t="s">
        <v>40</v>
      </c>
      <c r="O1264" s="5" t="s">
        <v>5363</v>
      </c>
      <c r="P1264" s="6" t="s">
        <v>42</v>
      </c>
      <c r="Q1264" s="5" t="s">
        <v>1237</v>
      </c>
      <c r="R1264" s="5" t="s">
        <v>10200</v>
      </c>
      <c r="S1264" s="6" t="s">
        <v>86</v>
      </c>
      <c r="T1264" s="6">
        <v>6436.0</v>
      </c>
    </row>
    <row r="1265" ht="56.25" customHeight="1">
      <c r="A1265" s="5" t="s">
        <v>10184</v>
      </c>
      <c r="B1265" s="6" t="str">
        <f>image("https://storage.googleapis.com/acdb/photos/BromideNpcNmlDog00_Remake_7_0.png")</f>
        <v/>
      </c>
      <c r="C1265" s="5" t="s">
        <v>151</v>
      </c>
      <c r="D1265" s="5" t="s">
        <v>1327</v>
      </c>
      <c r="E1265" s="5" t="s">
        <v>34</v>
      </c>
      <c r="F1265" s="5" t="s">
        <v>34</v>
      </c>
      <c r="G1265" s="5" t="s">
        <v>36</v>
      </c>
      <c r="H1265" s="5" t="s">
        <v>35</v>
      </c>
      <c r="I1265" s="6">
        <v>1.0</v>
      </c>
      <c r="J1265" s="6" t="s">
        <v>37</v>
      </c>
      <c r="K1265" s="6">
        <v>10.0</v>
      </c>
      <c r="L1265" s="5"/>
      <c r="M1265" s="5"/>
      <c r="N1265" s="6" t="s">
        <v>40</v>
      </c>
      <c r="O1265" s="5" t="s">
        <v>5363</v>
      </c>
      <c r="P1265" s="6" t="s">
        <v>42</v>
      </c>
      <c r="Q1265" s="5" t="s">
        <v>1237</v>
      </c>
      <c r="R1265" s="5" t="s">
        <v>10204</v>
      </c>
      <c r="S1265" s="6" t="s">
        <v>208</v>
      </c>
      <c r="T1265" s="6">
        <v>6436.0</v>
      </c>
    </row>
    <row r="1266" ht="56.25" customHeight="1">
      <c r="A1266" s="5" t="s">
        <v>10205</v>
      </c>
      <c r="B1266" s="6" t="str">
        <f>image("https://storage.googleapis.com/acdb/photos/BromideNpcNmlKal04_Remake_0_0.png")</f>
        <v/>
      </c>
      <c r="C1266" s="5" t="s">
        <v>366</v>
      </c>
      <c r="D1266" s="5" t="s">
        <v>1327</v>
      </c>
      <c r="E1266" s="5" t="s">
        <v>34</v>
      </c>
      <c r="F1266" s="5" t="s">
        <v>34</v>
      </c>
      <c r="G1266" s="5" t="s">
        <v>36</v>
      </c>
      <c r="H1266" s="5" t="s">
        <v>35</v>
      </c>
      <c r="I1266" s="6">
        <v>1.0</v>
      </c>
      <c r="J1266" s="6" t="s">
        <v>37</v>
      </c>
      <c r="K1266" s="6">
        <v>10.0</v>
      </c>
      <c r="L1266" s="5"/>
      <c r="M1266" s="5"/>
      <c r="N1266" s="6" t="s">
        <v>40</v>
      </c>
      <c r="O1266" s="5" t="s">
        <v>5363</v>
      </c>
      <c r="P1266" s="6" t="s">
        <v>42</v>
      </c>
      <c r="Q1266" s="5" t="s">
        <v>1237</v>
      </c>
      <c r="R1266" s="5" t="s">
        <v>10207</v>
      </c>
      <c r="S1266" s="6" t="s">
        <v>50</v>
      </c>
      <c r="T1266" s="6">
        <v>6558.0</v>
      </c>
    </row>
    <row r="1267" ht="56.25" customHeight="1">
      <c r="A1267" s="5" t="s">
        <v>10205</v>
      </c>
      <c r="B1267" s="6" t="str">
        <f>image("https://storage.googleapis.com/acdb/photos/BromideNpcNmlKal04_Remake_1_0.png")</f>
        <v/>
      </c>
      <c r="C1267" s="5" t="s">
        <v>1132</v>
      </c>
      <c r="D1267" s="5" t="s">
        <v>1327</v>
      </c>
      <c r="E1267" s="5" t="s">
        <v>34</v>
      </c>
      <c r="F1267" s="5" t="s">
        <v>34</v>
      </c>
      <c r="G1267" s="5" t="s">
        <v>36</v>
      </c>
      <c r="H1267" s="5" t="s">
        <v>35</v>
      </c>
      <c r="I1267" s="6">
        <v>1.0</v>
      </c>
      <c r="J1267" s="6" t="s">
        <v>37</v>
      </c>
      <c r="K1267" s="6">
        <v>10.0</v>
      </c>
      <c r="L1267" s="5"/>
      <c r="M1267" s="5"/>
      <c r="N1267" s="6" t="s">
        <v>40</v>
      </c>
      <c r="O1267" s="5" t="s">
        <v>5363</v>
      </c>
      <c r="P1267" s="6" t="s">
        <v>42</v>
      </c>
      <c r="Q1267" s="5" t="s">
        <v>1237</v>
      </c>
      <c r="R1267" s="5" t="s">
        <v>10211</v>
      </c>
      <c r="S1267" s="6" t="s">
        <v>56</v>
      </c>
      <c r="T1267" s="6">
        <v>6558.0</v>
      </c>
    </row>
    <row r="1268" ht="56.25" customHeight="1">
      <c r="A1268" s="5" t="s">
        <v>10205</v>
      </c>
      <c r="B1268" s="6" t="str">
        <f>image("https://storage.googleapis.com/acdb/photos/BromideNpcNmlKal04_Remake_2_0.png")</f>
        <v/>
      </c>
      <c r="C1268" s="5" t="s">
        <v>688</v>
      </c>
      <c r="D1268" s="5" t="s">
        <v>1327</v>
      </c>
      <c r="E1268" s="5" t="s">
        <v>34</v>
      </c>
      <c r="F1268" s="5" t="s">
        <v>34</v>
      </c>
      <c r="G1268" s="5" t="s">
        <v>36</v>
      </c>
      <c r="H1268" s="5" t="s">
        <v>35</v>
      </c>
      <c r="I1268" s="6">
        <v>1.0</v>
      </c>
      <c r="J1268" s="6" t="s">
        <v>37</v>
      </c>
      <c r="K1268" s="6">
        <v>10.0</v>
      </c>
      <c r="L1268" s="5"/>
      <c r="M1268" s="5"/>
      <c r="N1268" s="6" t="s">
        <v>40</v>
      </c>
      <c r="O1268" s="5" t="s">
        <v>5363</v>
      </c>
      <c r="P1268" s="6" t="s">
        <v>42</v>
      </c>
      <c r="Q1268" s="5" t="s">
        <v>1237</v>
      </c>
      <c r="R1268" s="5" t="s">
        <v>10214</v>
      </c>
      <c r="S1268" s="6" t="s">
        <v>67</v>
      </c>
      <c r="T1268" s="6">
        <v>6558.0</v>
      </c>
    </row>
    <row r="1269" ht="56.25" customHeight="1">
      <c r="A1269" s="5" t="s">
        <v>10205</v>
      </c>
      <c r="B1269" s="6" t="str">
        <f>image("https://storage.googleapis.com/acdb/photos/BromideNpcNmlKal04_Remake_3_0.png")</f>
        <v/>
      </c>
      <c r="C1269" s="5" t="s">
        <v>57</v>
      </c>
      <c r="D1269" s="5" t="s">
        <v>1327</v>
      </c>
      <c r="E1269" s="5" t="s">
        <v>34</v>
      </c>
      <c r="F1269" s="5" t="s">
        <v>34</v>
      </c>
      <c r="G1269" s="5" t="s">
        <v>36</v>
      </c>
      <c r="H1269" s="5" t="s">
        <v>35</v>
      </c>
      <c r="I1269" s="6">
        <v>1.0</v>
      </c>
      <c r="J1269" s="6" t="s">
        <v>37</v>
      </c>
      <c r="K1269" s="6">
        <v>10.0</v>
      </c>
      <c r="L1269" s="5"/>
      <c r="M1269" s="5"/>
      <c r="N1269" s="6" t="s">
        <v>40</v>
      </c>
      <c r="O1269" s="5" t="s">
        <v>5363</v>
      </c>
      <c r="P1269" s="6" t="s">
        <v>42</v>
      </c>
      <c r="Q1269" s="5" t="s">
        <v>1237</v>
      </c>
      <c r="R1269" s="5" t="s">
        <v>10218</v>
      </c>
      <c r="S1269" s="6" t="s">
        <v>71</v>
      </c>
      <c r="T1269" s="6">
        <v>6558.0</v>
      </c>
    </row>
    <row r="1270" ht="56.25" customHeight="1">
      <c r="A1270" s="5" t="s">
        <v>10205</v>
      </c>
      <c r="B1270" s="6" t="str">
        <f>image("https://storage.googleapis.com/acdb/photos/BromideNpcNmlKal04_Remake_4_0.png")</f>
        <v/>
      </c>
      <c r="C1270" s="5" t="s">
        <v>1167</v>
      </c>
      <c r="D1270" s="5" t="s">
        <v>1327</v>
      </c>
      <c r="E1270" s="5" t="s">
        <v>34</v>
      </c>
      <c r="F1270" s="5" t="s">
        <v>34</v>
      </c>
      <c r="G1270" s="5" t="s">
        <v>36</v>
      </c>
      <c r="H1270" s="5" t="s">
        <v>35</v>
      </c>
      <c r="I1270" s="6">
        <v>1.0</v>
      </c>
      <c r="J1270" s="6" t="s">
        <v>37</v>
      </c>
      <c r="K1270" s="6">
        <v>10.0</v>
      </c>
      <c r="L1270" s="5"/>
      <c r="M1270" s="5"/>
      <c r="N1270" s="6" t="s">
        <v>40</v>
      </c>
      <c r="O1270" s="5" t="s">
        <v>5363</v>
      </c>
      <c r="P1270" s="6" t="s">
        <v>42</v>
      </c>
      <c r="Q1270" s="5" t="s">
        <v>1237</v>
      </c>
      <c r="R1270" s="5" t="s">
        <v>10221</v>
      </c>
      <c r="S1270" s="6" t="s">
        <v>75</v>
      </c>
      <c r="T1270" s="6">
        <v>6558.0</v>
      </c>
    </row>
    <row r="1271" ht="56.25" customHeight="1">
      <c r="A1271" s="5" t="s">
        <v>10205</v>
      </c>
      <c r="B1271" s="6" t="str">
        <f>image("https://storage.googleapis.com/acdb/photos/BromideNpcNmlKal04_Remake_5_0.png")</f>
        <v/>
      </c>
      <c r="C1271" s="5" t="s">
        <v>58</v>
      </c>
      <c r="D1271" s="5" t="s">
        <v>1327</v>
      </c>
      <c r="E1271" s="5" t="s">
        <v>34</v>
      </c>
      <c r="F1271" s="5" t="s">
        <v>34</v>
      </c>
      <c r="G1271" s="5" t="s">
        <v>36</v>
      </c>
      <c r="H1271" s="5" t="s">
        <v>35</v>
      </c>
      <c r="I1271" s="6">
        <v>1.0</v>
      </c>
      <c r="J1271" s="6" t="s">
        <v>37</v>
      </c>
      <c r="K1271" s="6">
        <v>10.0</v>
      </c>
      <c r="L1271" s="5"/>
      <c r="M1271" s="5"/>
      <c r="N1271" s="6" t="s">
        <v>40</v>
      </c>
      <c r="O1271" s="5" t="s">
        <v>5363</v>
      </c>
      <c r="P1271" s="6" t="s">
        <v>42</v>
      </c>
      <c r="Q1271" s="5" t="s">
        <v>1237</v>
      </c>
      <c r="R1271" s="5" t="s">
        <v>10222</v>
      </c>
      <c r="S1271" s="6" t="s">
        <v>79</v>
      </c>
      <c r="T1271" s="6">
        <v>6558.0</v>
      </c>
    </row>
    <row r="1272" ht="56.25" customHeight="1">
      <c r="A1272" s="5" t="s">
        <v>10205</v>
      </c>
      <c r="B1272" s="6" t="str">
        <f>image("https://storage.googleapis.com/acdb/photos/BromideNpcNmlKal04_Remake_6_0.png")</f>
        <v/>
      </c>
      <c r="C1272" s="5" t="s">
        <v>146</v>
      </c>
      <c r="D1272" s="5" t="s">
        <v>1327</v>
      </c>
      <c r="E1272" s="5" t="s">
        <v>34</v>
      </c>
      <c r="F1272" s="5" t="s">
        <v>34</v>
      </c>
      <c r="G1272" s="5" t="s">
        <v>36</v>
      </c>
      <c r="H1272" s="5" t="s">
        <v>35</v>
      </c>
      <c r="I1272" s="6">
        <v>1.0</v>
      </c>
      <c r="J1272" s="6" t="s">
        <v>37</v>
      </c>
      <c r="K1272" s="6">
        <v>10.0</v>
      </c>
      <c r="L1272" s="5"/>
      <c r="M1272" s="5"/>
      <c r="N1272" s="6" t="s">
        <v>40</v>
      </c>
      <c r="O1272" s="5" t="s">
        <v>5363</v>
      </c>
      <c r="P1272" s="6" t="s">
        <v>42</v>
      </c>
      <c r="Q1272" s="5" t="s">
        <v>1237</v>
      </c>
      <c r="R1272" s="5" t="s">
        <v>10227</v>
      </c>
      <c r="S1272" s="6" t="s">
        <v>86</v>
      </c>
      <c r="T1272" s="6">
        <v>6558.0</v>
      </c>
    </row>
    <row r="1273" ht="56.25" customHeight="1">
      <c r="A1273" s="5" t="s">
        <v>10205</v>
      </c>
      <c r="B1273" s="6" t="str">
        <f>image("https://storage.googleapis.com/acdb/photos/BromideNpcNmlKal04_Remake_7_0.png")</f>
        <v/>
      </c>
      <c r="C1273" s="5" t="s">
        <v>151</v>
      </c>
      <c r="D1273" s="5" t="s">
        <v>1327</v>
      </c>
      <c r="E1273" s="5" t="s">
        <v>34</v>
      </c>
      <c r="F1273" s="5" t="s">
        <v>34</v>
      </c>
      <c r="G1273" s="5" t="s">
        <v>36</v>
      </c>
      <c r="H1273" s="5" t="s">
        <v>35</v>
      </c>
      <c r="I1273" s="6">
        <v>1.0</v>
      </c>
      <c r="J1273" s="6" t="s">
        <v>37</v>
      </c>
      <c r="K1273" s="6">
        <v>10.0</v>
      </c>
      <c r="L1273" s="5"/>
      <c r="M1273" s="5"/>
      <c r="N1273" s="6" t="s">
        <v>40</v>
      </c>
      <c r="O1273" s="5" t="s">
        <v>5363</v>
      </c>
      <c r="P1273" s="6" t="s">
        <v>42</v>
      </c>
      <c r="Q1273" s="5" t="s">
        <v>1237</v>
      </c>
      <c r="R1273" s="5" t="s">
        <v>10231</v>
      </c>
      <c r="S1273" s="6" t="s">
        <v>208</v>
      </c>
      <c r="T1273" s="6">
        <v>6558.0</v>
      </c>
    </row>
    <row r="1274" ht="56.25" customHeight="1">
      <c r="A1274" s="5" t="s">
        <v>10232</v>
      </c>
      <c r="B1274" s="6" t="str">
        <f>image("https://storage.googleapis.com/acdb/photos/BromideNpcNmlChn00_Remake_0_0.png")</f>
        <v/>
      </c>
      <c r="C1274" s="5" t="s">
        <v>366</v>
      </c>
      <c r="D1274" s="5" t="s">
        <v>1327</v>
      </c>
      <c r="E1274" s="5" t="s">
        <v>34</v>
      </c>
      <c r="F1274" s="5" t="s">
        <v>34</v>
      </c>
      <c r="G1274" s="5" t="s">
        <v>36</v>
      </c>
      <c r="H1274" s="5" t="s">
        <v>35</v>
      </c>
      <c r="I1274" s="6">
        <v>1.0</v>
      </c>
      <c r="J1274" s="6" t="s">
        <v>37</v>
      </c>
      <c r="K1274" s="6">
        <v>10.0</v>
      </c>
      <c r="L1274" s="5"/>
      <c r="M1274" s="5"/>
      <c r="N1274" s="6" t="s">
        <v>40</v>
      </c>
      <c r="O1274" s="5" t="s">
        <v>5363</v>
      </c>
      <c r="P1274" s="6" t="s">
        <v>42</v>
      </c>
      <c r="Q1274" s="5" t="s">
        <v>1237</v>
      </c>
      <c r="R1274" s="5" t="s">
        <v>10235</v>
      </c>
      <c r="S1274" s="6" t="s">
        <v>50</v>
      </c>
      <c r="T1274" s="6">
        <v>6785.0</v>
      </c>
    </row>
    <row r="1275" ht="56.25" customHeight="1">
      <c r="A1275" s="5" t="s">
        <v>10232</v>
      </c>
      <c r="B1275" s="6" t="str">
        <f>image("https://storage.googleapis.com/acdb/photos/BromideNpcNmlChn00_Remake_1_0.png")</f>
        <v/>
      </c>
      <c r="C1275" s="5" t="s">
        <v>1132</v>
      </c>
      <c r="D1275" s="5" t="s">
        <v>1327</v>
      </c>
      <c r="E1275" s="5" t="s">
        <v>34</v>
      </c>
      <c r="F1275" s="5" t="s">
        <v>34</v>
      </c>
      <c r="G1275" s="5" t="s">
        <v>36</v>
      </c>
      <c r="H1275" s="5" t="s">
        <v>35</v>
      </c>
      <c r="I1275" s="6">
        <v>1.0</v>
      </c>
      <c r="J1275" s="6" t="s">
        <v>37</v>
      </c>
      <c r="K1275" s="6">
        <v>10.0</v>
      </c>
      <c r="L1275" s="5"/>
      <c r="M1275" s="5"/>
      <c r="N1275" s="6" t="s">
        <v>40</v>
      </c>
      <c r="O1275" s="5" t="s">
        <v>5363</v>
      </c>
      <c r="P1275" s="6" t="s">
        <v>42</v>
      </c>
      <c r="Q1275" s="5" t="s">
        <v>1237</v>
      </c>
      <c r="R1275" s="5" t="s">
        <v>10239</v>
      </c>
      <c r="S1275" s="6" t="s">
        <v>56</v>
      </c>
      <c r="T1275" s="6">
        <v>6785.0</v>
      </c>
    </row>
    <row r="1276" ht="56.25" customHeight="1">
      <c r="A1276" s="5" t="s">
        <v>10232</v>
      </c>
      <c r="B1276" s="6" t="str">
        <f>image("https://storage.googleapis.com/acdb/photos/BromideNpcNmlChn00_Remake_2_0.png")</f>
        <v/>
      </c>
      <c r="C1276" s="5" t="s">
        <v>688</v>
      </c>
      <c r="D1276" s="5" t="s">
        <v>1327</v>
      </c>
      <c r="E1276" s="5" t="s">
        <v>34</v>
      </c>
      <c r="F1276" s="5" t="s">
        <v>34</v>
      </c>
      <c r="G1276" s="5" t="s">
        <v>36</v>
      </c>
      <c r="H1276" s="5" t="s">
        <v>35</v>
      </c>
      <c r="I1276" s="6">
        <v>1.0</v>
      </c>
      <c r="J1276" s="6" t="s">
        <v>37</v>
      </c>
      <c r="K1276" s="6">
        <v>10.0</v>
      </c>
      <c r="L1276" s="5"/>
      <c r="M1276" s="5"/>
      <c r="N1276" s="6" t="s">
        <v>40</v>
      </c>
      <c r="O1276" s="5" t="s">
        <v>5363</v>
      </c>
      <c r="P1276" s="6" t="s">
        <v>42</v>
      </c>
      <c r="Q1276" s="5" t="s">
        <v>1237</v>
      </c>
      <c r="R1276" s="5" t="s">
        <v>10242</v>
      </c>
      <c r="S1276" s="6" t="s">
        <v>67</v>
      </c>
      <c r="T1276" s="6">
        <v>6785.0</v>
      </c>
    </row>
    <row r="1277" ht="56.25" customHeight="1">
      <c r="A1277" s="5" t="s">
        <v>10232</v>
      </c>
      <c r="B1277" s="6" t="str">
        <f>image("https://storage.googleapis.com/acdb/photos/BromideNpcNmlChn00_Remake_3_0.png")</f>
        <v/>
      </c>
      <c r="C1277" s="5" t="s">
        <v>57</v>
      </c>
      <c r="D1277" s="5" t="s">
        <v>1327</v>
      </c>
      <c r="E1277" s="5" t="s">
        <v>34</v>
      </c>
      <c r="F1277" s="5" t="s">
        <v>34</v>
      </c>
      <c r="G1277" s="5" t="s">
        <v>36</v>
      </c>
      <c r="H1277" s="5" t="s">
        <v>35</v>
      </c>
      <c r="I1277" s="6">
        <v>1.0</v>
      </c>
      <c r="J1277" s="6" t="s">
        <v>37</v>
      </c>
      <c r="K1277" s="6">
        <v>10.0</v>
      </c>
      <c r="L1277" s="5"/>
      <c r="M1277" s="5"/>
      <c r="N1277" s="6" t="s">
        <v>40</v>
      </c>
      <c r="O1277" s="5" t="s">
        <v>5363</v>
      </c>
      <c r="P1277" s="6" t="s">
        <v>42</v>
      </c>
      <c r="Q1277" s="5" t="s">
        <v>1237</v>
      </c>
      <c r="R1277" s="5" t="s">
        <v>10245</v>
      </c>
      <c r="S1277" s="6" t="s">
        <v>71</v>
      </c>
      <c r="T1277" s="6">
        <v>6785.0</v>
      </c>
    </row>
    <row r="1278" ht="56.25" customHeight="1">
      <c r="A1278" s="5" t="s">
        <v>10232</v>
      </c>
      <c r="B1278" s="6" t="str">
        <f>image("https://storage.googleapis.com/acdb/photos/BromideNpcNmlChn00_Remake_4_0.png")</f>
        <v/>
      </c>
      <c r="C1278" s="5" t="s">
        <v>1167</v>
      </c>
      <c r="D1278" s="5" t="s">
        <v>1327</v>
      </c>
      <c r="E1278" s="5" t="s">
        <v>34</v>
      </c>
      <c r="F1278" s="5" t="s">
        <v>34</v>
      </c>
      <c r="G1278" s="5" t="s">
        <v>36</v>
      </c>
      <c r="H1278" s="5" t="s">
        <v>35</v>
      </c>
      <c r="I1278" s="6">
        <v>1.0</v>
      </c>
      <c r="J1278" s="6" t="s">
        <v>37</v>
      </c>
      <c r="K1278" s="6">
        <v>10.0</v>
      </c>
      <c r="L1278" s="5"/>
      <c r="M1278" s="5"/>
      <c r="N1278" s="6" t="s">
        <v>40</v>
      </c>
      <c r="O1278" s="5" t="s">
        <v>5363</v>
      </c>
      <c r="P1278" s="6" t="s">
        <v>42</v>
      </c>
      <c r="Q1278" s="5" t="s">
        <v>1237</v>
      </c>
      <c r="R1278" s="5" t="s">
        <v>10246</v>
      </c>
      <c r="S1278" s="6" t="s">
        <v>75</v>
      </c>
      <c r="T1278" s="6">
        <v>6785.0</v>
      </c>
    </row>
    <row r="1279" ht="56.25" customHeight="1">
      <c r="A1279" s="5" t="s">
        <v>10232</v>
      </c>
      <c r="B1279" s="6" t="str">
        <f>image("https://storage.googleapis.com/acdb/photos/BromideNpcNmlChn00_Remake_5_0.png")</f>
        <v/>
      </c>
      <c r="C1279" s="5" t="s">
        <v>58</v>
      </c>
      <c r="D1279" s="5" t="s">
        <v>1327</v>
      </c>
      <c r="E1279" s="5" t="s">
        <v>34</v>
      </c>
      <c r="F1279" s="5" t="s">
        <v>34</v>
      </c>
      <c r="G1279" s="5" t="s">
        <v>36</v>
      </c>
      <c r="H1279" s="5" t="s">
        <v>35</v>
      </c>
      <c r="I1279" s="6">
        <v>1.0</v>
      </c>
      <c r="J1279" s="6" t="s">
        <v>37</v>
      </c>
      <c r="K1279" s="6">
        <v>10.0</v>
      </c>
      <c r="L1279" s="5"/>
      <c r="M1279" s="5"/>
      <c r="N1279" s="6" t="s">
        <v>40</v>
      </c>
      <c r="O1279" s="5" t="s">
        <v>5363</v>
      </c>
      <c r="P1279" s="6" t="s">
        <v>42</v>
      </c>
      <c r="Q1279" s="5" t="s">
        <v>1237</v>
      </c>
      <c r="R1279" s="5" t="s">
        <v>10251</v>
      </c>
      <c r="S1279" s="6" t="s">
        <v>79</v>
      </c>
      <c r="T1279" s="6">
        <v>6785.0</v>
      </c>
    </row>
    <row r="1280" ht="56.25" customHeight="1">
      <c r="A1280" s="5" t="s">
        <v>10232</v>
      </c>
      <c r="B1280" s="6" t="str">
        <f>image("https://storage.googleapis.com/acdb/photos/BromideNpcNmlChn00_Remake_6_0.png")</f>
        <v/>
      </c>
      <c r="C1280" s="5" t="s">
        <v>146</v>
      </c>
      <c r="D1280" s="5" t="s">
        <v>1327</v>
      </c>
      <c r="E1280" s="5" t="s">
        <v>34</v>
      </c>
      <c r="F1280" s="5" t="s">
        <v>34</v>
      </c>
      <c r="G1280" s="5" t="s">
        <v>36</v>
      </c>
      <c r="H1280" s="5" t="s">
        <v>35</v>
      </c>
      <c r="I1280" s="6">
        <v>1.0</v>
      </c>
      <c r="J1280" s="6" t="s">
        <v>37</v>
      </c>
      <c r="K1280" s="6">
        <v>10.0</v>
      </c>
      <c r="L1280" s="5"/>
      <c r="M1280" s="5"/>
      <c r="N1280" s="6" t="s">
        <v>40</v>
      </c>
      <c r="O1280" s="5" t="s">
        <v>5363</v>
      </c>
      <c r="P1280" s="6" t="s">
        <v>42</v>
      </c>
      <c r="Q1280" s="5" t="s">
        <v>1237</v>
      </c>
      <c r="R1280" s="5" t="s">
        <v>10254</v>
      </c>
      <c r="S1280" s="6" t="s">
        <v>86</v>
      </c>
      <c r="T1280" s="6">
        <v>6785.0</v>
      </c>
    </row>
    <row r="1281" ht="56.25" customHeight="1">
      <c r="A1281" s="5" t="s">
        <v>10232</v>
      </c>
      <c r="B1281" s="6" t="str">
        <f>image("https://storage.googleapis.com/acdb/photos/BromideNpcNmlChn00_Remake_7_0.png")</f>
        <v/>
      </c>
      <c r="C1281" s="5" t="s">
        <v>151</v>
      </c>
      <c r="D1281" s="5" t="s">
        <v>1327</v>
      </c>
      <c r="E1281" s="5" t="s">
        <v>34</v>
      </c>
      <c r="F1281" s="5" t="s">
        <v>34</v>
      </c>
      <c r="G1281" s="5" t="s">
        <v>36</v>
      </c>
      <c r="H1281" s="5" t="s">
        <v>35</v>
      </c>
      <c r="I1281" s="6">
        <v>1.0</v>
      </c>
      <c r="J1281" s="6" t="s">
        <v>37</v>
      </c>
      <c r="K1281" s="6">
        <v>10.0</v>
      </c>
      <c r="L1281" s="5"/>
      <c r="M1281" s="5"/>
      <c r="N1281" s="6" t="s">
        <v>40</v>
      </c>
      <c r="O1281" s="5" t="s">
        <v>5363</v>
      </c>
      <c r="P1281" s="6" t="s">
        <v>42</v>
      </c>
      <c r="Q1281" s="5" t="s">
        <v>1237</v>
      </c>
      <c r="R1281" s="5" t="s">
        <v>10260</v>
      </c>
      <c r="S1281" s="6" t="s">
        <v>208</v>
      </c>
      <c r="T1281" s="6">
        <v>6785.0</v>
      </c>
    </row>
    <row r="1282" ht="56.25" customHeight="1">
      <c r="A1282" s="5" t="s">
        <v>10262</v>
      </c>
      <c r="B1282" s="6" t="str">
        <f>image("https://storage.googleapis.com/acdb/photos/BromideNpcNmlHam02_Remake_0_0.png")</f>
        <v/>
      </c>
      <c r="C1282" s="5" t="s">
        <v>366</v>
      </c>
      <c r="D1282" s="5" t="s">
        <v>1327</v>
      </c>
      <c r="E1282" s="5" t="s">
        <v>34</v>
      </c>
      <c r="F1282" s="5" t="s">
        <v>34</v>
      </c>
      <c r="G1282" s="5" t="s">
        <v>36</v>
      </c>
      <c r="H1282" s="5" t="s">
        <v>35</v>
      </c>
      <c r="I1282" s="6">
        <v>1.0</v>
      </c>
      <c r="J1282" s="6" t="s">
        <v>37</v>
      </c>
      <c r="K1282" s="6">
        <v>10.0</v>
      </c>
      <c r="L1282" s="5"/>
      <c r="M1282" s="5"/>
      <c r="N1282" s="6" t="s">
        <v>40</v>
      </c>
      <c r="O1282" s="5" t="s">
        <v>5363</v>
      </c>
      <c r="P1282" s="6" t="s">
        <v>42</v>
      </c>
      <c r="Q1282" s="5" t="s">
        <v>1237</v>
      </c>
      <c r="R1282" s="5" t="s">
        <v>10265</v>
      </c>
      <c r="S1282" s="6" t="s">
        <v>50</v>
      </c>
      <c r="T1282" s="6">
        <v>6523.0</v>
      </c>
    </row>
    <row r="1283" ht="56.25" customHeight="1">
      <c r="A1283" s="5" t="s">
        <v>10262</v>
      </c>
      <c r="B1283" s="6" t="str">
        <f>image("https://storage.googleapis.com/acdb/photos/BromideNpcNmlHam02_Remake_1_0.png")</f>
        <v/>
      </c>
      <c r="C1283" s="5" t="s">
        <v>1132</v>
      </c>
      <c r="D1283" s="5" t="s">
        <v>1327</v>
      </c>
      <c r="E1283" s="5" t="s">
        <v>34</v>
      </c>
      <c r="F1283" s="5" t="s">
        <v>34</v>
      </c>
      <c r="G1283" s="5" t="s">
        <v>36</v>
      </c>
      <c r="H1283" s="5" t="s">
        <v>35</v>
      </c>
      <c r="I1283" s="6">
        <v>1.0</v>
      </c>
      <c r="J1283" s="6" t="s">
        <v>37</v>
      </c>
      <c r="K1283" s="6">
        <v>10.0</v>
      </c>
      <c r="L1283" s="5"/>
      <c r="M1283" s="5"/>
      <c r="N1283" s="6" t="s">
        <v>40</v>
      </c>
      <c r="O1283" s="5" t="s">
        <v>5363</v>
      </c>
      <c r="P1283" s="6" t="s">
        <v>42</v>
      </c>
      <c r="Q1283" s="5" t="s">
        <v>1237</v>
      </c>
      <c r="R1283" s="5" t="s">
        <v>10269</v>
      </c>
      <c r="S1283" s="6" t="s">
        <v>56</v>
      </c>
      <c r="T1283" s="6">
        <v>6523.0</v>
      </c>
    </row>
    <row r="1284" ht="56.25" customHeight="1">
      <c r="A1284" s="5" t="s">
        <v>10262</v>
      </c>
      <c r="B1284" s="6" t="str">
        <f>image("https://storage.googleapis.com/acdb/photos/BromideNpcNmlHam02_Remake_2_0.png")</f>
        <v/>
      </c>
      <c r="C1284" s="5" t="s">
        <v>688</v>
      </c>
      <c r="D1284" s="5" t="s">
        <v>1327</v>
      </c>
      <c r="E1284" s="5" t="s">
        <v>34</v>
      </c>
      <c r="F1284" s="5" t="s">
        <v>34</v>
      </c>
      <c r="G1284" s="5" t="s">
        <v>36</v>
      </c>
      <c r="H1284" s="5" t="s">
        <v>35</v>
      </c>
      <c r="I1284" s="6">
        <v>1.0</v>
      </c>
      <c r="J1284" s="6" t="s">
        <v>37</v>
      </c>
      <c r="K1284" s="6">
        <v>10.0</v>
      </c>
      <c r="L1284" s="5"/>
      <c r="M1284" s="5"/>
      <c r="N1284" s="6" t="s">
        <v>40</v>
      </c>
      <c r="O1284" s="5" t="s">
        <v>5363</v>
      </c>
      <c r="P1284" s="6" t="s">
        <v>42</v>
      </c>
      <c r="Q1284" s="5" t="s">
        <v>1237</v>
      </c>
      <c r="R1284" s="5" t="s">
        <v>10274</v>
      </c>
      <c r="S1284" s="6" t="s">
        <v>67</v>
      </c>
      <c r="T1284" s="6">
        <v>6523.0</v>
      </c>
    </row>
    <row r="1285" ht="56.25" customHeight="1">
      <c r="A1285" s="5" t="s">
        <v>10262</v>
      </c>
      <c r="B1285" s="6" t="str">
        <f>image("https://storage.googleapis.com/acdb/photos/BromideNpcNmlHam02_Remake_3_0.png")</f>
        <v/>
      </c>
      <c r="C1285" s="5" t="s">
        <v>57</v>
      </c>
      <c r="D1285" s="5" t="s">
        <v>1327</v>
      </c>
      <c r="E1285" s="5" t="s">
        <v>34</v>
      </c>
      <c r="F1285" s="5" t="s">
        <v>34</v>
      </c>
      <c r="G1285" s="5" t="s">
        <v>36</v>
      </c>
      <c r="H1285" s="5" t="s">
        <v>35</v>
      </c>
      <c r="I1285" s="6">
        <v>1.0</v>
      </c>
      <c r="J1285" s="6" t="s">
        <v>37</v>
      </c>
      <c r="K1285" s="6">
        <v>10.0</v>
      </c>
      <c r="L1285" s="5"/>
      <c r="M1285" s="5"/>
      <c r="N1285" s="6" t="s">
        <v>40</v>
      </c>
      <c r="O1285" s="5" t="s">
        <v>5363</v>
      </c>
      <c r="P1285" s="6" t="s">
        <v>42</v>
      </c>
      <c r="Q1285" s="5" t="s">
        <v>1237</v>
      </c>
      <c r="R1285" s="5" t="s">
        <v>10277</v>
      </c>
      <c r="S1285" s="6" t="s">
        <v>71</v>
      </c>
      <c r="T1285" s="6">
        <v>6523.0</v>
      </c>
    </row>
    <row r="1286" ht="56.25" customHeight="1">
      <c r="A1286" s="5" t="s">
        <v>10262</v>
      </c>
      <c r="B1286" s="6" t="str">
        <f>image("https://storage.googleapis.com/acdb/photos/BromideNpcNmlHam02_Remake_4_0.png")</f>
        <v/>
      </c>
      <c r="C1286" s="5" t="s">
        <v>1167</v>
      </c>
      <c r="D1286" s="5" t="s">
        <v>1327</v>
      </c>
      <c r="E1286" s="5" t="s">
        <v>34</v>
      </c>
      <c r="F1286" s="5" t="s">
        <v>34</v>
      </c>
      <c r="G1286" s="5" t="s">
        <v>36</v>
      </c>
      <c r="H1286" s="5" t="s">
        <v>35</v>
      </c>
      <c r="I1286" s="6">
        <v>1.0</v>
      </c>
      <c r="J1286" s="6" t="s">
        <v>37</v>
      </c>
      <c r="K1286" s="6">
        <v>10.0</v>
      </c>
      <c r="L1286" s="5"/>
      <c r="M1286" s="5"/>
      <c r="N1286" s="6" t="s">
        <v>40</v>
      </c>
      <c r="O1286" s="5" t="s">
        <v>5363</v>
      </c>
      <c r="P1286" s="6" t="s">
        <v>42</v>
      </c>
      <c r="Q1286" s="5" t="s">
        <v>1237</v>
      </c>
      <c r="R1286" s="5" t="s">
        <v>10280</v>
      </c>
      <c r="S1286" s="6" t="s">
        <v>75</v>
      </c>
      <c r="T1286" s="6">
        <v>6523.0</v>
      </c>
    </row>
    <row r="1287" ht="56.25" customHeight="1">
      <c r="A1287" s="5" t="s">
        <v>10262</v>
      </c>
      <c r="B1287" s="6" t="str">
        <f>image("https://storage.googleapis.com/acdb/photos/BromideNpcNmlHam02_Remake_5_0.png")</f>
        <v/>
      </c>
      <c r="C1287" s="5" t="s">
        <v>58</v>
      </c>
      <c r="D1287" s="5" t="s">
        <v>1327</v>
      </c>
      <c r="E1287" s="5" t="s">
        <v>34</v>
      </c>
      <c r="F1287" s="5" t="s">
        <v>34</v>
      </c>
      <c r="G1287" s="5" t="s">
        <v>36</v>
      </c>
      <c r="H1287" s="5" t="s">
        <v>35</v>
      </c>
      <c r="I1287" s="6">
        <v>1.0</v>
      </c>
      <c r="J1287" s="6" t="s">
        <v>37</v>
      </c>
      <c r="K1287" s="6">
        <v>10.0</v>
      </c>
      <c r="L1287" s="5"/>
      <c r="M1287" s="5"/>
      <c r="N1287" s="6" t="s">
        <v>40</v>
      </c>
      <c r="O1287" s="5" t="s">
        <v>5363</v>
      </c>
      <c r="P1287" s="6" t="s">
        <v>42</v>
      </c>
      <c r="Q1287" s="5" t="s">
        <v>1237</v>
      </c>
      <c r="R1287" s="5" t="s">
        <v>10286</v>
      </c>
      <c r="S1287" s="6" t="s">
        <v>79</v>
      </c>
      <c r="T1287" s="6">
        <v>6523.0</v>
      </c>
    </row>
    <row r="1288" ht="56.25" customHeight="1">
      <c r="A1288" s="5" t="s">
        <v>10262</v>
      </c>
      <c r="B1288" s="6" t="str">
        <f>image("https://storage.googleapis.com/acdb/photos/BromideNpcNmlHam02_Remake_6_0.png")</f>
        <v/>
      </c>
      <c r="C1288" s="5" t="s">
        <v>146</v>
      </c>
      <c r="D1288" s="5" t="s">
        <v>1327</v>
      </c>
      <c r="E1288" s="5" t="s">
        <v>34</v>
      </c>
      <c r="F1288" s="5" t="s">
        <v>34</v>
      </c>
      <c r="G1288" s="5" t="s">
        <v>36</v>
      </c>
      <c r="H1288" s="5" t="s">
        <v>35</v>
      </c>
      <c r="I1288" s="6">
        <v>1.0</v>
      </c>
      <c r="J1288" s="6" t="s">
        <v>37</v>
      </c>
      <c r="K1288" s="6">
        <v>10.0</v>
      </c>
      <c r="L1288" s="5"/>
      <c r="M1288" s="5"/>
      <c r="N1288" s="6" t="s">
        <v>40</v>
      </c>
      <c r="O1288" s="5" t="s">
        <v>5363</v>
      </c>
      <c r="P1288" s="6" t="s">
        <v>42</v>
      </c>
      <c r="Q1288" s="5" t="s">
        <v>1237</v>
      </c>
      <c r="R1288" s="5" t="s">
        <v>10290</v>
      </c>
      <c r="S1288" s="6" t="s">
        <v>86</v>
      </c>
      <c r="T1288" s="6">
        <v>6523.0</v>
      </c>
    </row>
    <row r="1289" ht="56.25" customHeight="1">
      <c r="A1289" s="5" t="s">
        <v>10262</v>
      </c>
      <c r="B1289" s="6" t="str">
        <f>image("https://storage.googleapis.com/acdb/photos/BromideNpcNmlHam02_Remake_7_0.png")</f>
        <v/>
      </c>
      <c r="C1289" s="5" t="s">
        <v>151</v>
      </c>
      <c r="D1289" s="5" t="s">
        <v>1327</v>
      </c>
      <c r="E1289" s="5" t="s">
        <v>34</v>
      </c>
      <c r="F1289" s="5" t="s">
        <v>34</v>
      </c>
      <c r="G1289" s="5" t="s">
        <v>36</v>
      </c>
      <c r="H1289" s="5" t="s">
        <v>35</v>
      </c>
      <c r="I1289" s="6">
        <v>1.0</v>
      </c>
      <c r="J1289" s="6" t="s">
        <v>37</v>
      </c>
      <c r="K1289" s="6">
        <v>10.0</v>
      </c>
      <c r="L1289" s="5"/>
      <c r="M1289" s="5"/>
      <c r="N1289" s="6" t="s">
        <v>40</v>
      </c>
      <c r="O1289" s="5" t="s">
        <v>5363</v>
      </c>
      <c r="P1289" s="6" t="s">
        <v>42</v>
      </c>
      <c r="Q1289" s="5" t="s">
        <v>1237</v>
      </c>
      <c r="R1289" s="5" t="s">
        <v>10296</v>
      </c>
      <c r="S1289" s="6" t="s">
        <v>208</v>
      </c>
      <c r="T1289" s="6">
        <v>6523.0</v>
      </c>
    </row>
    <row r="1290" ht="56.25" customHeight="1">
      <c r="A1290" s="5" t="s">
        <v>10297</v>
      </c>
      <c r="B1290" s="6" t="str">
        <f>image("https://storage.googleapis.com/acdb/photos/BromideNpcNmlMus16_Remake_0_0.png")</f>
        <v/>
      </c>
      <c r="C1290" s="5" t="s">
        <v>366</v>
      </c>
      <c r="D1290" s="5" t="s">
        <v>1327</v>
      </c>
      <c r="E1290" s="5" t="s">
        <v>34</v>
      </c>
      <c r="F1290" s="5" t="s">
        <v>34</v>
      </c>
      <c r="G1290" s="5" t="s">
        <v>36</v>
      </c>
      <c r="H1290" s="5" t="s">
        <v>35</v>
      </c>
      <c r="I1290" s="6">
        <v>1.0</v>
      </c>
      <c r="J1290" s="6" t="s">
        <v>37</v>
      </c>
      <c r="K1290" s="6">
        <v>10.0</v>
      </c>
      <c r="L1290" s="5"/>
      <c r="M1290" s="5"/>
      <c r="N1290" s="6" t="s">
        <v>40</v>
      </c>
      <c r="O1290" s="5" t="s">
        <v>5363</v>
      </c>
      <c r="P1290" s="6" t="s">
        <v>42</v>
      </c>
      <c r="Q1290" s="5" t="s">
        <v>1237</v>
      </c>
      <c r="R1290" s="5" t="s">
        <v>10301</v>
      </c>
      <c r="S1290" s="6" t="s">
        <v>50</v>
      </c>
      <c r="T1290" s="6">
        <v>6602.0</v>
      </c>
    </row>
    <row r="1291" ht="56.25" customHeight="1">
      <c r="A1291" s="5" t="s">
        <v>10297</v>
      </c>
      <c r="B1291" s="6" t="str">
        <f>image("https://storage.googleapis.com/acdb/photos/BromideNpcNmlMus16_Remake_1_0.png")</f>
        <v/>
      </c>
      <c r="C1291" s="5" t="s">
        <v>1132</v>
      </c>
      <c r="D1291" s="5" t="s">
        <v>1327</v>
      </c>
      <c r="E1291" s="5" t="s">
        <v>34</v>
      </c>
      <c r="F1291" s="5" t="s">
        <v>34</v>
      </c>
      <c r="G1291" s="5" t="s">
        <v>36</v>
      </c>
      <c r="H1291" s="5" t="s">
        <v>35</v>
      </c>
      <c r="I1291" s="6">
        <v>1.0</v>
      </c>
      <c r="J1291" s="6" t="s">
        <v>37</v>
      </c>
      <c r="K1291" s="6">
        <v>10.0</v>
      </c>
      <c r="L1291" s="5"/>
      <c r="M1291" s="5"/>
      <c r="N1291" s="6" t="s">
        <v>40</v>
      </c>
      <c r="O1291" s="5" t="s">
        <v>5363</v>
      </c>
      <c r="P1291" s="6" t="s">
        <v>42</v>
      </c>
      <c r="Q1291" s="5" t="s">
        <v>1237</v>
      </c>
      <c r="R1291" s="5" t="s">
        <v>10304</v>
      </c>
      <c r="S1291" s="6" t="s">
        <v>56</v>
      </c>
      <c r="T1291" s="6">
        <v>6602.0</v>
      </c>
    </row>
    <row r="1292" ht="56.25" customHeight="1">
      <c r="A1292" s="5" t="s">
        <v>10297</v>
      </c>
      <c r="B1292" s="6" t="str">
        <f>image("https://storage.googleapis.com/acdb/photos/BromideNpcNmlMus16_Remake_2_0.png")</f>
        <v/>
      </c>
      <c r="C1292" s="5" t="s">
        <v>688</v>
      </c>
      <c r="D1292" s="5" t="s">
        <v>1327</v>
      </c>
      <c r="E1292" s="5" t="s">
        <v>34</v>
      </c>
      <c r="F1292" s="5" t="s">
        <v>34</v>
      </c>
      <c r="G1292" s="5" t="s">
        <v>36</v>
      </c>
      <c r="H1292" s="5" t="s">
        <v>35</v>
      </c>
      <c r="I1292" s="6">
        <v>1.0</v>
      </c>
      <c r="J1292" s="6" t="s">
        <v>37</v>
      </c>
      <c r="K1292" s="6">
        <v>10.0</v>
      </c>
      <c r="L1292" s="5"/>
      <c r="M1292" s="5"/>
      <c r="N1292" s="6" t="s">
        <v>40</v>
      </c>
      <c r="O1292" s="5" t="s">
        <v>5363</v>
      </c>
      <c r="P1292" s="6" t="s">
        <v>42</v>
      </c>
      <c r="Q1292" s="5" t="s">
        <v>1237</v>
      </c>
      <c r="R1292" s="5" t="s">
        <v>10308</v>
      </c>
      <c r="S1292" s="6" t="s">
        <v>67</v>
      </c>
      <c r="T1292" s="6">
        <v>6602.0</v>
      </c>
    </row>
    <row r="1293" ht="56.25" customHeight="1">
      <c r="A1293" s="5" t="s">
        <v>10297</v>
      </c>
      <c r="B1293" s="6" t="str">
        <f>image("https://storage.googleapis.com/acdb/photos/BromideNpcNmlMus16_Remake_3_0.png")</f>
        <v/>
      </c>
      <c r="C1293" s="5" t="s">
        <v>57</v>
      </c>
      <c r="D1293" s="5" t="s">
        <v>1327</v>
      </c>
      <c r="E1293" s="5" t="s">
        <v>34</v>
      </c>
      <c r="F1293" s="5" t="s">
        <v>34</v>
      </c>
      <c r="G1293" s="5" t="s">
        <v>36</v>
      </c>
      <c r="H1293" s="5" t="s">
        <v>35</v>
      </c>
      <c r="I1293" s="6">
        <v>1.0</v>
      </c>
      <c r="J1293" s="6" t="s">
        <v>37</v>
      </c>
      <c r="K1293" s="6">
        <v>10.0</v>
      </c>
      <c r="L1293" s="5"/>
      <c r="M1293" s="5"/>
      <c r="N1293" s="6" t="s">
        <v>40</v>
      </c>
      <c r="O1293" s="5" t="s">
        <v>5363</v>
      </c>
      <c r="P1293" s="6" t="s">
        <v>42</v>
      </c>
      <c r="Q1293" s="5" t="s">
        <v>1237</v>
      </c>
      <c r="R1293" s="5" t="s">
        <v>10310</v>
      </c>
      <c r="S1293" s="6" t="s">
        <v>71</v>
      </c>
      <c r="T1293" s="6">
        <v>6602.0</v>
      </c>
    </row>
    <row r="1294" ht="56.25" customHeight="1">
      <c r="A1294" s="5" t="s">
        <v>10297</v>
      </c>
      <c r="B1294" s="6" t="str">
        <f>image("https://storage.googleapis.com/acdb/photos/BromideNpcNmlMus16_Remake_4_0.png")</f>
        <v/>
      </c>
      <c r="C1294" s="5" t="s">
        <v>1167</v>
      </c>
      <c r="D1294" s="5" t="s">
        <v>1327</v>
      </c>
      <c r="E1294" s="5" t="s">
        <v>34</v>
      </c>
      <c r="F1294" s="5" t="s">
        <v>34</v>
      </c>
      <c r="G1294" s="5" t="s">
        <v>36</v>
      </c>
      <c r="H1294" s="5" t="s">
        <v>35</v>
      </c>
      <c r="I1294" s="6">
        <v>1.0</v>
      </c>
      <c r="J1294" s="6" t="s">
        <v>37</v>
      </c>
      <c r="K1294" s="6">
        <v>10.0</v>
      </c>
      <c r="L1294" s="5"/>
      <c r="M1294" s="5"/>
      <c r="N1294" s="6" t="s">
        <v>40</v>
      </c>
      <c r="O1294" s="5" t="s">
        <v>5363</v>
      </c>
      <c r="P1294" s="6" t="s">
        <v>42</v>
      </c>
      <c r="Q1294" s="5" t="s">
        <v>1237</v>
      </c>
      <c r="R1294" s="5" t="s">
        <v>10315</v>
      </c>
      <c r="S1294" s="6" t="s">
        <v>75</v>
      </c>
      <c r="T1294" s="6">
        <v>6602.0</v>
      </c>
    </row>
    <row r="1295" ht="56.25" customHeight="1">
      <c r="A1295" s="5" t="s">
        <v>10297</v>
      </c>
      <c r="B1295" s="6" t="str">
        <f>image("https://storage.googleapis.com/acdb/photos/BromideNpcNmlMus16_Remake_5_0.png")</f>
        <v/>
      </c>
      <c r="C1295" s="5" t="s">
        <v>58</v>
      </c>
      <c r="D1295" s="5" t="s">
        <v>1327</v>
      </c>
      <c r="E1295" s="5" t="s">
        <v>34</v>
      </c>
      <c r="F1295" s="5" t="s">
        <v>34</v>
      </c>
      <c r="G1295" s="5" t="s">
        <v>36</v>
      </c>
      <c r="H1295" s="5" t="s">
        <v>35</v>
      </c>
      <c r="I1295" s="6">
        <v>1.0</v>
      </c>
      <c r="J1295" s="6" t="s">
        <v>37</v>
      </c>
      <c r="K1295" s="6">
        <v>10.0</v>
      </c>
      <c r="L1295" s="5"/>
      <c r="M1295" s="5"/>
      <c r="N1295" s="6" t="s">
        <v>40</v>
      </c>
      <c r="O1295" s="5" t="s">
        <v>5363</v>
      </c>
      <c r="P1295" s="6" t="s">
        <v>42</v>
      </c>
      <c r="Q1295" s="5" t="s">
        <v>1237</v>
      </c>
      <c r="R1295" s="5" t="s">
        <v>10318</v>
      </c>
      <c r="S1295" s="6" t="s">
        <v>79</v>
      </c>
      <c r="T1295" s="6">
        <v>6602.0</v>
      </c>
    </row>
    <row r="1296" ht="56.25" customHeight="1">
      <c r="A1296" s="5" t="s">
        <v>10297</v>
      </c>
      <c r="B1296" s="6" t="str">
        <f>image("https://storage.googleapis.com/acdb/photos/BromideNpcNmlMus16_Remake_6_0.png")</f>
        <v/>
      </c>
      <c r="C1296" s="5" t="s">
        <v>146</v>
      </c>
      <c r="D1296" s="5" t="s">
        <v>1327</v>
      </c>
      <c r="E1296" s="5" t="s">
        <v>34</v>
      </c>
      <c r="F1296" s="5" t="s">
        <v>34</v>
      </c>
      <c r="G1296" s="5" t="s">
        <v>36</v>
      </c>
      <c r="H1296" s="5" t="s">
        <v>35</v>
      </c>
      <c r="I1296" s="6">
        <v>1.0</v>
      </c>
      <c r="J1296" s="6" t="s">
        <v>37</v>
      </c>
      <c r="K1296" s="6">
        <v>10.0</v>
      </c>
      <c r="L1296" s="5"/>
      <c r="M1296" s="5"/>
      <c r="N1296" s="6" t="s">
        <v>40</v>
      </c>
      <c r="O1296" s="5" t="s">
        <v>5363</v>
      </c>
      <c r="P1296" s="6" t="s">
        <v>42</v>
      </c>
      <c r="Q1296" s="5" t="s">
        <v>1237</v>
      </c>
      <c r="R1296" s="5" t="s">
        <v>10320</v>
      </c>
      <c r="S1296" s="6" t="s">
        <v>86</v>
      </c>
      <c r="T1296" s="6">
        <v>6602.0</v>
      </c>
    </row>
    <row r="1297" ht="56.25" customHeight="1">
      <c r="A1297" s="5" t="s">
        <v>10297</v>
      </c>
      <c r="B1297" s="6" t="str">
        <f>image("https://storage.googleapis.com/acdb/photos/BromideNpcNmlMus16_Remake_7_0.png")</f>
        <v/>
      </c>
      <c r="C1297" s="5" t="s">
        <v>151</v>
      </c>
      <c r="D1297" s="5" t="s">
        <v>1327</v>
      </c>
      <c r="E1297" s="5" t="s">
        <v>34</v>
      </c>
      <c r="F1297" s="5" t="s">
        <v>34</v>
      </c>
      <c r="G1297" s="5" t="s">
        <v>36</v>
      </c>
      <c r="H1297" s="5" t="s">
        <v>35</v>
      </c>
      <c r="I1297" s="6">
        <v>1.0</v>
      </c>
      <c r="J1297" s="6" t="s">
        <v>37</v>
      </c>
      <c r="K1297" s="6">
        <v>10.0</v>
      </c>
      <c r="L1297" s="5"/>
      <c r="M1297" s="5"/>
      <c r="N1297" s="6" t="s">
        <v>40</v>
      </c>
      <c r="O1297" s="5" t="s">
        <v>5363</v>
      </c>
      <c r="P1297" s="6" t="s">
        <v>42</v>
      </c>
      <c r="Q1297" s="5" t="s">
        <v>1237</v>
      </c>
      <c r="R1297" s="5" t="s">
        <v>10325</v>
      </c>
      <c r="S1297" s="6" t="s">
        <v>208</v>
      </c>
      <c r="T1297" s="6">
        <v>6602.0</v>
      </c>
    </row>
    <row r="1298" ht="56.25" customHeight="1">
      <c r="A1298" s="5" t="s">
        <v>10326</v>
      </c>
      <c r="B1298" s="6" t="str">
        <f>image("https://storage.googleapis.com/acdb/photos/BromideNpcNmlBea09_Remake_0_0.png")</f>
        <v/>
      </c>
      <c r="C1298" s="5" t="s">
        <v>366</v>
      </c>
      <c r="D1298" s="5" t="s">
        <v>1327</v>
      </c>
      <c r="E1298" s="5" t="s">
        <v>34</v>
      </c>
      <c r="F1298" s="5" t="s">
        <v>34</v>
      </c>
      <c r="G1298" s="5" t="s">
        <v>36</v>
      </c>
      <c r="H1298" s="5" t="s">
        <v>35</v>
      </c>
      <c r="I1298" s="6">
        <v>1.0</v>
      </c>
      <c r="J1298" s="6" t="s">
        <v>37</v>
      </c>
      <c r="K1298" s="6">
        <v>10.0</v>
      </c>
      <c r="L1298" s="5"/>
      <c r="M1298" s="5"/>
      <c r="N1298" s="6" t="s">
        <v>40</v>
      </c>
      <c r="O1298" s="5" t="s">
        <v>5363</v>
      </c>
      <c r="P1298" s="6" t="s">
        <v>42</v>
      </c>
      <c r="Q1298" s="5" t="s">
        <v>1237</v>
      </c>
      <c r="R1298" s="5" t="s">
        <v>10329</v>
      </c>
      <c r="S1298" s="6" t="s">
        <v>50</v>
      </c>
      <c r="T1298" s="6">
        <v>6493.0</v>
      </c>
    </row>
    <row r="1299" ht="56.25" customHeight="1">
      <c r="A1299" s="5" t="s">
        <v>10326</v>
      </c>
      <c r="B1299" s="6" t="str">
        <f>image("https://storage.googleapis.com/acdb/photos/BromideNpcNmlBea09_Remake_1_0.png")</f>
        <v/>
      </c>
      <c r="C1299" s="5" t="s">
        <v>1132</v>
      </c>
      <c r="D1299" s="5" t="s">
        <v>1327</v>
      </c>
      <c r="E1299" s="5" t="s">
        <v>34</v>
      </c>
      <c r="F1299" s="5" t="s">
        <v>34</v>
      </c>
      <c r="G1299" s="5" t="s">
        <v>36</v>
      </c>
      <c r="H1299" s="5" t="s">
        <v>35</v>
      </c>
      <c r="I1299" s="6">
        <v>1.0</v>
      </c>
      <c r="J1299" s="6" t="s">
        <v>37</v>
      </c>
      <c r="K1299" s="6">
        <v>10.0</v>
      </c>
      <c r="L1299" s="5"/>
      <c r="M1299" s="5"/>
      <c r="N1299" s="6" t="s">
        <v>40</v>
      </c>
      <c r="O1299" s="5" t="s">
        <v>5363</v>
      </c>
      <c r="P1299" s="6" t="s">
        <v>42</v>
      </c>
      <c r="Q1299" s="5" t="s">
        <v>1237</v>
      </c>
      <c r="R1299" s="5" t="s">
        <v>10331</v>
      </c>
      <c r="S1299" s="6" t="s">
        <v>56</v>
      </c>
      <c r="T1299" s="6">
        <v>6493.0</v>
      </c>
    </row>
    <row r="1300" ht="56.25" customHeight="1">
      <c r="A1300" s="5" t="s">
        <v>10326</v>
      </c>
      <c r="B1300" s="6" t="str">
        <f>image("https://storage.googleapis.com/acdb/photos/BromideNpcNmlBea09_Remake_2_0.png")</f>
        <v/>
      </c>
      <c r="C1300" s="5" t="s">
        <v>688</v>
      </c>
      <c r="D1300" s="5" t="s">
        <v>1327</v>
      </c>
      <c r="E1300" s="5" t="s">
        <v>34</v>
      </c>
      <c r="F1300" s="5" t="s">
        <v>34</v>
      </c>
      <c r="G1300" s="5" t="s">
        <v>36</v>
      </c>
      <c r="H1300" s="5" t="s">
        <v>35</v>
      </c>
      <c r="I1300" s="6">
        <v>1.0</v>
      </c>
      <c r="J1300" s="6" t="s">
        <v>37</v>
      </c>
      <c r="K1300" s="6">
        <v>10.0</v>
      </c>
      <c r="L1300" s="5"/>
      <c r="M1300" s="5"/>
      <c r="N1300" s="6" t="s">
        <v>40</v>
      </c>
      <c r="O1300" s="5" t="s">
        <v>5363</v>
      </c>
      <c r="P1300" s="6" t="s">
        <v>42</v>
      </c>
      <c r="Q1300" s="5" t="s">
        <v>1237</v>
      </c>
      <c r="R1300" s="5" t="s">
        <v>10335</v>
      </c>
      <c r="S1300" s="6" t="s">
        <v>67</v>
      </c>
      <c r="T1300" s="6">
        <v>6493.0</v>
      </c>
    </row>
    <row r="1301" ht="56.25" customHeight="1">
      <c r="A1301" s="5" t="s">
        <v>10326</v>
      </c>
      <c r="B1301" s="6" t="str">
        <f>image("https://storage.googleapis.com/acdb/photos/BromideNpcNmlBea09_Remake_3_0.png")</f>
        <v/>
      </c>
      <c r="C1301" s="5" t="s">
        <v>57</v>
      </c>
      <c r="D1301" s="5" t="s">
        <v>1327</v>
      </c>
      <c r="E1301" s="5" t="s">
        <v>34</v>
      </c>
      <c r="F1301" s="5" t="s">
        <v>34</v>
      </c>
      <c r="G1301" s="5" t="s">
        <v>36</v>
      </c>
      <c r="H1301" s="5" t="s">
        <v>35</v>
      </c>
      <c r="I1301" s="6">
        <v>1.0</v>
      </c>
      <c r="J1301" s="6" t="s">
        <v>37</v>
      </c>
      <c r="K1301" s="6">
        <v>10.0</v>
      </c>
      <c r="L1301" s="5"/>
      <c r="M1301" s="5"/>
      <c r="N1301" s="6" t="s">
        <v>40</v>
      </c>
      <c r="O1301" s="5" t="s">
        <v>5363</v>
      </c>
      <c r="P1301" s="6" t="s">
        <v>42</v>
      </c>
      <c r="Q1301" s="5" t="s">
        <v>1237</v>
      </c>
      <c r="R1301" s="5" t="s">
        <v>10340</v>
      </c>
      <c r="S1301" s="6" t="s">
        <v>71</v>
      </c>
      <c r="T1301" s="6">
        <v>6493.0</v>
      </c>
    </row>
    <row r="1302" ht="56.25" customHeight="1">
      <c r="A1302" s="5" t="s">
        <v>10326</v>
      </c>
      <c r="B1302" s="6" t="str">
        <f>image("https://storage.googleapis.com/acdb/photos/BromideNpcNmlBea09_Remake_4_0.png")</f>
        <v/>
      </c>
      <c r="C1302" s="5" t="s">
        <v>1167</v>
      </c>
      <c r="D1302" s="5" t="s">
        <v>1327</v>
      </c>
      <c r="E1302" s="5" t="s">
        <v>34</v>
      </c>
      <c r="F1302" s="5" t="s">
        <v>34</v>
      </c>
      <c r="G1302" s="5" t="s">
        <v>36</v>
      </c>
      <c r="H1302" s="5" t="s">
        <v>35</v>
      </c>
      <c r="I1302" s="6">
        <v>1.0</v>
      </c>
      <c r="J1302" s="6" t="s">
        <v>37</v>
      </c>
      <c r="K1302" s="6">
        <v>10.0</v>
      </c>
      <c r="L1302" s="5"/>
      <c r="M1302" s="5"/>
      <c r="N1302" s="6" t="s">
        <v>40</v>
      </c>
      <c r="O1302" s="5" t="s">
        <v>5363</v>
      </c>
      <c r="P1302" s="6" t="s">
        <v>42</v>
      </c>
      <c r="Q1302" s="5" t="s">
        <v>1237</v>
      </c>
      <c r="R1302" s="5" t="s">
        <v>10344</v>
      </c>
      <c r="S1302" s="6" t="s">
        <v>75</v>
      </c>
      <c r="T1302" s="6">
        <v>6493.0</v>
      </c>
    </row>
    <row r="1303" ht="56.25" customHeight="1">
      <c r="A1303" s="5" t="s">
        <v>10326</v>
      </c>
      <c r="B1303" s="6" t="str">
        <f>image("https://storage.googleapis.com/acdb/photos/BromideNpcNmlBea09_Remake_5_0.png")</f>
        <v/>
      </c>
      <c r="C1303" s="5" t="s">
        <v>58</v>
      </c>
      <c r="D1303" s="5" t="s">
        <v>1327</v>
      </c>
      <c r="E1303" s="5" t="s">
        <v>34</v>
      </c>
      <c r="F1303" s="5" t="s">
        <v>34</v>
      </c>
      <c r="G1303" s="5" t="s">
        <v>36</v>
      </c>
      <c r="H1303" s="5" t="s">
        <v>35</v>
      </c>
      <c r="I1303" s="6">
        <v>1.0</v>
      </c>
      <c r="J1303" s="6" t="s">
        <v>37</v>
      </c>
      <c r="K1303" s="6">
        <v>10.0</v>
      </c>
      <c r="L1303" s="5"/>
      <c r="M1303" s="5"/>
      <c r="N1303" s="6" t="s">
        <v>40</v>
      </c>
      <c r="O1303" s="5" t="s">
        <v>5363</v>
      </c>
      <c r="P1303" s="6" t="s">
        <v>42</v>
      </c>
      <c r="Q1303" s="5" t="s">
        <v>1237</v>
      </c>
      <c r="R1303" s="5" t="s">
        <v>10348</v>
      </c>
      <c r="S1303" s="6" t="s">
        <v>79</v>
      </c>
      <c r="T1303" s="6">
        <v>6493.0</v>
      </c>
    </row>
    <row r="1304" ht="56.25" customHeight="1">
      <c r="A1304" s="5" t="s">
        <v>10326</v>
      </c>
      <c r="B1304" s="6" t="str">
        <f>image("https://storage.googleapis.com/acdb/photos/BromideNpcNmlBea09_Remake_6_0.png")</f>
        <v/>
      </c>
      <c r="C1304" s="5" t="s">
        <v>146</v>
      </c>
      <c r="D1304" s="5" t="s">
        <v>1327</v>
      </c>
      <c r="E1304" s="5" t="s">
        <v>34</v>
      </c>
      <c r="F1304" s="5" t="s">
        <v>34</v>
      </c>
      <c r="G1304" s="5" t="s">
        <v>36</v>
      </c>
      <c r="H1304" s="5" t="s">
        <v>35</v>
      </c>
      <c r="I1304" s="6">
        <v>1.0</v>
      </c>
      <c r="J1304" s="6" t="s">
        <v>37</v>
      </c>
      <c r="K1304" s="6">
        <v>10.0</v>
      </c>
      <c r="L1304" s="5"/>
      <c r="M1304" s="5"/>
      <c r="N1304" s="6" t="s">
        <v>40</v>
      </c>
      <c r="O1304" s="5" t="s">
        <v>5363</v>
      </c>
      <c r="P1304" s="6" t="s">
        <v>42</v>
      </c>
      <c r="Q1304" s="5" t="s">
        <v>1237</v>
      </c>
      <c r="R1304" s="5" t="s">
        <v>10353</v>
      </c>
      <c r="S1304" s="6" t="s">
        <v>86</v>
      </c>
      <c r="T1304" s="6">
        <v>6493.0</v>
      </c>
    </row>
    <row r="1305" ht="56.25" customHeight="1">
      <c r="A1305" s="5" t="s">
        <v>10326</v>
      </c>
      <c r="B1305" s="6" t="str">
        <f>image("https://storage.googleapis.com/acdb/photos/BromideNpcNmlBea09_Remake_7_0.png")</f>
        <v/>
      </c>
      <c r="C1305" s="5" t="s">
        <v>151</v>
      </c>
      <c r="D1305" s="5" t="s">
        <v>1327</v>
      </c>
      <c r="E1305" s="5" t="s">
        <v>34</v>
      </c>
      <c r="F1305" s="5" t="s">
        <v>34</v>
      </c>
      <c r="G1305" s="5" t="s">
        <v>36</v>
      </c>
      <c r="H1305" s="5" t="s">
        <v>35</v>
      </c>
      <c r="I1305" s="6">
        <v>1.0</v>
      </c>
      <c r="J1305" s="6" t="s">
        <v>37</v>
      </c>
      <c r="K1305" s="6">
        <v>10.0</v>
      </c>
      <c r="L1305" s="5"/>
      <c r="M1305" s="5"/>
      <c r="N1305" s="6" t="s">
        <v>40</v>
      </c>
      <c r="O1305" s="5" t="s">
        <v>5363</v>
      </c>
      <c r="P1305" s="6" t="s">
        <v>42</v>
      </c>
      <c r="Q1305" s="5" t="s">
        <v>1237</v>
      </c>
      <c r="R1305" s="5" t="s">
        <v>10357</v>
      </c>
      <c r="S1305" s="6" t="s">
        <v>208</v>
      </c>
      <c r="T1305" s="6">
        <v>6493.0</v>
      </c>
    </row>
    <row r="1306" ht="56.25" customHeight="1">
      <c r="A1306" s="5" t="s">
        <v>10358</v>
      </c>
      <c r="B1306" s="6" t="str">
        <f>image("https://storage.googleapis.com/acdb/photos/BromideNpcNmlBea06_Remake_0_0.png")</f>
        <v/>
      </c>
      <c r="C1306" s="5" t="s">
        <v>366</v>
      </c>
      <c r="D1306" s="5" t="s">
        <v>1327</v>
      </c>
      <c r="E1306" s="5" t="s">
        <v>34</v>
      </c>
      <c r="F1306" s="5" t="s">
        <v>34</v>
      </c>
      <c r="G1306" s="5" t="s">
        <v>36</v>
      </c>
      <c r="H1306" s="5" t="s">
        <v>35</v>
      </c>
      <c r="I1306" s="6">
        <v>1.0</v>
      </c>
      <c r="J1306" s="6" t="s">
        <v>37</v>
      </c>
      <c r="K1306" s="6">
        <v>10.0</v>
      </c>
      <c r="L1306" s="5"/>
      <c r="M1306" s="5"/>
      <c r="N1306" s="6" t="s">
        <v>40</v>
      </c>
      <c r="O1306" s="5" t="s">
        <v>5363</v>
      </c>
      <c r="P1306" s="6" t="s">
        <v>42</v>
      </c>
      <c r="Q1306" s="5" t="s">
        <v>1237</v>
      </c>
      <c r="R1306" s="5" t="s">
        <v>10364</v>
      </c>
      <c r="S1306" s="6" t="s">
        <v>50</v>
      </c>
      <c r="T1306" s="6">
        <v>6460.0</v>
      </c>
    </row>
    <row r="1307" ht="56.25" customHeight="1">
      <c r="A1307" s="5" t="s">
        <v>10358</v>
      </c>
      <c r="B1307" s="6" t="str">
        <f>image("https://storage.googleapis.com/acdb/photos/BromideNpcNmlBea06_Remake_1_0.png")</f>
        <v/>
      </c>
      <c r="C1307" s="5" t="s">
        <v>1132</v>
      </c>
      <c r="D1307" s="5" t="s">
        <v>1327</v>
      </c>
      <c r="E1307" s="5" t="s">
        <v>34</v>
      </c>
      <c r="F1307" s="5" t="s">
        <v>34</v>
      </c>
      <c r="G1307" s="5" t="s">
        <v>36</v>
      </c>
      <c r="H1307" s="5" t="s">
        <v>35</v>
      </c>
      <c r="I1307" s="6">
        <v>1.0</v>
      </c>
      <c r="J1307" s="6" t="s">
        <v>37</v>
      </c>
      <c r="K1307" s="6">
        <v>10.0</v>
      </c>
      <c r="L1307" s="5"/>
      <c r="M1307" s="5"/>
      <c r="N1307" s="6" t="s">
        <v>40</v>
      </c>
      <c r="O1307" s="5" t="s">
        <v>5363</v>
      </c>
      <c r="P1307" s="6" t="s">
        <v>42</v>
      </c>
      <c r="Q1307" s="5" t="s">
        <v>1237</v>
      </c>
      <c r="R1307" s="5" t="s">
        <v>10370</v>
      </c>
      <c r="S1307" s="6" t="s">
        <v>56</v>
      </c>
      <c r="T1307" s="6">
        <v>6460.0</v>
      </c>
    </row>
    <row r="1308" ht="56.25" customHeight="1">
      <c r="A1308" s="5" t="s">
        <v>10358</v>
      </c>
      <c r="B1308" s="6" t="str">
        <f>image("https://storage.googleapis.com/acdb/photos/BromideNpcNmlBea06_Remake_2_0.png")</f>
        <v/>
      </c>
      <c r="C1308" s="5" t="s">
        <v>688</v>
      </c>
      <c r="D1308" s="5" t="s">
        <v>1327</v>
      </c>
      <c r="E1308" s="5" t="s">
        <v>34</v>
      </c>
      <c r="F1308" s="5" t="s">
        <v>34</v>
      </c>
      <c r="G1308" s="5" t="s">
        <v>36</v>
      </c>
      <c r="H1308" s="5" t="s">
        <v>35</v>
      </c>
      <c r="I1308" s="6">
        <v>1.0</v>
      </c>
      <c r="J1308" s="6" t="s">
        <v>37</v>
      </c>
      <c r="K1308" s="6">
        <v>10.0</v>
      </c>
      <c r="L1308" s="5"/>
      <c r="M1308" s="5"/>
      <c r="N1308" s="6" t="s">
        <v>40</v>
      </c>
      <c r="O1308" s="5" t="s">
        <v>5363</v>
      </c>
      <c r="P1308" s="6" t="s">
        <v>42</v>
      </c>
      <c r="Q1308" s="5" t="s">
        <v>1237</v>
      </c>
      <c r="R1308" s="5" t="s">
        <v>10374</v>
      </c>
      <c r="S1308" s="6" t="s">
        <v>67</v>
      </c>
      <c r="T1308" s="6">
        <v>6460.0</v>
      </c>
    </row>
    <row r="1309" ht="56.25" customHeight="1">
      <c r="A1309" s="5" t="s">
        <v>10358</v>
      </c>
      <c r="B1309" s="6" t="str">
        <f>image("https://storage.googleapis.com/acdb/photos/BromideNpcNmlBea06_Remake_3_0.png")</f>
        <v/>
      </c>
      <c r="C1309" s="5" t="s">
        <v>57</v>
      </c>
      <c r="D1309" s="5" t="s">
        <v>1327</v>
      </c>
      <c r="E1309" s="5" t="s">
        <v>34</v>
      </c>
      <c r="F1309" s="5" t="s">
        <v>34</v>
      </c>
      <c r="G1309" s="5" t="s">
        <v>36</v>
      </c>
      <c r="H1309" s="5" t="s">
        <v>35</v>
      </c>
      <c r="I1309" s="6">
        <v>1.0</v>
      </c>
      <c r="J1309" s="6" t="s">
        <v>37</v>
      </c>
      <c r="K1309" s="6">
        <v>10.0</v>
      </c>
      <c r="L1309" s="5"/>
      <c r="M1309" s="5"/>
      <c r="N1309" s="6" t="s">
        <v>40</v>
      </c>
      <c r="O1309" s="5" t="s">
        <v>5363</v>
      </c>
      <c r="P1309" s="6" t="s">
        <v>42</v>
      </c>
      <c r="Q1309" s="5" t="s">
        <v>1237</v>
      </c>
      <c r="R1309" s="5" t="s">
        <v>10378</v>
      </c>
      <c r="S1309" s="6" t="s">
        <v>71</v>
      </c>
      <c r="T1309" s="6">
        <v>6460.0</v>
      </c>
    </row>
    <row r="1310" ht="56.25" customHeight="1">
      <c r="A1310" s="5" t="s">
        <v>10358</v>
      </c>
      <c r="B1310" s="6" t="str">
        <f>image("https://storage.googleapis.com/acdb/photos/BromideNpcNmlBea06_Remake_4_0.png")</f>
        <v/>
      </c>
      <c r="C1310" s="5" t="s">
        <v>1167</v>
      </c>
      <c r="D1310" s="5" t="s">
        <v>1327</v>
      </c>
      <c r="E1310" s="5" t="s">
        <v>34</v>
      </c>
      <c r="F1310" s="5" t="s">
        <v>34</v>
      </c>
      <c r="G1310" s="5" t="s">
        <v>36</v>
      </c>
      <c r="H1310" s="5" t="s">
        <v>35</v>
      </c>
      <c r="I1310" s="6">
        <v>1.0</v>
      </c>
      <c r="J1310" s="6" t="s">
        <v>37</v>
      </c>
      <c r="K1310" s="6">
        <v>10.0</v>
      </c>
      <c r="L1310" s="5"/>
      <c r="M1310" s="5"/>
      <c r="N1310" s="6" t="s">
        <v>40</v>
      </c>
      <c r="O1310" s="5" t="s">
        <v>5363</v>
      </c>
      <c r="P1310" s="6" t="s">
        <v>42</v>
      </c>
      <c r="Q1310" s="5" t="s">
        <v>1237</v>
      </c>
      <c r="R1310" s="5" t="s">
        <v>10382</v>
      </c>
      <c r="S1310" s="6" t="s">
        <v>75</v>
      </c>
      <c r="T1310" s="6">
        <v>6460.0</v>
      </c>
    </row>
    <row r="1311" ht="56.25" customHeight="1">
      <c r="A1311" s="5" t="s">
        <v>10358</v>
      </c>
      <c r="B1311" s="6" t="str">
        <f>image("https://storage.googleapis.com/acdb/photos/BromideNpcNmlBea06_Remake_5_0.png")</f>
        <v/>
      </c>
      <c r="C1311" s="5" t="s">
        <v>58</v>
      </c>
      <c r="D1311" s="5" t="s">
        <v>1327</v>
      </c>
      <c r="E1311" s="5" t="s">
        <v>34</v>
      </c>
      <c r="F1311" s="5" t="s">
        <v>34</v>
      </c>
      <c r="G1311" s="5" t="s">
        <v>36</v>
      </c>
      <c r="H1311" s="5" t="s">
        <v>35</v>
      </c>
      <c r="I1311" s="6">
        <v>1.0</v>
      </c>
      <c r="J1311" s="6" t="s">
        <v>37</v>
      </c>
      <c r="K1311" s="6">
        <v>10.0</v>
      </c>
      <c r="L1311" s="5"/>
      <c r="M1311" s="5"/>
      <c r="N1311" s="6" t="s">
        <v>40</v>
      </c>
      <c r="O1311" s="5" t="s">
        <v>5363</v>
      </c>
      <c r="P1311" s="6" t="s">
        <v>42</v>
      </c>
      <c r="Q1311" s="5" t="s">
        <v>1237</v>
      </c>
      <c r="R1311" s="5" t="s">
        <v>10387</v>
      </c>
      <c r="S1311" s="6" t="s">
        <v>79</v>
      </c>
      <c r="T1311" s="6">
        <v>6460.0</v>
      </c>
    </row>
    <row r="1312" ht="56.25" customHeight="1">
      <c r="A1312" s="5" t="s">
        <v>10358</v>
      </c>
      <c r="B1312" s="6" t="str">
        <f>image("https://storage.googleapis.com/acdb/photos/BromideNpcNmlBea06_Remake_6_0.png")</f>
        <v/>
      </c>
      <c r="C1312" s="5" t="s">
        <v>146</v>
      </c>
      <c r="D1312" s="5" t="s">
        <v>1327</v>
      </c>
      <c r="E1312" s="5" t="s">
        <v>34</v>
      </c>
      <c r="F1312" s="5" t="s">
        <v>34</v>
      </c>
      <c r="G1312" s="5" t="s">
        <v>36</v>
      </c>
      <c r="H1312" s="5" t="s">
        <v>35</v>
      </c>
      <c r="I1312" s="6">
        <v>1.0</v>
      </c>
      <c r="J1312" s="6" t="s">
        <v>37</v>
      </c>
      <c r="K1312" s="6">
        <v>10.0</v>
      </c>
      <c r="L1312" s="5"/>
      <c r="M1312" s="5"/>
      <c r="N1312" s="6" t="s">
        <v>40</v>
      </c>
      <c r="O1312" s="5" t="s">
        <v>5363</v>
      </c>
      <c r="P1312" s="6" t="s">
        <v>42</v>
      </c>
      <c r="Q1312" s="5" t="s">
        <v>1237</v>
      </c>
      <c r="R1312" s="5" t="s">
        <v>10391</v>
      </c>
      <c r="S1312" s="6" t="s">
        <v>86</v>
      </c>
      <c r="T1312" s="6">
        <v>6460.0</v>
      </c>
    </row>
    <row r="1313" ht="56.25" customHeight="1">
      <c r="A1313" s="5" t="s">
        <v>10358</v>
      </c>
      <c r="B1313" s="6" t="str">
        <f>image("https://storage.googleapis.com/acdb/photos/BromideNpcNmlBea06_Remake_7_0.png")</f>
        <v/>
      </c>
      <c r="C1313" s="5" t="s">
        <v>151</v>
      </c>
      <c r="D1313" s="5" t="s">
        <v>1327</v>
      </c>
      <c r="E1313" s="5" t="s">
        <v>34</v>
      </c>
      <c r="F1313" s="5" t="s">
        <v>34</v>
      </c>
      <c r="G1313" s="5" t="s">
        <v>36</v>
      </c>
      <c r="H1313" s="5" t="s">
        <v>35</v>
      </c>
      <c r="I1313" s="6">
        <v>1.0</v>
      </c>
      <c r="J1313" s="6" t="s">
        <v>37</v>
      </c>
      <c r="K1313" s="6">
        <v>10.0</v>
      </c>
      <c r="L1313" s="5"/>
      <c r="M1313" s="5"/>
      <c r="N1313" s="6" t="s">
        <v>40</v>
      </c>
      <c r="O1313" s="5" t="s">
        <v>5363</v>
      </c>
      <c r="P1313" s="6" t="s">
        <v>42</v>
      </c>
      <c r="Q1313" s="5" t="s">
        <v>1237</v>
      </c>
      <c r="R1313" s="5" t="s">
        <v>10394</v>
      </c>
      <c r="S1313" s="6" t="s">
        <v>208</v>
      </c>
      <c r="T1313" s="6">
        <v>6460.0</v>
      </c>
    </row>
    <row r="1314" ht="56.25" customHeight="1">
      <c r="A1314" s="5" t="s">
        <v>10395</v>
      </c>
      <c r="B1314" s="6" t="str">
        <f>image("https://storage.googleapis.com/acdb/photos/BromideNpcNmlGoa04_Remake_0_0.png")</f>
        <v/>
      </c>
      <c r="C1314" s="5" t="s">
        <v>366</v>
      </c>
      <c r="D1314" s="5" t="s">
        <v>1327</v>
      </c>
      <c r="E1314" s="5" t="s">
        <v>34</v>
      </c>
      <c r="F1314" s="5" t="s">
        <v>34</v>
      </c>
      <c r="G1314" s="5" t="s">
        <v>36</v>
      </c>
      <c r="H1314" s="5" t="s">
        <v>35</v>
      </c>
      <c r="I1314" s="6">
        <v>1.0</v>
      </c>
      <c r="J1314" s="6" t="s">
        <v>37</v>
      </c>
      <c r="K1314" s="6">
        <v>10.0</v>
      </c>
      <c r="L1314" s="5"/>
      <c r="M1314" s="5"/>
      <c r="N1314" s="6" t="s">
        <v>40</v>
      </c>
      <c r="O1314" s="5" t="s">
        <v>5363</v>
      </c>
      <c r="P1314" s="6" t="s">
        <v>42</v>
      </c>
      <c r="Q1314" s="5" t="s">
        <v>1237</v>
      </c>
      <c r="R1314" s="5" t="s">
        <v>10400</v>
      </c>
      <c r="S1314" s="6" t="s">
        <v>50</v>
      </c>
      <c r="T1314" s="6">
        <v>6507.0</v>
      </c>
    </row>
    <row r="1315" ht="56.25" customHeight="1">
      <c r="A1315" s="5" t="s">
        <v>10395</v>
      </c>
      <c r="B1315" s="6" t="str">
        <f>image("https://storage.googleapis.com/acdb/photos/BromideNpcNmlGoa04_Remake_1_0.png")</f>
        <v/>
      </c>
      <c r="C1315" s="5" t="s">
        <v>1132</v>
      </c>
      <c r="D1315" s="5" t="s">
        <v>1327</v>
      </c>
      <c r="E1315" s="5" t="s">
        <v>34</v>
      </c>
      <c r="F1315" s="5" t="s">
        <v>34</v>
      </c>
      <c r="G1315" s="5" t="s">
        <v>36</v>
      </c>
      <c r="H1315" s="5" t="s">
        <v>35</v>
      </c>
      <c r="I1315" s="6">
        <v>1.0</v>
      </c>
      <c r="J1315" s="6" t="s">
        <v>37</v>
      </c>
      <c r="K1315" s="6">
        <v>10.0</v>
      </c>
      <c r="L1315" s="5"/>
      <c r="M1315" s="5"/>
      <c r="N1315" s="6" t="s">
        <v>40</v>
      </c>
      <c r="O1315" s="5" t="s">
        <v>5363</v>
      </c>
      <c r="P1315" s="6" t="s">
        <v>42</v>
      </c>
      <c r="Q1315" s="5" t="s">
        <v>1237</v>
      </c>
      <c r="R1315" s="5" t="s">
        <v>10404</v>
      </c>
      <c r="S1315" s="6" t="s">
        <v>56</v>
      </c>
      <c r="T1315" s="6">
        <v>6507.0</v>
      </c>
    </row>
    <row r="1316" ht="56.25" customHeight="1">
      <c r="A1316" s="5" t="s">
        <v>10395</v>
      </c>
      <c r="B1316" s="6" t="str">
        <f>image("https://storage.googleapis.com/acdb/photos/BromideNpcNmlGoa04_Remake_2_0.png")</f>
        <v/>
      </c>
      <c r="C1316" s="5" t="s">
        <v>688</v>
      </c>
      <c r="D1316" s="5" t="s">
        <v>1327</v>
      </c>
      <c r="E1316" s="5" t="s">
        <v>34</v>
      </c>
      <c r="F1316" s="5" t="s">
        <v>34</v>
      </c>
      <c r="G1316" s="5" t="s">
        <v>36</v>
      </c>
      <c r="H1316" s="5" t="s">
        <v>35</v>
      </c>
      <c r="I1316" s="6">
        <v>1.0</v>
      </c>
      <c r="J1316" s="6" t="s">
        <v>37</v>
      </c>
      <c r="K1316" s="6">
        <v>10.0</v>
      </c>
      <c r="L1316" s="5"/>
      <c r="M1316" s="5"/>
      <c r="N1316" s="6" t="s">
        <v>40</v>
      </c>
      <c r="O1316" s="5" t="s">
        <v>5363</v>
      </c>
      <c r="P1316" s="6" t="s">
        <v>42</v>
      </c>
      <c r="Q1316" s="5" t="s">
        <v>1237</v>
      </c>
      <c r="R1316" s="5" t="s">
        <v>10409</v>
      </c>
      <c r="S1316" s="6" t="s">
        <v>67</v>
      </c>
      <c r="T1316" s="6">
        <v>6507.0</v>
      </c>
    </row>
    <row r="1317" ht="56.25" customHeight="1">
      <c r="A1317" s="5" t="s">
        <v>10395</v>
      </c>
      <c r="B1317" s="6" t="str">
        <f>image("https://storage.googleapis.com/acdb/photos/BromideNpcNmlGoa04_Remake_3_0.png")</f>
        <v/>
      </c>
      <c r="C1317" s="5" t="s">
        <v>57</v>
      </c>
      <c r="D1317" s="5" t="s">
        <v>1327</v>
      </c>
      <c r="E1317" s="5" t="s">
        <v>34</v>
      </c>
      <c r="F1317" s="5" t="s">
        <v>34</v>
      </c>
      <c r="G1317" s="5" t="s">
        <v>36</v>
      </c>
      <c r="H1317" s="5" t="s">
        <v>35</v>
      </c>
      <c r="I1317" s="6">
        <v>1.0</v>
      </c>
      <c r="J1317" s="6" t="s">
        <v>37</v>
      </c>
      <c r="K1317" s="6">
        <v>10.0</v>
      </c>
      <c r="L1317" s="5"/>
      <c r="M1317" s="5"/>
      <c r="N1317" s="6" t="s">
        <v>40</v>
      </c>
      <c r="O1317" s="5" t="s">
        <v>5363</v>
      </c>
      <c r="P1317" s="6" t="s">
        <v>42</v>
      </c>
      <c r="Q1317" s="5" t="s">
        <v>1237</v>
      </c>
      <c r="R1317" s="5" t="s">
        <v>10414</v>
      </c>
      <c r="S1317" s="6" t="s">
        <v>71</v>
      </c>
      <c r="T1317" s="6">
        <v>6507.0</v>
      </c>
    </row>
    <row r="1318" ht="56.25" customHeight="1">
      <c r="A1318" s="5" t="s">
        <v>10395</v>
      </c>
      <c r="B1318" s="6" t="str">
        <f>image("https://storage.googleapis.com/acdb/photos/BromideNpcNmlGoa04_Remake_4_0.png")</f>
        <v/>
      </c>
      <c r="C1318" s="5" t="s">
        <v>1167</v>
      </c>
      <c r="D1318" s="5" t="s">
        <v>1327</v>
      </c>
      <c r="E1318" s="5" t="s">
        <v>34</v>
      </c>
      <c r="F1318" s="5" t="s">
        <v>34</v>
      </c>
      <c r="G1318" s="5" t="s">
        <v>36</v>
      </c>
      <c r="H1318" s="5" t="s">
        <v>35</v>
      </c>
      <c r="I1318" s="6">
        <v>1.0</v>
      </c>
      <c r="J1318" s="6" t="s">
        <v>37</v>
      </c>
      <c r="K1318" s="6">
        <v>10.0</v>
      </c>
      <c r="L1318" s="5"/>
      <c r="M1318" s="5"/>
      <c r="N1318" s="6" t="s">
        <v>40</v>
      </c>
      <c r="O1318" s="5" t="s">
        <v>5363</v>
      </c>
      <c r="P1318" s="6" t="s">
        <v>42</v>
      </c>
      <c r="Q1318" s="5" t="s">
        <v>1237</v>
      </c>
      <c r="R1318" s="5" t="s">
        <v>10418</v>
      </c>
      <c r="S1318" s="6" t="s">
        <v>75</v>
      </c>
      <c r="T1318" s="6">
        <v>6507.0</v>
      </c>
    </row>
    <row r="1319" ht="56.25" customHeight="1">
      <c r="A1319" s="5" t="s">
        <v>10395</v>
      </c>
      <c r="B1319" s="6" t="str">
        <f>image("https://storage.googleapis.com/acdb/photos/BromideNpcNmlGoa04_Remake_5_0.png")</f>
        <v/>
      </c>
      <c r="C1319" s="5" t="s">
        <v>58</v>
      </c>
      <c r="D1319" s="5" t="s">
        <v>1327</v>
      </c>
      <c r="E1319" s="5" t="s">
        <v>34</v>
      </c>
      <c r="F1319" s="5" t="s">
        <v>34</v>
      </c>
      <c r="G1319" s="5" t="s">
        <v>36</v>
      </c>
      <c r="H1319" s="5" t="s">
        <v>35</v>
      </c>
      <c r="I1319" s="6">
        <v>1.0</v>
      </c>
      <c r="J1319" s="6" t="s">
        <v>37</v>
      </c>
      <c r="K1319" s="6">
        <v>10.0</v>
      </c>
      <c r="L1319" s="5"/>
      <c r="M1319" s="5"/>
      <c r="N1319" s="6" t="s">
        <v>40</v>
      </c>
      <c r="O1319" s="5" t="s">
        <v>5363</v>
      </c>
      <c r="P1319" s="6" t="s">
        <v>42</v>
      </c>
      <c r="Q1319" s="5" t="s">
        <v>1237</v>
      </c>
      <c r="R1319" s="5" t="s">
        <v>10422</v>
      </c>
      <c r="S1319" s="6" t="s">
        <v>79</v>
      </c>
      <c r="T1319" s="6">
        <v>6507.0</v>
      </c>
    </row>
    <row r="1320" ht="56.25" customHeight="1">
      <c r="A1320" s="5" t="s">
        <v>10395</v>
      </c>
      <c r="B1320" s="6" t="str">
        <f>image("https://storage.googleapis.com/acdb/photos/BromideNpcNmlGoa04_Remake_6_0.png")</f>
        <v/>
      </c>
      <c r="C1320" s="5" t="s">
        <v>146</v>
      </c>
      <c r="D1320" s="5" t="s">
        <v>1327</v>
      </c>
      <c r="E1320" s="5" t="s">
        <v>34</v>
      </c>
      <c r="F1320" s="5" t="s">
        <v>34</v>
      </c>
      <c r="G1320" s="5" t="s">
        <v>36</v>
      </c>
      <c r="H1320" s="5" t="s">
        <v>35</v>
      </c>
      <c r="I1320" s="6">
        <v>1.0</v>
      </c>
      <c r="J1320" s="6" t="s">
        <v>37</v>
      </c>
      <c r="K1320" s="6">
        <v>10.0</v>
      </c>
      <c r="L1320" s="5"/>
      <c r="M1320" s="5"/>
      <c r="N1320" s="6" t="s">
        <v>40</v>
      </c>
      <c r="O1320" s="5" t="s">
        <v>5363</v>
      </c>
      <c r="P1320" s="6" t="s">
        <v>42</v>
      </c>
      <c r="Q1320" s="5" t="s">
        <v>1237</v>
      </c>
      <c r="R1320" s="5" t="s">
        <v>10427</v>
      </c>
      <c r="S1320" s="6" t="s">
        <v>86</v>
      </c>
      <c r="T1320" s="6">
        <v>6507.0</v>
      </c>
    </row>
    <row r="1321" ht="56.25" customHeight="1">
      <c r="A1321" s="5" t="s">
        <v>10395</v>
      </c>
      <c r="B1321" s="6" t="str">
        <f>image("https://storage.googleapis.com/acdb/photos/BromideNpcNmlGoa04_Remake_7_0.png")</f>
        <v/>
      </c>
      <c r="C1321" s="5" t="s">
        <v>151</v>
      </c>
      <c r="D1321" s="5" t="s">
        <v>1327</v>
      </c>
      <c r="E1321" s="5" t="s">
        <v>34</v>
      </c>
      <c r="F1321" s="5" t="s">
        <v>34</v>
      </c>
      <c r="G1321" s="5" t="s">
        <v>36</v>
      </c>
      <c r="H1321" s="5" t="s">
        <v>35</v>
      </c>
      <c r="I1321" s="6">
        <v>1.0</v>
      </c>
      <c r="J1321" s="6" t="s">
        <v>37</v>
      </c>
      <c r="K1321" s="6">
        <v>10.0</v>
      </c>
      <c r="L1321" s="5"/>
      <c r="M1321" s="5"/>
      <c r="N1321" s="6" t="s">
        <v>40</v>
      </c>
      <c r="O1321" s="5" t="s">
        <v>5363</v>
      </c>
      <c r="P1321" s="6" t="s">
        <v>42</v>
      </c>
      <c r="Q1321" s="5" t="s">
        <v>1237</v>
      </c>
      <c r="R1321" s="5" t="s">
        <v>10430</v>
      </c>
      <c r="S1321" s="6" t="s">
        <v>208</v>
      </c>
      <c r="T1321" s="6">
        <v>6507.0</v>
      </c>
    </row>
    <row r="1322" ht="56.25" customHeight="1">
      <c r="A1322" s="5" t="s">
        <v>10431</v>
      </c>
      <c r="B1322" s="6" t="str">
        <f>image("https://storage.googleapis.com/acdb/photos/BromideNpcNmlPgn05_Remake_0_0.png")</f>
        <v/>
      </c>
      <c r="C1322" s="5" t="s">
        <v>366</v>
      </c>
      <c r="D1322" s="5" t="s">
        <v>1327</v>
      </c>
      <c r="E1322" s="5" t="s">
        <v>34</v>
      </c>
      <c r="F1322" s="5" t="s">
        <v>34</v>
      </c>
      <c r="G1322" s="5" t="s">
        <v>36</v>
      </c>
      <c r="H1322" s="5" t="s">
        <v>35</v>
      </c>
      <c r="I1322" s="6">
        <v>1.0</v>
      </c>
      <c r="J1322" s="6" t="s">
        <v>37</v>
      </c>
      <c r="K1322" s="6">
        <v>10.0</v>
      </c>
      <c r="L1322" s="5"/>
      <c r="M1322" s="5"/>
      <c r="N1322" s="6" t="s">
        <v>40</v>
      </c>
      <c r="O1322" s="5" t="s">
        <v>5363</v>
      </c>
      <c r="P1322" s="6" t="s">
        <v>42</v>
      </c>
      <c r="Q1322" s="5" t="s">
        <v>1237</v>
      </c>
      <c r="R1322" s="5" t="s">
        <v>10435</v>
      </c>
      <c r="S1322" s="6" t="s">
        <v>50</v>
      </c>
      <c r="T1322" s="6">
        <v>6635.0</v>
      </c>
    </row>
    <row r="1323" ht="56.25" customHeight="1">
      <c r="A1323" s="5" t="s">
        <v>10431</v>
      </c>
      <c r="B1323" s="6" t="str">
        <f>image("https://storage.googleapis.com/acdb/photos/BromideNpcNmlPgn05_Remake_1_0.png")</f>
        <v/>
      </c>
      <c r="C1323" s="5" t="s">
        <v>1132</v>
      </c>
      <c r="D1323" s="5" t="s">
        <v>1327</v>
      </c>
      <c r="E1323" s="5" t="s">
        <v>34</v>
      </c>
      <c r="F1323" s="5" t="s">
        <v>34</v>
      </c>
      <c r="G1323" s="5" t="s">
        <v>36</v>
      </c>
      <c r="H1323" s="5" t="s">
        <v>35</v>
      </c>
      <c r="I1323" s="6">
        <v>1.0</v>
      </c>
      <c r="J1323" s="6" t="s">
        <v>37</v>
      </c>
      <c r="K1323" s="6">
        <v>10.0</v>
      </c>
      <c r="L1323" s="5"/>
      <c r="M1323" s="5"/>
      <c r="N1323" s="6" t="s">
        <v>40</v>
      </c>
      <c r="O1323" s="5" t="s">
        <v>5363</v>
      </c>
      <c r="P1323" s="6" t="s">
        <v>42</v>
      </c>
      <c r="Q1323" s="5" t="s">
        <v>1237</v>
      </c>
      <c r="R1323" s="5" t="s">
        <v>10439</v>
      </c>
      <c r="S1323" s="6" t="s">
        <v>56</v>
      </c>
      <c r="T1323" s="6">
        <v>6635.0</v>
      </c>
    </row>
    <row r="1324" ht="56.25" customHeight="1">
      <c r="A1324" s="5" t="s">
        <v>10431</v>
      </c>
      <c r="B1324" s="6" t="str">
        <f>image("https://storage.googleapis.com/acdb/photos/BromideNpcNmlPgn05_Remake_2_0.png")</f>
        <v/>
      </c>
      <c r="C1324" s="5" t="s">
        <v>688</v>
      </c>
      <c r="D1324" s="5" t="s">
        <v>1327</v>
      </c>
      <c r="E1324" s="5" t="s">
        <v>34</v>
      </c>
      <c r="F1324" s="5" t="s">
        <v>34</v>
      </c>
      <c r="G1324" s="5" t="s">
        <v>36</v>
      </c>
      <c r="H1324" s="5" t="s">
        <v>35</v>
      </c>
      <c r="I1324" s="6">
        <v>1.0</v>
      </c>
      <c r="J1324" s="6" t="s">
        <v>37</v>
      </c>
      <c r="K1324" s="6">
        <v>10.0</v>
      </c>
      <c r="L1324" s="5"/>
      <c r="M1324" s="5"/>
      <c r="N1324" s="6" t="s">
        <v>40</v>
      </c>
      <c r="O1324" s="5" t="s">
        <v>5363</v>
      </c>
      <c r="P1324" s="6" t="s">
        <v>42</v>
      </c>
      <c r="Q1324" s="5" t="s">
        <v>1237</v>
      </c>
      <c r="R1324" s="5" t="s">
        <v>10443</v>
      </c>
      <c r="S1324" s="6" t="s">
        <v>67</v>
      </c>
      <c r="T1324" s="6">
        <v>6635.0</v>
      </c>
    </row>
    <row r="1325" ht="56.25" customHeight="1">
      <c r="A1325" s="5" t="s">
        <v>10431</v>
      </c>
      <c r="B1325" s="6" t="str">
        <f>image("https://storage.googleapis.com/acdb/photos/BromideNpcNmlPgn05_Remake_3_0.png")</f>
        <v/>
      </c>
      <c r="C1325" s="5" t="s">
        <v>57</v>
      </c>
      <c r="D1325" s="5" t="s">
        <v>1327</v>
      </c>
      <c r="E1325" s="5" t="s">
        <v>34</v>
      </c>
      <c r="F1325" s="5" t="s">
        <v>34</v>
      </c>
      <c r="G1325" s="5" t="s">
        <v>36</v>
      </c>
      <c r="H1325" s="5" t="s">
        <v>35</v>
      </c>
      <c r="I1325" s="6">
        <v>1.0</v>
      </c>
      <c r="J1325" s="6" t="s">
        <v>37</v>
      </c>
      <c r="K1325" s="6">
        <v>10.0</v>
      </c>
      <c r="L1325" s="5"/>
      <c r="M1325" s="5"/>
      <c r="N1325" s="6" t="s">
        <v>40</v>
      </c>
      <c r="O1325" s="5" t="s">
        <v>5363</v>
      </c>
      <c r="P1325" s="6" t="s">
        <v>42</v>
      </c>
      <c r="Q1325" s="5" t="s">
        <v>1237</v>
      </c>
      <c r="R1325" s="5" t="s">
        <v>10446</v>
      </c>
      <c r="S1325" s="6" t="s">
        <v>71</v>
      </c>
      <c r="T1325" s="6">
        <v>6635.0</v>
      </c>
    </row>
    <row r="1326" ht="56.25" customHeight="1">
      <c r="A1326" s="5" t="s">
        <v>10431</v>
      </c>
      <c r="B1326" s="6" t="str">
        <f>image("https://storage.googleapis.com/acdb/photos/BromideNpcNmlPgn05_Remake_4_0.png")</f>
        <v/>
      </c>
      <c r="C1326" s="5" t="s">
        <v>1167</v>
      </c>
      <c r="D1326" s="5" t="s">
        <v>1327</v>
      </c>
      <c r="E1326" s="5" t="s">
        <v>34</v>
      </c>
      <c r="F1326" s="5" t="s">
        <v>34</v>
      </c>
      <c r="G1326" s="5" t="s">
        <v>36</v>
      </c>
      <c r="H1326" s="5" t="s">
        <v>35</v>
      </c>
      <c r="I1326" s="6">
        <v>1.0</v>
      </c>
      <c r="J1326" s="6" t="s">
        <v>37</v>
      </c>
      <c r="K1326" s="6">
        <v>10.0</v>
      </c>
      <c r="L1326" s="5"/>
      <c r="M1326" s="5"/>
      <c r="N1326" s="6" t="s">
        <v>40</v>
      </c>
      <c r="O1326" s="5" t="s">
        <v>5363</v>
      </c>
      <c r="P1326" s="6" t="s">
        <v>42</v>
      </c>
      <c r="Q1326" s="5" t="s">
        <v>1237</v>
      </c>
      <c r="R1326" s="5" t="s">
        <v>10449</v>
      </c>
      <c r="S1326" s="6" t="s">
        <v>75</v>
      </c>
      <c r="T1326" s="6">
        <v>6635.0</v>
      </c>
    </row>
    <row r="1327" ht="56.25" customHeight="1">
      <c r="A1327" s="5" t="s">
        <v>10431</v>
      </c>
      <c r="B1327" s="6" t="str">
        <f>image("https://storage.googleapis.com/acdb/photos/BromideNpcNmlPgn05_Remake_5_0.png")</f>
        <v/>
      </c>
      <c r="C1327" s="5" t="s">
        <v>58</v>
      </c>
      <c r="D1327" s="5" t="s">
        <v>1327</v>
      </c>
      <c r="E1327" s="5" t="s">
        <v>34</v>
      </c>
      <c r="F1327" s="5" t="s">
        <v>34</v>
      </c>
      <c r="G1327" s="5" t="s">
        <v>36</v>
      </c>
      <c r="H1327" s="5" t="s">
        <v>35</v>
      </c>
      <c r="I1327" s="6">
        <v>1.0</v>
      </c>
      <c r="J1327" s="6" t="s">
        <v>37</v>
      </c>
      <c r="K1327" s="6">
        <v>10.0</v>
      </c>
      <c r="L1327" s="5"/>
      <c r="M1327" s="5"/>
      <c r="N1327" s="6" t="s">
        <v>40</v>
      </c>
      <c r="O1327" s="5" t="s">
        <v>5363</v>
      </c>
      <c r="P1327" s="6" t="s">
        <v>42</v>
      </c>
      <c r="Q1327" s="5" t="s">
        <v>1237</v>
      </c>
      <c r="R1327" s="5" t="s">
        <v>10453</v>
      </c>
      <c r="S1327" s="6" t="s">
        <v>79</v>
      </c>
      <c r="T1327" s="6">
        <v>6635.0</v>
      </c>
    </row>
    <row r="1328" ht="56.25" customHeight="1">
      <c r="A1328" s="5" t="s">
        <v>10431</v>
      </c>
      <c r="B1328" s="6" t="str">
        <f>image("https://storage.googleapis.com/acdb/photos/BromideNpcNmlPgn05_Remake_6_0.png")</f>
        <v/>
      </c>
      <c r="C1328" s="5" t="s">
        <v>146</v>
      </c>
      <c r="D1328" s="5" t="s">
        <v>1327</v>
      </c>
      <c r="E1328" s="5" t="s">
        <v>34</v>
      </c>
      <c r="F1328" s="5" t="s">
        <v>34</v>
      </c>
      <c r="G1328" s="5" t="s">
        <v>36</v>
      </c>
      <c r="H1328" s="5" t="s">
        <v>35</v>
      </c>
      <c r="I1328" s="6">
        <v>1.0</v>
      </c>
      <c r="J1328" s="6" t="s">
        <v>37</v>
      </c>
      <c r="K1328" s="6">
        <v>10.0</v>
      </c>
      <c r="L1328" s="5"/>
      <c r="M1328" s="5"/>
      <c r="N1328" s="6" t="s">
        <v>40</v>
      </c>
      <c r="O1328" s="5" t="s">
        <v>5363</v>
      </c>
      <c r="P1328" s="6" t="s">
        <v>42</v>
      </c>
      <c r="Q1328" s="5" t="s">
        <v>1237</v>
      </c>
      <c r="R1328" s="5" t="s">
        <v>10457</v>
      </c>
      <c r="S1328" s="6" t="s">
        <v>86</v>
      </c>
      <c r="T1328" s="6">
        <v>6635.0</v>
      </c>
    </row>
    <row r="1329" ht="56.25" customHeight="1">
      <c r="A1329" s="5" t="s">
        <v>10431</v>
      </c>
      <c r="B1329" s="6" t="str">
        <f>image("https://storage.googleapis.com/acdb/photos/BromideNpcNmlPgn05_Remake_7_0.png")</f>
        <v/>
      </c>
      <c r="C1329" s="5" t="s">
        <v>151</v>
      </c>
      <c r="D1329" s="5" t="s">
        <v>1327</v>
      </c>
      <c r="E1329" s="5" t="s">
        <v>34</v>
      </c>
      <c r="F1329" s="5" t="s">
        <v>34</v>
      </c>
      <c r="G1329" s="5" t="s">
        <v>36</v>
      </c>
      <c r="H1329" s="5" t="s">
        <v>35</v>
      </c>
      <c r="I1329" s="6">
        <v>1.0</v>
      </c>
      <c r="J1329" s="6" t="s">
        <v>37</v>
      </c>
      <c r="K1329" s="6">
        <v>10.0</v>
      </c>
      <c r="L1329" s="5"/>
      <c r="M1329" s="5"/>
      <c r="N1329" s="6" t="s">
        <v>40</v>
      </c>
      <c r="O1329" s="5" t="s">
        <v>5363</v>
      </c>
      <c r="P1329" s="6" t="s">
        <v>42</v>
      </c>
      <c r="Q1329" s="5" t="s">
        <v>1237</v>
      </c>
      <c r="R1329" s="5" t="s">
        <v>10460</v>
      </c>
      <c r="S1329" s="6" t="s">
        <v>208</v>
      </c>
      <c r="T1329" s="6">
        <v>6635.0</v>
      </c>
    </row>
    <row r="1330" ht="56.25" customHeight="1">
      <c r="A1330" s="5" t="s">
        <v>10461</v>
      </c>
      <c r="B1330" s="6" t="str">
        <f>image("https://storage.googleapis.com/acdb/photos/BromideNpcNmlHam00_Remake_0_0.png")</f>
        <v/>
      </c>
      <c r="C1330" s="5" t="s">
        <v>366</v>
      </c>
      <c r="D1330" s="5" t="s">
        <v>1327</v>
      </c>
      <c r="E1330" s="5" t="s">
        <v>34</v>
      </c>
      <c r="F1330" s="5" t="s">
        <v>34</v>
      </c>
      <c r="G1330" s="5" t="s">
        <v>36</v>
      </c>
      <c r="H1330" s="5" t="s">
        <v>35</v>
      </c>
      <c r="I1330" s="6">
        <v>1.0</v>
      </c>
      <c r="J1330" s="6" t="s">
        <v>37</v>
      </c>
      <c r="K1330" s="6">
        <v>10.0</v>
      </c>
      <c r="L1330" s="5"/>
      <c r="M1330" s="5"/>
      <c r="N1330" s="6" t="s">
        <v>40</v>
      </c>
      <c r="O1330" s="5" t="s">
        <v>5363</v>
      </c>
      <c r="P1330" s="6" t="s">
        <v>42</v>
      </c>
      <c r="Q1330" s="5" t="s">
        <v>1237</v>
      </c>
      <c r="R1330" s="5" t="s">
        <v>10465</v>
      </c>
      <c r="S1330" s="6" t="s">
        <v>50</v>
      </c>
      <c r="T1330" s="6">
        <v>6521.0</v>
      </c>
    </row>
    <row r="1331" ht="56.25" customHeight="1">
      <c r="A1331" s="5" t="s">
        <v>10461</v>
      </c>
      <c r="B1331" s="6" t="str">
        <f>image("https://storage.googleapis.com/acdb/photos/BromideNpcNmlHam00_Remake_1_0.png")</f>
        <v/>
      </c>
      <c r="C1331" s="5" t="s">
        <v>1132</v>
      </c>
      <c r="D1331" s="5" t="s">
        <v>1327</v>
      </c>
      <c r="E1331" s="5" t="s">
        <v>34</v>
      </c>
      <c r="F1331" s="5" t="s">
        <v>34</v>
      </c>
      <c r="G1331" s="5" t="s">
        <v>36</v>
      </c>
      <c r="H1331" s="5" t="s">
        <v>35</v>
      </c>
      <c r="I1331" s="6">
        <v>1.0</v>
      </c>
      <c r="J1331" s="6" t="s">
        <v>37</v>
      </c>
      <c r="K1331" s="6">
        <v>10.0</v>
      </c>
      <c r="L1331" s="5"/>
      <c r="M1331" s="5"/>
      <c r="N1331" s="6" t="s">
        <v>40</v>
      </c>
      <c r="O1331" s="5" t="s">
        <v>5363</v>
      </c>
      <c r="P1331" s="6" t="s">
        <v>42</v>
      </c>
      <c r="Q1331" s="5" t="s">
        <v>1237</v>
      </c>
      <c r="R1331" s="5" t="s">
        <v>10468</v>
      </c>
      <c r="S1331" s="6" t="s">
        <v>56</v>
      </c>
      <c r="T1331" s="6">
        <v>6521.0</v>
      </c>
    </row>
    <row r="1332" ht="56.25" customHeight="1">
      <c r="A1332" s="5" t="s">
        <v>10461</v>
      </c>
      <c r="B1332" s="6" t="str">
        <f>image("https://storage.googleapis.com/acdb/photos/BromideNpcNmlHam00_Remake_2_0.png")</f>
        <v/>
      </c>
      <c r="C1332" s="5" t="s">
        <v>688</v>
      </c>
      <c r="D1332" s="5" t="s">
        <v>1327</v>
      </c>
      <c r="E1332" s="5" t="s">
        <v>34</v>
      </c>
      <c r="F1332" s="5" t="s">
        <v>34</v>
      </c>
      <c r="G1332" s="5" t="s">
        <v>36</v>
      </c>
      <c r="H1332" s="5" t="s">
        <v>35</v>
      </c>
      <c r="I1332" s="6">
        <v>1.0</v>
      </c>
      <c r="J1332" s="6" t="s">
        <v>37</v>
      </c>
      <c r="K1332" s="6">
        <v>10.0</v>
      </c>
      <c r="L1332" s="5"/>
      <c r="M1332" s="5"/>
      <c r="N1332" s="6" t="s">
        <v>40</v>
      </c>
      <c r="O1332" s="5" t="s">
        <v>5363</v>
      </c>
      <c r="P1332" s="6" t="s">
        <v>42</v>
      </c>
      <c r="Q1332" s="5" t="s">
        <v>1237</v>
      </c>
      <c r="R1332" s="5" t="s">
        <v>10472</v>
      </c>
      <c r="S1332" s="6" t="s">
        <v>67</v>
      </c>
      <c r="T1332" s="6">
        <v>6521.0</v>
      </c>
    </row>
    <row r="1333" ht="56.25" customHeight="1">
      <c r="A1333" s="5" t="s">
        <v>10461</v>
      </c>
      <c r="B1333" s="6" t="str">
        <f>image("https://storage.googleapis.com/acdb/photos/BromideNpcNmlHam00_Remake_3_0.png")</f>
        <v/>
      </c>
      <c r="C1333" s="5" t="s">
        <v>57</v>
      </c>
      <c r="D1333" s="5" t="s">
        <v>1327</v>
      </c>
      <c r="E1333" s="5" t="s">
        <v>34</v>
      </c>
      <c r="F1333" s="5" t="s">
        <v>34</v>
      </c>
      <c r="G1333" s="5" t="s">
        <v>36</v>
      </c>
      <c r="H1333" s="5" t="s">
        <v>35</v>
      </c>
      <c r="I1333" s="6">
        <v>1.0</v>
      </c>
      <c r="J1333" s="6" t="s">
        <v>37</v>
      </c>
      <c r="K1333" s="6">
        <v>10.0</v>
      </c>
      <c r="L1333" s="5"/>
      <c r="M1333" s="5"/>
      <c r="N1333" s="6" t="s">
        <v>40</v>
      </c>
      <c r="O1333" s="5" t="s">
        <v>5363</v>
      </c>
      <c r="P1333" s="6" t="s">
        <v>42</v>
      </c>
      <c r="Q1333" s="5" t="s">
        <v>1237</v>
      </c>
      <c r="R1333" s="5" t="s">
        <v>10474</v>
      </c>
      <c r="S1333" s="6" t="s">
        <v>71</v>
      </c>
      <c r="T1333" s="6">
        <v>6521.0</v>
      </c>
    </row>
    <row r="1334" ht="56.25" customHeight="1">
      <c r="A1334" s="5" t="s">
        <v>10461</v>
      </c>
      <c r="B1334" s="6" t="str">
        <f>image("https://storage.googleapis.com/acdb/photos/BromideNpcNmlHam00_Remake_4_0.png")</f>
        <v/>
      </c>
      <c r="C1334" s="5" t="s">
        <v>1167</v>
      </c>
      <c r="D1334" s="5" t="s">
        <v>1327</v>
      </c>
      <c r="E1334" s="5" t="s">
        <v>34</v>
      </c>
      <c r="F1334" s="5" t="s">
        <v>34</v>
      </c>
      <c r="G1334" s="5" t="s">
        <v>36</v>
      </c>
      <c r="H1334" s="5" t="s">
        <v>35</v>
      </c>
      <c r="I1334" s="6">
        <v>1.0</v>
      </c>
      <c r="J1334" s="6" t="s">
        <v>37</v>
      </c>
      <c r="K1334" s="6">
        <v>10.0</v>
      </c>
      <c r="L1334" s="5"/>
      <c r="M1334" s="5"/>
      <c r="N1334" s="6" t="s">
        <v>40</v>
      </c>
      <c r="O1334" s="5" t="s">
        <v>5363</v>
      </c>
      <c r="P1334" s="6" t="s">
        <v>42</v>
      </c>
      <c r="Q1334" s="5" t="s">
        <v>1237</v>
      </c>
      <c r="R1334" s="5" t="s">
        <v>10479</v>
      </c>
      <c r="S1334" s="6" t="s">
        <v>75</v>
      </c>
      <c r="T1334" s="6">
        <v>6521.0</v>
      </c>
    </row>
    <row r="1335" ht="56.25" customHeight="1">
      <c r="A1335" s="5" t="s">
        <v>10461</v>
      </c>
      <c r="B1335" s="6" t="str">
        <f>image("https://storage.googleapis.com/acdb/photos/BromideNpcNmlHam00_Remake_5_0.png")</f>
        <v/>
      </c>
      <c r="C1335" s="5" t="s">
        <v>58</v>
      </c>
      <c r="D1335" s="5" t="s">
        <v>1327</v>
      </c>
      <c r="E1335" s="5" t="s">
        <v>34</v>
      </c>
      <c r="F1335" s="5" t="s">
        <v>34</v>
      </c>
      <c r="G1335" s="5" t="s">
        <v>36</v>
      </c>
      <c r="H1335" s="5" t="s">
        <v>35</v>
      </c>
      <c r="I1335" s="6">
        <v>1.0</v>
      </c>
      <c r="J1335" s="6" t="s">
        <v>37</v>
      </c>
      <c r="K1335" s="6">
        <v>10.0</v>
      </c>
      <c r="L1335" s="5"/>
      <c r="M1335" s="5"/>
      <c r="N1335" s="6" t="s">
        <v>40</v>
      </c>
      <c r="O1335" s="5" t="s">
        <v>5363</v>
      </c>
      <c r="P1335" s="6" t="s">
        <v>42</v>
      </c>
      <c r="Q1335" s="5" t="s">
        <v>1237</v>
      </c>
      <c r="R1335" s="5" t="s">
        <v>10480</v>
      </c>
      <c r="S1335" s="6" t="s">
        <v>79</v>
      </c>
      <c r="T1335" s="6">
        <v>6521.0</v>
      </c>
    </row>
    <row r="1336" ht="56.25" customHeight="1">
      <c r="A1336" s="5" t="s">
        <v>10461</v>
      </c>
      <c r="B1336" s="6" t="str">
        <f>image("https://storage.googleapis.com/acdb/photos/BromideNpcNmlHam00_Remake_6_0.png")</f>
        <v/>
      </c>
      <c r="C1336" s="5" t="s">
        <v>146</v>
      </c>
      <c r="D1336" s="5" t="s">
        <v>1327</v>
      </c>
      <c r="E1336" s="5" t="s">
        <v>34</v>
      </c>
      <c r="F1336" s="5" t="s">
        <v>34</v>
      </c>
      <c r="G1336" s="5" t="s">
        <v>36</v>
      </c>
      <c r="H1336" s="5" t="s">
        <v>35</v>
      </c>
      <c r="I1336" s="6">
        <v>1.0</v>
      </c>
      <c r="J1336" s="6" t="s">
        <v>37</v>
      </c>
      <c r="K1336" s="6">
        <v>10.0</v>
      </c>
      <c r="L1336" s="5"/>
      <c r="M1336" s="5"/>
      <c r="N1336" s="6" t="s">
        <v>40</v>
      </c>
      <c r="O1336" s="5" t="s">
        <v>5363</v>
      </c>
      <c r="P1336" s="6" t="s">
        <v>42</v>
      </c>
      <c r="Q1336" s="5" t="s">
        <v>1237</v>
      </c>
      <c r="R1336" s="5" t="s">
        <v>10485</v>
      </c>
      <c r="S1336" s="6" t="s">
        <v>86</v>
      </c>
      <c r="T1336" s="6">
        <v>6521.0</v>
      </c>
    </row>
    <row r="1337" ht="56.25" customHeight="1">
      <c r="A1337" s="5" t="s">
        <v>10461</v>
      </c>
      <c r="B1337" s="6" t="str">
        <f>image("https://storage.googleapis.com/acdb/photos/BromideNpcNmlHam00_Remake_7_0.png")</f>
        <v/>
      </c>
      <c r="C1337" s="5" t="s">
        <v>151</v>
      </c>
      <c r="D1337" s="5" t="s">
        <v>1327</v>
      </c>
      <c r="E1337" s="5" t="s">
        <v>34</v>
      </c>
      <c r="F1337" s="5" t="s">
        <v>34</v>
      </c>
      <c r="G1337" s="5" t="s">
        <v>36</v>
      </c>
      <c r="H1337" s="5" t="s">
        <v>35</v>
      </c>
      <c r="I1337" s="6">
        <v>1.0</v>
      </c>
      <c r="J1337" s="6" t="s">
        <v>37</v>
      </c>
      <c r="K1337" s="6">
        <v>10.0</v>
      </c>
      <c r="L1337" s="5"/>
      <c r="M1337" s="5"/>
      <c r="N1337" s="6" t="s">
        <v>40</v>
      </c>
      <c r="O1337" s="5" t="s">
        <v>5363</v>
      </c>
      <c r="P1337" s="6" t="s">
        <v>42</v>
      </c>
      <c r="Q1337" s="5" t="s">
        <v>1237</v>
      </c>
      <c r="R1337" s="5" t="s">
        <v>10488</v>
      </c>
      <c r="S1337" s="6" t="s">
        <v>208</v>
      </c>
      <c r="T1337" s="6">
        <v>6521.0</v>
      </c>
    </row>
    <row r="1338" ht="56.25" customHeight="1">
      <c r="A1338" s="5" t="s">
        <v>10490</v>
      </c>
      <c r="B1338" s="6" t="str">
        <f>image("https://storage.googleapis.com/acdb/photos/BromideNpcNmlHam07_Remake_0_0.png")</f>
        <v/>
      </c>
      <c r="C1338" s="5" t="s">
        <v>366</v>
      </c>
      <c r="D1338" s="5" t="s">
        <v>1327</v>
      </c>
      <c r="E1338" s="5" t="s">
        <v>34</v>
      </c>
      <c r="F1338" s="5" t="s">
        <v>34</v>
      </c>
      <c r="G1338" s="5" t="s">
        <v>36</v>
      </c>
      <c r="H1338" s="5" t="s">
        <v>35</v>
      </c>
      <c r="I1338" s="6">
        <v>1.0</v>
      </c>
      <c r="J1338" s="6" t="s">
        <v>37</v>
      </c>
      <c r="K1338" s="6">
        <v>10.0</v>
      </c>
      <c r="L1338" s="5"/>
      <c r="M1338" s="5"/>
      <c r="N1338" s="6" t="s">
        <v>40</v>
      </c>
      <c r="O1338" s="5" t="s">
        <v>5363</v>
      </c>
      <c r="P1338" s="6" t="s">
        <v>42</v>
      </c>
      <c r="Q1338" s="5" t="s">
        <v>1237</v>
      </c>
      <c r="R1338" s="5" t="s">
        <v>10491</v>
      </c>
      <c r="S1338" s="6" t="s">
        <v>50</v>
      </c>
      <c r="T1338" s="6">
        <v>6529.0</v>
      </c>
    </row>
    <row r="1339" ht="56.25" customHeight="1">
      <c r="A1339" s="5" t="s">
        <v>10490</v>
      </c>
      <c r="B1339" s="6" t="str">
        <f>image("https://storage.googleapis.com/acdb/photos/BromideNpcNmlHam07_Remake_1_0.png")</f>
        <v/>
      </c>
      <c r="C1339" s="5" t="s">
        <v>1132</v>
      </c>
      <c r="D1339" s="5" t="s">
        <v>1327</v>
      </c>
      <c r="E1339" s="5" t="s">
        <v>34</v>
      </c>
      <c r="F1339" s="5" t="s">
        <v>34</v>
      </c>
      <c r="G1339" s="5" t="s">
        <v>36</v>
      </c>
      <c r="H1339" s="5" t="s">
        <v>35</v>
      </c>
      <c r="I1339" s="6">
        <v>1.0</v>
      </c>
      <c r="J1339" s="6" t="s">
        <v>37</v>
      </c>
      <c r="K1339" s="6">
        <v>10.0</v>
      </c>
      <c r="L1339" s="5"/>
      <c r="M1339" s="5"/>
      <c r="N1339" s="6" t="s">
        <v>40</v>
      </c>
      <c r="O1339" s="5" t="s">
        <v>5363</v>
      </c>
      <c r="P1339" s="6" t="s">
        <v>42</v>
      </c>
      <c r="Q1339" s="5" t="s">
        <v>1237</v>
      </c>
      <c r="R1339" s="5" t="s">
        <v>10493</v>
      </c>
      <c r="S1339" s="6" t="s">
        <v>56</v>
      </c>
      <c r="T1339" s="6">
        <v>6529.0</v>
      </c>
    </row>
    <row r="1340" ht="56.25" customHeight="1">
      <c r="A1340" s="5" t="s">
        <v>10490</v>
      </c>
      <c r="B1340" s="6" t="str">
        <f>image("https://storage.googleapis.com/acdb/photos/BromideNpcNmlHam07_Remake_2_0.png")</f>
        <v/>
      </c>
      <c r="C1340" s="5" t="s">
        <v>688</v>
      </c>
      <c r="D1340" s="5" t="s">
        <v>1327</v>
      </c>
      <c r="E1340" s="5" t="s">
        <v>34</v>
      </c>
      <c r="F1340" s="5" t="s">
        <v>34</v>
      </c>
      <c r="G1340" s="5" t="s">
        <v>36</v>
      </c>
      <c r="H1340" s="5" t="s">
        <v>35</v>
      </c>
      <c r="I1340" s="6">
        <v>1.0</v>
      </c>
      <c r="J1340" s="6" t="s">
        <v>37</v>
      </c>
      <c r="K1340" s="6">
        <v>10.0</v>
      </c>
      <c r="L1340" s="5"/>
      <c r="M1340" s="5"/>
      <c r="N1340" s="6" t="s">
        <v>40</v>
      </c>
      <c r="O1340" s="5" t="s">
        <v>5363</v>
      </c>
      <c r="P1340" s="6" t="s">
        <v>42</v>
      </c>
      <c r="Q1340" s="5" t="s">
        <v>1237</v>
      </c>
      <c r="R1340" s="5" t="s">
        <v>10496</v>
      </c>
      <c r="S1340" s="6" t="s">
        <v>67</v>
      </c>
      <c r="T1340" s="6">
        <v>6529.0</v>
      </c>
    </row>
    <row r="1341" ht="56.25" customHeight="1">
      <c r="A1341" s="5" t="s">
        <v>10490</v>
      </c>
      <c r="B1341" s="6" t="str">
        <f>image("https://storage.googleapis.com/acdb/photos/BromideNpcNmlHam07_Remake_3_0.png")</f>
        <v/>
      </c>
      <c r="C1341" s="5" t="s">
        <v>57</v>
      </c>
      <c r="D1341" s="5" t="s">
        <v>1327</v>
      </c>
      <c r="E1341" s="5" t="s">
        <v>34</v>
      </c>
      <c r="F1341" s="5" t="s">
        <v>34</v>
      </c>
      <c r="G1341" s="5" t="s">
        <v>36</v>
      </c>
      <c r="H1341" s="5" t="s">
        <v>35</v>
      </c>
      <c r="I1341" s="6">
        <v>1.0</v>
      </c>
      <c r="J1341" s="6" t="s">
        <v>37</v>
      </c>
      <c r="K1341" s="6">
        <v>10.0</v>
      </c>
      <c r="L1341" s="5"/>
      <c r="M1341" s="5"/>
      <c r="N1341" s="6" t="s">
        <v>40</v>
      </c>
      <c r="O1341" s="5" t="s">
        <v>5363</v>
      </c>
      <c r="P1341" s="6" t="s">
        <v>42</v>
      </c>
      <c r="Q1341" s="5" t="s">
        <v>1237</v>
      </c>
      <c r="R1341" s="5" t="s">
        <v>10500</v>
      </c>
      <c r="S1341" s="6" t="s">
        <v>71</v>
      </c>
      <c r="T1341" s="6">
        <v>6529.0</v>
      </c>
    </row>
    <row r="1342" ht="56.25" customHeight="1">
      <c r="A1342" s="5" t="s">
        <v>10490</v>
      </c>
      <c r="B1342" s="6" t="str">
        <f>image("https://storage.googleapis.com/acdb/photos/BromideNpcNmlHam07_Remake_4_0.png")</f>
        <v/>
      </c>
      <c r="C1342" s="5" t="s">
        <v>1167</v>
      </c>
      <c r="D1342" s="5" t="s">
        <v>1327</v>
      </c>
      <c r="E1342" s="5" t="s">
        <v>34</v>
      </c>
      <c r="F1342" s="5" t="s">
        <v>34</v>
      </c>
      <c r="G1342" s="5" t="s">
        <v>36</v>
      </c>
      <c r="H1342" s="5" t="s">
        <v>35</v>
      </c>
      <c r="I1342" s="6">
        <v>1.0</v>
      </c>
      <c r="J1342" s="6" t="s">
        <v>37</v>
      </c>
      <c r="K1342" s="6">
        <v>10.0</v>
      </c>
      <c r="L1342" s="5"/>
      <c r="M1342" s="5"/>
      <c r="N1342" s="6" t="s">
        <v>40</v>
      </c>
      <c r="O1342" s="5" t="s">
        <v>5363</v>
      </c>
      <c r="P1342" s="6" t="s">
        <v>42</v>
      </c>
      <c r="Q1342" s="5" t="s">
        <v>1237</v>
      </c>
      <c r="R1342" s="5" t="s">
        <v>10505</v>
      </c>
      <c r="S1342" s="6" t="s">
        <v>75</v>
      </c>
      <c r="T1342" s="6">
        <v>6529.0</v>
      </c>
    </row>
    <row r="1343" ht="56.25" customHeight="1">
      <c r="A1343" s="5" t="s">
        <v>10490</v>
      </c>
      <c r="B1343" s="6" t="str">
        <f>image("https://storage.googleapis.com/acdb/photos/BromideNpcNmlHam07_Remake_5_0.png")</f>
        <v/>
      </c>
      <c r="C1343" s="5" t="s">
        <v>58</v>
      </c>
      <c r="D1343" s="5" t="s">
        <v>1327</v>
      </c>
      <c r="E1343" s="5" t="s">
        <v>34</v>
      </c>
      <c r="F1343" s="5" t="s">
        <v>34</v>
      </c>
      <c r="G1343" s="5" t="s">
        <v>36</v>
      </c>
      <c r="H1343" s="5" t="s">
        <v>35</v>
      </c>
      <c r="I1343" s="6">
        <v>1.0</v>
      </c>
      <c r="J1343" s="6" t="s">
        <v>37</v>
      </c>
      <c r="K1343" s="6">
        <v>10.0</v>
      </c>
      <c r="L1343" s="5"/>
      <c r="M1343" s="5"/>
      <c r="N1343" s="6" t="s">
        <v>40</v>
      </c>
      <c r="O1343" s="5" t="s">
        <v>5363</v>
      </c>
      <c r="P1343" s="6" t="s">
        <v>42</v>
      </c>
      <c r="Q1343" s="5" t="s">
        <v>1237</v>
      </c>
      <c r="R1343" s="5" t="s">
        <v>10507</v>
      </c>
      <c r="S1343" s="6" t="s">
        <v>79</v>
      </c>
      <c r="T1343" s="6">
        <v>6529.0</v>
      </c>
    </row>
    <row r="1344" ht="56.25" customHeight="1">
      <c r="A1344" s="5" t="s">
        <v>10490</v>
      </c>
      <c r="B1344" s="6" t="str">
        <f>image("https://storage.googleapis.com/acdb/photos/BromideNpcNmlHam07_Remake_6_0.png")</f>
        <v/>
      </c>
      <c r="C1344" s="5" t="s">
        <v>146</v>
      </c>
      <c r="D1344" s="5" t="s">
        <v>1327</v>
      </c>
      <c r="E1344" s="5" t="s">
        <v>34</v>
      </c>
      <c r="F1344" s="5" t="s">
        <v>34</v>
      </c>
      <c r="G1344" s="5" t="s">
        <v>36</v>
      </c>
      <c r="H1344" s="5" t="s">
        <v>35</v>
      </c>
      <c r="I1344" s="6">
        <v>1.0</v>
      </c>
      <c r="J1344" s="6" t="s">
        <v>37</v>
      </c>
      <c r="K1344" s="6">
        <v>10.0</v>
      </c>
      <c r="L1344" s="5"/>
      <c r="M1344" s="5"/>
      <c r="N1344" s="6" t="s">
        <v>40</v>
      </c>
      <c r="O1344" s="5" t="s">
        <v>5363</v>
      </c>
      <c r="P1344" s="6" t="s">
        <v>42</v>
      </c>
      <c r="Q1344" s="5" t="s">
        <v>1237</v>
      </c>
      <c r="R1344" s="5" t="s">
        <v>10510</v>
      </c>
      <c r="S1344" s="6" t="s">
        <v>86</v>
      </c>
      <c r="T1344" s="6">
        <v>6529.0</v>
      </c>
    </row>
    <row r="1345" ht="56.25" customHeight="1">
      <c r="A1345" s="5" t="s">
        <v>10490</v>
      </c>
      <c r="B1345" s="6" t="str">
        <f>image("https://storage.googleapis.com/acdb/photos/BromideNpcNmlHam07_Remake_7_0.png")</f>
        <v/>
      </c>
      <c r="C1345" s="5" t="s">
        <v>151</v>
      </c>
      <c r="D1345" s="5" t="s">
        <v>1327</v>
      </c>
      <c r="E1345" s="5" t="s">
        <v>34</v>
      </c>
      <c r="F1345" s="5" t="s">
        <v>34</v>
      </c>
      <c r="G1345" s="5" t="s">
        <v>36</v>
      </c>
      <c r="H1345" s="5" t="s">
        <v>35</v>
      </c>
      <c r="I1345" s="6">
        <v>1.0</v>
      </c>
      <c r="J1345" s="6" t="s">
        <v>37</v>
      </c>
      <c r="K1345" s="6">
        <v>10.0</v>
      </c>
      <c r="L1345" s="5"/>
      <c r="M1345" s="5"/>
      <c r="N1345" s="6" t="s">
        <v>40</v>
      </c>
      <c r="O1345" s="5" t="s">
        <v>5363</v>
      </c>
      <c r="P1345" s="6" t="s">
        <v>42</v>
      </c>
      <c r="Q1345" s="5" t="s">
        <v>1237</v>
      </c>
      <c r="R1345" s="5" t="s">
        <v>10514</v>
      </c>
      <c r="S1345" s="6" t="s">
        <v>208</v>
      </c>
      <c r="T1345" s="6">
        <v>6529.0</v>
      </c>
    </row>
    <row r="1346" ht="56.25" customHeight="1">
      <c r="A1346" s="5" t="s">
        <v>10515</v>
      </c>
      <c r="B1346" s="6" t="str">
        <f>image("https://storage.googleapis.com/acdb/photos/BromideNpcNmlGor10_Remake_0_0.png")</f>
        <v/>
      </c>
      <c r="C1346" s="5" t="s">
        <v>366</v>
      </c>
      <c r="D1346" s="5" t="s">
        <v>1327</v>
      </c>
      <c r="E1346" s="5" t="s">
        <v>34</v>
      </c>
      <c r="F1346" s="5" t="s">
        <v>34</v>
      </c>
      <c r="G1346" s="5" t="s">
        <v>36</v>
      </c>
      <c r="H1346" s="5" t="s">
        <v>35</v>
      </c>
      <c r="I1346" s="6">
        <v>1.0</v>
      </c>
      <c r="J1346" s="6" t="s">
        <v>37</v>
      </c>
      <c r="K1346" s="6">
        <v>10.0</v>
      </c>
      <c r="L1346" s="5"/>
      <c r="M1346" s="5"/>
      <c r="N1346" s="6" t="s">
        <v>40</v>
      </c>
      <c r="O1346" s="5" t="s">
        <v>5363</v>
      </c>
      <c r="P1346" s="6" t="s">
        <v>42</v>
      </c>
      <c r="Q1346" s="5" t="s">
        <v>1237</v>
      </c>
      <c r="R1346" s="5" t="s">
        <v>10517</v>
      </c>
      <c r="S1346" s="6" t="s">
        <v>50</v>
      </c>
      <c r="T1346" s="6">
        <v>6520.0</v>
      </c>
    </row>
    <row r="1347" ht="56.25" customHeight="1">
      <c r="A1347" s="5" t="s">
        <v>10515</v>
      </c>
      <c r="B1347" s="6" t="str">
        <f>image("https://storage.googleapis.com/acdb/photos/BromideNpcNmlGor10_Remake_1_0.png")</f>
        <v/>
      </c>
      <c r="C1347" s="5" t="s">
        <v>1132</v>
      </c>
      <c r="D1347" s="5" t="s">
        <v>1327</v>
      </c>
      <c r="E1347" s="5" t="s">
        <v>34</v>
      </c>
      <c r="F1347" s="5" t="s">
        <v>34</v>
      </c>
      <c r="G1347" s="5" t="s">
        <v>36</v>
      </c>
      <c r="H1347" s="5" t="s">
        <v>35</v>
      </c>
      <c r="I1347" s="6">
        <v>1.0</v>
      </c>
      <c r="J1347" s="6" t="s">
        <v>37</v>
      </c>
      <c r="K1347" s="6">
        <v>10.0</v>
      </c>
      <c r="L1347" s="5"/>
      <c r="M1347" s="5"/>
      <c r="N1347" s="6" t="s">
        <v>40</v>
      </c>
      <c r="O1347" s="5" t="s">
        <v>5363</v>
      </c>
      <c r="P1347" s="6" t="s">
        <v>42</v>
      </c>
      <c r="Q1347" s="5" t="s">
        <v>1237</v>
      </c>
      <c r="R1347" s="5" t="s">
        <v>10522</v>
      </c>
      <c r="S1347" s="6" t="s">
        <v>56</v>
      </c>
      <c r="T1347" s="6">
        <v>6520.0</v>
      </c>
    </row>
    <row r="1348" ht="56.25" customHeight="1">
      <c r="A1348" s="5" t="s">
        <v>10515</v>
      </c>
      <c r="B1348" s="6" t="str">
        <f>image("https://storage.googleapis.com/acdb/photos/BromideNpcNmlGor10_Remake_2_0.png")</f>
        <v/>
      </c>
      <c r="C1348" s="5" t="s">
        <v>688</v>
      </c>
      <c r="D1348" s="5" t="s">
        <v>1327</v>
      </c>
      <c r="E1348" s="5" t="s">
        <v>34</v>
      </c>
      <c r="F1348" s="5" t="s">
        <v>34</v>
      </c>
      <c r="G1348" s="5" t="s">
        <v>36</v>
      </c>
      <c r="H1348" s="5" t="s">
        <v>35</v>
      </c>
      <c r="I1348" s="6">
        <v>1.0</v>
      </c>
      <c r="J1348" s="6" t="s">
        <v>37</v>
      </c>
      <c r="K1348" s="6">
        <v>10.0</v>
      </c>
      <c r="L1348" s="5"/>
      <c r="M1348" s="5"/>
      <c r="N1348" s="6" t="s">
        <v>40</v>
      </c>
      <c r="O1348" s="5" t="s">
        <v>5363</v>
      </c>
      <c r="P1348" s="6" t="s">
        <v>42</v>
      </c>
      <c r="Q1348" s="5" t="s">
        <v>1237</v>
      </c>
      <c r="R1348" s="5" t="s">
        <v>10524</v>
      </c>
      <c r="S1348" s="6" t="s">
        <v>67</v>
      </c>
      <c r="T1348" s="6">
        <v>6520.0</v>
      </c>
    </row>
    <row r="1349" ht="56.25" customHeight="1">
      <c r="A1349" s="5" t="s">
        <v>10515</v>
      </c>
      <c r="B1349" s="6" t="str">
        <f>image("https://storage.googleapis.com/acdb/photos/BromideNpcNmlGor10_Remake_3_0.png")</f>
        <v/>
      </c>
      <c r="C1349" s="5" t="s">
        <v>57</v>
      </c>
      <c r="D1349" s="5" t="s">
        <v>1327</v>
      </c>
      <c r="E1349" s="5" t="s">
        <v>34</v>
      </c>
      <c r="F1349" s="5" t="s">
        <v>34</v>
      </c>
      <c r="G1349" s="5" t="s">
        <v>36</v>
      </c>
      <c r="H1349" s="5" t="s">
        <v>35</v>
      </c>
      <c r="I1349" s="6">
        <v>1.0</v>
      </c>
      <c r="J1349" s="6" t="s">
        <v>37</v>
      </c>
      <c r="K1349" s="6">
        <v>10.0</v>
      </c>
      <c r="L1349" s="5"/>
      <c r="M1349" s="5"/>
      <c r="N1349" s="6" t="s">
        <v>40</v>
      </c>
      <c r="O1349" s="5" t="s">
        <v>5363</v>
      </c>
      <c r="P1349" s="6" t="s">
        <v>42</v>
      </c>
      <c r="Q1349" s="5" t="s">
        <v>1237</v>
      </c>
      <c r="R1349" s="5" t="s">
        <v>10527</v>
      </c>
      <c r="S1349" s="6" t="s">
        <v>71</v>
      </c>
      <c r="T1349" s="6">
        <v>6520.0</v>
      </c>
    </row>
    <row r="1350" ht="56.25" customHeight="1">
      <c r="A1350" s="5" t="s">
        <v>10515</v>
      </c>
      <c r="B1350" s="6" t="str">
        <f>image("https://storage.googleapis.com/acdb/photos/BromideNpcNmlGor10_Remake_4_0.png")</f>
        <v/>
      </c>
      <c r="C1350" s="5" t="s">
        <v>1167</v>
      </c>
      <c r="D1350" s="5" t="s">
        <v>1327</v>
      </c>
      <c r="E1350" s="5" t="s">
        <v>34</v>
      </c>
      <c r="F1350" s="5" t="s">
        <v>34</v>
      </c>
      <c r="G1350" s="5" t="s">
        <v>36</v>
      </c>
      <c r="H1350" s="5" t="s">
        <v>35</v>
      </c>
      <c r="I1350" s="6">
        <v>1.0</v>
      </c>
      <c r="J1350" s="6" t="s">
        <v>37</v>
      </c>
      <c r="K1350" s="6">
        <v>10.0</v>
      </c>
      <c r="L1350" s="5"/>
      <c r="M1350" s="5"/>
      <c r="N1350" s="6" t="s">
        <v>40</v>
      </c>
      <c r="O1350" s="5" t="s">
        <v>5363</v>
      </c>
      <c r="P1350" s="6" t="s">
        <v>42</v>
      </c>
      <c r="Q1350" s="5" t="s">
        <v>1237</v>
      </c>
      <c r="R1350" s="5" t="s">
        <v>10528</v>
      </c>
      <c r="S1350" s="6" t="s">
        <v>75</v>
      </c>
      <c r="T1350" s="6">
        <v>6520.0</v>
      </c>
    </row>
    <row r="1351" ht="56.25" customHeight="1">
      <c r="A1351" s="5" t="s">
        <v>10515</v>
      </c>
      <c r="B1351" s="6" t="str">
        <f>image("https://storage.googleapis.com/acdb/photos/BromideNpcNmlGor10_Remake_5_0.png")</f>
        <v/>
      </c>
      <c r="C1351" s="5" t="s">
        <v>58</v>
      </c>
      <c r="D1351" s="5" t="s">
        <v>1327</v>
      </c>
      <c r="E1351" s="5" t="s">
        <v>34</v>
      </c>
      <c r="F1351" s="5" t="s">
        <v>34</v>
      </c>
      <c r="G1351" s="5" t="s">
        <v>36</v>
      </c>
      <c r="H1351" s="5" t="s">
        <v>35</v>
      </c>
      <c r="I1351" s="6">
        <v>1.0</v>
      </c>
      <c r="J1351" s="6" t="s">
        <v>37</v>
      </c>
      <c r="K1351" s="6">
        <v>10.0</v>
      </c>
      <c r="L1351" s="5"/>
      <c r="M1351" s="5"/>
      <c r="N1351" s="6" t="s">
        <v>40</v>
      </c>
      <c r="O1351" s="5" t="s">
        <v>5363</v>
      </c>
      <c r="P1351" s="6" t="s">
        <v>42</v>
      </c>
      <c r="Q1351" s="5" t="s">
        <v>1237</v>
      </c>
      <c r="R1351" s="5" t="s">
        <v>10532</v>
      </c>
      <c r="S1351" s="6" t="s">
        <v>79</v>
      </c>
      <c r="T1351" s="6">
        <v>6520.0</v>
      </c>
    </row>
    <row r="1352" ht="56.25" customHeight="1">
      <c r="A1352" s="5" t="s">
        <v>10515</v>
      </c>
      <c r="B1352" s="6" t="str">
        <f>image("https://storage.googleapis.com/acdb/photos/BromideNpcNmlGor10_Remake_6_0.png")</f>
        <v/>
      </c>
      <c r="C1352" s="5" t="s">
        <v>146</v>
      </c>
      <c r="D1352" s="5" t="s">
        <v>1327</v>
      </c>
      <c r="E1352" s="5" t="s">
        <v>34</v>
      </c>
      <c r="F1352" s="5" t="s">
        <v>34</v>
      </c>
      <c r="G1352" s="5" t="s">
        <v>36</v>
      </c>
      <c r="H1352" s="5" t="s">
        <v>35</v>
      </c>
      <c r="I1352" s="6">
        <v>1.0</v>
      </c>
      <c r="J1352" s="6" t="s">
        <v>37</v>
      </c>
      <c r="K1352" s="6">
        <v>10.0</v>
      </c>
      <c r="L1352" s="5"/>
      <c r="M1352" s="5"/>
      <c r="N1352" s="6" t="s">
        <v>40</v>
      </c>
      <c r="O1352" s="5" t="s">
        <v>5363</v>
      </c>
      <c r="P1352" s="6" t="s">
        <v>42</v>
      </c>
      <c r="Q1352" s="5" t="s">
        <v>1237</v>
      </c>
      <c r="R1352" s="5" t="s">
        <v>10533</v>
      </c>
      <c r="S1352" s="6" t="s">
        <v>86</v>
      </c>
      <c r="T1352" s="6">
        <v>6520.0</v>
      </c>
    </row>
    <row r="1353" ht="56.25" customHeight="1">
      <c r="A1353" s="5" t="s">
        <v>10515</v>
      </c>
      <c r="B1353" s="6" t="str">
        <f>image("https://storage.googleapis.com/acdb/photos/BromideNpcNmlGor10_Remake_7_0.png")</f>
        <v/>
      </c>
      <c r="C1353" s="5" t="s">
        <v>151</v>
      </c>
      <c r="D1353" s="5" t="s">
        <v>1327</v>
      </c>
      <c r="E1353" s="5" t="s">
        <v>34</v>
      </c>
      <c r="F1353" s="5" t="s">
        <v>34</v>
      </c>
      <c r="G1353" s="5" t="s">
        <v>36</v>
      </c>
      <c r="H1353" s="5" t="s">
        <v>35</v>
      </c>
      <c r="I1353" s="6">
        <v>1.0</v>
      </c>
      <c r="J1353" s="6" t="s">
        <v>37</v>
      </c>
      <c r="K1353" s="6">
        <v>10.0</v>
      </c>
      <c r="L1353" s="5"/>
      <c r="M1353" s="5"/>
      <c r="N1353" s="6" t="s">
        <v>40</v>
      </c>
      <c r="O1353" s="5" t="s">
        <v>5363</v>
      </c>
      <c r="P1353" s="6" t="s">
        <v>42</v>
      </c>
      <c r="Q1353" s="5" t="s">
        <v>1237</v>
      </c>
      <c r="R1353" s="5" t="s">
        <v>10535</v>
      </c>
      <c r="S1353" s="6" t="s">
        <v>208</v>
      </c>
      <c r="T1353" s="6">
        <v>6520.0</v>
      </c>
    </row>
    <row r="1354" ht="56.25" customHeight="1">
      <c r="A1354" s="5" t="s">
        <v>10536</v>
      </c>
      <c r="B1354" s="6" t="str">
        <f>image("https://storage.googleapis.com/acdb/photos/BromideNpcNmlHip08_Remake_0_0.png")</f>
        <v/>
      </c>
      <c r="C1354" s="5" t="s">
        <v>366</v>
      </c>
      <c r="D1354" s="5" t="s">
        <v>1327</v>
      </c>
      <c r="E1354" s="5" t="s">
        <v>34</v>
      </c>
      <c r="F1354" s="5" t="s">
        <v>34</v>
      </c>
      <c r="G1354" s="5" t="s">
        <v>36</v>
      </c>
      <c r="H1354" s="5" t="s">
        <v>35</v>
      </c>
      <c r="I1354" s="6">
        <v>1.0</v>
      </c>
      <c r="J1354" s="6" t="s">
        <v>37</v>
      </c>
      <c r="K1354" s="6">
        <v>10.0</v>
      </c>
      <c r="L1354" s="5"/>
      <c r="M1354" s="5"/>
      <c r="N1354" s="6" t="s">
        <v>40</v>
      </c>
      <c r="O1354" s="5" t="s">
        <v>5363</v>
      </c>
      <c r="P1354" s="6" t="s">
        <v>42</v>
      </c>
      <c r="Q1354" s="5" t="s">
        <v>1237</v>
      </c>
      <c r="R1354" s="5" t="s">
        <v>10538</v>
      </c>
      <c r="S1354" s="6" t="s">
        <v>50</v>
      </c>
      <c r="T1354" s="6">
        <v>6535.0</v>
      </c>
    </row>
    <row r="1355" ht="56.25" customHeight="1">
      <c r="A1355" s="5" t="s">
        <v>10536</v>
      </c>
      <c r="B1355" s="6" t="str">
        <f>image("https://storage.googleapis.com/acdb/photos/BromideNpcNmlHip08_Remake_1_0.png")</f>
        <v/>
      </c>
      <c r="C1355" s="5" t="s">
        <v>1132</v>
      </c>
      <c r="D1355" s="5" t="s">
        <v>1327</v>
      </c>
      <c r="E1355" s="5" t="s">
        <v>34</v>
      </c>
      <c r="F1355" s="5" t="s">
        <v>34</v>
      </c>
      <c r="G1355" s="5" t="s">
        <v>36</v>
      </c>
      <c r="H1355" s="5" t="s">
        <v>35</v>
      </c>
      <c r="I1355" s="6">
        <v>1.0</v>
      </c>
      <c r="J1355" s="6" t="s">
        <v>37</v>
      </c>
      <c r="K1355" s="6">
        <v>10.0</v>
      </c>
      <c r="L1355" s="5"/>
      <c r="M1355" s="5"/>
      <c r="N1355" s="6" t="s">
        <v>40</v>
      </c>
      <c r="O1355" s="5" t="s">
        <v>5363</v>
      </c>
      <c r="P1355" s="6" t="s">
        <v>42</v>
      </c>
      <c r="Q1355" s="5" t="s">
        <v>1237</v>
      </c>
      <c r="R1355" s="5" t="s">
        <v>10540</v>
      </c>
      <c r="S1355" s="6" t="s">
        <v>56</v>
      </c>
      <c r="T1355" s="6">
        <v>6535.0</v>
      </c>
    </row>
    <row r="1356" ht="56.25" customHeight="1">
      <c r="A1356" s="5" t="s">
        <v>10536</v>
      </c>
      <c r="B1356" s="6" t="str">
        <f>image("https://storage.googleapis.com/acdb/photos/BromideNpcNmlHip08_Remake_2_0.png")</f>
        <v/>
      </c>
      <c r="C1356" s="5" t="s">
        <v>688</v>
      </c>
      <c r="D1356" s="5" t="s">
        <v>1327</v>
      </c>
      <c r="E1356" s="5" t="s">
        <v>34</v>
      </c>
      <c r="F1356" s="5" t="s">
        <v>34</v>
      </c>
      <c r="G1356" s="5" t="s">
        <v>36</v>
      </c>
      <c r="H1356" s="5" t="s">
        <v>35</v>
      </c>
      <c r="I1356" s="6">
        <v>1.0</v>
      </c>
      <c r="J1356" s="6" t="s">
        <v>37</v>
      </c>
      <c r="K1356" s="6">
        <v>10.0</v>
      </c>
      <c r="L1356" s="5"/>
      <c r="M1356" s="5"/>
      <c r="N1356" s="6" t="s">
        <v>40</v>
      </c>
      <c r="O1356" s="5" t="s">
        <v>5363</v>
      </c>
      <c r="P1356" s="6" t="s">
        <v>42</v>
      </c>
      <c r="Q1356" s="5" t="s">
        <v>1237</v>
      </c>
      <c r="R1356" s="5" t="s">
        <v>10542</v>
      </c>
      <c r="S1356" s="6" t="s">
        <v>67</v>
      </c>
      <c r="T1356" s="6">
        <v>6535.0</v>
      </c>
    </row>
    <row r="1357" ht="56.25" customHeight="1">
      <c r="A1357" s="5" t="s">
        <v>10536</v>
      </c>
      <c r="B1357" s="6" t="str">
        <f>image("https://storage.googleapis.com/acdb/photos/BromideNpcNmlHip08_Remake_3_0.png")</f>
        <v/>
      </c>
      <c r="C1357" s="5" t="s">
        <v>57</v>
      </c>
      <c r="D1357" s="5" t="s">
        <v>1327</v>
      </c>
      <c r="E1357" s="5" t="s">
        <v>34</v>
      </c>
      <c r="F1357" s="5" t="s">
        <v>34</v>
      </c>
      <c r="G1357" s="5" t="s">
        <v>36</v>
      </c>
      <c r="H1357" s="5" t="s">
        <v>35</v>
      </c>
      <c r="I1357" s="6">
        <v>1.0</v>
      </c>
      <c r="J1357" s="6" t="s">
        <v>37</v>
      </c>
      <c r="K1357" s="6">
        <v>10.0</v>
      </c>
      <c r="L1357" s="5"/>
      <c r="M1357" s="5"/>
      <c r="N1357" s="6" t="s">
        <v>40</v>
      </c>
      <c r="O1357" s="5" t="s">
        <v>5363</v>
      </c>
      <c r="P1357" s="6" t="s">
        <v>42</v>
      </c>
      <c r="Q1357" s="5" t="s">
        <v>1237</v>
      </c>
      <c r="R1357" s="5" t="s">
        <v>10544</v>
      </c>
      <c r="S1357" s="6" t="s">
        <v>71</v>
      </c>
      <c r="T1357" s="6">
        <v>6535.0</v>
      </c>
    </row>
    <row r="1358" ht="56.25" customHeight="1">
      <c r="A1358" s="5" t="s">
        <v>10536</v>
      </c>
      <c r="B1358" s="6" t="str">
        <f>image("https://storage.googleapis.com/acdb/photos/BromideNpcNmlHip08_Remake_4_0.png")</f>
        <v/>
      </c>
      <c r="C1358" s="5" t="s">
        <v>1167</v>
      </c>
      <c r="D1358" s="5" t="s">
        <v>1327</v>
      </c>
      <c r="E1358" s="5" t="s">
        <v>34</v>
      </c>
      <c r="F1358" s="5" t="s">
        <v>34</v>
      </c>
      <c r="G1358" s="5" t="s">
        <v>36</v>
      </c>
      <c r="H1358" s="5" t="s">
        <v>35</v>
      </c>
      <c r="I1358" s="6">
        <v>1.0</v>
      </c>
      <c r="J1358" s="6" t="s">
        <v>37</v>
      </c>
      <c r="K1358" s="6">
        <v>10.0</v>
      </c>
      <c r="L1358" s="5"/>
      <c r="M1358" s="5"/>
      <c r="N1358" s="6" t="s">
        <v>40</v>
      </c>
      <c r="O1358" s="5" t="s">
        <v>5363</v>
      </c>
      <c r="P1358" s="6" t="s">
        <v>42</v>
      </c>
      <c r="Q1358" s="5" t="s">
        <v>1237</v>
      </c>
      <c r="R1358" s="5" t="s">
        <v>10547</v>
      </c>
      <c r="S1358" s="6" t="s">
        <v>75</v>
      </c>
      <c r="T1358" s="6">
        <v>6535.0</v>
      </c>
    </row>
    <row r="1359" ht="56.25" customHeight="1">
      <c r="A1359" s="5" t="s">
        <v>10536</v>
      </c>
      <c r="B1359" s="6" t="str">
        <f>image("https://storage.googleapis.com/acdb/photos/BromideNpcNmlHip08_Remake_5_0.png")</f>
        <v/>
      </c>
      <c r="C1359" s="5" t="s">
        <v>58</v>
      </c>
      <c r="D1359" s="5" t="s">
        <v>1327</v>
      </c>
      <c r="E1359" s="5" t="s">
        <v>34</v>
      </c>
      <c r="F1359" s="5" t="s">
        <v>34</v>
      </c>
      <c r="G1359" s="5" t="s">
        <v>36</v>
      </c>
      <c r="H1359" s="5" t="s">
        <v>35</v>
      </c>
      <c r="I1359" s="6">
        <v>1.0</v>
      </c>
      <c r="J1359" s="6" t="s">
        <v>37</v>
      </c>
      <c r="K1359" s="6">
        <v>10.0</v>
      </c>
      <c r="L1359" s="5"/>
      <c r="M1359" s="5"/>
      <c r="N1359" s="6" t="s">
        <v>40</v>
      </c>
      <c r="O1359" s="5" t="s">
        <v>5363</v>
      </c>
      <c r="P1359" s="6" t="s">
        <v>42</v>
      </c>
      <c r="Q1359" s="5" t="s">
        <v>1237</v>
      </c>
      <c r="R1359" s="5" t="s">
        <v>10548</v>
      </c>
      <c r="S1359" s="6" t="s">
        <v>79</v>
      </c>
      <c r="T1359" s="6">
        <v>6535.0</v>
      </c>
    </row>
    <row r="1360" ht="56.25" customHeight="1">
      <c r="A1360" s="5" t="s">
        <v>10536</v>
      </c>
      <c r="B1360" s="6" t="str">
        <f>image("https://storage.googleapis.com/acdb/photos/BromideNpcNmlHip08_Remake_6_0.png")</f>
        <v/>
      </c>
      <c r="C1360" s="5" t="s">
        <v>146</v>
      </c>
      <c r="D1360" s="5" t="s">
        <v>1327</v>
      </c>
      <c r="E1360" s="5" t="s">
        <v>34</v>
      </c>
      <c r="F1360" s="5" t="s">
        <v>34</v>
      </c>
      <c r="G1360" s="5" t="s">
        <v>36</v>
      </c>
      <c r="H1360" s="5" t="s">
        <v>35</v>
      </c>
      <c r="I1360" s="6">
        <v>1.0</v>
      </c>
      <c r="J1360" s="6" t="s">
        <v>37</v>
      </c>
      <c r="K1360" s="6">
        <v>10.0</v>
      </c>
      <c r="L1360" s="5"/>
      <c r="M1360" s="5"/>
      <c r="N1360" s="6" t="s">
        <v>40</v>
      </c>
      <c r="O1360" s="5" t="s">
        <v>5363</v>
      </c>
      <c r="P1360" s="6" t="s">
        <v>42</v>
      </c>
      <c r="Q1360" s="5" t="s">
        <v>1237</v>
      </c>
      <c r="R1360" s="5" t="s">
        <v>10551</v>
      </c>
      <c r="S1360" s="6" t="s">
        <v>86</v>
      </c>
      <c r="T1360" s="6">
        <v>6535.0</v>
      </c>
    </row>
    <row r="1361" ht="56.25" customHeight="1">
      <c r="A1361" s="5" t="s">
        <v>10536</v>
      </c>
      <c r="B1361" s="6" t="str">
        <f>image("https://storage.googleapis.com/acdb/photos/BromideNpcNmlHip08_Remake_7_0.png")</f>
        <v/>
      </c>
      <c r="C1361" s="5" t="s">
        <v>151</v>
      </c>
      <c r="D1361" s="5" t="s">
        <v>1327</v>
      </c>
      <c r="E1361" s="5" t="s">
        <v>34</v>
      </c>
      <c r="F1361" s="5" t="s">
        <v>34</v>
      </c>
      <c r="G1361" s="5" t="s">
        <v>36</v>
      </c>
      <c r="H1361" s="5" t="s">
        <v>35</v>
      </c>
      <c r="I1361" s="6">
        <v>1.0</v>
      </c>
      <c r="J1361" s="6" t="s">
        <v>37</v>
      </c>
      <c r="K1361" s="6">
        <v>10.0</v>
      </c>
      <c r="L1361" s="5"/>
      <c r="M1361" s="5"/>
      <c r="N1361" s="6" t="s">
        <v>40</v>
      </c>
      <c r="O1361" s="5" t="s">
        <v>5363</v>
      </c>
      <c r="P1361" s="6" t="s">
        <v>42</v>
      </c>
      <c r="Q1361" s="5" t="s">
        <v>1237</v>
      </c>
      <c r="R1361" s="5" t="s">
        <v>10552</v>
      </c>
      <c r="S1361" s="6" t="s">
        <v>208</v>
      </c>
      <c r="T1361" s="6">
        <v>6535.0</v>
      </c>
    </row>
    <row r="1362" ht="56.25" customHeight="1">
      <c r="A1362" s="5" t="s">
        <v>10554</v>
      </c>
      <c r="B1362" s="6" t="str">
        <f>image("https://storage.googleapis.com/acdb/photos/BromideNpcNmlSqu18_Remake_0_0.png")</f>
        <v/>
      </c>
      <c r="C1362" s="5" t="s">
        <v>366</v>
      </c>
      <c r="D1362" s="5" t="s">
        <v>1327</v>
      </c>
      <c r="E1362" s="5" t="s">
        <v>34</v>
      </c>
      <c r="F1362" s="5" t="s">
        <v>34</v>
      </c>
      <c r="G1362" s="5" t="s">
        <v>36</v>
      </c>
      <c r="H1362" s="5" t="s">
        <v>35</v>
      </c>
      <c r="I1362" s="6">
        <v>1.0</v>
      </c>
      <c r="J1362" s="6" t="s">
        <v>37</v>
      </c>
      <c r="K1362" s="6">
        <v>10.0</v>
      </c>
      <c r="L1362" s="5"/>
      <c r="M1362" s="5"/>
      <c r="N1362" s="6" t="s">
        <v>40</v>
      </c>
      <c r="O1362" s="5" t="s">
        <v>5363</v>
      </c>
      <c r="P1362" s="6" t="s">
        <v>42</v>
      </c>
      <c r="Q1362" s="5" t="s">
        <v>1237</v>
      </c>
      <c r="R1362" s="5" t="s">
        <v>10556</v>
      </c>
      <c r="S1362" s="6" t="s">
        <v>50</v>
      </c>
      <c r="T1362" s="6">
        <v>6722.0</v>
      </c>
    </row>
    <row r="1363" ht="56.25" customHeight="1">
      <c r="A1363" s="5" t="s">
        <v>10554</v>
      </c>
      <c r="B1363" s="6" t="str">
        <f>image("https://storage.googleapis.com/acdb/photos/BromideNpcNmlSqu18_Remake_1_0.png")</f>
        <v/>
      </c>
      <c r="C1363" s="5" t="s">
        <v>1132</v>
      </c>
      <c r="D1363" s="5" t="s">
        <v>1327</v>
      </c>
      <c r="E1363" s="5" t="s">
        <v>34</v>
      </c>
      <c r="F1363" s="5" t="s">
        <v>34</v>
      </c>
      <c r="G1363" s="5" t="s">
        <v>36</v>
      </c>
      <c r="H1363" s="5" t="s">
        <v>35</v>
      </c>
      <c r="I1363" s="6">
        <v>1.0</v>
      </c>
      <c r="J1363" s="6" t="s">
        <v>37</v>
      </c>
      <c r="K1363" s="6">
        <v>10.0</v>
      </c>
      <c r="L1363" s="5"/>
      <c r="M1363" s="5"/>
      <c r="N1363" s="6" t="s">
        <v>40</v>
      </c>
      <c r="O1363" s="5" t="s">
        <v>5363</v>
      </c>
      <c r="P1363" s="6" t="s">
        <v>42</v>
      </c>
      <c r="Q1363" s="5" t="s">
        <v>1237</v>
      </c>
      <c r="R1363" s="5" t="s">
        <v>10559</v>
      </c>
      <c r="S1363" s="6" t="s">
        <v>56</v>
      </c>
      <c r="T1363" s="6">
        <v>6722.0</v>
      </c>
    </row>
    <row r="1364" ht="56.25" customHeight="1">
      <c r="A1364" s="5" t="s">
        <v>10554</v>
      </c>
      <c r="B1364" s="6" t="str">
        <f>image("https://storage.googleapis.com/acdb/photos/BromideNpcNmlSqu18_Remake_2_0.png")</f>
        <v/>
      </c>
      <c r="C1364" s="5" t="s">
        <v>688</v>
      </c>
      <c r="D1364" s="5" t="s">
        <v>1327</v>
      </c>
      <c r="E1364" s="5" t="s">
        <v>34</v>
      </c>
      <c r="F1364" s="5" t="s">
        <v>34</v>
      </c>
      <c r="G1364" s="5" t="s">
        <v>36</v>
      </c>
      <c r="H1364" s="5" t="s">
        <v>35</v>
      </c>
      <c r="I1364" s="6">
        <v>1.0</v>
      </c>
      <c r="J1364" s="6" t="s">
        <v>37</v>
      </c>
      <c r="K1364" s="6">
        <v>10.0</v>
      </c>
      <c r="L1364" s="5"/>
      <c r="M1364" s="5"/>
      <c r="N1364" s="6" t="s">
        <v>40</v>
      </c>
      <c r="O1364" s="5" t="s">
        <v>5363</v>
      </c>
      <c r="P1364" s="6" t="s">
        <v>42</v>
      </c>
      <c r="Q1364" s="5" t="s">
        <v>1237</v>
      </c>
      <c r="R1364" s="5" t="s">
        <v>10560</v>
      </c>
      <c r="S1364" s="6" t="s">
        <v>67</v>
      </c>
      <c r="T1364" s="6">
        <v>6722.0</v>
      </c>
    </row>
    <row r="1365" ht="56.25" customHeight="1">
      <c r="A1365" s="5" t="s">
        <v>10554</v>
      </c>
      <c r="B1365" s="6" t="str">
        <f>image("https://storage.googleapis.com/acdb/photos/BromideNpcNmlSqu18_Remake_3_0.png")</f>
        <v/>
      </c>
      <c r="C1365" s="5" t="s">
        <v>57</v>
      </c>
      <c r="D1365" s="5" t="s">
        <v>1327</v>
      </c>
      <c r="E1365" s="5" t="s">
        <v>34</v>
      </c>
      <c r="F1365" s="5" t="s">
        <v>34</v>
      </c>
      <c r="G1365" s="5" t="s">
        <v>36</v>
      </c>
      <c r="H1365" s="5" t="s">
        <v>35</v>
      </c>
      <c r="I1365" s="6">
        <v>1.0</v>
      </c>
      <c r="J1365" s="6" t="s">
        <v>37</v>
      </c>
      <c r="K1365" s="6">
        <v>10.0</v>
      </c>
      <c r="L1365" s="5"/>
      <c r="M1365" s="5"/>
      <c r="N1365" s="6" t="s">
        <v>40</v>
      </c>
      <c r="O1365" s="5" t="s">
        <v>5363</v>
      </c>
      <c r="P1365" s="6" t="s">
        <v>42</v>
      </c>
      <c r="Q1365" s="5" t="s">
        <v>1237</v>
      </c>
      <c r="R1365" s="5" t="s">
        <v>10565</v>
      </c>
      <c r="S1365" s="6" t="s">
        <v>71</v>
      </c>
      <c r="T1365" s="6">
        <v>6722.0</v>
      </c>
    </row>
    <row r="1366" ht="56.25" customHeight="1">
      <c r="A1366" s="5" t="s">
        <v>10554</v>
      </c>
      <c r="B1366" s="6" t="str">
        <f>image("https://storage.googleapis.com/acdb/photos/BromideNpcNmlSqu18_Remake_4_0.png")</f>
        <v/>
      </c>
      <c r="C1366" s="5" t="s">
        <v>1167</v>
      </c>
      <c r="D1366" s="5" t="s">
        <v>1327</v>
      </c>
      <c r="E1366" s="5" t="s">
        <v>34</v>
      </c>
      <c r="F1366" s="5" t="s">
        <v>34</v>
      </c>
      <c r="G1366" s="5" t="s">
        <v>36</v>
      </c>
      <c r="H1366" s="5" t="s">
        <v>35</v>
      </c>
      <c r="I1366" s="6">
        <v>1.0</v>
      </c>
      <c r="J1366" s="6" t="s">
        <v>37</v>
      </c>
      <c r="K1366" s="6">
        <v>10.0</v>
      </c>
      <c r="L1366" s="5"/>
      <c r="M1366" s="5"/>
      <c r="N1366" s="6" t="s">
        <v>40</v>
      </c>
      <c r="O1366" s="5" t="s">
        <v>5363</v>
      </c>
      <c r="P1366" s="6" t="s">
        <v>42</v>
      </c>
      <c r="Q1366" s="5" t="s">
        <v>1237</v>
      </c>
      <c r="R1366" s="5" t="s">
        <v>10567</v>
      </c>
      <c r="S1366" s="6" t="s">
        <v>75</v>
      </c>
      <c r="T1366" s="6">
        <v>6722.0</v>
      </c>
    </row>
    <row r="1367" ht="56.25" customHeight="1">
      <c r="A1367" s="5" t="s">
        <v>10554</v>
      </c>
      <c r="B1367" s="6" t="str">
        <f>image("https://storage.googleapis.com/acdb/photos/BromideNpcNmlSqu18_Remake_5_0.png")</f>
        <v/>
      </c>
      <c r="C1367" s="5" t="s">
        <v>58</v>
      </c>
      <c r="D1367" s="5" t="s">
        <v>1327</v>
      </c>
      <c r="E1367" s="5" t="s">
        <v>34</v>
      </c>
      <c r="F1367" s="5" t="s">
        <v>34</v>
      </c>
      <c r="G1367" s="5" t="s">
        <v>36</v>
      </c>
      <c r="H1367" s="5" t="s">
        <v>35</v>
      </c>
      <c r="I1367" s="6">
        <v>1.0</v>
      </c>
      <c r="J1367" s="6" t="s">
        <v>37</v>
      </c>
      <c r="K1367" s="6">
        <v>10.0</v>
      </c>
      <c r="L1367" s="5"/>
      <c r="M1367" s="5"/>
      <c r="N1367" s="6" t="s">
        <v>40</v>
      </c>
      <c r="O1367" s="5" t="s">
        <v>5363</v>
      </c>
      <c r="P1367" s="6" t="s">
        <v>42</v>
      </c>
      <c r="Q1367" s="5" t="s">
        <v>1237</v>
      </c>
      <c r="R1367" s="5" t="s">
        <v>10571</v>
      </c>
      <c r="S1367" s="6" t="s">
        <v>79</v>
      </c>
      <c r="T1367" s="6">
        <v>6722.0</v>
      </c>
    </row>
    <row r="1368" ht="56.25" customHeight="1">
      <c r="A1368" s="5" t="s">
        <v>10554</v>
      </c>
      <c r="B1368" s="6" t="str">
        <f>image("https://storage.googleapis.com/acdb/photos/BromideNpcNmlSqu18_Remake_6_0.png")</f>
        <v/>
      </c>
      <c r="C1368" s="5" t="s">
        <v>146</v>
      </c>
      <c r="D1368" s="5" t="s">
        <v>1327</v>
      </c>
      <c r="E1368" s="5" t="s">
        <v>34</v>
      </c>
      <c r="F1368" s="5" t="s">
        <v>34</v>
      </c>
      <c r="G1368" s="5" t="s">
        <v>36</v>
      </c>
      <c r="H1368" s="5" t="s">
        <v>35</v>
      </c>
      <c r="I1368" s="6">
        <v>1.0</v>
      </c>
      <c r="J1368" s="6" t="s">
        <v>37</v>
      </c>
      <c r="K1368" s="6">
        <v>10.0</v>
      </c>
      <c r="L1368" s="5"/>
      <c r="M1368" s="5"/>
      <c r="N1368" s="6" t="s">
        <v>40</v>
      </c>
      <c r="O1368" s="5" t="s">
        <v>5363</v>
      </c>
      <c r="P1368" s="6" t="s">
        <v>42</v>
      </c>
      <c r="Q1368" s="5" t="s">
        <v>1237</v>
      </c>
      <c r="R1368" s="5" t="s">
        <v>10573</v>
      </c>
      <c r="S1368" s="6" t="s">
        <v>86</v>
      </c>
      <c r="T1368" s="6">
        <v>6722.0</v>
      </c>
    </row>
    <row r="1369" ht="56.25" customHeight="1">
      <c r="A1369" s="5" t="s">
        <v>10554</v>
      </c>
      <c r="B1369" s="6" t="str">
        <f>image("https://storage.googleapis.com/acdb/photos/BromideNpcNmlSqu18_Remake_7_0.png")</f>
        <v/>
      </c>
      <c r="C1369" s="5" t="s">
        <v>151</v>
      </c>
      <c r="D1369" s="5" t="s">
        <v>1327</v>
      </c>
      <c r="E1369" s="5" t="s">
        <v>34</v>
      </c>
      <c r="F1369" s="5" t="s">
        <v>34</v>
      </c>
      <c r="G1369" s="5" t="s">
        <v>36</v>
      </c>
      <c r="H1369" s="5" t="s">
        <v>35</v>
      </c>
      <c r="I1369" s="6">
        <v>1.0</v>
      </c>
      <c r="J1369" s="6" t="s">
        <v>37</v>
      </c>
      <c r="K1369" s="6">
        <v>10.0</v>
      </c>
      <c r="L1369" s="5"/>
      <c r="M1369" s="5"/>
      <c r="N1369" s="6" t="s">
        <v>40</v>
      </c>
      <c r="O1369" s="5" t="s">
        <v>5363</v>
      </c>
      <c r="P1369" s="6" t="s">
        <v>42</v>
      </c>
      <c r="Q1369" s="5" t="s">
        <v>1237</v>
      </c>
      <c r="R1369" s="5" t="s">
        <v>10576</v>
      </c>
      <c r="S1369" s="6" t="s">
        <v>208</v>
      </c>
      <c r="T1369" s="6">
        <v>6722.0</v>
      </c>
    </row>
    <row r="1370" ht="56.25" customHeight="1">
      <c r="A1370" s="5" t="s">
        <v>10577</v>
      </c>
      <c r="B1370" s="6" t="str">
        <f>image("https://storage.googleapis.com/acdb/photos/BromideNpcNmlFlg19_Remake_0_0.png")</f>
        <v/>
      </c>
      <c r="C1370" s="5" t="s">
        <v>366</v>
      </c>
      <c r="D1370" s="5" t="s">
        <v>1327</v>
      </c>
      <c r="E1370" s="5" t="s">
        <v>34</v>
      </c>
      <c r="F1370" s="5" t="s">
        <v>34</v>
      </c>
      <c r="G1370" s="5" t="s">
        <v>36</v>
      </c>
      <c r="H1370" s="5" t="s">
        <v>35</v>
      </c>
      <c r="I1370" s="6">
        <v>1.0</v>
      </c>
      <c r="J1370" s="6" t="s">
        <v>37</v>
      </c>
      <c r="K1370" s="6">
        <v>10.0</v>
      </c>
      <c r="L1370" s="5"/>
      <c r="M1370" s="5"/>
      <c r="N1370" s="6" t="s">
        <v>40</v>
      </c>
      <c r="O1370" s="5" t="s">
        <v>5363</v>
      </c>
      <c r="P1370" s="6" t="s">
        <v>42</v>
      </c>
      <c r="Q1370" s="5" t="s">
        <v>1237</v>
      </c>
      <c r="R1370" s="5" t="s">
        <v>10578</v>
      </c>
      <c r="S1370" s="6" t="s">
        <v>50</v>
      </c>
      <c r="T1370" s="6">
        <v>6502.0</v>
      </c>
    </row>
    <row r="1371" ht="56.25" customHeight="1">
      <c r="A1371" s="5" t="s">
        <v>10577</v>
      </c>
      <c r="B1371" s="6" t="str">
        <f>image("https://storage.googleapis.com/acdb/photos/BromideNpcNmlFlg19_Remake_1_0.png")</f>
        <v/>
      </c>
      <c r="C1371" s="5" t="s">
        <v>1132</v>
      </c>
      <c r="D1371" s="5" t="s">
        <v>1327</v>
      </c>
      <c r="E1371" s="5" t="s">
        <v>34</v>
      </c>
      <c r="F1371" s="5" t="s">
        <v>34</v>
      </c>
      <c r="G1371" s="5" t="s">
        <v>36</v>
      </c>
      <c r="H1371" s="5" t="s">
        <v>35</v>
      </c>
      <c r="I1371" s="6">
        <v>1.0</v>
      </c>
      <c r="J1371" s="6" t="s">
        <v>37</v>
      </c>
      <c r="K1371" s="6">
        <v>10.0</v>
      </c>
      <c r="L1371" s="5"/>
      <c r="M1371" s="5"/>
      <c r="N1371" s="6" t="s">
        <v>40</v>
      </c>
      <c r="O1371" s="5" t="s">
        <v>5363</v>
      </c>
      <c r="P1371" s="6" t="s">
        <v>42</v>
      </c>
      <c r="Q1371" s="5" t="s">
        <v>1237</v>
      </c>
      <c r="R1371" s="5" t="s">
        <v>10583</v>
      </c>
      <c r="S1371" s="6" t="s">
        <v>56</v>
      </c>
      <c r="T1371" s="6">
        <v>6502.0</v>
      </c>
    </row>
    <row r="1372" ht="56.25" customHeight="1">
      <c r="A1372" s="5" t="s">
        <v>10577</v>
      </c>
      <c r="B1372" s="6" t="str">
        <f>image("https://storage.googleapis.com/acdb/photos/BromideNpcNmlFlg19_Remake_2_0.png")</f>
        <v/>
      </c>
      <c r="C1372" s="5" t="s">
        <v>688</v>
      </c>
      <c r="D1372" s="5" t="s">
        <v>1327</v>
      </c>
      <c r="E1372" s="5" t="s">
        <v>34</v>
      </c>
      <c r="F1372" s="5" t="s">
        <v>34</v>
      </c>
      <c r="G1372" s="5" t="s">
        <v>36</v>
      </c>
      <c r="H1372" s="5" t="s">
        <v>35</v>
      </c>
      <c r="I1372" s="6">
        <v>1.0</v>
      </c>
      <c r="J1372" s="6" t="s">
        <v>37</v>
      </c>
      <c r="K1372" s="6">
        <v>10.0</v>
      </c>
      <c r="L1372" s="5"/>
      <c r="M1372" s="5"/>
      <c r="N1372" s="6" t="s">
        <v>40</v>
      </c>
      <c r="O1372" s="5" t="s">
        <v>5363</v>
      </c>
      <c r="P1372" s="6" t="s">
        <v>42</v>
      </c>
      <c r="Q1372" s="5" t="s">
        <v>1237</v>
      </c>
      <c r="R1372" s="5" t="s">
        <v>10586</v>
      </c>
      <c r="S1372" s="6" t="s">
        <v>67</v>
      </c>
      <c r="T1372" s="6">
        <v>6502.0</v>
      </c>
    </row>
    <row r="1373" ht="56.25" customHeight="1">
      <c r="A1373" s="5" t="s">
        <v>10577</v>
      </c>
      <c r="B1373" s="6" t="str">
        <f>image("https://storage.googleapis.com/acdb/photos/BromideNpcNmlFlg19_Remake_3_0.png")</f>
        <v/>
      </c>
      <c r="C1373" s="5" t="s">
        <v>57</v>
      </c>
      <c r="D1373" s="5" t="s">
        <v>1327</v>
      </c>
      <c r="E1373" s="5" t="s">
        <v>34</v>
      </c>
      <c r="F1373" s="5" t="s">
        <v>34</v>
      </c>
      <c r="G1373" s="5" t="s">
        <v>36</v>
      </c>
      <c r="H1373" s="5" t="s">
        <v>35</v>
      </c>
      <c r="I1373" s="6">
        <v>1.0</v>
      </c>
      <c r="J1373" s="6" t="s">
        <v>37</v>
      </c>
      <c r="K1373" s="6">
        <v>10.0</v>
      </c>
      <c r="L1373" s="5"/>
      <c r="M1373" s="5"/>
      <c r="N1373" s="6" t="s">
        <v>40</v>
      </c>
      <c r="O1373" s="5" t="s">
        <v>5363</v>
      </c>
      <c r="P1373" s="6" t="s">
        <v>42</v>
      </c>
      <c r="Q1373" s="5" t="s">
        <v>1237</v>
      </c>
      <c r="R1373" s="5" t="s">
        <v>10590</v>
      </c>
      <c r="S1373" s="6" t="s">
        <v>71</v>
      </c>
      <c r="T1373" s="6">
        <v>6502.0</v>
      </c>
    </row>
    <row r="1374" ht="56.25" customHeight="1">
      <c r="A1374" s="5" t="s">
        <v>10577</v>
      </c>
      <c r="B1374" s="6" t="str">
        <f>image("https://storage.googleapis.com/acdb/photos/BromideNpcNmlFlg19_Remake_4_0.png")</f>
        <v/>
      </c>
      <c r="C1374" s="5" t="s">
        <v>1167</v>
      </c>
      <c r="D1374" s="5" t="s">
        <v>1327</v>
      </c>
      <c r="E1374" s="5" t="s">
        <v>34</v>
      </c>
      <c r="F1374" s="5" t="s">
        <v>34</v>
      </c>
      <c r="G1374" s="5" t="s">
        <v>36</v>
      </c>
      <c r="H1374" s="5" t="s">
        <v>35</v>
      </c>
      <c r="I1374" s="6">
        <v>1.0</v>
      </c>
      <c r="J1374" s="6" t="s">
        <v>37</v>
      </c>
      <c r="K1374" s="6">
        <v>10.0</v>
      </c>
      <c r="L1374" s="5"/>
      <c r="M1374" s="5"/>
      <c r="N1374" s="6" t="s">
        <v>40</v>
      </c>
      <c r="O1374" s="5" t="s">
        <v>5363</v>
      </c>
      <c r="P1374" s="6" t="s">
        <v>42</v>
      </c>
      <c r="Q1374" s="5" t="s">
        <v>1237</v>
      </c>
      <c r="R1374" s="5" t="s">
        <v>10593</v>
      </c>
      <c r="S1374" s="6" t="s">
        <v>75</v>
      </c>
      <c r="T1374" s="6">
        <v>6502.0</v>
      </c>
    </row>
    <row r="1375" ht="56.25" customHeight="1">
      <c r="A1375" s="5" t="s">
        <v>10577</v>
      </c>
      <c r="B1375" s="6" t="str">
        <f>image("https://storage.googleapis.com/acdb/photos/BromideNpcNmlFlg19_Remake_5_0.png")</f>
        <v/>
      </c>
      <c r="C1375" s="5" t="s">
        <v>58</v>
      </c>
      <c r="D1375" s="5" t="s">
        <v>1327</v>
      </c>
      <c r="E1375" s="5" t="s">
        <v>34</v>
      </c>
      <c r="F1375" s="5" t="s">
        <v>34</v>
      </c>
      <c r="G1375" s="5" t="s">
        <v>36</v>
      </c>
      <c r="H1375" s="5" t="s">
        <v>35</v>
      </c>
      <c r="I1375" s="6">
        <v>1.0</v>
      </c>
      <c r="J1375" s="6" t="s">
        <v>37</v>
      </c>
      <c r="K1375" s="6">
        <v>10.0</v>
      </c>
      <c r="L1375" s="5"/>
      <c r="M1375" s="5"/>
      <c r="N1375" s="6" t="s">
        <v>40</v>
      </c>
      <c r="O1375" s="5" t="s">
        <v>5363</v>
      </c>
      <c r="P1375" s="6" t="s">
        <v>42</v>
      </c>
      <c r="Q1375" s="5" t="s">
        <v>1237</v>
      </c>
      <c r="R1375" s="5" t="s">
        <v>10599</v>
      </c>
      <c r="S1375" s="6" t="s">
        <v>79</v>
      </c>
      <c r="T1375" s="6">
        <v>6502.0</v>
      </c>
    </row>
    <row r="1376" ht="56.25" customHeight="1">
      <c r="A1376" s="5" t="s">
        <v>10577</v>
      </c>
      <c r="B1376" s="6" t="str">
        <f>image("https://storage.googleapis.com/acdb/photos/BromideNpcNmlFlg19_Remake_6_0.png")</f>
        <v/>
      </c>
      <c r="C1376" s="5" t="s">
        <v>146</v>
      </c>
      <c r="D1376" s="5" t="s">
        <v>1327</v>
      </c>
      <c r="E1376" s="5" t="s">
        <v>34</v>
      </c>
      <c r="F1376" s="5" t="s">
        <v>34</v>
      </c>
      <c r="G1376" s="5" t="s">
        <v>36</v>
      </c>
      <c r="H1376" s="5" t="s">
        <v>35</v>
      </c>
      <c r="I1376" s="6">
        <v>1.0</v>
      </c>
      <c r="J1376" s="6" t="s">
        <v>37</v>
      </c>
      <c r="K1376" s="6">
        <v>10.0</v>
      </c>
      <c r="L1376" s="5"/>
      <c r="M1376" s="5"/>
      <c r="N1376" s="6" t="s">
        <v>40</v>
      </c>
      <c r="O1376" s="5" t="s">
        <v>5363</v>
      </c>
      <c r="P1376" s="6" t="s">
        <v>42</v>
      </c>
      <c r="Q1376" s="5" t="s">
        <v>1237</v>
      </c>
      <c r="R1376" s="5" t="s">
        <v>10603</v>
      </c>
      <c r="S1376" s="6" t="s">
        <v>86</v>
      </c>
      <c r="T1376" s="6">
        <v>6502.0</v>
      </c>
    </row>
    <row r="1377" ht="56.25" customHeight="1">
      <c r="A1377" s="5" t="s">
        <v>10577</v>
      </c>
      <c r="B1377" s="6" t="str">
        <f>image("https://storage.googleapis.com/acdb/photos/BromideNpcNmlFlg19_Remake_7_0.png")</f>
        <v/>
      </c>
      <c r="C1377" s="5" t="s">
        <v>151</v>
      </c>
      <c r="D1377" s="5" t="s">
        <v>1327</v>
      </c>
      <c r="E1377" s="5" t="s">
        <v>34</v>
      </c>
      <c r="F1377" s="5" t="s">
        <v>34</v>
      </c>
      <c r="G1377" s="5" t="s">
        <v>36</v>
      </c>
      <c r="H1377" s="5" t="s">
        <v>35</v>
      </c>
      <c r="I1377" s="6">
        <v>1.0</v>
      </c>
      <c r="J1377" s="6" t="s">
        <v>37</v>
      </c>
      <c r="K1377" s="6">
        <v>10.0</v>
      </c>
      <c r="L1377" s="5"/>
      <c r="M1377" s="5"/>
      <c r="N1377" s="6" t="s">
        <v>40</v>
      </c>
      <c r="O1377" s="5" t="s">
        <v>5363</v>
      </c>
      <c r="P1377" s="6" t="s">
        <v>42</v>
      </c>
      <c r="Q1377" s="5" t="s">
        <v>1237</v>
      </c>
      <c r="R1377" s="5" t="s">
        <v>10607</v>
      </c>
      <c r="S1377" s="6" t="s">
        <v>208</v>
      </c>
      <c r="T1377" s="6">
        <v>6502.0</v>
      </c>
    </row>
    <row r="1378" ht="56.25" customHeight="1">
      <c r="A1378" s="5" t="s">
        <v>10609</v>
      </c>
      <c r="B1378" s="6" t="str">
        <f>image("https://storage.googleapis.com/acdb/photos/BromideNpcNmlHip09_Remake_0_0.png")</f>
        <v/>
      </c>
      <c r="C1378" s="5" t="s">
        <v>366</v>
      </c>
      <c r="D1378" s="5" t="s">
        <v>1327</v>
      </c>
      <c r="E1378" s="5" t="s">
        <v>34</v>
      </c>
      <c r="F1378" s="5" t="s">
        <v>34</v>
      </c>
      <c r="G1378" s="5" t="s">
        <v>36</v>
      </c>
      <c r="H1378" s="5" t="s">
        <v>35</v>
      </c>
      <c r="I1378" s="6">
        <v>1.0</v>
      </c>
      <c r="J1378" s="6" t="s">
        <v>37</v>
      </c>
      <c r="K1378" s="6">
        <v>10.0</v>
      </c>
      <c r="L1378" s="5"/>
      <c r="M1378" s="5"/>
      <c r="N1378" s="6" t="s">
        <v>40</v>
      </c>
      <c r="O1378" s="5" t="s">
        <v>5363</v>
      </c>
      <c r="P1378" s="6" t="s">
        <v>42</v>
      </c>
      <c r="Q1378" s="5" t="s">
        <v>1237</v>
      </c>
      <c r="R1378" s="5" t="s">
        <v>10611</v>
      </c>
      <c r="S1378" s="6" t="s">
        <v>50</v>
      </c>
      <c r="T1378" s="6">
        <v>6536.0</v>
      </c>
    </row>
    <row r="1379" ht="56.25" customHeight="1">
      <c r="A1379" s="5" t="s">
        <v>10609</v>
      </c>
      <c r="B1379" s="6" t="str">
        <f>image("https://storage.googleapis.com/acdb/photos/BromideNpcNmlHip09_Remake_1_0.png")</f>
        <v/>
      </c>
      <c r="C1379" s="5" t="s">
        <v>1132</v>
      </c>
      <c r="D1379" s="5" t="s">
        <v>1327</v>
      </c>
      <c r="E1379" s="5" t="s">
        <v>34</v>
      </c>
      <c r="F1379" s="5" t="s">
        <v>34</v>
      </c>
      <c r="G1379" s="5" t="s">
        <v>36</v>
      </c>
      <c r="H1379" s="5" t="s">
        <v>35</v>
      </c>
      <c r="I1379" s="6">
        <v>1.0</v>
      </c>
      <c r="J1379" s="6" t="s">
        <v>37</v>
      </c>
      <c r="K1379" s="6">
        <v>10.0</v>
      </c>
      <c r="L1379" s="5"/>
      <c r="M1379" s="5"/>
      <c r="N1379" s="6" t="s">
        <v>40</v>
      </c>
      <c r="O1379" s="5" t="s">
        <v>5363</v>
      </c>
      <c r="P1379" s="6" t="s">
        <v>42</v>
      </c>
      <c r="Q1379" s="5" t="s">
        <v>1237</v>
      </c>
      <c r="R1379" s="5" t="s">
        <v>10615</v>
      </c>
      <c r="S1379" s="6" t="s">
        <v>56</v>
      </c>
      <c r="T1379" s="6">
        <v>6536.0</v>
      </c>
    </row>
    <row r="1380" ht="56.25" customHeight="1">
      <c r="A1380" s="5" t="s">
        <v>10609</v>
      </c>
      <c r="B1380" s="6" t="str">
        <f>image("https://storage.googleapis.com/acdb/photos/BromideNpcNmlHip09_Remake_2_0.png")</f>
        <v/>
      </c>
      <c r="C1380" s="5" t="s">
        <v>688</v>
      </c>
      <c r="D1380" s="5" t="s">
        <v>1327</v>
      </c>
      <c r="E1380" s="5" t="s">
        <v>34</v>
      </c>
      <c r="F1380" s="5" t="s">
        <v>34</v>
      </c>
      <c r="G1380" s="5" t="s">
        <v>36</v>
      </c>
      <c r="H1380" s="5" t="s">
        <v>35</v>
      </c>
      <c r="I1380" s="6">
        <v>1.0</v>
      </c>
      <c r="J1380" s="6" t="s">
        <v>37</v>
      </c>
      <c r="K1380" s="6">
        <v>10.0</v>
      </c>
      <c r="L1380" s="5"/>
      <c r="M1380" s="5"/>
      <c r="N1380" s="6" t="s">
        <v>40</v>
      </c>
      <c r="O1380" s="5" t="s">
        <v>5363</v>
      </c>
      <c r="P1380" s="6" t="s">
        <v>42</v>
      </c>
      <c r="Q1380" s="5" t="s">
        <v>1237</v>
      </c>
      <c r="R1380" s="5" t="s">
        <v>10618</v>
      </c>
      <c r="S1380" s="6" t="s">
        <v>67</v>
      </c>
      <c r="T1380" s="6">
        <v>6536.0</v>
      </c>
    </row>
    <row r="1381" ht="56.25" customHeight="1">
      <c r="A1381" s="5" t="s">
        <v>10609</v>
      </c>
      <c r="B1381" s="6" t="str">
        <f>image("https://storage.googleapis.com/acdb/photos/BromideNpcNmlHip09_Remake_3_0.png")</f>
        <v/>
      </c>
      <c r="C1381" s="5" t="s">
        <v>57</v>
      </c>
      <c r="D1381" s="5" t="s">
        <v>1327</v>
      </c>
      <c r="E1381" s="5" t="s">
        <v>34</v>
      </c>
      <c r="F1381" s="5" t="s">
        <v>34</v>
      </c>
      <c r="G1381" s="5" t="s">
        <v>36</v>
      </c>
      <c r="H1381" s="5" t="s">
        <v>35</v>
      </c>
      <c r="I1381" s="6">
        <v>1.0</v>
      </c>
      <c r="J1381" s="6" t="s">
        <v>37</v>
      </c>
      <c r="K1381" s="6">
        <v>10.0</v>
      </c>
      <c r="L1381" s="5"/>
      <c r="M1381" s="5"/>
      <c r="N1381" s="6" t="s">
        <v>40</v>
      </c>
      <c r="O1381" s="5" t="s">
        <v>5363</v>
      </c>
      <c r="P1381" s="6" t="s">
        <v>42</v>
      </c>
      <c r="Q1381" s="5" t="s">
        <v>1237</v>
      </c>
      <c r="R1381" s="5" t="s">
        <v>10620</v>
      </c>
      <c r="S1381" s="6" t="s">
        <v>71</v>
      </c>
      <c r="T1381" s="6">
        <v>6536.0</v>
      </c>
    </row>
    <row r="1382" ht="56.25" customHeight="1">
      <c r="A1382" s="5" t="s">
        <v>10609</v>
      </c>
      <c r="B1382" s="6" t="str">
        <f>image("https://storage.googleapis.com/acdb/photos/BromideNpcNmlHip09_Remake_4_0.png")</f>
        <v/>
      </c>
      <c r="C1382" s="5" t="s">
        <v>1167</v>
      </c>
      <c r="D1382" s="5" t="s">
        <v>1327</v>
      </c>
      <c r="E1382" s="5" t="s">
        <v>34</v>
      </c>
      <c r="F1382" s="5" t="s">
        <v>34</v>
      </c>
      <c r="G1382" s="5" t="s">
        <v>36</v>
      </c>
      <c r="H1382" s="5" t="s">
        <v>35</v>
      </c>
      <c r="I1382" s="6">
        <v>1.0</v>
      </c>
      <c r="J1382" s="6" t="s">
        <v>37</v>
      </c>
      <c r="K1382" s="6">
        <v>10.0</v>
      </c>
      <c r="L1382" s="5"/>
      <c r="M1382" s="5"/>
      <c r="N1382" s="6" t="s">
        <v>40</v>
      </c>
      <c r="O1382" s="5" t="s">
        <v>5363</v>
      </c>
      <c r="P1382" s="6" t="s">
        <v>42</v>
      </c>
      <c r="Q1382" s="5" t="s">
        <v>1237</v>
      </c>
      <c r="R1382" s="5" t="s">
        <v>10622</v>
      </c>
      <c r="S1382" s="6" t="s">
        <v>75</v>
      </c>
      <c r="T1382" s="6">
        <v>6536.0</v>
      </c>
    </row>
    <row r="1383" ht="56.25" customHeight="1">
      <c r="A1383" s="5" t="s">
        <v>10609</v>
      </c>
      <c r="B1383" s="6" t="str">
        <f>image("https://storage.googleapis.com/acdb/photos/BromideNpcNmlHip09_Remake_5_0.png")</f>
        <v/>
      </c>
      <c r="C1383" s="5" t="s">
        <v>58</v>
      </c>
      <c r="D1383" s="5" t="s">
        <v>1327</v>
      </c>
      <c r="E1383" s="5" t="s">
        <v>34</v>
      </c>
      <c r="F1383" s="5" t="s">
        <v>34</v>
      </c>
      <c r="G1383" s="5" t="s">
        <v>36</v>
      </c>
      <c r="H1383" s="5" t="s">
        <v>35</v>
      </c>
      <c r="I1383" s="6">
        <v>1.0</v>
      </c>
      <c r="J1383" s="6" t="s">
        <v>37</v>
      </c>
      <c r="K1383" s="6">
        <v>10.0</v>
      </c>
      <c r="L1383" s="5"/>
      <c r="M1383" s="5"/>
      <c r="N1383" s="6" t="s">
        <v>40</v>
      </c>
      <c r="O1383" s="5" t="s">
        <v>5363</v>
      </c>
      <c r="P1383" s="6" t="s">
        <v>42</v>
      </c>
      <c r="Q1383" s="5" t="s">
        <v>1237</v>
      </c>
      <c r="R1383" s="5" t="s">
        <v>10625</v>
      </c>
      <c r="S1383" s="6" t="s">
        <v>79</v>
      </c>
      <c r="T1383" s="6">
        <v>6536.0</v>
      </c>
    </row>
    <row r="1384" ht="56.25" customHeight="1">
      <c r="A1384" s="5" t="s">
        <v>10609</v>
      </c>
      <c r="B1384" s="6" t="str">
        <f>image("https://storage.googleapis.com/acdb/photos/BromideNpcNmlHip09_Remake_6_0.png")</f>
        <v/>
      </c>
      <c r="C1384" s="5" t="s">
        <v>146</v>
      </c>
      <c r="D1384" s="5" t="s">
        <v>1327</v>
      </c>
      <c r="E1384" s="5" t="s">
        <v>34</v>
      </c>
      <c r="F1384" s="5" t="s">
        <v>34</v>
      </c>
      <c r="G1384" s="5" t="s">
        <v>36</v>
      </c>
      <c r="H1384" s="5" t="s">
        <v>35</v>
      </c>
      <c r="I1384" s="6">
        <v>1.0</v>
      </c>
      <c r="J1384" s="6" t="s">
        <v>37</v>
      </c>
      <c r="K1384" s="6">
        <v>10.0</v>
      </c>
      <c r="L1384" s="5"/>
      <c r="M1384" s="5"/>
      <c r="N1384" s="6" t="s">
        <v>40</v>
      </c>
      <c r="O1384" s="5" t="s">
        <v>5363</v>
      </c>
      <c r="P1384" s="6" t="s">
        <v>42</v>
      </c>
      <c r="Q1384" s="5" t="s">
        <v>1237</v>
      </c>
      <c r="R1384" s="5" t="s">
        <v>10627</v>
      </c>
      <c r="S1384" s="6" t="s">
        <v>86</v>
      </c>
      <c r="T1384" s="6">
        <v>6536.0</v>
      </c>
    </row>
    <row r="1385" ht="56.25" customHeight="1">
      <c r="A1385" s="5" t="s">
        <v>10609</v>
      </c>
      <c r="B1385" s="6" t="str">
        <f>image("https://storage.googleapis.com/acdb/photos/BromideNpcNmlHip09_Remake_7_0.png")</f>
        <v/>
      </c>
      <c r="C1385" s="5" t="s">
        <v>151</v>
      </c>
      <c r="D1385" s="5" t="s">
        <v>1327</v>
      </c>
      <c r="E1385" s="5" t="s">
        <v>34</v>
      </c>
      <c r="F1385" s="5" t="s">
        <v>34</v>
      </c>
      <c r="G1385" s="5" t="s">
        <v>36</v>
      </c>
      <c r="H1385" s="5" t="s">
        <v>35</v>
      </c>
      <c r="I1385" s="6">
        <v>1.0</v>
      </c>
      <c r="J1385" s="6" t="s">
        <v>37</v>
      </c>
      <c r="K1385" s="6">
        <v>10.0</v>
      </c>
      <c r="L1385" s="5"/>
      <c r="M1385" s="5"/>
      <c r="N1385" s="6" t="s">
        <v>40</v>
      </c>
      <c r="O1385" s="5" t="s">
        <v>5363</v>
      </c>
      <c r="P1385" s="6" t="s">
        <v>42</v>
      </c>
      <c r="Q1385" s="5" t="s">
        <v>1237</v>
      </c>
      <c r="R1385" s="5" t="s">
        <v>10631</v>
      </c>
      <c r="S1385" s="6" t="s">
        <v>208</v>
      </c>
      <c r="T1385" s="6">
        <v>6536.0</v>
      </c>
    </row>
    <row r="1386" ht="56.25" customHeight="1">
      <c r="A1386" s="5" t="s">
        <v>10633</v>
      </c>
      <c r="B1386" s="6" t="str">
        <f>image("https://storage.googleapis.com/acdb/photos/BromideNpcNmlRbt14_Remake_0_0.png")</f>
        <v/>
      </c>
      <c r="C1386" s="5" t="s">
        <v>366</v>
      </c>
      <c r="D1386" s="5" t="s">
        <v>1327</v>
      </c>
      <c r="E1386" s="5" t="s">
        <v>34</v>
      </c>
      <c r="F1386" s="5" t="s">
        <v>34</v>
      </c>
      <c r="G1386" s="5" t="s">
        <v>36</v>
      </c>
      <c r="H1386" s="5" t="s">
        <v>35</v>
      </c>
      <c r="I1386" s="6">
        <v>1.0</v>
      </c>
      <c r="J1386" s="6" t="s">
        <v>37</v>
      </c>
      <c r="K1386" s="6">
        <v>10.0</v>
      </c>
      <c r="L1386" s="5"/>
      <c r="M1386" s="5"/>
      <c r="N1386" s="6" t="s">
        <v>40</v>
      </c>
      <c r="O1386" s="5" t="s">
        <v>5363</v>
      </c>
      <c r="P1386" s="6" t="s">
        <v>42</v>
      </c>
      <c r="Q1386" s="5" t="s">
        <v>1237</v>
      </c>
      <c r="R1386" s="5" t="s">
        <v>10636</v>
      </c>
      <c r="S1386" s="6" t="s">
        <v>50</v>
      </c>
      <c r="T1386" s="6">
        <v>6677.0</v>
      </c>
    </row>
    <row r="1387" ht="56.25" customHeight="1">
      <c r="A1387" s="5" t="s">
        <v>10633</v>
      </c>
      <c r="B1387" s="6" t="str">
        <f>image("https://storage.googleapis.com/acdb/photos/BromideNpcNmlRbt14_Remake_1_0.png")</f>
        <v/>
      </c>
      <c r="C1387" s="5" t="s">
        <v>1132</v>
      </c>
      <c r="D1387" s="5" t="s">
        <v>1327</v>
      </c>
      <c r="E1387" s="5" t="s">
        <v>34</v>
      </c>
      <c r="F1387" s="5" t="s">
        <v>34</v>
      </c>
      <c r="G1387" s="5" t="s">
        <v>36</v>
      </c>
      <c r="H1387" s="5" t="s">
        <v>35</v>
      </c>
      <c r="I1387" s="6">
        <v>1.0</v>
      </c>
      <c r="J1387" s="6" t="s">
        <v>37</v>
      </c>
      <c r="K1387" s="6">
        <v>10.0</v>
      </c>
      <c r="L1387" s="5"/>
      <c r="M1387" s="5"/>
      <c r="N1387" s="6" t="s">
        <v>40</v>
      </c>
      <c r="O1387" s="5" t="s">
        <v>5363</v>
      </c>
      <c r="P1387" s="6" t="s">
        <v>42</v>
      </c>
      <c r="Q1387" s="5" t="s">
        <v>1237</v>
      </c>
      <c r="R1387" s="5" t="s">
        <v>10638</v>
      </c>
      <c r="S1387" s="6" t="s">
        <v>56</v>
      </c>
      <c r="T1387" s="6">
        <v>6677.0</v>
      </c>
    </row>
    <row r="1388" ht="56.25" customHeight="1">
      <c r="A1388" s="5" t="s">
        <v>10633</v>
      </c>
      <c r="B1388" s="6" t="str">
        <f>image("https://storage.googleapis.com/acdb/photos/BromideNpcNmlRbt14_Remake_2_0.png")</f>
        <v/>
      </c>
      <c r="C1388" s="5" t="s">
        <v>688</v>
      </c>
      <c r="D1388" s="5" t="s">
        <v>1327</v>
      </c>
      <c r="E1388" s="5" t="s">
        <v>34</v>
      </c>
      <c r="F1388" s="5" t="s">
        <v>34</v>
      </c>
      <c r="G1388" s="5" t="s">
        <v>36</v>
      </c>
      <c r="H1388" s="5" t="s">
        <v>35</v>
      </c>
      <c r="I1388" s="6">
        <v>1.0</v>
      </c>
      <c r="J1388" s="6" t="s">
        <v>37</v>
      </c>
      <c r="K1388" s="6">
        <v>10.0</v>
      </c>
      <c r="L1388" s="5"/>
      <c r="M1388" s="5"/>
      <c r="N1388" s="6" t="s">
        <v>40</v>
      </c>
      <c r="O1388" s="5" t="s">
        <v>5363</v>
      </c>
      <c r="P1388" s="6" t="s">
        <v>42</v>
      </c>
      <c r="Q1388" s="5" t="s">
        <v>1237</v>
      </c>
      <c r="R1388" s="5" t="s">
        <v>10641</v>
      </c>
      <c r="S1388" s="6" t="s">
        <v>67</v>
      </c>
      <c r="T1388" s="6">
        <v>6677.0</v>
      </c>
    </row>
    <row r="1389" ht="56.25" customHeight="1">
      <c r="A1389" s="5" t="s">
        <v>10633</v>
      </c>
      <c r="B1389" s="6" t="str">
        <f>image("https://storage.googleapis.com/acdb/photos/BromideNpcNmlRbt14_Remake_3_0.png")</f>
        <v/>
      </c>
      <c r="C1389" s="5" t="s">
        <v>57</v>
      </c>
      <c r="D1389" s="5" t="s">
        <v>1327</v>
      </c>
      <c r="E1389" s="5" t="s">
        <v>34</v>
      </c>
      <c r="F1389" s="5" t="s">
        <v>34</v>
      </c>
      <c r="G1389" s="5" t="s">
        <v>36</v>
      </c>
      <c r="H1389" s="5" t="s">
        <v>35</v>
      </c>
      <c r="I1389" s="6">
        <v>1.0</v>
      </c>
      <c r="J1389" s="6" t="s">
        <v>37</v>
      </c>
      <c r="K1389" s="6">
        <v>10.0</v>
      </c>
      <c r="L1389" s="5"/>
      <c r="M1389" s="5"/>
      <c r="N1389" s="6" t="s">
        <v>40</v>
      </c>
      <c r="O1389" s="5" t="s">
        <v>5363</v>
      </c>
      <c r="P1389" s="6" t="s">
        <v>42</v>
      </c>
      <c r="Q1389" s="5" t="s">
        <v>1237</v>
      </c>
      <c r="R1389" s="5" t="s">
        <v>10643</v>
      </c>
      <c r="S1389" s="6" t="s">
        <v>71</v>
      </c>
      <c r="T1389" s="6">
        <v>6677.0</v>
      </c>
    </row>
    <row r="1390" ht="56.25" customHeight="1">
      <c r="A1390" s="5" t="s">
        <v>10633</v>
      </c>
      <c r="B1390" s="6" t="str">
        <f>image("https://storage.googleapis.com/acdb/photos/BromideNpcNmlRbt14_Remake_4_0.png")</f>
        <v/>
      </c>
      <c r="C1390" s="5" t="s">
        <v>1167</v>
      </c>
      <c r="D1390" s="5" t="s">
        <v>1327</v>
      </c>
      <c r="E1390" s="5" t="s">
        <v>34</v>
      </c>
      <c r="F1390" s="5" t="s">
        <v>34</v>
      </c>
      <c r="G1390" s="5" t="s">
        <v>36</v>
      </c>
      <c r="H1390" s="5" t="s">
        <v>35</v>
      </c>
      <c r="I1390" s="6">
        <v>1.0</v>
      </c>
      <c r="J1390" s="6" t="s">
        <v>37</v>
      </c>
      <c r="K1390" s="6">
        <v>10.0</v>
      </c>
      <c r="L1390" s="5"/>
      <c r="M1390" s="5"/>
      <c r="N1390" s="6" t="s">
        <v>40</v>
      </c>
      <c r="O1390" s="5" t="s">
        <v>5363</v>
      </c>
      <c r="P1390" s="6" t="s">
        <v>42</v>
      </c>
      <c r="Q1390" s="5" t="s">
        <v>1237</v>
      </c>
      <c r="R1390" s="5" t="s">
        <v>10646</v>
      </c>
      <c r="S1390" s="6" t="s">
        <v>75</v>
      </c>
      <c r="T1390" s="6">
        <v>6677.0</v>
      </c>
    </row>
    <row r="1391" ht="56.25" customHeight="1">
      <c r="A1391" s="5" t="s">
        <v>10633</v>
      </c>
      <c r="B1391" s="6" t="str">
        <f>image("https://storage.googleapis.com/acdb/photos/BromideNpcNmlRbt14_Remake_5_0.png")</f>
        <v/>
      </c>
      <c r="C1391" s="5" t="s">
        <v>58</v>
      </c>
      <c r="D1391" s="5" t="s">
        <v>1327</v>
      </c>
      <c r="E1391" s="5" t="s">
        <v>34</v>
      </c>
      <c r="F1391" s="5" t="s">
        <v>34</v>
      </c>
      <c r="G1391" s="5" t="s">
        <v>36</v>
      </c>
      <c r="H1391" s="5" t="s">
        <v>35</v>
      </c>
      <c r="I1391" s="6">
        <v>1.0</v>
      </c>
      <c r="J1391" s="6" t="s">
        <v>37</v>
      </c>
      <c r="K1391" s="6">
        <v>10.0</v>
      </c>
      <c r="L1391" s="5"/>
      <c r="M1391" s="5"/>
      <c r="N1391" s="6" t="s">
        <v>40</v>
      </c>
      <c r="O1391" s="5" t="s">
        <v>5363</v>
      </c>
      <c r="P1391" s="6" t="s">
        <v>42</v>
      </c>
      <c r="Q1391" s="5" t="s">
        <v>1237</v>
      </c>
      <c r="R1391" s="5" t="s">
        <v>10649</v>
      </c>
      <c r="S1391" s="6" t="s">
        <v>79</v>
      </c>
      <c r="T1391" s="6">
        <v>6677.0</v>
      </c>
    </row>
    <row r="1392" ht="56.25" customHeight="1">
      <c r="A1392" s="5" t="s">
        <v>10633</v>
      </c>
      <c r="B1392" s="6" t="str">
        <f>image("https://storage.googleapis.com/acdb/photos/BromideNpcNmlRbt14_Remake_6_0.png")</f>
        <v/>
      </c>
      <c r="C1392" s="5" t="s">
        <v>146</v>
      </c>
      <c r="D1392" s="5" t="s">
        <v>1327</v>
      </c>
      <c r="E1392" s="5" t="s">
        <v>34</v>
      </c>
      <c r="F1392" s="5" t="s">
        <v>34</v>
      </c>
      <c r="G1392" s="5" t="s">
        <v>36</v>
      </c>
      <c r="H1392" s="5" t="s">
        <v>35</v>
      </c>
      <c r="I1392" s="6">
        <v>1.0</v>
      </c>
      <c r="J1392" s="6" t="s">
        <v>37</v>
      </c>
      <c r="K1392" s="6">
        <v>10.0</v>
      </c>
      <c r="L1392" s="5"/>
      <c r="M1392" s="5"/>
      <c r="N1392" s="6" t="s">
        <v>40</v>
      </c>
      <c r="O1392" s="5" t="s">
        <v>5363</v>
      </c>
      <c r="P1392" s="6" t="s">
        <v>42</v>
      </c>
      <c r="Q1392" s="5" t="s">
        <v>1237</v>
      </c>
      <c r="R1392" s="5" t="s">
        <v>10651</v>
      </c>
      <c r="S1392" s="6" t="s">
        <v>86</v>
      </c>
      <c r="T1392" s="6">
        <v>6677.0</v>
      </c>
    </row>
    <row r="1393" ht="56.25" customHeight="1">
      <c r="A1393" s="5" t="s">
        <v>10633</v>
      </c>
      <c r="B1393" s="6" t="str">
        <f>image("https://storage.googleapis.com/acdb/photos/BromideNpcNmlRbt14_Remake_7_0.png")</f>
        <v/>
      </c>
      <c r="C1393" s="5" t="s">
        <v>151</v>
      </c>
      <c r="D1393" s="5" t="s">
        <v>1327</v>
      </c>
      <c r="E1393" s="5" t="s">
        <v>34</v>
      </c>
      <c r="F1393" s="5" t="s">
        <v>34</v>
      </c>
      <c r="G1393" s="5" t="s">
        <v>36</v>
      </c>
      <c r="H1393" s="5" t="s">
        <v>35</v>
      </c>
      <c r="I1393" s="6">
        <v>1.0</v>
      </c>
      <c r="J1393" s="6" t="s">
        <v>37</v>
      </c>
      <c r="K1393" s="6">
        <v>10.0</v>
      </c>
      <c r="L1393" s="5"/>
      <c r="M1393" s="5"/>
      <c r="N1393" s="6" t="s">
        <v>40</v>
      </c>
      <c r="O1393" s="5" t="s">
        <v>5363</v>
      </c>
      <c r="P1393" s="6" t="s">
        <v>42</v>
      </c>
      <c r="Q1393" s="5" t="s">
        <v>1237</v>
      </c>
      <c r="R1393" s="5" t="s">
        <v>10653</v>
      </c>
      <c r="S1393" s="6" t="s">
        <v>208</v>
      </c>
      <c r="T1393" s="6">
        <v>6677.0</v>
      </c>
    </row>
    <row r="1394" ht="56.25" customHeight="1">
      <c r="A1394" s="5" t="s">
        <v>10654</v>
      </c>
      <c r="B1394" s="6" t="str">
        <f>image("https://storage.googleapis.com/acdb/photos/BromideNpcNmlPgn03_Remake_0_0.png")</f>
        <v/>
      </c>
      <c r="C1394" s="5" t="s">
        <v>366</v>
      </c>
      <c r="D1394" s="5" t="s">
        <v>1327</v>
      </c>
      <c r="E1394" s="5" t="s">
        <v>34</v>
      </c>
      <c r="F1394" s="5" t="s">
        <v>34</v>
      </c>
      <c r="G1394" s="5" t="s">
        <v>36</v>
      </c>
      <c r="H1394" s="5" t="s">
        <v>35</v>
      </c>
      <c r="I1394" s="6">
        <v>1.0</v>
      </c>
      <c r="J1394" s="6" t="s">
        <v>37</v>
      </c>
      <c r="K1394" s="6">
        <v>10.0</v>
      </c>
      <c r="L1394" s="5"/>
      <c r="M1394" s="5"/>
      <c r="N1394" s="6" t="s">
        <v>40</v>
      </c>
      <c r="O1394" s="5" t="s">
        <v>5363</v>
      </c>
      <c r="P1394" s="6" t="s">
        <v>42</v>
      </c>
      <c r="Q1394" s="5" t="s">
        <v>1237</v>
      </c>
      <c r="R1394" s="5" t="s">
        <v>10658</v>
      </c>
      <c r="S1394" s="6" t="s">
        <v>50</v>
      </c>
      <c r="T1394" s="6">
        <v>6633.0</v>
      </c>
    </row>
    <row r="1395" ht="56.25" customHeight="1">
      <c r="A1395" s="5" t="s">
        <v>10654</v>
      </c>
      <c r="B1395" s="6" t="str">
        <f>image("https://storage.googleapis.com/acdb/photos/BromideNpcNmlPgn03_Remake_1_0.png")</f>
        <v/>
      </c>
      <c r="C1395" s="5" t="s">
        <v>1132</v>
      </c>
      <c r="D1395" s="5" t="s">
        <v>1327</v>
      </c>
      <c r="E1395" s="5" t="s">
        <v>34</v>
      </c>
      <c r="F1395" s="5" t="s">
        <v>34</v>
      </c>
      <c r="G1395" s="5" t="s">
        <v>36</v>
      </c>
      <c r="H1395" s="5" t="s">
        <v>35</v>
      </c>
      <c r="I1395" s="6">
        <v>1.0</v>
      </c>
      <c r="J1395" s="6" t="s">
        <v>37</v>
      </c>
      <c r="K1395" s="6">
        <v>10.0</v>
      </c>
      <c r="L1395" s="5"/>
      <c r="M1395" s="5"/>
      <c r="N1395" s="6" t="s">
        <v>40</v>
      </c>
      <c r="O1395" s="5" t="s">
        <v>5363</v>
      </c>
      <c r="P1395" s="6" t="s">
        <v>42</v>
      </c>
      <c r="Q1395" s="5" t="s">
        <v>1237</v>
      </c>
      <c r="R1395" s="5" t="s">
        <v>10660</v>
      </c>
      <c r="S1395" s="6" t="s">
        <v>56</v>
      </c>
      <c r="T1395" s="6">
        <v>6633.0</v>
      </c>
    </row>
    <row r="1396" ht="56.25" customHeight="1">
      <c r="A1396" s="5" t="s">
        <v>10654</v>
      </c>
      <c r="B1396" s="6" t="str">
        <f>image("https://storage.googleapis.com/acdb/photos/BromideNpcNmlPgn03_Remake_2_0.png")</f>
        <v/>
      </c>
      <c r="C1396" s="5" t="s">
        <v>688</v>
      </c>
      <c r="D1396" s="5" t="s">
        <v>1327</v>
      </c>
      <c r="E1396" s="5" t="s">
        <v>34</v>
      </c>
      <c r="F1396" s="5" t="s">
        <v>34</v>
      </c>
      <c r="G1396" s="5" t="s">
        <v>36</v>
      </c>
      <c r="H1396" s="5" t="s">
        <v>35</v>
      </c>
      <c r="I1396" s="6">
        <v>1.0</v>
      </c>
      <c r="J1396" s="6" t="s">
        <v>37</v>
      </c>
      <c r="K1396" s="6">
        <v>10.0</v>
      </c>
      <c r="L1396" s="5"/>
      <c r="M1396" s="5"/>
      <c r="N1396" s="6" t="s">
        <v>40</v>
      </c>
      <c r="O1396" s="5" t="s">
        <v>5363</v>
      </c>
      <c r="P1396" s="6" t="s">
        <v>42</v>
      </c>
      <c r="Q1396" s="5" t="s">
        <v>1237</v>
      </c>
      <c r="R1396" s="5" t="s">
        <v>10661</v>
      </c>
      <c r="S1396" s="6" t="s">
        <v>67</v>
      </c>
      <c r="T1396" s="6">
        <v>6633.0</v>
      </c>
    </row>
    <row r="1397" ht="56.25" customHeight="1">
      <c r="A1397" s="5" t="s">
        <v>10654</v>
      </c>
      <c r="B1397" s="6" t="str">
        <f>image("https://storage.googleapis.com/acdb/photos/BromideNpcNmlPgn03_Remake_3_0.png")</f>
        <v/>
      </c>
      <c r="C1397" s="5" t="s">
        <v>57</v>
      </c>
      <c r="D1397" s="5" t="s">
        <v>1327</v>
      </c>
      <c r="E1397" s="5" t="s">
        <v>34</v>
      </c>
      <c r="F1397" s="5" t="s">
        <v>34</v>
      </c>
      <c r="G1397" s="5" t="s">
        <v>36</v>
      </c>
      <c r="H1397" s="5" t="s">
        <v>35</v>
      </c>
      <c r="I1397" s="6">
        <v>1.0</v>
      </c>
      <c r="J1397" s="6" t="s">
        <v>37</v>
      </c>
      <c r="K1397" s="6">
        <v>10.0</v>
      </c>
      <c r="L1397" s="5"/>
      <c r="M1397" s="5"/>
      <c r="N1397" s="6" t="s">
        <v>40</v>
      </c>
      <c r="O1397" s="5" t="s">
        <v>5363</v>
      </c>
      <c r="P1397" s="6" t="s">
        <v>42</v>
      </c>
      <c r="Q1397" s="5" t="s">
        <v>1237</v>
      </c>
      <c r="R1397" s="5" t="s">
        <v>10664</v>
      </c>
      <c r="S1397" s="6" t="s">
        <v>71</v>
      </c>
      <c r="T1397" s="6">
        <v>6633.0</v>
      </c>
    </row>
    <row r="1398" ht="56.25" customHeight="1">
      <c r="A1398" s="5" t="s">
        <v>10654</v>
      </c>
      <c r="B1398" s="6" t="str">
        <f>image("https://storage.googleapis.com/acdb/photos/BromideNpcNmlPgn03_Remake_4_0.png")</f>
        <v/>
      </c>
      <c r="C1398" s="5" t="s">
        <v>1167</v>
      </c>
      <c r="D1398" s="5" t="s">
        <v>1327</v>
      </c>
      <c r="E1398" s="5" t="s">
        <v>34</v>
      </c>
      <c r="F1398" s="5" t="s">
        <v>34</v>
      </c>
      <c r="G1398" s="5" t="s">
        <v>36</v>
      </c>
      <c r="H1398" s="5" t="s">
        <v>35</v>
      </c>
      <c r="I1398" s="6">
        <v>1.0</v>
      </c>
      <c r="J1398" s="6" t="s">
        <v>37</v>
      </c>
      <c r="K1398" s="6">
        <v>10.0</v>
      </c>
      <c r="L1398" s="5"/>
      <c r="M1398" s="5"/>
      <c r="N1398" s="6" t="s">
        <v>40</v>
      </c>
      <c r="O1398" s="5" t="s">
        <v>5363</v>
      </c>
      <c r="P1398" s="6" t="s">
        <v>42</v>
      </c>
      <c r="Q1398" s="5" t="s">
        <v>1237</v>
      </c>
      <c r="R1398" s="5" t="s">
        <v>10667</v>
      </c>
      <c r="S1398" s="6" t="s">
        <v>75</v>
      </c>
      <c r="T1398" s="6">
        <v>6633.0</v>
      </c>
    </row>
    <row r="1399" ht="56.25" customHeight="1">
      <c r="A1399" s="5" t="s">
        <v>10654</v>
      </c>
      <c r="B1399" s="6" t="str">
        <f>image("https://storage.googleapis.com/acdb/photos/BromideNpcNmlPgn03_Remake_5_0.png")</f>
        <v/>
      </c>
      <c r="C1399" s="5" t="s">
        <v>58</v>
      </c>
      <c r="D1399" s="5" t="s">
        <v>1327</v>
      </c>
      <c r="E1399" s="5" t="s">
        <v>34</v>
      </c>
      <c r="F1399" s="5" t="s">
        <v>34</v>
      </c>
      <c r="G1399" s="5" t="s">
        <v>36</v>
      </c>
      <c r="H1399" s="5" t="s">
        <v>35</v>
      </c>
      <c r="I1399" s="6">
        <v>1.0</v>
      </c>
      <c r="J1399" s="6" t="s">
        <v>37</v>
      </c>
      <c r="K1399" s="6">
        <v>10.0</v>
      </c>
      <c r="L1399" s="5"/>
      <c r="M1399" s="5"/>
      <c r="N1399" s="6" t="s">
        <v>40</v>
      </c>
      <c r="O1399" s="5" t="s">
        <v>5363</v>
      </c>
      <c r="P1399" s="6" t="s">
        <v>42</v>
      </c>
      <c r="Q1399" s="5" t="s">
        <v>1237</v>
      </c>
      <c r="R1399" s="5" t="s">
        <v>10671</v>
      </c>
      <c r="S1399" s="6" t="s">
        <v>79</v>
      </c>
      <c r="T1399" s="6">
        <v>6633.0</v>
      </c>
    </row>
    <row r="1400" ht="56.25" customHeight="1">
      <c r="A1400" s="5" t="s">
        <v>10654</v>
      </c>
      <c r="B1400" s="6" t="str">
        <f>image("https://storage.googleapis.com/acdb/photos/BromideNpcNmlPgn03_Remake_6_0.png")</f>
        <v/>
      </c>
      <c r="C1400" s="5" t="s">
        <v>146</v>
      </c>
      <c r="D1400" s="5" t="s">
        <v>1327</v>
      </c>
      <c r="E1400" s="5" t="s">
        <v>34</v>
      </c>
      <c r="F1400" s="5" t="s">
        <v>34</v>
      </c>
      <c r="G1400" s="5" t="s">
        <v>36</v>
      </c>
      <c r="H1400" s="5" t="s">
        <v>35</v>
      </c>
      <c r="I1400" s="6">
        <v>1.0</v>
      </c>
      <c r="J1400" s="6" t="s">
        <v>37</v>
      </c>
      <c r="K1400" s="6">
        <v>10.0</v>
      </c>
      <c r="L1400" s="5"/>
      <c r="M1400" s="5"/>
      <c r="N1400" s="6" t="s">
        <v>40</v>
      </c>
      <c r="O1400" s="5" t="s">
        <v>5363</v>
      </c>
      <c r="P1400" s="6" t="s">
        <v>42</v>
      </c>
      <c r="Q1400" s="5" t="s">
        <v>1237</v>
      </c>
      <c r="R1400" s="5" t="s">
        <v>10675</v>
      </c>
      <c r="S1400" s="6" t="s">
        <v>86</v>
      </c>
      <c r="T1400" s="6">
        <v>6633.0</v>
      </c>
    </row>
    <row r="1401" ht="56.25" customHeight="1">
      <c r="A1401" s="5" t="s">
        <v>10654</v>
      </c>
      <c r="B1401" s="6" t="str">
        <f>image("https://storage.googleapis.com/acdb/photos/BromideNpcNmlPgn03_Remake_7_0.png")</f>
        <v/>
      </c>
      <c r="C1401" s="5" t="s">
        <v>151</v>
      </c>
      <c r="D1401" s="5" t="s">
        <v>1327</v>
      </c>
      <c r="E1401" s="5" t="s">
        <v>34</v>
      </c>
      <c r="F1401" s="5" t="s">
        <v>34</v>
      </c>
      <c r="G1401" s="5" t="s">
        <v>36</v>
      </c>
      <c r="H1401" s="5" t="s">
        <v>35</v>
      </c>
      <c r="I1401" s="6">
        <v>1.0</v>
      </c>
      <c r="J1401" s="6" t="s">
        <v>37</v>
      </c>
      <c r="K1401" s="6">
        <v>10.0</v>
      </c>
      <c r="L1401" s="5"/>
      <c r="M1401" s="5"/>
      <c r="N1401" s="6" t="s">
        <v>40</v>
      </c>
      <c r="O1401" s="5" t="s">
        <v>5363</v>
      </c>
      <c r="P1401" s="6" t="s">
        <v>42</v>
      </c>
      <c r="Q1401" s="5" t="s">
        <v>1237</v>
      </c>
      <c r="R1401" s="5" t="s">
        <v>10677</v>
      </c>
      <c r="S1401" s="6" t="s">
        <v>208</v>
      </c>
      <c r="T1401" s="6">
        <v>6633.0</v>
      </c>
    </row>
    <row r="1402" ht="56.25" customHeight="1">
      <c r="A1402" s="5" t="s">
        <v>10679</v>
      </c>
      <c r="B1402" s="6" t="str">
        <f>image("https://storage.googleapis.com/acdb/photos/BromideNpcNmlRhn04_Remake_0_0.png")</f>
        <v/>
      </c>
      <c r="C1402" s="5" t="s">
        <v>366</v>
      </c>
      <c r="D1402" s="5" t="s">
        <v>1327</v>
      </c>
      <c r="E1402" s="5" t="s">
        <v>34</v>
      </c>
      <c r="F1402" s="5" t="s">
        <v>34</v>
      </c>
      <c r="G1402" s="5" t="s">
        <v>36</v>
      </c>
      <c r="H1402" s="5" t="s">
        <v>35</v>
      </c>
      <c r="I1402" s="6">
        <v>1.0</v>
      </c>
      <c r="J1402" s="6" t="s">
        <v>37</v>
      </c>
      <c r="K1402" s="6">
        <v>10.0</v>
      </c>
      <c r="L1402" s="5"/>
      <c r="M1402" s="5"/>
      <c r="N1402" s="6" t="s">
        <v>40</v>
      </c>
      <c r="O1402" s="5" t="s">
        <v>5363</v>
      </c>
      <c r="P1402" s="6" t="s">
        <v>42</v>
      </c>
      <c r="Q1402" s="5" t="s">
        <v>1237</v>
      </c>
      <c r="R1402" s="5" t="s">
        <v>10681</v>
      </c>
      <c r="S1402" s="6" t="s">
        <v>50</v>
      </c>
      <c r="T1402" s="6">
        <v>6687.0</v>
      </c>
    </row>
    <row r="1403" ht="56.25" customHeight="1">
      <c r="A1403" s="5" t="s">
        <v>10679</v>
      </c>
      <c r="B1403" s="6" t="str">
        <f>image("https://storage.googleapis.com/acdb/photos/BromideNpcNmlRhn04_Remake_1_0.png")</f>
        <v/>
      </c>
      <c r="C1403" s="5" t="s">
        <v>1132</v>
      </c>
      <c r="D1403" s="5" t="s">
        <v>1327</v>
      </c>
      <c r="E1403" s="5" t="s">
        <v>34</v>
      </c>
      <c r="F1403" s="5" t="s">
        <v>34</v>
      </c>
      <c r="G1403" s="5" t="s">
        <v>36</v>
      </c>
      <c r="H1403" s="5" t="s">
        <v>35</v>
      </c>
      <c r="I1403" s="6">
        <v>1.0</v>
      </c>
      <c r="J1403" s="6" t="s">
        <v>37</v>
      </c>
      <c r="K1403" s="6">
        <v>10.0</v>
      </c>
      <c r="L1403" s="5"/>
      <c r="M1403" s="5"/>
      <c r="N1403" s="6" t="s">
        <v>40</v>
      </c>
      <c r="O1403" s="5" t="s">
        <v>5363</v>
      </c>
      <c r="P1403" s="6" t="s">
        <v>42</v>
      </c>
      <c r="Q1403" s="5" t="s">
        <v>1237</v>
      </c>
      <c r="R1403" s="5" t="s">
        <v>10683</v>
      </c>
      <c r="S1403" s="6" t="s">
        <v>56</v>
      </c>
      <c r="T1403" s="6">
        <v>6687.0</v>
      </c>
    </row>
    <row r="1404" ht="56.25" customHeight="1">
      <c r="A1404" s="5" t="s">
        <v>10679</v>
      </c>
      <c r="B1404" s="6" t="str">
        <f>image("https://storage.googleapis.com/acdb/photos/BromideNpcNmlRhn04_Remake_2_0.png")</f>
        <v/>
      </c>
      <c r="C1404" s="5" t="s">
        <v>688</v>
      </c>
      <c r="D1404" s="5" t="s">
        <v>1327</v>
      </c>
      <c r="E1404" s="5" t="s">
        <v>34</v>
      </c>
      <c r="F1404" s="5" t="s">
        <v>34</v>
      </c>
      <c r="G1404" s="5" t="s">
        <v>36</v>
      </c>
      <c r="H1404" s="5" t="s">
        <v>35</v>
      </c>
      <c r="I1404" s="6">
        <v>1.0</v>
      </c>
      <c r="J1404" s="6" t="s">
        <v>37</v>
      </c>
      <c r="K1404" s="6">
        <v>10.0</v>
      </c>
      <c r="L1404" s="5"/>
      <c r="M1404" s="5"/>
      <c r="N1404" s="6" t="s">
        <v>40</v>
      </c>
      <c r="O1404" s="5" t="s">
        <v>5363</v>
      </c>
      <c r="P1404" s="6" t="s">
        <v>42</v>
      </c>
      <c r="Q1404" s="5" t="s">
        <v>1237</v>
      </c>
      <c r="R1404" s="5" t="s">
        <v>10687</v>
      </c>
      <c r="S1404" s="6" t="s">
        <v>67</v>
      </c>
      <c r="T1404" s="6">
        <v>6687.0</v>
      </c>
    </row>
    <row r="1405" ht="56.25" customHeight="1">
      <c r="A1405" s="5" t="s">
        <v>10679</v>
      </c>
      <c r="B1405" s="6" t="str">
        <f>image("https://storage.googleapis.com/acdb/photos/BromideNpcNmlRhn04_Remake_3_0.png")</f>
        <v/>
      </c>
      <c r="C1405" s="5" t="s">
        <v>57</v>
      </c>
      <c r="D1405" s="5" t="s">
        <v>1327</v>
      </c>
      <c r="E1405" s="5" t="s">
        <v>34</v>
      </c>
      <c r="F1405" s="5" t="s">
        <v>34</v>
      </c>
      <c r="G1405" s="5" t="s">
        <v>36</v>
      </c>
      <c r="H1405" s="5" t="s">
        <v>35</v>
      </c>
      <c r="I1405" s="6">
        <v>1.0</v>
      </c>
      <c r="J1405" s="6" t="s">
        <v>37</v>
      </c>
      <c r="K1405" s="6">
        <v>10.0</v>
      </c>
      <c r="L1405" s="5"/>
      <c r="M1405" s="5"/>
      <c r="N1405" s="6" t="s">
        <v>40</v>
      </c>
      <c r="O1405" s="5" t="s">
        <v>5363</v>
      </c>
      <c r="P1405" s="6" t="s">
        <v>42</v>
      </c>
      <c r="Q1405" s="5" t="s">
        <v>1237</v>
      </c>
      <c r="R1405" s="5" t="s">
        <v>10690</v>
      </c>
      <c r="S1405" s="6" t="s">
        <v>71</v>
      </c>
      <c r="T1405" s="6">
        <v>6687.0</v>
      </c>
    </row>
    <row r="1406" ht="56.25" customHeight="1">
      <c r="A1406" s="5" t="s">
        <v>10679</v>
      </c>
      <c r="B1406" s="6" t="str">
        <f>image("https://storage.googleapis.com/acdb/photos/BromideNpcNmlRhn04_Remake_4_0.png")</f>
        <v/>
      </c>
      <c r="C1406" s="5" t="s">
        <v>1167</v>
      </c>
      <c r="D1406" s="5" t="s">
        <v>1327</v>
      </c>
      <c r="E1406" s="5" t="s">
        <v>34</v>
      </c>
      <c r="F1406" s="5" t="s">
        <v>34</v>
      </c>
      <c r="G1406" s="5" t="s">
        <v>36</v>
      </c>
      <c r="H1406" s="5" t="s">
        <v>35</v>
      </c>
      <c r="I1406" s="6">
        <v>1.0</v>
      </c>
      <c r="J1406" s="6" t="s">
        <v>37</v>
      </c>
      <c r="K1406" s="6">
        <v>10.0</v>
      </c>
      <c r="L1406" s="5"/>
      <c r="M1406" s="5"/>
      <c r="N1406" s="6" t="s">
        <v>40</v>
      </c>
      <c r="O1406" s="5" t="s">
        <v>5363</v>
      </c>
      <c r="P1406" s="6" t="s">
        <v>42</v>
      </c>
      <c r="Q1406" s="5" t="s">
        <v>1237</v>
      </c>
      <c r="R1406" s="5" t="s">
        <v>10692</v>
      </c>
      <c r="S1406" s="6" t="s">
        <v>75</v>
      </c>
      <c r="T1406" s="6">
        <v>6687.0</v>
      </c>
    </row>
    <row r="1407" ht="56.25" customHeight="1">
      <c r="A1407" s="5" t="s">
        <v>10679</v>
      </c>
      <c r="B1407" s="6" t="str">
        <f>image("https://storage.googleapis.com/acdb/photos/BromideNpcNmlRhn04_Remake_5_0.png")</f>
        <v/>
      </c>
      <c r="C1407" s="5" t="s">
        <v>58</v>
      </c>
      <c r="D1407" s="5" t="s">
        <v>1327</v>
      </c>
      <c r="E1407" s="5" t="s">
        <v>34</v>
      </c>
      <c r="F1407" s="5" t="s">
        <v>34</v>
      </c>
      <c r="G1407" s="5" t="s">
        <v>36</v>
      </c>
      <c r="H1407" s="5" t="s">
        <v>35</v>
      </c>
      <c r="I1407" s="6">
        <v>1.0</v>
      </c>
      <c r="J1407" s="6" t="s">
        <v>37</v>
      </c>
      <c r="K1407" s="6">
        <v>10.0</v>
      </c>
      <c r="L1407" s="5"/>
      <c r="M1407" s="5"/>
      <c r="N1407" s="6" t="s">
        <v>40</v>
      </c>
      <c r="O1407" s="5" t="s">
        <v>5363</v>
      </c>
      <c r="P1407" s="6" t="s">
        <v>42</v>
      </c>
      <c r="Q1407" s="5" t="s">
        <v>1237</v>
      </c>
      <c r="R1407" s="5" t="s">
        <v>10695</v>
      </c>
      <c r="S1407" s="6" t="s">
        <v>79</v>
      </c>
      <c r="T1407" s="6">
        <v>6687.0</v>
      </c>
    </row>
    <row r="1408" ht="56.25" customHeight="1">
      <c r="A1408" s="5" t="s">
        <v>10679</v>
      </c>
      <c r="B1408" s="6" t="str">
        <f>image("https://storage.googleapis.com/acdb/photos/BromideNpcNmlRhn04_Remake_6_0.png")</f>
        <v/>
      </c>
      <c r="C1408" s="5" t="s">
        <v>146</v>
      </c>
      <c r="D1408" s="5" t="s">
        <v>1327</v>
      </c>
      <c r="E1408" s="5" t="s">
        <v>34</v>
      </c>
      <c r="F1408" s="5" t="s">
        <v>34</v>
      </c>
      <c r="G1408" s="5" t="s">
        <v>36</v>
      </c>
      <c r="H1408" s="5" t="s">
        <v>35</v>
      </c>
      <c r="I1408" s="6">
        <v>1.0</v>
      </c>
      <c r="J1408" s="6" t="s">
        <v>37</v>
      </c>
      <c r="K1408" s="6">
        <v>10.0</v>
      </c>
      <c r="L1408" s="5"/>
      <c r="M1408" s="5"/>
      <c r="N1408" s="6" t="s">
        <v>40</v>
      </c>
      <c r="O1408" s="5" t="s">
        <v>5363</v>
      </c>
      <c r="P1408" s="6" t="s">
        <v>42</v>
      </c>
      <c r="Q1408" s="5" t="s">
        <v>1237</v>
      </c>
      <c r="R1408" s="5" t="s">
        <v>10697</v>
      </c>
      <c r="S1408" s="6" t="s">
        <v>86</v>
      </c>
      <c r="T1408" s="6">
        <v>6687.0</v>
      </c>
    </row>
    <row r="1409" ht="56.25" customHeight="1">
      <c r="A1409" s="5" t="s">
        <v>10679</v>
      </c>
      <c r="B1409" s="6" t="str">
        <f>image("https://storage.googleapis.com/acdb/photos/BromideNpcNmlRhn04_Remake_7_0.png")</f>
        <v/>
      </c>
      <c r="C1409" s="5" t="s">
        <v>151</v>
      </c>
      <c r="D1409" s="5" t="s">
        <v>1327</v>
      </c>
      <c r="E1409" s="5" t="s">
        <v>34</v>
      </c>
      <c r="F1409" s="5" t="s">
        <v>34</v>
      </c>
      <c r="G1409" s="5" t="s">
        <v>36</v>
      </c>
      <c r="H1409" s="5" t="s">
        <v>35</v>
      </c>
      <c r="I1409" s="6">
        <v>1.0</v>
      </c>
      <c r="J1409" s="6" t="s">
        <v>37</v>
      </c>
      <c r="K1409" s="6">
        <v>10.0</v>
      </c>
      <c r="L1409" s="5"/>
      <c r="M1409" s="5"/>
      <c r="N1409" s="6" t="s">
        <v>40</v>
      </c>
      <c r="O1409" s="5" t="s">
        <v>5363</v>
      </c>
      <c r="P1409" s="6" t="s">
        <v>42</v>
      </c>
      <c r="Q1409" s="5" t="s">
        <v>1237</v>
      </c>
      <c r="R1409" s="5" t="s">
        <v>10702</v>
      </c>
      <c r="S1409" s="6" t="s">
        <v>208</v>
      </c>
      <c r="T1409" s="6">
        <v>6687.0</v>
      </c>
    </row>
    <row r="1410" ht="56.25" customHeight="1">
      <c r="A1410" s="5" t="s">
        <v>10703</v>
      </c>
      <c r="B1410" s="6" t="str">
        <f>image("https://storage.googleapis.com/acdb/photos/BromideNpcNmlFlg11_Remake_0_0.png")</f>
        <v/>
      </c>
      <c r="C1410" s="5" t="s">
        <v>366</v>
      </c>
      <c r="D1410" s="5" t="s">
        <v>1327</v>
      </c>
      <c r="E1410" s="5" t="s">
        <v>34</v>
      </c>
      <c r="F1410" s="5" t="s">
        <v>34</v>
      </c>
      <c r="G1410" s="5" t="s">
        <v>36</v>
      </c>
      <c r="H1410" s="5" t="s">
        <v>35</v>
      </c>
      <c r="I1410" s="6">
        <v>1.0</v>
      </c>
      <c r="J1410" s="6" t="s">
        <v>37</v>
      </c>
      <c r="K1410" s="6">
        <v>10.0</v>
      </c>
      <c r="L1410" s="5"/>
      <c r="M1410" s="5"/>
      <c r="N1410" s="6" t="s">
        <v>40</v>
      </c>
      <c r="O1410" s="5" t="s">
        <v>5363</v>
      </c>
      <c r="P1410" s="6" t="s">
        <v>42</v>
      </c>
      <c r="Q1410" s="5" t="s">
        <v>1237</v>
      </c>
      <c r="R1410" s="5" t="s">
        <v>10705</v>
      </c>
      <c r="S1410" s="6" t="s">
        <v>50</v>
      </c>
      <c r="T1410" s="6">
        <v>6495.0</v>
      </c>
    </row>
    <row r="1411" ht="56.25" customHeight="1">
      <c r="A1411" s="5" t="s">
        <v>10703</v>
      </c>
      <c r="B1411" s="6" t="str">
        <f>image("https://storage.googleapis.com/acdb/photos/BromideNpcNmlFlg11_Remake_1_0.png")</f>
        <v/>
      </c>
      <c r="C1411" s="5" t="s">
        <v>1132</v>
      </c>
      <c r="D1411" s="5" t="s">
        <v>1327</v>
      </c>
      <c r="E1411" s="5" t="s">
        <v>34</v>
      </c>
      <c r="F1411" s="5" t="s">
        <v>34</v>
      </c>
      <c r="G1411" s="5" t="s">
        <v>36</v>
      </c>
      <c r="H1411" s="5" t="s">
        <v>35</v>
      </c>
      <c r="I1411" s="6">
        <v>1.0</v>
      </c>
      <c r="J1411" s="6" t="s">
        <v>37</v>
      </c>
      <c r="K1411" s="6">
        <v>10.0</v>
      </c>
      <c r="L1411" s="5"/>
      <c r="M1411" s="5"/>
      <c r="N1411" s="6" t="s">
        <v>40</v>
      </c>
      <c r="O1411" s="5" t="s">
        <v>5363</v>
      </c>
      <c r="P1411" s="6" t="s">
        <v>42</v>
      </c>
      <c r="Q1411" s="5" t="s">
        <v>1237</v>
      </c>
      <c r="R1411" s="5" t="s">
        <v>10707</v>
      </c>
      <c r="S1411" s="6" t="s">
        <v>56</v>
      </c>
      <c r="T1411" s="6">
        <v>6495.0</v>
      </c>
    </row>
    <row r="1412" ht="56.25" customHeight="1">
      <c r="A1412" s="5" t="s">
        <v>10703</v>
      </c>
      <c r="B1412" s="6" t="str">
        <f>image("https://storage.googleapis.com/acdb/photos/BromideNpcNmlFlg11_Remake_2_0.png")</f>
        <v/>
      </c>
      <c r="C1412" s="5" t="s">
        <v>688</v>
      </c>
      <c r="D1412" s="5" t="s">
        <v>1327</v>
      </c>
      <c r="E1412" s="5" t="s">
        <v>34</v>
      </c>
      <c r="F1412" s="5" t="s">
        <v>34</v>
      </c>
      <c r="G1412" s="5" t="s">
        <v>36</v>
      </c>
      <c r="H1412" s="5" t="s">
        <v>35</v>
      </c>
      <c r="I1412" s="6">
        <v>1.0</v>
      </c>
      <c r="J1412" s="6" t="s">
        <v>37</v>
      </c>
      <c r="K1412" s="6">
        <v>10.0</v>
      </c>
      <c r="L1412" s="5"/>
      <c r="M1412" s="5"/>
      <c r="N1412" s="6" t="s">
        <v>40</v>
      </c>
      <c r="O1412" s="5" t="s">
        <v>5363</v>
      </c>
      <c r="P1412" s="6" t="s">
        <v>42</v>
      </c>
      <c r="Q1412" s="5" t="s">
        <v>1237</v>
      </c>
      <c r="R1412" s="5" t="s">
        <v>10710</v>
      </c>
      <c r="S1412" s="6" t="s">
        <v>67</v>
      </c>
      <c r="T1412" s="6">
        <v>6495.0</v>
      </c>
    </row>
    <row r="1413" ht="56.25" customHeight="1">
      <c r="A1413" s="5" t="s">
        <v>10703</v>
      </c>
      <c r="B1413" s="6" t="str">
        <f>image("https://storage.googleapis.com/acdb/photos/BromideNpcNmlFlg11_Remake_3_0.png")</f>
        <v/>
      </c>
      <c r="C1413" s="5" t="s">
        <v>57</v>
      </c>
      <c r="D1413" s="5" t="s">
        <v>1327</v>
      </c>
      <c r="E1413" s="5" t="s">
        <v>34</v>
      </c>
      <c r="F1413" s="5" t="s">
        <v>34</v>
      </c>
      <c r="G1413" s="5" t="s">
        <v>36</v>
      </c>
      <c r="H1413" s="5" t="s">
        <v>35</v>
      </c>
      <c r="I1413" s="6">
        <v>1.0</v>
      </c>
      <c r="J1413" s="6" t="s">
        <v>37</v>
      </c>
      <c r="K1413" s="6">
        <v>10.0</v>
      </c>
      <c r="L1413" s="5"/>
      <c r="M1413" s="5"/>
      <c r="N1413" s="6" t="s">
        <v>40</v>
      </c>
      <c r="O1413" s="5" t="s">
        <v>5363</v>
      </c>
      <c r="P1413" s="6" t="s">
        <v>42</v>
      </c>
      <c r="Q1413" s="5" t="s">
        <v>1237</v>
      </c>
      <c r="R1413" s="5" t="s">
        <v>10713</v>
      </c>
      <c r="S1413" s="6" t="s">
        <v>71</v>
      </c>
      <c r="T1413" s="6">
        <v>6495.0</v>
      </c>
    </row>
    <row r="1414" ht="56.25" customHeight="1">
      <c r="A1414" s="5" t="s">
        <v>10703</v>
      </c>
      <c r="B1414" s="6" t="str">
        <f>image("https://storage.googleapis.com/acdb/photos/BromideNpcNmlFlg11_Remake_4_0.png")</f>
        <v/>
      </c>
      <c r="C1414" s="5" t="s">
        <v>1167</v>
      </c>
      <c r="D1414" s="5" t="s">
        <v>1327</v>
      </c>
      <c r="E1414" s="5" t="s">
        <v>34</v>
      </c>
      <c r="F1414" s="5" t="s">
        <v>34</v>
      </c>
      <c r="G1414" s="5" t="s">
        <v>36</v>
      </c>
      <c r="H1414" s="5" t="s">
        <v>35</v>
      </c>
      <c r="I1414" s="6">
        <v>1.0</v>
      </c>
      <c r="J1414" s="6" t="s">
        <v>37</v>
      </c>
      <c r="K1414" s="6">
        <v>10.0</v>
      </c>
      <c r="L1414" s="5"/>
      <c r="M1414" s="5"/>
      <c r="N1414" s="6" t="s">
        <v>40</v>
      </c>
      <c r="O1414" s="5" t="s">
        <v>5363</v>
      </c>
      <c r="P1414" s="6" t="s">
        <v>42</v>
      </c>
      <c r="Q1414" s="5" t="s">
        <v>1237</v>
      </c>
      <c r="R1414" s="5" t="s">
        <v>10717</v>
      </c>
      <c r="S1414" s="6" t="s">
        <v>75</v>
      </c>
      <c r="T1414" s="6">
        <v>6495.0</v>
      </c>
    </row>
    <row r="1415" ht="56.25" customHeight="1">
      <c r="A1415" s="5" t="s">
        <v>10703</v>
      </c>
      <c r="B1415" s="6" t="str">
        <f>image("https://storage.googleapis.com/acdb/photos/BromideNpcNmlFlg11_Remake_5_0.png")</f>
        <v/>
      </c>
      <c r="C1415" s="5" t="s">
        <v>58</v>
      </c>
      <c r="D1415" s="5" t="s">
        <v>1327</v>
      </c>
      <c r="E1415" s="5" t="s">
        <v>34</v>
      </c>
      <c r="F1415" s="5" t="s">
        <v>34</v>
      </c>
      <c r="G1415" s="5" t="s">
        <v>36</v>
      </c>
      <c r="H1415" s="5" t="s">
        <v>35</v>
      </c>
      <c r="I1415" s="6">
        <v>1.0</v>
      </c>
      <c r="J1415" s="6" t="s">
        <v>37</v>
      </c>
      <c r="K1415" s="6">
        <v>10.0</v>
      </c>
      <c r="L1415" s="5"/>
      <c r="M1415" s="5"/>
      <c r="N1415" s="6" t="s">
        <v>40</v>
      </c>
      <c r="O1415" s="5" t="s">
        <v>5363</v>
      </c>
      <c r="P1415" s="6" t="s">
        <v>42</v>
      </c>
      <c r="Q1415" s="5" t="s">
        <v>1237</v>
      </c>
      <c r="R1415" s="5" t="s">
        <v>10719</v>
      </c>
      <c r="S1415" s="6" t="s">
        <v>79</v>
      </c>
      <c r="T1415" s="6">
        <v>6495.0</v>
      </c>
    </row>
    <row r="1416" ht="56.25" customHeight="1">
      <c r="A1416" s="5" t="s">
        <v>10703</v>
      </c>
      <c r="B1416" s="6" t="str">
        <f>image("https://storage.googleapis.com/acdb/photos/BromideNpcNmlFlg11_Remake_6_0.png")</f>
        <v/>
      </c>
      <c r="C1416" s="5" t="s">
        <v>146</v>
      </c>
      <c r="D1416" s="5" t="s">
        <v>1327</v>
      </c>
      <c r="E1416" s="5" t="s">
        <v>34</v>
      </c>
      <c r="F1416" s="5" t="s">
        <v>34</v>
      </c>
      <c r="G1416" s="5" t="s">
        <v>36</v>
      </c>
      <c r="H1416" s="5" t="s">
        <v>35</v>
      </c>
      <c r="I1416" s="6">
        <v>1.0</v>
      </c>
      <c r="J1416" s="6" t="s">
        <v>37</v>
      </c>
      <c r="K1416" s="6">
        <v>10.0</v>
      </c>
      <c r="L1416" s="5"/>
      <c r="M1416" s="5"/>
      <c r="N1416" s="6" t="s">
        <v>40</v>
      </c>
      <c r="O1416" s="5" t="s">
        <v>5363</v>
      </c>
      <c r="P1416" s="6" t="s">
        <v>42</v>
      </c>
      <c r="Q1416" s="5" t="s">
        <v>1237</v>
      </c>
      <c r="R1416" s="5" t="s">
        <v>10722</v>
      </c>
      <c r="S1416" s="6" t="s">
        <v>86</v>
      </c>
      <c r="T1416" s="6">
        <v>6495.0</v>
      </c>
    </row>
    <row r="1417" ht="56.25" customHeight="1">
      <c r="A1417" s="5" t="s">
        <v>10703</v>
      </c>
      <c r="B1417" s="6" t="str">
        <f>image("https://storage.googleapis.com/acdb/photos/BromideNpcNmlFlg11_Remake_7_0.png")</f>
        <v/>
      </c>
      <c r="C1417" s="5" t="s">
        <v>151</v>
      </c>
      <c r="D1417" s="5" t="s">
        <v>1327</v>
      </c>
      <c r="E1417" s="5" t="s">
        <v>34</v>
      </c>
      <c r="F1417" s="5" t="s">
        <v>34</v>
      </c>
      <c r="G1417" s="5" t="s">
        <v>36</v>
      </c>
      <c r="H1417" s="5" t="s">
        <v>35</v>
      </c>
      <c r="I1417" s="6">
        <v>1.0</v>
      </c>
      <c r="J1417" s="6" t="s">
        <v>37</v>
      </c>
      <c r="K1417" s="6">
        <v>10.0</v>
      </c>
      <c r="L1417" s="5"/>
      <c r="M1417" s="5"/>
      <c r="N1417" s="6" t="s">
        <v>40</v>
      </c>
      <c r="O1417" s="5" t="s">
        <v>5363</v>
      </c>
      <c r="P1417" s="6" t="s">
        <v>42</v>
      </c>
      <c r="Q1417" s="5" t="s">
        <v>1237</v>
      </c>
      <c r="R1417" s="5" t="s">
        <v>10724</v>
      </c>
      <c r="S1417" s="6" t="s">
        <v>208</v>
      </c>
      <c r="T1417" s="6">
        <v>6495.0</v>
      </c>
    </row>
    <row r="1418" ht="56.25" customHeight="1">
      <c r="A1418" s="5" t="s">
        <v>10725</v>
      </c>
      <c r="B1418" s="6" t="str">
        <f>image("https://storage.googleapis.com/acdb/photos/BromideNpcNmlPig03_Remake_0_0.png")</f>
        <v/>
      </c>
      <c r="C1418" s="5" t="s">
        <v>366</v>
      </c>
      <c r="D1418" s="5" t="s">
        <v>1327</v>
      </c>
      <c r="E1418" s="5" t="s">
        <v>34</v>
      </c>
      <c r="F1418" s="5" t="s">
        <v>34</v>
      </c>
      <c r="G1418" s="5" t="s">
        <v>36</v>
      </c>
      <c r="H1418" s="5" t="s">
        <v>35</v>
      </c>
      <c r="I1418" s="6">
        <v>1.0</v>
      </c>
      <c r="J1418" s="6" t="s">
        <v>37</v>
      </c>
      <c r="K1418" s="6">
        <v>10.0</v>
      </c>
      <c r="L1418" s="5"/>
      <c r="M1418" s="5"/>
      <c r="N1418" s="6" t="s">
        <v>40</v>
      </c>
      <c r="O1418" s="5" t="s">
        <v>5363</v>
      </c>
      <c r="P1418" s="6" t="s">
        <v>42</v>
      </c>
      <c r="Q1418" s="5" t="s">
        <v>1237</v>
      </c>
      <c r="R1418" s="5" t="s">
        <v>10729</v>
      </c>
      <c r="S1418" s="6" t="s">
        <v>50</v>
      </c>
      <c r="T1418" s="6">
        <v>6647.0</v>
      </c>
    </row>
    <row r="1419" ht="56.25" customHeight="1">
      <c r="A1419" s="5" t="s">
        <v>10725</v>
      </c>
      <c r="B1419" s="6" t="str">
        <f>image("https://storage.googleapis.com/acdb/photos/BromideNpcNmlPig03_Remake_1_0.png")</f>
        <v/>
      </c>
      <c r="C1419" s="5" t="s">
        <v>1132</v>
      </c>
      <c r="D1419" s="5" t="s">
        <v>1327</v>
      </c>
      <c r="E1419" s="5" t="s">
        <v>34</v>
      </c>
      <c r="F1419" s="5" t="s">
        <v>34</v>
      </c>
      <c r="G1419" s="5" t="s">
        <v>36</v>
      </c>
      <c r="H1419" s="5" t="s">
        <v>35</v>
      </c>
      <c r="I1419" s="6">
        <v>1.0</v>
      </c>
      <c r="J1419" s="6" t="s">
        <v>37</v>
      </c>
      <c r="K1419" s="6">
        <v>10.0</v>
      </c>
      <c r="L1419" s="5"/>
      <c r="M1419" s="5"/>
      <c r="N1419" s="6" t="s">
        <v>40</v>
      </c>
      <c r="O1419" s="5" t="s">
        <v>5363</v>
      </c>
      <c r="P1419" s="6" t="s">
        <v>42</v>
      </c>
      <c r="Q1419" s="5" t="s">
        <v>1237</v>
      </c>
      <c r="R1419" s="5" t="s">
        <v>10731</v>
      </c>
      <c r="S1419" s="6" t="s">
        <v>56</v>
      </c>
      <c r="T1419" s="6">
        <v>6647.0</v>
      </c>
    </row>
    <row r="1420" ht="56.25" customHeight="1">
      <c r="A1420" s="5" t="s">
        <v>10725</v>
      </c>
      <c r="B1420" s="6" t="str">
        <f>image("https://storage.googleapis.com/acdb/photos/BromideNpcNmlPig03_Remake_2_0.png")</f>
        <v/>
      </c>
      <c r="C1420" s="5" t="s">
        <v>688</v>
      </c>
      <c r="D1420" s="5" t="s">
        <v>1327</v>
      </c>
      <c r="E1420" s="5" t="s">
        <v>34</v>
      </c>
      <c r="F1420" s="5" t="s">
        <v>34</v>
      </c>
      <c r="G1420" s="5" t="s">
        <v>36</v>
      </c>
      <c r="H1420" s="5" t="s">
        <v>35</v>
      </c>
      <c r="I1420" s="6">
        <v>1.0</v>
      </c>
      <c r="J1420" s="6" t="s">
        <v>37</v>
      </c>
      <c r="K1420" s="6">
        <v>10.0</v>
      </c>
      <c r="L1420" s="5"/>
      <c r="M1420" s="5"/>
      <c r="N1420" s="6" t="s">
        <v>40</v>
      </c>
      <c r="O1420" s="5" t="s">
        <v>5363</v>
      </c>
      <c r="P1420" s="6" t="s">
        <v>42</v>
      </c>
      <c r="Q1420" s="5" t="s">
        <v>1237</v>
      </c>
      <c r="R1420" s="5" t="s">
        <v>10734</v>
      </c>
      <c r="S1420" s="6" t="s">
        <v>67</v>
      </c>
      <c r="T1420" s="6">
        <v>6647.0</v>
      </c>
    </row>
    <row r="1421" ht="56.25" customHeight="1">
      <c r="A1421" s="5" t="s">
        <v>10725</v>
      </c>
      <c r="B1421" s="6" t="str">
        <f>image("https://storage.googleapis.com/acdb/photos/BromideNpcNmlPig03_Remake_3_0.png")</f>
        <v/>
      </c>
      <c r="C1421" s="5" t="s">
        <v>57</v>
      </c>
      <c r="D1421" s="5" t="s">
        <v>1327</v>
      </c>
      <c r="E1421" s="5" t="s">
        <v>34</v>
      </c>
      <c r="F1421" s="5" t="s">
        <v>34</v>
      </c>
      <c r="G1421" s="5" t="s">
        <v>36</v>
      </c>
      <c r="H1421" s="5" t="s">
        <v>35</v>
      </c>
      <c r="I1421" s="6">
        <v>1.0</v>
      </c>
      <c r="J1421" s="6" t="s">
        <v>37</v>
      </c>
      <c r="K1421" s="6">
        <v>10.0</v>
      </c>
      <c r="L1421" s="5"/>
      <c r="M1421" s="5"/>
      <c r="N1421" s="6" t="s">
        <v>40</v>
      </c>
      <c r="O1421" s="5" t="s">
        <v>5363</v>
      </c>
      <c r="P1421" s="6" t="s">
        <v>42</v>
      </c>
      <c r="Q1421" s="5" t="s">
        <v>1237</v>
      </c>
      <c r="R1421" s="5" t="s">
        <v>10737</v>
      </c>
      <c r="S1421" s="6" t="s">
        <v>71</v>
      </c>
      <c r="T1421" s="6">
        <v>6647.0</v>
      </c>
    </row>
    <row r="1422" ht="56.25" customHeight="1">
      <c r="A1422" s="5" t="s">
        <v>10725</v>
      </c>
      <c r="B1422" s="6" t="str">
        <f>image("https://storage.googleapis.com/acdb/photos/BromideNpcNmlPig03_Remake_4_0.png")</f>
        <v/>
      </c>
      <c r="C1422" s="5" t="s">
        <v>1167</v>
      </c>
      <c r="D1422" s="5" t="s">
        <v>1327</v>
      </c>
      <c r="E1422" s="5" t="s">
        <v>34</v>
      </c>
      <c r="F1422" s="5" t="s">
        <v>34</v>
      </c>
      <c r="G1422" s="5" t="s">
        <v>36</v>
      </c>
      <c r="H1422" s="5" t="s">
        <v>35</v>
      </c>
      <c r="I1422" s="6">
        <v>1.0</v>
      </c>
      <c r="J1422" s="6" t="s">
        <v>37</v>
      </c>
      <c r="K1422" s="6">
        <v>10.0</v>
      </c>
      <c r="L1422" s="5"/>
      <c r="M1422" s="5"/>
      <c r="N1422" s="6" t="s">
        <v>40</v>
      </c>
      <c r="O1422" s="5" t="s">
        <v>5363</v>
      </c>
      <c r="P1422" s="6" t="s">
        <v>42</v>
      </c>
      <c r="Q1422" s="5" t="s">
        <v>1237</v>
      </c>
      <c r="R1422" s="5" t="s">
        <v>10740</v>
      </c>
      <c r="S1422" s="6" t="s">
        <v>75</v>
      </c>
      <c r="T1422" s="6">
        <v>6647.0</v>
      </c>
    </row>
    <row r="1423" ht="56.25" customHeight="1">
      <c r="A1423" s="5" t="s">
        <v>10725</v>
      </c>
      <c r="B1423" s="6" t="str">
        <f>image("https://storage.googleapis.com/acdb/photos/BromideNpcNmlPig03_Remake_5_0.png")</f>
        <v/>
      </c>
      <c r="C1423" s="5" t="s">
        <v>58</v>
      </c>
      <c r="D1423" s="5" t="s">
        <v>1327</v>
      </c>
      <c r="E1423" s="5" t="s">
        <v>34</v>
      </c>
      <c r="F1423" s="5" t="s">
        <v>34</v>
      </c>
      <c r="G1423" s="5" t="s">
        <v>36</v>
      </c>
      <c r="H1423" s="5" t="s">
        <v>35</v>
      </c>
      <c r="I1423" s="6">
        <v>1.0</v>
      </c>
      <c r="J1423" s="6" t="s">
        <v>37</v>
      </c>
      <c r="K1423" s="6">
        <v>10.0</v>
      </c>
      <c r="L1423" s="5"/>
      <c r="M1423" s="5"/>
      <c r="N1423" s="6" t="s">
        <v>40</v>
      </c>
      <c r="O1423" s="5" t="s">
        <v>5363</v>
      </c>
      <c r="P1423" s="6" t="s">
        <v>42</v>
      </c>
      <c r="Q1423" s="5" t="s">
        <v>1237</v>
      </c>
      <c r="R1423" s="5" t="s">
        <v>10743</v>
      </c>
      <c r="S1423" s="6" t="s">
        <v>79</v>
      </c>
      <c r="T1423" s="6">
        <v>6647.0</v>
      </c>
    </row>
    <row r="1424" ht="56.25" customHeight="1">
      <c r="A1424" s="5" t="s">
        <v>10725</v>
      </c>
      <c r="B1424" s="6" t="str">
        <f>image("https://storage.googleapis.com/acdb/photos/BromideNpcNmlPig03_Remake_6_0.png")</f>
        <v/>
      </c>
      <c r="C1424" s="5" t="s">
        <v>146</v>
      </c>
      <c r="D1424" s="5" t="s">
        <v>1327</v>
      </c>
      <c r="E1424" s="5" t="s">
        <v>34</v>
      </c>
      <c r="F1424" s="5" t="s">
        <v>34</v>
      </c>
      <c r="G1424" s="5" t="s">
        <v>36</v>
      </c>
      <c r="H1424" s="5" t="s">
        <v>35</v>
      </c>
      <c r="I1424" s="6">
        <v>1.0</v>
      </c>
      <c r="J1424" s="6" t="s">
        <v>37</v>
      </c>
      <c r="K1424" s="6">
        <v>10.0</v>
      </c>
      <c r="L1424" s="5"/>
      <c r="M1424" s="5"/>
      <c r="N1424" s="6" t="s">
        <v>40</v>
      </c>
      <c r="O1424" s="5" t="s">
        <v>5363</v>
      </c>
      <c r="P1424" s="6" t="s">
        <v>42</v>
      </c>
      <c r="Q1424" s="5" t="s">
        <v>1237</v>
      </c>
      <c r="R1424" s="5" t="s">
        <v>10750</v>
      </c>
      <c r="S1424" s="6" t="s">
        <v>86</v>
      </c>
      <c r="T1424" s="6">
        <v>6647.0</v>
      </c>
    </row>
    <row r="1425" ht="56.25" customHeight="1">
      <c r="A1425" s="5" t="s">
        <v>10725</v>
      </c>
      <c r="B1425" s="6" t="str">
        <f>image("https://storage.googleapis.com/acdb/photos/BromideNpcNmlPig03_Remake_7_0.png")</f>
        <v/>
      </c>
      <c r="C1425" s="5" t="s">
        <v>151</v>
      </c>
      <c r="D1425" s="5" t="s">
        <v>1327</v>
      </c>
      <c r="E1425" s="5" t="s">
        <v>34</v>
      </c>
      <c r="F1425" s="5" t="s">
        <v>34</v>
      </c>
      <c r="G1425" s="5" t="s">
        <v>36</v>
      </c>
      <c r="H1425" s="5" t="s">
        <v>35</v>
      </c>
      <c r="I1425" s="6">
        <v>1.0</v>
      </c>
      <c r="J1425" s="6" t="s">
        <v>37</v>
      </c>
      <c r="K1425" s="6">
        <v>10.0</v>
      </c>
      <c r="L1425" s="5"/>
      <c r="M1425" s="5"/>
      <c r="N1425" s="6" t="s">
        <v>40</v>
      </c>
      <c r="O1425" s="5" t="s">
        <v>5363</v>
      </c>
      <c r="P1425" s="6" t="s">
        <v>42</v>
      </c>
      <c r="Q1425" s="5" t="s">
        <v>1237</v>
      </c>
      <c r="R1425" s="5" t="s">
        <v>10752</v>
      </c>
      <c r="S1425" s="6" t="s">
        <v>208</v>
      </c>
      <c r="T1425" s="6">
        <v>6647.0</v>
      </c>
    </row>
    <row r="1426" ht="56.25" customHeight="1">
      <c r="A1426" s="5" t="s">
        <v>10754</v>
      </c>
      <c r="B1426" s="6" t="str">
        <f>image("https://storage.googleapis.com/acdb/photos/BromideNpcNmlPgn11_Remake_0_0.png")</f>
        <v/>
      </c>
      <c r="C1426" s="5" t="s">
        <v>366</v>
      </c>
      <c r="D1426" s="5" t="s">
        <v>1327</v>
      </c>
      <c r="E1426" s="5" t="s">
        <v>34</v>
      </c>
      <c r="F1426" s="5" t="s">
        <v>34</v>
      </c>
      <c r="G1426" s="5" t="s">
        <v>36</v>
      </c>
      <c r="H1426" s="5" t="s">
        <v>35</v>
      </c>
      <c r="I1426" s="6">
        <v>1.0</v>
      </c>
      <c r="J1426" s="6" t="s">
        <v>37</v>
      </c>
      <c r="K1426" s="6">
        <v>10.0</v>
      </c>
      <c r="L1426" s="5"/>
      <c r="M1426" s="5"/>
      <c r="N1426" s="6" t="s">
        <v>40</v>
      </c>
      <c r="O1426" s="5" t="s">
        <v>5363</v>
      </c>
      <c r="P1426" s="6" t="s">
        <v>42</v>
      </c>
      <c r="Q1426" s="5" t="s">
        <v>1237</v>
      </c>
      <c r="R1426" s="5" t="s">
        <v>10758</v>
      </c>
      <c r="S1426" s="6" t="s">
        <v>50</v>
      </c>
      <c r="T1426" s="6">
        <v>6640.0</v>
      </c>
    </row>
    <row r="1427" ht="56.25" customHeight="1">
      <c r="A1427" s="5" t="s">
        <v>10754</v>
      </c>
      <c r="B1427" s="6" t="str">
        <f>image("https://storage.googleapis.com/acdb/photos/BromideNpcNmlPgn11_Remake_1_0.png")</f>
        <v/>
      </c>
      <c r="C1427" s="5" t="s">
        <v>1132</v>
      </c>
      <c r="D1427" s="5" t="s">
        <v>1327</v>
      </c>
      <c r="E1427" s="5" t="s">
        <v>34</v>
      </c>
      <c r="F1427" s="5" t="s">
        <v>34</v>
      </c>
      <c r="G1427" s="5" t="s">
        <v>36</v>
      </c>
      <c r="H1427" s="5" t="s">
        <v>35</v>
      </c>
      <c r="I1427" s="6">
        <v>1.0</v>
      </c>
      <c r="J1427" s="6" t="s">
        <v>37</v>
      </c>
      <c r="K1427" s="6">
        <v>10.0</v>
      </c>
      <c r="L1427" s="5"/>
      <c r="M1427" s="5"/>
      <c r="N1427" s="6" t="s">
        <v>40</v>
      </c>
      <c r="O1427" s="5" t="s">
        <v>5363</v>
      </c>
      <c r="P1427" s="6" t="s">
        <v>42</v>
      </c>
      <c r="Q1427" s="5" t="s">
        <v>1237</v>
      </c>
      <c r="R1427" s="5" t="s">
        <v>10761</v>
      </c>
      <c r="S1427" s="6" t="s">
        <v>56</v>
      </c>
      <c r="T1427" s="6">
        <v>6640.0</v>
      </c>
    </row>
    <row r="1428" ht="56.25" customHeight="1">
      <c r="A1428" s="5" t="s">
        <v>10754</v>
      </c>
      <c r="B1428" s="6" t="str">
        <f>image("https://storage.googleapis.com/acdb/photos/BromideNpcNmlPgn11_Remake_2_0.png")</f>
        <v/>
      </c>
      <c r="C1428" s="5" t="s">
        <v>688</v>
      </c>
      <c r="D1428" s="5" t="s">
        <v>1327</v>
      </c>
      <c r="E1428" s="5" t="s">
        <v>34</v>
      </c>
      <c r="F1428" s="5" t="s">
        <v>34</v>
      </c>
      <c r="G1428" s="5" t="s">
        <v>36</v>
      </c>
      <c r="H1428" s="5" t="s">
        <v>35</v>
      </c>
      <c r="I1428" s="6">
        <v>1.0</v>
      </c>
      <c r="J1428" s="6" t="s">
        <v>37</v>
      </c>
      <c r="K1428" s="6">
        <v>10.0</v>
      </c>
      <c r="L1428" s="5"/>
      <c r="M1428" s="5"/>
      <c r="N1428" s="6" t="s">
        <v>40</v>
      </c>
      <c r="O1428" s="5" t="s">
        <v>5363</v>
      </c>
      <c r="P1428" s="6" t="s">
        <v>42</v>
      </c>
      <c r="Q1428" s="5" t="s">
        <v>1237</v>
      </c>
      <c r="R1428" s="5" t="s">
        <v>10764</v>
      </c>
      <c r="S1428" s="6" t="s">
        <v>67</v>
      </c>
      <c r="T1428" s="6">
        <v>6640.0</v>
      </c>
    </row>
    <row r="1429" ht="56.25" customHeight="1">
      <c r="A1429" s="5" t="s">
        <v>10754</v>
      </c>
      <c r="B1429" s="6" t="str">
        <f>image("https://storage.googleapis.com/acdb/photos/BromideNpcNmlPgn11_Remake_3_0.png")</f>
        <v/>
      </c>
      <c r="C1429" s="5" t="s">
        <v>57</v>
      </c>
      <c r="D1429" s="5" t="s">
        <v>1327</v>
      </c>
      <c r="E1429" s="5" t="s">
        <v>34</v>
      </c>
      <c r="F1429" s="5" t="s">
        <v>34</v>
      </c>
      <c r="G1429" s="5" t="s">
        <v>36</v>
      </c>
      <c r="H1429" s="5" t="s">
        <v>35</v>
      </c>
      <c r="I1429" s="6">
        <v>1.0</v>
      </c>
      <c r="J1429" s="6" t="s">
        <v>37</v>
      </c>
      <c r="K1429" s="6">
        <v>10.0</v>
      </c>
      <c r="L1429" s="5"/>
      <c r="M1429" s="5"/>
      <c r="N1429" s="6" t="s">
        <v>40</v>
      </c>
      <c r="O1429" s="5" t="s">
        <v>5363</v>
      </c>
      <c r="P1429" s="6" t="s">
        <v>42</v>
      </c>
      <c r="Q1429" s="5" t="s">
        <v>1237</v>
      </c>
      <c r="R1429" s="5" t="s">
        <v>10768</v>
      </c>
      <c r="S1429" s="6" t="s">
        <v>71</v>
      </c>
      <c r="T1429" s="6">
        <v>6640.0</v>
      </c>
    </row>
    <row r="1430" ht="56.25" customHeight="1">
      <c r="A1430" s="5" t="s">
        <v>10754</v>
      </c>
      <c r="B1430" s="6" t="str">
        <f>image("https://storage.googleapis.com/acdb/photos/BromideNpcNmlPgn11_Remake_4_0.png")</f>
        <v/>
      </c>
      <c r="C1430" s="5" t="s">
        <v>1167</v>
      </c>
      <c r="D1430" s="5" t="s">
        <v>1327</v>
      </c>
      <c r="E1430" s="5" t="s">
        <v>34</v>
      </c>
      <c r="F1430" s="5" t="s">
        <v>34</v>
      </c>
      <c r="G1430" s="5" t="s">
        <v>36</v>
      </c>
      <c r="H1430" s="5" t="s">
        <v>35</v>
      </c>
      <c r="I1430" s="6">
        <v>1.0</v>
      </c>
      <c r="J1430" s="6" t="s">
        <v>37</v>
      </c>
      <c r="K1430" s="6">
        <v>10.0</v>
      </c>
      <c r="L1430" s="5"/>
      <c r="M1430" s="5"/>
      <c r="N1430" s="6" t="s">
        <v>40</v>
      </c>
      <c r="O1430" s="5" t="s">
        <v>5363</v>
      </c>
      <c r="P1430" s="6" t="s">
        <v>42</v>
      </c>
      <c r="Q1430" s="5" t="s">
        <v>1237</v>
      </c>
      <c r="R1430" s="5" t="s">
        <v>10773</v>
      </c>
      <c r="S1430" s="6" t="s">
        <v>75</v>
      </c>
      <c r="T1430" s="6">
        <v>6640.0</v>
      </c>
    </row>
    <row r="1431" ht="56.25" customHeight="1">
      <c r="A1431" s="5" t="s">
        <v>10754</v>
      </c>
      <c r="B1431" s="6" t="str">
        <f>image("https://storage.googleapis.com/acdb/photos/BromideNpcNmlPgn11_Remake_5_0.png")</f>
        <v/>
      </c>
      <c r="C1431" s="5" t="s">
        <v>58</v>
      </c>
      <c r="D1431" s="5" t="s">
        <v>1327</v>
      </c>
      <c r="E1431" s="5" t="s">
        <v>34</v>
      </c>
      <c r="F1431" s="5" t="s">
        <v>34</v>
      </c>
      <c r="G1431" s="5" t="s">
        <v>36</v>
      </c>
      <c r="H1431" s="5" t="s">
        <v>35</v>
      </c>
      <c r="I1431" s="6">
        <v>1.0</v>
      </c>
      <c r="J1431" s="6" t="s">
        <v>37</v>
      </c>
      <c r="K1431" s="6">
        <v>10.0</v>
      </c>
      <c r="L1431" s="5"/>
      <c r="M1431" s="5"/>
      <c r="N1431" s="6" t="s">
        <v>40</v>
      </c>
      <c r="O1431" s="5" t="s">
        <v>5363</v>
      </c>
      <c r="P1431" s="6" t="s">
        <v>42</v>
      </c>
      <c r="Q1431" s="5" t="s">
        <v>1237</v>
      </c>
      <c r="R1431" s="5" t="s">
        <v>10775</v>
      </c>
      <c r="S1431" s="6" t="s">
        <v>79</v>
      </c>
      <c r="T1431" s="6">
        <v>6640.0</v>
      </c>
    </row>
    <row r="1432" ht="56.25" customHeight="1">
      <c r="A1432" s="5" t="s">
        <v>10754</v>
      </c>
      <c r="B1432" s="6" t="str">
        <f>image("https://storage.googleapis.com/acdb/photos/BromideNpcNmlPgn11_Remake_6_0.png")</f>
        <v/>
      </c>
      <c r="C1432" s="5" t="s">
        <v>146</v>
      </c>
      <c r="D1432" s="5" t="s">
        <v>1327</v>
      </c>
      <c r="E1432" s="5" t="s">
        <v>34</v>
      </c>
      <c r="F1432" s="5" t="s">
        <v>34</v>
      </c>
      <c r="G1432" s="5" t="s">
        <v>36</v>
      </c>
      <c r="H1432" s="5" t="s">
        <v>35</v>
      </c>
      <c r="I1432" s="6">
        <v>1.0</v>
      </c>
      <c r="J1432" s="6" t="s">
        <v>37</v>
      </c>
      <c r="K1432" s="6">
        <v>10.0</v>
      </c>
      <c r="L1432" s="5"/>
      <c r="M1432" s="5"/>
      <c r="N1432" s="6" t="s">
        <v>40</v>
      </c>
      <c r="O1432" s="5" t="s">
        <v>5363</v>
      </c>
      <c r="P1432" s="6" t="s">
        <v>42</v>
      </c>
      <c r="Q1432" s="5" t="s">
        <v>1237</v>
      </c>
      <c r="R1432" s="5" t="s">
        <v>10777</v>
      </c>
      <c r="S1432" s="6" t="s">
        <v>86</v>
      </c>
      <c r="T1432" s="6">
        <v>6640.0</v>
      </c>
    </row>
    <row r="1433" ht="56.25" customHeight="1">
      <c r="A1433" s="5" t="s">
        <v>10754</v>
      </c>
      <c r="B1433" s="6" t="str">
        <f>image("https://storage.googleapis.com/acdb/photos/BromideNpcNmlPgn11_Remake_7_0.png")</f>
        <v/>
      </c>
      <c r="C1433" s="5" t="s">
        <v>151</v>
      </c>
      <c r="D1433" s="5" t="s">
        <v>1327</v>
      </c>
      <c r="E1433" s="5" t="s">
        <v>34</v>
      </c>
      <c r="F1433" s="5" t="s">
        <v>34</v>
      </c>
      <c r="G1433" s="5" t="s">
        <v>36</v>
      </c>
      <c r="H1433" s="5" t="s">
        <v>35</v>
      </c>
      <c r="I1433" s="6">
        <v>1.0</v>
      </c>
      <c r="J1433" s="6" t="s">
        <v>37</v>
      </c>
      <c r="K1433" s="6">
        <v>10.0</v>
      </c>
      <c r="L1433" s="5"/>
      <c r="M1433" s="5"/>
      <c r="N1433" s="6" t="s">
        <v>40</v>
      </c>
      <c r="O1433" s="5" t="s">
        <v>5363</v>
      </c>
      <c r="P1433" s="6" t="s">
        <v>42</v>
      </c>
      <c r="Q1433" s="5" t="s">
        <v>1237</v>
      </c>
      <c r="R1433" s="5" t="s">
        <v>10780</v>
      </c>
      <c r="S1433" s="6" t="s">
        <v>208</v>
      </c>
      <c r="T1433" s="6">
        <v>6640.0</v>
      </c>
    </row>
    <row r="1434" ht="56.25" customHeight="1">
      <c r="A1434" s="5" t="s">
        <v>10781</v>
      </c>
      <c r="B1434" s="6" t="str">
        <f>image("https://storage.googleapis.com/acdb/photos/BromideNpcNmlBea11_Remake_0_0.png")</f>
        <v/>
      </c>
      <c r="C1434" s="5" t="s">
        <v>366</v>
      </c>
      <c r="D1434" s="5" t="s">
        <v>1327</v>
      </c>
      <c r="E1434" s="5" t="s">
        <v>34</v>
      </c>
      <c r="F1434" s="5" t="s">
        <v>34</v>
      </c>
      <c r="G1434" s="5" t="s">
        <v>36</v>
      </c>
      <c r="H1434" s="5" t="s">
        <v>35</v>
      </c>
      <c r="I1434" s="6">
        <v>1.0</v>
      </c>
      <c r="J1434" s="6" t="s">
        <v>37</v>
      </c>
      <c r="K1434" s="6">
        <v>10.0</v>
      </c>
      <c r="L1434" s="5"/>
      <c r="M1434" s="5"/>
      <c r="N1434" s="6" t="s">
        <v>40</v>
      </c>
      <c r="O1434" s="5" t="s">
        <v>5363</v>
      </c>
      <c r="P1434" s="6" t="s">
        <v>42</v>
      </c>
      <c r="Q1434" s="5" t="s">
        <v>1237</v>
      </c>
      <c r="R1434" s="5" t="s">
        <v>10784</v>
      </c>
      <c r="S1434" s="6" t="s">
        <v>50</v>
      </c>
      <c r="T1434" s="6">
        <v>6515.0</v>
      </c>
    </row>
    <row r="1435" ht="56.25" customHeight="1">
      <c r="A1435" s="5" t="s">
        <v>10781</v>
      </c>
      <c r="B1435" s="6" t="str">
        <f>image("https://storage.googleapis.com/acdb/photos/BromideNpcNmlBea11_Remake_1_0.png")</f>
        <v/>
      </c>
      <c r="C1435" s="5" t="s">
        <v>1132</v>
      </c>
      <c r="D1435" s="5" t="s">
        <v>1327</v>
      </c>
      <c r="E1435" s="5" t="s">
        <v>34</v>
      </c>
      <c r="F1435" s="5" t="s">
        <v>34</v>
      </c>
      <c r="G1435" s="5" t="s">
        <v>36</v>
      </c>
      <c r="H1435" s="5" t="s">
        <v>35</v>
      </c>
      <c r="I1435" s="6">
        <v>1.0</v>
      </c>
      <c r="J1435" s="6" t="s">
        <v>37</v>
      </c>
      <c r="K1435" s="6">
        <v>10.0</v>
      </c>
      <c r="L1435" s="5"/>
      <c r="M1435" s="5"/>
      <c r="N1435" s="6" t="s">
        <v>40</v>
      </c>
      <c r="O1435" s="5" t="s">
        <v>5363</v>
      </c>
      <c r="P1435" s="6" t="s">
        <v>42</v>
      </c>
      <c r="Q1435" s="5" t="s">
        <v>1237</v>
      </c>
      <c r="R1435" s="5" t="s">
        <v>10788</v>
      </c>
      <c r="S1435" s="6" t="s">
        <v>56</v>
      </c>
      <c r="T1435" s="6">
        <v>6515.0</v>
      </c>
    </row>
    <row r="1436" ht="56.25" customHeight="1">
      <c r="A1436" s="5" t="s">
        <v>10781</v>
      </c>
      <c r="B1436" s="6" t="str">
        <f>image("https://storage.googleapis.com/acdb/photos/BromideNpcNmlBea11_Remake_2_0.png")</f>
        <v/>
      </c>
      <c r="C1436" s="5" t="s">
        <v>688</v>
      </c>
      <c r="D1436" s="5" t="s">
        <v>1327</v>
      </c>
      <c r="E1436" s="5" t="s">
        <v>34</v>
      </c>
      <c r="F1436" s="5" t="s">
        <v>34</v>
      </c>
      <c r="G1436" s="5" t="s">
        <v>36</v>
      </c>
      <c r="H1436" s="5" t="s">
        <v>35</v>
      </c>
      <c r="I1436" s="6">
        <v>1.0</v>
      </c>
      <c r="J1436" s="6" t="s">
        <v>37</v>
      </c>
      <c r="K1436" s="6">
        <v>10.0</v>
      </c>
      <c r="L1436" s="5"/>
      <c r="M1436" s="5"/>
      <c r="N1436" s="6" t="s">
        <v>40</v>
      </c>
      <c r="O1436" s="5" t="s">
        <v>5363</v>
      </c>
      <c r="P1436" s="6" t="s">
        <v>42</v>
      </c>
      <c r="Q1436" s="5" t="s">
        <v>1237</v>
      </c>
      <c r="R1436" s="5" t="s">
        <v>10791</v>
      </c>
      <c r="S1436" s="6" t="s">
        <v>67</v>
      </c>
      <c r="T1436" s="6">
        <v>6515.0</v>
      </c>
    </row>
    <row r="1437" ht="56.25" customHeight="1">
      <c r="A1437" s="5" t="s">
        <v>10781</v>
      </c>
      <c r="B1437" s="6" t="str">
        <f>image("https://storage.googleapis.com/acdb/photos/BromideNpcNmlBea11_Remake_3_0.png")</f>
        <v/>
      </c>
      <c r="C1437" s="5" t="s">
        <v>57</v>
      </c>
      <c r="D1437" s="5" t="s">
        <v>1327</v>
      </c>
      <c r="E1437" s="5" t="s">
        <v>34</v>
      </c>
      <c r="F1437" s="5" t="s">
        <v>34</v>
      </c>
      <c r="G1437" s="5" t="s">
        <v>36</v>
      </c>
      <c r="H1437" s="5" t="s">
        <v>35</v>
      </c>
      <c r="I1437" s="6">
        <v>1.0</v>
      </c>
      <c r="J1437" s="6" t="s">
        <v>37</v>
      </c>
      <c r="K1437" s="6">
        <v>10.0</v>
      </c>
      <c r="L1437" s="5"/>
      <c r="M1437" s="5"/>
      <c r="N1437" s="6" t="s">
        <v>40</v>
      </c>
      <c r="O1437" s="5" t="s">
        <v>5363</v>
      </c>
      <c r="P1437" s="6" t="s">
        <v>42</v>
      </c>
      <c r="Q1437" s="5" t="s">
        <v>1237</v>
      </c>
      <c r="R1437" s="5" t="s">
        <v>10795</v>
      </c>
      <c r="S1437" s="6" t="s">
        <v>71</v>
      </c>
      <c r="T1437" s="6">
        <v>6515.0</v>
      </c>
    </row>
    <row r="1438" ht="56.25" customHeight="1">
      <c r="A1438" s="5" t="s">
        <v>10781</v>
      </c>
      <c r="B1438" s="6" t="str">
        <f>image("https://storage.googleapis.com/acdb/photos/BromideNpcNmlBea11_Remake_4_0.png")</f>
        <v/>
      </c>
      <c r="C1438" s="5" t="s">
        <v>1167</v>
      </c>
      <c r="D1438" s="5" t="s">
        <v>1327</v>
      </c>
      <c r="E1438" s="5" t="s">
        <v>34</v>
      </c>
      <c r="F1438" s="5" t="s">
        <v>34</v>
      </c>
      <c r="G1438" s="5" t="s">
        <v>36</v>
      </c>
      <c r="H1438" s="5" t="s">
        <v>35</v>
      </c>
      <c r="I1438" s="6">
        <v>1.0</v>
      </c>
      <c r="J1438" s="6" t="s">
        <v>37</v>
      </c>
      <c r="K1438" s="6">
        <v>10.0</v>
      </c>
      <c r="L1438" s="5"/>
      <c r="M1438" s="5"/>
      <c r="N1438" s="6" t="s">
        <v>40</v>
      </c>
      <c r="O1438" s="5" t="s">
        <v>5363</v>
      </c>
      <c r="P1438" s="6" t="s">
        <v>42</v>
      </c>
      <c r="Q1438" s="5" t="s">
        <v>1237</v>
      </c>
      <c r="R1438" s="5" t="s">
        <v>10798</v>
      </c>
      <c r="S1438" s="6" t="s">
        <v>75</v>
      </c>
      <c r="T1438" s="6">
        <v>6515.0</v>
      </c>
    </row>
    <row r="1439" ht="56.25" customHeight="1">
      <c r="A1439" s="5" t="s">
        <v>10781</v>
      </c>
      <c r="B1439" s="6" t="str">
        <f>image("https://storage.googleapis.com/acdb/photos/BromideNpcNmlBea11_Remake_5_0.png")</f>
        <v/>
      </c>
      <c r="C1439" s="5" t="s">
        <v>58</v>
      </c>
      <c r="D1439" s="5" t="s">
        <v>1327</v>
      </c>
      <c r="E1439" s="5" t="s">
        <v>34</v>
      </c>
      <c r="F1439" s="5" t="s">
        <v>34</v>
      </c>
      <c r="G1439" s="5" t="s">
        <v>36</v>
      </c>
      <c r="H1439" s="5" t="s">
        <v>35</v>
      </c>
      <c r="I1439" s="6">
        <v>1.0</v>
      </c>
      <c r="J1439" s="6" t="s">
        <v>37</v>
      </c>
      <c r="K1439" s="6">
        <v>10.0</v>
      </c>
      <c r="L1439" s="5"/>
      <c r="M1439" s="5"/>
      <c r="N1439" s="6" t="s">
        <v>40</v>
      </c>
      <c r="O1439" s="5" t="s">
        <v>5363</v>
      </c>
      <c r="P1439" s="6" t="s">
        <v>42</v>
      </c>
      <c r="Q1439" s="5" t="s">
        <v>1237</v>
      </c>
      <c r="R1439" s="5" t="s">
        <v>10802</v>
      </c>
      <c r="S1439" s="6" t="s">
        <v>79</v>
      </c>
      <c r="T1439" s="6">
        <v>6515.0</v>
      </c>
    </row>
    <row r="1440" ht="56.25" customHeight="1">
      <c r="A1440" s="5" t="s">
        <v>10781</v>
      </c>
      <c r="B1440" s="6" t="str">
        <f>image("https://storage.googleapis.com/acdb/photos/BromideNpcNmlBea11_Remake_6_0.png")</f>
        <v/>
      </c>
      <c r="C1440" s="5" t="s">
        <v>146</v>
      </c>
      <c r="D1440" s="5" t="s">
        <v>1327</v>
      </c>
      <c r="E1440" s="5" t="s">
        <v>34</v>
      </c>
      <c r="F1440" s="5" t="s">
        <v>34</v>
      </c>
      <c r="G1440" s="5" t="s">
        <v>36</v>
      </c>
      <c r="H1440" s="5" t="s">
        <v>35</v>
      </c>
      <c r="I1440" s="6">
        <v>1.0</v>
      </c>
      <c r="J1440" s="6" t="s">
        <v>37</v>
      </c>
      <c r="K1440" s="6">
        <v>10.0</v>
      </c>
      <c r="L1440" s="5"/>
      <c r="M1440" s="5"/>
      <c r="N1440" s="6" t="s">
        <v>40</v>
      </c>
      <c r="O1440" s="5" t="s">
        <v>5363</v>
      </c>
      <c r="P1440" s="6" t="s">
        <v>42</v>
      </c>
      <c r="Q1440" s="5" t="s">
        <v>1237</v>
      </c>
      <c r="R1440" s="5" t="s">
        <v>10803</v>
      </c>
      <c r="S1440" s="6" t="s">
        <v>86</v>
      </c>
      <c r="T1440" s="6">
        <v>6515.0</v>
      </c>
    </row>
    <row r="1441" ht="56.25" customHeight="1">
      <c r="A1441" s="5" t="s">
        <v>10781</v>
      </c>
      <c r="B1441" s="6" t="str">
        <f>image("https://storage.googleapis.com/acdb/photos/BromideNpcNmlBea11_Remake_7_0.png")</f>
        <v/>
      </c>
      <c r="C1441" s="5" t="s">
        <v>151</v>
      </c>
      <c r="D1441" s="5" t="s">
        <v>1327</v>
      </c>
      <c r="E1441" s="5" t="s">
        <v>34</v>
      </c>
      <c r="F1441" s="5" t="s">
        <v>34</v>
      </c>
      <c r="G1441" s="5" t="s">
        <v>36</v>
      </c>
      <c r="H1441" s="5" t="s">
        <v>35</v>
      </c>
      <c r="I1441" s="6">
        <v>1.0</v>
      </c>
      <c r="J1441" s="6" t="s">
        <v>37</v>
      </c>
      <c r="K1441" s="6">
        <v>10.0</v>
      </c>
      <c r="L1441" s="5"/>
      <c r="M1441" s="5"/>
      <c r="N1441" s="6" t="s">
        <v>40</v>
      </c>
      <c r="O1441" s="5" t="s">
        <v>5363</v>
      </c>
      <c r="P1441" s="6" t="s">
        <v>42</v>
      </c>
      <c r="Q1441" s="5" t="s">
        <v>1237</v>
      </c>
      <c r="R1441" s="5" t="s">
        <v>10806</v>
      </c>
      <c r="S1441" s="6" t="s">
        <v>208</v>
      </c>
      <c r="T1441" s="6">
        <v>6515.0</v>
      </c>
    </row>
    <row r="1442" ht="56.25" customHeight="1">
      <c r="A1442" s="5" t="s">
        <v>10807</v>
      </c>
      <c r="B1442" s="6" t="str">
        <f>image("https://storage.googleapis.com/acdb/photos/BromideNpcNmlBrd16_Remake_0_0.png")</f>
        <v/>
      </c>
      <c r="C1442" s="5" t="s">
        <v>366</v>
      </c>
      <c r="D1442" s="5" t="s">
        <v>1327</v>
      </c>
      <c r="E1442" s="5" t="s">
        <v>34</v>
      </c>
      <c r="F1442" s="5" t="s">
        <v>34</v>
      </c>
      <c r="G1442" s="5" t="s">
        <v>36</v>
      </c>
      <c r="H1442" s="5" t="s">
        <v>35</v>
      </c>
      <c r="I1442" s="6">
        <v>1.0</v>
      </c>
      <c r="J1442" s="6" t="s">
        <v>37</v>
      </c>
      <c r="K1442" s="6">
        <v>10.0</v>
      </c>
      <c r="L1442" s="5"/>
      <c r="M1442" s="5"/>
      <c r="N1442" s="6" t="s">
        <v>40</v>
      </c>
      <c r="O1442" s="5" t="s">
        <v>5363</v>
      </c>
      <c r="P1442" s="6" t="s">
        <v>42</v>
      </c>
      <c r="Q1442" s="5" t="s">
        <v>1237</v>
      </c>
      <c r="R1442" s="5" t="s">
        <v>10810</v>
      </c>
      <c r="S1442" s="6" t="s">
        <v>50</v>
      </c>
      <c r="T1442" s="6">
        <v>6671.0</v>
      </c>
    </row>
    <row r="1443" ht="56.25" customHeight="1">
      <c r="A1443" s="5" t="s">
        <v>10807</v>
      </c>
      <c r="B1443" s="6" t="str">
        <f>image("https://storage.googleapis.com/acdb/photos/BromideNpcNmlBrd16_Remake_1_0.png")</f>
        <v/>
      </c>
      <c r="C1443" s="5" t="s">
        <v>1132</v>
      </c>
      <c r="D1443" s="5" t="s">
        <v>1327</v>
      </c>
      <c r="E1443" s="5" t="s">
        <v>34</v>
      </c>
      <c r="F1443" s="5" t="s">
        <v>34</v>
      </c>
      <c r="G1443" s="5" t="s">
        <v>36</v>
      </c>
      <c r="H1443" s="5" t="s">
        <v>35</v>
      </c>
      <c r="I1443" s="6">
        <v>1.0</v>
      </c>
      <c r="J1443" s="6" t="s">
        <v>37</v>
      </c>
      <c r="K1443" s="6">
        <v>10.0</v>
      </c>
      <c r="L1443" s="5"/>
      <c r="M1443" s="5"/>
      <c r="N1443" s="6" t="s">
        <v>40</v>
      </c>
      <c r="O1443" s="5" t="s">
        <v>5363</v>
      </c>
      <c r="P1443" s="6" t="s">
        <v>42</v>
      </c>
      <c r="Q1443" s="5" t="s">
        <v>1237</v>
      </c>
      <c r="R1443" s="5" t="s">
        <v>10812</v>
      </c>
      <c r="S1443" s="6" t="s">
        <v>56</v>
      </c>
      <c r="T1443" s="6">
        <v>6671.0</v>
      </c>
    </row>
    <row r="1444" ht="56.25" customHeight="1">
      <c r="A1444" s="5" t="s">
        <v>10807</v>
      </c>
      <c r="B1444" s="6" t="str">
        <f>image("https://storage.googleapis.com/acdb/photos/BromideNpcNmlBrd16_Remake_2_0.png")</f>
        <v/>
      </c>
      <c r="C1444" s="5" t="s">
        <v>688</v>
      </c>
      <c r="D1444" s="5" t="s">
        <v>1327</v>
      </c>
      <c r="E1444" s="5" t="s">
        <v>34</v>
      </c>
      <c r="F1444" s="5" t="s">
        <v>34</v>
      </c>
      <c r="G1444" s="5" t="s">
        <v>36</v>
      </c>
      <c r="H1444" s="5" t="s">
        <v>35</v>
      </c>
      <c r="I1444" s="6">
        <v>1.0</v>
      </c>
      <c r="J1444" s="6" t="s">
        <v>37</v>
      </c>
      <c r="K1444" s="6">
        <v>10.0</v>
      </c>
      <c r="L1444" s="5"/>
      <c r="M1444" s="5"/>
      <c r="N1444" s="6" t="s">
        <v>40</v>
      </c>
      <c r="O1444" s="5" t="s">
        <v>5363</v>
      </c>
      <c r="P1444" s="6" t="s">
        <v>42</v>
      </c>
      <c r="Q1444" s="5" t="s">
        <v>1237</v>
      </c>
      <c r="R1444" s="5" t="s">
        <v>10816</v>
      </c>
      <c r="S1444" s="6" t="s">
        <v>67</v>
      </c>
      <c r="T1444" s="6">
        <v>6671.0</v>
      </c>
    </row>
    <row r="1445" ht="56.25" customHeight="1">
      <c r="A1445" s="5" t="s">
        <v>10807</v>
      </c>
      <c r="B1445" s="6" t="str">
        <f>image("https://storage.googleapis.com/acdb/photos/BromideNpcNmlBrd16_Remake_3_0.png")</f>
        <v/>
      </c>
      <c r="C1445" s="5" t="s">
        <v>57</v>
      </c>
      <c r="D1445" s="5" t="s">
        <v>1327</v>
      </c>
      <c r="E1445" s="5" t="s">
        <v>34</v>
      </c>
      <c r="F1445" s="5" t="s">
        <v>34</v>
      </c>
      <c r="G1445" s="5" t="s">
        <v>36</v>
      </c>
      <c r="H1445" s="5" t="s">
        <v>35</v>
      </c>
      <c r="I1445" s="6">
        <v>1.0</v>
      </c>
      <c r="J1445" s="6" t="s">
        <v>37</v>
      </c>
      <c r="K1445" s="6">
        <v>10.0</v>
      </c>
      <c r="L1445" s="5"/>
      <c r="M1445" s="5"/>
      <c r="N1445" s="6" t="s">
        <v>40</v>
      </c>
      <c r="O1445" s="5" t="s">
        <v>5363</v>
      </c>
      <c r="P1445" s="6" t="s">
        <v>42</v>
      </c>
      <c r="Q1445" s="5" t="s">
        <v>1237</v>
      </c>
      <c r="R1445" s="5" t="s">
        <v>10819</v>
      </c>
      <c r="S1445" s="6" t="s">
        <v>71</v>
      </c>
      <c r="T1445" s="6">
        <v>6671.0</v>
      </c>
    </row>
    <row r="1446" ht="56.25" customHeight="1">
      <c r="A1446" s="5" t="s">
        <v>10807</v>
      </c>
      <c r="B1446" s="6" t="str">
        <f>image("https://storage.googleapis.com/acdb/photos/BromideNpcNmlBrd16_Remake_4_0.png")</f>
        <v/>
      </c>
      <c r="C1446" s="5" t="s">
        <v>1167</v>
      </c>
      <c r="D1446" s="5" t="s">
        <v>1327</v>
      </c>
      <c r="E1446" s="5" t="s">
        <v>34</v>
      </c>
      <c r="F1446" s="5" t="s">
        <v>34</v>
      </c>
      <c r="G1446" s="5" t="s">
        <v>36</v>
      </c>
      <c r="H1446" s="5" t="s">
        <v>35</v>
      </c>
      <c r="I1446" s="6">
        <v>1.0</v>
      </c>
      <c r="J1446" s="6" t="s">
        <v>37</v>
      </c>
      <c r="K1446" s="6">
        <v>10.0</v>
      </c>
      <c r="L1446" s="5"/>
      <c r="M1446" s="5"/>
      <c r="N1446" s="6" t="s">
        <v>40</v>
      </c>
      <c r="O1446" s="5" t="s">
        <v>5363</v>
      </c>
      <c r="P1446" s="6" t="s">
        <v>42</v>
      </c>
      <c r="Q1446" s="5" t="s">
        <v>1237</v>
      </c>
      <c r="R1446" s="5" t="s">
        <v>10822</v>
      </c>
      <c r="S1446" s="6" t="s">
        <v>75</v>
      </c>
      <c r="T1446" s="6">
        <v>6671.0</v>
      </c>
    </row>
    <row r="1447" ht="56.25" customHeight="1">
      <c r="A1447" s="5" t="s">
        <v>10807</v>
      </c>
      <c r="B1447" s="6" t="str">
        <f>image("https://storage.googleapis.com/acdb/photos/BromideNpcNmlBrd16_Remake_5_0.png")</f>
        <v/>
      </c>
      <c r="C1447" s="5" t="s">
        <v>58</v>
      </c>
      <c r="D1447" s="5" t="s">
        <v>1327</v>
      </c>
      <c r="E1447" s="5" t="s">
        <v>34</v>
      </c>
      <c r="F1447" s="5" t="s">
        <v>34</v>
      </c>
      <c r="G1447" s="5" t="s">
        <v>36</v>
      </c>
      <c r="H1447" s="5" t="s">
        <v>35</v>
      </c>
      <c r="I1447" s="6">
        <v>1.0</v>
      </c>
      <c r="J1447" s="6" t="s">
        <v>37</v>
      </c>
      <c r="K1447" s="6">
        <v>10.0</v>
      </c>
      <c r="L1447" s="5"/>
      <c r="M1447" s="5"/>
      <c r="N1447" s="6" t="s">
        <v>40</v>
      </c>
      <c r="O1447" s="5" t="s">
        <v>5363</v>
      </c>
      <c r="P1447" s="6" t="s">
        <v>42</v>
      </c>
      <c r="Q1447" s="5" t="s">
        <v>1237</v>
      </c>
      <c r="R1447" s="5" t="s">
        <v>10825</v>
      </c>
      <c r="S1447" s="6" t="s">
        <v>79</v>
      </c>
      <c r="T1447" s="6">
        <v>6671.0</v>
      </c>
    </row>
    <row r="1448" ht="56.25" customHeight="1">
      <c r="A1448" s="5" t="s">
        <v>10807</v>
      </c>
      <c r="B1448" s="6" t="str">
        <f>image("https://storage.googleapis.com/acdb/photos/BromideNpcNmlBrd16_Remake_6_0.png")</f>
        <v/>
      </c>
      <c r="C1448" s="5" t="s">
        <v>146</v>
      </c>
      <c r="D1448" s="5" t="s">
        <v>1327</v>
      </c>
      <c r="E1448" s="5" t="s">
        <v>34</v>
      </c>
      <c r="F1448" s="5" t="s">
        <v>34</v>
      </c>
      <c r="G1448" s="5" t="s">
        <v>36</v>
      </c>
      <c r="H1448" s="5" t="s">
        <v>35</v>
      </c>
      <c r="I1448" s="6">
        <v>1.0</v>
      </c>
      <c r="J1448" s="6" t="s">
        <v>37</v>
      </c>
      <c r="K1448" s="6">
        <v>10.0</v>
      </c>
      <c r="L1448" s="5"/>
      <c r="M1448" s="5"/>
      <c r="N1448" s="6" t="s">
        <v>40</v>
      </c>
      <c r="O1448" s="5" t="s">
        <v>5363</v>
      </c>
      <c r="P1448" s="6" t="s">
        <v>42</v>
      </c>
      <c r="Q1448" s="5" t="s">
        <v>1237</v>
      </c>
      <c r="R1448" s="5" t="s">
        <v>10827</v>
      </c>
      <c r="S1448" s="6" t="s">
        <v>86</v>
      </c>
      <c r="T1448" s="6">
        <v>6671.0</v>
      </c>
    </row>
    <row r="1449" ht="56.25" customHeight="1">
      <c r="A1449" s="5" t="s">
        <v>10807</v>
      </c>
      <c r="B1449" s="6" t="str">
        <f>image("https://storage.googleapis.com/acdb/photos/BromideNpcNmlBrd16_Remake_7_0.png")</f>
        <v/>
      </c>
      <c r="C1449" s="5" t="s">
        <v>151</v>
      </c>
      <c r="D1449" s="5" t="s">
        <v>1327</v>
      </c>
      <c r="E1449" s="5" t="s">
        <v>34</v>
      </c>
      <c r="F1449" s="5" t="s">
        <v>34</v>
      </c>
      <c r="G1449" s="5" t="s">
        <v>36</v>
      </c>
      <c r="H1449" s="5" t="s">
        <v>35</v>
      </c>
      <c r="I1449" s="6">
        <v>1.0</v>
      </c>
      <c r="J1449" s="6" t="s">
        <v>37</v>
      </c>
      <c r="K1449" s="6">
        <v>10.0</v>
      </c>
      <c r="L1449" s="5"/>
      <c r="M1449" s="5"/>
      <c r="N1449" s="6" t="s">
        <v>40</v>
      </c>
      <c r="O1449" s="5" t="s">
        <v>5363</v>
      </c>
      <c r="P1449" s="6" t="s">
        <v>42</v>
      </c>
      <c r="Q1449" s="5" t="s">
        <v>1237</v>
      </c>
      <c r="R1449" s="5" t="s">
        <v>10830</v>
      </c>
      <c r="S1449" s="6" t="s">
        <v>208</v>
      </c>
      <c r="T1449" s="6">
        <v>6671.0</v>
      </c>
    </row>
    <row r="1450" ht="56.25" customHeight="1">
      <c r="A1450" s="5" t="s">
        <v>10831</v>
      </c>
      <c r="B1450" s="6" t="str">
        <f>image("https://storage.googleapis.com/acdb/photos/BromideNpcNmlBrd11_Remake_0_0.png")</f>
        <v/>
      </c>
      <c r="C1450" s="5" t="s">
        <v>366</v>
      </c>
      <c r="D1450" s="5" t="s">
        <v>1327</v>
      </c>
      <c r="E1450" s="5" t="s">
        <v>34</v>
      </c>
      <c r="F1450" s="5" t="s">
        <v>34</v>
      </c>
      <c r="G1450" s="5" t="s">
        <v>36</v>
      </c>
      <c r="H1450" s="5" t="s">
        <v>35</v>
      </c>
      <c r="I1450" s="6">
        <v>1.0</v>
      </c>
      <c r="J1450" s="6" t="s">
        <v>37</v>
      </c>
      <c r="K1450" s="6">
        <v>10.0</v>
      </c>
      <c r="L1450" s="5"/>
      <c r="M1450" s="5"/>
      <c r="N1450" s="6" t="s">
        <v>40</v>
      </c>
      <c r="O1450" s="5" t="s">
        <v>5363</v>
      </c>
      <c r="P1450" s="6" t="s">
        <v>42</v>
      </c>
      <c r="Q1450" s="5" t="s">
        <v>1237</v>
      </c>
      <c r="R1450" s="5" t="s">
        <v>10833</v>
      </c>
      <c r="S1450" s="6" t="s">
        <v>50</v>
      </c>
      <c r="T1450" s="6">
        <v>6649.0</v>
      </c>
    </row>
    <row r="1451" ht="56.25" customHeight="1">
      <c r="A1451" s="5" t="s">
        <v>10831</v>
      </c>
      <c r="B1451" s="6" t="str">
        <f>image("https://storage.googleapis.com/acdb/photos/BromideNpcNmlBrd11_Remake_1_0.png")</f>
        <v/>
      </c>
      <c r="C1451" s="5" t="s">
        <v>1132</v>
      </c>
      <c r="D1451" s="5" t="s">
        <v>1327</v>
      </c>
      <c r="E1451" s="5" t="s">
        <v>34</v>
      </c>
      <c r="F1451" s="5" t="s">
        <v>34</v>
      </c>
      <c r="G1451" s="5" t="s">
        <v>36</v>
      </c>
      <c r="H1451" s="5" t="s">
        <v>35</v>
      </c>
      <c r="I1451" s="6">
        <v>1.0</v>
      </c>
      <c r="J1451" s="6" t="s">
        <v>37</v>
      </c>
      <c r="K1451" s="6">
        <v>10.0</v>
      </c>
      <c r="L1451" s="5"/>
      <c r="M1451" s="5"/>
      <c r="N1451" s="6" t="s">
        <v>40</v>
      </c>
      <c r="O1451" s="5" t="s">
        <v>5363</v>
      </c>
      <c r="P1451" s="6" t="s">
        <v>42</v>
      </c>
      <c r="Q1451" s="5" t="s">
        <v>1237</v>
      </c>
      <c r="R1451" s="5" t="s">
        <v>10836</v>
      </c>
      <c r="S1451" s="6" t="s">
        <v>56</v>
      </c>
      <c r="T1451" s="6">
        <v>6649.0</v>
      </c>
    </row>
    <row r="1452" ht="56.25" customHeight="1">
      <c r="A1452" s="5" t="s">
        <v>10831</v>
      </c>
      <c r="B1452" s="6" t="str">
        <f>image("https://storage.googleapis.com/acdb/photos/BromideNpcNmlBrd11_Remake_2_0.png")</f>
        <v/>
      </c>
      <c r="C1452" s="5" t="s">
        <v>688</v>
      </c>
      <c r="D1452" s="5" t="s">
        <v>1327</v>
      </c>
      <c r="E1452" s="5" t="s">
        <v>34</v>
      </c>
      <c r="F1452" s="5" t="s">
        <v>34</v>
      </c>
      <c r="G1452" s="5" t="s">
        <v>36</v>
      </c>
      <c r="H1452" s="5" t="s">
        <v>35</v>
      </c>
      <c r="I1452" s="6">
        <v>1.0</v>
      </c>
      <c r="J1452" s="6" t="s">
        <v>37</v>
      </c>
      <c r="K1452" s="6">
        <v>10.0</v>
      </c>
      <c r="L1452" s="5"/>
      <c r="M1452" s="5"/>
      <c r="N1452" s="6" t="s">
        <v>40</v>
      </c>
      <c r="O1452" s="5" t="s">
        <v>5363</v>
      </c>
      <c r="P1452" s="6" t="s">
        <v>42</v>
      </c>
      <c r="Q1452" s="5" t="s">
        <v>1237</v>
      </c>
      <c r="R1452" s="5" t="s">
        <v>10839</v>
      </c>
      <c r="S1452" s="6" t="s">
        <v>67</v>
      </c>
      <c r="T1452" s="6">
        <v>6649.0</v>
      </c>
    </row>
    <row r="1453" ht="56.25" customHeight="1">
      <c r="A1453" s="5" t="s">
        <v>10831</v>
      </c>
      <c r="B1453" s="6" t="str">
        <f>image("https://storage.googleapis.com/acdb/photos/BromideNpcNmlBrd11_Remake_3_0.png")</f>
        <v/>
      </c>
      <c r="C1453" s="5" t="s">
        <v>57</v>
      </c>
      <c r="D1453" s="5" t="s">
        <v>1327</v>
      </c>
      <c r="E1453" s="5" t="s">
        <v>34</v>
      </c>
      <c r="F1453" s="5" t="s">
        <v>34</v>
      </c>
      <c r="G1453" s="5" t="s">
        <v>36</v>
      </c>
      <c r="H1453" s="5" t="s">
        <v>35</v>
      </c>
      <c r="I1453" s="6">
        <v>1.0</v>
      </c>
      <c r="J1453" s="6" t="s">
        <v>37</v>
      </c>
      <c r="K1453" s="6">
        <v>10.0</v>
      </c>
      <c r="L1453" s="5"/>
      <c r="M1453" s="5"/>
      <c r="N1453" s="6" t="s">
        <v>40</v>
      </c>
      <c r="O1453" s="5" t="s">
        <v>5363</v>
      </c>
      <c r="P1453" s="6" t="s">
        <v>42</v>
      </c>
      <c r="Q1453" s="5" t="s">
        <v>1237</v>
      </c>
      <c r="R1453" s="5" t="s">
        <v>10842</v>
      </c>
      <c r="S1453" s="6" t="s">
        <v>71</v>
      </c>
      <c r="T1453" s="6">
        <v>6649.0</v>
      </c>
    </row>
    <row r="1454" ht="56.25" customHeight="1">
      <c r="A1454" s="5" t="s">
        <v>10831</v>
      </c>
      <c r="B1454" s="6" t="str">
        <f>image("https://storage.googleapis.com/acdb/photos/BromideNpcNmlBrd11_Remake_4_0.png")</f>
        <v/>
      </c>
      <c r="C1454" s="5" t="s">
        <v>1167</v>
      </c>
      <c r="D1454" s="5" t="s">
        <v>1327</v>
      </c>
      <c r="E1454" s="5" t="s">
        <v>34</v>
      </c>
      <c r="F1454" s="5" t="s">
        <v>34</v>
      </c>
      <c r="G1454" s="5" t="s">
        <v>36</v>
      </c>
      <c r="H1454" s="5" t="s">
        <v>35</v>
      </c>
      <c r="I1454" s="6">
        <v>1.0</v>
      </c>
      <c r="J1454" s="6" t="s">
        <v>37</v>
      </c>
      <c r="K1454" s="6">
        <v>10.0</v>
      </c>
      <c r="L1454" s="5"/>
      <c r="M1454" s="5"/>
      <c r="N1454" s="6" t="s">
        <v>40</v>
      </c>
      <c r="O1454" s="5" t="s">
        <v>5363</v>
      </c>
      <c r="P1454" s="6" t="s">
        <v>42</v>
      </c>
      <c r="Q1454" s="5" t="s">
        <v>1237</v>
      </c>
      <c r="R1454" s="5" t="s">
        <v>10844</v>
      </c>
      <c r="S1454" s="6" t="s">
        <v>75</v>
      </c>
      <c r="T1454" s="6">
        <v>6649.0</v>
      </c>
    </row>
    <row r="1455" ht="56.25" customHeight="1">
      <c r="A1455" s="5" t="s">
        <v>10831</v>
      </c>
      <c r="B1455" s="6" t="str">
        <f>image("https://storage.googleapis.com/acdb/photos/BromideNpcNmlBrd11_Remake_5_0.png")</f>
        <v/>
      </c>
      <c r="C1455" s="5" t="s">
        <v>58</v>
      </c>
      <c r="D1455" s="5" t="s">
        <v>1327</v>
      </c>
      <c r="E1455" s="5" t="s">
        <v>34</v>
      </c>
      <c r="F1455" s="5" t="s">
        <v>34</v>
      </c>
      <c r="G1455" s="5" t="s">
        <v>36</v>
      </c>
      <c r="H1455" s="5" t="s">
        <v>35</v>
      </c>
      <c r="I1455" s="6">
        <v>1.0</v>
      </c>
      <c r="J1455" s="6" t="s">
        <v>37</v>
      </c>
      <c r="K1455" s="6">
        <v>10.0</v>
      </c>
      <c r="L1455" s="5"/>
      <c r="M1455" s="5"/>
      <c r="N1455" s="6" t="s">
        <v>40</v>
      </c>
      <c r="O1455" s="5" t="s">
        <v>5363</v>
      </c>
      <c r="P1455" s="6" t="s">
        <v>42</v>
      </c>
      <c r="Q1455" s="5" t="s">
        <v>1237</v>
      </c>
      <c r="R1455" s="5" t="s">
        <v>10846</v>
      </c>
      <c r="S1455" s="6" t="s">
        <v>79</v>
      </c>
      <c r="T1455" s="6">
        <v>6649.0</v>
      </c>
    </row>
    <row r="1456" ht="56.25" customHeight="1">
      <c r="A1456" s="5" t="s">
        <v>10831</v>
      </c>
      <c r="B1456" s="6" t="str">
        <f>image("https://storage.googleapis.com/acdb/photos/BromideNpcNmlBrd11_Remake_6_0.png")</f>
        <v/>
      </c>
      <c r="C1456" s="5" t="s">
        <v>146</v>
      </c>
      <c r="D1456" s="5" t="s">
        <v>1327</v>
      </c>
      <c r="E1456" s="5" t="s">
        <v>34</v>
      </c>
      <c r="F1456" s="5" t="s">
        <v>34</v>
      </c>
      <c r="G1456" s="5" t="s">
        <v>36</v>
      </c>
      <c r="H1456" s="5" t="s">
        <v>35</v>
      </c>
      <c r="I1456" s="6">
        <v>1.0</v>
      </c>
      <c r="J1456" s="6" t="s">
        <v>37</v>
      </c>
      <c r="K1456" s="6">
        <v>10.0</v>
      </c>
      <c r="L1456" s="5"/>
      <c r="M1456" s="5"/>
      <c r="N1456" s="6" t="s">
        <v>40</v>
      </c>
      <c r="O1456" s="5" t="s">
        <v>5363</v>
      </c>
      <c r="P1456" s="6" t="s">
        <v>42</v>
      </c>
      <c r="Q1456" s="5" t="s">
        <v>1237</v>
      </c>
      <c r="R1456" s="5" t="s">
        <v>10849</v>
      </c>
      <c r="S1456" s="6" t="s">
        <v>86</v>
      </c>
      <c r="T1456" s="6">
        <v>6649.0</v>
      </c>
    </row>
    <row r="1457" ht="56.25" customHeight="1">
      <c r="A1457" s="5" t="s">
        <v>10831</v>
      </c>
      <c r="B1457" s="6" t="str">
        <f>image("https://storage.googleapis.com/acdb/photos/BromideNpcNmlBrd11_Remake_7_0.png")</f>
        <v/>
      </c>
      <c r="C1457" s="5" t="s">
        <v>151</v>
      </c>
      <c r="D1457" s="5" t="s">
        <v>1327</v>
      </c>
      <c r="E1457" s="5" t="s">
        <v>34</v>
      </c>
      <c r="F1457" s="5" t="s">
        <v>34</v>
      </c>
      <c r="G1457" s="5" t="s">
        <v>36</v>
      </c>
      <c r="H1457" s="5" t="s">
        <v>35</v>
      </c>
      <c r="I1457" s="6">
        <v>1.0</v>
      </c>
      <c r="J1457" s="6" t="s">
        <v>37</v>
      </c>
      <c r="K1457" s="6">
        <v>10.0</v>
      </c>
      <c r="L1457" s="5"/>
      <c r="M1457" s="5"/>
      <c r="N1457" s="6" t="s">
        <v>40</v>
      </c>
      <c r="O1457" s="5" t="s">
        <v>5363</v>
      </c>
      <c r="P1457" s="6" t="s">
        <v>42</v>
      </c>
      <c r="Q1457" s="5" t="s">
        <v>1237</v>
      </c>
      <c r="R1457" s="5" t="s">
        <v>10852</v>
      </c>
      <c r="S1457" s="6" t="s">
        <v>208</v>
      </c>
      <c r="T1457" s="6">
        <v>6649.0</v>
      </c>
    </row>
    <row r="1458" ht="56.25" customHeight="1">
      <c r="A1458" s="5" t="s">
        <v>10854</v>
      </c>
      <c r="B1458" s="6" t="str">
        <f>image("https://storage.googleapis.com/acdb/photos/BromideNpcNmlFlg13_Remake_0_0.png")</f>
        <v/>
      </c>
      <c r="C1458" s="5" t="s">
        <v>366</v>
      </c>
      <c r="D1458" s="5" t="s">
        <v>1327</v>
      </c>
      <c r="E1458" s="5" t="s">
        <v>34</v>
      </c>
      <c r="F1458" s="5" t="s">
        <v>34</v>
      </c>
      <c r="G1458" s="5" t="s">
        <v>36</v>
      </c>
      <c r="H1458" s="5" t="s">
        <v>35</v>
      </c>
      <c r="I1458" s="6">
        <v>1.0</v>
      </c>
      <c r="J1458" s="6" t="s">
        <v>37</v>
      </c>
      <c r="K1458" s="6">
        <v>10.0</v>
      </c>
      <c r="L1458" s="5"/>
      <c r="M1458" s="5"/>
      <c r="N1458" s="6" t="s">
        <v>40</v>
      </c>
      <c r="O1458" s="5" t="s">
        <v>5363</v>
      </c>
      <c r="P1458" s="6" t="s">
        <v>42</v>
      </c>
      <c r="Q1458" s="5" t="s">
        <v>1237</v>
      </c>
      <c r="R1458" s="5" t="s">
        <v>10856</v>
      </c>
      <c r="S1458" s="6" t="s">
        <v>50</v>
      </c>
      <c r="T1458" s="6">
        <v>6497.0</v>
      </c>
    </row>
    <row r="1459" ht="56.25" customHeight="1">
      <c r="A1459" s="5" t="s">
        <v>10854</v>
      </c>
      <c r="B1459" s="6" t="str">
        <f>image("https://storage.googleapis.com/acdb/photos/BromideNpcNmlFlg13_Remake_1_0.png")</f>
        <v/>
      </c>
      <c r="C1459" s="5" t="s">
        <v>1132</v>
      </c>
      <c r="D1459" s="5" t="s">
        <v>1327</v>
      </c>
      <c r="E1459" s="5" t="s">
        <v>34</v>
      </c>
      <c r="F1459" s="5" t="s">
        <v>34</v>
      </c>
      <c r="G1459" s="5" t="s">
        <v>36</v>
      </c>
      <c r="H1459" s="5" t="s">
        <v>35</v>
      </c>
      <c r="I1459" s="6">
        <v>1.0</v>
      </c>
      <c r="J1459" s="6" t="s">
        <v>37</v>
      </c>
      <c r="K1459" s="6">
        <v>10.0</v>
      </c>
      <c r="L1459" s="5"/>
      <c r="M1459" s="5"/>
      <c r="N1459" s="6" t="s">
        <v>40</v>
      </c>
      <c r="O1459" s="5" t="s">
        <v>5363</v>
      </c>
      <c r="P1459" s="6" t="s">
        <v>42</v>
      </c>
      <c r="Q1459" s="5" t="s">
        <v>1237</v>
      </c>
      <c r="R1459" s="5" t="s">
        <v>10859</v>
      </c>
      <c r="S1459" s="6" t="s">
        <v>56</v>
      </c>
      <c r="T1459" s="6">
        <v>6497.0</v>
      </c>
    </row>
    <row r="1460" ht="56.25" customHeight="1">
      <c r="A1460" s="5" t="s">
        <v>10854</v>
      </c>
      <c r="B1460" s="6" t="str">
        <f>image("https://storage.googleapis.com/acdb/photos/BromideNpcNmlFlg13_Remake_2_0.png")</f>
        <v/>
      </c>
      <c r="C1460" s="5" t="s">
        <v>688</v>
      </c>
      <c r="D1460" s="5" t="s">
        <v>1327</v>
      </c>
      <c r="E1460" s="5" t="s">
        <v>34</v>
      </c>
      <c r="F1460" s="5" t="s">
        <v>34</v>
      </c>
      <c r="G1460" s="5" t="s">
        <v>36</v>
      </c>
      <c r="H1460" s="5" t="s">
        <v>35</v>
      </c>
      <c r="I1460" s="6">
        <v>1.0</v>
      </c>
      <c r="J1460" s="6" t="s">
        <v>37</v>
      </c>
      <c r="K1460" s="6">
        <v>10.0</v>
      </c>
      <c r="L1460" s="5"/>
      <c r="M1460" s="5"/>
      <c r="N1460" s="6" t="s">
        <v>40</v>
      </c>
      <c r="O1460" s="5" t="s">
        <v>5363</v>
      </c>
      <c r="P1460" s="6" t="s">
        <v>42</v>
      </c>
      <c r="Q1460" s="5" t="s">
        <v>1237</v>
      </c>
      <c r="R1460" s="5" t="s">
        <v>10863</v>
      </c>
      <c r="S1460" s="6" t="s">
        <v>67</v>
      </c>
      <c r="T1460" s="6">
        <v>6497.0</v>
      </c>
    </row>
    <row r="1461" ht="56.25" customHeight="1">
      <c r="A1461" s="5" t="s">
        <v>10854</v>
      </c>
      <c r="B1461" s="6" t="str">
        <f>image("https://storage.googleapis.com/acdb/photos/BromideNpcNmlFlg13_Remake_3_0.png")</f>
        <v/>
      </c>
      <c r="C1461" s="5" t="s">
        <v>57</v>
      </c>
      <c r="D1461" s="5" t="s">
        <v>1327</v>
      </c>
      <c r="E1461" s="5" t="s">
        <v>34</v>
      </c>
      <c r="F1461" s="5" t="s">
        <v>34</v>
      </c>
      <c r="G1461" s="5" t="s">
        <v>36</v>
      </c>
      <c r="H1461" s="5" t="s">
        <v>35</v>
      </c>
      <c r="I1461" s="6">
        <v>1.0</v>
      </c>
      <c r="J1461" s="6" t="s">
        <v>37</v>
      </c>
      <c r="K1461" s="6">
        <v>10.0</v>
      </c>
      <c r="L1461" s="5"/>
      <c r="M1461" s="5"/>
      <c r="N1461" s="6" t="s">
        <v>40</v>
      </c>
      <c r="O1461" s="5" t="s">
        <v>5363</v>
      </c>
      <c r="P1461" s="6" t="s">
        <v>42</v>
      </c>
      <c r="Q1461" s="5" t="s">
        <v>1237</v>
      </c>
      <c r="R1461" s="5" t="s">
        <v>10865</v>
      </c>
      <c r="S1461" s="6" t="s">
        <v>71</v>
      </c>
      <c r="T1461" s="6">
        <v>6497.0</v>
      </c>
    </row>
    <row r="1462" ht="56.25" customHeight="1">
      <c r="A1462" s="5" t="s">
        <v>10854</v>
      </c>
      <c r="B1462" s="6" t="str">
        <f>image("https://storage.googleapis.com/acdb/photos/BromideNpcNmlFlg13_Remake_4_0.png")</f>
        <v/>
      </c>
      <c r="C1462" s="5" t="s">
        <v>1167</v>
      </c>
      <c r="D1462" s="5" t="s">
        <v>1327</v>
      </c>
      <c r="E1462" s="5" t="s">
        <v>34</v>
      </c>
      <c r="F1462" s="5" t="s">
        <v>34</v>
      </c>
      <c r="G1462" s="5" t="s">
        <v>36</v>
      </c>
      <c r="H1462" s="5" t="s">
        <v>35</v>
      </c>
      <c r="I1462" s="6">
        <v>1.0</v>
      </c>
      <c r="J1462" s="6" t="s">
        <v>37</v>
      </c>
      <c r="K1462" s="6">
        <v>10.0</v>
      </c>
      <c r="L1462" s="5"/>
      <c r="M1462" s="5"/>
      <c r="N1462" s="6" t="s">
        <v>40</v>
      </c>
      <c r="O1462" s="5" t="s">
        <v>5363</v>
      </c>
      <c r="P1462" s="6" t="s">
        <v>42</v>
      </c>
      <c r="Q1462" s="5" t="s">
        <v>1237</v>
      </c>
      <c r="R1462" s="5" t="s">
        <v>10868</v>
      </c>
      <c r="S1462" s="6" t="s">
        <v>75</v>
      </c>
      <c r="T1462" s="6">
        <v>6497.0</v>
      </c>
    </row>
    <row r="1463" ht="56.25" customHeight="1">
      <c r="A1463" s="5" t="s">
        <v>10854</v>
      </c>
      <c r="B1463" s="6" t="str">
        <f>image("https://storage.googleapis.com/acdb/photos/BromideNpcNmlFlg13_Remake_5_0.png")</f>
        <v/>
      </c>
      <c r="C1463" s="5" t="s">
        <v>58</v>
      </c>
      <c r="D1463" s="5" t="s">
        <v>1327</v>
      </c>
      <c r="E1463" s="5" t="s">
        <v>34</v>
      </c>
      <c r="F1463" s="5" t="s">
        <v>34</v>
      </c>
      <c r="G1463" s="5" t="s">
        <v>36</v>
      </c>
      <c r="H1463" s="5" t="s">
        <v>35</v>
      </c>
      <c r="I1463" s="6">
        <v>1.0</v>
      </c>
      <c r="J1463" s="6" t="s">
        <v>37</v>
      </c>
      <c r="K1463" s="6">
        <v>10.0</v>
      </c>
      <c r="L1463" s="5"/>
      <c r="M1463" s="5"/>
      <c r="N1463" s="6" t="s">
        <v>40</v>
      </c>
      <c r="O1463" s="5" t="s">
        <v>5363</v>
      </c>
      <c r="P1463" s="6" t="s">
        <v>42</v>
      </c>
      <c r="Q1463" s="5" t="s">
        <v>1237</v>
      </c>
      <c r="R1463" s="5" t="s">
        <v>10870</v>
      </c>
      <c r="S1463" s="6" t="s">
        <v>79</v>
      </c>
      <c r="T1463" s="6">
        <v>6497.0</v>
      </c>
    </row>
    <row r="1464" ht="56.25" customHeight="1">
      <c r="A1464" s="5" t="s">
        <v>10854</v>
      </c>
      <c r="B1464" s="6" t="str">
        <f>image("https://storage.googleapis.com/acdb/photos/BromideNpcNmlFlg13_Remake_6_0.png")</f>
        <v/>
      </c>
      <c r="C1464" s="5" t="s">
        <v>146</v>
      </c>
      <c r="D1464" s="5" t="s">
        <v>1327</v>
      </c>
      <c r="E1464" s="5" t="s">
        <v>34</v>
      </c>
      <c r="F1464" s="5" t="s">
        <v>34</v>
      </c>
      <c r="G1464" s="5" t="s">
        <v>36</v>
      </c>
      <c r="H1464" s="5" t="s">
        <v>35</v>
      </c>
      <c r="I1464" s="6">
        <v>1.0</v>
      </c>
      <c r="J1464" s="6" t="s">
        <v>37</v>
      </c>
      <c r="K1464" s="6">
        <v>10.0</v>
      </c>
      <c r="L1464" s="5"/>
      <c r="M1464" s="5"/>
      <c r="N1464" s="6" t="s">
        <v>40</v>
      </c>
      <c r="O1464" s="5" t="s">
        <v>5363</v>
      </c>
      <c r="P1464" s="6" t="s">
        <v>42</v>
      </c>
      <c r="Q1464" s="5" t="s">
        <v>1237</v>
      </c>
      <c r="R1464" s="5" t="s">
        <v>10873</v>
      </c>
      <c r="S1464" s="6" t="s">
        <v>86</v>
      </c>
      <c r="T1464" s="6">
        <v>6497.0</v>
      </c>
    </row>
    <row r="1465" ht="56.25" customHeight="1">
      <c r="A1465" s="5" t="s">
        <v>10854</v>
      </c>
      <c r="B1465" s="6" t="str">
        <f>image("https://storage.googleapis.com/acdb/photos/BromideNpcNmlFlg13_Remake_7_0.png")</f>
        <v/>
      </c>
      <c r="C1465" s="5" t="s">
        <v>151</v>
      </c>
      <c r="D1465" s="5" t="s">
        <v>1327</v>
      </c>
      <c r="E1465" s="5" t="s">
        <v>34</v>
      </c>
      <c r="F1465" s="5" t="s">
        <v>34</v>
      </c>
      <c r="G1465" s="5" t="s">
        <v>36</v>
      </c>
      <c r="H1465" s="5" t="s">
        <v>35</v>
      </c>
      <c r="I1465" s="6">
        <v>1.0</v>
      </c>
      <c r="J1465" s="6" t="s">
        <v>37</v>
      </c>
      <c r="K1465" s="6">
        <v>10.0</v>
      </c>
      <c r="L1465" s="5"/>
      <c r="M1465" s="5"/>
      <c r="N1465" s="6" t="s">
        <v>40</v>
      </c>
      <c r="O1465" s="5" t="s">
        <v>5363</v>
      </c>
      <c r="P1465" s="6" t="s">
        <v>42</v>
      </c>
      <c r="Q1465" s="5" t="s">
        <v>1237</v>
      </c>
      <c r="R1465" s="5" t="s">
        <v>10876</v>
      </c>
      <c r="S1465" s="6" t="s">
        <v>208</v>
      </c>
      <c r="T1465" s="6">
        <v>6497.0</v>
      </c>
    </row>
    <row r="1466" ht="56.25" customHeight="1">
      <c r="A1466" s="5" t="s">
        <v>10877</v>
      </c>
      <c r="B1466" s="6" t="str">
        <f>image("https://storage.googleapis.com/acdb/photos/BromideNpcNmlBrd00_Remake_0_0.png")</f>
        <v/>
      </c>
      <c r="C1466" s="5" t="s">
        <v>366</v>
      </c>
      <c r="D1466" s="5" t="s">
        <v>1327</v>
      </c>
      <c r="E1466" s="5" t="s">
        <v>34</v>
      </c>
      <c r="F1466" s="5" t="s">
        <v>34</v>
      </c>
      <c r="G1466" s="5" t="s">
        <v>36</v>
      </c>
      <c r="H1466" s="5" t="s">
        <v>35</v>
      </c>
      <c r="I1466" s="6">
        <v>1.0</v>
      </c>
      <c r="J1466" s="6" t="s">
        <v>37</v>
      </c>
      <c r="K1466" s="6">
        <v>10.0</v>
      </c>
      <c r="L1466" s="5"/>
      <c r="M1466" s="5"/>
      <c r="N1466" s="6" t="s">
        <v>40</v>
      </c>
      <c r="O1466" s="5" t="s">
        <v>5363</v>
      </c>
      <c r="P1466" s="6" t="s">
        <v>42</v>
      </c>
      <c r="Q1466" s="5" t="s">
        <v>1237</v>
      </c>
      <c r="R1466" s="5" t="s">
        <v>10879</v>
      </c>
      <c r="S1466" s="6" t="s">
        <v>50</v>
      </c>
      <c r="T1466" s="6">
        <v>6560.0</v>
      </c>
    </row>
    <row r="1467" ht="56.25" customHeight="1">
      <c r="A1467" s="5" t="s">
        <v>10877</v>
      </c>
      <c r="B1467" s="6" t="str">
        <f>image("https://storage.googleapis.com/acdb/photos/BromideNpcNmlBrd00_Remake_1_0.png")</f>
        <v/>
      </c>
      <c r="C1467" s="5" t="s">
        <v>1132</v>
      </c>
      <c r="D1467" s="5" t="s">
        <v>1327</v>
      </c>
      <c r="E1467" s="5" t="s">
        <v>34</v>
      </c>
      <c r="F1467" s="5" t="s">
        <v>34</v>
      </c>
      <c r="G1467" s="5" t="s">
        <v>36</v>
      </c>
      <c r="H1467" s="5" t="s">
        <v>35</v>
      </c>
      <c r="I1467" s="6">
        <v>1.0</v>
      </c>
      <c r="J1467" s="6" t="s">
        <v>37</v>
      </c>
      <c r="K1467" s="6">
        <v>10.0</v>
      </c>
      <c r="L1467" s="5"/>
      <c r="M1467" s="5"/>
      <c r="N1467" s="6" t="s">
        <v>40</v>
      </c>
      <c r="O1467" s="5" t="s">
        <v>5363</v>
      </c>
      <c r="P1467" s="6" t="s">
        <v>42</v>
      </c>
      <c r="Q1467" s="5" t="s">
        <v>1237</v>
      </c>
      <c r="R1467" s="5" t="s">
        <v>10882</v>
      </c>
      <c r="S1467" s="6" t="s">
        <v>56</v>
      </c>
      <c r="T1467" s="6">
        <v>6560.0</v>
      </c>
    </row>
    <row r="1468" ht="56.25" customHeight="1">
      <c r="A1468" s="5" t="s">
        <v>10877</v>
      </c>
      <c r="B1468" s="6" t="str">
        <f>image("https://storage.googleapis.com/acdb/photos/BromideNpcNmlBrd00_Remake_2_0.png")</f>
        <v/>
      </c>
      <c r="C1468" s="5" t="s">
        <v>688</v>
      </c>
      <c r="D1468" s="5" t="s">
        <v>1327</v>
      </c>
      <c r="E1468" s="5" t="s">
        <v>34</v>
      </c>
      <c r="F1468" s="5" t="s">
        <v>34</v>
      </c>
      <c r="G1468" s="5" t="s">
        <v>36</v>
      </c>
      <c r="H1468" s="5" t="s">
        <v>35</v>
      </c>
      <c r="I1468" s="6">
        <v>1.0</v>
      </c>
      <c r="J1468" s="6" t="s">
        <v>37</v>
      </c>
      <c r="K1468" s="6">
        <v>10.0</v>
      </c>
      <c r="L1468" s="5"/>
      <c r="M1468" s="5"/>
      <c r="N1468" s="6" t="s">
        <v>40</v>
      </c>
      <c r="O1468" s="5" t="s">
        <v>5363</v>
      </c>
      <c r="P1468" s="6" t="s">
        <v>42</v>
      </c>
      <c r="Q1468" s="5" t="s">
        <v>1237</v>
      </c>
      <c r="R1468" s="5" t="s">
        <v>10884</v>
      </c>
      <c r="S1468" s="6" t="s">
        <v>67</v>
      </c>
      <c r="T1468" s="6">
        <v>6560.0</v>
      </c>
    </row>
    <row r="1469" ht="56.25" customHeight="1">
      <c r="A1469" s="5" t="s">
        <v>10877</v>
      </c>
      <c r="B1469" s="6" t="str">
        <f>image("https://storage.googleapis.com/acdb/photos/BromideNpcNmlBrd00_Remake_3_0.png")</f>
        <v/>
      </c>
      <c r="C1469" s="5" t="s">
        <v>57</v>
      </c>
      <c r="D1469" s="5" t="s">
        <v>1327</v>
      </c>
      <c r="E1469" s="5" t="s">
        <v>34</v>
      </c>
      <c r="F1469" s="5" t="s">
        <v>34</v>
      </c>
      <c r="G1469" s="5" t="s">
        <v>36</v>
      </c>
      <c r="H1469" s="5" t="s">
        <v>35</v>
      </c>
      <c r="I1469" s="6">
        <v>1.0</v>
      </c>
      <c r="J1469" s="6" t="s">
        <v>37</v>
      </c>
      <c r="K1469" s="6">
        <v>10.0</v>
      </c>
      <c r="L1469" s="5"/>
      <c r="M1469" s="5"/>
      <c r="N1469" s="6" t="s">
        <v>40</v>
      </c>
      <c r="O1469" s="5" t="s">
        <v>5363</v>
      </c>
      <c r="P1469" s="6" t="s">
        <v>42</v>
      </c>
      <c r="Q1469" s="5" t="s">
        <v>1237</v>
      </c>
      <c r="R1469" s="5" t="s">
        <v>10887</v>
      </c>
      <c r="S1469" s="6" t="s">
        <v>71</v>
      </c>
      <c r="T1469" s="6">
        <v>6560.0</v>
      </c>
    </row>
    <row r="1470" ht="56.25" customHeight="1">
      <c r="A1470" s="5" t="s">
        <v>10877</v>
      </c>
      <c r="B1470" s="6" t="str">
        <f>image("https://storage.googleapis.com/acdb/photos/BromideNpcNmlBrd00_Remake_4_0.png")</f>
        <v/>
      </c>
      <c r="C1470" s="5" t="s">
        <v>1167</v>
      </c>
      <c r="D1470" s="5" t="s">
        <v>1327</v>
      </c>
      <c r="E1470" s="5" t="s">
        <v>34</v>
      </c>
      <c r="F1470" s="5" t="s">
        <v>34</v>
      </c>
      <c r="G1470" s="5" t="s">
        <v>36</v>
      </c>
      <c r="H1470" s="5" t="s">
        <v>35</v>
      </c>
      <c r="I1470" s="6">
        <v>1.0</v>
      </c>
      <c r="J1470" s="6" t="s">
        <v>37</v>
      </c>
      <c r="K1470" s="6">
        <v>10.0</v>
      </c>
      <c r="L1470" s="5"/>
      <c r="M1470" s="5"/>
      <c r="N1470" s="6" t="s">
        <v>40</v>
      </c>
      <c r="O1470" s="5" t="s">
        <v>5363</v>
      </c>
      <c r="P1470" s="6" t="s">
        <v>42</v>
      </c>
      <c r="Q1470" s="5" t="s">
        <v>1237</v>
      </c>
      <c r="R1470" s="5" t="s">
        <v>10890</v>
      </c>
      <c r="S1470" s="6" t="s">
        <v>75</v>
      </c>
      <c r="T1470" s="6">
        <v>6560.0</v>
      </c>
    </row>
    <row r="1471" ht="56.25" customHeight="1">
      <c r="A1471" s="5" t="s">
        <v>10877</v>
      </c>
      <c r="B1471" s="6" t="str">
        <f>image("https://storage.googleapis.com/acdb/photos/BromideNpcNmlBrd00_Remake_5_0.png")</f>
        <v/>
      </c>
      <c r="C1471" s="5" t="s">
        <v>58</v>
      </c>
      <c r="D1471" s="5" t="s">
        <v>1327</v>
      </c>
      <c r="E1471" s="5" t="s">
        <v>34</v>
      </c>
      <c r="F1471" s="5" t="s">
        <v>34</v>
      </c>
      <c r="G1471" s="5" t="s">
        <v>36</v>
      </c>
      <c r="H1471" s="5" t="s">
        <v>35</v>
      </c>
      <c r="I1471" s="6">
        <v>1.0</v>
      </c>
      <c r="J1471" s="6" t="s">
        <v>37</v>
      </c>
      <c r="K1471" s="6">
        <v>10.0</v>
      </c>
      <c r="L1471" s="5"/>
      <c r="M1471" s="5"/>
      <c r="N1471" s="6" t="s">
        <v>40</v>
      </c>
      <c r="O1471" s="5" t="s">
        <v>5363</v>
      </c>
      <c r="P1471" s="6" t="s">
        <v>42</v>
      </c>
      <c r="Q1471" s="5" t="s">
        <v>1237</v>
      </c>
      <c r="R1471" s="5" t="s">
        <v>10894</v>
      </c>
      <c r="S1471" s="6" t="s">
        <v>79</v>
      </c>
      <c r="T1471" s="6">
        <v>6560.0</v>
      </c>
    </row>
    <row r="1472" ht="56.25" customHeight="1">
      <c r="A1472" s="5" t="s">
        <v>10877</v>
      </c>
      <c r="B1472" s="6" t="str">
        <f>image("https://storage.googleapis.com/acdb/photos/BromideNpcNmlBrd00_Remake_6_0.png")</f>
        <v/>
      </c>
      <c r="C1472" s="5" t="s">
        <v>146</v>
      </c>
      <c r="D1472" s="5" t="s">
        <v>1327</v>
      </c>
      <c r="E1472" s="5" t="s">
        <v>34</v>
      </c>
      <c r="F1472" s="5" t="s">
        <v>34</v>
      </c>
      <c r="G1472" s="5" t="s">
        <v>36</v>
      </c>
      <c r="H1472" s="5" t="s">
        <v>35</v>
      </c>
      <c r="I1472" s="6">
        <v>1.0</v>
      </c>
      <c r="J1472" s="6" t="s">
        <v>37</v>
      </c>
      <c r="K1472" s="6">
        <v>10.0</v>
      </c>
      <c r="L1472" s="5"/>
      <c r="M1472" s="5"/>
      <c r="N1472" s="6" t="s">
        <v>40</v>
      </c>
      <c r="O1472" s="5" t="s">
        <v>5363</v>
      </c>
      <c r="P1472" s="6" t="s">
        <v>42</v>
      </c>
      <c r="Q1472" s="5" t="s">
        <v>1237</v>
      </c>
      <c r="R1472" s="5" t="s">
        <v>10897</v>
      </c>
      <c r="S1472" s="6" t="s">
        <v>86</v>
      </c>
      <c r="T1472" s="6">
        <v>6560.0</v>
      </c>
    </row>
    <row r="1473" ht="56.25" customHeight="1">
      <c r="A1473" s="5" t="s">
        <v>10877</v>
      </c>
      <c r="B1473" s="6" t="str">
        <f>image("https://storage.googleapis.com/acdb/photos/BromideNpcNmlBrd00_Remake_7_0.png")</f>
        <v/>
      </c>
      <c r="C1473" s="5" t="s">
        <v>151</v>
      </c>
      <c r="D1473" s="5" t="s">
        <v>1327</v>
      </c>
      <c r="E1473" s="5" t="s">
        <v>34</v>
      </c>
      <c r="F1473" s="5" t="s">
        <v>34</v>
      </c>
      <c r="G1473" s="5" t="s">
        <v>36</v>
      </c>
      <c r="H1473" s="5" t="s">
        <v>35</v>
      </c>
      <c r="I1473" s="6">
        <v>1.0</v>
      </c>
      <c r="J1473" s="6" t="s">
        <v>37</v>
      </c>
      <c r="K1473" s="6">
        <v>10.0</v>
      </c>
      <c r="L1473" s="5"/>
      <c r="M1473" s="5"/>
      <c r="N1473" s="6" t="s">
        <v>40</v>
      </c>
      <c r="O1473" s="5" t="s">
        <v>5363</v>
      </c>
      <c r="P1473" s="6" t="s">
        <v>42</v>
      </c>
      <c r="Q1473" s="5" t="s">
        <v>1237</v>
      </c>
      <c r="R1473" s="5" t="s">
        <v>10902</v>
      </c>
      <c r="S1473" s="6" t="s">
        <v>208</v>
      </c>
      <c r="T1473" s="6">
        <v>6560.0</v>
      </c>
    </row>
    <row r="1474" ht="56.25" customHeight="1">
      <c r="A1474" s="5" t="s">
        <v>10903</v>
      </c>
      <c r="B1474" s="6" t="str">
        <f>image("https://storage.googleapis.com/acdb/photos/BromideNpcNmlFlg07_Remake_0_0.png")</f>
        <v/>
      </c>
      <c r="C1474" s="5" t="s">
        <v>366</v>
      </c>
      <c r="D1474" s="5" t="s">
        <v>1327</v>
      </c>
      <c r="E1474" s="5" t="s">
        <v>34</v>
      </c>
      <c r="F1474" s="5" t="s">
        <v>34</v>
      </c>
      <c r="G1474" s="5" t="s">
        <v>36</v>
      </c>
      <c r="H1474" s="5" t="s">
        <v>35</v>
      </c>
      <c r="I1474" s="6">
        <v>1.0</v>
      </c>
      <c r="J1474" s="6" t="s">
        <v>37</v>
      </c>
      <c r="K1474" s="6">
        <v>10.0</v>
      </c>
      <c r="L1474" s="5"/>
      <c r="M1474" s="5"/>
      <c r="N1474" s="6" t="s">
        <v>40</v>
      </c>
      <c r="O1474" s="5" t="s">
        <v>5363</v>
      </c>
      <c r="P1474" s="6" t="s">
        <v>42</v>
      </c>
      <c r="Q1474" s="5" t="s">
        <v>1237</v>
      </c>
      <c r="R1474" s="5" t="s">
        <v>10904</v>
      </c>
      <c r="S1474" s="6" t="s">
        <v>50</v>
      </c>
      <c r="T1474" s="6">
        <v>6491.0</v>
      </c>
    </row>
    <row r="1475" ht="56.25" customHeight="1">
      <c r="A1475" s="5" t="s">
        <v>10903</v>
      </c>
      <c r="B1475" s="6" t="str">
        <f>image("https://storage.googleapis.com/acdb/photos/BromideNpcNmlFlg07_Remake_1_0.png")</f>
        <v/>
      </c>
      <c r="C1475" s="5" t="s">
        <v>1132</v>
      </c>
      <c r="D1475" s="5" t="s">
        <v>1327</v>
      </c>
      <c r="E1475" s="5" t="s">
        <v>34</v>
      </c>
      <c r="F1475" s="5" t="s">
        <v>34</v>
      </c>
      <c r="G1475" s="5" t="s">
        <v>36</v>
      </c>
      <c r="H1475" s="5" t="s">
        <v>35</v>
      </c>
      <c r="I1475" s="6">
        <v>1.0</v>
      </c>
      <c r="J1475" s="6" t="s">
        <v>37</v>
      </c>
      <c r="K1475" s="6">
        <v>10.0</v>
      </c>
      <c r="L1475" s="5"/>
      <c r="M1475" s="5"/>
      <c r="N1475" s="6" t="s">
        <v>40</v>
      </c>
      <c r="O1475" s="5" t="s">
        <v>5363</v>
      </c>
      <c r="P1475" s="6" t="s">
        <v>42</v>
      </c>
      <c r="Q1475" s="5" t="s">
        <v>1237</v>
      </c>
      <c r="R1475" s="5" t="s">
        <v>10907</v>
      </c>
      <c r="S1475" s="6" t="s">
        <v>56</v>
      </c>
      <c r="T1475" s="6">
        <v>6491.0</v>
      </c>
    </row>
    <row r="1476" ht="56.25" customHeight="1">
      <c r="A1476" s="5" t="s">
        <v>10903</v>
      </c>
      <c r="B1476" s="6" t="str">
        <f>image("https://storage.googleapis.com/acdb/photos/BromideNpcNmlFlg07_Remake_2_0.png")</f>
        <v/>
      </c>
      <c r="C1476" s="5" t="s">
        <v>688</v>
      </c>
      <c r="D1476" s="5" t="s">
        <v>1327</v>
      </c>
      <c r="E1476" s="5" t="s">
        <v>34</v>
      </c>
      <c r="F1476" s="5" t="s">
        <v>34</v>
      </c>
      <c r="G1476" s="5" t="s">
        <v>36</v>
      </c>
      <c r="H1476" s="5" t="s">
        <v>35</v>
      </c>
      <c r="I1476" s="6">
        <v>1.0</v>
      </c>
      <c r="J1476" s="6" t="s">
        <v>37</v>
      </c>
      <c r="K1476" s="6">
        <v>10.0</v>
      </c>
      <c r="L1476" s="5"/>
      <c r="M1476" s="5"/>
      <c r="N1476" s="6" t="s">
        <v>40</v>
      </c>
      <c r="O1476" s="5" t="s">
        <v>5363</v>
      </c>
      <c r="P1476" s="6" t="s">
        <v>42</v>
      </c>
      <c r="Q1476" s="5" t="s">
        <v>1237</v>
      </c>
      <c r="R1476" s="5" t="s">
        <v>10910</v>
      </c>
      <c r="S1476" s="6" t="s">
        <v>67</v>
      </c>
      <c r="T1476" s="6">
        <v>6491.0</v>
      </c>
    </row>
    <row r="1477" ht="56.25" customHeight="1">
      <c r="A1477" s="5" t="s">
        <v>10903</v>
      </c>
      <c r="B1477" s="6" t="str">
        <f>image("https://storage.googleapis.com/acdb/photos/BromideNpcNmlFlg07_Remake_3_0.png")</f>
        <v/>
      </c>
      <c r="C1477" s="5" t="s">
        <v>57</v>
      </c>
      <c r="D1477" s="5" t="s">
        <v>1327</v>
      </c>
      <c r="E1477" s="5" t="s">
        <v>34</v>
      </c>
      <c r="F1477" s="5" t="s">
        <v>34</v>
      </c>
      <c r="G1477" s="5" t="s">
        <v>36</v>
      </c>
      <c r="H1477" s="5" t="s">
        <v>35</v>
      </c>
      <c r="I1477" s="6">
        <v>1.0</v>
      </c>
      <c r="J1477" s="6" t="s">
        <v>37</v>
      </c>
      <c r="K1477" s="6">
        <v>10.0</v>
      </c>
      <c r="L1477" s="5"/>
      <c r="M1477" s="5"/>
      <c r="N1477" s="6" t="s">
        <v>40</v>
      </c>
      <c r="O1477" s="5" t="s">
        <v>5363</v>
      </c>
      <c r="P1477" s="6" t="s">
        <v>42</v>
      </c>
      <c r="Q1477" s="5" t="s">
        <v>1237</v>
      </c>
      <c r="R1477" s="5" t="s">
        <v>10912</v>
      </c>
      <c r="S1477" s="6" t="s">
        <v>71</v>
      </c>
      <c r="T1477" s="6">
        <v>6491.0</v>
      </c>
    </row>
    <row r="1478" ht="56.25" customHeight="1">
      <c r="A1478" s="5" t="s">
        <v>10903</v>
      </c>
      <c r="B1478" s="6" t="str">
        <f>image("https://storage.googleapis.com/acdb/photos/BromideNpcNmlFlg07_Remake_4_0.png")</f>
        <v/>
      </c>
      <c r="C1478" s="5" t="s">
        <v>1167</v>
      </c>
      <c r="D1478" s="5" t="s">
        <v>1327</v>
      </c>
      <c r="E1478" s="5" t="s">
        <v>34</v>
      </c>
      <c r="F1478" s="5" t="s">
        <v>34</v>
      </c>
      <c r="G1478" s="5" t="s">
        <v>36</v>
      </c>
      <c r="H1478" s="5" t="s">
        <v>35</v>
      </c>
      <c r="I1478" s="6">
        <v>1.0</v>
      </c>
      <c r="J1478" s="6" t="s">
        <v>37</v>
      </c>
      <c r="K1478" s="6">
        <v>10.0</v>
      </c>
      <c r="L1478" s="5"/>
      <c r="M1478" s="5"/>
      <c r="N1478" s="6" t="s">
        <v>40</v>
      </c>
      <c r="O1478" s="5" t="s">
        <v>5363</v>
      </c>
      <c r="P1478" s="6" t="s">
        <v>42</v>
      </c>
      <c r="Q1478" s="5" t="s">
        <v>1237</v>
      </c>
      <c r="R1478" s="5" t="s">
        <v>10915</v>
      </c>
      <c r="S1478" s="6" t="s">
        <v>75</v>
      </c>
      <c r="T1478" s="6">
        <v>6491.0</v>
      </c>
    </row>
    <row r="1479" ht="56.25" customHeight="1">
      <c r="A1479" s="5" t="s">
        <v>10903</v>
      </c>
      <c r="B1479" s="6" t="str">
        <f>image("https://storage.googleapis.com/acdb/photos/BromideNpcNmlFlg07_Remake_5_0.png")</f>
        <v/>
      </c>
      <c r="C1479" s="5" t="s">
        <v>58</v>
      </c>
      <c r="D1479" s="5" t="s">
        <v>1327</v>
      </c>
      <c r="E1479" s="5" t="s">
        <v>34</v>
      </c>
      <c r="F1479" s="5" t="s">
        <v>34</v>
      </c>
      <c r="G1479" s="5" t="s">
        <v>36</v>
      </c>
      <c r="H1479" s="5" t="s">
        <v>35</v>
      </c>
      <c r="I1479" s="6">
        <v>1.0</v>
      </c>
      <c r="J1479" s="6" t="s">
        <v>37</v>
      </c>
      <c r="K1479" s="6">
        <v>10.0</v>
      </c>
      <c r="L1479" s="5"/>
      <c r="M1479" s="5"/>
      <c r="N1479" s="6" t="s">
        <v>40</v>
      </c>
      <c r="O1479" s="5" t="s">
        <v>5363</v>
      </c>
      <c r="P1479" s="6" t="s">
        <v>42</v>
      </c>
      <c r="Q1479" s="5" t="s">
        <v>1237</v>
      </c>
      <c r="R1479" s="5" t="s">
        <v>10918</v>
      </c>
      <c r="S1479" s="6" t="s">
        <v>79</v>
      </c>
      <c r="T1479" s="6">
        <v>6491.0</v>
      </c>
    </row>
    <row r="1480" ht="56.25" customHeight="1">
      <c r="A1480" s="5" t="s">
        <v>10903</v>
      </c>
      <c r="B1480" s="6" t="str">
        <f>image("https://storage.googleapis.com/acdb/photos/BromideNpcNmlFlg07_Remake_6_0.png")</f>
        <v/>
      </c>
      <c r="C1480" s="5" t="s">
        <v>146</v>
      </c>
      <c r="D1480" s="5" t="s">
        <v>1327</v>
      </c>
      <c r="E1480" s="5" t="s">
        <v>34</v>
      </c>
      <c r="F1480" s="5" t="s">
        <v>34</v>
      </c>
      <c r="G1480" s="5" t="s">
        <v>36</v>
      </c>
      <c r="H1480" s="5" t="s">
        <v>35</v>
      </c>
      <c r="I1480" s="6">
        <v>1.0</v>
      </c>
      <c r="J1480" s="6" t="s">
        <v>37</v>
      </c>
      <c r="K1480" s="6">
        <v>10.0</v>
      </c>
      <c r="L1480" s="5"/>
      <c r="M1480" s="5"/>
      <c r="N1480" s="6" t="s">
        <v>40</v>
      </c>
      <c r="O1480" s="5" t="s">
        <v>5363</v>
      </c>
      <c r="P1480" s="6" t="s">
        <v>42</v>
      </c>
      <c r="Q1480" s="5" t="s">
        <v>1237</v>
      </c>
      <c r="R1480" s="5" t="s">
        <v>10920</v>
      </c>
      <c r="S1480" s="6" t="s">
        <v>86</v>
      </c>
      <c r="T1480" s="6">
        <v>6491.0</v>
      </c>
    </row>
    <row r="1481" ht="56.25" customHeight="1">
      <c r="A1481" s="5" t="s">
        <v>10903</v>
      </c>
      <c r="B1481" s="6" t="str">
        <f>image("https://storage.googleapis.com/acdb/photos/BromideNpcNmlFlg07_Remake_7_0.png")</f>
        <v/>
      </c>
      <c r="C1481" s="5" t="s">
        <v>151</v>
      </c>
      <c r="D1481" s="5" t="s">
        <v>1327</v>
      </c>
      <c r="E1481" s="5" t="s">
        <v>34</v>
      </c>
      <c r="F1481" s="5" t="s">
        <v>34</v>
      </c>
      <c r="G1481" s="5" t="s">
        <v>36</v>
      </c>
      <c r="H1481" s="5" t="s">
        <v>35</v>
      </c>
      <c r="I1481" s="6">
        <v>1.0</v>
      </c>
      <c r="J1481" s="6" t="s">
        <v>37</v>
      </c>
      <c r="K1481" s="6">
        <v>10.0</v>
      </c>
      <c r="L1481" s="5"/>
      <c r="M1481" s="5"/>
      <c r="N1481" s="6" t="s">
        <v>40</v>
      </c>
      <c r="O1481" s="5" t="s">
        <v>5363</v>
      </c>
      <c r="P1481" s="6" t="s">
        <v>42</v>
      </c>
      <c r="Q1481" s="5" t="s">
        <v>1237</v>
      </c>
      <c r="R1481" s="5" t="s">
        <v>10922</v>
      </c>
      <c r="S1481" s="6" t="s">
        <v>208</v>
      </c>
      <c r="T1481" s="6">
        <v>6491.0</v>
      </c>
    </row>
    <row r="1482" ht="56.25" customHeight="1">
      <c r="A1482" s="5" t="s">
        <v>10923</v>
      </c>
      <c r="B1482" s="6" t="str">
        <f>image("https://storage.googleapis.com/acdb/photos/BromideNpcNmlBrd04_Remake_0_0.png")</f>
        <v/>
      </c>
      <c r="C1482" s="5" t="s">
        <v>366</v>
      </c>
      <c r="D1482" s="5" t="s">
        <v>1327</v>
      </c>
      <c r="E1482" s="5" t="s">
        <v>34</v>
      </c>
      <c r="F1482" s="5" t="s">
        <v>34</v>
      </c>
      <c r="G1482" s="5" t="s">
        <v>36</v>
      </c>
      <c r="H1482" s="5" t="s">
        <v>35</v>
      </c>
      <c r="I1482" s="6">
        <v>1.0</v>
      </c>
      <c r="J1482" s="6" t="s">
        <v>37</v>
      </c>
      <c r="K1482" s="6">
        <v>10.0</v>
      </c>
      <c r="L1482" s="5"/>
      <c r="M1482" s="5"/>
      <c r="N1482" s="6" t="s">
        <v>40</v>
      </c>
      <c r="O1482" s="5" t="s">
        <v>5363</v>
      </c>
      <c r="P1482" s="6" t="s">
        <v>42</v>
      </c>
      <c r="Q1482" s="5" t="s">
        <v>1237</v>
      </c>
      <c r="R1482" s="5" t="s">
        <v>10927</v>
      </c>
      <c r="S1482" s="6" t="s">
        <v>50</v>
      </c>
      <c r="T1482" s="6">
        <v>6604.0</v>
      </c>
    </row>
    <row r="1483" ht="56.25" customHeight="1">
      <c r="A1483" s="5" t="s">
        <v>10923</v>
      </c>
      <c r="B1483" s="6" t="str">
        <f>image("https://storage.googleapis.com/acdb/photos/BromideNpcNmlBrd04_Remake_1_0.png")</f>
        <v/>
      </c>
      <c r="C1483" s="5" t="s">
        <v>1132</v>
      </c>
      <c r="D1483" s="5" t="s">
        <v>1327</v>
      </c>
      <c r="E1483" s="5" t="s">
        <v>34</v>
      </c>
      <c r="F1483" s="5" t="s">
        <v>34</v>
      </c>
      <c r="G1483" s="5" t="s">
        <v>36</v>
      </c>
      <c r="H1483" s="5" t="s">
        <v>35</v>
      </c>
      <c r="I1483" s="6">
        <v>1.0</v>
      </c>
      <c r="J1483" s="6" t="s">
        <v>37</v>
      </c>
      <c r="K1483" s="6">
        <v>10.0</v>
      </c>
      <c r="L1483" s="5"/>
      <c r="M1483" s="5"/>
      <c r="N1483" s="6" t="s">
        <v>40</v>
      </c>
      <c r="O1483" s="5" t="s">
        <v>5363</v>
      </c>
      <c r="P1483" s="6" t="s">
        <v>42</v>
      </c>
      <c r="Q1483" s="5" t="s">
        <v>1237</v>
      </c>
      <c r="R1483" s="5" t="s">
        <v>10929</v>
      </c>
      <c r="S1483" s="6" t="s">
        <v>56</v>
      </c>
      <c r="T1483" s="6">
        <v>6604.0</v>
      </c>
    </row>
    <row r="1484" ht="56.25" customHeight="1">
      <c r="A1484" s="5" t="s">
        <v>10923</v>
      </c>
      <c r="B1484" s="6" t="str">
        <f>image("https://storage.googleapis.com/acdb/photos/BromideNpcNmlBrd04_Remake_2_0.png")</f>
        <v/>
      </c>
      <c r="C1484" s="5" t="s">
        <v>688</v>
      </c>
      <c r="D1484" s="5" t="s">
        <v>1327</v>
      </c>
      <c r="E1484" s="5" t="s">
        <v>34</v>
      </c>
      <c r="F1484" s="5" t="s">
        <v>34</v>
      </c>
      <c r="G1484" s="5" t="s">
        <v>36</v>
      </c>
      <c r="H1484" s="5" t="s">
        <v>35</v>
      </c>
      <c r="I1484" s="6">
        <v>1.0</v>
      </c>
      <c r="J1484" s="6" t="s">
        <v>37</v>
      </c>
      <c r="K1484" s="6">
        <v>10.0</v>
      </c>
      <c r="L1484" s="5"/>
      <c r="M1484" s="5"/>
      <c r="N1484" s="6" t="s">
        <v>40</v>
      </c>
      <c r="O1484" s="5" t="s">
        <v>5363</v>
      </c>
      <c r="P1484" s="6" t="s">
        <v>42</v>
      </c>
      <c r="Q1484" s="5" t="s">
        <v>1237</v>
      </c>
      <c r="R1484" s="5" t="s">
        <v>10932</v>
      </c>
      <c r="S1484" s="6" t="s">
        <v>67</v>
      </c>
      <c r="T1484" s="6">
        <v>6604.0</v>
      </c>
    </row>
    <row r="1485" ht="56.25" customHeight="1">
      <c r="A1485" s="5" t="s">
        <v>10923</v>
      </c>
      <c r="B1485" s="6" t="str">
        <f>image("https://storage.googleapis.com/acdb/photos/BromideNpcNmlBrd04_Remake_3_0.png")</f>
        <v/>
      </c>
      <c r="C1485" s="5" t="s">
        <v>57</v>
      </c>
      <c r="D1485" s="5" t="s">
        <v>1327</v>
      </c>
      <c r="E1485" s="5" t="s">
        <v>34</v>
      </c>
      <c r="F1485" s="5" t="s">
        <v>34</v>
      </c>
      <c r="G1485" s="5" t="s">
        <v>36</v>
      </c>
      <c r="H1485" s="5" t="s">
        <v>35</v>
      </c>
      <c r="I1485" s="6">
        <v>1.0</v>
      </c>
      <c r="J1485" s="6" t="s">
        <v>37</v>
      </c>
      <c r="K1485" s="6">
        <v>10.0</v>
      </c>
      <c r="L1485" s="5"/>
      <c r="M1485" s="5"/>
      <c r="N1485" s="6" t="s">
        <v>40</v>
      </c>
      <c r="O1485" s="5" t="s">
        <v>5363</v>
      </c>
      <c r="P1485" s="6" t="s">
        <v>42</v>
      </c>
      <c r="Q1485" s="5" t="s">
        <v>1237</v>
      </c>
      <c r="R1485" s="5" t="s">
        <v>10935</v>
      </c>
      <c r="S1485" s="6" t="s">
        <v>71</v>
      </c>
      <c r="T1485" s="6">
        <v>6604.0</v>
      </c>
    </row>
    <row r="1486" ht="56.25" customHeight="1">
      <c r="A1486" s="5" t="s">
        <v>10923</v>
      </c>
      <c r="B1486" s="6" t="str">
        <f>image("https://storage.googleapis.com/acdb/photos/BromideNpcNmlBrd04_Remake_4_0.png")</f>
        <v/>
      </c>
      <c r="C1486" s="5" t="s">
        <v>1167</v>
      </c>
      <c r="D1486" s="5" t="s">
        <v>1327</v>
      </c>
      <c r="E1486" s="5" t="s">
        <v>34</v>
      </c>
      <c r="F1486" s="5" t="s">
        <v>34</v>
      </c>
      <c r="G1486" s="5" t="s">
        <v>36</v>
      </c>
      <c r="H1486" s="5" t="s">
        <v>35</v>
      </c>
      <c r="I1486" s="6">
        <v>1.0</v>
      </c>
      <c r="J1486" s="6" t="s">
        <v>37</v>
      </c>
      <c r="K1486" s="6">
        <v>10.0</v>
      </c>
      <c r="L1486" s="5"/>
      <c r="M1486" s="5"/>
      <c r="N1486" s="6" t="s">
        <v>40</v>
      </c>
      <c r="O1486" s="5" t="s">
        <v>5363</v>
      </c>
      <c r="P1486" s="6" t="s">
        <v>42</v>
      </c>
      <c r="Q1486" s="5" t="s">
        <v>1237</v>
      </c>
      <c r="R1486" s="5" t="s">
        <v>10939</v>
      </c>
      <c r="S1486" s="6" t="s">
        <v>75</v>
      </c>
      <c r="T1486" s="6">
        <v>6604.0</v>
      </c>
    </row>
    <row r="1487" ht="56.25" customHeight="1">
      <c r="A1487" s="5" t="s">
        <v>10923</v>
      </c>
      <c r="B1487" s="6" t="str">
        <f>image("https://storage.googleapis.com/acdb/photos/BromideNpcNmlBrd04_Remake_5_0.png")</f>
        <v/>
      </c>
      <c r="C1487" s="5" t="s">
        <v>58</v>
      </c>
      <c r="D1487" s="5" t="s">
        <v>1327</v>
      </c>
      <c r="E1487" s="5" t="s">
        <v>34</v>
      </c>
      <c r="F1487" s="5" t="s">
        <v>34</v>
      </c>
      <c r="G1487" s="5" t="s">
        <v>36</v>
      </c>
      <c r="H1487" s="5" t="s">
        <v>35</v>
      </c>
      <c r="I1487" s="6">
        <v>1.0</v>
      </c>
      <c r="J1487" s="6" t="s">
        <v>37</v>
      </c>
      <c r="K1487" s="6">
        <v>10.0</v>
      </c>
      <c r="L1487" s="5"/>
      <c r="M1487" s="5"/>
      <c r="N1487" s="6" t="s">
        <v>40</v>
      </c>
      <c r="O1487" s="5" t="s">
        <v>5363</v>
      </c>
      <c r="P1487" s="6" t="s">
        <v>42</v>
      </c>
      <c r="Q1487" s="5" t="s">
        <v>1237</v>
      </c>
      <c r="R1487" s="5" t="s">
        <v>10942</v>
      </c>
      <c r="S1487" s="6" t="s">
        <v>79</v>
      </c>
      <c r="T1487" s="6">
        <v>6604.0</v>
      </c>
    </row>
    <row r="1488" ht="56.25" customHeight="1">
      <c r="A1488" s="5" t="s">
        <v>10923</v>
      </c>
      <c r="B1488" s="6" t="str">
        <f>image("https://storage.googleapis.com/acdb/photos/BromideNpcNmlBrd04_Remake_6_0.png")</f>
        <v/>
      </c>
      <c r="C1488" s="5" t="s">
        <v>146</v>
      </c>
      <c r="D1488" s="5" t="s">
        <v>1327</v>
      </c>
      <c r="E1488" s="5" t="s">
        <v>34</v>
      </c>
      <c r="F1488" s="5" t="s">
        <v>34</v>
      </c>
      <c r="G1488" s="5" t="s">
        <v>36</v>
      </c>
      <c r="H1488" s="5" t="s">
        <v>35</v>
      </c>
      <c r="I1488" s="6">
        <v>1.0</v>
      </c>
      <c r="J1488" s="6" t="s">
        <v>37</v>
      </c>
      <c r="K1488" s="6">
        <v>10.0</v>
      </c>
      <c r="L1488" s="5"/>
      <c r="M1488" s="5"/>
      <c r="N1488" s="6" t="s">
        <v>40</v>
      </c>
      <c r="O1488" s="5" t="s">
        <v>5363</v>
      </c>
      <c r="P1488" s="6" t="s">
        <v>42</v>
      </c>
      <c r="Q1488" s="5" t="s">
        <v>1237</v>
      </c>
      <c r="R1488" s="5" t="s">
        <v>10944</v>
      </c>
      <c r="S1488" s="6" t="s">
        <v>86</v>
      </c>
      <c r="T1488" s="6">
        <v>6604.0</v>
      </c>
    </row>
    <row r="1489" ht="56.25" customHeight="1">
      <c r="A1489" s="5" t="s">
        <v>10923</v>
      </c>
      <c r="B1489" s="6" t="str">
        <f>image("https://storage.googleapis.com/acdb/photos/BromideNpcNmlBrd04_Remake_7_0.png")</f>
        <v/>
      </c>
      <c r="C1489" s="5" t="s">
        <v>151</v>
      </c>
      <c r="D1489" s="5" t="s">
        <v>1327</v>
      </c>
      <c r="E1489" s="5" t="s">
        <v>34</v>
      </c>
      <c r="F1489" s="5" t="s">
        <v>34</v>
      </c>
      <c r="G1489" s="5" t="s">
        <v>36</v>
      </c>
      <c r="H1489" s="5" t="s">
        <v>35</v>
      </c>
      <c r="I1489" s="6">
        <v>1.0</v>
      </c>
      <c r="J1489" s="6" t="s">
        <v>37</v>
      </c>
      <c r="K1489" s="6">
        <v>10.0</v>
      </c>
      <c r="L1489" s="5"/>
      <c r="M1489" s="5"/>
      <c r="N1489" s="6" t="s">
        <v>40</v>
      </c>
      <c r="O1489" s="5" t="s">
        <v>5363</v>
      </c>
      <c r="P1489" s="6" t="s">
        <v>42</v>
      </c>
      <c r="Q1489" s="5" t="s">
        <v>1237</v>
      </c>
      <c r="R1489" s="5" t="s">
        <v>10947</v>
      </c>
      <c r="S1489" s="6" t="s">
        <v>208</v>
      </c>
      <c r="T1489" s="6">
        <v>6604.0</v>
      </c>
    </row>
    <row r="1490" ht="56.25" customHeight="1">
      <c r="A1490" s="5" t="s">
        <v>10949</v>
      </c>
      <c r="B1490" s="6" t="str">
        <f>image("https://storage.googleapis.com/acdb/photos/BromideNpcNmlDuk01_Remake_0_0.png")</f>
        <v/>
      </c>
      <c r="C1490" s="5" t="s">
        <v>366</v>
      </c>
      <c r="D1490" s="5" t="s">
        <v>1327</v>
      </c>
      <c r="E1490" s="5" t="s">
        <v>34</v>
      </c>
      <c r="F1490" s="5" t="s">
        <v>34</v>
      </c>
      <c r="G1490" s="5" t="s">
        <v>36</v>
      </c>
      <c r="H1490" s="5" t="s">
        <v>35</v>
      </c>
      <c r="I1490" s="6">
        <v>1.0</v>
      </c>
      <c r="J1490" s="6" t="s">
        <v>37</v>
      </c>
      <c r="K1490" s="6">
        <v>10.0</v>
      </c>
      <c r="L1490" s="5"/>
      <c r="M1490" s="5"/>
      <c r="N1490" s="6" t="s">
        <v>40</v>
      </c>
      <c r="O1490" s="5" t="s">
        <v>5363</v>
      </c>
      <c r="P1490" s="6" t="s">
        <v>42</v>
      </c>
      <c r="Q1490" s="5" t="s">
        <v>1237</v>
      </c>
      <c r="R1490" s="5" t="s">
        <v>10952</v>
      </c>
      <c r="S1490" s="6" t="s">
        <v>50</v>
      </c>
      <c r="T1490" s="6">
        <v>6455.0</v>
      </c>
    </row>
    <row r="1491" ht="56.25" customHeight="1">
      <c r="A1491" s="5" t="s">
        <v>10949</v>
      </c>
      <c r="B1491" s="6" t="str">
        <f>image("https://storage.googleapis.com/acdb/photos/BromideNpcNmlDuk01_Remake_1_0.png")</f>
        <v/>
      </c>
      <c r="C1491" s="5" t="s">
        <v>1132</v>
      </c>
      <c r="D1491" s="5" t="s">
        <v>1327</v>
      </c>
      <c r="E1491" s="5" t="s">
        <v>34</v>
      </c>
      <c r="F1491" s="5" t="s">
        <v>34</v>
      </c>
      <c r="G1491" s="5" t="s">
        <v>36</v>
      </c>
      <c r="H1491" s="5" t="s">
        <v>35</v>
      </c>
      <c r="I1491" s="6">
        <v>1.0</v>
      </c>
      <c r="J1491" s="6" t="s">
        <v>37</v>
      </c>
      <c r="K1491" s="6">
        <v>10.0</v>
      </c>
      <c r="L1491" s="5"/>
      <c r="M1491" s="5"/>
      <c r="N1491" s="6" t="s">
        <v>40</v>
      </c>
      <c r="O1491" s="5" t="s">
        <v>5363</v>
      </c>
      <c r="P1491" s="6" t="s">
        <v>42</v>
      </c>
      <c r="Q1491" s="5" t="s">
        <v>1237</v>
      </c>
      <c r="R1491" s="5" t="s">
        <v>10955</v>
      </c>
      <c r="S1491" s="6" t="s">
        <v>56</v>
      </c>
      <c r="T1491" s="6">
        <v>6455.0</v>
      </c>
    </row>
    <row r="1492" ht="56.25" customHeight="1">
      <c r="A1492" s="5" t="s">
        <v>10949</v>
      </c>
      <c r="B1492" s="6" t="str">
        <f>image("https://storage.googleapis.com/acdb/photos/BromideNpcNmlDuk01_Remake_2_0.png")</f>
        <v/>
      </c>
      <c r="C1492" s="5" t="s">
        <v>688</v>
      </c>
      <c r="D1492" s="5" t="s">
        <v>1327</v>
      </c>
      <c r="E1492" s="5" t="s">
        <v>34</v>
      </c>
      <c r="F1492" s="5" t="s">
        <v>34</v>
      </c>
      <c r="G1492" s="5" t="s">
        <v>36</v>
      </c>
      <c r="H1492" s="5" t="s">
        <v>35</v>
      </c>
      <c r="I1492" s="6">
        <v>1.0</v>
      </c>
      <c r="J1492" s="6" t="s">
        <v>37</v>
      </c>
      <c r="K1492" s="6">
        <v>10.0</v>
      </c>
      <c r="L1492" s="5"/>
      <c r="M1492" s="5"/>
      <c r="N1492" s="6" t="s">
        <v>40</v>
      </c>
      <c r="O1492" s="5" t="s">
        <v>5363</v>
      </c>
      <c r="P1492" s="6" t="s">
        <v>42</v>
      </c>
      <c r="Q1492" s="5" t="s">
        <v>1237</v>
      </c>
      <c r="R1492" s="5" t="s">
        <v>10958</v>
      </c>
      <c r="S1492" s="6" t="s">
        <v>67</v>
      </c>
      <c r="T1492" s="6">
        <v>6455.0</v>
      </c>
    </row>
    <row r="1493" ht="56.25" customHeight="1">
      <c r="A1493" s="5" t="s">
        <v>10949</v>
      </c>
      <c r="B1493" s="6" t="str">
        <f>image("https://storage.googleapis.com/acdb/photos/BromideNpcNmlDuk01_Remake_3_0.png")</f>
        <v/>
      </c>
      <c r="C1493" s="5" t="s">
        <v>57</v>
      </c>
      <c r="D1493" s="5" t="s">
        <v>1327</v>
      </c>
      <c r="E1493" s="5" t="s">
        <v>34</v>
      </c>
      <c r="F1493" s="5" t="s">
        <v>34</v>
      </c>
      <c r="G1493" s="5" t="s">
        <v>36</v>
      </c>
      <c r="H1493" s="5" t="s">
        <v>35</v>
      </c>
      <c r="I1493" s="6">
        <v>1.0</v>
      </c>
      <c r="J1493" s="6" t="s">
        <v>37</v>
      </c>
      <c r="K1493" s="6">
        <v>10.0</v>
      </c>
      <c r="L1493" s="5"/>
      <c r="M1493" s="5"/>
      <c r="N1493" s="6" t="s">
        <v>40</v>
      </c>
      <c r="O1493" s="5" t="s">
        <v>5363</v>
      </c>
      <c r="P1493" s="6" t="s">
        <v>42</v>
      </c>
      <c r="Q1493" s="5" t="s">
        <v>1237</v>
      </c>
      <c r="R1493" s="5" t="s">
        <v>10962</v>
      </c>
      <c r="S1493" s="6" t="s">
        <v>71</v>
      </c>
      <c r="T1493" s="6">
        <v>6455.0</v>
      </c>
    </row>
    <row r="1494" ht="56.25" customHeight="1">
      <c r="A1494" s="5" t="s">
        <v>10949</v>
      </c>
      <c r="B1494" s="6" t="str">
        <f>image("https://storage.googleapis.com/acdb/photos/BromideNpcNmlDuk01_Remake_4_0.png")</f>
        <v/>
      </c>
      <c r="C1494" s="5" t="s">
        <v>1167</v>
      </c>
      <c r="D1494" s="5" t="s">
        <v>1327</v>
      </c>
      <c r="E1494" s="5" t="s">
        <v>34</v>
      </c>
      <c r="F1494" s="5" t="s">
        <v>34</v>
      </c>
      <c r="G1494" s="5" t="s">
        <v>36</v>
      </c>
      <c r="H1494" s="5" t="s">
        <v>35</v>
      </c>
      <c r="I1494" s="6">
        <v>1.0</v>
      </c>
      <c r="J1494" s="6" t="s">
        <v>37</v>
      </c>
      <c r="K1494" s="6">
        <v>10.0</v>
      </c>
      <c r="L1494" s="5"/>
      <c r="M1494" s="5"/>
      <c r="N1494" s="6" t="s">
        <v>40</v>
      </c>
      <c r="O1494" s="5" t="s">
        <v>5363</v>
      </c>
      <c r="P1494" s="6" t="s">
        <v>42</v>
      </c>
      <c r="Q1494" s="5" t="s">
        <v>1237</v>
      </c>
      <c r="R1494" s="5" t="s">
        <v>10968</v>
      </c>
      <c r="S1494" s="6" t="s">
        <v>75</v>
      </c>
      <c r="T1494" s="6">
        <v>6455.0</v>
      </c>
    </row>
    <row r="1495" ht="56.25" customHeight="1">
      <c r="A1495" s="5" t="s">
        <v>10949</v>
      </c>
      <c r="B1495" s="6" t="str">
        <f>image("https://storage.googleapis.com/acdb/photos/BromideNpcNmlDuk01_Remake_5_0.png")</f>
        <v/>
      </c>
      <c r="C1495" s="5" t="s">
        <v>58</v>
      </c>
      <c r="D1495" s="5" t="s">
        <v>1327</v>
      </c>
      <c r="E1495" s="5" t="s">
        <v>34</v>
      </c>
      <c r="F1495" s="5" t="s">
        <v>34</v>
      </c>
      <c r="G1495" s="5" t="s">
        <v>36</v>
      </c>
      <c r="H1495" s="5" t="s">
        <v>35</v>
      </c>
      <c r="I1495" s="6">
        <v>1.0</v>
      </c>
      <c r="J1495" s="6" t="s">
        <v>37</v>
      </c>
      <c r="K1495" s="6">
        <v>10.0</v>
      </c>
      <c r="L1495" s="5"/>
      <c r="M1495" s="5"/>
      <c r="N1495" s="6" t="s">
        <v>40</v>
      </c>
      <c r="O1495" s="5" t="s">
        <v>5363</v>
      </c>
      <c r="P1495" s="6" t="s">
        <v>42</v>
      </c>
      <c r="Q1495" s="5" t="s">
        <v>1237</v>
      </c>
      <c r="R1495" s="5" t="s">
        <v>10969</v>
      </c>
      <c r="S1495" s="6" t="s">
        <v>79</v>
      </c>
      <c r="T1495" s="6">
        <v>6455.0</v>
      </c>
    </row>
    <row r="1496" ht="56.25" customHeight="1">
      <c r="A1496" s="5" t="s">
        <v>10949</v>
      </c>
      <c r="B1496" s="6" t="str">
        <f>image("https://storage.googleapis.com/acdb/photos/BromideNpcNmlDuk01_Remake_6_0.png")</f>
        <v/>
      </c>
      <c r="C1496" s="5" t="s">
        <v>146</v>
      </c>
      <c r="D1496" s="5" t="s">
        <v>1327</v>
      </c>
      <c r="E1496" s="5" t="s">
        <v>34</v>
      </c>
      <c r="F1496" s="5" t="s">
        <v>34</v>
      </c>
      <c r="G1496" s="5" t="s">
        <v>36</v>
      </c>
      <c r="H1496" s="5" t="s">
        <v>35</v>
      </c>
      <c r="I1496" s="6">
        <v>1.0</v>
      </c>
      <c r="J1496" s="6" t="s">
        <v>37</v>
      </c>
      <c r="K1496" s="6">
        <v>10.0</v>
      </c>
      <c r="L1496" s="5"/>
      <c r="M1496" s="5"/>
      <c r="N1496" s="6" t="s">
        <v>40</v>
      </c>
      <c r="O1496" s="5" t="s">
        <v>5363</v>
      </c>
      <c r="P1496" s="6" t="s">
        <v>42</v>
      </c>
      <c r="Q1496" s="5" t="s">
        <v>1237</v>
      </c>
      <c r="R1496" s="5" t="s">
        <v>10975</v>
      </c>
      <c r="S1496" s="6" t="s">
        <v>86</v>
      </c>
      <c r="T1496" s="6">
        <v>6455.0</v>
      </c>
    </row>
    <row r="1497" ht="56.25" customHeight="1">
      <c r="A1497" s="5" t="s">
        <v>10949</v>
      </c>
      <c r="B1497" s="6" t="str">
        <f>image("https://storage.googleapis.com/acdb/photos/BromideNpcNmlDuk01_Remake_7_0.png")</f>
        <v/>
      </c>
      <c r="C1497" s="5" t="s">
        <v>151</v>
      </c>
      <c r="D1497" s="5" t="s">
        <v>1327</v>
      </c>
      <c r="E1497" s="5" t="s">
        <v>34</v>
      </c>
      <c r="F1497" s="5" t="s">
        <v>34</v>
      </c>
      <c r="G1497" s="5" t="s">
        <v>36</v>
      </c>
      <c r="H1497" s="5" t="s">
        <v>35</v>
      </c>
      <c r="I1497" s="6">
        <v>1.0</v>
      </c>
      <c r="J1497" s="6" t="s">
        <v>37</v>
      </c>
      <c r="K1497" s="6">
        <v>10.0</v>
      </c>
      <c r="L1497" s="5"/>
      <c r="M1497" s="5"/>
      <c r="N1497" s="6" t="s">
        <v>40</v>
      </c>
      <c r="O1497" s="5" t="s">
        <v>5363</v>
      </c>
      <c r="P1497" s="6" t="s">
        <v>42</v>
      </c>
      <c r="Q1497" s="5" t="s">
        <v>1237</v>
      </c>
      <c r="R1497" s="5" t="s">
        <v>10980</v>
      </c>
      <c r="S1497" s="6" t="s">
        <v>208</v>
      </c>
      <c r="T1497" s="6">
        <v>6455.0</v>
      </c>
    </row>
    <row r="1498" ht="56.25" customHeight="1">
      <c r="A1498" s="5" t="s">
        <v>10982</v>
      </c>
      <c r="B1498" s="6" t="str">
        <f>image("https://storage.googleapis.com/acdb/photos/BromideNpcNmlCbr19_Remake_0_0.png")</f>
        <v/>
      </c>
      <c r="C1498" s="5" t="s">
        <v>366</v>
      </c>
      <c r="D1498" s="5" t="s">
        <v>1327</v>
      </c>
      <c r="E1498" s="5" t="s">
        <v>34</v>
      </c>
      <c r="F1498" s="5" t="s">
        <v>34</v>
      </c>
      <c r="G1498" s="5" t="s">
        <v>36</v>
      </c>
      <c r="H1498" s="5" t="s">
        <v>35</v>
      </c>
      <c r="I1498" s="6">
        <v>1.0</v>
      </c>
      <c r="J1498" s="6" t="s">
        <v>37</v>
      </c>
      <c r="K1498" s="6">
        <v>10.0</v>
      </c>
      <c r="L1498" s="5"/>
      <c r="M1498" s="5"/>
      <c r="N1498" s="6" t="s">
        <v>40</v>
      </c>
      <c r="O1498" s="5" t="s">
        <v>5363</v>
      </c>
      <c r="P1498" s="6" t="s">
        <v>42</v>
      </c>
      <c r="Q1498" s="5" t="s">
        <v>1237</v>
      </c>
      <c r="R1498" s="5" t="s">
        <v>10984</v>
      </c>
      <c r="S1498" s="6" t="s">
        <v>50</v>
      </c>
      <c r="T1498" s="6">
        <v>6993.0</v>
      </c>
    </row>
    <row r="1499" ht="56.25" customHeight="1">
      <c r="A1499" s="5" t="s">
        <v>10982</v>
      </c>
      <c r="B1499" s="6" t="str">
        <f>image("https://storage.googleapis.com/acdb/photos/BromideNpcNmlCbr19_Remake_1_0.png")</f>
        <v/>
      </c>
      <c r="C1499" s="5" t="s">
        <v>1132</v>
      </c>
      <c r="D1499" s="5" t="s">
        <v>1327</v>
      </c>
      <c r="E1499" s="5" t="s">
        <v>34</v>
      </c>
      <c r="F1499" s="5" t="s">
        <v>34</v>
      </c>
      <c r="G1499" s="5" t="s">
        <v>36</v>
      </c>
      <c r="H1499" s="5" t="s">
        <v>35</v>
      </c>
      <c r="I1499" s="6">
        <v>1.0</v>
      </c>
      <c r="J1499" s="6" t="s">
        <v>37</v>
      </c>
      <c r="K1499" s="6">
        <v>10.0</v>
      </c>
      <c r="L1499" s="5"/>
      <c r="M1499" s="5"/>
      <c r="N1499" s="6" t="s">
        <v>40</v>
      </c>
      <c r="O1499" s="5" t="s">
        <v>5363</v>
      </c>
      <c r="P1499" s="6" t="s">
        <v>42</v>
      </c>
      <c r="Q1499" s="5" t="s">
        <v>1237</v>
      </c>
      <c r="R1499" s="5" t="s">
        <v>10989</v>
      </c>
      <c r="S1499" s="6" t="s">
        <v>56</v>
      </c>
      <c r="T1499" s="6">
        <v>6993.0</v>
      </c>
    </row>
    <row r="1500" ht="56.25" customHeight="1">
      <c r="A1500" s="5" t="s">
        <v>10982</v>
      </c>
      <c r="B1500" s="6" t="str">
        <f>image("https://storage.googleapis.com/acdb/photos/BromideNpcNmlCbr19_Remake_2_0.png")</f>
        <v/>
      </c>
      <c r="C1500" s="5" t="s">
        <v>688</v>
      </c>
      <c r="D1500" s="5" t="s">
        <v>1327</v>
      </c>
      <c r="E1500" s="5" t="s">
        <v>34</v>
      </c>
      <c r="F1500" s="5" t="s">
        <v>34</v>
      </c>
      <c r="G1500" s="5" t="s">
        <v>36</v>
      </c>
      <c r="H1500" s="5" t="s">
        <v>35</v>
      </c>
      <c r="I1500" s="6">
        <v>1.0</v>
      </c>
      <c r="J1500" s="6" t="s">
        <v>37</v>
      </c>
      <c r="K1500" s="6">
        <v>10.0</v>
      </c>
      <c r="L1500" s="5"/>
      <c r="M1500" s="5"/>
      <c r="N1500" s="6" t="s">
        <v>40</v>
      </c>
      <c r="O1500" s="5" t="s">
        <v>5363</v>
      </c>
      <c r="P1500" s="6" t="s">
        <v>42</v>
      </c>
      <c r="Q1500" s="5" t="s">
        <v>1237</v>
      </c>
      <c r="R1500" s="5" t="s">
        <v>10995</v>
      </c>
      <c r="S1500" s="6" t="s">
        <v>67</v>
      </c>
      <c r="T1500" s="6">
        <v>6993.0</v>
      </c>
    </row>
    <row r="1501" ht="56.25" customHeight="1">
      <c r="A1501" s="5" t="s">
        <v>10982</v>
      </c>
      <c r="B1501" s="6" t="str">
        <f>image("https://storage.googleapis.com/acdb/photos/BromideNpcNmlCbr19_Remake_3_0.png")</f>
        <v/>
      </c>
      <c r="C1501" s="5" t="s">
        <v>57</v>
      </c>
      <c r="D1501" s="5" t="s">
        <v>1327</v>
      </c>
      <c r="E1501" s="5" t="s">
        <v>34</v>
      </c>
      <c r="F1501" s="5" t="s">
        <v>34</v>
      </c>
      <c r="G1501" s="5" t="s">
        <v>36</v>
      </c>
      <c r="H1501" s="5" t="s">
        <v>35</v>
      </c>
      <c r="I1501" s="6">
        <v>1.0</v>
      </c>
      <c r="J1501" s="6" t="s">
        <v>37</v>
      </c>
      <c r="K1501" s="6">
        <v>10.0</v>
      </c>
      <c r="L1501" s="5"/>
      <c r="M1501" s="5"/>
      <c r="N1501" s="6" t="s">
        <v>40</v>
      </c>
      <c r="O1501" s="5" t="s">
        <v>5363</v>
      </c>
      <c r="P1501" s="6" t="s">
        <v>42</v>
      </c>
      <c r="Q1501" s="5" t="s">
        <v>1237</v>
      </c>
      <c r="R1501" s="5" t="s">
        <v>10998</v>
      </c>
      <c r="S1501" s="6" t="s">
        <v>71</v>
      </c>
      <c r="T1501" s="6">
        <v>6993.0</v>
      </c>
    </row>
    <row r="1502" ht="56.25" customHeight="1">
      <c r="A1502" s="5" t="s">
        <v>10982</v>
      </c>
      <c r="B1502" s="6" t="str">
        <f>image("https://storage.googleapis.com/acdb/photos/BromideNpcNmlCbr19_Remake_4_0.png")</f>
        <v/>
      </c>
      <c r="C1502" s="5" t="s">
        <v>1167</v>
      </c>
      <c r="D1502" s="5" t="s">
        <v>1327</v>
      </c>
      <c r="E1502" s="5" t="s">
        <v>34</v>
      </c>
      <c r="F1502" s="5" t="s">
        <v>34</v>
      </c>
      <c r="G1502" s="5" t="s">
        <v>36</v>
      </c>
      <c r="H1502" s="5" t="s">
        <v>35</v>
      </c>
      <c r="I1502" s="6">
        <v>1.0</v>
      </c>
      <c r="J1502" s="6" t="s">
        <v>37</v>
      </c>
      <c r="K1502" s="6">
        <v>10.0</v>
      </c>
      <c r="L1502" s="5"/>
      <c r="M1502" s="5"/>
      <c r="N1502" s="6" t="s">
        <v>40</v>
      </c>
      <c r="O1502" s="5" t="s">
        <v>5363</v>
      </c>
      <c r="P1502" s="6" t="s">
        <v>42</v>
      </c>
      <c r="Q1502" s="5" t="s">
        <v>1237</v>
      </c>
      <c r="R1502" s="5" t="s">
        <v>11001</v>
      </c>
      <c r="S1502" s="6" t="s">
        <v>75</v>
      </c>
      <c r="T1502" s="6">
        <v>6993.0</v>
      </c>
    </row>
    <row r="1503" ht="56.25" customHeight="1">
      <c r="A1503" s="5" t="s">
        <v>10982</v>
      </c>
      <c r="B1503" s="6" t="str">
        <f>image("https://storage.googleapis.com/acdb/photos/BromideNpcNmlCbr19_Remake_5_0.png")</f>
        <v/>
      </c>
      <c r="C1503" s="5" t="s">
        <v>58</v>
      </c>
      <c r="D1503" s="5" t="s">
        <v>1327</v>
      </c>
      <c r="E1503" s="5" t="s">
        <v>34</v>
      </c>
      <c r="F1503" s="5" t="s">
        <v>34</v>
      </c>
      <c r="G1503" s="5" t="s">
        <v>36</v>
      </c>
      <c r="H1503" s="5" t="s">
        <v>35</v>
      </c>
      <c r="I1503" s="6">
        <v>1.0</v>
      </c>
      <c r="J1503" s="6" t="s">
        <v>37</v>
      </c>
      <c r="K1503" s="6">
        <v>10.0</v>
      </c>
      <c r="L1503" s="5"/>
      <c r="M1503" s="5"/>
      <c r="N1503" s="6" t="s">
        <v>40</v>
      </c>
      <c r="O1503" s="5" t="s">
        <v>5363</v>
      </c>
      <c r="P1503" s="6" t="s">
        <v>42</v>
      </c>
      <c r="Q1503" s="5" t="s">
        <v>1237</v>
      </c>
      <c r="R1503" s="5" t="s">
        <v>11003</v>
      </c>
      <c r="S1503" s="6" t="s">
        <v>79</v>
      </c>
      <c r="T1503" s="6">
        <v>6993.0</v>
      </c>
    </row>
    <row r="1504" ht="56.25" customHeight="1">
      <c r="A1504" s="5" t="s">
        <v>10982</v>
      </c>
      <c r="B1504" s="6" t="str">
        <f>image("https://storage.googleapis.com/acdb/photos/BromideNpcNmlCbr19_Remake_6_0.png")</f>
        <v/>
      </c>
      <c r="C1504" s="5" t="s">
        <v>146</v>
      </c>
      <c r="D1504" s="5" t="s">
        <v>1327</v>
      </c>
      <c r="E1504" s="5" t="s">
        <v>34</v>
      </c>
      <c r="F1504" s="5" t="s">
        <v>34</v>
      </c>
      <c r="G1504" s="5" t="s">
        <v>36</v>
      </c>
      <c r="H1504" s="5" t="s">
        <v>35</v>
      </c>
      <c r="I1504" s="6">
        <v>1.0</v>
      </c>
      <c r="J1504" s="6" t="s">
        <v>37</v>
      </c>
      <c r="K1504" s="6">
        <v>10.0</v>
      </c>
      <c r="L1504" s="5"/>
      <c r="M1504" s="5"/>
      <c r="N1504" s="6" t="s">
        <v>40</v>
      </c>
      <c r="O1504" s="5" t="s">
        <v>5363</v>
      </c>
      <c r="P1504" s="6" t="s">
        <v>42</v>
      </c>
      <c r="Q1504" s="5" t="s">
        <v>1237</v>
      </c>
      <c r="R1504" s="5" t="s">
        <v>11006</v>
      </c>
      <c r="S1504" s="6" t="s">
        <v>86</v>
      </c>
      <c r="T1504" s="6">
        <v>6993.0</v>
      </c>
    </row>
    <row r="1505" ht="56.25" customHeight="1">
      <c r="A1505" s="5" t="s">
        <v>10982</v>
      </c>
      <c r="B1505" s="6" t="str">
        <f>image("https://storage.googleapis.com/acdb/photos/BromideNpcNmlCbr19_Remake_7_0.png")</f>
        <v/>
      </c>
      <c r="C1505" s="5" t="s">
        <v>151</v>
      </c>
      <c r="D1505" s="5" t="s">
        <v>1327</v>
      </c>
      <c r="E1505" s="5" t="s">
        <v>34</v>
      </c>
      <c r="F1505" s="5" t="s">
        <v>34</v>
      </c>
      <c r="G1505" s="5" t="s">
        <v>36</v>
      </c>
      <c r="H1505" s="5" t="s">
        <v>35</v>
      </c>
      <c r="I1505" s="6">
        <v>1.0</v>
      </c>
      <c r="J1505" s="6" t="s">
        <v>37</v>
      </c>
      <c r="K1505" s="6">
        <v>10.0</v>
      </c>
      <c r="L1505" s="5"/>
      <c r="M1505" s="5"/>
      <c r="N1505" s="6" t="s">
        <v>40</v>
      </c>
      <c r="O1505" s="5" t="s">
        <v>5363</v>
      </c>
      <c r="P1505" s="6" t="s">
        <v>42</v>
      </c>
      <c r="Q1505" s="5" t="s">
        <v>1237</v>
      </c>
      <c r="R1505" s="5" t="s">
        <v>11009</v>
      </c>
      <c r="S1505" s="6" t="s">
        <v>208</v>
      </c>
      <c r="T1505" s="6">
        <v>6993.0</v>
      </c>
    </row>
    <row r="1506" ht="56.25" customHeight="1">
      <c r="A1506" s="5" t="s">
        <v>11010</v>
      </c>
      <c r="B1506" s="6" t="str">
        <f>image("https://storage.googleapis.com/acdb/photos/BromideNpcNmlOst05_Remake_0_0.png")</f>
        <v/>
      </c>
      <c r="C1506" s="5" t="s">
        <v>366</v>
      </c>
      <c r="D1506" s="5" t="s">
        <v>1327</v>
      </c>
      <c r="E1506" s="5" t="s">
        <v>34</v>
      </c>
      <c r="F1506" s="5" t="s">
        <v>34</v>
      </c>
      <c r="G1506" s="5" t="s">
        <v>36</v>
      </c>
      <c r="H1506" s="5" t="s">
        <v>35</v>
      </c>
      <c r="I1506" s="6">
        <v>1.0</v>
      </c>
      <c r="J1506" s="6" t="s">
        <v>37</v>
      </c>
      <c r="K1506" s="6">
        <v>10.0</v>
      </c>
      <c r="L1506" s="5"/>
      <c r="M1506" s="5"/>
      <c r="N1506" s="6" t="s">
        <v>40</v>
      </c>
      <c r="O1506" s="5" t="s">
        <v>5363</v>
      </c>
      <c r="P1506" s="6" t="s">
        <v>42</v>
      </c>
      <c r="Q1506" s="5" t="s">
        <v>1237</v>
      </c>
      <c r="R1506" s="5" t="s">
        <v>11013</v>
      </c>
      <c r="S1506" s="6" t="s">
        <v>50</v>
      </c>
      <c r="T1506" s="6">
        <v>6613.0</v>
      </c>
    </row>
    <row r="1507" ht="56.25" customHeight="1">
      <c r="A1507" s="5" t="s">
        <v>11010</v>
      </c>
      <c r="B1507" s="6" t="str">
        <f>image("https://storage.googleapis.com/acdb/photos/BromideNpcNmlOst05_Remake_1_0.png")</f>
        <v/>
      </c>
      <c r="C1507" s="5" t="s">
        <v>1132</v>
      </c>
      <c r="D1507" s="5" t="s">
        <v>1327</v>
      </c>
      <c r="E1507" s="5" t="s">
        <v>34</v>
      </c>
      <c r="F1507" s="5" t="s">
        <v>34</v>
      </c>
      <c r="G1507" s="5" t="s">
        <v>36</v>
      </c>
      <c r="H1507" s="5" t="s">
        <v>35</v>
      </c>
      <c r="I1507" s="6">
        <v>1.0</v>
      </c>
      <c r="J1507" s="6" t="s">
        <v>37</v>
      </c>
      <c r="K1507" s="6">
        <v>10.0</v>
      </c>
      <c r="L1507" s="5"/>
      <c r="M1507" s="5"/>
      <c r="N1507" s="6" t="s">
        <v>40</v>
      </c>
      <c r="O1507" s="5" t="s">
        <v>5363</v>
      </c>
      <c r="P1507" s="6" t="s">
        <v>42</v>
      </c>
      <c r="Q1507" s="5" t="s">
        <v>1237</v>
      </c>
      <c r="R1507" s="5" t="s">
        <v>11016</v>
      </c>
      <c r="S1507" s="6" t="s">
        <v>56</v>
      </c>
      <c r="T1507" s="6">
        <v>6613.0</v>
      </c>
    </row>
    <row r="1508" ht="56.25" customHeight="1">
      <c r="A1508" s="5" t="s">
        <v>11010</v>
      </c>
      <c r="B1508" s="6" t="str">
        <f>image("https://storage.googleapis.com/acdb/photos/BromideNpcNmlOst05_Remake_2_0.png")</f>
        <v/>
      </c>
      <c r="C1508" s="5" t="s">
        <v>688</v>
      </c>
      <c r="D1508" s="5" t="s">
        <v>1327</v>
      </c>
      <c r="E1508" s="5" t="s">
        <v>34</v>
      </c>
      <c r="F1508" s="5" t="s">
        <v>34</v>
      </c>
      <c r="G1508" s="5" t="s">
        <v>36</v>
      </c>
      <c r="H1508" s="5" t="s">
        <v>35</v>
      </c>
      <c r="I1508" s="6">
        <v>1.0</v>
      </c>
      <c r="J1508" s="6" t="s">
        <v>37</v>
      </c>
      <c r="K1508" s="6">
        <v>10.0</v>
      </c>
      <c r="L1508" s="5"/>
      <c r="M1508" s="5"/>
      <c r="N1508" s="6" t="s">
        <v>40</v>
      </c>
      <c r="O1508" s="5" t="s">
        <v>5363</v>
      </c>
      <c r="P1508" s="6" t="s">
        <v>42</v>
      </c>
      <c r="Q1508" s="5" t="s">
        <v>1237</v>
      </c>
      <c r="R1508" s="5" t="s">
        <v>11020</v>
      </c>
      <c r="S1508" s="6" t="s">
        <v>67</v>
      </c>
      <c r="T1508" s="6">
        <v>6613.0</v>
      </c>
    </row>
    <row r="1509" ht="56.25" customHeight="1">
      <c r="A1509" s="5" t="s">
        <v>11010</v>
      </c>
      <c r="B1509" s="6" t="str">
        <f>image("https://storage.googleapis.com/acdb/photos/BromideNpcNmlOst05_Remake_3_0.png")</f>
        <v/>
      </c>
      <c r="C1509" s="5" t="s">
        <v>57</v>
      </c>
      <c r="D1509" s="5" t="s">
        <v>1327</v>
      </c>
      <c r="E1509" s="5" t="s">
        <v>34</v>
      </c>
      <c r="F1509" s="5" t="s">
        <v>34</v>
      </c>
      <c r="G1509" s="5" t="s">
        <v>36</v>
      </c>
      <c r="H1509" s="5" t="s">
        <v>35</v>
      </c>
      <c r="I1509" s="6">
        <v>1.0</v>
      </c>
      <c r="J1509" s="6" t="s">
        <v>37</v>
      </c>
      <c r="K1509" s="6">
        <v>10.0</v>
      </c>
      <c r="L1509" s="5"/>
      <c r="M1509" s="5"/>
      <c r="N1509" s="6" t="s">
        <v>40</v>
      </c>
      <c r="O1509" s="5" t="s">
        <v>5363</v>
      </c>
      <c r="P1509" s="6" t="s">
        <v>42</v>
      </c>
      <c r="Q1509" s="5" t="s">
        <v>1237</v>
      </c>
      <c r="R1509" s="5" t="s">
        <v>11023</v>
      </c>
      <c r="S1509" s="6" t="s">
        <v>71</v>
      </c>
      <c r="T1509" s="6">
        <v>6613.0</v>
      </c>
    </row>
    <row r="1510" ht="56.25" customHeight="1">
      <c r="A1510" s="5" t="s">
        <v>11010</v>
      </c>
      <c r="B1510" s="6" t="str">
        <f>image("https://storage.googleapis.com/acdb/photos/BromideNpcNmlOst05_Remake_4_0.png")</f>
        <v/>
      </c>
      <c r="C1510" s="5" t="s">
        <v>1167</v>
      </c>
      <c r="D1510" s="5" t="s">
        <v>1327</v>
      </c>
      <c r="E1510" s="5" t="s">
        <v>34</v>
      </c>
      <c r="F1510" s="5" t="s">
        <v>34</v>
      </c>
      <c r="G1510" s="5" t="s">
        <v>36</v>
      </c>
      <c r="H1510" s="5" t="s">
        <v>35</v>
      </c>
      <c r="I1510" s="6">
        <v>1.0</v>
      </c>
      <c r="J1510" s="6" t="s">
        <v>37</v>
      </c>
      <c r="K1510" s="6">
        <v>10.0</v>
      </c>
      <c r="L1510" s="5"/>
      <c r="M1510" s="5"/>
      <c r="N1510" s="6" t="s">
        <v>40</v>
      </c>
      <c r="O1510" s="5" t="s">
        <v>5363</v>
      </c>
      <c r="P1510" s="6" t="s">
        <v>42</v>
      </c>
      <c r="Q1510" s="5" t="s">
        <v>1237</v>
      </c>
      <c r="R1510" s="5" t="s">
        <v>11026</v>
      </c>
      <c r="S1510" s="6" t="s">
        <v>75</v>
      </c>
      <c r="T1510" s="6">
        <v>6613.0</v>
      </c>
    </row>
    <row r="1511" ht="56.25" customHeight="1">
      <c r="A1511" s="5" t="s">
        <v>11010</v>
      </c>
      <c r="B1511" s="6" t="str">
        <f>image("https://storage.googleapis.com/acdb/photos/BromideNpcNmlOst05_Remake_5_0.png")</f>
        <v/>
      </c>
      <c r="C1511" s="5" t="s">
        <v>58</v>
      </c>
      <c r="D1511" s="5" t="s">
        <v>1327</v>
      </c>
      <c r="E1511" s="5" t="s">
        <v>34</v>
      </c>
      <c r="F1511" s="5" t="s">
        <v>34</v>
      </c>
      <c r="G1511" s="5" t="s">
        <v>36</v>
      </c>
      <c r="H1511" s="5" t="s">
        <v>35</v>
      </c>
      <c r="I1511" s="6">
        <v>1.0</v>
      </c>
      <c r="J1511" s="6" t="s">
        <v>37</v>
      </c>
      <c r="K1511" s="6">
        <v>10.0</v>
      </c>
      <c r="L1511" s="5"/>
      <c r="M1511" s="5"/>
      <c r="N1511" s="6" t="s">
        <v>40</v>
      </c>
      <c r="O1511" s="5" t="s">
        <v>5363</v>
      </c>
      <c r="P1511" s="6" t="s">
        <v>42</v>
      </c>
      <c r="Q1511" s="5" t="s">
        <v>1237</v>
      </c>
      <c r="R1511" s="5" t="s">
        <v>11028</v>
      </c>
      <c r="S1511" s="6" t="s">
        <v>79</v>
      </c>
      <c r="T1511" s="6">
        <v>6613.0</v>
      </c>
    </row>
    <row r="1512" ht="56.25" customHeight="1">
      <c r="A1512" s="5" t="s">
        <v>11010</v>
      </c>
      <c r="B1512" s="6" t="str">
        <f>image("https://storage.googleapis.com/acdb/photos/BromideNpcNmlOst05_Remake_6_0.png")</f>
        <v/>
      </c>
      <c r="C1512" s="5" t="s">
        <v>146</v>
      </c>
      <c r="D1512" s="5" t="s">
        <v>1327</v>
      </c>
      <c r="E1512" s="5" t="s">
        <v>34</v>
      </c>
      <c r="F1512" s="5" t="s">
        <v>34</v>
      </c>
      <c r="G1512" s="5" t="s">
        <v>36</v>
      </c>
      <c r="H1512" s="5" t="s">
        <v>35</v>
      </c>
      <c r="I1512" s="6">
        <v>1.0</v>
      </c>
      <c r="J1512" s="6" t="s">
        <v>37</v>
      </c>
      <c r="K1512" s="6">
        <v>10.0</v>
      </c>
      <c r="L1512" s="5"/>
      <c r="M1512" s="5"/>
      <c r="N1512" s="6" t="s">
        <v>40</v>
      </c>
      <c r="O1512" s="5" t="s">
        <v>5363</v>
      </c>
      <c r="P1512" s="6" t="s">
        <v>42</v>
      </c>
      <c r="Q1512" s="5" t="s">
        <v>1237</v>
      </c>
      <c r="R1512" s="5" t="s">
        <v>11029</v>
      </c>
      <c r="S1512" s="6" t="s">
        <v>86</v>
      </c>
      <c r="T1512" s="6">
        <v>6613.0</v>
      </c>
    </row>
    <row r="1513" ht="56.25" customHeight="1">
      <c r="A1513" s="5" t="s">
        <v>11010</v>
      </c>
      <c r="B1513" s="6" t="str">
        <f>image("https://storage.googleapis.com/acdb/photos/BromideNpcNmlOst05_Remake_7_0.png")</f>
        <v/>
      </c>
      <c r="C1513" s="5" t="s">
        <v>151</v>
      </c>
      <c r="D1513" s="5" t="s">
        <v>1327</v>
      </c>
      <c r="E1513" s="5" t="s">
        <v>34</v>
      </c>
      <c r="F1513" s="5" t="s">
        <v>34</v>
      </c>
      <c r="G1513" s="5" t="s">
        <v>36</v>
      </c>
      <c r="H1513" s="5" t="s">
        <v>35</v>
      </c>
      <c r="I1513" s="6">
        <v>1.0</v>
      </c>
      <c r="J1513" s="6" t="s">
        <v>37</v>
      </c>
      <c r="K1513" s="6">
        <v>10.0</v>
      </c>
      <c r="L1513" s="5"/>
      <c r="M1513" s="5"/>
      <c r="N1513" s="6" t="s">
        <v>40</v>
      </c>
      <c r="O1513" s="5" t="s">
        <v>5363</v>
      </c>
      <c r="P1513" s="6" t="s">
        <v>42</v>
      </c>
      <c r="Q1513" s="5" t="s">
        <v>1237</v>
      </c>
      <c r="R1513" s="5" t="s">
        <v>11032</v>
      </c>
      <c r="S1513" s="6" t="s">
        <v>208</v>
      </c>
      <c r="T1513" s="6">
        <v>6613.0</v>
      </c>
    </row>
    <row r="1514" ht="56.25" customHeight="1">
      <c r="A1514" s="5" t="s">
        <v>11033</v>
      </c>
      <c r="B1514" s="6" t="str">
        <f>image("https://storage.googleapis.com/acdb/photos/BromideNpcNmlHrs13_Remake_0_0.png")</f>
        <v/>
      </c>
      <c r="C1514" s="5" t="s">
        <v>366</v>
      </c>
      <c r="D1514" s="5" t="s">
        <v>1327</v>
      </c>
      <c r="E1514" s="5" t="s">
        <v>34</v>
      </c>
      <c r="F1514" s="5" t="s">
        <v>34</v>
      </c>
      <c r="G1514" s="5" t="s">
        <v>36</v>
      </c>
      <c r="H1514" s="5" t="s">
        <v>35</v>
      </c>
      <c r="I1514" s="6">
        <v>1.0</v>
      </c>
      <c r="J1514" s="6" t="s">
        <v>37</v>
      </c>
      <c r="K1514" s="6">
        <v>10.0</v>
      </c>
      <c r="L1514" s="5"/>
      <c r="M1514" s="5"/>
      <c r="N1514" s="6" t="s">
        <v>40</v>
      </c>
      <c r="O1514" s="5" t="s">
        <v>5363</v>
      </c>
      <c r="P1514" s="6" t="s">
        <v>42</v>
      </c>
      <c r="Q1514" s="5" t="s">
        <v>1237</v>
      </c>
      <c r="R1514" s="5" t="s">
        <v>11037</v>
      </c>
      <c r="S1514" s="6" t="s">
        <v>50</v>
      </c>
      <c r="T1514" s="6">
        <v>6553.0</v>
      </c>
    </row>
    <row r="1515" ht="56.25" customHeight="1">
      <c r="A1515" s="5" t="s">
        <v>11033</v>
      </c>
      <c r="B1515" s="6" t="str">
        <f>image("https://storage.googleapis.com/acdb/photos/BromideNpcNmlHrs13_Remake_1_0.png")</f>
        <v/>
      </c>
      <c r="C1515" s="5" t="s">
        <v>1132</v>
      </c>
      <c r="D1515" s="5" t="s">
        <v>1327</v>
      </c>
      <c r="E1515" s="5" t="s">
        <v>34</v>
      </c>
      <c r="F1515" s="5" t="s">
        <v>34</v>
      </c>
      <c r="G1515" s="5" t="s">
        <v>36</v>
      </c>
      <c r="H1515" s="5" t="s">
        <v>35</v>
      </c>
      <c r="I1515" s="6">
        <v>1.0</v>
      </c>
      <c r="J1515" s="6" t="s">
        <v>37</v>
      </c>
      <c r="K1515" s="6">
        <v>10.0</v>
      </c>
      <c r="L1515" s="5"/>
      <c r="M1515" s="5"/>
      <c r="N1515" s="6" t="s">
        <v>40</v>
      </c>
      <c r="O1515" s="5" t="s">
        <v>5363</v>
      </c>
      <c r="P1515" s="6" t="s">
        <v>42</v>
      </c>
      <c r="Q1515" s="5" t="s">
        <v>1237</v>
      </c>
      <c r="R1515" s="5" t="s">
        <v>11038</v>
      </c>
      <c r="S1515" s="6" t="s">
        <v>56</v>
      </c>
      <c r="T1515" s="6">
        <v>6553.0</v>
      </c>
    </row>
    <row r="1516" ht="56.25" customHeight="1">
      <c r="A1516" s="5" t="s">
        <v>11033</v>
      </c>
      <c r="B1516" s="6" t="str">
        <f>image("https://storage.googleapis.com/acdb/photos/BromideNpcNmlHrs13_Remake_2_0.png")</f>
        <v/>
      </c>
      <c r="C1516" s="5" t="s">
        <v>688</v>
      </c>
      <c r="D1516" s="5" t="s">
        <v>1327</v>
      </c>
      <c r="E1516" s="5" t="s">
        <v>34</v>
      </c>
      <c r="F1516" s="5" t="s">
        <v>34</v>
      </c>
      <c r="G1516" s="5" t="s">
        <v>36</v>
      </c>
      <c r="H1516" s="5" t="s">
        <v>35</v>
      </c>
      <c r="I1516" s="6">
        <v>1.0</v>
      </c>
      <c r="J1516" s="6" t="s">
        <v>37</v>
      </c>
      <c r="K1516" s="6">
        <v>10.0</v>
      </c>
      <c r="L1516" s="5"/>
      <c r="M1516" s="5"/>
      <c r="N1516" s="6" t="s">
        <v>40</v>
      </c>
      <c r="O1516" s="5" t="s">
        <v>5363</v>
      </c>
      <c r="P1516" s="6" t="s">
        <v>42</v>
      </c>
      <c r="Q1516" s="5" t="s">
        <v>1237</v>
      </c>
      <c r="R1516" s="5" t="s">
        <v>11041</v>
      </c>
      <c r="S1516" s="6" t="s">
        <v>67</v>
      </c>
      <c r="T1516" s="6">
        <v>6553.0</v>
      </c>
    </row>
    <row r="1517" ht="56.25" customHeight="1">
      <c r="A1517" s="5" t="s">
        <v>11033</v>
      </c>
      <c r="B1517" s="6" t="str">
        <f>image("https://storage.googleapis.com/acdb/photos/BromideNpcNmlHrs13_Remake_3_0.png")</f>
        <v/>
      </c>
      <c r="C1517" s="5" t="s">
        <v>57</v>
      </c>
      <c r="D1517" s="5" t="s">
        <v>1327</v>
      </c>
      <c r="E1517" s="5" t="s">
        <v>34</v>
      </c>
      <c r="F1517" s="5" t="s">
        <v>34</v>
      </c>
      <c r="G1517" s="5" t="s">
        <v>36</v>
      </c>
      <c r="H1517" s="5" t="s">
        <v>35</v>
      </c>
      <c r="I1517" s="6">
        <v>1.0</v>
      </c>
      <c r="J1517" s="6" t="s">
        <v>37</v>
      </c>
      <c r="K1517" s="6">
        <v>10.0</v>
      </c>
      <c r="L1517" s="5"/>
      <c r="M1517" s="5"/>
      <c r="N1517" s="6" t="s">
        <v>40</v>
      </c>
      <c r="O1517" s="5" t="s">
        <v>5363</v>
      </c>
      <c r="P1517" s="6" t="s">
        <v>42</v>
      </c>
      <c r="Q1517" s="5" t="s">
        <v>1237</v>
      </c>
      <c r="R1517" s="5" t="s">
        <v>11045</v>
      </c>
      <c r="S1517" s="6" t="s">
        <v>71</v>
      </c>
      <c r="T1517" s="6">
        <v>6553.0</v>
      </c>
    </row>
    <row r="1518" ht="56.25" customHeight="1">
      <c r="A1518" s="5" t="s">
        <v>11033</v>
      </c>
      <c r="B1518" s="6" t="str">
        <f>image("https://storage.googleapis.com/acdb/photos/BromideNpcNmlHrs13_Remake_4_0.png")</f>
        <v/>
      </c>
      <c r="C1518" s="5" t="s">
        <v>1167</v>
      </c>
      <c r="D1518" s="5" t="s">
        <v>1327</v>
      </c>
      <c r="E1518" s="5" t="s">
        <v>34</v>
      </c>
      <c r="F1518" s="5" t="s">
        <v>34</v>
      </c>
      <c r="G1518" s="5" t="s">
        <v>36</v>
      </c>
      <c r="H1518" s="5" t="s">
        <v>35</v>
      </c>
      <c r="I1518" s="6">
        <v>1.0</v>
      </c>
      <c r="J1518" s="6" t="s">
        <v>37</v>
      </c>
      <c r="K1518" s="6">
        <v>10.0</v>
      </c>
      <c r="L1518" s="5"/>
      <c r="M1518" s="5"/>
      <c r="N1518" s="6" t="s">
        <v>40</v>
      </c>
      <c r="O1518" s="5" t="s">
        <v>5363</v>
      </c>
      <c r="P1518" s="6" t="s">
        <v>42</v>
      </c>
      <c r="Q1518" s="5" t="s">
        <v>1237</v>
      </c>
      <c r="R1518" s="5" t="s">
        <v>11049</v>
      </c>
      <c r="S1518" s="6" t="s">
        <v>75</v>
      </c>
      <c r="T1518" s="6">
        <v>6553.0</v>
      </c>
    </row>
    <row r="1519" ht="56.25" customHeight="1">
      <c r="A1519" s="5" t="s">
        <v>11033</v>
      </c>
      <c r="B1519" s="6" t="str">
        <f>image("https://storage.googleapis.com/acdb/photos/BromideNpcNmlHrs13_Remake_5_0.png")</f>
        <v/>
      </c>
      <c r="C1519" s="5" t="s">
        <v>58</v>
      </c>
      <c r="D1519" s="5" t="s">
        <v>1327</v>
      </c>
      <c r="E1519" s="5" t="s">
        <v>34</v>
      </c>
      <c r="F1519" s="5" t="s">
        <v>34</v>
      </c>
      <c r="G1519" s="5" t="s">
        <v>36</v>
      </c>
      <c r="H1519" s="5" t="s">
        <v>35</v>
      </c>
      <c r="I1519" s="6">
        <v>1.0</v>
      </c>
      <c r="J1519" s="6" t="s">
        <v>37</v>
      </c>
      <c r="K1519" s="6">
        <v>10.0</v>
      </c>
      <c r="L1519" s="5"/>
      <c r="M1519" s="5"/>
      <c r="N1519" s="6" t="s">
        <v>40</v>
      </c>
      <c r="O1519" s="5" t="s">
        <v>5363</v>
      </c>
      <c r="P1519" s="6" t="s">
        <v>42</v>
      </c>
      <c r="Q1519" s="5" t="s">
        <v>1237</v>
      </c>
      <c r="R1519" s="5" t="s">
        <v>11052</v>
      </c>
      <c r="S1519" s="6" t="s">
        <v>79</v>
      </c>
      <c r="T1519" s="6">
        <v>6553.0</v>
      </c>
    </row>
    <row r="1520" ht="56.25" customHeight="1">
      <c r="A1520" s="5" t="s">
        <v>11033</v>
      </c>
      <c r="B1520" s="6" t="str">
        <f>image("https://storage.googleapis.com/acdb/photos/BromideNpcNmlHrs13_Remake_6_0.png")</f>
        <v/>
      </c>
      <c r="C1520" s="5" t="s">
        <v>146</v>
      </c>
      <c r="D1520" s="5" t="s">
        <v>1327</v>
      </c>
      <c r="E1520" s="5" t="s">
        <v>34</v>
      </c>
      <c r="F1520" s="5" t="s">
        <v>34</v>
      </c>
      <c r="G1520" s="5" t="s">
        <v>36</v>
      </c>
      <c r="H1520" s="5" t="s">
        <v>35</v>
      </c>
      <c r="I1520" s="6">
        <v>1.0</v>
      </c>
      <c r="J1520" s="6" t="s">
        <v>37</v>
      </c>
      <c r="K1520" s="6">
        <v>10.0</v>
      </c>
      <c r="L1520" s="5"/>
      <c r="M1520" s="5"/>
      <c r="N1520" s="6" t="s">
        <v>40</v>
      </c>
      <c r="O1520" s="5" t="s">
        <v>5363</v>
      </c>
      <c r="P1520" s="6" t="s">
        <v>42</v>
      </c>
      <c r="Q1520" s="5" t="s">
        <v>1237</v>
      </c>
      <c r="R1520" s="5" t="s">
        <v>11056</v>
      </c>
      <c r="S1520" s="6" t="s">
        <v>86</v>
      </c>
      <c r="T1520" s="6">
        <v>6553.0</v>
      </c>
    </row>
    <row r="1521" ht="56.25" customHeight="1">
      <c r="A1521" s="5" t="s">
        <v>11033</v>
      </c>
      <c r="B1521" s="6" t="str">
        <f>image("https://storage.googleapis.com/acdb/photos/BromideNpcNmlHrs13_Remake_7_0.png")</f>
        <v/>
      </c>
      <c r="C1521" s="5" t="s">
        <v>151</v>
      </c>
      <c r="D1521" s="5" t="s">
        <v>1327</v>
      </c>
      <c r="E1521" s="5" t="s">
        <v>34</v>
      </c>
      <c r="F1521" s="5" t="s">
        <v>34</v>
      </c>
      <c r="G1521" s="5" t="s">
        <v>36</v>
      </c>
      <c r="H1521" s="5" t="s">
        <v>35</v>
      </c>
      <c r="I1521" s="6">
        <v>1.0</v>
      </c>
      <c r="J1521" s="6" t="s">
        <v>37</v>
      </c>
      <c r="K1521" s="6">
        <v>10.0</v>
      </c>
      <c r="L1521" s="5"/>
      <c r="M1521" s="5"/>
      <c r="N1521" s="6" t="s">
        <v>40</v>
      </c>
      <c r="O1521" s="5" t="s">
        <v>5363</v>
      </c>
      <c r="P1521" s="6" t="s">
        <v>42</v>
      </c>
      <c r="Q1521" s="5" t="s">
        <v>1237</v>
      </c>
      <c r="R1521" s="5" t="s">
        <v>11061</v>
      </c>
      <c r="S1521" s="6" t="s">
        <v>208</v>
      </c>
      <c r="T1521" s="6">
        <v>6553.0</v>
      </c>
    </row>
    <row r="1522" ht="56.25" customHeight="1">
      <c r="A1522" s="5" t="s">
        <v>11062</v>
      </c>
      <c r="B1522" s="6" t="str">
        <f>image("https://storage.googleapis.com/acdb/photos/BromideNpcNmlCbr13_Remake_0_0.png")</f>
        <v/>
      </c>
      <c r="C1522" s="5" t="s">
        <v>366</v>
      </c>
      <c r="D1522" s="5" t="s">
        <v>1327</v>
      </c>
      <c r="E1522" s="5" t="s">
        <v>34</v>
      </c>
      <c r="F1522" s="5" t="s">
        <v>34</v>
      </c>
      <c r="G1522" s="5" t="s">
        <v>36</v>
      </c>
      <c r="H1522" s="5" t="s">
        <v>35</v>
      </c>
      <c r="I1522" s="6">
        <v>1.0</v>
      </c>
      <c r="J1522" s="6" t="s">
        <v>37</v>
      </c>
      <c r="K1522" s="6">
        <v>10.0</v>
      </c>
      <c r="L1522" s="5"/>
      <c r="M1522" s="5"/>
      <c r="N1522" s="6" t="s">
        <v>40</v>
      </c>
      <c r="O1522" s="5" t="s">
        <v>5363</v>
      </c>
      <c r="P1522" s="6" t="s">
        <v>42</v>
      </c>
      <c r="Q1522" s="5" t="s">
        <v>1237</v>
      </c>
      <c r="R1522" s="5" t="s">
        <v>11067</v>
      </c>
      <c r="S1522" s="6" t="s">
        <v>50</v>
      </c>
      <c r="T1522" s="6">
        <v>6780.0</v>
      </c>
    </row>
    <row r="1523" ht="56.25" customHeight="1">
      <c r="A1523" s="5" t="s">
        <v>11062</v>
      </c>
      <c r="B1523" s="6" t="str">
        <f>image("https://storage.googleapis.com/acdb/photos/BromideNpcNmlCbr13_Remake_1_0.png")</f>
        <v/>
      </c>
      <c r="C1523" s="5" t="s">
        <v>1132</v>
      </c>
      <c r="D1523" s="5" t="s">
        <v>1327</v>
      </c>
      <c r="E1523" s="5" t="s">
        <v>34</v>
      </c>
      <c r="F1523" s="5" t="s">
        <v>34</v>
      </c>
      <c r="G1523" s="5" t="s">
        <v>36</v>
      </c>
      <c r="H1523" s="5" t="s">
        <v>35</v>
      </c>
      <c r="I1523" s="6">
        <v>1.0</v>
      </c>
      <c r="J1523" s="6" t="s">
        <v>37</v>
      </c>
      <c r="K1523" s="6">
        <v>10.0</v>
      </c>
      <c r="L1523" s="5"/>
      <c r="M1523" s="5"/>
      <c r="N1523" s="6" t="s">
        <v>40</v>
      </c>
      <c r="O1523" s="5" t="s">
        <v>5363</v>
      </c>
      <c r="P1523" s="6" t="s">
        <v>42</v>
      </c>
      <c r="Q1523" s="5" t="s">
        <v>1237</v>
      </c>
      <c r="R1523" s="5" t="s">
        <v>11071</v>
      </c>
      <c r="S1523" s="6" t="s">
        <v>56</v>
      </c>
      <c r="T1523" s="6">
        <v>6780.0</v>
      </c>
    </row>
    <row r="1524" ht="56.25" customHeight="1">
      <c r="A1524" s="5" t="s">
        <v>11062</v>
      </c>
      <c r="B1524" s="6" t="str">
        <f>image("https://storage.googleapis.com/acdb/photos/BromideNpcNmlCbr13_Remake_2_0.png")</f>
        <v/>
      </c>
      <c r="C1524" s="5" t="s">
        <v>688</v>
      </c>
      <c r="D1524" s="5" t="s">
        <v>1327</v>
      </c>
      <c r="E1524" s="5" t="s">
        <v>34</v>
      </c>
      <c r="F1524" s="5" t="s">
        <v>34</v>
      </c>
      <c r="G1524" s="5" t="s">
        <v>36</v>
      </c>
      <c r="H1524" s="5" t="s">
        <v>35</v>
      </c>
      <c r="I1524" s="6">
        <v>1.0</v>
      </c>
      <c r="J1524" s="6" t="s">
        <v>37</v>
      </c>
      <c r="K1524" s="6">
        <v>10.0</v>
      </c>
      <c r="L1524" s="5"/>
      <c r="M1524" s="5"/>
      <c r="N1524" s="6" t="s">
        <v>40</v>
      </c>
      <c r="O1524" s="5" t="s">
        <v>5363</v>
      </c>
      <c r="P1524" s="6" t="s">
        <v>42</v>
      </c>
      <c r="Q1524" s="5" t="s">
        <v>1237</v>
      </c>
      <c r="R1524" s="5" t="s">
        <v>11074</v>
      </c>
      <c r="S1524" s="6" t="s">
        <v>67</v>
      </c>
      <c r="T1524" s="6">
        <v>6780.0</v>
      </c>
    </row>
    <row r="1525" ht="56.25" customHeight="1">
      <c r="A1525" s="5" t="s">
        <v>11062</v>
      </c>
      <c r="B1525" s="6" t="str">
        <f>image("https://storage.googleapis.com/acdb/photos/BromideNpcNmlCbr13_Remake_3_0.png")</f>
        <v/>
      </c>
      <c r="C1525" s="5" t="s">
        <v>57</v>
      </c>
      <c r="D1525" s="5" t="s">
        <v>1327</v>
      </c>
      <c r="E1525" s="5" t="s">
        <v>34</v>
      </c>
      <c r="F1525" s="5" t="s">
        <v>34</v>
      </c>
      <c r="G1525" s="5" t="s">
        <v>36</v>
      </c>
      <c r="H1525" s="5" t="s">
        <v>35</v>
      </c>
      <c r="I1525" s="6">
        <v>1.0</v>
      </c>
      <c r="J1525" s="6" t="s">
        <v>37</v>
      </c>
      <c r="K1525" s="6">
        <v>10.0</v>
      </c>
      <c r="L1525" s="5"/>
      <c r="M1525" s="5"/>
      <c r="N1525" s="6" t="s">
        <v>40</v>
      </c>
      <c r="O1525" s="5" t="s">
        <v>5363</v>
      </c>
      <c r="P1525" s="6" t="s">
        <v>42</v>
      </c>
      <c r="Q1525" s="5" t="s">
        <v>1237</v>
      </c>
      <c r="R1525" s="5" t="s">
        <v>11079</v>
      </c>
      <c r="S1525" s="6" t="s">
        <v>71</v>
      </c>
      <c r="T1525" s="6">
        <v>6780.0</v>
      </c>
    </row>
    <row r="1526" ht="56.25" customHeight="1">
      <c r="A1526" s="5" t="s">
        <v>11062</v>
      </c>
      <c r="B1526" s="6" t="str">
        <f>image("https://storage.googleapis.com/acdb/photos/BromideNpcNmlCbr13_Remake_4_0.png")</f>
        <v/>
      </c>
      <c r="C1526" s="5" t="s">
        <v>1167</v>
      </c>
      <c r="D1526" s="5" t="s">
        <v>1327</v>
      </c>
      <c r="E1526" s="5" t="s">
        <v>34</v>
      </c>
      <c r="F1526" s="5" t="s">
        <v>34</v>
      </c>
      <c r="G1526" s="5" t="s">
        <v>36</v>
      </c>
      <c r="H1526" s="5" t="s">
        <v>35</v>
      </c>
      <c r="I1526" s="6">
        <v>1.0</v>
      </c>
      <c r="J1526" s="6" t="s">
        <v>37</v>
      </c>
      <c r="K1526" s="6">
        <v>10.0</v>
      </c>
      <c r="L1526" s="5"/>
      <c r="M1526" s="5"/>
      <c r="N1526" s="6" t="s">
        <v>40</v>
      </c>
      <c r="O1526" s="5" t="s">
        <v>5363</v>
      </c>
      <c r="P1526" s="6" t="s">
        <v>42</v>
      </c>
      <c r="Q1526" s="5" t="s">
        <v>1237</v>
      </c>
      <c r="R1526" s="5" t="s">
        <v>11083</v>
      </c>
      <c r="S1526" s="6" t="s">
        <v>75</v>
      </c>
      <c r="T1526" s="6">
        <v>6780.0</v>
      </c>
    </row>
    <row r="1527" ht="56.25" customHeight="1">
      <c r="A1527" s="5" t="s">
        <v>11062</v>
      </c>
      <c r="B1527" s="6" t="str">
        <f>image("https://storage.googleapis.com/acdb/photos/BromideNpcNmlCbr13_Remake_5_0.png")</f>
        <v/>
      </c>
      <c r="C1527" s="5" t="s">
        <v>58</v>
      </c>
      <c r="D1527" s="5" t="s">
        <v>1327</v>
      </c>
      <c r="E1527" s="5" t="s">
        <v>34</v>
      </c>
      <c r="F1527" s="5" t="s">
        <v>34</v>
      </c>
      <c r="G1527" s="5" t="s">
        <v>36</v>
      </c>
      <c r="H1527" s="5" t="s">
        <v>35</v>
      </c>
      <c r="I1527" s="6">
        <v>1.0</v>
      </c>
      <c r="J1527" s="6" t="s">
        <v>37</v>
      </c>
      <c r="K1527" s="6">
        <v>10.0</v>
      </c>
      <c r="L1527" s="5"/>
      <c r="M1527" s="5"/>
      <c r="N1527" s="6" t="s">
        <v>40</v>
      </c>
      <c r="O1527" s="5" t="s">
        <v>5363</v>
      </c>
      <c r="P1527" s="6" t="s">
        <v>42</v>
      </c>
      <c r="Q1527" s="5" t="s">
        <v>1237</v>
      </c>
      <c r="R1527" s="5" t="s">
        <v>11085</v>
      </c>
      <c r="S1527" s="6" t="s">
        <v>79</v>
      </c>
      <c r="T1527" s="6">
        <v>6780.0</v>
      </c>
    </row>
    <row r="1528" ht="56.25" customHeight="1">
      <c r="A1528" s="5" t="s">
        <v>11062</v>
      </c>
      <c r="B1528" s="6" t="str">
        <f>image("https://storage.googleapis.com/acdb/photos/BromideNpcNmlCbr13_Remake_6_0.png")</f>
        <v/>
      </c>
      <c r="C1528" s="5" t="s">
        <v>146</v>
      </c>
      <c r="D1528" s="5" t="s">
        <v>1327</v>
      </c>
      <c r="E1528" s="5" t="s">
        <v>34</v>
      </c>
      <c r="F1528" s="5" t="s">
        <v>34</v>
      </c>
      <c r="G1528" s="5" t="s">
        <v>36</v>
      </c>
      <c r="H1528" s="5" t="s">
        <v>35</v>
      </c>
      <c r="I1528" s="6">
        <v>1.0</v>
      </c>
      <c r="J1528" s="6" t="s">
        <v>37</v>
      </c>
      <c r="K1528" s="6">
        <v>10.0</v>
      </c>
      <c r="L1528" s="5"/>
      <c r="M1528" s="5"/>
      <c r="N1528" s="6" t="s">
        <v>40</v>
      </c>
      <c r="O1528" s="5" t="s">
        <v>5363</v>
      </c>
      <c r="P1528" s="6" t="s">
        <v>42</v>
      </c>
      <c r="Q1528" s="5" t="s">
        <v>1237</v>
      </c>
      <c r="R1528" s="5" t="s">
        <v>11090</v>
      </c>
      <c r="S1528" s="6" t="s">
        <v>86</v>
      </c>
      <c r="T1528" s="6">
        <v>6780.0</v>
      </c>
    </row>
    <row r="1529" ht="56.25" customHeight="1">
      <c r="A1529" s="5" t="s">
        <v>11062</v>
      </c>
      <c r="B1529" s="6" t="str">
        <f>image("https://storage.googleapis.com/acdb/photos/BromideNpcNmlCbr13_Remake_7_0.png")</f>
        <v/>
      </c>
      <c r="C1529" s="5" t="s">
        <v>151</v>
      </c>
      <c r="D1529" s="5" t="s">
        <v>1327</v>
      </c>
      <c r="E1529" s="5" t="s">
        <v>34</v>
      </c>
      <c r="F1529" s="5" t="s">
        <v>34</v>
      </c>
      <c r="G1529" s="5" t="s">
        <v>36</v>
      </c>
      <c r="H1529" s="5" t="s">
        <v>35</v>
      </c>
      <c r="I1529" s="6">
        <v>1.0</v>
      </c>
      <c r="J1529" s="6" t="s">
        <v>37</v>
      </c>
      <c r="K1529" s="6">
        <v>10.0</v>
      </c>
      <c r="L1529" s="5"/>
      <c r="M1529" s="5"/>
      <c r="N1529" s="6" t="s">
        <v>40</v>
      </c>
      <c r="O1529" s="5" t="s">
        <v>5363</v>
      </c>
      <c r="P1529" s="6" t="s">
        <v>42</v>
      </c>
      <c r="Q1529" s="5" t="s">
        <v>1237</v>
      </c>
      <c r="R1529" s="5" t="s">
        <v>11094</v>
      </c>
      <c r="S1529" s="6" t="s">
        <v>208</v>
      </c>
      <c r="T1529" s="6">
        <v>6780.0</v>
      </c>
    </row>
    <row r="1530" ht="56.25" customHeight="1">
      <c r="A1530" s="5" t="s">
        <v>11095</v>
      </c>
      <c r="B1530" s="6" t="str">
        <f>image("https://storage.googleapis.com/acdb/photos/BromideNpcNmlCat09_Remake_0_0.png")</f>
        <v/>
      </c>
      <c r="C1530" s="5" t="s">
        <v>366</v>
      </c>
      <c r="D1530" s="5" t="s">
        <v>1327</v>
      </c>
      <c r="E1530" s="5" t="s">
        <v>34</v>
      </c>
      <c r="F1530" s="5" t="s">
        <v>34</v>
      </c>
      <c r="G1530" s="5" t="s">
        <v>36</v>
      </c>
      <c r="H1530" s="5" t="s">
        <v>35</v>
      </c>
      <c r="I1530" s="6">
        <v>1.0</v>
      </c>
      <c r="J1530" s="6" t="s">
        <v>37</v>
      </c>
      <c r="K1530" s="6">
        <v>10.0</v>
      </c>
      <c r="L1530" s="5"/>
      <c r="M1530" s="5"/>
      <c r="N1530" s="6" t="s">
        <v>40</v>
      </c>
      <c r="O1530" s="5" t="s">
        <v>5363</v>
      </c>
      <c r="P1530" s="6" t="s">
        <v>42</v>
      </c>
      <c r="Q1530" s="5" t="s">
        <v>1237</v>
      </c>
      <c r="R1530" s="5" t="s">
        <v>11099</v>
      </c>
      <c r="S1530" s="6" t="s">
        <v>50</v>
      </c>
      <c r="T1530" s="6">
        <v>6755.0</v>
      </c>
    </row>
    <row r="1531" ht="56.25" customHeight="1">
      <c r="A1531" s="5" t="s">
        <v>11095</v>
      </c>
      <c r="B1531" s="6" t="str">
        <f>image("https://storage.googleapis.com/acdb/photos/BromideNpcNmlCat09_Remake_1_0.png")</f>
        <v/>
      </c>
      <c r="C1531" s="5" t="s">
        <v>1132</v>
      </c>
      <c r="D1531" s="5" t="s">
        <v>1327</v>
      </c>
      <c r="E1531" s="5" t="s">
        <v>34</v>
      </c>
      <c r="F1531" s="5" t="s">
        <v>34</v>
      </c>
      <c r="G1531" s="5" t="s">
        <v>36</v>
      </c>
      <c r="H1531" s="5" t="s">
        <v>35</v>
      </c>
      <c r="I1531" s="6">
        <v>1.0</v>
      </c>
      <c r="J1531" s="6" t="s">
        <v>37</v>
      </c>
      <c r="K1531" s="6">
        <v>10.0</v>
      </c>
      <c r="L1531" s="5"/>
      <c r="M1531" s="5"/>
      <c r="N1531" s="6" t="s">
        <v>40</v>
      </c>
      <c r="O1531" s="5" t="s">
        <v>5363</v>
      </c>
      <c r="P1531" s="6" t="s">
        <v>42</v>
      </c>
      <c r="Q1531" s="5" t="s">
        <v>1237</v>
      </c>
      <c r="R1531" s="5" t="s">
        <v>11103</v>
      </c>
      <c r="S1531" s="6" t="s">
        <v>56</v>
      </c>
      <c r="T1531" s="6">
        <v>6755.0</v>
      </c>
    </row>
    <row r="1532" ht="56.25" customHeight="1">
      <c r="A1532" s="5" t="s">
        <v>11095</v>
      </c>
      <c r="B1532" s="6" t="str">
        <f>image("https://storage.googleapis.com/acdb/photos/BromideNpcNmlCat09_Remake_2_0.png")</f>
        <v/>
      </c>
      <c r="C1532" s="5" t="s">
        <v>688</v>
      </c>
      <c r="D1532" s="5" t="s">
        <v>1327</v>
      </c>
      <c r="E1532" s="5" t="s">
        <v>34</v>
      </c>
      <c r="F1532" s="5" t="s">
        <v>34</v>
      </c>
      <c r="G1532" s="5" t="s">
        <v>36</v>
      </c>
      <c r="H1532" s="5" t="s">
        <v>35</v>
      </c>
      <c r="I1532" s="6">
        <v>1.0</v>
      </c>
      <c r="J1532" s="6" t="s">
        <v>37</v>
      </c>
      <c r="K1532" s="6">
        <v>10.0</v>
      </c>
      <c r="L1532" s="5"/>
      <c r="M1532" s="5"/>
      <c r="N1532" s="6" t="s">
        <v>40</v>
      </c>
      <c r="O1532" s="5" t="s">
        <v>5363</v>
      </c>
      <c r="P1532" s="6" t="s">
        <v>42</v>
      </c>
      <c r="Q1532" s="5" t="s">
        <v>1237</v>
      </c>
      <c r="R1532" s="5" t="s">
        <v>11106</v>
      </c>
      <c r="S1532" s="6" t="s">
        <v>67</v>
      </c>
      <c r="T1532" s="6">
        <v>6755.0</v>
      </c>
    </row>
    <row r="1533" ht="56.25" customHeight="1">
      <c r="A1533" s="5" t="s">
        <v>11095</v>
      </c>
      <c r="B1533" s="6" t="str">
        <f>image("https://storage.googleapis.com/acdb/photos/BromideNpcNmlCat09_Remake_3_0.png")</f>
        <v/>
      </c>
      <c r="C1533" s="5" t="s">
        <v>57</v>
      </c>
      <c r="D1533" s="5" t="s">
        <v>1327</v>
      </c>
      <c r="E1533" s="5" t="s">
        <v>34</v>
      </c>
      <c r="F1533" s="5" t="s">
        <v>34</v>
      </c>
      <c r="G1533" s="5" t="s">
        <v>36</v>
      </c>
      <c r="H1533" s="5" t="s">
        <v>35</v>
      </c>
      <c r="I1533" s="6">
        <v>1.0</v>
      </c>
      <c r="J1533" s="6" t="s">
        <v>37</v>
      </c>
      <c r="K1533" s="6">
        <v>10.0</v>
      </c>
      <c r="L1533" s="5"/>
      <c r="M1533" s="5"/>
      <c r="N1533" s="6" t="s">
        <v>40</v>
      </c>
      <c r="O1533" s="5" t="s">
        <v>5363</v>
      </c>
      <c r="P1533" s="6" t="s">
        <v>42</v>
      </c>
      <c r="Q1533" s="5" t="s">
        <v>1237</v>
      </c>
      <c r="R1533" s="5" t="s">
        <v>11110</v>
      </c>
      <c r="S1533" s="6" t="s">
        <v>71</v>
      </c>
      <c r="T1533" s="6">
        <v>6755.0</v>
      </c>
    </row>
    <row r="1534" ht="56.25" customHeight="1">
      <c r="A1534" s="5" t="s">
        <v>11095</v>
      </c>
      <c r="B1534" s="6" t="str">
        <f>image("https://storage.googleapis.com/acdb/photos/BromideNpcNmlCat09_Remake_4_0.png")</f>
        <v/>
      </c>
      <c r="C1534" s="5" t="s">
        <v>1167</v>
      </c>
      <c r="D1534" s="5" t="s">
        <v>1327</v>
      </c>
      <c r="E1534" s="5" t="s">
        <v>34</v>
      </c>
      <c r="F1534" s="5" t="s">
        <v>34</v>
      </c>
      <c r="G1534" s="5" t="s">
        <v>36</v>
      </c>
      <c r="H1534" s="5" t="s">
        <v>35</v>
      </c>
      <c r="I1534" s="6">
        <v>1.0</v>
      </c>
      <c r="J1534" s="6" t="s">
        <v>37</v>
      </c>
      <c r="K1534" s="6">
        <v>10.0</v>
      </c>
      <c r="L1534" s="5"/>
      <c r="M1534" s="5"/>
      <c r="N1534" s="6" t="s">
        <v>40</v>
      </c>
      <c r="O1534" s="5" t="s">
        <v>5363</v>
      </c>
      <c r="P1534" s="6" t="s">
        <v>42</v>
      </c>
      <c r="Q1534" s="5" t="s">
        <v>1237</v>
      </c>
      <c r="R1534" s="5" t="s">
        <v>11114</v>
      </c>
      <c r="S1534" s="6" t="s">
        <v>75</v>
      </c>
      <c r="T1534" s="6">
        <v>6755.0</v>
      </c>
    </row>
    <row r="1535" ht="56.25" customHeight="1">
      <c r="A1535" s="5" t="s">
        <v>11095</v>
      </c>
      <c r="B1535" s="6" t="str">
        <f>image("https://storage.googleapis.com/acdb/photos/BromideNpcNmlCat09_Remake_5_0.png")</f>
        <v/>
      </c>
      <c r="C1535" s="5" t="s">
        <v>58</v>
      </c>
      <c r="D1535" s="5" t="s">
        <v>1327</v>
      </c>
      <c r="E1535" s="5" t="s">
        <v>34</v>
      </c>
      <c r="F1535" s="5" t="s">
        <v>34</v>
      </c>
      <c r="G1535" s="5" t="s">
        <v>36</v>
      </c>
      <c r="H1535" s="5" t="s">
        <v>35</v>
      </c>
      <c r="I1535" s="6">
        <v>1.0</v>
      </c>
      <c r="J1535" s="6" t="s">
        <v>37</v>
      </c>
      <c r="K1535" s="6">
        <v>10.0</v>
      </c>
      <c r="L1535" s="5"/>
      <c r="M1535" s="5"/>
      <c r="N1535" s="6" t="s">
        <v>40</v>
      </c>
      <c r="O1535" s="5" t="s">
        <v>5363</v>
      </c>
      <c r="P1535" s="6" t="s">
        <v>42</v>
      </c>
      <c r="Q1535" s="5" t="s">
        <v>1237</v>
      </c>
      <c r="R1535" s="5" t="s">
        <v>11117</v>
      </c>
      <c r="S1535" s="6" t="s">
        <v>79</v>
      </c>
      <c r="T1535" s="6">
        <v>6755.0</v>
      </c>
    </row>
    <row r="1536" ht="56.25" customHeight="1">
      <c r="A1536" s="5" t="s">
        <v>11095</v>
      </c>
      <c r="B1536" s="6" t="str">
        <f>image("https://storage.googleapis.com/acdb/photos/BromideNpcNmlCat09_Remake_6_0.png")</f>
        <v/>
      </c>
      <c r="C1536" s="5" t="s">
        <v>146</v>
      </c>
      <c r="D1536" s="5" t="s">
        <v>1327</v>
      </c>
      <c r="E1536" s="5" t="s">
        <v>34</v>
      </c>
      <c r="F1536" s="5" t="s">
        <v>34</v>
      </c>
      <c r="G1536" s="5" t="s">
        <v>36</v>
      </c>
      <c r="H1536" s="5" t="s">
        <v>35</v>
      </c>
      <c r="I1536" s="6">
        <v>1.0</v>
      </c>
      <c r="J1536" s="6" t="s">
        <v>37</v>
      </c>
      <c r="K1536" s="6">
        <v>10.0</v>
      </c>
      <c r="L1536" s="5"/>
      <c r="M1536" s="5"/>
      <c r="N1536" s="6" t="s">
        <v>40</v>
      </c>
      <c r="O1536" s="5" t="s">
        <v>5363</v>
      </c>
      <c r="P1536" s="6" t="s">
        <v>42</v>
      </c>
      <c r="Q1536" s="5" t="s">
        <v>1237</v>
      </c>
      <c r="R1536" s="5" t="s">
        <v>11120</v>
      </c>
      <c r="S1536" s="6" t="s">
        <v>86</v>
      </c>
      <c r="T1536" s="6">
        <v>6755.0</v>
      </c>
    </row>
    <row r="1537" ht="56.25" customHeight="1">
      <c r="A1537" s="5" t="s">
        <v>11095</v>
      </c>
      <c r="B1537" s="6" t="str">
        <f>image("https://storage.googleapis.com/acdb/photos/BromideNpcNmlCat09_Remake_7_0.png")</f>
        <v/>
      </c>
      <c r="C1537" s="5" t="s">
        <v>151</v>
      </c>
      <c r="D1537" s="5" t="s">
        <v>1327</v>
      </c>
      <c r="E1537" s="5" t="s">
        <v>34</v>
      </c>
      <c r="F1537" s="5" t="s">
        <v>34</v>
      </c>
      <c r="G1537" s="5" t="s">
        <v>36</v>
      </c>
      <c r="H1537" s="5" t="s">
        <v>35</v>
      </c>
      <c r="I1537" s="6">
        <v>1.0</v>
      </c>
      <c r="J1537" s="6" t="s">
        <v>37</v>
      </c>
      <c r="K1537" s="6">
        <v>10.0</v>
      </c>
      <c r="L1537" s="5"/>
      <c r="M1537" s="5"/>
      <c r="N1537" s="6" t="s">
        <v>40</v>
      </c>
      <c r="O1537" s="5" t="s">
        <v>5363</v>
      </c>
      <c r="P1537" s="6" t="s">
        <v>42</v>
      </c>
      <c r="Q1537" s="5" t="s">
        <v>1237</v>
      </c>
      <c r="R1537" s="5" t="s">
        <v>11124</v>
      </c>
      <c r="S1537" s="6" t="s">
        <v>208</v>
      </c>
      <c r="T1537" s="6">
        <v>6755.0</v>
      </c>
    </row>
    <row r="1538" ht="56.25" customHeight="1">
      <c r="A1538" s="5" t="s">
        <v>11125</v>
      </c>
      <c r="B1538" s="6" t="str">
        <f>image("https://storage.googleapis.com/acdb/photos/BromideNpcNmlCat21_Remake_0_0.png")</f>
        <v/>
      </c>
      <c r="C1538" s="5" t="s">
        <v>366</v>
      </c>
      <c r="D1538" s="5" t="s">
        <v>1327</v>
      </c>
      <c r="E1538" s="5" t="s">
        <v>34</v>
      </c>
      <c r="F1538" s="5" t="s">
        <v>34</v>
      </c>
      <c r="G1538" s="5" t="s">
        <v>36</v>
      </c>
      <c r="H1538" s="5" t="s">
        <v>35</v>
      </c>
      <c r="I1538" s="6">
        <v>1.0</v>
      </c>
      <c r="J1538" s="6" t="s">
        <v>37</v>
      </c>
      <c r="K1538" s="6">
        <v>10.0</v>
      </c>
      <c r="L1538" s="5"/>
      <c r="M1538" s="5"/>
      <c r="N1538" s="6" t="s">
        <v>40</v>
      </c>
      <c r="O1538" s="5" t="s">
        <v>5363</v>
      </c>
      <c r="P1538" s="6" t="s">
        <v>42</v>
      </c>
      <c r="Q1538" s="5" t="s">
        <v>1237</v>
      </c>
      <c r="R1538" s="5" t="s">
        <v>11129</v>
      </c>
      <c r="S1538" s="6" t="s">
        <v>50</v>
      </c>
      <c r="T1538" s="6">
        <v>6768.0</v>
      </c>
    </row>
    <row r="1539" ht="56.25" customHeight="1">
      <c r="A1539" s="5" t="s">
        <v>11125</v>
      </c>
      <c r="B1539" s="6" t="str">
        <f>image("https://storage.googleapis.com/acdb/photos/BromideNpcNmlCat21_Remake_1_0.png")</f>
        <v/>
      </c>
      <c r="C1539" s="5" t="s">
        <v>1132</v>
      </c>
      <c r="D1539" s="5" t="s">
        <v>1327</v>
      </c>
      <c r="E1539" s="5" t="s">
        <v>34</v>
      </c>
      <c r="F1539" s="5" t="s">
        <v>34</v>
      </c>
      <c r="G1539" s="5" t="s">
        <v>36</v>
      </c>
      <c r="H1539" s="5" t="s">
        <v>35</v>
      </c>
      <c r="I1539" s="6">
        <v>1.0</v>
      </c>
      <c r="J1539" s="6" t="s">
        <v>37</v>
      </c>
      <c r="K1539" s="6">
        <v>10.0</v>
      </c>
      <c r="L1539" s="5"/>
      <c r="M1539" s="5"/>
      <c r="N1539" s="6" t="s">
        <v>40</v>
      </c>
      <c r="O1539" s="5" t="s">
        <v>5363</v>
      </c>
      <c r="P1539" s="6" t="s">
        <v>42</v>
      </c>
      <c r="Q1539" s="5" t="s">
        <v>1237</v>
      </c>
      <c r="R1539" s="5" t="s">
        <v>11133</v>
      </c>
      <c r="S1539" s="6" t="s">
        <v>56</v>
      </c>
      <c r="T1539" s="6">
        <v>6768.0</v>
      </c>
    </row>
    <row r="1540" ht="56.25" customHeight="1">
      <c r="A1540" s="5" t="s">
        <v>11125</v>
      </c>
      <c r="B1540" s="6" t="str">
        <f>image("https://storage.googleapis.com/acdb/photos/BromideNpcNmlCat21_Remake_2_0.png")</f>
        <v/>
      </c>
      <c r="C1540" s="5" t="s">
        <v>688</v>
      </c>
      <c r="D1540" s="5" t="s">
        <v>1327</v>
      </c>
      <c r="E1540" s="5" t="s">
        <v>34</v>
      </c>
      <c r="F1540" s="5" t="s">
        <v>34</v>
      </c>
      <c r="G1540" s="5" t="s">
        <v>36</v>
      </c>
      <c r="H1540" s="5" t="s">
        <v>35</v>
      </c>
      <c r="I1540" s="6">
        <v>1.0</v>
      </c>
      <c r="J1540" s="6" t="s">
        <v>37</v>
      </c>
      <c r="K1540" s="6">
        <v>10.0</v>
      </c>
      <c r="L1540" s="5"/>
      <c r="M1540" s="5"/>
      <c r="N1540" s="6" t="s">
        <v>40</v>
      </c>
      <c r="O1540" s="5" t="s">
        <v>5363</v>
      </c>
      <c r="P1540" s="6" t="s">
        <v>42</v>
      </c>
      <c r="Q1540" s="5" t="s">
        <v>1237</v>
      </c>
      <c r="R1540" s="5" t="s">
        <v>11136</v>
      </c>
      <c r="S1540" s="6" t="s">
        <v>67</v>
      </c>
      <c r="T1540" s="6">
        <v>6768.0</v>
      </c>
    </row>
    <row r="1541" ht="56.25" customHeight="1">
      <c r="A1541" s="5" t="s">
        <v>11125</v>
      </c>
      <c r="B1541" s="6" t="str">
        <f>image("https://storage.googleapis.com/acdb/photos/BromideNpcNmlCat21_Remake_3_0.png")</f>
        <v/>
      </c>
      <c r="C1541" s="5" t="s">
        <v>57</v>
      </c>
      <c r="D1541" s="5" t="s">
        <v>1327</v>
      </c>
      <c r="E1541" s="5" t="s">
        <v>34</v>
      </c>
      <c r="F1541" s="5" t="s">
        <v>34</v>
      </c>
      <c r="G1541" s="5" t="s">
        <v>36</v>
      </c>
      <c r="H1541" s="5" t="s">
        <v>35</v>
      </c>
      <c r="I1541" s="6">
        <v>1.0</v>
      </c>
      <c r="J1541" s="6" t="s">
        <v>37</v>
      </c>
      <c r="K1541" s="6">
        <v>10.0</v>
      </c>
      <c r="L1541" s="5"/>
      <c r="M1541" s="5"/>
      <c r="N1541" s="6" t="s">
        <v>40</v>
      </c>
      <c r="O1541" s="5" t="s">
        <v>5363</v>
      </c>
      <c r="P1541" s="6" t="s">
        <v>42</v>
      </c>
      <c r="Q1541" s="5" t="s">
        <v>1237</v>
      </c>
      <c r="R1541" s="5" t="s">
        <v>11139</v>
      </c>
      <c r="S1541" s="6" t="s">
        <v>71</v>
      </c>
      <c r="T1541" s="6">
        <v>6768.0</v>
      </c>
    </row>
    <row r="1542" ht="56.25" customHeight="1">
      <c r="A1542" s="5" t="s">
        <v>11125</v>
      </c>
      <c r="B1542" s="6" t="str">
        <f>image("https://storage.googleapis.com/acdb/photos/BromideNpcNmlCat21_Remake_4_0.png")</f>
        <v/>
      </c>
      <c r="C1542" s="5" t="s">
        <v>1167</v>
      </c>
      <c r="D1542" s="5" t="s">
        <v>1327</v>
      </c>
      <c r="E1542" s="5" t="s">
        <v>34</v>
      </c>
      <c r="F1542" s="5" t="s">
        <v>34</v>
      </c>
      <c r="G1542" s="5" t="s">
        <v>36</v>
      </c>
      <c r="H1542" s="5" t="s">
        <v>35</v>
      </c>
      <c r="I1542" s="6">
        <v>1.0</v>
      </c>
      <c r="J1542" s="6" t="s">
        <v>37</v>
      </c>
      <c r="K1542" s="6">
        <v>10.0</v>
      </c>
      <c r="L1542" s="5"/>
      <c r="M1542" s="5"/>
      <c r="N1542" s="6" t="s">
        <v>40</v>
      </c>
      <c r="O1542" s="5" t="s">
        <v>5363</v>
      </c>
      <c r="P1542" s="6" t="s">
        <v>42</v>
      </c>
      <c r="Q1542" s="5" t="s">
        <v>1237</v>
      </c>
      <c r="R1542" s="5" t="s">
        <v>11141</v>
      </c>
      <c r="S1542" s="6" t="s">
        <v>75</v>
      </c>
      <c r="T1542" s="6">
        <v>6768.0</v>
      </c>
    </row>
    <row r="1543" ht="56.25" customHeight="1">
      <c r="A1543" s="5" t="s">
        <v>11125</v>
      </c>
      <c r="B1543" s="6" t="str">
        <f>image("https://storage.googleapis.com/acdb/photos/BromideNpcNmlCat21_Remake_5_0.png")</f>
        <v/>
      </c>
      <c r="C1543" s="5" t="s">
        <v>58</v>
      </c>
      <c r="D1543" s="5" t="s">
        <v>1327</v>
      </c>
      <c r="E1543" s="5" t="s">
        <v>34</v>
      </c>
      <c r="F1543" s="5" t="s">
        <v>34</v>
      </c>
      <c r="G1543" s="5" t="s">
        <v>36</v>
      </c>
      <c r="H1543" s="5" t="s">
        <v>35</v>
      </c>
      <c r="I1543" s="6">
        <v>1.0</v>
      </c>
      <c r="J1543" s="6" t="s">
        <v>37</v>
      </c>
      <c r="K1543" s="6">
        <v>10.0</v>
      </c>
      <c r="L1543" s="5"/>
      <c r="M1543" s="5"/>
      <c r="N1543" s="6" t="s">
        <v>40</v>
      </c>
      <c r="O1543" s="5" t="s">
        <v>5363</v>
      </c>
      <c r="P1543" s="6" t="s">
        <v>42</v>
      </c>
      <c r="Q1543" s="5" t="s">
        <v>1237</v>
      </c>
      <c r="R1543" s="5" t="s">
        <v>11146</v>
      </c>
      <c r="S1543" s="6" t="s">
        <v>79</v>
      </c>
      <c r="T1543" s="6">
        <v>6768.0</v>
      </c>
    </row>
    <row r="1544" ht="56.25" customHeight="1">
      <c r="A1544" s="5" t="s">
        <v>11125</v>
      </c>
      <c r="B1544" s="6" t="str">
        <f>image("https://storage.googleapis.com/acdb/photos/BromideNpcNmlCat21_Remake_6_0.png")</f>
        <v/>
      </c>
      <c r="C1544" s="5" t="s">
        <v>146</v>
      </c>
      <c r="D1544" s="5" t="s">
        <v>1327</v>
      </c>
      <c r="E1544" s="5" t="s">
        <v>34</v>
      </c>
      <c r="F1544" s="5" t="s">
        <v>34</v>
      </c>
      <c r="G1544" s="5" t="s">
        <v>36</v>
      </c>
      <c r="H1544" s="5" t="s">
        <v>35</v>
      </c>
      <c r="I1544" s="6">
        <v>1.0</v>
      </c>
      <c r="J1544" s="6" t="s">
        <v>37</v>
      </c>
      <c r="K1544" s="6">
        <v>10.0</v>
      </c>
      <c r="L1544" s="5"/>
      <c r="M1544" s="5"/>
      <c r="N1544" s="6" t="s">
        <v>40</v>
      </c>
      <c r="O1544" s="5" t="s">
        <v>5363</v>
      </c>
      <c r="P1544" s="6" t="s">
        <v>42</v>
      </c>
      <c r="Q1544" s="5" t="s">
        <v>1237</v>
      </c>
      <c r="R1544" s="5" t="s">
        <v>11149</v>
      </c>
      <c r="S1544" s="6" t="s">
        <v>86</v>
      </c>
      <c r="T1544" s="6">
        <v>6768.0</v>
      </c>
    </row>
    <row r="1545" ht="56.25" customHeight="1">
      <c r="A1545" s="5" t="s">
        <v>11125</v>
      </c>
      <c r="B1545" s="6" t="str">
        <f>image("https://storage.googleapis.com/acdb/photos/BromideNpcNmlCat21_Remake_7_0.png")</f>
        <v/>
      </c>
      <c r="C1545" s="5" t="s">
        <v>151</v>
      </c>
      <c r="D1545" s="5" t="s">
        <v>1327</v>
      </c>
      <c r="E1545" s="5" t="s">
        <v>34</v>
      </c>
      <c r="F1545" s="5" t="s">
        <v>34</v>
      </c>
      <c r="G1545" s="5" t="s">
        <v>36</v>
      </c>
      <c r="H1545" s="5" t="s">
        <v>35</v>
      </c>
      <c r="I1545" s="6">
        <v>1.0</v>
      </c>
      <c r="J1545" s="6" t="s">
        <v>37</v>
      </c>
      <c r="K1545" s="6">
        <v>10.0</v>
      </c>
      <c r="L1545" s="5"/>
      <c r="M1545" s="5"/>
      <c r="N1545" s="6" t="s">
        <v>40</v>
      </c>
      <c r="O1545" s="5" t="s">
        <v>5363</v>
      </c>
      <c r="P1545" s="6" t="s">
        <v>42</v>
      </c>
      <c r="Q1545" s="5" t="s">
        <v>1237</v>
      </c>
      <c r="R1545" s="5" t="s">
        <v>11152</v>
      </c>
      <c r="S1545" s="6" t="s">
        <v>208</v>
      </c>
      <c r="T1545" s="6">
        <v>6768.0</v>
      </c>
    </row>
    <row r="1546" ht="56.25" customHeight="1">
      <c r="A1546" s="5" t="s">
        <v>11153</v>
      </c>
      <c r="B1546" s="6" t="str">
        <f>image("https://storage.googleapis.com/acdb/photos/BromideNpcNmlPbr08_Remake_0_0.png")</f>
        <v/>
      </c>
      <c r="C1546" s="5" t="s">
        <v>366</v>
      </c>
      <c r="D1546" s="5" t="s">
        <v>1327</v>
      </c>
      <c r="E1546" s="5" t="s">
        <v>34</v>
      </c>
      <c r="F1546" s="5" t="s">
        <v>34</v>
      </c>
      <c r="G1546" s="5" t="s">
        <v>36</v>
      </c>
      <c r="H1546" s="5" t="s">
        <v>35</v>
      </c>
      <c r="I1546" s="6">
        <v>1.0</v>
      </c>
      <c r="J1546" s="6" t="s">
        <v>37</v>
      </c>
      <c r="K1546" s="6">
        <v>10.0</v>
      </c>
      <c r="L1546" s="5"/>
      <c r="M1546" s="5"/>
      <c r="N1546" s="6" t="s">
        <v>40</v>
      </c>
      <c r="O1546" s="5" t="s">
        <v>5363</v>
      </c>
      <c r="P1546" s="6" t="s">
        <v>42</v>
      </c>
      <c r="Q1546" s="5" t="s">
        <v>1237</v>
      </c>
      <c r="R1546" s="5" t="s">
        <v>11157</v>
      </c>
      <c r="S1546" s="6" t="s">
        <v>50</v>
      </c>
      <c r="T1546" s="6">
        <v>6628.0</v>
      </c>
    </row>
    <row r="1547" ht="56.25" customHeight="1">
      <c r="A1547" s="5" t="s">
        <v>11153</v>
      </c>
      <c r="B1547" s="6" t="str">
        <f>image("https://storage.googleapis.com/acdb/photos/BromideNpcNmlPbr08_Remake_1_0.png")</f>
        <v/>
      </c>
      <c r="C1547" s="5" t="s">
        <v>1132</v>
      </c>
      <c r="D1547" s="5" t="s">
        <v>1327</v>
      </c>
      <c r="E1547" s="5" t="s">
        <v>34</v>
      </c>
      <c r="F1547" s="5" t="s">
        <v>34</v>
      </c>
      <c r="G1547" s="5" t="s">
        <v>36</v>
      </c>
      <c r="H1547" s="5" t="s">
        <v>35</v>
      </c>
      <c r="I1547" s="6">
        <v>1.0</v>
      </c>
      <c r="J1547" s="6" t="s">
        <v>37</v>
      </c>
      <c r="K1547" s="6">
        <v>10.0</v>
      </c>
      <c r="L1547" s="5"/>
      <c r="M1547" s="5"/>
      <c r="N1547" s="6" t="s">
        <v>40</v>
      </c>
      <c r="O1547" s="5" t="s">
        <v>5363</v>
      </c>
      <c r="P1547" s="6" t="s">
        <v>42</v>
      </c>
      <c r="Q1547" s="5" t="s">
        <v>1237</v>
      </c>
      <c r="R1547" s="5" t="s">
        <v>11161</v>
      </c>
      <c r="S1547" s="6" t="s">
        <v>56</v>
      </c>
      <c r="T1547" s="6">
        <v>6628.0</v>
      </c>
    </row>
    <row r="1548" ht="56.25" customHeight="1">
      <c r="A1548" s="5" t="s">
        <v>11153</v>
      </c>
      <c r="B1548" s="6" t="str">
        <f>image("https://storage.googleapis.com/acdb/photos/BromideNpcNmlPbr08_Remake_2_0.png")</f>
        <v/>
      </c>
      <c r="C1548" s="5" t="s">
        <v>688</v>
      </c>
      <c r="D1548" s="5" t="s">
        <v>1327</v>
      </c>
      <c r="E1548" s="5" t="s">
        <v>34</v>
      </c>
      <c r="F1548" s="5" t="s">
        <v>34</v>
      </c>
      <c r="G1548" s="5" t="s">
        <v>36</v>
      </c>
      <c r="H1548" s="5" t="s">
        <v>35</v>
      </c>
      <c r="I1548" s="6">
        <v>1.0</v>
      </c>
      <c r="J1548" s="6" t="s">
        <v>37</v>
      </c>
      <c r="K1548" s="6">
        <v>10.0</v>
      </c>
      <c r="L1548" s="5"/>
      <c r="M1548" s="5"/>
      <c r="N1548" s="6" t="s">
        <v>40</v>
      </c>
      <c r="O1548" s="5" t="s">
        <v>5363</v>
      </c>
      <c r="P1548" s="6" t="s">
        <v>42</v>
      </c>
      <c r="Q1548" s="5" t="s">
        <v>1237</v>
      </c>
      <c r="R1548" s="5" t="s">
        <v>11164</v>
      </c>
      <c r="S1548" s="6" t="s">
        <v>67</v>
      </c>
      <c r="T1548" s="6">
        <v>6628.0</v>
      </c>
    </row>
    <row r="1549" ht="56.25" customHeight="1">
      <c r="A1549" s="5" t="s">
        <v>11153</v>
      </c>
      <c r="B1549" s="6" t="str">
        <f>image("https://storage.googleapis.com/acdb/photos/BromideNpcNmlPbr08_Remake_3_0.png")</f>
        <v/>
      </c>
      <c r="C1549" s="5" t="s">
        <v>57</v>
      </c>
      <c r="D1549" s="5" t="s">
        <v>1327</v>
      </c>
      <c r="E1549" s="5" t="s">
        <v>34</v>
      </c>
      <c r="F1549" s="5" t="s">
        <v>34</v>
      </c>
      <c r="G1549" s="5" t="s">
        <v>36</v>
      </c>
      <c r="H1549" s="5" t="s">
        <v>35</v>
      </c>
      <c r="I1549" s="6">
        <v>1.0</v>
      </c>
      <c r="J1549" s="6" t="s">
        <v>37</v>
      </c>
      <c r="K1549" s="6">
        <v>10.0</v>
      </c>
      <c r="L1549" s="5"/>
      <c r="M1549" s="5"/>
      <c r="N1549" s="6" t="s">
        <v>40</v>
      </c>
      <c r="O1549" s="5" t="s">
        <v>5363</v>
      </c>
      <c r="P1549" s="6" t="s">
        <v>42</v>
      </c>
      <c r="Q1549" s="5" t="s">
        <v>1237</v>
      </c>
      <c r="R1549" s="5" t="s">
        <v>11166</v>
      </c>
      <c r="S1549" s="6" t="s">
        <v>71</v>
      </c>
      <c r="T1549" s="6">
        <v>6628.0</v>
      </c>
    </row>
    <row r="1550" ht="56.25" customHeight="1">
      <c r="A1550" s="5" t="s">
        <v>11153</v>
      </c>
      <c r="B1550" s="6" t="str">
        <f>image("https://storage.googleapis.com/acdb/photos/BromideNpcNmlPbr08_Remake_4_0.png")</f>
        <v/>
      </c>
      <c r="C1550" s="5" t="s">
        <v>1167</v>
      </c>
      <c r="D1550" s="5" t="s">
        <v>1327</v>
      </c>
      <c r="E1550" s="5" t="s">
        <v>34</v>
      </c>
      <c r="F1550" s="5" t="s">
        <v>34</v>
      </c>
      <c r="G1550" s="5" t="s">
        <v>36</v>
      </c>
      <c r="H1550" s="5" t="s">
        <v>35</v>
      </c>
      <c r="I1550" s="6">
        <v>1.0</v>
      </c>
      <c r="J1550" s="6" t="s">
        <v>37</v>
      </c>
      <c r="K1550" s="6">
        <v>10.0</v>
      </c>
      <c r="L1550" s="5"/>
      <c r="M1550" s="5"/>
      <c r="N1550" s="6" t="s">
        <v>40</v>
      </c>
      <c r="O1550" s="5" t="s">
        <v>5363</v>
      </c>
      <c r="P1550" s="6" t="s">
        <v>42</v>
      </c>
      <c r="Q1550" s="5" t="s">
        <v>1237</v>
      </c>
      <c r="R1550" s="5" t="s">
        <v>11170</v>
      </c>
      <c r="S1550" s="6" t="s">
        <v>75</v>
      </c>
      <c r="T1550" s="6">
        <v>6628.0</v>
      </c>
    </row>
    <row r="1551" ht="56.25" customHeight="1">
      <c r="A1551" s="5" t="s">
        <v>11153</v>
      </c>
      <c r="B1551" s="6" t="str">
        <f>image("https://storage.googleapis.com/acdb/photos/BromideNpcNmlPbr08_Remake_5_0.png")</f>
        <v/>
      </c>
      <c r="C1551" s="5" t="s">
        <v>58</v>
      </c>
      <c r="D1551" s="5" t="s">
        <v>1327</v>
      </c>
      <c r="E1551" s="5" t="s">
        <v>34</v>
      </c>
      <c r="F1551" s="5" t="s">
        <v>34</v>
      </c>
      <c r="G1551" s="5" t="s">
        <v>36</v>
      </c>
      <c r="H1551" s="5" t="s">
        <v>35</v>
      </c>
      <c r="I1551" s="6">
        <v>1.0</v>
      </c>
      <c r="J1551" s="6" t="s">
        <v>37</v>
      </c>
      <c r="K1551" s="6">
        <v>10.0</v>
      </c>
      <c r="L1551" s="5"/>
      <c r="M1551" s="5"/>
      <c r="N1551" s="6" t="s">
        <v>40</v>
      </c>
      <c r="O1551" s="5" t="s">
        <v>5363</v>
      </c>
      <c r="P1551" s="6" t="s">
        <v>42</v>
      </c>
      <c r="Q1551" s="5" t="s">
        <v>1237</v>
      </c>
      <c r="R1551" s="5" t="s">
        <v>11173</v>
      </c>
      <c r="S1551" s="6" t="s">
        <v>79</v>
      </c>
      <c r="T1551" s="6">
        <v>6628.0</v>
      </c>
    </row>
    <row r="1552" ht="56.25" customHeight="1">
      <c r="A1552" s="5" t="s">
        <v>11153</v>
      </c>
      <c r="B1552" s="6" t="str">
        <f>image("https://storage.googleapis.com/acdb/photos/BromideNpcNmlPbr08_Remake_6_0.png")</f>
        <v/>
      </c>
      <c r="C1552" s="5" t="s">
        <v>146</v>
      </c>
      <c r="D1552" s="5" t="s">
        <v>1327</v>
      </c>
      <c r="E1552" s="5" t="s">
        <v>34</v>
      </c>
      <c r="F1552" s="5" t="s">
        <v>34</v>
      </c>
      <c r="G1552" s="5" t="s">
        <v>36</v>
      </c>
      <c r="H1552" s="5" t="s">
        <v>35</v>
      </c>
      <c r="I1552" s="6">
        <v>1.0</v>
      </c>
      <c r="J1552" s="6" t="s">
        <v>37</v>
      </c>
      <c r="K1552" s="6">
        <v>10.0</v>
      </c>
      <c r="L1552" s="5"/>
      <c r="M1552" s="5"/>
      <c r="N1552" s="6" t="s">
        <v>40</v>
      </c>
      <c r="O1552" s="5" t="s">
        <v>5363</v>
      </c>
      <c r="P1552" s="6" t="s">
        <v>42</v>
      </c>
      <c r="Q1552" s="5" t="s">
        <v>1237</v>
      </c>
      <c r="R1552" s="5" t="s">
        <v>11177</v>
      </c>
      <c r="S1552" s="6" t="s">
        <v>86</v>
      </c>
      <c r="T1552" s="6">
        <v>6628.0</v>
      </c>
    </row>
    <row r="1553" ht="56.25" customHeight="1">
      <c r="A1553" s="5" t="s">
        <v>11153</v>
      </c>
      <c r="B1553" s="6" t="str">
        <f>image("https://storage.googleapis.com/acdb/photos/BromideNpcNmlPbr08_Remake_7_0.png")</f>
        <v/>
      </c>
      <c r="C1553" s="5" t="s">
        <v>151</v>
      </c>
      <c r="D1553" s="5" t="s">
        <v>1327</v>
      </c>
      <c r="E1553" s="5" t="s">
        <v>34</v>
      </c>
      <c r="F1553" s="5" t="s">
        <v>34</v>
      </c>
      <c r="G1553" s="5" t="s">
        <v>36</v>
      </c>
      <c r="H1553" s="5" t="s">
        <v>35</v>
      </c>
      <c r="I1553" s="6">
        <v>1.0</v>
      </c>
      <c r="J1553" s="6" t="s">
        <v>37</v>
      </c>
      <c r="K1553" s="6">
        <v>10.0</v>
      </c>
      <c r="L1553" s="5"/>
      <c r="M1553" s="5"/>
      <c r="N1553" s="6" t="s">
        <v>40</v>
      </c>
      <c r="O1553" s="5" t="s">
        <v>5363</v>
      </c>
      <c r="P1553" s="6" t="s">
        <v>42</v>
      </c>
      <c r="Q1553" s="5" t="s">
        <v>1237</v>
      </c>
      <c r="R1553" s="5" t="s">
        <v>11180</v>
      </c>
      <c r="S1553" s="6" t="s">
        <v>208</v>
      </c>
      <c r="T1553" s="6">
        <v>6628.0</v>
      </c>
    </row>
    <row r="1554" ht="56.25" customHeight="1">
      <c r="A1554" s="5" t="s">
        <v>11181</v>
      </c>
      <c r="B1554" s="6" t="str">
        <f>image("https://storage.googleapis.com/acdb/photos/BromideNpcNmlChn13_Remake_0_0.png")</f>
        <v/>
      </c>
      <c r="C1554" s="5" t="s">
        <v>366</v>
      </c>
      <c r="D1554" s="5" t="s">
        <v>1327</v>
      </c>
      <c r="E1554" s="5" t="s">
        <v>34</v>
      </c>
      <c r="F1554" s="5" t="s">
        <v>34</v>
      </c>
      <c r="G1554" s="5" t="s">
        <v>36</v>
      </c>
      <c r="H1554" s="5" t="s">
        <v>35</v>
      </c>
      <c r="I1554" s="6">
        <v>1.0</v>
      </c>
      <c r="J1554" s="6" t="s">
        <v>37</v>
      </c>
      <c r="K1554" s="6">
        <v>10.0</v>
      </c>
      <c r="L1554" s="5"/>
      <c r="M1554" s="5"/>
      <c r="N1554" s="6" t="s">
        <v>40</v>
      </c>
      <c r="O1554" s="5" t="s">
        <v>5363</v>
      </c>
      <c r="P1554" s="6" t="s">
        <v>42</v>
      </c>
      <c r="Q1554" s="5" t="s">
        <v>1237</v>
      </c>
      <c r="R1554" s="5" t="s">
        <v>11183</v>
      </c>
      <c r="S1554" s="6" t="s">
        <v>50</v>
      </c>
      <c r="T1554" s="6">
        <v>6794.0</v>
      </c>
    </row>
    <row r="1555" ht="56.25" customHeight="1">
      <c r="A1555" s="5" t="s">
        <v>11181</v>
      </c>
      <c r="B1555" s="6" t="str">
        <f>image("https://storage.googleapis.com/acdb/photos/BromideNpcNmlChn13_Remake_1_0.png")</f>
        <v/>
      </c>
      <c r="C1555" s="5" t="s">
        <v>1132</v>
      </c>
      <c r="D1555" s="5" t="s">
        <v>1327</v>
      </c>
      <c r="E1555" s="5" t="s">
        <v>34</v>
      </c>
      <c r="F1555" s="5" t="s">
        <v>34</v>
      </c>
      <c r="G1555" s="5" t="s">
        <v>36</v>
      </c>
      <c r="H1555" s="5" t="s">
        <v>35</v>
      </c>
      <c r="I1555" s="6">
        <v>1.0</v>
      </c>
      <c r="J1555" s="6" t="s">
        <v>37</v>
      </c>
      <c r="K1555" s="6">
        <v>10.0</v>
      </c>
      <c r="L1555" s="5"/>
      <c r="M1555" s="5"/>
      <c r="N1555" s="6" t="s">
        <v>40</v>
      </c>
      <c r="O1555" s="5" t="s">
        <v>5363</v>
      </c>
      <c r="P1555" s="6" t="s">
        <v>42</v>
      </c>
      <c r="Q1555" s="5" t="s">
        <v>1237</v>
      </c>
      <c r="R1555" s="5" t="s">
        <v>11187</v>
      </c>
      <c r="S1555" s="6" t="s">
        <v>56</v>
      </c>
      <c r="T1555" s="6">
        <v>6794.0</v>
      </c>
    </row>
    <row r="1556" ht="56.25" customHeight="1">
      <c r="A1556" s="5" t="s">
        <v>11181</v>
      </c>
      <c r="B1556" s="6" t="str">
        <f>image("https://storage.googleapis.com/acdb/photos/BromideNpcNmlChn13_Remake_2_0.png")</f>
        <v/>
      </c>
      <c r="C1556" s="5" t="s">
        <v>688</v>
      </c>
      <c r="D1556" s="5" t="s">
        <v>1327</v>
      </c>
      <c r="E1556" s="5" t="s">
        <v>34</v>
      </c>
      <c r="F1556" s="5" t="s">
        <v>34</v>
      </c>
      <c r="G1556" s="5" t="s">
        <v>36</v>
      </c>
      <c r="H1556" s="5" t="s">
        <v>35</v>
      </c>
      <c r="I1556" s="6">
        <v>1.0</v>
      </c>
      <c r="J1556" s="6" t="s">
        <v>37</v>
      </c>
      <c r="K1556" s="6">
        <v>10.0</v>
      </c>
      <c r="L1556" s="5"/>
      <c r="M1556" s="5"/>
      <c r="N1556" s="6" t="s">
        <v>40</v>
      </c>
      <c r="O1556" s="5" t="s">
        <v>5363</v>
      </c>
      <c r="P1556" s="6" t="s">
        <v>42</v>
      </c>
      <c r="Q1556" s="5" t="s">
        <v>1237</v>
      </c>
      <c r="R1556" s="5" t="s">
        <v>11192</v>
      </c>
      <c r="S1556" s="6" t="s">
        <v>67</v>
      </c>
      <c r="T1556" s="6">
        <v>6794.0</v>
      </c>
    </row>
    <row r="1557" ht="56.25" customHeight="1">
      <c r="A1557" s="5" t="s">
        <v>11181</v>
      </c>
      <c r="B1557" s="6" t="str">
        <f>image("https://storage.googleapis.com/acdb/photos/BromideNpcNmlChn13_Remake_3_0.png")</f>
        <v/>
      </c>
      <c r="C1557" s="5" t="s">
        <v>57</v>
      </c>
      <c r="D1557" s="5" t="s">
        <v>1327</v>
      </c>
      <c r="E1557" s="5" t="s">
        <v>34</v>
      </c>
      <c r="F1557" s="5" t="s">
        <v>34</v>
      </c>
      <c r="G1557" s="5" t="s">
        <v>36</v>
      </c>
      <c r="H1557" s="5" t="s">
        <v>35</v>
      </c>
      <c r="I1557" s="6">
        <v>1.0</v>
      </c>
      <c r="J1557" s="6" t="s">
        <v>37</v>
      </c>
      <c r="K1557" s="6">
        <v>10.0</v>
      </c>
      <c r="L1557" s="5"/>
      <c r="M1557" s="5"/>
      <c r="N1557" s="6" t="s">
        <v>40</v>
      </c>
      <c r="O1557" s="5" t="s">
        <v>5363</v>
      </c>
      <c r="P1557" s="6" t="s">
        <v>42</v>
      </c>
      <c r="Q1557" s="5" t="s">
        <v>1237</v>
      </c>
      <c r="R1557" s="5" t="s">
        <v>11196</v>
      </c>
      <c r="S1557" s="6" t="s">
        <v>71</v>
      </c>
      <c r="T1557" s="6">
        <v>6794.0</v>
      </c>
    </row>
    <row r="1558" ht="56.25" customHeight="1">
      <c r="A1558" s="5" t="s">
        <v>11181</v>
      </c>
      <c r="B1558" s="6" t="str">
        <f>image("https://storage.googleapis.com/acdb/photos/BromideNpcNmlChn13_Remake_4_0.png")</f>
        <v/>
      </c>
      <c r="C1558" s="5" t="s">
        <v>1167</v>
      </c>
      <c r="D1558" s="5" t="s">
        <v>1327</v>
      </c>
      <c r="E1558" s="5" t="s">
        <v>34</v>
      </c>
      <c r="F1558" s="5" t="s">
        <v>34</v>
      </c>
      <c r="G1558" s="5" t="s">
        <v>36</v>
      </c>
      <c r="H1558" s="5" t="s">
        <v>35</v>
      </c>
      <c r="I1558" s="6">
        <v>1.0</v>
      </c>
      <c r="J1558" s="6" t="s">
        <v>37</v>
      </c>
      <c r="K1558" s="6">
        <v>10.0</v>
      </c>
      <c r="L1558" s="5"/>
      <c r="M1558" s="5"/>
      <c r="N1558" s="6" t="s">
        <v>40</v>
      </c>
      <c r="O1558" s="5" t="s">
        <v>5363</v>
      </c>
      <c r="P1558" s="6" t="s">
        <v>42</v>
      </c>
      <c r="Q1558" s="5" t="s">
        <v>1237</v>
      </c>
      <c r="R1558" s="5" t="s">
        <v>11199</v>
      </c>
      <c r="S1558" s="6" t="s">
        <v>75</v>
      </c>
      <c r="T1558" s="6">
        <v>6794.0</v>
      </c>
    </row>
    <row r="1559" ht="56.25" customHeight="1">
      <c r="A1559" s="5" t="s">
        <v>11181</v>
      </c>
      <c r="B1559" s="6" t="str">
        <f>image("https://storage.googleapis.com/acdb/photos/BromideNpcNmlChn13_Remake_5_0.png")</f>
        <v/>
      </c>
      <c r="C1559" s="5" t="s">
        <v>58</v>
      </c>
      <c r="D1559" s="5" t="s">
        <v>1327</v>
      </c>
      <c r="E1559" s="5" t="s">
        <v>34</v>
      </c>
      <c r="F1559" s="5" t="s">
        <v>34</v>
      </c>
      <c r="G1559" s="5" t="s">
        <v>36</v>
      </c>
      <c r="H1559" s="5" t="s">
        <v>35</v>
      </c>
      <c r="I1559" s="6">
        <v>1.0</v>
      </c>
      <c r="J1559" s="6" t="s">
        <v>37</v>
      </c>
      <c r="K1559" s="6">
        <v>10.0</v>
      </c>
      <c r="L1559" s="5"/>
      <c r="M1559" s="5"/>
      <c r="N1559" s="6" t="s">
        <v>40</v>
      </c>
      <c r="O1559" s="5" t="s">
        <v>5363</v>
      </c>
      <c r="P1559" s="6" t="s">
        <v>42</v>
      </c>
      <c r="Q1559" s="5" t="s">
        <v>1237</v>
      </c>
      <c r="R1559" s="5" t="s">
        <v>11202</v>
      </c>
      <c r="S1559" s="6" t="s">
        <v>79</v>
      </c>
      <c r="T1559" s="6">
        <v>6794.0</v>
      </c>
    </row>
    <row r="1560" ht="56.25" customHeight="1">
      <c r="A1560" s="5" t="s">
        <v>11181</v>
      </c>
      <c r="B1560" s="6" t="str">
        <f>image("https://storage.googleapis.com/acdb/photos/BromideNpcNmlChn13_Remake_6_0.png")</f>
        <v/>
      </c>
      <c r="C1560" s="5" t="s">
        <v>146</v>
      </c>
      <c r="D1560" s="5" t="s">
        <v>1327</v>
      </c>
      <c r="E1560" s="5" t="s">
        <v>34</v>
      </c>
      <c r="F1560" s="5" t="s">
        <v>34</v>
      </c>
      <c r="G1560" s="5" t="s">
        <v>36</v>
      </c>
      <c r="H1560" s="5" t="s">
        <v>35</v>
      </c>
      <c r="I1560" s="6">
        <v>1.0</v>
      </c>
      <c r="J1560" s="6" t="s">
        <v>37</v>
      </c>
      <c r="K1560" s="6">
        <v>10.0</v>
      </c>
      <c r="L1560" s="5"/>
      <c r="M1560" s="5"/>
      <c r="N1560" s="6" t="s">
        <v>40</v>
      </c>
      <c r="O1560" s="5" t="s">
        <v>5363</v>
      </c>
      <c r="P1560" s="6" t="s">
        <v>42</v>
      </c>
      <c r="Q1560" s="5" t="s">
        <v>1237</v>
      </c>
      <c r="R1560" s="5" t="s">
        <v>11205</v>
      </c>
      <c r="S1560" s="6" t="s">
        <v>86</v>
      </c>
      <c r="T1560" s="6">
        <v>6794.0</v>
      </c>
    </row>
    <row r="1561" ht="56.25" customHeight="1">
      <c r="A1561" s="5" t="s">
        <v>11181</v>
      </c>
      <c r="B1561" s="6" t="str">
        <f>image("https://storage.googleapis.com/acdb/photos/BromideNpcNmlChn13_Remake_7_0.png")</f>
        <v/>
      </c>
      <c r="C1561" s="5" t="s">
        <v>151</v>
      </c>
      <c r="D1561" s="5" t="s">
        <v>1327</v>
      </c>
      <c r="E1561" s="5" t="s">
        <v>34</v>
      </c>
      <c r="F1561" s="5" t="s">
        <v>34</v>
      </c>
      <c r="G1561" s="5" t="s">
        <v>36</v>
      </c>
      <c r="H1561" s="5" t="s">
        <v>35</v>
      </c>
      <c r="I1561" s="6">
        <v>1.0</v>
      </c>
      <c r="J1561" s="6" t="s">
        <v>37</v>
      </c>
      <c r="K1561" s="6">
        <v>10.0</v>
      </c>
      <c r="L1561" s="5"/>
      <c r="M1561" s="5"/>
      <c r="N1561" s="6" t="s">
        <v>40</v>
      </c>
      <c r="O1561" s="5" t="s">
        <v>5363</v>
      </c>
      <c r="P1561" s="6" t="s">
        <v>42</v>
      </c>
      <c r="Q1561" s="5" t="s">
        <v>1237</v>
      </c>
      <c r="R1561" s="5" t="s">
        <v>11208</v>
      </c>
      <c r="S1561" s="6" t="s">
        <v>208</v>
      </c>
      <c r="T1561" s="6">
        <v>6794.0</v>
      </c>
    </row>
    <row r="1562" ht="56.25" customHeight="1">
      <c r="A1562" s="5" t="s">
        <v>11210</v>
      </c>
      <c r="B1562" s="6" t="str">
        <f>image("https://storage.googleapis.com/acdb/photos/BromideNpcNmlDuk13_Remake_0_0.png")</f>
        <v/>
      </c>
      <c r="C1562" s="5" t="s">
        <v>366</v>
      </c>
      <c r="D1562" s="5" t="s">
        <v>1327</v>
      </c>
      <c r="E1562" s="5" t="s">
        <v>34</v>
      </c>
      <c r="F1562" s="5" t="s">
        <v>34</v>
      </c>
      <c r="G1562" s="5" t="s">
        <v>36</v>
      </c>
      <c r="H1562" s="5" t="s">
        <v>35</v>
      </c>
      <c r="I1562" s="6">
        <v>1.0</v>
      </c>
      <c r="J1562" s="6" t="s">
        <v>37</v>
      </c>
      <c r="K1562" s="6">
        <v>10.0</v>
      </c>
      <c r="L1562" s="5"/>
      <c r="M1562" s="5"/>
      <c r="N1562" s="6" t="s">
        <v>40</v>
      </c>
      <c r="O1562" s="5" t="s">
        <v>5363</v>
      </c>
      <c r="P1562" s="6" t="s">
        <v>42</v>
      </c>
      <c r="Q1562" s="5" t="s">
        <v>1237</v>
      </c>
      <c r="R1562" s="5" t="s">
        <v>11213</v>
      </c>
      <c r="S1562" s="6" t="s">
        <v>50</v>
      </c>
      <c r="T1562" s="6">
        <v>6468.0</v>
      </c>
    </row>
    <row r="1563" ht="56.25" customHeight="1">
      <c r="A1563" s="5" t="s">
        <v>11210</v>
      </c>
      <c r="B1563" s="6" t="str">
        <f>image("https://storage.googleapis.com/acdb/photos/BromideNpcNmlDuk13_Remake_1_0.png")</f>
        <v/>
      </c>
      <c r="C1563" s="5" t="s">
        <v>1132</v>
      </c>
      <c r="D1563" s="5" t="s">
        <v>1327</v>
      </c>
      <c r="E1563" s="5" t="s">
        <v>34</v>
      </c>
      <c r="F1563" s="5" t="s">
        <v>34</v>
      </c>
      <c r="G1563" s="5" t="s">
        <v>36</v>
      </c>
      <c r="H1563" s="5" t="s">
        <v>35</v>
      </c>
      <c r="I1563" s="6">
        <v>1.0</v>
      </c>
      <c r="J1563" s="6" t="s">
        <v>37</v>
      </c>
      <c r="K1563" s="6">
        <v>10.0</v>
      </c>
      <c r="L1563" s="5"/>
      <c r="M1563" s="5"/>
      <c r="N1563" s="6" t="s">
        <v>40</v>
      </c>
      <c r="O1563" s="5" t="s">
        <v>5363</v>
      </c>
      <c r="P1563" s="6" t="s">
        <v>42</v>
      </c>
      <c r="Q1563" s="5" t="s">
        <v>1237</v>
      </c>
      <c r="R1563" s="5" t="s">
        <v>11215</v>
      </c>
      <c r="S1563" s="6" t="s">
        <v>56</v>
      </c>
      <c r="T1563" s="6">
        <v>6468.0</v>
      </c>
    </row>
    <row r="1564" ht="56.25" customHeight="1">
      <c r="A1564" s="5" t="s">
        <v>11210</v>
      </c>
      <c r="B1564" s="6" t="str">
        <f>image("https://storage.googleapis.com/acdb/photos/BromideNpcNmlDuk13_Remake_2_0.png")</f>
        <v/>
      </c>
      <c r="C1564" s="5" t="s">
        <v>688</v>
      </c>
      <c r="D1564" s="5" t="s">
        <v>1327</v>
      </c>
      <c r="E1564" s="5" t="s">
        <v>34</v>
      </c>
      <c r="F1564" s="5" t="s">
        <v>34</v>
      </c>
      <c r="G1564" s="5" t="s">
        <v>36</v>
      </c>
      <c r="H1564" s="5" t="s">
        <v>35</v>
      </c>
      <c r="I1564" s="6">
        <v>1.0</v>
      </c>
      <c r="J1564" s="6" t="s">
        <v>37</v>
      </c>
      <c r="K1564" s="6">
        <v>10.0</v>
      </c>
      <c r="L1564" s="5"/>
      <c r="M1564" s="5"/>
      <c r="N1564" s="6" t="s">
        <v>40</v>
      </c>
      <c r="O1564" s="5" t="s">
        <v>5363</v>
      </c>
      <c r="P1564" s="6" t="s">
        <v>42</v>
      </c>
      <c r="Q1564" s="5" t="s">
        <v>1237</v>
      </c>
      <c r="R1564" s="5" t="s">
        <v>11218</v>
      </c>
      <c r="S1564" s="6" t="s">
        <v>67</v>
      </c>
      <c r="T1564" s="6">
        <v>6468.0</v>
      </c>
    </row>
    <row r="1565" ht="56.25" customHeight="1">
      <c r="A1565" s="5" t="s">
        <v>11210</v>
      </c>
      <c r="B1565" s="6" t="str">
        <f>image("https://storage.googleapis.com/acdb/photos/BromideNpcNmlDuk13_Remake_3_0.png")</f>
        <v/>
      </c>
      <c r="C1565" s="5" t="s">
        <v>57</v>
      </c>
      <c r="D1565" s="5" t="s">
        <v>1327</v>
      </c>
      <c r="E1565" s="5" t="s">
        <v>34</v>
      </c>
      <c r="F1565" s="5" t="s">
        <v>34</v>
      </c>
      <c r="G1565" s="5" t="s">
        <v>36</v>
      </c>
      <c r="H1565" s="5" t="s">
        <v>35</v>
      </c>
      <c r="I1565" s="6">
        <v>1.0</v>
      </c>
      <c r="J1565" s="6" t="s">
        <v>37</v>
      </c>
      <c r="K1565" s="6">
        <v>10.0</v>
      </c>
      <c r="L1565" s="5"/>
      <c r="M1565" s="5"/>
      <c r="N1565" s="6" t="s">
        <v>40</v>
      </c>
      <c r="O1565" s="5" t="s">
        <v>5363</v>
      </c>
      <c r="P1565" s="6" t="s">
        <v>42</v>
      </c>
      <c r="Q1565" s="5" t="s">
        <v>1237</v>
      </c>
      <c r="R1565" s="5" t="s">
        <v>11222</v>
      </c>
      <c r="S1565" s="6" t="s">
        <v>71</v>
      </c>
      <c r="T1565" s="6">
        <v>6468.0</v>
      </c>
    </row>
    <row r="1566" ht="56.25" customHeight="1">
      <c r="A1566" s="5" t="s">
        <v>11210</v>
      </c>
      <c r="B1566" s="6" t="str">
        <f>image("https://storage.googleapis.com/acdb/photos/BromideNpcNmlDuk13_Remake_4_0.png")</f>
        <v/>
      </c>
      <c r="C1566" s="5" t="s">
        <v>1167</v>
      </c>
      <c r="D1566" s="5" t="s">
        <v>1327</v>
      </c>
      <c r="E1566" s="5" t="s">
        <v>34</v>
      </c>
      <c r="F1566" s="5" t="s">
        <v>34</v>
      </c>
      <c r="G1566" s="5" t="s">
        <v>36</v>
      </c>
      <c r="H1566" s="5" t="s">
        <v>35</v>
      </c>
      <c r="I1566" s="6">
        <v>1.0</v>
      </c>
      <c r="J1566" s="6" t="s">
        <v>37</v>
      </c>
      <c r="K1566" s="6">
        <v>10.0</v>
      </c>
      <c r="L1566" s="5"/>
      <c r="M1566" s="5"/>
      <c r="N1566" s="6" t="s">
        <v>40</v>
      </c>
      <c r="O1566" s="5" t="s">
        <v>5363</v>
      </c>
      <c r="P1566" s="6" t="s">
        <v>42</v>
      </c>
      <c r="Q1566" s="5" t="s">
        <v>1237</v>
      </c>
      <c r="R1566" s="5" t="s">
        <v>11225</v>
      </c>
      <c r="S1566" s="6" t="s">
        <v>75</v>
      </c>
      <c r="T1566" s="6">
        <v>6468.0</v>
      </c>
    </row>
    <row r="1567" ht="56.25" customHeight="1">
      <c r="A1567" s="5" t="s">
        <v>11210</v>
      </c>
      <c r="B1567" s="6" t="str">
        <f>image("https://storage.googleapis.com/acdb/photos/BromideNpcNmlDuk13_Remake_5_0.png")</f>
        <v/>
      </c>
      <c r="C1567" s="5" t="s">
        <v>58</v>
      </c>
      <c r="D1567" s="5" t="s">
        <v>1327</v>
      </c>
      <c r="E1567" s="5" t="s">
        <v>34</v>
      </c>
      <c r="F1567" s="5" t="s">
        <v>34</v>
      </c>
      <c r="G1567" s="5" t="s">
        <v>36</v>
      </c>
      <c r="H1567" s="5" t="s">
        <v>35</v>
      </c>
      <c r="I1567" s="6">
        <v>1.0</v>
      </c>
      <c r="J1567" s="6" t="s">
        <v>37</v>
      </c>
      <c r="K1567" s="6">
        <v>10.0</v>
      </c>
      <c r="L1567" s="5"/>
      <c r="M1567" s="5"/>
      <c r="N1567" s="6" t="s">
        <v>40</v>
      </c>
      <c r="O1567" s="5" t="s">
        <v>5363</v>
      </c>
      <c r="P1567" s="6" t="s">
        <v>42</v>
      </c>
      <c r="Q1567" s="5" t="s">
        <v>1237</v>
      </c>
      <c r="R1567" s="5" t="s">
        <v>11227</v>
      </c>
      <c r="S1567" s="6" t="s">
        <v>79</v>
      </c>
      <c r="T1567" s="6">
        <v>6468.0</v>
      </c>
    </row>
    <row r="1568" ht="56.25" customHeight="1">
      <c r="A1568" s="5" t="s">
        <v>11210</v>
      </c>
      <c r="B1568" s="6" t="str">
        <f>image("https://storage.googleapis.com/acdb/photos/BromideNpcNmlDuk13_Remake_6_0.png")</f>
        <v/>
      </c>
      <c r="C1568" s="5" t="s">
        <v>146</v>
      </c>
      <c r="D1568" s="5" t="s">
        <v>1327</v>
      </c>
      <c r="E1568" s="5" t="s">
        <v>34</v>
      </c>
      <c r="F1568" s="5" t="s">
        <v>34</v>
      </c>
      <c r="G1568" s="5" t="s">
        <v>36</v>
      </c>
      <c r="H1568" s="5" t="s">
        <v>35</v>
      </c>
      <c r="I1568" s="6">
        <v>1.0</v>
      </c>
      <c r="J1568" s="6" t="s">
        <v>37</v>
      </c>
      <c r="K1568" s="6">
        <v>10.0</v>
      </c>
      <c r="L1568" s="5"/>
      <c r="M1568" s="5"/>
      <c r="N1568" s="6" t="s">
        <v>40</v>
      </c>
      <c r="O1568" s="5" t="s">
        <v>5363</v>
      </c>
      <c r="P1568" s="6" t="s">
        <v>42</v>
      </c>
      <c r="Q1568" s="5" t="s">
        <v>1237</v>
      </c>
      <c r="R1568" s="5" t="s">
        <v>11230</v>
      </c>
      <c r="S1568" s="6" t="s">
        <v>86</v>
      </c>
      <c r="T1568" s="6">
        <v>6468.0</v>
      </c>
    </row>
    <row r="1569" ht="56.25" customHeight="1">
      <c r="A1569" s="5" t="s">
        <v>11210</v>
      </c>
      <c r="B1569" s="6" t="str">
        <f>image("https://storage.googleapis.com/acdb/photos/BromideNpcNmlDuk13_Remake_7_0.png")</f>
        <v/>
      </c>
      <c r="C1569" s="5" t="s">
        <v>151</v>
      </c>
      <c r="D1569" s="5" t="s">
        <v>1327</v>
      </c>
      <c r="E1569" s="5" t="s">
        <v>34</v>
      </c>
      <c r="F1569" s="5" t="s">
        <v>34</v>
      </c>
      <c r="G1569" s="5" t="s">
        <v>36</v>
      </c>
      <c r="H1569" s="5" t="s">
        <v>35</v>
      </c>
      <c r="I1569" s="6">
        <v>1.0</v>
      </c>
      <c r="J1569" s="6" t="s">
        <v>37</v>
      </c>
      <c r="K1569" s="6">
        <v>10.0</v>
      </c>
      <c r="L1569" s="5"/>
      <c r="M1569" s="5"/>
      <c r="N1569" s="6" t="s">
        <v>40</v>
      </c>
      <c r="O1569" s="5" t="s">
        <v>5363</v>
      </c>
      <c r="P1569" s="6" t="s">
        <v>42</v>
      </c>
      <c r="Q1569" s="5" t="s">
        <v>1237</v>
      </c>
      <c r="R1569" s="5" t="s">
        <v>11233</v>
      </c>
      <c r="S1569" s="6" t="s">
        <v>208</v>
      </c>
      <c r="T1569" s="6">
        <v>6468.0</v>
      </c>
    </row>
    <row r="1570" ht="56.25" customHeight="1">
      <c r="A1570" s="5" t="s">
        <v>11234</v>
      </c>
      <c r="B1570" s="6" t="str">
        <f>image("https://storage.googleapis.com/acdb/photos/BromideNpcNmlPig15_Remake_0_0.png")</f>
        <v/>
      </c>
      <c r="C1570" s="5" t="s">
        <v>366</v>
      </c>
      <c r="D1570" s="5" t="s">
        <v>1327</v>
      </c>
      <c r="E1570" s="5" t="s">
        <v>34</v>
      </c>
      <c r="F1570" s="5" t="s">
        <v>34</v>
      </c>
      <c r="G1570" s="5" t="s">
        <v>36</v>
      </c>
      <c r="H1570" s="5" t="s">
        <v>35</v>
      </c>
      <c r="I1570" s="6">
        <v>1.0</v>
      </c>
      <c r="J1570" s="6" t="s">
        <v>37</v>
      </c>
      <c r="K1570" s="6">
        <v>10.0</v>
      </c>
      <c r="L1570" s="5"/>
      <c r="M1570" s="5"/>
      <c r="N1570" s="6" t="s">
        <v>40</v>
      </c>
      <c r="O1570" s="5" t="s">
        <v>5363</v>
      </c>
      <c r="P1570" s="6" t="s">
        <v>42</v>
      </c>
      <c r="Q1570" s="5" t="s">
        <v>1237</v>
      </c>
      <c r="R1570" s="5" t="s">
        <v>11236</v>
      </c>
      <c r="S1570" s="6" t="s">
        <v>50</v>
      </c>
      <c r="T1570" s="6">
        <v>6658.0</v>
      </c>
    </row>
    <row r="1571" ht="56.25" customHeight="1">
      <c r="A1571" s="5" t="s">
        <v>11234</v>
      </c>
      <c r="B1571" s="6" t="str">
        <f>image("https://storage.googleapis.com/acdb/photos/BromideNpcNmlPig15_Remake_1_0.png")</f>
        <v/>
      </c>
      <c r="C1571" s="5" t="s">
        <v>1132</v>
      </c>
      <c r="D1571" s="5" t="s">
        <v>1327</v>
      </c>
      <c r="E1571" s="5" t="s">
        <v>34</v>
      </c>
      <c r="F1571" s="5" t="s">
        <v>34</v>
      </c>
      <c r="G1571" s="5" t="s">
        <v>36</v>
      </c>
      <c r="H1571" s="5" t="s">
        <v>35</v>
      </c>
      <c r="I1571" s="6">
        <v>1.0</v>
      </c>
      <c r="J1571" s="6" t="s">
        <v>37</v>
      </c>
      <c r="K1571" s="6">
        <v>10.0</v>
      </c>
      <c r="L1571" s="5"/>
      <c r="M1571" s="5"/>
      <c r="N1571" s="6" t="s">
        <v>40</v>
      </c>
      <c r="O1571" s="5" t="s">
        <v>5363</v>
      </c>
      <c r="P1571" s="6" t="s">
        <v>42</v>
      </c>
      <c r="Q1571" s="5" t="s">
        <v>1237</v>
      </c>
      <c r="R1571" s="5" t="s">
        <v>11239</v>
      </c>
      <c r="S1571" s="6" t="s">
        <v>56</v>
      </c>
      <c r="T1571" s="6">
        <v>6658.0</v>
      </c>
    </row>
    <row r="1572" ht="56.25" customHeight="1">
      <c r="A1572" s="5" t="s">
        <v>11234</v>
      </c>
      <c r="B1572" s="6" t="str">
        <f>image("https://storage.googleapis.com/acdb/photos/BromideNpcNmlPig15_Remake_2_0.png")</f>
        <v/>
      </c>
      <c r="C1572" s="5" t="s">
        <v>688</v>
      </c>
      <c r="D1572" s="5" t="s">
        <v>1327</v>
      </c>
      <c r="E1572" s="5" t="s">
        <v>34</v>
      </c>
      <c r="F1572" s="5" t="s">
        <v>34</v>
      </c>
      <c r="G1572" s="5" t="s">
        <v>36</v>
      </c>
      <c r="H1572" s="5" t="s">
        <v>35</v>
      </c>
      <c r="I1572" s="6">
        <v>1.0</v>
      </c>
      <c r="J1572" s="6" t="s">
        <v>37</v>
      </c>
      <c r="K1572" s="6">
        <v>10.0</v>
      </c>
      <c r="L1572" s="5"/>
      <c r="M1572" s="5"/>
      <c r="N1572" s="6" t="s">
        <v>40</v>
      </c>
      <c r="O1572" s="5" t="s">
        <v>5363</v>
      </c>
      <c r="P1572" s="6" t="s">
        <v>42</v>
      </c>
      <c r="Q1572" s="5" t="s">
        <v>1237</v>
      </c>
      <c r="R1572" s="5" t="s">
        <v>11241</v>
      </c>
      <c r="S1572" s="6" t="s">
        <v>67</v>
      </c>
      <c r="T1572" s="6">
        <v>6658.0</v>
      </c>
    </row>
    <row r="1573" ht="56.25" customHeight="1">
      <c r="A1573" s="5" t="s">
        <v>11234</v>
      </c>
      <c r="B1573" s="6" t="str">
        <f>image("https://storage.googleapis.com/acdb/photos/BromideNpcNmlPig15_Remake_3_0.png")</f>
        <v/>
      </c>
      <c r="C1573" s="5" t="s">
        <v>57</v>
      </c>
      <c r="D1573" s="5" t="s">
        <v>1327</v>
      </c>
      <c r="E1573" s="5" t="s">
        <v>34</v>
      </c>
      <c r="F1573" s="5" t="s">
        <v>34</v>
      </c>
      <c r="G1573" s="5" t="s">
        <v>36</v>
      </c>
      <c r="H1573" s="5" t="s">
        <v>35</v>
      </c>
      <c r="I1573" s="6">
        <v>1.0</v>
      </c>
      <c r="J1573" s="6" t="s">
        <v>37</v>
      </c>
      <c r="K1573" s="6">
        <v>10.0</v>
      </c>
      <c r="L1573" s="5"/>
      <c r="M1573" s="5"/>
      <c r="N1573" s="6" t="s">
        <v>40</v>
      </c>
      <c r="O1573" s="5" t="s">
        <v>5363</v>
      </c>
      <c r="P1573" s="6" t="s">
        <v>42</v>
      </c>
      <c r="Q1573" s="5" t="s">
        <v>1237</v>
      </c>
      <c r="R1573" s="5" t="s">
        <v>11244</v>
      </c>
      <c r="S1573" s="6" t="s">
        <v>71</v>
      </c>
      <c r="T1573" s="6">
        <v>6658.0</v>
      </c>
    </row>
    <row r="1574" ht="56.25" customHeight="1">
      <c r="A1574" s="5" t="s">
        <v>11234</v>
      </c>
      <c r="B1574" s="6" t="str">
        <f>image("https://storage.googleapis.com/acdb/photos/BromideNpcNmlPig15_Remake_4_0.png")</f>
        <v/>
      </c>
      <c r="C1574" s="5" t="s">
        <v>1167</v>
      </c>
      <c r="D1574" s="5" t="s">
        <v>1327</v>
      </c>
      <c r="E1574" s="5" t="s">
        <v>34</v>
      </c>
      <c r="F1574" s="5" t="s">
        <v>34</v>
      </c>
      <c r="G1574" s="5" t="s">
        <v>36</v>
      </c>
      <c r="H1574" s="5" t="s">
        <v>35</v>
      </c>
      <c r="I1574" s="6">
        <v>1.0</v>
      </c>
      <c r="J1574" s="6" t="s">
        <v>37</v>
      </c>
      <c r="K1574" s="6">
        <v>10.0</v>
      </c>
      <c r="L1574" s="5"/>
      <c r="M1574" s="5"/>
      <c r="N1574" s="6" t="s">
        <v>40</v>
      </c>
      <c r="O1574" s="5" t="s">
        <v>5363</v>
      </c>
      <c r="P1574" s="6" t="s">
        <v>42</v>
      </c>
      <c r="Q1574" s="5" t="s">
        <v>1237</v>
      </c>
      <c r="R1574" s="5" t="s">
        <v>11247</v>
      </c>
      <c r="S1574" s="6" t="s">
        <v>75</v>
      </c>
      <c r="T1574" s="6">
        <v>6658.0</v>
      </c>
    </row>
    <row r="1575" ht="56.25" customHeight="1">
      <c r="A1575" s="5" t="s">
        <v>11234</v>
      </c>
      <c r="B1575" s="6" t="str">
        <f>image("https://storage.googleapis.com/acdb/photos/BromideNpcNmlPig15_Remake_5_0.png")</f>
        <v/>
      </c>
      <c r="C1575" s="5" t="s">
        <v>58</v>
      </c>
      <c r="D1575" s="5" t="s">
        <v>1327</v>
      </c>
      <c r="E1575" s="5" t="s">
        <v>34</v>
      </c>
      <c r="F1575" s="5" t="s">
        <v>34</v>
      </c>
      <c r="G1575" s="5" t="s">
        <v>36</v>
      </c>
      <c r="H1575" s="5" t="s">
        <v>35</v>
      </c>
      <c r="I1575" s="6">
        <v>1.0</v>
      </c>
      <c r="J1575" s="6" t="s">
        <v>37</v>
      </c>
      <c r="K1575" s="6">
        <v>10.0</v>
      </c>
      <c r="L1575" s="5"/>
      <c r="M1575" s="5"/>
      <c r="N1575" s="6" t="s">
        <v>40</v>
      </c>
      <c r="O1575" s="5" t="s">
        <v>5363</v>
      </c>
      <c r="P1575" s="6" t="s">
        <v>42</v>
      </c>
      <c r="Q1575" s="5" t="s">
        <v>1237</v>
      </c>
      <c r="R1575" s="5" t="s">
        <v>11249</v>
      </c>
      <c r="S1575" s="6" t="s">
        <v>79</v>
      </c>
      <c r="T1575" s="6">
        <v>6658.0</v>
      </c>
    </row>
    <row r="1576" ht="56.25" customHeight="1">
      <c r="A1576" s="5" t="s">
        <v>11234</v>
      </c>
      <c r="B1576" s="6" t="str">
        <f>image("https://storage.googleapis.com/acdb/photos/BromideNpcNmlPig15_Remake_6_0.png")</f>
        <v/>
      </c>
      <c r="C1576" s="5" t="s">
        <v>146</v>
      </c>
      <c r="D1576" s="5" t="s">
        <v>1327</v>
      </c>
      <c r="E1576" s="5" t="s">
        <v>34</v>
      </c>
      <c r="F1576" s="5" t="s">
        <v>34</v>
      </c>
      <c r="G1576" s="5" t="s">
        <v>36</v>
      </c>
      <c r="H1576" s="5" t="s">
        <v>35</v>
      </c>
      <c r="I1576" s="6">
        <v>1.0</v>
      </c>
      <c r="J1576" s="6" t="s">
        <v>37</v>
      </c>
      <c r="K1576" s="6">
        <v>10.0</v>
      </c>
      <c r="L1576" s="5"/>
      <c r="M1576" s="5"/>
      <c r="N1576" s="6" t="s">
        <v>40</v>
      </c>
      <c r="O1576" s="5" t="s">
        <v>5363</v>
      </c>
      <c r="P1576" s="6" t="s">
        <v>42</v>
      </c>
      <c r="Q1576" s="5" t="s">
        <v>1237</v>
      </c>
      <c r="R1576" s="5" t="s">
        <v>11251</v>
      </c>
      <c r="S1576" s="6" t="s">
        <v>86</v>
      </c>
      <c r="T1576" s="6">
        <v>6658.0</v>
      </c>
    </row>
    <row r="1577" ht="56.25" customHeight="1">
      <c r="A1577" s="5" t="s">
        <v>11234</v>
      </c>
      <c r="B1577" s="6" t="str">
        <f>image("https://storage.googleapis.com/acdb/photos/BromideNpcNmlPig15_Remake_7_0.png")</f>
        <v/>
      </c>
      <c r="C1577" s="5" t="s">
        <v>151</v>
      </c>
      <c r="D1577" s="5" t="s">
        <v>1327</v>
      </c>
      <c r="E1577" s="5" t="s">
        <v>34</v>
      </c>
      <c r="F1577" s="5" t="s">
        <v>34</v>
      </c>
      <c r="G1577" s="5" t="s">
        <v>36</v>
      </c>
      <c r="H1577" s="5" t="s">
        <v>35</v>
      </c>
      <c r="I1577" s="6">
        <v>1.0</v>
      </c>
      <c r="J1577" s="6" t="s">
        <v>37</v>
      </c>
      <c r="K1577" s="6">
        <v>10.0</v>
      </c>
      <c r="L1577" s="5"/>
      <c r="M1577" s="5"/>
      <c r="N1577" s="6" t="s">
        <v>40</v>
      </c>
      <c r="O1577" s="5" t="s">
        <v>5363</v>
      </c>
      <c r="P1577" s="6" t="s">
        <v>42</v>
      </c>
      <c r="Q1577" s="5" t="s">
        <v>1237</v>
      </c>
      <c r="R1577" s="5" t="s">
        <v>11254</v>
      </c>
      <c r="S1577" s="6" t="s">
        <v>208</v>
      </c>
      <c r="T1577" s="6">
        <v>6658.0</v>
      </c>
    </row>
    <row r="1578" ht="56.25" customHeight="1">
      <c r="A1578" s="5" t="s">
        <v>11255</v>
      </c>
      <c r="B1578" s="6" t="str">
        <f>image("https://storage.googleapis.com/acdb/photos/BromideNpcNmlCat10_Remake_0_0.png")</f>
        <v/>
      </c>
      <c r="C1578" s="5" t="s">
        <v>366</v>
      </c>
      <c r="D1578" s="5" t="s">
        <v>1327</v>
      </c>
      <c r="E1578" s="5" t="s">
        <v>34</v>
      </c>
      <c r="F1578" s="5" t="s">
        <v>34</v>
      </c>
      <c r="G1578" s="5" t="s">
        <v>36</v>
      </c>
      <c r="H1578" s="5" t="s">
        <v>35</v>
      </c>
      <c r="I1578" s="6">
        <v>1.0</v>
      </c>
      <c r="J1578" s="6" t="s">
        <v>37</v>
      </c>
      <c r="K1578" s="6">
        <v>10.0</v>
      </c>
      <c r="L1578" s="5"/>
      <c r="M1578" s="5"/>
      <c r="N1578" s="6" t="s">
        <v>40</v>
      </c>
      <c r="O1578" s="5" t="s">
        <v>5363</v>
      </c>
      <c r="P1578" s="6" t="s">
        <v>42</v>
      </c>
      <c r="Q1578" s="5" t="s">
        <v>1237</v>
      </c>
      <c r="R1578" s="5" t="s">
        <v>11261</v>
      </c>
      <c r="S1578" s="6" t="s">
        <v>50</v>
      </c>
      <c r="T1578" s="6">
        <v>6756.0</v>
      </c>
    </row>
    <row r="1579" ht="56.25" customHeight="1">
      <c r="A1579" s="5" t="s">
        <v>11255</v>
      </c>
      <c r="B1579" s="6" t="str">
        <f>image("https://storage.googleapis.com/acdb/photos/BromideNpcNmlCat10_Remake_1_0.png")</f>
        <v/>
      </c>
      <c r="C1579" s="5" t="s">
        <v>1132</v>
      </c>
      <c r="D1579" s="5" t="s">
        <v>1327</v>
      </c>
      <c r="E1579" s="5" t="s">
        <v>34</v>
      </c>
      <c r="F1579" s="5" t="s">
        <v>34</v>
      </c>
      <c r="G1579" s="5" t="s">
        <v>36</v>
      </c>
      <c r="H1579" s="5" t="s">
        <v>35</v>
      </c>
      <c r="I1579" s="6">
        <v>1.0</v>
      </c>
      <c r="J1579" s="6" t="s">
        <v>37</v>
      </c>
      <c r="K1579" s="6">
        <v>10.0</v>
      </c>
      <c r="L1579" s="5"/>
      <c r="M1579" s="5"/>
      <c r="N1579" s="6" t="s">
        <v>40</v>
      </c>
      <c r="O1579" s="5" t="s">
        <v>5363</v>
      </c>
      <c r="P1579" s="6" t="s">
        <v>42</v>
      </c>
      <c r="Q1579" s="5" t="s">
        <v>1237</v>
      </c>
      <c r="R1579" s="5" t="s">
        <v>11263</v>
      </c>
      <c r="S1579" s="6" t="s">
        <v>56</v>
      </c>
      <c r="T1579" s="6">
        <v>6756.0</v>
      </c>
    </row>
    <row r="1580" ht="56.25" customHeight="1">
      <c r="A1580" s="5" t="s">
        <v>11255</v>
      </c>
      <c r="B1580" s="6" t="str">
        <f>image("https://storage.googleapis.com/acdb/photos/BromideNpcNmlCat10_Remake_2_0.png")</f>
        <v/>
      </c>
      <c r="C1580" s="5" t="s">
        <v>688</v>
      </c>
      <c r="D1580" s="5" t="s">
        <v>1327</v>
      </c>
      <c r="E1580" s="5" t="s">
        <v>34</v>
      </c>
      <c r="F1580" s="5" t="s">
        <v>34</v>
      </c>
      <c r="G1580" s="5" t="s">
        <v>36</v>
      </c>
      <c r="H1580" s="5" t="s">
        <v>35</v>
      </c>
      <c r="I1580" s="6">
        <v>1.0</v>
      </c>
      <c r="J1580" s="6" t="s">
        <v>37</v>
      </c>
      <c r="K1580" s="6">
        <v>10.0</v>
      </c>
      <c r="L1580" s="5"/>
      <c r="M1580" s="5"/>
      <c r="N1580" s="6" t="s">
        <v>40</v>
      </c>
      <c r="O1580" s="5" t="s">
        <v>5363</v>
      </c>
      <c r="P1580" s="6" t="s">
        <v>42</v>
      </c>
      <c r="Q1580" s="5" t="s">
        <v>1237</v>
      </c>
      <c r="R1580" s="5" t="s">
        <v>11266</v>
      </c>
      <c r="S1580" s="6" t="s">
        <v>67</v>
      </c>
      <c r="T1580" s="6">
        <v>6756.0</v>
      </c>
    </row>
    <row r="1581" ht="56.25" customHeight="1">
      <c r="A1581" s="5" t="s">
        <v>11255</v>
      </c>
      <c r="B1581" s="6" t="str">
        <f>image("https://storage.googleapis.com/acdb/photos/BromideNpcNmlCat10_Remake_3_0.png")</f>
        <v/>
      </c>
      <c r="C1581" s="5" t="s">
        <v>57</v>
      </c>
      <c r="D1581" s="5" t="s">
        <v>1327</v>
      </c>
      <c r="E1581" s="5" t="s">
        <v>34</v>
      </c>
      <c r="F1581" s="5" t="s">
        <v>34</v>
      </c>
      <c r="G1581" s="5" t="s">
        <v>36</v>
      </c>
      <c r="H1581" s="5" t="s">
        <v>35</v>
      </c>
      <c r="I1581" s="6">
        <v>1.0</v>
      </c>
      <c r="J1581" s="6" t="s">
        <v>37</v>
      </c>
      <c r="K1581" s="6">
        <v>10.0</v>
      </c>
      <c r="L1581" s="5"/>
      <c r="M1581" s="5"/>
      <c r="N1581" s="6" t="s">
        <v>40</v>
      </c>
      <c r="O1581" s="5" t="s">
        <v>5363</v>
      </c>
      <c r="P1581" s="6" t="s">
        <v>42</v>
      </c>
      <c r="Q1581" s="5" t="s">
        <v>1237</v>
      </c>
      <c r="R1581" s="5" t="s">
        <v>11268</v>
      </c>
      <c r="S1581" s="6" t="s">
        <v>71</v>
      </c>
      <c r="T1581" s="6">
        <v>6756.0</v>
      </c>
    </row>
    <row r="1582" ht="56.25" customHeight="1">
      <c r="A1582" s="5" t="s">
        <v>11255</v>
      </c>
      <c r="B1582" s="6" t="str">
        <f>image("https://storage.googleapis.com/acdb/photos/BromideNpcNmlCat10_Remake_4_0.png")</f>
        <v/>
      </c>
      <c r="C1582" s="5" t="s">
        <v>1167</v>
      </c>
      <c r="D1582" s="5" t="s">
        <v>1327</v>
      </c>
      <c r="E1582" s="5" t="s">
        <v>34</v>
      </c>
      <c r="F1582" s="5" t="s">
        <v>34</v>
      </c>
      <c r="G1582" s="5" t="s">
        <v>36</v>
      </c>
      <c r="H1582" s="5" t="s">
        <v>35</v>
      </c>
      <c r="I1582" s="6">
        <v>1.0</v>
      </c>
      <c r="J1582" s="6" t="s">
        <v>37</v>
      </c>
      <c r="K1582" s="6">
        <v>10.0</v>
      </c>
      <c r="L1582" s="5"/>
      <c r="M1582" s="5"/>
      <c r="N1582" s="6" t="s">
        <v>40</v>
      </c>
      <c r="O1582" s="5" t="s">
        <v>5363</v>
      </c>
      <c r="P1582" s="6" t="s">
        <v>42</v>
      </c>
      <c r="Q1582" s="5" t="s">
        <v>1237</v>
      </c>
      <c r="R1582" s="5" t="s">
        <v>11270</v>
      </c>
      <c r="S1582" s="6" t="s">
        <v>75</v>
      </c>
      <c r="T1582" s="6">
        <v>6756.0</v>
      </c>
    </row>
    <row r="1583" ht="56.25" customHeight="1">
      <c r="A1583" s="5" t="s">
        <v>11255</v>
      </c>
      <c r="B1583" s="6" t="str">
        <f>image("https://storage.googleapis.com/acdb/photos/BromideNpcNmlCat10_Remake_5_0.png")</f>
        <v/>
      </c>
      <c r="C1583" s="5" t="s">
        <v>58</v>
      </c>
      <c r="D1583" s="5" t="s">
        <v>1327</v>
      </c>
      <c r="E1583" s="5" t="s">
        <v>34</v>
      </c>
      <c r="F1583" s="5" t="s">
        <v>34</v>
      </c>
      <c r="G1583" s="5" t="s">
        <v>36</v>
      </c>
      <c r="H1583" s="5" t="s">
        <v>35</v>
      </c>
      <c r="I1583" s="6">
        <v>1.0</v>
      </c>
      <c r="J1583" s="6" t="s">
        <v>37</v>
      </c>
      <c r="K1583" s="6">
        <v>10.0</v>
      </c>
      <c r="L1583" s="5"/>
      <c r="M1583" s="5"/>
      <c r="N1583" s="6" t="s">
        <v>40</v>
      </c>
      <c r="O1583" s="5" t="s">
        <v>5363</v>
      </c>
      <c r="P1583" s="6" t="s">
        <v>42</v>
      </c>
      <c r="Q1583" s="5" t="s">
        <v>1237</v>
      </c>
      <c r="R1583" s="5" t="s">
        <v>11274</v>
      </c>
      <c r="S1583" s="6" t="s">
        <v>79</v>
      </c>
      <c r="T1583" s="6">
        <v>6756.0</v>
      </c>
    </row>
    <row r="1584" ht="56.25" customHeight="1">
      <c r="A1584" s="5" t="s">
        <v>11255</v>
      </c>
      <c r="B1584" s="6" t="str">
        <f>image("https://storage.googleapis.com/acdb/photos/BromideNpcNmlCat10_Remake_6_0.png")</f>
        <v/>
      </c>
      <c r="C1584" s="5" t="s">
        <v>146</v>
      </c>
      <c r="D1584" s="5" t="s">
        <v>1327</v>
      </c>
      <c r="E1584" s="5" t="s">
        <v>34</v>
      </c>
      <c r="F1584" s="5" t="s">
        <v>34</v>
      </c>
      <c r="G1584" s="5" t="s">
        <v>36</v>
      </c>
      <c r="H1584" s="5" t="s">
        <v>35</v>
      </c>
      <c r="I1584" s="6">
        <v>1.0</v>
      </c>
      <c r="J1584" s="6" t="s">
        <v>37</v>
      </c>
      <c r="K1584" s="6">
        <v>10.0</v>
      </c>
      <c r="L1584" s="5"/>
      <c r="M1584" s="5"/>
      <c r="N1584" s="6" t="s">
        <v>40</v>
      </c>
      <c r="O1584" s="5" t="s">
        <v>5363</v>
      </c>
      <c r="P1584" s="6" t="s">
        <v>42</v>
      </c>
      <c r="Q1584" s="5" t="s">
        <v>1237</v>
      </c>
      <c r="R1584" s="5" t="s">
        <v>11277</v>
      </c>
      <c r="S1584" s="6" t="s">
        <v>86</v>
      </c>
      <c r="T1584" s="6">
        <v>6756.0</v>
      </c>
    </row>
    <row r="1585" ht="56.25" customHeight="1">
      <c r="A1585" s="5" t="s">
        <v>11255</v>
      </c>
      <c r="B1585" s="6" t="str">
        <f>image("https://storage.googleapis.com/acdb/photos/BromideNpcNmlCat10_Remake_7_0.png")</f>
        <v/>
      </c>
      <c r="C1585" s="5" t="s">
        <v>151</v>
      </c>
      <c r="D1585" s="5" t="s">
        <v>1327</v>
      </c>
      <c r="E1585" s="5" t="s">
        <v>34</v>
      </c>
      <c r="F1585" s="5" t="s">
        <v>34</v>
      </c>
      <c r="G1585" s="5" t="s">
        <v>36</v>
      </c>
      <c r="H1585" s="5" t="s">
        <v>35</v>
      </c>
      <c r="I1585" s="6">
        <v>1.0</v>
      </c>
      <c r="J1585" s="6" t="s">
        <v>37</v>
      </c>
      <c r="K1585" s="6">
        <v>10.0</v>
      </c>
      <c r="L1585" s="5"/>
      <c r="M1585" s="5"/>
      <c r="N1585" s="6" t="s">
        <v>40</v>
      </c>
      <c r="O1585" s="5" t="s">
        <v>5363</v>
      </c>
      <c r="P1585" s="6" t="s">
        <v>42</v>
      </c>
      <c r="Q1585" s="5" t="s">
        <v>1237</v>
      </c>
      <c r="R1585" s="5" t="s">
        <v>11280</v>
      </c>
      <c r="S1585" s="6" t="s">
        <v>208</v>
      </c>
      <c r="T1585" s="6">
        <v>6756.0</v>
      </c>
    </row>
    <row r="1586" ht="56.25" customHeight="1">
      <c r="A1586" s="5" t="s">
        <v>11281</v>
      </c>
      <c r="B1586" s="6" t="str">
        <f>image("https://storage.googleapis.com/acdb/photos/BromideNpcNmlGoa07_Remake_0_0.png")</f>
        <v/>
      </c>
      <c r="C1586" s="5" t="s">
        <v>366</v>
      </c>
      <c r="D1586" s="5" t="s">
        <v>1327</v>
      </c>
      <c r="E1586" s="5" t="s">
        <v>34</v>
      </c>
      <c r="F1586" s="5" t="s">
        <v>34</v>
      </c>
      <c r="G1586" s="5" t="s">
        <v>36</v>
      </c>
      <c r="H1586" s="5" t="s">
        <v>35</v>
      </c>
      <c r="I1586" s="6">
        <v>1.0</v>
      </c>
      <c r="J1586" s="6" t="s">
        <v>37</v>
      </c>
      <c r="K1586" s="6">
        <v>10.0</v>
      </c>
      <c r="L1586" s="5"/>
      <c r="M1586" s="5"/>
      <c r="N1586" s="6" t="s">
        <v>40</v>
      </c>
      <c r="O1586" s="5" t="s">
        <v>5363</v>
      </c>
      <c r="P1586" s="6" t="s">
        <v>42</v>
      </c>
      <c r="Q1586" s="5" t="s">
        <v>1237</v>
      </c>
      <c r="R1586" s="5" t="s">
        <v>11282</v>
      </c>
      <c r="S1586" s="6" t="s">
        <v>50</v>
      </c>
      <c r="T1586" s="6">
        <v>6509.0</v>
      </c>
    </row>
    <row r="1587" ht="56.25" customHeight="1">
      <c r="A1587" s="5" t="s">
        <v>11281</v>
      </c>
      <c r="B1587" s="6" t="str">
        <f>image("https://storage.googleapis.com/acdb/photos/BromideNpcNmlGoa07_Remake_1_0.png")</f>
        <v/>
      </c>
      <c r="C1587" s="5" t="s">
        <v>1132</v>
      </c>
      <c r="D1587" s="5" t="s">
        <v>1327</v>
      </c>
      <c r="E1587" s="5" t="s">
        <v>34</v>
      </c>
      <c r="F1587" s="5" t="s">
        <v>34</v>
      </c>
      <c r="G1587" s="5" t="s">
        <v>36</v>
      </c>
      <c r="H1587" s="5" t="s">
        <v>35</v>
      </c>
      <c r="I1587" s="6">
        <v>1.0</v>
      </c>
      <c r="J1587" s="6" t="s">
        <v>37</v>
      </c>
      <c r="K1587" s="6">
        <v>10.0</v>
      </c>
      <c r="L1587" s="5"/>
      <c r="M1587" s="5"/>
      <c r="N1587" s="6" t="s">
        <v>40</v>
      </c>
      <c r="O1587" s="5" t="s">
        <v>5363</v>
      </c>
      <c r="P1587" s="6" t="s">
        <v>42</v>
      </c>
      <c r="Q1587" s="5" t="s">
        <v>1237</v>
      </c>
      <c r="R1587" s="5" t="s">
        <v>11285</v>
      </c>
      <c r="S1587" s="6" t="s">
        <v>56</v>
      </c>
      <c r="T1587" s="6">
        <v>6509.0</v>
      </c>
    </row>
    <row r="1588" ht="56.25" customHeight="1">
      <c r="A1588" s="5" t="s">
        <v>11281</v>
      </c>
      <c r="B1588" s="6" t="str">
        <f>image("https://storage.googleapis.com/acdb/photos/BromideNpcNmlGoa07_Remake_2_0.png")</f>
        <v/>
      </c>
      <c r="C1588" s="5" t="s">
        <v>688</v>
      </c>
      <c r="D1588" s="5" t="s">
        <v>1327</v>
      </c>
      <c r="E1588" s="5" t="s">
        <v>34</v>
      </c>
      <c r="F1588" s="5" t="s">
        <v>34</v>
      </c>
      <c r="G1588" s="5" t="s">
        <v>36</v>
      </c>
      <c r="H1588" s="5" t="s">
        <v>35</v>
      </c>
      <c r="I1588" s="6">
        <v>1.0</v>
      </c>
      <c r="J1588" s="6" t="s">
        <v>37</v>
      </c>
      <c r="K1588" s="6">
        <v>10.0</v>
      </c>
      <c r="L1588" s="5"/>
      <c r="M1588" s="5"/>
      <c r="N1588" s="6" t="s">
        <v>40</v>
      </c>
      <c r="O1588" s="5" t="s">
        <v>5363</v>
      </c>
      <c r="P1588" s="6" t="s">
        <v>42</v>
      </c>
      <c r="Q1588" s="5" t="s">
        <v>1237</v>
      </c>
      <c r="R1588" s="5" t="s">
        <v>11286</v>
      </c>
      <c r="S1588" s="6" t="s">
        <v>67</v>
      </c>
      <c r="T1588" s="6">
        <v>6509.0</v>
      </c>
    </row>
    <row r="1589" ht="56.25" customHeight="1">
      <c r="A1589" s="5" t="s">
        <v>11281</v>
      </c>
      <c r="B1589" s="6" t="str">
        <f>image("https://storage.googleapis.com/acdb/photos/BromideNpcNmlGoa07_Remake_3_0.png")</f>
        <v/>
      </c>
      <c r="C1589" s="5" t="s">
        <v>57</v>
      </c>
      <c r="D1589" s="5" t="s">
        <v>1327</v>
      </c>
      <c r="E1589" s="5" t="s">
        <v>34</v>
      </c>
      <c r="F1589" s="5" t="s">
        <v>34</v>
      </c>
      <c r="G1589" s="5" t="s">
        <v>36</v>
      </c>
      <c r="H1589" s="5" t="s">
        <v>35</v>
      </c>
      <c r="I1589" s="6">
        <v>1.0</v>
      </c>
      <c r="J1589" s="6" t="s">
        <v>37</v>
      </c>
      <c r="K1589" s="6">
        <v>10.0</v>
      </c>
      <c r="L1589" s="5"/>
      <c r="M1589" s="5"/>
      <c r="N1589" s="6" t="s">
        <v>40</v>
      </c>
      <c r="O1589" s="5" t="s">
        <v>5363</v>
      </c>
      <c r="P1589" s="6" t="s">
        <v>42</v>
      </c>
      <c r="Q1589" s="5" t="s">
        <v>1237</v>
      </c>
      <c r="R1589" s="5" t="s">
        <v>11288</v>
      </c>
      <c r="S1589" s="6" t="s">
        <v>71</v>
      </c>
      <c r="T1589" s="6">
        <v>6509.0</v>
      </c>
    </row>
    <row r="1590" ht="56.25" customHeight="1">
      <c r="A1590" s="5" t="s">
        <v>11281</v>
      </c>
      <c r="B1590" s="6" t="str">
        <f>image("https://storage.googleapis.com/acdb/photos/BromideNpcNmlGoa07_Remake_4_0.png")</f>
        <v/>
      </c>
      <c r="C1590" s="5" t="s">
        <v>1167</v>
      </c>
      <c r="D1590" s="5" t="s">
        <v>1327</v>
      </c>
      <c r="E1590" s="5" t="s">
        <v>34</v>
      </c>
      <c r="F1590" s="5" t="s">
        <v>34</v>
      </c>
      <c r="G1590" s="5" t="s">
        <v>36</v>
      </c>
      <c r="H1590" s="5" t="s">
        <v>35</v>
      </c>
      <c r="I1590" s="6">
        <v>1.0</v>
      </c>
      <c r="J1590" s="6" t="s">
        <v>37</v>
      </c>
      <c r="K1590" s="6">
        <v>10.0</v>
      </c>
      <c r="L1590" s="5"/>
      <c r="M1590" s="5"/>
      <c r="N1590" s="6" t="s">
        <v>40</v>
      </c>
      <c r="O1590" s="5" t="s">
        <v>5363</v>
      </c>
      <c r="P1590" s="6" t="s">
        <v>42</v>
      </c>
      <c r="Q1590" s="5" t="s">
        <v>1237</v>
      </c>
      <c r="R1590" s="5" t="s">
        <v>11291</v>
      </c>
      <c r="S1590" s="6" t="s">
        <v>75</v>
      </c>
      <c r="T1590" s="6">
        <v>6509.0</v>
      </c>
    </row>
    <row r="1591" ht="56.25" customHeight="1">
      <c r="A1591" s="5" t="s">
        <v>11281</v>
      </c>
      <c r="B1591" s="6" t="str">
        <f>image("https://storage.googleapis.com/acdb/photos/BromideNpcNmlGoa07_Remake_5_0.png")</f>
        <v/>
      </c>
      <c r="C1591" s="5" t="s">
        <v>58</v>
      </c>
      <c r="D1591" s="5" t="s">
        <v>1327</v>
      </c>
      <c r="E1591" s="5" t="s">
        <v>34</v>
      </c>
      <c r="F1591" s="5" t="s">
        <v>34</v>
      </c>
      <c r="G1591" s="5" t="s">
        <v>36</v>
      </c>
      <c r="H1591" s="5" t="s">
        <v>35</v>
      </c>
      <c r="I1591" s="6">
        <v>1.0</v>
      </c>
      <c r="J1591" s="6" t="s">
        <v>37</v>
      </c>
      <c r="K1591" s="6">
        <v>10.0</v>
      </c>
      <c r="L1591" s="5"/>
      <c r="M1591" s="5"/>
      <c r="N1591" s="6" t="s">
        <v>40</v>
      </c>
      <c r="O1591" s="5" t="s">
        <v>5363</v>
      </c>
      <c r="P1591" s="6" t="s">
        <v>42</v>
      </c>
      <c r="Q1591" s="5" t="s">
        <v>1237</v>
      </c>
      <c r="R1591" s="5" t="s">
        <v>11294</v>
      </c>
      <c r="S1591" s="6" t="s">
        <v>79</v>
      </c>
      <c r="T1591" s="6">
        <v>6509.0</v>
      </c>
    </row>
    <row r="1592" ht="56.25" customHeight="1">
      <c r="A1592" s="5" t="s">
        <v>11281</v>
      </c>
      <c r="B1592" s="6" t="str">
        <f>image("https://storage.googleapis.com/acdb/photos/BromideNpcNmlGoa07_Remake_6_0.png")</f>
        <v/>
      </c>
      <c r="C1592" s="5" t="s">
        <v>146</v>
      </c>
      <c r="D1592" s="5" t="s">
        <v>1327</v>
      </c>
      <c r="E1592" s="5" t="s">
        <v>34</v>
      </c>
      <c r="F1592" s="5" t="s">
        <v>34</v>
      </c>
      <c r="G1592" s="5" t="s">
        <v>36</v>
      </c>
      <c r="H1592" s="5" t="s">
        <v>35</v>
      </c>
      <c r="I1592" s="6">
        <v>1.0</v>
      </c>
      <c r="J1592" s="6" t="s">
        <v>37</v>
      </c>
      <c r="K1592" s="6">
        <v>10.0</v>
      </c>
      <c r="L1592" s="5"/>
      <c r="M1592" s="5"/>
      <c r="N1592" s="6" t="s">
        <v>40</v>
      </c>
      <c r="O1592" s="5" t="s">
        <v>5363</v>
      </c>
      <c r="P1592" s="6" t="s">
        <v>42</v>
      </c>
      <c r="Q1592" s="5" t="s">
        <v>1237</v>
      </c>
      <c r="R1592" s="5" t="s">
        <v>11296</v>
      </c>
      <c r="S1592" s="6" t="s">
        <v>86</v>
      </c>
      <c r="T1592" s="6">
        <v>6509.0</v>
      </c>
    </row>
    <row r="1593" ht="56.25" customHeight="1">
      <c r="A1593" s="5" t="s">
        <v>11281</v>
      </c>
      <c r="B1593" s="6" t="str">
        <f>image("https://storage.googleapis.com/acdb/photos/BromideNpcNmlGoa07_Remake_7_0.png")</f>
        <v/>
      </c>
      <c r="C1593" s="5" t="s">
        <v>151</v>
      </c>
      <c r="D1593" s="5" t="s">
        <v>1327</v>
      </c>
      <c r="E1593" s="5" t="s">
        <v>34</v>
      </c>
      <c r="F1593" s="5" t="s">
        <v>34</v>
      </c>
      <c r="G1593" s="5" t="s">
        <v>36</v>
      </c>
      <c r="H1593" s="5" t="s">
        <v>35</v>
      </c>
      <c r="I1593" s="6">
        <v>1.0</v>
      </c>
      <c r="J1593" s="6" t="s">
        <v>37</v>
      </c>
      <c r="K1593" s="6">
        <v>10.0</v>
      </c>
      <c r="L1593" s="5"/>
      <c r="M1593" s="5"/>
      <c r="N1593" s="6" t="s">
        <v>40</v>
      </c>
      <c r="O1593" s="5" t="s">
        <v>5363</v>
      </c>
      <c r="P1593" s="6" t="s">
        <v>42</v>
      </c>
      <c r="Q1593" s="5" t="s">
        <v>1237</v>
      </c>
      <c r="R1593" s="5" t="s">
        <v>11298</v>
      </c>
      <c r="S1593" s="6" t="s">
        <v>208</v>
      </c>
      <c r="T1593" s="6">
        <v>6509.0</v>
      </c>
    </row>
    <row r="1594" ht="56.25" customHeight="1">
      <c r="A1594" s="5" t="s">
        <v>11299</v>
      </c>
      <c r="B1594" s="6" t="str">
        <f>image("https://storage.googleapis.com/acdb/photos/BromideNpcNmlCat04_Remake_0_0.png")</f>
        <v/>
      </c>
      <c r="C1594" s="5" t="s">
        <v>366</v>
      </c>
      <c r="D1594" s="5" t="s">
        <v>1327</v>
      </c>
      <c r="E1594" s="5" t="s">
        <v>34</v>
      </c>
      <c r="F1594" s="5" t="s">
        <v>34</v>
      </c>
      <c r="G1594" s="5" t="s">
        <v>36</v>
      </c>
      <c r="H1594" s="5" t="s">
        <v>35</v>
      </c>
      <c r="I1594" s="6">
        <v>1.0</v>
      </c>
      <c r="J1594" s="6" t="s">
        <v>37</v>
      </c>
      <c r="K1594" s="6">
        <v>10.0</v>
      </c>
      <c r="L1594" s="5"/>
      <c r="M1594" s="5"/>
      <c r="N1594" s="6" t="s">
        <v>40</v>
      </c>
      <c r="O1594" s="5" t="s">
        <v>5363</v>
      </c>
      <c r="P1594" s="6" t="s">
        <v>42</v>
      </c>
      <c r="Q1594" s="5" t="s">
        <v>1237</v>
      </c>
      <c r="R1594" s="5" t="s">
        <v>11303</v>
      </c>
      <c r="S1594" s="6" t="s">
        <v>50</v>
      </c>
      <c r="T1594" s="6">
        <v>6749.0</v>
      </c>
    </row>
    <row r="1595" ht="56.25" customHeight="1">
      <c r="A1595" s="5" t="s">
        <v>11299</v>
      </c>
      <c r="B1595" s="6" t="str">
        <f>image("https://storage.googleapis.com/acdb/photos/BromideNpcNmlCat04_Remake_1_0.png")</f>
        <v/>
      </c>
      <c r="C1595" s="5" t="s">
        <v>1132</v>
      </c>
      <c r="D1595" s="5" t="s">
        <v>1327</v>
      </c>
      <c r="E1595" s="5" t="s">
        <v>34</v>
      </c>
      <c r="F1595" s="5" t="s">
        <v>34</v>
      </c>
      <c r="G1595" s="5" t="s">
        <v>36</v>
      </c>
      <c r="H1595" s="5" t="s">
        <v>35</v>
      </c>
      <c r="I1595" s="6">
        <v>1.0</v>
      </c>
      <c r="J1595" s="6" t="s">
        <v>37</v>
      </c>
      <c r="K1595" s="6">
        <v>10.0</v>
      </c>
      <c r="L1595" s="5"/>
      <c r="M1595" s="5"/>
      <c r="N1595" s="6" t="s">
        <v>40</v>
      </c>
      <c r="O1595" s="5" t="s">
        <v>5363</v>
      </c>
      <c r="P1595" s="6" t="s">
        <v>42</v>
      </c>
      <c r="Q1595" s="5" t="s">
        <v>1237</v>
      </c>
      <c r="R1595" s="5" t="s">
        <v>11305</v>
      </c>
      <c r="S1595" s="6" t="s">
        <v>56</v>
      </c>
      <c r="T1595" s="6">
        <v>6749.0</v>
      </c>
    </row>
    <row r="1596" ht="56.25" customHeight="1">
      <c r="A1596" s="5" t="s">
        <v>11299</v>
      </c>
      <c r="B1596" s="6" t="str">
        <f>image("https://storage.googleapis.com/acdb/photos/BromideNpcNmlCat04_Remake_2_0.png")</f>
        <v/>
      </c>
      <c r="C1596" s="5" t="s">
        <v>688</v>
      </c>
      <c r="D1596" s="5" t="s">
        <v>1327</v>
      </c>
      <c r="E1596" s="5" t="s">
        <v>34</v>
      </c>
      <c r="F1596" s="5" t="s">
        <v>34</v>
      </c>
      <c r="G1596" s="5" t="s">
        <v>36</v>
      </c>
      <c r="H1596" s="5" t="s">
        <v>35</v>
      </c>
      <c r="I1596" s="6">
        <v>1.0</v>
      </c>
      <c r="J1596" s="6" t="s">
        <v>37</v>
      </c>
      <c r="K1596" s="6">
        <v>10.0</v>
      </c>
      <c r="L1596" s="5"/>
      <c r="M1596" s="5"/>
      <c r="N1596" s="6" t="s">
        <v>40</v>
      </c>
      <c r="O1596" s="5" t="s">
        <v>5363</v>
      </c>
      <c r="P1596" s="6" t="s">
        <v>42</v>
      </c>
      <c r="Q1596" s="5" t="s">
        <v>1237</v>
      </c>
      <c r="R1596" s="5" t="s">
        <v>11308</v>
      </c>
      <c r="S1596" s="6" t="s">
        <v>67</v>
      </c>
      <c r="T1596" s="6">
        <v>6749.0</v>
      </c>
    </row>
    <row r="1597" ht="56.25" customHeight="1">
      <c r="A1597" s="5" t="s">
        <v>11299</v>
      </c>
      <c r="B1597" s="6" t="str">
        <f>image("https://storage.googleapis.com/acdb/photos/BromideNpcNmlCat04_Remake_3_0.png")</f>
        <v/>
      </c>
      <c r="C1597" s="5" t="s">
        <v>57</v>
      </c>
      <c r="D1597" s="5" t="s">
        <v>1327</v>
      </c>
      <c r="E1597" s="5" t="s">
        <v>34</v>
      </c>
      <c r="F1597" s="5" t="s">
        <v>34</v>
      </c>
      <c r="G1597" s="5" t="s">
        <v>36</v>
      </c>
      <c r="H1597" s="5" t="s">
        <v>35</v>
      </c>
      <c r="I1597" s="6">
        <v>1.0</v>
      </c>
      <c r="J1597" s="6" t="s">
        <v>37</v>
      </c>
      <c r="K1597" s="6">
        <v>10.0</v>
      </c>
      <c r="L1597" s="5"/>
      <c r="M1597" s="5"/>
      <c r="N1597" s="6" t="s">
        <v>40</v>
      </c>
      <c r="O1597" s="5" t="s">
        <v>5363</v>
      </c>
      <c r="P1597" s="6" t="s">
        <v>42</v>
      </c>
      <c r="Q1597" s="5" t="s">
        <v>1237</v>
      </c>
      <c r="R1597" s="5" t="s">
        <v>11312</v>
      </c>
      <c r="S1597" s="6" t="s">
        <v>71</v>
      </c>
      <c r="T1597" s="6">
        <v>6749.0</v>
      </c>
    </row>
    <row r="1598" ht="56.25" customHeight="1">
      <c r="A1598" s="5" t="s">
        <v>11299</v>
      </c>
      <c r="B1598" s="6" t="str">
        <f>image("https://storage.googleapis.com/acdb/photos/BromideNpcNmlCat04_Remake_4_0.png")</f>
        <v/>
      </c>
      <c r="C1598" s="5" t="s">
        <v>1167</v>
      </c>
      <c r="D1598" s="5" t="s">
        <v>1327</v>
      </c>
      <c r="E1598" s="5" t="s">
        <v>34</v>
      </c>
      <c r="F1598" s="5" t="s">
        <v>34</v>
      </c>
      <c r="G1598" s="5" t="s">
        <v>36</v>
      </c>
      <c r="H1598" s="5" t="s">
        <v>35</v>
      </c>
      <c r="I1598" s="6">
        <v>1.0</v>
      </c>
      <c r="J1598" s="6" t="s">
        <v>37</v>
      </c>
      <c r="K1598" s="6">
        <v>10.0</v>
      </c>
      <c r="L1598" s="5"/>
      <c r="M1598" s="5"/>
      <c r="N1598" s="6" t="s">
        <v>40</v>
      </c>
      <c r="O1598" s="5" t="s">
        <v>5363</v>
      </c>
      <c r="P1598" s="6" t="s">
        <v>42</v>
      </c>
      <c r="Q1598" s="5" t="s">
        <v>1237</v>
      </c>
      <c r="R1598" s="5" t="s">
        <v>11315</v>
      </c>
      <c r="S1598" s="6" t="s">
        <v>75</v>
      </c>
      <c r="T1598" s="6">
        <v>6749.0</v>
      </c>
    </row>
    <row r="1599" ht="56.25" customHeight="1">
      <c r="A1599" s="5" t="s">
        <v>11299</v>
      </c>
      <c r="B1599" s="6" t="str">
        <f>image("https://storage.googleapis.com/acdb/photos/BromideNpcNmlCat04_Remake_5_0.png")</f>
        <v/>
      </c>
      <c r="C1599" s="5" t="s">
        <v>58</v>
      </c>
      <c r="D1599" s="5" t="s">
        <v>1327</v>
      </c>
      <c r="E1599" s="5" t="s">
        <v>34</v>
      </c>
      <c r="F1599" s="5" t="s">
        <v>34</v>
      </c>
      <c r="G1599" s="5" t="s">
        <v>36</v>
      </c>
      <c r="H1599" s="5" t="s">
        <v>35</v>
      </c>
      <c r="I1599" s="6">
        <v>1.0</v>
      </c>
      <c r="J1599" s="6" t="s">
        <v>37</v>
      </c>
      <c r="K1599" s="6">
        <v>10.0</v>
      </c>
      <c r="L1599" s="5"/>
      <c r="M1599" s="5"/>
      <c r="N1599" s="6" t="s">
        <v>40</v>
      </c>
      <c r="O1599" s="5" t="s">
        <v>5363</v>
      </c>
      <c r="P1599" s="6" t="s">
        <v>42</v>
      </c>
      <c r="Q1599" s="5" t="s">
        <v>1237</v>
      </c>
      <c r="R1599" s="5" t="s">
        <v>11317</v>
      </c>
      <c r="S1599" s="6" t="s">
        <v>79</v>
      </c>
      <c r="T1599" s="6">
        <v>6749.0</v>
      </c>
    </row>
    <row r="1600" ht="56.25" customHeight="1">
      <c r="A1600" s="5" t="s">
        <v>11299</v>
      </c>
      <c r="B1600" s="6" t="str">
        <f>image("https://storage.googleapis.com/acdb/photos/BromideNpcNmlCat04_Remake_6_0.png")</f>
        <v/>
      </c>
      <c r="C1600" s="5" t="s">
        <v>146</v>
      </c>
      <c r="D1600" s="5" t="s">
        <v>1327</v>
      </c>
      <c r="E1600" s="5" t="s">
        <v>34</v>
      </c>
      <c r="F1600" s="5" t="s">
        <v>34</v>
      </c>
      <c r="G1600" s="5" t="s">
        <v>36</v>
      </c>
      <c r="H1600" s="5" t="s">
        <v>35</v>
      </c>
      <c r="I1600" s="6">
        <v>1.0</v>
      </c>
      <c r="J1600" s="6" t="s">
        <v>37</v>
      </c>
      <c r="K1600" s="6">
        <v>10.0</v>
      </c>
      <c r="L1600" s="5"/>
      <c r="M1600" s="5"/>
      <c r="N1600" s="6" t="s">
        <v>40</v>
      </c>
      <c r="O1600" s="5" t="s">
        <v>5363</v>
      </c>
      <c r="P1600" s="6" t="s">
        <v>42</v>
      </c>
      <c r="Q1600" s="5" t="s">
        <v>1237</v>
      </c>
      <c r="R1600" s="5" t="s">
        <v>11321</v>
      </c>
      <c r="S1600" s="6" t="s">
        <v>86</v>
      </c>
      <c r="T1600" s="6">
        <v>6749.0</v>
      </c>
    </row>
    <row r="1601" ht="56.25" customHeight="1">
      <c r="A1601" s="5" t="s">
        <v>11299</v>
      </c>
      <c r="B1601" s="6" t="str">
        <f>image("https://storage.googleapis.com/acdb/photos/BromideNpcNmlCat04_Remake_7_0.png")</f>
        <v/>
      </c>
      <c r="C1601" s="5" t="s">
        <v>151</v>
      </c>
      <c r="D1601" s="5" t="s">
        <v>1327</v>
      </c>
      <c r="E1601" s="5" t="s">
        <v>34</v>
      </c>
      <c r="F1601" s="5" t="s">
        <v>34</v>
      </c>
      <c r="G1601" s="5" t="s">
        <v>36</v>
      </c>
      <c r="H1601" s="5" t="s">
        <v>35</v>
      </c>
      <c r="I1601" s="6">
        <v>1.0</v>
      </c>
      <c r="J1601" s="6" t="s">
        <v>37</v>
      </c>
      <c r="K1601" s="6">
        <v>10.0</v>
      </c>
      <c r="L1601" s="5"/>
      <c r="M1601" s="5"/>
      <c r="N1601" s="6" t="s">
        <v>40</v>
      </c>
      <c r="O1601" s="5" t="s">
        <v>5363</v>
      </c>
      <c r="P1601" s="6" t="s">
        <v>42</v>
      </c>
      <c r="Q1601" s="5" t="s">
        <v>1237</v>
      </c>
      <c r="R1601" s="5" t="s">
        <v>11324</v>
      </c>
      <c r="S1601" s="6" t="s">
        <v>208</v>
      </c>
      <c r="T1601" s="6">
        <v>6749.0</v>
      </c>
    </row>
    <row r="1602" ht="56.25" customHeight="1">
      <c r="A1602" s="5" t="s">
        <v>11325</v>
      </c>
      <c r="B1602" s="6" t="str">
        <f>image("https://storage.googleapis.com/acdb/photos/BromideNpcNmlKgr00_Remake_0_0.png")</f>
        <v/>
      </c>
      <c r="C1602" s="5" t="s">
        <v>366</v>
      </c>
      <c r="D1602" s="5" t="s">
        <v>1327</v>
      </c>
      <c r="E1602" s="5" t="s">
        <v>34</v>
      </c>
      <c r="F1602" s="5" t="s">
        <v>34</v>
      </c>
      <c r="G1602" s="5" t="s">
        <v>36</v>
      </c>
      <c r="H1602" s="5" t="s">
        <v>35</v>
      </c>
      <c r="I1602" s="6">
        <v>1.0</v>
      </c>
      <c r="J1602" s="6" t="s">
        <v>37</v>
      </c>
      <c r="K1602" s="6">
        <v>10.0</v>
      </c>
      <c r="L1602" s="5"/>
      <c r="M1602" s="5"/>
      <c r="N1602" s="6" t="s">
        <v>40</v>
      </c>
      <c r="O1602" s="5" t="s">
        <v>5363</v>
      </c>
      <c r="P1602" s="6" t="s">
        <v>42</v>
      </c>
      <c r="Q1602" s="5" t="s">
        <v>1237</v>
      </c>
      <c r="R1602" s="5" t="s">
        <v>11328</v>
      </c>
      <c r="S1602" s="6" t="s">
        <v>50</v>
      </c>
      <c r="T1602" s="6">
        <v>6564.0</v>
      </c>
    </row>
    <row r="1603" ht="56.25" customHeight="1">
      <c r="A1603" s="5" t="s">
        <v>11325</v>
      </c>
      <c r="B1603" s="6" t="str">
        <f>image("https://storage.googleapis.com/acdb/photos/BromideNpcNmlKgr00_Remake_1_0.png")</f>
        <v/>
      </c>
      <c r="C1603" s="5" t="s">
        <v>1132</v>
      </c>
      <c r="D1603" s="5" t="s">
        <v>1327</v>
      </c>
      <c r="E1603" s="5" t="s">
        <v>34</v>
      </c>
      <c r="F1603" s="5" t="s">
        <v>34</v>
      </c>
      <c r="G1603" s="5" t="s">
        <v>36</v>
      </c>
      <c r="H1603" s="5" t="s">
        <v>35</v>
      </c>
      <c r="I1603" s="6">
        <v>1.0</v>
      </c>
      <c r="J1603" s="6" t="s">
        <v>37</v>
      </c>
      <c r="K1603" s="6">
        <v>10.0</v>
      </c>
      <c r="L1603" s="5"/>
      <c r="M1603" s="5"/>
      <c r="N1603" s="6" t="s">
        <v>40</v>
      </c>
      <c r="O1603" s="5" t="s">
        <v>5363</v>
      </c>
      <c r="P1603" s="6" t="s">
        <v>42</v>
      </c>
      <c r="Q1603" s="5" t="s">
        <v>1237</v>
      </c>
      <c r="R1603" s="5" t="s">
        <v>11331</v>
      </c>
      <c r="S1603" s="6" t="s">
        <v>56</v>
      </c>
      <c r="T1603" s="6">
        <v>6564.0</v>
      </c>
    </row>
    <row r="1604" ht="56.25" customHeight="1">
      <c r="A1604" s="5" t="s">
        <v>11325</v>
      </c>
      <c r="B1604" s="6" t="str">
        <f>image("https://storage.googleapis.com/acdb/photos/BromideNpcNmlKgr00_Remake_2_0.png")</f>
        <v/>
      </c>
      <c r="C1604" s="5" t="s">
        <v>688</v>
      </c>
      <c r="D1604" s="5" t="s">
        <v>1327</v>
      </c>
      <c r="E1604" s="5" t="s">
        <v>34</v>
      </c>
      <c r="F1604" s="5" t="s">
        <v>34</v>
      </c>
      <c r="G1604" s="5" t="s">
        <v>36</v>
      </c>
      <c r="H1604" s="5" t="s">
        <v>35</v>
      </c>
      <c r="I1604" s="6">
        <v>1.0</v>
      </c>
      <c r="J1604" s="6" t="s">
        <v>37</v>
      </c>
      <c r="K1604" s="6">
        <v>10.0</v>
      </c>
      <c r="L1604" s="5"/>
      <c r="M1604" s="5"/>
      <c r="N1604" s="6" t="s">
        <v>40</v>
      </c>
      <c r="O1604" s="5" t="s">
        <v>5363</v>
      </c>
      <c r="P1604" s="6" t="s">
        <v>42</v>
      </c>
      <c r="Q1604" s="5" t="s">
        <v>1237</v>
      </c>
      <c r="R1604" s="5" t="s">
        <v>11335</v>
      </c>
      <c r="S1604" s="6" t="s">
        <v>67</v>
      </c>
      <c r="T1604" s="6">
        <v>6564.0</v>
      </c>
    </row>
    <row r="1605" ht="56.25" customHeight="1">
      <c r="A1605" s="5" t="s">
        <v>11325</v>
      </c>
      <c r="B1605" s="6" t="str">
        <f>image("https://storage.googleapis.com/acdb/photos/BromideNpcNmlKgr00_Remake_3_0.png")</f>
        <v/>
      </c>
      <c r="C1605" s="5" t="s">
        <v>57</v>
      </c>
      <c r="D1605" s="5" t="s">
        <v>1327</v>
      </c>
      <c r="E1605" s="5" t="s">
        <v>34</v>
      </c>
      <c r="F1605" s="5" t="s">
        <v>34</v>
      </c>
      <c r="G1605" s="5" t="s">
        <v>36</v>
      </c>
      <c r="H1605" s="5" t="s">
        <v>35</v>
      </c>
      <c r="I1605" s="6">
        <v>1.0</v>
      </c>
      <c r="J1605" s="6" t="s">
        <v>37</v>
      </c>
      <c r="K1605" s="6">
        <v>10.0</v>
      </c>
      <c r="L1605" s="5"/>
      <c r="M1605" s="5"/>
      <c r="N1605" s="6" t="s">
        <v>40</v>
      </c>
      <c r="O1605" s="5" t="s">
        <v>5363</v>
      </c>
      <c r="P1605" s="6" t="s">
        <v>42</v>
      </c>
      <c r="Q1605" s="5" t="s">
        <v>1237</v>
      </c>
      <c r="R1605" s="5" t="s">
        <v>11337</v>
      </c>
      <c r="S1605" s="6" t="s">
        <v>71</v>
      </c>
      <c r="T1605" s="6">
        <v>6564.0</v>
      </c>
    </row>
    <row r="1606" ht="56.25" customHeight="1">
      <c r="A1606" s="5" t="s">
        <v>11325</v>
      </c>
      <c r="B1606" s="6" t="str">
        <f>image("https://storage.googleapis.com/acdb/photos/BromideNpcNmlKgr00_Remake_4_0.png")</f>
        <v/>
      </c>
      <c r="C1606" s="5" t="s">
        <v>1167</v>
      </c>
      <c r="D1606" s="5" t="s">
        <v>1327</v>
      </c>
      <c r="E1606" s="5" t="s">
        <v>34</v>
      </c>
      <c r="F1606" s="5" t="s">
        <v>34</v>
      </c>
      <c r="G1606" s="5" t="s">
        <v>36</v>
      </c>
      <c r="H1606" s="5" t="s">
        <v>35</v>
      </c>
      <c r="I1606" s="6">
        <v>1.0</v>
      </c>
      <c r="J1606" s="6" t="s">
        <v>37</v>
      </c>
      <c r="K1606" s="6">
        <v>10.0</v>
      </c>
      <c r="L1606" s="5"/>
      <c r="M1606" s="5"/>
      <c r="N1606" s="6" t="s">
        <v>40</v>
      </c>
      <c r="O1606" s="5" t="s">
        <v>5363</v>
      </c>
      <c r="P1606" s="6" t="s">
        <v>42</v>
      </c>
      <c r="Q1606" s="5" t="s">
        <v>1237</v>
      </c>
      <c r="R1606" s="5" t="s">
        <v>11341</v>
      </c>
      <c r="S1606" s="6" t="s">
        <v>75</v>
      </c>
      <c r="T1606" s="6">
        <v>6564.0</v>
      </c>
    </row>
    <row r="1607" ht="56.25" customHeight="1">
      <c r="A1607" s="5" t="s">
        <v>11325</v>
      </c>
      <c r="B1607" s="6" t="str">
        <f>image("https://storage.googleapis.com/acdb/photos/BromideNpcNmlKgr00_Remake_5_0.png")</f>
        <v/>
      </c>
      <c r="C1607" s="5" t="s">
        <v>58</v>
      </c>
      <c r="D1607" s="5" t="s">
        <v>1327</v>
      </c>
      <c r="E1607" s="5" t="s">
        <v>34</v>
      </c>
      <c r="F1607" s="5" t="s">
        <v>34</v>
      </c>
      <c r="G1607" s="5" t="s">
        <v>36</v>
      </c>
      <c r="H1607" s="5" t="s">
        <v>35</v>
      </c>
      <c r="I1607" s="6">
        <v>1.0</v>
      </c>
      <c r="J1607" s="6" t="s">
        <v>37</v>
      </c>
      <c r="K1607" s="6">
        <v>10.0</v>
      </c>
      <c r="L1607" s="5"/>
      <c r="M1607" s="5"/>
      <c r="N1607" s="6" t="s">
        <v>40</v>
      </c>
      <c r="O1607" s="5" t="s">
        <v>5363</v>
      </c>
      <c r="P1607" s="6" t="s">
        <v>42</v>
      </c>
      <c r="Q1607" s="5" t="s">
        <v>1237</v>
      </c>
      <c r="R1607" s="5" t="s">
        <v>11343</v>
      </c>
      <c r="S1607" s="6" t="s">
        <v>79</v>
      </c>
      <c r="T1607" s="6">
        <v>6564.0</v>
      </c>
    </row>
    <row r="1608" ht="56.25" customHeight="1">
      <c r="A1608" s="5" t="s">
        <v>11325</v>
      </c>
      <c r="B1608" s="6" t="str">
        <f>image("https://storage.googleapis.com/acdb/photos/BromideNpcNmlKgr00_Remake_6_0.png")</f>
        <v/>
      </c>
      <c r="C1608" s="5" t="s">
        <v>146</v>
      </c>
      <c r="D1608" s="5" t="s">
        <v>1327</v>
      </c>
      <c r="E1608" s="5" t="s">
        <v>34</v>
      </c>
      <c r="F1608" s="5" t="s">
        <v>34</v>
      </c>
      <c r="G1608" s="5" t="s">
        <v>36</v>
      </c>
      <c r="H1608" s="5" t="s">
        <v>35</v>
      </c>
      <c r="I1608" s="6">
        <v>1.0</v>
      </c>
      <c r="J1608" s="6" t="s">
        <v>37</v>
      </c>
      <c r="K1608" s="6">
        <v>10.0</v>
      </c>
      <c r="L1608" s="5"/>
      <c r="M1608" s="5"/>
      <c r="N1608" s="6" t="s">
        <v>40</v>
      </c>
      <c r="O1608" s="5" t="s">
        <v>5363</v>
      </c>
      <c r="P1608" s="6" t="s">
        <v>42</v>
      </c>
      <c r="Q1608" s="5" t="s">
        <v>1237</v>
      </c>
      <c r="R1608" s="5" t="s">
        <v>11345</v>
      </c>
      <c r="S1608" s="6" t="s">
        <v>86</v>
      </c>
      <c r="T1608" s="6">
        <v>6564.0</v>
      </c>
    </row>
    <row r="1609" ht="56.25" customHeight="1">
      <c r="A1609" s="5" t="s">
        <v>11325</v>
      </c>
      <c r="B1609" s="6" t="str">
        <f>image("https://storage.googleapis.com/acdb/photos/BromideNpcNmlKgr00_Remake_7_0.png")</f>
        <v/>
      </c>
      <c r="C1609" s="5" t="s">
        <v>151</v>
      </c>
      <c r="D1609" s="5" t="s">
        <v>1327</v>
      </c>
      <c r="E1609" s="5" t="s">
        <v>34</v>
      </c>
      <c r="F1609" s="5" t="s">
        <v>34</v>
      </c>
      <c r="G1609" s="5" t="s">
        <v>36</v>
      </c>
      <c r="H1609" s="5" t="s">
        <v>35</v>
      </c>
      <c r="I1609" s="6">
        <v>1.0</v>
      </c>
      <c r="J1609" s="6" t="s">
        <v>37</v>
      </c>
      <c r="K1609" s="6">
        <v>10.0</v>
      </c>
      <c r="L1609" s="5"/>
      <c r="M1609" s="5"/>
      <c r="N1609" s="6" t="s">
        <v>40</v>
      </c>
      <c r="O1609" s="5" t="s">
        <v>5363</v>
      </c>
      <c r="P1609" s="6" t="s">
        <v>42</v>
      </c>
      <c r="Q1609" s="5" t="s">
        <v>1237</v>
      </c>
      <c r="R1609" s="5" t="s">
        <v>11347</v>
      </c>
      <c r="S1609" s="6" t="s">
        <v>208</v>
      </c>
      <c r="T1609" s="6">
        <v>6564.0</v>
      </c>
    </row>
    <row r="1610" ht="56.25" customHeight="1">
      <c r="A1610" s="5" t="s">
        <v>11348</v>
      </c>
      <c r="B1610" s="6" t="str">
        <f>image("https://storage.googleapis.com/acdb/photos/BromideNpcNmlCat14_Remake_0_0.png")</f>
        <v/>
      </c>
      <c r="C1610" s="5" t="s">
        <v>366</v>
      </c>
      <c r="D1610" s="5" t="s">
        <v>1327</v>
      </c>
      <c r="E1610" s="5" t="s">
        <v>34</v>
      </c>
      <c r="F1610" s="5" t="s">
        <v>34</v>
      </c>
      <c r="G1610" s="5" t="s">
        <v>36</v>
      </c>
      <c r="H1610" s="5" t="s">
        <v>35</v>
      </c>
      <c r="I1610" s="6">
        <v>1.0</v>
      </c>
      <c r="J1610" s="6" t="s">
        <v>37</v>
      </c>
      <c r="K1610" s="6">
        <v>10.0</v>
      </c>
      <c r="L1610" s="5"/>
      <c r="M1610" s="5"/>
      <c r="N1610" s="6" t="s">
        <v>40</v>
      </c>
      <c r="O1610" s="5" t="s">
        <v>5363</v>
      </c>
      <c r="P1610" s="6" t="s">
        <v>42</v>
      </c>
      <c r="Q1610" s="5" t="s">
        <v>1237</v>
      </c>
      <c r="R1610" s="5" t="s">
        <v>11352</v>
      </c>
      <c r="S1610" s="6" t="s">
        <v>50</v>
      </c>
      <c r="T1610" s="6">
        <v>6760.0</v>
      </c>
    </row>
    <row r="1611" ht="56.25" customHeight="1">
      <c r="A1611" s="5" t="s">
        <v>11348</v>
      </c>
      <c r="B1611" s="6" t="str">
        <f>image("https://storage.googleapis.com/acdb/photos/BromideNpcNmlCat14_Remake_1_0.png")</f>
        <v/>
      </c>
      <c r="C1611" s="5" t="s">
        <v>1132</v>
      </c>
      <c r="D1611" s="5" t="s">
        <v>1327</v>
      </c>
      <c r="E1611" s="5" t="s">
        <v>34</v>
      </c>
      <c r="F1611" s="5" t="s">
        <v>34</v>
      </c>
      <c r="G1611" s="5" t="s">
        <v>36</v>
      </c>
      <c r="H1611" s="5" t="s">
        <v>35</v>
      </c>
      <c r="I1611" s="6">
        <v>1.0</v>
      </c>
      <c r="J1611" s="6" t="s">
        <v>37</v>
      </c>
      <c r="K1611" s="6">
        <v>10.0</v>
      </c>
      <c r="L1611" s="5"/>
      <c r="M1611" s="5"/>
      <c r="N1611" s="6" t="s">
        <v>40</v>
      </c>
      <c r="O1611" s="5" t="s">
        <v>5363</v>
      </c>
      <c r="P1611" s="6" t="s">
        <v>42</v>
      </c>
      <c r="Q1611" s="5" t="s">
        <v>1237</v>
      </c>
      <c r="R1611" s="5" t="s">
        <v>11353</v>
      </c>
      <c r="S1611" s="6" t="s">
        <v>56</v>
      </c>
      <c r="T1611" s="6">
        <v>6760.0</v>
      </c>
    </row>
    <row r="1612" ht="56.25" customHeight="1">
      <c r="A1612" s="5" t="s">
        <v>11348</v>
      </c>
      <c r="B1612" s="6" t="str">
        <f>image("https://storage.googleapis.com/acdb/photos/BromideNpcNmlCat14_Remake_2_0.png")</f>
        <v/>
      </c>
      <c r="C1612" s="5" t="s">
        <v>688</v>
      </c>
      <c r="D1612" s="5" t="s">
        <v>1327</v>
      </c>
      <c r="E1612" s="5" t="s">
        <v>34</v>
      </c>
      <c r="F1612" s="5" t="s">
        <v>34</v>
      </c>
      <c r="G1612" s="5" t="s">
        <v>36</v>
      </c>
      <c r="H1612" s="5" t="s">
        <v>35</v>
      </c>
      <c r="I1612" s="6">
        <v>1.0</v>
      </c>
      <c r="J1612" s="6" t="s">
        <v>37</v>
      </c>
      <c r="K1612" s="6">
        <v>10.0</v>
      </c>
      <c r="L1612" s="5"/>
      <c r="M1612" s="5"/>
      <c r="N1612" s="6" t="s">
        <v>40</v>
      </c>
      <c r="O1612" s="5" t="s">
        <v>5363</v>
      </c>
      <c r="P1612" s="6" t="s">
        <v>42</v>
      </c>
      <c r="Q1612" s="5" t="s">
        <v>1237</v>
      </c>
      <c r="R1612" s="5" t="s">
        <v>11356</v>
      </c>
      <c r="S1612" s="6" t="s">
        <v>67</v>
      </c>
      <c r="T1612" s="6">
        <v>6760.0</v>
      </c>
    </row>
    <row r="1613" ht="56.25" customHeight="1">
      <c r="A1613" s="5" t="s">
        <v>11348</v>
      </c>
      <c r="B1613" s="6" t="str">
        <f>image("https://storage.googleapis.com/acdb/photos/BromideNpcNmlCat14_Remake_3_0.png")</f>
        <v/>
      </c>
      <c r="C1613" s="5" t="s">
        <v>57</v>
      </c>
      <c r="D1613" s="5" t="s">
        <v>1327</v>
      </c>
      <c r="E1613" s="5" t="s">
        <v>34</v>
      </c>
      <c r="F1613" s="5" t="s">
        <v>34</v>
      </c>
      <c r="G1613" s="5" t="s">
        <v>36</v>
      </c>
      <c r="H1613" s="5" t="s">
        <v>35</v>
      </c>
      <c r="I1613" s="6">
        <v>1.0</v>
      </c>
      <c r="J1613" s="6" t="s">
        <v>37</v>
      </c>
      <c r="K1613" s="6">
        <v>10.0</v>
      </c>
      <c r="L1613" s="5"/>
      <c r="M1613" s="5"/>
      <c r="N1613" s="6" t="s">
        <v>40</v>
      </c>
      <c r="O1613" s="5" t="s">
        <v>5363</v>
      </c>
      <c r="P1613" s="6" t="s">
        <v>42</v>
      </c>
      <c r="Q1613" s="5" t="s">
        <v>1237</v>
      </c>
      <c r="R1613" s="5" t="s">
        <v>11359</v>
      </c>
      <c r="S1613" s="6" t="s">
        <v>71</v>
      </c>
      <c r="T1613" s="6">
        <v>6760.0</v>
      </c>
    </row>
    <row r="1614" ht="56.25" customHeight="1">
      <c r="A1614" s="5" t="s">
        <v>11348</v>
      </c>
      <c r="B1614" s="6" t="str">
        <f>image("https://storage.googleapis.com/acdb/photos/BromideNpcNmlCat14_Remake_4_0.png")</f>
        <v/>
      </c>
      <c r="C1614" s="5" t="s">
        <v>1167</v>
      </c>
      <c r="D1614" s="5" t="s">
        <v>1327</v>
      </c>
      <c r="E1614" s="5" t="s">
        <v>34</v>
      </c>
      <c r="F1614" s="5" t="s">
        <v>34</v>
      </c>
      <c r="G1614" s="5" t="s">
        <v>36</v>
      </c>
      <c r="H1614" s="5" t="s">
        <v>35</v>
      </c>
      <c r="I1614" s="6">
        <v>1.0</v>
      </c>
      <c r="J1614" s="6" t="s">
        <v>37</v>
      </c>
      <c r="K1614" s="6">
        <v>10.0</v>
      </c>
      <c r="L1614" s="5"/>
      <c r="M1614" s="5"/>
      <c r="N1614" s="6" t="s">
        <v>40</v>
      </c>
      <c r="O1614" s="5" t="s">
        <v>5363</v>
      </c>
      <c r="P1614" s="6" t="s">
        <v>42</v>
      </c>
      <c r="Q1614" s="5" t="s">
        <v>1237</v>
      </c>
      <c r="R1614" s="5" t="s">
        <v>11360</v>
      </c>
      <c r="S1614" s="6" t="s">
        <v>75</v>
      </c>
      <c r="T1614" s="6">
        <v>6760.0</v>
      </c>
    </row>
    <row r="1615" ht="56.25" customHeight="1">
      <c r="A1615" s="5" t="s">
        <v>11348</v>
      </c>
      <c r="B1615" s="6" t="str">
        <f>image("https://storage.googleapis.com/acdb/photos/BromideNpcNmlCat14_Remake_5_0.png")</f>
        <v/>
      </c>
      <c r="C1615" s="5" t="s">
        <v>58</v>
      </c>
      <c r="D1615" s="5" t="s">
        <v>1327</v>
      </c>
      <c r="E1615" s="5" t="s">
        <v>34</v>
      </c>
      <c r="F1615" s="5" t="s">
        <v>34</v>
      </c>
      <c r="G1615" s="5" t="s">
        <v>36</v>
      </c>
      <c r="H1615" s="5" t="s">
        <v>35</v>
      </c>
      <c r="I1615" s="6">
        <v>1.0</v>
      </c>
      <c r="J1615" s="6" t="s">
        <v>37</v>
      </c>
      <c r="K1615" s="6">
        <v>10.0</v>
      </c>
      <c r="L1615" s="5"/>
      <c r="M1615" s="5"/>
      <c r="N1615" s="6" t="s">
        <v>40</v>
      </c>
      <c r="O1615" s="5" t="s">
        <v>5363</v>
      </c>
      <c r="P1615" s="6" t="s">
        <v>42</v>
      </c>
      <c r="Q1615" s="5" t="s">
        <v>1237</v>
      </c>
      <c r="R1615" s="5" t="s">
        <v>11364</v>
      </c>
      <c r="S1615" s="6" t="s">
        <v>79</v>
      </c>
      <c r="T1615" s="6">
        <v>6760.0</v>
      </c>
    </row>
    <row r="1616" ht="56.25" customHeight="1">
      <c r="A1616" s="5" t="s">
        <v>11348</v>
      </c>
      <c r="B1616" s="6" t="str">
        <f>image("https://storage.googleapis.com/acdb/photos/BromideNpcNmlCat14_Remake_6_0.png")</f>
        <v/>
      </c>
      <c r="C1616" s="5" t="s">
        <v>146</v>
      </c>
      <c r="D1616" s="5" t="s">
        <v>1327</v>
      </c>
      <c r="E1616" s="5" t="s">
        <v>34</v>
      </c>
      <c r="F1616" s="5" t="s">
        <v>34</v>
      </c>
      <c r="G1616" s="5" t="s">
        <v>36</v>
      </c>
      <c r="H1616" s="5" t="s">
        <v>35</v>
      </c>
      <c r="I1616" s="6">
        <v>1.0</v>
      </c>
      <c r="J1616" s="6" t="s">
        <v>37</v>
      </c>
      <c r="K1616" s="6">
        <v>10.0</v>
      </c>
      <c r="L1616" s="5"/>
      <c r="M1616" s="5"/>
      <c r="N1616" s="6" t="s">
        <v>40</v>
      </c>
      <c r="O1616" s="5" t="s">
        <v>5363</v>
      </c>
      <c r="P1616" s="6" t="s">
        <v>42</v>
      </c>
      <c r="Q1616" s="5" t="s">
        <v>1237</v>
      </c>
      <c r="R1616" s="5" t="s">
        <v>11367</v>
      </c>
      <c r="S1616" s="6" t="s">
        <v>86</v>
      </c>
      <c r="T1616" s="6">
        <v>6760.0</v>
      </c>
    </row>
    <row r="1617" ht="56.25" customHeight="1">
      <c r="A1617" s="5" t="s">
        <v>11348</v>
      </c>
      <c r="B1617" s="6" t="str">
        <f>image("https://storage.googleapis.com/acdb/photos/BromideNpcNmlCat14_Remake_7_0.png")</f>
        <v/>
      </c>
      <c r="C1617" s="5" t="s">
        <v>151</v>
      </c>
      <c r="D1617" s="5" t="s">
        <v>1327</v>
      </c>
      <c r="E1617" s="5" t="s">
        <v>34</v>
      </c>
      <c r="F1617" s="5" t="s">
        <v>34</v>
      </c>
      <c r="G1617" s="5" t="s">
        <v>36</v>
      </c>
      <c r="H1617" s="5" t="s">
        <v>35</v>
      </c>
      <c r="I1617" s="6">
        <v>1.0</v>
      </c>
      <c r="J1617" s="6" t="s">
        <v>37</v>
      </c>
      <c r="K1617" s="6">
        <v>10.0</v>
      </c>
      <c r="L1617" s="5"/>
      <c r="M1617" s="5"/>
      <c r="N1617" s="6" t="s">
        <v>40</v>
      </c>
      <c r="O1617" s="5" t="s">
        <v>5363</v>
      </c>
      <c r="P1617" s="6" t="s">
        <v>42</v>
      </c>
      <c r="Q1617" s="5" t="s">
        <v>1237</v>
      </c>
      <c r="R1617" s="5" t="s">
        <v>11368</v>
      </c>
      <c r="S1617" s="6" t="s">
        <v>208</v>
      </c>
      <c r="T1617" s="6">
        <v>6760.0</v>
      </c>
    </row>
    <row r="1618" ht="56.25" customHeight="1">
      <c r="A1618" s="5" t="s">
        <v>11370</v>
      </c>
      <c r="B1618" s="6" t="str">
        <f>image("https://storage.googleapis.com/acdb/photos/BromideNpcNmlBea14_Remake_0_0.png")</f>
        <v/>
      </c>
      <c r="C1618" s="5" t="s">
        <v>366</v>
      </c>
      <c r="D1618" s="5" t="s">
        <v>1327</v>
      </c>
      <c r="E1618" s="5" t="s">
        <v>34</v>
      </c>
      <c r="F1618" s="5" t="s">
        <v>34</v>
      </c>
      <c r="G1618" s="5" t="s">
        <v>36</v>
      </c>
      <c r="H1618" s="5" t="s">
        <v>35</v>
      </c>
      <c r="I1618" s="6">
        <v>1.0</v>
      </c>
      <c r="J1618" s="6" t="s">
        <v>37</v>
      </c>
      <c r="K1618" s="6">
        <v>10.0</v>
      </c>
      <c r="L1618" s="5"/>
      <c r="M1618" s="5"/>
      <c r="N1618" s="6" t="s">
        <v>40</v>
      </c>
      <c r="O1618" s="5" t="s">
        <v>5363</v>
      </c>
      <c r="P1618" s="6" t="s">
        <v>42</v>
      </c>
      <c r="Q1618" s="5" t="s">
        <v>1237</v>
      </c>
      <c r="R1618" s="5" t="s">
        <v>11373</v>
      </c>
      <c r="S1618" s="6" t="s">
        <v>50</v>
      </c>
      <c r="T1618" s="6">
        <v>6549.0</v>
      </c>
    </row>
    <row r="1619" ht="56.25" customHeight="1">
      <c r="A1619" s="5" t="s">
        <v>11370</v>
      </c>
      <c r="B1619" s="6" t="str">
        <f>image("https://storage.googleapis.com/acdb/photos/BromideNpcNmlBea14_Remake_1_0.png")</f>
        <v/>
      </c>
      <c r="C1619" s="5" t="s">
        <v>1132</v>
      </c>
      <c r="D1619" s="5" t="s">
        <v>1327</v>
      </c>
      <c r="E1619" s="5" t="s">
        <v>34</v>
      </c>
      <c r="F1619" s="5" t="s">
        <v>34</v>
      </c>
      <c r="G1619" s="5" t="s">
        <v>36</v>
      </c>
      <c r="H1619" s="5" t="s">
        <v>35</v>
      </c>
      <c r="I1619" s="6">
        <v>1.0</v>
      </c>
      <c r="J1619" s="6" t="s">
        <v>37</v>
      </c>
      <c r="K1619" s="6">
        <v>10.0</v>
      </c>
      <c r="L1619" s="5"/>
      <c r="M1619" s="5"/>
      <c r="N1619" s="6" t="s">
        <v>40</v>
      </c>
      <c r="O1619" s="5" t="s">
        <v>5363</v>
      </c>
      <c r="P1619" s="6" t="s">
        <v>42</v>
      </c>
      <c r="Q1619" s="5" t="s">
        <v>1237</v>
      </c>
      <c r="R1619" s="5" t="s">
        <v>11375</v>
      </c>
      <c r="S1619" s="6" t="s">
        <v>56</v>
      </c>
      <c r="T1619" s="6">
        <v>6549.0</v>
      </c>
    </row>
    <row r="1620" ht="56.25" customHeight="1">
      <c r="A1620" s="5" t="s">
        <v>11370</v>
      </c>
      <c r="B1620" s="6" t="str">
        <f>image("https://storage.googleapis.com/acdb/photos/BromideNpcNmlBea14_Remake_2_0.png")</f>
        <v/>
      </c>
      <c r="C1620" s="5" t="s">
        <v>688</v>
      </c>
      <c r="D1620" s="5" t="s">
        <v>1327</v>
      </c>
      <c r="E1620" s="5" t="s">
        <v>34</v>
      </c>
      <c r="F1620" s="5" t="s">
        <v>34</v>
      </c>
      <c r="G1620" s="5" t="s">
        <v>36</v>
      </c>
      <c r="H1620" s="5" t="s">
        <v>35</v>
      </c>
      <c r="I1620" s="6">
        <v>1.0</v>
      </c>
      <c r="J1620" s="6" t="s">
        <v>37</v>
      </c>
      <c r="K1620" s="6">
        <v>10.0</v>
      </c>
      <c r="L1620" s="5"/>
      <c r="M1620" s="5"/>
      <c r="N1620" s="6" t="s">
        <v>40</v>
      </c>
      <c r="O1620" s="5" t="s">
        <v>5363</v>
      </c>
      <c r="P1620" s="6" t="s">
        <v>42</v>
      </c>
      <c r="Q1620" s="5" t="s">
        <v>1237</v>
      </c>
      <c r="R1620" s="5" t="s">
        <v>11377</v>
      </c>
      <c r="S1620" s="6" t="s">
        <v>67</v>
      </c>
      <c r="T1620" s="6">
        <v>6549.0</v>
      </c>
    </row>
    <row r="1621" ht="56.25" customHeight="1">
      <c r="A1621" s="5" t="s">
        <v>11370</v>
      </c>
      <c r="B1621" s="6" t="str">
        <f>image("https://storage.googleapis.com/acdb/photos/BromideNpcNmlBea14_Remake_3_0.png")</f>
        <v/>
      </c>
      <c r="C1621" s="5" t="s">
        <v>57</v>
      </c>
      <c r="D1621" s="5" t="s">
        <v>1327</v>
      </c>
      <c r="E1621" s="5" t="s">
        <v>34</v>
      </c>
      <c r="F1621" s="5" t="s">
        <v>34</v>
      </c>
      <c r="G1621" s="5" t="s">
        <v>36</v>
      </c>
      <c r="H1621" s="5" t="s">
        <v>35</v>
      </c>
      <c r="I1621" s="6">
        <v>1.0</v>
      </c>
      <c r="J1621" s="6" t="s">
        <v>37</v>
      </c>
      <c r="K1621" s="6">
        <v>10.0</v>
      </c>
      <c r="L1621" s="5"/>
      <c r="M1621" s="5"/>
      <c r="N1621" s="6" t="s">
        <v>40</v>
      </c>
      <c r="O1621" s="5" t="s">
        <v>5363</v>
      </c>
      <c r="P1621" s="6" t="s">
        <v>42</v>
      </c>
      <c r="Q1621" s="5" t="s">
        <v>1237</v>
      </c>
      <c r="R1621" s="5" t="s">
        <v>11380</v>
      </c>
      <c r="S1621" s="6" t="s">
        <v>71</v>
      </c>
      <c r="T1621" s="6">
        <v>6549.0</v>
      </c>
    </row>
    <row r="1622" ht="56.25" customHeight="1">
      <c r="A1622" s="5" t="s">
        <v>11370</v>
      </c>
      <c r="B1622" s="6" t="str">
        <f>image("https://storage.googleapis.com/acdb/photos/BromideNpcNmlBea14_Remake_4_0.png")</f>
        <v/>
      </c>
      <c r="C1622" s="5" t="s">
        <v>1167</v>
      </c>
      <c r="D1622" s="5" t="s">
        <v>1327</v>
      </c>
      <c r="E1622" s="5" t="s">
        <v>34</v>
      </c>
      <c r="F1622" s="5" t="s">
        <v>34</v>
      </c>
      <c r="G1622" s="5" t="s">
        <v>36</v>
      </c>
      <c r="H1622" s="5" t="s">
        <v>35</v>
      </c>
      <c r="I1622" s="6">
        <v>1.0</v>
      </c>
      <c r="J1622" s="6" t="s">
        <v>37</v>
      </c>
      <c r="K1622" s="6">
        <v>10.0</v>
      </c>
      <c r="L1622" s="5"/>
      <c r="M1622" s="5"/>
      <c r="N1622" s="6" t="s">
        <v>40</v>
      </c>
      <c r="O1622" s="5" t="s">
        <v>5363</v>
      </c>
      <c r="P1622" s="6" t="s">
        <v>42</v>
      </c>
      <c r="Q1622" s="5" t="s">
        <v>1237</v>
      </c>
      <c r="R1622" s="5" t="s">
        <v>11383</v>
      </c>
      <c r="S1622" s="6" t="s">
        <v>75</v>
      </c>
      <c r="T1622" s="6">
        <v>6549.0</v>
      </c>
    </row>
    <row r="1623" ht="56.25" customHeight="1">
      <c r="A1623" s="5" t="s">
        <v>11370</v>
      </c>
      <c r="B1623" s="6" t="str">
        <f>image("https://storage.googleapis.com/acdb/photos/BromideNpcNmlBea14_Remake_5_0.png")</f>
        <v/>
      </c>
      <c r="C1623" s="5" t="s">
        <v>58</v>
      </c>
      <c r="D1623" s="5" t="s">
        <v>1327</v>
      </c>
      <c r="E1623" s="5" t="s">
        <v>34</v>
      </c>
      <c r="F1623" s="5" t="s">
        <v>34</v>
      </c>
      <c r="G1623" s="5" t="s">
        <v>36</v>
      </c>
      <c r="H1623" s="5" t="s">
        <v>35</v>
      </c>
      <c r="I1623" s="6">
        <v>1.0</v>
      </c>
      <c r="J1623" s="6" t="s">
        <v>37</v>
      </c>
      <c r="K1623" s="6">
        <v>10.0</v>
      </c>
      <c r="L1623" s="5"/>
      <c r="M1623" s="5"/>
      <c r="N1623" s="6" t="s">
        <v>40</v>
      </c>
      <c r="O1623" s="5" t="s">
        <v>5363</v>
      </c>
      <c r="P1623" s="6" t="s">
        <v>42</v>
      </c>
      <c r="Q1623" s="5" t="s">
        <v>1237</v>
      </c>
      <c r="R1623" s="5" t="s">
        <v>11386</v>
      </c>
      <c r="S1623" s="6" t="s">
        <v>79</v>
      </c>
      <c r="T1623" s="6">
        <v>6549.0</v>
      </c>
    </row>
    <row r="1624" ht="56.25" customHeight="1">
      <c r="A1624" s="5" t="s">
        <v>11370</v>
      </c>
      <c r="B1624" s="6" t="str">
        <f>image("https://storage.googleapis.com/acdb/photos/BromideNpcNmlBea14_Remake_6_0.png")</f>
        <v/>
      </c>
      <c r="C1624" s="5" t="s">
        <v>146</v>
      </c>
      <c r="D1624" s="5" t="s">
        <v>1327</v>
      </c>
      <c r="E1624" s="5" t="s">
        <v>34</v>
      </c>
      <c r="F1624" s="5" t="s">
        <v>34</v>
      </c>
      <c r="G1624" s="5" t="s">
        <v>36</v>
      </c>
      <c r="H1624" s="5" t="s">
        <v>35</v>
      </c>
      <c r="I1624" s="6">
        <v>1.0</v>
      </c>
      <c r="J1624" s="6" t="s">
        <v>37</v>
      </c>
      <c r="K1624" s="6">
        <v>10.0</v>
      </c>
      <c r="L1624" s="5"/>
      <c r="M1624" s="5"/>
      <c r="N1624" s="6" t="s">
        <v>40</v>
      </c>
      <c r="O1624" s="5" t="s">
        <v>5363</v>
      </c>
      <c r="P1624" s="6" t="s">
        <v>42</v>
      </c>
      <c r="Q1624" s="5" t="s">
        <v>1237</v>
      </c>
      <c r="R1624" s="5" t="s">
        <v>11387</v>
      </c>
      <c r="S1624" s="6" t="s">
        <v>86</v>
      </c>
      <c r="T1624" s="6">
        <v>6549.0</v>
      </c>
    </row>
    <row r="1625" ht="56.25" customHeight="1">
      <c r="A1625" s="5" t="s">
        <v>11370</v>
      </c>
      <c r="B1625" s="6" t="str">
        <f>image("https://storage.googleapis.com/acdb/photos/BromideNpcNmlBea14_Remake_7_0.png")</f>
        <v/>
      </c>
      <c r="C1625" s="5" t="s">
        <v>151</v>
      </c>
      <c r="D1625" s="5" t="s">
        <v>1327</v>
      </c>
      <c r="E1625" s="5" t="s">
        <v>34</v>
      </c>
      <c r="F1625" s="5" t="s">
        <v>34</v>
      </c>
      <c r="G1625" s="5" t="s">
        <v>36</v>
      </c>
      <c r="H1625" s="5" t="s">
        <v>35</v>
      </c>
      <c r="I1625" s="6">
        <v>1.0</v>
      </c>
      <c r="J1625" s="6" t="s">
        <v>37</v>
      </c>
      <c r="K1625" s="6">
        <v>10.0</v>
      </c>
      <c r="L1625" s="5"/>
      <c r="M1625" s="5"/>
      <c r="N1625" s="6" t="s">
        <v>40</v>
      </c>
      <c r="O1625" s="5" t="s">
        <v>5363</v>
      </c>
      <c r="P1625" s="6" t="s">
        <v>42</v>
      </c>
      <c r="Q1625" s="5" t="s">
        <v>1237</v>
      </c>
      <c r="R1625" s="5" t="s">
        <v>11390</v>
      </c>
      <c r="S1625" s="6" t="s">
        <v>208</v>
      </c>
      <c r="T1625" s="6">
        <v>6549.0</v>
      </c>
    </row>
    <row r="1626" ht="56.25" customHeight="1">
      <c r="A1626" s="5" t="s">
        <v>11392</v>
      </c>
      <c r="B1626" s="6" t="str">
        <f>image("https://storage.googleapis.com/acdb/photos/BromideNpcNmlChn11_Remake_0_0.png")</f>
        <v/>
      </c>
      <c r="C1626" s="5" t="s">
        <v>366</v>
      </c>
      <c r="D1626" s="5" t="s">
        <v>1327</v>
      </c>
      <c r="E1626" s="5" t="s">
        <v>34</v>
      </c>
      <c r="F1626" s="5" t="s">
        <v>34</v>
      </c>
      <c r="G1626" s="5" t="s">
        <v>36</v>
      </c>
      <c r="H1626" s="5" t="s">
        <v>35</v>
      </c>
      <c r="I1626" s="6">
        <v>1.0</v>
      </c>
      <c r="J1626" s="6" t="s">
        <v>37</v>
      </c>
      <c r="K1626" s="6">
        <v>10.0</v>
      </c>
      <c r="L1626" s="5"/>
      <c r="M1626" s="5"/>
      <c r="N1626" s="6" t="s">
        <v>40</v>
      </c>
      <c r="O1626" s="5" t="s">
        <v>5363</v>
      </c>
      <c r="P1626" s="6" t="s">
        <v>42</v>
      </c>
      <c r="Q1626" s="5" t="s">
        <v>1237</v>
      </c>
      <c r="R1626" s="5" t="s">
        <v>11394</v>
      </c>
      <c r="S1626" s="6" t="s">
        <v>50</v>
      </c>
      <c r="T1626" s="6">
        <v>6792.0</v>
      </c>
    </row>
    <row r="1627" ht="56.25" customHeight="1">
      <c r="A1627" s="5" t="s">
        <v>11392</v>
      </c>
      <c r="B1627" s="6" t="str">
        <f>image("https://storage.googleapis.com/acdb/photos/BromideNpcNmlChn11_Remake_1_0.png")</f>
        <v/>
      </c>
      <c r="C1627" s="5" t="s">
        <v>1132</v>
      </c>
      <c r="D1627" s="5" t="s">
        <v>1327</v>
      </c>
      <c r="E1627" s="5" t="s">
        <v>34</v>
      </c>
      <c r="F1627" s="5" t="s">
        <v>34</v>
      </c>
      <c r="G1627" s="5" t="s">
        <v>36</v>
      </c>
      <c r="H1627" s="5" t="s">
        <v>35</v>
      </c>
      <c r="I1627" s="6">
        <v>1.0</v>
      </c>
      <c r="J1627" s="6" t="s">
        <v>37</v>
      </c>
      <c r="K1627" s="6">
        <v>10.0</v>
      </c>
      <c r="L1627" s="5"/>
      <c r="M1627" s="5"/>
      <c r="N1627" s="6" t="s">
        <v>40</v>
      </c>
      <c r="O1627" s="5" t="s">
        <v>5363</v>
      </c>
      <c r="P1627" s="6" t="s">
        <v>42</v>
      </c>
      <c r="Q1627" s="5" t="s">
        <v>1237</v>
      </c>
      <c r="R1627" s="5" t="s">
        <v>11397</v>
      </c>
      <c r="S1627" s="6" t="s">
        <v>56</v>
      </c>
      <c r="T1627" s="6">
        <v>6792.0</v>
      </c>
    </row>
    <row r="1628" ht="56.25" customHeight="1">
      <c r="A1628" s="5" t="s">
        <v>11392</v>
      </c>
      <c r="B1628" s="6" t="str">
        <f>image("https://storage.googleapis.com/acdb/photos/BromideNpcNmlChn11_Remake_2_0.png")</f>
        <v/>
      </c>
      <c r="C1628" s="5" t="s">
        <v>688</v>
      </c>
      <c r="D1628" s="5" t="s">
        <v>1327</v>
      </c>
      <c r="E1628" s="5" t="s">
        <v>34</v>
      </c>
      <c r="F1628" s="5" t="s">
        <v>34</v>
      </c>
      <c r="G1628" s="5" t="s">
        <v>36</v>
      </c>
      <c r="H1628" s="5" t="s">
        <v>35</v>
      </c>
      <c r="I1628" s="6">
        <v>1.0</v>
      </c>
      <c r="J1628" s="6" t="s">
        <v>37</v>
      </c>
      <c r="K1628" s="6">
        <v>10.0</v>
      </c>
      <c r="L1628" s="5"/>
      <c r="M1628" s="5"/>
      <c r="N1628" s="6" t="s">
        <v>40</v>
      </c>
      <c r="O1628" s="5" t="s">
        <v>5363</v>
      </c>
      <c r="P1628" s="6" t="s">
        <v>42</v>
      </c>
      <c r="Q1628" s="5" t="s">
        <v>1237</v>
      </c>
      <c r="R1628" s="5" t="s">
        <v>11399</v>
      </c>
      <c r="S1628" s="6" t="s">
        <v>67</v>
      </c>
      <c r="T1628" s="6">
        <v>6792.0</v>
      </c>
    </row>
    <row r="1629" ht="56.25" customHeight="1">
      <c r="A1629" s="5" t="s">
        <v>11392</v>
      </c>
      <c r="B1629" s="6" t="str">
        <f>image("https://storage.googleapis.com/acdb/photos/BromideNpcNmlChn11_Remake_3_0.png")</f>
        <v/>
      </c>
      <c r="C1629" s="5" t="s">
        <v>57</v>
      </c>
      <c r="D1629" s="5" t="s">
        <v>1327</v>
      </c>
      <c r="E1629" s="5" t="s">
        <v>34</v>
      </c>
      <c r="F1629" s="5" t="s">
        <v>34</v>
      </c>
      <c r="G1629" s="5" t="s">
        <v>36</v>
      </c>
      <c r="H1629" s="5" t="s">
        <v>35</v>
      </c>
      <c r="I1629" s="6">
        <v>1.0</v>
      </c>
      <c r="J1629" s="6" t="s">
        <v>37</v>
      </c>
      <c r="K1629" s="6">
        <v>10.0</v>
      </c>
      <c r="L1629" s="5"/>
      <c r="M1629" s="5"/>
      <c r="N1629" s="6" t="s">
        <v>40</v>
      </c>
      <c r="O1629" s="5" t="s">
        <v>5363</v>
      </c>
      <c r="P1629" s="6" t="s">
        <v>42</v>
      </c>
      <c r="Q1629" s="5" t="s">
        <v>1237</v>
      </c>
      <c r="R1629" s="5" t="s">
        <v>11402</v>
      </c>
      <c r="S1629" s="6" t="s">
        <v>71</v>
      </c>
      <c r="T1629" s="6">
        <v>6792.0</v>
      </c>
    </row>
    <row r="1630" ht="56.25" customHeight="1">
      <c r="A1630" s="5" t="s">
        <v>11392</v>
      </c>
      <c r="B1630" s="6" t="str">
        <f>image("https://storage.googleapis.com/acdb/photos/BromideNpcNmlChn11_Remake_4_0.png")</f>
        <v/>
      </c>
      <c r="C1630" s="5" t="s">
        <v>1167</v>
      </c>
      <c r="D1630" s="5" t="s">
        <v>1327</v>
      </c>
      <c r="E1630" s="5" t="s">
        <v>34</v>
      </c>
      <c r="F1630" s="5" t="s">
        <v>34</v>
      </c>
      <c r="G1630" s="5" t="s">
        <v>36</v>
      </c>
      <c r="H1630" s="5" t="s">
        <v>35</v>
      </c>
      <c r="I1630" s="6">
        <v>1.0</v>
      </c>
      <c r="J1630" s="6" t="s">
        <v>37</v>
      </c>
      <c r="K1630" s="6">
        <v>10.0</v>
      </c>
      <c r="L1630" s="5"/>
      <c r="M1630" s="5"/>
      <c r="N1630" s="6" t="s">
        <v>40</v>
      </c>
      <c r="O1630" s="5" t="s">
        <v>5363</v>
      </c>
      <c r="P1630" s="6" t="s">
        <v>42</v>
      </c>
      <c r="Q1630" s="5" t="s">
        <v>1237</v>
      </c>
      <c r="R1630" s="5" t="s">
        <v>11404</v>
      </c>
      <c r="S1630" s="6" t="s">
        <v>75</v>
      </c>
      <c r="T1630" s="6">
        <v>6792.0</v>
      </c>
    </row>
    <row r="1631" ht="56.25" customHeight="1">
      <c r="A1631" s="5" t="s">
        <v>11392</v>
      </c>
      <c r="B1631" s="6" t="str">
        <f>image("https://storage.googleapis.com/acdb/photos/BromideNpcNmlChn11_Remake_5_0.png")</f>
        <v/>
      </c>
      <c r="C1631" s="5" t="s">
        <v>58</v>
      </c>
      <c r="D1631" s="5" t="s">
        <v>1327</v>
      </c>
      <c r="E1631" s="5" t="s">
        <v>34</v>
      </c>
      <c r="F1631" s="5" t="s">
        <v>34</v>
      </c>
      <c r="G1631" s="5" t="s">
        <v>36</v>
      </c>
      <c r="H1631" s="5" t="s">
        <v>35</v>
      </c>
      <c r="I1631" s="6">
        <v>1.0</v>
      </c>
      <c r="J1631" s="6" t="s">
        <v>37</v>
      </c>
      <c r="K1631" s="6">
        <v>10.0</v>
      </c>
      <c r="L1631" s="5"/>
      <c r="M1631" s="5"/>
      <c r="N1631" s="6" t="s">
        <v>40</v>
      </c>
      <c r="O1631" s="5" t="s">
        <v>5363</v>
      </c>
      <c r="P1631" s="6" t="s">
        <v>42</v>
      </c>
      <c r="Q1631" s="5" t="s">
        <v>1237</v>
      </c>
      <c r="R1631" s="5" t="s">
        <v>11407</v>
      </c>
      <c r="S1631" s="6" t="s">
        <v>79</v>
      </c>
      <c r="T1631" s="6">
        <v>6792.0</v>
      </c>
    </row>
    <row r="1632" ht="56.25" customHeight="1">
      <c r="A1632" s="5" t="s">
        <v>11392</v>
      </c>
      <c r="B1632" s="6" t="str">
        <f>image("https://storage.googleapis.com/acdb/photos/BromideNpcNmlChn11_Remake_6_0.png")</f>
        <v/>
      </c>
      <c r="C1632" s="5" t="s">
        <v>146</v>
      </c>
      <c r="D1632" s="5" t="s">
        <v>1327</v>
      </c>
      <c r="E1632" s="5" t="s">
        <v>34</v>
      </c>
      <c r="F1632" s="5" t="s">
        <v>34</v>
      </c>
      <c r="G1632" s="5" t="s">
        <v>36</v>
      </c>
      <c r="H1632" s="5" t="s">
        <v>35</v>
      </c>
      <c r="I1632" s="6">
        <v>1.0</v>
      </c>
      <c r="J1632" s="6" t="s">
        <v>37</v>
      </c>
      <c r="K1632" s="6">
        <v>10.0</v>
      </c>
      <c r="L1632" s="5"/>
      <c r="M1632" s="5"/>
      <c r="N1632" s="6" t="s">
        <v>40</v>
      </c>
      <c r="O1632" s="5" t="s">
        <v>5363</v>
      </c>
      <c r="P1632" s="6" t="s">
        <v>42</v>
      </c>
      <c r="Q1632" s="5" t="s">
        <v>1237</v>
      </c>
      <c r="R1632" s="5" t="s">
        <v>11408</v>
      </c>
      <c r="S1632" s="6" t="s">
        <v>86</v>
      </c>
      <c r="T1632" s="6">
        <v>6792.0</v>
      </c>
    </row>
    <row r="1633" ht="56.25" customHeight="1">
      <c r="A1633" s="5" t="s">
        <v>11392</v>
      </c>
      <c r="B1633" s="6" t="str">
        <f>image("https://storage.googleapis.com/acdb/photos/BromideNpcNmlChn11_Remake_7_0.png")</f>
        <v/>
      </c>
      <c r="C1633" s="5" t="s">
        <v>151</v>
      </c>
      <c r="D1633" s="5" t="s">
        <v>1327</v>
      </c>
      <c r="E1633" s="5" t="s">
        <v>34</v>
      </c>
      <c r="F1633" s="5" t="s">
        <v>34</v>
      </c>
      <c r="G1633" s="5" t="s">
        <v>36</v>
      </c>
      <c r="H1633" s="5" t="s">
        <v>35</v>
      </c>
      <c r="I1633" s="6">
        <v>1.0</v>
      </c>
      <c r="J1633" s="6" t="s">
        <v>37</v>
      </c>
      <c r="K1633" s="6">
        <v>10.0</v>
      </c>
      <c r="L1633" s="5"/>
      <c r="M1633" s="5"/>
      <c r="N1633" s="6" t="s">
        <v>40</v>
      </c>
      <c r="O1633" s="5" t="s">
        <v>5363</v>
      </c>
      <c r="P1633" s="6" t="s">
        <v>42</v>
      </c>
      <c r="Q1633" s="5" t="s">
        <v>1237</v>
      </c>
      <c r="R1633" s="5" t="s">
        <v>11410</v>
      </c>
      <c r="S1633" s="6" t="s">
        <v>208</v>
      </c>
      <c r="T1633" s="6">
        <v>6792.0</v>
      </c>
    </row>
    <row r="1634" ht="56.25" customHeight="1">
      <c r="A1634" s="5" t="s">
        <v>11411</v>
      </c>
      <c r="B1634" s="6" t="str">
        <f>image("https://storage.googleapis.com/acdb/photos/BromideNpcNmlCbr04_Remake_0_0.png")</f>
        <v/>
      </c>
      <c r="C1634" s="5" t="s">
        <v>366</v>
      </c>
      <c r="D1634" s="5" t="s">
        <v>1327</v>
      </c>
      <c r="E1634" s="5" t="s">
        <v>34</v>
      </c>
      <c r="F1634" s="5" t="s">
        <v>34</v>
      </c>
      <c r="G1634" s="5" t="s">
        <v>36</v>
      </c>
      <c r="H1634" s="5" t="s">
        <v>35</v>
      </c>
      <c r="I1634" s="6">
        <v>1.0</v>
      </c>
      <c r="J1634" s="6" t="s">
        <v>37</v>
      </c>
      <c r="K1634" s="6">
        <v>10.0</v>
      </c>
      <c r="L1634" s="5"/>
      <c r="M1634" s="5"/>
      <c r="N1634" s="6" t="s">
        <v>40</v>
      </c>
      <c r="O1634" s="5" t="s">
        <v>5363</v>
      </c>
      <c r="P1634" s="6" t="s">
        <v>42</v>
      </c>
      <c r="Q1634" s="5" t="s">
        <v>1237</v>
      </c>
      <c r="R1634" s="5" t="s">
        <v>11414</v>
      </c>
      <c r="S1634" s="6" t="s">
        <v>50</v>
      </c>
      <c r="T1634" s="6">
        <v>6773.0</v>
      </c>
    </row>
    <row r="1635" ht="56.25" customHeight="1">
      <c r="A1635" s="5" t="s">
        <v>11411</v>
      </c>
      <c r="B1635" s="6" t="str">
        <f>image("https://storage.googleapis.com/acdb/photos/BromideNpcNmlCbr04_Remake_1_0.png")</f>
        <v/>
      </c>
      <c r="C1635" s="5" t="s">
        <v>1132</v>
      </c>
      <c r="D1635" s="5" t="s">
        <v>1327</v>
      </c>
      <c r="E1635" s="5" t="s">
        <v>34</v>
      </c>
      <c r="F1635" s="5" t="s">
        <v>34</v>
      </c>
      <c r="G1635" s="5" t="s">
        <v>36</v>
      </c>
      <c r="H1635" s="5" t="s">
        <v>35</v>
      </c>
      <c r="I1635" s="6">
        <v>1.0</v>
      </c>
      <c r="J1635" s="6" t="s">
        <v>37</v>
      </c>
      <c r="K1635" s="6">
        <v>10.0</v>
      </c>
      <c r="L1635" s="5"/>
      <c r="M1635" s="5"/>
      <c r="N1635" s="6" t="s">
        <v>40</v>
      </c>
      <c r="O1635" s="5" t="s">
        <v>5363</v>
      </c>
      <c r="P1635" s="6" t="s">
        <v>42</v>
      </c>
      <c r="Q1635" s="5" t="s">
        <v>1237</v>
      </c>
      <c r="R1635" s="5" t="s">
        <v>11416</v>
      </c>
      <c r="S1635" s="6" t="s">
        <v>56</v>
      </c>
      <c r="T1635" s="6">
        <v>6773.0</v>
      </c>
    </row>
    <row r="1636" ht="56.25" customHeight="1">
      <c r="A1636" s="5" t="s">
        <v>11411</v>
      </c>
      <c r="B1636" s="6" t="str">
        <f>image("https://storage.googleapis.com/acdb/photos/BromideNpcNmlCbr04_Remake_2_0.png")</f>
        <v/>
      </c>
      <c r="C1636" s="5" t="s">
        <v>688</v>
      </c>
      <c r="D1636" s="5" t="s">
        <v>1327</v>
      </c>
      <c r="E1636" s="5" t="s">
        <v>34</v>
      </c>
      <c r="F1636" s="5" t="s">
        <v>34</v>
      </c>
      <c r="G1636" s="5" t="s">
        <v>36</v>
      </c>
      <c r="H1636" s="5" t="s">
        <v>35</v>
      </c>
      <c r="I1636" s="6">
        <v>1.0</v>
      </c>
      <c r="J1636" s="6" t="s">
        <v>37</v>
      </c>
      <c r="K1636" s="6">
        <v>10.0</v>
      </c>
      <c r="L1636" s="5"/>
      <c r="M1636" s="5"/>
      <c r="N1636" s="6" t="s">
        <v>40</v>
      </c>
      <c r="O1636" s="5" t="s">
        <v>5363</v>
      </c>
      <c r="P1636" s="6" t="s">
        <v>42</v>
      </c>
      <c r="Q1636" s="5" t="s">
        <v>1237</v>
      </c>
      <c r="R1636" s="5" t="s">
        <v>11419</v>
      </c>
      <c r="S1636" s="6" t="s">
        <v>67</v>
      </c>
      <c r="T1636" s="6">
        <v>6773.0</v>
      </c>
    </row>
    <row r="1637" ht="56.25" customHeight="1">
      <c r="A1637" s="5" t="s">
        <v>11411</v>
      </c>
      <c r="B1637" s="6" t="str">
        <f>image("https://storage.googleapis.com/acdb/photos/BromideNpcNmlCbr04_Remake_3_0.png")</f>
        <v/>
      </c>
      <c r="C1637" s="5" t="s">
        <v>57</v>
      </c>
      <c r="D1637" s="5" t="s">
        <v>1327</v>
      </c>
      <c r="E1637" s="5" t="s">
        <v>34</v>
      </c>
      <c r="F1637" s="5" t="s">
        <v>34</v>
      </c>
      <c r="G1637" s="5" t="s">
        <v>36</v>
      </c>
      <c r="H1637" s="5" t="s">
        <v>35</v>
      </c>
      <c r="I1637" s="6">
        <v>1.0</v>
      </c>
      <c r="J1637" s="6" t="s">
        <v>37</v>
      </c>
      <c r="K1637" s="6">
        <v>10.0</v>
      </c>
      <c r="L1637" s="5"/>
      <c r="M1637" s="5"/>
      <c r="N1637" s="6" t="s">
        <v>40</v>
      </c>
      <c r="O1637" s="5" t="s">
        <v>5363</v>
      </c>
      <c r="P1637" s="6" t="s">
        <v>42</v>
      </c>
      <c r="Q1637" s="5" t="s">
        <v>1237</v>
      </c>
      <c r="R1637" s="5" t="s">
        <v>11422</v>
      </c>
      <c r="S1637" s="6" t="s">
        <v>71</v>
      </c>
      <c r="T1637" s="6">
        <v>6773.0</v>
      </c>
    </row>
    <row r="1638" ht="56.25" customHeight="1">
      <c r="A1638" s="5" t="s">
        <v>11411</v>
      </c>
      <c r="B1638" s="6" t="str">
        <f>image("https://storage.googleapis.com/acdb/photos/BromideNpcNmlCbr04_Remake_4_0.png")</f>
        <v/>
      </c>
      <c r="C1638" s="5" t="s">
        <v>1167</v>
      </c>
      <c r="D1638" s="5" t="s">
        <v>1327</v>
      </c>
      <c r="E1638" s="5" t="s">
        <v>34</v>
      </c>
      <c r="F1638" s="5" t="s">
        <v>34</v>
      </c>
      <c r="G1638" s="5" t="s">
        <v>36</v>
      </c>
      <c r="H1638" s="5" t="s">
        <v>35</v>
      </c>
      <c r="I1638" s="6">
        <v>1.0</v>
      </c>
      <c r="J1638" s="6" t="s">
        <v>37</v>
      </c>
      <c r="K1638" s="6">
        <v>10.0</v>
      </c>
      <c r="L1638" s="5"/>
      <c r="M1638" s="5"/>
      <c r="N1638" s="6" t="s">
        <v>40</v>
      </c>
      <c r="O1638" s="5" t="s">
        <v>5363</v>
      </c>
      <c r="P1638" s="6" t="s">
        <v>42</v>
      </c>
      <c r="Q1638" s="5" t="s">
        <v>1237</v>
      </c>
      <c r="R1638" s="5" t="s">
        <v>11424</v>
      </c>
      <c r="S1638" s="6" t="s">
        <v>75</v>
      </c>
      <c r="T1638" s="6">
        <v>6773.0</v>
      </c>
    </row>
    <row r="1639" ht="56.25" customHeight="1">
      <c r="A1639" s="5" t="s">
        <v>11411</v>
      </c>
      <c r="B1639" s="6" t="str">
        <f>image("https://storage.googleapis.com/acdb/photos/BromideNpcNmlCbr04_Remake_5_0.png")</f>
        <v/>
      </c>
      <c r="C1639" s="5" t="s">
        <v>58</v>
      </c>
      <c r="D1639" s="5" t="s">
        <v>1327</v>
      </c>
      <c r="E1639" s="5" t="s">
        <v>34</v>
      </c>
      <c r="F1639" s="5" t="s">
        <v>34</v>
      </c>
      <c r="G1639" s="5" t="s">
        <v>36</v>
      </c>
      <c r="H1639" s="5" t="s">
        <v>35</v>
      </c>
      <c r="I1639" s="6">
        <v>1.0</v>
      </c>
      <c r="J1639" s="6" t="s">
        <v>37</v>
      </c>
      <c r="K1639" s="6">
        <v>10.0</v>
      </c>
      <c r="L1639" s="5"/>
      <c r="M1639" s="5"/>
      <c r="N1639" s="6" t="s">
        <v>40</v>
      </c>
      <c r="O1639" s="5" t="s">
        <v>5363</v>
      </c>
      <c r="P1639" s="6" t="s">
        <v>42</v>
      </c>
      <c r="Q1639" s="5" t="s">
        <v>1237</v>
      </c>
      <c r="R1639" s="5" t="s">
        <v>11426</v>
      </c>
      <c r="S1639" s="6" t="s">
        <v>79</v>
      </c>
      <c r="T1639" s="6">
        <v>6773.0</v>
      </c>
    </row>
    <row r="1640" ht="56.25" customHeight="1">
      <c r="A1640" s="5" t="s">
        <v>11411</v>
      </c>
      <c r="B1640" s="6" t="str">
        <f>image("https://storage.googleapis.com/acdb/photos/BromideNpcNmlCbr04_Remake_6_0.png")</f>
        <v/>
      </c>
      <c r="C1640" s="5" t="s">
        <v>146</v>
      </c>
      <c r="D1640" s="5" t="s">
        <v>1327</v>
      </c>
      <c r="E1640" s="5" t="s">
        <v>34</v>
      </c>
      <c r="F1640" s="5" t="s">
        <v>34</v>
      </c>
      <c r="G1640" s="5" t="s">
        <v>36</v>
      </c>
      <c r="H1640" s="5" t="s">
        <v>35</v>
      </c>
      <c r="I1640" s="6">
        <v>1.0</v>
      </c>
      <c r="J1640" s="6" t="s">
        <v>37</v>
      </c>
      <c r="K1640" s="6">
        <v>10.0</v>
      </c>
      <c r="L1640" s="5"/>
      <c r="M1640" s="5"/>
      <c r="N1640" s="6" t="s">
        <v>40</v>
      </c>
      <c r="O1640" s="5" t="s">
        <v>5363</v>
      </c>
      <c r="P1640" s="6" t="s">
        <v>42</v>
      </c>
      <c r="Q1640" s="5" t="s">
        <v>1237</v>
      </c>
      <c r="R1640" s="5" t="s">
        <v>11429</v>
      </c>
      <c r="S1640" s="6" t="s">
        <v>86</v>
      </c>
      <c r="T1640" s="6">
        <v>6773.0</v>
      </c>
    </row>
    <row r="1641" ht="56.25" customHeight="1">
      <c r="A1641" s="5" t="s">
        <v>11411</v>
      </c>
      <c r="B1641" s="6" t="str">
        <f>image("https://storage.googleapis.com/acdb/photos/BromideNpcNmlCbr04_Remake_7_0.png")</f>
        <v/>
      </c>
      <c r="C1641" s="5" t="s">
        <v>151</v>
      </c>
      <c r="D1641" s="5" t="s">
        <v>1327</v>
      </c>
      <c r="E1641" s="5" t="s">
        <v>34</v>
      </c>
      <c r="F1641" s="5" t="s">
        <v>34</v>
      </c>
      <c r="G1641" s="5" t="s">
        <v>36</v>
      </c>
      <c r="H1641" s="5" t="s">
        <v>35</v>
      </c>
      <c r="I1641" s="6">
        <v>1.0</v>
      </c>
      <c r="J1641" s="6" t="s">
        <v>37</v>
      </c>
      <c r="K1641" s="6">
        <v>10.0</v>
      </c>
      <c r="L1641" s="5"/>
      <c r="M1641" s="5"/>
      <c r="N1641" s="6" t="s">
        <v>40</v>
      </c>
      <c r="O1641" s="5" t="s">
        <v>5363</v>
      </c>
      <c r="P1641" s="6" t="s">
        <v>42</v>
      </c>
      <c r="Q1641" s="5" t="s">
        <v>1237</v>
      </c>
      <c r="R1641" s="5" t="s">
        <v>11431</v>
      </c>
      <c r="S1641" s="6" t="s">
        <v>208</v>
      </c>
      <c r="T1641" s="6">
        <v>6773.0</v>
      </c>
    </row>
    <row r="1642" ht="56.25" customHeight="1">
      <c r="A1642" s="5" t="s">
        <v>11432</v>
      </c>
      <c r="B1642" s="6" t="str">
        <f>image("https://storage.googleapis.com/acdb/photos/BromideNpcNmlWol10_Remake_0_0.png")</f>
        <v/>
      </c>
      <c r="C1642" s="5" t="s">
        <v>366</v>
      </c>
      <c r="D1642" s="5" t="s">
        <v>1327</v>
      </c>
      <c r="E1642" s="5" t="s">
        <v>34</v>
      </c>
      <c r="F1642" s="5" t="s">
        <v>34</v>
      </c>
      <c r="G1642" s="5" t="s">
        <v>36</v>
      </c>
      <c r="H1642" s="5" t="s">
        <v>35</v>
      </c>
      <c r="I1642" s="6">
        <v>1.0</v>
      </c>
      <c r="J1642" s="6" t="s">
        <v>37</v>
      </c>
      <c r="K1642" s="6">
        <v>10.0</v>
      </c>
      <c r="L1642" s="5"/>
      <c r="M1642" s="5"/>
      <c r="N1642" s="6" t="s">
        <v>40</v>
      </c>
      <c r="O1642" s="5" t="s">
        <v>5363</v>
      </c>
      <c r="P1642" s="6" t="s">
        <v>42</v>
      </c>
      <c r="Q1642" s="5" t="s">
        <v>1237</v>
      </c>
      <c r="R1642" s="5" t="s">
        <v>11434</v>
      </c>
      <c r="S1642" s="6" t="s">
        <v>50</v>
      </c>
      <c r="T1642" s="6">
        <v>6741.0</v>
      </c>
    </row>
    <row r="1643" ht="56.25" customHeight="1">
      <c r="A1643" s="5" t="s">
        <v>11432</v>
      </c>
      <c r="B1643" s="6" t="str">
        <f>image("https://storage.googleapis.com/acdb/photos/BromideNpcNmlWol10_Remake_1_0.png")</f>
        <v/>
      </c>
      <c r="C1643" s="5" t="s">
        <v>1132</v>
      </c>
      <c r="D1643" s="5" t="s">
        <v>1327</v>
      </c>
      <c r="E1643" s="5" t="s">
        <v>34</v>
      </c>
      <c r="F1643" s="5" t="s">
        <v>34</v>
      </c>
      <c r="G1643" s="5" t="s">
        <v>36</v>
      </c>
      <c r="H1643" s="5" t="s">
        <v>35</v>
      </c>
      <c r="I1643" s="6">
        <v>1.0</v>
      </c>
      <c r="J1643" s="6" t="s">
        <v>37</v>
      </c>
      <c r="K1643" s="6">
        <v>10.0</v>
      </c>
      <c r="L1643" s="5"/>
      <c r="M1643" s="5"/>
      <c r="N1643" s="6" t="s">
        <v>40</v>
      </c>
      <c r="O1643" s="5" t="s">
        <v>5363</v>
      </c>
      <c r="P1643" s="6" t="s">
        <v>42</v>
      </c>
      <c r="Q1643" s="5" t="s">
        <v>1237</v>
      </c>
      <c r="R1643" s="5" t="s">
        <v>11436</v>
      </c>
      <c r="S1643" s="6" t="s">
        <v>56</v>
      </c>
      <c r="T1643" s="6">
        <v>6741.0</v>
      </c>
    </row>
    <row r="1644" ht="56.25" customHeight="1">
      <c r="A1644" s="5" t="s">
        <v>11432</v>
      </c>
      <c r="B1644" s="6" t="str">
        <f>image("https://storage.googleapis.com/acdb/photos/BromideNpcNmlWol10_Remake_2_0.png")</f>
        <v/>
      </c>
      <c r="C1644" s="5" t="s">
        <v>688</v>
      </c>
      <c r="D1644" s="5" t="s">
        <v>1327</v>
      </c>
      <c r="E1644" s="5" t="s">
        <v>34</v>
      </c>
      <c r="F1644" s="5" t="s">
        <v>34</v>
      </c>
      <c r="G1644" s="5" t="s">
        <v>36</v>
      </c>
      <c r="H1644" s="5" t="s">
        <v>35</v>
      </c>
      <c r="I1644" s="6">
        <v>1.0</v>
      </c>
      <c r="J1644" s="6" t="s">
        <v>37</v>
      </c>
      <c r="K1644" s="6">
        <v>10.0</v>
      </c>
      <c r="L1644" s="5"/>
      <c r="M1644" s="5"/>
      <c r="N1644" s="6" t="s">
        <v>40</v>
      </c>
      <c r="O1644" s="5" t="s">
        <v>5363</v>
      </c>
      <c r="P1644" s="6" t="s">
        <v>42</v>
      </c>
      <c r="Q1644" s="5" t="s">
        <v>1237</v>
      </c>
      <c r="R1644" s="5" t="s">
        <v>11438</v>
      </c>
      <c r="S1644" s="6" t="s">
        <v>67</v>
      </c>
      <c r="T1644" s="6">
        <v>6741.0</v>
      </c>
    </row>
    <row r="1645" ht="56.25" customHeight="1">
      <c r="A1645" s="5" t="s">
        <v>11432</v>
      </c>
      <c r="B1645" s="6" t="str">
        <f>image("https://storage.googleapis.com/acdb/photos/BromideNpcNmlWol10_Remake_3_0.png")</f>
        <v/>
      </c>
      <c r="C1645" s="5" t="s">
        <v>57</v>
      </c>
      <c r="D1645" s="5" t="s">
        <v>1327</v>
      </c>
      <c r="E1645" s="5" t="s">
        <v>34</v>
      </c>
      <c r="F1645" s="5" t="s">
        <v>34</v>
      </c>
      <c r="G1645" s="5" t="s">
        <v>36</v>
      </c>
      <c r="H1645" s="5" t="s">
        <v>35</v>
      </c>
      <c r="I1645" s="6">
        <v>1.0</v>
      </c>
      <c r="J1645" s="6" t="s">
        <v>37</v>
      </c>
      <c r="K1645" s="6">
        <v>10.0</v>
      </c>
      <c r="L1645" s="5"/>
      <c r="M1645" s="5"/>
      <c r="N1645" s="6" t="s">
        <v>40</v>
      </c>
      <c r="O1645" s="5" t="s">
        <v>5363</v>
      </c>
      <c r="P1645" s="6" t="s">
        <v>42</v>
      </c>
      <c r="Q1645" s="5" t="s">
        <v>1237</v>
      </c>
      <c r="R1645" s="5" t="s">
        <v>11441</v>
      </c>
      <c r="S1645" s="6" t="s">
        <v>71</v>
      </c>
      <c r="T1645" s="6">
        <v>6741.0</v>
      </c>
    </row>
    <row r="1646" ht="56.25" customHeight="1">
      <c r="A1646" s="5" t="s">
        <v>11432</v>
      </c>
      <c r="B1646" s="6" t="str">
        <f>image("https://storage.googleapis.com/acdb/photos/BromideNpcNmlWol10_Remake_4_0.png")</f>
        <v/>
      </c>
      <c r="C1646" s="5" t="s">
        <v>1167</v>
      </c>
      <c r="D1646" s="5" t="s">
        <v>1327</v>
      </c>
      <c r="E1646" s="5" t="s">
        <v>34</v>
      </c>
      <c r="F1646" s="5" t="s">
        <v>34</v>
      </c>
      <c r="G1646" s="5" t="s">
        <v>36</v>
      </c>
      <c r="H1646" s="5" t="s">
        <v>35</v>
      </c>
      <c r="I1646" s="6">
        <v>1.0</v>
      </c>
      <c r="J1646" s="6" t="s">
        <v>37</v>
      </c>
      <c r="K1646" s="6">
        <v>10.0</v>
      </c>
      <c r="L1646" s="5"/>
      <c r="M1646" s="5"/>
      <c r="N1646" s="6" t="s">
        <v>40</v>
      </c>
      <c r="O1646" s="5" t="s">
        <v>5363</v>
      </c>
      <c r="P1646" s="6" t="s">
        <v>42</v>
      </c>
      <c r="Q1646" s="5" t="s">
        <v>1237</v>
      </c>
      <c r="R1646" s="5" t="s">
        <v>11446</v>
      </c>
      <c r="S1646" s="6" t="s">
        <v>75</v>
      </c>
      <c r="T1646" s="6">
        <v>6741.0</v>
      </c>
    </row>
    <row r="1647" ht="56.25" customHeight="1">
      <c r="A1647" s="5" t="s">
        <v>11432</v>
      </c>
      <c r="B1647" s="6" t="str">
        <f>image("https://storage.googleapis.com/acdb/photos/BromideNpcNmlWol10_Remake_5_0.png")</f>
        <v/>
      </c>
      <c r="C1647" s="5" t="s">
        <v>58</v>
      </c>
      <c r="D1647" s="5" t="s">
        <v>1327</v>
      </c>
      <c r="E1647" s="5" t="s">
        <v>34</v>
      </c>
      <c r="F1647" s="5" t="s">
        <v>34</v>
      </c>
      <c r="G1647" s="5" t="s">
        <v>36</v>
      </c>
      <c r="H1647" s="5" t="s">
        <v>35</v>
      </c>
      <c r="I1647" s="6">
        <v>1.0</v>
      </c>
      <c r="J1647" s="6" t="s">
        <v>37</v>
      </c>
      <c r="K1647" s="6">
        <v>10.0</v>
      </c>
      <c r="L1647" s="5"/>
      <c r="M1647" s="5"/>
      <c r="N1647" s="6" t="s">
        <v>40</v>
      </c>
      <c r="O1647" s="5" t="s">
        <v>5363</v>
      </c>
      <c r="P1647" s="6" t="s">
        <v>42</v>
      </c>
      <c r="Q1647" s="5" t="s">
        <v>1237</v>
      </c>
      <c r="R1647" s="5" t="s">
        <v>11449</v>
      </c>
      <c r="S1647" s="6" t="s">
        <v>79</v>
      </c>
      <c r="T1647" s="6">
        <v>6741.0</v>
      </c>
    </row>
    <row r="1648" ht="56.25" customHeight="1">
      <c r="A1648" s="5" t="s">
        <v>11432</v>
      </c>
      <c r="B1648" s="6" t="str">
        <f>image("https://storage.googleapis.com/acdb/photos/BromideNpcNmlWol10_Remake_6_0.png")</f>
        <v/>
      </c>
      <c r="C1648" s="5" t="s">
        <v>146</v>
      </c>
      <c r="D1648" s="5" t="s">
        <v>1327</v>
      </c>
      <c r="E1648" s="5" t="s">
        <v>34</v>
      </c>
      <c r="F1648" s="5" t="s">
        <v>34</v>
      </c>
      <c r="G1648" s="5" t="s">
        <v>36</v>
      </c>
      <c r="H1648" s="5" t="s">
        <v>35</v>
      </c>
      <c r="I1648" s="6">
        <v>1.0</v>
      </c>
      <c r="J1648" s="6" t="s">
        <v>37</v>
      </c>
      <c r="K1648" s="6">
        <v>10.0</v>
      </c>
      <c r="L1648" s="5"/>
      <c r="M1648" s="5"/>
      <c r="N1648" s="6" t="s">
        <v>40</v>
      </c>
      <c r="O1648" s="5" t="s">
        <v>5363</v>
      </c>
      <c r="P1648" s="6" t="s">
        <v>42</v>
      </c>
      <c r="Q1648" s="5" t="s">
        <v>1237</v>
      </c>
      <c r="R1648" s="5" t="s">
        <v>11452</v>
      </c>
      <c r="S1648" s="6" t="s">
        <v>86</v>
      </c>
      <c r="T1648" s="6">
        <v>6741.0</v>
      </c>
    </row>
    <row r="1649" ht="56.25" customHeight="1">
      <c r="A1649" s="5" t="s">
        <v>11432</v>
      </c>
      <c r="B1649" s="6" t="str">
        <f>image("https://storage.googleapis.com/acdb/photos/BromideNpcNmlWol10_Remake_7_0.png")</f>
        <v/>
      </c>
      <c r="C1649" s="5" t="s">
        <v>151</v>
      </c>
      <c r="D1649" s="5" t="s">
        <v>1327</v>
      </c>
      <c r="E1649" s="5" t="s">
        <v>34</v>
      </c>
      <c r="F1649" s="5" t="s">
        <v>34</v>
      </c>
      <c r="G1649" s="5" t="s">
        <v>36</v>
      </c>
      <c r="H1649" s="5" t="s">
        <v>35</v>
      </c>
      <c r="I1649" s="6">
        <v>1.0</v>
      </c>
      <c r="J1649" s="6" t="s">
        <v>37</v>
      </c>
      <c r="K1649" s="6">
        <v>10.0</v>
      </c>
      <c r="L1649" s="5"/>
      <c r="M1649" s="5"/>
      <c r="N1649" s="6" t="s">
        <v>40</v>
      </c>
      <c r="O1649" s="5" t="s">
        <v>5363</v>
      </c>
      <c r="P1649" s="6" t="s">
        <v>42</v>
      </c>
      <c r="Q1649" s="5" t="s">
        <v>1237</v>
      </c>
      <c r="R1649" s="5" t="s">
        <v>11454</v>
      </c>
      <c r="S1649" s="6" t="s">
        <v>208</v>
      </c>
      <c r="T1649" s="6">
        <v>6741.0</v>
      </c>
    </row>
    <row r="1650" ht="56.25" customHeight="1">
      <c r="A1650" s="5" t="s">
        <v>11455</v>
      </c>
      <c r="B1650" s="6" t="str">
        <f>image("https://storage.googleapis.com/acdb/photos/BromideNpcNmlTig04_Remake_0_0.png")</f>
        <v/>
      </c>
      <c r="C1650" s="5" t="s">
        <v>366</v>
      </c>
      <c r="D1650" s="5" t="s">
        <v>1327</v>
      </c>
      <c r="E1650" s="5" t="s">
        <v>34</v>
      </c>
      <c r="F1650" s="5" t="s">
        <v>34</v>
      </c>
      <c r="G1650" s="5" t="s">
        <v>36</v>
      </c>
      <c r="H1650" s="5" t="s">
        <v>35</v>
      </c>
      <c r="I1650" s="6">
        <v>1.0</v>
      </c>
      <c r="J1650" s="6" t="s">
        <v>37</v>
      </c>
      <c r="K1650" s="6">
        <v>10.0</v>
      </c>
      <c r="L1650" s="5"/>
      <c r="M1650" s="5"/>
      <c r="N1650" s="6" t="s">
        <v>40</v>
      </c>
      <c r="O1650" s="5" t="s">
        <v>5363</v>
      </c>
      <c r="P1650" s="6" t="s">
        <v>42</v>
      </c>
      <c r="Q1650" s="5" t="s">
        <v>1237</v>
      </c>
      <c r="R1650" s="5" t="s">
        <v>11457</v>
      </c>
      <c r="S1650" s="6" t="s">
        <v>50</v>
      </c>
      <c r="T1650" s="6">
        <v>6728.0</v>
      </c>
    </row>
    <row r="1651" ht="56.25" customHeight="1">
      <c r="A1651" s="5" t="s">
        <v>11455</v>
      </c>
      <c r="B1651" s="6" t="str">
        <f>image("https://storage.googleapis.com/acdb/photos/BromideNpcNmlTig04_Remake_1_0.png")</f>
        <v/>
      </c>
      <c r="C1651" s="5" t="s">
        <v>1132</v>
      </c>
      <c r="D1651" s="5" t="s">
        <v>1327</v>
      </c>
      <c r="E1651" s="5" t="s">
        <v>34</v>
      </c>
      <c r="F1651" s="5" t="s">
        <v>34</v>
      </c>
      <c r="G1651" s="5" t="s">
        <v>36</v>
      </c>
      <c r="H1651" s="5" t="s">
        <v>35</v>
      </c>
      <c r="I1651" s="6">
        <v>1.0</v>
      </c>
      <c r="J1651" s="6" t="s">
        <v>37</v>
      </c>
      <c r="K1651" s="6">
        <v>10.0</v>
      </c>
      <c r="L1651" s="5"/>
      <c r="M1651" s="5"/>
      <c r="N1651" s="6" t="s">
        <v>40</v>
      </c>
      <c r="O1651" s="5" t="s">
        <v>5363</v>
      </c>
      <c r="P1651" s="6" t="s">
        <v>42</v>
      </c>
      <c r="Q1651" s="5" t="s">
        <v>1237</v>
      </c>
      <c r="R1651" s="5" t="s">
        <v>11459</v>
      </c>
      <c r="S1651" s="6" t="s">
        <v>56</v>
      </c>
      <c r="T1651" s="6">
        <v>6728.0</v>
      </c>
    </row>
    <row r="1652" ht="56.25" customHeight="1">
      <c r="A1652" s="5" t="s">
        <v>11455</v>
      </c>
      <c r="B1652" s="6" t="str">
        <f>image("https://storage.googleapis.com/acdb/photos/BromideNpcNmlTig04_Remake_2_0.png")</f>
        <v/>
      </c>
      <c r="C1652" s="5" t="s">
        <v>688</v>
      </c>
      <c r="D1652" s="5" t="s">
        <v>1327</v>
      </c>
      <c r="E1652" s="5" t="s">
        <v>34</v>
      </c>
      <c r="F1652" s="5" t="s">
        <v>34</v>
      </c>
      <c r="G1652" s="5" t="s">
        <v>36</v>
      </c>
      <c r="H1652" s="5" t="s">
        <v>35</v>
      </c>
      <c r="I1652" s="6">
        <v>1.0</v>
      </c>
      <c r="J1652" s="6" t="s">
        <v>37</v>
      </c>
      <c r="K1652" s="6">
        <v>10.0</v>
      </c>
      <c r="L1652" s="5"/>
      <c r="M1652" s="5"/>
      <c r="N1652" s="6" t="s">
        <v>40</v>
      </c>
      <c r="O1652" s="5" t="s">
        <v>5363</v>
      </c>
      <c r="P1652" s="6" t="s">
        <v>42</v>
      </c>
      <c r="Q1652" s="5" t="s">
        <v>1237</v>
      </c>
      <c r="R1652" s="5" t="s">
        <v>11463</v>
      </c>
      <c r="S1652" s="6" t="s">
        <v>67</v>
      </c>
      <c r="T1652" s="6">
        <v>6728.0</v>
      </c>
    </row>
    <row r="1653" ht="56.25" customHeight="1">
      <c r="A1653" s="5" t="s">
        <v>11455</v>
      </c>
      <c r="B1653" s="6" t="str">
        <f>image("https://storage.googleapis.com/acdb/photos/BromideNpcNmlTig04_Remake_3_0.png")</f>
        <v/>
      </c>
      <c r="C1653" s="5" t="s">
        <v>57</v>
      </c>
      <c r="D1653" s="5" t="s">
        <v>1327</v>
      </c>
      <c r="E1653" s="5" t="s">
        <v>34</v>
      </c>
      <c r="F1653" s="5" t="s">
        <v>34</v>
      </c>
      <c r="G1653" s="5" t="s">
        <v>36</v>
      </c>
      <c r="H1653" s="5" t="s">
        <v>35</v>
      </c>
      <c r="I1653" s="6">
        <v>1.0</v>
      </c>
      <c r="J1653" s="6" t="s">
        <v>37</v>
      </c>
      <c r="K1653" s="6">
        <v>10.0</v>
      </c>
      <c r="L1653" s="5"/>
      <c r="M1653" s="5"/>
      <c r="N1653" s="6" t="s">
        <v>40</v>
      </c>
      <c r="O1653" s="5" t="s">
        <v>5363</v>
      </c>
      <c r="P1653" s="6" t="s">
        <v>42</v>
      </c>
      <c r="Q1653" s="5" t="s">
        <v>1237</v>
      </c>
      <c r="R1653" s="5" t="s">
        <v>11464</v>
      </c>
      <c r="S1653" s="6" t="s">
        <v>71</v>
      </c>
      <c r="T1653" s="6">
        <v>6728.0</v>
      </c>
    </row>
    <row r="1654" ht="56.25" customHeight="1">
      <c r="A1654" s="5" t="s">
        <v>11455</v>
      </c>
      <c r="B1654" s="6" t="str">
        <f>image("https://storage.googleapis.com/acdb/photos/BromideNpcNmlTig04_Remake_4_0.png")</f>
        <v/>
      </c>
      <c r="C1654" s="5" t="s">
        <v>1167</v>
      </c>
      <c r="D1654" s="5" t="s">
        <v>1327</v>
      </c>
      <c r="E1654" s="5" t="s">
        <v>34</v>
      </c>
      <c r="F1654" s="5" t="s">
        <v>34</v>
      </c>
      <c r="G1654" s="5" t="s">
        <v>36</v>
      </c>
      <c r="H1654" s="5" t="s">
        <v>35</v>
      </c>
      <c r="I1654" s="6">
        <v>1.0</v>
      </c>
      <c r="J1654" s="6" t="s">
        <v>37</v>
      </c>
      <c r="K1654" s="6">
        <v>10.0</v>
      </c>
      <c r="L1654" s="5"/>
      <c r="M1654" s="5"/>
      <c r="N1654" s="6" t="s">
        <v>40</v>
      </c>
      <c r="O1654" s="5" t="s">
        <v>5363</v>
      </c>
      <c r="P1654" s="6" t="s">
        <v>42</v>
      </c>
      <c r="Q1654" s="5" t="s">
        <v>1237</v>
      </c>
      <c r="R1654" s="5" t="s">
        <v>11467</v>
      </c>
      <c r="S1654" s="6" t="s">
        <v>75</v>
      </c>
      <c r="T1654" s="6">
        <v>6728.0</v>
      </c>
    </row>
    <row r="1655" ht="56.25" customHeight="1">
      <c r="A1655" s="5" t="s">
        <v>11455</v>
      </c>
      <c r="B1655" s="6" t="str">
        <f>image("https://storage.googleapis.com/acdb/photos/BromideNpcNmlTig04_Remake_5_0.png")</f>
        <v/>
      </c>
      <c r="C1655" s="5" t="s">
        <v>58</v>
      </c>
      <c r="D1655" s="5" t="s">
        <v>1327</v>
      </c>
      <c r="E1655" s="5" t="s">
        <v>34</v>
      </c>
      <c r="F1655" s="5" t="s">
        <v>34</v>
      </c>
      <c r="G1655" s="5" t="s">
        <v>36</v>
      </c>
      <c r="H1655" s="5" t="s">
        <v>35</v>
      </c>
      <c r="I1655" s="6">
        <v>1.0</v>
      </c>
      <c r="J1655" s="6" t="s">
        <v>37</v>
      </c>
      <c r="K1655" s="6">
        <v>10.0</v>
      </c>
      <c r="L1655" s="5"/>
      <c r="M1655" s="5"/>
      <c r="N1655" s="6" t="s">
        <v>40</v>
      </c>
      <c r="O1655" s="5" t="s">
        <v>5363</v>
      </c>
      <c r="P1655" s="6" t="s">
        <v>42</v>
      </c>
      <c r="Q1655" s="5" t="s">
        <v>1237</v>
      </c>
      <c r="R1655" s="5" t="s">
        <v>11470</v>
      </c>
      <c r="S1655" s="6" t="s">
        <v>79</v>
      </c>
      <c r="T1655" s="6">
        <v>6728.0</v>
      </c>
    </row>
    <row r="1656" ht="56.25" customHeight="1">
      <c r="A1656" s="5" t="s">
        <v>11455</v>
      </c>
      <c r="B1656" s="6" t="str">
        <f>image("https://storage.googleapis.com/acdb/photos/BromideNpcNmlTig04_Remake_6_0.png")</f>
        <v/>
      </c>
      <c r="C1656" s="5" t="s">
        <v>146</v>
      </c>
      <c r="D1656" s="5" t="s">
        <v>1327</v>
      </c>
      <c r="E1656" s="5" t="s">
        <v>34</v>
      </c>
      <c r="F1656" s="5" t="s">
        <v>34</v>
      </c>
      <c r="G1656" s="5" t="s">
        <v>36</v>
      </c>
      <c r="H1656" s="5" t="s">
        <v>35</v>
      </c>
      <c r="I1656" s="6">
        <v>1.0</v>
      </c>
      <c r="J1656" s="6" t="s">
        <v>37</v>
      </c>
      <c r="K1656" s="6">
        <v>10.0</v>
      </c>
      <c r="L1656" s="5"/>
      <c r="M1656" s="5"/>
      <c r="N1656" s="6" t="s">
        <v>40</v>
      </c>
      <c r="O1656" s="5" t="s">
        <v>5363</v>
      </c>
      <c r="P1656" s="6" t="s">
        <v>42</v>
      </c>
      <c r="Q1656" s="5" t="s">
        <v>1237</v>
      </c>
      <c r="R1656" s="5" t="s">
        <v>11472</v>
      </c>
      <c r="S1656" s="6" t="s">
        <v>86</v>
      </c>
      <c r="T1656" s="6">
        <v>6728.0</v>
      </c>
    </row>
    <row r="1657" ht="56.25" customHeight="1">
      <c r="A1657" s="5" t="s">
        <v>11455</v>
      </c>
      <c r="B1657" s="6" t="str">
        <f>image("https://storage.googleapis.com/acdb/photos/BromideNpcNmlTig04_Remake_7_0.png")</f>
        <v/>
      </c>
      <c r="C1657" s="5" t="s">
        <v>151</v>
      </c>
      <c r="D1657" s="5" t="s">
        <v>1327</v>
      </c>
      <c r="E1657" s="5" t="s">
        <v>34</v>
      </c>
      <c r="F1657" s="5" t="s">
        <v>34</v>
      </c>
      <c r="G1657" s="5" t="s">
        <v>36</v>
      </c>
      <c r="H1657" s="5" t="s">
        <v>35</v>
      </c>
      <c r="I1657" s="6">
        <v>1.0</v>
      </c>
      <c r="J1657" s="6" t="s">
        <v>37</v>
      </c>
      <c r="K1657" s="6">
        <v>10.0</v>
      </c>
      <c r="L1657" s="5"/>
      <c r="M1657" s="5"/>
      <c r="N1657" s="6" t="s">
        <v>40</v>
      </c>
      <c r="O1657" s="5" t="s">
        <v>5363</v>
      </c>
      <c r="P1657" s="6" t="s">
        <v>42</v>
      </c>
      <c r="Q1657" s="5" t="s">
        <v>1237</v>
      </c>
      <c r="R1657" s="5" t="s">
        <v>11474</v>
      </c>
      <c r="S1657" s="6" t="s">
        <v>208</v>
      </c>
      <c r="T1657" s="6">
        <v>6728.0</v>
      </c>
    </row>
    <row r="1658" ht="56.25" customHeight="1">
      <c r="A1658" s="5" t="s">
        <v>11475</v>
      </c>
      <c r="B1658" s="6" t="str">
        <f>image("https://storage.googleapis.com/acdb/photos/BromideNpcNmlLon04_Remake_0_0.png")</f>
        <v/>
      </c>
      <c r="C1658" s="5" t="s">
        <v>366</v>
      </c>
      <c r="D1658" s="5" t="s">
        <v>1327</v>
      </c>
      <c r="E1658" s="5" t="s">
        <v>34</v>
      </c>
      <c r="F1658" s="5" t="s">
        <v>34</v>
      </c>
      <c r="G1658" s="5" t="s">
        <v>36</v>
      </c>
      <c r="H1658" s="5" t="s">
        <v>35</v>
      </c>
      <c r="I1658" s="6">
        <v>1.0</v>
      </c>
      <c r="J1658" s="6" t="s">
        <v>37</v>
      </c>
      <c r="K1658" s="6">
        <v>10.0</v>
      </c>
      <c r="L1658" s="5"/>
      <c r="M1658" s="5"/>
      <c r="N1658" s="6" t="s">
        <v>40</v>
      </c>
      <c r="O1658" s="5" t="s">
        <v>5363</v>
      </c>
      <c r="P1658" s="6" t="s">
        <v>42</v>
      </c>
      <c r="Q1658" s="5" t="s">
        <v>1237</v>
      </c>
      <c r="R1658" s="5" t="s">
        <v>11478</v>
      </c>
      <c r="S1658" s="6" t="s">
        <v>50</v>
      </c>
      <c r="T1658" s="6">
        <v>6576.0</v>
      </c>
    </row>
    <row r="1659" ht="56.25" customHeight="1">
      <c r="A1659" s="5" t="s">
        <v>11475</v>
      </c>
      <c r="B1659" s="6" t="str">
        <f>image("https://storage.googleapis.com/acdb/photos/BromideNpcNmlLon04_Remake_1_0.png")</f>
        <v/>
      </c>
      <c r="C1659" s="5" t="s">
        <v>1132</v>
      </c>
      <c r="D1659" s="5" t="s">
        <v>1327</v>
      </c>
      <c r="E1659" s="5" t="s">
        <v>34</v>
      </c>
      <c r="F1659" s="5" t="s">
        <v>34</v>
      </c>
      <c r="G1659" s="5" t="s">
        <v>36</v>
      </c>
      <c r="H1659" s="5" t="s">
        <v>35</v>
      </c>
      <c r="I1659" s="6">
        <v>1.0</v>
      </c>
      <c r="J1659" s="6" t="s">
        <v>37</v>
      </c>
      <c r="K1659" s="6">
        <v>10.0</v>
      </c>
      <c r="L1659" s="5"/>
      <c r="M1659" s="5"/>
      <c r="N1659" s="6" t="s">
        <v>40</v>
      </c>
      <c r="O1659" s="5" t="s">
        <v>5363</v>
      </c>
      <c r="P1659" s="6" t="s">
        <v>42</v>
      </c>
      <c r="Q1659" s="5" t="s">
        <v>1237</v>
      </c>
      <c r="R1659" s="5" t="s">
        <v>11481</v>
      </c>
      <c r="S1659" s="6" t="s">
        <v>56</v>
      </c>
      <c r="T1659" s="6">
        <v>6576.0</v>
      </c>
    </row>
    <row r="1660" ht="56.25" customHeight="1">
      <c r="A1660" s="5" t="s">
        <v>11475</v>
      </c>
      <c r="B1660" s="6" t="str">
        <f>image("https://storage.googleapis.com/acdb/photos/BromideNpcNmlLon04_Remake_2_0.png")</f>
        <v/>
      </c>
      <c r="C1660" s="5" t="s">
        <v>688</v>
      </c>
      <c r="D1660" s="5" t="s">
        <v>1327</v>
      </c>
      <c r="E1660" s="5" t="s">
        <v>34</v>
      </c>
      <c r="F1660" s="5" t="s">
        <v>34</v>
      </c>
      <c r="G1660" s="5" t="s">
        <v>36</v>
      </c>
      <c r="H1660" s="5" t="s">
        <v>35</v>
      </c>
      <c r="I1660" s="6">
        <v>1.0</v>
      </c>
      <c r="J1660" s="6" t="s">
        <v>37</v>
      </c>
      <c r="K1660" s="6">
        <v>10.0</v>
      </c>
      <c r="L1660" s="5"/>
      <c r="M1660" s="5"/>
      <c r="N1660" s="6" t="s">
        <v>40</v>
      </c>
      <c r="O1660" s="5" t="s">
        <v>5363</v>
      </c>
      <c r="P1660" s="6" t="s">
        <v>42</v>
      </c>
      <c r="Q1660" s="5" t="s">
        <v>1237</v>
      </c>
      <c r="R1660" s="5" t="s">
        <v>11482</v>
      </c>
      <c r="S1660" s="6" t="s">
        <v>67</v>
      </c>
      <c r="T1660" s="6">
        <v>6576.0</v>
      </c>
    </row>
    <row r="1661" ht="56.25" customHeight="1">
      <c r="A1661" s="5" t="s">
        <v>11475</v>
      </c>
      <c r="B1661" s="6" t="str">
        <f>image("https://storage.googleapis.com/acdb/photos/BromideNpcNmlLon04_Remake_3_0.png")</f>
        <v/>
      </c>
      <c r="C1661" s="5" t="s">
        <v>57</v>
      </c>
      <c r="D1661" s="5" t="s">
        <v>1327</v>
      </c>
      <c r="E1661" s="5" t="s">
        <v>34</v>
      </c>
      <c r="F1661" s="5" t="s">
        <v>34</v>
      </c>
      <c r="G1661" s="5" t="s">
        <v>36</v>
      </c>
      <c r="H1661" s="5" t="s">
        <v>35</v>
      </c>
      <c r="I1661" s="6">
        <v>1.0</v>
      </c>
      <c r="J1661" s="6" t="s">
        <v>37</v>
      </c>
      <c r="K1661" s="6">
        <v>10.0</v>
      </c>
      <c r="L1661" s="5"/>
      <c r="M1661" s="5"/>
      <c r="N1661" s="6" t="s">
        <v>40</v>
      </c>
      <c r="O1661" s="5" t="s">
        <v>5363</v>
      </c>
      <c r="P1661" s="6" t="s">
        <v>42</v>
      </c>
      <c r="Q1661" s="5" t="s">
        <v>1237</v>
      </c>
      <c r="R1661" s="5" t="s">
        <v>11485</v>
      </c>
      <c r="S1661" s="6" t="s">
        <v>71</v>
      </c>
      <c r="T1661" s="6">
        <v>6576.0</v>
      </c>
    </row>
    <row r="1662" ht="56.25" customHeight="1">
      <c r="A1662" s="5" t="s">
        <v>11475</v>
      </c>
      <c r="B1662" s="6" t="str">
        <f>image("https://storage.googleapis.com/acdb/photos/BromideNpcNmlLon04_Remake_4_0.png")</f>
        <v/>
      </c>
      <c r="C1662" s="5" t="s">
        <v>1167</v>
      </c>
      <c r="D1662" s="5" t="s">
        <v>1327</v>
      </c>
      <c r="E1662" s="5" t="s">
        <v>34</v>
      </c>
      <c r="F1662" s="5" t="s">
        <v>34</v>
      </c>
      <c r="G1662" s="5" t="s">
        <v>36</v>
      </c>
      <c r="H1662" s="5" t="s">
        <v>35</v>
      </c>
      <c r="I1662" s="6">
        <v>1.0</v>
      </c>
      <c r="J1662" s="6" t="s">
        <v>37</v>
      </c>
      <c r="K1662" s="6">
        <v>10.0</v>
      </c>
      <c r="L1662" s="5"/>
      <c r="M1662" s="5"/>
      <c r="N1662" s="6" t="s">
        <v>40</v>
      </c>
      <c r="O1662" s="5" t="s">
        <v>5363</v>
      </c>
      <c r="P1662" s="6" t="s">
        <v>42</v>
      </c>
      <c r="Q1662" s="5" t="s">
        <v>1237</v>
      </c>
      <c r="R1662" s="5" t="s">
        <v>11488</v>
      </c>
      <c r="S1662" s="6" t="s">
        <v>75</v>
      </c>
      <c r="T1662" s="6">
        <v>6576.0</v>
      </c>
    </row>
    <row r="1663" ht="56.25" customHeight="1">
      <c r="A1663" s="5" t="s">
        <v>11475</v>
      </c>
      <c r="B1663" s="6" t="str">
        <f>image("https://storage.googleapis.com/acdb/photos/BromideNpcNmlLon04_Remake_5_0.png")</f>
        <v/>
      </c>
      <c r="C1663" s="5" t="s">
        <v>58</v>
      </c>
      <c r="D1663" s="5" t="s">
        <v>1327</v>
      </c>
      <c r="E1663" s="5" t="s">
        <v>34</v>
      </c>
      <c r="F1663" s="5" t="s">
        <v>34</v>
      </c>
      <c r="G1663" s="5" t="s">
        <v>36</v>
      </c>
      <c r="H1663" s="5" t="s">
        <v>35</v>
      </c>
      <c r="I1663" s="6">
        <v>1.0</v>
      </c>
      <c r="J1663" s="6" t="s">
        <v>37</v>
      </c>
      <c r="K1663" s="6">
        <v>10.0</v>
      </c>
      <c r="L1663" s="5"/>
      <c r="M1663" s="5"/>
      <c r="N1663" s="6" t="s">
        <v>40</v>
      </c>
      <c r="O1663" s="5" t="s">
        <v>5363</v>
      </c>
      <c r="P1663" s="6" t="s">
        <v>42</v>
      </c>
      <c r="Q1663" s="5" t="s">
        <v>1237</v>
      </c>
      <c r="R1663" s="5" t="s">
        <v>11492</v>
      </c>
      <c r="S1663" s="6" t="s">
        <v>79</v>
      </c>
      <c r="T1663" s="6">
        <v>6576.0</v>
      </c>
    </row>
    <row r="1664" ht="56.25" customHeight="1">
      <c r="A1664" s="5" t="s">
        <v>11475</v>
      </c>
      <c r="B1664" s="6" t="str">
        <f>image("https://storage.googleapis.com/acdb/photos/BromideNpcNmlLon04_Remake_6_0.png")</f>
        <v/>
      </c>
      <c r="C1664" s="5" t="s">
        <v>146</v>
      </c>
      <c r="D1664" s="5" t="s">
        <v>1327</v>
      </c>
      <c r="E1664" s="5" t="s">
        <v>34</v>
      </c>
      <c r="F1664" s="5" t="s">
        <v>34</v>
      </c>
      <c r="G1664" s="5" t="s">
        <v>36</v>
      </c>
      <c r="H1664" s="5" t="s">
        <v>35</v>
      </c>
      <c r="I1664" s="6">
        <v>1.0</v>
      </c>
      <c r="J1664" s="6" t="s">
        <v>37</v>
      </c>
      <c r="K1664" s="6">
        <v>10.0</v>
      </c>
      <c r="L1664" s="5"/>
      <c r="M1664" s="5"/>
      <c r="N1664" s="6" t="s">
        <v>40</v>
      </c>
      <c r="O1664" s="5" t="s">
        <v>5363</v>
      </c>
      <c r="P1664" s="6" t="s">
        <v>42</v>
      </c>
      <c r="Q1664" s="5" t="s">
        <v>1237</v>
      </c>
      <c r="R1664" s="5" t="s">
        <v>11495</v>
      </c>
      <c r="S1664" s="6" t="s">
        <v>86</v>
      </c>
      <c r="T1664" s="6">
        <v>6576.0</v>
      </c>
    </row>
    <row r="1665" ht="56.25" customHeight="1">
      <c r="A1665" s="5" t="s">
        <v>11475</v>
      </c>
      <c r="B1665" s="6" t="str">
        <f>image("https://storage.googleapis.com/acdb/photos/BromideNpcNmlLon04_Remake_7_0.png")</f>
        <v/>
      </c>
      <c r="C1665" s="5" t="s">
        <v>151</v>
      </c>
      <c r="D1665" s="5" t="s">
        <v>1327</v>
      </c>
      <c r="E1665" s="5" t="s">
        <v>34</v>
      </c>
      <c r="F1665" s="5" t="s">
        <v>34</v>
      </c>
      <c r="G1665" s="5" t="s">
        <v>36</v>
      </c>
      <c r="H1665" s="5" t="s">
        <v>35</v>
      </c>
      <c r="I1665" s="6">
        <v>1.0</v>
      </c>
      <c r="J1665" s="6" t="s">
        <v>37</v>
      </c>
      <c r="K1665" s="6">
        <v>10.0</v>
      </c>
      <c r="L1665" s="5"/>
      <c r="M1665" s="5"/>
      <c r="N1665" s="6" t="s">
        <v>40</v>
      </c>
      <c r="O1665" s="5" t="s">
        <v>5363</v>
      </c>
      <c r="P1665" s="6" t="s">
        <v>42</v>
      </c>
      <c r="Q1665" s="5" t="s">
        <v>1237</v>
      </c>
      <c r="R1665" s="5" t="s">
        <v>11497</v>
      </c>
      <c r="S1665" s="6" t="s">
        <v>208</v>
      </c>
      <c r="T1665" s="6">
        <v>6576.0</v>
      </c>
    </row>
    <row r="1666" ht="56.25" customHeight="1">
      <c r="A1666" s="5" t="s">
        <v>11498</v>
      </c>
      <c r="B1666" s="6" t="str">
        <f>image("https://storage.googleapis.com/acdb/photos/BromideNpcNmlFlg00_Remake_0_0.png")</f>
        <v/>
      </c>
      <c r="C1666" s="5" t="s">
        <v>366</v>
      </c>
      <c r="D1666" s="5" t="s">
        <v>1327</v>
      </c>
      <c r="E1666" s="5" t="s">
        <v>34</v>
      </c>
      <c r="F1666" s="5" t="s">
        <v>34</v>
      </c>
      <c r="G1666" s="5" t="s">
        <v>36</v>
      </c>
      <c r="H1666" s="5" t="s">
        <v>35</v>
      </c>
      <c r="I1666" s="6">
        <v>1.0</v>
      </c>
      <c r="J1666" s="6" t="s">
        <v>37</v>
      </c>
      <c r="K1666" s="6">
        <v>10.0</v>
      </c>
      <c r="L1666" s="5"/>
      <c r="M1666" s="5"/>
      <c r="N1666" s="6" t="s">
        <v>40</v>
      </c>
      <c r="O1666" s="5" t="s">
        <v>5363</v>
      </c>
      <c r="P1666" s="6" t="s">
        <v>42</v>
      </c>
      <c r="Q1666" s="5" t="s">
        <v>1237</v>
      </c>
      <c r="R1666" s="5" t="s">
        <v>11502</v>
      </c>
      <c r="S1666" s="6" t="s">
        <v>50</v>
      </c>
      <c r="T1666" s="6">
        <v>6484.0</v>
      </c>
    </row>
    <row r="1667" ht="56.25" customHeight="1">
      <c r="A1667" s="5" t="s">
        <v>11498</v>
      </c>
      <c r="B1667" s="6" t="str">
        <f>image("https://storage.googleapis.com/acdb/photos/BromideNpcNmlFlg00_Remake_1_0.png")</f>
        <v/>
      </c>
      <c r="C1667" s="5" t="s">
        <v>1132</v>
      </c>
      <c r="D1667" s="5" t="s">
        <v>1327</v>
      </c>
      <c r="E1667" s="5" t="s">
        <v>34</v>
      </c>
      <c r="F1667" s="5" t="s">
        <v>34</v>
      </c>
      <c r="G1667" s="5" t="s">
        <v>36</v>
      </c>
      <c r="H1667" s="5" t="s">
        <v>35</v>
      </c>
      <c r="I1667" s="6">
        <v>1.0</v>
      </c>
      <c r="J1667" s="6" t="s">
        <v>37</v>
      </c>
      <c r="K1667" s="6">
        <v>10.0</v>
      </c>
      <c r="L1667" s="5"/>
      <c r="M1667" s="5"/>
      <c r="N1667" s="6" t="s">
        <v>40</v>
      </c>
      <c r="O1667" s="5" t="s">
        <v>5363</v>
      </c>
      <c r="P1667" s="6" t="s">
        <v>42</v>
      </c>
      <c r="Q1667" s="5" t="s">
        <v>1237</v>
      </c>
      <c r="R1667" s="5" t="s">
        <v>11504</v>
      </c>
      <c r="S1667" s="6" t="s">
        <v>56</v>
      </c>
      <c r="T1667" s="6">
        <v>6484.0</v>
      </c>
    </row>
    <row r="1668" ht="56.25" customHeight="1">
      <c r="A1668" s="5" t="s">
        <v>11498</v>
      </c>
      <c r="B1668" s="6" t="str">
        <f>image("https://storage.googleapis.com/acdb/photos/BromideNpcNmlFlg00_Remake_2_0.png")</f>
        <v/>
      </c>
      <c r="C1668" s="5" t="s">
        <v>688</v>
      </c>
      <c r="D1668" s="5" t="s">
        <v>1327</v>
      </c>
      <c r="E1668" s="5" t="s">
        <v>34</v>
      </c>
      <c r="F1668" s="5" t="s">
        <v>34</v>
      </c>
      <c r="G1668" s="5" t="s">
        <v>36</v>
      </c>
      <c r="H1668" s="5" t="s">
        <v>35</v>
      </c>
      <c r="I1668" s="6">
        <v>1.0</v>
      </c>
      <c r="J1668" s="6" t="s">
        <v>37</v>
      </c>
      <c r="K1668" s="6">
        <v>10.0</v>
      </c>
      <c r="L1668" s="5"/>
      <c r="M1668" s="5"/>
      <c r="N1668" s="6" t="s">
        <v>40</v>
      </c>
      <c r="O1668" s="5" t="s">
        <v>5363</v>
      </c>
      <c r="P1668" s="6" t="s">
        <v>42</v>
      </c>
      <c r="Q1668" s="5" t="s">
        <v>1237</v>
      </c>
      <c r="R1668" s="5" t="s">
        <v>11507</v>
      </c>
      <c r="S1668" s="6" t="s">
        <v>67</v>
      </c>
      <c r="T1668" s="6">
        <v>6484.0</v>
      </c>
    </row>
    <row r="1669" ht="56.25" customHeight="1">
      <c r="A1669" s="5" t="s">
        <v>11498</v>
      </c>
      <c r="B1669" s="6" t="str">
        <f>image("https://storage.googleapis.com/acdb/photos/BromideNpcNmlFlg00_Remake_3_0.png")</f>
        <v/>
      </c>
      <c r="C1669" s="5" t="s">
        <v>57</v>
      </c>
      <c r="D1669" s="5" t="s">
        <v>1327</v>
      </c>
      <c r="E1669" s="5" t="s">
        <v>34</v>
      </c>
      <c r="F1669" s="5" t="s">
        <v>34</v>
      </c>
      <c r="G1669" s="5" t="s">
        <v>36</v>
      </c>
      <c r="H1669" s="5" t="s">
        <v>35</v>
      </c>
      <c r="I1669" s="6">
        <v>1.0</v>
      </c>
      <c r="J1669" s="6" t="s">
        <v>37</v>
      </c>
      <c r="K1669" s="6">
        <v>10.0</v>
      </c>
      <c r="L1669" s="5"/>
      <c r="M1669" s="5"/>
      <c r="N1669" s="6" t="s">
        <v>40</v>
      </c>
      <c r="O1669" s="5" t="s">
        <v>5363</v>
      </c>
      <c r="P1669" s="6" t="s">
        <v>42</v>
      </c>
      <c r="Q1669" s="5" t="s">
        <v>1237</v>
      </c>
      <c r="R1669" s="5" t="s">
        <v>11509</v>
      </c>
      <c r="S1669" s="6" t="s">
        <v>71</v>
      </c>
      <c r="T1669" s="6">
        <v>6484.0</v>
      </c>
    </row>
    <row r="1670" ht="56.25" customHeight="1">
      <c r="A1670" s="5" t="s">
        <v>11498</v>
      </c>
      <c r="B1670" s="6" t="str">
        <f>image("https://storage.googleapis.com/acdb/photos/BromideNpcNmlFlg00_Remake_4_0.png")</f>
        <v/>
      </c>
      <c r="C1670" s="5" t="s">
        <v>1167</v>
      </c>
      <c r="D1670" s="5" t="s">
        <v>1327</v>
      </c>
      <c r="E1670" s="5" t="s">
        <v>34</v>
      </c>
      <c r="F1670" s="5" t="s">
        <v>34</v>
      </c>
      <c r="G1670" s="5" t="s">
        <v>36</v>
      </c>
      <c r="H1670" s="5" t="s">
        <v>35</v>
      </c>
      <c r="I1670" s="6">
        <v>1.0</v>
      </c>
      <c r="J1670" s="6" t="s">
        <v>37</v>
      </c>
      <c r="K1670" s="6">
        <v>10.0</v>
      </c>
      <c r="L1670" s="5"/>
      <c r="M1670" s="5"/>
      <c r="N1670" s="6" t="s">
        <v>40</v>
      </c>
      <c r="O1670" s="5" t="s">
        <v>5363</v>
      </c>
      <c r="P1670" s="6" t="s">
        <v>42</v>
      </c>
      <c r="Q1670" s="5" t="s">
        <v>1237</v>
      </c>
      <c r="R1670" s="5" t="s">
        <v>11511</v>
      </c>
      <c r="S1670" s="6" t="s">
        <v>75</v>
      </c>
      <c r="T1670" s="6">
        <v>6484.0</v>
      </c>
    </row>
    <row r="1671" ht="56.25" customHeight="1">
      <c r="A1671" s="5" t="s">
        <v>11498</v>
      </c>
      <c r="B1671" s="6" t="str">
        <f>image("https://storage.googleapis.com/acdb/photos/BromideNpcNmlFlg00_Remake_5_0.png")</f>
        <v/>
      </c>
      <c r="C1671" s="5" t="s">
        <v>58</v>
      </c>
      <c r="D1671" s="5" t="s">
        <v>1327</v>
      </c>
      <c r="E1671" s="5" t="s">
        <v>34</v>
      </c>
      <c r="F1671" s="5" t="s">
        <v>34</v>
      </c>
      <c r="G1671" s="5" t="s">
        <v>36</v>
      </c>
      <c r="H1671" s="5" t="s">
        <v>35</v>
      </c>
      <c r="I1671" s="6">
        <v>1.0</v>
      </c>
      <c r="J1671" s="6" t="s">
        <v>37</v>
      </c>
      <c r="K1671" s="6">
        <v>10.0</v>
      </c>
      <c r="L1671" s="5"/>
      <c r="M1671" s="5"/>
      <c r="N1671" s="6" t="s">
        <v>40</v>
      </c>
      <c r="O1671" s="5" t="s">
        <v>5363</v>
      </c>
      <c r="P1671" s="6" t="s">
        <v>42</v>
      </c>
      <c r="Q1671" s="5" t="s">
        <v>1237</v>
      </c>
      <c r="R1671" s="5" t="s">
        <v>11513</v>
      </c>
      <c r="S1671" s="6" t="s">
        <v>79</v>
      </c>
      <c r="T1671" s="6">
        <v>6484.0</v>
      </c>
    </row>
    <row r="1672" ht="56.25" customHeight="1">
      <c r="A1672" s="5" t="s">
        <v>11498</v>
      </c>
      <c r="B1672" s="6" t="str">
        <f>image("https://storage.googleapis.com/acdb/photos/BromideNpcNmlFlg00_Remake_6_0.png")</f>
        <v/>
      </c>
      <c r="C1672" s="5" t="s">
        <v>146</v>
      </c>
      <c r="D1672" s="5" t="s">
        <v>1327</v>
      </c>
      <c r="E1672" s="5" t="s">
        <v>34</v>
      </c>
      <c r="F1672" s="5" t="s">
        <v>34</v>
      </c>
      <c r="G1672" s="5" t="s">
        <v>36</v>
      </c>
      <c r="H1672" s="5" t="s">
        <v>35</v>
      </c>
      <c r="I1672" s="6">
        <v>1.0</v>
      </c>
      <c r="J1672" s="6" t="s">
        <v>37</v>
      </c>
      <c r="K1672" s="6">
        <v>10.0</v>
      </c>
      <c r="L1672" s="5"/>
      <c r="M1672" s="5"/>
      <c r="N1672" s="6" t="s">
        <v>40</v>
      </c>
      <c r="O1672" s="5" t="s">
        <v>5363</v>
      </c>
      <c r="P1672" s="6" t="s">
        <v>42</v>
      </c>
      <c r="Q1672" s="5" t="s">
        <v>1237</v>
      </c>
      <c r="R1672" s="5" t="s">
        <v>11516</v>
      </c>
      <c r="S1672" s="6" t="s">
        <v>86</v>
      </c>
      <c r="T1672" s="6">
        <v>6484.0</v>
      </c>
    </row>
    <row r="1673" ht="56.25" customHeight="1">
      <c r="A1673" s="5" t="s">
        <v>11498</v>
      </c>
      <c r="B1673" s="6" t="str">
        <f>image("https://storage.googleapis.com/acdb/photos/BromideNpcNmlFlg00_Remake_7_0.png")</f>
        <v/>
      </c>
      <c r="C1673" s="5" t="s">
        <v>151</v>
      </c>
      <c r="D1673" s="5" t="s">
        <v>1327</v>
      </c>
      <c r="E1673" s="5" t="s">
        <v>34</v>
      </c>
      <c r="F1673" s="5" t="s">
        <v>34</v>
      </c>
      <c r="G1673" s="5" t="s">
        <v>36</v>
      </c>
      <c r="H1673" s="5" t="s">
        <v>35</v>
      </c>
      <c r="I1673" s="6">
        <v>1.0</v>
      </c>
      <c r="J1673" s="6" t="s">
        <v>37</v>
      </c>
      <c r="K1673" s="6">
        <v>10.0</v>
      </c>
      <c r="L1673" s="5"/>
      <c r="M1673" s="5"/>
      <c r="N1673" s="6" t="s">
        <v>40</v>
      </c>
      <c r="O1673" s="5" t="s">
        <v>5363</v>
      </c>
      <c r="P1673" s="6" t="s">
        <v>42</v>
      </c>
      <c r="Q1673" s="5" t="s">
        <v>1237</v>
      </c>
      <c r="R1673" s="5" t="s">
        <v>11518</v>
      </c>
      <c r="S1673" s="6" t="s">
        <v>208</v>
      </c>
      <c r="T1673" s="6">
        <v>6484.0</v>
      </c>
    </row>
    <row r="1674" ht="56.25" customHeight="1">
      <c r="A1674" s="5" t="s">
        <v>11520</v>
      </c>
      <c r="B1674" s="6" t="str">
        <f>image("https://storage.googleapis.com/acdb/photos/BromideNpcNmlMus01_Remake_0_0.png")</f>
        <v/>
      </c>
      <c r="C1674" s="5" t="s">
        <v>366</v>
      </c>
      <c r="D1674" s="5" t="s">
        <v>1327</v>
      </c>
      <c r="E1674" s="5" t="s">
        <v>34</v>
      </c>
      <c r="F1674" s="5" t="s">
        <v>34</v>
      </c>
      <c r="G1674" s="5" t="s">
        <v>36</v>
      </c>
      <c r="H1674" s="5" t="s">
        <v>35</v>
      </c>
      <c r="I1674" s="6">
        <v>1.0</v>
      </c>
      <c r="J1674" s="6" t="s">
        <v>37</v>
      </c>
      <c r="K1674" s="6">
        <v>10.0</v>
      </c>
      <c r="L1674" s="5"/>
      <c r="M1674" s="5"/>
      <c r="N1674" s="6" t="s">
        <v>40</v>
      </c>
      <c r="O1674" s="5" t="s">
        <v>5363</v>
      </c>
      <c r="P1674" s="6" t="s">
        <v>42</v>
      </c>
      <c r="Q1674" s="5" t="s">
        <v>1237</v>
      </c>
      <c r="R1674" s="5" t="s">
        <v>11521</v>
      </c>
      <c r="S1674" s="6" t="s">
        <v>50</v>
      </c>
      <c r="T1674" s="6">
        <v>6590.0</v>
      </c>
    </row>
    <row r="1675" ht="56.25" customHeight="1">
      <c r="A1675" s="5" t="s">
        <v>11520</v>
      </c>
      <c r="B1675" s="6" t="str">
        <f>image("https://storage.googleapis.com/acdb/photos/BromideNpcNmlMus01_Remake_1_0.png")</f>
        <v/>
      </c>
      <c r="C1675" s="5" t="s">
        <v>1132</v>
      </c>
      <c r="D1675" s="5" t="s">
        <v>1327</v>
      </c>
      <c r="E1675" s="5" t="s">
        <v>34</v>
      </c>
      <c r="F1675" s="5" t="s">
        <v>34</v>
      </c>
      <c r="G1675" s="5" t="s">
        <v>36</v>
      </c>
      <c r="H1675" s="5" t="s">
        <v>35</v>
      </c>
      <c r="I1675" s="6">
        <v>1.0</v>
      </c>
      <c r="J1675" s="6" t="s">
        <v>37</v>
      </c>
      <c r="K1675" s="6">
        <v>10.0</v>
      </c>
      <c r="L1675" s="5"/>
      <c r="M1675" s="5"/>
      <c r="N1675" s="6" t="s">
        <v>40</v>
      </c>
      <c r="O1675" s="5" t="s">
        <v>5363</v>
      </c>
      <c r="P1675" s="6" t="s">
        <v>42</v>
      </c>
      <c r="Q1675" s="5" t="s">
        <v>1237</v>
      </c>
      <c r="R1675" s="5" t="s">
        <v>11524</v>
      </c>
      <c r="S1675" s="6" t="s">
        <v>56</v>
      </c>
      <c r="T1675" s="6">
        <v>6590.0</v>
      </c>
    </row>
    <row r="1676" ht="56.25" customHeight="1">
      <c r="A1676" s="5" t="s">
        <v>11520</v>
      </c>
      <c r="B1676" s="6" t="str">
        <f>image("https://storage.googleapis.com/acdb/photos/BromideNpcNmlMus01_Remake_2_0.png")</f>
        <v/>
      </c>
      <c r="C1676" s="5" t="s">
        <v>688</v>
      </c>
      <c r="D1676" s="5" t="s">
        <v>1327</v>
      </c>
      <c r="E1676" s="5" t="s">
        <v>34</v>
      </c>
      <c r="F1676" s="5" t="s">
        <v>34</v>
      </c>
      <c r="G1676" s="5" t="s">
        <v>36</v>
      </c>
      <c r="H1676" s="5" t="s">
        <v>35</v>
      </c>
      <c r="I1676" s="6">
        <v>1.0</v>
      </c>
      <c r="J1676" s="6" t="s">
        <v>37</v>
      </c>
      <c r="K1676" s="6">
        <v>10.0</v>
      </c>
      <c r="L1676" s="5"/>
      <c r="M1676" s="5"/>
      <c r="N1676" s="6" t="s">
        <v>40</v>
      </c>
      <c r="O1676" s="5" t="s">
        <v>5363</v>
      </c>
      <c r="P1676" s="6" t="s">
        <v>42</v>
      </c>
      <c r="Q1676" s="5" t="s">
        <v>1237</v>
      </c>
      <c r="R1676" s="5" t="s">
        <v>11526</v>
      </c>
      <c r="S1676" s="6" t="s">
        <v>67</v>
      </c>
      <c r="T1676" s="6">
        <v>6590.0</v>
      </c>
    </row>
    <row r="1677" ht="56.25" customHeight="1">
      <c r="A1677" s="5" t="s">
        <v>11520</v>
      </c>
      <c r="B1677" s="6" t="str">
        <f>image("https://storage.googleapis.com/acdb/photos/BromideNpcNmlMus01_Remake_3_0.png")</f>
        <v/>
      </c>
      <c r="C1677" s="5" t="s">
        <v>57</v>
      </c>
      <c r="D1677" s="5" t="s">
        <v>1327</v>
      </c>
      <c r="E1677" s="5" t="s">
        <v>34</v>
      </c>
      <c r="F1677" s="5" t="s">
        <v>34</v>
      </c>
      <c r="G1677" s="5" t="s">
        <v>36</v>
      </c>
      <c r="H1677" s="5" t="s">
        <v>35</v>
      </c>
      <c r="I1677" s="6">
        <v>1.0</v>
      </c>
      <c r="J1677" s="6" t="s">
        <v>37</v>
      </c>
      <c r="K1677" s="6">
        <v>10.0</v>
      </c>
      <c r="L1677" s="5"/>
      <c r="M1677" s="5"/>
      <c r="N1677" s="6" t="s">
        <v>40</v>
      </c>
      <c r="O1677" s="5" t="s">
        <v>5363</v>
      </c>
      <c r="P1677" s="6" t="s">
        <v>42</v>
      </c>
      <c r="Q1677" s="5" t="s">
        <v>1237</v>
      </c>
      <c r="R1677" s="5" t="s">
        <v>11530</v>
      </c>
      <c r="S1677" s="6" t="s">
        <v>71</v>
      </c>
      <c r="T1677" s="6">
        <v>6590.0</v>
      </c>
    </row>
    <row r="1678" ht="56.25" customHeight="1">
      <c r="A1678" s="5" t="s">
        <v>11520</v>
      </c>
      <c r="B1678" s="6" t="str">
        <f>image("https://storage.googleapis.com/acdb/photos/BromideNpcNmlMus01_Remake_4_0.png")</f>
        <v/>
      </c>
      <c r="C1678" s="5" t="s">
        <v>1167</v>
      </c>
      <c r="D1678" s="5" t="s">
        <v>1327</v>
      </c>
      <c r="E1678" s="5" t="s">
        <v>34</v>
      </c>
      <c r="F1678" s="5" t="s">
        <v>34</v>
      </c>
      <c r="G1678" s="5" t="s">
        <v>36</v>
      </c>
      <c r="H1678" s="5" t="s">
        <v>35</v>
      </c>
      <c r="I1678" s="6">
        <v>1.0</v>
      </c>
      <c r="J1678" s="6" t="s">
        <v>37</v>
      </c>
      <c r="K1678" s="6">
        <v>10.0</v>
      </c>
      <c r="L1678" s="5"/>
      <c r="M1678" s="5"/>
      <c r="N1678" s="6" t="s">
        <v>40</v>
      </c>
      <c r="O1678" s="5" t="s">
        <v>5363</v>
      </c>
      <c r="P1678" s="6" t="s">
        <v>42</v>
      </c>
      <c r="Q1678" s="5" t="s">
        <v>1237</v>
      </c>
      <c r="R1678" s="5" t="s">
        <v>11532</v>
      </c>
      <c r="S1678" s="6" t="s">
        <v>75</v>
      </c>
      <c r="T1678" s="6">
        <v>6590.0</v>
      </c>
    </row>
    <row r="1679" ht="56.25" customHeight="1">
      <c r="A1679" s="5" t="s">
        <v>11520</v>
      </c>
      <c r="B1679" s="6" t="str">
        <f>image("https://storage.googleapis.com/acdb/photos/BromideNpcNmlMus01_Remake_5_0.png")</f>
        <v/>
      </c>
      <c r="C1679" s="5" t="s">
        <v>58</v>
      </c>
      <c r="D1679" s="5" t="s">
        <v>1327</v>
      </c>
      <c r="E1679" s="5" t="s">
        <v>34</v>
      </c>
      <c r="F1679" s="5" t="s">
        <v>34</v>
      </c>
      <c r="G1679" s="5" t="s">
        <v>36</v>
      </c>
      <c r="H1679" s="5" t="s">
        <v>35</v>
      </c>
      <c r="I1679" s="6">
        <v>1.0</v>
      </c>
      <c r="J1679" s="6" t="s">
        <v>37</v>
      </c>
      <c r="K1679" s="6">
        <v>10.0</v>
      </c>
      <c r="L1679" s="5"/>
      <c r="M1679" s="5"/>
      <c r="N1679" s="6" t="s">
        <v>40</v>
      </c>
      <c r="O1679" s="5" t="s">
        <v>5363</v>
      </c>
      <c r="P1679" s="6" t="s">
        <v>42</v>
      </c>
      <c r="Q1679" s="5" t="s">
        <v>1237</v>
      </c>
      <c r="R1679" s="5" t="s">
        <v>11535</v>
      </c>
      <c r="S1679" s="6" t="s">
        <v>79</v>
      </c>
      <c r="T1679" s="6">
        <v>6590.0</v>
      </c>
    </row>
    <row r="1680" ht="56.25" customHeight="1">
      <c r="A1680" s="5" t="s">
        <v>11520</v>
      </c>
      <c r="B1680" s="6" t="str">
        <f>image("https://storage.googleapis.com/acdb/photos/BromideNpcNmlMus01_Remake_6_0.png")</f>
        <v/>
      </c>
      <c r="C1680" s="5" t="s">
        <v>146</v>
      </c>
      <c r="D1680" s="5" t="s">
        <v>1327</v>
      </c>
      <c r="E1680" s="5" t="s">
        <v>34</v>
      </c>
      <c r="F1680" s="5" t="s">
        <v>34</v>
      </c>
      <c r="G1680" s="5" t="s">
        <v>36</v>
      </c>
      <c r="H1680" s="5" t="s">
        <v>35</v>
      </c>
      <c r="I1680" s="6">
        <v>1.0</v>
      </c>
      <c r="J1680" s="6" t="s">
        <v>37</v>
      </c>
      <c r="K1680" s="6">
        <v>10.0</v>
      </c>
      <c r="L1680" s="5"/>
      <c r="M1680" s="5"/>
      <c r="N1680" s="6" t="s">
        <v>40</v>
      </c>
      <c r="O1680" s="5" t="s">
        <v>5363</v>
      </c>
      <c r="P1680" s="6" t="s">
        <v>42</v>
      </c>
      <c r="Q1680" s="5" t="s">
        <v>1237</v>
      </c>
      <c r="R1680" s="5" t="s">
        <v>11538</v>
      </c>
      <c r="S1680" s="6" t="s">
        <v>86</v>
      </c>
      <c r="T1680" s="6">
        <v>6590.0</v>
      </c>
    </row>
    <row r="1681" ht="56.25" customHeight="1">
      <c r="A1681" s="5" t="s">
        <v>11520</v>
      </c>
      <c r="B1681" s="6" t="str">
        <f>image("https://storage.googleapis.com/acdb/photos/BromideNpcNmlMus01_Remake_7_0.png")</f>
        <v/>
      </c>
      <c r="C1681" s="5" t="s">
        <v>151</v>
      </c>
      <c r="D1681" s="5" t="s">
        <v>1327</v>
      </c>
      <c r="E1681" s="5" t="s">
        <v>34</v>
      </c>
      <c r="F1681" s="5" t="s">
        <v>34</v>
      </c>
      <c r="G1681" s="5" t="s">
        <v>36</v>
      </c>
      <c r="H1681" s="5" t="s">
        <v>35</v>
      </c>
      <c r="I1681" s="6">
        <v>1.0</v>
      </c>
      <c r="J1681" s="6" t="s">
        <v>37</v>
      </c>
      <c r="K1681" s="6">
        <v>10.0</v>
      </c>
      <c r="L1681" s="5"/>
      <c r="M1681" s="5"/>
      <c r="N1681" s="6" t="s">
        <v>40</v>
      </c>
      <c r="O1681" s="5" t="s">
        <v>5363</v>
      </c>
      <c r="P1681" s="6" t="s">
        <v>42</v>
      </c>
      <c r="Q1681" s="5" t="s">
        <v>1237</v>
      </c>
      <c r="R1681" s="5" t="s">
        <v>11540</v>
      </c>
      <c r="S1681" s="6" t="s">
        <v>208</v>
      </c>
      <c r="T1681" s="6">
        <v>6590.0</v>
      </c>
    </row>
    <row r="1682" ht="56.25" customHeight="1">
      <c r="A1682" s="5" t="s">
        <v>11542</v>
      </c>
      <c r="B1682" s="6" t="str">
        <f>image("https://storage.googleapis.com/acdb/photos/BromideNpcNmlLon08_Remake_0_0.png")</f>
        <v/>
      </c>
      <c r="C1682" s="5" t="s">
        <v>366</v>
      </c>
      <c r="D1682" s="5" t="s">
        <v>1327</v>
      </c>
      <c r="E1682" s="5" t="s">
        <v>34</v>
      </c>
      <c r="F1682" s="5" t="s">
        <v>34</v>
      </c>
      <c r="G1682" s="5" t="s">
        <v>36</v>
      </c>
      <c r="H1682" s="5" t="s">
        <v>35</v>
      </c>
      <c r="I1682" s="6">
        <v>1.0</v>
      </c>
      <c r="J1682" s="6" t="s">
        <v>37</v>
      </c>
      <c r="K1682" s="6">
        <v>10.0</v>
      </c>
      <c r="L1682" s="5"/>
      <c r="M1682" s="5"/>
      <c r="N1682" s="6" t="s">
        <v>40</v>
      </c>
      <c r="O1682" s="5" t="s">
        <v>5363</v>
      </c>
      <c r="P1682" s="6" t="s">
        <v>42</v>
      </c>
      <c r="Q1682" s="5" t="s">
        <v>1237</v>
      </c>
      <c r="R1682" s="5" t="s">
        <v>11545</v>
      </c>
      <c r="S1682" s="6" t="s">
        <v>50</v>
      </c>
      <c r="T1682" s="6">
        <v>6579.0</v>
      </c>
    </row>
    <row r="1683" ht="56.25" customHeight="1">
      <c r="A1683" s="5" t="s">
        <v>11542</v>
      </c>
      <c r="B1683" s="6" t="str">
        <f>image("https://storage.googleapis.com/acdb/photos/BromideNpcNmlLon08_Remake_1_0.png")</f>
        <v/>
      </c>
      <c r="C1683" s="5" t="s">
        <v>1132</v>
      </c>
      <c r="D1683" s="5" t="s">
        <v>1327</v>
      </c>
      <c r="E1683" s="5" t="s">
        <v>34</v>
      </c>
      <c r="F1683" s="5" t="s">
        <v>34</v>
      </c>
      <c r="G1683" s="5" t="s">
        <v>36</v>
      </c>
      <c r="H1683" s="5" t="s">
        <v>35</v>
      </c>
      <c r="I1683" s="6">
        <v>1.0</v>
      </c>
      <c r="J1683" s="6" t="s">
        <v>37</v>
      </c>
      <c r="K1683" s="6">
        <v>10.0</v>
      </c>
      <c r="L1683" s="5"/>
      <c r="M1683" s="5"/>
      <c r="N1683" s="6" t="s">
        <v>40</v>
      </c>
      <c r="O1683" s="5" t="s">
        <v>5363</v>
      </c>
      <c r="P1683" s="6" t="s">
        <v>42</v>
      </c>
      <c r="Q1683" s="5" t="s">
        <v>1237</v>
      </c>
      <c r="R1683" s="5" t="s">
        <v>11549</v>
      </c>
      <c r="S1683" s="6" t="s">
        <v>56</v>
      </c>
      <c r="T1683" s="6">
        <v>6579.0</v>
      </c>
    </row>
    <row r="1684" ht="56.25" customHeight="1">
      <c r="A1684" s="5" t="s">
        <v>11542</v>
      </c>
      <c r="B1684" s="6" t="str">
        <f>image("https://storage.googleapis.com/acdb/photos/BromideNpcNmlLon08_Remake_2_0.png")</f>
        <v/>
      </c>
      <c r="C1684" s="5" t="s">
        <v>688</v>
      </c>
      <c r="D1684" s="5" t="s">
        <v>1327</v>
      </c>
      <c r="E1684" s="5" t="s">
        <v>34</v>
      </c>
      <c r="F1684" s="5" t="s">
        <v>34</v>
      </c>
      <c r="G1684" s="5" t="s">
        <v>36</v>
      </c>
      <c r="H1684" s="5" t="s">
        <v>35</v>
      </c>
      <c r="I1684" s="6">
        <v>1.0</v>
      </c>
      <c r="J1684" s="6" t="s">
        <v>37</v>
      </c>
      <c r="K1684" s="6">
        <v>10.0</v>
      </c>
      <c r="L1684" s="5"/>
      <c r="M1684" s="5"/>
      <c r="N1684" s="6" t="s">
        <v>40</v>
      </c>
      <c r="O1684" s="5" t="s">
        <v>5363</v>
      </c>
      <c r="P1684" s="6" t="s">
        <v>42</v>
      </c>
      <c r="Q1684" s="5" t="s">
        <v>1237</v>
      </c>
      <c r="R1684" s="5" t="s">
        <v>11552</v>
      </c>
      <c r="S1684" s="6" t="s">
        <v>67</v>
      </c>
      <c r="T1684" s="6">
        <v>6579.0</v>
      </c>
    </row>
    <row r="1685" ht="56.25" customHeight="1">
      <c r="A1685" s="5" t="s">
        <v>11542</v>
      </c>
      <c r="B1685" s="6" t="str">
        <f>image("https://storage.googleapis.com/acdb/photos/BromideNpcNmlLon08_Remake_3_0.png")</f>
        <v/>
      </c>
      <c r="C1685" s="5" t="s">
        <v>57</v>
      </c>
      <c r="D1685" s="5" t="s">
        <v>1327</v>
      </c>
      <c r="E1685" s="5" t="s">
        <v>34</v>
      </c>
      <c r="F1685" s="5" t="s">
        <v>34</v>
      </c>
      <c r="G1685" s="5" t="s">
        <v>36</v>
      </c>
      <c r="H1685" s="5" t="s">
        <v>35</v>
      </c>
      <c r="I1685" s="6">
        <v>1.0</v>
      </c>
      <c r="J1685" s="6" t="s">
        <v>37</v>
      </c>
      <c r="K1685" s="6">
        <v>10.0</v>
      </c>
      <c r="L1685" s="5"/>
      <c r="M1685" s="5"/>
      <c r="N1685" s="6" t="s">
        <v>40</v>
      </c>
      <c r="O1685" s="5" t="s">
        <v>5363</v>
      </c>
      <c r="P1685" s="6" t="s">
        <v>42</v>
      </c>
      <c r="Q1685" s="5" t="s">
        <v>1237</v>
      </c>
      <c r="R1685" s="5" t="s">
        <v>11556</v>
      </c>
      <c r="S1685" s="6" t="s">
        <v>71</v>
      </c>
      <c r="T1685" s="6">
        <v>6579.0</v>
      </c>
    </row>
    <row r="1686" ht="56.25" customHeight="1">
      <c r="A1686" s="5" t="s">
        <v>11542</v>
      </c>
      <c r="B1686" s="6" t="str">
        <f>image("https://storage.googleapis.com/acdb/photos/BromideNpcNmlLon08_Remake_4_0.png")</f>
        <v/>
      </c>
      <c r="C1686" s="5" t="s">
        <v>1167</v>
      </c>
      <c r="D1686" s="5" t="s">
        <v>1327</v>
      </c>
      <c r="E1686" s="5" t="s">
        <v>34</v>
      </c>
      <c r="F1686" s="5" t="s">
        <v>34</v>
      </c>
      <c r="G1686" s="5" t="s">
        <v>36</v>
      </c>
      <c r="H1686" s="5" t="s">
        <v>35</v>
      </c>
      <c r="I1686" s="6">
        <v>1.0</v>
      </c>
      <c r="J1686" s="6" t="s">
        <v>37</v>
      </c>
      <c r="K1686" s="6">
        <v>10.0</v>
      </c>
      <c r="L1686" s="5"/>
      <c r="M1686" s="5"/>
      <c r="N1686" s="6" t="s">
        <v>40</v>
      </c>
      <c r="O1686" s="5" t="s">
        <v>5363</v>
      </c>
      <c r="P1686" s="6" t="s">
        <v>42</v>
      </c>
      <c r="Q1686" s="5" t="s">
        <v>1237</v>
      </c>
      <c r="R1686" s="5" t="s">
        <v>11559</v>
      </c>
      <c r="S1686" s="6" t="s">
        <v>75</v>
      </c>
      <c r="T1686" s="6">
        <v>6579.0</v>
      </c>
    </row>
    <row r="1687" ht="56.25" customHeight="1">
      <c r="A1687" s="5" t="s">
        <v>11542</v>
      </c>
      <c r="B1687" s="6" t="str">
        <f>image("https://storage.googleapis.com/acdb/photos/BromideNpcNmlLon08_Remake_5_0.png")</f>
        <v/>
      </c>
      <c r="C1687" s="5" t="s">
        <v>58</v>
      </c>
      <c r="D1687" s="5" t="s">
        <v>1327</v>
      </c>
      <c r="E1687" s="5" t="s">
        <v>34</v>
      </c>
      <c r="F1687" s="5" t="s">
        <v>34</v>
      </c>
      <c r="G1687" s="5" t="s">
        <v>36</v>
      </c>
      <c r="H1687" s="5" t="s">
        <v>35</v>
      </c>
      <c r="I1687" s="6">
        <v>1.0</v>
      </c>
      <c r="J1687" s="6" t="s">
        <v>37</v>
      </c>
      <c r="K1687" s="6">
        <v>10.0</v>
      </c>
      <c r="L1687" s="5"/>
      <c r="M1687" s="5"/>
      <c r="N1687" s="6" t="s">
        <v>40</v>
      </c>
      <c r="O1687" s="5" t="s">
        <v>5363</v>
      </c>
      <c r="P1687" s="6" t="s">
        <v>42</v>
      </c>
      <c r="Q1687" s="5" t="s">
        <v>1237</v>
      </c>
      <c r="R1687" s="5" t="s">
        <v>11563</v>
      </c>
      <c r="S1687" s="6" t="s">
        <v>79</v>
      </c>
      <c r="T1687" s="6">
        <v>6579.0</v>
      </c>
    </row>
    <row r="1688" ht="56.25" customHeight="1">
      <c r="A1688" s="5" t="s">
        <v>11542</v>
      </c>
      <c r="B1688" s="6" t="str">
        <f>image("https://storage.googleapis.com/acdb/photos/BromideNpcNmlLon08_Remake_6_0.png")</f>
        <v/>
      </c>
      <c r="C1688" s="5" t="s">
        <v>146</v>
      </c>
      <c r="D1688" s="5" t="s">
        <v>1327</v>
      </c>
      <c r="E1688" s="5" t="s">
        <v>34</v>
      </c>
      <c r="F1688" s="5" t="s">
        <v>34</v>
      </c>
      <c r="G1688" s="5" t="s">
        <v>36</v>
      </c>
      <c r="H1688" s="5" t="s">
        <v>35</v>
      </c>
      <c r="I1688" s="6">
        <v>1.0</v>
      </c>
      <c r="J1688" s="6" t="s">
        <v>37</v>
      </c>
      <c r="K1688" s="6">
        <v>10.0</v>
      </c>
      <c r="L1688" s="5"/>
      <c r="M1688" s="5"/>
      <c r="N1688" s="6" t="s">
        <v>40</v>
      </c>
      <c r="O1688" s="5" t="s">
        <v>5363</v>
      </c>
      <c r="P1688" s="6" t="s">
        <v>42</v>
      </c>
      <c r="Q1688" s="5" t="s">
        <v>1237</v>
      </c>
      <c r="R1688" s="5" t="s">
        <v>11566</v>
      </c>
      <c r="S1688" s="6" t="s">
        <v>86</v>
      </c>
      <c r="T1688" s="6">
        <v>6579.0</v>
      </c>
    </row>
    <row r="1689" ht="56.25" customHeight="1">
      <c r="A1689" s="5" t="s">
        <v>11542</v>
      </c>
      <c r="B1689" s="6" t="str">
        <f>image("https://storage.googleapis.com/acdb/photos/BromideNpcNmlLon08_Remake_7_0.png")</f>
        <v/>
      </c>
      <c r="C1689" s="5" t="s">
        <v>151</v>
      </c>
      <c r="D1689" s="5" t="s">
        <v>1327</v>
      </c>
      <c r="E1689" s="5" t="s">
        <v>34</v>
      </c>
      <c r="F1689" s="5" t="s">
        <v>34</v>
      </c>
      <c r="G1689" s="5" t="s">
        <v>36</v>
      </c>
      <c r="H1689" s="5" t="s">
        <v>35</v>
      </c>
      <c r="I1689" s="6">
        <v>1.0</v>
      </c>
      <c r="J1689" s="6" t="s">
        <v>37</v>
      </c>
      <c r="K1689" s="6">
        <v>10.0</v>
      </c>
      <c r="L1689" s="5"/>
      <c r="M1689" s="5"/>
      <c r="N1689" s="6" t="s">
        <v>40</v>
      </c>
      <c r="O1689" s="5" t="s">
        <v>5363</v>
      </c>
      <c r="P1689" s="6" t="s">
        <v>42</v>
      </c>
      <c r="Q1689" s="5" t="s">
        <v>1237</v>
      </c>
      <c r="R1689" s="5" t="s">
        <v>11568</v>
      </c>
      <c r="S1689" s="6" t="s">
        <v>208</v>
      </c>
      <c r="T1689" s="6">
        <v>6579.0</v>
      </c>
    </row>
    <row r="1690" ht="56.25" customHeight="1">
      <c r="A1690" s="5" t="s">
        <v>11569</v>
      </c>
      <c r="B1690" s="6" t="str">
        <f>image("https://storage.googleapis.com/acdb/photos/BromideNpcNmlWol01_Remake_0_0.png")</f>
        <v/>
      </c>
      <c r="C1690" s="5" t="s">
        <v>366</v>
      </c>
      <c r="D1690" s="5" t="s">
        <v>1327</v>
      </c>
      <c r="E1690" s="5" t="s">
        <v>34</v>
      </c>
      <c r="F1690" s="5" t="s">
        <v>34</v>
      </c>
      <c r="G1690" s="5" t="s">
        <v>36</v>
      </c>
      <c r="H1690" s="5" t="s">
        <v>35</v>
      </c>
      <c r="I1690" s="6">
        <v>1.0</v>
      </c>
      <c r="J1690" s="6" t="s">
        <v>37</v>
      </c>
      <c r="K1690" s="6">
        <v>10.0</v>
      </c>
      <c r="L1690" s="5"/>
      <c r="M1690" s="5"/>
      <c r="N1690" s="6" t="s">
        <v>40</v>
      </c>
      <c r="O1690" s="5" t="s">
        <v>5363</v>
      </c>
      <c r="P1690" s="6" t="s">
        <v>42</v>
      </c>
      <c r="Q1690" s="5" t="s">
        <v>1237</v>
      </c>
      <c r="R1690" s="5" t="s">
        <v>11573</v>
      </c>
      <c r="S1690" s="6" t="s">
        <v>50</v>
      </c>
      <c r="T1690" s="6">
        <v>6732.0</v>
      </c>
    </row>
    <row r="1691" ht="56.25" customHeight="1">
      <c r="A1691" s="5" t="s">
        <v>11569</v>
      </c>
      <c r="B1691" s="6" t="str">
        <f>image("https://storage.googleapis.com/acdb/photos/BromideNpcNmlWol01_Remake_1_0.png")</f>
        <v/>
      </c>
      <c r="C1691" s="5" t="s">
        <v>1132</v>
      </c>
      <c r="D1691" s="5" t="s">
        <v>1327</v>
      </c>
      <c r="E1691" s="5" t="s">
        <v>34</v>
      </c>
      <c r="F1691" s="5" t="s">
        <v>34</v>
      </c>
      <c r="G1691" s="5" t="s">
        <v>36</v>
      </c>
      <c r="H1691" s="5" t="s">
        <v>35</v>
      </c>
      <c r="I1691" s="6">
        <v>1.0</v>
      </c>
      <c r="J1691" s="6" t="s">
        <v>37</v>
      </c>
      <c r="K1691" s="6">
        <v>10.0</v>
      </c>
      <c r="L1691" s="5"/>
      <c r="M1691" s="5"/>
      <c r="N1691" s="6" t="s">
        <v>40</v>
      </c>
      <c r="O1691" s="5" t="s">
        <v>5363</v>
      </c>
      <c r="P1691" s="6" t="s">
        <v>42</v>
      </c>
      <c r="Q1691" s="5" t="s">
        <v>1237</v>
      </c>
      <c r="R1691" s="5" t="s">
        <v>11576</v>
      </c>
      <c r="S1691" s="6" t="s">
        <v>56</v>
      </c>
      <c r="T1691" s="6">
        <v>6732.0</v>
      </c>
    </row>
    <row r="1692" ht="56.25" customHeight="1">
      <c r="A1692" s="5" t="s">
        <v>11569</v>
      </c>
      <c r="B1692" s="6" t="str">
        <f>image("https://storage.googleapis.com/acdb/photos/BromideNpcNmlWol01_Remake_2_0.png")</f>
        <v/>
      </c>
      <c r="C1692" s="5" t="s">
        <v>688</v>
      </c>
      <c r="D1692" s="5" t="s">
        <v>1327</v>
      </c>
      <c r="E1692" s="5" t="s">
        <v>34</v>
      </c>
      <c r="F1692" s="5" t="s">
        <v>34</v>
      </c>
      <c r="G1692" s="5" t="s">
        <v>36</v>
      </c>
      <c r="H1692" s="5" t="s">
        <v>35</v>
      </c>
      <c r="I1692" s="6">
        <v>1.0</v>
      </c>
      <c r="J1692" s="6" t="s">
        <v>37</v>
      </c>
      <c r="K1692" s="6">
        <v>10.0</v>
      </c>
      <c r="L1692" s="5"/>
      <c r="M1692" s="5"/>
      <c r="N1692" s="6" t="s">
        <v>40</v>
      </c>
      <c r="O1692" s="5" t="s">
        <v>5363</v>
      </c>
      <c r="P1692" s="6" t="s">
        <v>42</v>
      </c>
      <c r="Q1692" s="5" t="s">
        <v>1237</v>
      </c>
      <c r="R1692" s="5" t="s">
        <v>11582</v>
      </c>
      <c r="S1692" s="6" t="s">
        <v>67</v>
      </c>
      <c r="T1692" s="6">
        <v>6732.0</v>
      </c>
    </row>
    <row r="1693" ht="56.25" customHeight="1">
      <c r="A1693" s="5" t="s">
        <v>11569</v>
      </c>
      <c r="B1693" s="6" t="str">
        <f>image("https://storage.googleapis.com/acdb/photos/BromideNpcNmlWol01_Remake_3_0.png")</f>
        <v/>
      </c>
      <c r="C1693" s="5" t="s">
        <v>57</v>
      </c>
      <c r="D1693" s="5" t="s">
        <v>1327</v>
      </c>
      <c r="E1693" s="5" t="s">
        <v>34</v>
      </c>
      <c r="F1693" s="5" t="s">
        <v>34</v>
      </c>
      <c r="G1693" s="5" t="s">
        <v>36</v>
      </c>
      <c r="H1693" s="5" t="s">
        <v>35</v>
      </c>
      <c r="I1693" s="6">
        <v>1.0</v>
      </c>
      <c r="J1693" s="6" t="s">
        <v>37</v>
      </c>
      <c r="K1693" s="6">
        <v>10.0</v>
      </c>
      <c r="L1693" s="5"/>
      <c r="M1693" s="5"/>
      <c r="N1693" s="6" t="s">
        <v>40</v>
      </c>
      <c r="O1693" s="5" t="s">
        <v>5363</v>
      </c>
      <c r="P1693" s="6" t="s">
        <v>42</v>
      </c>
      <c r="Q1693" s="5" t="s">
        <v>1237</v>
      </c>
      <c r="R1693" s="5" t="s">
        <v>11586</v>
      </c>
      <c r="S1693" s="6" t="s">
        <v>71</v>
      </c>
      <c r="T1693" s="6">
        <v>6732.0</v>
      </c>
    </row>
    <row r="1694" ht="56.25" customHeight="1">
      <c r="A1694" s="5" t="s">
        <v>11569</v>
      </c>
      <c r="B1694" s="6" t="str">
        <f>image("https://storage.googleapis.com/acdb/photos/BromideNpcNmlWol01_Remake_4_0.png")</f>
        <v/>
      </c>
      <c r="C1694" s="5" t="s">
        <v>1167</v>
      </c>
      <c r="D1694" s="5" t="s">
        <v>1327</v>
      </c>
      <c r="E1694" s="5" t="s">
        <v>34</v>
      </c>
      <c r="F1694" s="5" t="s">
        <v>34</v>
      </c>
      <c r="G1694" s="5" t="s">
        <v>36</v>
      </c>
      <c r="H1694" s="5" t="s">
        <v>35</v>
      </c>
      <c r="I1694" s="6">
        <v>1.0</v>
      </c>
      <c r="J1694" s="6" t="s">
        <v>37</v>
      </c>
      <c r="K1694" s="6">
        <v>10.0</v>
      </c>
      <c r="L1694" s="5"/>
      <c r="M1694" s="5"/>
      <c r="N1694" s="6" t="s">
        <v>40</v>
      </c>
      <c r="O1694" s="5" t="s">
        <v>5363</v>
      </c>
      <c r="P1694" s="6" t="s">
        <v>42</v>
      </c>
      <c r="Q1694" s="5" t="s">
        <v>1237</v>
      </c>
      <c r="R1694" s="5" t="s">
        <v>11590</v>
      </c>
      <c r="S1694" s="6" t="s">
        <v>75</v>
      </c>
      <c r="T1694" s="6">
        <v>6732.0</v>
      </c>
    </row>
    <row r="1695" ht="56.25" customHeight="1">
      <c r="A1695" s="5" t="s">
        <v>11569</v>
      </c>
      <c r="B1695" s="6" t="str">
        <f>image("https://storage.googleapis.com/acdb/photos/BromideNpcNmlWol01_Remake_5_0.png")</f>
        <v/>
      </c>
      <c r="C1695" s="5" t="s">
        <v>58</v>
      </c>
      <c r="D1695" s="5" t="s">
        <v>1327</v>
      </c>
      <c r="E1695" s="5" t="s">
        <v>34</v>
      </c>
      <c r="F1695" s="5" t="s">
        <v>34</v>
      </c>
      <c r="G1695" s="5" t="s">
        <v>36</v>
      </c>
      <c r="H1695" s="5" t="s">
        <v>35</v>
      </c>
      <c r="I1695" s="6">
        <v>1.0</v>
      </c>
      <c r="J1695" s="6" t="s">
        <v>37</v>
      </c>
      <c r="K1695" s="6">
        <v>10.0</v>
      </c>
      <c r="L1695" s="5"/>
      <c r="M1695" s="5"/>
      <c r="N1695" s="6" t="s">
        <v>40</v>
      </c>
      <c r="O1695" s="5" t="s">
        <v>5363</v>
      </c>
      <c r="P1695" s="6" t="s">
        <v>42</v>
      </c>
      <c r="Q1695" s="5" t="s">
        <v>1237</v>
      </c>
      <c r="R1695" s="5" t="s">
        <v>11597</v>
      </c>
      <c r="S1695" s="6" t="s">
        <v>79</v>
      </c>
      <c r="T1695" s="6">
        <v>6732.0</v>
      </c>
    </row>
    <row r="1696" ht="56.25" customHeight="1">
      <c r="A1696" s="5" t="s">
        <v>11569</v>
      </c>
      <c r="B1696" s="6" t="str">
        <f>image("https://storage.googleapis.com/acdb/photos/BromideNpcNmlWol01_Remake_6_0.png")</f>
        <v/>
      </c>
      <c r="C1696" s="5" t="s">
        <v>146</v>
      </c>
      <c r="D1696" s="5" t="s">
        <v>1327</v>
      </c>
      <c r="E1696" s="5" t="s">
        <v>34</v>
      </c>
      <c r="F1696" s="5" t="s">
        <v>34</v>
      </c>
      <c r="G1696" s="5" t="s">
        <v>36</v>
      </c>
      <c r="H1696" s="5" t="s">
        <v>35</v>
      </c>
      <c r="I1696" s="6">
        <v>1.0</v>
      </c>
      <c r="J1696" s="6" t="s">
        <v>37</v>
      </c>
      <c r="K1696" s="6">
        <v>10.0</v>
      </c>
      <c r="L1696" s="5"/>
      <c r="M1696" s="5"/>
      <c r="N1696" s="6" t="s">
        <v>40</v>
      </c>
      <c r="O1696" s="5" t="s">
        <v>5363</v>
      </c>
      <c r="P1696" s="6" t="s">
        <v>42</v>
      </c>
      <c r="Q1696" s="5" t="s">
        <v>1237</v>
      </c>
      <c r="R1696" s="5" t="s">
        <v>11601</v>
      </c>
      <c r="S1696" s="6" t="s">
        <v>86</v>
      </c>
      <c r="T1696" s="6">
        <v>6732.0</v>
      </c>
    </row>
    <row r="1697" ht="56.25" customHeight="1">
      <c r="A1697" s="5" t="s">
        <v>11569</v>
      </c>
      <c r="B1697" s="6" t="str">
        <f>image("https://storage.googleapis.com/acdb/photos/BromideNpcNmlWol01_Remake_7_0.png")</f>
        <v/>
      </c>
      <c r="C1697" s="5" t="s">
        <v>151</v>
      </c>
      <c r="D1697" s="5" t="s">
        <v>1327</v>
      </c>
      <c r="E1697" s="5" t="s">
        <v>34</v>
      </c>
      <c r="F1697" s="5" t="s">
        <v>34</v>
      </c>
      <c r="G1697" s="5" t="s">
        <v>36</v>
      </c>
      <c r="H1697" s="5" t="s">
        <v>35</v>
      </c>
      <c r="I1697" s="6">
        <v>1.0</v>
      </c>
      <c r="J1697" s="6" t="s">
        <v>37</v>
      </c>
      <c r="K1697" s="6">
        <v>10.0</v>
      </c>
      <c r="L1697" s="5"/>
      <c r="M1697" s="5"/>
      <c r="N1697" s="6" t="s">
        <v>40</v>
      </c>
      <c r="O1697" s="5" t="s">
        <v>5363</v>
      </c>
      <c r="P1697" s="6" t="s">
        <v>42</v>
      </c>
      <c r="Q1697" s="5" t="s">
        <v>1237</v>
      </c>
      <c r="R1697" s="5" t="s">
        <v>11605</v>
      </c>
      <c r="S1697" s="6" t="s">
        <v>208</v>
      </c>
      <c r="T1697" s="6">
        <v>6732.0</v>
      </c>
    </row>
    <row r="1698" ht="56.25" customHeight="1">
      <c r="A1698" s="5" t="s">
        <v>11606</v>
      </c>
      <c r="B1698" s="6" t="str">
        <f>image("https://storage.googleapis.com/acdb/photos/BromideNpcNmlCat18_Remake_0_0.png")</f>
        <v/>
      </c>
      <c r="C1698" s="5" t="s">
        <v>366</v>
      </c>
      <c r="D1698" s="5" t="s">
        <v>1327</v>
      </c>
      <c r="E1698" s="5" t="s">
        <v>34</v>
      </c>
      <c r="F1698" s="5" t="s">
        <v>34</v>
      </c>
      <c r="G1698" s="5" t="s">
        <v>36</v>
      </c>
      <c r="H1698" s="5" t="s">
        <v>35</v>
      </c>
      <c r="I1698" s="6">
        <v>1.0</v>
      </c>
      <c r="J1698" s="6" t="s">
        <v>37</v>
      </c>
      <c r="K1698" s="6">
        <v>10.0</v>
      </c>
      <c r="L1698" s="5"/>
      <c r="M1698" s="5"/>
      <c r="N1698" s="6" t="s">
        <v>40</v>
      </c>
      <c r="O1698" s="5" t="s">
        <v>5363</v>
      </c>
      <c r="P1698" s="6" t="s">
        <v>42</v>
      </c>
      <c r="Q1698" s="5" t="s">
        <v>1237</v>
      </c>
      <c r="R1698" s="5" t="s">
        <v>11609</v>
      </c>
      <c r="S1698" s="6" t="s">
        <v>50</v>
      </c>
      <c r="T1698" s="6">
        <v>6764.0</v>
      </c>
    </row>
    <row r="1699" ht="56.25" customHeight="1">
      <c r="A1699" s="5" t="s">
        <v>11606</v>
      </c>
      <c r="B1699" s="6" t="str">
        <f>image("https://storage.googleapis.com/acdb/photos/BromideNpcNmlCat18_Remake_1_0.png")</f>
        <v/>
      </c>
      <c r="C1699" s="5" t="s">
        <v>1132</v>
      </c>
      <c r="D1699" s="5" t="s">
        <v>1327</v>
      </c>
      <c r="E1699" s="5" t="s">
        <v>34</v>
      </c>
      <c r="F1699" s="5" t="s">
        <v>34</v>
      </c>
      <c r="G1699" s="5" t="s">
        <v>36</v>
      </c>
      <c r="H1699" s="5" t="s">
        <v>35</v>
      </c>
      <c r="I1699" s="6">
        <v>1.0</v>
      </c>
      <c r="J1699" s="6" t="s">
        <v>37</v>
      </c>
      <c r="K1699" s="6">
        <v>10.0</v>
      </c>
      <c r="L1699" s="5"/>
      <c r="M1699" s="5"/>
      <c r="N1699" s="6" t="s">
        <v>40</v>
      </c>
      <c r="O1699" s="5" t="s">
        <v>5363</v>
      </c>
      <c r="P1699" s="6" t="s">
        <v>42</v>
      </c>
      <c r="Q1699" s="5" t="s">
        <v>1237</v>
      </c>
      <c r="R1699" s="5" t="s">
        <v>11613</v>
      </c>
      <c r="S1699" s="6" t="s">
        <v>56</v>
      </c>
      <c r="T1699" s="6">
        <v>6764.0</v>
      </c>
    </row>
    <row r="1700" ht="56.25" customHeight="1">
      <c r="A1700" s="5" t="s">
        <v>11606</v>
      </c>
      <c r="B1700" s="6" t="str">
        <f>image("https://storage.googleapis.com/acdb/photos/BromideNpcNmlCat18_Remake_2_0.png")</f>
        <v/>
      </c>
      <c r="C1700" s="5" t="s">
        <v>688</v>
      </c>
      <c r="D1700" s="5" t="s">
        <v>1327</v>
      </c>
      <c r="E1700" s="5" t="s">
        <v>34</v>
      </c>
      <c r="F1700" s="5" t="s">
        <v>34</v>
      </c>
      <c r="G1700" s="5" t="s">
        <v>36</v>
      </c>
      <c r="H1700" s="5" t="s">
        <v>35</v>
      </c>
      <c r="I1700" s="6">
        <v>1.0</v>
      </c>
      <c r="J1700" s="6" t="s">
        <v>37</v>
      </c>
      <c r="K1700" s="6">
        <v>10.0</v>
      </c>
      <c r="L1700" s="5"/>
      <c r="M1700" s="5"/>
      <c r="N1700" s="6" t="s">
        <v>40</v>
      </c>
      <c r="O1700" s="5" t="s">
        <v>5363</v>
      </c>
      <c r="P1700" s="6" t="s">
        <v>42</v>
      </c>
      <c r="Q1700" s="5" t="s">
        <v>1237</v>
      </c>
      <c r="R1700" s="5" t="s">
        <v>11617</v>
      </c>
      <c r="S1700" s="6" t="s">
        <v>67</v>
      </c>
      <c r="T1700" s="6">
        <v>6764.0</v>
      </c>
    </row>
    <row r="1701" ht="56.25" customHeight="1">
      <c r="A1701" s="5" t="s">
        <v>11606</v>
      </c>
      <c r="B1701" s="6" t="str">
        <f>image("https://storage.googleapis.com/acdb/photos/BromideNpcNmlCat18_Remake_3_0.png")</f>
        <v/>
      </c>
      <c r="C1701" s="5" t="s">
        <v>57</v>
      </c>
      <c r="D1701" s="5" t="s">
        <v>1327</v>
      </c>
      <c r="E1701" s="5" t="s">
        <v>34</v>
      </c>
      <c r="F1701" s="5" t="s">
        <v>34</v>
      </c>
      <c r="G1701" s="5" t="s">
        <v>36</v>
      </c>
      <c r="H1701" s="5" t="s">
        <v>35</v>
      </c>
      <c r="I1701" s="6">
        <v>1.0</v>
      </c>
      <c r="J1701" s="6" t="s">
        <v>37</v>
      </c>
      <c r="K1701" s="6">
        <v>10.0</v>
      </c>
      <c r="L1701" s="5"/>
      <c r="M1701" s="5"/>
      <c r="N1701" s="6" t="s">
        <v>40</v>
      </c>
      <c r="O1701" s="5" t="s">
        <v>5363</v>
      </c>
      <c r="P1701" s="6" t="s">
        <v>42</v>
      </c>
      <c r="Q1701" s="5" t="s">
        <v>1237</v>
      </c>
      <c r="R1701" s="5" t="s">
        <v>11622</v>
      </c>
      <c r="S1701" s="6" t="s">
        <v>71</v>
      </c>
      <c r="T1701" s="6">
        <v>6764.0</v>
      </c>
    </row>
    <row r="1702" ht="56.25" customHeight="1">
      <c r="A1702" s="5" t="s">
        <v>11606</v>
      </c>
      <c r="B1702" s="6" t="str">
        <f>image("https://storage.googleapis.com/acdb/photos/BromideNpcNmlCat18_Remake_4_0.png")</f>
        <v/>
      </c>
      <c r="C1702" s="5" t="s">
        <v>1167</v>
      </c>
      <c r="D1702" s="5" t="s">
        <v>1327</v>
      </c>
      <c r="E1702" s="5" t="s">
        <v>34</v>
      </c>
      <c r="F1702" s="5" t="s">
        <v>34</v>
      </c>
      <c r="G1702" s="5" t="s">
        <v>36</v>
      </c>
      <c r="H1702" s="5" t="s">
        <v>35</v>
      </c>
      <c r="I1702" s="6">
        <v>1.0</v>
      </c>
      <c r="J1702" s="6" t="s">
        <v>37</v>
      </c>
      <c r="K1702" s="6">
        <v>10.0</v>
      </c>
      <c r="L1702" s="5"/>
      <c r="M1702" s="5"/>
      <c r="N1702" s="6" t="s">
        <v>40</v>
      </c>
      <c r="O1702" s="5" t="s">
        <v>5363</v>
      </c>
      <c r="P1702" s="6" t="s">
        <v>42</v>
      </c>
      <c r="Q1702" s="5" t="s">
        <v>1237</v>
      </c>
      <c r="R1702" s="5" t="s">
        <v>11627</v>
      </c>
      <c r="S1702" s="6" t="s">
        <v>75</v>
      </c>
      <c r="T1702" s="6">
        <v>6764.0</v>
      </c>
    </row>
    <row r="1703" ht="56.25" customHeight="1">
      <c r="A1703" s="5" t="s">
        <v>11606</v>
      </c>
      <c r="B1703" s="6" t="str">
        <f>image("https://storage.googleapis.com/acdb/photos/BromideNpcNmlCat18_Remake_5_0.png")</f>
        <v/>
      </c>
      <c r="C1703" s="5" t="s">
        <v>58</v>
      </c>
      <c r="D1703" s="5" t="s">
        <v>1327</v>
      </c>
      <c r="E1703" s="5" t="s">
        <v>34</v>
      </c>
      <c r="F1703" s="5" t="s">
        <v>34</v>
      </c>
      <c r="G1703" s="5" t="s">
        <v>36</v>
      </c>
      <c r="H1703" s="5" t="s">
        <v>35</v>
      </c>
      <c r="I1703" s="6">
        <v>1.0</v>
      </c>
      <c r="J1703" s="6" t="s">
        <v>37</v>
      </c>
      <c r="K1703" s="6">
        <v>10.0</v>
      </c>
      <c r="L1703" s="5"/>
      <c r="M1703" s="5"/>
      <c r="N1703" s="6" t="s">
        <v>40</v>
      </c>
      <c r="O1703" s="5" t="s">
        <v>5363</v>
      </c>
      <c r="P1703" s="6" t="s">
        <v>42</v>
      </c>
      <c r="Q1703" s="5" t="s">
        <v>1237</v>
      </c>
      <c r="R1703" s="5" t="s">
        <v>11629</v>
      </c>
      <c r="S1703" s="6" t="s">
        <v>79</v>
      </c>
      <c r="T1703" s="6">
        <v>6764.0</v>
      </c>
    </row>
    <row r="1704" ht="56.25" customHeight="1">
      <c r="A1704" s="5" t="s">
        <v>11606</v>
      </c>
      <c r="B1704" s="6" t="str">
        <f>image("https://storage.googleapis.com/acdb/photos/BromideNpcNmlCat18_Remake_6_0.png")</f>
        <v/>
      </c>
      <c r="C1704" s="5" t="s">
        <v>146</v>
      </c>
      <c r="D1704" s="5" t="s">
        <v>1327</v>
      </c>
      <c r="E1704" s="5" t="s">
        <v>34</v>
      </c>
      <c r="F1704" s="5" t="s">
        <v>34</v>
      </c>
      <c r="G1704" s="5" t="s">
        <v>36</v>
      </c>
      <c r="H1704" s="5" t="s">
        <v>35</v>
      </c>
      <c r="I1704" s="6">
        <v>1.0</v>
      </c>
      <c r="J1704" s="6" t="s">
        <v>37</v>
      </c>
      <c r="K1704" s="6">
        <v>10.0</v>
      </c>
      <c r="L1704" s="5"/>
      <c r="M1704" s="5"/>
      <c r="N1704" s="6" t="s">
        <v>40</v>
      </c>
      <c r="O1704" s="5" t="s">
        <v>5363</v>
      </c>
      <c r="P1704" s="6" t="s">
        <v>42</v>
      </c>
      <c r="Q1704" s="5" t="s">
        <v>1237</v>
      </c>
      <c r="R1704" s="5" t="s">
        <v>11633</v>
      </c>
      <c r="S1704" s="6" t="s">
        <v>86</v>
      </c>
      <c r="T1704" s="6">
        <v>6764.0</v>
      </c>
    </row>
    <row r="1705" ht="56.25" customHeight="1">
      <c r="A1705" s="5" t="s">
        <v>11606</v>
      </c>
      <c r="B1705" s="6" t="str">
        <f>image("https://storage.googleapis.com/acdb/photos/BromideNpcNmlCat18_Remake_7_0.png")</f>
        <v/>
      </c>
      <c r="C1705" s="5" t="s">
        <v>151</v>
      </c>
      <c r="D1705" s="5" t="s">
        <v>1327</v>
      </c>
      <c r="E1705" s="5" t="s">
        <v>34</v>
      </c>
      <c r="F1705" s="5" t="s">
        <v>34</v>
      </c>
      <c r="G1705" s="5" t="s">
        <v>36</v>
      </c>
      <c r="H1705" s="5" t="s">
        <v>35</v>
      </c>
      <c r="I1705" s="6">
        <v>1.0</v>
      </c>
      <c r="J1705" s="6" t="s">
        <v>37</v>
      </c>
      <c r="K1705" s="6">
        <v>10.0</v>
      </c>
      <c r="L1705" s="5"/>
      <c r="M1705" s="5"/>
      <c r="N1705" s="6" t="s">
        <v>40</v>
      </c>
      <c r="O1705" s="5" t="s">
        <v>5363</v>
      </c>
      <c r="P1705" s="6" t="s">
        <v>42</v>
      </c>
      <c r="Q1705" s="5" t="s">
        <v>1237</v>
      </c>
      <c r="R1705" s="5" t="s">
        <v>11636</v>
      </c>
      <c r="S1705" s="6" t="s">
        <v>208</v>
      </c>
      <c r="T1705" s="6">
        <v>6764.0</v>
      </c>
    </row>
    <row r="1706" ht="56.25" customHeight="1">
      <c r="A1706" s="5" t="s">
        <v>11637</v>
      </c>
      <c r="B1706" s="6" t="str">
        <f>image("https://storage.googleapis.com/acdb/photos/BromideNpcNmlDer05_Remake_0_0.png")</f>
        <v/>
      </c>
      <c r="C1706" s="5" t="s">
        <v>366</v>
      </c>
      <c r="D1706" s="5" t="s">
        <v>1327</v>
      </c>
      <c r="E1706" s="5" t="s">
        <v>34</v>
      </c>
      <c r="F1706" s="5" t="s">
        <v>34</v>
      </c>
      <c r="G1706" s="5" t="s">
        <v>36</v>
      </c>
      <c r="H1706" s="5" t="s">
        <v>35</v>
      </c>
      <c r="I1706" s="6">
        <v>1.0</v>
      </c>
      <c r="J1706" s="6" t="s">
        <v>37</v>
      </c>
      <c r="K1706" s="6">
        <v>10.0</v>
      </c>
      <c r="L1706" s="5"/>
      <c r="M1706" s="5"/>
      <c r="N1706" s="6" t="s">
        <v>40</v>
      </c>
      <c r="O1706" s="5" t="s">
        <v>5363</v>
      </c>
      <c r="P1706" s="6" t="s">
        <v>42</v>
      </c>
      <c r="Q1706" s="5" t="s">
        <v>1237</v>
      </c>
      <c r="R1706" s="5" t="s">
        <v>11639</v>
      </c>
      <c r="S1706" s="6" t="s">
        <v>50</v>
      </c>
      <c r="T1706" s="6">
        <v>6431.0</v>
      </c>
    </row>
    <row r="1707" ht="56.25" customHeight="1">
      <c r="A1707" s="5" t="s">
        <v>11637</v>
      </c>
      <c r="B1707" s="6" t="str">
        <f>image("https://storage.googleapis.com/acdb/photos/BromideNpcNmlDer05_Remake_1_0.png")</f>
        <v/>
      </c>
      <c r="C1707" s="5" t="s">
        <v>1132</v>
      </c>
      <c r="D1707" s="5" t="s">
        <v>1327</v>
      </c>
      <c r="E1707" s="5" t="s">
        <v>34</v>
      </c>
      <c r="F1707" s="5" t="s">
        <v>34</v>
      </c>
      <c r="G1707" s="5" t="s">
        <v>36</v>
      </c>
      <c r="H1707" s="5" t="s">
        <v>35</v>
      </c>
      <c r="I1707" s="6">
        <v>1.0</v>
      </c>
      <c r="J1707" s="6" t="s">
        <v>37</v>
      </c>
      <c r="K1707" s="6">
        <v>10.0</v>
      </c>
      <c r="L1707" s="5"/>
      <c r="M1707" s="5"/>
      <c r="N1707" s="6" t="s">
        <v>40</v>
      </c>
      <c r="O1707" s="5" t="s">
        <v>5363</v>
      </c>
      <c r="P1707" s="6" t="s">
        <v>42</v>
      </c>
      <c r="Q1707" s="5" t="s">
        <v>1237</v>
      </c>
      <c r="R1707" s="5" t="s">
        <v>11642</v>
      </c>
      <c r="S1707" s="6" t="s">
        <v>56</v>
      </c>
      <c r="T1707" s="6">
        <v>6431.0</v>
      </c>
    </row>
    <row r="1708" ht="56.25" customHeight="1">
      <c r="A1708" s="5" t="s">
        <v>11637</v>
      </c>
      <c r="B1708" s="6" t="str">
        <f>image("https://storage.googleapis.com/acdb/photos/BromideNpcNmlDer05_Remake_2_0.png")</f>
        <v/>
      </c>
      <c r="C1708" s="5" t="s">
        <v>688</v>
      </c>
      <c r="D1708" s="5" t="s">
        <v>1327</v>
      </c>
      <c r="E1708" s="5" t="s">
        <v>34</v>
      </c>
      <c r="F1708" s="5" t="s">
        <v>34</v>
      </c>
      <c r="G1708" s="5" t="s">
        <v>36</v>
      </c>
      <c r="H1708" s="5" t="s">
        <v>35</v>
      </c>
      <c r="I1708" s="6">
        <v>1.0</v>
      </c>
      <c r="J1708" s="6" t="s">
        <v>37</v>
      </c>
      <c r="K1708" s="6">
        <v>10.0</v>
      </c>
      <c r="L1708" s="5"/>
      <c r="M1708" s="5"/>
      <c r="N1708" s="6" t="s">
        <v>40</v>
      </c>
      <c r="O1708" s="5" t="s">
        <v>5363</v>
      </c>
      <c r="P1708" s="6" t="s">
        <v>42</v>
      </c>
      <c r="Q1708" s="5" t="s">
        <v>1237</v>
      </c>
      <c r="R1708" s="5" t="s">
        <v>11646</v>
      </c>
      <c r="S1708" s="6" t="s">
        <v>67</v>
      </c>
      <c r="T1708" s="6">
        <v>6431.0</v>
      </c>
    </row>
    <row r="1709" ht="56.25" customHeight="1">
      <c r="A1709" s="5" t="s">
        <v>11637</v>
      </c>
      <c r="B1709" s="6" t="str">
        <f>image("https://storage.googleapis.com/acdb/photos/BromideNpcNmlDer05_Remake_3_0.png")</f>
        <v/>
      </c>
      <c r="C1709" s="5" t="s">
        <v>57</v>
      </c>
      <c r="D1709" s="5" t="s">
        <v>1327</v>
      </c>
      <c r="E1709" s="5" t="s">
        <v>34</v>
      </c>
      <c r="F1709" s="5" t="s">
        <v>34</v>
      </c>
      <c r="G1709" s="5" t="s">
        <v>36</v>
      </c>
      <c r="H1709" s="5" t="s">
        <v>35</v>
      </c>
      <c r="I1709" s="6">
        <v>1.0</v>
      </c>
      <c r="J1709" s="6" t="s">
        <v>37</v>
      </c>
      <c r="K1709" s="6">
        <v>10.0</v>
      </c>
      <c r="L1709" s="5"/>
      <c r="M1709" s="5"/>
      <c r="N1709" s="6" t="s">
        <v>40</v>
      </c>
      <c r="O1709" s="5" t="s">
        <v>5363</v>
      </c>
      <c r="P1709" s="6" t="s">
        <v>42</v>
      </c>
      <c r="Q1709" s="5" t="s">
        <v>1237</v>
      </c>
      <c r="R1709" s="5" t="s">
        <v>11654</v>
      </c>
      <c r="S1709" s="6" t="s">
        <v>71</v>
      </c>
      <c r="T1709" s="6">
        <v>6431.0</v>
      </c>
    </row>
    <row r="1710" ht="56.25" customHeight="1">
      <c r="A1710" s="5" t="s">
        <v>11637</v>
      </c>
      <c r="B1710" s="6" t="str">
        <f>image("https://storage.googleapis.com/acdb/photos/BromideNpcNmlDer05_Remake_4_0.png")</f>
        <v/>
      </c>
      <c r="C1710" s="5" t="s">
        <v>1167</v>
      </c>
      <c r="D1710" s="5" t="s">
        <v>1327</v>
      </c>
      <c r="E1710" s="5" t="s">
        <v>34</v>
      </c>
      <c r="F1710" s="5" t="s">
        <v>34</v>
      </c>
      <c r="G1710" s="5" t="s">
        <v>36</v>
      </c>
      <c r="H1710" s="5" t="s">
        <v>35</v>
      </c>
      <c r="I1710" s="6">
        <v>1.0</v>
      </c>
      <c r="J1710" s="6" t="s">
        <v>37</v>
      </c>
      <c r="K1710" s="6">
        <v>10.0</v>
      </c>
      <c r="L1710" s="5"/>
      <c r="M1710" s="5"/>
      <c r="N1710" s="6" t="s">
        <v>40</v>
      </c>
      <c r="O1710" s="5" t="s">
        <v>5363</v>
      </c>
      <c r="P1710" s="6" t="s">
        <v>42</v>
      </c>
      <c r="Q1710" s="5" t="s">
        <v>1237</v>
      </c>
      <c r="R1710" s="5" t="s">
        <v>11661</v>
      </c>
      <c r="S1710" s="6" t="s">
        <v>75</v>
      </c>
      <c r="T1710" s="6">
        <v>6431.0</v>
      </c>
    </row>
    <row r="1711" ht="56.25" customHeight="1">
      <c r="A1711" s="5" t="s">
        <v>11637</v>
      </c>
      <c r="B1711" s="6" t="str">
        <f>image("https://storage.googleapis.com/acdb/photos/BromideNpcNmlDer05_Remake_5_0.png")</f>
        <v/>
      </c>
      <c r="C1711" s="5" t="s">
        <v>58</v>
      </c>
      <c r="D1711" s="5" t="s">
        <v>1327</v>
      </c>
      <c r="E1711" s="5" t="s">
        <v>34</v>
      </c>
      <c r="F1711" s="5" t="s">
        <v>34</v>
      </c>
      <c r="G1711" s="5" t="s">
        <v>36</v>
      </c>
      <c r="H1711" s="5" t="s">
        <v>35</v>
      </c>
      <c r="I1711" s="6">
        <v>1.0</v>
      </c>
      <c r="J1711" s="6" t="s">
        <v>37</v>
      </c>
      <c r="K1711" s="6">
        <v>10.0</v>
      </c>
      <c r="L1711" s="5"/>
      <c r="M1711" s="5"/>
      <c r="N1711" s="6" t="s">
        <v>40</v>
      </c>
      <c r="O1711" s="5" t="s">
        <v>5363</v>
      </c>
      <c r="P1711" s="6" t="s">
        <v>42</v>
      </c>
      <c r="Q1711" s="5" t="s">
        <v>1237</v>
      </c>
      <c r="R1711" s="5" t="s">
        <v>11667</v>
      </c>
      <c r="S1711" s="6" t="s">
        <v>79</v>
      </c>
      <c r="T1711" s="6">
        <v>6431.0</v>
      </c>
    </row>
    <row r="1712" ht="56.25" customHeight="1">
      <c r="A1712" s="5" t="s">
        <v>11637</v>
      </c>
      <c r="B1712" s="6" t="str">
        <f>image("https://storage.googleapis.com/acdb/photos/BromideNpcNmlDer05_Remake_6_0.png")</f>
        <v/>
      </c>
      <c r="C1712" s="5" t="s">
        <v>146</v>
      </c>
      <c r="D1712" s="5" t="s">
        <v>1327</v>
      </c>
      <c r="E1712" s="5" t="s">
        <v>34</v>
      </c>
      <c r="F1712" s="5" t="s">
        <v>34</v>
      </c>
      <c r="G1712" s="5" t="s">
        <v>36</v>
      </c>
      <c r="H1712" s="5" t="s">
        <v>35</v>
      </c>
      <c r="I1712" s="6">
        <v>1.0</v>
      </c>
      <c r="J1712" s="6" t="s">
        <v>37</v>
      </c>
      <c r="K1712" s="6">
        <v>10.0</v>
      </c>
      <c r="L1712" s="5"/>
      <c r="M1712" s="5"/>
      <c r="N1712" s="6" t="s">
        <v>40</v>
      </c>
      <c r="O1712" s="5" t="s">
        <v>5363</v>
      </c>
      <c r="P1712" s="6" t="s">
        <v>42</v>
      </c>
      <c r="Q1712" s="5" t="s">
        <v>1237</v>
      </c>
      <c r="R1712" s="5" t="s">
        <v>11674</v>
      </c>
      <c r="S1712" s="6" t="s">
        <v>86</v>
      </c>
      <c r="T1712" s="6">
        <v>6431.0</v>
      </c>
    </row>
    <row r="1713" ht="56.25" customHeight="1">
      <c r="A1713" s="5" t="s">
        <v>11637</v>
      </c>
      <c r="B1713" s="6" t="str">
        <f>image("https://storage.googleapis.com/acdb/photos/BromideNpcNmlDer05_Remake_7_0.png")</f>
        <v/>
      </c>
      <c r="C1713" s="5" t="s">
        <v>151</v>
      </c>
      <c r="D1713" s="5" t="s">
        <v>1327</v>
      </c>
      <c r="E1713" s="5" t="s">
        <v>34</v>
      </c>
      <c r="F1713" s="5" t="s">
        <v>34</v>
      </c>
      <c r="G1713" s="5" t="s">
        <v>36</v>
      </c>
      <c r="H1713" s="5" t="s">
        <v>35</v>
      </c>
      <c r="I1713" s="6">
        <v>1.0</v>
      </c>
      <c r="J1713" s="6" t="s">
        <v>37</v>
      </c>
      <c r="K1713" s="6">
        <v>10.0</v>
      </c>
      <c r="L1713" s="5"/>
      <c r="M1713" s="5"/>
      <c r="N1713" s="6" t="s">
        <v>40</v>
      </c>
      <c r="O1713" s="5" t="s">
        <v>5363</v>
      </c>
      <c r="P1713" s="6" t="s">
        <v>42</v>
      </c>
      <c r="Q1713" s="5" t="s">
        <v>1237</v>
      </c>
      <c r="R1713" s="5" t="s">
        <v>11679</v>
      </c>
      <c r="S1713" s="6" t="s">
        <v>208</v>
      </c>
      <c r="T1713" s="6">
        <v>6431.0</v>
      </c>
    </row>
    <row r="1714" ht="56.25" customHeight="1">
      <c r="A1714" s="5" t="s">
        <v>11681</v>
      </c>
      <c r="B1714" s="6" t="str">
        <f>image("https://storage.googleapis.com/acdb/photos/BromideNpcNmlGor04_Remake_0_0.png")</f>
        <v/>
      </c>
      <c r="C1714" s="5" t="s">
        <v>366</v>
      </c>
      <c r="D1714" s="5" t="s">
        <v>1327</v>
      </c>
      <c r="E1714" s="5" t="s">
        <v>34</v>
      </c>
      <c r="F1714" s="5" t="s">
        <v>34</v>
      </c>
      <c r="G1714" s="5" t="s">
        <v>36</v>
      </c>
      <c r="H1714" s="5" t="s">
        <v>35</v>
      </c>
      <c r="I1714" s="6">
        <v>1.0</v>
      </c>
      <c r="J1714" s="6" t="s">
        <v>37</v>
      </c>
      <c r="K1714" s="6">
        <v>10.0</v>
      </c>
      <c r="L1714" s="5"/>
      <c r="M1714" s="5"/>
      <c r="N1714" s="6" t="s">
        <v>40</v>
      </c>
      <c r="O1714" s="5" t="s">
        <v>5363</v>
      </c>
      <c r="P1714" s="6" t="s">
        <v>42</v>
      </c>
      <c r="Q1714" s="5" t="s">
        <v>1237</v>
      </c>
      <c r="R1714" s="5" t="s">
        <v>11685</v>
      </c>
      <c r="S1714" s="6" t="s">
        <v>50</v>
      </c>
      <c r="T1714" s="6">
        <v>6514.0</v>
      </c>
    </row>
    <row r="1715" ht="56.25" customHeight="1">
      <c r="A1715" s="5" t="s">
        <v>11681</v>
      </c>
      <c r="B1715" s="6" t="str">
        <f>image("https://storage.googleapis.com/acdb/photos/BromideNpcNmlGor04_Remake_1_0.png")</f>
        <v/>
      </c>
      <c r="C1715" s="5" t="s">
        <v>1132</v>
      </c>
      <c r="D1715" s="5" t="s">
        <v>1327</v>
      </c>
      <c r="E1715" s="5" t="s">
        <v>34</v>
      </c>
      <c r="F1715" s="5" t="s">
        <v>34</v>
      </c>
      <c r="G1715" s="5" t="s">
        <v>36</v>
      </c>
      <c r="H1715" s="5" t="s">
        <v>35</v>
      </c>
      <c r="I1715" s="6">
        <v>1.0</v>
      </c>
      <c r="J1715" s="6" t="s">
        <v>37</v>
      </c>
      <c r="K1715" s="6">
        <v>10.0</v>
      </c>
      <c r="L1715" s="5"/>
      <c r="M1715" s="5"/>
      <c r="N1715" s="6" t="s">
        <v>40</v>
      </c>
      <c r="O1715" s="5" t="s">
        <v>5363</v>
      </c>
      <c r="P1715" s="6" t="s">
        <v>42</v>
      </c>
      <c r="Q1715" s="5" t="s">
        <v>1237</v>
      </c>
      <c r="R1715" s="5" t="s">
        <v>11690</v>
      </c>
      <c r="S1715" s="6" t="s">
        <v>56</v>
      </c>
      <c r="T1715" s="6">
        <v>6514.0</v>
      </c>
    </row>
    <row r="1716" ht="56.25" customHeight="1">
      <c r="A1716" s="5" t="s">
        <v>11681</v>
      </c>
      <c r="B1716" s="6" t="str">
        <f>image("https://storage.googleapis.com/acdb/photos/BromideNpcNmlGor04_Remake_2_0.png")</f>
        <v/>
      </c>
      <c r="C1716" s="5" t="s">
        <v>688</v>
      </c>
      <c r="D1716" s="5" t="s">
        <v>1327</v>
      </c>
      <c r="E1716" s="5" t="s">
        <v>34</v>
      </c>
      <c r="F1716" s="5" t="s">
        <v>34</v>
      </c>
      <c r="G1716" s="5" t="s">
        <v>36</v>
      </c>
      <c r="H1716" s="5" t="s">
        <v>35</v>
      </c>
      <c r="I1716" s="6">
        <v>1.0</v>
      </c>
      <c r="J1716" s="6" t="s">
        <v>37</v>
      </c>
      <c r="K1716" s="6">
        <v>10.0</v>
      </c>
      <c r="L1716" s="5"/>
      <c r="M1716" s="5"/>
      <c r="N1716" s="6" t="s">
        <v>40</v>
      </c>
      <c r="O1716" s="5" t="s">
        <v>5363</v>
      </c>
      <c r="P1716" s="6" t="s">
        <v>42</v>
      </c>
      <c r="Q1716" s="5" t="s">
        <v>1237</v>
      </c>
      <c r="R1716" s="5" t="s">
        <v>11696</v>
      </c>
      <c r="S1716" s="6" t="s">
        <v>67</v>
      </c>
      <c r="T1716" s="6">
        <v>6514.0</v>
      </c>
    </row>
    <row r="1717" ht="56.25" customHeight="1">
      <c r="A1717" s="5" t="s">
        <v>11681</v>
      </c>
      <c r="B1717" s="6" t="str">
        <f>image("https://storage.googleapis.com/acdb/photos/BromideNpcNmlGor04_Remake_3_0.png")</f>
        <v/>
      </c>
      <c r="C1717" s="5" t="s">
        <v>57</v>
      </c>
      <c r="D1717" s="5" t="s">
        <v>1327</v>
      </c>
      <c r="E1717" s="5" t="s">
        <v>34</v>
      </c>
      <c r="F1717" s="5" t="s">
        <v>34</v>
      </c>
      <c r="G1717" s="5" t="s">
        <v>36</v>
      </c>
      <c r="H1717" s="5" t="s">
        <v>35</v>
      </c>
      <c r="I1717" s="6">
        <v>1.0</v>
      </c>
      <c r="J1717" s="6" t="s">
        <v>37</v>
      </c>
      <c r="K1717" s="6">
        <v>10.0</v>
      </c>
      <c r="L1717" s="5"/>
      <c r="M1717" s="5"/>
      <c r="N1717" s="6" t="s">
        <v>40</v>
      </c>
      <c r="O1717" s="5" t="s">
        <v>5363</v>
      </c>
      <c r="P1717" s="6" t="s">
        <v>42</v>
      </c>
      <c r="Q1717" s="5" t="s">
        <v>1237</v>
      </c>
      <c r="R1717" s="5" t="s">
        <v>11701</v>
      </c>
      <c r="S1717" s="6" t="s">
        <v>71</v>
      </c>
      <c r="T1717" s="6">
        <v>6514.0</v>
      </c>
    </row>
    <row r="1718" ht="56.25" customHeight="1">
      <c r="A1718" s="5" t="s">
        <v>11681</v>
      </c>
      <c r="B1718" s="6" t="str">
        <f>image("https://storage.googleapis.com/acdb/photos/BromideNpcNmlGor04_Remake_4_0.png")</f>
        <v/>
      </c>
      <c r="C1718" s="5" t="s">
        <v>1167</v>
      </c>
      <c r="D1718" s="5" t="s">
        <v>1327</v>
      </c>
      <c r="E1718" s="5" t="s">
        <v>34</v>
      </c>
      <c r="F1718" s="5" t="s">
        <v>34</v>
      </c>
      <c r="G1718" s="5" t="s">
        <v>36</v>
      </c>
      <c r="H1718" s="5" t="s">
        <v>35</v>
      </c>
      <c r="I1718" s="6">
        <v>1.0</v>
      </c>
      <c r="J1718" s="6" t="s">
        <v>37</v>
      </c>
      <c r="K1718" s="6">
        <v>10.0</v>
      </c>
      <c r="L1718" s="5"/>
      <c r="M1718" s="5"/>
      <c r="N1718" s="6" t="s">
        <v>40</v>
      </c>
      <c r="O1718" s="5" t="s">
        <v>5363</v>
      </c>
      <c r="P1718" s="6" t="s">
        <v>42</v>
      </c>
      <c r="Q1718" s="5" t="s">
        <v>1237</v>
      </c>
      <c r="R1718" s="5" t="s">
        <v>11703</v>
      </c>
      <c r="S1718" s="6" t="s">
        <v>75</v>
      </c>
      <c r="T1718" s="6">
        <v>6514.0</v>
      </c>
    </row>
    <row r="1719" ht="56.25" customHeight="1">
      <c r="A1719" s="5" t="s">
        <v>11681</v>
      </c>
      <c r="B1719" s="6" t="str">
        <f>image("https://storage.googleapis.com/acdb/photos/BromideNpcNmlGor04_Remake_5_0.png")</f>
        <v/>
      </c>
      <c r="C1719" s="5" t="s">
        <v>58</v>
      </c>
      <c r="D1719" s="5" t="s">
        <v>1327</v>
      </c>
      <c r="E1719" s="5" t="s">
        <v>34</v>
      </c>
      <c r="F1719" s="5" t="s">
        <v>34</v>
      </c>
      <c r="G1719" s="5" t="s">
        <v>36</v>
      </c>
      <c r="H1719" s="5" t="s">
        <v>35</v>
      </c>
      <c r="I1719" s="6">
        <v>1.0</v>
      </c>
      <c r="J1719" s="6" t="s">
        <v>37</v>
      </c>
      <c r="K1719" s="6">
        <v>10.0</v>
      </c>
      <c r="L1719" s="5"/>
      <c r="M1719" s="5"/>
      <c r="N1719" s="6" t="s">
        <v>40</v>
      </c>
      <c r="O1719" s="5" t="s">
        <v>5363</v>
      </c>
      <c r="P1719" s="6" t="s">
        <v>42</v>
      </c>
      <c r="Q1719" s="5" t="s">
        <v>1237</v>
      </c>
      <c r="R1719" s="5" t="s">
        <v>11707</v>
      </c>
      <c r="S1719" s="6" t="s">
        <v>79</v>
      </c>
      <c r="T1719" s="6">
        <v>6514.0</v>
      </c>
    </row>
    <row r="1720" ht="56.25" customHeight="1">
      <c r="A1720" s="5" t="s">
        <v>11681</v>
      </c>
      <c r="B1720" s="6" t="str">
        <f>image("https://storage.googleapis.com/acdb/photos/BromideNpcNmlGor04_Remake_6_0.png")</f>
        <v/>
      </c>
      <c r="C1720" s="5" t="s">
        <v>146</v>
      </c>
      <c r="D1720" s="5" t="s">
        <v>1327</v>
      </c>
      <c r="E1720" s="5" t="s">
        <v>34</v>
      </c>
      <c r="F1720" s="5" t="s">
        <v>34</v>
      </c>
      <c r="G1720" s="5" t="s">
        <v>36</v>
      </c>
      <c r="H1720" s="5" t="s">
        <v>35</v>
      </c>
      <c r="I1720" s="6">
        <v>1.0</v>
      </c>
      <c r="J1720" s="6" t="s">
        <v>37</v>
      </c>
      <c r="K1720" s="6">
        <v>10.0</v>
      </c>
      <c r="L1720" s="5"/>
      <c r="M1720" s="5"/>
      <c r="N1720" s="6" t="s">
        <v>40</v>
      </c>
      <c r="O1720" s="5" t="s">
        <v>5363</v>
      </c>
      <c r="P1720" s="6" t="s">
        <v>42</v>
      </c>
      <c r="Q1720" s="5" t="s">
        <v>1237</v>
      </c>
      <c r="R1720" s="5" t="s">
        <v>11711</v>
      </c>
      <c r="S1720" s="6" t="s">
        <v>86</v>
      </c>
      <c r="T1720" s="6">
        <v>6514.0</v>
      </c>
    </row>
    <row r="1721" ht="56.25" customHeight="1">
      <c r="A1721" s="5" t="s">
        <v>11681</v>
      </c>
      <c r="B1721" s="6" t="str">
        <f>image("https://storage.googleapis.com/acdb/photos/BromideNpcNmlGor04_Remake_7_0.png")</f>
        <v/>
      </c>
      <c r="C1721" s="5" t="s">
        <v>151</v>
      </c>
      <c r="D1721" s="5" t="s">
        <v>1327</v>
      </c>
      <c r="E1721" s="5" t="s">
        <v>34</v>
      </c>
      <c r="F1721" s="5" t="s">
        <v>34</v>
      </c>
      <c r="G1721" s="5" t="s">
        <v>36</v>
      </c>
      <c r="H1721" s="5" t="s">
        <v>35</v>
      </c>
      <c r="I1721" s="6">
        <v>1.0</v>
      </c>
      <c r="J1721" s="6" t="s">
        <v>37</v>
      </c>
      <c r="K1721" s="6">
        <v>10.0</v>
      </c>
      <c r="L1721" s="5"/>
      <c r="M1721" s="5"/>
      <c r="N1721" s="6" t="s">
        <v>40</v>
      </c>
      <c r="O1721" s="5" t="s">
        <v>5363</v>
      </c>
      <c r="P1721" s="6" t="s">
        <v>42</v>
      </c>
      <c r="Q1721" s="5" t="s">
        <v>1237</v>
      </c>
      <c r="R1721" s="5" t="s">
        <v>11715</v>
      </c>
      <c r="S1721" s="6" t="s">
        <v>208</v>
      </c>
      <c r="T1721" s="6">
        <v>6514.0</v>
      </c>
    </row>
    <row r="1722" ht="56.25" customHeight="1">
      <c r="A1722" s="5" t="s">
        <v>11717</v>
      </c>
      <c r="B1722" s="6" t="str">
        <f>image("https://storage.googleapis.com/acdb/photos/BromideNpcNmlBrd15_Remake_0_0.png")</f>
        <v/>
      </c>
      <c r="C1722" s="5" t="s">
        <v>366</v>
      </c>
      <c r="D1722" s="5" t="s">
        <v>1327</v>
      </c>
      <c r="E1722" s="5" t="s">
        <v>34</v>
      </c>
      <c r="F1722" s="5" t="s">
        <v>34</v>
      </c>
      <c r="G1722" s="5" t="s">
        <v>36</v>
      </c>
      <c r="H1722" s="5" t="s">
        <v>35</v>
      </c>
      <c r="I1722" s="6">
        <v>1.0</v>
      </c>
      <c r="J1722" s="6" t="s">
        <v>37</v>
      </c>
      <c r="K1722" s="6">
        <v>10.0</v>
      </c>
      <c r="L1722" s="5"/>
      <c r="M1722" s="5"/>
      <c r="N1722" s="6" t="s">
        <v>40</v>
      </c>
      <c r="O1722" s="5" t="s">
        <v>5363</v>
      </c>
      <c r="P1722" s="6" t="s">
        <v>42</v>
      </c>
      <c r="Q1722" s="5" t="s">
        <v>1237</v>
      </c>
      <c r="R1722" s="5" t="s">
        <v>11721</v>
      </c>
      <c r="S1722" s="6" t="s">
        <v>50</v>
      </c>
      <c r="T1722" s="6">
        <v>6660.0</v>
      </c>
    </row>
    <row r="1723" ht="56.25" customHeight="1">
      <c r="A1723" s="5" t="s">
        <v>11717</v>
      </c>
      <c r="B1723" s="6" t="str">
        <f>image("https://storage.googleapis.com/acdb/photos/BromideNpcNmlBrd15_Remake_1_0.png")</f>
        <v/>
      </c>
      <c r="C1723" s="5" t="s">
        <v>1132</v>
      </c>
      <c r="D1723" s="5" t="s">
        <v>1327</v>
      </c>
      <c r="E1723" s="5" t="s">
        <v>34</v>
      </c>
      <c r="F1723" s="5" t="s">
        <v>34</v>
      </c>
      <c r="G1723" s="5" t="s">
        <v>36</v>
      </c>
      <c r="H1723" s="5" t="s">
        <v>35</v>
      </c>
      <c r="I1723" s="6">
        <v>1.0</v>
      </c>
      <c r="J1723" s="6" t="s">
        <v>37</v>
      </c>
      <c r="K1723" s="6">
        <v>10.0</v>
      </c>
      <c r="L1723" s="5"/>
      <c r="M1723" s="5"/>
      <c r="N1723" s="6" t="s">
        <v>40</v>
      </c>
      <c r="O1723" s="5" t="s">
        <v>5363</v>
      </c>
      <c r="P1723" s="6" t="s">
        <v>42</v>
      </c>
      <c r="Q1723" s="5" t="s">
        <v>1237</v>
      </c>
      <c r="R1723" s="5" t="s">
        <v>11723</v>
      </c>
      <c r="S1723" s="6" t="s">
        <v>56</v>
      </c>
      <c r="T1723" s="6">
        <v>6660.0</v>
      </c>
    </row>
    <row r="1724" ht="56.25" customHeight="1">
      <c r="A1724" s="5" t="s">
        <v>11717</v>
      </c>
      <c r="B1724" s="6" t="str">
        <f>image("https://storage.googleapis.com/acdb/photos/BromideNpcNmlBrd15_Remake_2_0.png")</f>
        <v/>
      </c>
      <c r="C1724" s="5" t="s">
        <v>688</v>
      </c>
      <c r="D1724" s="5" t="s">
        <v>1327</v>
      </c>
      <c r="E1724" s="5" t="s">
        <v>34</v>
      </c>
      <c r="F1724" s="5" t="s">
        <v>34</v>
      </c>
      <c r="G1724" s="5" t="s">
        <v>36</v>
      </c>
      <c r="H1724" s="5" t="s">
        <v>35</v>
      </c>
      <c r="I1724" s="6">
        <v>1.0</v>
      </c>
      <c r="J1724" s="6" t="s">
        <v>37</v>
      </c>
      <c r="K1724" s="6">
        <v>10.0</v>
      </c>
      <c r="L1724" s="5"/>
      <c r="M1724" s="5"/>
      <c r="N1724" s="6" t="s">
        <v>40</v>
      </c>
      <c r="O1724" s="5" t="s">
        <v>5363</v>
      </c>
      <c r="P1724" s="6" t="s">
        <v>42</v>
      </c>
      <c r="Q1724" s="5" t="s">
        <v>1237</v>
      </c>
      <c r="R1724" s="5" t="s">
        <v>11726</v>
      </c>
      <c r="S1724" s="6" t="s">
        <v>67</v>
      </c>
      <c r="T1724" s="6">
        <v>6660.0</v>
      </c>
    </row>
    <row r="1725" ht="56.25" customHeight="1">
      <c r="A1725" s="5" t="s">
        <v>11717</v>
      </c>
      <c r="B1725" s="6" t="str">
        <f>image("https://storage.googleapis.com/acdb/photos/BromideNpcNmlBrd15_Remake_3_0.png")</f>
        <v/>
      </c>
      <c r="C1725" s="5" t="s">
        <v>57</v>
      </c>
      <c r="D1725" s="5" t="s">
        <v>1327</v>
      </c>
      <c r="E1725" s="5" t="s">
        <v>34</v>
      </c>
      <c r="F1725" s="5" t="s">
        <v>34</v>
      </c>
      <c r="G1725" s="5" t="s">
        <v>36</v>
      </c>
      <c r="H1725" s="5" t="s">
        <v>35</v>
      </c>
      <c r="I1725" s="6">
        <v>1.0</v>
      </c>
      <c r="J1725" s="6" t="s">
        <v>37</v>
      </c>
      <c r="K1725" s="6">
        <v>10.0</v>
      </c>
      <c r="L1725" s="5"/>
      <c r="M1725" s="5"/>
      <c r="N1725" s="6" t="s">
        <v>40</v>
      </c>
      <c r="O1725" s="5" t="s">
        <v>5363</v>
      </c>
      <c r="P1725" s="6" t="s">
        <v>42</v>
      </c>
      <c r="Q1725" s="5" t="s">
        <v>1237</v>
      </c>
      <c r="R1725" s="5" t="s">
        <v>11730</v>
      </c>
      <c r="S1725" s="6" t="s">
        <v>71</v>
      </c>
      <c r="T1725" s="6">
        <v>6660.0</v>
      </c>
    </row>
    <row r="1726" ht="56.25" customHeight="1">
      <c r="A1726" s="5" t="s">
        <v>11717</v>
      </c>
      <c r="B1726" s="6" t="str">
        <f>image("https://storage.googleapis.com/acdb/photos/BromideNpcNmlBrd15_Remake_4_0.png")</f>
        <v/>
      </c>
      <c r="C1726" s="5" t="s">
        <v>1167</v>
      </c>
      <c r="D1726" s="5" t="s">
        <v>1327</v>
      </c>
      <c r="E1726" s="5" t="s">
        <v>34</v>
      </c>
      <c r="F1726" s="5" t="s">
        <v>34</v>
      </c>
      <c r="G1726" s="5" t="s">
        <v>36</v>
      </c>
      <c r="H1726" s="5" t="s">
        <v>35</v>
      </c>
      <c r="I1726" s="6">
        <v>1.0</v>
      </c>
      <c r="J1726" s="6" t="s">
        <v>37</v>
      </c>
      <c r="K1726" s="6">
        <v>10.0</v>
      </c>
      <c r="L1726" s="5"/>
      <c r="M1726" s="5"/>
      <c r="N1726" s="6" t="s">
        <v>40</v>
      </c>
      <c r="O1726" s="5" t="s">
        <v>5363</v>
      </c>
      <c r="P1726" s="6" t="s">
        <v>42</v>
      </c>
      <c r="Q1726" s="5" t="s">
        <v>1237</v>
      </c>
      <c r="R1726" s="5" t="s">
        <v>11732</v>
      </c>
      <c r="S1726" s="6" t="s">
        <v>75</v>
      </c>
      <c r="T1726" s="6">
        <v>6660.0</v>
      </c>
    </row>
    <row r="1727" ht="56.25" customHeight="1">
      <c r="A1727" s="5" t="s">
        <v>11717</v>
      </c>
      <c r="B1727" s="6" t="str">
        <f>image("https://storage.googleapis.com/acdb/photos/BromideNpcNmlBrd15_Remake_5_0.png")</f>
        <v/>
      </c>
      <c r="C1727" s="5" t="s">
        <v>58</v>
      </c>
      <c r="D1727" s="5" t="s">
        <v>1327</v>
      </c>
      <c r="E1727" s="5" t="s">
        <v>34</v>
      </c>
      <c r="F1727" s="5" t="s">
        <v>34</v>
      </c>
      <c r="G1727" s="5" t="s">
        <v>36</v>
      </c>
      <c r="H1727" s="5" t="s">
        <v>35</v>
      </c>
      <c r="I1727" s="6">
        <v>1.0</v>
      </c>
      <c r="J1727" s="6" t="s">
        <v>37</v>
      </c>
      <c r="K1727" s="6">
        <v>10.0</v>
      </c>
      <c r="L1727" s="5"/>
      <c r="M1727" s="5"/>
      <c r="N1727" s="6" t="s">
        <v>40</v>
      </c>
      <c r="O1727" s="5" t="s">
        <v>5363</v>
      </c>
      <c r="P1727" s="6" t="s">
        <v>42</v>
      </c>
      <c r="Q1727" s="5" t="s">
        <v>1237</v>
      </c>
      <c r="R1727" s="5" t="s">
        <v>11736</v>
      </c>
      <c r="S1727" s="6" t="s">
        <v>79</v>
      </c>
      <c r="T1727" s="6">
        <v>6660.0</v>
      </c>
    </row>
    <row r="1728" ht="56.25" customHeight="1">
      <c r="A1728" s="5" t="s">
        <v>11717</v>
      </c>
      <c r="B1728" s="6" t="str">
        <f>image("https://storage.googleapis.com/acdb/photos/BromideNpcNmlBrd15_Remake_6_0.png")</f>
        <v/>
      </c>
      <c r="C1728" s="5" t="s">
        <v>146</v>
      </c>
      <c r="D1728" s="5" t="s">
        <v>1327</v>
      </c>
      <c r="E1728" s="5" t="s">
        <v>34</v>
      </c>
      <c r="F1728" s="5" t="s">
        <v>34</v>
      </c>
      <c r="G1728" s="5" t="s">
        <v>36</v>
      </c>
      <c r="H1728" s="5" t="s">
        <v>35</v>
      </c>
      <c r="I1728" s="6">
        <v>1.0</v>
      </c>
      <c r="J1728" s="6" t="s">
        <v>37</v>
      </c>
      <c r="K1728" s="6">
        <v>10.0</v>
      </c>
      <c r="L1728" s="5"/>
      <c r="M1728" s="5"/>
      <c r="N1728" s="6" t="s">
        <v>40</v>
      </c>
      <c r="O1728" s="5" t="s">
        <v>5363</v>
      </c>
      <c r="P1728" s="6" t="s">
        <v>42</v>
      </c>
      <c r="Q1728" s="5" t="s">
        <v>1237</v>
      </c>
      <c r="R1728" s="5" t="s">
        <v>11738</v>
      </c>
      <c r="S1728" s="6" t="s">
        <v>86</v>
      </c>
      <c r="T1728" s="6">
        <v>6660.0</v>
      </c>
    </row>
    <row r="1729" ht="56.25" customHeight="1">
      <c r="A1729" s="5" t="s">
        <v>11717</v>
      </c>
      <c r="B1729" s="6" t="str">
        <f>image("https://storage.googleapis.com/acdb/photos/BromideNpcNmlBrd15_Remake_7_0.png")</f>
        <v/>
      </c>
      <c r="C1729" s="5" t="s">
        <v>151</v>
      </c>
      <c r="D1729" s="5" t="s">
        <v>1327</v>
      </c>
      <c r="E1729" s="5" t="s">
        <v>34</v>
      </c>
      <c r="F1729" s="5" t="s">
        <v>34</v>
      </c>
      <c r="G1729" s="5" t="s">
        <v>36</v>
      </c>
      <c r="H1729" s="5" t="s">
        <v>35</v>
      </c>
      <c r="I1729" s="6">
        <v>1.0</v>
      </c>
      <c r="J1729" s="6" t="s">
        <v>37</v>
      </c>
      <c r="K1729" s="6">
        <v>10.0</v>
      </c>
      <c r="L1729" s="5"/>
      <c r="M1729" s="5"/>
      <c r="N1729" s="6" t="s">
        <v>40</v>
      </c>
      <c r="O1729" s="5" t="s">
        <v>5363</v>
      </c>
      <c r="P1729" s="6" t="s">
        <v>42</v>
      </c>
      <c r="Q1729" s="5" t="s">
        <v>1237</v>
      </c>
      <c r="R1729" s="5" t="s">
        <v>11742</v>
      </c>
      <c r="S1729" s="6" t="s">
        <v>208</v>
      </c>
      <c r="T1729" s="6">
        <v>6660.0</v>
      </c>
    </row>
    <row r="1730" ht="56.25" customHeight="1">
      <c r="A1730" s="5" t="s">
        <v>11743</v>
      </c>
      <c r="B1730" s="6" t="str">
        <f>image("https://storage.googleapis.com/acdb/photos/BromideNpcNmlDog02_Remake_0_0.png")</f>
        <v/>
      </c>
      <c r="C1730" s="5" t="s">
        <v>366</v>
      </c>
      <c r="D1730" s="5" t="s">
        <v>1327</v>
      </c>
      <c r="E1730" s="5" t="s">
        <v>34</v>
      </c>
      <c r="F1730" s="5" t="s">
        <v>34</v>
      </c>
      <c r="G1730" s="5" t="s">
        <v>36</v>
      </c>
      <c r="H1730" s="5" t="s">
        <v>35</v>
      </c>
      <c r="I1730" s="6">
        <v>1.0</v>
      </c>
      <c r="J1730" s="6" t="s">
        <v>37</v>
      </c>
      <c r="K1730" s="6">
        <v>10.0</v>
      </c>
      <c r="L1730" s="5"/>
      <c r="M1730" s="5"/>
      <c r="N1730" s="6" t="s">
        <v>40</v>
      </c>
      <c r="O1730" s="5" t="s">
        <v>5363</v>
      </c>
      <c r="P1730" s="6" t="s">
        <v>42</v>
      </c>
      <c r="Q1730" s="5" t="s">
        <v>1237</v>
      </c>
      <c r="R1730" s="5" t="s">
        <v>11745</v>
      </c>
      <c r="S1730" s="6" t="s">
        <v>50</v>
      </c>
      <c r="T1730" s="6">
        <v>6439.0</v>
      </c>
    </row>
    <row r="1731" ht="56.25" customHeight="1">
      <c r="A1731" s="5" t="s">
        <v>11743</v>
      </c>
      <c r="B1731" s="6" t="str">
        <f>image("https://storage.googleapis.com/acdb/photos/BromideNpcNmlDog02_Remake_1_0.png")</f>
        <v/>
      </c>
      <c r="C1731" s="5" t="s">
        <v>1132</v>
      </c>
      <c r="D1731" s="5" t="s">
        <v>1327</v>
      </c>
      <c r="E1731" s="5" t="s">
        <v>34</v>
      </c>
      <c r="F1731" s="5" t="s">
        <v>34</v>
      </c>
      <c r="G1731" s="5" t="s">
        <v>36</v>
      </c>
      <c r="H1731" s="5" t="s">
        <v>35</v>
      </c>
      <c r="I1731" s="6">
        <v>1.0</v>
      </c>
      <c r="J1731" s="6" t="s">
        <v>37</v>
      </c>
      <c r="K1731" s="6">
        <v>10.0</v>
      </c>
      <c r="L1731" s="5"/>
      <c r="M1731" s="5"/>
      <c r="N1731" s="6" t="s">
        <v>40</v>
      </c>
      <c r="O1731" s="5" t="s">
        <v>5363</v>
      </c>
      <c r="P1731" s="6" t="s">
        <v>42</v>
      </c>
      <c r="Q1731" s="5" t="s">
        <v>1237</v>
      </c>
      <c r="R1731" s="5" t="s">
        <v>11747</v>
      </c>
      <c r="S1731" s="6" t="s">
        <v>56</v>
      </c>
      <c r="T1731" s="6">
        <v>6439.0</v>
      </c>
    </row>
    <row r="1732" ht="56.25" customHeight="1">
      <c r="A1732" s="5" t="s">
        <v>11743</v>
      </c>
      <c r="B1732" s="6" t="str">
        <f>image("https://storage.googleapis.com/acdb/photos/BromideNpcNmlDog02_Remake_2_0.png")</f>
        <v/>
      </c>
      <c r="C1732" s="5" t="s">
        <v>688</v>
      </c>
      <c r="D1732" s="5" t="s">
        <v>1327</v>
      </c>
      <c r="E1732" s="5" t="s">
        <v>34</v>
      </c>
      <c r="F1732" s="5" t="s">
        <v>34</v>
      </c>
      <c r="G1732" s="5" t="s">
        <v>36</v>
      </c>
      <c r="H1732" s="5" t="s">
        <v>35</v>
      </c>
      <c r="I1732" s="6">
        <v>1.0</v>
      </c>
      <c r="J1732" s="6" t="s">
        <v>37</v>
      </c>
      <c r="K1732" s="6">
        <v>10.0</v>
      </c>
      <c r="L1732" s="5"/>
      <c r="M1732" s="5"/>
      <c r="N1732" s="6" t="s">
        <v>40</v>
      </c>
      <c r="O1732" s="5" t="s">
        <v>5363</v>
      </c>
      <c r="P1732" s="6" t="s">
        <v>42</v>
      </c>
      <c r="Q1732" s="5" t="s">
        <v>1237</v>
      </c>
      <c r="R1732" s="5" t="s">
        <v>11751</v>
      </c>
      <c r="S1732" s="6" t="s">
        <v>67</v>
      </c>
      <c r="T1732" s="6">
        <v>6439.0</v>
      </c>
    </row>
    <row r="1733" ht="56.25" customHeight="1">
      <c r="A1733" s="5" t="s">
        <v>11743</v>
      </c>
      <c r="B1733" s="6" t="str">
        <f>image("https://storage.googleapis.com/acdb/photos/BromideNpcNmlDog02_Remake_3_0.png")</f>
        <v/>
      </c>
      <c r="C1733" s="5" t="s">
        <v>57</v>
      </c>
      <c r="D1733" s="5" t="s">
        <v>1327</v>
      </c>
      <c r="E1733" s="5" t="s">
        <v>34</v>
      </c>
      <c r="F1733" s="5" t="s">
        <v>34</v>
      </c>
      <c r="G1733" s="5" t="s">
        <v>36</v>
      </c>
      <c r="H1733" s="5" t="s">
        <v>35</v>
      </c>
      <c r="I1733" s="6">
        <v>1.0</v>
      </c>
      <c r="J1733" s="6" t="s">
        <v>37</v>
      </c>
      <c r="K1733" s="6">
        <v>10.0</v>
      </c>
      <c r="L1733" s="5"/>
      <c r="M1733" s="5"/>
      <c r="N1733" s="6" t="s">
        <v>40</v>
      </c>
      <c r="O1733" s="5" t="s">
        <v>5363</v>
      </c>
      <c r="P1733" s="6" t="s">
        <v>42</v>
      </c>
      <c r="Q1733" s="5" t="s">
        <v>1237</v>
      </c>
      <c r="R1733" s="5" t="s">
        <v>11753</v>
      </c>
      <c r="S1733" s="6" t="s">
        <v>71</v>
      </c>
      <c r="T1733" s="6">
        <v>6439.0</v>
      </c>
    </row>
    <row r="1734" ht="56.25" customHeight="1">
      <c r="A1734" s="5" t="s">
        <v>11743</v>
      </c>
      <c r="B1734" s="6" t="str">
        <f>image("https://storage.googleapis.com/acdb/photos/BromideNpcNmlDog02_Remake_4_0.png")</f>
        <v/>
      </c>
      <c r="C1734" s="5" t="s">
        <v>1167</v>
      </c>
      <c r="D1734" s="5" t="s">
        <v>1327</v>
      </c>
      <c r="E1734" s="5" t="s">
        <v>34</v>
      </c>
      <c r="F1734" s="5" t="s">
        <v>34</v>
      </c>
      <c r="G1734" s="5" t="s">
        <v>36</v>
      </c>
      <c r="H1734" s="5" t="s">
        <v>35</v>
      </c>
      <c r="I1734" s="6">
        <v>1.0</v>
      </c>
      <c r="J1734" s="6" t="s">
        <v>37</v>
      </c>
      <c r="K1734" s="6">
        <v>10.0</v>
      </c>
      <c r="L1734" s="5"/>
      <c r="M1734" s="5"/>
      <c r="N1734" s="6" t="s">
        <v>40</v>
      </c>
      <c r="O1734" s="5" t="s">
        <v>5363</v>
      </c>
      <c r="P1734" s="6" t="s">
        <v>42</v>
      </c>
      <c r="Q1734" s="5" t="s">
        <v>1237</v>
      </c>
      <c r="R1734" s="5" t="s">
        <v>11756</v>
      </c>
      <c r="S1734" s="6" t="s">
        <v>75</v>
      </c>
      <c r="T1734" s="6">
        <v>6439.0</v>
      </c>
    </row>
    <row r="1735" ht="56.25" customHeight="1">
      <c r="A1735" s="5" t="s">
        <v>11743</v>
      </c>
      <c r="B1735" s="6" t="str">
        <f>image("https://storage.googleapis.com/acdb/photos/BromideNpcNmlDog02_Remake_5_0.png")</f>
        <v/>
      </c>
      <c r="C1735" s="5" t="s">
        <v>58</v>
      </c>
      <c r="D1735" s="5" t="s">
        <v>1327</v>
      </c>
      <c r="E1735" s="5" t="s">
        <v>34</v>
      </c>
      <c r="F1735" s="5" t="s">
        <v>34</v>
      </c>
      <c r="G1735" s="5" t="s">
        <v>36</v>
      </c>
      <c r="H1735" s="5" t="s">
        <v>35</v>
      </c>
      <c r="I1735" s="6">
        <v>1.0</v>
      </c>
      <c r="J1735" s="6" t="s">
        <v>37</v>
      </c>
      <c r="K1735" s="6">
        <v>10.0</v>
      </c>
      <c r="L1735" s="5"/>
      <c r="M1735" s="5"/>
      <c r="N1735" s="6" t="s">
        <v>40</v>
      </c>
      <c r="O1735" s="5" t="s">
        <v>5363</v>
      </c>
      <c r="P1735" s="6" t="s">
        <v>42</v>
      </c>
      <c r="Q1735" s="5" t="s">
        <v>1237</v>
      </c>
      <c r="R1735" s="5" t="s">
        <v>11757</v>
      </c>
      <c r="S1735" s="6" t="s">
        <v>79</v>
      </c>
      <c r="T1735" s="6">
        <v>6439.0</v>
      </c>
    </row>
    <row r="1736" ht="56.25" customHeight="1">
      <c r="A1736" s="5" t="s">
        <v>11743</v>
      </c>
      <c r="B1736" s="6" t="str">
        <f>image("https://storage.googleapis.com/acdb/photos/BromideNpcNmlDog02_Remake_6_0.png")</f>
        <v/>
      </c>
      <c r="C1736" s="5" t="s">
        <v>146</v>
      </c>
      <c r="D1736" s="5" t="s">
        <v>1327</v>
      </c>
      <c r="E1736" s="5" t="s">
        <v>34</v>
      </c>
      <c r="F1736" s="5" t="s">
        <v>34</v>
      </c>
      <c r="G1736" s="5" t="s">
        <v>36</v>
      </c>
      <c r="H1736" s="5" t="s">
        <v>35</v>
      </c>
      <c r="I1736" s="6">
        <v>1.0</v>
      </c>
      <c r="J1736" s="6" t="s">
        <v>37</v>
      </c>
      <c r="K1736" s="6">
        <v>10.0</v>
      </c>
      <c r="L1736" s="5"/>
      <c r="M1736" s="5"/>
      <c r="N1736" s="6" t="s">
        <v>40</v>
      </c>
      <c r="O1736" s="5" t="s">
        <v>5363</v>
      </c>
      <c r="P1736" s="6" t="s">
        <v>42</v>
      </c>
      <c r="Q1736" s="5" t="s">
        <v>1237</v>
      </c>
      <c r="R1736" s="5" t="s">
        <v>11759</v>
      </c>
      <c r="S1736" s="6" t="s">
        <v>86</v>
      </c>
      <c r="T1736" s="6">
        <v>6439.0</v>
      </c>
    </row>
    <row r="1737" ht="56.25" customHeight="1">
      <c r="A1737" s="5" t="s">
        <v>11743</v>
      </c>
      <c r="B1737" s="6" t="str">
        <f>image("https://storage.googleapis.com/acdb/photos/BromideNpcNmlDog02_Remake_7_0.png")</f>
        <v/>
      </c>
      <c r="C1737" s="5" t="s">
        <v>151</v>
      </c>
      <c r="D1737" s="5" t="s">
        <v>1327</v>
      </c>
      <c r="E1737" s="5" t="s">
        <v>34</v>
      </c>
      <c r="F1737" s="5" t="s">
        <v>34</v>
      </c>
      <c r="G1737" s="5" t="s">
        <v>36</v>
      </c>
      <c r="H1737" s="5" t="s">
        <v>35</v>
      </c>
      <c r="I1737" s="6">
        <v>1.0</v>
      </c>
      <c r="J1737" s="6" t="s">
        <v>37</v>
      </c>
      <c r="K1737" s="6">
        <v>10.0</v>
      </c>
      <c r="L1737" s="5"/>
      <c r="M1737" s="5"/>
      <c r="N1737" s="6" t="s">
        <v>40</v>
      </c>
      <c r="O1737" s="5" t="s">
        <v>5363</v>
      </c>
      <c r="P1737" s="6" t="s">
        <v>42</v>
      </c>
      <c r="Q1737" s="5" t="s">
        <v>1237</v>
      </c>
      <c r="R1737" s="5" t="s">
        <v>11763</v>
      </c>
      <c r="S1737" s="6" t="s">
        <v>208</v>
      </c>
      <c r="T1737" s="6">
        <v>6439.0</v>
      </c>
    </row>
    <row r="1738" ht="56.25" customHeight="1">
      <c r="A1738" s="5" t="s">
        <v>11764</v>
      </c>
      <c r="B1738" s="6" t="str">
        <f>image("https://storage.googleapis.com/acdb/photos/BromideNpcNmlPig04_Remake_0_0.png")</f>
        <v/>
      </c>
      <c r="C1738" s="5" t="s">
        <v>366</v>
      </c>
      <c r="D1738" s="5" t="s">
        <v>1327</v>
      </c>
      <c r="E1738" s="5" t="s">
        <v>34</v>
      </c>
      <c r="F1738" s="5" t="s">
        <v>34</v>
      </c>
      <c r="G1738" s="5" t="s">
        <v>36</v>
      </c>
      <c r="H1738" s="5" t="s">
        <v>35</v>
      </c>
      <c r="I1738" s="6">
        <v>1.0</v>
      </c>
      <c r="J1738" s="6" t="s">
        <v>37</v>
      </c>
      <c r="K1738" s="6">
        <v>10.0</v>
      </c>
      <c r="L1738" s="5"/>
      <c r="M1738" s="5"/>
      <c r="N1738" s="6" t="s">
        <v>40</v>
      </c>
      <c r="O1738" s="5" t="s">
        <v>5363</v>
      </c>
      <c r="P1738" s="6" t="s">
        <v>42</v>
      </c>
      <c r="Q1738" s="5" t="s">
        <v>1237</v>
      </c>
      <c r="R1738" s="5" t="s">
        <v>11766</v>
      </c>
      <c r="S1738" s="6" t="s">
        <v>50</v>
      </c>
      <c r="T1738" s="6">
        <v>6650.0</v>
      </c>
    </row>
    <row r="1739" ht="56.25" customHeight="1">
      <c r="A1739" s="5" t="s">
        <v>11764</v>
      </c>
      <c r="B1739" s="6" t="str">
        <f>image("https://storage.googleapis.com/acdb/photos/BromideNpcNmlPig04_Remake_1_0.png")</f>
        <v/>
      </c>
      <c r="C1739" s="5" t="s">
        <v>1132</v>
      </c>
      <c r="D1739" s="5" t="s">
        <v>1327</v>
      </c>
      <c r="E1739" s="5" t="s">
        <v>34</v>
      </c>
      <c r="F1739" s="5" t="s">
        <v>34</v>
      </c>
      <c r="G1739" s="5" t="s">
        <v>36</v>
      </c>
      <c r="H1739" s="5" t="s">
        <v>35</v>
      </c>
      <c r="I1739" s="6">
        <v>1.0</v>
      </c>
      <c r="J1739" s="6" t="s">
        <v>37</v>
      </c>
      <c r="K1739" s="6">
        <v>10.0</v>
      </c>
      <c r="L1739" s="5"/>
      <c r="M1739" s="5"/>
      <c r="N1739" s="6" t="s">
        <v>40</v>
      </c>
      <c r="O1739" s="5" t="s">
        <v>5363</v>
      </c>
      <c r="P1739" s="6" t="s">
        <v>42</v>
      </c>
      <c r="Q1739" s="5" t="s">
        <v>1237</v>
      </c>
      <c r="R1739" s="5" t="s">
        <v>11769</v>
      </c>
      <c r="S1739" s="6" t="s">
        <v>56</v>
      </c>
      <c r="T1739" s="6">
        <v>6650.0</v>
      </c>
    </row>
    <row r="1740" ht="56.25" customHeight="1">
      <c r="A1740" s="5" t="s">
        <v>11764</v>
      </c>
      <c r="B1740" s="6" t="str">
        <f>image("https://storage.googleapis.com/acdb/photos/BromideNpcNmlPig04_Remake_2_0.png")</f>
        <v/>
      </c>
      <c r="C1740" s="5" t="s">
        <v>688</v>
      </c>
      <c r="D1740" s="5" t="s">
        <v>1327</v>
      </c>
      <c r="E1740" s="5" t="s">
        <v>34</v>
      </c>
      <c r="F1740" s="5" t="s">
        <v>34</v>
      </c>
      <c r="G1740" s="5" t="s">
        <v>36</v>
      </c>
      <c r="H1740" s="5" t="s">
        <v>35</v>
      </c>
      <c r="I1740" s="6">
        <v>1.0</v>
      </c>
      <c r="J1740" s="6" t="s">
        <v>37</v>
      </c>
      <c r="K1740" s="6">
        <v>10.0</v>
      </c>
      <c r="L1740" s="5"/>
      <c r="M1740" s="5"/>
      <c r="N1740" s="6" t="s">
        <v>40</v>
      </c>
      <c r="O1740" s="5" t="s">
        <v>5363</v>
      </c>
      <c r="P1740" s="6" t="s">
        <v>42</v>
      </c>
      <c r="Q1740" s="5" t="s">
        <v>1237</v>
      </c>
      <c r="R1740" s="5" t="s">
        <v>11772</v>
      </c>
      <c r="S1740" s="6" t="s">
        <v>67</v>
      </c>
      <c r="T1740" s="6">
        <v>6650.0</v>
      </c>
    </row>
    <row r="1741" ht="56.25" customHeight="1">
      <c r="A1741" s="5" t="s">
        <v>11764</v>
      </c>
      <c r="B1741" s="6" t="str">
        <f>image("https://storage.googleapis.com/acdb/photos/BromideNpcNmlPig04_Remake_3_0.png")</f>
        <v/>
      </c>
      <c r="C1741" s="5" t="s">
        <v>57</v>
      </c>
      <c r="D1741" s="5" t="s">
        <v>1327</v>
      </c>
      <c r="E1741" s="5" t="s">
        <v>34</v>
      </c>
      <c r="F1741" s="5" t="s">
        <v>34</v>
      </c>
      <c r="G1741" s="5" t="s">
        <v>36</v>
      </c>
      <c r="H1741" s="5" t="s">
        <v>35</v>
      </c>
      <c r="I1741" s="6">
        <v>1.0</v>
      </c>
      <c r="J1741" s="6" t="s">
        <v>37</v>
      </c>
      <c r="K1741" s="6">
        <v>10.0</v>
      </c>
      <c r="L1741" s="5"/>
      <c r="M1741" s="5"/>
      <c r="N1741" s="6" t="s">
        <v>40</v>
      </c>
      <c r="O1741" s="5" t="s">
        <v>5363</v>
      </c>
      <c r="P1741" s="6" t="s">
        <v>42</v>
      </c>
      <c r="Q1741" s="5" t="s">
        <v>1237</v>
      </c>
      <c r="R1741" s="5" t="s">
        <v>11775</v>
      </c>
      <c r="S1741" s="6" t="s">
        <v>71</v>
      </c>
      <c r="T1741" s="6">
        <v>6650.0</v>
      </c>
    </row>
    <row r="1742" ht="56.25" customHeight="1">
      <c r="A1742" s="5" t="s">
        <v>11764</v>
      </c>
      <c r="B1742" s="6" t="str">
        <f>image("https://storage.googleapis.com/acdb/photos/BromideNpcNmlPig04_Remake_4_0.png")</f>
        <v/>
      </c>
      <c r="C1742" s="5" t="s">
        <v>1167</v>
      </c>
      <c r="D1742" s="5" t="s">
        <v>1327</v>
      </c>
      <c r="E1742" s="5" t="s">
        <v>34</v>
      </c>
      <c r="F1742" s="5" t="s">
        <v>34</v>
      </c>
      <c r="G1742" s="5" t="s">
        <v>36</v>
      </c>
      <c r="H1742" s="5" t="s">
        <v>35</v>
      </c>
      <c r="I1742" s="6">
        <v>1.0</v>
      </c>
      <c r="J1742" s="6" t="s">
        <v>37</v>
      </c>
      <c r="K1742" s="6">
        <v>10.0</v>
      </c>
      <c r="L1742" s="5"/>
      <c r="M1742" s="5"/>
      <c r="N1742" s="6" t="s">
        <v>40</v>
      </c>
      <c r="O1742" s="5" t="s">
        <v>5363</v>
      </c>
      <c r="P1742" s="6" t="s">
        <v>42</v>
      </c>
      <c r="Q1742" s="5" t="s">
        <v>1237</v>
      </c>
      <c r="R1742" s="5" t="s">
        <v>11777</v>
      </c>
      <c r="S1742" s="6" t="s">
        <v>75</v>
      </c>
      <c r="T1742" s="6">
        <v>6650.0</v>
      </c>
    </row>
    <row r="1743" ht="56.25" customHeight="1">
      <c r="A1743" s="5" t="s">
        <v>11764</v>
      </c>
      <c r="B1743" s="6" t="str">
        <f>image("https://storage.googleapis.com/acdb/photos/BromideNpcNmlPig04_Remake_5_0.png")</f>
        <v/>
      </c>
      <c r="C1743" s="5" t="s">
        <v>58</v>
      </c>
      <c r="D1743" s="5" t="s">
        <v>1327</v>
      </c>
      <c r="E1743" s="5" t="s">
        <v>34</v>
      </c>
      <c r="F1743" s="5" t="s">
        <v>34</v>
      </c>
      <c r="G1743" s="5" t="s">
        <v>36</v>
      </c>
      <c r="H1743" s="5" t="s">
        <v>35</v>
      </c>
      <c r="I1743" s="6">
        <v>1.0</v>
      </c>
      <c r="J1743" s="6" t="s">
        <v>37</v>
      </c>
      <c r="K1743" s="6">
        <v>10.0</v>
      </c>
      <c r="L1743" s="5"/>
      <c r="M1743" s="5"/>
      <c r="N1743" s="6" t="s">
        <v>40</v>
      </c>
      <c r="O1743" s="5" t="s">
        <v>5363</v>
      </c>
      <c r="P1743" s="6" t="s">
        <v>42</v>
      </c>
      <c r="Q1743" s="5" t="s">
        <v>1237</v>
      </c>
      <c r="R1743" s="5" t="s">
        <v>11780</v>
      </c>
      <c r="S1743" s="6" t="s">
        <v>79</v>
      </c>
      <c r="T1743" s="6">
        <v>6650.0</v>
      </c>
    </row>
    <row r="1744" ht="56.25" customHeight="1">
      <c r="A1744" s="5" t="s">
        <v>11764</v>
      </c>
      <c r="B1744" s="6" t="str">
        <f>image("https://storage.googleapis.com/acdb/photos/BromideNpcNmlPig04_Remake_6_0.png")</f>
        <v/>
      </c>
      <c r="C1744" s="5" t="s">
        <v>146</v>
      </c>
      <c r="D1744" s="5" t="s">
        <v>1327</v>
      </c>
      <c r="E1744" s="5" t="s">
        <v>34</v>
      </c>
      <c r="F1744" s="5" t="s">
        <v>34</v>
      </c>
      <c r="G1744" s="5" t="s">
        <v>36</v>
      </c>
      <c r="H1744" s="5" t="s">
        <v>35</v>
      </c>
      <c r="I1744" s="6">
        <v>1.0</v>
      </c>
      <c r="J1744" s="6" t="s">
        <v>37</v>
      </c>
      <c r="K1744" s="6">
        <v>10.0</v>
      </c>
      <c r="L1744" s="5"/>
      <c r="M1744" s="5"/>
      <c r="N1744" s="6" t="s">
        <v>40</v>
      </c>
      <c r="O1744" s="5" t="s">
        <v>5363</v>
      </c>
      <c r="P1744" s="6" t="s">
        <v>42</v>
      </c>
      <c r="Q1744" s="5" t="s">
        <v>1237</v>
      </c>
      <c r="R1744" s="5" t="s">
        <v>11781</v>
      </c>
      <c r="S1744" s="6" t="s">
        <v>86</v>
      </c>
      <c r="T1744" s="6">
        <v>6650.0</v>
      </c>
    </row>
    <row r="1745" ht="56.25" customHeight="1">
      <c r="A1745" s="5" t="s">
        <v>11764</v>
      </c>
      <c r="B1745" s="6" t="str">
        <f>image("https://storage.googleapis.com/acdb/photos/BromideNpcNmlPig04_Remake_7_0.png")</f>
        <v/>
      </c>
      <c r="C1745" s="5" t="s">
        <v>151</v>
      </c>
      <c r="D1745" s="5" t="s">
        <v>1327</v>
      </c>
      <c r="E1745" s="5" t="s">
        <v>34</v>
      </c>
      <c r="F1745" s="5" t="s">
        <v>34</v>
      </c>
      <c r="G1745" s="5" t="s">
        <v>36</v>
      </c>
      <c r="H1745" s="5" t="s">
        <v>35</v>
      </c>
      <c r="I1745" s="6">
        <v>1.0</v>
      </c>
      <c r="J1745" s="6" t="s">
        <v>37</v>
      </c>
      <c r="K1745" s="6">
        <v>10.0</v>
      </c>
      <c r="L1745" s="5"/>
      <c r="M1745" s="5"/>
      <c r="N1745" s="6" t="s">
        <v>40</v>
      </c>
      <c r="O1745" s="5" t="s">
        <v>5363</v>
      </c>
      <c r="P1745" s="6" t="s">
        <v>42</v>
      </c>
      <c r="Q1745" s="5" t="s">
        <v>1237</v>
      </c>
      <c r="R1745" s="5" t="s">
        <v>11785</v>
      </c>
      <c r="S1745" s="6" t="s">
        <v>208</v>
      </c>
      <c r="T1745" s="6">
        <v>6650.0</v>
      </c>
    </row>
    <row r="1746" ht="56.25" customHeight="1">
      <c r="A1746" s="5" t="s">
        <v>11786</v>
      </c>
      <c r="B1746" s="6" t="str">
        <f>image("https://storage.googleapis.com/acdb/photos/BromideNpcNmlKal09_Remake_0_0.png")</f>
        <v/>
      </c>
      <c r="C1746" s="5" t="s">
        <v>366</v>
      </c>
      <c r="D1746" s="5" t="s">
        <v>1327</v>
      </c>
      <c r="E1746" s="5" t="s">
        <v>34</v>
      </c>
      <c r="F1746" s="5" t="s">
        <v>34</v>
      </c>
      <c r="G1746" s="5" t="s">
        <v>36</v>
      </c>
      <c r="H1746" s="5" t="s">
        <v>35</v>
      </c>
      <c r="I1746" s="6">
        <v>1.0</v>
      </c>
      <c r="J1746" s="6" t="s">
        <v>37</v>
      </c>
      <c r="K1746" s="6">
        <v>10.0</v>
      </c>
      <c r="L1746" s="5"/>
      <c r="M1746" s="5"/>
      <c r="N1746" s="6" t="s">
        <v>40</v>
      </c>
      <c r="O1746" s="5" t="s">
        <v>5363</v>
      </c>
      <c r="P1746" s="6" t="s">
        <v>42</v>
      </c>
      <c r="Q1746" s="5" t="s">
        <v>1237</v>
      </c>
      <c r="R1746" s="5" t="s">
        <v>11790</v>
      </c>
      <c r="S1746" s="6" t="s">
        <v>50</v>
      </c>
      <c r="T1746" s="6">
        <v>6562.0</v>
      </c>
    </row>
    <row r="1747" ht="56.25" customHeight="1">
      <c r="A1747" s="5" t="s">
        <v>11786</v>
      </c>
      <c r="B1747" s="6" t="str">
        <f>image("https://storage.googleapis.com/acdb/photos/BromideNpcNmlKal09_Remake_1_0.png")</f>
        <v/>
      </c>
      <c r="C1747" s="5" t="s">
        <v>1132</v>
      </c>
      <c r="D1747" s="5" t="s">
        <v>1327</v>
      </c>
      <c r="E1747" s="5" t="s">
        <v>34</v>
      </c>
      <c r="F1747" s="5" t="s">
        <v>34</v>
      </c>
      <c r="G1747" s="5" t="s">
        <v>36</v>
      </c>
      <c r="H1747" s="5" t="s">
        <v>35</v>
      </c>
      <c r="I1747" s="6">
        <v>1.0</v>
      </c>
      <c r="J1747" s="6" t="s">
        <v>37</v>
      </c>
      <c r="K1747" s="6">
        <v>10.0</v>
      </c>
      <c r="L1747" s="5"/>
      <c r="M1747" s="5"/>
      <c r="N1747" s="6" t="s">
        <v>40</v>
      </c>
      <c r="O1747" s="5" t="s">
        <v>5363</v>
      </c>
      <c r="P1747" s="6" t="s">
        <v>42</v>
      </c>
      <c r="Q1747" s="5" t="s">
        <v>1237</v>
      </c>
      <c r="R1747" s="5" t="s">
        <v>11793</v>
      </c>
      <c r="S1747" s="6" t="s">
        <v>56</v>
      </c>
      <c r="T1747" s="6">
        <v>6562.0</v>
      </c>
    </row>
    <row r="1748" ht="56.25" customHeight="1">
      <c r="A1748" s="5" t="s">
        <v>11786</v>
      </c>
      <c r="B1748" s="6" t="str">
        <f>image("https://storage.googleapis.com/acdb/photos/BromideNpcNmlKal09_Remake_2_0.png")</f>
        <v/>
      </c>
      <c r="C1748" s="5" t="s">
        <v>688</v>
      </c>
      <c r="D1748" s="5" t="s">
        <v>1327</v>
      </c>
      <c r="E1748" s="5" t="s">
        <v>34</v>
      </c>
      <c r="F1748" s="5" t="s">
        <v>34</v>
      </c>
      <c r="G1748" s="5" t="s">
        <v>36</v>
      </c>
      <c r="H1748" s="5" t="s">
        <v>35</v>
      </c>
      <c r="I1748" s="6">
        <v>1.0</v>
      </c>
      <c r="J1748" s="6" t="s">
        <v>37</v>
      </c>
      <c r="K1748" s="6">
        <v>10.0</v>
      </c>
      <c r="L1748" s="5"/>
      <c r="M1748" s="5"/>
      <c r="N1748" s="6" t="s">
        <v>40</v>
      </c>
      <c r="O1748" s="5" t="s">
        <v>5363</v>
      </c>
      <c r="P1748" s="6" t="s">
        <v>42</v>
      </c>
      <c r="Q1748" s="5" t="s">
        <v>1237</v>
      </c>
      <c r="R1748" s="5" t="s">
        <v>11796</v>
      </c>
      <c r="S1748" s="6" t="s">
        <v>67</v>
      </c>
      <c r="T1748" s="6">
        <v>6562.0</v>
      </c>
    </row>
    <row r="1749" ht="56.25" customHeight="1">
      <c r="A1749" s="5" t="s">
        <v>11786</v>
      </c>
      <c r="B1749" s="6" t="str">
        <f>image("https://storage.googleapis.com/acdb/photos/BromideNpcNmlKal09_Remake_3_0.png")</f>
        <v/>
      </c>
      <c r="C1749" s="5" t="s">
        <v>57</v>
      </c>
      <c r="D1749" s="5" t="s">
        <v>1327</v>
      </c>
      <c r="E1749" s="5" t="s">
        <v>34</v>
      </c>
      <c r="F1749" s="5" t="s">
        <v>34</v>
      </c>
      <c r="G1749" s="5" t="s">
        <v>36</v>
      </c>
      <c r="H1749" s="5" t="s">
        <v>35</v>
      </c>
      <c r="I1749" s="6">
        <v>1.0</v>
      </c>
      <c r="J1749" s="6" t="s">
        <v>37</v>
      </c>
      <c r="K1749" s="6">
        <v>10.0</v>
      </c>
      <c r="L1749" s="5"/>
      <c r="M1749" s="5"/>
      <c r="N1749" s="6" t="s">
        <v>40</v>
      </c>
      <c r="O1749" s="5" t="s">
        <v>5363</v>
      </c>
      <c r="P1749" s="6" t="s">
        <v>42</v>
      </c>
      <c r="Q1749" s="5" t="s">
        <v>1237</v>
      </c>
      <c r="R1749" s="5" t="s">
        <v>11798</v>
      </c>
      <c r="S1749" s="6" t="s">
        <v>71</v>
      </c>
      <c r="T1749" s="6">
        <v>6562.0</v>
      </c>
    </row>
    <row r="1750" ht="56.25" customHeight="1">
      <c r="A1750" s="5" t="s">
        <v>11786</v>
      </c>
      <c r="B1750" s="6" t="str">
        <f>image("https://storage.googleapis.com/acdb/photos/BromideNpcNmlKal09_Remake_4_0.png")</f>
        <v/>
      </c>
      <c r="C1750" s="5" t="s">
        <v>1167</v>
      </c>
      <c r="D1750" s="5" t="s">
        <v>1327</v>
      </c>
      <c r="E1750" s="5" t="s">
        <v>34</v>
      </c>
      <c r="F1750" s="5" t="s">
        <v>34</v>
      </c>
      <c r="G1750" s="5" t="s">
        <v>36</v>
      </c>
      <c r="H1750" s="5" t="s">
        <v>35</v>
      </c>
      <c r="I1750" s="6">
        <v>1.0</v>
      </c>
      <c r="J1750" s="6" t="s">
        <v>37</v>
      </c>
      <c r="K1750" s="6">
        <v>10.0</v>
      </c>
      <c r="L1750" s="5"/>
      <c r="M1750" s="5"/>
      <c r="N1750" s="6" t="s">
        <v>40</v>
      </c>
      <c r="O1750" s="5" t="s">
        <v>5363</v>
      </c>
      <c r="P1750" s="6" t="s">
        <v>42</v>
      </c>
      <c r="Q1750" s="5" t="s">
        <v>1237</v>
      </c>
      <c r="R1750" s="5" t="s">
        <v>11801</v>
      </c>
      <c r="S1750" s="6" t="s">
        <v>75</v>
      </c>
      <c r="T1750" s="6">
        <v>6562.0</v>
      </c>
    </row>
    <row r="1751" ht="56.25" customHeight="1">
      <c r="A1751" s="5" t="s">
        <v>11786</v>
      </c>
      <c r="B1751" s="6" t="str">
        <f>image("https://storage.googleapis.com/acdb/photos/BromideNpcNmlKal09_Remake_5_0.png")</f>
        <v/>
      </c>
      <c r="C1751" s="5" t="s">
        <v>58</v>
      </c>
      <c r="D1751" s="5" t="s">
        <v>1327</v>
      </c>
      <c r="E1751" s="5" t="s">
        <v>34</v>
      </c>
      <c r="F1751" s="5" t="s">
        <v>34</v>
      </c>
      <c r="G1751" s="5" t="s">
        <v>36</v>
      </c>
      <c r="H1751" s="5" t="s">
        <v>35</v>
      </c>
      <c r="I1751" s="6">
        <v>1.0</v>
      </c>
      <c r="J1751" s="6" t="s">
        <v>37</v>
      </c>
      <c r="K1751" s="6">
        <v>10.0</v>
      </c>
      <c r="L1751" s="5"/>
      <c r="M1751" s="5"/>
      <c r="N1751" s="6" t="s">
        <v>40</v>
      </c>
      <c r="O1751" s="5" t="s">
        <v>5363</v>
      </c>
      <c r="P1751" s="6" t="s">
        <v>42</v>
      </c>
      <c r="Q1751" s="5" t="s">
        <v>1237</v>
      </c>
      <c r="R1751" s="5" t="s">
        <v>11803</v>
      </c>
      <c r="S1751" s="6" t="s">
        <v>79</v>
      </c>
      <c r="T1751" s="6">
        <v>6562.0</v>
      </c>
    </row>
    <row r="1752" ht="56.25" customHeight="1">
      <c r="A1752" s="5" t="s">
        <v>11786</v>
      </c>
      <c r="B1752" s="6" t="str">
        <f>image("https://storage.googleapis.com/acdb/photos/BromideNpcNmlKal09_Remake_6_0.png")</f>
        <v/>
      </c>
      <c r="C1752" s="5" t="s">
        <v>146</v>
      </c>
      <c r="D1752" s="5" t="s">
        <v>1327</v>
      </c>
      <c r="E1752" s="5" t="s">
        <v>34</v>
      </c>
      <c r="F1752" s="5" t="s">
        <v>34</v>
      </c>
      <c r="G1752" s="5" t="s">
        <v>36</v>
      </c>
      <c r="H1752" s="5" t="s">
        <v>35</v>
      </c>
      <c r="I1752" s="6">
        <v>1.0</v>
      </c>
      <c r="J1752" s="6" t="s">
        <v>37</v>
      </c>
      <c r="K1752" s="6">
        <v>10.0</v>
      </c>
      <c r="L1752" s="5"/>
      <c r="M1752" s="5"/>
      <c r="N1752" s="6" t="s">
        <v>40</v>
      </c>
      <c r="O1752" s="5" t="s">
        <v>5363</v>
      </c>
      <c r="P1752" s="6" t="s">
        <v>42</v>
      </c>
      <c r="Q1752" s="5" t="s">
        <v>1237</v>
      </c>
      <c r="R1752" s="5" t="s">
        <v>11806</v>
      </c>
      <c r="S1752" s="6" t="s">
        <v>86</v>
      </c>
      <c r="T1752" s="6">
        <v>6562.0</v>
      </c>
    </row>
    <row r="1753" ht="56.25" customHeight="1">
      <c r="A1753" s="5" t="s">
        <v>11786</v>
      </c>
      <c r="B1753" s="6" t="str">
        <f>image("https://storage.googleapis.com/acdb/photos/BromideNpcNmlKal09_Remake_7_0.png")</f>
        <v/>
      </c>
      <c r="C1753" s="5" t="s">
        <v>151</v>
      </c>
      <c r="D1753" s="5" t="s">
        <v>1327</v>
      </c>
      <c r="E1753" s="5" t="s">
        <v>34</v>
      </c>
      <c r="F1753" s="5" t="s">
        <v>34</v>
      </c>
      <c r="G1753" s="5" t="s">
        <v>36</v>
      </c>
      <c r="H1753" s="5" t="s">
        <v>35</v>
      </c>
      <c r="I1753" s="6">
        <v>1.0</v>
      </c>
      <c r="J1753" s="6" t="s">
        <v>37</v>
      </c>
      <c r="K1753" s="6">
        <v>10.0</v>
      </c>
      <c r="L1753" s="5"/>
      <c r="M1753" s="5"/>
      <c r="N1753" s="6" t="s">
        <v>40</v>
      </c>
      <c r="O1753" s="5" t="s">
        <v>5363</v>
      </c>
      <c r="P1753" s="6" t="s">
        <v>42</v>
      </c>
      <c r="Q1753" s="5" t="s">
        <v>1237</v>
      </c>
      <c r="R1753" s="5" t="s">
        <v>11809</v>
      </c>
      <c r="S1753" s="6" t="s">
        <v>208</v>
      </c>
      <c r="T1753" s="6">
        <v>6562.0</v>
      </c>
    </row>
    <row r="1754" ht="56.25" customHeight="1">
      <c r="A1754" s="5" t="s">
        <v>11810</v>
      </c>
      <c r="B1754" s="6" t="str">
        <f>image("https://storage.googleapis.com/acdb/photos/BromideNpcNmlDog14_Remake_0_0.png")</f>
        <v/>
      </c>
      <c r="C1754" s="5" t="s">
        <v>366</v>
      </c>
      <c r="D1754" s="5" t="s">
        <v>1327</v>
      </c>
      <c r="E1754" s="5" t="s">
        <v>34</v>
      </c>
      <c r="F1754" s="5" t="s">
        <v>34</v>
      </c>
      <c r="G1754" s="5" t="s">
        <v>36</v>
      </c>
      <c r="H1754" s="5" t="s">
        <v>35</v>
      </c>
      <c r="I1754" s="6">
        <v>1.0</v>
      </c>
      <c r="J1754" s="6" t="s">
        <v>37</v>
      </c>
      <c r="K1754" s="6">
        <v>10.0</v>
      </c>
      <c r="L1754" s="5"/>
      <c r="M1754" s="5"/>
      <c r="N1754" s="6" t="s">
        <v>40</v>
      </c>
      <c r="O1754" s="5" t="s">
        <v>5363</v>
      </c>
      <c r="P1754" s="6" t="s">
        <v>42</v>
      </c>
      <c r="Q1754" s="5" t="s">
        <v>1237</v>
      </c>
      <c r="R1754" s="5" t="s">
        <v>11814</v>
      </c>
      <c r="S1754" s="6" t="s">
        <v>50</v>
      </c>
      <c r="T1754" s="6">
        <v>6448.0</v>
      </c>
    </row>
    <row r="1755" ht="56.25" customHeight="1">
      <c r="A1755" s="5" t="s">
        <v>11810</v>
      </c>
      <c r="B1755" s="6" t="str">
        <f>image("https://storage.googleapis.com/acdb/photos/BromideNpcNmlDog14_Remake_1_0.png")</f>
        <v/>
      </c>
      <c r="C1755" s="5" t="s">
        <v>1132</v>
      </c>
      <c r="D1755" s="5" t="s">
        <v>1327</v>
      </c>
      <c r="E1755" s="5" t="s">
        <v>34</v>
      </c>
      <c r="F1755" s="5" t="s">
        <v>34</v>
      </c>
      <c r="G1755" s="5" t="s">
        <v>36</v>
      </c>
      <c r="H1755" s="5" t="s">
        <v>35</v>
      </c>
      <c r="I1755" s="6">
        <v>1.0</v>
      </c>
      <c r="J1755" s="6" t="s">
        <v>37</v>
      </c>
      <c r="K1755" s="6">
        <v>10.0</v>
      </c>
      <c r="L1755" s="5"/>
      <c r="M1755" s="5"/>
      <c r="N1755" s="6" t="s">
        <v>40</v>
      </c>
      <c r="O1755" s="5" t="s">
        <v>5363</v>
      </c>
      <c r="P1755" s="6" t="s">
        <v>42</v>
      </c>
      <c r="Q1755" s="5" t="s">
        <v>1237</v>
      </c>
      <c r="R1755" s="5" t="s">
        <v>11817</v>
      </c>
      <c r="S1755" s="6" t="s">
        <v>56</v>
      </c>
      <c r="T1755" s="6">
        <v>6448.0</v>
      </c>
    </row>
    <row r="1756" ht="56.25" customHeight="1">
      <c r="A1756" s="5" t="s">
        <v>11810</v>
      </c>
      <c r="B1756" s="6" t="str">
        <f>image("https://storage.googleapis.com/acdb/photos/BromideNpcNmlDog14_Remake_2_0.png")</f>
        <v/>
      </c>
      <c r="C1756" s="5" t="s">
        <v>688</v>
      </c>
      <c r="D1756" s="5" t="s">
        <v>1327</v>
      </c>
      <c r="E1756" s="5" t="s">
        <v>34</v>
      </c>
      <c r="F1756" s="5" t="s">
        <v>34</v>
      </c>
      <c r="G1756" s="5" t="s">
        <v>36</v>
      </c>
      <c r="H1756" s="5" t="s">
        <v>35</v>
      </c>
      <c r="I1756" s="6">
        <v>1.0</v>
      </c>
      <c r="J1756" s="6" t="s">
        <v>37</v>
      </c>
      <c r="K1756" s="6">
        <v>10.0</v>
      </c>
      <c r="L1756" s="5"/>
      <c r="M1756" s="5"/>
      <c r="N1756" s="6" t="s">
        <v>40</v>
      </c>
      <c r="O1756" s="5" t="s">
        <v>5363</v>
      </c>
      <c r="P1756" s="6" t="s">
        <v>42</v>
      </c>
      <c r="Q1756" s="5" t="s">
        <v>1237</v>
      </c>
      <c r="R1756" s="5" t="s">
        <v>11820</v>
      </c>
      <c r="S1756" s="6" t="s">
        <v>67</v>
      </c>
      <c r="T1756" s="6">
        <v>6448.0</v>
      </c>
    </row>
    <row r="1757" ht="56.25" customHeight="1">
      <c r="A1757" s="5" t="s">
        <v>11810</v>
      </c>
      <c r="B1757" s="6" t="str">
        <f>image("https://storage.googleapis.com/acdb/photos/BromideNpcNmlDog14_Remake_3_0.png")</f>
        <v/>
      </c>
      <c r="C1757" s="5" t="s">
        <v>57</v>
      </c>
      <c r="D1757" s="5" t="s">
        <v>1327</v>
      </c>
      <c r="E1757" s="5" t="s">
        <v>34</v>
      </c>
      <c r="F1757" s="5" t="s">
        <v>34</v>
      </c>
      <c r="G1757" s="5" t="s">
        <v>36</v>
      </c>
      <c r="H1757" s="5" t="s">
        <v>35</v>
      </c>
      <c r="I1757" s="6">
        <v>1.0</v>
      </c>
      <c r="J1757" s="6" t="s">
        <v>37</v>
      </c>
      <c r="K1757" s="6">
        <v>10.0</v>
      </c>
      <c r="L1757" s="5"/>
      <c r="M1757" s="5"/>
      <c r="N1757" s="6" t="s">
        <v>40</v>
      </c>
      <c r="O1757" s="5" t="s">
        <v>5363</v>
      </c>
      <c r="P1757" s="6" t="s">
        <v>42</v>
      </c>
      <c r="Q1757" s="5" t="s">
        <v>1237</v>
      </c>
      <c r="R1757" s="5" t="s">
        <v>11822</v>
      </c>
      <c r="S1757" s="6" t="s">
        <v>71</v>
      </c>
      <c r="T1757" s="6">
        <v>6448.0</v>
      </c>
    </row>
    <row r="1758" ht="56.25" customHeight="1">
      <c r="A1758" s="5" t="s">
        <v>11810</v>
      </c>
      <c r="B1758" s="6" t="str">
        <f>image("https://storage.googleapis.com/acdb/photos/BromideNpcNmlDog14_Remake_4_0.png")</f>
        <v/>
      </c>
      <c r="C1758" s="5" t="s">
        <v>1167</v>
      </c>
      <c r="D1758" s="5" t="s">
        <v>1327</v>
      </c>
      <c r="E1758" s="5" t="s">
        <v>34</v>
      </c>
      <c r="F1758" s="5" t="s">
        <v>34</v>
      </c>
      <c r="G1758" s="5" t="s">
        <v>36</v>
      </c>
      <c r="H1758" s="5" t="s">
        <v>35</v>
      </c>
      <c r="I1758" s="6">
        <v>1.0</v>
      </c>
      <c r="J1758" s="6" t="s">
        <v>37</v>
      </c>
      <c r="K1758" s="6">
        <v>10.0</v>
      </c>
      <c r="L1758" s="5"/>
      <c r="M1758" s="5"/>
      <c r="N1758" s="6" t="s">
        <v>40</v>
      </c>
      <c r="O1758" s="5" t="s">
        <v>5363</v>
      </c>
      <c r="P1758" s="6" t="s">
        <v>42</v>
      </c>
      <c r="Q1758" s="5" t="s">
        <v>1237</v>
      </c>
      <c r="R1758" s="5" t="s">
        <v>11825</v>
      </c>
      <c r="S1758" s="6" t="s">
        <v>75</v>
      </c>
      <c r="T1758" s="6">
        <v>6448.0</v>
      </c>
    </row>
    <row r="1759" ht="56.25" customHeight="1">
      <c r="A1759" s="5" t="s">
        <v>11810</v>
      </c>
      <c r="B1759" s="6" t="str">
        <f>image("https://storage.googleapis.com/acdb/photos/BromideNpcNmlDog14_Remake_5_0.png")</f>
        <v/>
      </c>
      <c r="C1759" s="5" t="s">
        <v>58</v>
      </c>
      <c r="D1759" s="5" t="s">
        <v>1327</v>
      </c>
      <c r="E1759" s="5" t="s">
        <v>34</v>
      </c>
      <c r="F1759" s="5" t="s">
        <v>34</v>
      </c>
      <c r="G1759" s="5" t="s">
        <v>36</v>
      </c>
      <c r="H1759" s="5" t="s">
        <v>35</v>
      </c>
      <c r="I1759" s="6">
        <v>1.0</v>
      </c>
      <c r="J1759" s="6" t="s">
        <v>37</v>
      </c>
      <c r="K1759" s="6">
        <v>10.0</v>
      </c>
      <c r="L1759" s="5"/>
      <c r="M1759" s="5"/>
      <c r="N1759" s="6" t="s">
        <v>40</v>
      </c>
      <c r="O1759" s="5" t="s">
        <v>5363</v>
      </c>
      <c r="P1759" s="6" t="s">
        <v>42</v>
      </c>
      <c r="Q1759" s="5" t="s">
        <v>1237</v>
      </c>
      <c r="R1759" s="5" t="s">
        <v>11827</v>
      </c>
      <c r="S1759" s="6" t="s">
        <v>79</v>
      </c>
      <c r="T1759" s="6">
        <v>6448.0</v>
      </c>
    </row>
    <row r="1760" ht="56.25" customHeight="1">
      <c r="A1760" s="5" t="s">
        <v>11810</v>
      </c>
      <c r="B1760" s="6" t="str">
        <f>image("https://storage.googleapis.com/acdb/photos/BromideNpcNmlDog14_Remake_6_0.png")</f>
        <v/>
      </c>
      <c r="C1760" s="5" t="s">
        <v>146</v>
      </c>
      <c r="D1760" s="5" t="s">
        <v>1327</v>
      </c>
      <c r="E1760" s="5" t="s">
        <v>34</v>
      </c>
      <c r="F1760" s="5" t="s">
        <v>34</v>
      </c>
      <c r="G1760" s="5" t="s">
        <v>36</v>
      </c>
      <c r="H1760" s="5" t="s">
        <v>35</v>
      </c>
      <c r="I1760" s="6">
        <v>1.0</v>
      </c>
      <c r="J1760" s="6" t="s">
        <v>37</v>
      </c>
      <c r="K1760" s="6">
        <v>10.0</v>
      </c>
      <c r="L1760" s="5"/>
      <c r="M1760" s="5"/>
      <c r="N1760" s="6" t="s">
        <v>40</v>
      </c>
      <c r="O1760" s="5" t="s">
        <v>5363</v>
      </c>
      <c r="P1760" s="6" t="s">
        <v>42</v>
      </c>
      <c r="Q1760" s="5" t="s">
        <v>1237</v>
      </c>
      <c r="R1760" s="5" t="s">
        <v>11830</v>
      </c>
      <c r="S1760" s="6" t="s">
        <v>86</v>
      </c>
      <c r="T1760" s="6">
        <v>6448.0</v>
      </c>
    </row>
    <row r="1761" ht="56.25" customHeight="1">
      <c r="A1761" s="5" t="s">
        <v>11810</v>
      </c>
      <c r="B1761" s="6" t="str">
        <f>image("https://storage.googleapis.com/acdb/photos/BromideNpcNmlDog14_Remake_7_0.png")</f>
        <v/>
      </c>
      <c r="C1761" s="5" t="s">
        <v>151</v>
      </c>
      <c r="D1761" s="5" t="s">
        <v>1327</v>
      </c>
      <c r="E1761" s="5" t="s">
        <v>34</v>
      </c>
      <c r="F1761" s="5" t="s">
        <v>34</v>
      </c>
      <c r="G1761" s="5" t="s">
        <v>36</v>
      </c>
      <c r="H1761" s="5" t="s">
        <v>35</v>
      </c>
      <c r="I1761" s="6">
        <v>1.0</v>
      </c>
      <c r="J1761" s="6" t="s">
        <v>37</v>
      </c>
      <c r="K1761" s="6">
        <v>10.0</v>
      </c>
      <c r="L1761" s="5"/>
      <c r="M1761" s="5"/>
      <c r="N1761" s="6" t="s">
        <v>40</v>
      </c>
      <c r="O1761" s="5" t="s">
        <v>5363</v>
      </c>
      <c r="P1761" s="6" t="s">
        <v>42</v>
      </c>
      <c r="Q1761" s="5" t="s">
        <v>1237</v>
      </c>
      <c r="R1761" s="5" t="s">
        <v>11831</v>
      </c>
      <c r="S1761" s="6" t="s">
        <v>208</v>
      </c>
      <c r="T1761" s="6">
        <v>6448.0</v>
      </c>
    </row>
    <row r="1762" ht="56.25" customHeight="1">
      <c r="A1762" s="5" t="s">
        <v>11833</v>
      </c>
      <c r="B1762" s="6" t="str">
        <f>image("https://storage.googleapis.com/acdb/photos/BromideNpcNmlDog09_Remake_0_0.png")</f>
        <v/>
      </c>
      <c r="C1762" s="5" t="s">
        <v>366</v>
      </c>
      <c r="D1762" s="5" t="s">
        <v>1327</v>
      </c>
      <c r="E1762" s="5" t="s">
        <v>34</v>
      </c>
      <c r="F1762" s="5" t="s">
        <v>34</v>
      </c>
      <c r="G1762" s="5" t="s">
        <v>36</v>
      </c>
      <c r="H1762" s="5" t="s">
        <v>35</v>
      </c>
      <c r="I1762" s="6">
        <v>1.0</v>
      </c>
      <c r="J1762" s="6" t="s">
        <v>37</v>
      </c>
      <c r="K1762" s="6">
        <v>10.0</v>
      </c>
      <c r="L1762" s="5"/>
      <c r="M1762" s="5"/>
      <c r="N1762" s="6" t="s">
        <v>40</v>
      </c>
      <c r="O1762" s="5" t="s">
        <v>5363</v>
      </c>
      <c r="P1762" s="6" t="s">
        <v>42</v>
      </c>
      <c r="Q1762" s="5" t="s">
        <v>1237</v>
      </c>
      <c r="R1762" s="5" t="s">
        <v>11836</v>
      </c>
      <c r="S1762" s="6" t="s">
        <v>50</v>
      </c>
      <c r="T1762" s="6">
        <v>6446.0</v>
      </c>
    </row>
    <row r="1763" ht="56.25" customHeight="1">
      <c r="A1763" s="5" t="s">
        <v>11833</v>
      </c>
      <c r="B1763" s="6" t="str">
        <f>image("https://storage.googleapis.com/acdb/photos/BromideNpcNmlDog09_Remake_1_0.png")</f>
        <v/>
      </c>
      <c r="C1763" s="5" t="s">
        <v>1132</v>
      </c>
      <c r="D1763" s="5" t="s">
        <v>1327</v>
      </c>
      <c r="E1763" s="5" t="s">
        <v>34</v>
      </c>
      <c r="F1763" s="5" t="s">
        <v>34</v>
      </c>
      <c r="G1763" s="5" t="s">
        <v>36</v>
      </c>
      <c r="H1763" s="5" t="s">
        <v>35</v>
      </c>
      <c r="I1763" s="6">
        <v>1.0</v>
      </c>
      <c r="J1763" s="6" t="s">
        <v>37</v>
      </c>
      <c r="K1763" s="6">
        <v>10.0</v>
      </c>
      <c r="L1763" s="5"/>
      <c r="M1763" s="5"/>
      <c r="N1763" s="6" t="s">
        <v>40</v>
      </c>
      <c r="O1763" s="5" t="s">
        <v>5363</v>
      </c>
      <c r="P1763" s="6" t="s">
        <v>42</v>
      </c>
      <c r="Q1763" s="5" t="s">
        <v>1237</v>
      </c>
      <c r="R1763" s="5" t="s">
        <v>11840</v>
      </c>
      <c r="S1763" s="6" t="s">
        <v>56</v>
      </c>
      <c r="T1763" s="6">
        <v>6446.0</v>
      </c>
    </row>
    <row r="1764" ht="56.25" customHeight="1">
      <c r="A1764" s="5" t="s">
        <v>11833</v>
      </c>
      <c r="B1764" s="6" t="str">
        <f>image("https://storage.googleapis.com/acdb/photos/BromideNpcNmlDog09_Remake_2_0.png")</f>
        <v/>
      </c>
      <c r="C1764" s="5" t="s">
        <v>688</v>
      </c>
      <c r="D1764" s="5" t="s">
        <v>1327</v>
      </c>
      <c r="E1764" s="5" t="s">
        <v>34</v>
      </c>
      <c r="F1764" s="5" t="s">
        <v>34</v>
      </c>
      <c r="G1764" s="5" t="s">
        <v>36</v>
      </c>
      <c r="H1764" s="5" t="s">
        <v>35</v>
      </c>
      <c r="I1764" s="6">
        <v>1.0</v>
      </c>
      <c r="J1764" s="6" t="s">
        <v>37</v>
      </c>
      <c r="K1764" s="6">
        <v>10.0</v>
      </c>
      <c r="L1764" s="5"/>
      <c r="M1764" s="5"/>
      <c r="N1764" s="6" t="s">
        <v>40</v>
      </c>
      <c r="O1764" s="5" t="s">
        <v>5363</v>
      </c>
      <c r="P1764" s="6" t="s">
        <v>42</v>
      </c>
      <c r="Q1764" s="5" t="s">
        <v>1237</v>
      </c>
      <c r="R1764" s="5" t="s">
        <v>11842</v>
      </c>
      <c r="S1764" s="6" t="s">
        <v>67</v>
      </c>
      <c r="T1764" s="6">
        <v>6446.0</v>
      </c>
    </row>
    <row r="1765" ht="56.25" customHeight="1">
      <c r="A1765" s="5" t="s">
        <v>11833</v>
      </c>
      <c r="B1765" s="6" t="str">
        <f>image("https://storage.googleapis.com/acdb/photos/BromideNpcNmlDog09_Remake_3_0.png")</f>
        <v/>
      </c>
      <c r="C1765" s="5" t="s">
        <v>57</v>
      </c>
      <c r="D1765" s="5" t="s">
        <v>1327</v>
      </c>
      <c r="E1765" s="5" t="s">
        <v>34</v>
      </c>
      <c r="F1765" s="5" t="s">
        <v>34</v>
      </c>
      <c r="G1765" s="5" t="s">
        <v>36</v>
      </c>
      <c r="H1765" s="5" t="s">
        <v>35</v>
      </c>
      <c r="I1765" s="6">
        <v>1.0</v>
      </c>
      <c r="J1765" s="6" t="s">
        <v>37</v>
      </c>
      <c r="K1765" s="6">
        <v>10.0</v>
      </c>
      <c r="L1765" s="5"/>
      <c r="M1765" s="5"/>
      <c r="N1765" s="6" t="s">
        <v>40</v>
      </c>
      <c r="O1765" s="5" t="s">
        <v>5363</v>
      </c>
      <c r="P1765" s="6" t="s">
        <v>42</v>
      </c>
      <c r="Q1765" s="5" t="s">
        <v>1237</v>
      </c>
      <c r="R1765" s="5" t="s">
        <v>11845</v>
      </c>
      <c r="S1765" s="6" t="s">
        <v>71</v>
      </c>
      <c r="T1765" s="6">
        <v>6446.0</v>
      </c>
    </row>
    <row r="1766" ht="56.25" customHeight="1">
      <c r="A1766" s="5" t="s">
        <v>11833</v>
      </c>
      <c r="B1766" s="6" t="str">
        <f>image("https://storage.googleapis.com/acdb/photos/BromideNpcNmlDog09_Remake_4_0.png")</f>
        <v/>
      </c>
      <c r="C1766" s="5" t="s">
        <v>1167</v>
      </c>
      <c r="D1766" s="5" t="s">
        <v>1327</v>
      </c>
      <c r="E1766" s="5" t="s">
        <v>34</v>
      </c>
      <c r="F1766" s="5" t="s">
        <v>34</v>
      </c>
      <c r="G1766" s="5" t="s">
        <v>36</v>
      </c>
      <c r="H1766" s="5" t="s">
        <v>35</v>
      </c>
      <c r="I1766" s="6">
        <v>1.0</v>
      </c>
      <c r="J1766" s="6" t="s">
        <v>37</v>
      </c>
      <c r="K1766" s="6">
        <v>10.0</v>
      </c>
      <c r="L1766" s="5"/>
      <c r="M1766" s="5"/>
      <c r="N1766" s="6" t="s">
        <v>40</v>
      </c>
      <c r="O1766" s="5" t="s">
        <v>5363</v>
      </c>
      <c r="P1766" s="6" t="s">
        <v>42</v>
      </c>
      <c r="Q1766" s="5" t="s">
        <v>1237</v>
      </c>
      <c r="R1766" s="5" t="s">
        <v>11847</v>
      </c>
      <c r="S1766" s="6" t="s">
        <v>75</v>
      </c>
      <c r="T1766" s="6">
        <v>6446.0</v>
      </c>
    </row>
    <row r="1767" ht="56.25" customHeight="1">
      <c r="A1767" s="5" t="s">
        <v>11833</v>
      </c>
      <c r="B1767" s="6" t="str">
        <f>image("https://storage.googleapis.com/acdb/photos/BromideNpcNmlDog09_Remake_5_0.png")</f>
        <v/>
      </c>
      <c r="C1767" s="5" t="s">
        <v>58</v>
      </c>
      <c r="D1767" s="5" t="s">
        <v>1327</v>
      </c>
      <c r="E1767" s="5" t="s">
        <v>34</v>
      </c>
      <c r="F1767" s="5" t="s">
        <v>34</v>
      </c>
      <c r="G1767" s="5" t="s">
        <v>36</v>
      </c>
      <c r="H1767" s="5" t="s">
        <v>35</v>
      </c>
      <c r="I1767" s="6">
        <v>1.0</v>
      </c>
      <c r="J1767" s="6" t="s">
        <v>37</v>
      </c>
      <c r="K1767" s="6">
        <v>10.0</v>
      </c>
      <c r="L1767" s="5"/>
      <c r="M1767" s="5"/>
      <c r="N1767" s="6" t="s">
        <v>40</v>
      </c>
      <c r="O1767" s="5" t="s">
        <v>5363</v>
      </c>
      <c r="P1767" s="6" t="s">
        <v>42</v>
      </c>
      <c r="Q1767" s="5" t="s">
        <v>1237</v>
      </c>
      <c r="R1767" s="5" t="s">
        <v>11850</v>
      </c>
      <c r="S1767" s="6" t="s">
        <v>79</v>
      </c>
      <c r="T1767" s="6">
        <v>6446.0</v>
      </c>
    </row>
    <row r="1768" ht="56.25" customHeight="1">
      <c r="A1768" s="5" t="s">
        <v>11833</v>
      </c>
      <c r="B1768" s="6" t="str">
        <f>image("https://storage.googleapis.com/acdb/photos/BromideNpcNmlDog09_Remake_6_0.png")</f>
        <v/>
      </c>
      <c r="C1768" s="5" t="s">
        <v>146</v>
      </c>
      <c r="D1768" s="5" t="s">
        <v>1327</v>
      </c>
      <c r="E1768" s="5" t="s">
        <v>34</v>
      </c>
      <c r="F1768" s="5" t="s">
        <v>34</v>
      </c>
      <c r="G1768" s="5" t="s">
        <v>36</v>
      </c>
      <c r="H1768" s="5" t="s">
        <v>35</v>
      </c>
      <c r="I1768" s="6">
        <v>1.0</v>
      </c>
      <c r="J1768" s="6" t="s">
        <v>37</v>
      </c>
      <c r="K1768" s="6">
        <v>10.0</v>
      </c>
      <c r="L1768" s="5"/>
      <c r="M1768" s="5"/>
      <c r="N1768" s="6" t="s">
        <v>40</v>
      </c>
      <c r="O1768" s="5" t="s">
        <v>5363</v>
      </c>
      <c r="P1768" s="6" t="s">
        <v>42</v>
      </c>
      <c r="Q1768" s="5" t="s">
        <v>1237</v>
      </c>
      <c r="R1768" s="5" t="s">
        <v>11853</v>
      </c>
      <c r="S1768" s="6" t="s">
        <v>86</v>
      </c>
      <c r="T1768" s="6">
        <v>6446.0</v>
      </c>
    </row>
    <row r="1769" ht="56.25" customHeight="1">
      <c r="A1769" s="5" t="s">
        <v>11833</v>
      </c>
      <c r="B1769" s="6" t="str">
        <f>image("https://storage.googleapis.com/acdb/photos/BromideNpcNmlDog09_Remake_7_0.png")</f>
        <v/>
      </c>
      <c r="C1769" s="5" t="s">
        <v>151</v>
      </c>
      <c r="D1769" s="5" t="s">
        <v>1327</v>
      </c>
      <c r="E1769" s="5" t="s">
        <v>34</v>
      </c>
      <c r="F1769" s="5" t="s">
        <v>34</v>
      </c>
      <c r="G1769" s="5" t="s">
        <v>36</v>
      </c>
      <c r="H1769" s="5" t="s">
        <v>35</v>
      </c>
      <c r="I1769" s="6">
        <v>1.0</v>
      </c>
      <c r="J1769" s="6" t="s">
        <v>37</v>
      </c>
      <c r="K1769" s="6">
        <v>10.0</v>
      </c>
      <c r="L1769" s="5"/>
      <c r="M1769" s="5"/>
      <c r="N1769" s="6" t="s">
        <v>40</v>
      </c>
      <c r="O1769" s="5" t="s">
        <v>5363</v>
      </c>
      <c r="P1769" s="6" t="s">
        <v>42</v>
      </c>
      <c r="Q1769" s="5" t="s">
        <v>1237</v>
      </c>
      <c r="R1769" s="5" t="s">
        <v>11855</v>
      </c>
      <c r="S1769" s="6" t="s">
        <v>208</v>
      </c>
      <c r="T1769" s="6">
        <v>6446.0</v>
      </c>
    </row>
    <row r="1770" ht="56.25" customHeight="1">
      <c r="A1770" s="5" t="s">
        <v>11856</v>
      </c>
      <c r="B1770" s="6" t="str">
        <f>image("https://storage.googleapis.com/acdb/photos/BromideNpcNmlDuk03_Remake_0_0.png")</f>
        <v/>
      </c>
      <c r="C1770" s="5" t="s">
        <v>366</v>
      </c>
      <c r="D1770" s="5" t="s">
        <v>1327</v>
      </c>
      <c r="E1770" s="5" t="s">
        <v>34</v>
      </c>
      <c r="F1770" s="5" t="s">
        <v>34</v>
      </c>
      <c r="G1770" s="5" t="s">
        <v>36</v>
      </c>
      <c r="H1770" s="5" t="s">
        <v>35</v>
      </c>
      <c r="I1770" s="6">
        <v>1.0</v>
      </c>
      <c r="J1770" s="6" t="s">
        <v>37</v>
      </c>
      <c r="K1770" s="6">
        <v>10.0</v>
      </c>
      <c r="L1770" s="5"/>
      <c r="M1770" s="5"/>
      <c r="N1770" s="6" t="s">
        <v>40</v>
      </c>
      <c r="O1770" s="5" t="s">
        <v>5363</v>
      </c>
      <c r="P1770" s="6" t="s">
        <v>42</v>
      </c>
      <c r="Q1770" s="5" t="s">
        <v>1237</v>
      </c>
      <c r="R1770" s="5" t="s">
        <v>11861</v>
      </c>
      <c r="S1770" s="6" t="s">
        <v>50</v>
      </c>
      <c r="T1770" s="6">
        <v>6457.0</v>
      </c>
    </row>
    <row r="1771" ht="56.25" customHeight="1">
      <c r="A1771" s="5" t="s">
        <v>11856</v>
      </c>
      <c r="B1771" s="6" t="str">
        <f>image("https://storage.googleapis.com/acdb/photos/BromideNpcNmlDuk03_Remake_1_0.png")</f>
        <v/>
      </c>
      <c r="C1771" s="5" t="s">
        <v>1132</v>
      </c>
      <c r="D1771" s="5" t="s">
        <v>1327</v>
      </c>
      <c r="E1771" s="5" t="s">
        <v>34</v>
      </c>
      <c r="F1771" s="5" t="s">
        <v>34</v>
      </c>
      <c r="G1771" s="5" t="s">
        <v>36</v>
      </c>
      <c r="H1771" s="5" t="s">
        <v>35</v>
      </c>
      <c r="I1771" s="6">
        <v>1.0</v>
      </c>
      <c r="J1771" s="6" t="s">
        <v>37</v>
      </c>
      <c r="K1771" s="6">
        <v>10.0</v>
      </c>
      <c r="L1771" s="5"/>
      <c r="M1771" s="5"/>
      <c r="N1771" s="6" t="s">
        <v>40</v>
      </c>
      <c r="O1771" s="5" t="s">
        <v>5363</v>
      </c>
      <c r="P1771" s="6" t="s">
        <v>42</v>
      </c>
      <c r="Q1771" s="5" t="s">
        <v>1237</v>
      </c>
      <c r="R1771" s="5" t="s">
        <v>11863</v>
      </c>
      <c r="S1771" s="6" t="s">
        <v>56</v>
      </c>
      <c r="T1771" s="6">
        <v>6457.0</v>
      </c>
    </row>
    <row r="1772" ht="56.25" customHeight="1">
      <c r="A1772" s="5" t="s">
        <v>11856</v>
      </c>
      <c r="B1772" s="6" t="str">
        <f>image("https://storage.googleapis.com/acdb/photos/BromideNpcNmlDuk03_Remake_2_0.png")</f>
        <v/>
      </c>
      <c r="C1772" s="5" t="s">
        <v>688</v>
      </c>
      <c r="D1772" s="5" t="s">
        <v>1327</v>
      </c>
      <c r="E1772" s="5" t="s">
        <v>34</v>
      </c>
      <c r="F1772" s="5" t="s">
        <v>34</v>
      </c>
      <c r="G1772" s="5" t="s">
        <v>36</v>
      </c>
      <c r="H1772" s="5" t="s">
        <v>35</v>
      </c>
      <c r="I1772" s="6">
        <v>1.0</v>
      </c>
      <c r="J1772" s="6" t="s">
        <v>37</v>
      </c>
      <c r="K1772" s="6">
        <v>10.0</v>
      </c>
      <c r="L1772" s="5"/>
      <c r="M1772" s="5"/>
      <c r="N1772" s="6" t="s">
        <v>40</v>
      </c>
      <c r="O1772" s="5" t="s">
        <v>5363</v>
      </c>
      <c r="P1772" s="6" t="s">
        <v>42</v>
      </c>
      <c r="Q1772" s="5" t="s">
        <v>1237</v>
      </c>
      <c r="R1772" s="5" t="s">
        <v>11865</v>
      </c>
      <c r="S1772" s="6" t="s">
        <v>67</v>
      </c>
      <c r="T1772" s="6">
        <v>6457.0</v>
      </c>
    </row>
    <row r="1773" ht="56.25" customHeight="1">
      <c r="A1773" s="5" t="s">
        <v>11856</v>
      </c>
      <c r="B1773" s="6" t="str">
        <f>image("https://storage.googleapis.com/acdb/photos/BromideNpcNmlDuk03_Remake_3_0.png")</f>
        <v/>
      </c>
      <c r="C1773" s="5" t="s">
        <v>57</v>
      </c>
      <c r="D1773" s="5" t="s">
        <v>1327</v>
      </c>
      <c r="E1773" s="5" t="s">
        <v>34</v>
      </c>
      <c r="F1773" s="5" t="s">
        <v>34</v>
      </c>
      <c r="G1773" s="5" t="s">
        <v>36</v>
      </c>
      <c r="H1773" s="5" t="s">
        <v>35</v>
      </c>
      <c r="I1773" s="6">
        <v>1.0</v>
      </c>
      <c r="J1773" s="6" t="s">
        <v>37</v>
      </c>
      <c r="K1773" s="6">
        <v>10.0</v>
      </c>
      <c r="L1773" s="5"/>
      <c r="M1773" s="5"/>
      <c r="N1773" s="6" t="s">
        <v>40</v>
      </c>
      <c r="O1773" s="5" t="s">
        <v>5363</v>
      </c>
      <c r="P1773" s="6" t="s">
        <v>42</v>
      </c>
      <c r="Q1773" s="5" t="s">
        <v>1237</v>
      </c>
      <c r="R1773" s="5" t="s">
        <v>11868</v>
      </c>
      <c r="S1773" s="6" t="s">
        <v>71</v>
      </c>
      <c r="T1773" s="6">
        <v>6457.0</v>
      </c>
    </row>
    <row r="1774" ht="56.25" customHeight="1">
      <c r="A1774" s="5" t="s">
        <v>11856</v>
      </c>
      <c r="B1774" s="6" t="str">
        <f>image("https://storage.googleapis.com/acdb/photos/BromideNpcNmlDuk03_Remake_4_0.png")</f>
        <v/>
      </c>
      <c r="C1774" s="5" t="s">
        <v>1167</v>
      </c>
      <c r="D1774" s="5" t="s">
        <v>1327</v>
      </c>
      <c r="E1774" s="5" t="s">
        <v>34</v>
      </c>
      <c r="F1774" s="5" t="s">
        <v>34</v>
      </c>
      <c r="G1774" s="5" t="s">
        <v>36</v>
      </c>
      <c r="H1774" s="5" t="s">
        <v>35</v>
      </c>
      <c r="I1774" s="6">
        <v>1.0</v>
      </c>
      <c r="J1774" s="6" t="s">
        <v>37</v>
      </c>
      <c r="K1774" s="6">
        <v>10.0</v>
      </c>
      <c r="L1774" s="5"/>
      <c r="M1774" s="5"/>
      <c r="N1774" s="6" t="s">
        <v>40</v>
      </c>
      <c r="O1774" s="5" t="s">
        <v>5363</v>
      </c>
      <c r="P1774" s="6" t="s">
        <v>42</v>
      </c>
      <c r="Q1774" s="5" t="s">
        <v>1237</v>
      </c>
      <c r="R1774" s="5" t="s">
        <v>11872</v>
      </c>
      <c r="S1774" s="6" t="s">
        <v>75</v>
      </c>
      <c r="T1774" s="6">
        <v>6457.0</v>
      </c>
    </row>
    <row r="1775" ht="56.25" customHeight="1">
      <c r="A1775" s="5" t="s">
        <v>11856</v>
      </c>
      <c r="B1775" s="6" t="str">
        <f>image("https://storage.googleapis.com/acdb/photos/BromideNpcNmlDuk03_Remake_5_0.png")</f>
        <v/>
      </c>
      <c r="C1775" s="5" t="s">
        <v>58</v>
      </c>
      <c r="D1775" s="5" t="s">
        <v>1327</v>
      </c>
      <c r="E1775" s="5" t="s">
        <v>34</v>
      </c>
      <c r="F1775" s="5" t="s">
        <v>34</v>
      </c>
      <c r="G1775" s="5" t="s">
        <v>36</v>
      </c>
      <c r="H1775" s="5" t="s">
        <v>35</v>
      </c>
      <c r="I1775" s="6">
        <v>1.0</v>
      </c>
      <c r="J1775" s="6" t="s">
        <v>37</v>
      </c>
      <c r="K1775" s="6">
        <v>10.0</v>
      </c>
      <c r="L1775" s="5"/>
      <c r="M1775" s="5"/>
      <c r="N1775" s="6" t="s">
        <v>40</v>
      </c>
      <c r="O1775" s="5" t="s">
        <v>5363</v>
      </c>
      <c r="P1775" s="6" t="s">
        <v>42</v>
      </c>
      <c r="Q1775" s="5" t="s">
        <v>1237</v>
      </c>
      <c r="R1775" s="5" t="s">
        <v>11874</v>
      </c>
      <c r="S1775" s="6" t="s">
        <v>79</v>
      </c>
      <c r="T1775" s="6">
        <v>6457.0</v>
      </c>
    </row>
    <row r="1776" ht="56.25" customHeight="1">
      <c r="A1776" s="5" t="s">
        <v>11856</v>
      </c>
      <c r="B1776" s="6" t="str">
        <f>image("https://storage.googleapis.com/acdb/photos/BromideNpcNmlDuk03_Remake_6_0.png")</f>
        <v/>
      </c>
      <c r="C1776" s="5" t="s">
        <v>146</v>
      </c>
      <c r="D1776" s="5" t="s">
        <v>1327</v>
      </c>
      <c r="E1776" s="5" t="s">
        <v>34</v>
      </c>
      <c r="F1776" s="5" t="s">
        <v>34</v>
      </c>
      <c r="G1776" s="5" t="s">
        <v>36</v>
      </c>
      <c r="H1776" s="5" t="s">
        <v>35</v>
      </c>
      <c r="I1776" s="6">
        <v>1.0</v>
      </c>
      <c r="J1776" s="6" t="s">
        <v>37</v>
      </c>
      <c r="K1776" s="6">
        <v>10.0</v>
      </c>
      <c r="L1776" s="5"/>
      <c r="M1776" s="5"/>
      <c r="N1776" s="6" t="s">
        <v>40</v>
      </c>
      <c r="O1776" s="5" t="s">
        <v>5363</v>
      </c>
      <c r="P1776" s="6" t="s">
        <v>42</v>
      </c>
      <c r="Q1776" s="5" t="s">
        <v>1237</v>
      </c>
      <c r="R1776" s="5" t="s">
        <v>11875</v>
      </c>
      <c r="S1776" s="6" t="s">
        <v>86</v>
      </c>
      <c r="T1776" s="6">
        <v>6457.0</v>
      </c>
    </row>
    <row r="1777" ht="56.25" customHeight="1">
      <c r="A1777" s="5" t="s">
        <v>11856</v>
      </c>
      <c r="B1777" s="6" t="str">
        <f>image("https://storage.googleapis.com/acdb/photos/BromideNpcNmlDuk03_Remake_7_0.png")</f>
        <v/>
      </c>
      <c r="C1777" s="5" t="s">
        <v>151</v>
      </c>
      <c r="D1777" s="5" t="s">
        <v>1327</v>
      </c>
      <c r="E1777" s="5" t="s">
        <v>34</v>
      </c>
      <c r="F1777" s="5" t="s">
        <v>34</v>
      </c>
      <c r="G1777" s="5" t="s">
        <v>36</v>
      </c>
      <c r="H1777" s="5" t="s">
        <v>35</v>
      </c>
      <c r="I1777" s="6">
        <v>1.0</v>
      </c>
      <c r="J1777" s="6" t="s">
        <v>37</v>
      </c>
      <c r="K1777" s="6">
        <v>10.0</v>
      </c>
      <c r="L1777" s="5"/>
      <c r="M1777" s="5"/>
      <c r="N1777" s="6" t="s">
        <v>40</v>
      </c>
      <c r="O1777" s="5" t="s">
        <v>5363</v>
      </c>
      <c r="P1777" s="6" t="s">
        <v>42</v>
      </c>
      <c r="Q1777" s="5" t="s">
        <v>1237</v>
      </c>
      <c r="R1777" s="5" t="s">
        <v>11878</v>
      </c>
      <c r="S1777" s="6" t="s">
        <v>208</v>
      </c>
      <c r="T1777" s="6">
        <v>6457.0</v>
      </c>
    </row>
    <row r="1778" ht="56.25" customHeight="1">
      <c r="A1778" s="5" t="s">
        <v>11880</v>
      </c>
      <c r="B1778" s="6" t="str">
        <f>image("https://storage.googleapis.com/acdb/photos/BromideNpcNmlPig10_Remake_0_0.png")</f>
        <v/>
      </c>
      <c r="C1778" s="5" t="s">
        <v>366</v>
      </c>
      <c r="D1778" s="5" t="s">
        <v>1327</v>
      </c>
      <c r="E1778" s="5" t="s">
        <v>34</v>
      </c>
      <c r="F1778" s="5" t="s">
        <v>34</v>
      </c>
      <c r="G1778" s="5" t="s">
        <v>36</v>
      </c>
      <c r="H1778" s="5" t="s">
        <v>35</v>
      </c>
      <c r="I1778" s="6">
        <v>1.0</v>
      </c>
      <c r="J1778" s="6" t="s">
        <v>37</v>
      </c>
      <c r="K1778" s="6">
        <v>10.0</v>
      </c>
      <c r="L1778" s="5"/>
      <c r="M1778" s="5"/>
      <c r="N1778" s="6" t="s">
        <v>40</v>
      </c>
      <c r="O1778" s="5" t="s">
        <v>5363</v>
      </c>
      <c r="P1778" s="6" t="s">
        <v>42</v>
      </c>
      <c r="Q1778" s="5" t="s">
        <v>1237</v>
      </c>
      <c r="R1778" s="5" t="s">
        <v>11881</v>
      </c>
      <c r="S1778" s="6" t="s">
        <v>50</v>
      </c>
      <c r="T1778" s="6">
        <v>6654.0</v>
      </c>
    </row>
    <row r="1779" ht="56.25" customHeight="1">
      <c r="A1779" s="5" t="s">
        <v>11880</v>
      </c>
      <c r="B1779" s="6" t="str">
        <f>image("https://storage.googleapis.com/acdb/photos/BromideNpcNmlPig10_Remake_1_0.png")</f>
        <v/>
      </c>
      <c r="C1779" s="5" t="s">
        <v>1132</v>
      </c>
      <c r="D1779" s="5" t="s">
        <v>1327</v>
      </c>
      <c r="E1779" s="5" t="s">
        <v>34</v>
      </c>
      <c r="F1779" s="5" t="s">
        <v>34</v>
      </c>
      <c r="G1779" s="5" t="s">
        <v>36</v>
      </c>
      <c r="H1779" s="5" t="s">
        <v>35</v>
      </c>
      <c r="I1779" s="6">
        <v>1.0</v>
      </c>
      <c r="J1779" s="6" t="s">
        <v>37</v>
      </c>
      <c r="K1779" s="6">
        <v>10.0</v>
      </c>
      <c r="L1779" s="5"/>
      <c r="M1779" s="5"/>
      <c r="N1779" s="6" t="s">
        <v>40</v>
      </c>
      <c r="O1779" s="5" t="s">
        <v>5363</v>
      </c>
      <c r="P1779" s="6" t="s">
        <v>42</v>
      </c>
      <c r="Q1779" s="5" t="s">
        <v>1237</v>
      </c>
      <c r="R1779" s="5" t="s">
        <v>11883</v>
      </c>
      <c r="S1779" s="6" t="s">
        <v>56</v>
      </c>
      <c r="T1779" s="6">
        <v>6654.0</v>
      </c>
    </row>
    <row r="1780" ht="56.25" customHeight="1">
      <c r="A1780" s="5" t="s">
        <v>11880</v>
      </c>
      <c r="B1780" s="6" t="str">
        <f>image("https://storage.googleapis.com/acdb/photos/BromideNpcNmlPig10_Remake_2_0.png")</f>
        <v/>
      </c>
      <c r="C1780" s="5" t="s">
        <v>688</v>
      </c>
      <c r="D1780" s="5" t="s">
        <v>1327</v>
      </c>
      <c r="E1780" s="5" t="s">
        <v>34</v>
      </c>
      <c r="F1780" s="5" t="s">
        <v>34</v>
      </c>
      <c r="G1780" s="5" t="s">
        <v>36</v>
      </c>
      <c r="H1780" s="5" t="s">
        <v>35</v>
      </c>
      <c r="I1780" s="6">
        <v>1.0</v>
      </c>
      <c r="J1780" s="6" t="s">
        <v>37</v>
      </c>
      <c r="K1780" s="6">
        <v>10.0</v>
      </c>
      <c r="L1780" s="5"/>
      <c r="M1780" s="5"/>
      <c r="N1780" s="6" t="s">
        <v>40</v>
      </c>
      <c r="O1780" s="5" t="s">
        <v>5363</v>
      </c>
      <c r="P1780" s="6" t="s">
        <v>42</v>
      </c>
      <c r="Q1780" s="5" t="s">
        <v>1237</v>
      </c>
      <c r="R1780" s="5" t="s">
        <v>11886</v>
      </c>
      <c r="S1780" s="6" t="s">
        <v>67</v>
      </c>
      <c r="T1780" s="6">
        <v>6654.0</v>
      </c>
    </row>
    <row r="1781" ht="56.25" customHeight="1">
      <c r="A1781" s="5" t="s">
        <v>11880</v>
      </c>
      <c r="B1781" s="6" t="str">
        <f>image("https://storage.googleapis.com/acdb/photos/BromideNpcNmlPig10_Remake_3_0.png")</f>
        <v/>
      </c>
      <c r="C1781" s="5" t="s">
        <v>57</v>
      </c>
      <c r="D1781" s="5" t="s">
        <v>1327</v>
      </c>
      <c r="E1781" s="5" t="s">
        <v>34</v>
      </c>
      <c r="F1781" s="5" t="s">
        <v>34</v>
      </c>
      <c r="G1781" s="5" t="s">
        <v>36</v>
      </c>
      <c r="H1781" s="5" t="s">
        <v>35</v>
      </c>
      <c r="I1781" s="6">
        <v>1.0</v>
      </c>
      <c r="J1781" s="6" t="s">
        <v>37</v>
      </c>
      <c r="K1781" s="6">
        <v>10.0</v>
      </c>
      <c r="L1781" s="5"/>
      <c r="M1781" s="5"/>
      <c r="N1781" s="6" t="s">
        <v>40</v>
      </c>
      <c r="O1781" s="5" t="s">
        <v>5363</v>
      </c>
      <c r="P1781" s="6" t="s">
        <v>42</v>
      </c>
      <c r="Q1781" s="5" t="s">
        <v>1237</v>
      </c>
      <c r="R1781" s="5" t="s">
        <v>11889</v>
      </c>
      <c r="S1781" s="6" t="s">
        <v>71</v>
      </c>
      <c r="T1781" s="6">
        <v>6654.0</v>
      </c>
    </row>
    <row r="1782" ht="56.25" customHeight="1">
      <c r="A1782" s="5" t="s">
        <v>11880</v>
      </c>
      <c r="B1782" s="6" t="str">
        <f>image("https://storage.googleapis.com/acdb/photos/BromideNpcNmlPig10_Remake_4_0.png")</f>
        <v/>
      </c>
      <c r="C1782" s="5" t="s">
        <v>1167</v>
      </c>
      <c r="D1782" s="5" t="s">
        <v>1327</v>
      </c>
      <c r="E1782" s="5" t="s">
        <v>34</v>
      </c>
      <c r="F1782" s="5" t="s">
        <v>34</v>
      </c>
      <c r="G1782" s="5" t="s">
        <v>36</v>
      </c>
      <c r="H1782" s="5" t="s">
        <v>35</v>
      </c>
      <c r="I1782" s="6">
        <v>1.0</v>
      </c>
      <c r="J1782" s="6" t="s">
        <v>37</v>
      </c>
      <c r="K1782" s="6">
        <v>10.0</v>
      </c>
      <c r="L1782" s="5"/>
      <c r="M1782" s="5"/>
      <c r="N1782" s="6" t="s">
        <v>40</v>
      </c>
      <c r="O1782" s="5" t="s">
        <v>5363</v>
      </c>
      <c r="P1782" s="6" t="s">
        <v>42</v>
      </c>
      <c r="Q1782" s="5" t="s">
        <v>1237</v>
      </c>
      <c r="R1782" s="5" t="s">
        <v>11893</v>
      </c>
      <c r="S1782" s="6" t="s">
        <v>75</v>
      </c>
      <c r="T1782" s="6">
        <v>6654.0</v>
      </c>
    </row>
    <row r="1783" ht="56.25" customHeight="1">
      <c r="A1783" s="5" t="s">
        <v>11880</v>
      </c>
      <c r="B1783" s="6" t="str">
        <f>image("https://storage.googleapis.com/acdb/photos/BromideNpcNmlPig10_Remake_5_0.png")</f>
        <v/>
      </c>
      <c r="C1783" s="5" t="s">
        <v>58</v>
      </c>
      <c r="D1783" s="5" t="s">
        <v>1327</v>
      </c>
      <c r="E1783" s="5" t="s">
        <v>34</v>
      </c>
      <c r="F1783" s="5" t="s">
        <v>34</v>
      </c>
      <c r="G1783" s="5" t="s">
        <v>36</v>
      </c>
      <c r="H1783" s="5" t="s">
        <v>35</v>
      </c>
      <c r="I1783" s="6">
        <v>1.0</v>
      </c>
      <c r="J1783" s="6" t="s">
        <v>37</v>
      </c>
      <c r="K1783" s="6">
        <v>10.0</v>
      </c>
      <c r="L1783" s="5"/>
      <c r="M1783" s="5"/>
      <c r="N1783" s="6" t="s">
        <v>40</v>
      </c>
      <c r="O1783" s="5" t="s">
        <v>5363</v>
      </c>
      <c r="P1783" s="6" t="s">
        <v>42</v>
      </c>
      <c r="Q1783" s="5" t="s">
        <v>1237</v>
      </c>
      <c r="R1783" s="5" t="s">
        <v>11895</v>
      </c>
      <c r="S1783" s="6" t="s">
        <v>79</v>
      </c>
      <c r="T1783" s="6">
        <v>6654.0</v>
      </c>
    </row>
    <row r="1784" ht="56.25" customHeight="1">
      <c r="A1784" s="5" t="s">
        <v>11880</v>
      </c>
      <c r="B1784" s="6" t="str">
        <f>image("https://storage.googleapis.com/acdb/photos/BromideNpcNmlPig10_Remake_6_0.png")</f>
        <v/>
      </c>
      <c r="C1784" s="5" t="s">
        <v>146</v>
      </c>
      <c r="D1784" s="5" t="s">
        <v>1327</v>
      </c>
      <c r="E1784" s="5" t="s">
        <v>34</v>
      </c>
      <c r="F1784" s="5" t="s">
        <v>34</v>
      </c>
      <c r="G1784" s="5" t="s">
        <v>36</v>
      </c>
      <c r="H1784" s="5" t="s">
        <v>35</v>
      </c>
      <c r="I1784" s="6">
        <v>1.0</v>
      </c>
      <c r="J1784" s="6" t="s">
        <v>37</v>
      </c>
      <c r="K1784" s="6">
        <v>10.0</v>
      </c>
      <c r="L1784" s="5"/>
      <c r="M1784" s="5"/>
      <c r="N1784" s="6" t="s">
        <v>40</v>
      </c>
      <c r="O1784" s="5" t="s">
        <v>5363</v>
      </c>
      <c r="P1784" s="6" t="s">
        <v>42</v>
      </c>
      <c r="Q1784" s="5" t="s">
        <v>1237</v>
      </c>
      <c r="R1784" s="5" t="s">
        <v>11897</v>
      </c>
      <c r="S1784" s="6" t="s">
        <v>86</v>
      </c>
      <c r="T1784" s="6">
        <v>6654.0</v>
      </c>
    </row>
    <row r="1785" ht="56.25" customHeight="1">
      <c r="A1785" s="5" t="s">
        <v>11880</v>
      </c>
      <c r="B1785" s="6" t="str">
        <f>image("https://storage.googleapis.com/acdb/photos/BromideNpcNmlPig10_Remake_7_0.png")</f>
        <v/>
      </c>
      <c r="C1785" s="5" t="s">
        <v>151</v>
      </c>
      <c r="D1785" s="5" t="s">
        <v>1327</v>
      </c>
      <c r="E1785" s="5" t="s">
        <v>34</v>
      </c>
      <c r="F1785" s="5" t="s">
        <v>34</v>
      </c>
      <c r="G1785" s="5" t="s">
        <v>36</v>
      </c>
      <c r="H1785" s="5" t="s">
        <v>35</v>
      </c>
      <c r="I1785" s="6">
        <v>1.0</v>
      </c>
      <c r="J1785" s="6" t="s">
        <v>37</v>
      </c>
      <c r="K1785" s="6">
        <v>10.0</v>
      </c>
      <c r="L1785" s="5"/>
      <c r="M1785" s="5"/>
      <c r="N1785" s="6" t="s">
        <v>40</v>
      </c>
      <c r="O1785" s="5" t="s">
        <v>5363</v>
      </c>
      <c r="P1785" s="6" t="s">
        <v>42</v>
      </c>
      <c r="Q1785" s="5" t="s">
        <v>1237</v>
      </c>
      <c r="R1785" s="5" t="s">
        <v>11900</v>
      </c>
      <c r="S1785" s="6" t="s">
        <v>208</v>
      </c>
      <c r="T1785" s="6">
        <v>6654.0</v>
      </c>
    </row>
    <row r="1786" ht="56.25" customHeight="1">
      <c r="A1786" s="5" t="s">
        <v>11901</v>
      </c>
      <c r="B1786" s="6" t="str">
        <f>image("https://storage.googleapis.com/acdb/photos/BromideNpcNmlDuk06_Remake_0_0.png")</f>
        <v/>
      </c>
      <c r="C1786" s="5" t="s">
        <v>366</v>
      </c>
      <c r="D1786" s="5" t="s">
        <v>1327</v>
      </c>
      <c r="E1786" s="5" t="s">
        <v>34</v>
      </c>
      <c r="F1786" s="5" t="s">
        <v>34</v>
      </c>
      <c r="G1786" s="5" t="s">
        <v>36</v>
      </c>
      <c r="H1786" s="5" t="s">
        <v>35</v>
      </c>
      <c r="I1786" s="6">
        <v>1.0</v>
      </c>
      <c r="J1786" s="6" t="s">
        <v>37</v>
      </c>
      <c r="K1786" s="6">
        <v>10.0</v>
      </c>
      <c r="L1786" s="5"/>
      <c r="M1786" s="5"/>
      <c r="N1786" s="6" t="s">
        <v>40</v>
      </c>
      <c r="O1786" s="5" t="s">
        <v>5363</v>
      </c>
      <c r="P1786" s="6" t="s">
        <v>42</v>
      </c>
      <c r="Q1786" s="5" t="s">
        <v>1237</v>
      </c>
      <c r="R1786" s="5" t="s">
        <v>11904</v>
      </c>
      <c r="S1786" s="6" t="s">
        <v>50</v>
      </c>
      <c r="T1786" s="6">
        <v>6461.0</v>
      </c>
    </row>
    <row r="1787" ht="56.25" customHeight="1">
      <c r="A1787" s="5" t="s">
        <v>11901</v>
      </c>
      <c r="B1787" s="6" t="str">
        <f>image("https://storage.googleapis.com/acdb/photos/BromideNpcNmlDuk06_Remake_1_0.png")</f>
        <v/>
      </c>
      <c r="C1787" s="5" t="s">
        <v>1132</v>
      </c>
      <c r="D1787" s="5" t="s">
        <v>1327</v>
      </c>
      <c r="E1787" s="5" t="s">
        <v>34</v>
      </c>
      <c r="F1787" s="5" t="s">
        <v>34</v>
      </c>
      <c r="G1787" s="5" t="s">
        <v>36</v>
      </c>
      <c r="H1787" s="5" t="s">
        <v>35</v>
      </c>
      <c r="I1787" s="6">
        <v>1.0</v>
      </c>
      <c r="J1787" s="6" t="s">
        <v>37</v>
      </c>
      <c r="K1787" s="6">
        <v>10.0</v>
      </c>
      <c r="L1787" s="5"/>
      <c r="M1787" s="5"/>
      <c r="N1787" s="6" t="s">
        <v>40</v>
      </c>
      <c r="O1787" s="5" t="s">
        <v>5363</v>
      </c>
      <c r="P1787" s="6" t="s">
        <v>42</v>
      </c>
      <c r="Q1787" s="5" t="s">
        <v>1237</v>
      </c>
      <c r="R1787" s="5" t="s">
        <v>11906</v>
      </c>
      <c r="S1787" s="6" t="s">
        <v>56</v>
      </c>
      <c r="T1787" s="6">
        <v>6461.0</v>
      </c>
    </row>
    <row r="1788" ht="56.25" customHeight="1">
      <c r="A1788" s="5" t="s">
        <v>11901</v>
      </c>
      <c r="B1788" s="6" t="str">
        <f>image("https://storage.googleapis.com/acdb/photos/BromideNpcNmlDuk06_Remake_2_0.png")</f>
        <v/>
      </c>
      <c r="C1788" s="5" t="s">
        <v>688</v>
      </c>
      <c r="D1788" s="5" t="s">
        <v>1327</v>
      </c>
      <c r="E1788" s="5" t="s">
        <v>34</v>
      </c>
      <c r="F1788" s="5" t="s">
        <v>34</v>
      </c>
      <c r="G1788" s="5" t="s">
        <v>36</v>
      </c>
      <c r="H1788" s="5" t="s">
        <v>35</v>
      </c>
      <c r="I1788" s="6">
        <v>1.0</v>
      </c>
      <c r="J1788" s="6" t="s">
        <v>37</v>
      </c>
      <c r="K1788" s="6">
        <v>10.0</v>
      </c>
      <c r="L1788" s="5"/>
      <c r="M1788" s="5"/>
      <c r="N1788" s="6" t="s">
        <v>40</v>
      </c>
      <c r="O1788" s="5" t="s">
        <v>5363</v>
      </c>
      <c r="P1788" s="6" t="s">
        <v>42</v>
      </c>
      <c r="Q1788" s="5" t="s">
        <v>1237</v>
      </c>
      <c r="R1788" s="5" t="s">
        <v>11908</v>
      </c>
      <c r="S1788" s="6" t="s">
        <v>67</v>
      </c>
      <c r="T1788" s="6">
        <v>6461.0</v>
      </c>
    </row>
    <row r="1789" ht="56.25" customHeight="1">
      <c r="A1789" s="5" t="s">
        <v>11901</v>
      </c>
      <c r="B1789" s="6" t="str">
        <f>image("https://storage.googleapis.com/acdb/photos/BromideNpcNmlDuk06_Remake_3_0.png")</f>
        <v/>
      </c>
      <c r="C1789" s="5" t="s">
        <v>57</v>
      </c>
      <c r="D1789" s="5" t="s">
        <v>1327</v>
      </c>
      <c r="E1789" s="5" t="s">
        <v>34</v>
      </c>
      <c r="F1789" s="5" t="s">
        <v>34</v>
      </c>
      <c r="G1789" s="5" t="s">
        <v>36</v>
      </c>
      <c r="H1789" s="5" t="s">
        <v>35</v>
      </c>
      <c r="I1789" s="6">
        <v>1.0</v>
      </c>
      <c r="J1789" s="6" t="s">
        <v>37</v>
      </c>
      <c r="K1789" s="6">
        <v>10.0</v>
      </c>
      <c r="L1789" s="5"/>
      <c r="M1789" s="5"/>
      <c r="N1789" s="6" t="s">
        <v>40</v>
      </c>
      <c r="O1789" s="5" t="s">
        <v>5363</v>
      </c>
      <c r="P1789" s="6" t="s">
        <v>42</v>
      </c>
      <c r="Q1789" s="5" t="s">
        <v>1237</v>
      </c>
      <c r="R1789" s="5" t="s">
        <v>11911</v>
      </c>
      <c r="S1789" s="6" t="s">
        <v>71</v>
      </c>
      <c r="T1789" s="6">
        <v>6461.0</v>
      </c>
    </row>
    <row r="1790" ht="56.25" customHeight="1">
      <c r="A1790" s="5" t="s">
        <v>11901</v>
      </c>
      <c r="B1790" s="6" t="str">
        <f>image("https://storage.googleapis.com/acdb/photos/BromideNpcNmlDuk06_Remake_4_0.png")</f>
        <v/>
      </c>
      <c r="C1790" s="5" t="s">
        <v>1167</v>
      </c>
      <c r="D1790" s="5" t="s">
        <v>1327</v>
      </c>
      <c r="E1790" s="5" t="s">
        <v>34</v>
      </c>
      <c r="F1790" s="5" t="s">
        <v>34</v>
      </c>
      <c r="G1790" s="5" t="s">
        <v>36</v>
      </c>
      <c r="H1790" s="5" t="s">
        <v>35</v>
      </c>
      <c r="I1790" s="6">
        <v>1.0</v>
      </c>
      <c r="J1790" s="6" t="s">
        <v>37</v>
      </c>
      <c r="K1790" s="6">
        <v>10.0</v>
      </c>
      <c r="L1790" s="5"/>
      <c r="M1790" s="5"/>
      <c r="N1790" s="6" t="s">
        <v>40</v>
      </c>
      <c r="O1790" s="5" t="s">
        <v>5363</v>
      </c>
      <c r="P1790" s="6" t="s">
        <v>42</v>
      </c>
      <c r="Q1790" s="5" t="s">
        <v>1237</v>
      </c>
      <c r="R1790" s="5" t="s">
        <v>11914</v>
      </c>
      <c r="S1790" s="6" t="s">
        <v>75</v>
      </c>
      <c r="T1790" s="6">
        <v>6461.0</v>
      </c>
    </row>
    <row r="1791" ht="56.25" customHeight="1">
      <c r="A1791" s="5" t="s">
        <v>11901</v>
      </c>
      <c r="B1791" s="6" t="str">
        <f>image("https://storage.googleapis.com/acdb/photos/BromideNpcNmlDuk06_Remake_5_0.png")</f>
        <v/>
      </c>
      <c r="C1791" s="5" t="s">
        <v>58</v>
      </c>
      <c r="D1791" s="5" t="s">
        <v>1327</v>
      </c>
      <c r="E1791" s="5" t="s">
        <v>34</v>
      </c>
      <c r="F1791" s="5" t="s">
        <v>34</v>
      </c>
      <c r="G1791" s="5" t="s">
        <v>36</v>
      </c>
      <c r="H1791" s="5" t="s">
        <v>35</v>
      </c>
      <c r="I1791" s="6">
        <v>1.0</v>
      </c>
      <c r="J1791" s="6" t="s">
        <v>37</v>
      </c>
      <c r="K1791" s="6">
        <v>10.0</v>
      </c>
      <c r="L1791" s="5"/>
      <c r="M1791" s="5"/>
      <c r="N1791" s="6" t="s">
        <v>40</v>
      </c>
      <c r="O1791" s="5" t="s">
        <v>5363</v>
      </c>
      <c r="P1791" s="6" t="s">
        <v>42</v>
      </c>
      <c r="Q1791" s="5" t="s">
        <v>1237</v>
      </c>
      <c r="R1791" s="5" t="s">
        <v>11916</v>
      </c>
      <c r="S1791" s="6" t="s">
        <v>79</v>
      </c>
      <c r="T1791" s="6">
        <v>6461.0</v>
      </c>
    </row>
    <row r="1792" ht="56.25" customHeight="1">
      <c r="A1792" s="5" t="s">
        <v>11901</v>
      </c>
      <c r="B1792" s="6" t="str">
        <f>image("https://storage.googleapis.com/acdb/photos/BromideNpcNmlDuk06_Remake_6_0.png")</f>
        <v/>
      </c>
      <c r="C1792" s="5" t="s">
        <v>146</v>
      </c>
      <c r="D1792" s="5" t="s">
        <v>1327</v>
      </c>
      <c r="E1792" s="5" t="s">
        <v>34</v>
      </c>
      <c r="F1792" s="5" t="s">
        <v>34</v>
      </c>
      <c r="G1792" s="5" t="s">
        <v>36</v>
      </c>
      <c r="H1792" s="5" t="s">
        <v>35</v>
      </c>
      <c r="I1792" s="6">
        <v>1.0</v>
      </c>
      <c r="J1792" s="6" t="s">
        <v>37</v>
      </c>
      <c r="K1792" s="6">
        <v>10.0</v>
      </c>
      <c r="L1792" s="5"/>
      <c r="M1792" s="5"/>
      <c r="N1792" s="6" t="s">
        <v>40</v>
      </c>
      <c r="O1792" s="5" t="s">
        <v>5363</v>
      </c>
      <c r="P1792" s="6" t="s">
        <v>42</v>
      </c>
      <c r="Q1792" s="5" t="s">
        <v>1237</v>
      </c>
      <c r="R1792" s="5" t="s">
        <v>11918</v>
      </c>
      <c r="S1792" s="6" t="s">
        <v>86</v>
      </c>
      <c r="T1792" s="6">
        <v>6461.0</v>
      </c>
    </row>
    <row r="1793" ht="56.25" customHeight="1">
      <c r="A1793" s="5" t="s">
        <v>11901</v>
      </c>
      <c r="B1793" s="6" t="str">
        <f>image("https://storage.googleapis.com/acdb/photos/BromideNpcNmlDuk06_Remake_7_0.png")</f>
        <v/>
      </c>
      <c r="C1793" s="5" t="s">
        <v>151</v>
      </c>
      <c r="D1793" s="5" t="s">
        <v>1327</v>
      </c>
      <c r="E1793" s="5" t="s">
        <v>34</v>
      </c>
      <c r="F1793" s="5" t="s">
        <v>34</v>
      </c>
      <c r="G1793" s="5" t="s">
        <v>36</v>
      </c>
      <c r="H1793" s="5" t="s">
        <v>35</v>
      </c>
      <c r="I1793" s="6">
        <v>1.0</v>
      </c>
      <c r="J1793" s="6" t="s">
        <v>37</v>
      </c>
      <c r="K1793" s="6">
        <v>10.0</v>
      </c>
      <c r="L1793" s="5"/>
      <c r="M1793" s="5"/>
      <c r="N1793" s="6" t="s">
        <v>40</v>
      </c>
      <c r="O1793" s="5" t="s">
        <v>5363</v>
      </c>
      <c r="P1793" s="6" t="s">
        <v>42</v>
      </c>
      <c r="Q1793" s="5" t="s">
        <v>1237</v>
      </c>
      <c r="R1793" s="5" t="s">
        <v>11921</v>
      </c>
      <c r="S1793" s="6" t="s">
        <v>208</v>
      </c>
      <c r="T1793" s="6">
        <v>6461.0</v>
      </c>
    </row>
    <row r="1794" ht="56.25" customHeight="1">
      <c r="A1794" s="5" t="s">
        <v>11922</v>
      </c>
      <c r="B1794" s="6" t="str">
        <f>image("https://storage.googleapis.com/acdb/photos/BromideNpcNmlCbr01_Remake_0_0.png")</f>
        <v/>
      </c>
      <c r="C1794" s="5" t="s">
        <v>366</v>
      </c>
      <c r="D1794" s="5" t="s">
        <v>1327</v>
      </c>
      <c r="E1794" s="5" t="s">
        <v>34</v>
      </c>
      <c r="F1794" s="5" t="s">
        <v>34</v>
      </c>
      <c r="G1794" s="5" t="s">
        <v>36</v>
      </c>
      <c r="H1794" s="5" t="s">
        <v>35</v>
      </c>
      <c r="I1794" s="6">
        <v>1.0</v>
      </c>
      <c r="J1794" s="6" t="s">
        <v>37</v>
      </c>
      <c r="K1794" s="6">
        <v>10.0</v>
      </c>
      <c r="L1794" s="5"/>
      <c r="M1794" s="5"/>
      <c r="N1794" s="6" t="s">
        <v>40</v>
      </c>
      <c r="O1794" s="5" t="s">
        <v>5363</v>
      </c>
      <c r="P1794" s="6" t="s">
        <v>42</v>
      </c>
      <c r="Q1794" s="5" t="s">
        <v>1237</v>
      </c>
      <c r="R1794" s="5" t="s">
        <v>11924</v>
      </c>
      <c r="S1794" s="6" t="s">
        <v>50</v>
      </c>
      <c r="T1794" s="6">
        <v>6770.0</v>
      </c>
    </row>
    <row r="1795" ht="56.25" customHeight="1">
      <c r="A1795" s="5" t="s">
        <v>11922</v>
      </c>
      <c r="B1795" s="6" t="str">
        <f>image("https://storage.googleapis.com/acdb/photos/BromideNpcNmlCbr01_Remake_1_0.png")</f>
        <v/>
      </c>
      <c r="C1795" s="5" t="s">
        <v>1132</v>
      </c>
      <c r="D1795" s="5" t="s">
        <v>1327</v>
      </c>
      <c r="E1795" s="5" t="s">
        <v>34</v>
      </c>
      <c r="F1795" s="5" t="s">
        <v>34</v>
      </c>
      <c r="G1795" s="5" t="s">
        <v>36</v>
      </c>
      <c r="H1795" s="5" t="s">
        <v>35</v>
      </c>
      <c r="I1795" s="6">
        <v>1.0</v>
      </c>
      <c r="J1795" s="6" t="s">
        <v>37</v>
      </c>
      <c r="K1795" s="6">
        <v>10.0</v>
      </c>
      <c r="L1795" s="5"/>
      <c r="M1795" s="5"/>
      <c r="N1795" s="6" t="s">
        <v>40</v>
      </c>
      <c r="O1795" s="5" t="s">
        <v>5363</v>
      </c>
      <c r="P1795" s="6" t="s">
        <v>42</v>
      </c>
      <c r="Q1795" s="5" t="s">
        <v>1237</v>
      </c>
      <c r="R1795" s="5" t="s">
        <v>11927</v>
      </c>
      <c r="S1795" s="6" t="s">
        <v>56</v>
      </c>
      <c r="T1795" s="6">
        <v>6770.0</v>
      </c>
    </row>
    <row r="1796" ht="56.25" customHeight="1">
      <c r="A1796" s="5" t="s">
        <v>11922</v>
      </c>
      <c r="B1796" s="6" t="str">
        <f>image("https://storage.googleapis.com/acdb/photos/BromideNpcNmlCbr01_Remake_2_0.png")</f>
        <v/>
      </c>
      <c r="C1796" s="5" t="s">
        <v>688</v>
      </c>
      <c r="D1796" s="5" t="s">
        <v>1327</v>
      </c>
      <c r="E1796" s="5" t="s">
        <v>34</v>
      </c>
      <c r="F1796" s="5" t="s">
        <v>34</v>
      </c>
      <c r="G1796" s="5" t="s">
        <v>36</v>
      </c>
      <c r="H1796" s="5" t="s">
        <v>35</v>
      </c>
      <c r="I1796" s="6">
        <v>1.0</v>
      </c>
      <c r="J1796" s="6" t="s">
        <v>37</v>
      </c>
      <c r="K1796" s="6">
        <v>10.0</v>
      </c>
      <c r="L1796" s="5"/>
      <c r="M1796" s="5"/>
      <c r="N1796" s="6" t="s">
        <v>40</v>
      </c>
      <c r="O1796" s="5" t="s">
        <v>5363</v>
      </c>
      <c r="P1796" s="6" t="s">
        <v>42</v>
      </c>
      <c r="Q1796" s="5" t="s">
        <v>1237</v>
      </c>
      <c r="R1796" s="5" t="s">
        <v>11931</v>
      </c>
      <c r="S1796" s="6" t="s">
        <v>67</v>
      </c>
      <c r="T1796" s="6">
        <v>6770.0</v>
      </c>
    </row>
    <row r="1797" ht="56.25" customHeight="1">
      <c r="A1797" s="5" t="s">
        <v>11922</v>
      </c>
      <c r="B1797" s="6" t="str">
        <f>image("https://storage.googleapis.com/acdb/photos/BromideNpcNmlCbr01_Remake_3_0.png")</f>
        <v/>
      </c>
      <c r="C1797" s="5" t="s">
        <v>57</v>
      </c>
      <c r="D1797" s="5" t="s">
        <v>1327</v>
      </c>
      <c r="E1797" s="5" t="s">
        <v>34</v>
      </c>
      <c r="F1797" s="5" t="s">
        <v>34</v>
      </c>
      <c r="G1797" s="5" t="s">
        <v>36</v>
      </c>
      <c r="H1797" s="5" t="s">
        <v>35</v>
      </c>
      <c r="I1797" s="6">
        <v>1.0</v>
      </c>
      <c r="J1797" s="6" t="s">
        <v>37</v>
      </c>
      <c r="K1797" s="6">
        <v>10.0</v>
      </c>
      <c r="L1797" s="5"/>
      <c r="M1797" s="5"/>
      <c r="N1797" s="6" t="s">
        <v>40</v>
      </c>
      <c r="O1797" s="5" t="s">
        <v>5363</v>
      </c>
      <c r="P1797" s="6" t="s">
        <v>42</v>
      </c>
      <c r="Q1797" s="5" t="s">
        <v>1237</v>
      </c>
      <c r="R1797" s="5" t="s">
        <v>11935</v>
      </c>
      <c r="S1797" s="6" t="s">
        <v>71</v>
      </c>
      <c r="T1797" s="6">
        <v>6770.0</v>
      </c>
    </row>
    <row r="1798" ht="56.25" customHeight="1">
      <c r="A1798" s="5" t="s">
        <v>11922</v>
      </c>
      <c r="B1798" s="6" t="str">
        <f>image("https://storage.googleapis.com/acdb/photos/BromideNpcNmlCbr01_Remake_4_0.png")</f>
        <v/>
      </c>
      <c r="C1798" s="5" t="s">
        <v>1167</v>
      </c>
      <c r="D1798" s="5" t="s">
        <v>1327</v>
      </c>
      <c r="E1798" s="5" t="s">
        <v>34</v>
      </c>
      <c r="F1798" s="5" t="s">
        <v>34</v>
      </c>
      <c r="G1798" s="5" t="s">
        <v>36</v>
      </c>
      <c r="H1798" s="5" t="s">
        <v>35</v>
      </c>
      <c r="I1798" s="6">
        <v>1.0</v>
      </c>
      <c r="J1798" s="6" t="s">
        <v>37</v>
      </c>
      <c r="K1798" s="6">
        <v>10.0</v>
      </c>
      <c r="L1798" s="5"/>
      <c r="M1798" s="5"/>
      <c r="N1798" s="6" t="s">
        <v>40</v>
      </c>
      <c r="O1798" s="5" t="s">
        <v>5363</v>
      </c>
      <c r="P1798" s="6" t="s">
        <v>42</v>
      </c>
      <c r="Q1798" s="5" t="s">
        <v>1237</v>
      </c>
      <c r="R1798" s="5" t="s">
        <v>11938</v>
      </c>
      <c r="S1798" s="6" t="s">
        <v>75</v>
      </c>
      <c r="T1798" s="6">
        <v>6770.0</v>
      </c>
    </row>
    <row r="1799" ht="56.25" customHeight="1">
      <c r="A1799" s="5" t="s">
        <v>11922</v>
      </c>
      <c r="B1799" s="6" t="str">
        <f>image("https://storage.googleapis.com/acdb/photos/BromideNpcNmlCbr01_Remake_5_0.png")</f>
        <v/>
      </c>
      <c r="C1799" s="5" t="s">
        <v>58</v>
      </c>
      <c r="D1799" s="5" t="s">
        <v>1327</v>
      </c>
      <c r="E1799" s="5" t="s">
        <v>34</v>
      </c>
      <c r="F1799" s="5" t="s">
        <v>34</v>
      </c>
      <c r="G1799" s="5" t="s">
        <v>36</v>
      </c>
      <c r="H1799" s="5" t="s">
        <v>35</v>
      </c>
      <c r="I1799" s="6">
        <v>1.0</v>
      </c>
      <c r="J1799" s="6" t="s">
        <v>37</v>
      </c>
      <c r="K1799" s="6">
        <v>10.0</v>
      </c>
      <c r="L1799" s="5"/>
      <c r="M1799" s="5"/>
      <c r="N1799" s="6" t="s">
        <v>40</v>
      </c>
      <c r="O1799" s="5" t="s">
        <v>5363</v>
      </c>
      <c r="P1799" s="6" t="s">
        <v>42</v>
      </c>
      <c r="Q1799" s="5" t="s">
        <v>1237</v>
      </c>
      <c r="R1799" s="5" t="s">
        <v>11939</v>
      </c>
      <c r="S1799" s="6" t="s">
        <v>79</v>
      </c>
      <c r="T1799" s="6">
        <v>6770.0</v>
      </c>
    </row>
    <row r="1800" ht="56.25" customHeight="1">
      <c r="A1800" s="5" t="s">
        <v>11922</v>
      </c>
      <c r="B1800" s="6" t="str">
        <f>image("https://storage.googleapis.com/acdb/photos/BromideNpcNmlCbr01_Remake_6_0.png")</f>
        <v/>
      </c>
      <c r="C1800" s="5" t="s">
        <v>146</v>
      </c>
      <c r="D1800" s="5" t="s">
        <v>1327</v>
      </c>
      <c r="E1800" s="5" t="s">
        <v>34</v>
      </c>
      <c r="F1800" s="5" t="s">
        <v>34</v>
      </c>
      <c r="G1800" s="5" t="s">
        <v>36</v>
      </c>
      <c r="H1800" s="5" t="s">
        <v>35</v>
      </c>
      <c r="I1800" s="6">
        <v>1.0</v>
      </c>
      <c r="J1800" s="6" t="s">
        <v>37</v>
      </c>
      <c r="K1800" s="6">
        <v>10.0</v>
      </c>
      <c r="L1800" s="5"/>
      <c r="M1800" s="5"/>
      <c r="N1800" s="6" t="s">
        <v>40</v>
      </c>
      <c r="O1800" s="5" t="s">
        <v>5363</v>
      </c>
      <c r="P1800" s="6" t="s">
        <v>42</v>
      </c>
      <c r="Q1800" s="5" t="s">
        <v>1237</v>
      </c>
      <c r="R1800" s="5" t="s">
        <v>11942</v>
      </c>
      <c r="S1800" s="6" t="s">
        <v>86</v>
      </c>
      <c r="T1800" s="6">
        <v>6770.0</v>
      </c>
    </row>
    <row r="1801" ht="56.25" customHeight="1">
      <c r="A1801" s="5" t="s">
        <v>11922</v>
      </c>
      <c r="B1801" s="6" t="str">
        <f>image("https://storage.googleapis.com/acdb/photos/BromideNpcNmlCbr01_Remake_7_0.png")</f>
        <v/>
      </c>
      <c r="C1801" s="5" t="s">
        <v>151</v>
      </c>
      <c r="D1801" s="5" t="s">
        <v>1327</v>
      </c>
      <c r="E1801" s="5" t="s">
        <v>34</v>
      </c>
      <c r="F1801" s="5" t="s">
        <v>34</v>
      </c>
      <c r="G1801" s="5" t="s">
        <v>36</v>
      </c>
      <c r="H1801" s="5" t="s">
        <v>35</v>
      </c>
      <c r="I1801" s="6">
        <v>1.0</v>
      </c>
      <c r="J1801" s="6" t="s">
        <v>37</v>
      </c>
      <c r="K1801" s="6">
        <v>10.0</v>
      </c>
      <c r="L1801" s="5"/>
      <c r="M1801" s="5"/>
      <c r="N1801" s="6" t="s">
        <v>40</v>
      </c>
      <c r="O1801" s="5" t="s">
        <v>5363</v>
      </c>
      <c r="P1801" s="6" t="s">
        <v>42</v>
      </c>
      <c r="Q1801" s="5" t="s">
        <v>1237</v>
      </c>
      <c r="R1801" s="5" t="s">
        <v>11946</v>
      </c>
      <c r="S1801" s="6" t="s">
        <v>208</v>
      </c>
      <c r="T1801" s="6">
        <v>6770.0</v>
      </c>
    </row>
    <row r="1802" ht="56.25" customHeight="1">
      <c r="A1802" s="5" t="s">
        <v>11947</v>
      </c>
      <c r="B1802" s="6" t="str">
        <f>image("https://storage.googleapis.com/acdb/photos/BromideNpcNmlDog15_Remake_0_0.png")</f>
        <v/>
      </c>
      <c r="C1802" s="5" t="s">
        <v>366</v>
      </c>
      <c r="D1802" s="5" t="s">
        <v>1327</v>
      </c>
      <c r="E1802" s="5" t="s">
        <v>34</v>
      </c>
      <c r="F1802" s="5" t="s">
        <v>34</v>
      </c>
      <c r="G1802" s="5" t="s">
        <v>36</v>
      </c>
      <c r="H1802" s="5" t="s">
        <v>35</v>
      </c>
      <c r="I1802" s="6">
        <v>1.0</v>
      </c>
      <c r="J1802" s="6" t="s">
        <v>37</v>
      </c>
      <c r="K1802" s="6">
        <v>10.0</v>
      </c>
      <c r="L1802" s="5"/>
      <c r="M1802" s="5"/>
      <c r="N1802" s="6" t="s">
        <v>40</v>
      </c>
      <c r="O1802" s="5" t="s">
        <v>5363</v>
      </c>
      <c r="P1802" s="6" t="s">
        <v>42</v>
      </c>
      <c r="Q1802" s="5" t="s">
        <v>1237</v>
      </c>
      <c r="R1802" s="5" t="s">
        <v>11948</v>
      </c>
      <c r="S1802" s="6" t="s">
        <v>50</v>
      </c>
      <c r="T1802" s="6">
        <v>6450.0</v>
      </c>
    </row>
    <row r="1803" ht="56.25" customHeight="1">
      <c r="A1803" s="5" t="s">
        <v>11947</v>
      </c>
      <c r="B1803" s="6" t="str">
        <f>image("https://storage.googleapis.com/acdb/photos/BromideNpcNmlDog15_Remake_1_0.png")</f>
        <v/>
      </c>
      <c r="C1803" s="5" t="s">
        <v>1132</v>
      </c>
      <c r="D1803" s="5" t="s">
        <v>1327</v>
      </c>
      <c r="E1803" s="5" t="s">
        <v>34</v>
      </c>
      <c r="F1803" s="5" t="s">
        <v>34</v>
      </c>
      <c r="G1803" s="5" t="s">
        <v>36</v>
      </c>
      <c r="H1803" s="5" t="s">
        <v>35</v>
      </c>
      <c r="I1803" s="6">
        <v>1.0</v>
      </c>
      <c r="J1803" s="6" t="s">
        <v>37</v>
      </c>
      <c r="K1803" s="6">
        <v>10.0</v>
      </c>
      <c r="L1803" s="5"/>
      <c r="M1803" s="5"/>
      <c r="N1803" s="6" t="s">
        <v>40</v>
      </c>
      <c r="O1803" s="5" t="s">
        <v>5363</v>
      </c>
      <c r="P1803" s="6" t="s">
        <v>42</v>
      </c>
      <c r="Q1803" s="5" t="s">
        <v>1237</v>
      </c>
      <c r="R1803" s="5" t="s">
        <v>11951</v>
      </c>
      <c r="S1803" s="6" t="s">
        <v>56</v>
      </c>
      <c r="T1803" s="6">
        <v>6450.0</v>
      </c>
    </row>
    <row r="1804" ht="56.25" customHeight="1">
      <c r="A1804" s="5" t="s">
        <v>11947</v>
      </c>
      <c r="B1804" s="6" t="str">
        <f>image("https://storage.googleapis.com/acdb/photos/BromideNpcNmlDog15_Remake_2_0.png")</f>
        <v/>
      </c>
      <c r="C1804" s="5" t="s">
        <v>688</v>
      </c>
      <c r="D1804" s="5" t="s">
        <v>1327</v>
      </c>
      <c r="E1804" s="5" t="s">
        <v>34</v>
      </c>
      <c r="F1804" s="5" t="s">
        <v>34</v>
      </c>
      <c r="G1804" s="5" t="s">
        <v>36</v>
      </c>
      <c r="H1804" s="5" t="s">
        <v>35</v>
      </c>
      <c r="I1804" s="6">
        <v>1.0</v>
      </c>
      <c r="J1804" s="6" t="s">
        <v>37</v>
      </c>
      <c r="K1804" s="6">
        <v>10.0</v>
      </c>
      <c r="L1804" s="5"/>
      <c r="M1804" s="5"/>
      <c r="N1804" s="6" t="s">
        <v>40</v>
      </c>
      <c r="O1804" s="5" t="s">
        <v>5363</v>
      </c>
      <c r="P1804" s="6" t="s">
        <v>42</v>
      </c>
      <c r="Q1804" s="5" t="s">
        <v>1237</v>
      </c>
      <c r="R1804" s="5" t="s">
        <v>11954</v>
      </c>
      <c r="S1804" s="6" t="s">
        <v>67</v>
      </c>
      <c r="T1804" s="6">
        <v>6450.0</v>
      </c>
    </row>
    <row r="1805" ht="56.25" customHeight="1">
      <c r="A1805" s="5" t="s">
        <v>11947</v>
      </c>
      <c r="B1805" s="6" t="str">
        <f>image("https://storage.googleapis.com/acdb/photos/BromideNpcNmlDog15_Remake_3_0.png")</f>
        <v/>
      </c>
      <c r="C1805" s="5" t="s">
        <v>57</v>
      </c>
      <c r="D1805" s="5" t="s">
        <v>1327</v>
      </c>
      <c r="E1805" s="5" t="s">
        <v>34</v>
      </c>
      <c r="F1805" s="5" t="s">
        <v>34</v>
      </c>
      <c r="G1805" s="5" t="s">
        <v>36</v>
      </c>
      <c r="H1805" s="5" t="s">
        <v>35</v>
      </c>
      <c r="I1805" s="6">
        <v>1.0</v>
      </c>
      <c r="J1805" s="6" t="s">
        <v>37</v>
      </c>
      <c r="K1805" s="6">
        <v>10.0</v>
      </c>
      <c r="L1805" s="5"/>
      <c r="M1805" s="5"/>
      <c r="N1805" s="6" t="s">
        <v>40</v>
      </c>
      <c r="O1805" s="5" t="s">
        <v>5363</v>
      </c>
      <c r="P1805" s="6" t="s">
        <v>42</v>
      </c>
      <c r="Q1805" s="5" t="s">
        <v>1237</v>
      </c>
      <c r="R1805" s="5" t="s">
        <v>11960</v>
      </c>
      <c r="S1805" s="6" t="s">
        <v>71</v>
      </c>
      <c r="T1805" s="6">
        <v>6450.0</v>
      </c>
    </row>
    <row r="1806" ht="56.25" customHeight="1">
      <c r="A1806" s="5" t="s">
        <v>11947</v>
      </c>
      <c r="B1806" s="6" t="str">
        <f>image("https://storage.googleapis.com/acdb/photos/BromideNpcNmlDog15_Remake_4_0.png")</f>
        <v/>
      </c>
      <c r="C1806" s="5" t="s">
        <v>1167</v>
      </c>
      <c r="D1806" s="5" t="s">
        <v>1327</v>
      </c>
      <c r="E1806" s="5" t="s">
        <v>34</v>
      </c>
      <c r="F1806" s="5" t="s">
        <v>34</v>
      </c>
      <c r="G1806" s="5" t="s">
        <v>36</v>
      </c>
      <c r="H1806" s="5" t="s">
        <v>35</v>
      </c>
      <c r="I1806" s="6">
        <v>1.0</v>
      </c>
      <c r="J1806" s="6" t="s">
        <v>37</v>
      </c>
      <c r="K1806" s="6">
        <v>10.0</v>
      </c>
      <c r="L1806" s="5"/>
      <c r="M1806" s="5"/>
      <c r="N1806" s="6" t="s">
        <v>40</v>
      </c>
      <c r="O1806" s="5" t="s">
        <v>5363</v>
      </c>
      <c r="P1806" s="6" t="s">
        <v>42</v>
      </c>
      <c r="Q1806" s="5" t="s">
        <v>1237</v>
      </c>
      <c r="R1806" s="5" t="s">
        <v>11964</v>
      </c>
      <c r="S1806" s="6" t="s">
        <v>75</v>
      </c>
      <c r="T1806" s="6">
        <v>6450.0</v>
      </c>
    </row>
    <row r="1807" ht="56.25" customHeight="1">
      <c r="A1807" s="5" t="s">
        <v>11947</v>
      </c>
      <c r="B1807" s="6" t="str">
        <f>image("https://storage.googleapis.com/acdb/photos/BromideNpcNmlDog15_Remake_5_0.png")</f>
        <v/>
      </c>
      <c r="C1807" s="5" t="s">
        <v>58</v>
      </c>
      <c r="D1807" s="5" t="s">
        <v>1327</v>
      </c>
      <c r="E1807" s="5" t="s">
        <v>34</v>
      </c>
      <c r="F1807" s="5" t="s">
        <v>34</v>
      </c>
      <c r="G1807" s="5" t="s">
        <v>36</v>
      </c>
      <c r="H1807" s="5" t="s">
        <v>35</v>
      </c>
      <c r="I1807" s="6">
        <v>1.0</v>
      </c>
      <c r="J1807" s="6" t="s">
        <v>37</v>
      </c>
      <c r="K1807" s="6">
        <v>10.0</v>
      </c>
      <c r="L1807" s="5"/>
      <c r="M1807" s="5"/>
      <c r="N1807" s="6" t="s">
        <v>40</v>
      </c>
      <c r="O1807" s="5" t="s">
        <v>5363</v>
      </c>
      <c r="P1807" s="6" t="s">
        <v>42</v>
      </c>
      <c r="Q1807" s="5" t="s">
        <v>1237</v>
      </c>
      <c r="R1807" s="5" t="s">
        <v>11969</v>
      </c>
      <c r="S1807" s="6" t="s">
        <v>79</v>
      </c>
      <c r="T1807" s="6">
        <v>6450.0</v>
      </c>
    </row>
    <row r="1808" ht="56.25" customHeight="1">
      <c r="A1808" s="5" t="s">
        <v>11947</v>
      </c>
      <c r="B1808" s="6" t="str">
        <f>image("https://storage.googleapis.com/acdb/photos/BromideNpcNmlDog15_Remake_6_0.png")</f>
        <v/>
      </c>
      <c r="C1808" s="5" t="s">
        <v>146</v>
      </c>
      <c r="D1808" s="5" t="s">
        <v>1327</v>
      </c>
      <c r="E1808" s="5" t="s">
        <v>34</v>
      </c>
      <c r="F1808" s="5" t="s">
        <v>34</v>
      </c>
      <c r="G1808" s="5" t="s">
        <v>36</v>
      </c>
      <c r="H1808" s="5" t="s">
        <v>35</v>
      </c>
      <c r="I1808" s="6">
        <v>1.0</v>
      </c>
      <c r="J1808" s="6" t="s">
        <v>37</v>
      </c>
      <c r="K1808" s="6">
        <v>10.0</v>
      </c>
      <c r="L1808" s="5"/>
      <c r="M1808" s="5"/>
      <c r="N1808" s="6" t="s">
        <v>40</v>
      </c>
      <c r="O1808" s="5" t="s">
        <v>5363</v>
      </c>
      <c r="P1808" s="6" t="s">
        <v>42</v>
      </c>
      <c r="Q1808" s="5" t="s">
        <v>1237</v>
      </c>
      <c r="R1808" s="5" t="s">
        <v>11973</v>
      </c>
      <c r="S1808" s="6" t="s">
        <v>86</v>
      </c>
      <c r="T1808" s="6">
        <v>6450.0</v>
      </c>
    </row>
    <row r="1809" ht="56.25" customHeight="1">
      <c r="A1809" s="5" t="s">
        <v>11947</v>
      </c>
      <c r="B1809" s="6" t="str">
        <f>image("https://storage.googleapis.com/acdb/photos/BromideNpcNmlDog15_Remake_7_0.png")</f>
        <v/>
      </c>
      <c r="C1809" s="5" t="s">
        <v>151</v>
      </c>
      <c r="D1809" s="5" t="s">
        <v>1327</v>
      </c>
      <c r="E1809" s="5" t="s">
        <v>34</v>
      </c>
      <c r="F1809" s="5" t="s">
        <v>34</v>
      </c>
      <c r="G1809" s="5" t="s">
        <v>36</v>
      </c>
      <c r="H1809" s="5" t="s">
        <v>35</v>
      </c>
      <c r="I1809" s="6">
        <v>1.0</v>
      </c>
      <c r="J1809" s="6" t="s">
        <v>37</v>
      </c>
      <c r="K1809" s="6">
        <v>10.0</v>
      </c>
      <c r="L1809" s="5"/>
      <c r="M1809" s="5"/>
      <c r="N1809" s="6" t="s">
        <v>40</v>
      </c>
      <c r="O1809" s="5" t="s">
        <v>5363</v>
      </c>
      <c r="P1809" s="6" t="s">
        <v>42</v>
      </c>
      <c r="Q1809" s="5" t="s">
        <v>1237</v>
      </c>
      <c r="R1809" s="5" t="s">
        <v>11978</v>
      </c>
      <c r="S1809" s="6" t="s">
        <v>208</v>
      </c>
      <c r="T1809" s="6">
        <v>6450.0</v>
      </c>
    </row>
    <row r="1810" ht="56.25" customHeight="1">
      <c r="A1810" s="5" t="s">
        <v>11981</v>
      </c>
      <c r="B1810" s="6" t="str">
        <f>image("https://storage.googleapis.com/acdb/photos/BromideNpcNmlKgr10_Remake_0_0.png")</f>
        <v/>
      </c>
      <c r="C1810" s="5" t="s">
        <v>366</v>
      </c>
      <c r="D1810" s="5" t="s">
        <v>1327</v>
      </c>
      <c r="E1810" s="5" t="s">
        <v>34</v>
      </c>
      <c r="F1810" s="5" t="s">
        <v>34</v>
      </c>
      <c r="G1810" s="5" t="s">
        <v>36</v>
      </c>
      <c r="H1810" s="5" t="s">
        <v>35</v>
      </c>
      <c r="I1810" s="6">
        <v>1.0</v>
      </c>
      <c r="J1810" s="6" t="s">
        <v>37</v>
      </c>
      <c r="K1810" s="6">
        <v>10.0</v>
      </c>
      <c r="L1810" s="5"/>
      <c r="M1810" s="5"/>
      <c r="N1810" s="6" t="s">
        <v>40</v>
      </c>
      <c r="O1810" s="5" t="s">
        <v>5363</v>
      </c>
      <c r="P1810" s="6" t="s">
        <v>42</v>
      </c>
      <c r="Q1810" s="5" t="s">
        <v>1237</v>
      </c>
      <c r="R1810" s="5" t="s">
        <v>11984</v>
      </c>
      <c r="S1810" s="6" t="s">
        <v>50</v>
      </c>
      <c r="T1810" s="6">
        <v>6572.0</v>
      </c>
    </row>
    <row r="1811" ht="56.25" customHeight="1">
      <c r="A1811" s="5" t="s">
        <v>11981</v>
      </c>
      <c r="B1811" s="6" t="str">
        <f>image("https://storage.googleapis.com/acdb/photos/BromideNpcNmlKgr10_Remake_1_0.png")</f>
        <v/>
      </c>
      <c r="C1811" s="5" t="s">
        <v>1132</v>
      </c>
      <c r="D1811" s="5" t="s">
        <v>1327</v>
      </c>
      <c r="E1811" s="5" t="s">
        <v>34</v>
      </c>
      <c r="F1811" s="5" t="s">
        <v>34</v>
      </c>
      <c r="G1811" s="5" t="s">
        <v>36</v>
      </c>
      <c r="H1811" s="5" t="s">
        <v>35</v>
      </c>
      <c r="I1811" s="6">
        <v>1.0</v>
      </c>
      <c r="J1811" s="6" t="s">
        <v>37</v>
      </c>
      <c r="K1811" s="6">
        <v>10.0</v>
      </c>
      <c r="L1811" s="5"/>
      <c r="M1811" s="5"/>
      <c r="N1811" s="6" t="s">
        <v>40</v>
      </c>
      <c r="O1811" s="5" t="s">
        <v>5363</v>
      </c>
      <c r="P1811" s="6" t="s">
        <v>42</v>
      </c>
      <c r="Q1811" s="5" t="s">
        <v>1237</v>
      </c>
      <c r="R1811" s="5" t="s">
        <v>11988</v>
      </c>
      <c r="S1811" s="6" t="s">
        <v>56</v>
      </c>
      <c r="T1811" s="6">
        <v>6572.0</v>
      </c>
    </row>
    <row r="1812" ht="56.25" customHeight="1">
      <c r="A1812" s="5" t="s">
        <v>11981</v>
      </c>
      <c r="B1812" s="6" t="str">
        <f>image("https://storage.googleapis.com/acdb/photos/BromideNpcNmlKgr10_Remake_2_0.png")</f>
        <v/>
      </c>
      <c r="C1812" s="5" t="s">
        <v>688</v>
      </c>
      <c r="D1812" s="5" t="s">
        <v>1327</v>
      </c>
      <c r="E1812" s="5" t="s">
        <v>34</v>
      </c>
      <c r="F1812" s="5" t="s">
        <v>34</v>
      </c>
      <c r="G1812" s="5" t="s">
        <v>36</v>
      </c>
      <c r="H1812" s="5" t="s">
        <v>35</v>
      </c>
      <c r="I1812" s="6">
        <v>1.0</v>
      </c>
      <c r="J1812" s="6" t="s">
        <v>37</v>
      </c>
      <c r="K1812" s="6">
        <v>10.0</v>
      </c>
      <c r="L1812" s="5"/>
      <c r="M1812" s="5"/>
      <c r="N1812" s="6" t="s">
        <v>40</v>
      </c>
      <c r="O1812" s="5" t="s">
        <v>5363</v>
      </c>
      <c r="P1812" s="6" t="s">
        <v>42</v>
      </c>
      <c r="Q1812" s="5" t="s">
        <v>1237</v>
      </c>
      <c r="R1812" s="5" t="s">
        <v>11994</v>
      </c>
      <c r="S1812" s="6" t="s">
        <v>67</v>
      </c>
      <c r="T1812" s="6">
        <v>6572.0</v>
      </c>
    </row>
    <row r="1813" ht="56.25" customHeight="1">
      <c r="A1813" s="5" t="s">
        <v>11981</v>
      </c>
      <c r="B1813" s="6" t="str">
        <f>image("https://storage.googleapis.com/acdb/photos/BromideNpcNmlKgr10_Remake_3_0.png")</f>
        <v/>
      </c>
      <c r="C1813" s="5" t="s">
        <v>57</v>
      </c>
      <c r="D1813" s="5" t="s">
        <v>1327</v>
      </c>
      <c r="E1813" s="5" t="s">
        <v>34</v>
      </c>
      <c r="F1813" s="5" t="s">
        <v>34</v>
      </c>
      <c r="G1813" s="5" t="s">
        <v>36</v>
      </c>
      <c r="H1813" s="5" t="s">
        <v>35</v>
      </c>
      <c r="I1813" s="6">
        <v>1.0</v>
      </c>
      <c r="J1813" s="6" t="s">
        <v>37</v>
      </c>
      <c r="K1813" s="6">
        <v>10.0</v>
      </c>
      <c r="L1813" s="5"/>
      <c r="M1813" s="5"/>
      <c r="N1813" s="6" t="s">
        <v>40</v>
      </c>
      <c r="O1813" s="5" t="s">
        <v>5363</v>
      </c>
      <c r="P1813" s="6" t="s">
        <v>42</v>
      </c>
      <c r="Q1813" s="5" t="s">
        <v>1237</v>
      </c>
      <c r="R1813" s="5" t="s">
        <v>12002</v>
      </c>
      <c r="S1813" s="6" t="s">
        <v>71</v>
      </c>
      <c r="T1813" s="6">
        <v>6572.0</v>
      </c>
    </row>
    <row r="1814" ht="56.25" customHeight="1">
      <c r="A1814" s="5" t="s">
        <v>11981</v>
      </c>
      <c r="B1814" s="6" t="str">
        <f>image("https://storage.googleapis.com/acdb/photos/BromideNpcNmlKgr10_Remake_4_0.png")</f>
        <v/>
      </c>
      <c r="C1814" s="5" t="s">
        <v>1167</v>
      </c>
      <c r="D1814" s="5" t="s">
        <v>1327</v>
      </c>
      <c r="E1814" s="5" t="s">
        <v>34</v>
      </c>
      <c r="F1814" s="5" t="s">
        <v>34</v>
      </c>
      <c r="G1814" s="5" t="s">
        <v>36</v>
      </c>
      <c r="H1814" s="5" t="s">
        <v>35</v>
      </c>
      <c r="I1814" s="6">
        <v>1.0</v>
      </c>
      <c r="J1814" s="6" t="s">
        <v>37</v>
      </c>
      <c r="K1814" s="6">
        <v>10.0</v>
      </c>
      <c r="L1814" s="5"/>
      <c r="M1814" s="5"/>
      <c r="N1814" s="6" t="s">
        <v>40</v>
      </c>
      <c r="O1814" s="5" t="s">
        <v>5363</v>
      </c>
      <c r="P1814" s="6" t="s">
        <v>42</v>
      </c>
      <c r="Q1814" s="5" t="s">
        <v>1237</v>
      </c>
      <c r="R1814" s="5" t="s">
        <v>12007</v>
      </c>
      <c r="S1814" s="6" t="s">
        <v>75</v>
      </c>
      <c r="T1814" s="6">
        <v>6572.0</v>
      </c>
    </row>
    <row r="1815" ht="56.25" customHeight="1">
      <c r="A1815" s="5" t="s">
        <v>11981</v>
      </c>
      <c r="B1815" s="6" t="str">
        <f>image("https://storage.googleapis.com/acdb/photos/BromideNpcNmlKgr10_Remake_5_0.png")</f>
        <v/>
      </c>
      <c r="C1815" s="5" t="s">
        <v>58</v>
      </c>
      <c r="D1815" s="5" t="s">
        <v>1327</v>
      </c>
      <c r="E1815" s="5" t="s">
        <v>34</v>
      </c>
      <c r="F1815" s="5" t="s">
        <v>34</v>
      </c>
      <c r="G1815" s="5" t="s">
        <v>36</v>
      </c>
      <c r="H1815" s="5" t="s">
        <v>35</v>
      </c>
      <c r="I1815" s="6">
        <v>1.0</v>
      </c>
      <c r="J1815" s="6" t="s">
        <v>37</v>
      </c>
      <c r="K1815" s="6">
        <v>10.0</v>
      </c>
      <c r="L1815" s="5"/>
      <c r="M1815" s="5"/>
      <c r="N1815" s="6" t="s">
        <v>40</v>
      </c>
      <c r="O1815" s="5" t="s">
        <v>5363</v>
      </c>
      <c r="P1815" s="6" t="s">
        <v>42</v>
      </c>
      <c r="Q1815" s="5" t="s">
        <v>1237</v>
      </c>
      <c r="R1815" s="5" t="s">
        <v>12011</v>
      </c>
      <c r="S1815" s="6" t="s">
        <v>79</v>
      </c>
      <c r="T1815" s="6">
        <v>6572.0</v>
      </c>
    </row>
    <row r="1816" ht="56.25" customHeight="1">
      <c r="A1816" s="5" t="s">
        <v>11981</v>
      </c>
      <c r="B1816" s="6" t="str">
        <f>image("https://storage.googleapis.com/acdb/photos/BromideNpcNmlKgr10_Remake_6_0.png")</f>
        <v/>
      </c>
      <c r="C1816" s="5" t="s">
        <v>146</v>
      </c>
      <c r="D1816" s="5" t="s">
        <v>1327</v>
      </c>
      <c r="E1816" s="5" t="s">
        <v>34</v>
      </c>
      <c r="F1816" s="5" t="s">
        <v>34</v>
      </c>
      <c r="G1816" s="5" t="s">
        <v>36</v>
      </c>
      <c r="H1816" s="5" t="s">
        <v>35</v>
      </c>
      <c r="I1816" s="6">
        <v>1.0</v>
      </c>
      <c r="J1816" s="6" t="s">
        <v>37</v>
      </c>
      <c r="K1816" s="6">
        <v>10.0</v>
      </c>
      <c r="L1816" s="5"/>
      <c r="M1816" s="5"/>
      <c r="N1816" s="6" t="s">
        <v>40</v>
      </c>
      <c r="O1816" s="5" t="s">
        <v>5363</v>
      </c>
      <c r="P1816" s="6" t="s">
        <v>42</v>
      </c>
      <c r="Q1816" s="5" t="s">
        <v>1237</v>
      </c>
      <c r="R1816" s="5" t="s">
        <v>12017</v>
      </c>
      <c r="S1816" s="6" t="s">
        <v>86</v>
      </c>
      <c r="T1816" s="6">
        <v>6572.0</v>
      </c>
    </row>
    <row r="1817" ht="56.25" customHeight="1">
      <c r="A1817" s="5" t="s">
        <v>11981</v>
      </c>
      <c r="B1817" s="6" t="str">
        <f>image("https://storage.googleapis.com/acdb/photos/BromideNpcNmlKgr10_Remake_7_0.png")</f>
        <v/>
      </c>
      <c r="C1817" s="5" t="s">
        <v>151</v>
      </c>
      <c r="D1817" s="5" t="s">
        <v>1327</v>
      </c>
      <c r="E1817" s="5" t="s">
        <v>34</v>
      </c>
      <c r="F1817" s="5" t="s">
        <v>34</v>
      </c>
      <c r="G1817" s="5" t="s">
        <v>36</v>
      </c>
      <c r="H1817" s="5" t="s">
        <v>35</v>
      </c>
      <c r="I1817" s="6">
        <v>1.0</v>
      </c>
      <c r="J1817" s="6" t="s">
        <v>37</v>
      </c>
      <c r="K1817" s="6">
        <v>10.0</v>
      </c>
      <c r="L1817" s="5"/>
      <c r="M1817" s="5"/>
      <c r="N1817" s="6" t="s">
        <v>40</v>
      </c>
      <c r="O1817" s="5" t="s">
        <v>5363</v>
      </c>
      <c r="P1817" s="6" t="s">
        <v>42</v>
      </c>
      <c r="Q1817" s="5" t="s">
        <v>1237</v>
      </c>
      <c r="R1817" s="5" t="s">
        <v>12020</v>
      </c>
      <c r="S1817" s="6" t="s">
        <v>208</v>
      </c>
      <c r="T1817" s="6">
        <v>6572.0</v>
      </c>
    </row>
    <row r="1818" ht="56.25" customHeight="1">
      <c r="A1818" s="5" t="s">
        <v>12021</v>
      </c>
      <c r="B1818" s="6" t="str">
        <f>image("https://storage.googleapis.com/acdb/photos/BromideNpcNmlElp04_Remake_0_0.png")</f>
        <v/>
      </c>
      <c r="C1818" s="5" t="s">
        <v>366</v>
      </c>
      <c r="D1818" s="5" t="s">
        <v>1327</v>
      </c>
      <c r="E1818" s="5" t="s">
        <v>34</v>
      </c>
      <c r="F1818" s="5" t="s">
        <v>34</v>
      </c>
      <c r="G1818" s="5" t="s">
        <v>36</v>
      </c>
      <c r="H1818" s="5" t="s">
        <v>35</v>
      </c>
      <c r="I1818" s="6">
        <v>1.0</v>
      </c>
      <c r="J1818" s="6" t="s">
        <v>37</v>
      </c>
      <c r="K1818" s="6">
        <v>10.0</v>
      </c>
      <c r="L1818" s="5"/>
      <c r="M1818" s="5"/>
      <c r="N1818" s="6" t="s">
        <v>40</v>
      </c>
      <c r="O1818" s="5" t="s">
        <v>5363</v>
      </c>
      <c r="P1818" s="6" t="s">
        <v>42</v>
      </c>
      <c r="Q1818" s="5" t="s">
        <v>1237</v>
      </c>
      <c r="R1818" s="5" t="s">
        <v>12024</v>
      </c>
      <c r="S1818" s="6" t="s">
        <v>50</v>
      </c>
      <c r="T1818" s="6">
        <v>6477.0</v>
      </c>
    </row>
    <row r="1819" ht="56.25" customHeight="1">
      <c r="A1819" s="5" t="s">
        <v>12021</v>
      </c>
      <c r="B1819" s="6" t="str">
        <f>image("https://storage.googleapis.com/acdb/photos/BromideNpcNmlElp04_Remake_1_0.png")</f>
        <v/>
      </c>
      <c r="C1819" s="5" t="s">
        <v>1132</v>
      </c>
      <c r="D1819" s="5" t="s">
        <v>1327</v>
      </c>
      <c r="E1819" s="5" t="s">
        <v>34</v>
      </c>
      <c r="F1819" s="5" t="s">
        <v>34</v>
      </c>
      <c r="G1819" s="5" t="s">
        <v>36</v>
      </c>
      <c r="H1819" s="5" t="s">
        <v>35</v>
      </c>
      <c r="I1819" s="6">
        <v>1.0</v>
      </c>
      <c r="J1819" s="6" t="s">
        <v>37</v>
      </c>
      <c r="K1819" s="6">
        <v>10.0</v>
      </c>
      <c r="L1819" s="5"/>
      <c r="M1819" s="5"/>
      <c r="N1819" s="6" t="s">
        <v>40</v>
      </c>
      <c r="O1819" s="5" t="s">
        <v>5363</v>
      </c>
      <c r="P1819" s="6" t="s">
        <v>42</v>
      </c>
      <c r="Q1819" s="5" t="s">
        <v>1237</v>
      </c>
      <c r="R1819" s="5" t="s">
        <v>12030</v>
      </c>
      <c r="S1819" s="6" t="s">
        <v>56</v>
      </c>
      <c r="T1819" s="6">
        <v>6477.0</v>
      </c>
    </row>
    <row r="1820" ht="56.25" customHeight="1">
      <c r="A1820" s="5" t="s">
        <v>12021</v>
      </c>
      <c r="B1820" s="6" t="str">
        <f>image("https://storage.googleapis.com/acdb/photos/BromideNpcNmlElp04_Remake_2_0.png")</f>
        <v/>
      </c>
      <c r="C1820" s="5" t="s">
        <v>688</v>
      </c>
      <c r="D1820" s="5" t="s">
        <v>1327</v>
      </c>
      <c r="E1820" s="5" t="s">
        <v>34</v>
      </c>
      <c r="F1820" s="5" t="s">
        <v>34</v>
      </c>
      <c r="G1820" s="5" t="s">
        <v>36</v>
      </c>
      <c r="H1820" s="5" t="s">
        <v>35</v>
      </c>
      <c r="I1820" s="6">
        <v>1.0</v>
      </c>
      <c r="J1820" s="6" t="s">
        <v>37</v>
      </c>
      <c r="K1820" s="6">
        <v>10.0</v>
      </c>
      <c r="L1820" s="5"/>
      <c r="M1820" s="5"/>
      <c r="N1820" s="6" t="s">
        <v>40</v>
      </c>
      <c r="O1820" s="5" t="s">
        <v>5363</v>
      </c>
      <c r="P1820" s="6" t="s">
        <v>42</v>
      </c>
      <c r="Q1820" s="5" t="s">
        <v>1237</v>
      </c>
      <c r="R1820" s="5" t="s">
        <v>12033</v>
      </c>
      <c r="S1820" s="6" t="s">
        <v>67</v>
      </c>
      <c r="T1820" s="6">
        <v>6477.0</v>
      </c>
    </row>
    <row r="1821" ht="56.25" customHeight="1">
      <c r="A1821" s="5" t="s">
        <v>12021</v>
      </c>
      <c r="B1821" s="6" t="str">
        <f>image("https://storage.googleapis.com/acdb/photos/BromideNpcNmlElp04_Remake_3_0.png")</f>
        <v/>
      </c>
      <c r="C1821" s="5" t="s">
        <v>57</v>
      </c>
      <c r="D1821" s="5" t="s">
        <v>1327</v>
      </c>
      <c r="E1821" s="5" t="s">
        <v>34</v>
      </c>
      <c r="F1821" s="5" t="s">
        <v>34</v>
      </c>
      <c r="G1821" s="5" t="s">
        <v>36</v>
      </c>
      <c r="H1821" s="5" t="s">
        <v>35</v>
      </c>
      <c r="I1821" s="6">
        <v>1.0</v>
      </c>
      <c r="J1821" s="6" t="s">
        <v>37</v>
      </c>
      <c r="K1821" s="6">
        <v>10.0</v>
      </c>
      <c r="L1821" s="5"/>
      <c r="M1821" s="5"/>
      <c r="N1821" s="6" t="s">
        <v>40</v>
      </c>
      <c r="O1821" s="5" t="s">
        <v>5363</v>
      </c>
      <c r="P1821" s="6" t="s">
        <v>42</v>
      </c>
      <c r="Q1821" s="5" t="s">
        <v>1237</v>
      </c>
      <c r="R1821" s="5" t="s">
        <v>12037</v>
      </c>
      <c r="S1821" s="6" t="s">
        <v>71</v>
      </c>
      <c r="T1821" s="6">
        <v>6477.0</v>
      </c>
    </row>
    <row r="1822" ht="56.25" customHeight="1">
      <c r="A1822" s="5" t="s">
        <v>12021</v>
      </c>
      <c r="B1822" s="6" t="str">
        <f>image("https://storage.googleapis.com/acdb/photos/BromideNpcNmlElp04_Remake_4_0.png")</f>
        <v/>
      </c>
      <c r="C1822" s="5" t="s">
        <v>1167</v>
      </c>
      <c r="D1822" s="5" t="s">
        <v>1327</v>
      </c>
      <c r="E1822" s="5" t="s">
        <v>34</v>
      </c>
      <c r="F1822" s="5" t="s">
        <v>34</v>
      </c>
      <c r="G1822" s="5" t="s">
        <v>36</v>
      </c>
      <c r="H1822" s="5" t="s">
        <v>35</v>
      </c>
      <c r="I1822" s="6">
        <v>1.0</v>
      </c>
      <c r="J1822" s="6" t="s">
        <v>37</v>
      </c>
      <c r="K1822" s="6">
        <v>10.0</v>
      </c>
      <c r="L1822" s="5"/>
      <c r="M1822" s="5"/>
      <c r="N1822" s="6" t="s">
        <v>40</v>
      </c>
      <c r="O1822" s="5" t="s">
        <v>5363</v>
      </c>
      <c r="P1822" s="6" t="s">
        <v>42</v>
      </c>
      <c r="Q1822" s="5" t="s">
        <v>1237</v>
      </c>
      <c r="R1822" s="5" t="s">
        <v>12040</v>
      </c>
      <c r="S1822" s="6" t="s">
        <v>75</v>
      </c>
      <c r="T1822" s="6">
        <v>6477.0</v>
      </c>
    </row>
    <row r="1823" ht="56.25" customHeight="1">
      <c r="A1823" s="5" t="s">
        <v>12021</v>
      </c>
      <c r="B1823" s="6" t="str">
        <f>image("https://storage.googleapis.com/acdb/photos/BromideNpcNmlElp04_Remake_5_0.png")</f>
        <v/>
      </c>
      <c r="C1823" s="5" t="s">
        <v>58</v>
      </c>
      <c r="D1823" s="5" t="s">
        <v>1327</v>
      </c>
      <c r="E1823" s="5" t="s">
        <v>34</v>
      </c>
      <c r="F1823" s="5" t="s">
        <v>34</v>
      </c>
      <c r="G1823" s="5" t="s">
        <v>36</v>
      </c>
      <c r="H1823" s="5" t="s">
        <v>35</v>
      </c>
      <c r="I1823" s="6">
        <v>1.0</v>
      </c>
      <c r="J1823" s="6" t="s">
        <v>37</v>
      </c>
      <c r="K1823" s="6">
        <v>10.0</v>
      </c>
      <c r="L1823" s="5"/>
      <c r="M1823" s="5"/>
      <c r="N1823" s="6" t="s">
        <v>40</v>
      </c>
      <c r="O1823" s="5" t="s">
        <v>5363</v>
      </c>
      <c r="P1823" s="6" t="s">
        <v>42</v>
      </c>
      <c r="Q1823" s="5" t="s">
        <v>1237</v>
      </c>
      <c r="R1823" s="5" t="s">
        <v>12044</v>
      </c>
      <c r="S1823" s="6" t="s">
        <v>79</v>
      </c>
      <c r="T1823" s="6">
        <v>6477.0</v>
      </c>
    </row>
    <row r="1824" ht="56.25" customHeight="1">
      <c r="A1824" s="5" t="s">
        <v>12021</v>
      </c>
      <c r="B1824" s="6" t="str">
        <f>image("https://storage.googleapis.com/acdb/photos/BromideNpcNmlElp04_Remake_6_0.png")</f>
        <v/>
      </c>
      <c r="C1824" s="5" t="s">
        <v>146</v>
      </c>
      <c r="D1824" s="5" t="s">
        <v>1327</v>
      </c>
      <c r="E1824" s="5" t="s">
        <v>34</v>
      </c>
      <c r="F1824" s="5" t="s">
        <v>34</v>
      </c>
      <c r="G1824" s="5" t="s">
        <v>36</v>
      </c>
      <c r="H1824" s="5" t="s">
        <v>35</v>
      </c>
      <c r="I1824" s="6">
        <v>1.0</v>
      </c>
      <c r="J1824" s="6" t="s">
        <v>37</v>
      </c>
      <c r="K1824" s="6">
        <v>10.0</v>
      </c>
      <c r="L1824" s="5"/>
      <c r="M1824" s="5"/>
      <c r="N1824" s="6" t="s">
        <v>40</v>
      </c>
      <c r="O1824" s="5" t="s">
        <v>5363</v>
      </c>
      <c r="P1824" s="6" t="s">
        <v>42</v>
      </c>
      <c r="Q1824" s="5" t="s">
        <v>1237</v>
      </c>
      <c r="R1824" s="5" t="s">
        <v>12047</v>
      </c>
      <c r="S1824" s="6" t="s">
        <v>86</v>
      </c>
      <c r="T1824" s="6">
        <v>6477.0</v>
      </c>
    </row>
    <row r="1825" ht="56.25" customHeight="1">
      <c r="A1825" s="5" t="s">
        <v>12021</v>
      </c>
      <c r="B1825" s="6" t="str">
        <f>image("https://storage.googleapis.com/acdb/photos/BromideNpcNmlElp04_Remake_7_0.png")</f>
        <v/>
      </c>
      <c r="C1825" s="5" t="s">
        <v>151</v>
      </c>
      <c r="D1825" s="5" t="s">
        <v>1327</v>
      </c>
      <c r="E1825" s="5" t="s">
        <v>34</v>
      </c>
      <c r="F1825" s="5" t="s">
        <v>34</v>
      </c>
      <c r="G1825" s="5" t="s">
        <v>36</v>
      </c>
      <c r="H1825" s="5" t="s">
        <v>35</v>
      </c>
      <c r="I1825" s="6">
        <v>1.0</v>
      </c>
      <c r="J1825" s="6" t="s">
        <v>37</v>
      </c>
      <c r="K1825" s="6">
        <v>10.0</v>
      </c>
      <c r="L1825" s="5"/>
      <c r="M1825" s="5"/>
      <c r="N1825" s="6" t="s">
        <v>40</v>
      </c>
      <c r="O1825" s="5" t="s">
        <v>5363</v>
      </c>
      <c r="P1825" s="6" t="s">
        <v>42</v>
      </c>
      <c r="Q1825" s="5" t="s">
        <v>1237</v>
      </c>
      <c r="R1825" s="5" t="s">
        <v>12050</v>
      </c>
      <c r="S1825" s="6" t="s">
        <v>208</v>
      </c>
      <c r="T1825" s="6">
        <v>6477.0</v>
      </c>
    </row>
    <row r="1826" ht="56.25" customHeight="1">
      <c r="A1826" s="5" t="s">
        <v>12051</v>
      </c>
      <c r="B1826" s="6" t="str">
        <f>image("https://storage.googleapis.com/acdb/photos/BromideNpcNmlOcp01_Remake_0_0.png")</f>
        <v/>
      </c>
      <c r="C1826" s="5" t="s">
        <v>366</v>
      </c>
      <c r="D1826" s="5" t="s">
        <v>1327</v>
      </c>
      <c r="E1826" s="5" t="s">
        <v>34</v>
      </c>
      <c r="F1826" s="5" t="s">
        <v>34</v>
      </c>
      <c r="G1826" s="5" t="s">
        <v>36</v>
      </c>
      <c r="H1826" s="5" t="s">
        <v>35</v>
      </c>
      <c r="I1826" s="6">
        <v>1.0</v>
      </c>
      <c r="J1826" s="6" t="s">
        <v>37</v>
      </c>
      <c r="K1826" s="6">
        <v>10.0</v>
      </c>
      <c r="L1826" s="5"/>
      <c r="M1826" s="5"/>
      <c r="N1826" s="6" t="s">
        <v>40</v>
      </c>
      <c r="O1826" s="5" t="s">
        <v>5363</v>
      </c>
      <c r="P1826" s="6" t="s">
        <v>42</v>
      </c>
      <c r="Q1826" s="5" t="s">
        <v>1237</v>
      </c>
      <c r="R1826" s="5" t="s">
        <v>12055</v>
      </c>
      <c r="S1826" s="6" t="s">
        <v>50</v>
      </c>
      <c r="T1826" s="6">
        <v>6607.0</v>
      </c>
    </row>
    <row r="1827" ht="56.25" customHeight="1">
      <c r="A1827" s="5" t="s">
        <v>12051</v>
      </c>
      <c r="B1827" s="6" t="str">
        <f>image("https://storage.googleapis.com/acdb/photos/BromideNpcNmlOcp01_Remake_1_0.png")</f>
        <v/>
      </c>
      <c r="C1827" s="5" t="s">
        <v>1132</v>
      </c>
      <c r="D1827" s="5" t="s">
        <v>1327</v>
      </c>
      <c r="E1827" s="5" t="s">
        <v>34</v>
      </c>
      <c r="F1827" s="5" t="s">
        <v>34</v>
      </c>
      <c r="G1827" s="5" t="s">
        <v>36</v>
      </c>
      <c r="H1827" s="5" t="s">
        <v>35</v>
      </c>
      <c r="I1827" s="6">
        <v>1.0</v>
      </c>
      <c r="J1827" s="6" t="s">
        <v>37</v>
      </c>
      <c r="K1827" s="6">
        <v>10.0</v>
      </c>
      <c r="L1827" s="5"/>
      <c r="M1827" s="5"/>
      <c r="N1827" s="6" t="s">
        <v>40</v>
      </c>
      <c r="O1827" s="5" t="s">
        <v>5363</v>
      </c>
      <c r="P1827" s="6" t="s">
        <v>42</v>
      </c>
      <c r="Q1827" s="5" t="s">
        <v>1237</v>
      </c>
      <c r="R1827" s="5" t="s">
        <v>12058</v>
      </c>
      <c r="S1827" s="6" t="s">
        <v>56</v>
      </c>
      <c r="T1827" s="6">
        <v>6607.0</v>
      </c>
    </row>
    <row r="1828" ht="56.25" customHeight="1">
      <c r="A1828" s="5" t="s">
        <v>12051</v>
      </c>
      <c r="B1828" s="6" t="str">
        <f>image("https://storage.googleapis.com/acdb/photos/BromideNpcNmlOcp01_Remake_2_0.png")</f>
        <v/>
      </c>
      <c r="C1828" s="5" t="s">
        <v>688</v>
      </c>
      <c r="D1828" s="5" t="s">
        <v>1327</v>
      </c>
      <c r="E1828" s="5" t="s">
        <v>34</v>
      </c>
      <c r="F1828" s="5" t="s">
        <v>34</v>
      </c>
      <c r="G1828" s="5" t="s">
        <v>36</v>
      </c>
      <c r="H1828" s="5" t="s">
        <v>35</v>
      </c>
      <c r="I1828" s="6">
        <v>1.0</v>
      </c>
      <c r="J1828" s="6" t="s">
        <v>37</v>
      </c>
      <c r="K1828" s="6">
        <v>10.0</v>
      </c>
      <c r="L1828" s="5"/>
      <c r="M1828" s="5"/>
      <c r="N1828" s="6" t="s">
        <v>40</v>
      </c>
      <c r="O1828" s="5" t="s">
        <v>5363</v>
      </c>
      <c r="P1828" s="6" t="s">
        <v>42</v>
      </c>
      <c r="Q1828" s="5" t="s">
        <v>1237</v>
      </c>
      <c r="R1828" s="5" t="s">
        <v>12061</v>
      </c>
      <c r="S1828" s="6" t="s">
        <v>67</v>
      </c>
      <c r="T1828" s="6">
        <v>6607.0</v>
      </c>
    </row>
    <row r="1829" ht="56.25" customHeight="1">
      <c r="A1829" s="5" t="s">
        <v>12051</v>
      </c>
      <c r="B1829" s="6" t="str">
        <f>image("https://storage.googleapis.com/acdb/photos/BromideNpcNmlOcp01_Remake_3_0.png")</f>
        <v/>
      </c>
      <c r="C1829" s="5" t="s">
        <v>57</v>
      </c>
      <c r="D1829" s="5" t="s">
        <v>1327</v>
      </c>
      <c r="E1829" s="5" t="s">
        <v>34</v>
      </c>
      <c r="F1829" s="5" t="s">
        <v>34</v>
      </c>
      <c r="G1829" s="5" t="s">
        <v>36</v>
      </c>
      <c r="H1829" s="5" t="s">
        <v>35</v>
      </c>
      <c r="I1829" s="6">
        <v>1.0</v>
      </c>
      <c r="J1829" s="6" t="s">
        <v>37</v>
      </c>
      <c r="K1829" s="6">
        <v>10.0</v>
      </c>
      <c r="L1829" s="5"/>
      <c r="M1829" s="5"/>
      <c r="N1829" s="6" t="s">
        <v>40</v>
      </c>
      <c r="O1829" s="5" t="s">
        <v>5363</v>
      </c>
      <c r="P1829" s="6" t="s">
        <v>42</v>
      </c>
      <c r="Q1829" s="5" t="s">
        <v>1237</v>
      </c>
      <c r="R1829" s="5" t="s">
        <v>12065</v>
      </c>
      <c r="S1829" s="6" t="s">
        <v>71</v>
      </c>
      <c r="T1829" s="6">
        <v>6607.0</v>
      </c>
    </row>
    <row r="1830" ht="56.25" customHeight="1">
      <c r="A1830" s="5" t="s">
        <v>12051</v>
      </c>
      <c r="B1830" s="6" t="str">
        <f>image("https://storage.googleapis.com/acdb/photos/BromideNpcNmlOcp01_Remake_4_0.png")</f>
        <v/>
      </c>
      <c r="C1830" s="5" t="s">
        <v>1167</v>
      </c>
      <c r="D1830" s="5" t="s">
        <v>1327</v>
      </c>
      <c r="E1830" s="5" t="s">
        <v>34</v>
      </c>
      <c r="F1830" s="5" t="s">
        <v>34</v>
      </c>
      <c r="G1830" s="5" t="s">
        <v>36</v>
      </c>
      <c r="H1830" s="5" t="s">
        <v>35</v>
      </c>
      <c r="I1830" s="6">
        <v>1.0</v>
      </c>
      <c r="J1830" s="6" t="s">
        <v>37</v>
      </c>
      <c r="K1830" s="6">
        <v>10.0</v>
      </c>
      <c r="L1830" s="5"/>
      <c r="M1830" s="5"/>
      <c r="N1830" s="6" t="s">
        <v>40</v>
      </c>
      <c r="O1830" s="5" t="s">
        <v>5363</v>
      </c>
      <c r="P1830" s="6" t="s">
        <v>42</v>
      </c>
      <c r="Q1830" s="5" t="s">
        <v>1237</v>
      </c>
      <c r="R1830" s="5" t="s">
        <v>12069</v>
      </c>
      <c r="S1830" s="6" t="s">
        <v>75</v>
      </c>
      <c r="T1830" s="6">
        <v>6607.0</v>
      </c>
    </row>
    <row r="1831" ht="56.25" customHeight="1">
      <c r="A1831" s="5" t="s">
        <v>12051</v>
      </c>
      <c r="B1831" s="6" t="str">
        <f>image("https://storage.googleapis.com/acdb/photos/BromideNpcNmlOcp01_Remake_5_0.png")</f>
        <v/>
      </c>
      <c r="C1831" s="5" t="s">
        <v>58</v>
      </c>
      <c r="D1831" s="5" t="s">
        <v>1327</v>
      </c>
      <c r="E1831" s="5" t="s">
        <v>34</v>
      </c>
      <c r="F1831" s="5" t="s">
        <v>34</v>
      </c>
      <c r="G1831" s="5" t="s">
        <v>36</v>
      </c>
      <c r="H1831" s="5" t="s">
        <v>35</v>
      </c>
      <c r="I1831" s="6">
        <v>1.0</v>
      </c>
      <c r="J1831" s="6" t="s">
        <v>37</v>
      </c>
      <c r="K1831" s="6">
        <v>10.0</v>
      </c>
      <c r="L1831" s="5"/>
      <c r="M1831" s="5"/>
      <c r="N1831" s="6" t="s">
        <v>40</v>
      </c>
      <c r="O1831" s="5" t="s">
        <v>5363</v>
      </c>
      <c r="P1831" s="6" t="s">
        <v>42</v>
      </c>
      <c r="Q1831" s="5" t="s">
        <v>1237</v>
      </c>
      <c r="R1831" s="5" t="s">
        <v>12072</v>
      </c>
      <c r="S1831" s="6" t="s">
        <v>79</v>
      </c>
      <c r="T1831" s="6">
        <v>6607.0</v>
      </c>
    </row>
    <row r="1832" ht="56.25" customHeight="1">
      <c r="A1832" s="5" t="s">
        <v>12051</v>
      </c>
      <c r="B1832" s="6" t="str">
        <f>image("https://storage.googleapis.com/acdb/photos/BromideNpcNmlOcp01_Remake_6_0.png")</f>
        <v/>
      </c>
      <c r="C1832" s="5" t="s">
        <v>146</v>
      </c>
      <c r="D1832" s="5" t="s">
        <v>1327</v>
      </c>
      <c r="E1832" s="5" t="s">
        <v>34</v>
      </c>
      <c r="F1832" s="5" t="s">
        <v>34</v>
      </c>
      <c r="G1832" s="5" t="s">
        <v>36</v>
      </c>
      <c r="H1832" s="5" t="s">
        <v>35</v>
      </c>
      <c r="I1832" s="6">
        <v>1.0</v>
      </c>
      <c r="J1832" s="6" t="s">
        <v>37</v>
      </c>
      <c r="K1832" s="6">
        <v>10.0</v>
      </c>
      <c r="L1832" s="5"/>
      <c r="M1832" s="5"/>
      <c r="N1832" s="6" t="s">
        <v>40</v>
      </c>
      <c r="O1832" s="5" t="s">
        <v>5363</v>
      </c>
      <c r="P1832" s="6" t="s">
        <v>42</v>
      </c>
      <c r="Q1832" s="5" t="s">
        <v>1237</v>
      </c>
      <c r="R1832" s="5" t="s">
        <v>12076</v>
      </c>
      <c r="S1832" s="6" t="s">
        <v>86</v>
      </c>
      <c r="T1832" s="6">
        <v>6607.0</v>
      </c>
    </row>
    <row r="1833" ht="56.25" customHeight="1">
      <c r="A1833" s="5" t="s">
        <v>12051</v>
      </c>
      <c r="B1833" s="6" t="str">
        <f>image("https://storage.googleapis.com/acdb/photos/BromideNpcNmlOcp01_Remake_7_0.png")</f>
        <v/>
      </c>
      <c r="C1833" s="5" t="s">
        <v>151</v>
      </c>
      <c r="D1833" s="5" t="s">
        <v>1327</v>
      </c>
      <c r="E1833" s="5" t="s">
        <v>34</v>
      </c>
      <c r="F1833" s="5" t="s">
        <v>34</v>
      </c>
      <c r="G1833" s="5" t="s">
        <v>36</v>
      </c>
      <c r="H1833" s="5" t="s">
        <v>35</v>
      </c>
      <c r="I1833" s="6">
        <v>1.0</v>
      </c>
      <c r="J1833" s="6" t="s">
        <v>37</v>
      </c>
      <c r="K1833" s="6">
        <v>10.0</v>
      </c>
      <c r="L1833" s="5"/>
      <c r="M1833" s="5"/>
      <c r="N1833" s="6" t="s">
        <v>40</v>
      </c>
      <c r="O1833" s="5" t="s">
        <v>5363</v>
      </c>
      <c r="P1833" s="6" t="s">
        <v>42</v>
      </c>
      <c r="Q1833" s="5" t="s">
        <v>1237</v>
      </c>
      <c r="R1833" s="5" t="s">
        <v>12078</v>
      </c>
      <c r="S1833" s="6" t="s">
        <v>208</v>
      </c>
      <c r="T1833" s="6">
        <v>6607.0</v>
      </c>
    </row>
    <row r="1834" ht="56.25" customHeight="1">
      <c r="A1834" s="5" t="s">
        <v>12080</v>
      </c>
      <c r="B1834" s="6" t="str">
        <f>image("https://storage.googleapis.com/acdb/photos/BromideNpcNmlSqu17_Remake_0_0.png")</f>
        <v/>
      </c>
      <c r="C1834" s="5" t="s">
        <v>366</v>
      </c>
      <c r="D1834" s="5" t="s">
        <v>1327</v>
      </c>
      <c r="E1834" s="5" t="s">
        <v>34</v>
      </c>
      <c r="F1834" s="5" t="s">
        <v>34</v>
      </c>
      <c r="G1834" s="5" t="s">
        <v>36</v>
      </c>
      <c r="H1834" s="5" t="s">
        <v>35</v>
      </c>
      <c r="I1834" s="6">
        <v>1.0</v>
      </c>
      <c r="J1834" s="6" t="s">
        <v>37</v>
      </c>
      <c r="K1834" s="6">
        <v>10.0</v>
      </c>
      <c r="L1834" s="5"/>
      <c r="M1834" s="5"/>
      <c r="N1834" s="6" t="s">
        <v>40</v>
      </c>
      <c r="O1834" s="5" t="s">
        <v>5363</v>
      </c>
      <c r="P1834" s="6" t="s">
        <v>42</v>
      </c>
      <c r="Q1834" s="5" t="s">
        <v>1237</v>
      </c>
      <c r="R1834" s="5" t="s">
        <v>12082</v>
      </c>
      <c r="S1834" s="6" t="s">
        <v>50</v>
      </c>
      <c r="T1834" s="6">
        <v>6721.0</v>
      </c>
    </row>
    <row r="1835" ht="56.25" customHeight="1">
      <c r="A1835" s="5" t="s">
        <v>12080</v>
      </c>
      <c r="B1835" s="6" t="str">
        <f>image("https://storage.googleapis.com/acdb/photos/BromideNpcNmlSqu17_Remake_1_0.png")</f>
        <v/>
      </c>
      <c r="C1835" s="5" t="s">
        <v>1132</v>
      </c>
      <c r="D1835" s="5" t="s">
        <v>1327</v>
      </c>
      <c r="E1835" s="5" t="s">
        <v>34</v>
      </c>
      <c r="F1835" s="5" t="s">
        <v>34</v>
      </c>
      <c r="G1835" s="5" t="s">
        <v>36</v>
      </c>
      <c r="H1835" s="5" t="s">
        <v>35</v>
      </c>
      <c r="I1835" s="6">
        <v>1.0</v>
      </c>
      <c r="J1835" s="6" t="s">
        <v>37</v>
      </c>
      <c r="K1835" s="6">
        <v>10.0</v>
      </c>
      <c r="L1835" s="5"/>
      <c r="M1835" s="5"/>
      <c r="N1835" s="6" t="s">
        <v>40</v>
      </c>
      <c r="O1835" s="5" t="s">
        <v>5363</v>
      </c>
      <c r="P1835" s="6" t="s">
        <v>42</v>
      </c>
      <c r="Q1835" s="5" t="s">
        <v>1237</v>
      </c>
      <c r="R1835" s="5" t="s">
        <v>12084</v>
      </c>
      <c r="S1835" s="6" t="s">
        <v>56</v>
      </c>
      <c r="T1835" s="6">
        <v>6721.0</v>
      </c>
    </row>
    <row r="1836" ht="56.25" customHeight="1">
      <c r="A1836" s="5" t="s">
        <v>12080</v>
      </c>
      <c r="B1836" s="6" t="str">
        <f>image("https://storage.googleapis.com/acdb/photos/BromideNpcNmlSqu17_Remake_2_0.png")</f>
        <v/>
      </c>
      <c r="C1836" s="5" t="s">
        <v>688</v>
      </c>
      <c r="D1836" s="5" t="s">
        <v>1327</v>
      </c>
      <c r="E1836" s="5" t="s">
        <v>34</v>
      </c>
      <c r="F1836" s="5" t="s">
        <v>34</v>
      </c>
      <c r="G1836" s="5" t="s">
        <v>36</v>
      </c>
      <c r="H1836" s="5" t="s">
        <v>35</v>
      </c>
      <c r="I1836" s="6">
        <v>1.0</v>
      </c>
      <c r="J1836" s="6" t="s">
        <v>37</v>
      </c>
      <c r="K1836" s="6">
        <v>10.0</v>
      </c>
      <c r="L1836" s="5"/>
      <c r="M1836" s="5"/>
      <c r="N1836" s="6" t="s">
        <v>40</v>
      </c>
      <c r="O1836" s="5" t="s">
        <v>5363</v>
      </c>
      <c r="P1836" s="6" t="s">
        <v>42</v>
      </c>
      <c r="Q1836" s="5" t="s">
        <v>1237</v>
      </c>
      <c r="R1836" s="5" t="s">
        <v>12089</v>
      </c>
      <c r="S1836" s="6" t="s">
        <v>67</v>
      </c>
      <c r="T1836" s="6">
        <v>6721.0</v>
      </c>
    </row>
    <row r="1837" ht="56.25" customHeight="1">
      <c r="A1837" s="5" t="s">
        <v>12080</v>
      </c>
      <c r="B1837" s="6" t="str">
        <f>image("https://storage.googleapis.com/acdb/photos/BromideNpcNmlSqu17_Remake_3_0.png")</f>
        <v/>
      </c>
      <c r="C1837" s="5" t="s">
        <v>57</v>
      </c>
      <c r="D1837" s="5" t="s">
        <v>1327</v>
      </c>
      <c r="E1837" s="5" t="s">
        <v>34</v>
      </c>
      <c r="F1837" s="5" t="s">
        <v>34</v>
      </c>
      <c r="G1837" s="5" t="s">
        <v>36</v>
      </c>
      <c r="H1837" s="5" t="s">
        <v>35</v>
      </c>
      <c r="I1837" s="6">
        <v>1.0</v>
      </c>
      <c r="J1837" s="6" t="s">
        <v>37</v>
      </c>
      <c r="K1837" s="6">
        <v>10.0</v>
      </c>
      <c r="L1837" s="5"/>
      <c r="M1837" s="5"/>
      <c r="N1837" s="6" t="s">
        <v>40</v>
      </c>
      <c r="O1837" s="5" t="s">
        <v>5363</v>
      </c>
      <c r="P1837" s="6" t="s">
        <v>42</v>
      </c>
      <c r="Q1837" s="5" t="s">
        <v>1237</v>
      </c>
      <c r="R1837" s="5" t="s">
        <v>12090</v>
      </c>
      <c r="S1837" s="6" t="s">
        <v>71</v>
      </c>
      <c r="T1837" s="6">
        <v>6721.0</v>
      </c>
    </row>
    <row r="1838" ht="56.25" customHeight="1">
      <c r="A1838" s="5" t="s">
        <v>12080</v>
      </c>
      <c r="B1838" s="6" t="str">
        <f>image("https://storage.googleapis.com/acdb/photos/BromideNpcNmlSqu17_Remake_4_0.png")</f>
        <v/>
      </c>
      <c r="C1838" s="5" t="s">
        <v>1167</v>
      </c>
      <c r="D1838" s="5" t="s">
        <v>1327</v>
      </c>
      <c r="E1838" s="5" t="s">
        <v>34</v>
      </c>
      <c r="F1838" s="5" t="s">
        <v>34</v>
      </c>
      <c r="G1838" s="5" t="s">
        <v>36</v>
      </c>
      <c r="H1838" s="5" t="s">
        <v>35</v>
      </c>
      <c r="I1838" s="6">
        <v>1.0</v>
      </c>
      <c r="J1838" s="6" t="s">
        <v>37</v>
      </c>
      <c r="K1838" s="6">
        <v>10.0</v>
      </c>
      <c r="L1838" s="5"/>
      <c r="M1838" s="5"/>
      <c r="N1838" s="6" t="s">
        <v>40</v>
      </c>
      <c r="O1838" s="5" t="s">
        <v>5363</v>
      </c>
      <c r="P1838" s="6" t="s">
        <v>42</v>
      </c>
      <c r="Q1838" s="5" t="s">
        <v>1237</v>
      </c>
      <c r="R1838" s="5" t="s">
        <v>12092</v>
      </c>
      <c r="S1838" s="6" t="s">
        <v>75</v>
      </c>
      <c r="T1838" s="6">
        <v>6721.0</v>
      </c>
    </row>
    <row r="1839" ht="56.25" customHeight="1">
      <c r="A1839" s="5" t="s">
        <v>12080</v>
      </c>
      <c r="B1839" s="6" t="str">
        <f>image("https://storage.googleapis.com/acdb/photos/BromideNpcNmlSqu17_Remake_5_0.png")</f>
        <v/>
      </c>
      <c r="C1839" s="5" t="s">
        <v>58</v>
      </c>
      <c r="D1839" s="5" t="s">
        <v>1327</v>
      </c>
      <c r="E1839" s="5" t="s">
        <v>34</v>
      </c>
      <c r="F1839" s="5" t="s">
        <v>34</v>
      </c>
      <c r="G1839" s="5" t="s">
        <v>36</v>
      </c>
      <c r="H1839" s="5" t="s">
        <v>35</v>
      </c>
      <c r="I1839" s="6">
        <v>1.0</v>
      </c>
      <c r="J1839" s="6" t="s">
        <v>37</v>
      </c>
      <c r="K1839" s="6">
        <v>10.0</v>
      </c>
      <c r="L1839" s="5"/>
      <c r="M1839" s="5"/>
      <c r="N1839" s="6" t="s">
        <v>40</v>
      </c>
      <c r="O1839" s="5" t="s">
        <v>5363</v>
      </c>
      <c r="P1839" s="6" t="s">
        <v>42</v>
      </c>
      <c r="Q1839" s="5" t="s">
        <v>1237</v>
      </c>
      <c r="R1839" s="5" t="s">
        <v>12094</v>
      </c>
      <c r="S1839" s="6" t="s">
        <v>79</v>
      </c>
      <c r="T1839" s="6">
        <v>6721.0</v>
      </c>
    </row>
    <row r="1840" ht="56.25" customHeight="1">
      <c r="A1840" s="5" t="s">
        <v>12080</v>
      </c>
      <c r="B1840" s="6" t="str">
        <f>image("https://storage.googleapis.com/acdb/photos/BromideNpcNmlSqu17_Remake_6_0.png")</f>
        <v/>
      </c>
      <c r="C1840" s="5" t="s">
        <v>146</v>
      </c>
      <c r="D1840" s="5" t="s">
        <v>1327</v>
      </c>
      <c r="E1840" s="5" t="s">
        <v>34</v>
      </c>
      <c r="F1840" s="5" t="s">
        <v>34</v>
      </c>
      <c r="G1840" s="5" t="s">
        <v>36</v>
      </c>
      <c r="H1840" s="5" t="s">
        <v>35</v>
      </c>
      <c r="I1840" s="6">
        <v>1.0</v>
      </c>
      <c r="J1840" s="6" t="s">
        <v>37</v>
      </c>
      <c r="K1840" s="6">
        <v>10.0</v>
      </c>
      <c r="L1840" s="5"/>
      <c r="M1840" s="5"/>
      <c r="N1840" s="6" t="s">
        <v>40</v>
      </c>
      <c r="O1840" s="5" t="s">
        <v>5363</v>
      </c>
      <c r="P1840" s="6" t="s">
        <v>42</v>
      </c>
      <c r="Q1840" s="5" t="s">
        <v>1237</v>
      </c>
      <c r="R1840" s="5" t="s">
        <v>12095</v>
      </c>
      <c r="S1840" s="6" t="s">
        <v>86</v>
      </c>
      <c r="T1840" s="6">
        <v>6721.0</v>
      </c>
    </row>
    <row r="1841" ht="56.25" customHeight="1">
      <c r="A1841" s="5" t="s">
        <v>12080</v>
      </c>
      <c r="B1841" s="6" t="str">
        <f>image("https://storage.googleapis.com/acdb/photos/BromideNpcNmlSqu17_Remake_7_0.png")</f>
        <v/>
      </c>
      <c r="C1841" s="5" t="s">
        <v>151</v>
      </c>
      <c r="D1841" s="5" t="s">
        <v>1327</v>
      </c>
      <c r="E1841" s="5" t="s">
        <v>34</v>
      </c>
      <c r="F1841" s="5" t="s">
        <v>34</v>
      </c>
      <c r="G1841" s="5" t="s">
        <v>36</v>
      </c>
      <c r="H1841" s="5" t="s">
        <v>35</v>
      </c>
      <c r="I1841" s="6">
        <v>1.0</v>
      </c>
      <c r="J1841" s="6" t="s">
        <v>37</v>
      </c>
      <c r="K1841" s="6">
        <v>10.0</v>
      </c>
      <c r="L1841" s="5"/>
      <c r="M1841" s="5"/>
      <c r="N1841" s="6" t="s">
        <v>40</v>
      </c>
      <c r="O1841" s="5" t="s">
        <v>5363</v>
      </c>
      <c r="P1841" s="6" t="s">
        <v>42</v>
      </c>
      <c r="Q1841" s="5" t="s">
        <v>1237</v>
      </c>
      <c r="R1841" s="5" t="s">
        <v>12097</v>
      </c>
      <c r="S1841" s="6" t="s">
        <v>208</v>
      </c>
      <c r="T1841" s="6">
        <v>6721.0</v>
      </c>
    </row>
    <row r="1842" ht="56.25" customHeight="1">
      <c r="A1842" s="5" t="s">
        <v>12098</v>
      </c>
      <c r="B1842" s="6" t="str">
        <f>image("https://storage.googleapis.com/acdb/photos/BromideNpcNmlKgr01_Remake_0_0.png")</f>
        <v/>
      </c>
      <c r="C1842" s="5" t="s">
        <v>366</v>
      </c>
      <c r="D1842" s="5" t="s">
        <v>1327</v>
      </c>
      <c r="E1842" s="5" t="s">
        <v>34</v>
      </c>
      <c r="F1842" s="5" t="s">
        <v>34</v>
      </c>
      <c r="G1842" s="5" t="s">
        <v>36</v>
      </c>
      <c r="H1842" s="5" t="s">
        <v>35</v>
      </c>
      <c r="I1842" s="6">
        <v>1.0</v>
      </c>
      <c r="J1842" s="6" t="s">
        <v>37</v>
      </c>
      <c r="K1842" s="6">
        <v>10.0</v>
      </c>
      <c r="L1842" s="5"/>
      <c r="M1842" s="5"/>
      <c r="N1842" s="6" t="s">
        <v>40</v>
      </c>
      <c r="O1842" s="5" t="s">
        <v>5363</v>
      </c>
      <c r="P1842" s="6" t="s">
        <v>42</v>
      </c>
      <c r="Q1842" s="5" t="s">
        <v>1237</v>
      </c>
      <c r="R1842" s="5" t="s">
        <v>12100</v>
      </c>
      <c r="S1842" s="6" t="s">
        <v>50</v>
      </c>
      <c r="T1842" s="6">
        <v>6565.0</v>
      </c>
    </row>
    <row r="1843" ht="56.25" customHeight="1">
      <c r="A1843" s="5" t="s">
        <v>12098</v>
      </c>
      <c r="B1843" s="6" t="str">
        <f>image("https://storage.googleapis.com/acdb/photos/BromideNpcNmlKgr01_Remake_1_0.png")</f>
        <v/>
      </c>
      <c r="C1843" s="5" t="s">
        <v>1132</v>
      </c>
      <c r="D1843" s="5" t="s">
        <v>1327</v>
      </c>
      <c r="E1843" s="5" t="s">
        <v>34</v>
      </c>
      <c r="F1843" s="5" t="s">
        <v>34</v>
      </c>
      <c r="G1843" s="5" t="s">
        <v>36</v>
      </c>
      <c r="H1843" s="5" t="s">
        <v>35</v>
      </c>
      <c r="I1843" s="6">
        <v>1.0</v>
      </c>
      <c r="J1843" s="6" t="s">
        <v>37</v>
      </c>
      <c r="K1843" s="6">
        <v>10.0</v>
      </c>
      <c r="L1843" s="5"/>
      <c r="M1843" s="5"/>
      <c r="N1843" s="6" t="s">
        <v>40</v>
      </c>
      <c r="O1843" s="5" t="s">
        <v>5363</v>
      </c>
      <c r="P1843" s="6" t="s">
        <v>42</v>
      </c>
      <c r="Q1843" s="5" t="s">
        <v>1237</v>
      </c>
      <c r="R1843" s="5" t="s">
        <v>12101</v>
      </c>
      <c r="S1843" s="6" t="s">
        <v>56</v>
      </c>
      <c r="T1843" s="6">
        <v>6565.0</v>
      </c>
    </row>
    <row r="1844" ht="56.25" customHeight="1">
      <c r="A1844" s="5" t="s">
        <v>12098</v>
      </c>
      <c r="B1844" s="6" t="str">
        <f>image("https://storage.googleapis.com/acdb/photos/BromideNpcNmlKgr01_Remake_2_0.png")</f>
        <v/>
      </c>
      <c r="C1844" s="5" t="s">
        <v>688</v>
      </c>
      <c r="D1844" s="5" t="s">
        <v>1327</v>
      </c>
      <c r="E1844" s="5" t="s">
        <v>34</v>
      </c>
      <c r="F1844" s="5" t="s">
        <v>34</v>
      </c>
      <c r="G1844" s="5" t="s">
        <v>36</v>
      </c>
      <c r="H1844" s="5" t="s">
        <v>35</v>
      </c>
      <c r="I1844" s="6">
        <v>1.0</v>
      </c>
      <c r="J1844" s="6" t="s">
        <v>37</v>
      </c>
      <c r="K1844" s="6">
        <v>10.0</v>
      </c>
      <c r="L1844" s="5"/>
      <c r="M1844" s="5"/>
      <c r="N1844" s="6" t="s">
        <v>40</v>
      </c>
      <c r="O1844" s="5" t="s">
        <v>5363</v>
      </c>
      <c r="P1844" s="6" t="s">
        <v>42</v>
      </c>
      <c r="Q1844" s="5" t="s">
        <v>1237</v>
      </c>
      <c r="R1844" s="5" t="s">
        <v>12105</v>
      </c>
      <c r="S1844" s="6" t="s">
        <v>67</v>
      </c>
      <c r="T1844" s="6">
        <v>6565.0</v>
      </c>
    </row>
    <row r="1845" ht="56.25" customHeight="1">
      <c r="A1845" s="5" t="s">
        <v>12098</v>
      </c>
      <c r="B1845" s="6" t="str">
        <f>image("https://storage.googleapis.com/acdb/photos/BromideNpcNmlKgr01_Remake_3_0.png")</f>
        <v/>
      </c>
      <c r="C1845" s="5" t="s">
        <v>57</v>
      </c>
      <c r="D1845" s="5" t="s">
        <v>1327</v>
      </c>
      <c r="E1845" s="5" t="s">
        <v>34</v>
      </c>
      <c r="F1845" s="5" t="s">
        <v>34</v>
      </c>
      <c r="G1845" s="5" t="s">
        <v>36</v>
      </c>
      <c r="H1845" s="5" t="s">
        <v>35</v>
      </c>
      <c r="I1845" s="6">
        <v>1.0</v>
      </c>
      <c r="J1845" s="6" t="s">
        <v>37</v>
      </c>
      <c r="K1845" s="6">
        <v>10.0</v>
      </c>
      <c r="L1845" s="5"/>
      <c r="M1845" s="5"/>
      <c r="N1845" s="6" t="s">
        <v>40</v>
      </c>
      <c r="O1845" s="5" t="s">
        <v>5363</v>
      </c>
      <c r="P1845" s="6" t="s">
        <v>42</v>
      </c>
      <c r="Q1845" s="5" t="s">
        <v>1237</v>
      </c>
      <c r="R1845" s="5" t="s">
        <v>12108</v>
      </c>
      <c r="S1845" s="6" t="s">
        <v>71</v>
      </c>
      <c r="T1845" s="6">
        <v>6565.0</v>
      </c>
    </row>
    <row r="1846" ht="56.25" customHeight="1">
      <c r="A1846" s="5" t="s">
        <v>12098</v>
      </c>
      <c r="B1846" s="6" t="str">
        <f>image("https://storage.googleapis.com/acdb/photos/BromideNpcNmlKgr01_Remake_4_0.png")</f>
        <v/>
      </c>
      <c r="C1846" s="5" t="s">
        <v>1167</v>
      </c>
      <c r="D1846" s="5" t="s">
        <v>1327</v>
      </c>
      <c r="E1846" s="5" t="s">
        <v>34</v>
      </c>
      <c r="F1846" s="5" t="s">
        <v>34</v>
      </c>
      <c r="G1846" s="5" t="s">
        <v>36</v>
      </c>
      <c r="H1846" s="5" t="s">
        <v>35</v>
      </c>
      <c r="I1846" s="6">
        <v>1.0</v>
      </c>
      <c r="J1846" s="6" t="s">
        <v>37</v>
      </c>
      <c r="K1846" s="6">
        <v>10.0</v>
      </c>
      <c r="L1846" s="5"/>
      <c r="M1846" s="5"/>
      <c r="N1846" s="6" t="s">
        <v>40</v>
      </c>
      <c r="O1846" s="5" t="s">
        <v>5363</v>
      </c>
      <c r="P1846" s="6" t="s">
        <v>42</v>
      </c>
      <c r="Q1846" s="5" t="s">
        <v>1237</v>
      </c>
      <c r="R1846" s="5" t="s">
        <v>12111</v>
      </c>
      <c r="S1846" s="6" t="s">
        <v>75</v>
      </c>
      <c r="T1846" s="6">
        <v>6565.0</v>
      </c>
    </row>
    <row r="1847" ht="56.25" customHeight="1">
      <c r="A1847" s="5" t="s">
        <v>12098</v>
      </c>
      <c r="B1847" s="6" t="str">
        <f>image("https://storage.googleapis.com/acdb/photos/BromideNpcNmlKgr01_Remake_5_0.png")</f>
        <v/>
      </c>
      <c r="C1847" s="5" t="s">
        <v>58</v>
      </c>
      <c r="D1847" s="5" t="s">
        <v>1327</v>
      </c>
      <c r="E1847" s="5" t="s">
        <v>34</v>
      </c>
      <c r="F1847" s="5" t="s">
        <v>34</v>
      </c>
      <c r="G1847" s="5" t="s">
        <v>36</v>
      </c>
      <c r="H1847" s="5" t="s">
        <v>35</v>
      </c>
      <c r="I1847" s="6">
        <v>1.0</v>
      </c>
      <c r="J1847" s="6" t="s">
        <v>37</v>
      </c>
      <c r="K1847" s="6">
        <v>10.0</v>
      </c>
      <c r="L1847" s="5"/>
      <c r="M1847" s="5"/>
      <c r="N1847" s="6" t="s">
        <v>40</v>
      </c>
      <c r="O1847" s="5" t="s">
        <v>5363</v>
      </c>
      <c r="P1847" s="6" t="s">
        <v>42</v>
      </c>
      <c r="Q1847" s="5" t="s">
        <v>1237</v>
      </c>
      <c r="R1847" s="5" t="s">
        <v>12115</v>
      </c>
      <c r="S1847" s="6" t="s">
        <v>79</v>
      </c>
      <c r="T1847" s="6">
        <v>6565.0</v>
      </c>
    </row>
    <row r="1848" ht="56.25" customHeight="1">
      <c r="A1848" s="5" t="s">
        <v>12098</v>
      </c>
      <c r="B1848" s="6" t="str">
        <f>image("https://storage.googleapis.com/acdb/photos/BromideNpcNmlKgr01_Remake_6_0.png")</f>
        <v/>
      </c>
      <c r="C1848" s="5" t="s">
        <v>146</v>
      </c>
      <c r="D1848" s="5" t="s">
        <v>1327</v>
      </c>
      <c r="E1848" s="5" t="s">
        <v>34</v>
      </c>
      <c r="F1848" s="5" t="s">
        <v>34</v>
      </c>
      <c r="G1848" s="5" t="s">
        <v>36</v>
      </c>
      <c r="H1848" s="5" t="s">
        <v>35</v>
      </c>
      <c r="I1848" s="6">
        <v>1.0</v>
      </c>
      <c r="J1848" s="6" t="s">
        <v>37</v>
      </c>
      <c r="K1848" s="6">
        <v>10.0</v>
      </c>
      <c r="L1848" s="5"/>
      <c r="M1848" s="5"/>
      <c r="N1848" s="6" t="s">
        <v>40</v>
      </c>
      <c r="O1848" s="5" t="s">
        <v>5363</v>
      </c>
      <c r="P1848" s="6" t="s">
        <v>42</v>
      </c>
      <c r="Q1848" s="5" t="s">
        <v>1237</v>
      </c>
      <c r="R1848" s="5" t="s">
        <v>12118</v>
      </c>
      <c r="S1848" s="6" t="s">
        <v>86</v>
      </c>
      <c r="T1848" s="6">
        <v>6565.0</v>
      </c>
    </row>
    <row r="1849" ht="56.25" customHeight="1">
      <c r="A1849" s="5" t="s">
        <v>12098</v>
      </c>
      <c r="B1849" s="6" t="str">
        <f>image("https://storage.googleapis.com/acdb/photos/BromideNpcNmlKgr01_Remake_7_0.png")</f>
        <v/>
      </c>
      <c r="C1849" s="5" t="s">
        <v>151</v>
      </c>
      <c r="D1849" s="5" t="s">
        <v>1327</v>
      </c>
      <c r="E1849" s="5" t="s">
        <v>34</v>
      </c>
      <c r="F1849" s="5" t="s">
        <v>34</v>
      </c>
      <c r="G1849" s="5" t="s">
        <v>36</v>
      </c>
      <c r="H1849" s="5" t="s">
        <v>35</v>
      </c>
      <c r="I1849" s="6">
        <v>1.0</v>
      </c>
      <c r="J1849" s="6" t="s">
        <v>37</v>
      </c>
      <c r="K1849" s="6">
        <v>10.0</v>
      </c>
      <c r="L1849" s="5"/>
      <c r="M1849" s="5"/>
      <c r="N1849" s="6" t="s">
        <v>40</v>
      </c>
      <c r="O1849" s="5" t="s">
        <v>5363</v>
      </c>
      <c r="P1849" s="6" t="s">
        <v>42</v>
      </c>
      <c r="Q1849" s="5" t="s">
        <v>1237</v>
      </c>
      <c r="R1849" s="5" t="s">
        <v>12122</v>
      </c>
      <c r="S1849" s="6" t="s">
        <v>208</v>
      </c>
      <c r="T1849" s="6">
        <v>6565.0</v>
      </c>
    </row>
    <row r="1850" ht="56.25" customHeight="1">
      <c r="A1850" s="5" t="s">
        <v>12124</v>
      </c>
      <c r="B1850" s="6" t="str">
        <f>image("https://storage.googleapis.com/acdb/photos/BromideNpcNmlBea15_Remake_0_0.png")</f>
        <v/>
      </c>
      <c r="C1850" s="5" t="s">
        <v>366</v>
      </c>
      <c r="D1850" s="5" t="s">
        <v>1327</v>
      </c>
      <c r="E1850" s="5" t="s">
        <v>34</v>
      </c>
      <c r="F1850" s="5" t="s">
        <v>34</v>
      </c>
      <c r="G1850" s="5" t="s">
        <v>36</v>
      </c>
      <c r="H1850" s="5" t="s">
        <v>35</v>
      </c>
      <c r="I1850" s="6">
        <v>1.0</v>
      </c>
      <c r="J1850" s="6" t="s">
        <v>37</v>
      </c>
      <c r="K1850" s="6">
        <v>10.0</v>
      </c>
      <c r="L1850" s="5"/>
      <c r="M1850" s="5"/>
      <c r="N1850" s="6" t="s">
        <v>40</v>
      </c>
      <c r="O1850" s="5" t="s">
        <v>5363</v>
      </c>
      <c r="P1850" s="6" t="s">
        <v>42</v>
      </c>
      <c r="Q1850" s="5" t="s">
        <v>1237</v>
      </c>
      <c r="R1850" s="5" t="s">
        <v>12125</v>
      </c>
      <c r="S1850" s="6" t="s">
        <v>50</v>
      </c>
      <c r="T1850" s="6">
        <v>6995.0</v>
      </c>
    </row>
    <row r="1851" ht="56.25" customHeight="1">
      <c r="A1851" s="5" t="s">
        <v>12124</v>
      </c>
      <c r="B1851" s="6" t="str">
        <f>image("https://storage.googleapis.com/acdb/photos/BromideNpcNmlBea15_Remake_1_0.png")</f>
        <v/>
      </c>
      <c r="C1851" s="5" t="s">
        <v>1132</v>
      </c>
      <c r="D1851" s="5" t="s">
        <v>1327</v>
      </c>
      <c r="E1851" s="5" t="s">
        <v>34</v>
      </c>
      <c r="F1851" s="5" t="s">
        <v>34</v>
      </c>
      <c r="G1851" s="5" t="s">
        <v>36</v>
      </c>
      <c r="H1851" s="5" t="s">
        <v>35</v>
      </c>
      <c r="I1851" s="6">
        <v>1.0</v>
      </c>
      <c r="J1851" s="6" t="s">
        <v>37</v>
      </c>
      <c r="K1851" s="6">
        <v>10.0</v>
      </c>
      <c r="L1851" s="5"/>
      <c r="M1851" s="5"/>
      <c r="N1851" s="6" t="s">
        <v>40</v>
      </c>
      <c r="O1851" s="5" t="s">
        <v>5363</v>
      </c>
      <c r="P1851" s="6" t="s">
        <v>42</v>
      </c>
      <c r="Q1851" s="5" t="s">
        <v>1237</v>
      </c>
      <c r="R1851" s="5" t="s">
        <v>12128</v>
      </c>
      <c r="S1851" s="6" t="s">
        <v>56</v>
      </c>
      <c r="T1851" s="6">
        <v>6995.0</v>
      </c>
    </row>
    <row r="1852" ht="56.25" customHeight="1">
      <c r="A1852" s="5" t="s">
        <v>12124</v>
      </c>
      <c r="B1852" s="6" t="str">
        <f>image("https://storage.googleapis.com/acdb/photos/BromideNpcNmlBea15_Remake_2_0.png")</f>
        <v/>
      </c>
      <c r="C1852" s="5" t="s">
        <v>688</v>
      </c>
      <c r="D1852" s="5" t="s">
        <v>1327</v>
      </c>
      <c r="E1852" s="5" t="s">
        <v>34</v>
      </c>
      <c r="F1852" s="5" t="s">
        <v>34</v>
      </c>
      <c r="G1852" s="5" t="s">
        <v>36</v>
      </c>
      <c r="H1852" s="5" t="s">
        <v>35</v>
      </c>
      <c r="I1852" s="6">
        <v>1.0</v>
      </c>
      <c r="J1852" s="6" t="s">
        <v>37</v>
      </c>
      <c r="K1852" s="6">
        <v>10.0</v>
      </c>
      <c r="L1852" s="5"/>
      <c r="M1852" s="5"/>
      <c r="N1852" s="6" t="s">
        <v>40</v>
      </c>
      <c r="O1852" s="5" t="s">
        <v>5363</v>
      </c>
      <c r="P1852" s="6" t="s">
        <v>42</v>
      </c>
      <c r="Q1852" s="5" t="s">
        <v>1237</v>
      </c>
      <c r="R1852" s="5" t="s">
        <v>12129</v>
      </c>
      <c r="S1852" s="6" t="s">
        <v>67</v>
      </c>
      <c r="T1852" s="6">
        <v>6995.0</v>
      </c>
    </row>
    <row r="1853" ht="56.25" customHeight="1">
      <c r="A1853" s="5" t="s">
        <v>12124</v>
      </c>
      <c r="B1853" s="6" t="str">
        <f>image("https://storage.googleapis.com/acdb/photos/BromideNpcNmlBea15_Remake_3_0.png")</f>
        <v/>
      </c>
      <c r="C1853" s="5" t="s">
        <v>57</v>
      </c>
      <c r="D1853" s="5" t="s">
        <v>1327</v>
      </c>
      <c r="E1853" s="5" t="s">
        <v>34</v>
      </c>
      <c r="F1853" s="5" t="s">
        <v>34</v>
      </c>
      <c r="G1853" s="5" t="s">
        <v>36</v>
      </c>
      <c r="H1853" s="5" t="s">
        <v>35</v>
      </c>
      <c r="I1853" s="6">
        <v>1.0</v>
      </c>
      <c r="J1853" s="6" t="s">
        <v>37</v>
      </c>
      <c r="K1853" s="6">
        <v>10.0</v>
      </c>
      <c r="L1853" s="5"/>
      <c r="M1853" s="5"/>
      <c r="N1853" s="6" t="s">
        <v>40</v>
      </c>
      <c r="O1853" s="5" t="s">
        <v>5363</v>
      </c>
      <c r="P1853" s="6" t="s">
        <v>42</v>
      </c>
      <c r="Q1853" s="5" t="s">
        <v>1237</v>
      </c>
      <c r="R1853" s="5" t="s">
        <v>12132</v>
      </c>
      <c r="S1853" s="6" t="s">
        <v>71</v>
      </c>
      <c r="T1853" s="6">
        <v>6995.0</v>
      </c>
    </row>
    <row r="1854" ht="56.25" customHeight="1">
      <c r="A1854" s="5" t="s">
        <v>12124</v>
      </c>
      <c r="B1854" s="6" t="str">
        <f>image("https://storage.googleapis.com/acdb/photos/BromideNpcNmlBea15_Remake_4_0.png")</f>
        <v/>
      </c>
      <c r="C1854" s="5" t="s">
        <v>1167</v>
      </c>
      <c r="D1854" s="5" t="s">
        <v>1327</v>
      </c>
      <c r="E1854" s="5" t="s">
        <v>34</v>
      </c>
      <c r="F1854" s="5" t="s">
        <v>34</v>
      </c>
      <c r="G1854" s="5" t="s">
        <v>36</v>
      </c>
      <c r="H1854" s="5" t="s">
        <v>35</v>
      </c>
      <c r="I1854" s="6">
        <v>1.0</v>
      </c>
      <c r="J1854" s="6" t="s">
        <v>37</v>
      </c>
      <c r="K1854" s="6">
        <v>10.0</v>
      </c>
      <c r="L1854" s="5"/>
      <c r="M1854" s="5"/>
      <c r="N1854" s="6" t="s">
        <v>40</v>
      </c>
      <c r="O1854" s="5" t="s">
        <v>5363</v>
      </c>
      <c r="P1854" s="6" t="s">
        <v>42</v>
      </c>
      <c r="Q1854" s="5" t="s">
        <v>1237</v>
      </c>
      <c r="R1854" s="5" t="s">
        <v>12134</v>
      </c>
      <c r="S1854" s="6" t="s">
        <v>75</v>
      </c>
      <c r="T1854" s="6">
        <v>6995.0</v>
      </c>
    </row>
    <row r="1855" ht="56.25" customHeight="1">
      <c r="A1855" s="5" t="s">
        <v>12124</v>
      </c>
      <c r="B1855" s="6" t="str">
        <f>image("https://storage.googleapis.com/acdb/photos/BromideNpcNmlBea15_Remake_5_0.png")</f>
        <v/>
      </c>
      <c r="C1855" s="5" t="s">
        <v>58</v>
      </c>
      <c r="D1855" s="5" t="s">
        <v>1327</v>
      </c>
      <c r="E1855" s="5" t="s">
        <v>34</v>
      </c>
      <c r="F1855" s="5" t="s">
        <v>34</v>
      </c>
      <c r="G1855" s="5" t="s">
        <v>36</v>
      </c>
      <c r="H1855" s="5" t="s">
        <v>35</v>
      </c>
      <c r="I1855" s="6">
        <v>1.0</v>
      </c>
      <c r="J1855" s="6" t="s">
        <v>37</v>
      </c>
      <c r="K1855" s="6">
        <v>10.0</v>
      </c>
      <c r="L1855" s="5"/>
      <c r="M1855" s="5"/>
      <c r="N1855" s="6" t="s">
        <v>40</v>
      </c>
      <c r="O1855" s="5" t="s">
        <v>5363</v>
      </c>
      <c r="P1855" s="6" t="s">
        <v>42</v>
      </c>
      <c r="Q1855" s="5" t="s">
        <v>1237</v>
      </c>
      <c r="R1855" s="5" t="s">
        <v>12135</v>
      </c>
      <c r="S1855" s="6" t="s">
        <v>79</v>
      </c>
      <c r="T1855" s="6">
        <v>6995.0</v>
      </c>
    </row>
    <row r="1856" ht="56.25" customHeight="1">
      <c r="A1856" s="5" t="s">
        <v>12124</v>
      </c>
      <c r="B1856" s="6" t="str">
        <f>image("https://storage.googleapis.com/acdb/photos/BromideNpcNmlBea15_Remake_6_0.png")</f>
        <v/>
      </c>
      <c r="C1856" s="5" t="s">
        <v>146</v>
      </c>
      <c r="D1856" s="5" t="s">
        <v>1327</v>
      </c>
      <c r="E1856" s="5" t="s">
        <v>34</v>
      </c>
      <c r="F1856" s="5" t="s">
        <v>34</v>
      </c>
      <c r="G1856" s="5" t="s">
        <v>36</v>
      </c>
      <c r="H1856" s="5" t="s">
        <v>35</v>
      </c>
      <c r="I1856" s="6">
        <v>1.0</v>
      </c>
      <c r="J1856" s="6" t="s">
        <v>37</v>
      </c>
      <c r="K1856" s="6">
        <v>10.0</v>
      </c>
      <c r="L1856" s="5"/>
      <c r="M1856" s="5"/>
      <c r="N1856" s="6" t="s">
        <v>40</v>
      </c>
      <c r="O1856" s="5" t="s">
        <v>5363</v>
      </c>
      <c r="P1856" s="6" t="s">
        <v>42</v>
      </c>
      <c r="Q1856" s="5" t="s">
        <v>1237</v>
      </c>
      <c r="R1856" s="5" t="s">
        <v>12138</v>
      </c>
      <c r="S1856" s="6" t="s">
        <v>86</v>
      </c>
      <c r="T1856" s="6">
        <v>6995.0</v>
      </c>
    </row>
    <row r="1857" ht="56.25" customHeight="1">
      <c r="A1857" s="5" t="s">
        <v>12124</v>
      </c>
      <c r="B1857" s="6" t="str">
        <f>image("https://storage.googleapis.com/acdb/photos/BromideNpcNmlBea15_Remake_7_0.png")</f>
        <v/>
      </c>
      <c r="C1857" s="5" t="s">
        <v>151</v>
      </c>
      <c r="D1857" s="5" t="s">
        <v>1327</v>
      </c>
      <c r="E1857" s="5" t="s">
        <v>34</v>
      </c>
      <c r="F1857" s="5" t="s">
        <v>34</v>
      </c>
      <c r="G1857" s="5" t="s">
        <v>36</v>
      </c>
      <c r="H1857" s="5" t="s">
        <v>35</v>
      </c>
      <c r="I1857" s="6">
        <v>1.0</v>
      </c>
      <c r="J1857" s="6" t="s">
        <v>37</v>
      </c>
      <c r="K1857" s="6">
        <v>10.0</v>
      </c>
      <c r="L1857" s="5"/>
      <c r="M1857" s="5"/>
      <c r="N1857" s="6" t="s">
        <v>40</v>
      </c>
      <c r="O1857" s="5" t="s">
        <v>5363</v>
      </c>
      <c r="P1857" s="6" t="s">
        <v>42</v>
      </c>
      <c r="Q1857" s="5" t="s">
        <v>1237</v>
      </c>
      <c r="R1857" s="5" t="s">
        <v>12140</v>
      </c>
      <c r="S1857" s="6" t="s">
        <v>208</v>
      </c>
      <c r="T1857" s="6">
        <v>6995.0</v>
      </c>
    </row>
    <row r="1858" ht="56.25" customHeight="1">
      <c r="A1858" s="5" t="s">
        <v>12141</v>
      </c>
      <c r="B1858" s="6" t="str">
        <f>image("https://storage.googleapis.com/acdb/photos/BromideNpcNmlKal02_Remake_0_0.png")</f>
        <v/>
      </c>
      <c r="C1858" s="5" t="s">
        <v>366</v>
      </c>
      <c r="D1858" s="5" t="s">
        <v>1327</v>
      </c>
      <c r="E1858" s="5" t="s">
        <v>34</v>
      </c>
      <c r="F1858" s="5" t="s">
        <v>34</v>
      </c>
      <c r="G1858" s="5" t="s">
        <v>36</v>
      </c>
      <c r="H1858" s="5" t="s">
        <v>35</v>
      </c>
      <c r="I1858" s="6">
        <v>1.0</v>
      </c>
      <c r="J1858" s="6" t="s">
        <v>37</v>
      </c>
      <c r="K1858" s="6">
        <v>10.0</v>
      </c>
      <c r="L1858" s="5"/>
      <c r="M1858" s="5"/>
      <c r="N1858" s="6" t="s">
        <v>40</v>
      </c>
      <c r="O1858" s="5" t="s">
        <v>5363</v>
      </c>
      <c r="P1858" s="6" t="s">
        <v>42</v>
      </c>
      <c r="Q1858" s="5" t="s">
        <v>1237</v>
      </c>
      <c r="R1858" s="5" t="s">
        <v>12144</v>
      </c>
      <c r="S1858" s="6" t="s">
        <v>50</v>
      </c>
      <c r="T1858" s="6">
        <v>6556.0</v>
      </c>
    </row>
    <row r="1859" ht="56.25" customHeight="1">
      <c r="A1859" s="5" t="s">
        <v>12141</v>
      </c>
      <c r="B1859" s="6" t="str">
        <f>image("https://storage.googleapis.com/acdb/photos/BromideNpcNmlKal02_Remake_1_0.png")</f>
        <v/>
      </c>
      <c r="C1859" s="5" t="s">
        <v>1132</v>
      </c>
      <c r="D1859" s="5" t="s">
        <v>1327</v>
      </c>
      <c r="E1859" s="5" t="s">
        <v>34</v>
      </c>
      <c r="F1859" s="5" t="s">
        <v>34</v>
      </c>
      <c r="G1859" s="5" t="s">
        <v>36</v>
      </c>
      <c r="H1859" s="5" t="s">
        <v>35</v>
      </c>
      <c r="I1859" s="6">
        <v>1.0</v>
      </c>
      <c r="J1859" s="6" t="s">
        <v>37</v>
      </c>
      <c r="K1859" s="6">
        <v>10.0</v>
      </c>
      <c r="L1859" s="5"/>
      <c r="M1859" s="5"/>
      <c r="N1859" s="6" t="s">
        <v>40</v>
      </c>
      <c r="O1859" s="5" t="s">
        <v>5363</v>
      </c>
      <c r="P1859" s="6" t="s">
        <v>42</v>
      </c>
      <c r="Q1859" s="5" t="s">
        <v>1237</v>
      </c>
      <c r="R1859" s="5" t="s">
        <v>12146</v>
      </c>
      <c r="S1859" s="6" t="s">
        <v>56</v>
      </c>
      <c r="T1859" s="6">
        <v>6556.0</v>
      </c>
    </row>
    <row r="1860" ht="56.25" customHeight="1">
      <c r="A1860" s="5" t="s">
        <v>12141</v>
      </c>
      <c r="B1860" s="6" t="str">
        <f>image("https://storage.googleapis.com/acdb/photos/BromideNpcNmlKal02_Remake_2_0.png")</f>
        <v/>
      </c>
      <c r="C1860" s="5" t="s">
        <v>688</v>
      </c>
      <c r="D1860" s="5" t="s">
        <v>1327</v>
      </c>
      <c r="E1860" s="5" t="s">
        <v>34</v>
      </c>
      <c r="F1860" s="5" t="s">
        <v>34</v>
      </c>
      <c r="G1860" s="5" t="s">
        <v>36</v>
      </c>
      <c r="H1860" s="5" t="s">
        <v>35</v>
      </c>
      <c r="I1860" s="6">
        <v>1.0</v>
      </c>
      <c r="J1860" s="6" t="s">
        <v>37</v>
      </c>
      <c r="K1860" s="6">
        <v>10.0</v>
      </c>
      <c r="L1860" s="5"/>
      <c r="M1860" s="5"/>
      <c r="N1860" s="6" t="s">
        <v>40</v>
      </c>
      <c r="O1860" s="5" t="s">
        <v>5363</v>
      </c>
      <c r="P1860" s="6" t="s">
        <v>42</v>
      </c>
      <c r="Q1860" s="5" t="s">
        <v>1237</v>
      </c>
      <c r="R1860" s="5" t="s">
        <v>12149</v>
      </c>
      <c r="S1860" s="6" t="s">
        <v>67</v>
      </c>
      <c r="T1860" s="6">
        <v>6556.0</v>
      </c>
    </row>
    <row r="1861" ht="56.25" customHeight="1">
      <c r="A1861" s="5" t="s">
        <v>12141</v>
      </c>
      <c r="B1861" s="6" t="str">
        <f>image("https://storage.googleapis.com/acdb/photos/BromideNpcNmlKal02_Remake_3_0.png")</f>
        <v/>
      </c>
      <c r="C1861" s="5" t="s">
        <v>57</v>
      </c>
      <c r="D1861" s="5" t="s">
        <v>1327</v>
      </c>
      <c r="E1861" s="5" t="s">
        <v>34</v>
      </c>
      <c r="F1861" s="5" t="s">
        <v>34</v>
      </c>
      <c r="G1861" s="5" t="s">
        <v>36</v>
      </c>
      <c r="H1861" s="5" t="s">
        <v>35</v>
      </c>
      <c r="I1861" s="6">
        <v>1.0</v>
      </c>
      <c r="J1861" s="6" t="s">
        <v>37</v>
      </c>
      <c r="K1861" s="6">
        <v>10.0</v>
      </c>
      <c r="L1861" s="5"/>
      <c r="M1861" s="5"/>
      <c r="N1861" s="6" t="s">
        <v>40</v>
      </c>
      <c r="O1861" s="5" t="s">
        <v>5363</v>
      </c>
      <c r="P1861" s="6" t="s">
        <v>42</v>
      </c>
      <c r="Q1861" s="5" t="s">
        <v>1237</v>
      </c>
      <c r="R1861" s="5" t="s">
        <v>12151</v>
      </c>
      <c r="S1861" s="6" t="s">
        <v>71</v>
      </c>
      <c r="T1861" s="6">
        <v>6556.0</v>
      </c>
    </row>
    <row r="1862" ht="56.25" customHeight="1">
      <c r="A1862" s="5" t="s">
        <v>12141</v>
      </c>
      <c r="B1862" s="6" t="str">
        <f>image("https://storage.googleapis.com/acdb/photos/BromideNpcNmlKal02_Remake_4_0.png")</f>
        <v/>
      </c>
      <c r="C1862" s="5" t="s">
        <v>1167</v>
      </c>
      <c r="D1862" s="5" t="s">
        <v>1327</v>
      </c>
      <c r="E1862" s="5" t="s">
        <v>34</v>
      </c>
      <c r="F1862" s="5" t="s">
        <v>34</v>
      </c>
      <c r="G1862" s="5" t="s">
        <v>36</v>
      </c>
      <c r="H1862" s="5" t="s">
        <v>35</v>
      </c>
      <c r="I1862" s="6">
        <v>1.0</v>
      </c>
      <c r="J1862" s="6" t="s">
        <v>37</v>
      </c>
      <c r="K1862" s="6">
        <v>10.0</v>
      </c>
      <c r="L1862" s="5"/>
      <c r="M1862" s="5"/>
      <c r="N1862" s="6" t="s">
        <v>40</v>
      </c>
      <c r="O1862" s="5" t="s">
        <v>5363</v>
      </c>
      <c r="P1862" s="6" t="s">
        <v>42</v>
      </c>
      <c r="Q1862" s="5" t="s">
        <v>1237</v>
      </c>
      <c r="R1862" s="5" t="s">
        <v>12153</v>
      </c>
      <c r="S1862" s="6" t="s">
        <v>75</v>
      </c>
      <c r="T1862" s="6">
        <v>6556.0</v>
      </c>
    </row>
    <row r="1863" ht="56.25" customHeight="1">
      <c r="A1863" s="5" t="s">
        <v>12141</v>
      </c>
      <c r="B1863" s="6" t="str">
        <f>image("https://storage.googleapis.com/acdb/photos/BromideNpcNmlKal02_Remake_5_0.png")</f>
        <v/>
      </c>
      <c r="C1863" s="5" t="s">
        <v>58</v>
      </c>
      <c r="D1863" s="5" t="s">
        <v>1327</v>
      </c>
      <c r="E1863" s="5" t="s">
        <v>34</v>
      </c>
      <c r="F1863" s="5" t="s">
        <v>34</v>
      </c>
      <c r="G1863" s="5" t="s">
        <v>36</v>
      </c>
      <c r="H1863" s="5" t="s">
        <v>35</v>
      </c>
      <c r="I1863" s="6">
        <v>1.0</v>
      </c>
      <c r="J1863" s="6" t="s">
        <v>37</v>
      </c>
      <c r="K1863" s="6">
        <v>10.0</v>
      </c>
      <c r="L1863" s="5"/>
      <c r="M1863" s="5"/>
      <c r="N1863" s="6" t="s">
        <v>40</v>
      </c>
      <c r="O1863" s="5" t="s">
        <v>5363</v>
      </c>
      <c r="P1863" s="6" t="s">
        <v>42</v>
      </c>
      <c r="Q1863" s="5" t="s">
        <v>1237</v>
      </c>
      <c r="R1863" s="5" t="s">
        <v>12155</v>
      </c>
      <c r="S1863" s="6" t="s">
        <v>79</v>
      </c>
      <c r="T1863" s="6">
        <v>6556.0</v>
      </c>
    </row>
    <row r="1864" ht="56.25" customHeight="1">
      <c r="A1864" s="5" t="s">
        <v>12141</v>
      </c>
      <c r="B1864" s="6" t="str">
        <f>image("https://storage.googleapis.com/acdb/photos/BromideNpcNmlKal02_Remake_6_0.png")</f>
        <v/>
      </c>
      <c r="C1864" s="5" t="s">
        <v>146</v>
      </c>
      <c r="D1864" s="5" t="s">
        <v>1327</v>
      </c>
      <c r="E1864" s="5" t="s">
        <v>34</v>
      </c>
      <c r="F1864" s="5" t="s">
        <v>34</v>
      </c>
      <c r="G1864" s="5" t="s">
        <v>36</v>
      </c>
      <c r="H1864" s="5" t="s">
        <v>35</v>
      </c>
      <c r="I1864" s="6">
        <v>1.0</v>
      </c>
      <c r="J1864" s="6" t="s">
        <v>37</v>
      </c>
      <c r="K1864" s="6">
        <v>10.0</v>
      </c>
      <c r="L1864" s="5"/>
      <c r="M1864" s="5"/>
      <c r="N1864" s="6" t="s">
        <v>40</v>
      </c>
      <c r="O1864" s="5" t="s">
        <v>5363</v>
      </c>
      <c r="P1864" s="6" t="s">
        <v>42</v>
      </c>
      <c r="Q1864" s="5" t="s">
        <v>1237</v>
      </c>
      <c r="R1864" s="5" t="s">
        <v>12156</v>
      </c>
      <c r="S1864" s="6" t="s">
        <v>86</v>
      </c>
      <c r="T1864" s="6">
        <v>6556.0</v>
      </c>
    </row>
    <row r="1865" ht="56.25" customHeight="1">
      <c r="A1865" s="5" t="s">
        <v>12141</v>
      </c>
      <c r="B1865" s="6" t="str">
        <f>image("https://storage.googleapis.com/acdb/photos/BromideNpcNmlKal02_Remake_7_0.png")</f>
        <v/>
      </c>
      <c r="C1865" s="5" t="s">
        <v>151</v>
      </c>
      <c r="D1865" s="5" t="s">
        <v>1327</v>
      </c>
      <c r="E1865" s="5" t="s">
        <v>34</v>
      </c>
      <c r="F1865" s="5" t="s">
        <v>34</v>
      </c>
      <c r="G1865" s="5" t="s">
        <v>36</v>
      </c>
      <c r="H1865" s="5" t="s">
        <v>35</v>
      </c>
      <c r="I1865" s="6">
        <v>1.0</v>
      </c>
      <c r="J1865" s="6" t="s">
        <v>37</v>
      </c>
      <c r="K1865" s="6">
        <v>10.0</v>
      </c>
      <c r="L1865" s="5"/>
      <c r="M1865" s="5"/>
      <c r="N1865" s="6" t="s">
        <v>40</v>
      </c>
      <c r="O1865" s="5" t="s">
        <v>5363</v>
      </c>
      <c r="P1865" s="6" t="s">
        <v>42</v>
      </c>
      <c r="Q1865" s="5" t="s">
        <v>1237</v>
      </c>
      <c r="R1865" s="5" t="s">
        <v>12159</v>
      </c>
      <c r="S1865" s="6" t="s">
        <v>208</v>
      </c>
      <c r="T1865" s="6">
        <v>6556.0</v>
      </c>
    </row>
    <row r="1866" ht="56.25" customHeight="1">
      <c r="A1866" s="5" t="s">
        <v>12160</v>
      </c>
      <c r="B1866" s="6" t="str">
        <f>image("https://storage.googleapis.com/acdb/photos/BromideNpcNmlRhn07_Remake_0_0.png")</f>
        <v/>
      </c>
      <c r="C1866" s="5" t="s">
        <v>366</v>
      </c>
      <c r="D1866" s="5" t="s">
        <v>1327</v>
      </c>
      <c r="E1866" s="5" t="s">
        <v>34</v>
      </c>
      <c r="F1866" s="5" t="s">
        <v>34</v>
      </c>
      <c r="G1866" s="5" t="s">
        <v>36</v>
      </c>
      <c r="H1866" s="5" t="s">
        <v>35</v>
      </c>
      <c r="I1866" s="6">
        <v>1.0</v>
      </c>
      <c r="J1866" s="6" t="s">
        <v>37</v>
      </c>
      <c r="K1866" s="6">
        <v>10.0</v>
      </c>
      <c r="L1866" s="5"/>
      <c r="M1866" s="5"/>
      <c r="N1866" s="6" t="s">
        <v>40</v>
      </c>
      <c r="O1866" s="5" t="s">
        <v>5363</v>
      </c>
      <c r="P1866" s="6" t="s">
        <v>42</v>
      </c>
      <c r="Q1866" s="5" t="s">
        <v>1237</v>
      </c>
      <c r="R1866" s="5" t="s">
        <v>12162</v>
      </c>
      <c r="S1866" s="6" t="s">
        <v>50</v>
      </c>
      <c r="T1866" s="6">
        <v>6688.0</v>
      </c>
    </row>
    <row r="1867" ht="56.25" customHeight="1">
      <c r="A1867" s="5" t="s">
        <v>12160</v>
      </c>
      <c r="B1867" s="6" t="str">
        <f>image("https://storage.googleapis.com/acdb/photos/BromideNpcNmlRhn07_Remake_1_0.png")</f>
        <v/>
      </c>
      <c r="C1867" s="5" t="s">
        <v>1132</v>
      </c>
      <c r="D1867" s="5" t="s">
        <v>1327</v>
      </c>
      <c r="E1867" s="5" t="s">
        <v>34</v>
      </c>
      <c r="F1867" s="5" t="s">
        <v>34</v>
      </c>
      <c r="G1867" s="5" t="s">
        <v>36</v>
      </c>
      <c r="H1867" s="5" t="s">
        <v>35</v>
      </c>
      <c r="I1867" s="6">
        <v>1.0</v>
      </c>
      <c r="J1867" s="6" t="s">
        <v>37</v>
      </c>
      <c r="K1867" s="6">
        <v>10.0</v>
      </c>
      <c r="L1867" s="5"/>
      <c r="M1867" s="5"/>
      <c r="N1867" s="6" t="s">
        <v>40</v>
      </c>
      <c r="O1867" s="5" t="s">
        <v>5363</v>
      </c>
      <c r="P1867" s="6" t="s">
        <v>42</v>
      </c>
      <c r="Q1867" s="5" t="s">
        <v>1237</v>
      </c>
      <c r="R1867" s="5" t="s">
        <v>12164</v>
      </c>
      <c r="S1867" s="6" t="s">
        <v>56</v>
      </c>
      <c r="T1867" s="6">
        <v>6688.0</v>
      </c>
    </row>
    <row r="1868" ht="56.25" customHeight="1">
      <c r="A1868" s="5" t="s">
        <v>12160</v>
      </c>
      <c r="B1868" s="6" t="str">
        <f>image("https://storage.googleapis.com/acdb/photos/BromideNpcNmlRhn07_Remake_2_0.png")</f>
        <v/>
      </c>
      <c r="C1868" s="5" t="s">
        <v>688</v>
      </c>
      <c r="D1868" s="5" t="s">
        <v>1327</v>
      </c>
      <c r="E1868" s="5" t="s">
        <v>34</v>
      </c>
      <c r="F1868" s="5" t="s">
        <v>34</v>
      </c>
      <c r="G1868" s="5" t="s">
        <v>36</v>
      </c>
      <c r="H1868" s="5" t="s">
        <v>35</v>
      </c>
      <c r="I1868" s="6">
        <v>1.0</v>
      </c>
      <c r="J1868" s="6" t="s">
        <v>37</v>
      </c>
      <c r="K1868" s="6">
        <v>10.0</v>
      </c>
      <c r="L1868" s="5"/>
      <c r="M1868" s="5"/>
      <c r="N1868" s="6" t="s">
        <v>40</v>
      </c>
      <c r="O1868" s="5" t="s">
        <v>5363</v>
      </c>
      <c r="P1868" s="6" t="s">
        <v>42</v>
      </c>
      <c r="Q1868" s="5" t="s">
        <v>1237</v>
      </c>
      <c r="R1868" s="5" t="s">
        <v>12167</v>
      </c>
      <c r="S1868" s="6" t="s">
        <v>67</v>
      </c>
      <c r="T1868" s="6">
        <v>6688.0</v>
      </c>
    </row>
    <row r="1869" ht="56.25" customHeight="1">
      <c r="A1869" s="5" t="s">
        <v>12160</v>
      </c>
      <c r="B1869" s="6" t="str">
        <f>image("https://storage.googleapis.com/acdb/photos/BromideNpcNmlRhn07_Remake_3_0.png")</f>
        <v/>
      </c>
      <c r="C1869" s="5" t="s">
        <v>57</v>
      </c>
      <c r="D1869" s="5" t="s">
        <v>1327</v>
      </c>
      <c r="E1869" s="5" t="s">
        <v>34</v>
      </c>
      <c r="F1869" s="5" t="s">
        <v>34</v>
      </c>
      <c r="G1869" s="5" t="s">
        <v>36</v>
      </c>
      <c r="H1869" s="5" t="s">
        <v>35</v>
      </c>
      <c r="I1869" s="6">
        <v>1.0</v>
      </c>
      <c r="J1869" s="6" t="s">
        <v>37</v>
      </c>
      <c r="K1869" s="6">
        <v>10.0</v>
      </c>
      <c r="L1869" s="5"/>
      <c r="M1869" s="5"/>
      <c r="N1869" s="6" t="s">
        <v>40</v>
      </c>
      <c r="O1869" s="5" t="s">
        <v>5363</v>
      </c>
      <c r="P1869" s="6" t="s">
        <v>42</v>
      </c>
      <c r="Q1869" s="5" t="s">
        <v>1237</v>
      </c>
      <c r="R1869" s="5" t="s">
        <v>12169</v>
      </c>
      <c r="S1869" s="6" t="s">
        <v>71</v>
      </c>
      <c r="T1869" s="6">
        <v>6688.0</v>
      </c>
    </row>
    <row r="1870" ht="56.25" customHeight="1">
      <c r="A1870" s="5" t="s">
        <v>12160</v>
      </c>
      <c r="B1870" s="6" t="str">
        <f>image("https://storage.googleapis.com/acdb/photos/BromideNpcNmlRhn07_Remake_4_0.png")</f>
        <v/>
      </c>
      <c r="C1870" s="5" t="s">
        <v>1167</v>
      </c>
      <c r="D1870" s="5" t="s">
        <v>1327</v>
      </c>
      <c r="E1870" s="5" t="s">
        <v>34</v>
      </c>
      <c r="F1870" s="5" t="s">
        <v>34</v>
      </c>
      <c r="G1870" s="5" t="s">
        <v>36</v>
      </c>
      <c r="H1870" s="5" t="s">
        <v>35</v>
      </c>
      <c r="I1870" s="6">
        <v>1.0</v>
      </c>
      <c r="J1870" s="6" t="s">
        <v>37</v>
      </c>
      <c r="K1870" s="6">
        <v>10.0</v>
      </c>
      <c r="L1870" s="5"/>
      <c r="M1870" s="5"/>
      <c r="N1870" s="6" t="s">
        <v>40</v>
      </c>
      <c r="O1870" s="5" t="s">
        <v>5363</v>
      </c>
      <c r="P1870" s="6" t="s">
        <v>42</v>
      </c>
      <c r="Q1870" s="5" t="s">
        <v>1237</v>
      </c>
      <c r="R1870" s="5" t="s">
        <v>12171</v>
      </c>
      <c r="S1870" s="6" t="s">
        <v>75</v>
      </c>
      <c r="T1870" s="6">
        <v>6688.0</v>
      </c>
    </row>
    <row r="1871" ht="56.25" customHeight="1">
      <c r="A1871" s="5" t="s">
        <v>12160</v>
      </c>
      <c r="B1871" s="6" t="str">
        <f>image("https://storage.googleapis.com/acdb/photos/BromideNpcNmlRhn07_Remake_5_0.png")</f>
        <v/>
      </c>
      <c r="C1871" s="5" t="s">
        <v>58</v>
      </c>
      <c r="D1871" s="5" t="s">
        <v>1327</v>
      </c>
      <c r="E1871" s="5" t="s">
        <v>34</v>
      </c>
      <c r="F1871" s="5" t="s">
        <v>34</v>
      </c>
      <c r="G1871" s="5" t="s">
        <v>36</v>
      </c>
      <c r="H1871" s="5" t="s">
        <v>35</v>
      </c>
      <c r="I1871" s="6">
        <v>1.0</v>
      </c>
      <c r="J1871" s="6" t="s">
        <v>37</v>
      </c>
      <c r="K1871" s="6">
        <v>10.0</v>
      </c>
      <c r="L1871" s="5"/>
      <c r="M1871" s="5"/>
      <c r="N1871" s="6" t="s">
        <v>40</v>
      </c>
      <c r="O1871" s="5" t="s">
        <v>5363</v>
      </c>
      <c r="P1871" s="6" t="s">
        <v>42</v>
      </c>
      <c r="Q1871" s="5" t="s">
        <v>1237</v>
      </c>
      <c r="R1871" s="5" t="s">
        <v>12173</v>
      </c>
      <c r="S1871" s="6" t="s">
        <v>79</v>
      </c>
      <c r="T1871" s="6">
        <v>6688.0</v>
      </c>
    </row>
    <row r="1872" ht="56.25" customHeight="1">
      <c r="A1872" s="5" t="s">
        <v>12160</v>
      </c>
      <c r="B1872" s="6" t="str">
        <f>image("https://storage.googleapis.com/acdb/photos/BromideNpcNmlRhn07_Remake_6_0.png")</f>
        <v/>
      </c>
      <c r="C1872" s="5" t="s">
        <v>146</v>
      </c>
      <c r="D1872" s="5" t="s">
        <v>1327</v>
      </c>
      <c r="E1872" s="5" t="s">
        <v>34</v>
      </c>
      <c r="F1872" s="5" t="s">
        <v>34</v>
      </c>
      <c r="G1872" s="5" t="s">
        <v>36</v>
      </c>
      <c r="H1872" s="5" t="s">
        <v>35</v>
      </c>
      <c r="I1872" s="6">
        <v>1.0</v>
      </c>
      <c r="J1872" s="6" t="s">
        <v>37</v>
      </c>
      <c r="K1872" s="6">
        <v>10.0</v>
      </c>
      <c r="L1872" s="5"/>
      <c r="M1872" s="5"/>
      <c r="N1872" s="6" t="s">
        <v>40</v>
      </c>
      <c r="O1872" s="5" t="s">
        <v>5363</v>
      </c>
      <c r="P1872" s="6" t="s">
        <v>42</v>
      </c>
      <c r="Q1872" s="5" t="s">
        <v>1237</v>
      </c>
      <c r="R1872" s="5" t="s">
        <v>12176</v>
      </c>
      <c r="S1872" s="6" t="s">
        <v>86</v>
      </c>
      <c r="T1872" s="6">
        <v>6688.0</v>
      </c>
    </row>
    <row r="1873" ht="56.25" customHeight="1">
      <c r="A1873" s="5" t="s">
        <v>12160</v>
      </c>
      <c r="B1873" s="6" t="str">
        <f>image("https://storage.googleapis.com/acdb/photos/BromideNpcNmlRhn07_Remake_7_0.png")</f>
        <v/>
      </c>
      <c r="C1873" s="5" t="s">
        <v>151</v>
      </c>
      <c r="D1873" s="5" t="s">
        <v>1327</v>
      </c>
      <c r="E1873" s="5" t="s">
        <v>34</v>
      </c>
      <c r="F1873" s="5" t="s">
        <v>34</v>
      </c>
      <c r="G1873" s="5" t="s">
        <v>36</v>
      </c>
      <c r="H1873" s="5" t="s">
        <v>35</v>
      </c>
      <c r="I1873" s="6">
        <v>1.0</v>
      </c>
      <c r="J1873" s="6" t="s">
        <v>37</v>
      </c>
      <c r="K1873" s="6">
        <v>10.0</v>
      </c>
      <c r="L1873" s="5"/>
      <c r="M1873" s="5"/>
      <c r="N1873" s="6" t="s">
        <v>40</v>
      </c>
      <c r="O1873" s="5" t="s">
        <v>5363</v>
      </c>
      <c r="P1873" s="6" t="s">
        <v>42</v>
      </c>
      <c r="Q1873" s="5" t="s">
        <v>1237</v>
      </c>
      <c r="R1873" s="5" t="s">
        <v>12178</v>
      </c>
      <c r="S1873" s="6" t="s">
        <v>208</v>
      </c>
      <c r="T1873" s="6">
        <v>6688.0</v>
      </c>
    </row>
    <row r="1874" ht="56.25" customHeight="1">
      <c r="A1874" s="5" t="s">
        <v>12179</v>
      </c>
      <c r="B1874" s="6" t="str">
        <f>image("https://storage.googleapis.com/acdb/photos/BromideNpcNmlCat16_Remake_0_0.png")</f>
        <v/>
      </c>
      <c r="C1874" s="5" t="s">
        <v>366</v>
      </c>
      <c r="D1874" s="5" t="s">
        <v>1327</v>
      </c>
      <c r="E1874" s="5" t="s">
        <v>34</v>
      </c>
      <c r="F1874" s="5" t="s">
        <v>34</v>
      </c>
      <c r="G1874" s="5" t="s">
        <v>36</v>
      </c>
      <c r="H1874" s="5" t="s">
        <v>35</v>
      </c>
      <c r="I1874" s="6">
        <v>1.0</v>
      </c>
      <c r="J1874" s="6" t="s">
        <v>37</v>
      </c>
      <c r="K1874" s="6">
        <v>10.0</v>
      </c>
      <c r="L1874" s="5"/>
      <c r="M1874" s="5"/>
      <c r="N1874" s="6" t="s">
        <v>40</v>
      </c>
      <c r="O1874" s="5" t="s">
        <v>5363</v>
      </c>
      <c r="P1874" s="6" t="s">
        <v>42</v>
      </c>
      <c r="Q1874" s="5" t="s">
        <v>1237</v>
      </c>
      <c r="R1874" s="5" t="s">
        <v>12181</v>
      </c>
      <c r="S1874" s="6" t="s">
        <v>50</v>
      </c>
      <c r="T1874" s="6">
        <v>6762.0</v>
      </c>
    </row>
    <row r="1875" ht="56.25" customHeight="1">
      <c r="A1875" s="5" t="s">
        <v>12179</v>
      </c>
      <c r="B1875" s="6" t="str">
        <f>image("https://storage.googleapis.com/acdb/photos/BromideNpcNmlCat16_Remake_1_0.png")</f>
        <v/>
      </c>
      <c r="C1875" s="5" t="s">
        <v>1132</v>
      </c>
      <c r="D1875" s="5" t="s">
        <v>1327</v>
      </c>
      <c r="E1875" s="5" t="s">
        <v>34</v>
      </c>
      <c r="F1875" s="5" t="s">
        <v>34</v>
      </c>
      <c r="G1875" s="5" t="s">
        <v>36</v>
      </c>
      <c r="H1875" s="5" t="s">
        <v>35</v>
      </c>
      <c r="I1875" s="6">
        <v>1.0</v>
      </c>
      <c r="J1875" s="6" t="s">
        <v>37</v>
      </c>
      <c r="K1875" s="6">
        <v>10.0</v>
      </c>
      <c r="L1875" s="5"/>
      <c r="M1875" s="5"/>
      <c r="N1875" s="6" t="s">
        <v>40</v>
      </c>
      <c r="O1875" s="5" t="s">
        <v>5363</v>
      </c>
      <c r="P1875" s="6" t="s">
        <v>42</v>
      </c>
      <c r="Q1875" s="5" t="s">
        <v>1237</v>
      </c>
      <c r="R1875" s="5" t="s">
        <v>12184</v>
      </c>
      <c r="S1875" s="6" t="s">
        <v>56</v>
      </c>
      <c r="T1875" s="6">
        <v>6762.0</v>
      </c>
    </row>
    <row r="1876" ht="56.25" customHeight="1">
      <c r="A1876" s="5" t="s">
        <v>12179</v>
      </c>
      <c r="B1876" s="6" t="str">
        <f>image("https://storage.googleapis.com/acdb/photos/BromideNpcNmlCat16_Remake_2_0.png")</f>
        <v/>
      </c>
      <c r="C1876" s="5" t="s">
        <v>688</v>
      </c>
      <c r="D1876" s="5" t="s">
        <v>1327</v>
      </c>
      <c r="E1876" s="5" t="s">
        <v>34</v>
      </c>
      <c r="F1876" s="5" t="s">
        <v>34</v>
      </c>
      <c r="G1876" s="5" t="s">
        <v>36</v>
      </c>
      <c r="H1876" s="5" t="s">
        <v>35</v>
      </c>
      <c r="I1876" s="6">
        <v>1.0</v>
      </c>
      <c r="J1876" s="6" t="s">
        <v>37</v>
      </c>
      <c r="K1876" s="6">
        <v>10.0</v>
      </c>
      <c r="L1876" s="5"/>
      <c r="M1876" s="5"/>
      <c r="N1876" s="6" t="s">
        <v>40</v>
      </c>
      <c r="O1876" s="5" t="s">
        <v>5363</v>
      </c>
      <c r="P1876" s="6" t="s">
        <v>42</v>
      </c>
      <c r="Q1876" s="5" t="s">
        <v>1237</v>
      </c>
      <c r="R1876" s="5" t="s">
        <v>12187</v>
      </c>
      <c r="S1876" s="6" t="s">
        <v>67</v>
      </c>
      <c r="T1876" s="6">
        <v>6762.0</v>
      </c>
    </row>
    <row r="1877" ht="56.25" customHeight="1">
      <c r="A1877" s="5" t="s">
        <v>12179</v>
      </c>
      <c r="B1877" s="6" t="str">
        <f>image("https://storage.googleapis.com/acdb/photos/BromideNpcNmlCat16_Remake_3_0.png")</f>
        <v/>
      </c>
      <c r="C1877" s="5" t="s">
        <v>57</v>
      </c>
      <c r="D1877" s="5" t="s">
        <v>1327</v>
      </c>
      <c r="E1877" s="5" t="s">
        <v>34</v>
      </c>
      <c r="F1877" s="5" t="s">
        <v>34</v>
      </c>
      <c r="G1877" s="5" t="s">
        <v>36</v>
      </c>
      <c r="H1877" s="5" t="s">
        <v>35</v>
      </c>
      <c r="I1877" s="6">
        <v>1.0</v>
      </c>
      <c r="J1877" s="6" t="s">
        <v>37</v>
      </c>
      <c r="K1877" s="6">
        <v>10.0</v>
      </c>
      <c r="L1877" s="5"/>
      <c r="M1877" s="5"/>
      <c r="N1877" s="6" t="s">
        <v>40</v>
      </c>
      <c r="O1877" s="5" t="s">
        <v>5363</v>
      </c>
      <c r="P1877" s="6" t="s">
        <v>42</v>
      </c>
      <c r="Q1877" s="5" t="s">
        <v>1237</v>
      </c>
      <c r="R1877" s="5" t="s">
        <v>12190</v>
      </c>
      <c r="S1877" s="6" t="s">
        <v>71</v>
      </c>
      <c r="T1877" s="6">
        <v>6762.0</v>
      </c>
    </row>
    <row r="1878" ht="56.25" customHeight="1">
      <c r="A1878" s="5" t="s">
        <v>12179</v>
      </c>
      <c r="B1878" s="6" t="str">
        <f>image("https://storage.googleapis.com/acdb/photos/BromideNpcNmlCat16_Remake_4_0.png")</f>
        <v/>
      </c>
      <c r="C1878" s="5" t="s">
        <v>1167</v>
      </c>
      <c r="D1878" s="5" t="s">
        <v>1327</v>
      </c>
      <c r="E1878" s="5" t="s">
        <v>34</v>
      </c>
      <c r="F1878" s="5" t="s">
        <v>34</v>
      </c>
      <c r="G1878" s="5" t="s">
        <v>36</v>
      </c>
      <c r="H1878" s="5" t="s">
        <v>35</v>
      </c>
      <c r="I1878" s="6">
        <v>1.0</v>
      </c>
      <c r="J1878" s="6" t="s">
        <v>37</v>
      </c>
      <c r="K1878" s="6">
        <v>10.0</v>
      </c>
      <c r="L1878" s="5"/>
      <c r="M1878" s="5"/>
      <c r="N1878" s="6" t="s">
        <v>40</v>
      </c>
      <c r="O1878" s="5" t="s">
        <v>5363</v>
      </c>
      <c r="P1878" s="6" t="s">
        <v>42</v>
      </c>
      <c r="Q1878" s="5" t="s">
        <v>1237</v>
      </c>
      <c r="R1878" s="5" t="s">
        <v>12194</v>
      </c>
      <c r="S1878" s="6" t="s">
        <v>75</v>
      </c>
      <c r="T1878" s="6">
        <v>6762.0</v>
      </c>
    </row>
    <row r="1879" ht="56.25" customHeight="1">
      <c r="A1879" s="5" t="s">
        <v>12179</v>
      </c>
      <c r="B1879" s="6" t="str">
        <f>image("https://storage.googleapis.com/acdb/photos/BromideNpcNmlCat16_Remake_5_0.png")</f>
        <v/>
      </c>
      <c r="C1879" s="5" t="s">
        <v>58</v>
      </c>
      <c r="D1879" s="5" t="s">
        <v>1327</v>
      </c>
      <c r="E1879" s="5" t="s">
        <v>34</v>
      </c>
      <c r="F1879" s="5" t="s">
        <v>34</v>
      </c>
      <c r="G1879" s="5" t="s">
        <v>36</v>
      </c>
      <c r="H1879" s="5" t="s">
        <v>35</v>
      </c>
      <c r="I1879" s="6">
        <v>1.0</v>
      </c>
      <c r="J1879" s="6" t="s">
        <v>37</v>
      </c>
      <c r="K1879" s="6">
        <v>10.0</v>
      </c>
      <c r="L1879" s="5"/>
      <c r="M1879" s="5"/>
      <c r="N1879" s="6" t="s">
        <v>40</v>
      </c>
      <c r="O1879" s="5" t="s">
        <v>5363</v>
      </c>
      <c r="P1879" s="6" t="s">
        <v>42</v>
      </c>
      <c r="Q1879" s="5" t="s">
        <v>1237</v>
      </c>
      <c r="R1879" s="5" t="s">
        <v>12197</v>
      </c>
      <c r="S1879" s="6" t="s">
        <v>79</v>
      </c>
      <c r="T1879" s="6">
        <v>6762.0</v>
      </c>
    </row>
    <row r="1880" ht="56.25" customHeight="1">
      <c r="A1880" s="5" t="s">
        <v>12179</v>
      </c>
      <c r="B1880" s="6" t="str">
        <f>image("https://storage.googleapis.com/acdb/photos/BromideNpcNmlCat16_Remake_6_0.png")</f>
        <v/>
      </c>
      <c r="C1880" s="5" t="s">
        <v>146</v>
      </c>
      <c r="D1880" s="5" t="s">
        <v>1327</v>
      </c>
      <c r="E1880" s="5" t="s">
        <v>34</v>
      </c>
      <c r="F1880" s="5" t="s">
        <v>34</v>
      </c>
      <c r="G1880" s="5" t="s">
        <v>36</v>
      </c>
      <c r="H1880" s="5" t="s">
        <v>35</v>
      </c>
      <c r="I1880" s="6">
        <v>1.0</v>
      </c>
      <c r="J1880" s="6" t="s">
        <v>37</v>
      </c>
      <c r="K1880" s="6">
        <v>10.0</v>
      </c>
      <c r="L1880" s="5"/>
      <c r="M1880" s="5"/>
      <c r="N1880" s="6" t="s">
        <v>40</v>
      </c>
      <c r="O1880" s="5" t="s">
        <v>5363</v>
      </c>
      <c r="P1880" s="6" t="s">
        <v>42</v>
      </c>
      <c r="Q1880" s="5" t="s">
        <v>1237</v>
      </c>
      <c r="R1880" s="5" t="s">
        <v>12200</v>
      </c>
      <c r="S1880" s="6" t="s">
        <v>86</v>
      </c>
      <c r="T1880" s="6">
        <v>6762.0</v>
      </c>
    </row>
    <row r="1881" ht="56.25" customHeight="1">
      <c r="A1881" s="5" t="s">
        <v>12179</v>
      </c>
      <c r="B1881" s="6" t="str">
        <f>image("https://storage.googleapis.com/acdb/photos/BromideNpcNmlCat16_Remake_7_0.png")</f>
        <v/>
      </c>
      <c r="C1881" s="5" t="s">
        <v>151</v>
      </c>
      <c r="D1881" s="5" t="s">
        <v>1327</v>
      </c>
      <c r="E1881" s="5" t="s">
        <v>34</v>
      </c>
      <c r="F1881" s="5" t="s">
        <v>34</v>
      </c>
      <c r="G1881" s="5" t="s">
        <v>36</v>
      </c>
      <c r="H1881" s="5" t="s">
        <v>35</v>
      </c>
      <c r="I1881" s="6">
        <v>1.0</v>
      </c>
      <c r="J1881" s="6" t="s">
        <v>37</v>
      </c>
      <c r="K1881" s="6">
        <v>10.0</v>
      </c>
      <c r="L1881" s="5"/>
      <c r="M1881" s="5"/>
      <c r="N1881" s="6" t="s">
        <v>40</v>
      </c>
      <c r="O1881" s="5" t="s">
        <v>5363</v>
      </c>
      <c r="P1881" s="6" t="s">
        <v>42</v>
      </c>
      <c r="Q1881" s="5" t="s">
        <v>1237</v>
      </c>
      <c r="R1881" s="5" t="s">
        <v>12202</v>
      </c>
      <c r="S1881" s="6" t="s">
        <v>208</v>
      </c>
      <c r="T1881" s="6">
        <v>6762.0</v>
      </c>
    </row>
    <row r="1882" ht="56.25" customHeight="1">
      <c r="A1882" s="5" t="s">
        <v>12203</v>
      </c>
      <c r="B1882" s="6" t="str">
        <f>image("https://storage.googleapis.com/acdb/photos/BromideNpcNmlBrd08_Remake_0_0.png")</f>
        <v/>
      </c>
      <c r="C1882" s="5" t="s">
        <v>366</v>
      </c>
      <c r="D1882" s="5" t="s">
        <v>1327</v>
      </c>
      <c r="E1882" s="5" t="s">
        <v>34</v>
      </c>
      <c r="F1882" s="5" t="s">
        <v>34</v>
      </c>
      <c r="G1882" s="5" t="s">
        <v>36</v>
      </c>
      <c r="H1882" s="5" t="s">
        <v>35</v>
      </c>
      <c r="I1882" s="6">
        <v>1.0</v>
      </c>
      <c r="J1882" s="6" t="s">
        <v>37</v>
      </c>
      <c r="K1882" s="6">
        <v>10.0</v>
      </c>
      <c r="L1882" s="5"/>
      <c r="M1882" s="5"/>
      <c r="N1882" s="6" t="s">
        <v>40</v>
      </c>
      <c r="O1882" s="5" t="s">
        <v>5363</v>
      </c>
      <c r="P1882" s="6" t="s">
        <v>42</v>
      </c>
      <c r="Q1882" s="5" t="s">
        <v>1237</v>
      </c>
      <c r="R1882" s="5" t="s">
        <v>12205</v>
      </c>
      <c r="S1882" s="6" t="s">
        <v>50</v>
      </c>
      <c r="T1882" s="6">
        <v>6637.0</v>
      </c>
    </row>
    <row r="1883" ht="56.25" customHeight="1">
      <c r="A1883" s="5" t="s">
        <v>12203</v>
      </c>
      <c r="B1883" s="6" t="str">
        <f>image("https://storage.googleapis.com/acdb/photos/BromideNpcNmlBrd08_Remake_1_0.png")</f>
        <v/>
      </c>
      <c r="C1883" s="5" t="s">
        <v>1132</v>
      </c>
      <c r="D1883" s="5" t="s">
        <v>1327</v>
      </c>
      <c r="E1883" s="5" t="s">
        <v>34</v>
      </c>
      <c r="F1883" s="5" t="s">
        <v>34</v>
      </c>
      <c r="G1883" s="5" t="s">
        <v>36</v>
      </c>
      <c r="H1883" s="5" t="s">
        <v>35</v>
      </c>
      <c r="I1883" s="6">
        <v>1.0</v>
      </c>
      <c r="J1883" s="6" t="s">
        <v>37</v>
      </c>
      <c r="K1883" s="6">
        <v>10.0</v>
      </c>
      <c r="L1883" s="5"/>
      <c r="M1883" s="5"/>
      <c r="N1883" s="6" t="s">
        <v>40</v>
      </c>
      <c r="O1883" s="5" t="s">
        <v>5363</v>
      </c>
      <c r="P1883" s="6" t="s">
        <v>42</v>
      </c>
      <c r="Q1883" s="5" t="s">
        <v>1237</v>
      </c>
      <c r="R1883" s="5" t="s">
        <v>12207</v>
      </c>
      <c r="S1883" s="6" t="s">
        <v>56</v>
      </c>
      <c r="T1883" s="6">
        <v>6637.0</v>
      </c>
    </row>
    <row r="1884" ht="56.25" customHeight="1">
      <c r="A1884" s="5" t="s">
        <v>12203</v>
      </c>
      <c r="B1884" s="6" t="str">
        <f>image("https://storage.googleapis.com/acdb/photos/BromideNpcNmlBrd08_Remake_2_0.png")</f>
        <v/>
      </c>
      <c r="C1884" s="5" t="s">
        <v>688</v>
      </c>
      <c r="D1884" s="5" t="s">
        <v>1327</v>
      </c>
      <c r="E1884" s="5" t="s">
        <v>34</v>
      </c>
      <c r="F1884" s="5" t="s">
        <v>34</v>
      </c>
      <c r="G1884" s="5" t="s">
        <v>36</v>
      </c>
      <c r="H1884" s="5" t="s">
        <v>35</v>
      </c>
      <c r="I1884" s="6">
        <v>1.0</v>
      </c>
      <c r="J1884" s="6" t="s">
        <v>37</v>
      </c>
      <c r="K1884" s="6">
        <v>10.0</v>
      </c>
      <c r="L1884" s="5"/>
      <c r="M1884" s="5"/>
      <c r="N1884" s="6" t="s">
        <v>40</v>
      </c>
      <c r="O1884" s="5" t="s">
        <v>5363</v>
      </c>
      <c r="P1884" s="6" t="s">
        <v>42</v>
      </c>
      <c r="Q1884" s="5" t="s">
        <v>1237</v>
      </c>
      <c r="R1884" s="5" t="s">
        <v>12211</v>
      </c>
      <c r="S1884" s="6" t="s">
        <v>67</v>
      </c>
      <c r="T1884" s="6">
        <v>6637.0</v>
      </c>
    </row>
    <row r="1885" ht="56.25" customHeight="1">
      <c r="A1885" s="5" t="s">
        <v>12203</v>
      </c>
      <c r="B1885" s="6" t="str">
        <f>image("https://storage.googleapis.com/acdb/photos/BromideNpcNmlBrd08_Remake_3_0.png")</f>
        <v/>
      </c>
      <c r="C1885" s="5" t="s">
        <v>57</v>
      </c>
      <c r="D1885" s="5" t="s">
        <v>1327</v>
      </c>
      <c r="E1885" s="5" t="s">
        <v>34</v>
      </c>
      <c r="F1885" s="5" t="s">
        <v>34</v>
      </c>
      <c r="G1885" s="5" t="s">
        <v>36</v>
      </c>
      <c r="H1885" s="5" t="s">
        <v>35</v>
      </c>
      <c r="I1885" s="6">
        <v>1.0</v>
      </c>
      <c r="J1885" s="6" t="s">
        <v>37</v>
      </c>
      <c r="K1885" s="6">
        <v>10.0</v>
      </c>
      <c r="L1885" s="5"/>
      <c r="M1885" s="5"/>
      <c r="N1885" s="6" t="s">
        <v>40</v>
      </c>
      <c r="O1885" s="5" t="s">
        <v>5363</v>
      </c>
      <c r="P1885" s="6" t="s">
        <v>42</v>
      </c>
      <c r="Q1885" s="5" t="s">
        <v>1237</v>
      </c>
      <c r="R1885" s="5" t="s">
        <v>12212</v>
      </c>
      <c r="S1885" s="6" t="s">
        <v>71</v>
      </c>
      <c r="T1885" s="6">
        <v>6637.0</v>
      </c>
    </row>
    <row r="1886" ht="56.25" customHeight="1">
      <c r="A1886" s="5" t="s">
        <v>12203</v>
      </c>
      <c r="B1886" s="6" t="str">
        <f>image("https://storage.googleapis.com/acdb/photos/BromideNpcNmlBrd08_Remake_4_0.png")</f>
        <v/>
      </c>
      <c r="C1886" s="5" t="s">
        <v>1167</v>
      </c>
      <c r="D1886" s="5" t="s">
        <v>1327</v>
      </c>
      <c r="E1886" s="5" t="s">
        <v>34</v>
      </c>
      <c r="F1886" s="5" t="s">
        <v>34</v>
      </c>
      <c r="G1886" s="5" t="s">
        <v>36</v>
      </c>
      <c r="H1886" s="5" t="s">
        <v>35</v>
      </c>
      <c r="I1886" s="6">
        <v>1.0</v>
      </c>
      <c r="J1886" s="6" t="s">
        <v>37</v>
      </c>
      <c r="K1886" s="6">
        <v>10.0</v>
      </c>
      <c r="L1886" s="5"/>
      <c r="M1886" s="5"/>
      <c r="N1886" s="6" t="s">
        <v>40</v>
      </c>
      <c r="O1886" s="5" t="s">
        <v>5363</v>
      </c>
      <c r="P1886" s="6" t="s">
        <v>42</v>
      </c>
      <c r="Q1886" s="5" t="s">
        <v>1237</v>
      </c>
      <c r="R1886" s="5" t="s">
        <v>12215</v>
      </c>
      <c r="S1886" s="6" t="s">
        <v>75</v>
      </c>
      <c r="T1886" s="6">
        <v>6637.0</v>
      </c>
    </row>
    <row r="1887" ht="56.25" customHeight="1">
      <c r="A1887" s="5" t="s">
        <v>12203</v>
      </c>
      <c r="B1887" s="6" t="str">
        <f>image("https://storage.googleapis.com/acdb/photos/BromideNpcNmlBrd08_Remake_5_0.png")</f>
        <v/>
      </c>
      <c r="C1887" s="5" t="s">
        <v>58</v>
      </c>
      <c r="D1887" s="5" t="s">
        <v>1327</v>
      </c>
      <c r="E1887" s="5" t="s">
        <v>34</v>
      </c>
      <c r="F1887" s="5" t="s">
        <v>34</v>
      </c>
      <c r="G1887" s="5" t="s">
        <v>36</v>
      </c>
      <c r="H1887" s="5" t="s">
        <v>35</v>
      </c>
      <c r="I1887" s="6">
        <v>1.0</v>
      </c>
      <c r="J1887" s="6" t="s">
        <v>37</v>
      </c>
      <c r="K1887" s="6">
        <v>10.0</v>
      </c>
      <c r="L1887" s="5"/>
      <c r="M1887" s="5"/>
      <c r="N1887" s="6" t="s">
        <v>40</v>
      </c>
      <c r="O1887" s="5" t="s">
        <v>5363</v>
      </c>
      <c r="P1887" s="6" t="s">
        <v>42</v>
      </c>
      <c r="Q1887" s="5" t="s">
        <v>1237</v>
      </c>
      <c r="R1887" s="5" t="s">
        <v>12217</v>
      </c>
      <c r="S1887" s="6" t="s">
        <v>79</v>
      </c>
      <c r="T1887" s="6">
        <v>6637.0</v>
      </c>
    </row>
    <row r="1888" ht="56.25" customHeight="1">
      <c r="A1888" s="5" t="s">
        <v>12203</v>
      </c>
      <c r="B1888" s="6" t="str">
        <f>image("https://storage.googleapis.com/acdb/photos/BromideNpcNmlBrd08_Remake_6_0.png")</f>
        <v/>
      </c>
      <c r="C1888" s="5" t="s">
        <v>146</v>
      </c>
      <c r="D1888" s="5" t="s">
        <v>1327</v>
      </c>
      <c r="E1888" s="5" t="s">
        <v>34</v>
      </c>
      <c r="F1888" s="5" t="s">
        <v>34</v>
      </c>
      <c r="G1888" s="5" t="s">
        <v>36</v>
      </c>
      <c r="H1888" s="5" t="s">
        <v>35</v>
      </c>
      <c r="I1888" s="6">
        <v>1.0</v>
      </c>
      <c r="J1888" s="6" t="s">
        <v>37</v>
      </c>
      <c r="K1888" s="6">
        <v>10.0</v>
      </c>
      <c r="L1888" s="5"/>
      <c r="M1888" s="5"/>
      <c r="N1888" s="6" t="s">
        <v>40</v>
      </c>
      <c r="O1888" s="5" t="s">
        <v>5363</v>
      </c>
      <c r="P1888" s="6" t="s">
        <v>42</v>
      </c>
      <c r="Q1888" s="5" t="s">
        <v>1237</v>
      </c>
      <c r="R1888" s="5" t="s">
        <v>12218</v>
      </c>
      <c r="S1888" s="6" t="s">
        <v>86</v>
      </c>
      <c r="T1888" s="6">
        <v>6637.0</v>
      </c>
    </row>
    <row r="1889" ht="56.25" customHeight="1">
      <c r="A1889" s="5" t="s">
        <v>12203</v>
      </c>
      <c r="B1889" s="6" t="str">
        <f>image("https://storage.googleapis.com/acdb/photos/BromideNpcNmlBrd08_Remake_7_0.png")</f>
        <v/>
      </c>
      <c r="C1889" s="5" t="s">
        <v>151</v>
      </c>
      <c r="D1889" s="5" t="s">
        <v>1327</v>
      </c>
      <c r="E1889" s="5" t="s">
        <v>34</v>
      </c>
      <c r="F1889" s="5" t="s">
        <v>34</v>
      </c>
      <c r="G1889" s="5" t="s">
        <v>36</v>
      </c>
      <c r="H1889" s="5" t="s">
        <v>35</v>
      </c>
      <c r="I1889" s="6">
        <v>1.0</v>
      </c>
      <c r="J1889" s="6" t="s">
        <v>37</v>
      </c>
      <c r="K1889" s="6">
        <v>10.0</v>
      </c>
      <c r="L1889" s="5"/>
      <c r="M1889" s="5"/>
      <c r="N1889" s="6" t="s">
        <v>40</v>
      </c>
      <c r="O1889" s="5" t="s">
        <v>5363</v>
      </c>
      <c r="P1889" s="6" t="s">
        <v>42</v>
      </c>
      <c r="Q1889" s="5" t="s">
        <v>1237</v>
      </c>
      <c r="R1889" s="5" t="s">
        <v>12221</v>
      </c>
      <c r="S1889" s="6" t="s">
        <v>208</v>
      </c>
      <c r="T1889" s="6">
        <v>6637.0</v>
      </c>
    </row>
    <row r="1890" ht="56.25" customHeight="1">
      <c r="A1890" s="5" t="s">
        <v>12222</v>
      </c>
      <c r="B1890" s="6" t="str">
        <f>image("https://storage.googleapis.com/acdb/photos/BromideNpcNmlSqu09_Remake_0_0.png")</f>
        <v/>
      </c>
      <c r="C1890" s="5" t="s">
        <v>366</v>
      </c>
      <c r="D1890" s="5" t="s">
        <v>1327</v>
      </c>
      <c r="E1890" s="5" t="s">
        <v>34</v>
      </c>
      <c r="F1890" s="5" t="s">
        <v>34</v>
      </c>
      <c r="G1890" s="5" t="s">
        <v>36</v>
      </c>
      <c r="H1890" s="5" t="s">
        <v>35</v>
      </c>
      <c r="I1890" s="6">
        <v>1.0</v>
      </c>
      <c r="J1890" s="6" t="s">
        <v>37</v>
      </c>
      <c r="K1890" s="6">
        <v>10.0</v>
      </c>
      <c r="L1890" s="5"/>
      <c r="M1890" s="5"/>
      <c r="N1890" s="6" t="s">
        <v>40</v>
      </c>
      <c r="O1890" s="5" t="s">
        <v>5363</v>
      </c>
      <c r="P1890" s="6" t="s">
        <v>42</v>
      </c>
      <c r="Q1890" s="5" t="s">
        <v>1237</v>
      </c>
      <c r="R1890" s="5" t="s">
        <v>12225</v>
      </c>
      <c r="S1890" s="6" t="s">
        <v>50</v>
      </c>
      <c r="T1890" s="6">
        <v>6713.0</v>
      </c>
    </row>
    <row r="1891" ht="56.25" customHeight="1">
      <c r="A1891" s="5" t="s">
        <v>12222</v>
      </c>
      <c r="B1891" s="6" t="str">
        <f>image("https://storage.googleapis.com/acdb/photos/BromideNpcNmlSqu09_Remake_1_0.png")</f>
        <v/>
      </c>
      <c r="C1891" s="5" t="s">
        <v>1132</v>
      </c>
      <c r="D1891" s="5" t="s">
        <v>1327</v>
      </c>
      <c r="E1891" s="5" t="s">
        <v>34</v>
      </c>
      <c r="F1891" s="5" t="s">
        <v>34</v>
      </c>
      <c r="G1891" s="5" t="s">
        <v>36</v>
      </c>
      <c r="H1891" s="5" t="s">
        <v>35</v>
      </c>
      <c r="I1891" s="6">
        <v>1.0</v>
      </c>
      <c r="J1891" s="6" t="s">
        <v>37</v>
      </c>
      <c r="K1891" s="6">
        <v>10.0</v>
      </c>
      <c r="L1891" s="5"/>
      <c r="M1891" s="5"/>
      <c r="N1891" s="6" t="s">
        <v>40</v>
      </c>
      <c r="O1891" s="5" t="s">
        <v>5363</v>
      </c>
      <c r="P1891" s="6" t="s">
        <v>42</v>
      </c>
      <c r="Q1891" s="5" t="s">
        <v>1237</v>
      </c>
      <c r="R1891" s="5" t="s">
        <v>12228</v>
      </c>
      <c r="S1891" s="6" t="s">
        <v>56</v>
      </c>
      <c r="T1891" s="6">
        <v>6713.0</v>
      </c>
    </row>
    <row r="1892" ht="56.25" customHeight="1">
      <c r="A1892" s="5" t="s">
        <v>12222</v>
      </c>
      <c r="B1892" s="6" t="str">
        <f>image("https://storage.googleapis.com/acdb/photos/BromideNpcNmlSqu09_Remake_2_0.png")</f>
        <v/>
      </c>
      <c r="C1892" s="5" t="s">
        <v>688</v>
      </c>
      <c r="D1892" s="5" t="s">
        <v>1327</v>
      </c>
      <c r="E1892" s="5" t="s">
        <v>34</v>
      </c>
      <c r="F1892" s="5" t="s">
        <v>34</v>
      </c>
      <c r="G1892" s="5" t="s">
        <v>36</v>
      </c>
      <c r="H1892" s="5" t="s">
        <v>35</v>
      </c>
      <c r="I1892" s="6">
        <v>1.0</v>
      </c>
      <c r="J1892" s="6" t="s">
        <v>37</v>
      </c>
      <c r="K1892" s="6">
        <v>10.0</v>
      </c>
      <c r="L1892" s="5"/>
      <c r="M1892" s="5"/>
      <c r="N1892" s="6" t="s">
        <v>40</v>
      </c>
      <c r="O1892" s="5" t="s">
        <v>5363</v>
      </c>
      <c r="P1892" s="6" t="s">
        <v>42</v>
      </c>
      <c r="Q1892" s="5" t="s">
        <v>1237</v>
      </c>
      <c r="R1892" s="5" t="s">
        <v>12229</v>
      </c>
      <c r="S1892" s="6" t="s">
        <v>67</v>
      </c>
      <c r="T1892" s="6">
        <v>6713.0</v>
      </c>
    </row>
    <row r="1893" ht="56.25" customHeight="1">
      <c r="A1893" s="5" t="s">
        <v>12222</v>
      </c>
      <c r="B1893" s="6" t="str">
        <f>image("https://storage.googleapis.com/acdb/photos/BromideNpcNmlSqu09_Remake_3_0.png")</f>
        <v/>
      </c>
      <c r="C1893" s="5" t="s">
        <v>57</v>
      </c>
      <c r="D1893" s="5" t="s">
        <v>1327</v>
      </c>
      <c r="E1893" s="5" t="s">
        <v>34</v>
      </c>
      <c r="F1893" s="5" t="s">
        <v>34</v>
      </c>
      <c r="G1893" s="5" t="s">
        <v>36</v>
      </c>
      <c r="H1893" s="5" t="s">
        <v>35</v>
      </c>
      <c r="I1893" s="6">
        <v>1.0</v>
      </c>
      <c r="J1893" s="6" t="s">
        <v>37</v>
      </c>
      <c r="K1893" s="6">
        <v>10.0</v>
      </c>
      <c r="L1893" s="5"/>
      <c r="M1893" s="5"/>
      <c r="N1893" s="6" t="s">
        <v>40</v>
      </c>
      <c r="O1893" s="5" t="s">
        <v>5363</v>
      </c>
      <c r="P1893" s="6" t="s">
        <v>42</v>
      </c>
      <c r="Q1893" s="5" t="s">
        <v>1237</v>
      </c>
      <c r="R1893" s="5" t="s">
        <v>12232</v>
      </c>
      <c r="S1893" s="6" t="s">
        <v>71</v>
      </c>
      <c r="T1893" s="6">
        <v>6713.0</v>
      </c>
    </row>
    <row r="1894" ht="56.25" customHeight="1">
      <c r="A1894" s="5" t="s">
        <v>12222</v>
      </c>
      <c r="B1894" s="6" t="str">
        <f>image("https://storage.googleapis.com/acdb/photos/BromideNpcNmlSqu09_Remake_4_0.png")</f>
        <v/>
      </c>
      <c r="C1894" s="5" t="s">
        <v>1167</v>
      </c>
      <c r="D1894" s="5" t="s">
        <v>1327</v>
      </c>
      <c r="E1894" s="5" t="s">
        <v>34</v>
      </c>
      <c r="F1894" s="5" t="s">
        <v>34</v>
      </c>
      <c r="G1894" s="5" t="s">
        <v>36</v>
      </c>
      <c r="H1894" s="5" t="s">
        <v>35</v>
      </c>
      <c r="I1894" s="6">
        <v>1.0</v>
      </c>
      <c r="J1894" s="6" t="s">
        <v>37</v>
      </c>
      <c r="K1894" s="6">
        <v>10.0</v>
      </c>
      <c r="L1894" s="5"/>
      <c r="M1894" s="5"/>
      <c r="N1894" s="6" t="s">
        <v>40</v>
      </c>
      <c r="O1894" s="5" t="s">
        <v>5363</v>
      </c>
      <c r="P1894" s="6" t="s">
        <v>42</v>
      </c>
      <c r="Q1894" s="5" t="s">
        <v>1237</v>
      </c>
      <c r="R1894" s="5" t="s">
        <v>12234</v>
      </c>
      <c r="S1894" s="6" t="s">
        <v>75</v>
      </c>
      <c r="T1894" s="6">
        <v>6713.0</v>
      </c>
    </row>
    <row r="1895" ht="56.25" customHeight="1">
      <c r="A1895" s="5" t="s">
        <v>12222</v>
      </c>
      <c r="B1895" s="6" t="str">
        <f>image("https://storage.googleapis.com/acdb/photos/BromideNpcNmlSqu09_Remake_5_0.png")</f>
        <v/>
      </c>
      <c r="C1895" s="5" t="s">
        <v>58</v>
      </c>
      <c r="D1895" s="5" t="s">
        <v>1327</v>
      </c>
      <c r="E1895" s="5" t="s">
        <v>34</v>
      </c>
      <c r="F1895" s="5" t="s">
        <v>34</v>
      </c>
      <c r="G1895" s="5" t="s">
        <v>36</v>
      </c>
      <c r="H1895" s="5" t="s">
        <v>35</v>
      </c>
      <c r="I1895" s="6">
        <v>1.0</v>
      </c>
      <c r="J1895" s="6" t="s">
        <v>37</v>
      </c>
      <c r="K1895" s="6">
        <v>10.0</v>
      </c>
      <c r="L1895" s="5"/>
      <c r="M1895" s="5"/>
      <c r="N1895" s="6" t="s">
        <v>40</v>
      </c>
      <c r="O1895" s="5" t="s">
        <v>5363</v>
      </c>
      <c r="P1895" s="6" t="s">
        <v>42</v>
      </c>
      <c r="Q1895" s="5" t="s">
        <v>1237</v>
      </c>
      <c r="R1895" s="5" t="s">
        <v>12236</v>
      </c>
      <c r="S1895" s="6" t="s">
        <v>79</v>
      </c>
      <c r="T1895" s="6">
        <v>6713.0</v>
      </c>
    </row>
    <row r="1896" ht="56.25" customHeight="1">
      <c r="A1896" s="5" t="s">
        <v>12222</v>
      </c>
      <c r="B1896" s="6" t="str">
        <f>image("https://storage.googleapis.com/acdb/photos/BromideNpcNmlSqu09_Remake_6_0.png")</f>
        <v/>
      </c>
      <c r="C1896" s="5" t="s">
        <v>146</v>
      </c>
      <c r="D1896" s="5" t="s">
        <v>1327</v>
      </c>
      <c r="E1896" s="5" t="s">
        <v>34</v>
      </c>
      <c r="F1896" s="5" t="s">
        <v>34</v>
      </c>
      <c r="G1896" s="5" t="s">
        <v>36</v>
      </c>
      <c r="H1896" s="5" t="s">
        <v>35</v>
      </c>
      <c r="I1896" s="6">
        <v>1.0</v>
      </c>
      <c r="J1896" s="6" t="s">
        <v>37</v>
      </c>
      <c r="K1896" s="6">
        <v>10.0</v>
      </c>
      <c r="L1896" s="5"/>
      <c r="M1896" s="5"/>
      <c r="N1896" s="6" t="s">
        <v>40</v>
      </c>
      <c r="O1896" s="5" t="s">
        <v>5363</v>
      </c>
      <c r="P1896" s="6" t="s">
        <v>42</v>
      </c>
      <c r="Q1896" s="5" t="s">
        <v>1237</v>
      </c>
      <c r="R1896" s="5" t="s">
        <v>12238</v>
      </c>
      <c r="S1896" s="6" t="s">
        <v>86</v>
      </c>
      <c r="T1896" s="6">
        <v>6713.0</v>
      </c>
    </row>
    <row r="1897" ht="56.25" customHeight="1">
      <c r="A1897" s="5" t="s">
        <v>12222</v>
      </c>
      <c r="B1897" s="6" t="str">
        <f>image("https://storage.googleapis.com/acdb/photos/BromideNpcNmlSqu09_Remake_7_0.png")</f>
        <v/>
      </c>
      <c r="C1897" s="5" t="s">
        <v>151</v>
      </c>
      <c r="D1897" s="5" t="s">
        <v>1327</v>
      </c>
      <c r="E1897" s="5" t="s">
        <v>34</v>
      </c>
      <c r="F1897" s="5" t="s">
        <v>34</v>
      </c>
      <c r="G1897" s="5" t="s">
        <v>36</v>
      </c>
      <c r="H1897" s="5" t="s">
        <v>35</v>
      </c>
      <c r="I1897" s="6">
        <v>1.0</v>
      </c>
      <c r="J1897" s="6" t="s">
        <v>37</v>
      </c>
      <c r="K1897" s="6">
        <v>10.0</v>
      </c>
      <c r="L1897" s="5"/>
      <c r="M1897" s="5"/>
      <c r="N1897" s="6" t="s">
        <v>40</v>
      </c>
      <c r="O1897" s="5" t="s">
        <v>5363</v>
      </c>
      <c r="P1897" s="6" t="s">
        <v>42</v>
      </c>
      <c r="Q1897" s="5" t="s">
        <v>1237</v>
      </c>
      <c r="R1897" s="5" t="s">
        <v>12240</v>
      </c>
      <c r="S1897" s="6" t="s">
        <v>208</v>
      </c>
      <c r="T1897" s="6">
        <v>6713.0</v>
      </c>
    </row>
    <row r="1898" ht="56.25" customHeight="1">
      <c r="A1898" s="5" t="s">
        <v>12241</v>
      </c>
      <c r="B1898" s="6" t="str">
        <f>image("https://storage.googleapis.com/acdb/photos/BromideNpcNmlRbt19_Remake_0_0.png")</f>
        <v/>
      </c>
      <c r="C1898" s="5" t="s">
        <v>366</v>
      </c>
      <c r="D1898" s="5" t="s">
        <v>1327</v>
      </c>
      <c r="E1898" s="5" t="s">
        <v>34</v>
      </c>
      <c r="F1898" s="5" t="s">
        <v>34</v>
      </c>
      <c r="G1898" s="5" t="s">
        <v>36</v>
      </c>
      <c r="H1898" s="5" t="s">
        <v>35</v>
      </c>
      <c r="I1898" s="6">
        <v>1.0</v>
      </c>
      <c r="J1898" s="6" t="s">
        <v>37</v>
      </c>
      <c r="K1898" s="6">
        <v>10.0</v>
      </c>
      <c r="L1898" s="5"/>
      <c r="M1898" s="5"/>
      <c r="N1898" s="6" t="s">
        <v>40</v>
      </c>
      <c r="O1898" s="5" t="s">
        <v>5363</v>
      </c>
      <c r="P1898" s="6" t="s">
        <v>42</v>
      </c>
      <c r="Q1898" s="5" t="s">
        <v>1237</v>
      </c>
      <c r="R1898" s="5" t="s">
        <v>12244</v>
      </c>
      <c r="S1898" s="6" t="s">
        <v>50</v>
      </c>
      <c r="T1898" s="6">
        <v>6683.0</v>
      </c>
    </row>
    <row r="1899" ht="56.25" customHeight="1">
      <c r="A1899" s="5" t="s">
        <v>12241</v>
      </c>
      <c r="B1899" s="6" t="str">
        <f>image("https://storage.googleapis.com/acdb/photos/BromideNpcNmlRbt19_Remake_1_0.png")</f>
        <v/>
      </c>
      <c r="C1899" s="5" t="s">
        <v>1132</v>
      </c>
      <c r="D1899" s="5" t="s">
        <v>1327</v>
      </c>
      <c r="E1899" s="5" t="s">
        <v>34</v>
      </c>
      <c r="F1899" s="5" t="s">
        <v>34</v>
      </c>
      <c r="G1899" s="5" t="s">
        <v>36</v>
      </c>
      <c r="H1899" s="5" t="s">
        <v>35</v>
      </c>
      <c r="I1899" s="6">
        <v>1.0</v>
      </c>
      <c r="J1899" s="6" t="s">
        <v>37</v>
      </c>
      <c r="K1899" s="6">
        <v>10.0</v>
      </c>
      <c r="L1899" s="5"/>
      <c r="M1899" s="5"/>
      <c r="N1899" s="6" t="s">
        <v>40</v>
      </c>
      <c r="O1899" s="5" t="s">
        <v>5363</v>
      </c>
      <c r="P1899" s="6" t="s">
        <v>42</v>
      </c>
      <c r="Q1899" s="5" t="s">
        <v>1237</v>
      </c>
      <c r="R1899" s="5" t="s">
        <v>12245</v>
      </c>
      <c r="S1899" s="6" t="s">
        <v>56</v>
      </c>
      <c r="T1899" s="6">
        <v>6683.0</v>
      </c>
    </row>
    <row r="1900" ht="56.25" customHeight="1">
      <c r="A1900" s="5" t="s">
        <v>12241</v>
      </c>
      <c r="B1900" s="6" t="str">
        <f>image("https://storage.googleapis.com/acdb/photos/BromideNpcNmlRbt19_Remake_2_0.png")</f>
        <v/>
      </c>
      <c r="C1900" s="5" t="s">
        <v>688</v>
      </c>
      <c r="D1900" s="5" t="s">
        <v>1327</v>
      </c>
      <c r="E1900" s="5" t="s">
        <v>34</v>
      </c>
      <c r="F1900" s="5" t="s">
        <v>34</v>
      </c>
      <c r="G1900" s="5" t="s">
        <v>36</v>
      </c>
      <c r="H1900" s="5" t="s">
        <v>35</v>
      </c>
      <c r="I1900" s="6">
        <v>1.0</v>
      </c>
      <c r="J1900" s="6" t="s">
        <v>37</v>
      </c>
      <c r="K1900" s="6">
        <v>10.0</v>
      </c>
      <c r="L1900" s="5"/>
      <c r="M1900" s="5"/>
      <c r="N1900" s="6" t="s">
        <v>40</v>
      </c>
      <c r="O1900" s="5" t="s">
        <v>5363</v>
      </c>
      <c r="P1900" s="6" t="s">
        <v>42</v>
      </c>
      <c r="Q1900" s="5" t="s">
        <v>1237</v>
      </c>
      <c r="R1900" s="5" t="s">
        <v>12248</v>
      </c>
      <c r="S1900" s="6" t="s">
        <v>67</v>
      </c>
      <c r="T1900" s="6">
        <v>6683.0</v>
      </c>
    </row>
    <row r="1901" ht="56.25" customHeight="1">
      <c r="A1901" s="5" t="s">
        <v>12241</v>
      </c>
      <c r="B1901" s="6" t="str">
        <f>image("https://storage.googleapis.com/acdb/photos/BromideNpcNmlRbt19_Remake_3_0.png")</f>
        <v/>
      </c>
      <c r="C1901" s="5" t="s">
        <v>57</v>
      </c>
      <c r="D1901" s="5" t="s">
        <v>1327</v>
      </c>
      <c r="E1901" s="5" t="s">
        <v>34</v>
      </c>
      <c r="F1901" s="5" t="s">
        <v>34</v>
      </c>
      <c r="G1901" s="5" t="s">
        <v>36</v>
      </c>
      <c r="H1901" s="5" t="s">
        <v>35</v>
      </c>
      <c r="I1901" s="6">
        <v>1.0</v>
      </c>
      <c r="J1901" s="6" t="s">
        <v>37</v>
      </c>
      <c r="K1901" s="6">
        <v>10.0</v>
      </c>
      <c r="L1901" s="5"/>
      <c r="M1901" s="5"/>
      <c r="N1901" s="6" t="s">
        <v>40</v>
      </c>
      <c r="O1901" s="5" t="s">
        <v>5363</v>
      </c>
      <c r="P1901" s="6" t="s">
        <v>42</v>
      </c>
      <c r="Q1901" s="5" t="s">
        <v>1237</v>
      </c>
      <c r="R1901" s="5" t="s">
        <v>12251</v>
      </c>
      <c r="S1901" s="6" t="s">
        <v>71</v>
      </c>
      <c r="T1901" s="6">
        <v>6683.0</v>
      </c>
    </row>
    <row r="1902" ht="56.25" customHeight="1">
      <c r="A1902" s="5" t="s">
        <v>12241</v>
      </c>
      <c r="B1902" s="6" t="str">
        <f>image("https://storage.googleapis.com/acdb/photos/BromideNpcNmlRbt19_Remake_4_0.png")</f>
        <v/>
      </c>
      <c r="C1902" s="5" t="s">
        <v>1167</v>
      </c>
      <c r="D1902" s="5" t="s">
        <v>1327</v>
      </c>
      <c r="E1902" s="5" t="s">
        <v>34</v>
      </c>
      <c r="F1902" s="5" t="s">
        <v>34</v>
      </c>
      <c r="G1902" s="5" t="s">
        <v>36</v>
      </c>
      <c r="H1902" s="5" t="s">
        <v>35</v>
      </c>
      <c r="I1902" s="6">
        <v>1.0</v>
      </c>
      <c r="J1902" s="6" t="s">
        <v>37</v>
      </c>
      <c r="K1902" s="6">
        <v>10.0</v>
      </c>
      <c r="L1902" s="5"/>
      <c r="M1902" s="5"/>
      <c r="N1902" s="6" t="s">
        <v>40</v>
      </c>
      <c r="O1902" s="5" t="s">
        <v>5363</v>
      </c>
      <c r="P1902" s="6" t="s">
        <v>42</v>
      </c>
      <c r="Q1902" s="5" t="s">
        <v>1237</v>
      </c>
      <c r="R1902" s="5" t="s">
        <v>12254</v>
      </c>
      <c r="S1902" s="6" t="s">
        <v>75</v>
      </c>
      <c r="T1902" s="6">
        <v>6683.0</v>
      </c>
    </row>
    <row r="1903" ht="56.25" customHeight="1">
      <c r="A1903" s="5" t="s">
        <v>12241</v>
      </c>
      <c r="B1903" s="6" t="str">
        <f>image("https://storage.googleapis.com/acdb/photos/BromideNpcNmlRbt19_Remake_5_0.png")</f>
        <v/>
      </c>
      <c r="C1903" s="5" t="s">
        <v>58</v>
      </c>
      <c r="D1903" s="5" t="s">
        <v>1327</v>
      </c>
      <c r="E1903" s="5" t="s">
        <v>34</v>
      </c>
      <c r="F1903" s="5" t="s">
        <v>34</v>
      </c>
      <c r="G1903" s="5" t="s">
        <v>36</v>
      </c>
      <c r="H1903" s="5" t="s">
        <v>35</v>
      </c>
      <c r="I1903" s="6">
        <v>1.0</v>
      </c>
      <c r="J1903" s="6" t="s">
        <v>37</v>
      </c>
      <c r="K1903" s="6">
        <v>10.0</v>
      </c>
      <c r="L1903" s="5"/>
      <c r="M1903" s="5"/>
      <c r="N1903" s="6" t="s">
        <v>40</v>
      </c>
      <c r="O1903" s="5" t="s">
        <v>5363</v>
      </c>
      <c r="P1903" s="6" t="s">
        <v>42</v>
      </c>
      <c r="Q1903" s="5" t="s">
        <v>1237</v>
      </c>
      <c r="R1903" s="5" t="s">
        <v>12257</v>
      </c>
      <c r="S1903" s="6" t="s">
        <v>79</v>
      </c>
      <c r="T1903" s="6">
        <v>6683.0</v>
      </c>
    </row>
    <row r="1904" ht="56.25" customHeight="1">
      <c r="A1904" s="5" t="s">
        <v>12241</v>
      </c>
      <c r="B1904" s="6" t="str">
        <f>image("https://storage.googleapis.com/acdb/photos/BromideNpcNmlRbt19_Remake_6_0.png")</f>
        <v/>
      </c>
      <c r="C1904" s="5" t="s">
        <v>146</v>
      </c>
      <c r="D1904" s="5" t="s">
        <v>1327</v>
      </c>
      <c r="E1904" s="5" t="s">
        <v>34</v>
      </c>
      <c r="F1904" s="5" t="s">
        <v>34</v>
      </c>
      <c r="G1904" s="5" t="s">
        <v>36</v>
      </c>
      <c r="H1904" s="5" t="s">
        <v>35</v>
      </c>
      <c r="I1904" s="6">
        <v>1.0</v>
      </c>
      <c r="J1904" s="6" t="s">
        <v>37</v>
      </c>
      <c r="K1904" s="6">
        <v>10.0</v>
      </c>
      <c r="L1904" s="5"/>
      <c r="M1904" s="5"/>
      <c r="N1904" s="6" t="s">
        <v>40</v>
      </c>
      <c r="O1904" s="5" t="s">
        <v>5363</v>
      </c>
      <c r="P1904" s="6" t="s">
        <v>42</v>
      </c>
      <c r="Q1904" s="5" t="s">
        <v>1237</v>
      </c>
      <c r="R1904" s="5" t="s">
        <v>12259</v>
      </c>
      <c r="S1904" s="6" t="s">
        <v>86</v>
      </c>
      <c r="T1904" s="6">
        <v>6683.0</v>
      </c>
    </row>
    <row r="1905" ht="56.25" customHeight="1">
      <c r="A1905" s="5" t="s">
        <v>12241</v>
      </c>
      <c r="B1905" s="6" t="str">
        <f>image("https://storage.googleapis.com/acdb/photos/BromideNpcNmlRbt19_Remake_7_0.png")</f>
        <v/>
      </c>
      <c r="C1905" s="5" t="s">
        <v>151</v>
      </c>
      <c r="D1905" s="5" t="s">
        <v>1327</v>
      </c>
      <c r="E1905" s="5" t="s">
        <v>34</v>
      </c>
      <c r="F1905" s="5" t="s">
        <v>34</v>
      </c>
      <c r="G1905" s="5" t="s">
        <v>36</v>
      </c>
      <c r="H1905" s="5" t="s">
        <v>35</v>
      </c>
      <c r="I1905" s="6">
        <v>1.0</v>
      </c>
      <c r="J1905" s="6" t="s">
        <v>37</v>
      </c>
      <c r="K1905" s="6">
        <v>10.0</v>
      </c>
      <c r="L1905" s="5"/>
      <c r="M1905" s="5"/>
      <c r="N1905" s="6" t="s">
        <v>40</v>
      </c>
      <c r="O1905" s="5" t="s">
        <v>5363</v>
      </c>
      <c r="P1905" s="6" t="s">
        <v>42</v>
      </c>
      <c r="Q1905" s="5" t="s">
        <v>1237</v>
      </c>
      <c r="R1905" s="5" t="s">
        <v>12261</v>
      </c>
      <c r="S1905" s="6" t="s">
        <v>208</v>
      </c>
      <c r="T1905" s="6">
        <v>6683.0</v>
      </c>
    </row>
    <row r="1906" ht="56.25" customHeight="1">
      <c r="A1906" s="5" t="s">
        <v>12262</v>
      </c>
      <c r="B1906" s="6" t="str">
        <f>image("https://storage.googleapis.com/acdb/photos/BromideNpcNmlDuk12_Remake_0_0.png")</f>
        <v/>
      </c>
      <c r="C1906" s="5" t="s">
        <v>366</v>
      </c>
      <c r="D1906" s="5" t="s">
        <v>1327</v>
      </c>
      <c r="E1906" s="5" t="s">
        <v>34</v>
      </c>
      <c r="F1906" s="5" t="s">
        <v>34</v>
      </c>
      <c r="G1906" s="5" t="s">
        <v>36</v>
      </c>
      <c r="H1906" s="5" t="s">
        <v>35</v>
      </c>
      <c r="I1906" s="6">
        <v>1.0</v>
      </c>
      <c r="J1906" s="6" t="s">
        <v>37</v>
      </c>
      <c r="K1906" s="6">
        <v>10.0</v>
      </c>
      <c r="L1906" s="5"/>
      <c r="M1906" s="5"/>
      <c r="N1906" s="6" t="s">
        <v>40</v>
      </c>
      <c r="O1906" s="5" t="s">
        <v>5363</v>
      </c>
      <c r="P1906" s="6" t="s">
        <v>42</v>
      </c>
      <c r="Q1906" s="5" t="s">
        <v>1237</v>
      </c>
      <c r="R1906" s="5" t="s">
        <v>12264</v>
      </c>
      <c r="S1906" s="6" t="s">
        <v>50</v>
      </c>
      <c r="T1906" s="6">
        <v>6467.0</v>
      </c>
    </row>
    <row r="1907" ht="56.25" customHeight="1">
      <c r="A1907" s="5" t="s">
        <v>12262</v>
      </c>
      <c r="B1907" s="6" t="str">
        <f>image("https://storage.googleapis.com/acdb/photos/BromideNpcNmlDuk12_Remake_1_0.png")</f>
        <v/>
      </c>
      <c r="C1907" s="5" t="s">
        <v>1132</v>
      </c>
      <c r="D1907" s="5" t="s">
        <v>1327</v>
      </c>
      <c r="E1907" s="5" t="s">
        <v>34</v>
      </c>
      <c r="F1907" s="5" t="s">
        <v>34</v>
      </c>
      <c r="G1907" s="5" t="s">
        <v>36</v>
      </c>
      <c r="H1907" s="5" t="s">
        <v>35</v>
      </c>
      <c r="I1907" s="6">
        <v>1.0</v>
      </c>
      <c r="J1907" s="6" t="s">
        <v>37</v>
      </c>
      <c r="K1907" s="6">
        <v>10.0</v>
      </c>
      <c r="L1907" s="5"/>
      <c r="M1907" s="5"/>
      <c r="N1907" s="6" t="s">
        <v>40</v>
      </c>
      <c r="O1907" s="5" t="s">
        <v>5363</v>
      </c>
      <c r="P1907" s="6" t="s">
        <v>42</v>
      </c>
      <c r="Q1907" s="5" t="s">
        <v>1237</v>
      </c>
      <c r="R1907" s="5" t="s">
        <v>12266</v>
      </c>
      <c r="S1907" s="6" t="s">
        <v>56</v>
      </c>
      <c r="T1907" s="6">
        <v>6467.0</v>
      </c>
    </row>
    <row r="1908" ht="56.25" customHeight="1">
      <c r="A1908" s="5" t="s">
        <v>12262</v>
      </c>
      <c r="B1908" s="6" t="str">
        <f>image("https://storage.googleapis.com/acdb/photos/BromideNpcNmlDuk12_Remake_2_0.png")</f>
        <v/>
      </c>
      <c r="C1908" s="5" t="s">
        <v>688</v>
      </c>
      <c r="D1908" s="5" t="s">
        <v>1327</v>
      </c>
      <c r="E1908" s="5" t="s">
        <v>34</v>
      </c>
      <c r="F1908" s="5" t="s">
        <v>34</v>
      </c>
      <c r="G1908" s="5" t="s">
        <v>36</v>
      </c>
      <c r="H1908" s="5" t="s">
        <v>35</v>
      </c>
      <c r="I1908" s="6">
        <v>1.0</v>
      </c>
      <c r="J1908" s="6" t="s">
        <v>37</v>
      </c>
      <c r="K1908" s="6">
        <v>10.0</v>
      </c>
      <c r="L1908" s="5"/>
      <c r="M1908" s="5"/>
      <c r="N1908" s="6" t="s">
        <v>40</v>
      </c>
      <c r="O1908" s="5" t="s">
        <v>5363</v>
      </c>
      <c r="P1908" s="6" t="s">
        <v>42</v>
      </c>
      <c r="Q1908" s="5" t="s">
        <v>1237</v>
      </c>
      <c r="R1908" s="5" t="s">
        <v>12268</v>
      </c>
      <c r="S1908" s="6" t="s">
        <v>67</v>
      </c>
      <c r="T1908" s="6">
        <v>6467.0</v>
      </c>
    </row>
    <row r="1909" ht="56.25" customHeight="1">
      <c r="A1909" s="5" t="s">
        <v>12262</v>
      </c>
      <c r="B1909" s="6" t="str">
        <f>image("https://storage.googleapis.com/acdb/photos/BromideNpcNmlDuk12_Remake_3_0.png")</f>
        <v/>
      </c>
      <c r="C1909" s="5" t="s">
        <v>57</v>
      </c>
      <c r="D1909" s="5" t="s">
        <v>1327</v>
      </c>
      <c r="E1909" s="5" t="s">
        <v>34</v>
      </c>
      <c r="F1909" s="5" t="s">
        <v>34</v>
      </c>
      <c r="G1909" s="5" t="s">
        <v>36</v>
      </c>
      <c r="H1909" s="5" t="s">
        <v>35</v>
      </c>
      <c r="I1909" s="6">
        <v>1.0</v>
      </c>
      <c r="J1909" s="6" t="s">
        <v>37</v>
      </c>
      <c r="K1909" s="6">
        <v>10.0</v>
      </c>
      <c r="L1909" s="5"/>
      <c r="M1909" s="5"/>
      <c r="N1909" s="6" t="s">
        <v>40</v>
      </c>
      <c r="O1909" s="5" t="s">
        <v>5363</v>
      </c>
      <c r="P1909" s="6" t="s">
        <v>42</v>
      </c>
      <c r="Q1909" s="5" t="s">
        <v>1237</v>
      </c>
      <c r="R1909" s="5" t="s">
        <v>12270</v>
      </c>
      <c r="S1909" s="6" t="s">
        <v>71</v>
      </c>
      <c r="T1909" s="6">
        <v>6467.0</v>
      </c>
    </row>
    <row r="1910" ht="56.25" customHeight="1">
      <c r="A1910" s="5" t="s">
        <v>12262</v>
      </c>
      <c r="B1910" s="6" t="str">
        <f>image("https://storage.googleapis.com/acdb/photos/BromideNpcNmlDuk12_Remake_4_0.png")</f>
        <v/>
      </c>
      <c r="C1910" s="5" t="s">
        <v>1167</v>
      </c>
      <c r="D1910" s="5" t="s">
        <v>1327</v>
      </c>
      <c r="E1910" s="5" t="s">
        <v>34</v>
      </c>
      <c r="F1910" s="5" t="s">
        <v>34</v>
      </c>
      <c r="G1910" s="5" t="s">
        <v>36</v>
      </c>
      <c r="H1910" s="5" t="s">
        <v>35</v>
      </c>
      <c r="I1910" s="6">
        <v>1.0</v>
      </c>
      <c r="J1910" s="6" t="s">
        <v>37</v>
      </c>
      <c r="K1910" s="6">
        <v>10.0</v>
      </c>
      <c r="L1910" s="5"/>
      <c r="M1910" s="5"/>
      <c r="N1910" s="6" t="s">
        <v>40</v>
      </c>
      <c r="O1910" s="5" t="s">
        <v>5363</v>
      </c>
      <c r="P1910" s="6" t="s">
        <v>42</v>
      </c>
      <c r="Q1910" s="5" t="s">
        <v>1237</v>
      </c>
      <c r="R1910" s="5" t="s">
        <v>12273</v>
      </c>
      <c r="S1910" s="6" t="s">
        <v>75</v>
      </c>
      <c r="T1910" s="6">
        <v>6467.0</v>
      </c>
    </row>
    <row r="1911" ht="56.25" customHeight="1">
      <c r="A1911" s="5" t="s">
        <v>12262</v>
      </c>
      <c r="B1911" s="6" t="str">
        <f>image("https://storage.googleapis.com/acdb/photos/BromideNpcNmlDuk12_Remake_5_0.png")</f>
        <v/>
      </c>
      <c r="C1911" s="5" t="s">
        <v>58</v>
      </c>
      <c r="D1911" s="5" t="s">
        <v>1327</v>
      </c>
      <c r="E1911" s="5" t="s">
        <v>34</v>
      </c>
      <c r="F1911" s="5" t="s">
        <v>34</v>
      </c>
      <c r="G1911" s="5" t="s">
        <v>36</v>
      </c>
      <c r="H1911" s="5" t="s">
        <v>35</v>
      </c>
      <c r="I1911" s="6">
        <v>1.0</v>
      </c>
      <c r="J1911" s="6" t="s">
        <v>37</v>
      </c>
      <c r="K1911" s="6">
        <v>10.0</v>
      </c>
      <c r="L1911" s="5"/>
      <c r="M1911" s="5"/>
      <c r="N1911" s="6" t="s">
        <v>40</v>
      </c>
      <c r="O1911" s="5" t="s">
        <v>5363</v>
      </c>
      <c r="P1911" s="6" t="s">
        <v>42</v>
      </c>
      <c r="Q1911" s="5" t="s">
        <v>1237</v>
      </c>
      <c r="R1911" s="5" t="s">
        <v>12274</v>
      </c>
      <c r="S1911" s="6" t="s">
        <v>79</v>
      </c>
      <c r="T1911" s="6">
        <v>6467.0</v>
      </c>
    </row>
    <row r="1912" ht="56.25" customHeight="1">
      <c r="A1912" s="5" t="s">
        <v>12262</v>
      </c>
      <c r="B1912" s="6" t="str">
        <f>image("https://storage.googleapis.com/acdb/photos/BromideNpcNmlDuk12_Remake_6_0.png")</f>
        <v/>
      </c>
      <c r="C1912" s="5" t="s">
        <v>146</v>
      </c>
      <c r="D1912" s="5" t="s">
        <v>1327</v>
      </c>
      <c r="E1912" s="5" t="s">
        <v>34</v>
      </c>
      <c r="F1912" s="5" t="s">
        <v>34</v>
      </c>
      <c r="G1912" s="5" t="s">
        <v>36</v>
      </c>
      <c r="H1912" s="5" t="s">
        <v>35</v>
      </c>
      <c r="I1912" s="6">
        <v>1.0</v>
      </c>
      <c r="J1912" s="6" t="s">
        <v>37</v>
      </c>
      <c r="K1912" s="6">
        <v>10.0</v>
      </c>
      <c r="L1912" s="5"/>
      <c r="M1912" s="5"/>
      <c r="N1912" s="6" t="s">
        <v>40</v>
      </c>
      <c r="O1912" s="5" t="s">
        <v>5363</v>
      </c>
      <c r="P1912" s="6" t="s">
        <v>42</v>
      </c>
      <c r="Q1912" s="5" t="s">
        <v>1237</v>
      </c>
      <c r="R1912" s="5" t="s">
        <v>12277</v>
      </c>
      <c r="S1912" s="6" t="s">
        <v>86</v>
      </c>
      <c r="T1912" s="6">
        <v>6467.0</v>
      </c>
    </row>
    <row r="1913" ht="56.25" customHeight="1">
      <c r="A1913" s="5" t="s">
        <v>12262</v>
      </c>
      <c r="B1913" s="6" t="str">
        <f>image("https://storage.googleapis.com/acdb/photos/BromideNpcNmlDuk12_Remake_7_0.png")</f>
        <v/>
      </c>
      <c r="C1913" s="5" t="s">
        <v>151</v>
      </c>
      <c r="D1913" s="5" t="s">
        <v>1327</v>
      </c>
      <c r="E1913" s="5" t="s">
        <v>34</v>
      </c>
      <c r="F1913" s="5" t="s">
        <v>34</v>
      </c>
      <c r="G1913" s="5" t="s">
        <v>36</v>
      </c>
      <c r="H1913" s="5" t="s">
        <v>35</v>
      </c>
      <c r="I1913" s="6">
        <v>1.0</v>
      </c>
      <c r="J1913" s="6" t="s">
        <v>37</v>
      </c>
      <c r="K1913" s="6">
        <v>10.0</v>
      </c>
      <c r="L1913" s="5"/>
      <c r="M1913" s="5"/>
      <c r="N1913" s="6" t="s">
        <v>40</v>
      </c>
      <c r="O1913" s="5" t="s">
        <v>5363</v>
      </c>
      <c r="P1913" s="6" t="s">
        <v>42</v>
      </c>
      <c r="Q1913" s="5" t="s">
        <v>1237</v>
      </c>
      <c r="R1913" s="5" t="s">
        <v>12280</v>
      </c>
      <c r="S1913" s="6" t="s">
        <v>208</v>
      </c>
      <c r="T1913" s="6">
        <v>6467.0</v>
      </c>
    </row>
    <row r="1914" ht="56.25" customHeight="1">
      <c r="A1914" s="5" t="s">
        <v>12281</v>
      </c>
      <c r="B1914" s="6" t="str">
        <f>image("https://storage.googleapis.com/acdb/photos/BromideNpcNmlCat01_Remake_0_0.png")</f>
        <v/>
      </c>
      <c r="C1914" s="5" t="s">
        <v>366</v>
      </c>
      <c r="D1914" s="5" t="s">
        <v>1327</v>
      </c>
      <c r="E1914" s="5" t="s">
        <v>34</v>
      </c>
      <c r="F1914" s="5" t="s">
        <v>34</v>
      </c>
      <c r="G1914" s="5" t="s">
        <v>36</v>
      </c>
      <c r="H1914" s="5" t="s">
        <v>35</v>
      </c>
      <c r="I1914" s="6">
        <v>1.0</v>
      </c>
      <c r="J1914" s="6" t="s">
        <v>37</v>
      </c>
      <c r="K1914" s="6">
        <v>10.0</v>
      </c>
      <c r="L1914" s="5"/>
      <c r="M1914" s="5"/>
      <c r="N1914" s="6" t="s">
        <v>40</v>
      </c>
      <c r="O1914" s="5" t="s">
        <v>5363</v>
      </c>
      <c r="P1914" s="6" t="s">
        <v>42</v>
      </c>
      <c r="Q1914" s="5" t="s">
        <v>1237</v>
      </c>
      <c r="R1914" s="5" t="s">
        <v>12283</v>
      </c>
      <c r="S1914" s="6" t="s">
        <v>50</v>
      </c>
      <c r="T1914" s="6">
        <v>6746.0</v>
      </c>
    </row>
    <row r="1915" ht="56.25" customHeight="1">
      <c r="A1915" s="5" t="s">
        <v>12281</v>
      </c>
      <c r="B1915" s="6" t="str">
        <f>image("https://storage.googleapis.com/acdb/photos/BromideNpcNmlCat01_Remake_1_0.png")</f>
        <v/>
      </c>
      <c r="C1915" s="5" t="s">
        <v>1132</v>
      </c>
      <c r="D1915" s="5" t="s">
        <v>1327</v>
      </c>
      <c r="E1915" s="5" t="s">
        <v>34</v>
      </c>
      <c r="F1915" s="5" t="s">
        <v>34</v>
      </c>
      <c r="G1915" s="5" t="s">
        <v>36</v>
      </c>
      <c r="H1915" s="5" t="s">
        <v>35</v>
      </c>
      <c r="I1915" s="6">
        <v>1.0</v>
      </c>
      <c r="J1915" s="6" t="s">
        <v>37</v>
      </c>
      <c r="K1915" s="6">
        <v>10.0</v>
      </c>
      <c r="L1915" s="5"/>
      <c r="M1915" s="5"/>
      <c r="N1915" s="6" t="s">
        <v>40</v>
      </c>
      <c r="O1915" s="5" t="s">
        <v>5363</v>
      </c>
      <c r="P1915" s="6" t="s">
        <v>42</v>
      </c>
      <c r="Q1915" s="5" t="s">
        <v>1237</v>
      </c>
      <c r="R1915" s="5" t="s">
        <v>12284</v>
      </c>
      <c r="S1915" s="6" t="s">
        <v>56</v>
      </c>
      <c r="T1915" s="6">
        <v>6746.0</v>
      </c>
    </row>
    <row r="1916" ht="56.25" customHeight="1">
      <c r="A1916" s="5" t="s">
        <v>12281</v>
      </c>
      <c r="B1916" s="6" t="str">
        <f>image("https://storage.googleapis.com/acdb/photos/BromideNpcNmlCat01_Remake_2_0.png")</f>
        <v/>
      </c>
      <c r="C1916" s="5" t="s">
        <v>688</v>
      </c>
      <c r="D1916" s="5" t="s">
        <v>1327</v>
      </c>
      <c r="E1916" s="5" t="s">
        <v>34</v>
      </c>
      <c r="F1916" s="5" t="s">
        <v>34</v>
      </c>
      <c r="G1916" s="5" t="s">
        <v>36</v>
      </c>
      <c r="H1916" s="5" t="s">
        <v>35</v>
      </c>
      <c r="I1916" s="6">
        <v>1.0</v>
      </c>
      <c r="J1916" s="6" t="s">
        <v>37</v>
      </c>
      <c r="K1916" s="6">
        <v>10.0</v>
      </c>
      <c r="L1916" s="5"/>
      <c r="M1916" s="5"/>
      <c r="N1916" s="6" t="s">
        <v>40</v>
      </c>
      <c r="O1916" s="5" t="s">
        <v>5363</v>
      </c>
      <c r="P1916" s="6" t="s">
        <v>42</v>
      </c>
      <c r="Q1916" s="5" t="s">
        <v>1237</v>
      </c>
      <c r="R1916" s="5" t="s">
        <v>12287</v>
      </c>
      <c r="S1916" s="6" t="s">
        <v>67</v>
      </c>
      <c r="T1916" s="6">
        <v>6746.0</v>
      </c>
    </row>
    <row r="1917" ht="56.25" customHeight="1">
      <c r="A1917" s="5" t="s">
        <v>12281</v>
      </c>
      <c r="B1917" s="6" t="str">
        <f>image("https://storage.googleapis.com/acdb/photos/BromideNpcNmlCat01_Remake_3_0.png")</f>
        <v/>
      </c>
      <c r="C1917" s="5" t="s">
        <v>57</v>
      </c>
      <c r="D1917" s="5" t="s">
        <v>1327</v>
      </c>
      <c r="E1917" s="5" t="s">
        <v>34</v>
      </c>
      <c r="F1917" s="5" t="s">
        <v>34</v>
      </c>
      <c r="G1917" s="5" t="s">
        <v>36</v>
      </c>
      <c r="H1917" s="5" t="s">
        <v>35</v>
      </c>
      <c r="I1917" s="6">
        <v>1.0</v>
      </c>
      <c r="J1917" s="6" t="s">
        <v>37</v>
      </c>
      <c r="K1917" s="6">
        <v>10.0</v>
      </c>
      <c r="L1917" s="5"/>
      <c r="M1917" s="5"/>
      <c r="N1917" s="6" t="s">
        <v>40</v>
      </c>
      <c r="O1917" s="5" t="s">
        <v>5363</v>
      </c>
      <c r="P1917" s="6" t="s">
        <v>42</v>
      </c>
      <c r="Q1917" s="5" t="s">
        <v>1237</v>
      </c>
      <c r="R1917" s="5" t="s">
        <v>12290</v>
      </c>
      <c r="S1917" s="6" t="s">
        <v>71</v>
      </c>
      <c r="T1917" s="6">
        <v>6746.0</v>
      </c>
    </row>
    <row r="1918" ht="56.25" customHeight="1">
      <c r="A1918" s="5" t="s">
        <v>12281</v>
      </c>
      <c r="B1918" s="6" t="str">
        <f>image("https://storage.googleapis.com/acdb/photos/BromideNpcNmlCat01_Remake_4_0.png")</f>
        <v/>
      </c>
      <c r="C1918" s="5" t="s">
        <v>1167</v>
      </c>
      <c r="D1918" s="5" t="s">
        <v>1327</v>
      </c>
      <c r="E1918" s="5" t="s">
        <v>34</v>
      </c>
      <c r="F1918" s="5" t="s">
        <v>34</v>
      </c>
      <c r="G1918" s="5" t="s">
        <v>36</v>
      </c>
      <c r="H1918" s="5" t="s">
        <v>35</v>
      </c>
      <c r="I1918" s="6">
        <v>1.0</v>
      </c>
      <c r="J1918" s="6" t="s">
        <v>37</v>
      </c>
      <c r="K1918" s="6">
        <v>10.0</v>
      </c>
      <c r="L1918" s="5"/>
      <c r="M1918" s="5"/>
      <c r="N1918" s="6" t="s">
        <v>40</v>
      </c>
      <c r="O1918" s="5" t="s">
        <v>5363</v>
      </c>
      <c r="P1918" s="6" t="s">
        <v>42</v>
      </c>
      <c r="Q1918" s="5" t="s">
        <v>1237</v>
      </c>
      <c r="R1918" s="5" t="s">
        <v>12292</v>
      </c>
      <c r="S1918" s="6" t="s">
        <v>75</v>
      </c>
      <c r="T1918" s="6">
        <v>6746.0</v>
      </c>
    </row>
    <row r="1919" ht="56.25" customHeight="1">
      <c r="A1919" s="5" t="s">
        <v>12281</v>
      </c>
      <c r="B1919" s="6" t="str">
        <f>image("https://storage.googleapis.com/acdb/photos/BromideNpcNmlCat01_Remake_5_0.png")</f>
        <v/>
      </c>
      <c r="C1919" s="5" t="s">
        <v>58</v>
      </c>
      <c r="D1919" s="5" t="s">
        <v>1327</v>
      </c>
      <c r="E1919" s="5" t="s">
        <v>34</v>
      </c>
      <c r="F1919" s="5" t="s">
        <v>34</v>
      </c>
      <c r="G1919" s="5" t="s">
        <v>36</v>
      </c>
      <c r="H1919" s="5" t="s">
        <v>35</v>
      </c>
      <c r="I1919" s="6">
        <v>1.0</v>
      </c>
      <c r="J1919" s="6" t="s">
        <v>37</v>
      </c>
      <c r="K1919" s="6">
        <v>10.0</v>
      </c>
      <c r="L1919" s="5"/>
      <c r="M1919" s="5"/>
      <c r="N1919" s="6" t="s">
        <v>40</v>
      </c>
      <c r="O1919" s="5" t="s">
        <v>5363</v>
      </c>
      <c r="P1919" s="6" t="s">
        <v>42</v>
      </c>
      <c r="Q1919" s="5" t="s">
        <v>1237</v>
      </c>
      <c r="R1919" s="5" t="s">
        <v>12297</v>
      </c>
      <c r="S1919" s="6" t="s">
        <v>79</v>
      </c>
      <c r="T1919" s="6">
        <v>6746.0</v>
      </c>
    </row>
    <row r="1920" ht="56.25" customHeight="1">
      <c r="A1920" s="5" t="s">
        <v>12281</v>
      </c>
      <c r="B1920" s="6" t="str">
        <f>image("https://storage.googleapis.com/acdb/photos/BromideNpcNmlCat01_Remake_6_0.png")</f>
        <v/>
      </c>
      <c r="C1920" s="5" t="s">
        <v>146</v>
      </c>
      <c r="D1920" s="5" t="s">
        <v>1327</v>
      </c>
      <c r="E1920" s="5" t="s">
        <v>34</v>
      </c>
      <c r="F1920" s="5" t="s">
        <v>34</v>
      </c>
      <c r="G1920" s="5" t="s">
        <v>36</v>
      </c>
      <c r="H1920" s="5" t="s">
        <v>35</v>
      </c>
      <c r="I1920" s="6">
        <v>1.0</v>
      </c>
      <c r="J1920" s="6" t="s">
        <v>37</v>
      </c>
      <c r="K1920" s="6">
        <v>10.0</v>
      </c>
      <c r="L1920" s="5"/>
      <c r="M1920" s="5"/>
      <c r="N1920" s="6" t="s">
        <v>40</v>
      </c>
      <c r="O1920" s="5" t="s">
        <v>5363</v>
      </c>
      <c r="P1920" s="6" t="s">
        <v>42</v>
      </c>
      <c r="Q1920" s="5" t="s">
        <v>1237</v>
      </c>
      <c r="R1920" s="5" t="s">
        <v>12300</v>
      </c>
      <c r="S1920" s="6" t="s">
        <v>86</v>
      </c>
      <c r="T1920" s="6">
        <v>6746.0</v>
      </c>
    </row>
    <row r="1921" ht="56.25" customHeight="1">
      <c r="A1921" s="5" t="s">
        <v>12281</v>
      </c>
      <c r="B1921" s="6" t="str">
        <f>image("https://storage.googleapis.com/acdb/photos/BromideNpcNmlCat01_Remake_7_0.png")</f>
        <v/>
      </c>
      <c r="C1921" s="5" t="s">
        <v>151</v>
      </c>
      <c r="D1921" s="5" t="s">
        <v>1327</v>
      </c>
      <c r="E1921" s="5" t="s">
        <v>34</v>
      </c>
      <c r="F1921" s="5" t="s">
        <v>34</v>
      </c>
      <c r="G1921" s="5" t="s">
        <v>36</v>
      </c>
      <c r="H1921" s="5" t="s">
        <v>35</v>
      </c>
      <c r="I1921" s="6">
        <v>1.0</v>
      </c>
      <c r="J1921" s="6" t="s">
        <v>37</v>
      </c>
      <c r="K1921" s="6">
        <v>10.0</v>
      </c>
      <c r="L1921" s="5"/>
      <c r="M1921" s="5"/>
      <c r="N1921" s="6" t="s">
        <v>40</v>
      </c>
      <c r="O1921" s="5" t="s">
        <v>5363</v>
      </c>
      <c r="P1921" s="6" t="s">
        <v>42</v>
      </c>
      <c r="Q1921" s="5" t="s">
        <v>1237</v>
      </c>
      <c r="R1921" s="5" t="s">
        <v>12303</v>
      </c>
      <c r="S1921" s="6" t="s">
        <v>208</v>
      </c>
      <c r="T1921" s="6">
        <v>6746.0</v>
      </c>
    </row>
    <row r="1922" ht="56.25" customHeight="1">
      <c r="A1922" s="5" t="s">
        <v>12304</v>
      </c>
      <c r="B1922" s="6" t="str">
        <f>image("https://storage.googleapis.com/acdb/photos/BromideNpcNmlCat08_Remake_0_0.png")</f>
        <v/>
      </c>
      <c r="C1922" s="5" t="s">
        <v>366</v>
      </c>
      <c r="D1922" s="5" t="s">
        <v>1327</v>
      </c>
      <c r="E1922" s="5" t="s">
        <v>34</v>
      </c>
      <c r="F1922" s="5" t="s">
        <v>34</v>
      </c>
      <c r="G1922" s="5" t="s">
        <v>36</v>
      </c>
      <c r="H1922" s="5" t="s">
        <v>35</v>
      </c>
      <c r="I1922" s="6">
        <v>1.0</v>
      </c>
      <c r="J1922" s="6" t="s">
        <v>37</v>
      </c>
      <c r="K1922" s="6">
        <v>10.0</v>
      </c>
      <c r="L1922" s="5"/>
      <c r="M1922" s="5"/>
      <c r="N1922" s="6" t="s">
        <v>40</v>
      </c>
      <c r="O1922" s="5" t="s">
        <v>5363</v>
      </c>
      <c r="P1922" s="6" t="s">
        <v>42</v>
      </c>
      <c r="Q1922" s="5" t="s">
        <v>1237</v>
      </c>
      <c r="R1922" s="5" t="s">
        <v>12311</v>
      </c>
      <c r="S1922" s="6" t="s">
        <v>50</v>
      </c>
      <c r="T1922" s="6">
        <v>6753.0</v>
      </c>
    </row>
    <row r="1923" ht="56.25" customHeight="1">
      <c r="A1923" s="5" t="s">
        <v>12304</v>
      </c>
      <c r="B1923" s="6" t="str">
        <f>image("https://storage.googleapis.com/acdb/photos/BromideNpcNmlCat08_Remake_1_0.png")</f>
        <v/>
      </c>
      <c r="C1923" s="5" t="s">
        <v>1132</v>
      </c>
      <c r="D1923" s="5" t="s">
        <v>1327</v>
      </c>
      <c r="E1923" s="5" t="s">
        <v>34</v>
      </c>
      <c r="F1923" s="5" t="s">
        <v>34</v>
      </c>
      <c r="G1923" s="5" t="s">
        <v>36</v>
      </c>
      <c r="H1923" s="5" t="s">
        <v>35</v>
      </c>
      <c r="I1923" s="6">
        <v>1.0</v>
      </c>
      <c r="J1923" s="6" t="s">
        <v>37</v>
      </c>
      <c r="K1923" s="6">
        <v>10.0</v>
      </c>
      <c r="L1923" s="5"/>
      <c r="M1923" s="5"/>
      <c r="N1923" s="6" t="s">
        <v>40</v>
      </c>
      <c r="O1923" s="5" t="s">
        <v>5363</v>
      </c>
      <c r="P1923" s="6" t="s">
        <v>42</v>
      </c>
      <c r="Q1923" s="5" t="s">
        <v>1237</v>
      </c>
      <c r="R1923" s="5" t="s">
        <v>12314</v>
      </c>
      <c r="S1923" s="6" t="s">
        <v>56</v>
      </c>
      <c r="T1923" s="6">
        <v>6753.0</v>
      </c>
    </row>
    <row r="1924" ht="56.25" customHeight="1">
      <c r="A1924" s="5" t="s">
        <v>12304</v>
      </c>
      <c r="B1924" s="6" t="str">
        <f>image("https://storage.googleapis.com/acdb/photos/BromideNpcNmlCat08_Remake_2_0.png")</f>
        <v/>
      </c>
      <c r="C1924" s="5" t="s">
        <v>688</v>
      </c>
      <c r="D1924" s="5" t="s">
        <v>1327</v>
      </c>
      <c r="E1924" s="5" t="s">
        <v>34</v>
      </c>
      <c r="F1924" s="5" t="s">
        <v>34</v>
      </c>
      <c r="G1924" s="5" t="s">
        <v>36</v>
      </c>
      <c r="H1924" s="5" t="s">
        <v>35</v>
      </c>
      <c r="I1924" s="6">
        <v>1.0</v>
      </c>
      <c r="J1924" s="6" t="s">
        <v>37</v>
      </c>
      <c r="K1924" s="6">
        <v>10.0</v>
      </c>
      <c r="L1924" s="5"/>
      <c r="M1924" s="5"/>
      <c r="N1924" s="6" t="s">
        <v>40</v>
      </c>
      <c r="O1924" s="5" t="s">
        <v>5363</v>
      </c>
      <c r="P1924" s="6" t="s">
        <v>42</v>
      </c>
      <c r="Q1924" s="5" t="s">
        <v>1237</v>
      </c>
      <c r="R1924" s="5" t="s">
        <v>12316</v>
      </c>
      <c r="S1924" s="6" t="s">
        <v>67</v>
      </c>
      <c r="T1924" s="6">
        <v>6753.0</v>
      </c>
    </row>
    <row r="1925" ht="56.25" customHeight="1">
      <c r="A1925" s="5" t="s">
        <v>12304</v>
      </c>
      <c r="B1925" s="6" t="str">
        <f>image("https://storage.googleapis.com/acdb/photos/BromideNpcNmlCat08_Remake_3_0.png")</f>
        <v/>
      </c>
      <c r="C1925" s="5" t="s">
        <v>57</v>
      </c>
      <c r="D1925" s="5" t="s">
        <v>1327</v>
      </c>
      <c r="E1925" s="5" t="s">
        <v>34</v>
      </c>
      <c r="F1925" s="5" t="s">
        <v>34</v>
      </c>
      <c r="G1925" s="5" t="s">
        <v>36</v>
      </c>
      <c r="H1925" s="5" t="s">
        <v>35</v>
      </c>
      <c r="I1925" s="6">
        <v>1.0</v>
      </c>
      <c r="J1925" s="6" t="s">
        <v>37</v>
      </c>
      <c r="K1925" s="6">
        <v>10.0</v>
      </c>
      <c r="L1925" s="5"/>
      <c r="M1925" s="5"/>
      <c r="N1925" s="6" t="s">
        <v>40</v>
      </c>
      <c r="O1925" s="5" t="s">
        <v>5363</v>
      </c>
      <c r="P1925" s="6" t="s">
        <v>42</v>
      </c>
      <c r="Q1925" s="5" t="s">
        <v>1237</v>
      </c>
      <c r="R1925" s="5" t="s">
        <v>12320</v>
      </c>
      <c r="S1925" s="6" t="s">
        <v>71</v>
      </c>
      <c r="T1925" s="6">
        <v>6753.0</v>
      </c>
    </row>
    <row r="1926" ht="56.25" customHeight="1">
      <c r="A1926" s="5" t="s">
        <v>12304</v>
      </c>
      <c r="B1926" s="6" t="str">
        <f>image("https://storage.googleapis.com/acdb/photos/BromideNpcNmlCat08_Remake_4_0.png")</f>
        <v/>
      </c>
      <c r="C1926" s="5" t="s">
        <v>1167</v>
      </c>
      <c r="D1926" s="5" t="s">
        <v>1327</v>
      </c>
      <c r="E1926" s="5" t="s">
        <v>34</v>
      </c>
      <c r="F1926" s="5" t="s">
        <v>34</v>
      </c>
      <c r="G1926" s="5" t="s">
        <v>36</v>
      </c>
      <c r="H1926" s="5" t="s">
        <v>35</v>
      </c>
      <c r="I1926" s="6">
        <v>1.0</v>
      </c>
      <c r="J1926" s="6" t="s">
        <v>37</v>
      </c>
      <c r="K1926" s="6">
        <v>10.0</v>
      </c>
      <c r="L1926" s="5"/>
      <c r="M1926" s="5"/>
      <c r="N1926" s="6" t="s">
        <v>40</v>
      </c>
      <c r="O1926" s="5" t="s">
        <v>5363</v>
      </c>
      <c r="P1926" s="6" t="s">
        <v>42</v>
      </c>
      <c r="Q1926" s="5" t="s">
        <v>1237</v>
      </c>
      <c r="R1926" s="5" t="s">
        <v>12324</v>
      </c>
      <c r="S1926" s="6" t="s">
        <v>75</v>
      </c>
      <c r="T1926" s="6">
        <v>6753.0</v>
      </c>
    </row>
    <row r="1927" ht="56.25" customHeight="1">
      <c r="A1927" s="5" t="s">
        <v>12304</v>
      </c>
      <c r="B1927" s="6" t="str">
        <f>image("https://storage.googleapis.com/acdb/photos/BromideNpcNmlCat08_Remake_5_0.png")</f>
        <v/>
      </c>
      <c r="C1927" s="5" t="s">
        <v>58</v>
      </c>
      <c r="D1927" s="5" t="s">
        <v>1327</v>
      </c>
      <c r="E1927" s="5" t="s">
        <v>34</v>
      </c>
      <c r="F1927" s="5" t="s">
        <v>34</v>
      </c>
      <c r="G1927" s="5" t="s">
        <v>36</v>
      </c>
      <c r="H1927" s="5" t="s">
        <v>35</v>
      </c>
      <c r="I1927" s="6">
        <v>1.0</v>
      </c>
      <c r="J1927" s="6" t="s">
        <v>37</v>
      </c>
      <c r="K1927" s="6">
        <v>10.0</v>
      </c>
      <c r="L1927" s="5"/>
      <c r="M1927" s="5"/>
      <c r="N1927" s="6" t="s">
        <v>40</v>
      </c>
      <c r="O1927" s="5" t="s">
        <v>5363</v>
      </c>
      <c r="P1927" s="6" t="s">
        <v>42</v>
      </c>
      <c r="Q1927" s="5" t="s">
        <v>1237</v>
      </c>
      <c r="R1927" s="5" t="s">
        <v>12326</v>
      </c>
      <c r="S1927" s="6" t="s">
        <v>79</v>
      </c>
      <c r="T1927" s="6">
        <v>6753.0</v>
      </c>
    </row>
    <row r="1928" ht="56.25" customHeight="1">
      <c r="A1928" s="5" t="s">
        <v>12304</v>
      </c>
      <c r="B1928" s="6" t="str">
        <f>image("https://storage.googleapis.com/acdb/photos/BromideNpcNmlCat08_Remake_6_0.png")</f>
        <v/>
      </c>
      <c r="C1928" s="5" t="s">
        <v>146</v>
      </c>
      <c r="D1928" s="5" t="s">
        <v>1327</v>
      </c>
      <c r="E1928" s="5" t="s">
        <v>34</v>
      </c>
      <c r="F1928" s="5" t="s">
        <v>34</v>
      </c>
      <c r="G1928" s="5" t="s">
        <v>36</v>
      </c>
      <c r="H1928" s="5" t="s">
        <v>35</v>
      </c>
      <c r="I1928" s="6">
        <v>1.0</v>
      </c>
      <c r="J1928" s="6" t="s">
        <v>37</v>
      </c>
      <c r="K1928" s="6">
        <v>10.0</v>
      </c>
      <c r="L1928" s="5"/>
      <c r="M1928" s="5"/>
      <c r="N1928" s="6" t="s">
        <v>40</v>
      </c>
      <c r="O1928" s="5" t="s">
        <v>5363</v>
      </c>
      <c r="P1928" s="6" t="s">
        <v>42</v>
      </c>
      <c r="Q1928" s="5" t="s">
        <v>1237</v>
      </c>
      <c r="R1928" s="5" t="s">
        <v>12328</v>
      </c>
      <c r="S1928" s="6" t="s">
        <v>86</v>
      </c>
      <c r="T1928" s="6">
        <v>6753.0</v>
      </c>
    </row>
    <row r="1929" ht="56.25" customHeight="1">
      <c r="A1929" s="5" t="s">
        <v>12304</v>
      </c>
      <c r="B1929" s="6" t="str">
        <f>image("https://storage.googleapis.com/acdb/photos/BromideNpcNmlCat08_Remake_7_0.png")</f>
        <v/>
      </c>
      <c r="C1929" s="5" t="s">
        <v>151</v>
      </c>
      <c r="D1929" s="5" t="s">
        <v>1327</v>
      </c>
      <c r="E1929" s="5" t="s">
        <v>34</v>
      </c>
      <c r="F1929" s="5" t="s">
        <v>34</v>
      </c>
      <c r="G1929" s="5" t="s">
        <v>36</v>
      </c>
      <c r="H1929" s="5" t="s">
        <v>35</v>
      </c>
      <c r="I1929" s="6">
        <v>1.0</v>
      </c>
      <c r="J1929" s="6" t="s">
        <v>37</v>
      </c>
      <c r="K1929" s="6">
        <v>10.0</v>
      </c>
      <c r="L1929" s="5"/>
      <c r="M1929" s="5"/>
      <c r="N1929" s="6" t="s">
        <v>40</v>
      </c>
      <c r="O1929" s="5" t="s">
        <v>5363</v>
      </c>
      <c r="P1929" s="6" t="s">
        <v>42</v>
      </c>
      <c r="Q1929" s="5" t="s">
        <v>1237</v>
      </c>
      <c r="R1929" s="5" t="s">
        <v>12331</v>
      </c>
      <c r="S1929" s="6" t="s">
        <v>208</v>
      </c>
      <c r="T1929" s="6">
        <v>6753.0</v>
      </c>
    </row>
    <row r="1930" ht="56.25" customHeight="1">
      <c r="A1930" s="5" t="s">
        <v>12332</v>
      </c>
      <c r="B1930" s="6" t="str">
        <f>image("https://storage.googleapis.com/acdb/photos/BromideNpcNmlDuk16_Remake_0_0.png")</f>
        <v/>
      </c>
      <c r="C1930" s="5" t="s">
        <v>366</v>
      </c>
      <c r="D1930" s="5" t="s">
        <v>1327</v>
      </c>
      <c r="E1930" s="5" t="s">
        <v>34</v>
      </c>
      <c r="F1930" s="5" t="s">
        <v>34</v>
      </c>
      <c r="G1930" s="5" t="s">
        <v>36</v>
      </c>
      <c r="H1930" s="5" t="s">
        <v>35</v>
      </c>
      <c r="I1930" s="6">
        <v>1.0</v>
      </c>
      <c r="J1930" s="6" t="s">
        <v>37</v>
      </c>
      <c r="K1930" s="6">
        <v>10.0</v>
      </c>
      <c r="L1930" s="5"/>
      <c r="M1930" s="5"/>
      <c r="N1930" s="6" t="s">
        <v>40</v>
      </c>
      <c r="O1930" s="5" t="s">
        <v>5363</v>
      </c>
      <c r="P1930" s="6" t="s">
        <v>42</v>
      </c>
      <c r="Q1930" s="5" t="s">
        <v>1237</v>
      </c>
      <c r="R1930" s="5" t="s">
        <v>12334</v>
      </c>
      <c r="S1930" s="6" t="s">
        <v>50</v>
      </c>
      <c r="T1930" s="6">
        <v>6470.0</v>
      </c>
    </row>
    <row r="1931" ht="56.25" customHeight="1">
      <c r="A1931" s="5" t="s">
        <v>12332</v>
      </c>
      <c r="B1931" s="6" t="str">
        <f>image("https://storage.googleapis.com/acdb/photos/BromideNpcNmlDuk16_Remake_1_0.png")</f>
        <v/>
      </c>
      <c r="C1931" s="5" t="s">
        <v>1132</v>
      </c>
      <c r="D1931" s="5" t="s">
        <v>1327</v>
      </c>
      <c r="E1931" s="5" t="s">
        <v>34</v>
      </c>
      <c r="F1931" s="5" t="s">
        <v>34</v>
      </c>
      <c r="G1931" s="5" t="s">
        <v>36</v>
      </c>
      <c r="H1931" s="5" t="s">
        <v>35</v>
      </c>
      <c r="I1931" s="6">
        <v>1.0</v>
      </c>
      <c r="J1931" s="6" t="s">
        <v>37</v>
      </c>
      <c r="K1931" s="6">
        <v>10.0</v>
      </c>
      <c r="L1931" s="5"/>
      <c r="M1931" s="5"/>
      <c r="N1931" s="6" t="s">
        <v>40</v>
      </c>
      <c r="O1931" s="5" t="s">
        <v>5363</v>
      </c>
      <c r="P1931" s="6" t="s">
        <v>42</v>
      </c>
      <c r="Q1931" s="5" t="s">
        <v>1237</v>
      </c>
      <c r="R1931" s="5" t="s">
        <v>12336</v>
      </c>
      <c r="S1931" s="6" t="s">
        <v>56</v>
      </c>
      <c r="T1931" s="6">
        <v>6470.0</v>
      </c>
    </row>
    <row r="1932" ht="56.25" customHeight="1">
      <c r="A1932" s="5" t="s">
        <v>12332</v>
      </c>
      <c r="B1932" s="6" t="str">
        <f>image("https://storage.googleapis.com/acdb/photos/BromideNpcNmlDuk16_Remake_2_0.png")</f>
        <v/>
      </c>
      <c r="C1932" s="5" t="s">
        <v>688</v>
      </c>
      <c r="D1932" s="5" t="s">
        <v>1327</v>
      </c>
      <c r="E1932" s="5" t="s">
        <v>34</v>
      </c>
      <c r="F1932" s="5" t="s">
        <v>34</v>
      </c>
      <c r="G1932" s="5" t="s">
        <v>36</v>
      </c>
      <c r="H1932" s="5" t="s">
        <v>35</v>
      </c>
      <c r="I1932" s="6">
        <v>1.0</v>
      </c>
      <c r="J1932" s="6" t="s">
        <v>37</v>
      </c>
      <c r="K1932" s="6">
        <v>10.0</v>
      </c>
      <c r="L1932" s="5"/>
      <c r="M1932" s="5"/>
      <c r="N1932" s="6" t="s">
        <v>40</v>
      </c>
      <c r="O1932" s="5" t="s">
        <v>5363</v>
      </c>
      <c r="P1932" s="6" t="s">
        <v>42</v>
      </c>
      <c r="Q1932" s="5" t="s">
        <v>1237</v>
      </c>
      <c r="R1932" s="5" t="s">
        <v>12339</v>
      </c>
      <c r="S1932" s="6" t="s">
        <v>67</v>
      </c>
      <c r="T1932" s="6">
        <v>6470.0</v>
      </c>
    </row>
    <row r="1933" ht="56.25" customHeight="1">
      <c r="A1933" s="5" t="s">
        <v>12332</v>
      </c>
      <c r="B1933" s="6" t="str">
        <f>image("https://storage.googleapis.com/acdb/photos/BromideNpcNmlDuk16_Remake_3_0.png")</f>
        <v/>
      </c>
      <c r="C1933" s="5" t="s">
        <v>57</v>
      </c>
      <c r="D1933" s="5" t="s">
        <v>1327</v>
      </c>
      <c r="E1933" s="5" t="s">
        <v>34</v>
      </c>
      <c r="F1933" s="5" t="s">
        <v>34</v>
      </c>
      <c r="G1933" s="5" t="s">
        <v>36</v>
      </c>
      <c r="H1933" s="5" t="s">
        <v>35</v>
      </c>
      <c r="I1933" s="6">
        <v>1.0</v>
      </c>
      <c r="J1933" s="6" t="s">
        <v>37</v>
      </c>
      <c r="K1933" s="6">
        <v>10.0</v>
      </c>
      <c r="L1933" s="5"/>
      <c r="M1933" s="5"/>
      <c r="N1933" s="6" t="s">
        <v>40</v>
      </c>
      <c r="O1933" s="5" t="s">
        <v>5363</v>
      </c>
      <c r="P1933" s="6" t="s">
        <v>42</v>
      </c>
      <c r="Q1933" s="5" t="s">
        <v>1237</v>
      </c>
      <c r="R1933" s="5" t="s">
        <v>12342</v>
      </c>
      <c r="S1933" s="6" t="s">
        <v>71</v>
      </c>
      <c r="T1933" s="6">
        <v>6470.0</v>
      </c>
    </row>
    <row r="1934" ht="56.25" customHeight="1">
      <c r="A1934" s="5" t="s">
        <v>12332</v>
      </c>
      <c r="B1934" s="6" t="str">
        <f>image("https://storage.googleapis.com/acdb/photos/BromideNpcNmlDuk16_Remake_4_0.png")</f>
        <v/>
      </c>
      <c r="C1934" s="5" t="s">
        <v>1167</v>
      </c>
      <c r="D1934" s="5" t="s">
        <v>1327</v>
      </c>
      <c r="E1934" s="5" t="s">
        <v>34</v>
      </c>
      <c r="F1934" s="5" t="s">
        <v>34</v>
      </c>
      <c r="G1934" s="5" t="s">
        <v>36</v>
      </c>
      <c r="H1934" s="5" t="s">
        <v>35</v>
      </c>
      <c r="I1934" s="6">
        <v>1.0</v>
      </c>
      <c r="J1934" s="6" t="s">
        <v>37</v>
      </c>
      <c r="K1934" s="6">
        <v>10.0</v>
      </c>
      <c r="L1934" s="5"/>
      <c r="M1934" s="5"/>
      <c r="N1934" s="6" t="s">
        <v>40</v>
      </c>
      <c r="O1934" s="5" t="s">
        <v>5363</v>
      </c>
      <c r="P1934" s="6" t="s">
        <v>42</v>
      </c>
      <c r="Q1934" s="5" t="s">
        <v>1237</v>
      </c>
      <c r="R1934" s="5" t="s">
        <v>12345</v>
      </c>
      <c r="S1934" s="6" t="s">
        <v>75</v>
      </c>
      <c r="T1934" s="6">
        <v>6470.0</v>
      </c>
    </row>
    <row r="1935" ht="56.25" customHeight="1">
      <c r="A1935" s="5" t="s">
        <v>12332</v>
      </c>
      <c r="B1935" s="6" t="str">
        <f>image("https://storage.googleapis.com/acdb/photos/BromideNpcNmlDuk16_Remake_5_0.png")</f>
        <v/>
      </c>
      <c r="C1935" s="5" t="s">
        <v>58</v>
      </c>
      <c r="D1935" s="5" t="s">
        <v>1327</v>
      </c>
      <c r="E1935" s="5" t="s">
        <v>34</v>
      </c>
      <c r="F1935" s="5" t="s">
        <v>34</v>
      </c>
      <c r="G1935" s="5" t="s">
        <v>36</v>
      </c>
      <c r="H1935" s="5" t="s">
        <v>35</v>
      </c>
      <c r="I1935" s="6">
        <v>1.0</v>
      </c>
      <c r="J1935" s="6" t="s">
        <v>37</v>
      </c>
      <c r="K1935" s="6">
        <v>10.0</v>
      </c>
      <c r="L1935" s="5"/>
      <c r="M1935" s="5"/>
      <c r="N1935" s="6" t="s">
        <v>40</v>
      </c>
      <c r="O1935" s="5" t="s">
        <v>5363</v>
      </c>
      <c r="P1935" s="6" t="s">
        <v>42</v>
      </c>
      <c r="Q1935" s="5" t="s">
        <v>1237</v>
      </c>
      <c r="R1935" s="5" t="s">
        <v>12347</v>
      </c>
      <c r="S1935" s="6" t="s">
        <v>79</v>
      </c>
      <c r="T1935" s="6">
        <v>6470.0</v>
      </c>
    </row>
    <row r="1936" ht="56.25" customHeight="1">
      <c r="A1936" s="5" t="s">
        <v>12332</v>
      </c>
      <c r="B1936" s="6" t="str">
        <f>image("https://storage.googleapis.com/acdb/photos/BromideNpcNmlDuk16_Remake_6_0.png")</f>
        <v/>
      </c>
      <c r="C1936" s="5" t="s">
        <v>146</v>
      </c>
      <c r="D1936" s="5" t="s">
        <v>1327</v>
      </c>
      <c r="E1936" s="5" t="s">
        <v>34</v>
      </c>
      <c r="F1936" s="5" t="s">
        <v>34</v>
      </c>
      <c r="G1936" s="5" t="s">
        <v>36</v>
      </c>
      <c r="H1936" s="5" t="s">
        <v>35</v>
      </c>
      <c r="I1936" s="6">
        <v>1.0</v>
      </c>
      <c r="J1936" s="6" t="s">
        <v>37</v>
      </c>
      <c r="K1936" s="6">
        <v>10.0</v>
      </c>
      <c r="L1936" s="5"/>
      <c r="M1936" s="5"/>
      <c r="N1936" s="6" t="s">
        <v>40</v>
      </c>
      <c r="O1936" s="5" t="s">
        <v>5363</v>
      </c>
      <c r="P1936" s="6" t="s">
        <v>42</v>
      </c>
      <c r="Q1936" s="5" t="s">
        <v>1237</v>
      </c>
      <c r="R1936" s="5" t="s">
        <v>12349</v>
      </c>
      <c r="S1936" s="6" t="s">
        <v>86</v>
      </c>
      <c r="T1936" s="6">
        <v>6470.0</v>
      </c>
    </row>
    <row r="1937" ht="56.25" customHeight="1">
      <c r="A1937" s="5" t="s">
        <v>12332</v>
      </c>
      <c r="B1937" s="6" t="str">
        <f>image("https://storage.googleapis.com/acdb/photos/BromideNpcNmlDuk16_Remake_7_0.png")</f>
        <v/>
      </c>
      <c r="C1937" s="5" t="s">
        <v>151</v>
      </c>
      <c r="D1937" s="5" t="s">
        <v>1327</v>
      </c>
      <c r="E1937" s="5" t="s">
        <v>34</v>
      </c>
      <c r="F1937" s="5" t="s">
        <v>34</v>
      </c>
      <c r="G1937" s="5" t="s">
        <v>36</v>
      </c>
      <c r="H1937" s="5" t="s">
        <v>35</v>
      </c>
      <c r="I1937" s="6">
        <v>1.0</v>
      </c>
      <c r="J1937" s="6" t="s">
        <v>37</v>
      </c>
      <c r="K1937" s="6">
        <v>10.0</v>
      </c>
      <c r="L1937" s="5"/>
      <c r="M1937" s="5"/>
      <c r="N1937" s="6" t="s">
        <v>40</v>
      </c>
      <c r="O1937" s="5" t="s">
        <v>5363</v>
      </c>
      <c r="P1937" s="6" t="s">
        <v>42</v>
      </c>
      <c r="Q1937" s="5" t="s">
        <v>1237</v>
      </c>
      <c r="R1937" s="5" t="s">
        <v>12352</v>
      </c>
      <c r="S1937" s="6" t="s">
        <v>208</v>
      </c>
      <c r="T1937" s="6">
        <v>6470.0</v>
      </c>
    </row>
    <row r="1938" ht="56.25" customHeight="1">
      <c r="A1938" s="5" t="s">
        <v>12353</v>
      </c>
      <c r="B1938" s="6" t="str">
        <f>image("https://storage.googleapis.com/acdb/photos/BromideNpcNmlCat11_Remake_0_0.png")</f>
        <v/>
      </c>
      <c r="C1938" s="5" t="s">
        <v>366</v>
      </c>
      <c r="D1938" s="5" t="s">
        <v>1327</v>
      </c>
      <c r="E1938" s="5" t="s">
        <v>34</v>
      </c>
      <c r="F1938" s="5" t="s">
        <v>34</v>
      </c>
      <c r="G1938" s="5" t="s">
        <v>36</v>
      </c>
      <c r="H1938" s="5" t="s">
        <v>35</v>
      </c>
      <c r="I1938" s="6">
        <v>1.0</v>
      </c>
      <c r="J1938" s="6" t="s">
        <v>37</v>
      </c>
      <c r="K1938" s="6">
        <v>10.0</v>
      </c>
      <c r="L1938" s="5"/>
      <c r="M1938" s="5"/>
      <c r="N1938" s="6" t="s">
        <v>40</v>
      </c>
      <c r="O1938" s="5" t="s">
        <v>5363</v>
      </c>
      <c r="P1938" s="6" t="s">
        <v>42</v>
      </c>
      <c r="Q1938" s="5" t="s">
        <v>1237</v>
      </c>
      <c r="R1938" s="5" t="s">
        <v>12356</v>
      </c>
      <c r="S1938" s="6" t="s">
        <v>50</v>
      </c>
      <c r="T1938" s="6">
        <v>6757.0</v>
      </c>
    </row>
    <row r="1939" ht="56.25" customHeight="1">
      <c r="A1939" s="5" t="s">
        <v>12353</v>
      </c>
      <c r="B1939" s="6" t="str">
        <f>image("https://storage.googleapis.com/acdb/photos/BromideNpcNmlCat11_Remake_1_0.png")</f>
        <v/>
      </c>
      <c r="C1939" s="5" t="s">
        <v>1132</v>
      </c>
      <c r="D1939" s="5" t="s">
        <v>1327</v>
      </c>
      <c r="E1939" s="5" t="s">
        <v>34</v>
      </c>
      <c r="F1939" s="5" t="s">
        <v>34</v>
      </c>
      <c r="G1939" s="5" t="s">
        <v>36</v>
      </c>
      <c r="H1939" s="5" t="s">
        <v>35</v>
      </c>
      <c r="I1939" s="6">
        <v>1.0</v>
      </c>
      <c r="J1939" s="6" t="s">
        <v>37</v>
      </c>
      <c r="K1939" s="6">
        <v>10.0</v>
      </c>
      <c r="L1939" s="5"/>
      <c r="M1939" s="5"/>
      <c r="N1939" s="6" t="s">
        <v>40</v>
      </c>
      <c r="O1939" s="5" t="s">
        <v>5363</v>
      </c>
      <c r="P1939" s="6" t="s">
        <v>42</v>
      </c>
      <c r="Q1939" s="5" t="s">
        <v>1237</v>
      </c>
      <c r="R1939" s="5" t="s">
        <v>12357</v>
      </c>
      <c r="S1939" s="6" t="s">
        <v>56</v>
      </c>
      <c r="T1939" s="6">
        <v>6757.0</v>
      </c>
    </row>
    <row r="1940" ht="56.25" customHeight="1">
      <c r="A1940" s="5" t="s">
        <v>12353</v>
      </c>
      <c r="B1940" s="6" t="str">
        <f>image("https://storage.googleapis.com/acdb/photos/BromideNpcNmlCat11_Remake_2_0.png")</f>
        <v/>
      </c>
      <c r="C1940" s="5" t="s">
        <v>688</v>
      </c>
      <c r="D1940" s="5" t="s">
        <v>1327</v>
      </c>
      <c r="E1940" s="5" t="s">
        <v>34</v>
      </c>
      <c r="F1940" s="5" t="s">
        <v>34</v>
      </c>
      <c r="G1940" s="5" t="s">
        <v>36</v>
      </c>
      <c r="H1940" s="5" t="s">
        <v>35</v>
      </c>
      <c r="I1940" s="6">
        <v>1.0</v>
      </c>
      <c r="J1940" s="6" t="s">
        <v>37</v>
      </c>
      <c r="K1940" s="6">
        <v>10.0</v>
      </c>
      <c r="L1940" s="5"/>
      <c r="M1940" s="5"/>
      <c r="N1940" s="6" t="s">
        <v>40</v>
      </c>
      <c r="O1940" s="5" t="s">
        <v>5363</v>
      </c>
      <c r="P1940" s="6" t="s">
        <v>42</v>
      </c>
      <c r="Q1940" s="5" t="s">
        <v>1237</v>
      </c>
      <c r="R1940" s="5" t="s">
        <v>12361</v>
      </c>
      <c r="S1940" s="6" t="s">
        <v>67</v>
      </c>
      <c r="T1940" s="6">
        <v>6757.0</v>
      </c>
    </row>
    <row r="1941" ht="56.25" customHeight="1">
      <c r="A1941" s="5" t="s">
        <v>12353</v>
      </c>
      <c r="B1941" s="6" t="str">
        <f>image("https://storage.googleapis.com/acdb/photos/BromideNpcNmlCat11_Remake_3_0.png")</f>
        <v/>
      </c>
      <c r="C1941" s="5" t="s">
        <v>57</v>
      </c>
      <c r="D1941" s="5" t="s">
        <v>1327</v>
      </c>
      <c r="E1941" s="5" t="s">
        <v>34</v>
      </c>
      <c r="F1941" s="5" t="s">
        <v>34</v>
      </c>
      <c r="G1941" s="5" t="s">
        <v>36</v>
      </c>
      <c r="H1941" s="5" t="s">
        <v>35</v>
      </c>
      <c r="I1941" s="6">
        <v>1.0</v>
      </c>
      <c r="J1941" s="6" t="s">
        <v>37</v>
      </c>
      <c r="K1941" s="6">
        <v>10.0</v>
      </c>
      <c r="L1941" s="5"/>
      <c r="M1941" s="5"/>
      <c r="N1941" s="6" t="s">
        <v>40</v>
      </c>
      <c r="O1941" s="5" t="s">
        <v>5363</v>
      </c>
      <c r="P1941" s="6" t="s">
        <v>42</v>
      </c>
      <c r="Q1941" s="5" t="s">
        <v>1237</v>
      </c>
      <c r="R1941" s="5" t="s">
        <v>12365</v>
      </c>
      <c r="S1941" s="6" t="s">
        <v>71</v>
      </c>
      <c r="T1941" s="6">
        <v>6757.0</v>
      </c>
    </row>
    <row r="1942" ht="56.25" customHeight="1">
      <c r="A1942" s="5" t="s">
        <v>12353</v>
      </c>
      <c r="B1942" s="6" t="str">
        <f>image("https://storage.googleapis.com/acdb/photos/BromideNpcNmlCat11_Remake_4_0.png")</f>
        <v/>
      </c>
      <c r="C1942" s="5" t="s">
        <v>1167</v>
      </c>
      <c r="D1942" s="5" t="s">
        <v>1327</v>
      </c>
      <c r="E1942" s="5" t="s">
        <v>34</v>
      </c>
      <c r="F1942" s="5" t="s">
        <v>34</v>
      </c>
      <c r="G1942" s="5" t="s">
        <v>36</v>
      </c>
      <c r="H1942" s="5" t="s">
        <v>35</v>
      </c>
      <c r="I1942" s="6">
        <v>1.0</v>
      </c>
      <c r="J1942" s="6" t="s">
        <v>37</v>
      </c>
      <c r="K1942" s="6">
        <v>10.0</v>
      </c>
      <c r="L1942" s="5"/>
      <c r="M1942" s="5"/>
      <c r="N1942" s="6" t="s">
        <v>40</v>
      </c>
      <c r="O1942" s="5" t="s">
        <v>5363</v>
      </c>
      <c r="P1942" s="6" t="s">
        <v>42</v>
      </c>
      <c r="Q1942" s="5" t="s">
        <v>1237</v>
      </c>
      <c r="R1942" s="5" t="s">
        <v>12366</v>
      </c>
      <c r="S1942" s="6" t="s">
        <v>75</v>
      </c>
      <c r="T1942" s="6">
        <v>6757.0</v>
      </c>
    </row>
    <row r="1943" ht="56.25" customHeight="1">
      <c r="A1943" s="5" t="s">
        <v>12353</v>
      </c>
      <c r="B1943" s="6" t="str">
        <f>image("https://storage.googleapis.com/acdb/photos/BromideNpcNmlCat11_Remake_5_0.png")</f>
        <v/>
      </c>
      <c r="C1943" s="5" t="s">
        <v>58</v>
      </c>
      <c r="D1943" s="5" t="s">
        <v>1327</v>
      </c>
      <c r="E1943" s="5" t="s">
        <v>34</v>
      </c>
      <c r="F1943" s="5" t="s">
        <v>34</v>
      </c>
      <c r="G1943" s="5" t="s">
        <v>36</v>
      </c>
      <c r="H1943" s="5" t="s">
        <v>35</v>
      </c>
      <c r="I1943" s="6">
        <v>1.0</v>
      </c>
      <c r="J1943" s="6" t="s">
        <v>37</v>
      </c>
      <c r="K1943" s="6">
        <v>10.0</v>
      </c>
      <c r="L1943" s="5"/>
      <c r="M1943" s="5"/>
      <c r="N1943" s="6" t="s">
        <v>40</v>
      </c>
      <c r="O1943" s="5" t="s">
        <v>5363</v>
      </c>
      <c r="P1943" s="6" t="s">
        <v>42</v>
      </c>
      <c r="Q1943" s="5" t="s">
        <v>1237</v>
      </c>
      <c r="R1943" s="5" t="s">
        <v>12369</v>
      </c>
      <c r="S1943" s="6" t="s">
        <v>79</v>
      </c>
      <c r="T1943" s="6">
        <v>6757.0</v>
      </c>
    </row>
    <row r="1944" ht="56.25" customHeight="1">
      <c r="A1944" s="5" t="s">
        <v>12353</v>
      </c>
      <c r="B1944" s="6" t="str">
        <f>image("https://storage.googleapis.com/acdb/photos/BromideNpcNmlCat11_Remake_6_0.png")</f>
        <v/>
      </c>
      <c r="C1944" s="5" t="s">
        <v>146</v>
      </c>
      <c r="D1944" s="5" t="s">
        <v>1327</v>
      </c>
      <c r="E1944" s="5" t="s">
        <v>34</v>
      </c>
      <c r="F1944" s="5" t="s">
        <v>34</v>
      </c>
      <c r="G1944" s="5" t="s">
        <v>36</v>
      </c>
      <c r="H1944" s="5" t="s">
        <v>35</v>
      </c>
      <c r="I1944" s="6">
        <v>1.0</v>
      </c>
      <c r="J1944" s="6" t="s">
        <v>37</v>
      </c>
      <c r="K1944" s="6">
        <v>10.0</v>
      </c>
      <c r="L1944" s="5"/>
      <c r="M1944" s="5"/>
      <c r="N1944" s="6" t="s">
        <v>40</v>
      </c>
      <c r="O1944" s="5" t="s">
        <v>5363</v>
      </c>
      <c r="P1944" s="6" t="s">
        <v>42</v>
      </c>
      <c r="Q1944" s="5" t="s">
        <v>1237</v>
      </c>
      <c r="R1944" s="5" t="s">
        <v>12371</v>
      </c>
      <c r="S1944" s="6" t="s">
        <v>86</v>
      </c>
      <c r="T1944" s="6">
        <v>6757.0</v>
      </c>
    </row>
    <row r="1945" ht="56.25" customHeight="1">
      <c r="A1945" s="5" t="s">
        <v>12353</v>
      </c>
      <c r="B1945" s="6" t="str">
        <f>image("https://storage.googleapis.com/acdb/photos/BromideNpcNmlCat11_Remake_7_0.png")</f>
        <v/>
      </c>
      <c r="C1945" s="5" t="s">
        <v>151</v>
      </c>
      <c r="D1945" s="5" t="s">
        <v>1327</v>
      </c>
      <c r="E1945" s="5" t="s">
        <v>34</v>
      </c>
      <c r="F1945" s="5" t="s">
        <v>34</v>
      </c>
      <c r="G1945" s="5" t="s">
        <v>36</v>
      </c>
      <c r="H1945" s="5" t="s">
        <v>35</v>
      </c>
      <c r="I1945" s="6">
        <v>1.0</v>
      </c>
      <c r="J1945" s="6" t="s">
        <v>37</v>
      </c>
      <c r="K1945" s="6">
        <v>10.0</v>
      </c>
      <c r="L1945" s="5"/>
      <c r="M1945" s="5"/>
      <c r="N1945" s="6" t="s">
        <v>40</v>
      </c>
      <c r="O1945" s="5" t="s">
        <v>5363</v>
      </c>
      <c r="P1945" s="6" t="s">
        <v>42</v>
      </c>
      <c r="Q1945" s="5" t="s">
        <v>1237</v>
      </c>
      <c r="R1945" s="5" t="s">
        <v>12374</v>
      </c>
      <c r="S1945" s="6" t="s">
        <v>208</v>
      </c>
      <c r="T1945" s="6">
        <v>6757.0</v>
      </c>
    </row>
    <row r="1946" ht="56.25" customHeight="1">
      <c r="A1946" s="5" t="s">
        <v>12375</v>
      </c>
      <c r="B1946" s="6" t="str">
        <f>image("https://storage.googleapis.com/acdb/photos/BromideNpcNmlMnk04_Remake_0_0.png")</f>
        <v/>
      </c>
      <c r="C1946" s="5" t="s">
        <v>366</v>
      </c>
      <c r="D1946" s="5" t="s">
        <v>1327</v>
      </c>
      <c r="E1946" s="5" t="s">
        <v>34</v>
      </c>
      <c r="F1946" s="5" t="s">
        <v>34</v>
      </c>
      <c r="G1946" s="5" t="s">
        <v>36</v>
      </c>
      <c r="H1946" s="5" t="s">
        <v>35</v>
      </c>
      <c r="I1946" s="6">
        <v>1.0</v>
      </c>
      <c r="J1946" s="6" t="s">
        <v>37</v>
      </c>
      <c r="K1946" s="6">
        <v>10.0</v>
      </c>
      <c r="L1946" s="5"/>
      <c r="M1946" s="5"/>
      <c r="N1946" s="6" t="s">
        <v>40</v>
      </c>
      <c r="O1946" s="5" t="s">
        <v>5363</v>
      </c>
      <c r="P1946" s="6" t="s">
        <v>42</v>
      </c>
      <c r="Q1946" s="5" t="s">
        <v>1237</v>
      </c>
      <c r="R1946" s="5" t="s">
        <v>12377</v>
      </c>
      <c r="S1946" s="6" t="s">
        <v>50</v>
      </c>
      <c r="T1946" s="6">
        <v>6584.0</v>
      </c>
    </row>
    <row r="1947" ht="56.25" customHeight="1">
      <c r="A1947" s="5" t="s">
        <v>12375</v>
      </c>
      <c r="B1947" s="6" t="str">
        <f>image("https://storage.googleapis.com/acdb/photos/BromideNpcNmlMnk04_Remake_1_0.png")</f>
        <v/>
      </c>
      <c r="C1947" s="5" t="s">
        <v>1132</v>
      </c>
      <c r="D1947" s="5" t="s">
        <v>1327</v>
      </c>
      <c r="E1947" s="5" t="s">
        <v>34</v>
      </c>
      <c r="F1947" s="5" t="s">
        <v>34</v>
      </c>
      <c r="G1947" s="5" t="s">
        <v>36</v>
      </c>
      <c r="H1947" s="5" t="s">
        <v>35</v>
      </c>
      <c r="I1947" s="6">
        <v>1.0</v>
      </c>
      <c r="J1947" s="6" t="s">
        <v>37</v>
      </c>
      <c r="K1947" s="6">
        <v>10.0</v>
      </c>
      <c r="L1947" s="5"/>
      <c r="M1947" s="5"/>
      <c r="N1947" s="6" t="s">
        <v>40</v>
      </c>
      <c r="O1947" s="5" t="s">
        <v>5363</v>
      </c>
      <c r="P1947" s="6" t="s">
        <v>42</v>
      </c>
      <c r="Q1947" s="5" t="s">
        <v>1237</v>
      </c>
      <c r="R1947" s="5" t="s">
        <v>12381</v>
      </c>
      <c r="S1947" s="6" t="s">
        <v>56</v>
      </c>
      <c r="T1947" s="6">
        <v>6584.0</v>
      </c>
    </row>
    <row r="1948" ht="56.25" customHeight="1">
      <c r="A1948" s="5" t="s">
        <v>12375</v>
      </c>
      <c r="B1948" s="6" t="str">
        <f>image("https://storage.googleapis.com/acdb/photos/BromideNpcNmlMnk04_Remake_2_0.png")</f>
        <v/>
      </c>
      <c r="C1948" s="5" t="s">
        <v>688</v>
      </c>
      <c r="D1948" s="5" t="s">
        <v>1327</v>
      </c>
      <c r="E1948" s="5" t="s">
        <v>34</v>
      </c>
      <c r="F1948" s="5" t="s">
        <v>34</v>
      </c>
      <c r="G1948" s="5" t="s">
        <v>36</v>
      </c>
      <c r="H1948" s="5" t="s">
        <v>35</v>
      </c>
      <c r="I1948" s="6">
        <v>1.0</v>
      </c>
      <c r="J1948" s="6" t="s">
        <v>37</v>
      </c>
      <c r="K1948" s="6">
        <v>10.0</v>
      </c>
      <c r="L1948" s="5"/>
      <c r="M1948" s="5"/>
      <c r="N1948" s="6" t="s">
        <v>40</v>
      </c>
      <c r="O1948" s="5" t="s">
        <v>5363</v>
      </c>
      <c r="P1948" s="6" t="s">
        <v>42</v>
      </c>
      <c r="Q1948" s="5" t="s">
        <v>1237</v>
      </c>
      <c r="R1948" s="5" t="s">
        <v>12382</v>
      </c>
      <c r="S1948" s="6" t="s">
        <v>67</v>
      </c>
      <c r="T1948" s="6">
        <v>6584.0</v>
      </c>
    </row>
    <row r="1949" ht="56.25" customHeight="1">
      <c r="A1949" s="5" t="s">
        <v>12375</v>
      </c>
      <c r="B1949" s="6" t="str">
        <f>image("https://storage.googleapis.com/acdb/photos/BromideNpcNmlMnk04_Remake_3_0.png")</f>
        <v/>
      </c>
      <c r="C1949" s="5" t="s">
        <v>57</v>
      </c>
      <c r="D1949" s="5" t="s">
        <v>1327</v>
      </c>
      <c r="E1949" s="5" t="s">
        <v>34</v>
      </c>
      <c r="F1949" s="5" t="s">
        <v>34</v>
      </c>
      <c r="G1949" s="5" t="s">
        <v>36</v>
      </c>
      <c r="H1949" s="5" t="s">
        <v>35</v>
      </c>
      <c r="I1949" s="6">
        <v>1.0</v>
      </c>
      <c r="J1949" s="6" t="s">
        <v>37</v>
      </c>
      <c r="K1949" s="6">
        <v>10.0</v>
      </c>
      <c r="L1949" s="5"/>
      <c r="M1949" s="5"/>
      <c r="N1949" s="6" t="s">
        <v>40</v>
      </c>
      <c r="O1949" s="5" t="s">
        <v>5363</v>
      </c>
      <c r="P1949" s="6" t="s">
        <v>42</v>
      </c>
      <c r="Q1949" s="5" t="s">
        <v>1237</v>
      </c>
      <c r="R1949" s="5" t="s">
        <v>12385</v>
      </c>
      <c r="S1949" s="6" t="s">
        <v>71</v>
      </c>
      <c r="T1949" s="6">
        <v>6584.0</v>
      </c>
    </row>
    <row r="1950" ht="56.25" customHeight="1">
      <c r="A1950" s="5" t="s">
        <v>12375</v>
      </c>
      <c r="B1950" s="6" t="str">
        <f>image("https://storage.googleapis.com/acdb/photos/BromideNpcNmlMnk04_Remake_4_0.png")</f>
        <v/>
      </c>
      <c r="C1950" s="5" t="s">
        <v>1167</v>
      </c>
      <c r="D1950" s="5" t="s">
        <v>1327</v>
      </c>
      <c r="E1950" s="5" t="s">
        <v>34</v>
      </c>
      <c r="F1950" s="5" t="s">
        <v>34</v>
      </c>
      <c r="G1950" s="5" t="s">
        <v>36</v>
      </c>
      <c r="H1950" s="5" t="s">
        <v>35</v>
      </c>
      <c r="I1950" s="6">
        <v>1.0</v>
      </c>
      <c r="J1950" s="6" t="s">
        <v>37</v>
      </c>
      <c r="K1950" s="6">
        <v>10.0</v>
      </c>
      <c r="L1950" s="5"/>
      <c r="M1950" s="5"/>
      <c r="N1950" s="6" t="s">
        <v>40</v>
      </c>
      <c r="O1950" s="5" t="s">
        <v>5363</v>
      </c>
      <c r="P1950" s="6" t="s">
        <v>42</v>
      </c>
      <c r="Q1950" s="5" t="s">
        <v>1237</v>
      </c>
      <c r="R1950" s="5" t="s">
        <v>12388</v>
      </c>
      <c r="S1950" s="6" t="s">
        <v>75</v>
      </c>
      <c r="T1950" s="6">
        <v>6584.0</v>
      </c>
    </row>
    <row r="1951" ht="56.25" customHeight="1">
      <c r="A1951" s="5" t="s">
        <v>12375</v>
      </c>
      <c r="B1951" s="6" t="str">
        <f>image("https://storage.googleapis.com/acdb/photos/BromideNpcNmlMnk04_Remake_5_0.png")</f>
        <v/>
      </c>
      <c r="C1951" s="5" t="s">
        <v>58</v>
      </c>
      <c r="D1951" s="5" t="s">
        <v>1327</v>
      </c>
      <c r="E1951" s="5" t="s">
        <v>34</v>
      </c>
      <c r="F1951" s="5" t="s">
        <v>34</v>
      </c>
      <c r="G1951" s="5" t="s">
        <v>36</v>
      </c>
      <c r="H1951" s="5" t="s">
        <v>35</v>
      </c>
      <c r="I1951" s="6">
        <v>1.0</v>
      </c>
      <c r="J1951" s="6" t="s">
        <v>37</v>
      </c>
      <c r="K1951" s="6">
        <v>10.0</v>
      </c>
      <c r="L1951" s="5"/>
      <c r="M1951" s="5"/>
      <c r="N1951" s="6" t="s">
        <v>40</v>
      </c>
      <c r="O1951" s="5" t="s">
        <v>5363</v>
      </c>
      <c r="P1951" s="6" t="s">
        <v>42</v>
      </c>
      <c r="Q1951" s="5" t="s">
        <v>1237</v>
      </c>
      <c r="R1951" s="5" t="s">
        <v>12391</v>
      </c>
      <c r="S1951" s="6" t="s">
        <v>79</v>
      </c>
      <c r="T1951" s="6">
        <v>6584.0</v>
      </c>
    </row>
    <row r="1952" ht="56.25" customHeight="1">
      <c r="A1952" s="5" t="s">
        <v>12375</v>
      </c>
      <c r="B1952" s="6" t="str">
        <f>image("https://storage.googleapis.com/acdb/photos/BromideNpcNmlMnk04_Remake_6_0.png")</f>
        <v/>
      </c>
      <c r="C1952" s="5" t="s">
        <v>146</v>
      </c>
      <c r="D1952" s="5" t="s">
        <v>1327</v>
      </c>
      <c r="E1952" s="5" t="s">
        <v>34</v>
      </c>
      <c r="F1952" s="5" t="s">
        <v>34</v>
      </c>
      <c r="G1952" s="5" t="s">
        <v>36</v>
      </c>
      <c r="H1952" s="5" t="s">
        <v>35</v>
      </c>
      <c r="I1952" s="6">
        <v>1.0</v>
      </c>
      <c r="J1952" s="6" t="s">
        <v>37</v>
      </c>
      <c r="K1952" s="6">
        <v>10.0</v>
      </c>
      <c r="L1952" s="5"/>
      <c r="M1952" s="5"/>
      <c r="N1952" s="6" t="s">
        <v>40</v>
      </c>
      <c r="O1952" s="5" t="s">
        <v>5363</v>
      </c>
      <c r="P1952" s="6" t="s">
        <v>42</v>
      </c>
      <c r="Q1952" s="5" t="s">
        <v>1237</v>
      </c>
      <c r="R1952" s="5" t="s">
        <v>12392</v>
      </c>
      <c r="S1952" s="6" t="s">
        <v>86</v>
      </c>
      <c r="T1952" s="6">
        <v>6584.0</v>
      </c>
    </row>
    <row r="1953" ht="56.25" customHeight="1">
      <c r="A1953" s="5" t="s">
        <v>12375</v>
      </c>
      <c r="B1953" s="6" t="str">
        <f>image("https://storage.googleapis.com/acdb/photos/BromideNpcNmlMnk04_Remake_7_0.png")</f>
        <v/>
      </c>
      <c r="C1953" s="5" t="s">
        <v>151</v>
      </c>
      <c r="D1953" s="5" t="s">
        <v>1327</v>
      </c>
      <c r="E1953" s="5" t="s">
        <v>34</v>
      </c>
      <c r="F1953" s="5" t="s">
        <v>34</v>
      </c>
      <c r="G1953" s="5" t="s">
        <v>36</v>
      </c>
      <c r="H1953" s="5" t="s">
        <v>35</v>
      </c>
      <c r="I1953" s="6">
        <v>1.0</v>
      </c>
      <c r="J1953" s="6" t="s">
        <v>37</v>
      </c>
      <c r="K1953" s="6">
        <v>10.0</v>
      </c>
      <c r="L1953" s="5"/>
      <c r="M1953" s="5"/>
      <c r="N1953" s="6" t="s">
        <v>40</v>
      </c>
      <c r="O1953" s="5" t="s">
        <v>5363</v>
      </c>
      <c r="P1953" s="6" t="s">
        <v>42</v>
      </c>
      <c r="Q1953" s="5" t="s">
        <v>1237</v>
      </c>
      <c r="R1953" s="5" t="s">
        <v>12396</v>
      </c>
      <c r="S1953" s="6" t="s">
        <v>208</v>
      </c>
      <c r="T1953" s="6">
        <v>6584.0</v>
      </c>
    </row>
    <row r="1954" ht="56.25" customHeight="1">
      <c r="A1954" s="5" t="s">
        <v>12397</v>
      </c>
      <c r="B1954" s="6" t="str">
        <f>image("https://storage.googleapis.com/acdb/photos/BromideNpcNmlMus14_Remake_0_0.png")</f>
        <v/>
      </c>
      <c r="C1954" s="5" t="s">
        <v>366</v>
      </c>
      <c r="D1954" s="5" t="s">
        <v>1327</v>
      </c>
      <c r="E1954" s="5" t="s">
        <v>34</v>
      </c>
      <c r="F1954" s="5" t="s">
        <v>34</v>
      </c>
      <c r="G1954" s="5" t="s">
        <v>36</v>
      </c>
      <c r="H1954" s="5" t="s">
        <v>35</v>
      </c>
      <c r="I1954" s="6">
        <v>1.0</v>
      </c>
      <c r="J1954" s="6" t="s">
        <v>37</v>
      </c>
      <c r="K1954" s="6">
        <v>10.0</v>
      </c>
      <c r="L1954" s="5"/>
      <c r="M1954" s="5"/>
      <c r="N1954" s="6" t="s">
        <v>40</v>
      </c>
      <c r="O1954" s="5" t="s">
        <v>5363</v>
      </c>
      <c r="P1954" s="6" t="s">
        <v>42</v>
      </c>
      <c r="Q1954" s="5" t="s">
        <v>1237</v>
      </c>
      <c r="R1954" s="5" t="s">
        <v>12400</v>
      </c>
      <c r="S1954" s="6" t="s">
        <v>50</v>
      </c>
      <c r="T1954" s="6">
        <v>6600.0</v>
      </c>
    </row>
    <row r="1955" ht="56.25" customHeight="1">
      <c r="A1955" s="5" t="s">
        <v>12397</v>
      </c>
      <c r="B1955" s="6" t="str">
        <f>image("https://storage.googleapis.com/acdb/photos/BromideNpcNmlMus14_Remake_1_0.png")</f>
        <v/>
      </c>
      <c r="C1955" s="5" t="s">
        <v>1132</v>
      </c>
      <c r="D1955" s="5" t="s">
        <v>1327</v>
      </c>
      <c r="E1955" s="5" t="s">
        <v>34</v>
      </c>
      <c r="F1955" s="5" t="s">
        <v>34</v>
      </c>
      <c r="G1955" s="5" t="s">
        <v>36</v>
      </c>
      <c r="H1955" s="5" t="s">
        <v>35</v>
      </c>
      <c r="I1955" s="6">
        <v>1.0</v>
      </c>
      <c r="J1955" s="6" t="s">
        <v>37</v>
      </c>
      <c r="K1955" s="6">
        <v>10.0</v>
      </c>
      <c r="L1955" s="5"/>
      <c r="M1955" s="5"/>
      <c r="N1955" s="6" t="s">
        <v>40</v>
      </c>
      <c r="O1955" s="5" t="s">
        <v>5363</v>
      </c>
      <c r="P1955" s="6" t="s">
        <v>42</v>
      </c>
      <c r="Q1955" s="5" t="s">
        <v>1237</v>
      </c>
      <c r="R1955" s="5" t="s">
        <v>12404</v>
      </c>
      <c r="S1955" s="6" t="s">
        <v>56</v>
      </c>
      <c r="T1955" s="6">
        <v>6600.0</v>
      </c>
    </row>
    <row r="1956" ht="56.25" customHeight="1">
      <c r="A1956" s="5" t="s">
        <v>12397</v>
      </c>
      <c r="B1956" s="6" t="str">
        <f>image("https://storage.googleapis.com/acdb/photos/BromideNpcNmlMus14_Remake_2_0.png")</f>
        <v/>
      </c>
      <c r="C1956" s="5" t="s">
        <v>688</v>
      </c>
      <c r="D1956" s="5" t="s">
        <v>1327</v>
      </c>
      <c r="E1956" s="5" t="s">
        <v>34</v>
      </c>
      <c r="F1956" s="5" t="s">
        <v>34</v>
      </c>
      <c r="G1956" s="5" t="s">
        <v>36</v>
      </c>
      <c r="H1956" s="5" t="s">
        <v>35</v>
      </c>
      <c r="I1956" s="6">
        <v>1.0</v>
      </c>
      <c r="J1956" s="6" t="s">
        <v>37</v>
      </c>
      <c r="K1956" s="6">
        <v>10.0</v>
      </c>
      <c r="L1956" s="5"/>
      <c r="M1956" s="5"/>
      <c r="N1956" s="6" t="s">
        <v>40</v>
      </c>
      <c r="O1956" s="5" t="s">
        <v>5363</v>
      </c>
      <c r="P1956" s="6" t="s">
        <v>42</v>
      </c>
      <c r="Q1956" s="5" t="s">
        <v>1237</v>
      </c>
      <c r="R1956" s="5" t="s">
        <v>12407</v>
      </c>
      <c r="S1956" s="6" t="s">
        <v>67</v>
      </c>
      <c r="T1956" s="6">
        <v>6600.0</v>
      </c>
    </row>
    <row r="1957" ht="56.25" customHeight="1">
      <c r="A1957" s="5" t="s">
        <v>12397</v>
      </c>
      <c r="B1957" s="6" t="str">
        <f>image("https://storage.googleapis.com/acdb/photos/BromideNpcNmlMus14_Remake_3_0.png")</f>
        <v/>
      </c>
      <c r="C1957" s="5" t="s">
        <v>57</v>
      </c>
      <c r="D1957" s="5" t="s">
        <v>1327</v>
      </c>
      <c r="E1957" s="5" t="s">
        <v>34</v>
      </c>
      <c r="F1957" s="5" t="s">
        <v>34</v>
      </c>
      <c r="G1957" s="5" t="s">
        <v>36</v>
      </c>
      <c r="H1957" s="5" t="s">
        <v>35</v>
      </c>
      <c r="I1957" s="6">
        <v>1.0</v>
      </c>
      <c r="J1957" s="6" t="s">
        <v>37</v>
      </c>
      <c r="K1957" s="6">
        <v>10.0</v>
      </c>
      <c r="L1957" s="5"/>
      <c r="M1957" s="5"/>
      <c r="N1957" s="6" t="s">
        <v>40</v>
      </c>
      <c r="O1957" s="5" t="s">
        <v>5363</v>
      </c>
      <c r="P1957" s="6" t="s">
        <v>42</v>
      </c>
      <c r="Q1957" s="5" t="s">
        <v>1237</v>
      </c>
      <c r="R1957" s="5" t="s">
        <v>12409</v>
      </c>
      <c r="S1957" s="6" t="s">
        <v>71</v>
      </c>
      <c r="T1957" s="6">
        <v>6600.0</v>
      </c>
    </row>
    <row r="1958" ht="56.25" customHeight="1">
      <c r="A1958" s="5" t="s">
        <v>12397</v>
      </c>
      <c r="B1958" s="6" t="str">
        <f>image("https://storage.googleapis.com/acdb/photos/BromideNpcNmlMus14_Remake_4_0.png")</f>
        <v/>
      </c>
      <c r="C1958" s="5" t="s">
        <v>1167</v>
      </c>
      <c r="D1958" s="5" t="s">
        <v>1327</v>
      </c>
      <c r="E1958" s="5" t="s">
        <v>34</v>
      </c>
      <c r="F1958" s="5" t="s">
        <v>34</v>
      </c>
      <c r="G1958" s="5" t="s">
        <v>36</v>
      </c>
      <c r="H1958" s="5" t="s">
        <v>35</v>
      </c>
      <c r="I1958" s="6">
        <v>1.0</v>
      </c>
      <c r="J1958" s="6" t="s">
        <v>37</v>
      </c>
      <c r="K1958" s="6">
        <v>10.0</v>
      </c>
      <c r="L1958" s="5"/>
      <c r="M1958" s="5"/>
      <c r="N1958" s="6" t="s">
        <v>40</v>
      </c>
      <c r="O1958" s="5" t="s">
        <v>5363</v>
      </c>
      <c r="P1958" s="6" t="s">
        <v>42</v>
      </c>
      <c r="Q1958" s="5" t="s">
        <v>1237</v>
      </c>
      <c r="R1958" s="5" t="s">
        <v>12412</v>
      </c>
      <c r="S1958" s="6" t="s">
        <v>75</v>
      </c>
      <c r="T1958" s="6">
        <v>6600.0</v>
      </c>
    </row>
    <row r="1959" ht="56.25" customHeight="1">
      <c r="A1959" s="5" t="s">
        <v>12397</v>
      </c>
      <c r="B1959" s="6" t="str">
        <f>image("https://storage.googleapis.com/acdb/photos/BromideNpcNmlMus14_Remake_5_0.png")</f>
        <v/>
      </c>
      <c r="C1959" s="5" t="s">
        <v>58</v>
      </c>
      <c r="D1959" s="5" t="s">
        <v>1327</v>
      </c>
      <c r="E1959" s="5" t="s">
        <v>34</v>
      </c>
      <c r="F1959" s="5" t="s">
        <v>34</v>
      </c>
      <c r="G1959" s="5" t="s">
        <v>36</v>
      </c>
      <c r="H1959" s="5" t="s">
        <v>35</v>
      </c>
      <c r="I1959" s="6">
        <v>1.0</v>
      </c>
      <c r="J1959" s="6" t="s">
        <v>37</v>
      </c>
      <c r="K1959" s="6">
        <v>10.0</v>
      </c>
      <c r="L1959" s="5"/>
      <c r="M1959" s="5"/>
      <c r="N1959" s="6" t="s">
        <v>40</v>
      </c>
      <c r="O1959" s="5" t="s">
        <v>5363</v>
      </c>
      <c r="P1959" s="6" t="s">
        <v>42</v>
      </c>
      <c r="Q1959" s="5" t="s">
        <v>1237</v>
      </c>
      <c r="R1959" s="5" t="s">
        <v>12415</v>
      </c>
      <c r="S1959" s="6" t="s">
        <v>79</v>
      </c>
      <c r="T1959" s="6">
        <v>6600.0</v>
      </c>
    </row>
    <row r="1960" ht="56.25" customHeight="1">
      <c r="A1960" s="5" t="s">
        <v>12397</v>
      </c>
      <c r="B1960" s="6" t="str">
        <f>image("https://storage.googleapis.com/acdb/photos/BromideNpcNmlMus14_Remake_6_0.png")</f>
        <v/>
      </c>
      <c r="C1960" s="5" t="s">
        <v>146</v>
      </c>
      <c r="D1960" s="5" t="s">
        <v>1327</v>
      </c>
      <c r="E1960" s="5" t="s">
        <v>34</v>
      </c>
      <c r="F1960" s="5" t="s">
        <v>34</v>
      </c>
      <c r="G1960" s="5" t="s">
        <v>36</v>
      </c>
      <c r="H1960" s="5" t="s">
        <v>35</v>
      </c>
      <c r="I1960" s="6">
        <v>1.0</v>
      </c>
      <c r="J1960" s="6" t="s">
        <v>37</v>
      </c>
      <c r="K1960" s="6">
        <v>10.0</v>
      </c>
      <c r="L1960" s="5"/>
      <c r="M1960" s="5"/>
      <c r="N1960" s="6" t="s">
        <v>40</v>
      </c>
      <c r="O1960" s="5" t="s">
        <v>5363</v>
      </c>
      <c r="P1960" s="6" t="s">
        <v>42</v>
      </c>
      <c r="Q1960" s="5" t="s">
        <v>1237</v>
      </c>
      <c r="R1960" s="5" t="s">
        <v>12420</v>
      </c>
      <c r="S1960" s="6" t="s">
        <v>86</v>
      </c>
      <c r="T1960" s="6">
        <v>6600.0</v>
      </c>
    </row>
    <row r="1961" ht="56.25" customHeight="1">
      <c r="A1961" s="5" t="s">
        <v>12397</v>
      </c>
      <c r="B1961" s="6" t="str">
        <f>image("https://storage.googleapis.com/acdb/photos/BromideNpcNmlMus14_Remake_7_0.png")</f>
        <v/>
      </c>
      <c r="C1961" s="5" t="s">
        <v>151</v>
      </c>
      <c r="D1961" s="5" t="s">
        <v>1327</v>
      </c>
      <c r="E1961" s="5" t="s">
        <v>34</v>
      </c>
      <c r="F1961" s="5" t="s">
        <v>34</v>
      </c>
      <c r="G1961" s="5" t="s">
        <v>36</v>
      </c>
      <c r="H1961" s="5" t="s">
        <v>35</v>
      </c>
      <c r="I1961" s="6">
        <v>1.0</v>
      </c>
      <c r="J1961" s="6" t="s">
        <v>37</v>
      </c>
      <c r="K1961" s="6">
        <v>10.0</v>
      </c>
      <c r="L1961" s="5"/>
      <c r="M1961" s="5"/>
      <c r="N1961" s="6" t="s">
        <v>40</v>
      </c>
      <c r="O1961" s="5" t="s">
        <v>5363</v>
      </c>
      <c r="P1961" s="6" t="s">
        <v>42</v>
      </c>
      <c r="Q1961" s="5" t="s">
        <v>1237</v>
      </c>
      <c r="R1961" s="5" t="s">
        <v>12424</v>
      </c>
      <c r="S1961" s="6" t="s">
        <v>208</v>
      </c>
      <c r="T1961" s="6">
        <v>6600.0</v>
      </c>
    </row>
    <row r="1962" ht="56.25" customHeight="1">
      <c r="A1962" s="5" t="s">
        <v>12425</v>
      </c>
      <c r="B1962" s="6" t="str">
        <f>image("https://storage.googleapis.com/acdb/photos/BromideNpcNmlLon06_Remake_0_0.png")</f>
        <v/>
      </c>
      <c r="C1962" s="5" t="s">
        <v>366</v>
      </c>
      <c r="D1962" s="5" t="s">
        <v>1327</v>
      </c>
      <c r="E1962" s="5" t="s">
        <v>34</v>
      </c>
      <c r="F1962" s="5" t="s">
        <v>34</v>
      </c>
      <c r="G1962" s="5" t="s">
        <v>36</v>
      </c>
      <c r="H1962" s="5" t="s">
        <v>35</v>
      </c>
      <c r="I1962" s="6">
        <v>1.0</v>
      </c>
      <c r="J1962" s="6" t="s">
        <v>37</v>
      </c>
      <c r="K1962" s="6">
        <v>10.0</v>
      </c>
      <c r="L1962" s="5"/>
      <c r="M1962" s="5"/>
      <c r="N1962" s="6" t="s">
        <v>40</v>
      </c>
      <c r="O1962" s="5" t="s">
        <v>5363</v>
      </c>
      <c r="P1962" s="6" t="s">
        <v>42</v>
      </c>
      <c r="Q1962" s="5" t="s">
        <v>1237</v>
      </c>
      <c r="R1962" s="5" t="s">
        <v>12428</v>
      </c>
      <c r="S1962" s="6" t="s">
        <v>50</v>
      </c>
      <c r="T1962" s="6">
        <v>6577.0</v>
      </c>
    </row>
    <row r="1963" ht="56.25" customHeight="1">
      <c r="A1963" s="5" t="s">
        <v>12425</v>
      </c>
      <c r="B1963" s="6" t="str">
        <f>image("https://storage.googleapis.com/acdb/photos/BromideNpcNmlLon06_Remake_1_0.png")</f>
        <v/>
      </c>
      <c r="C1963" s="5" t="s">
        <v>1132</v>
      </c>
      <c r="D1963" s="5" t="s">
        <v>1327</v>
      </c>
      <c r="E1963" s="5" t="s">
        <v>34</v>
      </c>
      <c r="F1963" s="5" t="s">
        <v>34</v>
      </c>
      <c r="G1963" s="5" t="s">
        <v>36</v>
      </c>
      <c r="H1963" s="5" t="s">
        <v>35</v>
      </c>
      <c r="I1963" s="6">
        <v>1.0</v>
      </c>
      <c r="J1963" s="6" t="s">
        <v>37</v>
      </c>
      <c r="K1963" s="6">
        <v>10.0</v>
      </c>
      <c r="L1963" s="5"/>
      <c r="M1963" s="5"/>
      <c r="N1963" s="6" t="s">
        <v>40</v>
      </c>
      <c r="O1963" s="5" t="s">
        <v>5363</v>
      </c>
      <c r="P1963" s="6" t="s">
        <v>42</v>
      </c>
      <c r="Q1963" s="5" t="s">
        <v>1237</v>
      </c>
      <c r="R1963" s="5" t="s">
        <v>12432</v>
      </c>
      <c r="S1963" s="6" t="s">
        <v>56</v>
      </c>
      <c r="T1963" s="6">
        <v>6577.0</v>
      </c>
    </row>
    <row r="1964" ht="56.25" customHeight="1">
      <c r="A1964" s="5" t="s">
        <v>12425</v>
      </c>
      <c r="B1964" s="6" t="str">
        <f>image("https://storage.googleapis.com/acdb/photos/BromideNpcNmlLon06_Remake_2_0.png")</f>
        <v/>
      </c>
      <c r="C1964" s="5" t="s">
        <v>688</v>
      </c>
      <c r="D1964" s="5" t="s">
        <v>1327</v>
      </c>
      <c r="E1964" s="5" t="s">
        <v>34</v>
      </c>
      <c r="F1964" s="5" t="s">
        <v>34</v>
      </c>
      <c r="G1964" s="5" t="s">
        <v>36</v>
      </c>
      <c r="H1964" s="5" t="s">
        <v>35</v>
      </c>
      <c r="I1964" s="6">
        <v>1.0</v>
      </c>
      <c r="J1964" s="6" t="s">
        <v>37</v>
      </c>
      <c r="K1964" s="6">
        <v>10.0</v>
      </c>
      <c r="L1964" s="5"/>
      <c r="M1964" s="5"/>
      <c r="N1964" s="6" t="s">
        <v>40</v>
      </c>
      <c r="O1964" s="5" t="s">
        <v>5363</v>
      </c>
      <c r="P1964" s="6" t="s">
        <v>42</v>
      </c>
      <c r="Q1964" s="5" t="s">
        <v>1237</v>
      </c>
      <c r="R1964" s="5" t="s">
        <v>12435</v>
      </c>
      <c r="S1964" s="6" t="s">
        <v>67</v>
      </c>
      <c r="T1964" s="6">
        <v>6577.0</v>
      </c>
    </row>
    <row r="1965" ht="56.25" customHeight="1">
      <c r="A1965" s="5" t="s">
        <v>12425</v>
      </c>
      <c r="B1965" s="6" t="str">
        <f>image("https://storage.googleapis.com/acdb/photos/BromideNpcNmlLon06_Remake_3_0.png")</f>
        <v/>
      </c>
      <c r="C1965" s="5" t="s">
        <v>57</v>
      </c>
      <c r="D1965" s="5" t="s">
        <v>1327</v>
      </c>
      <c r="E1965" s="5" t="s">
        <v>34</v>
      </c>
      <c r="F1965" s="5" t="s">
        <v>34</v>
      </c>
      <c r="G1965" s="5" t="s">
        <v>36</v>
      </c>
      <c r="H1965" s="5" t="s">
        <v>35</v>
      </c>
      <c r="I1965" s="6">
        <v>1.0</v>
      </c>
      <c r="J1965" s="6" t="s">
        <v>37</v>
      </c>
      <c r="K1965" s="6">
        <v>10.0</v>
      </c>
      <c r="L1965" s="5"/>
      <c r="M1965" s="5"/>
      <c r="N1965" s="6" t="s">
        <v>40</v>
      </c>
      <c r="O1965" s="5" t="s">
        <v>5363</v>
      </c>
      <c r="P1965" s="6" t="s">
        <v>42</v>
      </c>
      <c r="Q1965" s="5" t="s">
        <v>1237</v>
      </c>
      <c r="R1965" s="5" t="s">
        <v>12439</v>
      </c>
      <c r="S1965" s="6" t="s">
        <v>71</v>
      </c>
      <c r="T1965" s="6">
        <v>6577.0</v>
      </c>
    </row>
    <row r="1966" ht="56.25" customHeight="1">
      <c r="A1966" s="5" t="s">
        <v>12425</v>
      </c>
      <c r="B1966" s="6" t="str">
        <f>image("https://storage.googleapis.com/acdb/photos/BromideNpcNmlLon06_Remake_4_0.png")</f>
        <v/>
      </c>
      <c r="C1966" s="5" t="s">
        <v>1167</v>
      </c>
      <c r="D1966" s="5" t="s">
        <v>1327</v>
      </c>
      <c r="E1966" s="5" t="s">
        <v>34</v>
      </c>
      <c r="F1966" s="5" t="s">
        <v>34</v>
      </c>
      <c r="G1966" s="5" t="s">
        <v>36</v>
      </c>
      <c r="H1966" s="5" t="s">
        <v>35</v>
      </c>
      <c r="I1966" s="6">
        <v>1.0</v>
      </c>
      <c r="J1966" s="6" t="s">
        <v>37</v>
      </c>
      <c r="K1966" s="6">
        <v>10.0</v>
      </c>
      <c r="L1966" s="5"/>
      <c r="M1966" s="5"/>
      <c r="N1966" s="6" t="s">
        <v>40</v>
      </c>
      <c r="O1966" s="5" t="s">
        <v>5363</v>
      </c>
      <c r="P1966" s="6" t="s">
        <v>42</v>
      </c>
      <c r="Q1966" s="5" t="s">
        <v>1237</v>
      </c>
      <c r="R1966" s="5" t="s">
        <v>12441</v>
      </c>
      <c r="S1966" s="6" t="s">
        <v>75</v>
      </c>
      <c r="T1966" s="6">
        <v>6577.0</v>
      </c>
    </row>
    <row r="1967" ht="56.25" customHeight="1">
      <c r="A1967" s="5" t="s">
        <v>12425</v>
      </c>
      <c r="B1967" s="6" t="str">
        <f>image("https://storage.googleapis.com/acdb/photos/BromideNpcNmlLon06_Remake_5_0.png")</f>
        <v/>
      </c>
      <c r="C1967" s="5" t="s">
        <v>58</v>
      </c>
      <c r="D1967" s="5" t="s">
        <v>1327</v>
      </c>
      <c r="E1967" s="5" t="s">
        <v>34</v>
      </c>
      <c r="F1967" s="5" t="s">
        <v>34</v>
      </c>
      <c r="G1967" s="5" t="s">
        <v>36</v>
      </c>
      <c r="H1967" s="5" t="s">
        <v>35</v>
      </c>
      <c r="I1967" s="6">
        <v>1.0</v>
      </c>
      <c r="J1967" s="6" t="s">
        <v>37</v>
      </c>
      <c r="K1967" s="6">
        <v>10.0</v>
      </c>
      <c r="L1967" s="5"/>
      <c r="M1967" s="5"/>
      <c r="N1967" s="6" t="s">
        <v>40</v>
      </c>
      <c r="O1967" s="5" t="s">
        <v>5363</v>
      </c>
      <c r="P1967" s="6" t="s">
        <v>42</v>
      </c>
      <c r="Q1967" s="5" t="s">
        <v>1237</v>
      </c>
      <c r="R1967" s="5" t="s">
        <v>12444</v>
      </c>
      <c r="S1967" s="6" t="s">
        <v>79</v>
      </c>
      <c r="T1967" s="6">
        <v>6577.0</v>
      </c>
    </row>
    <row r="1968" ht="56.25" customHeight="1">
      <c r="A1968" s="5" t="s">
        <v>12425</v>
      </c>
      <c r="B1968" s="6" t="str">
        <f>image("https://storage.googleapis.com/acdb/photos/BromideNpcNmlLon06_Remake_6_0.png")</f>
        <v/>
      </c>
      <c r="C1968" s="5" t="s">
        <v>146</v>
      </c>
      <c r="D1968" s="5" t="s">
        <v>1327</v>
      </c>
      <c r="E1968" s="5" t="s">
        <v>34</v>
      </c>
      <c r="F1968" s="5" t="s">
        <v>34</v>
      </c>
      <c r="G1968" s="5" t="s">
        <v>36</v>
      </c>
      <c r="H1968" s="5" t="s">
        <v>35</v>
      </c>
      <c r="I1968" s="6">
        <v>1.0</v>
      </c>
      <c r="J1968" s="6" t="s">
        <v>37</v>
      </c>
      <c r="K1968" s="6">
        <v>10.0</v>
      </c>
      <c r="L1968" s="5"/>
      <c r="M1968" s="5"/>
      <c r="N1968" s="6" t="s">
        <v>40</v>
      </c>
      <c r="O1968" s="5" t="s">
        <v>5363</v>
      </c>
      <c r="P1968" s="6" t="s">
        <v>42</v>
      </c>
      <c r="Q1968" s="5" t="s">
        <v>1237</v>
      </c>
      <c r="R1968" s="5" t="s">
        <v>12445</v>
      </c>
      <c r="S1968" s="6" t="s">
        <v>86</v>
      </c>
      <c r="T1968" s="6">
        <v>6577.0</v>
      </c>
    </row>
    <row r="1969" ht="56.25" customHeight="1">
      <c r="A1969" s="5" t="s">
        <v>12425</v>
      </c>
      <c r="B1969" s="6" t="str">
        <f>image("https://storage.googleapis.com/acdb/photos/BromideNpcNmlLon06_Remake_7_0.png")</f>
        <v/>
      </c>
      <c r="C1969" s="5" t="s">
        <v>151</v>
      </c>
      <c r="D1969" s="5" t="s">
        <v>1327</v>
      </c>
      <c r="E1969" s="5" t="s">
        <v>34</v>
      </c>
      <c r="F1969" s="5" t="s">
        <v>34</v>
      </c>
      <c r="G1969" s="5" t="s">
        <v>36</v>
      </c>
      <c r="H1969" s="5" t="s">
        <v>35</v>
      </c>
      <c r="I1969" s="6">
        <v>1.0</v>
      </c>
      <c r="J1969" s="6" t="s">
        <v>37</v>
      </c>
      <c r="K1969" s="6">
        <v>10.0</v>
      </c>
      <c r="L1969" s="5"/>
      <c r="M1969" s="5"/>
      <c r="N1969" s="6" t="s">
        <v>40</v>
      </c>
      <c r="O1969" s="5" t="s">
        <v>5363</v>
      </c>
      <c r="P1969" s="6" t="s">
        <v>42</v>
      </c>
      <c r="Q1969" s="5" t="s">
        <v>1237</v>
      </c>
      <c r="R1969" s="5" t="s">
        <v>12449</v>
      </c>
      <c r="S1969" s="6" t="s">
        <v>208</v>
      </c>
      <c r="T1969" s="6">
        <v>6577.0</v>
      </c>
    </row>
    <row r="1970" ht="56.25" customHeight="1">
      <c r="A1970" s="5" t="s">
        <v>12450</v>
      </c>
      <c r="B1970" s="6" t="str">
        <f>image("https://storage.googleapis.com/acdb/photos/BromideNpcNmlShp12_Remake_0_0.png")</f>
        <v/>
      </c>
      <c r="C1970" s="5" t="s">
        <v>366</v>
      </c>
      <c r="D1970" s="5" t="s">
        <v>1327</v>
      </c>
      <c r="E1970" s="5" t="s">
        <v>34</v>
      </c>
      <c r="F1970" s="5" t="s">
        <v>34</v>
      </c>
      <c r="G1970" s="5" t="s">
        <v>36</v>
      </c>
      <c r="H1970" s="5" t="s">
        <v>35</v>
      </c>
      <c r="I1970" s="6">
        <v>1.0</v>
      </c>
      <c r="J1970" s="6" t="s">
        <v>37</v>
      </c>
      <c r="K1970" s="6">
        <v>10.0</v>
      </c>
      <c r="L1970" s="5"/>
      <c r="M1970" s="5"/>
      <c r="N1970" s="6" t="s">
        <v>40</v>
      </c>
      <c r="O1970" s="5" t="s">
        <v>5363</v>
      </c>
      <c r="P1970" s="6" t="s">
        <v>42</v>
      </c>
      <c r="Q1970" s="5" t="s">
        <v>1237</v>
      </c>
      <c r="R1970" s="5" t="s">
        <v>12452</v>
      </c>
      <c r="S1970" s="6" t="s">
        <v>50</v>
      </c>
      <c r="T1970" s="6">
        <v>6701.0</v>
      </c>
    </row>
    <row r="1971" ht="56.25" customHeight="1">
      <c r="A1971" s="5" t="s">
        <v>12450</v>
      </c>
      <c r="B1971" s="6" t="str">
        <f>image("https://storage.googleapis.com/acdb/photos/BromideNpcNmlShp12_Remake_1_0.png")</f>
        <v/>
      </c>
      <c r="C1971" s="5" t="s">
        <v>1132</v>
      </c>
      <c r="D1971" s="5" t="s">
        <v>1327</v>
      </c>
      <c r="E1971" s="5" t="s">
        <v>34</v>
      </c>
      <c r="F1971" s="5" t="s">
        <v>34</v>
      </c>
      <c r="G1971" s="5" t="s">
        <v>36</v>
      </c>
      <c r="H1971" s="5" t="s">
        <v>35</v>
      </c>
      <c r="I1971" s="6">
        <v>1.0</v>
      </c>
      <c r="J1971" s="6" t="s">
        <v>37</v>
      </c>
      <c r="K1971" s="6">
        <v>10.0</v>
      </c>
      <c r="L1971" s="5"/>
      <c r="M1971" s="5"/>
      <c r="N1971" s="6" t="s">
        <v>40</v>
      </c>
      <c r="O1971" s="5" t="s">
        <v>5363</v>
      </c>
      <c r="P1971" s="6" t="s">
        <v>42</v>
      </c>
      <c r="Q1971" s="5" t="s">
        <v>1237</v>
      </c>
      <c r="R1971" s="5" t="s">
        <v>12457</v>
      </c>
      <c r="S1971" s="6" t="s">
        <v>56</v>
      </c>
      <c r="T1971" s="6">
        <v>6701.0</v>
      </c>
    </row>
    <row r="1972" ht="56.25" customHeight="1">
      <c r="A1972" s="5" t="s">
        <v>12450</v>
      </c>
      <c r="B1972" s="6" t="str">
        <f>image("https://storage.googleapis.com/acdb/photos/BromideNpcNmlShp12_Remake_2_0.png")</f>
        <v/>
      </c>
      <c r="C1972" s="5" t="s">
        <v>688</v>
      </c>
      <c r="D1972" s="5" t="s">
        <v>1327</v>
      </c>
      <c r="E1972" s="5" t="s">
        <v>34</v>
      </c>
      <c r="F1972" s="5" t="s">
        <v>34</v>
      </c>
      <c r="G1972" s="5" t="s">
        <v>36</v>
      </c>
      <c r="H1972" s="5" t="s">
        <v>35</v>
      </c>
      <c r="I1972" s="6">
        <v>1.0</v>
      </c>
      <c r="J1972" s="6" t="s">
        <v>37</v>
      </c>
      <c r="K1972" s="6">
        <v>10.0</v>
      </c>
      <c r="L1972" s="5"/>
      <c r="M1972" s="5"/>
      <c r="N1972" s="6" t="s">
        <v>40</v>
      </c>
      <c r="O1972" s="5" t="s">
        <v>5363</v>
      </c>
      <c r="P1972" s="6" t="s">
        <v>42</v>
      </c>
      <c r="Q1972" s="5" t="s">
        <v>1237</v>
      </c>
      <c r="R1972" s="5" t="s">
        <v>12461</v>
      </c>
      <c r="S1972" s="6" t="s">
        <v>67</v>
      </c>
      <c r="T1972" s="6">
        <v>6701.0</v>
      </c>
    </row>
    <row r="1973" ht="56.25" customHeight="1">
      <c r="A1973" s="5" t="s">
        <v>12450</v>
      </c>
      <c r="B1973" s="6" t="str">
        <f>image("https://storage.googleapis.com/acdb/photos/BromideNpcNmlShp12_Remake_3_0.png")</f>
        <v/>
      </c>
      <c r="C1973" s="5" t="s">
        <v>57</v>
      </c>
      <c r="D1973" s="5" t="s">
        <v>1327</v>
      </c>
      <c r="E1973" s="5" t="s">
        <v>34</v>
      </c>
      <c r="F1973" s="5" t="s">
        <v>34</v>
      </c>
      <c r="G1973" s="5" t="s">
        <v>36</v>
      </c>
      <c r="H1973" s="5" t="s">
        <v>35</v>
      </c>
      <c r="I1973" s="6">
        <v>1.0</v>
      </c>
      <c r="J1973" s="6" t="s">
        <v>37</v>
      </c>
      <c r="K1973" s="6">
        <v>10.0</v>
      </c>
      <c r="L1973" s="5"/>
      <c r="M1973" s="5"/>
      <c r="N1973" s="6" t="s">
        <v>40</v>
      </c>
      <c r="O1973" s="5" t="s">
        <v>5363</v>
      </c>
      <c r="P1973" s="6" t="s">
        <v>42</v>
      </c>
      <c r="Q1973" s="5" t="s">
        <v>1237</v>
      </c>
      <c r="R1973" s="5" t="s">
        <v>12463</v>
      </c>
      <c r="S1973" s="6" t="s">
        <v>71</v>
      </c>
      <c r="T1973" s="6">
        <v>6701.0</v>
      </c>
    </row>
    <row r="1974" ht="56.25" customHeight="1">
      <c r="A1974" s="5" t="s">
        <v>12450</v>
      </c>
      <c r="B1974" s="6" t="str">
        <f>image("https://storage.googleapis.com/acdb/photos/BromideNpcNmlShp12_Remake_4_0.png")</f>
        <v/>
      </c>
      <c r="C1974" s="5" t="s">
        <v>1167</v>
      </c>
      <c r="D1974" s="5" t="s">
        <v>1327</v>
      </c>
      <c r="E1974" s="5" t="s">
        <v>34</v>
      </c>
      <c r="F1974" s="5" t="s">
        <v>34</v>
      </c>
      <c r="G1974" s="5" t="s">
        <v>36</v>
      </c>
      <c r="H1974" s="5" t="s">
        <v>35</v>
      </c>
      <c r="I1974" s="6">
        <v>1.0</v>
      </c>
      <c r="J1974" s="6" t="s">
        <v>37</v>
      </c>
      <c r="K1974" s="6">
        <v>10.0</v>
      </c>
      <c r="L1974" s="5"/>
      <c r="M1974" s="5"/>
      <c r="N1974" s="6" t="s">
        <v>40</v>
      </c>
      <c r="O1974" s="5" t="s">
        <v>5363</v>
      </c>
      <c r="P1974" s="6" t="s">
        <v>42</v>
      </c>
      <c r="Q1974" s="5" t="s">
        <v>1237</v>
      </c>
      <c r="R1974" s="5" t="s">
        <v>12466</v>
      </c>
      <c r="S1974" s="6" t="s">
        <v>75</v>
      </c>
      <c r="T1974" s="6">
        <v>6701.0</v>
      </c>
    </row>
    <row r="1975" ht="56.25" customHeight="1">
      <c r="A1975" s="5" t="s">
        <v>12450</v>
      </c>
      <c r="B1975" s="6" t="str">
        <f>image("https://storage.googleapis.com/acdb/photos/BromideNpcNmlShp12_Remake_5_0.png")</f>
        <v/>
      </c>
      <c r="C1975" s="5" t="s">
        <v>58</v>
      </c>
      <c r="D1975" s="5" t="s">
        <v>1327</v>
      </c>
      <c r="E1975" s="5" t="s">
        <v>34</v>
      </c>
      <c r="F1975" s="5" t="s">
        <v>34</v>
      </c>
      <c r="G1975" s="5" t="s">
        <v>36</v>
      </c>
      <c r="H1975" s="5" t="s">
        <v>35</v>
      </c>
      <c r="I1975" s="6">
        <v>1.0</v>
      </c>
      <c r="J1975" s="6" t="s">
        <v>37</v>
      </c>
      <c r="K1975" s="6">
        <v>10.0</v>
      </c>
      <c r="L1975" s="5"/>
      <c r="M1975" s="5"/>
      <c r="N1975" s="6" t="s">
        <v>40</v>
      </c>
      <c r="O1975" s="5" t="s">
        <v>5363</v>
      </c>
      <c r="P1975" s="6" t="s">
        <v>42</v>
      </c>
      <c r="Q1975" s="5" t="s">
        <v>1237</v>
      </c>
      <c r="R1975" s="5" t="s">
        <v>12470</v>
      </c>
      <c r="S1975" s="6" t="s">
        <v>79</v>
      </c>
      <c r="T1975" s="6">
        <v>6701.0</v>
      </c>
    </row>
    <row r="1976" ht="56.25" customHeight="1">
      <c r="A1976" s="5" t="s">
        <v>12450</v>
      </c>
      <c r="B1976" s="6" t="str">
        <f>image("https://storage.googleapis.com/acdb/photos/BromideNpcNmlShp12_Remake_6_0.png")</f>
        <v/>
      </c>
      <c r="C1976" s="5" t="s">
        <v>146</v>
      </c>
      <c r="D1976" s="5" t="s">
        <v>1327</v>
      </c>
      <c r="E1976" s="5" t="s">
        <v>34</v>
      </c>
      <c r="F1976" s="5" t="s">
        <v>34</v>
      </c>
      <c r="G1976" s="5" t="s">
        <v>36</v>
      </c>
      <c r="H1976" s="5" t="s">
        <v>35</v>
      </c>
      <c r="I1976" s="6">
        <v>1.0</v>
      </c>
      <c r="J1976" s="6" t="s">
        <v>37</v>
      </c>
      <c r="K1976" s="6">
        <v>10.0</v>
      </c>
      <c r="L1976" s="5"/>
      <c r="M1976" s="5"/>
      <c r="N1976" s="6" t="s">
        <v>40</v>
      </c>
      <c r="O1976" s="5" t="s">
        <v>5363</v>
      </c>
      <c r="P1976" s="6" t="s">
        <v>42</v>
      </c>
      <c r="Q1976" s="5" t="s">
        <v>1237</v>
      </c>
      <c r="R1976" s="5" t="s">
        <v>12474</v>
      </c>
      <c r="S1976" s="6" t="s">
        <v>86</v>
      </c>
      <c r="T1976" s="6">
        <v>6701.0</v>
      </c>
    </row>
    <row r="1977" ht="56.25" customHeight="1">
      <c r="A1977" s="5" t="s">
        <v>12450</v>
      </c>
      <c r="B1977" s="6" t="str">
        <f>image("https://storage.googleapis.com/acdb/photos/BromideNpcNmlShp12_Remake_7_0.png")</f>
        <v/>
      </c>
      <c r="C1977" s="5" t="s">
        <v>151</v>
      </c>
      <c r="D1977" s="5" t="s">
        <v>1327</v>
      </c>
      <c r="E1977" s="5" t="s">
        <v>34</v>
      </c>
      <c r="F1977" s="5" t="s">
        <v>34</v>
      </c>
      <c r="G1977" s="5" t="s">
        <v>36</v>
      </c>
      <c r="H1977" s="5" t="s">
        <v>35</v>
      </c>
      <c r="I1977" s="6">
        <v>1.0</v>
      </c>
      <c r="J1977" s="6" t="s">
        <v>37</v>
      </c>
      <c r="K1977" s="6">
        <v>10.0</v>
      </c>
      <c r="L1977" s="5"/>
      <c r="M1977" s="5"/>
      <c r="N1977" s="6" t="s">
        <v>40</v>
      </c>
      <c r="O1977" s="5" t="s">
        <v>5363</v>
      </c>
      <c r="P1977" s="6" t="s">
        <v>42</v>
      </c>
      <c r="Q1977" s="5" t="s">
        <v>1237</v>
      </c>
      <c r="R1977" s="5" t="s">
        <v>12475</v>
      </c>
      <c r="S1977" s="6" t="s">
        <v>208</v>
      </c>
      <c r="T1977" s="6">
        <v>6701.0</v>
      </c>
    </row>
    <row r="1978" ht="56.25" customHeight="1">
      <c r="A1978" s="5" t="s">
        <v>12477</v>
      </c>
      <c r="B1978" s="6" t="str">
        <f>image("https://storage.googleapis.com/acdb/photos/BromideNpcNmlCbr07_Remake_0_0.png")</f>
        <v/>
      </c>
      <c r="C1978" s="5" t="s">
        <v>366</v>
      </c>
      <c r="D1978" s="5" t="s">
        <v>1327</v>
      </c>
      <c r="E1978" s="5" t="s">
        <v>34</v>
      </c>
      <c r="F1978" s="5" t="s">
        <v>34</v>
      </c>
      <c r="G1978" s="5" t="s">
        <v>36</v>
      </c>
      <c r="H1978" s="5" t="s">
        <v>35</v>
      </c>
      <c r="I1978" s="6">
        <v>1.0</v>
      </c>
      <c r="J1978" s="6" t="s">
        <v>37</v>
      </c>
      <c r="K1978" s="6">
        <v>10.0</v>
      </c>
      <c r="L1978" s="5"/>
      <c r="M1978" s="5"/>
      <c r="N1978" s="6" t="s">
        <v>40</v>
      </c>
      <c r="O1978" s="5" t="s">
        <v>5363</v>
      </c>
      <c r="P1978" s="6" t="s">
        <v>42</v>
      </c>
      <c r="Q1978" s="5" t="s">
        <v>1237</v>
      </c>
      <c r="R1978" s="5" t="s">
        <v>12481</v>
      </c>
      <c r="S1978" s="6" t="s">
        <v>50</v>
      </c>
      <c r="T1978" s="6">
        <v>6777.0</v>
      </c>
    </row>
    <row r="1979" ht="56.25" customHeight="1">
      <c r="A1979" s="5" t="s">
        <v>12477</v>
      </c>
      <c r="B1979" s="6" t="str">
        <f>image("https://storage.googleapis.com/acdb/photos/BromideNpcNmlCbr07_Remake_1_0.png")</f>
        <v/>
      </c>
      <c r="C1979" s="5" t="s">
        <v>1132</v>
      </c>
      <c r="D1979" s="5" t="s">
        <v>1327</v>
      </c>
      <c r="E1979" s="5" t="s">
        <v>34</v>
      </c>
      <c r="F1979" s="5" t="s">
        <v>34</v>
      </c>
      <c r="G1979" s="5" t="s">
        <v>36</v>
      </c>
      <c r="H1979" s="5" t="s">
        <v>35</v>
      </c>
      <c r="I1979" s="6">
        <v>1.0</v>
      </c>
      <c r="J1979" s="6" t="s">
        <v>37</v>
      </c>
      <c r="K1979" s="6">
        <v>10.0</v>
      </c>
      <c r="L1979" s="5"/>
      <c r="M1979" s="5"/>
      <c r="N1979" s="6" t="s">
        <v>40</v>
      </c>
      <c r="O1979" s="5" t="s">
        <v>5363</v>
      </c>
      <c r="P1979" s="6" t="s">
        <v>42</v>
      </c>
      <c r="Q1979" s="5" t="s">
        <v>1237</v>
      </c>
      <c r="R1979" s="5" t="s">
        <v>12484</v>
      </c>
      <c r="S1979" s="6" t="s">
        <v>56</v>
      </c>
      <c r="T1979" s="6">
        <v>6777.0</v>
      </c>
    </row>
    <row r="1980" ht="56.25" customHeight="1">
      <c r="A1980" s="5" t="s">
        <v>12477</v>
      </c>
      <c r="B1980" s="6" t="str">
        <f>image("https://storage.googleapis.com/acdb/photos/BromideNpcNmlCbr07_Remake_2_0.png")</f>
        <v/>
      </c>
      <c r="C1980" s="5" t="s">
        <v>688</v>
      </c>
      <c r="D1980" s="5" t="s">
        <v>1327</v>
      </c>
      <c r="E1980" s="5" t="s">
        <v>34</v>
      </c>
      <c r="F1980" s="5" t="s">
        <v>34</v>
      </c>
      <c r="G1980" s="5" t="s">
        <v>36</v>
      </c>
      <c r="H1980" s="5" t="s">
        <v>35</v>
      </c>
      <c r="I1980" s="6">
        <v>1.0</v>
      </c>
      <c r="J1980" s="6" t="s">
        <v>37</v>
      </c>
      <c r="K1980" s="6">
        <v>10.0</v>
      </c>
      <c r="L1980" s="5"/>
      <c r="M1980" s="5"/>
      <c r="N1980" s="6" t="s">
        <v>40</v>
      </c>
      <c r="O1980" s="5" t="s">
        <v>5363</v>
      </c>
      <c r="P1980" s="6" t="s">
        <v>42</v>
      </c>
      <c r="Q1980" s="5" t="s">
        <v>1237</v>
      </c>
      <c r="R1980" s="5" t="s">
        <v>12486</v>
      </c>
      <c r="S1980" s="6" t="s">
        <v>67</v>
      </c>
      <c r="T1980" s="6">
        <v>6777.0</v>
      </c>
    </row>
    <row r="1981" ht="56.25" customHeight="1">
      <c r="A1981" s="5" t="s">
        <v>12477</v>
      </c>
      <c r="B1981" s="6" t="str">
        <f>image("https://storage.googleapis.com/acdb/photos/BromideNpcNmlCbr07_Remake_3_0.png")</f>
        <v/>
      </c>
      <c r="C1981" s="5" t="s">
        <v>57</v>
      </c>
      <c r="D1981" s="5" t="s">
        <v>1327</v>
      </c>
      <c r="E1981" s="5" t="s">
        <v>34</v>
      </c>
      <c r="F1981" s="5" t="s">
        <v>34</v>
      </c>
      <c r="G1981" s="5" t="s">
        <v>36</v>
      </c>
      <c r="H1981" s="5" t="s">
        <v>35</v>
      </c>
      <c r="I1981" s="6">
        <v>1.0</v>
      </c>
      <c r="J1981" s="6" t="s">
        <v>37</v>
      </c>
      <c r="K1981" s="6">
        <v>10.0</v>
      </c>
      <c r="L1981" s="5"/>
      <c r="M1981" s="5"/>
      <c r="N1981" s="6" t="s">
        <v>40</v>
      </c>
      <c r="O1981" s="5" t="s">
        <v>5363</v>
      </c>
      <c r="P1981" s="6" t="s">
        <v>42</v>
      </c>
      <c r="Q1981" s="5" t="s">
        <v>1237</v>
      </c>
      <c r="R1981" s="5" t="s">
        <v>12488</v>
      </c>
      <c r="S1981" s="6" t="s">
        <v>71</v>
      </c>
      <c r="T1981" s="6">
        <v>6777.0</v>
      </c>
    </row>
    <row r="1982" ht="56.25" customHeight="1">
      <c r="A1982" s="5" t="s">
        <v>12477</v>
      </c>
      <c r="B1982" s="6" t="str">
        <f>image("https://storage.googleapis.com/acdb/photos/BromideNpcNmlCbr07_Remake_4_0.png")</f>
        <v/>
      </c>
      <c r="C1982" s="5" t="s">
        <v>1167</v>
      </c>
      <c r="D1982" s="5" t="s">
        <v>1327</v>
      </c>
      <c r="E1982" s="5" t="s">
        <v>34</v>
      </c>
      <c r="F1982" s="5" t="s">
        <v>34</v>
      </c>
      <c r="G1982" s="5" t="s">
        <v>36</v>
      </c>
      <c r="H1982" s="5" t="s">
        <v>35</v>
      </c>
      <c r="I1982" s="6">
        <v>1.0</v>
      </c>
      <c r="J1982" s="6" t="s">
        <v>37</v>
      </c>
      <c r="K1982" s="6">
        <v>10.0</v>
      </c>
      <c r="L1982" s="5"/>
      <c r="M1982" s="5"/>
      <c r="N1982" s="6" t="s">
        <v>40</v>
      </c>
      <c r="O1982" s="5" t="s">
        <v>5363</v>
      </c>
      <c r="P1982" s="6" t="s">
        <v>42</v>
      </c>
      <c r="Q1982" s="5" t="s">
        <v>1237</v>
      </c>
      <c r="R1982" s="5" t="s">
        <v>12491</v>
      </c>
      <c r="S1982" s="6" t="s">
        <v>75</v>
      </c>
      <c r="T1982" s="6">
        <v>6777.0</v>
      </c>
    </row>
    <row r="1983" ht="56.25" customHeight="1">
      <c r="A1983" s="5" t="s">
        <v>12477</v>
      </c>
      <c r="B1983" s="6" t="str">
        <f>image("https://storage.googleapis.com/acdb/photos/BromideNpcNmlCbr07_Remake_5_0.png")</f>
        <v/>
      </c>
      <c r="C1983" s="5" t="s">
        <v>58</v>
      </c>
      <c r="D1983" s="5" t="s">
        <v>1327</v>
      </c>
      <c r="E1983" s="5" t="s">
        <v>34</v>
      </c>
      <c r="F1983" s="5" t="s">
        <v>34</v>
      </c>
      <c r="G1983" s="5" t="s">
        <v>36</v>
      </c>
      <c r="H1983" s="5" t="s">
        <v>35</v>
      </c>
      <c r="I1983" s="6">
        <v>1.0</v>
      </c>
      <c r="J1983" s="6" t="s">
        <v>37</v>
      </c>
      <c r="K1983" s="6">
        <v>10.0</v>
      </c>
      <c r="L1983" s="5"/>
      <c r="M1983" s="5"/>
      <c r="N1983" s="6" t="s">
        <v>40</v>
      </c>
      <c r="O1983" s="5" t="s">
        <v>5363</v>
      </c>
      <c r="P1983" s="6" t="s">
        <v>42</v>
      </c>
      <c r="Q1983" s="5" t="s">
        <v>1237</v>
      </c>
      <c r="R1983" s="5" t="s">
        <v>12494</v>
      </c>
      <c r="S1983" s="6" t="s">
        <v>79</v>
      </c>
      <c r="T1983" s="6">
        <v>6777.0</v>
      </c>
    </row>
    <row r="1984" ht="56.25" customHeight="1">
      <c r="A1984" s="5" t="s">
        <v>12477</v>
      </c>
      <c r="B1984" s="6" t="str">
        <f>image("https://storage.googleapis.com/acdb/photos/BromideNpcNmlCbr07_Remake_6_0.png")</f>
        <v/>
      </c>
      <c r="C1984" s="5" t="s">
        <v>146</v>
      </c>
      <c r="D1984" s="5" t="s">
        <v>1327</v>
      </c>
      <c r="E1984" s="5" t="s">
        <v>34</v>
      </c>
      <c r="F1984" s="5" t="s">
        <v>34</v>
      </c>
      <c r="G1984" s="5" t="s">
        <v>36</v>
      </c>
      <c r="H1984" s="5" t="s">
        <v>35</v>
      </c>
      <c r="I1984" s="6">
        <v>1.0</v>
      </c>
      <c r="J1984" s="6" t="s">
        <v>37</v>
      </c>
      <c r="K1984" s="6">
        <v>10.0</v>
      </c>
      <c r="L1984" s="5"/>
      <c r="M1984" s="5"/>
      <c r="N1984" s="6" t="s">
        <v>40</v>
      </c>
      <c r="O1984" s="5" t="s">
        <v>5363</v>
      </c>
      <c r="P1984" s="6" t="s">
        <v>42</v>
      </c>
      <c r="Q1984" s="5" t="s">
        <v>1237</v>
      </c>
      <c r="R1984" s="5" t="s">
        <v>12496</v>
      </c>
      <c r="S1984" s="6" t="s">
        <v>86</v>
      </c>
      <c r="T1984" s="6">
        <v>6777.0</v>
      </c>
    </row>
    <row r="1985" ht="56.25" customHeight="1">
      <c r="A1985" s="5" t="s">
        <v>12477</v>
      </c>
      <c r="B1985" s="6" t="str">
        <f>image("https://storage.googleapis.com/acdb/photos/BromideNpcNmlCbr07_Remake_7_0.png")</f>
        <v/>
      </c>
      <c r="C1985" s="5" t="s">
        <v>151</v>
      </c>
      <c r="D1985" s="5" t="s">
        <v>1327</v>
      </c>
      <c r="E1985" s="5" t="s">
        <v>34</v>
      </c>
      <c r="F1985" s="5" t="s">
        <v>34</v>
      </c>
      <c r="G1985" s="5" t="s">
        <v>36</v>
      </c>
      <c r="H1985" s="5" t="s">
        <v>35</v>
      </c>
      <c r="I1985" s="6">
        <v>1.0</v>
      </c>
      <c r="J1985" s="6" t="s">
        <v>37</v>
      </c>
      <c r="K1985" s="6">
        <v>10.0</v>
      </c>
      <c r="L1985" s="5"/>
      <c r="M1985" s="5"/>
      <c r="N1985" s="6" t="s">
        <v>40</v>
      </c>
      <c r="O1985" s="5" t="s">
        <v>5363</v>
      </c>
      <c r="P1985" s="6" t="s">
        <v>42</v>
      </c>
      <c r="Q1985" s="5" t="s">
        <v>1237</v>
      </c>
      <c r="R1985" s="5" t="s">
        <v>12498</v>
      </c>
      <c r="S1985" s="6" t="s">
        <v>208</v>
      </c>
      <c r="T1985" s="6">
        <v>6777.0</v>
      </c>
    </row>
    <row r="1986" ht="56.25" customHeight="1">
      <c r="A1986" s="5" t="s">
        <v>12499</v>
      </c>
      <c r="B1986" s="6" t="str">
        <f>image("https://storage.googleapis.com/acdb/photos/BromideNpcNmlGoa01_Remake_0_0.png")</f>
        <v/>
      </c>
      <c r="C1986" s="5" t="s">
        <v>366</v>
      </c>
      <c r="D1986" s="5" t="s">
        <v>1327</v>
      </c>
      <c r="E1986" s="5" t="s">
        <v>34</v>
      </c>
      <c r="F1986" s="5" t="s">
        <v>34</v>
      </c>
      <c r="G1986" s="5" t="s">
        <v>36</v>
      </c>
      <c r="H1986" s="5" t="s">
        <v>35</v>
      </c>
      <c r="I1986" s="6">
        <v>1.0</v>
      </c>
      <c r="J1986" s="6" t="s">
        <v>37</v>
      </c>
      <c r="K1986" s="6">
        <v>10.0</v>
      </c>
      <c r="L1986" s="5"/>
      <c r="M1986" s="5"/>
      <c r="N1986" s="6" t="s">
        <v>40</v>
      </c>
      <c r="O1986" s="5" t="s">
        <v>5363</v>
      </c>
      <c r="P1986" s="6" t="s">
        <v>42</v>
      </c>
      <c r="Q1986" s="5" t="s">
        <v>1237</v>
      </c>
      <c r="R1986" s="5" t="s">
        <v>12501</v>
      </c>
      <c r="S1986" s="6" t="s">
        <v>50</v>
      </c>
      <c r="T1986" s="6">
        <v>6505.0</v>
      </c>
    </row>
    <row r="1987" ht="56.25" customHeight="1">
      <c r="A1987" s="5" t="s">
        <v>12499</v>
      </c>
      <c r="B1987" s="6" t="str">
        <f>image("https://storage.googleapis.com/acdb/photos/BromideNpcNmlGoa01_Remake_1_0.png")</f>
        <v/>
      </c>
      <c r="C1987" s="5" t="s">
        <v>1132</v>
      </c>
      <c r="D1987" s="5" t="s">
        <v>1327</v>
      </c>
      <c r="E1987" s="5" t="s">
        <v>34</v>
      </c>
      <c r="F1987" s="5" t="s">
        <v>34</v>
      </c>
      <c r="G1987" s="5" t="s">
        <v>36</v>
      </c>
      <c r="H1987" s="5" t="s">
        <v>35</v>
      </c>
      <c r="I1987" s="6">
        <v>1.0</v>
      </c>
      <c r="J1987" s="6" t="s">
        <v>37</v>
      </c>
      <c r="K1987" s="6">
        <v>10.0</v>
      </c>
      <c r="L1987" s="5"/>
      <c r="M1987" s="5"/>
      <c r="N1987" s="6" t="s">
        <v>40</v>
      </c>
      <c r="O1987" s="5" t="s">
        <v>5363</v>
      </c>
      <c r="P1987" s="6" t="s">
        <v>42</v>
      </c>
      <c r="Q1987" s="5" t="s">
        <v>1237</v>
      </c>
      <c r="R1987" s="5" t="s">
        <v>12506</v>
      </c>
      <c r="S1987" s="6" t="s">
        <v>56</v>
      </c>
      <c r="T1987" s="6">
        <v>6505.0</v>
      </c>
    </row>
    <row r="1988" ht="56.25" customHeight="1">
      <c r="A1988" s="5" t="s">
        <v>12499</v>
      </c>
      <c r="B1988" s="6" t="str">
        <f>image("https://storage.googleapis.com/acdb/photos/BromideNpcNmlGoa01_Remake_2_0.png")</f>
        <v/>
      </c>
      <c r="C1988" s="5" t="s">
        <v>688</v>
      </c>
      <c r="D1988" s="5" t="s">
        <v>1327</v>
      </c>
      <c r="E1988" s="5" t="s">
        <v>34</v>
      </c>
      <c r="F1988" s="5" t="s">
        <v>34</v>
      </c>
      <c r="G1988" s="5" t="s">
        <v>36</v>
      </c>
      <c r="H1988" s="5" t="s">
        <v>35</v>
      </c>
      <c r="I1988" s="6">
        <v>1.0</v>
      </c>
      <c r="J1988" s="6" t="s">
        <v>37</v>
      </c>
      <c r="K1988" s="6">
        <v>10.0</v>
      </c>
      <c r="L1988" s="5"/>
      <c r="M1988" s="5"/>
      <c r="N1988" s="6" t="s">
        <v>40</v>
      </c>
      <c r="O1988" s="5" t="s">
        <v>5363</v>
      </c>
      <c r="P1988" s="6" t="s">
        <v>42</v>
      </c>
      <c r="Q1988" s="5" t="s">
        <v>1237</v>
      </c>
      <c r="R1988" s="5" t="s">
        <v>12511</v>
      </c>
      <c r="S1988" s="6" t="s">
        <v>67</v>
      </c>
      <c r="T1988" s="6">
        <v>6505.0</v>
      </c>
    </row>
    <row r="1989" ht="56.25" customHeight="1">
      <c r="A1989" s="5" t="s">
        <v>12499</v>
      </c>
      <c r="B1989" s="6" t="str">
        <f>image("https://storage.googleapis.com/acdb/photos/BromideNpcNmlGoa01_Remake_3_0.png")</f>
        <v/>
      </c>
      <c r="C1989" s="5" t="s">
        <v>57</v>
      </c>
      <c r="D1989" s="5" t="s">
        <v>1327</v>
      </c>
      <c r="E1989" s="5" t="s">
        <v>34</v>
      </c>
      <c r="F1989" s="5" t="s">
        <v>34</v>
      </c>
      <c r="G1989" s="5" t="s">
        <v>36</v>
      </c>
      <c r="H1989" s="5" t="s">
        <v>35</v>
      </c>
      <c r="I1989" s="6">
        <v>1.0</v>
      </c>
      <c r="J1989" s="6" t="s">
        <v>37</v>
      </c>
      <c r="K1989" s="6">
        <v>10.0</v>
      </c>
      <c r="L1989" s="5"/>
      <c r="M1989" s="5"/>
      <c r="N1989" s="6" t="s">
        <v>40</v>
      </c>
      <c r="O1989" s="5" t="s">
        <v>5363</v>
      </c>
      <c r="P1989" s="6" t="s">
        <v>42</v>
      </c>
      <c r="Q1989" s="5" t="s">
        <v>1237</v>
      </c>
      <c r="R1989" s="5" t="s">
        <v>12514</v>
      </c>
      <c r="S1989" s="6" t="s">
        <v>71</v>
      </c>
      <c r="T1989" s="6">
        <v>6505.0</v>
      </c>
    </row>
    <row r="1990" ht="56.25" customHeight="1">
      <c r="A1990" s="5" t="s">
        <v>12499</v>
      </c>
      <c r="B1990" s="6" t="str">
        <f>image("https://storage.googleapis.com/acdb/photos/BromideNpcNmlGoa01_Remake_4_0.png")</f>
        <v/>
      </c>
      <c r="C1990" s="5" t="s">
        <v>1167</v>
      </c>
      <c r="D1990" s="5" t="s">
        <v>1327</v>
      </c>
      <c r="E1990" s="5" t="s">
        <v>34</v>
      </c>
      <c r="F1990" s="5" t="s">
        <v>34</v>
      </c>
      <c r="G1990" s="5" t="s">
        <v>36</v>
      </c>
      <c r="H1990" s="5" t="s">
        <v>35</v>
      </c>
      <c r="I1990" s="6">
        <v>1.0</v>
      </c>
      <c r="J1990" s="6" t="s">
        <v>37</v>
      </c>
      <c r="K1990" s="6">
        <v>10.0</v>
      </c>
      <c r="L1990" s="5"/>
      <c r="M1990" s="5"/>
      <c r="N1990" s="6" t="s">
        <v>40</v>
      </c>
      <c r="O1990" s="5" t="s">
        <v>5363</v>
      </c>
      <c r="P1990" s="6" t="s">
        <v>42</v>
      </c>
      <c r="Q1990" s="5" t="s">
        <v>1237</v>
      </c>
      <c r="R1990" s="5" t="s">
        <v>12516</v>
      </c>
      <c r="S1990" s="6" t="s">
        <v>75</v>
      </c>
      <c r="T1990" s="6">
        <v>6505.0</v>
      </c>
    </row>
    <row r="1991" ht="56.25" customHeight="1">
      <c r="A1991" s="5" t="s">
        <v>12499</v>
      </c>
      <c r="B1991" s="6" t="str">
        <f>image("https://storage.googleapis.com/acdb/photos/BromideNpcNmlGoa01_Remake_5_0.png")</f>
        <v/>
      </c>
      <c r="C1991" s="5" t="s">
        <v>58</v>
      </c>
      <c r="D1991" s="5" t="s">
        <v>1327</v>
      </c>
      <c r="E1991" s="5" t="s">
        <v>34</v>
      </c>
      <c r="F1991" s="5" t="s">
        <v>34</v>
      </c>
      <c r="G1991" s="5" t="s">
        <v>36</v>
      </c>
      <c r="H1991" s="5" t="s">
        <v>35</v>
      </c>
      <c r="I1991" s="6">
        <v>1.0</v>
      </c>
      <c r="J1991" s="6" t="s">
        <v>37</v>
      </c>
      <c r="K1991" s="6">
        <v>10.0</v>
      </c>
      <c r="L1991" s="5"/>
      <c r="M1991" s="5"/>
      <c r="N1991" s="6" t="s">
        <v>40</v>
      </c>
      <c r="O1991" s="5" t="s">
        <v>5363</v>
      </c>
      <c r="P1991" s="6" t="s">
        <v>42</v>
      </c>
      <c r="Q1991" s="5" t="s">
        <v>1237</v>
      </c>
      <c r="R1991" s="5" t="s">
        <v>12519</v>
      </c>
      <c r="S1991" s="6" t="s">
        <v>79</v>
      </c>
      <c r="T1991" s="6">
        <v>6505.0</v>
      </c>
    </row>
    <row r="1992" ht="56.25" customHeight="1">
      <c r="A1992" s="5" t="s">
        <v>12499</v>
      </c>
      <c r="B1992" s="6" t="str">
        <f>image("https://storage.googleapis.com/acdb/photos/BromideNpcNmlGoa01_Remake_6_0.png")</f>
        <v/>
      </c>
      <c r="C1992" s="5" t="s">
        <v>146</v>
      </c>
      <c r="D1992" s="5" t="s">
        <v>1327</v>
      </c>
      <c r="E1992" s="5" t="s">
        <v>34</v>
      </c>
      <c r="F1992" s="5" t="s">
        <v>34</v>
      </c>
      <c r="G1992" s="5" t="s">
        <v>36</v>
      </c>
      <c r="H1992" s="5" t="s">
        <v>35</v>
      </c>
      <c r="I1992" s="6">
        <v>1.0</v>
      </c>
      <c r="J1992" s="6" t="s">
        <v>37</v>
      </c>
      <c r="K1992" s="6">
        <v>10.0</v>
      </c>
      <c r="L1992" s="5"/>
      <c r="M1992" s="5"/>
      <c r="N1992" s="6" t="s">
        <v>40</v>
      </c>
      <c r="O1992" s="5" t="s">
        <v>5363</v>
      </c>
      <c r="P1992" s="6" t="s">
        <v>42</v>
      </c>
      <c r="Q1992" s="5" t="s">
        <v>1237</v>
      </c>
      <c r="R1992" s="5" t="s">
        <v>12522</v>
      </c>
      <c r="S1992" s="6" t="s">
        <v>86</v>
      </c>
      <c r="T1992" s="6">
        <v>6505.0</v>
      </c>
    </row>
    <row r="1993" ht="56.25" customHeight="1">
      <c r="A1993" s="5" t="s">
        <v>12499</v>
      </c>
      <c r="B1993" s="6" t="str">
        <f>image("https://storage.googleapis.com/acdb/photos/BromideNpcNmlGoa01_Remake_7_0.png")</f>
        <v/>
      </c>
      <c r="C1993" s="5" t="s">
        <v>151</v>
      </c>
      <c r="D1993" s="5" t="s">
        <v>1327</v>
      </c>
      <c r="E1993" s="5" t="s">
        <v>34</v>
      </c>
      <c r="F1993" s="5" t="s">
        <v>34</v>
      </c>
      <c r="G1993" s="5" t="s">
        <v>36</v>
      </c>
      <c r="H1993" s="5" t="s">
        <v>35</v>
      </c>
      <c r="I1993" s="6">
        <v>1.0</v>
      </c>
      <c r="J1993" s="6" t="s">
        <v>37</v>
      </c>
      <c r="K1993" s="6">
        <v>10.0</v>
      </c>
      <c r="L1993" s="5"/>
      <c r="M1993" s="5"/>
      <c r="N1993" s="6" t="s">
        <v>40</v>
      </c>
      <c r="O1993" s="5" t="s">
        <v>5363</v>
      </c>
      <c r="P1993" s="6" t="s">
        <v>42</v>
      </c>
      <c r="Q1993" s="5" t="s">
        <v>1237</v>
      </c>
      <c r="R1993" s="5" t="s">
        <v>12525</v>
      </c>
      <c r="S1993" s="6" t="s">
        <v>208</v>
      </c>
      <c r="T1993" s="6">
        <v>6505.0</v>
      </c>
    </row>
    <row r="1994" ht="56.25" customHeight="1">
      <c r="A1994" s="5" t="s">
        <v>12526</v>
      </c>
      <c r="B1994" s="6" t="str">
        <f>image("https://storage.googleapis.com/acdb/photos/BromideNpcNmlMnk01_Remake_0_0.png")</f>
        <v/>
      </c>
      <c r="C1994" s="5" t="s">
        <v>366</v>
      </c>
      <c r="D1994" s="5" t="s">
        <v>1327</v>
      </c>
      <c r="E1994" s="5" t="s">
        <v>34</v>
      </c>
      <c r="F1994" s="5" t="s">
        <v>34</v>
      </c>
      <c r="G1994" s="5" t="s">
        <v>36</v>
      </c>
      <c r="H1994" s="5" t="s">
        <v>35</v>
      </c>
      <c r="I1994" s="6">
        <v>1.0</v>
      </c>
      <c r="J1994" s="6" t="s">
        <v>37</v>
      </c>
      <c r="K1994" s="6">
        <v>10.0</v>
      </c>
      <c r="L1994" s="5"/>
      <c r="M1994" s="5"/>
      <c r="N1994" s="6" t="s">
        <v>40</v>
      </c>
      <c r="O1994" s="5" t="s">
        <v>5363</v>
      </c>
      <c r="P1994" s="6" t="s">
        <v>42</v>
      </c>
      <c r="Q1994" s="5" t="s">
        <v>1237</v>
      </c>
      <c r="R1994" s="5" t="s">
        <v>12528</v>
      </c>
      <c r="S1994" s="6" t="s">
        <v>50</v>
      </c>
      <c r="T1994" s="6">
        <v>6580.0</v>
      </c>
    </row>
    <row r="1995" ht="56.25" customHeight="1">
      <c r="A1995" s="5" t="s">
        <v>12526</v>
      </c>
      <c r="B1995" s="6" t="str">
        <f>image("https://storage.googleapis.com/acdb/photos/BromideNpcNmlMnk01_Remake_1_0.png")</f>
        <v/>
      </c>
      <c r="C1995" s="5" t="s">
        <v>1132</v>
      </c>
      <c r="D1995" s="5" t="s">
        <v>1327</v>
      </c>
      <c r="E1995" s="5" t="s">
        <v>34</v>
      </c>
      <c r="F1995" s="5" t="s">
        <v>34</v>
      </c>
      <c r="G1995" s="5" t="s">
        <v>36</v>
      </c>
      <c r="H1995" s="5" t="s">
        <v>35</v>
      </c>
      <c r="I1995" s="6">
        <v>1.0</v>
      </c>
      <c r="J1995" s="6" t="s">
        <v>37</v>
      </c>
      <c r="K1995" s="6">
        <v>10.0</v>
      </c>
      <c r="L1995" s="5"/>
      <c r="M1995" s="5"/>
      <c r="N1995" s="6" t="s">
        <v>40</v>
      </c>
      <c r="O1995" s="5" t="s">
        <v>5363</v>
      </c>
      <c r="P1995" s="6" t="s">
        <v>42</v>
      </c>
      <c r="Q1995" s="5" t="s">
        <v>1237</v>
      </c>
      <c r="R1995" s="5" t="s">
        <v>12530</v>
      </c>
      <c r="S1995" s="6" t="s">
        <v>56</v>
      </c>
      <c r="T1995" s="6">
        <v>6580.0</v>
      </c>
    </row>
    <row r="1996" ht="56.25" customHeight="1">
      <c r="A1996" s="5" t="s">
        <v>12526</v>
      </c>
      <c r="B1996" s="6" t="str">
        <f>image("https://storage.googleapis.com/acdb/photos/BromideNpcNmlMnk01_Remake_2_0.png")</f>
        <v/>
      </c>
      <c r="C1996" s="5" t="s">
        <v>688</v>
      </c>
      <c r="D1996" s="5" t="s">
        <v>1327</v>
      </c>
      <c r="E1996" s="5" t="s">
        <v>34</v>
      </c>
      <c r="F1996" s="5" t="s">
        <v>34</v>
      </c>
      <c r="G1996" s="5" t="s">
        <v>36</v>
      </c>
      <c r="H1996" s="5" t="s">
        <v>35</v>
      </c>
      <c r="I1996" s="6">
        <v>1.0</v>
      </c>
      <c r="J1996" s="6" t="s">
        <v>37</v>
      </c>
      <c r="K1996" s="6">
        <v>10.0</v>
      </c>
      <c r="L1996" s="5"/>
      <c r="M1996" s="5"/>
      <c r="N1996" s="6" t="s">
        <v>40</v>
      </c>
      <c r="O1996" s="5" t="s">
        <v>5363</v>
      </c>
      <c r="P1996" s="6" t="s">
        <v>42</v>
      </c>
      <c r="Q1996" s="5" t="s">
        <v>1237</v>
      </c>
      <c r="R1996" s="5" t="s">
        <v>12533</v>
      </c>
      <c r="S1996" s="6" t="s">
        <v>67</v>
      </c>
      <c r="T1996" s="6">
        <v>6580.0</v>
      </c>
    </row>
    <row r="1997" ht="56.25" customHeight="1">
      <c r="A1997" s="5" t="s">
        <v>12526</v>
      </c>
      <c r="B1997" s="6" t="str">
        <f>image("https://storage.googleapis.com/acdb/photos/BromideNpcNmlMnk01_Remake_3_0.png")</f>
        <v/>
      </c>
      <c r="C1997" s="5" t="s">
        <v>57</v>
      </c>
      <c r="D1997" s="5" t="s">
        <v>1327</v>
      </c>
      <c r="E1997" s="5" t="s">
        <v>34</v>
      </c>
      <c r="F1997" s="5" t="s">
        <v>34</v>
      </c>
      <c r="G1997" s="5" t="s">
        <v>36</v>
      </c>
      <c r="H1997" s="5" t="s">
        <v>35</v>
      </c>
      <c r="I1997" s="6">
        <v>1.0</v>
      </c>
      <c r="J1997" s="6" t="s">
        <v>37</v>
      </c>
      <c r="K1997" s="6">
        <v>10.0</v>
      </c>
      <c r="L1997" s="5"/>
      <c r="M1997" s="5"/>
      <c r="N1997" s="6" t="s">
        <v>40</v>
      </c>
      <c r="O1997" s="5" t="s">
        <v>5363</v>
      </c>
      <c r="P1997" s="6" t="s">
        <v>42</v>
      </c>
      <c r="Q1997" s="5" t="s">
        <v>1237</v>
      </c>
      <c r="R1997" s="5" t="s">
        <v>12534</v>
      </c>
      <c r="S1997" s="6" t="s">
        <v>71</v>
      </c>
      <c r="T1997" s="6">
        <v>6580.0</v>
      </c>
    </row>
    <row r="1998" ht="56.25" customHeight="1">
      <c r="A1998" s="5" t="s">
        <v>12526</v>
      </c>
      <c r="B1998" s="6" t="str">
        <f>image("https://storage.googleapis.com/acdb/photos/BromideNpcNmlMnk01_Remake_4_0.png")</f>
        <v/>
      </c>
      <c r="C1998" s="5" t="s">
        <v>1167</v>
      </c>
      <c r="D1998" s="5" t="s">
        <v>1327</v>
      </c>
      <c r="E1998" s="5" t="s">
        <v>34</v>
      </c>
      <c r="F1998" s="5" t="s">
        <v>34</v>
      </c>
      <c r="G1998" s="5" t="s">
        <v>36</v>
      </c>
      <c r="H1998" s="5" t="s">
        <v>35</v>
      </c>
      <c r="I1998" s="6">
        <v>1.0</v>
      </c>
      <c r="J1998" s="6" t="s">
        <v>37</v>
      </c>
      <c r="K1998" s="6">
        <v>10.0</v>
      </c>
      <c r="L1998" s="5"/>
      <c r="M1998" s="5"/>
      <c r="N1998" s="6" t="s">
        <v>40</v>
      </c>
      <c r="O1998" s="5" t="s">
        <v>5363</v>
      </c>
      <c r="P1998" s="6" t="s">
        <v>42</v>
      </c>
      <c r="Q1998" s="5" t="s">
        <v>1237</v>
      </c>
      <c r="R1998" s="5" t="s">
        <v>12537</v>
      </c>
      <c r="S1998" s="6" t="s">
        <v>75</v>
      </c>
      <c r="T1998" s="6">
        <v>6580.0</v>
      </c>
    </row>
    <row r="1999" ht="56.25" customHeight="1">
      <c r="A1999" s="5" t="s">
        <v>12526</v>
      </c>
      <c r="B1999" s="6" t="str">
        <f>image("https://storage.googleapis.com/acdb/photos/BromideNpcNmlMnk01_Remake_5_0.png")</f>
        <v/>
      </c>
      <c r="C1999" s="5" t="s">
        <v>58</v>
      </c>
      <c r="D1999" s="5" t="s">
        <v>1327</v>
      </c>
      <c r="E1999" s="5" t="s">
        <v>34</v>
      </c>
      <c r="F1999" s="5" t="s">
        <v>34</v>
      </c>
      <c r="G1999" s="5" t="s">
        <v>36</v>
      </c>
      <c r="H1999" s="5" t="s">
        <v>35</v>
      </c>
      <c r="I1999" s="6">
        <v>1.0</v>
      </c>
      <c r="J1999" s="6" t="s">
        <v>37</v>
      </c>
      <c r="K1999" s="6">
        <v>10.0</v>
      </c>
      <c r="L1999" s="5"/>
      <c r="M1999" s="5"/>
      <c r="N1999" s="6" t="s">
        <v>40</v>
      </c>
      <c r="O1999" s="5" t="s">
        <v>5363</v>
      </c>
      <c r="P1999" s="6" t="s">
        <v>42</v>
      </c>
      <c r="Q1999" s="5" t="s">
        <v>1237</v>
      </c>
      <c r="R1999" s="5" t="s">
        <v>12541</v>
      </c>
      <c r="S1999" s="6" t="s">
        <v>79</v>
      </c>
      <c r="T1999" s="6">
        <v>6580.0</v>
      </c>
    </row>
    <row r="2000" ht="56.25" customHeight="1">
      <c r="A2000" s="5" t="s">
        <v>12526</v>
      </c>
      <c r="B2000" s="6" t="str">
        <f>image("https://storage.googleapis.com/acdb/photos/BromideNpcNmlMnk01_Remake_6_0.png")</f>
        <v/>
      </c>
      <c r="C2000" s="5" t="s">
        <v>146</v>
      </c>
      <c r="D2000" s="5" t="s">
        <v>1327</v>
      </c>
      <c r="E2000" s="5" t="s">
        <v>34</v>
      </c>
      <c r="F2000" s="5" t="s">
        <v>34</v>
      </c>
      <c r="G2000" s="5" t="s">
        <v>36</v>
      </c>
      <c r="H2000" s="5" t="s">
        <v>35</v>
      </c>
      <c r="I2000" s="6">
        <v>1.0</v>
      </c>
      <c r="J2000" s="6" t="s">
        <v>37</v>
      </c>
      <c r="K2000" s="6">
        <v>10.0</v>
      </c>
      <c r="L2000" s="5"/>
      <c r="M2000" s="5"/>
      <c r="N2000" s="6" t="s">
        <v>40</v>
      </c>
      <c r="O2000" s="5" t="s">
        <v>5363</v>
      </c>
      <c r="P2000" s="6" t="s">
        <v>42</v>
      </c>
      <c r="Q2000" s="5" t="s">
        <v>1237</v>
      </c>
      <c r="R2000" s="5" t="s">
        <v>12544</v>
      </c>
      <c r="S2000" s="6" t="s">
        <v>86</v>
      </c>
      <c r="T2000" s="6">
        <v>6580.0</v>
      </c>
    </row>
    <row r="2001" ht="56.25" customHeight="1">
      <c r="A2001" s="5" t="s">
        <v>12526</v>
      </c>
      <c r="B2001" s="6" t="str">
        <f>image("https://storage.googleapis.com/acdb/photos/BromideNpcNmlMnk01_Remake_7_0.png")</f>
        <v/>
      </c>
      <c r="C2001" s="5" t="s">
        <v>151</v>
      </c>
      <c r="D2001" s="5" t="s">
        <v>1327</v>
      </c>
      <c r="E2001" s="5" t="s">
        <v>34</v>
      </c>
      <c r="F2001" s="5" t="s">
        <v>34</v>
      </c>
      <c r="G2001" s="5" t="s">
        <v>36</v>
      </c>
      <c r="H2001" s="5" t="s">
        <v>35</v>
      </c>
      <c r="I2001" s="6">
        <v>1.0</v>
      </c>
      <c r="J2001" s="6" t="s">
        <v>37</v>
      </c>
      <c r="K2001" s="6">
        <v>10.0</v>
      </c>
      <c r="L2001" s="5"/>
      <c r="M2001" s="5"/>
      <c r="N2001" s="6" t="s">
        <v>40</v>
      </c>
      <c r="O2001" s="5" t="s">
        <v>5363</v>
      </c>
      <c r="P2001" s="6" t="s">
        <v>42</v>
      </c>
      <c r="Q2001" s="5" t="s">
        <v>1237</v>
      </c>
      <c r="R2001" s="5" t="s">
        <v>12548</v>
      </c>
      <c r="S2001" s="6" t="s">
        <v>208</v>
      </c>
      <c r="T2001" s="6">
        <v>6580.0</v>
      </c>
    </row>
    <row r="2002" ht="56.25" customHeight="1">
      <c r="A2002" s="5" t="s">
        <v>12549</v>
      </c>
      <c r="B2002" s="6" t="str">
        <f>image("https://storage.googleapis.com/acdb/photos/BromideNpcNmlCow07_Remake_0_0.png")</f>
        <v/>
      </c>
      <c r="C2002" s="5" t="s">
        <v>366</v>
      </c>
      <c r="D2002" s="5" t="s">
        <v>1327</v>
      </c>
      <c r="E2002" s="5" t="s">
        <v>34</v>
      </c>
      <c r="F2002" s="5" t="s">
        <v>34</v>
      </c>
      <c r="G2002" s="5" t="s">
        <v>36</v>
      </c>
      <c r="H2002" s="5" t="s">
        <v>35</v>
      </c>
      <c r="I2002" s="6">
        <v>1.0</v>
      </c>
      <c r="J2002" s="6" t="s">
        <v>37</v>
      </c>
      <c r="K2002" s="6">
        <v>10.0</v>
      </c>
      <c r="L2002" s="5"/>
      <c r="M2002" s="5"/>
      <c r="N2002" s="6" t="s">
        <v>40</v>
      </c>
      <c r="O2002" s="5" t="s">
        <v>5363</v>
      </c>
      <c r="P2002" s="6" t="s">
        <v>42</v>
      </c>
      <c r="Q2002" s="5" t="s">
        <v>1237</v>
      </c>
      <c r="R2002" s="5" t="s">
        <v>12552</v>
      </c>
      <c r="S2002" s="6" t="s">
        <v>50</v>
      </c>
      <c r="T2002" s="6">
        <v>6799.0</v>
      </c>
    </row>
    <row r="2003" ht="56.25" customHeight="1">
      <c r="A2003" s="5" t="s">
        <v>12549</v>
      </c>
      <c r="B2003" s="6" t="str">
        <f>image("https://storage.googleapis.com/acdb/photos/BromideNpcNmlCow07_Remake_1_0.png")</f>
        <v/>
      </c>
      <c r="C2003" s="5" t="s">
        <v>1132</v>
      </c>
      <c r="D2003" s="5" t="s">
        <v>1327</v>
      </c>
      <c r="E2003" s="5" t="s">
        <v>34</v>
      </c>
      <c r="F2003" s="5" t="s">
        <v>34</v>
      </c>
      <c r="G2003" s="5" t="s">
        <v>36</v>
      </c>
      <c r="H2003" s="5" t="s">
        <v>35</v>
      </c>
      <c r="I2003" s="6">
        <v>1.0</v>
      </c>
      <c r="J2003" s="6" t="s">
        <v>37</v>
      </c>
      <c r="K2003" s="6">
        <v>10.0</v>
      </c>
      <c r="L2003" s="5"/>
      <c r="M2003" s="5"/>
      <c r="N2003" s="6" t="s">
        <v>40</v>
      </c>
      <c r="O2003" s="5" t="s">
        <v>5363</v>
      </c>
      <c r="P2003" s="6" t="s">
        <v>42</v>
      </c>
      <c r="Q2003" s="5" t="s">
        <v>1237</v>
      </c>
      <c r="R2003" s="5" t="s">
        <v>12554</v>
      </c>
      <c r="S2003" s="6" t="s">
        <v>56</v>
      </c>
      <c r="T2003" s="6">
        <v>6799.0</v>
      </c>
    </row>
    <row r="2004" ht="56.25" customHeight="1">
      <c r="A2004" s="5" t="s">
        <v>12549</v>
      </c>
      <c r="B2004" s="6" t="str">
        <f>image("https://storage.googleapis.com/acdb/photos/BromideNpcNmlCow07_Remake_2_0.png")</f>
        <v/>
      </c>
      <c r="C2004" s="5" t="s">
        <v>688</v>
      </c>
      <c r="D2004" s="5" t="s">
        <v>1327</v>
      </c>
      <c r="E2004" s="5" t="s">
        <v>34</v>
      </c>
      <c r="F2004" s="5" t="s">
        <v>34</v>
      </c>
      <c r="G2004" s="5" t="s">
        <v>36</v>
      </c>
      <c r="H2004" s="5" t="s">
        <v>35</v>
      </c>
      <c r="I2004" s="6">
        <v>1.0</v>
      </c>
      <c r="J2004" s="6" t="s">
        <v>37</v>
      </c>
      <c r="K2004" s="6">
        <v>10.0</v>
      </c>
      <c r="L2004" s="5"/>
      <c r="M2004" s="5"/>
      <c r="N2004" s="6" t="s">
        <v>40</v>
      </c>
      <c r="O2004" s="5" t="s">
        <v>5363</v>
      </c>
      <c r="P2004" s="6" t="s">
        <v>42</v>
      </c>
      <c r="Q2004" s="5" t="s">
        <v>1237</v>
      </c>
      <c r="R2004" s="5" t="s">
        <v>12557</v>
      </c>
      <c r="S2004" s="6" t="s">
        <v>67</v>
      </c>
      <c r="T2004" s="6">
        <v>6799.0</v>
      </c>
    </row>
    <row r="2005" ht="56.25" customHeight="1">
      <c r="A2005" s="5" t="s">
        <v>12549</v>
      </c>
      <c r="B2005" s="6" t="str">
        <f>image("https://storage.googleapis.com/acdb/photos/BromideNpcNmlCow07_Remake_3_0.png")</f>
        <v/>
      </c>
      <c r="C2005" s="5" t="s">
        <v>57</v>
      </c>
      <c r="D2005" s="5" t="s">
        <v>1327</v>
      </c>
      <c r="E2005" s="5" t="s">
        <v>34</v>
      </c>
      <c r="F2005" s="5" t="s">
        <v>34</v>
      </c>
      <c r="G2005" s="5" t="s">
        <v>36</v>
      </c>
      <c r="H2005" s="5" t="s">
        <v>35</v>
      </c>
      <c r="I2005" s="6">
        <v>1.0</v>
      </c>
      <c r="J2005" s="6" t="s">
        <v>37</v>
      </c>
      <c r="K2005" s="6">
        <v>10.0</v>
      </c>
      <c r="L2005" s="5"/>
      <c r="M2005" s="5"/>
      <c r="N2005" s="6" t="s">
        <v>40</v>
      </c>
      <c r="O2005" s="5" t="s">
        <v>5363</v>
      </c>
      <c r="P2005" s="6" t="s">
        <v>42</v>
      </c>
      <c r="Q2005" s="5" t="s">
        <v>1237</v>
      </c>
      <c r="R2005" s="5" t="s">
        <v>12559</v>
      </c>
      <c r="S2005" s="6" t="s">
        <v>71</v>
      </c>
      <c r="T2005" s="6">
        <v>6799.0</v>
      </c>
    </row>
    <row r="2006" ht="56.25" customHeight="1">
      <c r="A2006" s="5" t="s">
        <v>12549</v>
      </c>
      <c r="B2006" s="6" t="str">
        <f>image("https://storage.googleapis.com/acdb/photos/BromideNpcNmlCow07_Remake_4_0.png")</f>
        <v/>
      </c>
      <c r="C2006" s="5" t="s">
        <v>1167</v>
      </c>
      <c r="D2006" s="5" t="s">
        <v>1327</v>
      </c>
      <c r="E2006" s="5" t="s">
        <v>34</v>
      </c>
      <c r="F2006" s="5" t="s">
        <v>34</v>
      </c>
      <c r="G2006" s="5" t="s">
        <v>36</v>
      </c>
      <c r="H2006" s="5" t="s">
        <v>35</v>
      </c>
      <c r="I2006" s="6">
        <v>1.0</v>
      </c>
      <c r="J2006" s="6" t="s">
        <v>37</v>
      </c>
      <c r="K2006" s="6">
        <v>10.0</v>
      </c>
      <c r="L2006" s="5"/>
      <c r="M2006" s="5"/>
      <c r="N2006" s="6" t="s">
        <v>40</v>
      </c>
      <c r="O2006" s="5" t="s">
        <v>5363</v>
      </c>
      <c r="P2006" s="6" t="s">
        <v>42</v>
      </c>
      <c r="Q2006" s="5" t="s">
        <v>1237</v>
      </c>
      <c r="R2006" s="5" t="s">
        <v>12561</v>
      </c>
      <c r="S2006" s="6" t="s">
        <v>75</v>
      </c>
      <c r="T2006" s="6">
        <v>6799.0</v>
      </c>
    </row>
    <row r="2007" ht="56.25" customHeight="1">
      <c r="A2007" s="5" t="s">
        <v>12549</v>
      </c>
      <c r="B2007" s="6" t="str">
        <f>image("https://storage.googleapis.com/acdb/photos/BromideNpcNmlCow07_Remake_5_0.png")</f>
        <v/>
      </c>
      <c r="C2007" s="5" t="s">
        <v>58</v>
      </c>
      <c r="D2007" s="5" t="s">
        <v>1327</v>
      </c>
      <c r="E2007" s="5" t="s">
        <v>34</v>
      </c>
      <c r="F2007" s="5" t="s">
        <v>34</v>
      </c>
      <c r="G2007" s="5" t="s">
        <v>36</v>
      </c>
      <c r="H2007" s="5" t="s">
        <v>35</v>
      </c>
      <c r="I2007" s="6">
        <v>1.0</v>
      </c>
      <c r="J2007" s="6" t="s">
        <v>37</v>
      </c>
      <c r="K2007" s="6">
        <v>10.0</v>
      </c>
      <c r="L2007" s="5"/>
      <c r="M2007" s="5"/>
      <c r="N2007" s="6" t="s">
        <v>40</v>
      </c>
      <c r="O2007" s="5" t="s">
        <v>5363</v>
      </c>
      <c r="P2007" s="6" t="s">
        <v>42</v>
      </c>
      <c r="Q2007" s="5" t="s">
        <v>1237</v>
      </c>
      <c r="R2007" s="5" t="s">
        <v>12565</v>
      </c>
      <c r="S2007" s="6" t="s">
        <v>79</v>
      </c>
      <c r="T2007" s="6">
        <v>6799.0</v>
      </c>
    </row>
    <row r="2008" ht="56.25" customHeight="1">
      <c r="A2008" s="5" t="s">
        <v>12549</v>
      </c>
      <c r="B2008" s="6" t="str">
        <f>image("https://storage.googleapis.com/acdb/photos/BromideNpcNmlCow07_Remake_6_0.png")</f>
        <v/>
      </c>
      <c r="C2008" s="5" t="s">
        <v>146</v>
      </c>
      <c r="D2008" s="5" t="s">
        <v>1327</v>
      </c>
      <c r="E2008" s="5" t="s">
        <v>34</v>
      </c>
      <c r="F2008" s="5" t="s">
        <v>34</v>
      </c>
      <c r="G2008" s="5" t="s">
        <v>36</v>
      </c>
      <c r="H2008" s="5" t="s">
        <v>35</v>
      </c>
      <c r="I2008" s="6">
        <v>1.0</v>
      </c>
      <c r="J2008" s="6" t="s">
        <v>37</v>
      </c>
      <c r="K2008" s="6">
        <v>10.0</v>
      </c>
      <c r="L2008" s="5"/>
      <c r="M2008" s="5"/>
      <c r="N2008" s="6" t="s">
        <v>40</v>
      </c>
      <c r="O2008" s="5" t="s">
        <v>5363</v>
      </c>
      <c r="P2008" s="6" t="s">
        <v>42</v>
      </c>
      <c r="Q2008" s="5" t="s">
        <v>1237</v>
      </c>
      <c r="R2008" s="5" t="s">
        <v>12567</v>
      </c>
      <c r="S2008" s="6" t="s">
        <v>86</v>
      </c>
      <c r="T2008" s="6">
        <v>6799.0</v>
      </c>
    </row>
    <row r="2009" ht="56.25" customHeight="1">
      <c r="A2009" s="5" t="s">
        <v>12549</v>
      </c>
      <c r="B2009" s="6" t="str">
        <f>image("https://storage.googleapis.com/acdb/photos/BromideNpcNmlCow07_Remake_7_0.png")</f>
        <v/>
      </c>
      <c r="C2009" s="5" t="s">
        <v>151</v>
      </c>
      <c r="D2009" s="5" t="s">
        <v>1327</v>
      </c>
      <c r="E2009" s="5" t="s">
        <v>34</v>
      </c>
      <c r="F2009" s="5" t="s">
        <v>34</v>
      </c>
      <c r="G2009" s="5" t="s">
        <v>36</v>
      </c>
      <c r="H2009" s="5" t="s">
        <v>35</v>
      </c>
      <c r="I2009" s="6">
        <v>1.0</v>
      </c>
      <c r="J2009" s="6" t="s">
        <v>37</v>
      </c>
      <c r="K2009" s="6">
        <v>10.0</v>
      </c>
      <c r="L2009" s="5"/>
      <c r="M2009" s="5"/>
      <c r="N2009" s="6" t="s">
        <v>40</v>
      </c>
      <c r="O2009" s="5" t="s">
        <v>5363</v>
      </c>
      <c r="P2009" s="6" t="s">
        <v>42</v>
      </c>
      <c r="Q2009" s="5" t="s">
        <v>1237</v>
      </c>
      <c r="R2009" s="5" t="s">
        <v>12570</v>
      </c>
      <c r="S2009" s="6" t="s">
        <v>208</v>
      </c>
      <c r="T2009" s="6">
        <v>6799.0</v>
      </c>
    </row>
    <row r="2010" ht="56.25" customHeight="1">
      <c r="A2010" s="5" t="s">
        <v>12571</v>
      </c>
      <c r="B2010" s="6" t="str">
        <f>image("https://storage.googleapis.com/acdb/photos/BromideNpcNmlBea05_Remake_0_0.png")</f>
        <v/>
      </c>
      <c r="C2010" s="5" t="s">
        <v>366</v>
      </c>
      <c r="D2010" s="5" t="s">
        <v>1327</v>
      </c>
      <c r="E2010" s="5" t="s">
        <v>34</v>
      </c>
      <c r="F2010" s="5" t="s">
        <v>34</v>
      </c>
      <c r="G2010" s="5" t="s">
        <v>36</v>
      </c>
      <c r="H2010" s="5" t="s">
        <v>35</v>
      </c>
      <c r="I2010" s="6">
        <v>1.0</v>
      </c>
      <c r="J2010" s="6" t="s">
        <v>37</v>
      </c>
      <c r="K2010" s="6">
        <v>10.0</v>
      </c>
      <c r="L2010" s="5"/>
      <c r="M2010" s="5"/>
      <c r="N2010" s="6" t="s">
        <v>40</v>
      </c>
      <c r="O2010" s="5" t="s">
        <v>5363</v>
      </c>
      <c r="P2010" s="6" t="s">
        <v>42</v>
      </c>
      <c r="Q2010" s="5" t="s">
        <v>1237</v>
      </c>
      <c r="R2010" s="5" t="s">
        <v>12573</v>
      </c>
      <c r="S2010" s="6" t="s">
        <v>50</v>
      </c>
      <c r="T2010" s="6">
        <v>6449.0</v>
      </c>
    </row>
    <row r="2011" ht="56.25" customHeight="1">
      <c r="A2011" s="5" t="s">
        <v>12571</v>
      </c>
      <c r="B2011" s="6" t="str">
        <f>image("https://storage.googleapis.com/acdb/photos/BromideNpcNmlBea05_Remake_1_0.png")</f>
        <v/>
      </c>
      <c r="C2011" s="5" t="s">
        <v>1132</v>
      </c>
      <c r="D2011" s="5" t="s">
        <v>1327</v>
      </c>
      <c r="E2011" s="5" t="s">
        <v>34</v>
      </c>
      <c r="F2011" s="5" t="s">
        <v>34</v>
      </c>
      <c r="G2011" s="5" t="s">
        <v>36</v>
      </c>
      <c r="H2011" s="5" t="s">
        <v>35</v>
      </c>
      <c r="I2011" s="6">
        <v>1.0</v>
      </c>
      <c r="J2011" s="6" t="s">
        <v>37</v>
      </c>
      <c r="K2011" s="6">
        <v>10.0</v>
      </c>
      <c r="L2011" s="5"/>
      <c r="M2011" s="5"/>
      <c r="N2011" s="6" t="s">
        <v>40</v>
      </c>
      <c r="O2011" s="5" t="s">
        <v>5363</v>
      </c>
      <c r="P2011" s="6" t="s">
        <v>42</v>
      </c>
      <c r="Q2011" s="5" t="s">
        <v>1237</v>
      </c>
      <c r="R2011" s="5" t="s">
        <v>12576</v>
      </c>
      <c r="S2011" s="6" t="s">
        <v>56</v>
      </c>
      <c r="T2011" s="6">
        <v>6449.0</v>
      </c>
    </row>
    <row r="2012" ht="56.25" customHeight="1">
      <c r="A2012" s="5" t="s">
        <v>12571</v>
      </c>
      <c r="B2012" s="6" t="str">
        <f>image("https://storage.googleapis.com/acdb/photos/BromideNpcNmlBea05_Remake_2_0.png")</f>
        <v/>
      </c>
      <c r="C2012" s="5" t="s">
        <v>688</v>
      </c>
      <c r="D2012" s="5" t="s">
        <v>1327</v>
      </c>
      <c r="E2012" s="5" t="s">
        <v>34</v>
      </c>
      <c r="F2012" s="5" t="s">
        <v>34</v>
      </c>
      <c r="G2012" s="5" t="s">
        <v>36</v>
      </c>
      <c r="H2012" s="5" t="s">
        <v>35</v>
      </c>
      <c r="I2012" s="6">
        <v>1.0</v>
      </c>
      <c r="J2012" s="6" t="s">
        <v>37</v>
      </c>
      <c r="K2012" s="6">
        <v>10.0</v>
      </c>
      <c r="L2012" s="5"/>
      <c r="M2012" s="5"/>
      <c r="N2012" s="6" t="s">
        <v>40</v>
      </c>
      <c r="O2012" s="5" t="s">
        <v>5363</v>
      </c>
      <c r="P2012" s="6" t="s">
        <v>42</v>
      </c>
      <c r="Q2012" s="5" t="s">
        <v>1237</v>
      </c>
      <c r="R2012" s="5" t="s">
        <v>12579</v>
      </c>
      <c r="S2012" s="6" t="s">
        <v>67</v>
      </c>
      <c r="T2012" s="6">
        <v>6449.0</v>
      </c>
    </row>
    <row r="2013" ht="56.25" customHeight="1">
      <c r="A2013" s="5" t="s">
        <v>12571</v>
      </c>
      <c r="B2013" s="6" t="str">
        <f>image("https://storage.googleapis.com/acdb/photos/BromideNpcNmlBea05_Remake_3_0.png")</f>
        <v/>
      </c>
      <c r="C2013" s="5" t="s">
        <v>57</v>
      </c>
      <c r="D2013" s="5" t="s">
        <v>1327</v>
      </c>
      <c r="E2013" s="5" t="s">
        <v>34</v>
      </c>
      <c r="F2013" s="5" t="s">
        <v>34</v>
      </c>
      <c r="G2013" s="5" t="s">
        <v>36</v>
      </c>
      <c r="H2013" s="5" t="s">
        <v>35</v>
      </c>
      <c r="I2013" s="6">
        <v>1.0</v>
      </c>
      <c r="J2013" s="6" t="s">
        <v>37</v>
      </c>
      <c r="K2013" s="6">
        <v>10.0</v>
      </c>
      <c r="L2013" s="5"/>
      <c r="M2013" s="5"/>
      <c r="N2013" s="6" t="s">
        <v>40</v>
      </c>
      <c r="O2013" s="5" t="s">
        <v>5363</v>
      </c>
      <c r="P2013" s="6" t="s">
        <v>42</v>
      </c>
      <c r="Q2013" s="5" t="s">
        <v>1237</v>
      </c>
      <c r="R2013" s="5" t="s">
        <v>12581</v>
      </c>
      <c r="S2013" s="6" t="s">
        <v>71</v>
      </c>
      <c r="T2013" s="6">
        <v>6449.0</v>
      </c>
    </row>
    <row r="2014" ht="56.25" customHeight="1">
      <c r="A2014" s="5" t="s">
        <v>12571</v>
      </c>
      <c r="B2014" s="6" t="str">
        <f>image("https://storage.googleapis.com/acdb/photos/BromideNpcNmlBea05_Remake_4_0.png")</f>
        <v/>
      </c>
      <c r="C2014" s="5" t="s">
        <v>1167</v>
      </c>
      <c r="D2014" s="5" t="s">
        <v>1327</v>
      </c>
      <c r="E2014" s="5" t="s">
        <v>34</v>
      </c>
      <c r="F2014" s="5" t="s">
        <v>34</v>
      </c>
      <c r="G2014" s="5" t="s">
        <v>36</v>
      </c>
      <c r="H2014" s="5" t="s">
        <v>35</v>
      </c>
      <c r="I2014" s="6">
        <v>1.0</v>
      </c>
      <c r="J2014" s="6" t="s">
        <v>37</v>
      </c>
      <c r="K2014" s="6">
        <v>10.0</v>
      </c>
      <c r="L2014" s="5"/>
      <c r="M2014" s="5"/>
      <c r="N2014" s="6" t="s">
        <v>40</v>
      </c>
      <c r="O2014" s="5" t="s">
        <v>5363</v>
      </c>
      <c r="P2014" s="6" t="s">
        <v>42</v>
      </c>
      <c r="Q2014" s="5" t="s">
        <v>1237</v>
      </c>
      <c r="R2014" s="5" t="s">
        <v>12584</v>
      </c>
      <c r="S2014" s="6" t="s">
        <v>75</v>
      </c>
      <c r="T2014" s="6">
        <v>6449.0</v>
      </c>
    </row>
    <row r="2015" ht="56.25" customHeight="1">
      <c r="A2015" s="5" t="s">
        <v>12571</v>
      </c>
      <c r="B2015" s="6" t="str">
        <f>image("https://storage.googleapis.com/acdb/photos/BromideNpcNmlBea05_Remake_5_0.png")</f>
        <v/>
      </c>
      <c r="C2015" s="5" t="s">
        <v>58</v>
      </c>
      <c r="D2015" s="5" t="s">
        <v>1327</v>
      </c>
      <c r="E2015" s="5" t="s">
        <v>34</v>
      </c>
      <c r="F2015" s="5" t="s">
        <v>34</v>
      </c>
      <c r="G2015" s="5" t="s">
        <v>36</v>
      </c>
      <c r="H2015" s="5" t="s">
        <v>35</v>
      </c>
      <c r="I2015" s="6">
        <v>1.0</v>
      </c>
      <c r="J2015" s="6" t="s">
        <v>37</v>
      </c>
      <c r="K2015" s="6">
        <v>10.0</v>
      </c>
      <c r="L2015" s="5"/>
      <c r="M2015" s="5"/>
      <c r="N2015" s="6" t="s">
        <v>40</v>
      </c>
      <c r="O2015" s="5" t="s">
        <v>5363</v>
      </c>
      <c r="P2015" s="6" t="s">
        <v>42</v>
      </c>
      <c r="Q2015" s="5" t="s">
        <v>1237</v>
      </c>
      <c r="R2015" s="5" t="s">
        <v>12586</v>
      </c>
      <c r="S2015" s="6" t="s">
        <v>79</v>
      </c>
      <c r="T2015" s="6">
        <v>6449.0</v>
      </c>
    </row>
    <row r="2016" ht="56.25" customHeight="1">
      <c r="A2016" s="5" t="s">
        <v>12571</v>
      </c>
      <c r="B2016" s="6" t="str">
        <f>image("https://storage.googleapis.com/acdb/photos/BromideNpcNmlBea05_Remake_6_0.png")</f>
        <v/>
      </c>
      <c r="C2016" s="5" t="s">
        <v>146</v>
      </c>
      <c r="D2016" s="5" t="s">
        <v>1327</v>
      </c>
      <c r="E2016" s="5" t="s">
        <v>34</v>
      </c>
      <c r="F2016" s="5" t="s">
        <v>34</v>
      </c>
      <c r="G2016" s="5" t="s">
        <v>36</v>
      </c>
      <c r="H2016" s="5" t="s">
        <v>35</v>
      </c>
      <c r="I2016" s="6">
        <v>1.0</v>
      </c>
      <c r="J2016" s="6" t="s">
        <v>37</v>
      </c>
      <c r="K2016" s="6">
        <v>10.0</v>
      </c>
      <c r="L2016" s="5"/>
      <c r="M2016" s="5"/>
      <c r="N2016" s="6" t="s">
        <v>40</v>
      </c>
      <c r="O2016" s="5" t="s">
        <v>5363</v>
      </c>
      <c r="P2016" s="6" t="s">
        <v>42</v>
      </c>
      <c r="Q2016" s="5" t="s">
        <v>1237</v>
      </c>
      <c r="R2016" s="5" t="s">
        <v>12588</v>
      </c>
      <c r="S2016" s="6" t="s">
        <v>86</v>
      </c>
      <c r="T2016" s="6">
        <v>6449.0</v>
      </c>
    </row>
    <row r="2017" ht="56.25" customHeight="1">
      <c r="A2017" s="5" t="s">
        <v>12571</v>
      </c>
      <c r="B2017" s="6" t="str">
        <f>image("https://storage.googleapis.com/acdb/photos/BromideNpcNmlBea05_Remake_7_0.png")</f>
        <v/>
      </c>
      <c r="C2017" s="5" t="s">
        <v>151</v>
      </c>
      <c r="D2017" s="5" t="s">
        <v>1327</v>
      </c>
      <c r="E2017" s="5" t="s">
        <v>34</v>
      </c>
      <c r="F2017" s="5" t="s">
        <v>34</v>
      </c>
      <c r="G2017" s="5" t="s">
        <v>36</v>
      </c>
      <c r="H2017" s="5" t="s">
        <v>35</v>
      </c>
      <c r="I2017" s="6">
        <v>1.0</v>
      </c>
      <c r="J2017" s="6" t="s">
        <v>37</v>
      </c>
      <c r="K2017" s="6">
        <v>10.0</v>
      </c>
      <c r="L2017" s="5"/>
      <c r="M2017" s="5"/>
      <c r="N2017" s="6" t="s">
        <v>40</v>
      </c>
      <c r="O2017" s="5" t="s">
        <v>5363</v>
      </c>
      <c r="P2017" s="6" t="s">
        <v>42</v>
      </c>
      <c r="Q2017" s="5" t="s">
        <v>1237</v>
      </c>
      <c r="R2017" s="5" t="s">
        <v>12591</v>
      </c>
      <c r="S2017" s="6" t="s">
        <v>208</v>
      </c>
      <c r="T2017" s="6">
        <v>6449.0</v>
      </c>
    </row>
    <row r="2018" ht="56.25" customHeight="1">
      <c r="A2018" s="5" t="s">
        <v>12592</v>
      </c>
      <c r="B2018" s="6" t="str">
        <f>image("https://storage.googleapis.com/acdb/photos/BromideNpcNmlSqu04_Remake_0_0.png")</f>
        <v/>
      </c>
      <c r="C2018" s="5" t="s">
        <v>366</v>
      </c>
      <c r="D2018" s="5" t="s">
        <v>1327</v>
      </c>
      <c r="E2018" s="5" t="s">
        <v>34</v>
      </c>
      <c r="F2018" s="5" t="s">
        <v>34</v>
      </c>
      <c r="G2018" s="5" t="s">
        <v>36</v>
      </c>
      <c r="H2018" s="5" t="s">
        <v>35</v>
      </c>
      <c r="I2018" s="6">
        <v>1.0</v>
      </c>
      <c r="J2018" s="6" t="s">
        <v>37</v>
      </c>
      <c r="K2018" s="6">
        <v>10.0</v>
      </c>
      <c r="L2018" s="5"/>
      <c r="M2018" s="5"/>
      <c r="N2018" s="6" t="s">
        <v>40</v>
      </c>
      <c r="O2018" s="5" t="s">
        <v>5363</v>
      </c>
      <c r="P2018" s="6" t="s">
        <v>42</v>
      </c>
      <c r="Q2018" s="5" t="s">
        <v>1237</v>
      </c>
      <c r="R2018" s="5" t="s">
        <v>12596</v>
      </c>
      <c r="S2018" s="6" t="s">
        <v>50</v>
      </c>
      <c r="T2018" s="6">
        <v>6708.0</v>
      </c>
    </row>
    <row r="2019" ht="56.25" customHeight="1">
      <c r="A2019" s="5" t="s">
        <v>12592</v>
      </c>
      <c r="B2019" s="6" t="str">
        <f>image("https://storage.googleapis.com/acdb/photos/BromideNpcNmlSqu04_Remake_1_0.png")</f>
        <v/>
      </c>
      <c r="C2019" s="5" t="s">
        <v>1132</v>
      </c>
      <c r="D2019" s="5" t="s">
        <v>1327</v>
      </c>
      <c r="E2019" s="5" t="s">
        <v>34</v>
      </c>
      <c r="F2019" s="5" t="s">
        <v>34</v>
      </c>
      <c r="G2019" s="5" t="s">
        <v>36</v>
      </c>
      <c r="H2019" s="5" t="s">
        <v>35</v>
      </c>
      <c r="I2019" s="6">
        <v>1.0</v>
      </c>
      <c r="J2019" s="6" t="s">
        <v>37</v>
      </c>
      <c r="K2019" s="6">
        <v>10.0</v>
      </c>
      <c r="L2019" s="5"/>
      <c r="M2019" s="5"/>
      <c r="N2019" s="6" t="s">
        <v>40</v>
      </c>
      <c r="O2019" s="5" t="s">
        <v>5363</v>
      </c>
      <c r="P2019" s="6" t="s">
        <v>42</v>
      </c>
      <c r="Q2019" s="5" t="s">
        <v>1237</v>
      </c>
      <c r="R2019" s="5" t="s">
        <v>12599</v>
      </c>
      <c r="S2019" s="6" t="s">
        <v>56</v>
      </c>
      <c r="T2019" s="6">
        <v>6708.0</v>
      </c>
    </row>
    <row r="2020" ht="56.25" customHeight="1">
      <c r="A2020" s="5" t="s">
        <v>12592</v>
      </c>
      <c r="B2020" s="6" t="str">
        <f>image("https://storage.googleapis.com/acdb/photos/BromideNpcNmlSqu04_Remake_2_0.png")</f>
        <v/>
      </c>
      <c r="C2020" s="5" t="s">
        <v>688</v>
      </c>
      <c r="D2020" s="5" t="s">
        <v>1327</v>
      </c>
      <c r="E2020" s="5" t="s">
        <v>34</v>
      </c>
      <c r="F2020" s="5" t="s">
        <v>34</v>
      </c>
      <c r="G2020" s="5" t="s">
        <v>36</v>
      </c>
      <c r="H2020" s="5" t="s">
        <v>35</v>
      </c>
      <c r="I2020" s="6">
        <v>1.0</v>
      </c>
      <c r="J2020" s="6" t="s">
        <v>37</v>
      </c>
      <c r="K2020" s="6">
        <v>10.0</v>
      </c>
      <c r="L2020" s="5"/>
      <c r="M2020" s="5"/>
      <c r="N2020" s="6" t="s">
        <v>40</v>
      </c>
      <c r="O2020" s="5" t="s">
        <v>5363</v>
      </c>
      <c r="P2020" s="6" t="s">
        <v>42</v>
      </c>
      <c r="Q2020" s="5" t="s">
        <v>1237</v>
      </c>
      <c r="R2020" s="5" t="s">
        <v>12601</v>
      </c>
      <c r="S2020" s="6" t="s">
        <v>67</v>
      </c>
      <c r="T2020" s="6">
        <v>6708.0</v>
      </c>
    </row>
    <row r="2021" ht="56.25" customHeight="1">
      <c r="A2021" s="5" t="s">
        <v>12592</v>
      </c>
      <c r="B2021" s="6" t="str">
        <f>image("https://storage.googleapis.com/acdb/photos/BromideNpcNmlSqu04_Remake_3_0.png")</f>
        <v/>
      </c>
      <c r="C2021" s="5" t="s">
        <v>57</v>
      </c>
      <c r="D2021" s="5" t="s">
        <v>1327</v>
      </c>
      <c r="E2021" s="5" t="s">
        <v>34</v>
      </c>
      <c r="F2021" s="5" t="s">
        <v>34</v>
      </c>
      <c r="G2021" s="5" t="s">
        <v>36</v>
      </c>
      <c r="H2021" s="5" t="s">
        <v>35</v>
      </c>
      <c r="I2021" s="6">
        <v>1.0</v>
      </c>
      <c r="J2021" s="6" t="s">
        <v>37</v>
      </c>
      <c r="K2021" s="6">
        <v>10.0</v>
      </c>
      <c r="L2021" s="5"/>
      <c r="M2021" s="5"/>
      <c r="N2021" s="6" t="s">
        <v>40</v>
      </c>
      <c r="O2021" s="5" t="s">
        <v>5363</v>
      </c>
      <c r="P2021" s="6" t="s">
        <v>42</v>
      </c>
      <c r="Q2021" s="5" t="s">
        <v>1237</v>
      </c>
      <c r="R2021" s="5" t="s">
        <v>12604</v>
      </c>
      <c r="S2021" s="6" t="s">
        <v>71</v>
      </c>
      <c r="T2021" s="6">
        <v>6708.0</v>
      </c>
    </row>
    <row r="2022" ht="56.25" customHeight="1">
      <c r="A2022" s="5" t="s">
        <v>12592</v>
      </c>
      <c r="B2022" s="6" t="str">
        <f>image("https://storage.googleapis.com/acdb/photos/BromideNpcNmlSqu04_Remake_4_0.png")</f>
        <v/>
      </c>
      <c r="C2022" s="5" t="s">
        <v>1167</v>
      </c>
      <c r="D2022" s="5" t="s">
        <v>1327</v>
      </c>
      <c r="E2022" s="5" t="s">
        <v>34</v>
      </c>
      <c r="F2022" s="5" t="s">
        <v>34</v>
      </c>
      <c r="G2022" s="5" t="s">
        <v>36</v>
      </c>
      <c r="H2022" s="5" t="s">
        <v>35</v>
      </c>
      <c r="I2022" s="6">
        <v>1.0</v>
      </c>
      <c r="J2022" s="6" t="s">
        <v>37</v>
      </c>
      <c r="K2022" s="6">
        <v>10.0</v>
      </c>
      <c r="L2022" s="5"/>
      <c r="M2022" s="5"/>
      <c r="N2022" s="6" t="s">
        <v>40</v>
      </c>
      <c r="O2022" s="5" t="s">
        <v>5363</v>
      </c>
      <c r="P2022" s="6" t="s">
        <v>42</v>
      </c>
      <c r="Q2022" s="5" t="s">
        <v>1237</v>
      </c>
      <c r="R2022" s="5" t="s">
        <v>12607</v>
      </c>
      <c r="S2022" s="6" t="s">
        <v>75</v>
      </c>
      <c r="T2022" s="6">
        <v>6708.0</v>
      </c>
    </row>
    <row r="2023" ht="56.25" customHeight="1">
      <c r="A2023" s="5" t="s">
        <v>12592</v>
      </c>
      <c r="B2023" s="6" t="str">
        <f>image("https://storage.googleapis.com/acdb/photos/BromideNpcNmlSqu04_Remake_5_0.png")</f>
        <v/>
      </c>
      <c r="C2023" s="5" t="s">
        <v>58</v>
      </c>
      <c r="D2023" s="5" t="s">
        <v>1327</v>
      </c>
      <c r="E2023" s="5" t="s">
        <v>34</v>
      </c>
      <c r="F2023" s="5" t="s">
        <v>34</v>
      </c>
      <c r="G2023" s="5" t="s">
        <v>36</v>
      </c>
      <c r="H2023" s="5" t="s">
        <v>35</v>
      </c>
      <c r="I2023" s="6">
        <v>1.0</v>
      </c>
      <c r="J2023" s="6" t="s">
        <v>37</v>
      </c>
      <c r="K2023" s="6">
        <v>10.0</v>
      </c>
      <c r="L2023" s="5"/>
      <c r="M2023" s="5"/>
      <c r="N2023" s="6" t="s">
        <v>40</v>
      </c>
      <c r="O2023" s="5" t="s">
        <v>5363</v>
      </c>
      <c r="P2023" s="6" t="s">
        <v>42</v>
      </c>
      <c r="Q2023" s="5" t="s">
        <v>1237</v>
      </c>
      <c r="R2023" s="5" t="s">
        <v>12608</v>
      </c>
      <c r="S2023" s="6" t="s">
        <v>79</v>
      </c>
      <c r="T2023" s="6">
        <v>6708.0</v>
      </c>
    </row>
    <row r="2024" ht="56.25" customHeight="1">
      <c r="A2024" s="5" t="s">
        <v>12592</v>
      </c>
      <c r="B2024" s="6" t="str">
        <f>image("https://storage.googleapis.com/acdb/photos/BromideNpcNmlSqu04_Remake_6_0.png")</f>
        <v/>
      </c>
      <c r="C2024" s="5" t="s">
        <v>146</v>
      </c>
      <c r="D2024" s="5" t="s">
        <v>1327</v>
      </c>
      <c r="E2024" s="5" t="s">
        <v>34</v>
      </c>
      <c r="F2024" s="5" t="s">
        <v>34</v>
      </c>
      <c r="G2024" s="5" t="s">
        <v>36</v>
      </c>
      <c r="H2024" s="5" t="s">
        <v>35</v>
      </c>
      <c r="I2024" s="6">
        <v>1.0</v>
      </c>
      <c r="J2024" s="6" t="s">
        <v>37</v>
      </c>
      <c r="K2024" s="6">
        <v>10.0</v>
      </c>
      <c r="L2024" s="5"/>
      <c r="M2024" s="5"/>
      <c r="N2024" s="6" t="s">
        <v>40</v>
      </c>
      <c r="O2024" s="5" t="s">
        <v>5363</v>
      </c>
      <c r="P2024" s="6" t="s">
        <v>42</v>
      </c>
      <c r="Q2024" s="5" t="s">
        <v>1237</v>
      </c>
      <c r="R2024" s="5" t="s">
        <v>12611</v>
      </c>
      <c r="S2024" s="6" t="s">
        <v>86</v>
      </c>
      <c r="T2024" s="6">
        <v>6708.0</v>
      </c>
    </row>
    <row r="2025" ht="56.25" customHeight="1">
      <c r="A2025" s="5" t="s">
        <v>12592</v>
      </c>
      <c r="B2025" s="6" t="str">
        <f>image("https://storage.googleapis.com/acdb/photos/BromideNpcNmlSqu04_Remake_7_0.png")</f>
        <v/>
      </c>
      <c r="C2025" s="5" t="s">
        <v>151</v>
      </c>
      <c r="D2025" s="5" t="s">
        <v>1327</v>
      </c>
      <c r="E2025" s="5" t="s">
        <v>34</v>
      </c>
      <c r="F2025" s="5" t="s">
        <v>34</v>
      </c>
      <c r="G2025" s="5" t="s">
        <v>36</v>
      </c>
      <c r="H2025" s="5" t="s">
        <v>35</v>
      </c>
      <c r="I2025" s="6">
        <v>1.0</v>
      </c>
      <c r="J2025" s="6" t="s">
        <v>37</v>
      </c>
      <c r="K2025" s="6">
        <v>10.0</v>
      </c>
      <c r="L2025" s="5"/>
      <c r="M2025" s="5"/>
      <c r="N2025" s="6" t="s">
        <v>40</v>
      </c>
      <c r="O2025" s="5" t="s">
        <v>5363</v>
      </c>
      <c r="P2025" s="6" t="s">
        <v>42</v>
      </c>
      <c r="Q2025" s="5" t="s">
        <v>1237</v>
      </c>
      <c r="R2025" s="5" t="s">
        <v>12613</v>
      </c>
      <c r="S2025" s="6" t="s">
        <v>208</v>
      </c>
      <c r="T2025" s="6">
        <v>6708.0</v>
      </c>
    </row>
    <row r="2026" ht="56.25" customHeight="1">
      <c r="A2026" s="5" t="s">
        <v>12614</v>
      </c>
      <c r="B2026" s="6" t="str">
        <f>image("https://storage.googleapis.com/acdb/photos/BromideNpcNmlCow06_Remake_0_0.png")</f>
        <v/>
      </c>
      <c r="C2026" s="5" t="s">
        <v>366</v>
      </c>
      <c r="D2026" s="5" t="s">
        <v>1327</v>
      </c>
      <c r="E2026" s="5" t="s">
        <v>34</v>
      </c>
      <c r="F2026" s="5" t="s">
        <v>34</v>
      </c>
      <c r="G2026" s="5" t="s">
        <v>36</v>
      </c>
      <c r="H2026" s="5" t="s">
        <v>35</v>
      </c>
      <c r="I2026" s="6">
        <v>1.0</v>
      </c>
      <c r="J2026" s="6" t="s">
        <v>37</v>
      </c>
      <c r="K2026" s="6">
        <v>10.0</v>
      </c>
      <c r="L2026" s="5"/>
      <c r="M2026" s="5"/>
      <c r="N2026" s="6" t="s">
        <v>40</v>
      </c>
      <c r="O2026" s="5" t="s">
        <v>5363</v>
      </c>
      <c r="P2026" s="6" t="s">
        <v>42</v>
      </c>
      <c r="Q2026" s="5" t="s">
        <v>1237</v>
      </c>
      <c r="R2026" s="5" t="s">
        <v>12616</v>
      </c>
      <c r="S2026" s="6" t="s">
        <v>50</v>
      </c>
      <c r="T2026" s="6">
        <v>6797.0</v>
      </c>
    </row>
    <row r="2027" ht="56.25" customHeight="1">
      <c r="A2027" s="5" t="s">
        <v>12614</v>
      </c>
      <c r="B2027" s="6" t="str">
        <f>image("https://storage.googleapis.com/acdb/photos/BromideNpcNmlCow06_Remake_1_0.png")</f>
        <v/>
      </c>
      <c r="C2027" s="5" t="s">
        <v>1132</v>
      </c>
      <c r="D2027" s="5" t="s">
        <v>1327</v>
      </c>
      <c r="E2027" s="5" t="s">
        <v>34</v>
      </c>
      <c r="F2027" s="5" t="s">
        <v>34</v>
      </c>
      <c r="G2027" s="5" t="s">
        <v>36</v>
      </c>
      <c r="H2027" s="5" t="s">
        <v>35</v>
      </c>
      <c r="I2027" s="6">
        <v>1.0</v>
      </c>
      <c r="J2027" s="6" t="s">
        <v>37</v>
      </c>
      <c r="K2027" s="6">
        <v>10.0</v>
      </c>
      <c r="L2027" s="5"/>
      <c r="M2027" s="5"/>
      <c r="N2027" s="6" t="s">
        <v>40</v>
      </c>
      <c r="O2027" s="5" t="s">
        <v>5363</v>
      </c>
      <c r="P2027" s="6" t="s">
        <v>42</v>
      </c>
      <c r="Q2027" s="5" t="s">
        <v>1237</v>
      </c>
      <c r="R2027" s="5" t="s">
        <v>12619</v>
      </c>
      <c r="S2027" s="6" t="s">
        <v>56</v>
      </c>
      <c r="T2027" s="6">
        <v>6797.0</v>
      </c>
    </row>
    <row r="2028" ht="56.25" customHeight="1">
      <c r="A2028" s="5" t="s">
        <v>12614</v>
      </c>
      <c r="B2028" s="6" t="str">
        <f>image("https://storage.googleapis.com/acdb/photos/BromideNpcNmlCow06_Remake_2_0.png")</f>
        <v/>
      </c>
      <c r="C2028" s="5" t="s">
        <v>688</v>
      </c>
      <c r="D2028" s="5" t="s">
        <v>1327</v>
      </c>
      <c r="E2028" s="5" t="s">
        <v>34</v>
      </c>
      <c r="F2028" s="5" t="s">
        <v>34</v>
      </c>
      <c r="G2028" s="5" t="s">
        <v>36</v>
      </c>
      <c r="H2028" s="5" t="s">
        <v>35</v>
      </c>
      <c r="I2028" s="6">
        <v>1.0</v>
      </c>
      <c r="J2028" s="6" t="s">
        <v>37</v>
      </c>
      <c r="K2028" s="6">
        <v>10.0</v>
      </c>
      <c r="L2028" s="5"/>
      <c r="M2028" s="5"/>
      <c r="N2028" s="6" t="s">
        <v>40</v>
      </c>
      <c r="O2028" s="5" t="s">
        <v>5363</v>
      </c>
      <c r="P2028" s="6" t="s">
        <v>42</v>
      </c>
      <c r="Q2028" s="5" t="s">
        <v>1237</v>
      </c>
      <c r="R2028" s="5" t="s">
        <v>12624</v>
      </c>
      <c r="S2028" s="6" t="s">
        <v>67</v>
      </c>
      <c r="T2028" s="6">
        <v>6797.0</v>
      </c>
    </row>
    <row r="2029" ht="56.25" customHeight="1">
      <c r="A2029" s="5" t="s">
        <v>12614</v>
      </c>
      <c r="B2029" s="6" t="str">
        <f>image("https://storage.googleapis.com/acdb/photos/BromideNpcNmlCow06_Remake_3_0.png")</f>
        <v/>
      </c>
      <c r="C2029" s="5" t="s">
        <v>57</v>
      </c>
      <c r="D2029" s="5" t="s">
        <v>1327</v>
      </c>
      <c r="E2029" s="5" t="s">
        <v>34</v>
      </c>
      <c r="F2029" s="5" t="s">
        <v>34</v>
      </c>
      <c r="G2029" s="5" t="s">
        <v>36</v>
      </c>
      <c r="H2029" s="5" t="s">
        <v>35</v>
      </c>
      <c r="I2029" s="6">
        <v>1.0</v>
      </c>
      <c r="J2029" s="6" t="s">
        <v>37</v>
      </c>
      <c r="K2029" s="6">
        <v>10.0</v>
      </c>
      <c r="L2029" s="5"/>
      <c r="M2029" s="5"/>
      <c r="N2029" s="6" t="s">
        <v>40</v>
      </c>
      <c r="O2029" s="5" t="s">
        <v>5363</v>
      </c>
      <c r="P2029" s="6" t="s">
        <v>42</v>
      </c>
      <c r="Q2029" s="5" t="s">
        <v>1237</v>
      </c>
      <c r="R2029" s="5" t="s">
        <v>12626</v>
      </c>
      <c r="S2029" s="6" t="s">
        <v>71</v>
      </c>
      <c r="T2029" s="6">
        <v>6797.0</v>
      </c>
    </row>
    <row r="2030" ht="56.25" customHeight="1">
      <c r="A2030" s="5" t="s">
        <v>12614</v>
      </c>
      <c r="B2030" s="6" t="str">
        <f>image("https://storage.googleapis.com/acdb/photos/BromideNpcNmlCow06_Remake_4_0.png")</f>
        <v/>
      </c>
      <c r="C2030" s="5" t="s">
        <v>1167</v>
      </c>
      <c r="D2030" s="5" t="s">
        <v>1327</v>
      </c>
      <c r="E2030" s="5" t="s">
        <v>34</v>
      </c>
      <c r="F2030" s="5" t="s">
        <v>34</v>
      </c>
      <c r="G2030" s="5" t="s">
        <v>36</v>
      </c>
      <c r="H2030" s="5" t="s">
        <v>35</v>
      </c>
      <c r="I2030" s="6">
        <v>1.0</v>
      </c>
      <c r="J2030" s="6" t="s">
        <v>37</v>
      </c>
      <c r="K2030" s="6">
        <v>10.0</v>
      </c>
      <c r="L2030" s="5"/>
      <c r="M2030" s="5"/>
      <c r="N2030" s="6" t="s">
        <v>40</v>
      </c>
      <c r="O2030" s="5" t="s">
        <v>5363</v>
      </c>
      <c r="P2030" s="6" t="s">
        <v>42</v>
      </c>
      <c r="Q2030" s="5" t="s">
        <v>1237</v>
      </c>
      <c r="R2030" s="5" t="s">
        <v>12629</v>
      </c>
      <c r="S2030" s="6" t="s">
        <v>75</v>
      </c>
      <c r="T2030" s="6">
        <v>6797.0</v>
      </c>
    </row>
    <row r="2031" ht="56.25" customHeight="1">
      <c r="A2031" s="5" t="s">
        <v>12614</v>
      </c>
      <c r="B2031" s="6" t="str">
        <f>image("https://storage.googleapis.com/acdb/photos/BromideNpcNmlCow06_Remake_5_0.png")</f>
        <v/>
      </c>
      <c r="C2031" s="5" t="s">
        <v>58</v>
      </c>
      <c r="D2031" s="5" t="s">
        <v>1327</v>
      </c>
      <c r="E2031" s="5" t="s">
        <v>34</v>
      </c>
      <c r="F2031" s="5" t="s">
        <v>34</v>
      </c>
      <c r="G2031" s="5" t="s">
        <v>36</v>
      </c>
      <c r="H2031" s="5" t="s">
        <v>35</v>
      </c>
      <c r="I2031" s="6">
        <v>1.0</v>
      </c>
      <c r="J2031" s="6" t="s">
        <v>37</v>
      </c>
      <c r="K2031" s="6">
        <v>10.0</v>
      </c>
      <c r="L2031" s="5"/>
      <c r="M2031" s="5"/>
      <c r="N2031" s="6" t="s">
        <v>40</v>
      </c>
      <c r="O2031" s="5" t="s">
        <v>5363</v>
      </c>
      <c r="P2031" s="6" t="s">
        <v>42</v>
      </c>
      <c r="Q2031" s="5" t="s">
        <v>1237</v>
      </c>
      <c r="R2031" s="5" t="s">
        <v>12631</v>
      </c>
      <c r="S2031" s="6" t="s">
        <v>79</v>
      </c>
      <c r="T2031" s="6">
        <v>6797.0</v>
      </c>
    </row>
    <row r="2032" ht="56.25" customHeight="1">
      <c r="A2032" s="5" t="s">
        <v>12614</v>
      </c>
      <c r="B2032" s="6" t="str">
        <f>image("https://storage.googleapis.com/acdb/photos/BromideNpcNmlCow06_Remake_6_0.png")</f>
        <v/>
      </c>
      <c r="C2032" s="5" t="s">
        <v>146</v>
      </c>
      <c r="D2032" s="5" t="s">
        <v>1327</v>
      </c>
      <c r="E2032" s="5" t="s">
        <v>34</v>
      </c>
      <c r="F2032" s="5" t="s">
        <v>34</v>
      </c>
      <c r="G2032" s="5" t="s">
        <v>36</v>
      </c>
      <c r="H2032" s="5" t="s">
        <v>35</v>
      </c>
      <c r="I2032" s="6">
        <v>1.0</v>
      </c>
      <c r="J2032" s="6" t="s">
        <v>37</v>
      </c>
      <c r="K2032" s="6">
        <v>10.0</v>
      </c>
      <c r="L2032" s="5"/>
      <c r="M2032" s="5"/>
      <c r="N2032" s="6" t="s">
        <v>40</v>
      </c>
      <c r="O2032" s="5" t="s">
        <v>5363</v>
      </c>
      <c r="P2032" s="6" t="s">
        <v>42</v>
      </c>
      <c r="Q2032" s="5" t="s">
        <v>1237</v>
      </c>
      <c r="R2032" s="5" t="s">
        <v>12634</v>
      </c>
      <c r="S2032" s="6" t="s">
        <v>86</v>
      </c>
      <c r="T2032" s="6">
        <v>6797.0</v>
      </c>
    </row>
    <row r="2033" ht="56.25" customHeight="1">
      <c r="A2033" s="5" t="s">
        <v>12614</v>
      </c>
      <c r="B2033" s="6" t="str">
        <f>image("https://storage.googleapis.com/acdb/photos/BromideNpcNmlCow06_Remake_7_0.png")</f>
        <v/>
      </c>
      <c r="C2033" s="5" t="s">
        <v>151</v>
      </c>
      <c r="D2033" s="5" t="s">
        <v>1327</v>
      </c>
      <c r="E2033" s="5" t="s">
        <v>34</v>
      </c>
      <c r="F2033" s="5" t="s">
        <v>34</v>
      </c>
      <c r="G2033" s="5" t="s">
        <v>36</v>
      </c>
      <c r="H2033" s="5" t="s">
        <v>35</v>
      </c>
      <c r="I2033" s="6">
        <v>1.0</v>
      </c>
      <c r="J2033" s="6" t="s">
        <v>37</v>
      </c>
      <c r="K2033" s="6">
        <v>10.0</v>
      </c>
      <c r="L2033" s="5"/>
      <c r="M2033" s="5"/>
      <c r="N2033" s="6" t="s">
        <v>40</v>
      </c>
      <c r="O2033" s="5" t="s">
        <v>5363</v>
      </c>
      <c r="P2033" s="6" t="s">
        <v>42</v>
      </c>
      <c r="Q2033" s="5" t="s">
        <v>1237</v>
      </c>
      <c r="R2033" s="5" t="s">
        <v>12636</v>
      </c>
      <c r="S2033" s="6" t="s">
        <v>208</v>
      </c>
      <c r="T2033" s="6">
        <v>6797.0</v>
      </c>
    </row>
    <row r="2034" ht="56.25" customHeight="1">
      <c r="A2034" s="5" t="s">
        <v>12638</v>
      </c>
      <c r="B2034" s="6" t="str">
        <f>image("https://storage.googleapis.com/acdb/photos/BromideNpcNmlRbt15_Remake_0_0.png")</f>
        <v/>
      </c>
      <c r="C2034" s="5" t="s">
        <v>366</v>
      </c>
      <c r="D2034" s="5" t="s">
        <v>1327</v>
      </c>
      <c r="E2034" s="5" t="s">
        <v>34</v>
      </c>
      <c r="F2034" s="5" t="s">
        <v>34</v>
      </c>
      <c r="G2034" s="5" t="s">
        <v>36</v>
      </c>
      <c r="H2034" s="5" t="s">
        <v>35</v>
      </c>
      <c r="I2034" s="6">
        <v>1.0</v>
      </c>
      <c r="J2034" s="6" t="s">
        <v>37</v>
      </c>
      <c r="K2034" s="6">
        <v>10.0</v>
      </c>
      <c r="L2034" s="5"/>
      <c r="M2034" s="5"/>
      <c r="N2034" s="6" t="s">
        <v>40</v>
      </c>
      <c r="O2034" s="5" t="s">
        <v>5363</v>
      </c>
      <c r="P2034" s="6" t="s">
        <v>42</v>
      </c>
      <c r="Q2034" s="5" t="s">
        <v>1237</v>
      </c>
      <c r="R2034" s="5" t="s">
        <v>12641</v>
      </c>
      <c r="S2034" s="6" t="s">
        <v>50</v>
      </c>
      <c r="T2034" s="6">
        <v>6678.0</v>
      </c>
    </row>
    <row r="2035" ht="56.25" customHeight="1">
      <c r="A2035" s="5" t="s">
        <v>12638</v>
      </c>
      <c r="B2035" s="6" t="str">
        <f>image("https://storage.googleapis.com/acdb/photos/BromideNpcNmlRbt15_Remake_1_0.png")</f>
        <v/>
      </c>
      <c r="C2035" s="5" t="s">
        <v>1132</v>
      </c>
      <c r="D2035" s="5" t="s">
        <v>1327</v>
      </c>
      <c r="E2035" s="5" t="s">
        <v>34</v>
      </c>
      <c r="F2035" s="5" t="s">
        <v>34</v>
      </c>
      <c r="G2035" s="5" t="s">
        <v>36</v>
      </c>
      <c r="H2035" s="5" t="s">
        <v>35</v>
      </c>
      <c r="I2035" s="6">
        <v>1.0</v>
      </c>
      <c r="J2035" s="6" t="s">
        <v>37</v>
      </c>
      <c r="K2035" s="6">
        <v>10.0</v>
      </c>
      <c r="L2035" s="5"/>
      <c r="M2035" s="5"/>
      <c r="N2035" s="6" t="s">
        <v>40</v>
      </c>
      <c r="O2035" s="5" t="s">
        <v>5363</v>
      </c>
      <c r="P2035" s="6" t="s">
        <v>42</v>
      </c>
      <c r="Q2035" s="5" t="s">
        <v>1237</v>
      </c>
      <c r="R2035" s="5" t="s">
        <v>12645</v>
      </c>
      <c r="S2035" s="6" t="s">
        <v>56</v>
      </c>
      <c r="T2035" s="6">
        <v>6678.0</v>
      </c>
    </row>
    <row r="2036" ht="56.25" customHeight="1">
      <c r="A2036" s="5" t="s">
        <v>12638</v>
      </c>
      <c r="B2036" s="6" t="str">
        <f>image("https://storage.googleapis.com/acdb/photos/BromideNpcNmlRbt15_Remake_2_0.png")</f>
        <v/>
      </c>
      <c r="C2036" s="5" t="s">
        <v>688</v>
      </c>
      <c r="D2036" s="5" t="s">
        <v>1327</v>
      </c>
      <c r="E2036" s="5" t="s">
        <v>34</v>
      </c>
      <c r="F2036" s="5" t="s">
        <v>34</v>
      </c>
      <c r="G2036" s="5" t="s">
        <v>36</v>
      </c>
      <c r="H2036" s="5" t="s">
        <v>35</v>
      </c>
      <c r="I2036" s="6">
        <v>1.0</v>
      </c>
      <c r="J2036" s="6" t="s">
        <v>37</v>
      </c>
      <c r="K2036" s="6">
        <v>10.0</v>
      </c>
      <c r="L2036" s="5"/>
      <c r="M2036" s="5"/>
      <c r="N2036" s="6" t="s">
        <v>40</v>
      </c>
      <c r="O2036" s="5" t="s">
        <v>5363</v>
      </c>
      <c r="P2036" s="6" t="s">
        <v>42</v>
      </c>
      <c r="Q2036" s="5" t="s">
        <v>1237</v>
      </c>
      <c r="R2036" s="5" t="s">
        <v>12648</v>
      </c>
      <c r="S2036" s="6" t="s">
        <v>67</v>
      </c>
      <c r="T2036" s="6">
        <v>6678.0</v>
      </c>
    </row>
    <row r="2037" ht="56.25" customHeight="1">
      <c r="A2037" s="5" t="s">
        <v>12638</v>
      </c>
      <c r="B2037" s="6" t="str">
        <f>image("https://storage.googleapis.com/acdb/photos/BromideNpcNmlRbt15_Remake_3_0.png")</f>
        <v/>
      </c>
      <c r="C2037" s="5" t="s">
        <v>57</v>
      </c>
      <c r="D2037" s="5" t="s">
        <v>1327</v>
      </c>
      <c r="E2037" s="5" t="s">
        <v>34</v>
      </c>
      <c r="F2037" s="5" t="s">
        <v>34</v>
      </c>
      <c r="G2037" s="5" t="s">
        <v>36</v>
      </c>
      <c r="H2037" s="5" t="s">
        <v>35</v>
      </c>
      <c r="I2037" s="6">
        <v>1.0</v>
      </c>
      <c r="J2037" s="6" t="s">
        <v>37</v>
      </c>
      <c r="K2037" s="6">
        <v>10.0</v>
      </c>
      <c r="L2037" s="5"/>
      <c r="M2037" s="5"/>
      <c r="N2037" s="6" t="s">
        <v>40</v>
      </c>
      <c r="O2037" s="5" t="s">
        <v>5363</v>
      </c>
      <c r="P2037" s="6" t="s">
        <v>42</v>
      </c>
      <c r="Q2037" s="5" t="s">
        <v>1237</v>
      </c>
      <c r="R2037" s="5" t="s">
        <v>12651</v>
      </c>
      <c r="S2037" s="6" t="s">
        <v>71</v>
      </c>
      <c r="T2037" s="6">
        <v>6678.0</v>
      </c>
    </row>
    <row r="2038" ht="56.25" customHeight="1">
      <c r="A2038" s="5" t="s">
        <v>12638</v>
      </c>
      <c r="B2038" s="6" t="str">
        <f>image("https://storage.googleapis.com/acdb/photos/BromideNpcNmlRbt15_Remake_4_0.png")</f>
        <v/>
      </c>
      <c r="C2038" s="5" t="s">
        <v>1167</v>
      </c>
      <c r="D2038" s="5" t="s">
        <v>1327</v>
      </c>
      <c r="E2038" s="5" t="s">
        <v>34</v>
      </c>
      <c r="F2038" s="5" t="s">
        <v>34</v>
      </c>
      <c r="G2038" s="5" t="s">
        <v>36</v>
      </c>
      <c r="H2038" s="5" t="s">
        <v>35</v>
      </c>
      <c r="I2038" s="6">
        <v>1.0</v>
      </c>
      <c r="J2038" s="6" t="s">
        <v>37</v>
      </c>
      <c r="K2038" s="6">
        <v>10.0</v>
      </c>
      <c r="L2038" s="5"/>
      <c r="M2038" s="5"/>
      <c r="N2038" s="6" t="s">
        <v>40</v>
      </c>
      <c r="O2038" s="5" t="s">
        <v>5363</v>
      </c>
      <c r="P2038" s="6" t="s">
        <v>42</v>
      </c>
      <c r="Q2038" s="5" t="s">
        <v>1237</v>
      </c>
      <c r="R2038" s="5" t="s">
        <v>12656</v>
      </c>
      <c r="S2038" s="6" t="s">
        <v>75</v>
      </c>
      <c r="T2038" s="6">
        <v>6678.0</v>
      </c>
    </row>
    <row r="2039" ht="56.25" customHeight="1">
      <c r="A2039" s="5" t="s">
        <v>12638</v>
      </c>
      <c r="B2039" s="6" t="str">
        <f>image("https://storage.googleapis.com/acdb/photos/BromideNpcNmlRbt15_Remake_5_0.png")</f>
        <v/>
      </c>
      <c r="C2039" s="5" t="s">
        <v>58</v>
      </c>
      <c r="D2039" s="5" t="s">
        <v>1327</v>
      </c>
      <c r="E2039" s="5" t="s">
        <v>34</v>
      </c>
      <c r="F2039" s="5" t="s">
        <v>34</v>
      </c>
      <c r="G2039" s="5" t="s">
        <v>36</v>
      </c>
      <c r="H2039" s="5" t="s">
        <v>35</v>
      </c>
      <c r="I2039" s="6">
        <v>1.0</v>
      </c>
      <c r="J2039" s="6" t="s">
        <v>37</v>
      </c>
      <c r="K2039" s="6">
        <v>10.0</v>
      </c>
      <c r="L2039" s="5"/>
      <c r="M2039" s="5"/>
      <c r="N2039" s="6" t="s">
        <v>40</v>
      </c>
      <c r="O2039" s="5" t="s">
        <v>5363</v>
      </c>
      <c r="P2039" s="6" t="s">
        <v>42</v>
      </c>
      <c r="Q2039" s="5" t="s">
        <v>1237</v>
      </c>
      <c r="R2039" s="5" t="s">
        <v>12659</v>
      </c>
      <c r="S2039" s="6" t="s">
        <v>79</v>
      </c>
      <c r="T2039" s="6">
        <v>6678.0</v>
      </c>
    </row>
    <row r="2040" ht="56.25" customHeight="1">
      <c r="A2040" s="5" t="s">
        <v>12638</v>
      </c>
      <c r="B2040" s="6" t="str">
        <f>image("https://storage.googleapis.com/acdb/photos/BromideNpcNmlRbt15_Remake_6_0.png")</f>
        <v/>
      </c>
      <c r="C2040" s="5" t="s">
        <v>146</v>
      </c>
      <c r="D2040" s="5" t="s">
        <v>1327</v>
      </c>
      <c r="E2040" s="5" t="s">
        <v>34</v>
      </c>
      <c r="F2040" s="5" t="s">
        <v>34</v>
      </c>
      <c r="G2040" s="5" t="s">
        <v>36</v>
      </c>
      <c r="H2040" s="5" t="s">
        <v>35</v>
      </c>
      <c r="I2040" s="6">
        <v>1.0</v>
      </c>
      <c r="J2040" s="6" t="s">
        <v>37</v>
      </c>
      <c r="K2040" s="6">
        <v>10.0</v>
      </c>
      <c r="L2040" s="5"/>
      <c r="M2040" s="5"/>
      <c r="N2040" s="6" t="s">
        <v>40</v>
      </c>
      <c r="O2040" s="5" t="s">
        <v>5363</v>
      </c>
      <c r="P2040" s="6" t="s">
        <v>42</v>
      </c>
      <c r="Q2040" s="5" t="s">
        <v>1237</v>
      </c>
      <c r="R2040" s="5" t="s">
        <v>12662</v>
      </c>
      <c r="S2040" s="6" t="s">
        <v>86</v>
      </c>
      <c r="T2040" s="6">
        <v>6678.0</v>
      </c>
    </row>
    <row r="2041" ht="56.25" customHeight="1">
      <c r="A2041" s="5" t="s">
        <v>12638</v>
      </c>
      <c r="B2041" s="6" t="str">
        <f>image("https://storage.googleapis.com/acdb/photos/BromideNpcNmlRbt15_Remake_7_0.png")</f>
        <v/>
      </c>
      <c r="C2041" s="5" t="s">
        <v>151</v>
      </c>
      <c r="D2041" s="5" t="s">
        <v>1327</v>
      </c>
      <c r="E2041" s="5" t="s">
        <v>34</v>
      </c>
      <c r="F2041" s="5" t="s">
        <v>34</v>
      </c>
      <c r="G2041" s="5" t="s">
        <v>36</v>
      </c>
      <c r="H2041" s="5" t="s">
        <v>35</v>
      </c>
      <c r="I2041" s="6">
        <v>1.0</v>
      </c>
      <c r="J2041" s="6" t="s">
        <v>37</v>
      </c>
      <c r="K2041" s="6">
        <v>10.0</v>
      </c>
      <c r="L2041" s="5"/>
      <c r="M2041" s="5"/>
      <c r="N2041" s="6" t="s">
        <v>40</v>
      </c>
      <c r="O2041" s="5" t="s">
        <v>5363</v>
      </c>
      <c r="P2041" s="6" t="s">
        <v>42</v>
      </c>
      <c r="Q2041" s="5" t="s">
        <v>1237</v>
      </c>
      <c r="R2041" s="5" t="s">
        <v>12664</v>
      </c>
      <c r="S2041" s="6" t="s">
        <v>208</v>
      </c>
      <c r="T2041" s="6">
        <v>6678.0</v>
      </c>
    </row>
    <row r="2042" ht="56.25" customHeight="1">
      <c r="A2042" s="5" t="s">
        <v>12665</v>
      </c>
      <c r="B2042" s="6" t="str">
        <f>image("https://storage.googleapis.com/acdb/photos/BromideNpcNmlOcp00_Remake_0_0.png")</f>
        <v/>
      </c>
      <c r="C2042" s="5" t="s">
        <v>366</v>
      </c>
      <c r="D2042" s="5" t="s">
        <v>1327</v>
      </c>
      <c r="E2042" s="5" t="s">
        <v>34</v>
      </c>
      <c r="F2042" s="5" t="s">
        <v>34</v>
      </c>
      <c r="G2042" s="5" t="s">
        <v>36</v>
      </c>
      <c r="H2042" s="5" t="s">
        <v>35</v>
      </c>
      <c r="I2042" s="6">
        <v>1.0</v>
      </c>
      <c r="J2042" s="6" t="s">
        <v>37</v>
      </c>
      <c r="K2042" s="6">
        <v>10.0</v>
      </c>
      <c r="L2042" s="5"/>
      <c r="M2042" s="5"/>
      <c r="N2042" s="6" t="s">
        <v>40</v>
      </c>
      <c r="O2042" s="5" t="s">
        <v>5363</v>
      </c>
      <c r="P2042" s="6" t="s">
        <v>42</v>
      </c>
      <c r="Q2042" s="5" t="s">
        <v>1237</v>
      </c>
      <c r="R2042" s="5" t="s">
        <v>12667</v>
      </c>
      <c r="S2042" s="6" t="s">
        <v>50</v>
      </c>
      <c r="T2042" s="6">
        <v>6606.0</v>
      </c>
    </row>
    <row r="2043" ht="56.25" customHeight="1">
      <c r="A2043" s="5" t="s">
        <v>12665</v>
      </c>
      <c r="B2043" s="6" t="str">
        <f>image("https://storage.googleapis.com/acdb/photos/BromideNpcNmlOcp00_Remake_1_0.png")</f>
        <v/>
      </c>
      <c r="C2043" s="5" t="s">
        <v>1132</v>
      </c>
      <c r="D2043" s="5" t="s">
        <v>1327</v>
      </c>
      <c r="E2043" s="5" t="s">
        <v>34</v>
      </c>
      <c r="F2043" s="5" t="s">
        <v>34</v>
      </c>
      <c r="G2043" s="5" t="s">
        <v>36</v>
      </c>
      <c r="H2043" s="5" t="s">
        <v>35</v>
      </c>
      <c r="I2043" s="6">
        <v>1.0</v>
      </c>
      <c r="J2043" s="6" t="s">
        <v>37</v>
      </c>
      <c r="K2043" s="6">
        <v>10.0</v>
      </c>
      <c r="L2043" s="5"/>
      <c r="M2043" s="5"/>
      <c r="N2043" s="6" t="s">
        <v>40</v>
      </c>
      <c r="O2043" s="5" t="s">
        <v>5363</v>
      </c>
      <c r="P2043" s="6" t="s">
        <v>42</v>
      </c>
      <c r="Q2043" s="5" t="s">
        <v>1237</v>
      </c>
      <c r="R2043" s="5" t="s">
        <v>12671</v>
      </c>
      <c r="S2043" s="6" t="s">
        <v>56</v>
      </c>
      <c r="T2043" s="6">
        <v>6606.0</v>
      </c>
    </row>
    <row r="2044" ht="56.25" customHeight="1">
      <c r="A2044" s="5" t="s">
        <v>12665</v>
      </c>
      <c r="B2044" s="6" t="str">
        <f>image("https://storage.googleapis.com/acdb/photos/BromideNpcNmlOcp00_Remake_2_0.png")</f>
        <v/>
      </c>
      <c r="C2044" s="5" t="s">
        <v>688</v>
      </c>
      <c r="D2044" s="5" t="s">
        <v>1327</v>
      </c>
      <c r="E2044" s="5" t="s">
        <v>34</v>
      </c>
      <c r="F2044" s="5" t="s">
        <v>34</v>
      </c>
      <c r="G2044" s="5" t="s">
        <v>36</v>
      </c>
      <c r="H2044" s="5" t="s">
        <v>35</v>
      </c>
      <c r="I2044" s="6">
        <v>1.0</v>
      </c>
      <c r="J2044" s="6" t="s">
        <v>37</v>
      </c>
      <c r="K2044" s="6">
        <v>10.0</v>
      </c>
      <c r="L2044" s="5"/>
      <c r="M2044" s="5"/>
      <c r="N2044" s="6" t="s">
        <v>40</v>
      </c>
      <c r="O2044" s="5" t="s">
        <v>5363</v>
      </c>
      <c r="P2044" s="6" t="s">
        <v>42</v>
      </c>
      <c r="Q2044" s="5" t="s">
        <v>1237</v>
      </c>
      <c r="R2044" s="5" t="s">
        <v>12675</v>
      </c>
      <c r="S2044" s="6" t="s">
        <v>67</v>
      </c>
      <c r="T2044" s="6">
        <v>6606.0</v>
      </c>
    </row>
    <row r="2045" ht="56.25" customHeight="1">
      <c r="A2045" s="5" t="s">
        <v>12665</v>
      </c>
      <c r="B2045" s="6" t="str">
        <f>image("https://storage.googleapis.com/acdb/photos/BromideNpcNmlOcp00_Remake_3_0.png")</f>
        <v/>
      </c>
      <c r="C2045" s="5" t="s">
        <v>57</v>
      </c>
      <c r="D2045" s="5" t="s">
        <v>1327</v>
      </c>
      <c r="E2045" s="5" t="s">
        <v>34</v>
      </c>
      <c r="F2045" s="5" t="s">
        <v>34</v>
      </c>
      <c r="G2045" s="5" t="s">
        <v>36</v>
      </c>
      <c r="H2045" s="5" t="s">
        <v>35</v>
      </c>
      <c r="I2045" s="6">
        <v>1.0</v>
      </c>
      <c r="J2045" s="6" t="s">
        <v>37</v>
      </c>
      <c r="K2045" s="6">
        <v>10.0</v>
      </c>
      <c r="L2045" s="5"/>
      <c r="M2045" s="5"/>
      <c r="N2045" s="6" t="s">
        <v>40</v>
      </c>
      <c r="O2045" s="5" t="s">
        <v>5363</v>
      </c>
      <c r="P2045" s="6" t="s">
        <v>42</v>
      </c>
      <c r="Q2045" s="5" t="s">
        <v>1237</v>
      </c>
      <c r="R2045" s="5" t="s">
        <v>12676</v>
      </c>
      <c r="S2045" s="6" t="s">
        <v>71</v>
      </c>
      <c r="T2045" s="6">
        <v>6606.0</v>
      </c>
    </row>
    <row r="2046" ht="56.25" customHeight="1">
      <c r="A2046" s="5" t="s">
        <v>12665</v>
      </c>
      <c r="B2046" s="6" t="str">
        <f>image("https://storage.googleapis.com/acdb/photos/BromideNpcNmlOcp00_Remake_4_0.png")</f>
        <v/>
      </c>
      <c r="C2046" s="5" t="s">
        <v>1167</v>
      </c>
      <c r="D2046" s="5" t="s">
        <v>1327</v>
      </c>
      <c r="E2046" s="5" t="s">
        <v>34</v>
      </c>
      <c r="F2046" s="5" t="s">
        <v>34</v>
      </c>
      <c r="G2046" s="5" t="s">
        <v>36</v>
      </c>
      <c r="H2046" s="5" t="s">
        <v>35</v>
      </c>
      <c r="I2046" s="6">
        <v>1.0</v>
      </c>
      <c r="J2046" s="6" t="s">
        <v>37</v>
      </c>
      <c r="K2046" s="6">
        <v>10.0</v>
      </c>
      <c r="L2046" s="5"/>
      <c r="M2046" s="5"/>
      <c r="N2046" s="6" t="s">
        <v>40</v>
      </c>
      <c r="O2046" s="5" t="s">
        <v>5363</v>
      </c>
      <c r="P2046" s="6" t="s">
        <v>42</v>
      </c>
      <c r="Q2046" s="5" t="s">
        <v>1237</v>
      </c>
      <c r="R2046" s="5" t="s">
        <v>12679</v>
      </c>
      <c r="S2046" s="6" t="s">
        <v>75</v>
      </c>
      <c r="T2046" s="6">
        <v>6606.0</v>
      </c>
    </row>
    <row r="2047" ht="56.25" customHeight="1">
      <c r="A2047" s="5" t="s">
        <v>12665</v>
      </c>
      <c r="B2047" s="6" t="str">
        <f>image("https://storage.googleapis.com/acdb/photos/BromideNpcNmlOcp00_Remake_5_0.png")</f>
        <v/>
      </c>
      <c r="C2047" s="5" t="s">
        <v>58</v>
      </c>
      <c r="D2047" s="5" t="s">
        <v>1327</v>
      </c>
      <c r="E2047" s="5" t="s">
        <v>34</v>
      </c>
      <c r="F2047" s="5" t="s">
        <v>34</v>
      </c>
      <c r="G2047" s="5" t="s">
        <v>36</v>
      </c>
      <c r="H2047" s="5" t="s">
        <v>35</v>
      </c>
      <c r="I2047" s="6">
        <v>1.0</v>
      </c>
      <c r="J2047" s="6" t="s">
        <v>37</v>
      </c>
      <c r="K2047" s="6">
        <v>10.0</v>
      </c>
      <c r="L2047" s="5"/>
      <c r="M2047" s="5"/>
      <c r="N2047" s="6" t="s">
        <v>40</v>
      </c>
      <c r="O2047" s="5" t="s">
        <v>5363</v>
      </c>
      <c r="P2047" s="6" t="s">
        <v>42</v>
      </c>
      <c r="Q2047" s="5" t="s">
        <v>1237</v>
      </c>
      <c r="R2047" s="5" t="s">
        <v>12683</v>
      </c>
      <c r="S2047" s="6" t="s">
        <v>79</v>
      </c>
      <c r="T2047" s="6">
        <v>6606.0</v>
      </c>
    </row>
    <row r="2048" ht="56.25" customHeight="1">
      <c r="A2048" s="5" t="s">
        <v>12665</v>
      </c>
      <c r="B2048" s="6" t="str">
        <f>image("https://storage.googleapis.com/acdb/photos/BromideNpcNmlOcp00_Remake_6_0.png")</f>
        <v/>
      </c>
      <c r="C2048" s="5" t="s">
        <v>146</v>
      </c>
      <c r="D2048" s="5" t="s">
        <v>1327</v>
      </c>
      <c r="E2048" s="5" t="s">
        <v>34</v>
      </c>
      <c r="F2048" s="5" t="s">
        <v>34</v>
      </c>
      <c r="G2048" s="5" t="s">
        <v>36</v>
      </c>
      <c r="H2048" s="5" t="s">
        <v>35</v>
      </c>
      <c r="I2048" s="6">
        <v>1.0</v>
      </c>
      <c r="J2048" s="6" t="s">
        <v>37</v>
      </c>
      <c r="K2048" s="6">
        <v>10.0</v>
      </c>
      <c r="L2048" s="5"/>
      <c r="M2048" s="5"/>
      <c r="N2048" s="6" t="s">
        <v>40</v>
      </c>
      <c r="O2048" s="5" t="s">
        <v>5363</v>
      </c>
      <c r="P2048" s="6" t="s">
        <v>42</v>
      </c>
      <c r="Q2048" s="5" t="s">
        <v>1237</v>
      </c>
      <c r="R2048" s="5" t="s">
        <v>12686</v>
      </c>
      <c r="S2048" s="6" t="s">
        <v>86</v>
      </c>
      <c r="T2048" s="6">
        <v>6606.0</v>
      </c>
    </row>
    <row r="2049" ht="56.25" customHeight="1">
      <c r="A2049" s="5" t="s">
        <v>12665</v>
      </c>
      <c r="B2049" s="6" t="str">
        <f>image("https://storage.googleapis.com/acdb/photos/BromideNpcNmlOcp00_Remake_7_0.png")</f>
        <v/>
      </c>
      <c r="C2049" s="5" t="s">
        <v>151</v>
      </c>
      <c r="D2049" s="5" t="s">
        <v>1327</v>
      </c>
      <c r="E2049" s="5" t="s">
        <v>34</v>
      </c>
      <c r="F2049" s="5" t="s">
        <v>34</v>
      </c>
      <c r="G2049" s="5" t="s">
        <v>36</v>
      </c>
      <c r="H2049" s="5" t="s">
        <v>35</v>
      </c>
      <c r="I2049" s="6">
        <v>1.0</v>
      </c>
      <c r="J2049" s="6" t="s">
        <v>37</v>
      </c>
      <c r="K2049" s="6">
        <v>10.0</v>
      </c>
      <c r="L2049" s="5"/>
      <c r="M2049" s="5"/>
      <c r="N2049" s="6" t="s">
        <v>40</v>
      </c>
      <c r="O2049" s="5" t="s">
        <v>5363</v>
      </c>
      <c r="P2049" s="6" t="s">
        <v>42</v>
      </c>
      <c r="Q2049" s="5" t="s">
        <v>1237</v>
      </c>
      <c r="R2049" s="5" t="s">
        <v>12689</v>
      </c>
      <c r="S2049" s="6" t="s">
        <v>208</v>
      </c>
      <c r="T2049" s="6">
        <v>6606.0</v>
      </c>
    </row>
    <row r="2050" ht="56.25" customHeight="1">
      <c r="A2050" s="5" t="s">
        <v>12690</v>
      </c>
      <c r="B2050" s="6" t="str">
        <f>image("https://storage.googleapis.com/acdb/photos/BromideNpcNmlAnt09_Remake_0_0.png")</f>
        <v/>
      </c>
      <c r="C2050" s="5" t="s">
        <v>366</v>
      </c>
      <c r="D2050" s="5" t="s">
        <v>1327</v>
      </c>
      <c r="E2050" s="5" t="s">
        <v>34</v>
      </c>
      <c r="F2050" s="5" t="s">
        <v>34</v>
      </c>
      <c r="G2050" s="5" t="s">
        <v>36</v>
      </c>
      <c r="H2050" s="5" t="s">
        <v>35</v>
      </c>
      <c r="I2050" s="6">
        <v>1.0</v>
      </c>
      <c r="J2050" s="6" t="s">
        <v>37</v>
      </c>
      <c r="K2050" s="6">
        <v>10.0</v>
      </c>
      <c r="L2050" s="5"/>
      <c r="M2050" s="5"/>
      <c r="N2050" s="6" t="s">
        <v>40</v>
      </c>
      <c r="O2050" s="5" t="s">
        <v>5363</v>
      </c>
      <c r="P2050" s="6" t="s">
        <v>42</v>
      </c>
      <c r="Q2050" s="5" t="s">
        <v>1237</v>
      </c>
      <c r="R2050" s="5" t="s">
        <v>12693</v>
      </c>
      <c r="S2050" s="6" t="s">
        <v>50</v>
      </c>
      <c r="T2050" s="6">
        <v>6776.0</v>
      </c>
    </row>
    <row r="2051" ht="56.25" customHeight="1">
      <c r="A2051" s="5" t="s">
        <v>12690</v>
      </c>
      <c r="B2051" s="6" t="str">
        <f>image("https://storage.googleapis.com/acdb/photos/BromideNpcNmlAnt09_Remake_1_0.png")</f>
        <v/>
      </c>
      <c r="C2051" s="5" t="s">
        <v>1132</v>
      </c>
      <c r="D2051" s="5" t="s">
        <v>1327</v>
      </c>
      <c r="E2051" s="5" t="s">
        <v>34</v>
      </c>
      <c r="F2051" s="5" t="s">
        <v>34</v>
      </c>
      <c r="G2051" s="5" t="s">
        <v>36</v>
      </c>
      <c r="H2051" s="5" t="s">
        <v>35</v>
      </c>
      <c r="I2051" s="6">
        <v>1.0</v>
      </c>
      <c r="J2051" s="6" t="s">
        <v>37</v>
      </c>
      <c r="K2051" s="6">
        <v>10.0</v>
      </c>
      <c r="L2051" s="5"/>
      <c r="M2051" s="5"/>
      <c r="N2051" s="6" t="s">
        <v>40</v>
      </c>
      <c r="O2051" s="5" t="s">
        <v>5363</v>
      </c>
      <c r="P2051" s="6" t="s">
        <v>42</v>
      </c>
      <c r="Q2051" s="5" t="s">
        <v>1237</v>
      </c>
      <c r="R2051" s="5" t="s">
        <v>12695</v>
      </c>
      <c r="S2051" s="6" t="s">
        <v>56</v>
      </c>
      <c r="T2051" s="6">
        <v>6776.0</v>
      </c>
    </row>
    <row r="2052" ht="56.25" customHeight="1">
      <c r="A2052" s="5" t="s">
        <v>12690</v>
      </c>
      <c r="B2052" s="6" t="str">
        <f>image("https://storage.googleapis.com/acdb/photos/BromideNpcNmlAnt09_Remake_2_0.png")</f>
        <v/>
      </c>
      <c r="C2052" s="5" t="s">
        <v>688</v>
      </c>
      <c r="D2052" s="5" t="s">
        <v>1327</v>
      </c>
      <c r="E2052" s="5" t="s">
        <v>34</v>
      </c>
      <c r="F2052" s="5" t="s">
        <v>34</v>
      </c>
      <c r="G2052" s="5" t="s">
        <v>36</v>
      </c>
      <c r="H2052" s="5" t="s">
        <v>35</v>
      </c>
      <c r="I2052" s="6">
        <v>1.0</v>
      </c>
      <c r="J2052" s="6" t="s">
        <v>37</v>
      </c>
      <c r="K2052" s="6">
        <v>10.0</v>
      </c>
      <c r="L2052" s="5"/>
      <c r="M2052" s="5"/>
      <c r="N2052" s="6" t="s">
        <v>40</v>
      </c>
      <c r="O2052" s="5" t="s">
        <v>5363</v>
      </c>
      <c r="P2052" s="6" t="s">
        <v>42</v>
      </c>
      <c r="Q2052" s="5" t="s">
        <v>1237</v>
      </c>
      <c r="R2052" s="5" t="s">
        <v>12698</v>
      </c>
      <c r="S2052" s="6" t="s">
        <v>67</v>
      </c>
      <c r="T2052" s="6">
        <v>6776.0</v>
      </c>
    </row>
    <row r="2053" ht="56.25" customHeight="1">
      <c r="A2053" s="5" t="s">
        <v>12690</v>
      </c>
      <c r="B2053" s="6" t="str">
        <f>image("https://storage.googleapis.com/acdb/photos/BromideNpcNmlAnt09_Remake_3_0.png")</f>
        <v/>
      </c>
      <c r="C2053" s="5" t="s">
        <v>57</v>
      </c>
      <c r="D2053" s="5" t="s">
        <v>1327</v>
      </c>
      <c r="E2053" s="5" t="s">
        <v>34</v>
      </c>
      <c r="F2053" s="5" t="s">
        <v>34</v>
      </c>
      <c r="G2053" s="5" t="s">
        <v>36</v>
      </c>
      <c r="H2053" s="5" t="s">
        <v>35</v>
      </c>
      <c r="I2053" s="6">
        <v>1.0</v>
      </c>
      <c r="J2053" s="6" t="s">
        <v>37</v>
      </c>
      <c r="K2053" s="6">
        <v>10.0</v>
      </c>
      <c r="L2053" s="5"/>
      <c r="M2053" s="5"/>
      <c r="N2053" s="6" t="s">
        <v>40</v>
      </c>
      <c r="O2053" s="5" t="s">
        <v>5363</v>
      </c>
      <c r="P2053" s="6" t="s">
        <v>42</v>
      </c>
      <c r="Q2053" s="5" t="s">
        <v>1237</v>
      </c>
      <c r="R2053" s="5" t="s">
        <v>12701</v>
      </c>
      <c r="S2053" s="6" t="s">
        <v>71</v>
      </c>
      <c r="T2053" s="6">
        <v>6776.0</v>
      </c>
    </row>
    <row r="2054" ht="56.25" customHeight="1">
      <c r="A2054" s="5" t="s">
        <v>12690</v>
      </c>
      <c r="B2054" s="6" t="str">
        <f>image("https://storage.googleapis.com/acdb/photos/BromideNpcNmlAnt09_Remake_4_0.png")</f>
        <v/>
      </c>
      <c r="C2054" s="5" t="s">
        <v>1167</v>
      </c>
      <c r="D2054" s="5" t="s">
        <v>1327</v>
      </c>
      <c r="E2054" s="5" t="s">
        <v>34</v>
      </c>
      <c r="F2054" s="5" t="s">
        <v>34</v>
      </c>
      <c r="G2054" s="5" t="s">
        <v>36</v>
      </c>
      <c r="H2054" s="5" t="s">
        <v>35</v>
      </c>
      <c r="I2054" s="6">
        <v>1.0</v>
      </c>
      <c r="J2054" s="6" t="s">
        <v>37</v>
      </c>
      <c r="K2054" s="6">
        <v>10.0</v>
      </c>
      <c r="L2054" s="5"/>
      <c r="M2054" s="5"/>
      <c r="N2054" s="6" t="s">
        <v>40</v>
      </c>
      <c r="O2054" s="5" t="s">
        <v>5363</v>
      </c>
      <c r="P2054" s="6" t="s">
        <v>42</v>
      </c>
      <c r="Q2054" s="5" t="s">
        <v>1237</v>
      </c>
      <c r="R2054" s="5" t="s">
        <v>12702</v>
      </c>
      <c r="S2054" s="6" t="s">
        <v>75</v>
      </c>
      <c r="T2054" s="6">
        <v>6776.0</v>
      </c>
    </row>
    <row r="2055" ht="56.25" customHeight="1">
      <c r="A2055" s="5" t="s">
        <v>12690</v>
      </c>
      <c r="B2055" s="6" t="str">
        <f>image("https://storage.googleapis.com/acdb/photos/BromideNpcNmlAnt09_Remake_5_0.png")</f>
        <v/>
      </c>
      <c r="C2055" s="5" t="s">
        <v>58</v>
      </c>
      <c r="D2055" s="5" t="s">
        <v>1327</v>
      </c>
      <c r="E2055" s="5" t="s">
        <v>34</v>
      </c>
      <c r="F2055" s="5" t="s">
        <v>34</v>
      </c>
      <c r="G2055" s="5" t="s">
        <v>36</v>
      </c>
      <c r="H2055" s="5" t="s">
        <v>35</v>
      </c>
      <c r="I2055" s="6">
        <v>1.0</v>
      </c>
      <c r="J2055" s="6" t="s">
        <v>37</v>
      </c>
      <c r="K2055" s="6">
        <v>10.0</v>
      </c>
      <c r="L2055" s="5"/>
      <c r="M2055" s="5"/>
      <c r="N2055" s="6" t="s">
        <v>40</v>
      </c>
      <c r="O2055" s="5" t="s">
        <v>5363</v>
      </c>
      <c r="P2055" s="6" t="s">
        <v>42</v>
      </c>
      <c r="Q2055" s="5" t="s">
        <v>1237</v>
      </c>
      <c r="R2055" s="5" t="s">
        <v>12705</v>
      </c>
      <c r="S2055" s="6" t="s">
        <v>79</v>
      </c>
      <c r="T2055" s="6">
        <v>6776.0</v>
      </c>
    </row>
    <row r="2056" ht="56.25" customHeight="1">
      <c r="A2056" s="5" t="s">
        <v>12690</v>
      </c>
      <c r="B2056" s="6" t="str">
        <f>image("https://storage.googleapis.com/acdb/photos/BromideNpcNmlAnt09_Remake_6_0.png")</f>
        <v/>
      </c>
      <c r="C2056" s="5" t="s">
        <v>146</v>
      </c>
      <c r="D2056" s="5" t="s">
        <v>1327</v>
      </c>
      <c r="E2056" s="5" t="s">
        <v>34</v>
      </c>
      <c r="F2056" s="5" t="s">
        <v>34</v>
      </c>
      <c r="G2056" s="5" t="s">
        <v>36</v>
      </c>
      <c r="H2056" s="5" t="s">
        <v>35</v>
      </c>
      <c r="I2056" s="6">
        <v>1.0</v>
      </c>
      <c r="J2056" s="6" t="s">
        <v>37</v>
      </c>
      <c r="K2056" s="6">
        <v>10.0</v>
      </c>
      <c r="L2056" s="5"/>
      <c r="M2056" s="5"/>
      <c r="N2056" s="6" t="s">
        <v>40</v>
      </c>
      <c r="O2056" s="5" t="s">
        <v>5363</v>
      </c>
      <c r="P2056" s="6" t="s">
        <v>42</v>
      </c>
      <c r="Q2056" s="5" t="s">
        <v>1237</v>
      </c>
      <c r="R2056" s="5" t="s">
        <v>12708</v>
      </c>
      <c r="S2056" s="6" t="s">
        <v>86</v>
      </c>
      <c r="T2056" s="6">
        <v>6776.0</v>
      </c>
    </row>
    <row r="2057" ht="56.25" customHeight="1">
      <c r="A2057" s="5" t="s">
        <v>12690</v>
      </c>
      <c r="B2057" s="6" t="str">
        <f>image("https://storage.googleapis.com/acdb/photos/BromideNpcNmlAnt09_Remake_7_0.png")</f>
        <v/>
      </c>
      <c r="C2057" s="5" t="s">
        <v>151</v>
      </c>
      <c r="D2057" s="5" t="s">
        <v>1327</v>
      </c>
      <c r="E2057" s="5" t="s">
        <v>34</v>
      </c>
      <c r="F2057" s="5" t="s">
        <v>34</v>
      </c>
      <c r="G2057" s="5" t="s">
        <v>36</v>
      </c>
      <c r="H2057" s="5" t="s">
        <v>35</v>
      </c>
      <c r="I2057" s="6">
        <v>1.0</v>
      </c>
      <c r="J2057" s="6" t="s">
        <v>37</v>
      </c>
      <c r="K2057" s="6">
        <v>10.0</v>
      </c>
      <c r="L2057" s="5"/>
      <c r="M2057" s="5"/>
      <c r="N2057" s="6" t="s">
        <v>40</v>
      </c>
      <c r="O2057" s="5" t="s">
        <v>5363</v>
      </c>
      <c r="P2057" s="6" t="s">
        <v>42</v>
      </c>
      <c r="Q2057" s="5" t="s">
        <v>1237</v>
      </c>
      <c r="R2057" s="5" t="s">
        <v>12712</v>
      </c>
      <c r="S2057" s="6" t="s">
        <v>208</v>
      </c>
      <c r="T2057" s="6">
        <v>6776.0</v>
      </c>
    </row>
    <row r="2058" ht="56.25" customHeight="1">
      <c r="A2058" s="5" t="s">
        <v>12713</v>
      </c>
      <c r="B2058" s="6" t="str">
        <f>image("https://storage.googleapis.com/acdb/photos/BromideNpcNmlCbr09_Remake_0_0.png")</f>
        <v/>
      </c>
      <c r="C2058" s="5" t="s">
        <v>366</v>
      </c>
      <c r="D2058" s="5" t="s">
        <v>1327</v>
      </c>
      <c r="E2058" s="5" t="s">
        <v>34</v>
      </c>
      <c r="F2058" s="5" t="s">
        <v>34</v>
      </c>
      <c r="G2058" s="5" t="s">
        <v>36</v>
      </c>
      <c r="H2058" s="5" t="s">
        <v>35</v>
      </c>
      <c r="I2058" s="6">
        <v>1.0</v>
      </c>
      <c r="J2058" s="6" t="s">
        <v>37</v>
      </c>
      <c r="K2058" s="6">
        <v>10.0</v>
      </c>
      <c r="L2058" s="5"/>
      <c r="M2058" s="5"/>
      <c r="N2058" s="6" t="s">
        <v>40</v>
      </c>
      <c r="O2058" s="5" t="s">
        <v>5363</v>
      </c>
      <c r="P2058" s="6" t="s">
        <v>42</v>
      </c>
      <c r="Q2058" s="5" t="s">
        <v>1237</v>
      </c>
      <c r="R2058" s="5" t="s">
        <v>12716</v>
      </c>
      <c r="S2058" s="6" t="s">
        <v>50</v>
      </c>
      <c r="T2058" s="6">
        <v>6778.0</v>
      </c>
    </row>
    <row r="2059" ht="56.25" customHeight="1">
      <c r="A2059" s="5" t="s">
        <v>12713</v>
      </c>
      <c r="B2059" s="6" t="str">
        <f>image("https://storage.googleapis.com/acdb/photos/BromideNpcNmlCbr09_Remake_1_0.png")</f>
        <v/>
      </c>
      <c r="C2059" s="5" t="s">
        <v>1132</v>
      </c>
      <c r="D2059" s="5" t="s">
        <v>1327</v>
      </c>
      <c r="E2059" s="5" t="s">
        <v>34</v>
      </c>
      <c r="F2059" s="5" t="s">
        <v>34</v>
      </c>
      <c r="G2059" s="5" t="s">
        <v>36</v>
      </c>
      <c r="H2059" s="5" t="s">
        <v>35</v>
      </c>
      <c r="I2059" s="6">
        <v>1.0</v>
      </c>
      <c r="J2059" s="6" t="s">
        <v>37</v>
      </c>
      <c r="K2059" s="6">
        <v>10.0</v>
      </c>
      <c r="L2059" s="5"/>
      <c r="M2059" s="5"/>
      <c r="N2059" s="6" t="s">
        <v>40</v>
      </c>
      <c r="O2059" s="5" t="s">
        <v>5363</v>
      </c>
      <c r="P2059" s="6" t="s">
        <v>42</v>
      </c>
      <c r="Q2059" s="5" t="s">
        <v>1237</v>
      </c>
      <c r="R2059" s="5" t="s">
        <v>12719</v>
      </c>
      <c r="S2059" s="6" t="s">
        <v>56</v>
      </c>
      <c r="T2059" s="6">
        <v>6778.0</v>
      </c>
    </row>
    <row r="2060" ht="56.25" customHeight="1">
      <c r="A2060" s="5" t="s">
        <v>12713</v>
      </c>
      <c r="B2060" s="6" t="str">
        <f>image("https://storage.googleapis.com/acdb/photos/BromideNpcNmlCbr09_Remake_2_0.png")</f>
        <v/>
      </c>
      <c r="C2060" s="5" t="s">
        <v>688</v>
      </c>
      <c r="D2060" s="5" t="s">
        <v>1327</v>
      </c>
      <c r="E2060" s="5" t="s">
        <v>34</v>
      </c>
      <c r="F2060" s="5" t="s">
        <v>34</v>
      </c>
      <c r="G2060" s="5" t="s">
        <v>36</v>
      </c>
      <c r="H2060" s="5" t="s">
        <v>35</v>
      </c>
      <c r="I2060" s="6">
        <v>1.0</v>
      </c>
      <c r="J2060" s="6" t="s">
        <v>37</v>
      </c>
      <c r="K2060" s="6">
        <v>10.0</v>
      </c>
      <c r="L2060" s="5"/>
      <c r="M2060" s="5"/>
      <c r="N2060" s="6" t="s">
        <v>40</v>
      </c>
      <c r="O2060" s="5" t="s">
        <v>5363</v>
      </c>
      <c r="P2060" s="6" t="s">
        <v>42</v>
      </c>
      <c r="Q2060" s="5" t="s">
        <v>1237</v>
      </c>
      <c r="R2060" s="5" t="s">
        <v>12722</v>
      </c>
      <c r="S2060" s="6" t="s">
        <v>67</v>
      </c>
      <c r="T2060" s="6">
        <v>6778.0</v>
      </c>
    </row>
    <row r="2061" ht="56.25" customHeight="1">
      <c r="A2061" s="5" t="s">
        <v>12713</v>
      </c>
      <c r="B2061" s="6" t="str">
        <f>image("https://storage.googleapis.com/acdb/photos/BromideNpcNmlCbr09_Remake_3_0.png")</f>
        <v/>
      </c>
      <c r="C2061" s="5" t="s">
        <v>57</v>
      </c>
      <c r="D2061" s="5" t="s">
        <v>1327</v>
      </c>
      <c r="E2061" s="5" t="s">
        <v>34</v>
      </c>
      <c r="F2061" s="5" t="s">
        <v>34</v>
      </c>
      <c r="G2061" s="5" t="s">
        <v>36</v>
      </c>
      <c r="H2061" s="5" t="s">
        <v>35</v>
      </c>
      <c r="I2061" s="6">
        <v>1.0</v>
      </c>
      <c r="J2061" s="6" t="s">
        <v>37</v>
      </c>
      <c r="K2061" s="6">
        <v>10.0</v>
      </c>
      <c r="L2061" s="5"/>
      <c r="M2061" s="5"/>
      <c r="N2061" s="6" t="s">
        <v>40</v>
      </c>
      <c r="O2061" s="5" t="s">
        <v>5363</v>
      </c>
      <c r="P2061" s="6" t="s">
        <v>42</v>
      </c>
      <c r="Q2061" s="5" t="s">
        <v>1237</v>
      </c>
      <c r="R2061" s="5" t="s">
        <v>12726</v>
      </c>
      <c r="S2061" s="6" t="s">
        <v>71</v>
      </c>
      <c r="T2061" s="6">
        <v>6778.0</v>
      </c>
    </row>
    <row r="2062" ht="56.25" customHeight="1">
      <c r="A2062" s="5" t="s">
        <v>12713</v>
      </c>
      <c r="B2062" s="6" t="str">
        <f>image("https://storage.googleapis.com/acdb/photos/BromideNpcNmlCbr09_Remake_4_0.png")</f>
        <v/>
      </c>
      <c r="C2062" s="5" t="s">
        <v>1167</v>
      </c>
      <c r="D2062" s="5" t="s">
        <v>1327</v>
      </c>
      <c r="E2062" s="5" t="s">
        <v>34</v>
      </c>
      <c r="F2062" s="5" t="s">
        <v>34</v>
      </c>
      <c r="G2062" s="5" t="s">
        <v>36</v>
      </c>
      <c r="H2062" s="5" t="s">
        <v>35</v>
      </c>
      <c r="I2062" s="6">
        <v>1.0</v>
      </c>
      <c r="J2062" s="6" t="s">
        <v>37</v>
      </c>
      <c r="K2062" s="6">
        <v>10.0</v>
      </c>
      <c r="L2062" s="5"/>
      <c r="M2062" s="5"/>
      <c r="N2062" s="6" t="s">
        <v>40</v>
      </c>
      <c r="O2062" s="5" t="s">
        <v>5363</v>
      </c>
      <c r="P2062" s="6" t="s">
        <v>42</v>
      </c>
      <c r="Q2062" s="5" t="s">
        <v>1237</v>
      </c>
      <c r="R2062" s="5" t="s">
        <v>12731</v>
      </c>
      <c r="S2062" s="6" t="s">
        <v>75</v>
      </c>
      <c r="T2062" s="6">
        <v>6778.0</v>
      </c>
    </row>
    <row r="2063" ht="56.25" customHeight="1">
      <c r="A2063" s="5" t="s">
        <v>12713</v>
      </c>
      <c r="B2063" s="6" t="str">
        <f>image("https://storage.googleapis.com/acdb/photos/BromideNpcNmlCbr09_Remake_5_0.png")</f>
        <v/>
      </c>
      <c r="C2063" s="5" t="s">
        <v>58</v>
      </c>
      <c r="D2063" s="5" t="s">
        <v>1327</v>
      </c>
      <c r="E2063" s="5" t="s">
        <v>34</v>
      </c>
      <c r="F2063" s="5" t="s">
        <v>34</v>
      </c>
      <c r="G2063" s="5" t="s">
        <v>36</v>
      </c>
      <c r="H2063" s="5" t="s">
        <v>35</v>
      </c>
      <c r="I2063" s="6">
        <v>1.0</v>
      </c>
      <c r="J2063" s="6" t="s">
        <v>37</v>
      </c>
      <c r="K2063" s="6">
        <v>10.0</v>
      </c>
      <c r="L2063" s="5"/>
      <c r="M2063" s="5"/>
      <c r="N2063" s="6" t="s">
        <v>40</v>
      </c>
      <c r="O2063" s="5" t="s">
        <v>5363</v>
      </c>
      <c r="P2063" s="6" t="s">
        <v>42</v>
      </c>
      <c r="Q2063" s="5" t="s">
        <v>1237</v>
      </c>
      <c r="R2063" s="5" t="s">
        <v>12738</v>
      </c>
      <c r="S2063" s="6" t="s">
        <v>79</v>
      </c>
      <c r="T2063" s="6">
        <v>6778.0</v>
      </c>
    </row>
    <row r="2064" ht="56.25" customHeight="1">
      <c r="A2064" s="5" t="s">
        <v>12713</v>
      </c>
      <c r="B2064" s="6" t="str">
        <f>image("https://storage.googleapis.com/acdb/photos/BromideNpcNmlCbr09_Remake_6_0.png")</f>
        <v/>
      </c>
      <c r="C2064" s="5" t="s">
        <v>146</v>
      </c>
      <c r="D2064" s="5" t="s">
        <v>1327</v>
      </c>
      <c r="E2064" s="5" t="s">
        <v>34</v>
      </c>
      <c r="F2064" s="5" t="s">
        <v>34</v>
      </c>
      <c r="G2064" s="5" t="s">
        <v>36</v>
      </c>
      <c r="H2064" s="5" t="s">
        <v>35</v>
      </c>
      <c r="I2064" s="6">
        <v>1.0</v>
      </c>
      <c r="J2064" s="6" t="s">
        <v>37</v>
      </c>
      <c r="K2064" s="6">
        <v>10.0</v>
      </c>
      <c r="L2064" s="5"/>
      <c r="M2064" s="5"/>
      <c r="N2064" s="6" t="s">
        <v>40</v>
      </c>
      <c r="O2064" s="5" t="s">
        <v>5363</v>
      </c>
      <c r="P2064" s="6" t="s">
        <v>42</v>
      </c>
      <c r="Q2064" s="5" t="s">
        <v>1237</v>
      </c>
      <c r="R2064" s="5" t="s">
        <v>12742</v>
      </c>
      <c r="S2064" s="6" t="s">
        <v>86</v>
      </c>
      <c r="T2064" s="6">
        <v>6778.0</v>
      </c>
    </row>
    <row r="2065" ht="56.25" customHeight="1">
      <c r="A2065" s="5" t="s">
        <v>12713</v>
      </c>
      <c r="B2065" s="6" t="str">
        <f>image("https://storage.googleapis.com/acdb/photos/BromideNpcNmlCbr09_Remake_7_0.png")</f>
        <v/>
      </c>
      <c r="C2065" s="5" t="s">
        <v>151</v>
      </c>
      <c r="D2065" s="5" t="s">
        <v>1327</v>
      </c>
      <c r="E2065" s="5" t="s">
        <v>34</v>
      </c>
      <c r="F2065" s="5" t="s">
        <v>34</v>
      </c>
      <c r="G2065" s="5" t="s">
        <v>36</v>
      </c>
      <c r="H2065" s="5" t="s">
        <v>35</v>
      </c>
      <c r="I2065" s="6">
        <v>1.0</v>
      </c>
      <c r="J2065" s="6" t="s">
        <v>37</v>
      </c>
      <c r="K2065" s="6">
        <v>10.0</v>
      </c>
      <c r="L2065" s="5"/>
      <c r="M2065" s="5"/>
      <c r="N2065" s="6" t="s">
        <v>40</v>
      </c>
      <c r="O2065" s="5" t="s">
        <v>5363</v>
      </c>
      <c r="P2065" s="6" t="s">
        <v>42</v>
      </c>
      <c r="Q2065" s="5" t="s">
        <v>1237</v>
      </c>
      <c r="R2065" s="5" t="s">
        <v>12746</v>
      </c>
      <c r="S2065" s="6" t="s">
        <v>208</v>
      </c>
      <c r="T2065" s="6">
        <v>6778.0</v>
      </c>
    </row>
    <row r="2066" ht="56.25" customHeight="1">
      <c r="A2066" s="5" t="s">
        <v>12748</v>
      </c>
      <c r="B2066" s="6" t="str">
        <f>image("https://storage.googleapis.com/acdb/photos/BromideNpcNmlCat03_Remake_0_0.png")</f>
        <v/>
      </c>
      <c r="C2066" s="5" t="s">
        <v>366</v>
      </c>
      <c r="D2066" s="5" t="s">
        <v>1327</v>
      </c>
      <c r="E2066" s="5" t="s">
        <v>34</v>
      </c>
      <c r="F2066" s="5" t="s">
        <v>34</v>
      </c>
      <c r="G2066" s="5" t="s">
        <v>36</v>
      </c>
      <c r="H2066" s="5" t="s">
        <v>35</v>
      </c>
      <c r="I2066" s="6">
        <v>1.0</v>
      </c>
      <c r="J2066" s="6" t="s">
        <v>37</v>
      </c>
      <c r="K2066" s="6">
        <v>10.0</v>
      </c>
      <c r="L2066" s="5"/>
      <c r="M2066" s="5"/>
      <c r="N2066" s="6" t="s">
        <v>40</v>
      </c>
      <c r="O2066" s="5" t="s">
        <v>5363</v>
      </c>
      <c r="P2066" s="6" t="s">
        <v>42</v>
      </c>
      <c r="Q2066" s="5" t="s">
        <v>1237</v>
      </c>
      <c r="R2066" s="5" t="s">
        <v>12751</v>
      </c>
      <c r="S2066" s="6" t="s">
        <v>50</v>
      </c>
      <c r="T2066" s="6">
        <v>6748.0</v>
      </c>
    </row>
    <row r="2067" ht="56.25" customHeight="1">
      <c r="A2067" s="5" t="s">
        <v>12748</v>
      </c>
      <c r="B2067" s="6" t="str">
        <f>image("https://storage.googleapis.com/acdb/photos/BromideNpcNmlCat03_Remake_1_0.png")</f>
        <v/>
      </c>
      <c r="C2067" s="5" t="s">
        <v>1132</v>
      </c>
      <c r="D2067" s="5" t="s">
        <v>1327</v>
      </c>
      <c r="E2067" s="5" t="s">
        <v>34</v>
      </c>
      <c r="F2067" s="5" t="s">
        <v>34</v>
      </c>
      <c r="G2067" s="5" t="s">
        <v>36</v>
      </c>
      <c r="H2067" s="5" t="s">
        <v>35</v>
      </c>
      <c r="I2067" s="6">
        <v>1.0</v>
      </c>
      <c r="J2067" s="6" t="s">
        <v>37</v>
      </c>
      <c r="K2067" s="6">
        <v>10.0</v>
      </c>
      <c r="L2067" s="5"/>
      <c r="M2067" s="5"/>
      <c r="N2067" s="6" t="s">
        <v>40</v>
      </c>
      <c r="O2067" s="5" t="s">
        <v>5363</v>
      </c>
      <c r="P2067" s="6" t="s">
        <v>42</v>
      </c>
      <c r="Q2067" s="5" t="s">
        <v>1237</v>
      </c>
      <c r="R2067" s="5" t="s">
        <v>12754</v>
      </c>
      <c r="S2067" s="6" t="s">
        <v>56</v>
      </c>
      <c r="T2067" s="6">
        <v>6748.0</v>
      </c>
    </row>
    <row r="2068" ht="56.25" customHeight="1">
      <c r="A2068" s="5" t="s">
        <v>12748</v>
      </c>
      <c r="B2068" s="6" t="str">
        <f>image("https://storage.googleapis.com/acdb/photos/BromideNpcNmlCat03_Remake_2_0.png")</f>
        <v/>
      </c>
      <c r="C2068" s="5" t="s">
        <v>688</v>
      </c>
      <c r="D2068" s="5" t="s">
        <v>1327</v>
      </c>
      <c r="E2068" s="5" t="s">
        <v>34</v>
      </c>
      <c r="F2068" s="5" t="s">
        <v>34</v>
      </c>
      <c r="G2068" s="5" t="s">
        <v>36</v>
      </c>
      <c r="H2068" s="5" t="s">
        <v>35</v>
      </c>
      <c r="I2068" s="6">
        <v>1.0</v>
      </c>
      <c r="J2068" s="6" t="s">
        <v>37</v>
      </c>
      <c r="K2068" s="6">
        <v>10.0</v>
      </c>
      <c r="L2068" s="5"/>
      <c r="M2068" s="5"/>
      <c r="N2068" s="6" t="s">
        <v>40</v>
      </c>
      <c r="O2068" s="5" t="s">
        <v>5363</v>
      </c>
      <c r="P2068" s="6" t="s">
        <v>42</v>
      </c>
      <c r="Q2068" s="5" t="s">
        <v>1237</v>
      </c>
      <c r="R2068" s="5" t="s">
        <v>12759</v>
      </c>
      <c r="S2068" s="6" t="s">
        <v>67</v>
      </c>
      <c r="T2068" s="6">
        <v>6748.0</v>
      </c>
    </row>
    <row r="2069" ht="56.25" customHeight="1">
      <c r="A2069" s="5" t="s">
        <v>12748</v>
      </c>
      <c r="B2069" s="6" t="str">
        <f>image("https://storage.googleapis.com/acdb/photos/BromideNpcNmlCat03_Remake_3_0.png")</f>
        <v/>
      </c>
      <c r="C2069" s="5" t="s">
        <v>57</v>
      </c>
      <c r="D2069" s="5" t="s">
        <v>1327</v>
      </c>
      <c r="E2069" s="5" t="s">
        <v>34</v>
      </c>
      <c r="F2069" s="5" t="s">
        <v>34</v>
      </c>
      <c r="G2069" s="5" t="s">
        <v>36</v>
      </c>
      <c r="H2069" s="5" t="s">
        <v>35</v>
      </c>
      <c r="I2069" s="6">
        <v>1.0</v>
      </c>
      <c r="J2069" s="6" t="s">
        <v>37</v>
      </c>
      <c r="K2069" s="6">
        <v>10.0</v>
      </c>
      <c r="L2069" s="5"/>
      <c r="M2069" s="5"/>
      <c r="N2069" s="6" t="s">
        <v>40</v>
      </c>
      <c r="O2069" s="5" t="s">
        <v>5363</v>
      </c>
      <c r="P2069" s="6" t="s">
        <v>42</v>
      </c>
      <c r="Q2069" s="5" t="s">
        <v>1237</v>
      </c>
      <c r="R2069" s="5" t="s">
        <v>12761</v>
      </c>
      <c r="S2069" s="6" t="s">
        <v>71</v>
      </c>
      <c r="T2069" s="6">
        <v>6748.0</v>
      </c>
    </row>
    <row r="2070" ht="56.25" customHeight="1">
      <c r="A2070" s="5" t="s">
        <v>12748</v>
      </c>
      <c r="B2070" s="6" t="str">
        <f>image("https://storage.googleapis.com/acdb/photos/BromideNpcNmlCat03_Remake_4_0.png")</f>
        <v/>
      </c>
      <c r="C2070" s="5" t="s">
        <v>1167</v>
      </c>
      <c r="D2070" s="5" t="s">
        <v>1327</v>
      </c>
      <c r="E2070" s="5" t="s">
        <v>34</v>
      </c>
      <c r="F2070" s="5" t="s">
        <v>34</v>
      </c>
      <c r="G2070" s="5" t="s">
        <v>36</v>
      </c>
      <c r="H2070" s="5" t="s">
        <v>35</v>
      </c>
      <c r="I2070" s="6">
        <v>1.0</v>
      </c>
      <c r="J2070" s="6" t="s">
        <v>37</v>
      </c>
      <c r="K2070" s="6">
        <v>10.0</v>
      </c>
      <c r="L2070" s="5"/>
      <c r="M2070" s="5"/>
      <c r="N2070" s="6" t="s">
        <v>40</v>
      </c>
      <c r="O2070" s="5" t="s">
        <v>5363</v>
      </c>
      <c r="P2070" s="6" t="s">
        <v>42</v>
      </c>
      <c r="Q2070" s="5" t="s">
        <v>1237</v>
      </c>
      <c r="R2070" s="5" t="s">
        <v>12766</v>
      </c>
      <c r="S2070" s="6" t="s">
        <v>75</v>
      </c>
      <c r="T2070" s="6">
        <v>6748.0</v>
      </c>
    </row>
    <row r="2071" ht="56.25" customHeight="1">
      <c r="A2071" s="5" t="s">
        <v>12748</v>
      </c>
      <c r="B2071" s="6" t="str">
        <f>image("https://storage.googleapis.com/acdb/photos/BromideNpcNmlCat03_Remake_5_0.png")</f>
        <v/>
      </c>
      <c r="C2071" s="5" t="s">
        <v>58</v>
      </c>
      <c r="D2071" s="5" t="s">
        <v>1327</v>
      </c>
      <c r="E2071" s="5" t="s">
        <v>34</v>
      </c>
      <c r="F2071" s="5" t="s">
        <v>34</v>
      </c>
      <c r="G2071" s="5" t="s">
        <v>36</v>
      </c>
      <c r="H2071" s="5" t="s">
        <v>35</v>
      </c>
      <c r="I2071" s="6">
        <v>1.0</v>
      </c>
      <c r="J2071" s="6" t="s">
        <v>37</v>
      </c>
      <c r="K2071" s="6">
        <v>10.0</v>
      </c>
      <c r="L2071" s="5"/>
      <c r="M2071" s="5"/>
      <c r="N2071" s="6" t="s">
        <v>40</v>
      </c>
      <c r="O2071" s="5" t="s">
        <v>5363</v>
      </c>
      <c r="P2071" s="6" t="s">
        <v>42</v>
      </c>
      <c r="Q2071" s="5" t="s">
        <v>1237</v>
      </c>
      <c r="R2071" s="5" t="s">
        <v>12768</v>
      </c>
      <c r="S2071" s="6" t="s">
        <v>79</v>
      </c>
      <c r="T2071" s="6">
        <v>6748.0</v>
      </c>
    </row>
    <row r="2072" ht="56.25" customHeight="1">
      <c r="A2072" s="5" t="s">
        <v>12748</v>
      </c>
      <c r="B2072" s="6" t="str">
        <f>image("https://storage.googleapis.com/acdb/photos/BromideNpcNmlCat03_Remake_6_0.png")</f>
        <v/>
      </c>
      <c r="C2072" s="5" t="s">
        <v>146</v>
      </c>
      <c r="D2072" s="5" t="s">
        <v>1327</v>
      </c>
      <c r="E2072" s="5" t="s">
        <v>34</v>
      </c>
      <c r="F2072" s="5" t="s">
        <v>34</v>
      </c>
      <c r="G2072" s="5" t="s">
        <v>36</v>
      </c>
      <c r="H2072" s="5" t="s">
        <v>35</v>
      </c>
      <c r="I2072" s="6">
        <v>1.0</v>
      </c>
      <c r="J2072" s="6" t="s">
        <v>37</v>
      </c>
      <c r="K2072" s="6">
        <v>10.0</v>
      </c>
      <c r="L2072" s="5"/>
      <c r="M2072" s="5"/>
      <c r="N2072" s="6" t="s">
        <v>40</v>
      </c>
      <c r="O2072" s="5" t="s">
        <v>5363</v>
      </c>
      <c r="P2072" s="6" t="s">
        <v>42</v>
      </c>
      <c r="Q2072" s="5" t="s">
        <v>1237</v>
      </c>
      <c r="R2072" s="5" t="s">
        <v>12773</v>
      </c>
      <c r="S2072" s="6" t="s">
        <v>86</v>
      </c>
      <c r="T2072" s="6">
        <v>6748.0</v>
      </c>
    </row>
    <row r="2073" ht="56.25" customHeight="1">
      <c r="A2073" s="5" t="s">
        <v>12748</v>
      </c>
      <c r="B2073" s="6" t="str">
        <f>image("https://storage.googleapis.com/acdb/photos/BromideNpcNmlCat03_Remake_7_0.png")</f>
        <v/>
      </c>
      <c r="C2073" s="5" t="s">
        <v>151</v>
      </c>
      <c r="D2073" s="5" t="s">
        <v>1327</v>
      </c>
      <c r="E2073" s="5" t="s">
        <v>34</v>
      </c>
      <c r="F2073" s="5" t="s">
        <v>34</v>
      </c>
      <c r="G2073" s="5" t="s">
        <v>36</v>
      </c>
      <c r="H2073" s="5" t="s">
        <v>35</v>
      </c>
      <c r="I2073" s="6">
        <v>1.0</v>
      </c>
      <c r="J2073" s="6" t="s">
        <v>37</v>
      </c>
      <c r="K2073" s="6">
        <v>10.0</v>
      </c>
      <c r="L2073" s="5"/>
      <c r="M2073" s="5"/>
      <c r="N2073" s="6" t="s">
        <v>40</v>
      </c>
      <c r="O2073" s="5" t="s">
        <v>5363</v>
      </c>
      <c r="P2073" s="6" t="s">
        <v>42</v>
      </c>
      <c r="Q2073" s="5" t="s">
        <v>1237</v>
      </c>
      <c r="R2073" s="5" t="s">
        <v>12774</v>
      </c>
      <c r="S2073" s="6" t="s">
        <v>208</v>
      </c>
      <c r="T2073" s="6">
        <v>6748.0</v>
      </c>
    </row>
    <row r="2074" ht="56.25" customHeight="1">
      <c r="A2074" s="5" t="s">
        <v>12776</v>
      </c>
      <c r="B2074" s="6" t="str">
        <f>image("https://storage.googleapis.com/acdb/photos/BromideNpcNmlElp00_Remake_0_0.png")</f>
        <v/>
      </c>
      <c r="C2074" s="5" t="s">
        <v>366</v>
      </c>
      <c r="D2074" s="5" t="s">
        <v>1327</v>
      </c>
      <c r="E2074" s="5" t="s">
        <v>34</v>
      </c>
      <c r="F2074" s="5" t="s">
        <v>34</v>
      </c>
      <c r="G2074" s="5" t="s">
        <v>36</v>
      </c>
      <c r="H2074" s="5" t="s">
        <v>35</v>
      </c>
      <c r="I2074" s="6">
        <v>1.0</v>
      </c>
      <c r="J2074" s="6" t="s">
        <v>37</v>
      </c>
      <c r="K2074" s="6">
        <v>10.0</v>
      </c>
      <c r="L2074" s="5"/>
      <c r="M2074" s="5"/>
      <c r="N2074" s="6" t="s">
        <v>40</v>
      </c>
      <c r="O2074" s="5" t="s">
        <v>5363</v>
      </c>
      <c r="P2074" s="6" t="s">
        <v>42</v>
      </c>
      <c r="Q2074" s="5" t="s">
        <v>1237</v>
      </c>
      <c r="R2074" s="5" t="s">
        <v>12778</v>
      </c>
      <c r="S2074" s="6" t="s">
        <v>50</v>
      </c>
      <c r="T2074" s="6">
        <v>6473.0</v>
      </c>
    </row>
    <row r="2075" ht="56.25" customHeight="1">
      <c r="A2075" s="5" t="s">
        <v>12776</v>
      </c>
      <c r="B2075" s="6" t="str">
        <f>image("https://storage.googleapis.com/acdb/photos/BromideNpcNmlElp00_Remake_1_0.png")</f>
        <v/>
      </c>
      <c r="C2075" s="5" t="s">
        <v>1132</v>
      </c>
      <c r="D2075" s="5" t="s">
        <v>1327</v>
      </c>
      <c r="E2075" s="5" t="s">
        <v>34</v>
      </c>
      <c r="F2075" s="5" t="s">
        <v>34</v>
      </c>
      <c r="G2075" s="5" t="s">
        <v>36</v>
      </c>
      <c r="H2075" s="5" t="s">
        <v>35</v>
      </c>
      <c r="I2075" s="6">
        <v>1.0</v>
      </c>
      <c r="J2075" s="6" t="s">
        <v>37</v>
      </c>
      <c r="K2075" s="6">
        <v>10.0</v>
      </c>
      <c r="L2075" s="5"/>
      <c r="M2075" s="5"/>
      <c r="N2075" s="6" t="s">
        <v>40</v>
      </c>
      <c r="O2075" s="5" t="s">
        <v>5363</v>
      </c>
      <c r="P2075" s="6" t="s">
        <v>42</v>
      </c>
      <c r="Q2075" s="5" t="s">
        <v>1237</v>
      </c>
      <c r="R2075" s="5" t="s">
        <v>12780</v>
      </c>
      <c r="S2075" s="6" t="s">
        <v>56</v>
      </c>
      <c r="T2075" s="6">
        <v>6473.0</v>
      </c>
    </row>
    <row r="2076" ht="56.25" customHeight="1">
      <c r="A2076" s="5" t="s">
        <v>12776</v>
      </c>
      <c r="B2076" s="6" t="str">
        <f>image("https://storage.googleapis.com/acdb/photos/BromideNpcNmlElp00_Remake_2_0.png")</f>
        <v/>
      </c>
      <c r="C2076" s="5" t="s">
        <v>688</v>
      </c>
      <c r="D2076" s="5" t="s">
        <v>1327</v>
      </c>
      <c r="E2076" s="5" t="s">
        <v>34</v>
      </c>
      <c r="F2076" s="5" t="s">
        <v>34</v>
      </c>
      <c r="G2076" s="5" t="s">
        <v>36</v>
      </c>
      <c r="H2076" s="5" t="s">
        <v>35</v>
      </c>
      <c r="I2076" s="6">
        <v>1.0</v>
      </c>
      <c r="J2076" s="6" t="s">
        <v>37</v>
      </c>
      <c r="K2076" s="6">
        <v>10.0</v>
      </c>
      <c r="L2076" s="5"/>
      <c r="M2076" s="5"/>
      <c r="N2076" s="6" t="s">
        <v>40</v>
      </c>
      <c r="O2076" s="5" t="s">
        <v>5363</v>
      </c>
      <c r="P2076" s="6" t="s">
        <v>42</v>
      </c>
      <c r="Q2076" s="5" t="s">
        <v>1237</v>
      </c>
      <c r="R2076" s="5" t="s">
        <v>12784</v>
      </c>
      <c r="S2076" s="6" t="s">
        <v>67</v>
      </c>
      <c r="T2076" s="6">
        <v>6473.0</v>
      </c>
    </row>
    <row r="2077" ht="56.25" customHeight="1">
      <c r="A2077" s="5" t="s">
        <v>12776</v>
      </c>
      <c r="B2077" s="6" t="str">
        <f>image("https://storage.googleapis.com/acdb/photos/BromideNpcNmlElp00_Remake_3_0.png")</f>
        <v/>
      </c>
      <c r="C2077" s="5" t="s">
        <v>57</v>
      </c>
      <c r="D2077" s="5" t="s">
        <v>1327</v>
      </c>
      <c r="E2077" s="5" t="s">
        <v>34</v>
      </c>
      <c r="F2077" s="5" t="s">
        <v>34</v>
      </c>
      <c r="G2077" s="5" t="s">
        <v>36</v>
      </c>
      <c r="H2077" s="5" t="s">
        <v>35</v>
      </c>
      <c r="I2077" s="6">
        <v>1.0</v>
      </c>
      <c r="J2077" s="6" t="s">
        <v>37</v>
      </c>
      <c r="K2077" s="6">
        <v>10.0</v>
      </c>
      <c r="L2077" s="5"/>
      <c r="M2077" s="5"/>
      <c r="N2077" s="6" t="s">
        <v>40</v>
      </c>
      <c r="O2077" s="5" t="s">
        <v>5363</v>
      </c>
      <c r="P2077" s="6" t="s">
        <v>42</v>
      </c>
      <c r="Q2077" s="5" t="s">
        <v>1237</v>
      </c>
      <c r="R2077" s="5" t="s">
        <v>12786</v>
      </c>
      <c r="S2077" s="6" t="s">
        <v>71</v>
      </c>
      <c r="T2077" s="6">
        <v>6473.0</v>
      </c>
    </row>
    <row r="2078" ht="56.25" customHeight="1">
      <c r="A2078" s="5" t="s">
        <v>12776</v>
      </c>
      <c r="B2078" s="6" t="str">
        <f>image("https://storage.googleapis.com/acdb/photos/BromideNpcNmlElp00_Remake_4_0.png")</f>
        <v/>
      </c>
      <c r="C2078" s="5" t="s">
        <v>1167</v>
      </c>
      <c r="D2078" s="5" t="s">
        <v>1327</v>
      </c>
      <c r="E2078" s="5" t="s">
        <v>34</v>
      </c>
      <c r="F2078" s="5" t="s">
        <v>34</v>
      </c>
      <c r="G2078" s="5" t="s">
        <v>36</v>
      </c>
      <c r="H2078" s="5" t="s">
        <v>35</v>
      </c>
      <c r="I2078" s="6">
        <v>1.0</v>
      </c>
      <c r="J2078" s="6" t="s">
        <v>37</v>
      </c>
      <c r="K2078" s="6">
        <v>10.0</v>
      </c>
      <c r="L2078" s="5"/>
      <c r="M2078" s="5"/>
      <c r="N2078" s="6" t="s">
        <v>40</v>
      </c>
      <c r="O2078" s="5" t="s">
        <v>5363</v>
      </c>
      <c r="P2078" s="6" t="s">
        <v>42</v>
      </c>
      <c r="Q2078" s="5" t="s">
        <v>1237</v>
      </c>
      <c r="R2078" s="5" t="s">
        <v>12789</v>
      </c>
      <c r="S2078" s="6" t="s">
        <v>75</v>
      </c>
      <c r="T2078" s="6">
        <v>6473.0</v>
      </c>
    </row>
    <row r="2079" ht="56.25" customHeight="1">
      <c r="A2079" s="5" t="s">
        <v>12776</v>
      </c>
      <c r="B2079" s="6" t="str">
        <f>image("https://storage.googleapis.com/acdb/photos/BromideNpcNmlElp00_Remake_5_0.png")</f>
        <v/>
      </c>
      <c r="C2079" s="5" t="s">
        <v>58</v>
      </c>
      <c r="D2079" s="5" t="s">
        <v>1327</v>
      </c>
      <c r="E2079" s="5" t="s">
        <v>34</v>
      </c>
      <c r="F2079" s="5" t="s">
        <v>34</v>
      </c>
      <c r="G2079" s="5" t="s">
        <v>36</v>
      </c>
      <c r="H2079" s="5" t="s">
        <v>35</v>
      </c>
      <c r="I2079" s="6">
        <v>1.0</v>
      </c>
      <c r="J2079" s="6" t="s">
        <v>37</v>
      </c>
      <c r="K2079" s="6">
        <v>10.0</v>
      </c>
      <c r="L2079" s="5"/>
      <c r="M2079" s="5"/>
      <c r="N2079" s="6" t="s">
        <v>40</v>
      </c>
      <c r="O2079" s="5" t="s">
        <v>5363</v>
      </c>
      <c r="P2079" s="6" t="s">
        <v>42</v>
      </c>
      <c r="Q2079" s="5" t="s">
        <v>1237</v>
      </c>
      <c r="R2079" s="5" t="s">
        <v>12792</v>
      </c>
      <c r="S2079" s="6" t="s">
        <v>79</v>
      </c>
      <c r="T2079" s="6">
        <v>6473.0</v>
      </c>
    </row>
    <row r="2080" ht="56.25" customHeight="1">
      <c r="A2080" s="5" t="s">
        <v>12776</v>
      </c>
      <c r="B2080" s="6" t="str">
        <f>image("https://storage.googleapis.com/acdb/photos/BromideNpcNmlElp00_Remake_6_0.png")</f>
        <v/>
      </c>
      <c r="C2080" s="5" t="s">
        <v>146</v>
      </c>
      <c r="D2080" s="5" t="s">
        <v>1327</v>
      </c>
      <c r="E2080" s="5" t="s">
        <v>34</v>
      </c>
      <c r="F2080" s="5" t="s">
        <v>34</v>
      </c>
      <c r="G2080" s="5" t="s">
        <v>36</v>
      </c>
      <c r="H2080" s="5" t="s">
        <v>35</v>
      </c>
      <c r="I2080" s="6">
        <v>1.0</v>
      </c>
      <c r="J2080" s="6" t="s">
        <v>37</v>
      </c>
      <c r="K2080" s="6">
        <v>10.0</v>
      </c>
      <c r="L2080" s="5"/>
      <c r="M2080" s="5"/>
      <c r="N2080" s="6" t="s">
        <v>40</v>
      </c>
      <c r="O2080" s="5" t="s">
        <v>5363</v>
      </c>
      <c r="P2080" s="6" t="s">
        <v>42</v>
      </c>
      <c r="Q2080" s="5" t="s">
        <v>1237</v>
      </c>
      <c r="R2080" s="5" t="s">
        <v>12795</v>
      </c>
      <c r="S2080" s="6" t="s">
        <v>86</v>
      </c>
      <c r="T2080" s="6">
        <v>6473.0</v>
      </c>
    </row>
    <row r="2081" ht="56.25" customHeight="1">
      <c r="A2081" s="5" t="s">
        <v>12776</v>
      </c>
      <c r="B2081" s="6" t="str">
        <f>image("https://storage.googleapis.com/acdb/photos/BromideNpcNmlElp00_Remake_7_0.png")</f>
        <v/>
      </c>
      <c r="C2081" s="5" t="s">
        <v>151</v>
      </c>
      <c r="D2081" s="5" t="s">
        <v>1327</v>
      </c>
      <c r="E2081" s="5" t="s">
        <v>34</v>
      </c>
      <c r="F2081" s="5" t="s">
        <v>34</v>
      </c>
      <c r="G2081" s="5" t="s">
        <v>36</v>
      </c>
      <c r="H2081" s="5" t="s">
        <v>35</v>
      </c>
      <c r="I2081" s="6">
        <v>1.0</v>
      </c>
      <c r="J2081" s="6" t="s">
        <v>37</v>
      </c>
      <c r="K2081" s="6">
        <v>10.0</v>
      </c>
      <c r="L2081" s="5"/>
      <c r="M2081" s="5"/>
      <c r="N2081" s="6" t="s">
        <v>40</v>
      </c>
      <c r="O2081" s="5" t="s">
        <v>5363</v>
      </c>
      <c r="P2081" s="6" t="s">
        <v>42</v>
      </c>
      <c r="Q2081" s="5" t="s">
        <v>1237</v>
      </c>
      <c r="R2081" s="5" t="s">
        <v>12797</v>
      </c>
      <c r="S2081" s="6" t="s">
        <v>208</v>
      </c>
      <c r="T2081" s="6">
        <v>6473.0</v>
      </c>
    </row>
    <row r="2082" ht="56.25" customHeight="1">
      <c r="A2082" s="5" t="s">
        <v>12798</v>
      </c>
      <c r="B2082" s="6" t="str">
        <f>image("https://storage.googleapis.com/acdb/photos/BromideNpcNmlKal05_Remake_0_0.png")</f>
        <v/>
      </c>
      <c r="C2082" s="5" t="s">
        <v>366</v>
      </c>
      <c r="D2082" s="5" t="s">
        <v>1327</v>
      </c>
      <c r="E2082" s="5" t="s">
        <v>34</v>
      </c>
      <c r="F2082" s="5" t="s">
        <v>34</v>
      </c>
      <c r="G2082" s="5" t="s">
        <v>36</v>
      </c>
      <c r="H2082" s="5" t="s">
        <v>35</v>
      </c>
      <c r="I2082" s="6">
        <v>1.0</v>
      </c>
      <c r="J2082" s="6" t="s">
        <v>37</v>
      </c>
      <c r="K2082" s="6">
        <v>10.0</v>
      </c>
      <c r="L2082" s="5"/>
      <c r="M2082" s="5"/>
      <c r="N2082" s="6" t="s">
        <v>40</v>
      </c>
      <c r="O2082" s="5" t="s">
        <v>5363</v>
      </c>
      <c r="P2082" s="6" t="s">
        <v>42</v>
      </c>
      <c r="Q2082" s="5" t="s">
        <v>1237</v>
      </c>
      <c r="R2082" s="5" t="s">
        <v>12799</v>
      </c>
      <c r="S2082" s="6" t="s">
        <v>50</v>
      </c>
      <c r="T2082" s="6">
        <v>6559.0</v>
      </c>
    </row>
    <row r="2083" ht="56.25" customHeight="1">
      <c r="A2083" s="5" t="s">
        <v>12798</v>
      </c>
      <c r="B2083" s="6" t="str">
        <f>image("https://storage.googleapis.com/acdb/photos/BromideNpcNmlKal05_Remake_1_0.png")</f>
        <v/>
      </c>
      <c r="C2083" s="5" t="s">
        <v>1132</v>
      </c>
      <c r="D2083" s="5" t="s">
        <v>1327</v>
      </c>
      <c r="E2083" s="5" t="s">
        <v>34</v>
      </c>
      <c r="F2083" s="5" t="s">
        <v>34</v>
      </c>
      <c r="G2083" s="5" t="s">
        <v>36</v>
      </c>
      <c r="H2083" s="5" t="s">
        <v>35</v>
      </c>
      <c r="I2083" s="6">
        <v>1.0</v>
      </c>
      <c r="J2083" s="6" t="s">
        <v>37</v>
      </c>
      <c r="K2083" s="6">
        <v>10.0</v>
      </c>
      <c r="L2083" s="5"/>
      <c r="M2083" s="5"/>
      <c r="N2083" s="6" t="s">
        <v>40</v>
      </c>
      <c r="O2083" s="5" t="s">
        <v>5363</v>
      </c>
      <c r="P2083" s="6" t="s">
        <v>42</v>
      </c>
      <c r="Q2083" s="5" t="s">
        <v>1237</v>
      </c>
      <c r="R2083" s="5" t="s">
        <v>12802</v>
      </c>
      <c r="S2083" s="6" t="s">
        <v>56</v>
      </c>
      <c r="T2083" s="6">
        <v>6559.0</v>
      </c>
    </row>
    <row r="2084" ht="56.25" customHeight="1">
      <c r="A2084" s="5" t="s">
        <v>12798</v>
      </c>
      <c r="B2084" s="6" t="str">
        <f>image("https://storage.googleapis.com/acdb/photos/BromideNpcNmlKal05_Remake_2_0.png")</f>
        <v/>
      </c>
      <c r="C2084" s="5" t="s">
        <v>688</v>
      </c>
      <c r="D2084" s="5" t="s">
        <v>1327</v>
      </c>
      <c r="E2084" s="5" t="s">
        <v>34</v>
      </c>
      <c r="F2084" s="5" t="s">
        <v>34</v>
      </c>
      <c r="G2084" s="5" t="s">
        <v>36</v>
      </c>
      <c r="H2084" s="5" t="s">
        <v>35</v>
      </c>
      <c r="I2084" s="6">
        <v>1.0</v>
      </c>
      <c r="J2084" s="6" t="s">
        <v>37</v>
      </c>
      <c r="K2084" s="6">
        <v>10.0</v>
      </c>
      <c r="L2084" s="5"/>
      <c r="M2084" s="5"/>
      <c r="N2084" s="6" t="s">
        <v>40</v>
      </c>
      <c r="O2084" s="5" t="s">
        <v>5363</v>
      </c>
      <c r="P2084" s="6" t="s">
        <v>42</v>
      </c>
      <c r="Q2084" s="5" t="s">
        <v>1237</v>
      </c>
      <c r="R2084" s="5" t="s">
        <v>12804</v>
      </c>
      <c r="S2084" s="6" t="s">
        <v>67</v>
      </c>
      <c r="T2084" s="6">
        <v>6559.0</v>
      </c>
    </row>
    <row r="2085" ht="56.25" customHeight="1">
      <c r="A2085" s="5" t="s">
        <v>12798</v>
      </c>
      <c r="B2085" s="6" t="str">
        <f>image("https://storage.googleapis.com/acdb/photos/BromideNpcNmlKal05_Remake_3_0.png")</f>
        <v/>
      </c>
      <c r="C2085" s="5" t="s">
        <v>57</v>
      </c>
      <c r="D2085" s="5" t="s">
        <v>1327</v>
      </c>
      <c r="E2085" s="5" t="s">
        <v>34</v>
      </c>
      <c r="F2085" s="5" t="s">
        <v>34</v>
      </c>
      <c r="G2085" s="5" t="s">
        <v>36</v>
      </c>
      <c r="H2085" s="5" t="s">
        <v>35</v>
      </c>
      <c r="I2085" s="6">
        <v>1.0</v>
      </c>
      <c r="J2085" s="6" t="s">
        <v>37</v>
      </c>
      <c r="K2085" s="6">
        <v>10.0</v>
      </c>
      <c r="L2085" s="5"/>
      <c r="M2085" s="5"/>
      <c r="N2085" s="6" t="s">
        <v>40</v>
      </c>
      <c r="O2085" s="5" t="s">
        <v>5363</v>
      </c>
      <c r="P2085" s="6" t="s">
        <v>42</v>
      </c>
      <c r="Q2085" s="5" t="s">
        <v>1237</v>
      </c>
      <c r="R2085" s="5" t="s">
        <v>12807</v>
      </c>
      <c r="S2085" s="6" t="s">
        <v>71</v>
      </c>
      <c r="T2085" s="6">
        <v>6559.0</v>
      </c>
    </row>
    <row r="2086" ht="56.25" customHeight="1">
      <c r="A2086" s="5" t="s">
        <v>12798</v>
      </c>
      <c r="B2086" s="6" t="str">
        <f>image("https://storage.googleapis.com/acdb/photos/BromideNpcNmlKal05_Remake_4_0.png")</f>
        <v/>
      </c>
      <c r="C2086" s="5" t="s">
        <v>1167</v>
      </c>
      <c r="D2086" s="5" t="s">
        <v>1327</v>
      </c>
      <c r="E2086" s="5" t="s">
        <v>34</v>
      </c>
      <c r="F2086" s="5" t="s">
        <v>34</v>
      </c>
      <c r="G2086" s="5" t="s">
        <v>36</v>
      </c>
      <c r="H2086" s="5" t="s">
        <v>35</v>
      </c>
      <c r="I2086" s="6">
        <v>1.0</v>
      </c>
      <c r="J2086" s="6" t="s">
        <v>37</v>
      </c>
      <c r="K2086" s="6">
        <v>10.0</v>
      </c>
      <c r="L2086" s="5"/>
      <c r="M2086" s="5"/>
      <c r="N2086" s="6" t="s">
        <v>40</v>
      </c>
      <c r="O2086" s="5" t="s">
        <v>5363</v>
      </c>
      <c r="P2086" s="6" t="s">
        <v>42</v>
      </c>
      <c r="Q2086" s="5" t="s">
        <v>1237</v>
      </c>
      <c r="R2086" s="5" t="s">
        <v>12809</v>
      </c>
      <c r="S2086" s="6" t="s">
        <v>75</v>
      </c>
      <c r="T2086" s="6">
        <v>6559.0</v>
      </c>
    </row>
    <row r="2087" ht="56.25" customHeight="1">
      <c r="A2087" s="5" t="s">
        <v>12798</v>
      </c>
      <c r="B2087" s="6" t="str">
        <f>image("https://storage.googleapis.com/acdb/photos/BromideNpcNmlKal05_Remake_5_0.png")</f>
        <v/>
      </c>
      <c r="C2087" s="5" t="s">
        <v>58</v>
      </c>
      <c r="D2087" s="5" t="s">
        <v>1327</v>
      </c>
      <c r="E2087" s="5" t="s">
        <v>34</v>
      </c>
      <c r="F2087" s="5" t="s">
        <v>34</v>
      </c>
      <c r="G2087" s="5" t="s">
        <v>36</v>
      </c>
      <c r="H2087" s="5" t="s">
        <v>35</v>
      </c>
      <c r="I2087" s="6">
        <v>1.0</v>
      </c>
      <c r="J2087" s="6" t="s">
        <v>37</v>
      </c>
      <c r="K2087" s="6">
        <v>10.0</v>
      </c>
      <c r="L2087" s="5"/>
      <c r="M2087" s="5"/>
      <c r="N2087" s="6" t="s">
        <v>40</v>
      </c>
      <c r="O2087" s="5" t="s">
        <v>5363</v>
      </c>
      <c r="P2087" s="6" t="s">
        <v>42</v>
      </c>
      <c r="Q2087" s="5" t="s">
        <v>1237</v>
      </c>
      <c r="R2087" s="5" t="s">
        <v>12813</v>
      </c>
      <c r="S2087" s="6" t="s">
        <v>79</v>
      </c>
      <c r="T2087" s="6">
        <v>6559.0</v>
      </c>
    </row>
    <row r="2088" ht="56.25" customHeight="1">
      <c r="A2088" s="5" t="s">
        <v>12798</v>
      </c>
      <c r="B2088" s="6" t="str">
        <f>image("https://storage.googleapis.com/acdb/photos/BromideNpcNmlKal05_Remake_6_0.png")</f>
        <v/>
      </c>
      <c r="C2088" s="5" t="s">
        <v>146</v>
      </c>
      <c r="D2088" s="5" t="s">
        <v>1327</v>
      </c>
      <c r="E2088" s="5" t="s">
        <v>34</v>
      </c>
      <c r="F2088" s="5" t="s">
        <v>34</v>
      </c>
      <c r="G2088" s="5" t="s">
        <v>36</v>
      </c>
      <c r="H2088" s="5" t="s">
        <v>35</v>
      </c>
      <c r="I2088" s="6">
        <v>1.0</v>
      </c>
      <c r="J2088" s="6" t="s">
        <v>37</v>
      </c>
      <c r="K2088" s="6">
        <v>10.0</v>
      </c>
      <c r="L2088" s="5"/>
      <c r="M2088" s="5"/>
      <c r="N2088" s="6" t="s">
        <v>40</v>
      </c>
      <c r="O2088" s="5" t="s">
        <v>5363</v>
      </c>
      <c r="P2088" s="6" t="s">
        <v>42</v>
      </c>
      <c r="Q2088" s="5" t="s">
        <v>1237</v>
      </c>
      <c r="R2088" s="5" t="s">
        <v>12816</v>
      </c>
      <c r="S2088" s="6" t="s">
        <v>86</v>
      </c>
      <c r="T2088" s="6">
        <v>6559.0</v>
      </c>
    </row>
    <row r="2089" ht="56.25" customHeight="1">
      <c r="A2089" s="5" t="s">
        <v>12798</v>
      </c>
      <c r="B2089" s="6" t="str">
        <f>image("https://storage.googleapis.com/acdb/photos/BromideNpcNmlKal05_Remake_7_0.png")</f>
        <v/>
      </c>
      <c r="C2089" s="5" t="s">
        <v>151</v>
      </c>
      <c r="D2089" s="5" t="s">
        <v>1327</v>
      </c>
      <c r="E2089" s="5" t="s">
        <v>34</v>
      </c>
      <c r="F2089" s="5" t="s">
        <v>34</v>
      </c>
      <c r="G2089" s="5" t="s">
        <v>36</v>
      </c>
      <c r="H2089" s="5" t="s">
        <v>35</v>
      </c>
      <c r="I2089" s="6">
        <v>1.0</v>
      </c>
      <c r="J2089" s="6" t="s">
        <v>37</v>
      </c>
      <c r="K2089" s="6">
        <v>10.0</v>
      </c>
      <c r="L2089" s="5"/>
      <c r="M2089" s="5"/>
      <c r="N2089" s="6" t="s">
        <v>40</v>
      </c>
      <c r="O2089" s="5" t="s">
        <v>5363</v>
      </c>
      <c r="P2089" s="6" t="s">
        <v>42</v>
      </c>
      <c r="Q2089" s="5" t="s">
        <v>1237</v>
      </c>
      <c r="R2089" s="5" t="s">
        <v>12819</v>
      </c>
      <c r="S2089" s="6" t="s">
        <v>208</v>
      </c>
      <c r="T2089" s="6">
        <v>6559.0</v>
      </c>
    </row>
    <row r="2090" ht="56.25" customHeight="1">
      <c r="A2090" s="5" t="s">
        <v>12820</v>
      </c>
      <c r="B2090" s="6" t="str">
        <f>image("https://storage.googleapis.com/acdb/photos/BromideNpcNmlPig16_Remake_0_0.png")</f>
        <v/>
      </c>
      <c r="C2090" s="5" t="s">
        <v>366</v>
      </c>
      <c r="D2090" s="5" t="s">
        <v>1327</v>
      </c>
      <c r="E2090" s="5" t="s">
        <v>34</v>
      </c>
      <c r="F2090" s="5" t="s">
        <v>34</v>
      </c>
      <c r="G2090" s="5" t="s">
        <v>36</v>
      </c>
      <c r="H2090" s="5" t="s">
        <v>35</v>
      </c>
      <c r="I2090" s="6">
        <v>1.0</v>
      </c>
      <c r="J2090" s="6" t="s">
        <v>37</v>
      </c>
      <c r="K2090" s="6">
        <v>10.0</v>
      </c>
      <c r="L2090" s="5"/>
      <c r="M2090" s="5"/>
      <c r="N2090" s="6" t="s">
        <v>40</v>
      </c>
      <c r="O2090" s="5" t="s">
        <v>5363</v>
      </c>
      <c r="P2090" s="6" t="s">
        <v>42</v>
      </c>
      <c r="Q2090" s="5" t="s">
        <v>1237</v>
      </c>
      <c r="R2090" s="5" t="s">
        <v>12822</v>
      </c>
      <c r="S2090" s="6" t="s">
        <v>50</v>
      </c>
      <c r="T2090" s="6">
        <v>6659.0</v>
      </c>
    </row>
    <row r="2091" ht="56.25" customHeight="1">
      <c r="A2091" s="5" t="s">
        <v>12820</v>
      </c>
      <c r="B2091" s="6" t="str">
        <f>image("https://storage.googleapis.com/acdb/photos/BromideNpcNmlPig16_Remake_1_0.png")</f>
        <v/>
      </c>
      <c r="C2091" s="5" t="s">
        <v>1132</v>
      </c>
      <c r="D2091" s="5" t="s">
        <v>1327</v>
      </c>
      <c r="E2091" s="5" t="s">
        <v>34</v>
      </c>
      <c r="F2091" s="5" t="s">
        <v>34</v>
      </c>
      <c r="G2091" s="5" t="s">
        <v>36</v>
      </c>
      <c r="H2091" s="5" t="s">
        <v>35</v>
      </c>
      <c r="I2091" s="6">
        <v>1.0</v>
      </c>
      <c r="J2091" s="6" t="s">
        <v>37</v>
      </c>
      <c r="K2091" s="6">
        <v>10.0</v>
      </c>
      <c r="L2091" s="5"/>
      <c r="M2091" s="5"/>
      <c r="N2091" s="6" t="s">
        <v>40</v>
      </c>
      <c r="O2091" s="5" t="s">
        <v>5363</v>
      </c>
      <c r="P2091" s="6" t="s">
        <v>42</v>
      </c>
      <c r="Q2091" s="5" t="s">
        <v>1237</v>
      </c>
      <c r="R2091" s="5" t="s">
        <v>12825</v>
      </c>
      <c r="S2091" s="6" t="s">
        <v>56</v>
      </c>
      <c r="T2091" s="6">
        <v>6659.0</v>
      </c>
    </row>
    <row r="2092" ht="56.25" customHeight="1">
      <c r="A2092" s="5" t="s">
        <v>12820</v>
      </c>
      <c r="B2092" s="6" t="str">
        <f>image("https://storage.googleapis.com/acdb/photos/BromideNpcNmlPig16_Remake_2_0.png")</f>
        <v/>
      </c>
      <c r="C2092" s="5" t="s">
        <v>688</v>
      </c>
      <c r="D2092" s="5" t="s">
        <v>1327</v>
      </c>
      <c r="E2092" s="5" t="s">
        <v>34</v>
      </c>
      <c r="F2092" s="5" t="s">
        <v>34</v>
      </c>
      <c r="G2092" s="5" t="s">
        <v>36</v>
      </c>
      <c r="H2092" s="5" t="s">
        <v>35</v>
      </c>
      <c r="I2092" s="6">
        <v>1.0</v>
      </c>
      <c r="J2092" s="6" t="s">
        <v>37</v>
      </c>
      <c r="K2092" s="6">
        <v>10.0</v>
      </c>
      <c r="L2092" s="5"/>
      <c r="M2092" s="5"/>
      <c r="N2092" s="6" t="s">
        <v>40</v>
      </c>
      <c r="O2092" s="5" t="s">
        <v>5363</v>
      </c>
      <c r="P2092" s="6" t="s">
        <v>42</v>
      </c>
      <c r="Q2092" s="5" t="s">
        <v>1237</v>
      </c>
      <c r="R2092" s="5" t="s">
        <v>12828</v>
      </c>
      <c r="S2092" s="6" t="s">
        <v>67</v>
      </c>
      <c r="T2092" s="6">
        <v>6659.0</v>
      </c>
    </row>
    <row r="2093" ht="56.25" customHeight="1">
      <c r="A2093" s="5" t="s">
        <v>12820</v>
      </c>
      <c r="B2093" s="6" t="str">
        <f>image("https://storage.googleapis.com/acdb/photos/BromideNpcNmlPig16_Remake_3_0.png")</f>
        <v/>
      </c>
      <c r="C2093" s="5" t="s">
        <v>57</v>
      </c>
      <c r="D2093" s="5" t="s">
        <v>1327</v>
      </c>
      <c r="E2093" s="5" t="s">
        <v>34</v>
      </c>
      <c r="F2093" s="5" t="s">
        <v>34</v>
      </c>
      <c r="G2093" s="5" t="s">
        <v>36</v>
      </c>
      <c r="H2093" s="5" t="s">
        <v>35</v>
      </c>
      <c r="I2093" s="6">
        <v>1.0</v>
      </c>
      <c r="J2093" s="6" t="s">
        <v>37</v>
      </c>
      <c r="K2093" s="6">
        <v>10.0</v>
      </c>
      <c r="L2093" s="5"/>
      <c r="M2093" s="5"/>
      <c r="N2093" s="6" t="s">
        <v>40</v>
      </c>
      <c r="O2093" s="5" t="s">
        <v>5363</v>
      </c>
      <c r="P2093" s="6" t="s">
        <v>42</v>
      </c>
      <c r="Q2093" s="5" t="s">
        <v>1237</v>
      </c>
      <c r="R2093" s="5" t="s">
        <v>12831</v>
      </c>
      <c r="S2093" s="6" t="s">
        <v>71</v>
      </c>
      <c r="T2093" s="6">
        <v>6659.0</v>
      </c>
    </row>
    <row r="2094" ht="56.25" customHeight="1">
      <c r="A2094" s="5" t="s">
        <v>12820</v>
      </c>
      <c r="B2094" s="6" t="str">
        <f>image("https://storage.googleapis.com/acdb/photos/BromideNpcNmlPig16_Remake_4_0.png")</f>
        <v/>
      </c>
      <c r="C2094" s="5" t="s">
        <v>1167</v>
      </c>
      <c r="D2094" s="5" t="s">
        <v>1327</v>
      </c>
      <c r="E2094" s="5" t="s">
        <v>34</v>
      </c>
      <c r="F2094" s="5" t="s">
        <v>34</v>
      </c>
      <c r="G2094" s="5" t="s">
        <v>36</v>
      </c>
      <c r="H2094" s="5" t="s">
        <v>35</v>
      </c>
      <c r="I2094" s="6">
        <v>1.0</v>
      </c>
      <c r="J2094" s="6" t="s">
        <v>37</v>
      </c>
      <c r="K2094" s="6">
        <v>10.0</v>
      </c>
      <c r="L2094" s="5"/>
      <c r="M2094" s="5"/>
      <c r="N2094" s="6" t="s">
        <v>40</v>
      </c>
      <c r="O2094" s="5" t="s">
        <v>5363</v>
      </c>
      <c r="P2094" s="6" t="s">
        <v>42</v>
      </c>
      <c r="Q2094" s="5" t="s">
        <v>1237</v>
      </c>
      <c r="R2094" s="5" t="s">
        <v>12832</v>
      </c>
      <c r="S2094" s="6" t="s">
        <v>75</v>
      </c>
      <c r="T2094" s="6">
        <v>6659.0</v>
      </c>
    </row>
    <row r="2095" ht="56.25" customHeight="1">
      <c r="A2095" s="5" t="s">
        <v>12820</v>
      </c>
      <c r="B2095" s="6" t="str">
        <f>image("https://storage.googleapis.com/acdb/photos/BromideNpcNmlPig16_Remake_5_0.png")</f>
        <v/>
      </c>
      <c r="C2095" s="5" t="s">
        <v>58</v>
      </c>
      <c r="D2095" s="5" t="s">
        <v>1327</v>
      </c>
      <c r="E2095" s="5" t="s">
        <v>34</v>
      </c>
      <c r="F2095" s="5" t="s">
        <v>34</v>
      </c>
      <c r="G2095" s="5" t="s">
        <v>36</v>
      </c>
      <c r="H2095" s="5" t="s">
        <v>35</v>
      </c>
      <c r="I2095" s="6">
        <v>1.0</v>
      </c>
      <c r="J2095" s="6" t="s">
        <v>37</v>
      </c>
      <c r="K2095" s="6">
        <v>10.0</v>
      </c>
      <c r="L2095" s="5"/>
      <c r="M2095" s="5"/>
      <c r="N2095" s="6" t="s">
        <v>40</v>
      </c>
      <c r="O2095" s="5" t="s">
        <v>5363</v>
      </c>
      <c r="P2095" s="6" t="s">
        <v>42</v>
      </c>
      <c r="Q2095" s="5" t="s">
        <v>1237</v>
      </c>
      <c r="R2095" s="5" t="s">
        <v>12834</v>
      </c>
      <c r="S2095" s="6" t="s">
        <v>79</v>
      </c>
      <c r="T2095" s="6">
        <v>6659.0</v>
      </c>
    </row>
    <row r="2096" ht="56.25" customHeight="1">
      <c r="A2096" s="5" t="s">
        <v>12820</v>
      </c>
      <c r="B2096" s="6" t="str">
        <f>image("https://storage.googleapis.com/acdb/photos/BromideNpcNmlPig16_Remake_6_0.png")</f>
        <v/>
      </c>
      <c r="C2096" s="5" t="s">
        <v>146</v>
      </c>
      <c r="D2096" s="5" t="s">
        <v>1327</v>
      </c>
      <c r="E2096" s="5" t="s">
        <v>34</v>
      </c>
      <c r="F2096" s="5" t="s">
        <v>34</v>
      </c>
      <c r="G2096" s="5" t="s">
        <v>36</v>
      </c>
      <c r="H2096" s="5" t="s">
        <v>35</v>
      </c>
      <c r="I2096" s="6">
        <v>1.0</v>
      </c>
      <c r="J2096" s="6" t="s">
        <v>37</v>
      </c>
      <c r="K2096" s="6">
        <v>10.0</v>
      </c>
      <c r="L2096" s="5"/>
      <c r="M2096" s="5"/>
      <c r="N2096" s="6" t="s">
        <v>40</v>
      </c>
      <c r="O2096" s="5" t="s">
        <v>5363</v>
      </c>
      <c r="P2096" s="6" t="s">
        <v>42</v>
      </c>
      <c r="Q2096" s="5" t="s">
        <v>1237</v>
      </c>
      <c r="R2096" s="5" t="s">
        <v>12837</v>
      </c>
      <c r="S2096" s="6" t="s">
        <v>86</v>
      </c>
      <c r="T2096" s="6">
        <v>6659.0</v>
      </c>
    </row>
    <row r="2097" ht="56.25" customHeight="1">
      <c r="A2097" s="5" t="s">
        <v>12820</v>
      </c>
      <c r="B2097" s="6" t="str">
        <f>image("https://storage.googleapis.com/acdb/photos/BromideNpcNmlPig16_Remake_7_0.png")</f>
        <v/>
      </c>
      <c r="C2097" s="5" t="s">
        <v>151</v>
      </c>
      <c r="D2097" s="5" t="s">
        <v>1327</v>
      </c>
      <c r="E2097" s="5" t="s">
        <v>34</v>
      </c>
      <c r="F2097" s="5" t="s">
        <v>34</v>
      </c>
      <c r="G2097" s="5" t="s">
        <v>36</v>
      </c>
      <c r="H2097" s="5" t="s">
        <v>35</v>
      </c>
      <c r="I2097" s="6">
        <v>1.0</v>
      </c>
      <c r="J2097" s="6" t="s">
        <v>37</v>
      </c>
      <c r="K2097" s="6">
        <v>10.0</v>
      </c>
      <c r="L2097" s="5"/>
      <c r="M2097" s="5"/>
      <c r="N2097" s="6" t="s">
        <v>40</v>
      </c>
      <c r="O2097" s="5" t="s">
        <v>5363</v>
      </c>
      <c r="P2097" s="6" t="s">
        <v>42</v>
      </c>
      <c r="Q2097" s="5" t="s">
        <v>1237</v>
      </c>
      <c r="R2097" s="5" t="s">
        <v>12838</v>
      </c>
      <c r="S2097" s="6" t="s">
        <v>208</v>
      </c>
      <c r="T2097" s="6">
        <v>6659.0</v>
      </c>
    </row>
    <row r="2098" ht="56.25" customHeight="1">
      <c r="A2098" s="5" t="s">
        <v>12840</v>
      </c>
      <c r="B2098" s="6" t="str">
        <f>image("https://storage.googleapis.com/acdb/photos/BromideNpcNmlAnt02_Remake_0_0.png")</f>
        <v/>
      </c>
      <c r="C2098" s="5" t="s">
        <v>366</v>
      </c>
      <c r="D2098" s="5" t="s">
        <v>1327</v>
      </c>
      <c r="E2098" s="5" t="s">
        <v>34</v>
      </c>
      <c r="F2098" s="5" t="s">
        <v>34</v>
      </c>
      <c r="G2098" s="5" t="s">
        <v>36</v>
      </c>
      <c r="H2098" s="5" t="s">
        <v>35</v>
      </c>
      <c r="I2098" s="6">
        <v>1.0</v>
      </c>
      <c r="J2098" s="6" t="s">
        <v>37</v>
      </c>
      <c r="K2098" s="6">
        <v>10.0</v>
      </c>
      <c r="L2098" s="5"/>
      <c r="M2098" s="5"/>
      <c r="N2098" s="6" t="s">
        <v>40</v>
      </c>
      <c r="O2098" s="5" t="s">
        <v>5363</v>
      </c>
      <c r="P2098" s="6" t="s">
        <v>42</v>
      </c>
      <c r="Q2098" s="5" t="s">
        <v>1237</v>
      </c>
      <c r="R2098" s="5" t="s">
        <v>12842</v>
      </c>
      <c r="S2098" s="6" t="s">
        <v>50</v>
      </c>
      <c r="T2098" s="6">
        <v>6648.0</v>
      </c>
    </row>
    <row r="2099" ht="56.25" customHeight="1">
      <c r="A2099" s="5" t="s">
        <v>12840</v>
      </c>
      <c r="B2099" s="6" t="str">
        <f>image("https://storage.googleapis.com/acdb/photos/BromideNpcNmlAnt02_Remake_1_0.png")</f>
        <v/>
      </c>
      <c r="C2099" s="5" t="s">
        <v>1132</v>
      </c>
      <c r="D2099" s="5" t="s">
        <v>1327</v>
      </c>
      <c r="E2099" s="5" t="s">
        <v>34</v>
      </c>
      <c r="F2099" s="5" t="s">
        <v>34</v>
      </c>
      <c r="G2099" s="5" t="s">
        <v>36</v>
      </c>
      <c r="H2099" s="5" t="s">
        <v>35</v>
      </c>
      <c r="I2099" s="6">
        <v>1.0</v>
      </c>
      <c r="J2099" s="6" t="s">
        <v>37</v>
      </c>
      <c r="K2099" s="6">
        <v>10.0</v>
      </c>
      <c r="L2099" s="5"/>
      <c r="M2099" s="5"/>
      <c r="N2099" s="6" t="s">
        <v>40</v>
      </c>
      <c r="O2099" s="5" t="s">
        <v>5363</v>
      </c>
      <c r="P2099" s="6" t="s">
        <v>42</v>
      </c>
      <c r="Q2099" s="5" t="s">
        <v>1237</v>
      </c>
      <c r="R2099" s="5" t="s">
        <v>12845</v>
      </c>
      <c r="S2099" s="6" t="s">
        <v>56</v>
      </c>
      <c r="T2099" s="6">
        <v>6648.0</v>
      </c>
    </row>
    <row r="2100" ht="56.25" customHeight="1">
      <c r="A2100" s="5" t="s">
        <v>12840</v>
      </c>
      <c r="B2100" s="6" t="str">
        <f>image("https://storage.googleapis.com/acdb/photos/BromideNpcNmlAnt02_Remake_2_0.png")</f>
        <v/>
      </c>
      <c r="C2100" s="5" t="s">
        <v>688</v>
      </c>
      <c r="D2100" s="5" t="s">
        <v>1327</v>
      </c>
      <c r="E2100" s="5" t="s">
        <v>34</v>
      </c>
      <c r="F2100" s="5" t="s">
        <v>34</v>
      </c>
      <c r="G2100" s="5" t="s">
        <v>36</v>
      </c>
      <c r="H2100" s="5" t="s">
        <v>35</v>
      </c>
      <c r="I2100" s="6">
        <v>1.0</v>
      </c>
      <c r="J2100" s="6" t="s">
        <v>37</v>
      </c>
      <c r="K2100" s="6">
        <v>10.0</v>
      </c>
      <c r="L2100" s="5"/>
      <c r="M2100" s="5"/>
      <c r="N2100" s="6" t="s">
        <v>40</v>
      </c>
      <c r="O2100" s="5" t="s">
        <v>5363</v>
      </c>
      <c r="P2100" s="6" t="s">
        <v>42</v>
      </c>
      <c r="Q2100" s="5" t="s">
        <v>1237</v>
      </c>
      <c r="R2100" s="5" t="s">
        <v>12849</v>
      </c>
      <c r="S2100" s="6" t="s">
        <v>67</v>
      </c>
      <c r="T2100" s="6">
        <v>6648.0</v>
      </c>
    </row>
    <row r="2101" ht="56.25" customHeight="1">
      <c r="A2101" s="5" t="s">
        <v>12840</v>
      </c>
      <c r="B2101" s="6" t="str">
        <f>image("https://storage.googleapis.com/acdb/photos/BromideNpcNmlAnt02_Remake_3_0.png")</f>
        <v/>
      </c>
      <c r="C2101" s="5" t="s">
        <v>57</v>
      </c>
      <c r="D2101" s="5" t="s">
        <v>1327</v>
      </c>
      <c r="E2101" s="5" t="s">
        <v>34</v>
      </c>
      <c r="F2101" s="5" t="s">
        <v>34</v>
      </c>
      <c r="G2101" s="5" t="s">
        <v>36</v>
      </c>
      <c r="H2101" s="5" t="s">
        <v>35</v>
      </c>
      <c r="I2101" s="6">
        <v>1.0</v>
      </c>
      <c r="J2101" s="6" t="s">
        <v>37</v>
      </c>
      <c r="K2101" s="6">
        <v>10.0</v>
      </c>
      <c r="L2101" s="5"/>
      <c r="M2101" s="5"/>
      <c r="N2101" s="6" t="s">
        <v>40</v>
      </c>
      <c r="O2101" s="5" t="s">
        <v>5363</v>
      </c>
      <c r="P2101" s="6" t="s">
        <v>42</v>
      </c>
      <c r="Q2101" s="5" t="s">
        <v>1237</v>
      </c>
      <c r="R2101" s="5" t="s">
        <v>12850</v>
      </c>
      <c r="S2101" s="6" t="s">
        <v>71</v>
      </c>
      <c r="T2101" s="6">
        <v>6648.0</v>
      </c>
    </row>
    <row r="2102" ht="56.25" customHeight="1">
      <c r="A2102" s="5" t="s">
        <v>12840</v>
      </c>
      <c r="B2102" s="6" t="str">
        <f>image("https://storage.googleapis.com/acdb/photos/BromideNpcNmlAnt02_Remake_4_0.png")</f>
        <v/>
      </c>
      <c r="C2102" s="5" t="s">
        <v>1167</v>
      </c>
      <c r="D2102" s="5" t="s">
        <v>1327</v>
      </c>
      <c r="E2102" s="5" t="s">
        <v>34</v>
      </c>
      <c r="F2102" s="5" t="s">
        <v>34</v>
      </c>
      <c r="G2102" s="5" t="s">
        <v>36</v>
      </c>
      <c r="H2102" s="5" t="s">
        <v>35</v>
      </c>
      <c r="I2102" s="6">
        <v>1.0</v>
      </c>
      <c r="J2102" s="6" t="s">
        <v>37</v>
      </c>
      <c r="K2102" s="6">
        <v>10.0</v>
      </c>
      <c r="L2102" s="5"/>
      <c r="M2102" s="5"/>
      <c r="N2102" s="6" t="s">
        <v>40</v>
      </c>
      <c r="O2102" s="5" t="s">
        <v>5363</v>
      </c>
      <c r="P2102" s="6" t="s">
        <v>42</v>
      </c>
      <c r="Q2102" s="5" t="s">
        <v>1237</v>
      </c>
      <c r="R2102" s="5" t="s">
        <v>12854</v>
      </c>
      <c r="S2102" s="6" t="s">
        <v>75</v>
      </c>
      <c r="T2102" s="6">
        <v>6648.0</v>
      </c>
    </row>
    <row r="2103" ht="56.25" customHeight="1">
      <c r="A2103" s="5" t="s">
        <v>12840</v>
      </c>
      <c r="B2103" s="6" t="str">
        <f>image("https://storage.googleapis.com/acdb/photos/BromideNpcNmlAnt02_Remake_5_0.png")</f>
        <v/>
      </c>
      <c r="C2103" s="5" t="s">
        <v>58</v>
      </c>
      <c r="D2103" s="5" t="s">
        <v>1327</v>
      </c>
      <c r="E2103" s="5" t="s">
        <v>34</v>
      </c>
      <c r="F2103" s="5" t="s">
        <v>34</v>
      </c>
      <c r="G2103" s="5" t="s">
        <v>36</v>
      </c>
      <c r="H2103" s="5" t="s">
        <v>35</v>
      </c>
      <c r="I2103" s="6">
        <v>1.0</v>
      </c>
      <c r="J2103" s="6" t="s">
        <v>37</v>
      </c>
      <c r="K2103" s="6">
        <v>10.0</v>
      </c>
      <c r="L2103" s="5"/>
      <c r="M2103" s="5"/>
      <c r="N2103" s="6" t="s">
        <v>40</v>
      </c>
      <c r="O2103" s="5" t="s">
        <v>5363</v>
      </c>
      <c r="P2103" s="6" t="s">
        <v>42</v>
      </c>
      <c r="Q2103" s="5" t="s">
        <v>1237</v>
      </c>
      <c r="R2103" s="5" t="s">
        <v>12858</v>
      </c>
      <c r="S2103" s="6" t="s">
        <v>79</v>
      </c>
      <c r="T2103" s="6">
        <v>6648.0</v>
      </c>
    </row>
    <row r="2104" ht="56.25" customHeight="1">
      <c r="A2104" s="5" t="s">
        <v>12840</v>
      </c>
      <c r="B2104" s="6" t="str">
        <f>image("https://storage.googleapis.com/acdb/photos/BromideNpcNmlAnt02_Remake_6_0.png")</f>
        <v/>
      </c>
      <c r="C2104" s="5" t="s">
        <v>146</v>
      </c>
      <c r="D2104" s="5" t="s">
        <v>1327</v>
      </c>
      <c r="E2104" s="5" t="s">
        <v>34</v>
      </c>
      <c r="F2104" s="5" t="s">
        <v>34</v>
      </c>
      <c r="G2104" s="5" t="s">
        <v>36</v>
      </c>
      <c r="H2104" s="5" t="s">
        <v>35</v>
      </c>
      <c r="I2104" s="6">
        <v>1.0</v>
      </c>
      <c r="J2104" s="6" t="s">
        <v>37</v>
      </c>
      <c r="K2104" s="6">
        <v>10.0</v>
      </c>
      <c r="L2104" s="5"/>
      <c r="M2104" s="5"/>
      <c r="N2104" s="6" t="s">
        <v>40</v>
      </c>
      <c r="O2104" s="5" t="s">
        <v>5363</v>
      </c>
      <c r="P2104" s="6" t="s">
        <v>42</v>
      </c>
      <c r="Q2104" s="5" t="s">
        <v>1237</v>
      </c>
      <c r="R2104" s="5" t="s">
        <v>12861</v>
      </c>
      <c r="S2104" s="6" t="s">
        <v>86</v>
      </c>
      <c r="T2104" s="6">
        <v>6648.0</v>
      </c>
    </row>
    <row r="2105" ht="56.25" customHeight="1">
      <c r="A2105" s="5" t="s">
        <v>12840</v>
      </c>
      <c r="B2105" s="6" t="str">
        <f>image("https://storage.googleapis.com/acdb/photos/BromideNpcNmlAnt02_Remake_7_0.png")</f>
        <v/>
      </c>
      <c r="C2105" s="5" t="s">
        <v>151</v>
      </c>
      <c r="D2105" s="5" t="s">
        <v>1327</v>
      </c>
      <c r="E2105" s="5" t="s">
        <v>34</v>
      </c>
      <c r="F2105" s="5" t="s">
        <v>34</v>
      </c>
      <c r="G2105" s="5" t="s">
        <v>36</v>
      </c>
      <c r="H2105" s="5" t="s">
        <v>35</v>
      </c>
      <c r="I2105" s="6">
        <v>1.0</v>
      </c>
      <c r="J2105" s="6" t="s">
        <v>37</v>
      </c>
      <c r="K2105" s="6">
        <v>10.0</v>
      </c>
      <c r="L2105" s="5"/>
      <c r="M2105" s="5"/>
      <c r="N2105" s="6" t="s">
        <v>40</v>
      </c>
      <c r="O2105" s="5" t="s">
        <v>5363</v>
      </c>
      <c r="P2105" s="6" t="s">
        <v>42</v>
      </c>
      <c r="Q2105" s="5" t="s">
        <v>1237</v>
      </c>
      <c r="R2105" s="5" t="s">
        <v>12863</v>
      </c>
      <c r="S2105" s="6" t="s">
        <v>208</v>
      </c>
      <c r="T2105" s="6">
        <v>6648.0</v>
      </c>
    </row>
    <row r="2106" ht="56.25" customHeight="1">
      <c r="A2106" s="5" t="s">
        <v>12864</v>
      </c>
      <c r="B2106" s="6" t="str">
        <f>image("https://storage.googleapis.com/acdb/photos/BromideNpcNmlElp05_Remake_0_0.png")</f>
        <v/>
      </c>
      <c r="C2106" s="5" t="s">
        <v>366</v>
      </c>
      <c r="D2106" s="5" t="s">
        <v>1327</v>
      </c>
      <c r="E2106" s="5" t="s">
        <v>34</v>
      </c>
      <c r="F2106" s="5" t="s">
        <v>34</v>
      </c>
      <c r="G2106" s="5" t="s">
        <v>36</v>
      </c>
      <c r="H2106" s="5" t="s">
        <v>35</v>
      </c>
      <c r="I2106" s="6">
        <v>1.0</v>
      </c>
      <c r="J2106" s="6" t="s">
        <v>37</v>
      </c>
      <c r="K2106" s="6">
        <v>10.0</v>
      </c>
      <c r="L2106" s="5"/>
      <c r="M2106" s="5"/>
      <c r="N2106" s="6" t="s">
        <v>40</v>
      </c>
      <c r="O2106" s="5" t="s">
        <v>5363</v>
      </c>
      <c r="P2106" s="6" t="s">
        <v>42</v>
      </c>
      <c r="Q2106" s="5" t="s">
        <v>1237</v>
      </c>
      <c r="R2106" s="5" t="s">
        <v>12866</v>
      </c>
      <c r="S2106" s="6" t="s">
        <v>50</v>
      </c>
      <c r="T2106" s="6">
        <v>6478.0</v>
      </c>
    </row>
    <row r="2107" ht="56.25" customHeight="1">
      <c r="A2107" s="5" t="s">
        <v>12864</v>
      </c>
      <c r="B2107" s="6" t="str">
        <f>image("https://storage.googleapis.com/acdb/photos/BromideNpcNmlElp05_Remake_1_0.png")</f>
        <v/>
      </c>
      <c r="C2107" s="5" t="s">
        <v>1132</v>
      </c>
      <c r="D2107" s="5" t="s">
        <v>1327</v>
      </c>
      <c r="E2107" s="5" t="s">
        <v>34</v>
      </c>
      <c r="F2107" s="5" t="s">
        <v>34</v>
      </c>
      <c r="G2107" s="5" t="s">
        <v>36</v>
      </c>
      <c r="H2107" s="5" t="s">
        <v>35</v>
      </c>
      <c r="I2107" s="6">
        <v>1.0</v>
      </c>
      <c r="J2107" s="6" t="s">
        <v>37</v>
      </c>
      <c r="K2107" s="6">
        <v>10.0</v>
      </c>
      <c r="L2107" s="5"/>
      <c r="M2107" s="5"/>
      <c r="N2107" s="6" t="s">
        <v>40</v>
      </c>
      <c r="O2107" s="5" t="s">
        <v>5363</v>
      </c>
      <c r="P2107" s="6" t="s">
        <v>42</v>
      </c>
      <c r="Q2107" s="5" t="s">
        <v>1237</v>
      </c>
      <c r="R2107" s="5" t="s">
        <v>12869</v>
      </c>
      <c r="S2107" s="6" t="s">
        <v>56</v>
      </c>
      <c r="T2107" s="6">
        <v>6478.0</v>
      </c>
    </row>
    <row r="2108" ht="56.25" customHeight="1">
      <c r="A2108" s="5" t="s">
        <v>12864</v>
      </c>
      <c r="B2108" s="6" t="str">
        <f>image("https://storage.googleapis.com/acdb/photos/BromideNpcNmlElp05_Remake_2_0.png")</f>
        <v/>
      </c>
      <c r="C2108" s="5" t="s">
        <v>688</v>
      </c>
      <c r="D2108" s="5" t="s">
        <v>1327</v>
      </c>
      <c r="E2108" s="5" t="s">
        <v>34</v>
      </c>
      <c r="F2108" s="5" t="s">
        <v>34</v>
      </c>
      <c r="G2108" s="5" t="s">
        <v>36</v>
      </c>
      <c r="H2108" s="5" t="s">
        <v>35</v>
      </c>
      <c r="I2108" s="6">
        <v>1.0</v>
      </c>
      <c r="J2108" s="6" t="s">
        <v>37</v>
      </c>
      <c r="K2108" s="6">
        <v>10.0</v>
      </c>
      <c r="L2108" s="5"/>
      <c r="M2108" s="5"/>
      <c r="N2108" s="6" t="s">
        <v>40</v>
      </c>
      <c r="O2108" s="5" t="s">
        <v>5363</v>
      </c>
      <c r="P2108" s="6" t="s">
        <v>42</v>
      </c>
      <c r="Q2108" s="5" t="s">
        <v>1237</v>
      </c>
      <c r="R2108" s="5" t="s">
        <v>12871</v>
      </c>
      <c r="S2108" s="6" t="s">
        <v>67</v>
      </c>
      <c r="T2108" s="6">
        <v>6478.0</v>
      </c>
    </row>
    <row r="2109" ht="56.25" customHeight="1">
      <c r="A2109" s="5" t="s">
        <v>12864</v>
      </c>
      <c r="B2109" s="6" t="str">
        <f>image("https://storage.googleapis.com/acdb/photos/BromideNpcNmlElp05_Remake_3_0.png")</f>
        <v/>
      </c>
      <c r="C2109" s="5" t="s">
        <v>57</v>
      </c>
      <c r="D2109" s="5" t="s">
        <v>1327</v>
      </c>
      <c r="E2109" s="5" t="s">
        <v>34</v>
      </c>
      <c r="F2109" s="5" t="s">
        <v>34</v>
      </c>
      <c r="G2109" s="5" t="s">
        <v>36</v>
      </c>
      <c r="H2109" s="5" t="s">
        <v>35</v>
      </c>
      <c r="I2109" s="6">
        <v>1.0</v>
      </c>
      <c r="J2109" s="6" t="s">
        <v>37</v>
      </c>
      <c r="K2109" s="6">
        <v>10.0</v>
      </c>
      <c r="L2109" s="5"/>
      <c r="M2109" s="5"/>
      <c r="N2109" s="6" t="s">
        <v>40</v>
      </c>
      <c r="O2109" s="5" t="s">
        <v>5363</v>
      </c>
      <c r="P2109" s="6" t="s">
        <v>42</v>
      </c>
      <c r="Q2109" s="5" t="s">
        <v>1237</v>
      </c>
      <c r="R2109" s="5" t="s">
        <v>12874</v>
      </c>
      <c r="S2109" s="6" t="s">
        <v>71</v>
      </c>
      <c r="T2109" s="6">
        <v>6478.0</v>
      </c>
    </row>
    <row r="2110" ht="56.25" customHeight="1">
      <c r="A2110" s="5" t="s">
        <v>12864</v>
      </c>
      <c r="B2110" s="6" t="str">
        <f>image("https://storage.googleapis.com/acdb/photos/BromideNpcNmlElp05_Remake_4_0.png")</f>
        <v/>
      </c>
      <c r="C2110" s="5" t="s">
        <v>1167</v>
      </c>
      <c r="D2110" s="5" t="s">
        <v>1327</v>
      </c>
      <c r="E2110" s="5" t="s">
        <v>34</v>
      </c>
      <c r="F2110" s="5" t="s">
        <v>34</v>
      </c>
      <c r="G2110" s="5" t="s">
        <v>36</v>
      </c>
      <c r="H2110" s="5" t="s">
        <v>35</v>
      </c>
      <c r="I2110" s="6">
        <v>1.0</v>
      </c>
      <c r="J2110" s="6" t="s">
        <v>37</v>
      </c>
      <c r="K2110" s="6">
        <v>10.0</v>
      </c>
      <c r="L2110" s="5"/>
      <c r="M2110" s="5"/>
      <c r="N2110" s="6" t="s">
        <v>40</v>
      </c>
      <c r="O2110" s="5" t="s">
        <v>5363</v>
      </c>
      <c r="P2110" s="6" t="s">
        <v>42</v>
      </c>
      <c r="Q2110" s="5" t="s">
        <v>1237</v>
      </c>
      <c r="R2110" s="5" t="s">
        <v>12878</v>
      </c>
      <c r="S2110" s="6" t="s">
        <v>75</v>
      </c>
      <c r="T2110" s="6">
        <v>6478.0</v>
      </c>
    </row>
    <row r="2111" ht="56.25" customHeight="1">
      <c r="A2111" s="5" t="s">
        <v>12864</v>
      </c>
      <c r="B2111" s="6" t="str">
        <f>image("https://storage.googleapis.com/acdb/photos/BromideNpcNmlElp05_Remake_5_0.png")</f>
        <v/>
      </c>
      <c r="C2111" s="5" t="s">
        <v>58</v>
      </c>
      <c r="D2111" s="5" t="s">
        <v>1327</v>
      </c>
      <c r="E2111" s="5" t="s">
        <v>34</v>
      </c>
      <c r="F2111" s="5" t="s">
        <v>34</v>
      </c>
      <c r="G2111" s="5" t="s">
        <v>36</v>
      </c>
      <c r="H2111" s="5" t="s">
        <v>35</v>
      </c>
      <c r="I2111" s="6">
        <v>1.0</v>
      </c>
      <c r="J2111" s="6" t="s">
        <v>37</v>
      </c>
      <c r="K2111" s="6">
        <v>10.0</v>
      </c>
      <c r="L2111" s="5"/>
      <c r="M2111" s="5"/>
      <c r="N2111" s="6" t="s">
        <v>40</v>
      </c>
      <c r="O2111" s="5" t="s">
        <v>5363</v>
      </c>
      <c r="P2111" s="6" t="s">
        <v>42</v>
      </c>
      <c r="Q2111" s="5" t="s">
        <v>1237</v>
      </c>
      <c r="R2111" s="5" t="s">
        <v>12881</v>
      </c>
      <c r="S2111" s="6" t="s">
        <v>79</v>
      </c>
      <c r="T2111" s="6">
        <v>6478.0</v>
      </c>
    </row>
    <row r="2112" ht="56.25" customHeight="1">
      <c r="A2112" s="5" t="s">
        <v>12864</v>
      </c>
      <c r="B2112" s="6" t="str">
        <f>image("https://storage.googleapis.com/acdb/photos/BromideNpcNmlElp05_Remake_6_0.png")</f>
        <v/>
      </c>
      <c r="C2112" s="5" t="s">
        <v>146</v>
      </c>
      <c r="D2112" s="5" t="s">
        <v>1327</v>
      </c>
      <c r="E2112" s="5" t="s">
        <v>34</v>
      </c>
      <c r="F2112" s="5" t="s">
        <v>34</v>
      </c>
      <c r="G2112" s="5" t="s">
        <v>36</v>
      </c>
      <c r="H2112" s="5" t="s">
        <v>35</v>
      </c>
      <c r="I2112" s="6">
        <v>1.0</v>
      </c>
      <c r="J2112" s="6" t="s">
        <v>37</v>
      </c>
      <c r="K2112" s="6">
        <v>10.0</v>
      </c>
      <c r="L2112" s="5"/>
      <c r="M2112" s="5"/>
      <c r="N2112" s="6" t="s">
        <v>40</v>
      </c>
      <c r="O2112" s="5" t="s">
        <v>5363</v>
      </c>
      <c r="P2112" s="6" t="s">
        <v>42</v>
      </c>
      <c r="Q2112" s="5" t="s">
        <v>1237</v>
      </c>
      <c r="R2112" s="5" t="s">
        <v>12884</v>
      </c>
      <c r="S2112" s="6" t="s">
        <v>86</v>
      </c>
      <c r="T2112" s="6">
        <v>6478.0</v>
      </c>
    </row>
    <row r="2113" ht="56.25" customHeight="1">
      <c r="A2113" s="5" t="s">
        <v>12864</v>
      </c>
      <c r="B2113" s="6" t="str">
        <f>image("https://storage.googleapis.com/acdb/photos/BromideNpcNmlElp05_Remake_7_0.png")</f>
        <v/>
      </c>
      <c r="C2113" s="5" t="s">
        <v>151</v>
      </c>
      <c r="D2113" s="5" t="s">
        <v>1327</v>
      </c>
      <c r="E2113" s="5" t="s">
        <v>34</v>
      </c>
      <c r="F2113" s="5" t="s">
        <v>34</v>
      </c>
      <c r="G2113" s="5" t="s">
        <v>36</v>
      </c>
      <c r="H2113" s="5" t="s">
        <v>35</v>
      </c>
      <c r="I2113" s="6">
        <v>1.0</v>
      </c>
      <c r="J2113" s="6" t="s">
        <v>37</v>
      </c>
      <c r="K2113" s="6">
        <v>10.0</v>
      </c>
      <c r="L2113" s="5"/>
      <c r="M2113" s="5"/>
      <c r="N2113" s="6" t="s">
        <v>40</v>
      </c>
      <c r="O2113" s="5" t="s">
        <v>5363</v>
      </c>
      <c r="P2113" s="6" t="s">
        <v>42</v>
      </c>
      <c r="Q2113" s="5" t="s">
        <v>1237</v>
      </c>
      <c r="R2113" s="5" t="s">
        <v>12886</v>
      </c>
      <c r="S2113" s="6" t="s">
        <v>208</v>
      </c>
      <c r="T2113" s="6">
        <v>6478.0</v>
      </c>
    </row>
    <row r="2114" ht="56.25" customHeight="1">
      <c r="A2114" s="5" t="s">
        <v>12887</v>
      </c>
      <c r="B2114" s="6" t="str">
        <f>image("https://storage.googleapis.com/acdb/photos/BromideNpcNmlHrs12_Remake_0_0.png")</f>
        <v/>
      </c>
      <c r="C2114" s="5" t="s">
        <v>366</v>
      </c>
      <c r="D2114" s="5" t="s">
        <v>1327</v>
      </c>
      <c r="E2114" s="5" t="s">
        <v>34</v>
      </c>
      <c r="F2114" s="5" t="s">
        <v>34</v>
      </c>
      <c r="G2114" s="5" t="s">
        <v>36</v>
      </c>
      <c r="H2114" s="5" t="s">
        <v>35</v>
      </c>
      <c r="I2114" s="6">
        <v>1.0</v>
      </c>
      <c r="J2114" s="6" t="s">
        <v>37</v>
      </c>
      <c r="K2114" s="6">
        <v>10.0</v>
      </c>
      <c r="L2114" s="5"/>
      <c r="M2114" s="5"/>
      <c r="N2114" s="6" t="s">
        <v>40</v>
      </c>
      <c r="O2114" s="5" t="s">
        <v>5363</v>
      </c>
      <c r="P2114" s="6" t="s">
        <v>42</v>
      </c>
      <c r="Q2114" s="5" t="s">
        <v>1237</v>
      </c>
      <c r="R2114" s="5" t="s">
        <v>12889</v>
      </c>
      <c r="S2114" s="6" t="s">
        <v>50</v>
      </c>
      <c r="T2114" s="6">
        <v>6552.0</v>
      </c>
    </row>
    <row r="2115" ht="56.25" customHeight="1">
      <c r="A2115" s="5" t="s">
        <v>12887</v>
      </c>
      <c r="B2115" s="6" t="str">
        <f>image("https://storage.googleapis.com/acdb/photos/BromideNpcNmlHrs12_Remake_1_0.png")</f>
        <v/>
      </c>
      <c r="C2115" s="5" t="s">
        <v>1132</v>
      </c>
      <c r="D2115" s="5" t="s">
        <v>1327</v>
      </c>
      <c r="E2115" s="5" t="s">
        <v>34</v>
      </c>
      <c r="F2115" s="5" t="s">
        <v>34</v>
      </c>
      <c r="G2115" s="5" t="s">
        <v>36</v>
      </c>
      <c r="H2115" s="5" t="s">
        <v>35</v>
      </c>
      <c r="I2115" s="6">
        <v>1.0</v>
      </c>
      <c r="J2115" s="6" t="s">
        <v>37</v>
      </c>
      <c r="K2115" s="6">
        <v>10.0</v>
      </c>
      <c r="L2115" s="5"/>
      <c r="M2115" s="5"/>
      <c r="N2115" s="6" t="s">
        <v>40</v>
      </c>
      <c r="O2115" s="5" t="s">
        <v>5363</v>
      </c>
      <c r="P2115" s="6" t="s">
        <v>42</v>
      </c>
      <c r="Q2115" s="5" t="s">
        <v>1237</v>
      </c>
      <c r="R2115" s="5" t="s">
        <v>12891</v>
      </c>
      <c r="S2115" s="6" t="s">
        <v>56</v>
      </c>
      <c r="T2115" s="6">
        <v>6552.0</v>
      </c>
    </row>
    <row r="2116" ht="56.25" customHeight="1">
      <c r="A2116" s="5" t="s">
        <v>12887</v>
      </c>
      <c r="B2116" s="6" t="str">
        <f>image("https://storage.googleapis.com/acdb/photos/BromideNpcNmlHrs12_Remake_2_0.png")</f>
        <v/>
      </c>
      <c r="C2116" s="5" t="s">
        <v>688</v>
      </c>
      <c r="D2116" s="5" t="s">
        <v>1327</v>
      </c>
      <c r="E2116" s="5" t="s">
        <v>34</v>
      </c>
      <c r="F2116" s="5" t="s">
        <v>34</v>
      </c>
      <c r="G2116" s="5" t="s">
        <v>36</v>
      </c>
      <c r="H2116" s="5" t="s">
        <v>35</v>
      </c>
      <c r="I2116" s="6">
        <v>1.0</v>
      </c>
      <c r="J2116" s="6" t="s">
        <v>37</v>
      </c>
      <c r="K2116" s="6">
        <v>10.0</v>
      </c>
      <c r="L2116" s="5"/>
      <c r="M2116" s="5"/>
      <c r="N2116" s="6" t="s">
        <v>40</v>
      </c>
      <c r="O2116" s="5" t="s">
        <v>5363</v>
      </c>
      <c r="P2116" s="6" t="s">
        <v>42</v>
      </c>
      <c r="Q2116" s="5" t="s">
        <v>1237</v>
      </c>
      <c r="R2116" s="5" t="s">
        <v>12894</v>
      </c>
      <c r="S2116" s="6" t="s">
        <v>67</v>
      </c>
      <c r="T2116" s="6">
        <v>6552.0</v>
      </c>
    </row>
    <row r="2117" ht="56.25" customHeight="1">
      <c r="A2117" s="5" t="s">
        <v>12887</v>
      </c>
      <c r="B2117" s="6" t="str">
        <f>image("https://storage.googleapis.com/acdb/photos/BromideNpcNmlHrs12_Remake_3_0.png")</f>
        <v/>
      </c>
      <c r="C2117" s="5" t="s">
        <v>57</v>
      </c>
      <c r="D2117" s="5" t="s">
        <v>1327</v>
      </c>
      <c r="E2117" s="5" t="s">
        <v>34</v>
      </c>
      <c r="F2117" s="5" t="s">
        <v>34</v>
      </c>
      <c r="G2117" s="5" t="s">
        <v>36</v>
      </c>
      <c r="H2117" s="5" t="s">
        <v>35</v>
      </c>
      <c r="I2117" s="6">
        <v>1.0</v>
      </c>
      <c r="J2117" s="6" t="s">
        <v>37</v>
      </c>
      <c r="K2117" s="6">
        <v>10.0</v>
      </c>
      <c r="L2117" s="5"/>
      <c r="M2117" s="5"/>
      <c r="N2117" s="6" t="s">
        <v>40</v>
      </c>
      <c r="O2117" s="5" t="s">
        <v>5363</v>
      </c>
      <c r="P2117" s="6" t="s">
        <v>42</v>
      </c>
      <c r="Q2117" s="5" t="s">
        <v>1237</v>
      </c>
      <c r="R2117" s="5" t="s">
        <v>12896</v>
      </c>
      <c r="S2117" s="6" t="s">
        <v>71</v>
      </c>
      <c r="T2117" s="6">
        <v>6552.0</v>
      </c>
    </row>
    <row r="2118" ht="56.25" customHeight="1">
      <c r="A2118" s="5" t="s">
        <v>12887</v>
      </c>
      <c r="B2118" s="6" t="str">
        <f>image("https://storage.googleapis.com/acdb/photos/BromideNpcNmlHrs12_Remake_4_0.png")</f>
        <v/>
      </c>
      <c r="C2118" s="5" t="s">
        <v>1167</v>
      </c>
      <c r="D2118" s="5" t="s">
        <v>1327</v>
      </c>
      <c r="E2118" s="5" t="s">
        <v>34</v>
      </c>
      <c r="F2118" s="5" t="s">
        <v>34</v>
      </c>
      <c r="G2118" s="5" t="s">
        <v>36</v>
      </c>
      <c r="H2118" s="5" t="s">
        <v>35</v>
      </c>
      <c r="I2118" s="6">
        <v>1.0</v>
      </c>
      <c r="J2118" s="6" t="s">
        <v>37</v>
      </c>
      <c r="K2118" s="6">
        <v>10.0</v>
      </c>
      <c r="L2118" s="5"/>
      <c r="M2118" s="5"/>
      <c r="N2118" s="6" t="s">
        <v>40</v>
      </c>
      <c r="O2118" s="5" t="s">
        <v>5363</v>
      </c>
      <c r="P2118" s="6" t="s">
        <v>42</v>
      </c>
      <c r="Q2118" s="5" t="s">
        <v>1237</v>
      </c>
      <c r="R2118" s="5" t="s">
        <v>12898</v>
      </c>
      <c r="S2118" s="6" t="s">
        <v>75</v>
      </c>
      <c r="T2118" s="6">
        <v>6552.0</v>
      </c>
    </row>
    <row r="2119" ht="56.25" customHeight="1">
      <c r="A2119" s="5" t="s">
        <v>12887</v>
      </c>
      <c r="B2119" s="6" t="str">
        <f>image("https://storage.googleapis.com/acdb/photos/BromideNpcNmlHrs12_Remake_5_0.png")</f>
        <v/>
      </c>
      <c r="C2119" s="5" t="s">
        <v>58</v>
      </c>
      <c r="D2119" s="5" t="s">
        <v>1327</v>
      </c>
      <c r="E2119" s="5" t="s">
        <v>34</v>
      </c>
      <c r="F2119" s="5" t="s">
        <v>34</v>
      </c>
      <c r="G2119" s="5" t="s">
        <v>36</v>
      </c>
      <c r="H2119" s="5" t="s">
        <v>35</v>
      </c>
      <c r="I2119" s="6">
        <v>1.0</v>
      </c>
      <c r="J2119" s="6" t="s">
        <v>37</v>
      </c>
      <c r="K2119" s="6">
        <v>10.0</v>
      </c>
      <c r="L2119" s="5"/>
      <c r="M2119" s="5"/>
      <c r="N2119" s="6" t="s">
        <v>40</v>
      </c>
      <c r="O2119" s="5" t="s">
        <v>5363</v>
      </c>
      <c r="P2119" s="6" t="s">
        <v>42</v>
      </c>
      <c r="Q2119" s="5" t="s">
        <v>1237</v>
      </c>
      <c r="R2119" s="5" t="s">
        <v>12901</v>
      </c>
      <c r="S2119" s="6" t="s">
        <v>79</v>
      </c>
      <c r="T2119" s="6">
        <v>6552.0</v>
      </c>
    </row>
    <row r="2120" ht="56.25" customHeight="1">
      <c r="A2120" s="5" t="s">
        <v>12887</v>
      </c>
      <c r="B2120" s="6" t="str">
        <f>image("https://storage.googleapis.com/acdb/photos/BromideNpcNmlHrs12_Remake_6_0.png")</f>
        <v/>
      </c>
      <c r="C2120" s="5" t="s">
        <v>146</v>
      </c>
      <c r="D2120" s="5" t="s">
        <v>1327</v>
      </c>
      <c r="E2120" s="5" t="s">
        <v>34</v>
      </c>
      <c r="F2120" s="5" t="s">
        <v>34</v>
      </c>
      <c r="G2120" s="5" t="s">
        <v>36</v>
      </c>
      <c r="H2120" s="5" t="s">
        <v>35</v>
      </c>
      <c r="I2120" s="6">
        <v>1.0</v>
      </c>
      <c r="J2120" s="6" t="s">
        <v>37</v>
      </c>
      <c r="K2120" s="6">
        <v>10.0</v>
      </c>
      <c r="L2120" s="5"/>
      <c r="M2120" s="5"/>
      <c r="N2120" s="6" t="s">
        <v>40</v>
      </c>
      <c r="O2120" s="5" t="s">
        <v>5363</v>
      </c>
      <c r="P2120" s="6" t="s">
        <v>42</v>
      </c>
      <c r="Q2120" s="5" t="s">
        <v>1237</v>
      </c>
      <c r="R2120" s="5" t="s">
        <v>12904</v>
      </c>
      <c r="S2120" s="6" t="s">
        <v>86</v>
      </c>
      <c r="T2120" s="6">
        <v>6552.0</v>
      </c>
    </row>
    <row r="2121" ht="56.25" customHeight="1">
      <c r="A2121" s="5" t="s">
        <v>12887</v>
      </c>
      <c r="B2121" s="6" t="str">
        <f>image("https://storage.googleapis.com/acdb/photos/BromideNpcNmlHrs12_Remake_7_0.png")</f>
        <v/>
      </c>
      <c r="C2121" s="5" t="s">
        <v>151</v>
      </c>
      <c r="D2121" s="5" t="s">
        <v>1327</v>
      </c>
      <c r="E2121" s="5" t="s">
        <v>34</v>
      </c>
      <c r="F2121" s="5" t="s">
        <v>34</v>
      </c>
      <c r="G2121" s="5" t="s">
        <v>36</v>
      </c>
      <c r="H2121" s="5" t="s">
        <v>35</v>
      </c>
      <c r="I2121" s="6">
        <v>1.0</v>
      </c>
      <c r="J2121" s="6" t="s">
        <v>37</v>
      </c>
      <c r="K2121" s="6">
        <v>10.0</v>
      </c>
      <c r="L2121" s="5"/>
      <c r="M2121" s="5"/>
      <c r="N2121" s="6" t="s">
        <v>40</v>
      </c>
      <c r="O2121" s="5" t="s">
        <v>5363</v>
      </c>
      <c r="P2121" s="6" t="s">
        <v>42</v>
      </c>
      <c r="Q2121" s="5" t="s">
        <v>1237</v>
      </c>
      <c r="R2121" s="5" t="s">
        <v>12906</v>
      </c>
      <c r="S2121" s="6" t="s">
        <v>208</v>
      </c>
      <c r="T2121" s="6">
        <v>6552.0</v>
      </c>
    </row>
    <row r="2122" ht="56.25" customHeight="1">
      <c r="A2122" s="5" t="s">
        <v>12907</v>
      </c>
      <c r="B2122" s="6" t="str">
        <f>image("https://storage.googleapis.com/acdb/photos/BromideNpcNmlGoa08_Remake_0_0.png")</f>
        <v/>
      </c>
      <c r="C2122" s="5" t="s">
        <v>366</v>
      </c>
      <c r="D2122" s="5" t="s">
        <v>1327</v>
      </c>
      <c r="E2122" s="5" t="s">
        <v>34</v>
      </c>
      <c r="F2122" s="5" t="s">
        <v>34</v>
      </c>
      <c r="G2122" s="5" t="s">
        <v>36</v>
      </c>
      <c r="H2122" s="5" t="s">
        <v>35</v>
      </c>
      <c r="I2122" s="6">
        <v>1.0</v>
      </c>
      <c r="J2122" s="6" t="s">
        <v>37</v>
      </c>
      <c r="K2122" s="6">
        <v>10.0</v>
      </c>
      <c r="L2122" s="5"/>
      <c r="M2122" s="5"/>
      <c r="N2122" s="6" t="s">
        <v>40</v>
      </c>
      <c r="O2122" s="5" t="s">
        <v>5363</v>
      </c>
      <c r="P2122" s="6" t="s">
        <v>42</v>
      </c>
      <c r="Q2122" s="5" t="s">
        <v>1237</v>
      </c>
      <c r="R2122" s="5" t="s">
        <v>12911</v>
      </c>
      <c r="S2122" s="6" t="s">
        <v>50</v>
      </c>
      <c r="T2122" s="6">
        <v>6510.0</v>
      </c>
    </row>
    <row r="2123" ht="56.25" customHeight="1">
      <c r="A2123" s="5" t="s">
        <v>12907</v>
      </c>
      <c r="B2123" s="6" t="str">
        <f>image("https://storage.googleapis.com/acdb/photos/BromideNpcNmlGoa08_Remake_1_0.png")</f>
        <v/>
      </c>
      <c r="C2123" s="5" t="s">
        <v>1132</v>
      </c>
      <c r="D2123" s="5" t="s">
        <v>1327</v>
      </c>
      <c r="E2123" s="5" t="s">
        <v>34</v>
      </c>
      <c r="F2123" s="5" t="s">
        <v>34</v>
      </c>
      <c r="G2123" s="5" t="s">
        <v>36</v>
      </c>
      <c r="H2123" s="5" t="s">
        <v>35</v>
      </c>
      <c r="I2123" s="6">
        <v>1.0</v>
      </c>
      <c r="J2123" s="6" t="s">
        <v>37</v>
      </c>
      <c r="K2123" s="6">
        <v>10.0</v>
      </c>
      <c r="L2123" s="5"/>
      <c r="M2123" s="5"/>
      <c r="N2123" s="6" t="s">
        <v>40</v>
      </c>
      <c r="O2123" s="5" t="s">
        <v>5363</v>
      </c>
      <c r="P2123" s="6" t="s">
        <v>42</v>
      </c>
      <c r="Q2123" s="5" t="s">
        <v>1237</v>
      </c>
      <c r="R2123" s="5" t="s">
        <v>12912</v>
      </c>
      <c r="S2123" s="6" t="s">
        <v>56</v>
      </c>
      <c r="T2123" s="6">
        <v>6510.0</v>
      </c>
    </row>
    <row r="2124" ht="56.25" customHeight="1">
      <c r="A2124" s="5" t="s">
        <v>12907</v>
      </c>
      <c r="B2124" s="6" t="str">
        <f>image("https://storage.googleapis.com/acdb/photos/BromideNpcNmlGoa08_Remake_2_0.png")</f>
        <v/>
      </c>
      <c r="C2124" s="5" t="s">
        <v>688</v>
      </c>
      <c r="D2124" s="5" t="s">
        <v>1327</v>
      </c>
      <c r="E2124" s="5" t="s">
        <v>34</v>
      </c>
      <c r="F2124" s="5" t="s">
        <v>34</v>
      </c>
      <c r="G2124" s="5" t="s">
        <v>36</v>
      </c>
      <c r="H2124" s="5" t="s">
        <v>35</v>
      </c>
      <c r="I2124" s="6">
        <v>1.0</v>
      </c>
      <c r="J2124" s="6" t="s">
        <v>37</v>
      </c>
      <c r="K2124" s="6">
        <v>10.0</v>
      </c>
      <c r="L2124" s="5"/>
      <c r="M2124" s="5"/>
      <c r="N2124" s="6" t="s">
        <v>40</v>
      </c>
      <c r="O2124" s="5" t="s">
        <v>5363</v>
      </c>
      <c r="P2124" s="6" t="s">
        <v>42</v>
      </c>
      <c r="Q2124" s="5" t="s">
        <v>1237</v>
      </c>
      <c r="R2124" s="5" t="s">
        <v>12915</v>
      </c>
      <c r="S2124" s="6" t="s">
        <v>67</v>
      </c>
      <c r="T2124" s="6">
        <v>6510.0</v>
      </c>
    </row>
    <row r="2125" ht="56.25" customHeight="1">
      <c r="A2125" s="5" t="s">
        <v>12907</v>
      </c>
      <c r="B2125" s="6" t="str">
        <f>image("https://storage.googleapis.com/acdb/photos/BromideNpcNmlGoa08_Remake_3_0.png")</f>
        <v/>
      </c>
      <c r="C2125" s="5" t="s">
        <v>57</v>
      </c>
      <c r="D2125" s="5" t="s">
        <v>1327</v>
      </c>
      <c r="E2125" s="5" t="s">
        <v>34</v>
      </c>
      <c r="F2125" s="5" t="s">
        <v>34</v>
      </c>
      <c r="G2125" s="5" t="s">
        <v>36</v>
      </c>
      <c r="H2125" s="5" t="s">
        <v>35</v>
      </c>
      <c r="I2125" s="6">
        <v>1.0</v>
      </c>
      <c r="J2125" s="6" t="s">
        <v>37</v>
      </c>
      <c r="K2125" s="6">
        <v>10.0</v>
      </c>
      <c r="L2125" s="5"/>
      <c r="M2125" s="5"/>
      <c r="N2125" s="6" t="s">
        <v>40</v>
      </c>
      <c r="O2125" s="5" t="s">
        <v>5363</v>
      </c>
      <c r="P2125" s="6" t="s">
        <v>42</v>
      </c>
      <c r="Q2125" s="5" t="s">
        <v>1237</v>
      </c>
      <c r="R2125" s="5" t="s">
        <v>12918</v>
      </c>
      <c r="S2125" s="6" t="s">
        <v>71</v>
      </c>
      <c r="T2125" s="6">
        <v>6510.0</v>
      </c>
    </row>
    <row r="2126" ht="56.25" customHeight="1">
      <c r="A2126" s="5" t="s">
        <v>12907</v>
      </c>
      <c r="B2126" s="6" t="str">
        <f>image("https://storage.googleapis.com/acdb/photos/BromideNpcNmlGoa08_Remake_4_0.png")</f>
        <v/>
      </c>
      <c r="C2126" s="5" t="s">
        <v>1167</v>
      </c>
      <c r="D2126" s="5" t="s">
        <v>1327</v>
      </c>
      <c r="E2126" s="5" t="s">
        <v>34</v>
      </c>
      <c r="F2126" s="5" t="s">
        <v>34</v>
      </c>
      <c r="G2126" s="5" t="s">
        <v>36</v>
      </c>
      <c r="H2126" s="5" t="s">
        <v>35</v>
      </c>
      <c r="I2126" s="6">
        <v>1.0</v>
      </c>
      <c r="J2126" s="6" t="s">
        <v>37</v>
      </c>
      <c r="K2126" s="6">
        <v>10.0</v>
      </c>
      <c r="L2126" s="5"/>
      <c r="M2126" s="5"/>
      <c r="N2126" s="6" t="s">
        <v>40</v>
      </c>
      <c r="O2126" s="5" t="s">
        <v>5363</v>
      </c>
      <c r="P2126" s="6" t="s">
        <v>42</v>
      </c>
      <c r="Q2126" s="5" t="s">
        <v>1237</v>
      </c>
      <c r="R2126" s="5" t="s">
        <v>12921</v>
      </c>
      <c r="S2126" s="6" t="s">
        <v>75</v>
      </c>
      <c r="T2126" s="6">
        <v>6510.0</v>
      </c>
    </row>
    <row r="2127" ht="56.25" customHeight="1">
      <c r="A2127" s="5" t="s">
        <v>12907</v>
      </c>
      <c r="B2127" s="6" t="str">
        <f>image("https://storage.googleapis.com/acdb/photos/BromideNpcNmlGoa08_Remake_5_0.png")</f>
        <v/>
      </c>
      <c r="C2127" s="5" t="s">
        <v>58</v>
      </c>
      <c r="D2127" s="5" t="s">
        <v>1327</v>
      </c>
      <c r="E2127" s="5" t="s">
        <v>34</v>
      </c>
      <c r="F2127" s="5" t="s">
        <v>34</v>
      </c>
      <c r="G2127" s="5" t="s">
        <v>36</v>
      </c>
      <c r="H2127" s="5" t="s">
        <v>35</v>
      </c>
      <c r="I2127" s="6">
        <v>1.0</v>
      </c>
      <c r="J2127" s="6" t="s">
        <v>37</v>
      </c>
      <c r="K2127" s="6">
        <v>10.0</v>
      </c>
      <c r="L2127" s="5"/>
      <c r="M2127" s="5"/>
      <c r="N2127" s="6" t="s">
        <v>40</v>
      </c>
      <c r="O2127" s="5" t="s">
        <v>5363</v>
      </c>
      <c r="P2127" s="6" t="s">
        <v>42</v>
      </c>
      <c r="Q2127" s="5" t="s">
        <v>1237</v>
      </c>
      <c r="R2127" s="5" t="s">
        <v>12923</v>
      </c>
      <c r="S2127" s="6" t="s">
        <v>79</v>
      </c>
      <c r="T2127" s="6">
        <v>6510.0</v>
      </c>
    </row>
    <row r="2128" ht="56.25" customHeight="1">
      <c r="A2128" s="5" t="s">
        <v>12907</v>
      </c>
      <c r="B2128" s="6" t="str">
        <f>image("https://storage.googleapis.com/acdb/photos/BromideNpcNmlGoa08_Remake_6_0.png")</f>
        <v/>
      </c>
      <c r="C2128" s="5" t="s">
        <v>146</v>
      </c>
      <c r="D2128" s="5" t="s">
        <v>1327</v>
      </c>
      <c r="E2128" s="5" t="s">
        <v>34</v>
      </c>
      <c r="F2128" s="5" t="s">
        <v>34</v>
      </c>
      <c r="G2128" s="5" t="s">
        <v>36</v>
      </c>
      <c r="H2128" s="5" t="s">
        <v>35</v>
      </c>
      <c r="I2128" s="6">
        <v>1.0</v>
      </c>
      <c r="J2128" s="6" t="s">
        <v>37</v>
      </c>
      <c r="K2128" s="6">
        <v>10.0</v>
      </c>
      <c r="L2128" s="5"/>
      <c r="M2128" s="5"/>
      <c r="N2128" s="6" t="s">
        <v>40</v>
      </c>
      <c r="O2128" s="5" t="s">
        <v>5363</v>
      </c>
      <c r="P2128" s="6" t="s">
        <v>42</v>
      </c>
      <c r="Q2128" s="5" t="s">
        <v>1237</v>
      </c>
      <c r="R2128" s="5" t="s">
        <v>12927</v>
      </c>
      <c r="S2128" s="6" t="s">
        <v>86</v>
      </c>
      <c r="T2128" s="6">
        <v>6510.0</v>
      </c>
    </row>
    <row r="2129" ht="56.25" customHeight="1">
      <c r="A2129" s="5" t="s">
        <v>12907</v>
      </c>
      <c r="B2129" s="6" t="str">
        <f>image("https://storage.googleapis.com/acdb/photos/BromideNpcNmlGoa08_Remake_7_0.png")</f>
        <v/>
      </c>
      <c r="C2129" s="5" t="s">
        <v>151</v>
      </c>
      <c r="D2129" s="5" t="s">
        <v>1327</v>
      </c>
      <c r="E2129" s="5" t="s">
        <v>34</v>
      </c>
      <c r="F2129" s="5" t="s">
        <v>34</v>
      </c>
      <c r="G2129" s="5" t="s">
        <v>36</v>
      </c>
      <c r="H2129" s="5" t="s">
        <v>35</v>
      </c>
      <c r="I2129" s="6">
        <v>1.0</v>
      </c>
      <c r="J2129" s="6" t="s">
        <v>37</v>
      </c>
      <c r="K2129" s="6">
        <v>10.0</v>
      </c>
      <c r="L2129" s="5"/>
      <c r="M2129" s="5"/>
      <c r="N2129" s="6" t="s">
        <v>40</v>
      </c>
      <c r="O2129" s="5" t="s">
        <v>5363</v>
      </c>
      <c r="P2129" s="6" t="s">
        <v>42</v>
      </c>
      <c r="Q2129" s="5" t="s">
        <v>1237</v>
      </c>
      <c r="R2129" s="5" t="s">
        <v>12929</v>
      </c>
      <c r="S2129" s="6" t="s">
        <v>208</v>
      </c>
      <c r="T2129" s="6">
        <v>6510.0</v>
      </c>
    </row>
    <row r="2130" ht="56.25" customHeight="1">
      <c r="A2130" s="5" t="s">
        <v>12930</v>
      </c>
      <c r="B2130" s="6" t="str">
        <f>image("https://storage.googleapis.com/acdb/photos/BromideNpcNmlDuk02_Remake_0_0.png")</f>
        <v/>
      </c>
      <c r="C2130" s="5" t="s">
        <v>366</v>
      </c>
      <c r="D2130" s="5" t="s">
        <v>1327</v>
      </c>
      <c r="E2130" s="5" t="s">
        <v>34</v>
      </c>
      <c r="F2130" s="5" t="s">
        <v>34</v>
      </c>
      <c r="G2130" s="5" t="s">
        <v>36</v>
      </c>
      <c r="H2130" s="5" t="s">
        <v>35</v>
      </c>
      <c r="I2130" s="6">
        <v>1.0</v>
      </c>
      <c r="J2130" s="6" t="s">
        <v>37</v>
      </c>
      <c r="K2130" s="6">
        <v>10.0</v>
      </c>
      <c r="L2130" s="5"/>
      <c r="M2130" s="5"/>
      <c r="N2130" s="6" t="s">
        <v>40</v>
      </c>
      <c r="O2130" s="5" t="s">
        <v>5363</v>
      </c>
      <c r="P2130" s="6" t="s">
        <v>42</v>
      </c>
      <c r="Q2130" s="5" t="s">
        <v>1237</v>
      </c>
      <c r="R2130" s="5" t="s">
        <v>12933</v>
      </c>
      <c r="S2130" s="6" t="s">
        <v>50</v>
      </c>
      <c r="T2130" s="6">
        <v>6456.0</v>
      </c>
    </row>
    <row r="2131" ht="56.25" customHeight="1">
      <c r="A2131" s="5" t="s">
        <v>12930</v>
      </c>
      <c r="B2131" s="6" t="str">
        <f>image("https://storage.googleapis.com/acdb/photos/BromideNpcNmlDuk02_Remake_1_0.png")</f>
        <v/>
      </c>
      <c r="C2131" s="5" t="s">
        <v>1132</v>
      </c>
      <c r="D2131" s="5" t="s">
        <v>1327</v>
      </c>
      <c r="E2131" s="5" t="s">
        <v>34</v>
      </c>
      <c r="F2131" s="5" t="s">
        <v>34</v>
      </c>
      <c r="G2131" s="5" t="s">
        <v>36</v>
      </c>
      <c r="H2131" s="5" t="s">
        <v>35</v>
      </c>
      <c r="I2131" s="6">
        <v>1.0</v>
      </c>
      <c r="J2131" s="6" t="s">
        <v>37</v>
      </c>
      <c r="K2131" s="6">
        <v>10.0</v>
      </c>
      <c r="L2131" s="5"/>
      <c r="M2131" s="5"/>
      <c r="N2131" s="6" t="s">
        <v>40</v>
      </c>
      <c r="O2131" s="5" t="s">
        <v>5363</v>
      </c>
      <c r="P2131" s="6" t="s">
        <v>42</v>
      </c>
      <c r="Q2131" s="5" t="s">
        <v>1237</v>
      </c>
      <c r="R2131" s="5" t="s">
        <v>12935</v>
      </c>
      <c r="S2131" s="6" t="s">
        <v>56</v>
      </c>
      <c r="T2131" s="6">
        <v>6456.0</v>
      </c>
    </row>
    <row r="2132" ht="56.25" customHeight="1">
      <c r="A2132" s="5" t="s">
        <v>12930</v>
      </c>
      <c r="B2132" s="6" t="str">
        <f>image("https://storage.googleapis.com/acdb/photos/BromideNpcNmlDuk02_Remake_2_0.png")</f>
        <v/>
      </c>
      <c r="C2132" s="5" t="s">
        <v>688</v>
      </c>
      <c r="D2132" s="5" t="s">
        <v>1327</v>
      </c>
      <c r="E2132" s="5" t="s">
        <v>34</v>
      </c>
      <c r="F2132" s="5" t="s">
        <v>34</v>
      </c>
      <c r="G2132" s="5" t="s">
        <v>36</v>
      </c>
      <c r="H2132" s="5" t="s">
        <v>35</v>
      </c>
      <c r="I2132" s="6">
        <v>1.0</v>
      </c>
      <c r="J2132" s="6" t="s">
        <v>37</v>
      </c>
      <c r="K2132" s="6">
        <v>10.0</v>
      </c>
      <c r="L2132" s="5"/>
      <c r="M2132" s="5"/>
      <c r="N2132" s="6" t="s">
        <v>40</v>
      </c>
      <c r="O2132" s="5" t="s">
        <v>5363</v>
      </c>
      <c r="P2132" s="6" t="s">
        <v>42</v>
      </c>
      <c r="Q2132" s="5" t="s">
        <v>1237</v>
      </c>
      <c r="R2132" s="5" t="s">
        <v>12937</v>
      </c>
      <c r="S2132" s="6" t="s">
        <v>67</v>
      </c>
      <c r="T2132" s="6">
        <v>6456.0</v>
      </c>
    </row>
    <row r="2133" ht="56.25" customHeight="1">
      <c r="A2133" s="5" t="s">
        <v>12930</v>
      </c>
      <c r="B2133" s="6" t="str">
        <f>image("https://storage.googleapis.com/acdb/photos/BromideNpcNmlDuk02_Remake_3_0.png")</f>
        <v/>
      </c>
      <c r="C2133" s="5" t="s">
        <v>57</v>
      </c>
      <c r="D2133" s="5" t="s">
        <v>1327</v>
      </c>
      <c r="E2133" s="5" t="s">
        <v>34</v>
      </c>
      <c r="F2133" s="5" t="s">
        <v>34</v>
      </c>
      <c r="G2133" s="5" t="s">
        <v>36</v>
      </c>
      <c r="H2133" s="5" t="s">
        <v>35</v>
      </c>
      <c r="I2133" s="6">
        <v>1.0</v>
      </c>
      <c r="J2133" s="6" t="s">
        <v>37</v>
      </c>
      <c r="K2133" s="6">
        <v>10.0</v>
      </c>
      <c r="L2133" s="5"/>
      <c r="M2133" s="5"/>
      <c r="N2133" s="6" t="s">
        <v>40</v>
      </c>
      <c r="O2133" s="5" t="s">
        <v>5363</v>
      </c>
      <c r="P2133" s="6" t="s">
        <v>42</v>
      </c>
      <c r="Q2133" s="5" t="s">
        <v>1237</v>
      </c>
      <c r="R2133" s="5" t="s">
        <v>12941</v>
      </c>
      <c r="S2133" s="6" t="s">
        <v>71</v>
      </c>
      <c r="T2133" s="6">
        <v>6456.0</v>
      </c>
    </row>
    <row r="2134" ht="56.25" customHeight="1">
      <c r="A2134" s="5" t="s">
        <v>12930</v>
      </c>
      <c r="B2134" s="6" t="str">
        <f>image("https://storage.googleapis.com/acdb/photos/BromideNpcNmlDuk02_Remake_4_0.png")</f>
        <v/>
      </c>
      <c r="C2134" s="5" t="s">
        <v>1167</v>
      </c>
      <c r="D2134" s="5" t="s">
        <v>1327</v>
      </c>
      <c r="E2134" s="5" t="s">
        <v>34</v>
      </c>
      <c r="F2134" s="5" t="s">
        <v>34</v>
      </c>
      <c r="G2134" s="5" t="s">
        <v>36</v>
      </c>
      <c r="H2134" s="5" t="s">
        <v>35</v>
      </c>
      <c r="I2134" s="6">
        <v>1.0</v>
      </c>
      <c r="J2134" s="6" t="s">
        <v>37</v>
      </c>
      <c r="K2134" s="6">
        <v>10.0</v>
      </c>
      <c r="L2134" s="5"/>
      <c r="M2134" s="5"/>
      <c r="N2134" s="6" t="s">
        <v>40</v>
      </c>
      <c r="O2134" s="5" t="s">
        <v>5363</v>
      </c>
      <c r="P2134" s="6" t="s">
        <v>42</v>
      </c>
      <c r="Q2134" s="5" t="s">
        <v>1237</v>
      </c>
      <c r="R2134" s="5" t="s">
        <v>12942</v>
      </c>
      <c r="S2134" s="6" t="s">
        <v>75</v>
      </c>
      <c r="T2134" s="6">
        <v>6456.0</v>
      </c>
    </row>
    <row r="2135" ht="56.25" customHeight="1">
      <c r="A2135" s="5" t="s">
        <v>12930</v>
      </c>
      <c r="B2135" s="6" t="str">
        <f>image("https://storage.googleapis.com/acdb/photos/BromideNpcNmlDuk02_Remake_5_0.png")</f>
        <v/>
      </c>
      <c r="C2135" s="5" t="s">
        <v>58</v>
      </c>
      <c r="D2135" s="5" t="s">
        <v>1327</v>
      </c>
      <c r="E2135" s="5" t="s">
        <v>34</v>
      </c>
      <c r="F2135" s="5" t="s">
        <v>34</v>
      </c>
      <c r="G2135" s="5" t="s">
        <v>36</v>
      </c>
      <c r="H2135" s="5" t="s">
        <v>35</v>
      </c>
      <c r="I2135" s="6">
        <v>1.0</v>
      </c>
      <c r="J2135" s="6" t="s">
        <v>37</v>
      </c>
      <c r="K2135" s="6">
        <v>10.0</v>
      </c>
      <c r="L2135" s="5"/>
      <c r="M2135" s="5"/>
      <c r="N2135" s="6" t="s">
        <v>40</v>
      </c>
      <c r="O2135" s="5" t="s">
        <v>5363</v>
      </c>
      <c r="P2135" s="6" t="s">
        <v>42</v>
      </c>
      <c r="Q2135" s="5" t="s">
        <v>1237</v>
      </c>
      <c r="R2135" s="5" t="s">
        <v>12945</v>
      </c>
      <c r="S2135" s="6" t="s">
        <v>79</v>
      </c>
      <c r="T2135" s="6">
        <v>6456.0</v>
      </c>
    </row>
    <row r="2136" ht="56.25" customHeight="1">
      <c r="A2136" s="5" t="s">
        <v>12930</v>
      </c>
      <c r="B2136" s="6" t="str">
        <f>image("https://storage.googleapis.com/acdb/photos/BromideNpcNmlDuk02_Remake_6_0.png")</f>
        <v/>
      </c>
      <c r="C2136" s="5" t="s">
        <v>146</v>
      </c>
      <c r="D2136" s="5" t="s">
        <v>1327</v>
      </c>
      <c r="E2136" s="5" t="s">
        <v>34</v>
      </c>
      <c r="F2136" s="5" t="s">
        <v>34</v>
      </c>
      <c r="G2136" s="5" t="s">
        <v>36</v>
      </c>
      <c r="H2136" s="5" t="s">
        <v>35</v>
      </c>
      <c r="I2136" s="6">
        <v>1.0</v>
      </c>
      <c r="J2136" s="6" t="s">
        <v>37</v>
      </c>
      <c r="K2136" s="6">
        <v>10.0</v>
      </c>
      <c r="L2136" s="5"/>
      <c r="M2136" s="5"/>
      <c r="N2136" s="6" t="s">
        <v>40</v>
      </c>
      <c r="O2136" s="5" t="s">
        <v>5363</v>
      </c>
      <c r="P2136" s="6" t="s">
        <v>42</v>
      </c>
      <c r="Q2136" s="5" t="s">
        <v>1237</v>
      </c>
      <c r="R2136" s="5" t="s">
        <v>12946</v>
      </c>
      <c r="S2136" s="6" t="s">
        <v>86</v>
      </c>
      <c r="T2136" s="6">
        <v>6456.0</v>
      </c>
    </row>
    <row r="2137" ht="56.25" customHeight="1">
      <c r="A2137" s="5" t="s">
        <v>12930</v>
      </c>
      <c r="B2137" s="6" t="str">
        <f>image("https://storage.googleapis.com/acdb/photos/BromideNpcNmlDuk02_Remake_7_0.png")</f>
        <v/>
      </c>
      <c r="C2137" s="5" t="s">
        <v>151</v>
      </c>
      <c r="D2137" s="5" t="s">
        <v>1327</v>
      </c>
      <c r="E2137" s="5" t="s">
        <v>34</v>
      </c>
      <c r="F2137" s="5" t="s">
        <v>34</v>
      </c>
      <c r="G2137" s="5" t="s">
        <v>36</v>
      </c>
      <c r="H2137" s="5" t="s">
        <v>35</v>
      </c>
      <c r="I2137" s="6">
        <v>1.0</v>
      </c>
      <c r="J2137" s="6" t="s">
        <v>37</v>
      </c>
      <c r="K2137" s="6">
        <v>10.0</v>
      </c>
      <c r="L2137" s="5"/>
      <c r="M2137" s="5"/>
      <c r="N2137" s="6" t="s">
        <v>40</v>
      </c>
      <c r="O2137" s="5" t="s">
        <v>5363</v>
      </c>
      <c r="P2137" s="6" t="s">
        <v>42</v>
      </c>
      <c r="Q2137" s="5" t="s">
        <v>1237</v>
      </c>
      <c r="R2137" s="5" t="s">
        <v>12950</v>
      </c>
      <c r="S2137" s="6" t="s">
        <v>208</v>
      </c>
      <c r="T2137" s="6">
        <v>6456.0</v>
      </c>
    </row>
    <row r="2138" ht="56.25" customHeight="1">
      <c r="A2138" s="5" t="s">
        <v>12951</v>
      </c>
      <c r="B2138" s="6" t="str">
        <f>image("https://storage.googleapis.com/acdb/photos/BromideNpcNmlCow00_Remake_0_0.png")</f>
        <v/>
      </c>
      <c r="C2138" s="5" t="s">
        <v>366</v>
      </c>
      <c r="D2138" s="5" t="s">
        <v>1327</v>
      </c>
      <c r="E2138" s="5" t="s">
        <v>34</v>
      </c>
      <c r="F2138" s="5" t="s">
        <v>34</v>
      </c>
      <c r="G2138" s="5" t="s">
        <v>36</v>
      </c>
      <c r="H2138" s="5" t="s">
        <v>35</v>
      </c>
      <c r="I2138" s="6">
        <v>1.0</v>
      </c>
      <c r="J2138" s="6" t="s">
        <v>37</v>
      </c>
      <c r="K2138" s="6">
        <v>10.0</v>
      </c>
      <c r="L2138" s="5"/>
      <c r="M2138" s="5"/>
      <c r="N2138" s="6" t="s">
        <v>40</v>
      </c>
      <c r="O2138" s="5" t="s">
        <v>5363</v>
      </c>
      <c r="P2138" s="6" t="s">
        <v>42</v>
      </c>
      <c r="Q2138" s="5" t="s">
        <v>1237</v>
      </c>
      <c r="R2138" s="5" t="s">
        <v>12954</v>
      </c>
      <c r="S2138" s="6" t="s">
        <v>50</v>
      </c>
      <c r="T2138" s="6">
        <v>6795.0</v>
      </c>
    </row>
    <row r="2139" ht="56.25" customHeight="1">
      <c r="A2139" s="5" t="s">
        <v>12951</v>
      </c>
      <c r="B2139" s="6" t="str">
        <f>image("https://storage.googleapis.com/acdb/photos/BromideNpcNmlCow00_Remake_1_0.png")</f>
        <v/>
      </c>
      <c r="C2139" s="5" t="s">
        <v>1132</v>
      </c>
      <c r="D2139" s="5" t="s">
        <v>1327</v>
      </c>
      <c r="E2139" s="5" t="s">
        <v>34</v>
      </c>
      <c r="F2139" s="5" t="s">
        <v>34</v>
      </c>
      <c r="G2139" s="5" t="s">
        <v>36</v>
      </c>
      <c r="H2139" s="5" t="s">
        <v>35</v>
      </c>
      <c r="I2139" s="6">
        <v>1.0</v>
      </c>
      <c r="J2139" s="6" t="s">
        <v>37</v>
      </c>
      <c r="K2139" s="6">
        <v>10.0</v>
      </c>
      <c r="L2139" s="5"/>
      <c r="M2139" s="5"/>
      <c r="N2139" s="6" t="s">
        <v>40</v>
      </c>
      <c r="O2139" s="5" t="s">
        <v>5363</v>
      </c>
      <c r="P2139" s="6" t="s">
        <v>42</v>
      </c>
      <c r="Q2139" s="5" t="s">
        <v>1237</v>
      </c>
      <c r="R2139" s="5" t="s">
        <v>12955</v>
      </c>
      <c r="S2139" s="6" t="s">
        <v>56</v>
      </c>
      <c r="T2139" s="6">
        <v>6795.0</v>
      </c>
    </row>
    <row r="2140" ht="56.25" customHeight="1">
      <c r="A2140" s="5" t="s">
        <v>12951</v>
      </c>
      <c r="B2140" s="6" t="str">
        <f>image("https://storage.googleapis.com/acdb/photos/BromideNpcNmlCow00_Remake_2_0.png")</f>
        <v/>
      </c>
      <c r="C2140" s="5" t="s">
        <v>688</v>
      </c>
      <c r="D2140" s="5" t="s">
        <v>1327</v>
      </c>
      <c r="E2140" s="5" t="s">
        <v>34</v>
      </c>
      <c r="F2140" s="5" t="s">
        <v>34</v>
      </c>
      <c r="G2140" s="5" t="s">
        <v>36</v>
      </c>
      <c r="H2140" s="5" t="s">
        <v>35</v>
      </c>
      <c r="I2140" s="6">
        <v>1.0</v>
      </c>
      <c r="J2140" s="6" t="s">
        <v>37</v>
      </c>
      <c r="K2140" s="6">
        <v>10.0</v>
      </c>
      <c r="L2140" s="5"/>
      <c r="M2140" s="5"/>
      <c r="N2140" s="6" t="s">
        <v>40</v>
      </c>
      <c r="O2140" s="5" t="s">
        <v>5363</v>
      </c>
      <c r="P2140" s="6" t="s">
        <v>42</v>
      </c>
      <c r="Q2140" s="5" t="s">
        <v>1237</v>
      </c>
      <c r="R2140" s="5" t="s">
        <v>12960</v>
      </c>
      <c r="S2140" s="6" t="s">
        <v>67</v>
      </c>
      <c r="T2140" s="6">
        <v>6795.0</v>
      </c>
    </row>
    <row r="2141" ht="56.25" customHeight="1">
      <c r="A2141" s="5" t="s">
        <v>12951</v>
      </c>
      <c r="B2141" s="6" t="str">
        <f>image("https://storage.googleapis.com/acdb/photos/BromideNpcNmlCow00_Remake_3_0.png")</f>
        <v/>
      </c>
      <c r="C2141" s="5" t="s">
        <v>57</v>
      </c>
      <c r="D2141" s="5" t="s">
        <v>1327</v>
      </c>
      <c r="E2141" s="5" t="s">
        <v>34</v>
      </c>
      <c r="F2141" s="5" t="s">
        <v>34</v>
      </c>
      <c r="G2141" s="5" t="s">
        <v>36</v>
      </c>
      <c r="H2141" s="5" t="s">
        <v>35</v>
      </c>
      <c r="I2141" s="6">
        <v>1.0</v>
      </c>
      <c r="J2141" s="6" t="s">
        <v>37</v>
      </c>
      <c r="K2141" s="6">
        <v>10.0</v>
      </c>
      <c r="L2141" s="5"/>
      <c r="M2141" s="5"/>
      <c r="N2141" s="6" t="s">
        <v>40</v>
      </c>
      <c r="O2141" s="5" t="s">
        <v>5363</v>
      </c>
      <c r="P2141" s="6" t="s">
        <v>42</v>
      </c>
      <c r="Q2141" s="5" t="s">
        <v>1237</v>
      </c>
      <c r="R2141" s="5" t="s">
        <v>12964</v>
      </c>
      <c r="S2141" s="6" t="s">
        <v>71</v>
      </c>
      <c r="T2141" s="6">
        <v>6795.0</v>
      </c>
    </row>
    <row r="2142" ht="56.25" customHeight="1">
      <c r="A2142" s="5" t="s">
        <v>12951</v>
      </c>
      <c r="B2142" s="6" t="str">
        <f>image("https://storage.googleapis.com/acdb/photos/BromideNpcNmlCow00_Remake_4_0.png")</f>
        <v/>
      </c>
      <c r="C2142" s="5" t="s">
        <v>1167</v>
      </c>
      <c r="D2142" s="5" t="s">
        <v>1327</v>
      </c>
      <c r="E2142" s="5" t="s">
        <v>34</v>
      </c>
      <c r="F2142" s="5" t="s">
        <v>34</v>
      </c>
      <c r="G2142" s="5" t="s">
        <v>36</v>
      </c>
      <c r="H2142" s="5" t="s">
        <v>35</v>
      </c>
      <c r="I2142" s="6">
        <v>1.0</v>
      </c>
      <c r="J2142" s="6" t="s">
        <v>37</v>
      </c>
      <c r="K2142" s="6">
        <v>10.0</v>
      </c>
      <c r="L2142" s="5"/>
      <c r="M2142" s="5"/>
      <c r="N2142" s="6" t="s">
        <v>40</v>
      </c>
      <c r="O2142" s="5" t="s">
        <v>5363</v>
      </c>
      <c r="P2142" s="6" t="s">
        <v>42</v>
      </c>
      <c r="Q2142" s="5" t="s">
        <v>1237</v>
      </c>
      <c r="R2142" s="5" t="s">
        <v>12966</v>
      </c>
      <c r="S2142" s="6" t="s">
        <v>75</v>
      </c>
      <c r="T2142" s="6">
        <v>6795.0</v>
      </c>
    </row>
    <row r="2143" ht="56.25" customHeight="1">
      <c r="A2143" s="5" t="s">
        <v>12951</v>
      </c>
      <c r="B2143" s="6" t="str">
        <f>image("https://storage.googleapis.com/acdb/photos/BromideNpcNmlCow00_Remake_5_0.png")</f>
        <v/>
      </c>
      <c r="C2143" s="5" t="s">
        <v>58</v>
      </c>
      <c r="D2143" s="5" t="s">
        <v>1327</v>
      </c>
      <c r="E2143" s="5" t="s">
        <v>34</v>
      </c>
      <c r="F2143" s="5" t="s">
        <v>34</v>
      </c>
      <c r="G2143" s="5" t="s">
        <v>36</v>
      </c>
      <c r="H2143" s="5" t="s">
        <v>35</v>
      </c>
      <c r="I2143" s="6">
        <v>1.0</v>
      </c>
      <c r="J2143" s="6" t="s">
        <v>37</v>
      </c>
      <c r="K2143" s="6">
        <v>10.0</v>
      </c>
      <c r="L2143" s="5"/>
      <c r="M2143" s="5"/>
      <c r="N2143" s="6" t="s">
        <v>40</v>
      </c>
      <c r="O2143" s="5" t="s">
        <v>5363</v>
      </c>
      <c r="P2143" s="6" t="s">
        <v>42</v>
      </c>
      <c r="Q2143" s="5" t="s">
        <v>1237</v>
      </c>
      <c r="R2143" s="5" t="s">
        <v>12968</v>
      </c>
      <c r="S2143" s="6" t="s">
        <v>79</v>
      </c>
      <c r="T2143" s="6">
        <v>6795.0</v>
      </c>
    </row>
    <row r="2144" ht="56.25" customHeight="1">
      <c r="A2144" s="5" t="s">
        <v>12951</v>
      </c>
      <c r="B2144" s="6" t="str">
        <f>image("https://storage.googleapis.com/acdb/photos/BromideNpcNmlCow00_Remake_6_0.png")</f>
        <v/>
      </c>
      <c r="C2144" s="5" t="s">
        <v>146</v>
      </c>
      <c r="D2144" s="5" t="s">
        <v>1327</v>
      </c>
      <c r="E2144" s="5" t="s">
        <v>34</v>
      </c>
      <c r="F2144" s="5" t="s">
        <v>34</v>
      </c>
      <c r="G2144" s="5" t="s">
        <v>36</v>
      </c>
      <c r="H2144" s="5" t="s">
        <v>35</v>
      </c>
      <c r="I2144" s="6">
        <v>1.0</v>
      </c>
      <c r="J2144" s="6" t="s">
        <v>37</v>
      </c>
      <c r="K2144" s="6">
        <v>10.0</v>
      </c>
      <c r="L2144" s="5"/>
      <c r="M2144" s="5"/>
      <c r="N2144" s="6" t="s">
        <v>40</v>
      </c>
      <c r="O2144" s="5" t="s">
        <v>5363</v>
      </c>
      <c r="P2144" s="6" t="s">
        <v>42</v>
      </c>
      <c r="Q2144" s="5" t="s">
        <v>1237</v>
      </c>
      <c r="R2144" s="5" t="s">
        <v>12972</v>
      </c>
      <c r="S2144" s="6" t="s">
        <v>86</v>
      </c>
      <c r="T2144" s="6">
        <v>6795.0</v>
      </c>
    </row>
    <row r="2145" ht="56.25" customHeight="1">
      <c r="A2145" s="5" t="s">
        <v>12951</v>
      </c>
      <c r="B2145" s="6" t="str">
        <f>image("https://storage.googleapis.com/acdb/photos/BromideNpcNmlCow00_Remake_7_0.png")</f>
        <v/>
      </c>
      <c r="C2145" s="5" t="s">
        <v>151</v>
      </c>
      <c r="D2145" s="5" t="s">
        <v>1327</v>
      </c>
      <c r="E2145" s="5" t="s">
        <v>34</v>
      </c>
      <c r="F2145" s="5" t="s">
        <v>34</v>
      </c>
      <c r="G2145" s="5" t="s">
        <v>36</v>
      </c>
      <c r="H2145" s="5" t="s">
        <v>35</v>
      </c>
      <c r="I2145" s="6">
        <v>1.0</v>
      </c>
      <c r="J2145" s="6" t="s">
        <v>37</v>
      </c>
      <c r="K2145" s="6">
        <v>10.0</v>
      </c>
      <c r="L2145" s="5"/>
      <c r="M2145" s="5"/>
      <c r="N2145" s="6" t="s">
        <v>40</v>
      </c>
      <c r="O2145" s="5" t="s">
        <v>5363</v>
      </c>
      <c r="P2145" s="6" t="s">
        <v>42</v>
      </c>
      <c r="Q2145" s="5" t="s">
        <v>1237</v>
      </c>
      <c r="R2145" s="5" t="s">
        <v>12974</v>
      </c>
      <c r="S2145" s="6" t="s">
        <v>208</v>
      </c>
      <c r="T2145" s="6">
        <v>6795.0</v>
      </c>
    </row>
    <row r="2146" ht="56.25" customHeight="1">
      <c r="A2146" s="5" t="s">
        <v>12975</v>
      </c>
      <c r="B2146" s="6" t="str">
        <f>image("https://storage.googleapis.com/acdb/photos/BromideNpcNmlBea10_Remake_0_0.png")</f>
        <v/>
      </c>
      <c r="C2146" s="5" t="s">
        <v>366</v>
      </c>
      <c r="D2146" s="5" t="s">
        <v>1327</v>
      </c>
      <c r="E2146" s="5" t="s">
        <v>34</v>
      </c>
      <c r="F2146" s="5" t="s">
        <v>34</v>
      </c>
      <c r="G2146" s="5" t="s">
        <v>36</v>
      </c>
      <c r="H2146" s="5" t="s">
        <v>35</v>
      </c>
      <c r="I2146" s="6">
        <v>1.0</v>
      </c>
      <c r="J2146" s="6" t="s">
        <v>37</v>
      </c>
      <c r="K2146" s="6">
        <v>10.0</v>
      </c>
      <c r="L2146" s="5"/>
      <c r="M2146" s="5"/>
      <c r="N2146" s="6" t="s">
        <v>40</v>
      </c>
      <c r="O2146" s="5" t="s">
        <v>5363</v>
      </c>
      <c r="P2146" s="6" t="s">
        <v>42</v>
      </c>
      <c r="Q2146" s="5" t="s">
        <v>1237</v>
      </c>
      <c r="R2146" s="5" t="s">
        <v>12978</v>
      </c>
      <c r="S2146" s="6" t="s">
        <v>50</v>
      </c>
      <c r="T2146" s="6">
        <v>6504.0</v>
      </c>
    </row>
    <row r="2147" ht="56.25" customHeight="1">
      <c r="A2147" s="5" t="s">
        <v>12975</v>
      </c>
      <c r="B2147" s="6" t="str">
        <f>image("https://storage.googleapis.com/acdb/photos/BromideNpcNmlBea10_Remake_1_0.png")</f>
        <v/>
      </c>
      <c r="C2147" s="5" t="s">
        <v>1132</v>
      </c>
      <c r="D2147" s="5" t="s">
        <v>1327</v>
      </c>
      <c r="E2147" s="5" t="s">
        <v>34</v>
      </c>
      <c r="F2147" s="5" t="s">
        <v>34</v>
      </c>
      <c r="G2147" s="5" t="s">
        <v>36</v>
      </c>
      <c r="H2147" s="5" t="s">
        <v>35</v>
      </c>
      <c r="I2147" s="6">
        <v>1.0</v>
      </c>
      <c r="J2147" s="6" t="s">
        <v>37</v>
      </c>
      <c r="K2147" s="6">
        <v>10.0</v>
      </c>
      <c r="L2147" s="5"/>
      <c r="M2147" s="5"/>
      <c r="N2147" s="6" t="s">
        <v>40</v>
      </c>
      <c r="O2147" s="5" t="s">
        <v>5363</v>
      </c>
      <c r="P2147" s="6" t="s">
        <v>42</v>
      </c>
      <c r="Q2147" s="5" t="s">
        <v>1237</v>
      </c>
      <c r="R2147" s="5" t="s">
        <v>12981</v>
      </c>
      <c r="S2147" s="6" t="s">
        <v>56</v>
      </c>
      <c r="T2147" s="6">
        <v>6504.0</v>
      </c>
    </row>
    <row r="2148" ht="56.25" customHeight="1">
      <c r="A2148" s="5" t="s">
        <v>12975</v>
      </c>
      <c r="B2148" s="6" t="str">
        <f>image("https://storage.googleapis.com/acdb/photos/BromideNpcNmlBea10_Remake_2_0.png")</f>
        <v/>
      </c>
      <c r="C2148" s="5" t="s">
        <v>688</v>
      </c>
      <c r="D2148" s="5" t="s">
        <v>1327</v>
      </c>
      <c r="E2148" s="5" t="s">
        <v>34</v>
      </c>
      <c r="F2148" s="5" t="s">
        <v>34</v>
      </c>
      <c r="G2148" s="5" t="s">
        <v>36</v>
      </c>
      <c r="H2148" s="5" t="s">
        <v>35</v>
      </c>
      <c r="I2148" s="6">
        <v>1.0</v>
      </c>
      <c r="J2148" s="6" t="s">
        <v>37</v>
      </c>
      <c r="K2148" s="6">
        <v>10.0</v>
      </c>
      <c r="L2148" s="5"/>
      <c r="M2148" s="5"/>
      <c r="N2148" s="6" t="s">
        <v>40</v>
      </c>
      <c r="O2148" s="5" t="s">
        <v>5363</v>
      </c>
      <c r="P2148" s="6" t="s">
        <v>42</v>
      </c>
      <c r="Q2148" s="5" t="s">
        <v>1237</v>
      </c>
      <c r="R2148" s="5" t="s">
        <v>12983</v>
      </c>
      <c r="S2148" s="6" t="s">
        <v>67</v>
      </c>
      <c r="T2148" s="6">
        <v>6504.0</v>
      </c>
    </row>
    <row r="2149" ht="56.25" customHeight="1">
      <c r="A2149" s="5" t="s">
        <v>12975</v>
      </c>
      <c r="B2149" s="6" t="str">
        <f>image("https://storage.googleapis.com/acdb/photos/BromideNpcNmlBea10_Remake_3_0.png")</f>
        <v/>
      </c>
      <c r="C2149" s="5" t="s">
        <v>57</v>
      </c>
      <c r="D2149" s="5" t="s">
        <v>1327</v>
      </c>
      <c r="E2149" s="5" t="s">
        <v>34</v>
      </c>
      <c r="F2149" s="5" t="s">
        <v>34</v>
      </c>
      <c r="G2149" s="5" t="s">
        <v>36</v>
      </c>
      <c r="H2149" s="5" t="s">
        <v>35</v>
      </c>
      <c r="I2149" s="6">
        <v>1.0</v>
      </c>
      <c r="J2149" s="6" t="s">
        <v>37</v>
      </c>
      <c r="K2149" s="6">
        <v>10.0</v>
      </c>
      <c r="L2149" s="5"/>
      <c r="M2149" s="5"/>
      <c r="N2149" s="6" t="s">
        <v>40</v>
      </c>
      <c r="O2149" s="5" t="s">
        <v>5363</v>
      </c>
      <c r="P2149" s="6" t="s">
        <v>42</v>
      </c>
      <c r="Q2149" s="5" t="s">
        <v>1237</v>
      </c>
      <c r="R2149" s="5" t="s">
        <v>12986</v>
      </c>
      <c r="S2149" s="6" t="s">
        <v>71</v>
      </c>
      <c r="T2149" s="6">
        <v>6504.0</v>
      </c>
    </row>
    <row r="2150" ht="56.25" customHeight="1">
      <c r="A2150" s="5" t="s">
        <v>12975</v>
      </c>
      <c r="B2150" s="6" t="str">
        <f>image("https://storage.googleapis.com/acdb/photos/BromideNpcNmlBea10_Remake_4_0.png")</f>
        <v/>
      </c>
      <c r="C2150" s="5" t="s">
        <v>1167</v>
      </c>
      <c r="D2150" s="5" t="s">
        <v>1327</v>
      </c>
      <c r="E2150" s="5" t="s">
        <v>34</v>
      </c>
      <c r="F2150" s="5" t="s">
        <v>34</v>
      </c>
      <c r="G2150" s="5" t="s">
        <v>36</v>
      </c>
      <c r="H2150" s="5" t="s">
        <v>35</v>
      </c>
      <c r="I2150" s="6">
        <v>1.0</v>
      </c>
      <c r="J2150" s="6" t="s">
        <v>37</v>
      </c>
      <c r="K2150" s="6">
        <v>10.0</v>
      </c>
      <c r="L2150" s="5"/>
      <c r="M2150" s="5"/>
      <c r="N2150" s="6" t="s">
        <v>40</v>
      </c>
      <c r="O2150" s="5" t="s">
        <v>5363</v>
      </c>
      <c r="P2150" s="6" t="s">
        <v>42</v>
      </c>
      <c r="Q2150" s="5" t="s">
        <v>1237</v>
      </c>
      <c r="R2150" s="5" t="s">
        <v>12987</v>
      </c>
      <c r="S2150" s="6" t="s">
        <v>75</v>
      </c>
      <c r="T2150" s="6">
        <v>6504.0</v>
      </c>
    </row>
    <row r="2151" ht="56.25" customHeight="1">
      <c r="A2151" s="5" t="s">
        <v>12975</v>
      </c>
      <c r="B2151" s="6" t="str">
        <f>image("https://storage.googleapis.com/acdb/photos/BromideNpcNmlBea10_Remake_5_0.png")</f>
        <v/>
      </c>
      <c r="C2151" s="5" t="s">
        <v>58</v>
      </c>
      <c r="D2151" s="5" t="s">
        <v>1327</v>
      </c>
      <c r="E2151" s="5" t="s">
        <v>34</v>
      </c>
      <c r="F2151" s="5" t="s">
        <v>34</v>
      </c>
      <c r="G2151" s="5" t="s">
        <v>36</v>
      </c>
      <c r="H2151" s="5" t="s">
        <v>35</v>
      </c>
      <c r="I2151" s="6">
        <v>1.0</v>
      </c>
      <c r="J2151" s="6" t="s">
        <v>37</v>
      </c>
      <c r="K2151" s="6">
        <v>10.0</v>
      </c>
      <c r="L2151" s="5"/>
      <c r="M2151" s="5"/>
      <c r="N2151" s="6" t="s">
        <v>40</v>
      </c>
      <c r="O2151" s="5" t="s">
        <v>5363</v>
      </c>
      <c r="P2151" s="6" t="s">
        <v>42</v>
      </c>
      <c r="Q2151" s="5" t="s">
        <v>1237</v>
      </c>
      <c r="R2151" s="5" t="s">
        <v>12990</v>
      </c>
      <c r="S2151" s="6" t="s">
        <v>79</v>
      </c>
      <c r="T2151" s="6">
        <v>6504.0</v>
      </c>
    </row>
    <row r="2152" ht="56.25" customHeight="1">
      <c r="A2152" s="5" t="s">
        <v>12975</v>
      </c>
      <c r="B2152" s="6" t="str">
        <f>image("https://storage.googleapis.com/acdb/photos/BromideNpcNmlBea10_Remake_6_0.png")</f>
        <v/>
      </c>
      <c r="C2152" s="5" t="s">
        <v>146</v>
      </c>
      <c r="D2152" s="5" t="s">
        <v>1327</v>
      </c>
      <c r="E2152" s="5" t="s">
        <v>34</v>
      </c>
      <c r="F2152" s="5" t="s">
        <v>34</v>
      </c>
      <c r="G2152" s="5" t="s">
        <v>36</v>
      </c>
      <c r="H2152" s="5" t="s">
        <v>35</v>
      </c>
      <c r="I2152" s="6">
        <v>1.0</v>
      </c>
      <c r="J2152" s="6" t="s">
        <v>37</v>
      </c>
      <c r="K2152" s="6">
        <v>10.0</v>
      </c>
      <c r="L2152" s="5"/>
      <c r="M2152" s="5"/>
      <c r="N2152" s="6" t="s">
        <v>40</v>
      </c>
      <c r="O2152" s="5" t="s">
        <v>5363</v>
      </c>
      <c r="P2152" s="6" t="s">
        <v>42</v>
      </c>
      <c r="Q2152" s="5" t="s">
        <v>1237</v>
      </c>
      <c r="R2152" s="5" t="s">
        <v>12994</v>
      </c>
      <c r="S2152" s="6" t="s">
        <v>86</v>
      </c>
      <c r="T2152" s="6">
        <v>6504.0</v>
      </c>
    </row>
    <row r="2153" ht="56.25" customHeight="1">
      <c r="A2153" s="5" t="s">
        <v>12975</v>
      </c>
      <c r="B2153" s="6" t="str">
        <f>image("https://storage.googleapis.com/acdb/photos/BromideNpcNmlBea10_Remake_7_0.png")</f>
        <v/>
      </c>
      <c r="C2153" s="5" t="s">
        <v>151</v>
      </c>
      <c r="D2153" s="5" t="s">
        <v>1327</v>
      </c>
      <c r="E2153" s="5" t="s">
        <v>34</v>
      </c>
      <c r="F2153" s="5" t="s">
        <v>34</v>
      </c>
      <c r="G2153" s="5" t="s">
        <v>36</v>
      </c>
      <c r="H2153" s="5" t="s">
        <v>35</v>
      </c>
      <c r="I2153" s="6">
        <v>1.0</v>
      </c>
      <c r="J2153" s="6" t="s">
        <v>37</v>
      </c>
      <c r="K2153" s="6">
        <v>10.0</v>
      </c>
      <c r="L2153" s="5"/>
      <c r="M2153" s="5"/>
      <c r="N2153" s="6" t="s">
        <v>40</v>
      </c>
      <c r="O2153" s="5" t="s">
        <v>5363</v>
      </c>
      <c r="P2153" s="6" t="s">
        <v>42</v>
      </c>
      <c r="Q2153" s="5" t="s">
        <v>1237</v>
      </c>
      <c r="R2153" s="5" t="s">
        <v>12999</v>
      </c>
      <c r="S2153" s="6" t="s">
        <v>208</v>
      </c>
      <c r="T2153" s="6">
        <v>6504.0</v>
      </c>
    </row>
    <row r="2154" ht="56.25" customHeight="1">
      <c r="A2154" s="5" t="s">
        <v>13000</v>
      </c>
      <c r="B2154" s="6" t="str">
        <f>image("https://storage.googleapis.com/acdb/photos/BromideNpcNmlHrs08_Remake_0_0.png")</f>
        <v/>
      </c>
      <c r="C2154" s="5" t="s">
        <v>366</v>
      </c>
      <c r="D2154" s="5" t="s">
        <v>1327</v>
      </c>
      <c r="E2154" s="5" t="s">
        <v>34</v>
      </c>
      <c r="F2154" s="5" t="s">
        <v>34</v>
      </c>
      <c r="G2154" s="5" t="s">
        <v>36</v>
      </c>
      <c r="H2154" s="5" t="s">
        <v>35</v>
      </c>
      <c r="I2154" s="6">
        <v>1.0</v>
      </c>
      <c r="J2154" s="6" t="s">
        <v>37</v>
      </c>
      <c r="K2154" s="6">
        <v>10.0</v>
      </c>
      <c r="L2154" s="5"/>
      <c r="M2154" s="5"/>
      <c r="N2154" s="6" t="s">
        <v>40</v>
      </c>
      <c r="O2154" s="5" t="s">
        <v>5363</v>
      </c>
      <c r="P2154" s="6" t="s">
        <v>42</v>
      </c>
      <c r="Q2154" s="5" t="s">
        <v>1237</v>
      </c>
      <c r="R2154" s="5" t="s">
        <v>13001</v>
      </c>
      <c r="S2154" s="6" t="s">
        <v>50</v>
      </c>
      <c r="T2154" s="6">
        <v>6547.0</v>
      </c>
    </row>
    <row r="2155" ht="56.25" customHeight="1">
      <c r="A2155" s="5" t="s">
        <v>13000</v>
      </c>
      <c r="B2155" s="6" t="str">
        <f>image("https://storage.googleapis.com/acdb/photos/BromideNpcNmlHrs08_Remake_1_0.png")</f>
        <v/>
      </c>
      <c r="C2155" s="5" t="s">
        <v>1132</v>
      </c>
      <c r="D2155" s="5" t="s">
        <v>1327</v>
      </c>
      <c r="E2155" s="5" t="s">
        <v>34</v>
      </c>
      <c r="F2155" s="5" t="s">
        <v>34</v>
      </c>
      <c r="G2155" s="5" t="s">
        <v>36</v>
      </c>
      <c r="H2155" s="5" t="s">
        <v>35</v>
      </c>
      <c r="I2155" s="6">
        <v>1.0</v>
      </c>
      <c r="J2155" s="6" t="s">
        <v>37</v>
      </c>
      <c r="K2155" s="6">
        <v>10.0</v>
      </c>
      <c r="L2155" s="5"/>
      <c r="M2155" s="5"/>
      <c r="N2155" s="6" t="s">
        <v>40</v>
      </c>
      <c r="O2155" s="5" t="s">
        <v>5363</v>
      </c>
      <c r="P2155" s="6" t="s">
        <v>42</v>
      </c>
      <c r="Q2155" s="5" t="s">
        <v>1237</v>
      </c>
      <c r="R2155" s="5" t="s">
        <v>13005</v>
      </c>
      <c r="S2155" s="6" t="s">
        <v>56</v>
      </c>
      <c r="T2155" s="6">
        <v>6547.0</v>
      </c>
    </row>
    <row r="2156" ht="56.25" customHeight="1">
      <c r="A2156" s="5" t="s">
        <v>13000</v>
      </c>
      <c r="B2156" s="6" t="str">
        <f>image("https://storage.googleapis.com/acdb/photos/BromideNpcNmlHrs08_Remake_2_0.png")</f>
        <v/>
      </c>
      <c r="C2156" s="5" t="s">
        <v>688</v>
      </c>
      <c r="D2156" s="5" t="s">
        <v>1327</v>
      </c>
      <c r="E2156" s="5" t="s">
        <v>34</v>
      </c>
      <c r="F2156" s="5" t="s">
        <v>34</v>
      </c>
      <c r="G2156" s="5" t="s">
        <v>36</v>
      </c>
      <c r="H2156" s="5" t="s">
        <v>35</v>
      </c>
      <c r="I2156" s="6">
        <v>1.0</v>
      </c>
      <c r="J2156" s="6" t="s">
        <v>37</v>
      </c>
      <c r="K2156" s="6">
        <v>10.0</v>
      </c>
      <c r="L2156" s="5"/>
      <c r="M2156" s="5"/>
      <c r="N2156" s="6" t="s">
        <v>40</v>
      </c>
      <c r="O2156" s="5" t="s">
        <v>5363</v>
      </c>
      <c r="P2156" s="6" t="s">
        <v>42</v>
      </c>
      <c r="Q2156" s="5" t="s">
        <v>1237</v>
      </c>
      <c r="R2156" s="5" t="s">
        <v>13008</v>
      </c>
      <c r="S2156" s="6" t="s">
        <v>67</v>
      </c>
      <c r="T2156" s="6">
        <v>6547.0</v>
      </c>
    </row>
    <row r="2157" ht="56.25" customHeight="1">
      <c r="A2157" s="5" t="s">
        <v>13000</v>
      </c>
      <c r="B2157" s="6" t="str">
        <f>image("https://storage.googleapis.com/acdb/photos/BromideNpcNmlHrs08_Remake_3_0.png")</f>
        <v/>
      </c>
      <c r="C2157" s="5" t="s">
        <v>57</v>
      </c>
      <c r="D2157" s="5" t="s">
        <v>1327</v>
      </c>
      <c r="E2157" s="5" t="s">
        <v>34</v>
      </c>
      <c r="F2157" s="5" t="s">
        <v>34</v>
      </c>
      <c r="G2157" s="5" t="s">
        <v>36</v>
      </c>
      <c r="H2157" s="5" t="s">
        <v>35</v>
      </c>
      <c r="I2157" s="6">
        <v>1.0</v>
      </c>
      <c r="J2157" s="6" t="s">
        <v>37</v>
      </c>
      <c r="K2157" s="6">
        <v>10.0</v>
      </c>
      <c r="L2157" s="5"/>
      <c r="M2157" s="5"/>
      <c r="N2157" s="6" t="s">
        <v>40</v>
      </c>
      <c r="O2157" s="5" t="s">
        <v>5363</v>
      </c>
      <c r="P2157" s="6" t="s">
        <v>42</v>
      </c>
      <c r="Q2157" s="5" t="s">
        <v>1237</v>
      </c>
      <c r="R2157" s="5" t="s">
        <v>13010</v>
      </c>
      <c r="S2157" s="6" t="s">
        <v>71</v>
      </c>
      <c r="T2157" s="6">
        <v>6547.0</v>
      </c>
    </row>
    <row r="2158" ht="56.25" customHeight="1">
      <c r="A2158" s="5" t="s">
        <v>13000</v>
      </c>
      <c r="B2158" s="6" t="str">
        <f>image("https://storage.googleapis.com/acdb/photos/BromideNpcNmlHrs08_Remake_4_0.png")</f>
        <v/>
      </c>
      <c r="C2158" s="5" t="s">
        <v>1167</v>
      </c>
      <c r="D2158" s="5" t="s">
        <v>1327</v>
      </c>
      <c r="E2158" s="5" t="s">
        <v>34</v>
      </c>
      <c r="F2158" s="5" t="s">
        <v>34</v>
      </c>
      <c r="G2158" s="5" t="s">
        <v>36</v>
      </c>
      <c r="H2158" s="5" t="s">
        <v>35</v>
      </c>
      <c r="I2158" s="6">
        <v>1.0</v>
      </c>
      <c r="J2158" s="6" t="s">
        <v>37</v>
      </c>
      <c r="K2158" s="6">
        <v>10.0</v>
      </c>
      <c r="L2158" s="5"/>
      <c r="M2158" s="5"/>
      <c r="N2158" s="6" t="s">
        <v>40</v>
      </c>
      <c r="O2158" s="5" t="s">
        <v>5363</v>
      </c>
      <c r="P2158" s="6" t="s">
        <v>42</v>
      </c>
      <c r="Q2158" s="5" t="s">
        <v>1237</v>
      </c>
      <c r="R2158" s="5" t="s">
        <v>13015</v>
      </c>
      <c r="S2158" s="6" t="s">
        <v>75</v>
      </c>
      <c r="T2158" s="6">
        <v>6547.0</v>
      </c>
    </row>
    <row r="2159" ht="56.25" customHeight="1">
      <c r="A2159" s="5" t="s">
        <v>13000</v>
      </c>
      <c r="B2159" s="6" t="str">
        <f>image("https://storage.googleapis.com/acdb/photos/BromideNpcNmlHrs08_Remake_5_0.png")</f>
        <v/>
      </c>
      <c r="C2159" s="5" t="s">
        <v>58</v>
      </c>
      <c r="D2159" s="5" t="s">
        <v>1327</v>
      </c>
      <c r="E2159" s="5" t="s">
        <v>34</v>
      </c>
      <c r="F2159" s="5" t="s">
        <v>34</v>
      </c>
      <c r="G2159" s="5" t="s">
        <v>36</v>
      </c>
      <c r="H2159" s="5" t="s">
        <v>35</v>
      </c>
      <c r="I2159" s="6">
        <v>1.0</v>
      </c>
      <c r="J2159" s="6" t="s">
        <v>37</v>
      </c>
      <c r="K2159" s="6">
        <v>10.0</v>
      </c>
      <c r="L2159" s="5"/>
      <c r="M2159" s="5"/>
      <c r="N2159" s="6" t="s">
        <v>40</v>
      </c>
      <c r="O2159" s="5" t="s">
        <v>5363</v>
      </c>
      <c r="P2159" s="6" t="s">
        <v>42</v>
      </c>
      <c r="Q2159" s="5" t="s">
        <v>1237</v>
      </c>
      <c r="R2159" s="5" t="s">
        <v>13017</v>
      </c>
      <c r="S2159" s="6" t="s">
        <v>79</v>
      </c>
      <c r="T2159" s="6">
        <v>6547.0</v>
      </c>
    </row>
    <row r="2160" ht="56.25" customHeight="1">
      <c r="A2160" s="5" t="s">
        <v>13000</v>
      </c>
      <c r="B2160" s="6" t="str">
        <f>image("https://storage.googleapis.com/acdb/photos/BromideNpcNmlHrs08_Remake_6_0.png")</f>
        <v/>
      </c>
      <c r="C2160" s="5" t="s">
        <v>146</v>
      </c>
      <c r="D2160" s="5" t="s">
        <v>1327</v>
      </c>
      <c r="E2160" s="5" t="s">
        <v>34</v>
      </c>
      <c r="F2160" s="5" t="s">
        <v>34</v>
      </c>
      <c r="G2160" s="5" t="s">
        <v>36</v>
      </c>
      <c r="H2160" s="5" t="s">
        <v>35</v>
      </c>
      <c r="I2160" s="6">
        <v>1.0</v>
      </c>
      <c r="J2160" s="6" t="s">
        <v>37</v>
      </c>
      <c r="K2160" s="6">
        <v>10.0</v>
      </c>
      <c r="L2160" s="5"/>
      <c r="M2160" s="5"/>
      <c r="N2160" s="6" t="s">
        <v>40</v>
      </c>
      <c r="O2160" s="5" t="s">
        <v>5363</v>
      </c>
      <c r="P2160" s="6" t="s">
        <v>42</v>
      </c>
      <c r="Q2160" s="5" t="s">
        <v>1237</v>
      </c>
      <c r="R2160" s="5" t="s">
        <v>13023</v>
      </c>
      <c r="S2160" s="6" t="s">
        <v>86</v>
      </c>
      <c r="T2160" s="6">
        <v>6547.0</v>
      </c>
    </row>
    <row r="2161" ht="56.25" customHeight="1">
      <c r="A2161" s="5" t="s">
        <v>13000</v>
      </c>
      <c r="B2161" s="6" t="str">
        <f>image("https://storage.googleapis.com/acdb/photos/BromideNpcNmlHrs08_Remake_7_0.png")</f>
        <v/>
      </c>
      <c r="C2161" s="5" t="s">
        <v>151</v>
      </c>
      <c r="D2161" s="5" t="s">
        <v>1327</v>
      </c>
      <c r="E2161" s="5" t="s">
        <v>34</v>
      </c>
      <c r="F2161" s="5" t="s">
        <v>34</v>
      </c>
      <c r="G2161" s="5" t="s">
        <v>36</v>
      </c>
      <c r="H2161" s="5" t="s">
        <v>35</v>
      </c>
      <c r="I2161" s="6">
        <v>1.0</v>
      </c>
      <c r="J2161" s="6" t="s">
        <v>37</v>
      </c>
      <c r="K2161" s="6">
        <v>10.0</v>
      </c>
      <c r="L2161" s="5"/>
      <c r="M2161" s="5"/>
      <c r="N2161" s="6" t="s">
        <v>40</v>
      </c>
      <c r="O2161" s="5" t="s">
        <v>5363</v>
      </c>
      <c r="P2161" s="6" t="s">
        <v>42</v>
      </c>
      <c r="Q2161" s="5" t="s">
        <v>1237</v>
      </c>
      <c r="R2161" s="5" t="s">
        <v>13025</v>
      </c>
      <c r="S2161" s="6" t="s">
        <v>208</v>
      </c>
      <c r="T2161" s="6">
        <v>6547.0</v>
      </c>
    </row>
    <row r="2162" ht="56.25" customHeight="1">
      <c r="A2162" s="5" t="s">
        <v>13027</v>
      </c>
      <c r="B2162" s="6" t="str">
        <f>image("https://storage.googleapis.com/acdb/photos/BromideNpcNmlSqu00_Remake_0_0.png")</f>
        <v/>
      </c>
      <c r="C2162" s="5" t="s">
        <v>366</v>
      </c>
      <c r="D2162" s="5" t="s">
        <v>1327</v>
      </c>
      <c r="E2162" s="5" t="s">
        <v>34</v>
      </c>
      <c r="F2162" s="5" t="s">
        <v>34</v>
      </c>
      <c r="G2162" s="5" t="s">
        <v>36</v>
      </c>
      <c r="H2162" s="5" t="s">
        <v>35</v>
      </c>
      <c r="I2162" s="6">
        <v>1.0</v>
      </c>
      <c r="J2162" s="6" t="s">
        <v>37</v>
      </c>
      <c r="K2162" s="6">
        <v>10.0</v>
      </c>
      <c r="L2162" s="5"/>
      <c r="M2162" s="5"/>
      <c r="N2162" s="6" t="s">
        <v>40</v>
      </c>
      <c r="O2162" s="5" t="s">
        <v>5363</v>
      </c>
      <c r="P2162" s="6" t="s">
        <v>42</v>
      </c>
      <c r="Q2162" s="5" t="s">
        <v>1237</v>
      </c>
      <c r="R2162" s="5" t="s">
        <v>13029</v>
      </c>
      <c r="S2162" s="6" t="s">
        <v>50</v>
      </c>
      <c r="T2162" s="6">
        <v>6703.0</v>
      </c>
    </row>
    <row r="2163" ht="56.25" customHeight="1">
      <c r="A2163" s="5" t="s">
        <v>13027</v>
      </c>
      <c r="B2163" s="6" t="str">
        <f>image("https://storage.googleapis.com/acdb/photos/BromideNpcNmlSqu00_Remake_1_0.png")</f>
        <v/>
      </c>
      <c r="C2163" s="5" t="s">
        <v>1132</v>
      </c>
      <c r="D2163" s="5" t="s">
        <v>1327</v>
      </c>
      <c r="E2163" s="5" t="s">
        <v>34</v>
      </c>
      <c r="F2163" s="5" t="s">
        <v>34</v>
      </c>
      <c r="G2163" s="5" t="s">
        <v>36</v>
      </c>
      <c r="H2163" s="5" t="s">
        <v>35</v>
      </c>
      <c r="I2163" s="6">
        <v>1.0</v>
      </c>
      <c r="J2163" s="6" t="s">
        <v>37</v>
      </c>
      <c r="K2163" s="6">
        <v>10.0</v>
      </c>
      <c r="L2163" s="5"/>
      <c r="M2163" s="5"/>
      <c r="N2163" s="6" t="s">
        <v>40</v>
      </c>
      <c r="O2163" s="5" t="s">
        <v>5363</v>
      </c>
      <c r="P2163" s="6" t="s">
        <v>42</v>
      </c>
      <c r="Q2163" s="5" t="s">
        <v>1237</v>
      </c>
      <c r="R2163" s="5" t="s">
        <v>13034</v>
      </c>
      <c r="S2163" s="6" t="s">
        <v>56</v>
      </c>
      <c r="T2163" s="6">
        <v>6703.0</v>
      </c>
    </row>
    <row r="2164" ht="56.25" customHeight="1">
      <c r="A2164" s="5" t="s">
        <v>13027</v>
      </c>
      <c r="B2164" s="6" t="str">
        <f>image("https://storage.googleapis.com/acdb/photos/BromideNpcNmlSqu00_Remake_2_0.png")</f>
        <v/>
      </c>
      <c r="C2164" s="5" t="s">
        <v>688</v>
      </c>
      <c r="D2164" s="5" t="s">
        <v>1327</v>
      </c>
      <c r="E2164" s="5" t="s">
        <v>34</v>
      </c>
      <c r="F2164" s="5" t="s">
        <v>34</v>
      </c>
      <c r="G2164" s="5" t="s">
        <v>36</v>
      </c>
      <c r="H2164" s="5" t="s">
        <v>35</v>
      </c>
      <c r="I2164" s="6">
        <v>1.0</v>
      </c>
      <c r="J2164" s="6" t="s">
        <v>37</v>
      </c>
      <c r="K2164" s="6">
        <v>10.0</v>
      </c>
      <c r="L2164" s="5"/>
      <c r="M2164" s="5"/>
      <c r="N2164" s="6" t="s">
        <v>40</v>
      </c>
      <c r="O2164" s="5" t="s">
        <v>5363</v>
      </c>
      <c r="P2164" s="6" t="s">
        <v>42</v>
      </c>
      <c r="Q2164" s="5" t="s">
        <v>1237</v>
      </c>
      <c r="R2164" s="5" t="s">
        <v>13038</v>
      </c>
      <c r="S2164" s="6" t="s">
        <v>67</v>
      </c>
      <c r="T2164" s="6">
        <v>6703.0</v>
      </c>
    </row>
    <row r="2165" ht="56.25" customHeight="1">
      <c r="A2165" s="5" t="s">
        <v>13027</v>
      </c>
      <c r="B2165" s="6" t="str">
        <f>image("https://storage.googleapis.com/acdb/photos/BromideNpcNmlSqu00_Remake_3_0.png")</f>
        <v/>
      </c>
      <c r="C2165" s="5" t="s">
        <v>57</v>
      </c>
      <c r="D2165" s="5" t="s">
        <v>1327</v>
      </c>
      <c r="E2165" s="5" t="s">
        <v>34</v>
      </c>
      <c r="F2165" s="5" t="s">
        <v>34</v>
      </c>
      <c r="G2165" s="5" t="s">
        <v>36</v>
      </c>
      <c r="H2165" s="5" t="s">
        <v>35</v>
      </c>
      <c r="I2165" s="6">
        <v>1.0</v>
      </c>
      <c r="J2165" s="6" t="s">
        <v>37</v>
      </c>
      <c r="K2165" s="6">
        <v>10.0</v>
      </c>
      <c r="L2165" s="5"/>
      <c r="M2165" s="5"/>
      <c r="N2165" s="6" t="s">
        <v>40</v>
      </c>
      <c r="O2165" s="5" t="s">
        <v>5363</v>
      </c>
      <c r="P2165" s="6" t="s">
        <v>42</v>
      </c>
      <c r="Q2165" s="5" t="s">
        <v>1237</v>
      </c>
      <c r="R2165" s="5" t="s">
        <v>13041</v>
      </c>
      <c r="S2165" s="6" t="s">
        <v>71</v>
      </c>
      <c r="T2165" s="6">
        <v>6703.0</v>
      </c>
    </row>
    <row r="2166" ht="56.25" customHeight="1">
      <c r="A2166" s="5" t="s">
        <v>13027</v>
      </c>
      <c r="B2166" s="6" t="str">
        <f>image("https://storage.googleapis.com/acdb/photos/BromideNpcNmlSqu00_Remake_4_0.png")</f>
        <v/>
      </c>
      <c r="C2166" s="5" t="s">
        <v>1167</v>
      </c>
      <c r="D2166" s="5" t="s">
        <v>1327</v>
      </c>
      <c r="E2166" s="5" t="s">
        <v>34</v>
      </c>
      <c r="F2166" s="5" t="s">
        <v>34</v>
      </c>
      <c r="G2166" s="5" t="s">
        <v>36</v>
      </c>
      <c r="H2166" s="5" t="s">
        <v>35</v>
      </c>
      <c r="I2166" s="6">
        <v>1.0</v>
      </c>
      <c r="J2166" s="6" t="s">
        <v>37</v>
      </c>
      <c r="K2166" s="6">
        <v>10.0</v>
      </c>
      <c r="L2166" s="5"/>
      <c r="M2166" s="5"/>
      <c r="N2166" s="6" t="s">
        <v>40</v>
      </c>
      <c r="O2166" s="5" t="s">
        <v>5363</v>
      </c>
      <c r="P2166" s="6" t="s">
        <v>42</v>
      </c>
      <c r="Q2166" s="5" t="s">
        <v>1237</v>
      </c>
      <c r="R2166" s="5" t="s">
        <v>13045</v>
      </c>
      <c r="S2166" s="6" t="s">
        <v>75</v>
      </c>
      <c r="T2166" s="6">
        <v>6703.0</v>
      </c>
    </row>
    <row r="2167" ht="56.25" customHeight="1">
      <c r="A2167" s="5" t="s">
        <v>13027</v>
      </c>
      <c r="B2167" s="6" t="str">
        <f>image("https://storage.googleapis.com/acdb/photos/BromideNpcNmlSqu00_Remake_5_0.png")</f>
        <v/>
      </c>
      <c r="C2167" s="5" t="s">
        <v>58</v>
      </c>
      <c r="D2167" s="5" t="s">
        <v>1327</v>
      </c>
      <c r="E2167" s="5" t="s">
        <v>34</v>
      </c>
      <c r="F2167" s="5" t="s">
        <v>34</v>
      </c>
      <c r="G2167" s="5" t="s">
        <v>36</v>
      </c>
      <c r="H2167" s="5" t="s">
        <v>35</v>
      </c>
      <c r="I2167" s="6">
        <v>1.0</v>
      </c>
      <c r="J2167" s="6" t="s">
        <v>37</v>
      </c>
      <c r="K2167" s="6">
        <v>10.0</v>
      </c>
      <c r="L2167" s="5"/>
      <c r="M2167" s="5"/>
      <c r="N2167" s="6" t="s">
        <v>40</v>
      </c>
      <c r="O2167" s="5" t="s">
        <v>5363</v>
      </c>
      <c r="P2167" s="6" t="s">
        <v>42</v>
      </c>
      <c r="Q2167" s="5" t="s">
        <v>1237</v>
      </c>
      <c r="R2167" s="5" t="s">
        <v>13049</v>
      </c>
      <c r="S2167" s="6" t="s">
        <v>79</v>
      </c>
      <c r="T2167" s="6">
        <v>6703.0</v>
      </c>
    </row>
    <row r="2168" ht="56.25" customHeight="1">
      <c r="A2168" s="5" t="s">
        <v>13027</v>
      </c>
      <c r="B2168" s="6" t="str">
        <f>image("https://storage.googleapis.com/acdb/photos/BromideNpcNmlSqu00_Remake_6_0.png")</f>
        <v/>
      </c>
      <c r="C2168" s="5" t="s">
        <v>146</v>
      </c>
      <c r="D2168" s="5" t="s">
        <v>1327</v>
      </c>
      <c r="E2168" s="5" t="s">
        <v>34</v>
      </c>
      <c r="F2168" s="5" t="s">
        <v>34</v>
      </c>
      <c r="G2168" s="5" t="s">
        <v>36</v>
      </c>
      <c r="H2168" s="5" t="s">
        <v>35</v>
      </c>
      <c r="I2168" s="6">
        <v>1.0</v>
      </c>
      <c r="J2168" s="6" t="s">
        <v>37</v>
      </c>
      <c r="K2168" s="6">
        <v>10.0</v>
      </c>
      <c r="L2168" s="5"/>
      <c r="M2168" s="5"/>
      <c r="N2168" s="6" t="s">
        <v>40</v>
      </c>
      <c r="O2168" s="5" t="s">
        <v>5363</v>
      </c>
      <c r="P2168" s="6" t="s">
        <v>42</v>
      </c>
      <c r="Q2168" s="5" t="s">
        <v>1237</v>
      </c>
      <c r="R2168" s="5" t="s">
        <v>13051</v>
      </c>
      <c r="S2168" s="6" t="s">
        <v>86</v>
      </c>
      <c r="T2168" s="6">
        <v>6703.0</v>
      </c>
    </row>
    <row r="2169" ht="56.25" customHeight="1">
      <c r="A2169" s="5" t="s">
        <v>13027</v>
      </c>
      <c r="B2169" s="6" t="str">
        <f>image("https://storage.googleapis.com/acdb/photos/BromideNpcNmlSqu00_Remake_7_0.png")</f>
        <v/>
      </c>
      <c r="C2169" s="5" t="s">
        <v>151</v>
      </c>
      <c r="D2169" s="5" t="s">
        <v>1327</v>
      </c>
      <c r="E2169" s="5" t="s">
        <v>34</v>
      </c>
      <c r="F2169" s="5" t="s">
        <v>34</v>
      </c>
      <c r="G2169" s="5" t="s">
        <v>36</v>
      </c>
      <c r="H2169" s="5" t="s">
        <v>35</v>
      </c>
      <c r="I2169" s="6">
        <v>1.0</v>
      </c>
      <c r="J2169" s="6" t="s">
        <v>37</v>
      </c>
      <c r="K2169" s="6">
        <v>10.0</v>
      </c>
      <c r="L2169" s="5"/>
      <c r="M2169" s="5"/>
      <c r="N2169" s="6" t="s">
        <v>40</v>
      </c>
      <c r="O2169" s="5" t="s">
        <v>5363</v>
      </c>
      <c r="P2169" s="6" t="s">
        <v>42</v>
      </c>
      <c r="Q2169" s="5" t="s">
        <v>1237</v>
      </c>
      <c r="R2169" s="5" t="s">
        <v>13055</v>
      </c>
      <c r="S2169" s="6" t="s">
        <v>208</v>
      </c>
      <c r="T2169" s="6">
        <v>6703.0</v>
      </c>
    </row>
    <row r="2170" ht="56.25" customHeight="1">
      <c r="A2170" s="5" t="s">
        <v>13056</v>
      </c>
      <c r="B2170" s="6" t="str">
        <f>image("https://storage.googleapis.com/acdb/photos/BromideNpcNmlSqu03_Remake_0_0.png")</f>
        <v/>
      </c>
      <c r="C2170" s="5" t="s">
        <v>366</v>
      </c>
      <c r="D2170" s="5" t="s">
        <v>1327</v>
      </c>
      <c r="E2170" s="5" t="s">
        <v>34</v>
      </c>
      <c r="F2170" s="5" t="s">
        <v>34</v>
      </c>
      <c r="G2170" s="5" t="s">
        <v>36</v>
      </c>
      <c r="H2170" s="5" t="s">
        <v>35</v>
      </c>
      <c r="I2170" s="6">
        <v>1.0</v>
      </c>
      <c r="J2170" s="6" t="s">
        <v>37</v>
      </c>
      <c r="K2170" s="6">
        <v>10.0</v>
      </c>
      <c r="L2170" s="5"/>
      <c r="M2170" s="5"/>
      <c r="N2170" s="6" t="s">
        <v>40</v>
      </c>
      <c r="O2170" s="5" t="s">
        <v>5363</v>
      </c>
      <c r="P2170" s="6" t="s">
        <v>42</v>
      </c>
      <c r="Q2170" s="5" t="s">
        <v>1237</v>
      </c>
      <c r="R2170" s="5" t="s">
        <v>13058</v>
      </c>
      <c r="S2170" s="6" t="s">
        <v>50</v>
      </c>
      <c r="T2170" s="6">
        <v>6707.0</v>
      </c>
    </row>
    <row r="2171" ht="56.25" customHeight="1">
      <c r="A2171" s="5" t="s">
        <v>13056</v>
      </c>
      <c r="B2171" s="6" t="str">
        <f>image("https://storage.googleapis.com/acdb/photos/BromideNpcNmlSqu03_Remake_1_0.png")</f>
        <v/>
      </c>
      <c r="C2171" s="5" t="s">
        <v>1132</v>
      </c>
      <c r="D2171" s="5" t="s">
        <v>1327</v>
      </c>
      <c r="E2171" s="5" t="s">
        <v>34</v>
      </c>
      <c r="F2171" s="5" t="s">
        <v>34</v>
      </c>
      <c r="G2171" s="5" t="s">
        <v>36</v>
      </c>
      <c r="H2171" s="5" t="s">
        <v>35</v>
      </c>
      <c r="I2171" s="6">
        <v>1.0</v>
      </c>
      <c r="J2171" s="6" t="s">
        <v>37</v>
      </c>
      <c r="K2171" s="6">
        <v>10.0</v>
      </c>
      <c r="L2171" s="5"/>
      <c r="M2171" s="5"/>
      <c r="N2171" s="6" t="s">
        <v>40</v>
      </c>
      <c r="O2171" s="5" t="s">
        <v>5363</v>
      </c>
      <c r="P2171" s="6" t="s">
        <v>42</v>
      </c>
      <c r="Q2171" s="5" t="s">
        <v>1237</v>
      </c>
      <c r="R2171" s="5" t="s">
        <v>13063</v>
      </c>
      <c r="S2171" s="6" t="s">
        <v>56</v>
      </c>
      <c r="T2171" s="6">
        <v>6707.0</v>
      </c>
    </row>
    <row r="2172" ht="56.25" customHeight="1">
      <c r="A2172" s="5" t="s">
        <v>13056</v>
      </c>
      <c r="B2172" s="6" t="str">
        <f>image("https://storage.googleapis.com/acdb/photos/BromideNpcNmlSqu03_Remake_2_0.png")</f>
        <v/>
      </c>
      <c r="C2172" s="5" t="s">
        <v>688</v>
      </c>
      <c r="D2172" s="5" t="s">
        <v>1327</v>
      </c>
      <c r="E2172" s="5" t="s">
        <v>34</v>
      </c>
      <c r="F2172" s="5" t="s">
        <v>34</v>
      </c>
      <c r="G2172" s="5" t="s">
        <v>36</v>
      </c>
      <c r="H2172" s="5" t="s">
        <v>35</v>
      </c>
      <c r="I2172" s="6">
        <v>1.0</v>
      </c>
      <c r="J2172" s="6" t="s">
        <v>37</v>
      </c>
      <c r="K2172" s="6">
        <v>10.0</v>
      </c>
      <c r="L2172" s="5"/>
      <c r="M2172" s="5"/>
      <c r="N2172" s="6" t="s">
        <v>40</v>
      </c>
      <c r="O2172" s="5" t="s">
        <v>5363</v>
      </c>
      <c r="P2172" s="6" t="s">
        <v>42</v>
      </c>
      <c r="Q2172" s="5" t="s">
        <v>1237</v>
      </c>
      <c r="R2172" s="5" t="s">
        <v>13066</v>
      </c>
      <c r="S2172" s="6" t="s">
        <v>67</v>
      </c>
      <c r="T2172" s="6">
        <v>6707.0</v>
      </c>
    </row>
    <row r="2173" ht="56.25" customHeight="1">
      <c r="A2173" s="5" t="s">
        <v>13056</v>
      </c>
      <c r="B2173" s="6" t="str">
        <f>image("https://storage.googleapis.com/acdb/photos/BromideNpcNmlSqu03_Remake_3_0.png")</f>
        <v/>
      </c>
      <c r="C2173" s="5" t="s">
        <v>57</v>
      </c>
      <c r="D2173" s="5" t="s">
        <v>1327</v>
      </c>
      <c r="E2173" s="5" t="s">
        <v>34</v>
      </c>
      <c r="F2173" s="5" t="s">
        <v>34</v>
      </c>
      <c r="G2173" s="5" t="s">
        <v>36</v>
      </c>
      <c r="H2173" s="5" t="s">
        <v>35</v>
      </c>
      <c r="I2173" s="6">
        <v>1.0</v>
      </c>
      <c r="J2173" s="6" t="s">
        <v>37</v>
      </c>
      <c r="K2173" s="6">
        <v>10.0</v>
      </c>
      <c r="L2173" s="5"/>
      <c r="M2173" s="5"/>
      <c r="N2173" s="6" t="s">
        <v>40</v>
      </c>
      <c r="O2173" s="5" t="s">
        <v>5363</v>
      </c>
      <c r="P2173" s="6" t="s">
        <v>42</v>
      </c>
      <c r="Q2173" s="5" t="s">
        <v>1237</v>
      </c>
      <c r="R2173" s="5" t="s">
        <v>13069</v>
      </c>
      <c r="S2173" s="6" t="s">
        <v>71</v>
      </c>
      <c r="T2173" s="6">
        <v>6707.0</v>
      </c>
    </row>
    <row r="2174" ht="56.25" customHeight="1">
      <c r="A2174" s="5" t="s">
        <v>13056</v>
      </c>
      <c r="B2174" s="6" t="str">
        <f>image("https://storage.googleapis.com/acdb/photos/BromideNpcNmlSqu03_Remake_4_0.png")</f>
        <v/>
      </c>
      <c r="C2174" s="5" t="s">
        <v>1167</v>
      </c>
      <c r="D2174" s="5" t="s">
        <v>1327</v>
      </c>
      <c r="E2174" s="5" t="s">
        <v>34</v>
      </c>
      <c r="F2174" s="5" t="s">
        <v>34</v>
      </c>
      <c r="G2174" s="5" t="s">
        <v>36</v>
      </c>
      <c r="H2174" s="5" t="s">
        <v>35</v>
      </c>
      <c r="I2174" s="6">
        <v>1.0</v>
      </c>
      <c r="J2174" s="6" t="s">
        <v>37</v>
      </c>
      <c r="K2174" s="6">
        <v>10.0</v>
      </c>
      <c r="L2174" s="5"/>
      <c r="M2174" s="5"/>
      <c r="N2174" s="6" t="s">
        <v>40</v>
      </c>
      <c r="O2174" s="5" t="s">
        <v>5363</v>
      </c>
      <c r="P2174" s="6" t="s">
        <v>42</v>
      </c>
      <c r="Q2174" s="5" t="s">
        <v>1237</v>
      </c>
      <c r="R2174" s="5" t="s">
        <v>13071</v>
      </c>
      <c r="S2174" s="6" t="s">
        <v>75</v>
      </c>
      <c r="T2174" s="6">
        <v>6707.0</v>
      </c>
    </row>
    <row r="2175" ht="56.25" customHeight="1">
      <c r="A2175" s="5" t="s">
        <v>13056</v>
      </c>
      <c r="B2175" s="6" t="str">
        <f>image("https://storage.googleapis.com/acdb/photos/BromideNpcNmlSqu03_Remake_5_0.png")</f>
        <v/>
      </c>
      <c r="C2175" s="5" t="s">
        <v>58</v>
      </c>
      <c r="D2175" s="5" t="s">
        <v>1327</v>
      </c>
      <c r="E2175" s="5" t="s">
        <v>34</v>
      </c>
      <c r="F2175" s="5" t="s">
        <v>34</v>
      </c>
      <c r="G2175" s="5" t="s">
        <v>36</v>
      </c>
      <c r="H2175" s="5" t="s">
        <v>35</v>
      </c>
      <c r="I2175" s="6">
        <v>1.0</v>
      </c>
      <c r="J2175" s="6" t="s">
        <v>37</v>
      </c>
      <c r="K2175" s="6">
        <v>10.0</v>
      </c>
      <c r="L2175" s="5"/>
      <c r="M2175" s="5"/>
      <c r="N2175" s="6" t="s">
        <v>40</v>
      </c>
      <c r="O2175" s="5" t="s">
        <v>5363</v>
      </c>
      <c r="P2175" s="6" t="s">
        <v>42</v>
      </c>
      <c r="Q2175" s="5" t="s">
        <v>1237</v>
      </c>
      <c r="R2175" s="5" t="s">
        <v>13075</v>
      </c>
      <c r="S2175" s="6" t="s">
        <v>79</v>
      </c>
      <c r="T2175" s="6">
        <v>6707.0</v>
      </c>
    </row>
    <row r="2176" ht="56.25" customHeight="1">
      <c r="A2176" s="5" t="s">
        <v>13056</v>
      </c>
      <c r="B2176" s="6" t="str">
        <f>image("https://storage.googleapis.com/acdb/photos/BromideNpcNmlSqu03_Remake_6_0.png")</f>
        <v/>
      </c>
      <c r="C2176" s="5" t="s">
        <v>146</v>
      </c>
      <c r="D2176" s="5" t="s">
        <v>1327</v>
      </c>
      <c r="E2176" s="5" t="s">
        <v>34</v>
      </c>
      <c r="F2176" s="5" t="s">
        <v>34</v>
      </c>
      <c r="G2176" s="5" t="s">
        <v>36</v>
      </c>
      <c r="H2176" s="5" t="s">
        <v>35</v>
      </c>
      <c r="I2176" s="6">
        <v>1.0</v>
      </c>
      <c r="J2176" s="6" t="s">
        <v>37</v>
      </c>
      <c r="K2176" s="6">
        <v>10.0</v>
      </c>
      <c r="L2176" s="5"/>
      <c r="M2176" s="5"/>
      <c r="N2176" s="6" t="s">
        <v>40</v>
      </c>
      <c r="O2176" s="5" t="s">
        <v>5363</v>
      </c>
      <c r="P2176" s="6" t="s">
        <v>42</v>
      </c>
      <c r="Q2176" s="5" t="s">
        <v>1237</v>
      </c>
      <c r="R2176" s="5" t="s">
        <v>13079</v>
      </c>
      <c r="S2176" s="6" t="s">
        <v>86</v>
      </c>
      <c r="T2176" s="6">
        <v>6707.0</v>
      </c>
    </row>
    <row r="2177" ht="56.25" customHeight="1">
      <c r="A2177" s="5" t="s">
        <v>13056</v>
      </c>
      <c r="B2177" s="6" t="str">
        <f>image("https://storage.googleapis.com/acdb/photos/BromideNpcNmlSqu03_Remake_7_0.png")</f>
        <v/>
      </c>
      <c r="C2177" s="5" t="s">
        <v>151</v>
      </c>
      <c r="D2177" s="5" t="s">
        <v>1327</v>
      </c>
      <c r="E2177" s="5" t="s">
        <v>34</v>
      </c>
      <c r="F2177" s="5" t="s">
        <v>34</v>
      </c>
      <c r="G2177" s="5" t="s">
        <v>36</v>
      </c>
      <c r="H2177" s="5" t="s">
        <v>35</v>
      </c>
      <c r="I2177" s="6">
        <v>1.0</v>
      </c>
      <c r="J2177" s="6" t="s">
        <v>37</v>
      </c>
      <c r="K2177" s="6">
        <v>10.0</v>
      </c>
      <c r="L2177" s="5"/>
      <c r="M2177" s="5"/>
      <c r="N2177" s="6" t="s">
        <v>40</v>
      </c>
      <c r="O2177" s="5" t="s">
        <v>5363</v>
      </c>
      <c r="P2177" s="6" t="s">
        <v>42</v>
      </c>
      <c r="Q2177" s="5" t="s">
        <v>1237</v>
      </c>
      <c r="R2177" s="5" t="s">
        <v>13081</v>
      </c>
      <c r="S2177" s="6" t="s">
        <v>208</v>
      </c>
      <c r="T2177" s="6">
        <v>6707.0</v>
      </c>
    </row>
    <row r="2178" ht="56.25" customHeight="1">
      <c r="A2178" s="5" t="s">
        <v>13082</v>
      </c>
      <c r="B2178" s="6" t="str">
        <f>image("https://storage.googleapis.com/acdb/photos/BromideNpcNmlBrd17_Remake_0_0.png")</f>
        <v/>
      </c>
      <c r="C2178" s="5" t="s">
        <v>366</v>
      </c>
      <c r="D2178" s="5" t="s">
        <v>1327</v>
      </c>
      <c r="E2178" s="5" t="s">
        <v>34</v>
      </c>
      <c r="F2178" s="5" t="s">
        <v>34</v>
      </c>
      <c r="G2178" s="5" t="s">
        <v>36</v>
      </c>
      <c r="H2178" s="5" t="s">
        <v>35</v>
      </c>
      <c r="I2178" s="6">
        <v>1.0</v>
      </c>
      <c r="J2178" s="6" t="s">
        <v>37</v>
      </c>
      <c r="K2178" s="6">
        <v>10.0</v>
      </c>
      <c r="L2178" s="5"/>
      <c r="M2178" s="5"/>
      <c r="N2178" s="6" t="s">
        <v>40</v>
      </c>
      <c r="O2178" s="5" t="s">
        <v>5363</v>
      </c>
      <c r="P2178" s="6" t="s">
        <v>42</v>
      </c>
      <c r="Q2178" s="5" t="s">
        <v>1237</v>
      </c>
      <c r="R2178" s="5" t="s">
        <v>13086</v>
      </c>
      <c r="S2178" s="6" t="s">
        <v>50</v>
      </c>
      <c r="T2178" s="6">
        <v>6682.0</v>
      </c>
    </row>
    <row r="2179" ht="56.25" customHeight="1">
      <c r="A2179" s="5" t="s">
        <v>13082</v>
      </c>
      <c r="B2179" s="6" t="str">
        <f>image("https://storage.googleapis.com/acdb/photos/BromideNpcNmlBrd17_Remake_1_0.png")</f>
        <v/>
      </c>
      <c r="C2179" s="5" t="s">
        <v>1132</v>
      </c>
      <c r="D2179" s="5" t="s">
        <v>1327</v>
      </c>
      <c r="E2179" s="5" t="s">
        <v>34</v>
      </c>
      <c r="F2179" s="5" t="s">
        <v>34</v>
      </c>
      <c r="G2179" s="5" t="s">
        <v>36</v>
      </c>
      <c r="H2179" s="5" t="s">
        <v>35</v>
      </c>
      <c r="I2179" s="6">
        <v>1.0</v>
      </c>
      <c r="J2179" s="6" t="s">
        <v>37</v>
      </c>
      <c r="K2179" s="6">
        <v>10.0</v>
      </c>
      <c r="L2179" s="5"/>
      <c r="M2179" s="5"/>
      <c r="N2179" s="6" t="s">
        <v>40</v>
      </c>
      <c r="O2179" s="5" t="s">
        <v>5363</v>
      </c>
      <c r="P2179" s="6" t="s">
        <v>42</v>
      </c>
      <c r="Q2179" s="5" t="s">
        <v>1237</v>
      </c>
      <c r="R2179" s="5" t="s">
        <v>13088</v>
      </c>
      <c r="S2179" s="6" t="s">
        <v>56</v>
      </c>
      <c r="T2179" s="6">
        <v>6682.0</v>
      </c>
    </row>
    <row r="2180" ht="56.25" customHeight="1">
      <c r="A2180" s="5" t="s">
        <v>13082</v>
      </c>
      <c r="B2180" s="6" t="str">
        <f>image("https://storage.googleapis.com/acdb/photos/BromideNpcNmlBrd17_Remake_2_0.png")</f>
        <v/>
      </c>
      <c r="C2180" s="5" t="s">
        <v>688</v>
      </c>
      <c r="D2180" s="5" t="s">
        <v>1327</v>
      </c>
      <c r="E2180" s="5" t="s">
        <v>34</v>
      </c>
      <c r="F2180" s="5" t="s">
        <v>34</v>
      </c>
      <c r="G2180" s="5" t="s">
        <v>36</v>
      </c>
      <c r="H2180" s="5" t="s">
        <v>35</v>
      </c>
      <c r="I2180" s="6">
        <v>1.0</v>
      </c>
      <c r="J2180" s="6" t="s">
        <v>37</v>
      </c>
      <c r="K2180" s="6">
        <v>10.0</v>
      </c>
      <c r="L2180" s="5"/>
      <c r="M2180" s="5"/>
      <c r="N2180" s="6" t="s">
        <v>40</v>
      </c>
      <c r="O2180" s="5" t="s">
        <v>5363</v>
      </c>
      <c r="P2180" s="6" t="s">
        <v>42</v>
      </c>
      <c r="Q2180" s="5" t="s">
        <v>1237</v>
      </c>
      <c r="R2180" s="5" t="s">
        <v>13093</v>
      </c>
      <c r="S2180" s="6" t="s">
        <v>67</v>
      </c>
      <c r="T2180" s="6">
        <v>6682.0</v>
      </c>
    </row>
    <row r="2181" ht="56.25" customHeight="1">
      <c r="A2181" s="5" t="s">
        <v>13082</v>
      </c>
      <c r="B2181" s="6" t="str">
        <f>image("https://storage.googleapis.com/acdb/photos/BromideNpcNmlBrd17_Remake_3_0.png")</f>
        <v/>
      </c>
      <c r="C2181" s="5" t="s">
        <v>57</v>
      </c>
      <c r="D2181" s="5" t="s">
        <v>1327</v>
      </c>
      <c r="E2181" s="5" t="s">
        <v>34</v>
      </c>
      <c r="F2181" s="5" t="s">
        <v>34</v>
      </c>
      <c r="G2181" s="5" t="s">
        <v>36</v>
      </c>
      <c r="H2181" s="5" t="s">
        <v>35</v>
      </c>
      <c r="I2181" s="6">
        <v>1.0</v>
      </c>
      <c r="J2181" s="6" t="s">
        <v>37</v>
      </c>
      <c r="K2181" s="6">
        <v>10.0</v>
      </c>
      <c r="L2181" s="5"/>
      <c r="M2181" s="5"/>
      <c r="N2181" s="6" t="s">
        <v>40</v>
      </c>
      <c r="O2181" s="5" t="s">
        <v>5363</v>
      </c>
      <c r="P2181" s="6" t="s">
        <v>42</v>
      </c>
      <c r="Q2181" s="5" t="s">
        <v>1237</v>
      </c>
      <c r="R2181" s="5" t="s">
        <v>13096</v>
      </c>
      <c r="S2181" s="6" t="s">
        <v>71</v>
      </c>
      <c r="T2181" s="6">
        <v>6682.0</v>
      </c>
    </row>
    <row r="2182" ht="56.25" customHeight="1">
      <c r="A2182" s="5" t="s">
        <v>13082</v>
      </c>
      <c r="B2182" s="6" t="str">
        <f>image("https://storage.googleapis.com/acdb/photos/BromideNpcNmlBrd17_Remake_4_0.png")</f>
        <v/>
      </c>
      <c r="C2182" s="5" t="s">
        <v>1167</v>
      </c>
      <c r="D2182" s="5" t="s">
        <v>1327</v>
      </c>
      <c r="E2182" s="5" t="s">
        <v>34</v>
      </c>
      <c r="F2182" s="5" t="s">
        <v>34</v>
      </c>
      <c r="G2182" s="5" t="s">
        <v>36</v>
      </c>
      <c r="H2182" s="5" t="s">
        <v>35</v>
      </c>
      <c r="I2182" s="6">
        <v>1.0</v>
      </c>
      <c r="J2182" s="6" t="s">
        <v>37</v>
      </c>
      <c r="K2182" s="6">
        <v>10.0</v>
      </c>
      <c r="L2182" s="5"/>
      <c r="M2182" s="5"/>
      <c r="N2182" s="6" t="s">
        <v>40</v>
      </c>
      <c r="O2182" s="5" t="s">
        <v>5363</v>
      </c>
      <c r="P2182" s="6" t="s">
        <v>42</v>
      </c>
      <c r="Q2182" s="5" t="s">
        <v>1237</v>
      </c>
      <c r="R2182" s="5" t="s">
        <v>13100</v>
      </c>
      <c r="S2182" s="6" t="s">
        <v>75</v>
      </c>
      <c r="T2182" s="6">
        <v>6682.0</v>
      </c>
    </row>
    <row r="2183" ht="56.25" customHeight="1">
      <c r="A2183" s="5" t="s">
        <v>13082</v>
      </c>
      <c r="B2183" s="6" t="str">
        <f>image("https://storage.googleapis.com/acdb/photos/BromideNpcNmlBrd17_Remake_5_0.png")</f>
        <v/>
      </c>
      <c r="C2183" s="5" t="s">
        <v>58</v>
      </c>
      <c r="D2183" s="5" t="s">
        <v>1327</v>
      </c>
      <c r="E2183" s="5" t="s">
        <v>34</v>
      </c>
      <c r="F2183" s="5" t="s">
        <v>34</v>
      </c>
      <c r="G2183" s="5" t="s">
        <v>36</v>
      </c>
      <c r="H2183" s="5" t="s">
        <v>35</v>
      </c>
      <c r="I2183" s="6">
        <v>1.0</v>
      </c>
      <c r="J2183" s="6" t="s">
        <v>37</v>
      </c>
      <c r="K2183" s="6">
        <v>10.0</v>
      </c>
      <c r="L2183" s="5"/>
      <c r="M2183" s="5"/>
      <c r="N2183" s="6" t="s">
        <v>40</v>
      </c>
      <c r="O2183" s="5" t="s">
        <v>5363</v>
      </c>
      <c r="P2183" s="6" t="s">
        <v>42</v>
      </c>
      <c r="Q2183" s="5" t="s">
        <v>1237</v>
      </c>
      <c r="R2183" s="5" t="s">
        <v>13102</v>
      </c>
      <c r="S2183" s="6" t="s">
        <v>79</v>
      </c>
      <c r="T2183" s="6">
        <v>6682.0</v>
      </c>
    </row>
    <row r="2184" ht="56.25" customHeight="1">
      <c r="A2184" s="5" t="s">
        <v>13082</v>
      </c>
      <c r="B2184" s="6" t="str">
        <f>image("https://storage.googleapis.com/acdb/photos/BromideNpcNmlBrd17_Remake_6_0.png")</f>
        <v/>
      </c>
      <c r="C2184" s="5" t="s">
        <v>146</v>
      </c>
      <c r="D2184" s="5" t="s">
        <v>1327</v>
      </c>
      <c r="E2184" s="5" t="s">
        <v>34</v>
      </c>
      <c r="F2184" s="5" t="s">
        <v>34</v>
      </c>
      <c r="G2184" s="5" t="s">
        <v>36</v>
      </c>
      <c r="H2184" s="5" t="s">
        <v>35</v>
      </c>
      <c r="I2184" s="6">
        <v>1.0</v>
      </c>
      <c r="J2184" s="6" t="s">
        <v>37</v>
      </c>
      <c r="K2184" s="6">
        <v>10.0</v>
      </c>
      <c r="L2184" s="5"/>
      <c r="M2184" s="5"/>
      <c r="N2184" s="6" t="s">
        <v>40</v>
      </c>
      <c r="O2184" s="5" t="s">
        <v>5363</v>
      </c>
      <c r="P2184" s="6" t="s">
        <v>42</v>
      </c>
      <c r="Q2184" s="5" t="s">
        <v>1237</v>
      </c>
      <c r="R2184" s="5" t="s">
        <v>13105</v>
      </c>
      <c r="S2184" s="6" t="s">
        <v>86</v>
      </c>
      <c r="T2184" s="6">
        <v>6682.0</v>
      </c>
    </row>
    <row r="2185" ht="56.25" customHeight="1">
      <c r="A2185" s="5" t="s">
        <v>13082</v>
      </c>
      <c r="B2185" s="6" t="str">
        <f>image("https://storage.googleapis.com/acdb/photos/BromideNpcNmlBrd17_Remake_7_0.png")</f>
        <v/>
      </c>
      <c r="C2185" s="5" t="s">
        <v>151</v>
      </c>
      <c r="D2185" s="5" t="s">
        <v>1327</v>
      </c>
      <c r="E2185" s="5" t="s">
        <v>34</v>
      </c>
      <c r="F2185" s="5" t="s">
        <v>34</v>
      </c>
      <c r="G2185" s="5" t="s">
        <v>36</v>
      </c>
      <c r="H2185" s="5" t="s">
        <v>35</v>
      </c>
      <c r="I2185" s="6">
        <v>1.0</v>
      </c>
      <c r="J2185" s="6" t="s">
        <v>37</v>
      </c>
      <c r="K2185" s="6">
        <v>10.0</v>
      </c>
      <c r="L2185" s="5"/>
      <c r="M2185" s="5"/>
      <c r="N2185" s="6" t="s">
        <v>40</v>
      </c>
      <c r="O2185" s="5" t="s">
        <v>5363</v>
      </c>
      <c r="P2185" s="6" t="s">
        <v>42</v>
      </c>
      <c r="Q2185" s="5" t="s">
        <v>1237</v>
      </c>
      <c r="R2185" s="5" t="s">
        <v>13108</v>
      </c>
      <c r="S2185" s="6" t="s">
        <v>208</v>
      </c>
      <c r="T2185" s="6">
        <v>6682.0</v>
      </c>
    </row>
    <row r="2186" ht="56.25" customHeight="1">
      <c r="A2186" s="5" t="s">
        <v>13109</v>
      </c>
      <c r="B2186" s="6" t="str">
        <f>image("https://storage.googleapis.com/acdb/photos/BromideNpcNmlGor01_Remake_0_0.png")</f>
        <v/>
      </c>
      <c r="C2186" s="5" t="s">
        <v>366</v>
      </c>
      <c r="D2186" s="5" t="s">
        <v>1327</v>
      </c>
      <c r="E2186" s="5" t="s">
        <v>34</v>
      </c>
      <c r="F2186" s="5" t="s">
        <v>34</v>
      </c>
      <c r="G2186" s="5" t="s">
        <v>36</v>
      </c>
      <c r="H2186" s="5" t="s">
        <v>35</v>
      </c>
      <c r="I2186" s="6">
        <v>1.0</v>
      </c>
      <c r="J2186" s="6" t="s">
        <v>37</v>
      </c>
      <c r="K2186" s="6">
        <v>10.0</v>
      </c>
      <c r="L2186" s="5"/>
      <c r="M2186" s="5"/>
      <c r="N2186" s="6" t="s">
        <v>40</v>
      </c>
      <c r="O2186" s="5" t="s">
        <v>5363</v>
      </c>
      <c r="P2186" s="6" t="s">
        <v>42</v>
      </c>
      <c r="Q2186" s="5" t="s">
        <v>1237</v>
      </c>
      <c r="R2186" s="5" t="s">
        <v>13112</v>
      </c>
      <c r="S2186" s="6" t="s">
        <v>50</v>
      </c>
      <c r="T2186" s="6">
        <v>6512.0</v>
      </c>
    </row>
    <row r="2187" ht="56.25" customHeight="1">
      <c r="A2187" s="5" t="s">
        <v>13109</v>
      </c>
      <c r="B2187" s="6" t="str">
        <f>image("https://storage.googleapis.com/acdb/photos/BromideNpcNmlGor01_Remake_1_0.png")</f>
        <v/>
      </c>
      <c r="C2187" s="5" t="s">
        <v>1132</v>
      </c>
      <c r="D2187" s="5" t="s">
        <v>1327</v>
      </c>
      <c r="E2187" s="5" t="s">
        <v>34</v>
      </c>
      <c r="F2187" s="5" t="s">
        <v>34</v>
      </c>
      <c r="G2187" s="5" t="s">
        <v>36</v>
      </c>
      <c r="H2187" s="5" t="s">
        <v>35</v>
      </c>
      <c r="I2187" s="6">
        <v>1.0</v>
      </c>
      <c r="J2187" s="6" t="s">
        <v>37</v>
      </c>
      <c r="K2187" s="6">
        <v>10.0</v>
      </c>
      <c r="L2187" s="5"/>
      <c r="M2187" s="5"/>
      <c r="N2187" s="6" t="s">
        <v>40</v>
      </c>
      <c r="O2187" s="5" t="s">
        <v>5363</v>
      </c>
      <c r="P2187" s="6" t="s">
        <v>42</v>
      </c>
      <c r="Q2187" s="5" t="s">
        <v>1237</v>
      </c>
      <c r="R2187" s="5" t="s">
        <v>13117</v>
      </c>
      <c r="S2187" s="6" t="s">
        <v>56</v>
      </c>
      <c r="T2187" s="6">
        <v>6512.0</v>
      </c>
    </row>
    <row r="2188" ht="56.25" customHeight="1">
      <c r="A2188" s="5" t="s">
        <v>13109</v>
      </c>
      <c r="B2188" s="6" t="str">
        <f>image("https://storage.googleapis.com/acdb/photos/BromideNpcNmlGor01_Remake_2_0.png")</f>
        <v/>
      </c>
      <c r="C2188" s="5" t="s">
        <v>688</v>
      </c>
      <c r="D2188" s="5" t="s">
        <v>1327</v>
      </c>
      <c r="E2188" s="5" t="s">
        <v>34</v>
      </c>
      <c r="F2188" s="5" t="s">
        <v>34</v>
      </c>
      <c r="G2188" s="5" t="s">
        <v>36</v>
      </c>
      <c r="H2188" s="5" t="s">
        <v>35</v>
      </c>
      <c r="I2188" s="6">
        <v>1.0</v>
      </c>
      <c r="J2188" s="6" t="s">
        <v>37</v>
      </c>
      <c r="K2188" s="6">
        <v>10.0</v>
      </c>
      <c r="L2188" s="5"/>
      <c r="M2188" s="5"/>
      <c r="N2188" s="6" t="s">
        <v>40</v>
      </c>
      <c r="O2188" s="5" t="s">
        <v>5363</v>
      </c>
      <c r="P2188" s="6" t="s">
        <v>42</v>
      </c>
      <c r="Q2188" s="5" t="s">
        <v>1237</v>
      </c>
      <c r="R2188" s="5" t="s">
        <v>13120</v>
      </c>
      <c r="S2188" s="6" t="s">
        <v>67</v>
      </c>
      <c r="T2188" s="6">
        <v>6512.0</v>
      </c>
    </row>
    <row r="2189" ht="56.25" customHeight="1">
      <c r="A2189" s="5" t="s">
        <v>13109</v>
      </c>
      <c r="B2189" s="6" t="str">
        <f>image("https://storage.googleapis.com/acdb/photos/BromideNpcNmlGor01_Remake_3_0.png")</f>
        <v/>
      </c>
      <c r="C2189" s="5" t="s">
        <v>57</v>
      </c>
      <c r="D2189" s="5" t="s">
        <v>1327</v>
      </c>
      <c r="E2189" s="5" t="s">
        <v>34</v>
      </c>
      <c r="F2189" s="5" t="s">
        <v>34</v>
      </c>
      <c r="G2189" s="5" t="s">
        <v>36</v>
      </c>
      <c r="H2189" s="5" t="s">
        <v>35</v>
      </c>
      <c r="I2189" s="6">
        <v>1.0</v>
      </c>
      <c r="J2189" s="6" t="s">
        <v>37</v>
      </c>
      <c r="K2189" s="6">
        <v>10.0</v>
      </c>
      <c r="L2189" s="5"/>
      <c r="M2189" s="5"/>
      <c r="N2189" s="6" t="s">
        <v>40</v>
      </c>
      <c r="O2189" s="5" t="s">
        <v>5363</v>
      </c>
      <c r="P2189" s="6" t="s">
        <v>42</v>
      </c>
      <c r="Q2189" s="5" t="s">
        <v>1237</v>
      </c>
      <c r="R2189" s="5" t="s">
        <v>13124</v>
      </c>
      <c r="S2189" s="6" t="s">
        <v>71</v>
      </c>
      <c r="T2189" s="6">
        <v>6512.0</v>
      </c>
    </row>
    <row r="2190" ht="56.25" customHeight="1">
      <c r="A2190" s="5" t="s">
        <v>13109</v>
      </c>
      <c r="B2190" s="6" t="str">
        <f>image("https://storage.googleapis.com/acdb/photos/BromideNpcNmlGor01_Remake_4_0.png")</f>
        <v/>
      </c>
      <c r="C2190" s="5" t="s">
        <v>1167</v>
      </c>
      <c r="D2190" s="5" t="s">
        <v>1327</v>
      </c>
      <c r="E2190" s="5" t="s">
        <v>34</v>
      </c>
      <c r="F2190" s="5" t="s">
        <v>34</v>
      </c>
      <c r="G2190" s="5" t="s">
        <v>36</v>
      </c>
      <c r="H2190" s="5" t="s">
        <v>35</v>
      </c>
      <c r="I2190" s="6">
        <v>1.0</v>
      </c>
      <c r="J2190" s="6" t="s">
        <v>37</v>
      </c>
      <c r="K2190" s="6">
        <v>10.0</v>
      </c>
      <c r="L2190" s="5"/>
      <c r="M2190" s="5"/>
      <c r="N2190" s="6" t="s">
        <v>40</v>
      </c>
      <c r="O2190" s="5" t="s">
        <v>5363</v>
      </c>
      <c r="P2190" s="6" t="s">
        <v>42</v>
      </c>
      <c r="Q2190" s="5" t="s">
        <v>1237</v>
      </c>
      <c r="R2190" s="5" t="s">
        <v>13126</v>
      </c>
      <c r="S2190" s="6" t="s">
        <v>75</v>
      </c>
      <c r="T2190" s="6">
        <v>6512.0</v>
      </c>
    </row>
    <row r="2191" ht="56.25" customHeight="1">
      <c r="A2191" s="5" t="s">
        <v>13109</v>
      </c>
      <c r="B2191" s="6" t="str">
        <f>image("https://storage.googleapis.com/acdb/photos/BromideNpcNmlGor01_Remake_5_0.png")</f>
        <v/>
      </c>
      <c r="C2191" s="5" t="s">
        <v>58</v>
      </c>
      <c r="D2191" s="5" t="s">
        <v>1327</v>
      </c>
      <c r="E2191" s="5" t="s">
        <v>34</v>
      </c>
      <c r="F2191" s="5" t="s">
        <v>34</v>
      </c>
      <c r="G2191" s="5" t="s">
        <v>36</v>
      </c>
      <c r="H2191" s="5" t="s">
        <v>35</v>
      </c>
      <c r="I2191" s="6">
        <v>1.0</v>
      </c>
      <c r="J2191" s="6" t="s">
        <v>37</v>
      </c>
      <c r="K2191" s="6">
        <v>10.0</v>
      </c>
      <c r="L2191" s="5"/>
      <c r="M2191" s="5"/>
      <c r="N2191" s="6" t="s">
        <v>40</v>
      </c>
      <c r="O2191" s="5" t="s">
        <v>5363</v>
      </c>
      <c r="P2191" s="6" t="s">
        <v>42</v>
      </c>
      <c r="Q2191" s="5" t="s">
        <v>1237</v>
      </c>
      <c r="R2191" s="5" t="s">
        <v>13129</v>
      </c>
      <c r="S2191" s="6" t="s">
        <v>79</v>
      </c>
      <c r="T2191" s="6">
        <v>6512.0</v>
      </c>
    </row>
    <row r="2192" ht="56.25" customHeight="1">
      <c r="A2192" s="5" t="s">
        <v>13109</v>
      </c>
      <c r="B2192" s="6" t="str">
        <f>image("https://storage.googleapis.com/acdb/photos/BromideNpcNmlGor01_Remake_6_0.png")</f>
        <v/>
      </c>
      <c r="C2192" s="5" t="s">
        <v>146</v>
      </c>
      <c r="D2192" s="5" t="s">
        <v>1327</v>
      </c>
      <c r="E2192" s="5" t="s">
        <v>34</v>
      </c>
      <c r="F2192" s="5" t="s">
        <v>34</v>
      </c>
      <c r="G2192" s="5" t="s">
        <v>36</v>
      </c>
      <c r="H2192" s="5" t="s">
        <v>35</v>
      </c>
      <c r="I2192" s="6">
        <v>1.0</v>
      </c>
      <c r="J2192" s="6" t="s">
        <v>37</v>
      </c>
      <c r="K2192" s="6">
        <v>10.0</v>
      </c>
      <c r="L2192" s="5"/>
      <c r="M2192" s="5"/>
      <c r="N2192" s="6" t="s">
        <v>40</v>
      </c>
      <c r="O2192" s="5" t="s">
        <v>5363</v>
      </c>
      <c r="P2192" s="6" t="s">
        <v>42</v>
      </c>
      <c r="Q2192" s="5" t="s">
        <v>1237</v>
      </c>
      <c r="R2192" s="5" t="s">
        <v>13134</v>
      </c>
      <c r="S2192" s="6" t="s">
        <v>86</v>
      </c>
      <c r="T2192" s="6">
        <v>6512.0</v>
      </c>
    </row>
    <row r="2193" ht="56.25" customHeight="1">
      <c r="A2193" s="5" t="s">
        <v>13109</v>
      </c>
      <c r="B2193" s="6" t="str">
        <f>image("https://storage.googleapis.com/acdb/photos/BromideNpcNmlGor01_Remake_7_0.png")</f>
        <v/>
      </c>
      <c r="C2193" s="5" t="s">
        <v>151</v>
      </c>
      <c r="D2193" s="5" t="s">
        <v>1327</v>
      </c>
      <c r="E2193" s="5" t="s">
        <v>34</v>
      </c>
      <c r="F2193" s="5" t="s">
        <v>34</v>
      </c>
      <c r="G2193" s="5" t="s">
        <v>36</v>
      </c>
      <c r="H2193" s="5" t="s">
        <v>35</v>
      </c>
      <c r="I2193" s="6">
        <v>1.0</v>
      </c>
      <c r="J2193" s="6" t="s">
        <v>37</v>
      </c>
      <c r="K2193" s="6">
        <v>10.0</v>
      </c>
      <c r="L2193" s="5"/>
      <c r="M2193" s="5"/>
      <c r="N2193" s="6" t="s">
        <v>40</v>
      </c>
      <c r="O2193" s="5" t="s">
        <v>5363</v>
      </c>
      <c r="P2193" s="6" t="s">
        <v>42</v>
      </c>
      <c r="Q2193" s="5" t="s">
        <v>1237</v>
      </c>
      <c r="R2193" s="5" t="s">
        <v>13137</v>
      </c>
      <c r="S2193" s="6" t="s">
        <v>208</v>
      </c>
      <c r="T2193" s="6">
        <v>6512.0</v>
      </c>
    </row>
    <row r="2194" ht="56.25" customHeight="1">
      <c r="A2194" s="5" t="s">
        <v>13138</v>
      </c>
      <c r="B2194" s="6" t="str">
        <f>image("https://storage.googleapis.com/acdb/photos/BromideNpcNmlPig11_Remake_0_0.png")</f>
        <v/>
      </c>
      <c r="C2194" s="5" t="s">
        <v>366</v>
      </c>
      <c r="D2194" s="5" t="s">
        <v>1327</v>
      </c>
      <c r="E2194" s="5" t="s">
        <v>34</v>
      </c>
      <c r="F2194" s="5" t="s">
        <v>34</v>
      </c>
      <c r="G2194" s="5" t="s">
        <v>36</v>
      </c>
      <c r="H2194" s="5" t="s">
        <v>35</v>
      </c>
      <c r="I2194" s="6">
        <v>1.0</v>
      </c>
      <c r="J2194" s="6" t="s">
        <v>37</v>
      </c>
      <c r="K2194" s="6">
        <v>10.0</v>
      </c>
      <c r="L2194" s="5"/>
      <c r="M2194" s="5"/>
      <c r="N2194" s="6" t="s">
        <v>40</v>
      </c>
      <c r="O2194" s="5" t="s">
        <v>5363</v>
      </c>
      <c r="P2194" s="6" t="s">
        <v>42</v>
      </c>
      <c r="Q2194" s="5" t="s">
        <v>1237</v>
      </c>
      <c r="R2194" s="5" t="s">
        <v>13142</v>
      </c>
      <c r="S2194" s="6" t="s">
        <v>50</v>
      </c>
      <c r="T2194" s="6">
        <v>6655.0</v>
      </c>
    </row>
    <row r="2195" ht="56.25" customHeight="1">
      <c r="A2195" s="5" t="s">
        <v>13138</v>
      </c>
      <c r="B2195" s="6" t="str">
        <f>image("https://storage.googleapis.com/acdb/photos/BromideNpcNmlPig11_Remake_1_0.png")</f>
        <v/>
      </c>
      <c r="C2195" s="5" t="s">
        <v>1132</v>
      </c>
      <c r="D2195" s="5" t="s">
        <v>1327</v>
      </c>
      <c r="E2195" s="5" t="s">
        <v>34</v>
      </c>
      <c r="F2195" s="5" t="s">
        <v>34</v>
      </c>
      <c r="G2195" s="5" t="s">
        <v>36</v>
      </c>
      <c r="H2195" s="5" t="s">
        <v>35</v>
      </c>
      <c r="I2195" s="6">
        <v>1.0</v>
      </c>
      <c r="J2195" s="6" t="s">
        <v>37</v>
      </c>
      <c r="K2195" s="6">
        <v>10.0</v>
      </c>
      <c r="L2195" s="5"/>
      <c r="M2195" s="5"/>
      <c r="N2195" s="6" t="s">
        <v>40</v>
      </c>
      <c r="O2195" s="5" t="s">
        <v>5363</v>
      </c>
      <c r="P2195" s="6" t="s">
        <v>42</v>
      </c>
      <c r="Q2195" s="5" t="s">
        <v>1237</v>
      </c>
      <c r="R2195" s="5" t="s">
        <v>13145</v>
      </c>
      <c r="S2195" s="6" t="s">
        <v>56</v>
      </c>
      <c r="T2195" s="6">
        <v>6655.0</v>
      </c>
    </row>
    <row r="2196" ht="56.25" customHeight="1">
      <c r="A2196" s="5" t="s">
        <v>13138</v>
      </c>
      <c r="B2196" s="6" t="str">
        <f>image("https://storage.googleapis.com/acdb/photos/BromideNpcNmlPig11_Remake_2_0.png")</f>
        <v/>
      </c>
      <c r="C2196" s="5" t="s">
        <v>688</v>
      </c>
      <c r="D2196" s="5" t="s">
        <v>1327</v>
      </c>
      <c r="E2196" s="5" t="s">
        <v>34</v>
      </c>
      <c r="F2196" s="5" t="s">
        <v>34</v>
      </c>
      <c r="G2196" s="5" t="s">
        <v>36</v>
      </c>
      <c r="H2196" s="5" t="s">
        <v>35</v>
      </c>
      <c r="I2196" s="6">
        <v>1.0</v>
      </c>
      <c r="J2196" s="6" t="s">
        <v>37</v>
      </c>
      <c r="K2196" s="6">
        <v>10.0</v>
      </c>
      <c r="L2196" s="5"/>
      <c r="M2196" s="5"/>
      <c r="N2196" s="6" t="s">
        <v>40</v>
      </c>
      <c r="O2196" s="5" t="s">
        <v>5363</v>
      </c>
      <c r="P2196" s="6" t="s">
        <v>42</v>
      </c>
      <c r="Q2196" s="5" t="s">
        <v>1237</v>
      </c>
      <c r="R2196" s="5" t="s">
        <v>13149</v>
      </c>
      <c r="S2196" s="6" t="s">
        <v>67</v>
      </c>
      <c r="T2196" s="6">
        <v>6655.0</v>
      </c>
    </row>
    <row r="2197" ht="56.25" customHeight="1">
      <c r="A2197" s="5" t="s">
        <v>13138</v>
      </c>
      <c r="B2197" s="6" t="str">
        <f>image("https://storage.googleapis.com/acdb/photos/BromideNpcNmlPig11_Remake_3_0.png")</f>
        <v/>
      </c>
      <c r="C2197" s="5" t="s">
        <v>57</v>
      </c>
      <c r="D2197" s="5" t="s">
        <v>1327</v>
      </c>
      <c r="E2197" s="5" t="s">
        <v>34</v>
      </c>
      <c r="F2197" s="5" t="s">
        <v>34</v>
      </c>
      <c r="G2197" s="5" t="s">
        <v>36</v>
      </c>
      <c r="H2197" s="5" t="s">
        <v>35</v>
      </c>
      <c r="I2197" s="6">
        <v>1.0</v>
      </c>
      <c r="J2197" s="6" t="s">
        <v>37</v>
      </c>
      <c r="K2197" s="6">
        <v>10.0</v>
      </c>
      <c r="L2197" s="5"/>
      <c r="M2197" s="5"/>
      <c r="N2197" s="6" t="s">
        <v>40</v>
      </c>
      <c r="O2197" s="5" t="s">
        <v>5363</v>
      </c>
      <c r="P2197" s="6" t="s">
        <v>42</v>
      </c>
      <c r="Q2197" s="5" t="s">
        <v>1237</v>
      </c>
      <c r="R2197" s="5" t="s">
        <v>13151</v>
      </c>
      <c r="S2197" s="6" t="s">
        <v>71</v>
      </c>
      <c r="T2197" s="6">
        <v>6655.0</v>
      </c>
    </row>
    <row r="2198" ht="56.25" customHeight="1">
      <c r="A2198" s="5" t="s">
        <v>13138</v>
      </c>
      <c r="B2198" s="6" t="str">
        <f>image("https://storage.googleapis.com/acdb/photos/BromideNpcNmlPig11_Remake_4_0.png")</f>
        <v/>
      </c>
      <c r="C2198" s="5" t="s">
        <v>1167</v>
      </c>
      <c r="D2198" s="5" t="s">
        <v>1327</v>
      </c>
      <c r="E2198" s="5" t="s">
        <v>34</v>
      </c>
      <c r="F2198" s="5" t="s">
        <v>34</v>
      </c>
      <c r="G2198" s="5" t="s">
        <v>36</v>
      </c>
      <c r="H2198" s="5" t="s">
        <v>35</v>
      </c>
      <c r="I2198" s="6">
        <v>1.0</v>
      </c>
      <c r="J2198" s="6" t="s">
        <v>37</v>
      </c>
      <c r="K2198" s="6">
        <v>10.0</v>
      </c>
      <c r="L2198" s="5"/>
      <c r="M2198" s="5"/>
      <c r="N2198" s="6" t="s">
        <v>40</v>
      </c>
      <c r="O2198" s="5" t="s">
        <v>5363</v>
      </c>
      <c r="P2198" s="6" t="s">
        <v>42</v>
      </c>
      <c r="Q2198" s="5" t="s">
        <v>1237</v>
      </c>
      <c r="R2198" s="5" t="s">
        <v>13155</v>
      </c>
      <c r="S2198" s="6" t="s">
        <v>75</v>
      </c>
      <c r="T2198" s="6">
        <v>6655.0</v>
      </c>
    </row>
    <row r="2199" ht="56.25" customHeight="1">
      <c r="A2199" s="5" t="s">
        <v>13138</v>
      </c>
      <c r="B2199" s="6" t="str">
        <f>image("https://storage.googleapis.com/acdb/photos/BromideNpcNmlPig11_Remake_5_0.png")</f>
        <v/>
      </c>
      <c r="C2199" s="5" t="s">
        <v>58</v>
      </c>
      <c r="D2199" s="5" t="s">
        <v>1327</v>
      </c>
      <c r="E2199" s="5" t="s">
        <v>34</v>
      </c>
      <c r="F2199" s="5" t="s">
        <v>34</v>
      </c>
      <c r="G2199" s="5" t="s">
        <v>36</v>
      </c>
      <c r="H2199" s="5" t="s">
        <v>35</v>
      </c>
      <c r="I2199" s="6">
        <v>1.0</v>
      </c>
      <c r="J2199" s="6" t="s">
        <v>37</v>
      </c>
      <c r="K2199" s="6">
        <v>10.0</v>
      </c>
      <c r="L2199" s="5"/>
      <c r="M2199" s="5"/>
      <c r="N2199" s="6" t="s">
        <v>40</v>
      </c>
      <c r="O2199" s="5" t="s">
        <v>5363</v>
      </c>
      <c r="P2199" s="6" t="s">
        <v>42</v>
      </c>
      <c r="Q2199" s="5" t="s">
        <v>1237</v>
      </c>
      <c r="R2199" s="5" t="s">
        <v>13159</v>
      </c>
      <c r="S2199" s="6" t="s">
        <v>79</v>
      </c>
      <c r="T2199" s="6">
        <v>6655.0</v>
      </c>
    </row>
    <row r="2200" ht="56.25" customHeight="1">
      <c r="A2200" s="5" t="s">
        <v>13138</v>
      </c>
      <c r="B2200" s="6" t="str">
        <f>image("https://storage.googleapis.com/acdb/photos/BromideNpcNmlPig11_Remake_6_0.png")</f>
        <v/>
      </c>
      <c r="C2200" s="5" t="s">
        <v>146</v>
      </c>
      <c r="D2200" s="5" t="s">
        <v>1327</v>
      </c>
      <c r="E2200" s="5" t="s">
        <v>34</v>
      </c>
      <c r="F2200" s="5" t="s">
        <v>34</v>
      </c>
      <c r="G2200" s="5" t="s">
        <v>36</v>
      </c>
      <c r="H2200" s="5" t="s">
        <v>35</v>
      </c>
      <c r="I2200" s="6">
        <v>1.0</v>
      </c>
      <c r="J2200" s="6" t="s">
        <v>37</v>
      </c>
      <c r="K2200" s="6">
        <v>10.0</v>
      </c>
      <c r="L2200" s="5"/>
      <c r="M2200" s="5"/>
      <c r="N2200" s="6" t="s">
        <v>40</v>
      </c>
      <c r="O2200" s="5" t="s">
        <v>5363</v>
      </c>
      <c r="P2200" s="6" t="s">
        <v>42</v>
      </c>
      <c r="Q2200" s="5" t="s">
        <v>1237</v>
      </c>
      <c r="R2200" s="5" t="s">
        <v>13161</v>
      </c>
      <c r="S2200" s="6" t="s">
        <v>86</v>
      </c>
      <c r="T2200" s="6">
        <v>6655.0</v>
      </c>
    </row>
    <row r="2201" ht="56.25" customHeight="1">
      <c r="A2201" s="5" t="s">
        <v>13138</v>
      </c>
      <c r="B2201" s="6" t="str">
        <f>image("https://storage.googleapis.com/acdb/photos/BromideNpcNmlPig11_Remake_7_0.png")</f>
        <v/>
      </c>
      <c r="C2201" s="5" t="s">
        <v>151</v>
      </c>
      <c r="D2201" s="5" t="s">
        <v>1327</v>
      </c>
      <c r="E2201" s="5" t="s">
        <v>34</v>
      </c>
      <c r="F2201" s="5" t="s">
        <v>34</v>
      </c>
      <c r="G2201" s="5" t="s">
        <v>36</v>
      </c>
      <c r="H2201" s="5" t="s">
        <v>35</v>
      </c>
      <c r="I2201" s="6">
        <v>1.0</v>
      </c>
      <c r="J2201" s="6" t="s">
        <v>37</v>
      </c>
      <c r="K2201" s="6">
        <v>10.0</v>
      </c>
      <c r="L2201" s="5"/>
      <c r="M2201" s="5"/>
      <c r="N2201" s="6" t="s">
        <v>40</v>
      </c>
      <c r="O2201" s="5" t="s">
        <v>5363</v>
      </c>
      <c r="P2201" s="6" t="s">
        <v>42</v>
      </c>
      <c r="Q2201" s="5" t="s">
        <v>1237</v>
      </c>
      <c r="R2201" s="5" t="s">
        <v>13164</v>
      </c>
      <c r="S2201" s="6" t="s">
        <v>208</v>
      </c>
      <c r="T2201" s="6">
        <v>6655.0</v>
      </c>
    </row>
    <row r="2202" ht="56.25" customHeight="1">
      <c r="A2202" s="5" t="s">
        <v>13165</v>
      </c>
      <c r="B2202" s="6" t="str">
        <f>image("https://storage.googleapis.com/acdb/photos/BromideNpcNmlCbr14_Remake_0_0.png")</f>
        <v/>
      </c>
      <c r="C2202" s="5" t="s">
        <v>366</v>
      </c>
      <c r="D2202" s="5" t="s">
        <v>1327</v>
      </c>
      <c r="E2202" s="5" t="s">
        <v>34</v>
      </c>
      <c r="F2202" s="5" t="s">
        <v>34</v>
      </c>
      <c r="G2202" s="5" t="s">
        <v>36</v>
      </c>
      <c r="H2202" s="5" t="s">
        <v>35</v>
      </c>
      <c r="I2202" s="6">
        <v>1.0</v>
      </c>
      <c r="J2202" s="6" t="s">
        <v>37</v>
      </c>
      <c r="K2202" s="6">
        <v>10.0</v>
      </c>
      <c r="L2202" s="5"/>
      <c r="M2202" s="5"/>
      <c r="N2202" s="6" t="s">
        <v>40</v>
      </c>
      <c r="O2202" s="5" t="s">
        <v>5363</v>
      </c>
      <c r="P2202" s="6" t="s">
        <v>42</v>
      </c>
      <c r="Q2202" s="5" t="s">
        <v>1237</v>
      </c>
      <c r="R2202" s="5" t="s">
        <v>13168</v>
      </c>
      <c r="S2202" s="6" t="s">
        <v>50</v>
      </c>
      <c r="T2202" s="6">
        <v>6781.0</v>
      </c>
    </row>
    <row r="2203" ht="56.25" customHeight="1">
      <c r="A2203" s="5" t="s">
        <v>13165</v>
      </c>
      <c r="B2203" s="6" t="str">
        <f>image("https://storage.googleapis.com/acdb/photos/BromideNpcNmlCbr14_Remake_1_0.png")</f>
        <v/>
      </c>
      <c r="C2203" s="5" t="s">
        <v>1132</v>
      </c>
      <c r="D2203" s="5" t="s">
        <v>1327</v>
      </c>
      <c r="E2203" s="5" t="s">
        <v>34</v>
      </c>
      <c r="F2203" s="5" t="s">
        <v>34</v>
      </c>
      <c r="G2203" s="5" t="s">
        <v>36</v>
      </c>
      <c r="H2203" s="5" t="s">
        <v>35</v>
      </c>
      <c r="I2203" s="6">
        <v>1.0</v>
      </c>
      <c r="J2203" s="6" t="s">
        <v>37</v>
      </c>
      <c r="K2203" s="6">
        <v>10.0</v>
      </c>
      <c r="L2203" s="5"/>
      <c r="M2203" s="5"/>
      <c r="N2203" s="6" t="s">
        <v>40</v>
      </c>
      <c r="O2203" s="5" t="s">
        <v>5363</v>
      </c>
      <c r="P2203" s="6" t="s">
        <v>42</v>
      </c>
      <c r="Q2203" s="5" t="s">
        <v>1237</v>
      </c>
      <c r="R2203" s="5" t="s">
        <v>13172</v>
      </c>
      <c r="S2203" s="6" t="s">
        <v>56</v>
      </c>
      <c r="T2203" s="6">
        <v>6781.0</v>
      </c>
    </row>
    <row r="2204" ht="56.25" customHeight="1">
      <c r="A2204" s="5" t="s">
        <v>13165</v>
      </c>
      <c r="B2204" s="6" t="str">
        <f>image("https://storage.googleapis.com/acdb/photos/BromideNpcNmlCbr14_Remake_2_0.png")</f>
        <v/>
      </c>
      <c r="C2204" s="5" t="s">
        <v>688</v>
      </c>
      <c r="D2204" s="5" t="s">
        <v>1327</v>
      </c>
      <c r="E2204" s="5" t="s">
        <v>34</v>
      </c>
      <c r="F2204" s="5" t="s">
        <v>34</v>
      </c>
      <c r="G2204" s="5" t="s">
        <v>36</v>
      </c>
      <c r="H2204" s="5" t="s">
        <v>35</v>
      </c>
      <c r="I2204" s="6">
        <v>1.0</v>
      </c>
      <c r="J2204" s="6" t="s">
        <v>37</v>
      </c>
      <c r="K2204" s="6">
        <v>10.0</v>
      </c>
      <c r="L2204" s="5"/>
      <c r="M2204" s="5"/>
      <c r="N2204" s="6" t="s">
        <v>40</v>
      </c>
      <c r="O2204" s="5" t="s">
        <v>5363</v>
      </c>
      <c r="P2204" s="6" t="s">
        <v>42</v>
      </c>
      <c r="Q2204" s="5" t="s">
        <v>1237</v>
      </c>
      <c r="R2204" s="5" t="s">
        <v>13174</v>
      </c>
      <c r="S2204" s="6" t="s">
        <v>67</v>
      </c>
      <c r="T2204" s="6">
        <v>6781.0</v>
      </c>
    </row>
    <row r="2205" ht="56.25" customHeight="1">
      <c r="A2205" s="5" t="s">
        <v>13165</v>
      </c>
      <c r="B2205" s="6" t="str">
        <f>image("https://storage.googleapis.com/acdb/photos/BromideNpcNmlCbr14_Remake_3_0.png")</f>
        <v/>
      </c>
      <c r="C2205" s="5" t="s">
        <v>57</v>
      </c>
      <c r="D2205" s="5" t="s">
        <v>1327</v>
      </c>
      <c r="E2205" s="5" t="s">
        <v>34</v>
      </c>
      <c r="F2205" s="5" t="s">
        <v>34</v>
      </c>
      <c r="G2205" s="5" t="s">
        <v>36</v>
      </c>
      <c r="H2205" s="5" t="s">
        <v>35</v>
      </c>
      <c r="I2205" s="6">
        <v>1.0</v>
      </c>
      <c r="J2205" s="6" t="s">
        <v>37</v>
      </c>
      <c r="K2205" s="6">
        <v>10.0</v>
      </c>
      <c r="L2205" s="5"/>
      <c r="M2205" s="5"/>
      <c r="N2205" s="6" t="s">
        <v>40</v>
      </c>
      <c r="O2205" s="5" t="s">
        <v>5363</v>
      </c>
      <c r="P2205" s="6" t="s">
        <v>42</v>
      </c>
      <c r="Q2205" s="5" t="s">
        <v>1237</v>
      </c>
      <c r="R2205" s="5" t="s">
        <v>13176</v>
      </c>
      <c r="S2205" s="6" t="s">
        <v>71</v>
      </c>
      <c r="T2205" s="6">
        <v>6781.0</v>
      </c>
    </row>
    <row r="2206" ht="56.25" customHeight="1">
      <c r="A2206" s="5" t="s">
        <v>13165</v>
      </c>
      <c r="B2206" s="6" t="str">
        <f>image("https://storage.googleapis.com/acdb/photos/BromideNpcNmlCbr14_Remake_4_0.png")</f>
        <v/>
      </c>
      <c r="C2206" s="5" t="s">
        <v>1167</v>
      </c>
      <c r="D2206" s="5" t="s">
        <v>1327</v>
      </c>
      <c r="E2206" s="5" t="s">
        <v>34</v>
      </c>
      <c r="F2206" s="5" t="s">
        <v>34</v>
      </c>
      <c r="G2206" s="5" t="s">
        <v>36</v>
      </c>
      <c r="H2206" s="5" t="s">
        <v>35</v>
      </c>
      <c r="I2206" s="6">
        <v>1.0</v>
      </c>
      <c r="J2206" s="6" t="s">
        <v>37</v>
      </c>
      <c r="K2206" s="6">
        <v>10.0</v>
      </c>
      <c r="L2206" s="5"/>
      <c r="M2206" s="5"/>
      <c r="N2206" s="6" t="s">
        <v>40</v>
      </c>
      <c r="O2206" s="5" t="s">
        <v>5363</v>
      </c>
      <c r="P2206" s="6" t="s">
        <v>42</v>
      </c>
      <c r="Q2206" s="5" t="s">
        <v>1237</v>
      </c>
      <c r="R2206" s="5" t="s">
        <v>13180</v>
      </c>
      <c r="S2206" s="6" t="s">
        <v>75</v>
      </c>
      <c r="T2206" s="6">
        <v>6781.0</v>
      </c>
    </row>
    <row r="2207" ht="56.25" customHeight="1">
      <c r="A2207" s="5" t="s">
        <v>13165</v>
      </c>
      <c r="B2207" s="6" t="str">
        <f>image("https://storage.googleapis.com/acdb/photos/BromideNpcNmlCbr14_Remake_5_0.png")</f>
        <v/>
      </c>
      <c r="C2207" s="5" t="s">
        <v>58</v>
      </c>
      <c r="D2207" s="5" t="s">
        <v>1327</v>
      </c>
      <c r="E2207" s="5" t="s">
        <v>34</v>
      </c>
      <c r="F2207" s="5" t="s">
        <v>34</v>
      </c>
      <c r="G2207" s="5" t="s">
        <v>36</v>
      </c>
      <c r="H2207" s="5" t="s">
        <v>35</v>
      </c>
      <c r="I2207" s="6">
        <v>1.0</v>
      </c>
      <c r="J2207" s="6" t="s">
        <v>37</v>
      </c>
      <c r="K2207" s="6">
        <v>10.0</v>
      </c>
      <c r="L2207" s="5"/>
      <c r="M2207" s="5"/>
      <c r="N2207" s="6" t="s">
        <v>40</v>
      </c>
      <c r="O2207" s="5" t="s">
        <v>5363</v>
      </c>
      <c r="P2207" s="6" t="s">
        <v>42</v>
      </c>
      <c r="Q2207" s="5" t="s">
        <v>1237</v>
      </c>
      <c r="R2207" s="5" t="s">
        <v>13182</v>
      </c>
      <c r="S2207" s="6" t="s">
        <v>79</v>
      </c>
      <c r="T2207" s="6">
        <v>6781.0</v>
      </c>
    </row>
    <row r="2208" ht="56.25" customHeight="1">
      <c r="A2208" s="5" t="s">
        <v>13165</v>
      </c>
      <c r="B2208" s="6" t="str">
        <f>image("https://storage.googleapis.com/acdb/photos/BromideNpcNmlCbr14_Remake_6_0.png")</f>
        <v/>
      </c>
      <c r="C2208" s="5" t="s">
        <v>146</v>
      </c>
      <c r="D2208" s="5" t="s">
        <v>1327</v>
      </c>
      <c r="E2208" s="5" t="s">
        <v>34</v>
      </c>
      <c r="F2208" s="5" t="s">
        <v>34</v>
      </c>
      <c r="G2208" s="5" t="s">
        <v>36</v>
      </c>
      <c r="H2208" s="5" t="s">
        <v>35</v>
      </c>
      <c r="I2208" s="6">
        <v>1.0</v>
      </c>
      <c r="J2208" s="6" t="s">
        <v>37</v>
      </c>
      <c r="K2208" s="6">
        <v>10.0</v>
      </c>
      <c r="L2208" s="5"/>
      <c r="M2208" s="5"/>
      <c r="N2208" s="6" t="s">
        <v>40</v>
      </c>
      <c r="O2208" s="5" t="s">
        <v>5363</v>
      </c>
      <c r="P2208" s="6" t="s">
        <v>42</v>
      </c>
      <c r="Q2208" s="5" t="s">
        <v>1237</v>
      </c>
      <c r="R2208" s="5" t="s">
        <v>13186</v>
      </c>
      <c r="S2208" s="6" t="s">
        <v>86</v>
      </c>
      <c r="T2208" s="6">
        <v>6781.0</v>
      </c>
    </row>
    <row r="2209" ht="56.25" customHeight="1">
      <c r="A2209" s="5" t="s">
        <v>13165</v>
      </c>
      <c r="B2209" s="6" t="str">
        <f>image("https://storage.googleapis.com/acdb/photos/BromideNpcNmlCbr14_Remake_7_0.png")</f>
        <v/>
      </c>
      <c r="C2209" s="5" t="s">
        <v>151</v>
      </c>
      <c r="D2209" s="5" t="s">
        <v>1327</v>
      </c>
      <c r="E2209" s="5" t="s">
        <v>34</v>
      </c>
      <c r="F2209" s="5" t="s">
        <v>34</v>
      </c>
      <c r="G2209" s="5" t="s">
        <v>36</v>
      </c>
      <c r="H2209" s="5" t="s">
        <v>35</v>
      </c>
      <c r="I2209" s="6">
        <v>1.0</v>
      </c>
      <c r="J2209" s="6" t="s">
        <v>37</v>
      </c>
      <c r="K2209" s="6">
        <v>10.0</v>
      </c>
      <c r="L2209" s="5"/>
      <c r="M2209" s="5"/>
      <c r="N2209" s="6" t="s">
        <v>40</v>
      </c>
      <c r="O2209" s="5" t="s">
        <v>5363</v>
      </c>
      <c r="P2209" s="6" t="s">
        <v>42</v>
      </c>
      <c r="Q2209" s="5" t="s">
        <v>1237</v>
      </c>
      <c r="R2209" s="5" t="s">
        <v>13189</v>
      </c>
      <c r="S2209" s="6" t="s">
        <v>208</v>
      </c>
      <c r="T2209" s="6">
        <v>6781.0</v>
      </c>
    </row>
    <row r="2210" ht="56.25" customHeight="1">
      <c r="A2210" s="5" t="s">
        <v>13190</v>
      </c>
      <c r="B2210" s="6" t="str">
        <f>image("https://storage.googleapis.com/acdb/photos/BromideNpcNmlMus17_Remake_0_0.png")</f>
        <v/>
      </c>
      <c r="C2210" s="5" t="s">
        <v>366</v>
      </c>
      <c r="D2210" s="5" t="s">
        <v>1327</v>
      </c>
      <c r="E2210" s="5" t="s">
        <v>34</v>
      </c>
      <c r="F2210" s="5" t="s">
        <v>34</v>
      </c>
      <c r="G2210" s="5" t="s">
        <v>36</v>
      </c>
      <c r="H2210" s="5" t="s">
        <v>35</v>
      </c>
      <c r="I2210" s="6">
        <v>1.0</v>
      </c>
      <c r="J2210" s="6" t="s">
        <v>37</v>
      </c>
      <c r="K2210" s="6">
        <v>10.0</v>
      </c>
      <c r="L2210" s="5"/>
      <c r="M2210" s="5"/>
      <c r="N2210" s="6" t="s">
        <v>40</v>
      </c>
      <c r="O2210" s="5" t="s">
        <v>5363</v>
      </c>
      <c r="P2210" s="6" t="s">
        <v>42</v>
      </c>
      <c r="Q2210" s="5" t="s">
        <v>1237</v>
      </c>
      <c r="R2210" s="5" t="s">
        <v>13192</v>
      </c>
      <c r="S2210" s="6" t="s">
        <v>50</v>
      </c>
      <c r="T2210" s="6">
        <v>6603.0</v>
      </c>
    </row>
    <row r="2211" ht="56.25" customHeight="1">
      <c r="A2211" s="5" t="s">
        <v>13190</v>
      </c>
      <c r="B2211" s="6" t="str">
        <f>image("https://storage.googleapis.com/acdb/photos/BromideNpcNmlMus17_Remake_1_0.png")</f>
        <v/>
      </c>
      <c r="C2211" s="5" t="s">
        <v>1132</v>
      </c>
      <c r="D2211" s="5" t="s">
        <v>1327</v>
      </c>
      <c r="E2211" s="5" t="s">
        <v>34</v>
      </c>
      <c r="F2211" s="5" t="s">
        <v>34</v>
      </c>
      <c r="G2211" s="5" t="s">
        <v>36</v>
      </c>
      <c r="H2211" s="5" t="s">
        <v>35</v>
      </c>
      <c r="I2211" s="6">
        <v>1.0</v>
      </c>
      <c r="J2211" s="6" t="s">
        <v>37</v>
      </c>
      <c r="K2211" s="6">
        <v>10.0</v>
      </c>
      <c r="L2211" s="5"/>
      <c r="M2211" s="5"/>
      <c r="N2211" s="6" t="s">
        <v>40</v>
      </c>
      <c r="O2211" s="5" t="s">
        <v>5363</v>
      </c>
      <c r="P2211" s="6" t="s">
        <v>42</v>
      </c>
      <c r="Q2211" s="5" t="s">
        <v>1237</v>
      </c>
      <c r="R2211" s="5" t="s">
        <v>13197</v>
      </c>
      <c r="S2211" s="6" t="s">
        <v>56</v>
      </c>
      <c r="T2211" s="6">
        <v>6603.0</v>
      </c>
    </row>
    <row r="2212" ht="56.25" customHeight="1">
      <c r="A2212" s="5" t="s">
        <v>13190</v>
      </c>
      <c r="B2212" s="6" t="str">
        <f>image("https://storage.googleapis.com/acdb/photos/BromideNpcNmlMus17_Remake_2_0.png")</f>
        <v/>
      </c>
      <c r="C2212" s="5" t="s">
        <v>688</v>
      </c>
      <c r="D2212" s="5" t="s">
        <v>1327</v>
      </c>
      <c r="E2212" s="5" t="s">
        <v>34</v>
      </c>
      <c r="F2212" s="5" t="s">
        <v>34</v>
      </c>
      <c r="G2212" s="5" t="s">
        <v>36</v>
      </c>
      <c r="H2212" s="5" t="s">
        <v>35</v>
      </c>
      <c r="I2212" s="6">
        <v>1.0</v>
      </c>
      <c r="J2212" s="6" t="s">
        <v>37</v>
      </c>
      <c r="K2212" s="6">
        <v>10.0</v>
      </c>
      <c r="L2212" s="5"/>
      <c r="M2212" s="5"/>
      <c r="N2212" s="6" t="s">
        <v>40</v>
      </c>
      <c r="O2212" s="5" t="s">
        <v>5363</v>
      </c>
      <c r="P2212" s="6" t="s">
        <v>42</v>
      </c>
      <c r="Q2212" s="5" t="s">
        <v>1237</v>
      </c>
      <c r="R2212" s="5" t="s">
        <v>13200</v>
      </c>
      <c r="S2212" s="6" t="s">
        <v>67</v>
      </c>
      <c r="T2212" s="6">
        <v>6603.0</v>
      </c>
    </row>
    <row r="2213" ht="56.25" customHeight="1">
      <c r="A2213" s="5" t="s">
        <v>13190</v>
      </c>
      <c r="B2213" s="6" t="str">
        <f>image("https://storage.googleapis.com/acdb/photos/BromideNpcNmlMus17_Remake_3_0.png")</f>
        <v/>
      </c>
      <c r="C2213" s="5" t="s">
        <v>57</v>
      </c>
      <c r="D2213" s="5" t="s">
        <v>1327</v>
      </c>
      <c r="E2213" s="5" t="s">
        <v>34</v>
      </c>
      <c r="F2213" s="5" t="s">
        <v>34</v>
      </c>
      <c r="G2213" s="5" t="s">
        <v>36</v>
      </c>
      <c r="H2213" s="5" t="s">
        <v>35</v>
      </c>
      <c r="I2213" s="6">
        <v>1.0</v>
      </c>
      <c r="J2213" s="6" t="s">
        <v>37</v>
      </c>
      <c r="K2213" s="6">
        <v>10.0</v>
      </c>
      <c r="L2213" s="5"/>
      <c r="M2213" s="5"/>
      <c r="N2213" s="6" t="s">
        <v>40</v>
      </c>
      <c r="O2213" s="5" t="s">
        <v>5363</v>
      </c>
      <c r="P2213" s="6" t="s">
        <v>42</v>
      </c>
      <c r="Q2213" s="5" t="s">
        <v>1237</v>
      </c>
      <c r="R2213" s="5" t="s">
        <v>13204</v>
      </c>
      <c r="S2213" s="6" t="s">
        <v>71</v>
      </c>
      <c r="T2213" s="6">
        <v>6603.0</v>
      </c>
    </row>
    <row r="2214" ht="56.25" customHeight="1">
      <c r="A2214" s="5" t="s">
        <v>13190</v>
      </c>
      <c r="B2214" s="6" t="str">
        <f>image("https://storage.googleapis.com/acdb/photos/BromideNpcNmlMus17_Remake_4_0.png")</f>
        <v/>
      </c>
      <c r="C2214" s="5" t="s">
        <v>1167</v>
      </c>
      <c r="D2214" s="5" t="s">
        <v>1327</v>
      </c>
      <c r="E2214" s="5" t="s">
        <v>34</v>
      </c>
      <c r="F2214" s="5" t="s">
        <v>34</v>
      </c>
      <c r="G2214" s="5" t="s">
        <v>36</v>
      </c>
      <c r="H2214" s="5" t="s">
        <v>35</v>
      </c>
      <c r="I2214" s="6">
        <v>1.0</v>
      </c>
      <c r="J2214" s="6" t="s">
        <v>37</v>
      </c>
      <c r="K2214" s="6">
        <v>10.0</v>
      </c>
      <c r="L2214" s="5"/>
      <c r="M2214" s="5"/>
      <c r="N2214" s="6" t="s">
        <v>40</v>
      </c>
      <c r="O2214" s="5" t="s">
        <v>5363</v>
      </c>
      <c r="P2214" s="6" t="s">
        <v>42</v>
      </c>
      <c r="Q2214" s="5" t="s">
        <v>1237</v>
      </c>
      <c r="R2214" s="5" t="s">
        <v>13207</v>
      </c>
      <c r="S2214" s="6" t="s">
        <v>75</v>
      </c>
      <c r="T2214" s="6">
        <v>6603.0</v>
      </c>
    </row>
    <row r="2215" ht="56.25" customHeight="1">
      <c r="A2215" s="5" t="s">
        <v>13190</v>
      </c>
      <c r="B2215" s="6" t="str">
        <f>image("https://storage.googleapis.com/acdb/photos/BromideNpcNmlMus17_Remake_5_0.png")</f>
        <v/>
      </c>
      <c r="C2215" s="5" t="s">
        <v>58</v>
      </c>
      <c r="D2215" s="5" t="s">
        <v>1327</v>
      </c>
      <c r="E2215" s="5" t="s">
        <v>34</v>
      </c>
      <c r="F2215" s="5" t="s">
        <v>34</v>
      </c>
      <c r="G2215" s="5" t="s">
        <v>36</v>
      </c>
      <c r="H2215" s="5" t="s">
        <v>35</v>
      </c>
      <c r="I2215" s="6">
        <v>1.0</v>
      </c>
      <c r="J2215" s="6" t="s">
        <v>37</v>
      </c>
      <c r="K2215" s="6">
        <v>10.0</v>
      </c>
      <c r="L2215" s="5"/>
      <c r="M2215" s="5"/>
      <c r="N2215" s="6" t="s">
        <v>40</v>
      </c>
      <c r="O2215" s="5" t="s">
        <v>5363</v>
      </c>
      <c r="P2215" s="6" t="s">
        <v>42</v>
      </c>
      <c r="Q2215" s="5" t="s">
        <v>1237</v>
      </c>
      <c r="R2215" s="5" t="s">
        <v>13210</v>
      </c>
      <c r="S2215" s="6" t="s">
        <v>79</v>
      </c>
      <c r="T2215" s="6">
        <v>6603.0</v>
      </c>
    </row>
    <row r="2216" ht="56.25" customHeight="1">
      <c r="A2216" s="5" t="s">
        <v>13190</v>
      </c>
      <c r="B2216" s="6" t="str">
        <f>image("https://storage.googleapis.com/acdb/photos/BromideNpcNmlMus17_Remake_6_0.png")</f>
        <v/>
      </c>
      <c r="C2216" s="5" t="s">
        <v>146</v>
      </c>
      <c r="D2216" s="5" t="s">
        <v>1327</v>
      </c>
      <c r="E2216" s="5" t="s">
        <v>34</v>
      </c>
      <c r="F2216" s="5" t="s">
        <v>34</v>
      </c>
      <c r="G2216" s="5" t="s">
        <v>36</v>
      </c>
      <c r="H2216" s="5" t="s">
        <v>35</v>
      </c>
      <c r="I2216" s="6">
        <v>1.0</v>
      </c>
      <c r="J2216" s="6" t="s">
        <v>37</v>
      </c>
      <c r="K2216" s="6">
        <v>10.0</v>
      </c>
      <c r="L2216" s="5"/>
      <c r="M2216" s="5"/>
      <c r="N2216" s="6" t="s">
        <v>40</v>
      </c>
      <c r="O2216" s="5" t="s">
        <v>5363</v>
      </c>
      <c r="P2216" s="6" t="s">
        <v>42</v>
      </c>
      <c r="Q2216" s="5" t="s">
        <v>1237</v>
      </c>
      <c r="R2216" s="5" t="s">
        <v>13214</v>
      </c>
      <c r="S2216" s="6" t="s">
        <v>86</v>
      </c>
      <c r="T2216" s="6">
        <v>6603.0</v>
      </c>
    </row>
    <row r="2217" ht="56.25" customHeight="1">
      <c r="A2217" s="5" t="s">
        <v>13190</v>
      </c>
      <c r="B2217" s="6" t="str">
        <f>image("https://storage.googleapis.com/acdb/photos/BromideNpcNmlMus17_Remake_7_0.png")</f>
        <v/>
      </c>
      <c r="C2217" s="5" t="s">
        <v>151</v>
      </c>
      <c r="D2217" s="5" t="s">
        <v>1327</v>
      </c>
      <c r="E2217" s="5" t="s">
        <v>34</v>
      </c>
      <c r="F2217" s="5" t="s">
        <v>34</v>
      </c>
      <c r="G2217" s="5" t="s">
        <v>36</v>
      </c>
      <c r="H2217" s="5" t="s">
        <v>35</v>
      </c>
      <c r="I2217" s="6">
        <v>1.0</v>
      </c>
      <c r="J2217" s="6" t="s">
        <v>37</v>
      </c>
      <c r="K2217" s="6">
        <v>10.0</v>
      </c>
      <c r="L2217" s="5"/>
      <c r="M2217" s="5"/>
      <c r="N2217" s="6" t="s">
        <v>40</v>
      </c>
      <c r="O2217" s="5" t="s">
        <v>5363</v>
      </c>
      <c r="P2217" s="6" t="s">
        <v>42</v>
      </c>
      <c r="Q2217" s="5" t="s">
        <v>1237</v>
      </c>
      <c r="R2217" s="5" t="s">
        <v>13218</v>
      </c>
      <c r="S2217" s="6" t="s">
        <v>208</v>
      </c>
      <c r="T2217" s="6">
        <v>6603.0</v>
      </c>
    </row>
    <row r="2218" ht="56.25" customHeight="1">
      <c r="A2218" s="5" t="s">
        <v>13219</v>
      </c>
      <c r="B2218" s="6" t="str">
        <f>image("https://storage.googleapis.com/acdb/photos/BromideNpcNmlOst07_Remake_0_0.png")</f>
        <v/>
      </c>
      <c r="C2218" s="5" t="s">
        <v>366</v>
      </c>
      <c r="D2218" s="5" t="s">
        <v>1327</v>
      </c>
      <c r="E2218" s="5" t="s">
        <v>34</v>
      </c>
      <c r="F2218" s="5" t="s">
        <v>34</v>
      </c>
      <c r="G2218" s="5" t="s">
        <v>36</v>
      </c>
      <c r="H2218" s="5" t="s">
        <v>35</v>
      </c>
      <c r="I2218" s="6">
        <v>1.0</v>
      </c>
      <c r="J2218" s="6" t="s">
        <v>37</v>
      </c>
      <c r="K2218" s="6">
        <v>10.0</v>
      </c>
      <c r="L2218" s="5"/>
      <c r="M2218" s="5"/>
      <c r="N2218" s="6" t="s">
        <v>40</v>
      </c>
      <c r="O2218" s="5" t="s">
        <v>5363</v>
      </c>
      <c r="P2218" s="6" t="s">
        <v>42</v>
      </c>
      <c r="Q2218" s="5" t="s">
        <v>1237</v>
      </c>
      <c r="R2218" s="5" t="s">
        <v>13222</v>
      </c>
      <c r="S2218" s="6" t="s">
        <v>50</v>
      </c>
      <c r="T2218" s="6">
        <v>6616.0</v>
      </c>
    </row>
    <row r="2219" ht="56.25" customHeight="1">
      <c r="A2219" s="5" t="s">
        <v>13219</v>
      </c>
      <c r="B2219" s="6" t="str">
        <f>image("https://storage.googleapis.com/acdb/photos/BromideNpcNmlOst07_Remake_1_0.png")</f>
        <v/>
      </c>
      <c r="C2219" s="5" t="s">
        <v>1132</v>
      </c>
      <c r="D2219" s="5" t="s">
        <v>1327</v>
      </c>
      <c r="E2219" s="5" t="s">
        <v>34</v>
      </c>
      <c r="F2219" s="5" t="s">
        <v>34</v>
      </c>
      <c r="G2219" s="5" t="s">
        <v>36</v>
      </c>
      <c r="H2219" s="5" t="s">
        <v>35</v>
      </c>
      <c r="I2219" s="6">
        <v>1.0</v>
      </c>
      <c r="J2219" s="6" t="s">
        <v>37</v>
      </c>
      <c r="K2219" s="6">
        <v>10.0</v>
      </c>
      <c r="L2219" s="5"/>
      <c r="M2219" s="5"/>
      <c r="N2219" s="6" t="s">
        <v>40</v>
      </c>
      <c r="O2219" s="5" t="s">
        <v>5363</v>
      </c>
      <c r="P2219" s="6" t="s">
        <v>42</v>
      </c>
      <c r="Q2219" s="5" t="s">
        <v>1237</v>
      </c>
      <c r="R2219" s="5" t="s">
        <v>13224</v>
      </c>
      <c r="S2219" s="6" t="s">
        <v>56</v>
      </c>
      <c r="T2219" s="6">
        <v>6616.0</v>
      </c>
    </row>
    <row r="2220" ht="56.25" customHeight="1">
      <c r="A2220" s="5" t="s">
        <v>13219</v>
      </c>
      <c r="B2220" s="6" t="str">
        <f>image("https://storage.googleapis.com/acdb/photos/BromideNpcNmlOst07_Remake_2_0.png")</f>
        <v/>
      </c>
      <c r="C2220" s="5" t="s">
        <v>688</v>
      </c>
      <c r="D2220" s="5" t="s">
        <v>1327</v>
      </c>
      <c r="E2220" s="5" t="s">
        <v>34</v>
      </c>
      <c r="F2220" s="5" t="s">
        <v>34</v>
      </c>
      <c r="G2220" s="5" t="s">
        <v>36</v>
      </c>
      <c r="H2220" s="5" t="s">
        <v>35</v>
      </c>
      <c r="I2220" s="6">
        <v>1.0</v>
      </c>
      <c r="J2220" s="6" t="s">
        <v>37</v>
      </c>
      <c r="K2220" s="6">
        <v>10.0</v>
      </c>
      <c r="L2220" s="5"/>
      <c r="M2220" s="5"/>
      <c r="N2220" s="6" t="s">
        <v>40</v>
      </c>
      <c r="O2220" s="5" t="s">
        <v>5363</v>
      </c>
      <c r="P2220" s="6" t="s">
        <v>42</v>
      </c>
      <c r="Q2220" s="5" t="s">
        <v>1237</v>
      </c>
      <c r="R2220" s="5" t="s">
        <v>13227</v>
      </c>
      <c r="S2220" s="6" t="s">
        <v>67</v>
      </c>
      <c r="T2220" s="6">
        <v>6616.0</v>
      </c>
    </row>
    <row r="2221" ht="56.25" customHeight="1">
      <c r="A2221" s="5" t="s">
        <v>13219</v>
      </c>
      <c r="B2221" s="6" t="str">
        <f>image("https://storage.googleapis.com/acdb/photos/BromideNpcNmlOst07_Remake_3_0.png")</f>
        <v/>
      </c>
      <c r="C2221" s="5" t="s">
        <v>57</v>
      </c>
      <c r="D2221" s="5" t="s">
        <v>1327</v>
      </c>
      <c r="E2221" s="5" t="s">
        <v>34</v>
      </c>
      <c r="F2221" s="5" t="s">
        <v>34</v>
      </c>
      <c r="G2221" s="5" t="s">
        <v>36</v>
      </c>
      <c r="H2221" s="5" t="s">
        <v>35</v>
      </c>
      <c r="I2221" s="6">
        <v>1.0</v>
      </c>
      <c r="J2221" s="6" t="s">
        <v>37</v>
      </c>
      <c r="K2221" s="6">
        <v>10.0</v>
      </c>
      <c r="L2221" s="5"/>
      <c r="M2221" s="5"/>
      <c r="N2221" s="6" t="s">
        <v>40</v>
      </c>
      <c r="O2221" s="5" t="s">
        <v>5363</v>
      </c>
      <c r="P2221" s="6" t="s">
        <v>42</v>
      </c>
      <c r="Q2221" s="5" t="s">
        <v>1237</v>
      </c>
      <c r="R2221" s="5" t="s">
        <v>13233</v>
      </c>
      <c r="S2221" s="6" t="s">
        <v>71</v>
      </c>
      <c r="T2221" s="6">
        <v>6616.0</v>
      </c>
    </row>
    <row r="2222" ht="56.25" customHeight="1">
      <c r="A2222" s="5" t="s">
        <v>13219</v>
      </c>
      <c r="B2222" s="6" t="str">
        <f>image("https://storage.googleapis.com/acdb/photos/BromideNpcNmlOst07_Remake_4_0.png")</f>
        <v/>
      </c>
      <c r="C2222" s="5" t="s">
        <v>1167</v>
      </c>
      <c r="D2222" s="5" t="s">
        <v>1327</v>
      </c>
      <c r="E2222" s="5" t="s">
        <v>34</v>
      </c>
      <c r="F2222" s="5" t="s">
        <v>34</v>
      </c>
      <c r="G2222" s="5" t="s">
        <v>36</v>
      </c>
      <c r="H2222" s="5" t="s">
        <v>35</v>
      </c>
      <c r="I2222" s="6">
        <v>1.0</v>
      </c>
      <c r="J2222" s="6" t="s">
        <v>37</v>
      </c>
      <c r="K2222" s="6">
        <v>10.0</v>
      </c>
      <c r="L2222" s="5"/>
      <c r="M2222" s="5"/>
      <c r="N2222" s="6" t="s">
        <v>40</v>
      </c>
      <c r="O2222" s="5" t="s">
        <v>5363</v>
      </c>
      <c r="P2222" s="6" t="s">
        <v>42</v>
      </c>
      <c r="Q2222" s="5" t="s">
        <v>1237</v>
      </c>
      <c r="R2222" s="5" t="s">
        <v>13237</v>
      </c>
      <c r="S2222" s="6" t="s">
        <v>75</v>
      </c>
      <c r="T2222" s="6">
        <v>6616.0</v>
      </c>
    </row>
    <row r="2223" ht="56.25" customHeight="1">
      <c r="A2223" s="5" t="s">
        <v>13219</v>
      </c>
      <c r="B2223" s="6" t="str">
        <f>image("https://storage.googleapis.com/acdb/photos/BromideNpcNmlOst07_Remake_5_0.png")</f>
        <v/>
      </c>
      <c r="C2223" s="5" t="s">
        <v>58</v>
      </c>
      <c r="D2223" s="5" t="s">
        <v>1327</v>
      </c>
      <c r="E2223" s="5" t="s">
        <v>34</v>
      </c>
      <c r="F2223" s="5" t="s">
        <v>34</v>
      </c>
      <c r="G2223" s="5" t="s">
        <v>36</v>
      </c>
      <c r="H2223" s="5" t="s">
        <v>35</v>
      </c>
      <c r="I2223" s="6">
        <v>1.0</v>
      </c>
      <c r="J2223" s="6" t="s">
        <v>37</v>
      </c>
      <c r="K2223" s="6">
        <v>10.0</v>
      </c>
      <c r="L2223" s="5"/>
      <c r="M2223" s="5"/>
      <c r="N2223" s="6" t="s">
        <v>40</v>
      </c>
      <c r="O2223" s="5" t="s">
        <v>5363</v>
      </c>
      <c r="P2223" s="6" t="s">
        <v>42</v>
      </c>
      <c r="Q2223" s="5" t="s">
        <v>1237</v>
      </c>
      <c r="R2223" s="5" t="s">
        <v>13239</v>
      </c>
      <c r="S2223" s="6" t="s">
        <v>79</v>
      </c>
      <c r="T2223" s="6">
        <v>6616.0</v>
      </c>
    </row>
    <row r="2224" ht="56.25" customHeight="1">
      <c r="A2224" s="5" t="s">
        <v>13219</v>
      </c>
      <c r="B2224" s="6" t="str">
        <f>image("https://storage.googleapis.com/acdb/photos/BromideNpcNmlOst07_Remake_6_0.png")</f>
        <v/>
      </c>
      <c r="C2224" s="5" t="s">
        <v>146</v>
      </c>
      <c r="D2224" s="5" t="s">
        <v>1327</v>
      </c>
      <c r="E2224" s="5" t="s">
        <v>34</v>
      </c>
      <c r="F2224" s="5" t="s">
        <v>34</v>
      </c>
      <c r="G2224" s="5" t="s">
        <v>36</v>
      </c>
      <c r="H2224" s="5" t="s">
        <v>35</v>
      </c>
      <c r="I2224" s="6">
        <v>1.0</v>
      </c>
      <c r="J2224" s="6" t="s">
        <v>37</v>
      </c>
      <c r="K2224" s="6">
        <v>10.0</v>
      </c>
      <c r="L2224" s="5"/>
      <c r="M2224" s="5"/>
      <c r="N2224" s="6" t="s">
        <v>40</v>
      </c>
      <c r="O2224" s="5" t="s">
        <v>5363</v>
      </c>
      <c r="P2224" s="6" t="s">
        <v>42</v>
      </c>
      <c r="Q2224" s="5" t="s">
        <v>1237</v>
      </c>
      <c r="R2224" s="5" t="s">
        <v>13242</v>
      </c>
      <c r="S2224" s="6" t="s">
        <v>86</v>
      </c>
      <c r="T2224" s="6">
        <v>6616.0</v>
      </c>
    </row>
    <row r="2225" ht="56.25" customHeight="1">
      <c r="A2225" s="5" t="s">
        <v>13219</v>
      </c>
      <c r="B2225" s="6" t="str">
        <f>image("https://storage.googleapis.com/acdb/photos/BromideNpcNmlOst07_Remake_7_0.png")</f>
        <v/>
      </c>
      <c r="C2225" s="5" t="s">
        <v>151</v>
      </c>
      <c r="D2225" s="5" t="s">
        <v>1327</v>
      </c>
      <c r="E2225" s="5" t="s">
        <v>34</v>
      </c>
      <c r="F2225" s="5" t="s">
        <v>34</v>
      </c>
      <c r="G2225" s="5" t="s">
        <v>36</v>
      </c>
      <c r="H2225" s="5" t="s">
        <v>35</v>
      </c>
      <c r="I2225" s="6">
        <v>1.0</v>
      </c>
      <c r="J2225" s="6" t="s">
        <v>37</v>
      </c>
      <c r="K2225" s="6">
        <v>10.0</v>
      </c>
      <c r="L2225" s="5"/>
      <c r="M2225" s="5"/>
      <c r="N2225" s="6" t="s">
        <v>40</v>
      </c>
      <c r="O2225" s="5" t="s">
        <v>5363</v>
      </c>
      <c r="P2225" s="6" t="s">
        <v>42</v>
      </c>
      <c r="Q2225" s="5" t="s">
        <v>1237</v>
      </c>
      <c r="R2225" s="5" t="s">
        <v>13246</v>
      </c>
      <c r="S2225" s="6" t="s">
        <v>208</v>
      </c>
      <c r="T2225" s="6">
        <v>6616.0</v>
      </c>
    </row>
    <row r="2226" ht="56.25" customHeight="1">
      <c r="A2226" s="5" t="s">
        <v>13247</v>
      </c>
      <c r="B2226" s="6" t="str">
        <f>image("https://storage.googleapis.com/acdb/photos/BromideNpcNmlOst10_Remake_0_0.png")</f>
        <v/>
      </c>
      <c r="C2226" s="5" t="s">
        <v>366</v>
      </c>
      <c r="D2226" s="5" t="s">
        <v>1327</v>
      </c>
      <c r="E2226" s="5" t="s">
        <v>34</v>
      </c>
      <c r="F2226" s="5" t="s">
        <v>34</v>
      </c>
      <c r="G2226" s="5" t="s">
        <v>36</v>
      </c>
      <c r="H2226" s="5" t="s">
        <v>35</v>
      </c>
      <c r="I2226" s="6">
        <v>1.0</v>
      </c>
      <c r="J2226" s="6" t="s">
        <v>37</v>
      </c>
      <c r="K2226" s="6">
        <v>10.0</v>
      </c>
      <c r="L2226" s="5"/>
      <c r="M2226" s="5"/>
      <c r="N2226" s="6" t="s">
        <v>40</v>
      </c>
      <c r="O2226" s="5" t="s">
        <v>5363</v>
      </c>
      <c r="P2226" s="6" t="s">
        <v>42</v>
      </c>
      <c r="Q2226" s="5" t="s">
        <v>1237</v>
      </c>
      <c r="R2226" s="5" t="s">
        <v>13249</v>
      </c>
      <c r="S2226" s="6" t="s">
        <v>50</v>
      </c>
      <c r="T2226" s="6">
        <v>6619.0</v>
      </c>
    </row>
    <row r="2227" ht="56.25" customHeight="1">
      <c r="A2227" s="5" t="s">
        <v>13247</v>
      </c>
      <c r="B2227" s="6" t="str">
        <f>image("https://storage.googleapis.com/acdb/photos/BromideNpcNmlOst10_Remake_1_0.png")</f>
        <v/>
      </c>
      <c r="C2227" s="5" t="s">
        <v>1132</v>
      </c>
      <c r="D2227" s="5" t="s">
        <v>1327</v>
      </c>
      <c r="E2227" s="5" t="s">
        <v>34</v>
      </c>
      <c r="F2227" s="5" t="s">
        <v>34</v>
      </c>
      <c r="G2227" s="5" t="s">
        <v>36</v>
      </c>
      <c r="H2227" s="5" t="s">
        <v>35</v>
      </c>
      <c r="I2227" s="6">
        <v>1.0</v>
      </c>
      <c r="J2227" s="6" t="s">
        <v>37</v>
      </c>
      <c r="K2227" s="6">
        <v>10.0</v>
      </c>
      <c r="L2227" s="5"/>
      <c r="M2227" s="5"/>
      <c r="N2227" s="6" t="s">
        <v>40</v>
      </c>
      <c r="O2227" s="5" t="s">
        <v>5363</v>
      </c>
      <c r="P2227" s="6" t="s">
        <v>42</v>
      </c>
      <c r="Q2227" s="5" t="s">
        <v>1237</v>
      </c>
      <c r="R2227" s="5" t="s">
        <v>13253</v>
      </c>
      <c r="S2227" s="6" t="s">
        <v>56</v>
      </c>
      <c r="T2227" s="6">
        <v>6619.0</v>
      </c>
    </row>
    <row r="2228" ht="56.25" customHeight="1">
      <c r="A2228" s="5" t="s">
        <v>13247</v>
      </c>
      <c r="B2228" s="6" t="str">
        <f>image("https://storage.googleapis.com/acdb/photos/BromideNpcNmlOst10_Remake_2_0.png")</f>
        <v/>
      </c>
      <c r="C2228" s="5" t="s">
        <v>688</v>
      </c>
      <c r="D2228" s="5" t="s">
        <v>1327</v>
      </c>
      <c r="E2228" s="5" t="s">
        <v>34</v>
      </c>
      <c r="F2228" s="5" t="s">
        <v>34</v>
      </c>
      <c r="G2228" s="5" t="s">
        <v>36</v>
      </c>
      <c r="H2228" s="5" t="s">
        <v>35</v>
      </c>
      <c r="I2228" s="6">
        <v>1.0</v>
      </c>
      <c r="J2228" s="6" t="s">
        <v>37</v>
      </c>
      <c r="K2228" s="6">
        <v>10.0</v>
      </c>
      <c r="L2228" s="5"/>
      <c r="M2228" s="5"/>
      <c r="N2228" s="6" t="s">
        <v>40</v>
      </c>
      <c r="O2228" s="5" t="s">
        <v>5363</v>
      </c>
      <c r="P2228" s="6" t="s">
        <v>42</v>
      </c>
      <c r="Q2228" s="5" t="s">
        <v>1237</v>
      </c>
      <c r="R2228" s="5" t="s">
        <v>13255</v>
      </c>
      <c r="S2228" s="6" t="s">
        <v>67</v>
      </c>
      <c r="T2228" s="6">
        <v>6619.0</v>
      </c>
    </row>
    <row r="2229" ht="56.25" customHeight="1">
      <c r="A2229" s="5" t="s">
        <v>13247</v>
      </c>
      <c r="B2229" s="6" t="str">
        <f>image("https://storage.googleapis.com/acdb/photos/BromideNpcNmlOst10_Remake_3_0.png")</f>
        <v/>
      </c>
      <c r="C2229" s="5" t="s">
        <v>57</v>
      </c>
      <c r="D2229" s="5" t="s">
        <v>1327</v>
      </c>
      <c r="E2229" s="5" t="s">
        <v>34</v>
      </c>
      <c r="F2229" s="5" t="s">
        <v>34</v>
      </c>
      <c r="G2229" s="5" t="s">
        <v>36</v>
      </c>
      <c r="H2229" s="5" t="s">
        <v>35</v>
      </c>
      <c r="I2229" s="6">
        <v>1.0</v>
      </c>
      <c r="J2229" s="6" t="s">
        <v>37</v>
      </c>
      <c r="K2229" s="6">
        <v>10.0</v>
      </c>
      <c r="L2229" s="5"/>
      <c r="M2229" s="5"/>
      <c r="N2229" s="6" t="s">
        <v>40</v>
      </c>
      <c r="O2229" s="5" t="s">
        <v>5363</v>
      </c>
      <c r="P2229" s="6" t="s">
        <v>42</v>
      </c>
      <c r="Q2229" s="5" t="s">
        <v>1237</v>
      </c>
      <c r="R2229" s="5" t="s">
        <v>13259</v>
      </c>
      <c r="S2229" s="6" t="s">
        <v>71</v>
      </c>
      <c r="T2229" s="6">
        <v>6619.0</v>
      </c>
    </row>
    <row r="2230" ht="56.25" customHeight="1">
      <c r="A2230" s="5" t="s">
        <v>13247</v>
      </c>
      <c r="B2230" s="6" t="str">
        <f>image("https://storage.googleapis.com/acdb/photos/BromideNpcNmlOst10_Remake_4_0.png")</f>
        <v/>
      </c>
      <c r="C2230" s="5" t="s">
        <v>1167</v>
      </c>
      <c r="D2230" s="5" t="s">
        <v>1327</v>
      </c>
      <c r="E2230" s="5" t="s">
        <v>34</v>
      </c>
      <c r="F2230" s="5" t="s">
        <v>34</v>
      </c>
      <c r="G2230" s="5" t="s">
        <v>36</v>
      </c>
      <c r="H2230" s="5" t="s">
        <v>35</v>
      </c>
      <c r="I2230" s="6">
        <v>1.0</v>
      </c>
      <c r="J2230" s="6" t="s">
        <v>37</v>
      </c>
      <c r="K2230" s="6">
        <v>10.0</v>
      </c>
      <c r="L2230" s="5"/>
      <c r="M2230" s="5"/>
      <c r="N2230" s="6" t="s">
        <v>40</v>
      </c>
      <c r="O2230" s="5" t="s">
        <v>5363</v>
      </c>
      <c r="P2230" s="6" t="s">
        <v>42</v>
      </c>
      <c r="Q2230" s="5" t="s">
        <v>1237</v>
      </c>
      <c r="R2230" s="5" t="s">
        <v>13261</v>
      </c>
      <c r="S2230" s="6" t="s">
        <v>75</v>
      </c>
      <c r="T2230" s="6">
        <v>6619.0</v>
      </c>
    </row>
    <row r="2231" ht="56.25" customHeight="1">
      <c r="A2231" s="5" t="s">
        <v>13247</v>
      </c>
      <c r="B2231" s="6" t="str">
        <f>image("https://storage.googleapis.com/acdb/photos/BromideNpcNmlOst10_Remake_5_0.png")</f>
        <v/>
      </c>
      <c r="C2231" s="5" t="s">
        <v>58</v>
      </c>
      <c r="D2231" s="5" t="s">
        <v>1327</v>
      </c>
      <c r="E2231" s="5" t="s">
        <v>34</v>
      </c>
      <c r="F2231" s="5" t="s">
        <v>34</v>
      </c>
      <c r="G2231" s="5" t="s">
        <v>36</v>
      </c>
      <c r="H2231" s="5" t="s">
        <v>35</v>
      </c>
      <c r="I2231" s="6">
        <v>1.0</v>
      </c>
      <c r="J2231" s="6" t="s">
        <v>37</v>
      </c>
      <c r="K2231" s="6">
        <v>10.0</v>
      </c>
      <c r="L2231" s="5"/>
      <c r="M2231" s="5"/>
      <c r="N2231" s="6" t="s">
        <v>40</v>
      </c>
      <c r="O2231" s="5" t="s">
        <v>5363</v>
      </c>
      <c r="P2231" s="6" t="s">
        <v>42</v>
      </c>
      <c r="Q2231" s="5" t="s">
        <v>1237</v>
      </c>
      <c r="R2231" s="5" t="s">
        <v>13264</v>
      </c>
      <c r="S2231" s="6" t="s">
        <v>79</v>
      </c>
      <c r="T2231" s="6">
        <v>6619.0</v>
      </c>
    </row>
    <row r="2232" ht="56.25" customHeight="1">
      <c r="A2232" s="5" t="s">
        <v>13247</v>
      </c>
      <c r="B2232" s="6" t="str">
        <f>image("https://storage.googleapis.com/acdb/photos/BromideNpcNmlOst10_Remake_6_0.png")</f>
        <v/>
      </c>
      <c r="C2232" s="5" t="s">
        <v>146</v>
      </c>
      <c r="D2232" s="5" t="s">
        <v>1327</v>
      </c>
      <c r="E2232" s="5" t="s">
        <v>34</v>
      </c>
      <c r="F2232" s="5" t="s">
        <v>34</v>
      </c>
      <c r="G2232" s="5" t="s">
        <v>36</v>
      </c>
      <c r="H2232" s="5" t="s">
        <v>35</v>
      </c>
      <c r="I2232" s="6">
        <v>1.0</v>
      </c>
      <c r="J2232" s="6" t="s">
        <v>37</v>
      </c>
      <c r="K2232" s="6">
        <v>10.0</v>
      </c>
      <c r="L2232" s="5"/>
      <c r="M2232" s="5"/>
      <c r="N2232" s="6" t="s">
        <v>40</v>
      </c>
      <c r="O2232" s="5" t="s">
        <v>5363</v>
      </c>
      <c r="P2232" s="6" t="s">
        <v>42</v>
      </c>
      <c r="Q2232" s="5" t="s">
        <v>1237</v>
      </c>
      <c r="R2232" s="5" t="s">
        <v>13267</v>
      </c>
      <c r="S2232" s="6" t="s">
        <v>86</v>
      </c>
      <c r="T2232" s="6">
        <v>6619.0</v>
      </c>
    </row>
    <row r="2233" ht="56.25" customHeight="1">
      <c r="A2233" s="5" t="s">
        <v>13247</v>
      </c>
      <c r="B2233" s="6" t="str">
        <f>image("https://storage.googleapis.com/acdb/photos/BromideNpcNmlOst10_Remake_7_0.png")</f>
        <v/>
      </c>
      <c r="C2233" s="5" t="s">
        <v>151</v>
      </c>
      <c r="D2233" s="5" t="s">
        <v>1327</v>
      </c>
      <c r="E2233" s="5" t="s">
        <v>34</v>
      </c>
      <c r="F2233" s="5" t="s">
        <v>34</v>
      </c>
      <c r="G2233" s="5" t="s">
        <v>36</v>
      </c>
      <c r="H2233" s="5" t="s">
        <v>35</v>
      </c>
      <c r="I2233" s="6">
        <v>1.0</v>
      </c>
      <c r="J2233" s="6" t="s">
        <v>37</v>
      </c>
      <c r="K2233" s="6">
        <v>10.0</v>
      </c>
      <c r="L2233" s="5"/>
      <c r="M2233" s="5"/>
      <c r="N2233" s="6" t="s">
        <v>40</v>
      </c>
      <c r="O2233" s="5" t="s">
        <v>5363</v>
      </c>
      <c r="P2233" s="6" t="s">
        <v>42</v>
      </c>
      <c r="Q2233" s="5" t="s">
        <v>1237</v>
      </c>
      <c r="R2233" s="5" t="s">
        <v>13269</v>
      </c>
      <c r="S2233" s="6" t="s">
        <v>208</v>
      </c>
      <c r="T2233" s="6">
        <v>6619.0</v>
      </c>
    </row>
    <row r="2234" ht="56.25" customHeight="1">
      <c r="A2234" s="5" t="s">
        <v>13270</v>
      </c>
      <c r="B2234" s="6" t="str">
        <f>image("https://storage.googleapis.com/acdb/photos/BromideNpcNmlPbr02_Remake_0_0.png")</f>
        <v/>
      </c>
      <c r="C2234" s="5" t="s">
        <v>366</v>
      </c>
      <c r="D2234" s="5" t="s">
        <v>1327</v>
      </c>
      <c r="E2234" s="5" t="s">
        <v>34</v>
      </c>
      <c r="F2234" s="5" t="s">
        <v>34</v>
      </c>
      <c r="G2234" s="5" t="s">
        <v>36</v>
      </c>
      <c r="H2234" s="5" t="s">
        <v>35</v>
      </c>
      <c r="I2234" s="6">
        <v>1.0</v>
      </c>
      <c r="J2234" s="6" t="s">
        <v>37</v>
      </c>
      <c r="K2234" s="6">
        <v>10.0</v>
      </c>
      <c r="L2234" s="5"/>
      <c r="M2234" s="5"/>
      <c r="N2234" s="6" t="s">
        <v>40</v>
      </c>
      <c r="O2234" s="5" t="s">
        <v>5363</v>
      </c>
      <c r="P2234" s="6" t="s">
        <v>42</v>
      </c>
      <c r="Q2234" s="5" t="s">
        <v>1237</v>
      </c>
      <c r="R2234" s="5" t="s">
        <v>13273</v>
      </c>
      <c r="S2234" s="6" t="s">
        <v>50</v>
      </c>
      <c r="T2234" s="6">
        <v>6622.0</v>
      </c>
    </row>
    <row r="2235" ht="56.25" customHeight="1">
      <c r="A2235" s="5" t="s">
        <v>13270</v>
      </c>
      <c r="B2235" s="6" t="str">
        <f>image("https://storage.googleapis.com/acdb/photos/BromideNpcNmlPbr02_Remake_1_0.png")</f>
        <v/>
      </c>
      <c r="C2235" s="5" t="s">
        <v>1132</v>
      </c>
      <c r="D2235" s="5" t="s">
        <v>1327</v>
      </c>
      <c r="E2235" s="5" t="s">
        <v>34</v>
      </c>
      <c r="F2235" s="5" t="s">
        <v>34</v>
      </c>
      <c r="G2235" s="5" t="s">
        <v>36</v>
      </c>
      <c r="H2235" s="5" t="s">
        <v>35</v>
      </c>
      <c r="I2235" s="6">
        <v>1.0</v>
      </c>
      <c r="J2235" s="6" t="s">
        <v>37</v>
      </c>
      <c r="K2235" s="6">
        <v>10.0</v>
      </c>
      <c r="L2235" s="5"/>
      <c r="M2235" s="5"/>
      <c r="N2235" s="6" t="s">
        <v>40</v>
      </c>
      <c r="O2235" s="5" t="s">
        <v>5363</v>
      </c>
      <c r="P2235" s="6" t="s">
        <v>42</v>
      </c>
      <c r="Q2235" s="5" t="s">
        <v>1237</v>
      </c>
      <c r="R2235" s="5" t="s">
        <v>13280</v>
      </c>
      <c r="S2235" s="6" t="s">
        <v>56</v>
      </c>
      <c r="T2235" s="6">
        <v>6622.0</v>
      </c>
    </row>
    <row r="2236" ht="56.25" customHeight="1">
      <c r="A2236" s="5" t="s">
        <v>13270</v>
      </c>
      <c r="B2236" s="6" t="str">
        <f>image("https://storage.googleapis.com/acdb/photos/BromideNpcNmlPbr02_Remake_2_0.png")</f>
        <v/>
      </c>
      <c r="C2236" s="5" t="s">
        <v>688</v>
      </c>
      <c r="D2236" s="5" t="s">
        <v>1327</v>
      </c>
      <c r="E2236" s="5" t="s">
        <v>34</v>
      </c>
      <c r="F2236" s="5" t="s">
        <v>34</v>
      </c>
      <c r="G2236" s="5" t="s">
        <v>36</v>
      </c>
      <c r="H2236" s="5" t="s">
        <v>35</v>
      </c>
      <c r="I2236" s="6">
        <v>1.0</v>
      </c>
      <c r="J2236" s="6" t="s">
        <v>37</v>
      </c>
      <c r="K2236" s="6">
        <v>10.0</v>
      </c>
      <c r="L2236" s="5"/>
      <c r="M2236" s="5"/>
      <c r="N2236" s="6" t="s">
        <v>40</v>
      </c>
      <c r="O2236" s="5" t="s">
        <v>5363</v>
      </c>
      <c r="P2236" s="6" t="s">
        <v>42</v>
      </c>
      <c r="Q2236" s="5" t="s">
        <v>1237</v>
      </c>
      <c r="R2236" s="5" t="s">
        <v>13283</v>
      </c>
      <c r="S2236" s="6" t="s">
        <v>67</v>
      </c>
      <c r="T2236" s="6">
        <v>6622.0</v>
      </c>
    </row>
    <row r="2237" ht="56.25" customHeight="1">
      <c r="A2237" s="5" t="s">
        <v>13270</v>
      </c>
      <c r="B2237" s="6" t="str">
        <f>image("https://storage.googleapis.com/acdb/photos/BromideNpcNmlPbr02_Remake_3_0.png")</f>
        <v/>
      </c>
      <c r="C2237" s="5" t="s">
        <v>57</v>
      </c>
      <c r="D2237" s="5" t="s">
        <v>1327</v>
      </c>
      <c r="E2237" s="5" t="s">
        <v>34</v>
      </c>
      <c r="F2237" s="5" t="s">
        <v>34</v>
      </c>
      <c r="G2237" s="5" t="s">
        <v>36</v>
      </c>
      <c r="H2237" s="5" t="s">
        <v>35</v>
      </c>
      <c r="I2237" s="6">
        <v>1.0</v>
      </c>
      <c r="J2237" s="6" t="s">
        <v>37</v>
      </c>
      <c r="K2237" s="6">
        <v>10.0</v>
      </c>
      <c r="L2237" s="5"/>
      <c r="M2237" s="5"/>
      <c r="N2237" s="6" t="s">
        <v>40</v>
      </c>
      <c r="O2237" s="5" t="s">
        <v>5363</v>
      </c>
      <c r="P2237" s="6" t="s">
        <v>42</v>
      </c>
      <c r="Q2237" s="5" t="s">
        <v>1237</v>
      </c>
      <c r="R2237" s="5" t="s">
        <v>13289</v>
      </c>
      <c r="S2237" s="6" t="s">
        <v>71</v>
      </c>
      <c r="T2237" s="6">
        <v>6622.0</v>
      </c>
    </row>
    <row r="2238" ht="56.25" customHeight="1">
      <c r="A2238" s="5" t="s">
        <v>13270</v>
      </c>
      <c r="B2238" s="6" t="str">
        <f>image("https://storage.googleapis.com/acdb/photos/BromideNpcNmlPbr02_Remake_4_0.png")</f>
        <v/>
      </c>
      <c r="C2238" s="5" t="s">
        <v>1167</v>
      </c>
      <c r="D2238" s="5" t="s">
        <v>1327</v>
      </c>
      <c r="E2238" s="5" t="s">
        <v>34</v>
      </c>
      <c r="F2238" s="5" t="s">
        <v>34</v>
      </c>
      <c r="G2238" s="5" t="s">
        <v>36</v>
      </c>
      <c r="H2238" s="5" t="s">
        <v>35</v>
      </c>
      <c r="I2238" s="6">
        <v>1.0</v>
      </c>
      <c r="J2238" s="6" t="s">
        <v>37</v>
      </c>
      <c r="K2238" s="6">
        <v>10.0</v>
      </c>
      <c r="L2238" s="5"/>
      <c r="M2238" s="5"/>
      <c r="N2238" s="6" t="s">
        <v>40</v>
      </c>
      <c r="O2238" s="5" t="s">
        <v>5363</v>
      </c>
      <c r="P2238" s="6" t="s">
        <v>42</v>
      </c>
      <c r="Q2238" s="5" t="s">
        <v>1237</v>
      </c>
      <c r="R2238" s="5" t="s">
        <v>13292</v>
      </c>
      <c r="S2238" s="6" t="s">
        <v>75</v>
      </c>
      <c r="T2238" s="6">
        <v>6622.0</v>
      </c>
    </row>
    <row r="2239" ht="56.25" customHeight="1">
      <c r="A2239" s="5" t="s">
        <v>13270</v>
      </c>
      <c r="B2239" s="6" t="str">
        <f>image("https://storage.googleapis.com/acdb/photos/BromideNpcNmlPbr02_Remake_5_0.png")</f>
        <v/>
      </c>
      <c r="C2239" s="5" t="s">
        <v>58</v>
      </c>
      <c r="D2239" s="5" t="s">
        <v>1327</v>
      </c>
      <c r="E2239" s="5" t="s">
        <v>34</v>
      </c>
      <c r="F2239" s="5" t="s">
        <v>34</v>
      </c>
      <c r="G2239" s="5" t="s">
        <v>36</v>
      </c>
      <c r="H2239" s="5" t="s">
        <v>35</v>
      </c>
      <c r="I2239" s="6">
        <v>1.0</v>
      </c>
      <c r="J2239" s="6" t="s">
        <v>37</v>
      </c>
      <c r="K2239" s="6">
        <v>10.0</v>
      </c>
      <c r="L2239" s="5"/>
      <c r="M2239" s="5"/>
      <c r="N2239" s="6" t="s">
        <v>40</v>
      </c>
      <c r="O2239" s="5" t="s">
        <v>5363</v>
      </c>
      <c r="P2239" s="6" t="s">
        <v>42</v>
      </c>
      <c r="Q2239" s="5" t="s">
        <v>1237</v>
      </c>
      <c r="R2239" s="5" t="s">
        <v>13296</v>
      </c>
      <c r="S2239" s="6" t="s">
        <v>79</v>
      </c>
      <c r="T2239" s="6">
        <v>6622.0</v>
      </c>
    </row>
    <row r="2240" ht="56.25" customHeight="1">
      <c r="A2240" s="5" t="s">
        <v>13270</v>
      </c>
      <c r="B2240" s="6" t="str">
        <f>image("https://storage.googleapis.com/acdb/photos/BromideNpcNmlPbr02_Remake_6_0.png")</f>
        <v/>
      </c>
      <c r="C2240" s="5" t="s">
        <v>146</v>
      </c>
      <c r="D2240" s="5" t="s">
        <v>1327</v>
      </c>
      <c r="E2240" s="5" t="s">
        <v>34</v>
      </c>
      <c r="F2240" s="5" t="s">
        <v>34</v>
      </c>
      <c r="G2240" s="5" t="s">
        <v>36</v>
      </c>
      <c r="H2240" s="5" t="s">
        <v>35</v>
      </c>
      <c r="I2240" s="6">
        <v>1.0</v>
      </c>
      <c r="J2240" s="6" t="s">
        <v>37</v>
      </c>
      <c r="K2240" s="6">
        <v>10.0</v>
      </c>
      <c r="L2240" s="5"/>
      <c r="M2240" s="5"/>
      <c r="N2240" s="6" t="s">
        <v>40</v>
      </c>
      <c r="O2240" s="5" t="s">
        <v>5363</v>
      </c>
      <c r="P2240" s="6" t="s">
        <v>42</v>
      </c>
      <c r="Q2240" s="5" t="s">
        <v>1237</v>
      </c>
      <c r="R2240" s="5" t="s">
        <v>13298</v>
      </c>
      <c r="S2240" s="6" t="s">
        <v>86</v>
      </c>
      <c r="T2240" s="6">
        <v>6622.0</v>
      </c>
    </row>
    <row r="2241" ht="56.25" customHeight="1">
      <c r="A2241" s="5" t="s">
        <v>13270</v>
      </c>
      <c r="B2241" s="6" t="str">
        <f>image("https://storage.googleapis.com/acdb/photos/BromideNpcNmlPbr02_Remake_7_0.png")</f>
        <v/>
      </c>
      <c r="C2241" s="5" t="s">
        <v>151</v>
      </c>
      <c r="D2241" s="5" t="s">
        <v>1327</v>
      </c>
      <c r="E2241" s="5" t="s">
        <v>34</v>
      </c>
      <c r="F2241" s="5" t="s">
        <v>34</v>
      </c>
      <c r="G2241" s="5" t="s">
        <v>36</v>
      </c>
      <c r="H2241" s="5" t="s">
        <v>35</v>
      </c>
      <c r="I2241" s="6">
        <v>1.0</v>
      </c>
      <c r="J2241" s="6" t="s">
        <v>37</v>
      </c>
      <c r="K2241" s="6">
        <v>10.0</v>
      </c>
      <c r="L2241" s="5"/>
      <c r="M2241" s="5"/>
      <c r="N2241" s="6" t="s">
        <v>40</v>
      </c>
      <c r="O2241" s="5" t="s">
        <v>5363</v>
      </c>
      <c r="P2241" s="6" t="s">
        <v>42</v>
      </c>
      <c r="Q2241" s="5" t="s">
        <v>1237</v>
      </c>
      <c r="R2241" s="5" t="s">
        <v>13301</v>
      </c>
      <c r="S2241" s="6" t="s">
        <v>208</v>
      </c>
      <c r="T2241" s="6">
        <v>6622.0</v>
      </c>
    </row>
    <row r="2242" ht="56.25" customHeight="1">
      <c r="A2242" s="5" t="s">
        <v>13302</v>
      </c>
      <c r="B2242" s="6" t="str">
        <f>image("https://storage.googleapis.com/acdb/photos/BromideNpcNmlShp13_Remake_0_0.png")</f>
        <v/>
      </c>
      <c r="C2242" s="5" t="s">
        <v>366</v>
      </c>
      <c r="D2242" s="5" t="s">
        <v>1327</v>
      </c>
      <c r="E2242" s="5" t="s">
        <v>34</v>
      </c>
      <c r="F2242" s="5" t="s">
        <v>34</v>
      </c>
      <c r="G2242" s="5" t="s">
        <v>36</v>
      </c>
      <c r="H2242" s="5" t="s">
        <v>35</v>
      </c>
      <c r="I2242" s="6">
        <v>1.0</v>
      </c>
      <c r="J2242" s="6" t="s">
        <v>37</v>
      </c>
      <c r="K2242" s="6">
        <v>10.0</v>
      </c>
      <c r="L2242" s="5"/>
      <c r="M2242" s="5"/>
      <c r="N2242" s="6" t="s">
        <v>40</v>
      </c>
      <c r="O2242" s="5" t="s">
        <v>5363</v>
      </c>
      <c r="P2242" s="6" t="s">
        <v>42</v>
      </c>
      <c r="Q2242" s="5" t="s">
        <v>1237</v>
      </c>
      <c r="R2242" s="5" t="s">
        <v>13304</v>
      </c>
      <c r="S2242" s="6" t="s">
        <v>50</v>
      </c>
      <c r="T2242" s="6">
        <v>6702.0</v>
      </c>
    </row>
    <row r="2243" ht="56.25" customHeight="1">
      <c r="A2243" s="5" t="s">
        <v>13302</v>
      </c>
      <c r="B2243" s="6" t="str">
        <f>image("https://storage.googleapis.com/acdb/photos/BromideNpcNmlShp13_Remake_1_0.png")</f>
        <v/>
      </c>
      <c r="C2243" s="5" t="s">
        <v>1132</v>
      </c>
      <c r="D2243" s="5" t="s">
        <v>1327</v>
      </c>
      <c r="E2243" s="5" t="s">
        <v>34</v>
      </c>
      <c r="F2243" s="5" t="s">
        <v>34</v>
      </c>
      <c r="G2243" s="5" t="s">
        <v>36</v>
      </c>
      <c r="H2243" s="5" t="s">
        <v>35</v>
      </c>
      <c r="I2243" s="6">
        <v>1.0</v>
      </c>
      <c r="J2243" s="6" t="s">
        <v>37</v>
      </c>
      <c r="K2243" s="6">
        <v>10.0</v>
      </c>
      <c r="L2243" s="5"/>
      <c r="M2243" s="5"/>
      <c r="N2243" s="6" t="s">
        <v>40</v>
      </c>
      <c r="O2243" s="5" t="s">
        <v>5363</v>
      </c>
      <c r="P2243" s="6" t="s">
        <v>42</v>
      </c>
      <c r="Q2243" s="5" t="s">
        <v>1237</v>
      </c>
      <c r="R2243" s="5" t="s">
        <v>13309</v>
      </c>
      <c r="S2243" s="6" t="s">
        <v>56</v>
      </c>
      <c r="T2243" s="6">
        <v>6702.0</v>
      </c>
    </row>
    <row r="2244" ht="56.25" customHeight="1">
      <c r="A2244" s="5" t="s">
        <v>13302</v>
      </c>
      <c r="B2244" s="6" t="str">
        <f>image("https://storage.googleapis.com/acdb/photos/BromideNpcNmlShp13_Remake_2_0.png")</f>
        <v/>
      </c>
      <c r="C2244" s="5" t="s">
        <v>688</v>
      </c>
      <c r="D2244" s="5" t="s">
        <v>1327</v>
      </c>
      <c r="E2244" s="5" t="s">
        <v>34</v>
      </c>
      <c r="F2244" s="5" t="s">
        <v>34</v>
      </c>
      <c r="G2244" s="5" t="s">
        <v>36</v>
      </c>
      <c r="H2244" s="5" t="s">
        <v>35</v>
      </c>
      <c r="I2244" s="6">
        <v>1.0</v>
      </c>
      <c r="J2244" s="6" t="s">
        <v>37</v>
      </c>
      <c r="K2244" s="6">
        <v>10.0</v>
      </c>
      <c r="L2244" s="5"/>
      <c r="M2244" s="5"/>
      <c r="N2244" s="6" t="s">
        <v>40</v>
      </c>
      <c r="O2244" s="5" t="s">
        <v>5363</v>
      </c>
      <c r="P2244" s="6" t="s">
        <v>42</v>
      </c>
      <c r="Q2244" s="5" t="s">
        <v>1237</v>
      </c>
      <c r="R2244" s="5" t="s">
        <v>13314</v>
      </c>
      <c r="S2244" s="6" t="s">
        <v>67</v>
      </c>
      <c r="T2244" s="6">
        <v>6702.0</v>
      </c>
    </row>
    <row r="2245" ht="56.25" customHeight="1">
      <c r="A2245" s="5" t="s">
        <v>13302</v>
      </c>
      <c r="B2245" s="6" t="str">
        <f>image("https://storage.googleapis.com/acdb/photos/BromideNpcNmlShp13_Remake_3_0.png")</f>
        <v/>
      </c>
      <c r="C2245" s="5" t="s">
        <v>57</v>
      </c>
      <c r="D2245" s="5" t="s">
        <v>1327</v>
      </c>
      <c r="E2245" s="5" t="s">
        <v>34</v>
      </c>
      <c r="F2245" s="5" t="s">
        <v>34</v>
      </c>
      <c r="G2245" s="5" t="s">
        <v>36</v>
      </c>
      <c r="H2245" s="5" t="s">
        <v>35</v>
      </c>
      <c r="I2245" s="6">
        <v>1.0</v>
      </c>
      <c r="J2245" s="6" t="s">
        <v>37</v>
      </c>
      <c r="K2245" s="6">
        <v>10.0</v>
      </c>
      <c r="L2245" s="5"/>
      <c r="M2245" s="5"/>
      <c r="N2245" s="6" t="s">
        <v>40</v>
      </c>
      <c r="O2245" s="5" t="s">
        <v>5363</v>
      </c>
      <c r="P2245" s="6" t="s">
        <v>42</v>
      </c>
      <c r="Q2245" s="5" t="s">
        <v>1237</v>
      </c>
      <c r="R2245" s="5" t="s">
        <v>13316</v>
      </c>
      <c r="S2245" s="6" t="s">
        <v>71</v>
      </c>
      <c r="T2245" s="6">
        <v>6702.0</v>
      </c>
    </row>
    <row r="2246" ht="56.25" customHeight="1">
      <c r="A2246" s="5" t="s">
        <v>13302</v>
      </c>
      <c r="B2246" s="6" t="str">
        <f>image("https://storage.googleapis.com/acdb/photos/BromideNpcNmlShp13_Remake_4_0.png")</f>
        <v/>
      </c>
      <c r="C2246" s="5" t="s">
        <v>1167</v>
      </c>
      <c r="D2246" s="5" t="s">
        <v>1327</v>
      </c>
      <c r="E2246" s="5" t="s">
        <v>34</v>
      </c>
      <c r="F2246" s="5" t="s">
        <v>34</v>
      </c>
      <c r="G2246" s="5" t="s">
        <v>36</v>
      </c>
      <c r="H2246" s="5" t="s">
        <v>35</v>
      </c>
      <c r="I2246" s="6">
        <v>1.0</v>
      </c>
      <c r="J2246" s="6" t="s">
        <v>37</v>
      </c>
      <c r="K2246" s="6">
        <v>10.0</v>
      </c>
      <c r="L2246" s="5"/>
      <c r="M2246" s="5"/>
      <c r="N2246" s="6" t="s">
        <v>40</v>
      </c>
      <c r="O2246" s="5" t="s">
        <v>5363</v>
      </c>
      <c r="P2246" s="6" t="s">
        <v>42</v>
      </c>
      <c r="Q2246" s="5" t="s">
        <v>1237</v>
      </c>
      <c r="R2246" s="5" t="s">
        <v>13320</v>
      </c>
      <c r="S2246" s="6" t="s">
        <v>75</v>
      </c>
      <c r="T2246" s="6">
        <v>6702.0</v>
      </c>
    </row>
    <row r="2247" ht="56.25" customHeight="1">
      <c r="A2247" s="5" t="s">
        <v>13302</v>
      </c>
      <c r="B2247" s="6" t="str">
        <f>image("https://storage.googleapis.com/acdb/photos/BromideNpcNmlShp13_Remake_5_0.png")</f>
        <v/>
      </c>
      <c r="C2247" s="5" t="s">
        <v>58</v>
      </c>
      <c r="D2247" s="5" t="s">
        <v>1327</v>
      </c>
      <c r="E2247" s="5" t="s">
        <v>34</v>
      </c>
      <c r="F2247" s="5" t="s">
        <v>34</v>
      </c>
      <c r="G2247" s="5" t="s">
        <v>36</v>
      </c>
      <c r="H2247" s="5" t="s">
        <v>35</v>
      </c>
      <c r="I2247" s="6">
        <v>1.0</v>
      </c>
      <c r="J2247" s="6" t="s">
        <v>37</v>
      </c>
      <c r="K2247" s="6">
        <v>10.0</v>
      </c>
      <c r="L2247" s="5"/>
      <c r="M2247" s="5"/>
      <c r="N2247" s="6" t="s">
        <v>40</v>
      </c>
      <c r="O2247" s="5" t="s">
        <v>5363</v>
      </c>
      <c r="P2247" s="6" t="s">
        <v>42</v>
      </c>
      <c r="Q2247" s="5" t="s">
        <v>1237</v>
      </c>
      <c r="R2247" s="5" t="s">
        <v>13325</v>
      </c>
      <c r="S2247" s="6" t="s">
        <v>79</v>
      </c>
      <c r="T2247" s="6">
        <v>6702.0</v>
      </c>
    </row>
    <row r="2248" ht="56.25" customHeight="1">
      <c r="A2248" s="5" t="s">
        <v>13302</v>
      </c>
      <c r="B2248" s="6" t="str">
        <f>image("https://storage.googleapis.com/acdb/photos/BromideNpcNmlShp13_Remake_6_0.png")</f>
        <v/>
      </c>
      <c r="C2248" s="5" t="s">
        <v>146</v>
      </c>
      <c r="D2248" s="5" t="s">
        <v>1327</v>
      </c>
      <c r="E2248" s="5" t="s">
        <v>34</v>
      </c>
      <c r="F2248" s="5" t="s">
        <v>34</v>
      </c>
      <c r="G2248" s="5" t="s">
        <v>36</v>
      </c>
      <c r="H2248" s="5" t="s">
        <v>35</v>
      </c>
      <c r="I2248" s="6">
        <v>1.0</v>
      </c>
      <c r="J2248" s="6" t="s">
        <v>37</v>
      </c>
      <c r="K2248" s="6">
        <v>10.0</v>
      </c>
      <c r="L2248" s="5"/>
      <c r="M2248" s="5"/>
      <c r="N2248" s="6" t="s">
        <v>40</v>
      </c>
      <c r="O2248" s="5" t="s">
        <v>5363</v>
      </c>
      <c r="P2248" s="6" t="s">
        <v>42</v>
      </c>
      <c r="Q2248" s="5" t="s">
        <v>1237</v>
      </c>
      <c r="R2248" s="5" t="s">
        <v>13327</v>
      </c>
      <c r="S2248" s="6" t="s">
        <v>86</v>
      </c>
      <c r="T2248" s="6">
        <v>6702.0</v>
      </c>
    </row>
    <row r="2249" ht="56.25" customHeight="1">
      <c r="A2249" s="5" t="s">
        <v>13302</v>
      </c>
      <c r="B2249" s="6" t="str">
        <f>image("https://storage.googleapis.com/acdb/photos/BromideNpcNmlShp13_Remake_7_0.png")</f>
        <v/>
      </c>
      <c r="C2249" s="5" t="s">
        <v>151</v>
      </c>
      <c r="D2249" s="5" t="s">
        <v>1327</v>
      </c>
      <c r="E2249" s="5" t="s">
        <v>34</v>
      </c>
      <c r="F2249" s="5" t="s">
        <v>34</v>
      </c>
      <c r="G2249" s="5" t="s">
        <v>36</v>
      </c>
      <c r="H2249" s="5" t="s">
        <v>35</v>
      </c>
      <c r="I2249" s="6">
        <v>1.0</v>
      </c>
      <c r="J2249" s="6" t="s">
        <v>37</v>
      </c>
      <c r="K2249" s="6">
        <v>10.0</v>
      </c>
      <c r="L2249" s="5"/>
      <c r="M2249" s="5"/>
      <c r="N2249" s="6" t="s">
        <v>40</v>
      </c>
      <c r="O2249" s="5" t="s">
        <v>5363</v>
      </c>
      <c r="P2249" s="6" t="s">
        <v>42</v>
      </c>
      <c r="Q2249" s="5" t="s">
        <v>1237</v>
      </c>
      <c r="R2249" s="5" t="s">
        <v>13329</v>
      </c>
      <c r="S2249" s="6" t="s">
        <v>208</v>
      </c>
      <c r="T2249" s="6">
        <v>6702.0</v>
      </c>
    </row>
    <row r="2250" ht="56.25" customHeight="1">
      <c r="A2250" s="5" t="s">
        <v>13330</v>
      </c>
      <c r="B2250" s="6" t="str">
        <f>image("https://storage.googleapis.com/acdb/photos/BromideNpcNmlBea01_Remake_0_0.png")</f>
        <v/>
      </c>
      <c r="C2250" s="5" t="s">
        <v>366</v>
      </c>
      <c r="D2250" s="5" t="s">
        <v>1327</v>
      </c>
      <c r="E2250" s="5" t="s">
        <v>34</v>
      </c>
      <c r="F2250" s="5" t="s">
        <v>34</v>
      </c>
      <c r="G2250" s="5" t="s">
        <v>36</v>
      </c>
      <c r="H2250" s="5" t="s">
        <v>35</v>
      </c>
      <c r="I2250" s="6">
        <v>1.0</v>
      </c>
      <c r="J2250" s="6" t="s">
        <v>37</v>
      </c>
      <c r="K2250" s="6">
        <v>10.0</v>
      </c>
      <c r="L2250" s="5"/>
      <c r="M2250" s="5"/>
      <c r="N2250" s="6" t="s">
        <v>40</v>
      </c>
      <c r="O2250" s="5" t="s">
        <v>5363</v>
      </c>
      <c r="P2250" s="6" t="s">
        <v>42</v>
      </c>
      <c r="Q2250" s="5" t="s">
        <v>1237</v>
      </c>
      <c r="R2250" s="5" t="s">
        <v>13334</v>
      </c>
      <c r="S2250" s="6" t="s">
        <v>50</v>
      </c>
      <c r="T2250" s="6">
        <v>6798.0</v>
      </c>
    </row>
    <row r="2251" ht="56.25" customHeight="1">
      <c r="A2251" s="5" t="s">
        <v>13330</v>
      </c>
      <c r="B2251" s="6" t="str">
        <f>image("https://storage.googleapis.com/acdb/photos/BromideNpcNmlBea01_Remake_1_0.png")</f>
        <v/>
      </c>
      <c r="C2251" s="5" t="s">
        <v>1132</v>
      </c>
      <c r="D2251" s="5" t="s">
        <v>1327</v>
      </c>
      <c r="E2251" s="5" t="s">
        <v>34</v>
      </c>
      <c r="F2251" s="5" t="s">
        <v>34</v>
      </c>
      <c r="G2251" s="5" t="s">
        <v>36</v>
      </c>
      <c r="H2251" s="5" t="s">
        <v>35</v>
      </c>
      <c r="I2251" s="6">
        <v>1.0</v>
      </c>
      <c r="J2251" s="6" t="s">
        <v>37</v>
      </c>
      <c r="K2251" s="6">
        <v>10.0</v>
      </c>
      <c r="L2251" s="5"/>
      <c r="M2251" s="5"/>
      <c r="N2251" s="6" t="s">
        <v>40</v>
      </c>
      <c r="O2251" s="5" t="s">
        <v>5363</v>
      </c>
      <c r="P2251" s="6" t="s">
        <v>42</v>
      </c>
      <c r="Q2251" s="5" t="s">
        <v>1237</v>
      </c>
      <c r="R2251" s="5" t="s">
        <v>13338</v>
      </c>
      <c r="S2251" s="6" t="s">
        <v>56</v>
      </c>
      <c r="T2251" s="6">
        <v>6798.0</v>
      </c>
    </row>
    <row r="2252" ht="56.25" customHeight="1">
      <c r="A2252" s="5" t="s">
        <v>13330</v>
      </c>
      <c r="B2252" s="6" t="str">
        <f>image("https://storage.googleapis.com/acdb/photos/BromideNpcNmlBea01_Remake_2_0.png")</f>
        <v/>
      </c>
      <c r="C2252" s="5" t="s">
        <v>688</v>
      </c>
      <c r="D2252" s="5" t="s">
        <v>1327</v>
      </c>
      <c r="E2252" s="5" t="s">
        <v>34</v>
      </c>
      <c r="F2252" s="5" t="s">
        <v>34</v>
      </c>
      <c r="G2252" s="5" t="s">
        <v>36</v>
      </c>
      <c r="H2252" s="5" t="s">
        <v>35</v>
      </c>
      <c r="I2252" s="6">
        <v>1.0</v>
      </c>
      <c r="J2252" s="6" t="s">
        <v>37</v>
      </c>
      <c r="K2252" s="6">
        <v>10.0</v>
      </c>
      <c r="L2252" s="5"/>
      <c r="M2252" s="5"/>
      <c r="N2252" s="6" t="s">
        <v>40</v>
      </c>
      <c r="O2252" s="5" t="s">
        <v>5363</v>
      </c>
      <c r="P2252" s="6" t="s">
        <v>42</v>
      </c>
      <c r="Q2252" s="5" t="s">
        <v>1237</v>
      </c>
      <c r="R2252" s="5" t="s">
        <v>13340</v>
      </c>
      <c r="S2252" s="6" t="s">
        <v>67</v>
      </c>
      <c r="T2252" s="6">
        <v>6798.0</v>
      </c>
    </row>
    <row r="2253" ht="56.25" customHeight="1">
      <c r="A2253" s="5" t="s">
        <v>13330</v>
      </c>
      <c r="B2253" s="6" t="str">
        <f>image("https://storage.googleapis.com/acdb/photos/BromideNpcNmlBea01_Remake_3_0.png")</f>
        <v/>
      </c>
      <c r="C2253" s="5" t="s">
        <v>57</v>
      </c>
      <c r="D2253" s="5" t="s">
        <v>1327</v>
      </c>
      <c r="E2253" s="5" t="s">
        <v>34</v>
      </c>
      <c r="F2253" s="5" t="s">
        <v>34</v>
      </c>
      <c r="G2253" s="5" t="s">
        <v>36</v>
      </c>
      <c r="H2253" s="5" t="s">
        <v>35</v>
      </c>
      <c r="I2253" s="6">
        <v>1.0</v>
      </c>
      <c r="J2253" s="6" t="s">
        <v>37</v>
      </c>
      <c r="K2253" s="6">
        <v>10.0</v>
      </c>
      <c r="L2253" s="5"/>
      <c r="M2253" s="5"/>
      <c r="N2253" s="6" t="s">
        <v>40</v>
      </c>
      <c r="O2253" s="5" t="s">
        <v>5363</v>
      </c>
      <c r="P2253" s="6" t="s">
        <v>42</v>
      </c>
      <c r="Q2253" s="5" t="s">
        <v>1237</v>
      </c>
      <c r="R2253" s="5" t="s">
        <v>13345</v>
      </c>
      <c r="S2253" s="6" t="s">
        <v>71</v>
      </c>
      <c r="T2253" s="6">
        <v>6798.0</v>
      </c>
    </row>
    <row r="2254" ht="56.25" customHeight="1">
      <c r="A2254" s="5" t="s">
        <v>13330</v>
      </c>
      <c r="B2254" s="6" t="str">
        <f>image("https://storage.googleapis.com/acdb/photos/BromideNpcNmlBea01_Remake_4_0.png")</f>
        <v/>
      </c>
      <c r="C2254" s="5" t="s">
        <v>1167</v>
      </c>
      <c r="D2254" s="5" t="s">
        <v>1327</v>
      </c>
      <c r="E2254" s="5" t="s">
        <v>34</v>
      </c>
      <c r="F2254" s="5" t="s">
        <v>34</v>
      </c>
      <c r="G2254" s="5" t="s">
        <v>36</v>
      </c>
      <c r="H2254" s="5" t="s">
        <v>35</v>
      </c>
      <c r="I2254" s="6">
        <v>1.0</v>
      </c>
      <c r="J2254" s="6" t="s">
        <v>37</v>
      </c>
      <c r="K2254" s="6">
        <v>10.0</v>
      </c>
      <c r="L2254" s="5"/>
      <c r="M2254" s="5"/>
      <c r="N2254" s="6" t="s">
        <v>40</v>
      </c>
      <c r="O2254" s="5" t="s">
        <v>5363</v>
      </c>
      <c r="P2254" s="6" t="s">
        <v>42</v>
      </c>
      <c r="Q2254" s="5" t="s">
        <v>1237</v>
      </c>
      <c r="R2254" s="5" t="s">
        <v>13348</v>
      </c>
      <c r="S2254" s="6" t="s">
        <v>75</v>
      </c>
      <c r="T2254" s="6">
        <v>6798.0</v>
      </c>
    </row>
    <row r="2255" ht="56.25" customHeight="1">
      <c r="A2255" s="5" t="s">
        <v>13330</v>
      </c>
      <c r="B2255" s="6" t="str">
        <f>image("https://storage.googleapis.com/acdb/photos/BromideNpcNmlBea01_Remake_5_0.png")</f>
        <v/>
      </c>
      <c r="C2255" s="5" t="s">
        <v>58</v>
      </c>
      <c r="D2255" s="5" t="s">
        <v>1327</v>
      </c>
      <c r="E2255" s="5" t="s">
        <v>34</v>
      </c>
      <c r="F2255" s="5" t="s">
        <v>34</v>
      </c>
      <c r="G2255" s="5" t="s">
        <v>36</v>
      </c>
      <c r="H2255" s="5" t="s">
        <v>35</v>
      </c>
      <c r="I2255" s="6">
        <v>1.0</v>
      </c>
      <c r="J2255" s="6" t="s">
        <v>37</v>
      </c>
      <c r="K2255" s="6">
        <v>10.0</v>
      </c>
      <c r="L2255" s="5"/>
      <c r="M2255" s="5"/>
      <c r="N2255" s="6" t="s">
        <v>40</v>
      </c>
      <c r="O2255" s="5" t="s">
        <v>5363</v>
      </c>
      <c r="P2255" s="6" t="s">
        <v>42</v>
      </c>
      <c r="Q2255" s="5" t="s">
        <v>1237</v>
      </c>
      <c r="R2255" s="5" t="s">
        <v>13351</v>
      </c>
      <c r="S2255" s="6" t="s">
        <v>79</v>
      </c>
      <c r="T2255" s="6">
        <v>6798.0</v>
      </c>
    </row>
    <row r="2256" ht="56.25" customHeight="1">
      <c r="A2256" s="5" t="s">
        <v>13330</v>
      </c>
      <c r="B2256" s="6" t="str">
        <f>image("https://storage.googleapis.com/acdb/photos/BromideNpcNmlBea01_Remake_6_0.png")</f>
        <v/>
      </c>
      <c r="C2256" s="5" t="s">
        <v>146</v>
      </c>
      <c r="D2256" s="5" t="s">
        <v>1327</v>
      </c>
      <c r="E2256" s="5" t="s">
        <v>34</v>
      </c>
      <c r="F2256" s="5" t="s">
        <v>34</v>
      </c>
      <c r="G2256" s="5" t="s">
        <v>36</v>
      </c>
      <c r="H2256" s="5" t="s">
        <v>35</v>
      </c>
      <c r="I2256" s="6">
        <v>1.0</v>
      </c>
      <c r="J2256" s="6" t="s">
        <v>37</v>
      </c>
      <c r="K2256" s="6">
        <v>10.0</v>
      </c>
      <c r="L2256" s="5"/>
      <c r="M2256" s="5"/>
      <c r="N2256" s="6" t="s">
        <v>40</v>
      </c>
      <c r="O2256" s="5" t="s">
        <v>5363</v>
      </c>
      <c r="P2256" s="6" t="s">
        <v>42</v>
      </c>
      <c r="Q2256" s="5" t="s">
        <v>1237</v>
      </c>
      <c r="R2256" s="5" t="s">
        <v>13355</v>
      </c>
      <c r="S2256" s="6" t="s">
        <v>86</v>
      </c>
      <c r="T2256" s="6">
        <v>6798.0</v>
      </c>
    </row>
    <row r="2257" ht="56.25" customHeight="1">
      <c r="A2257" s="5" t="s">
        <v>13330</v>
      </c>
      <c r="B2257" s="6" t="str">
        <f>image("https://storage.googleapis.com/acdb/photos/BromideNpcNmlBea01_Remake_7_0.png")</f>
        <v/>
      </c>
      <c r="C2257" s="5" t="s">
        <v>151</v>
      </c>
      <c r="D2257" s="5" t="s">
        <v>1327</v>
      </c>
      <c r="E2257" s="5" t="s">
        <v>34</v>
      </c>
      <c r="F2257" s="5" t="s">
        <v>34</v>
      </c>
      <c r="G2257" s="5" t="s">
        <v>36</v>
      </c>
      <c r="H2257" s="5" t="s">
        <v>35</v>
      </c>
      <c r="I2257" s="6">
        <v>1.0</v>
      </c>
      <c r="J2257" s="6" t="s">
        <v>37</v>
      </c>
      <c r="K2257" s="6">
        <v>10.0</v>
      </c>
      <c r="L2257" s="5"/>
      <c r="M2257" s="5"/>
      <c r="N2257" s="6" t="s">
        <v>40</v>
      </c>
      <c r="O2257" s="5" t="s">
        <v>5363</v>
      </c>
      <c r="P2257" s="6" t="s">
        <v>42</v>
      </c>
      <c r="Q2257" s="5" t="s">
        <v>1237</v>
      </c>
      <c r="R2257" s="5" t="s">
        <v>13359</v>
      </c>
      <c r="S2257" s="6" t="s">
        <v>208</v>
      </c>
      <c r="T2257" s="6">
        <v>6798.0</v>
      </c>
    </row>
    <row r="2258" ht="56.25" customHeight="1">
      <c r="A2258" s="5" t="s">
        <v>13360</v>
      </c>
      <c r="B2258" s="6" t="str">
        <f>image("https://storage.googleapis.com/acdb/photos/BromideNpcNmlBrd05_Remake_0_0.png")</f>
        <v/>
      </c>
      <c r="C2258" s="5" t="s">
        <v>366</v>
      </c>
      <c r="D2258" s="5" t="s">
        <v>1327</v>
      </c>
      <c r="E2258" s="5" t="s">
        <v>34</v>
      </c>
      <c r="F2258" s="5" t="s">
        <v>34</v>
      </c>
      <c r="G2258" s="5" t="s">
        <v>36</v>
      </c>
      <c r="H2258" s="5" t="s">
        <v>35</v>
      </c>
      <c r="I2258" s="6">
        <v>1.0</v>
      </c>
      <c r="J2258" s="6" t="s">
        <v>37</v>
      </c>
      <c r="K2258" s="6">
        <v>10.0</v>
      </c>
      <c r="L2258" s="5"/>
      <c r="M2258" s="5"/>
      <c r="N2258" s="6" t="s">
        <v>40</v>
      </c>
      <c r="O2258" s="5" t="s">
        <v>5363</v>
      </c>
      <c r="P2258" s="6" t="s">
        <v>42</v>
      </c>
      <c r="Q2258" s="5" t="s">
        <v>1237</v>
      </c>
      <c r="R2258" s="5" t="s">
        <v>13364</v>
      </c>
      <c r="S2258" s="6" t="s">
        <v>50</v>
      </c>
      <c r="T2258" s="6">
        <v>6615.0</v>
      </c>
    </row>
    <row r="2259" ht="56.25" customHeight="1">
      <c r="A2259" s="5" t="s">
        <v>13360</v>
      </c>
      <c r="B2259" s="6" t="str">
        <f>image("https://storage.googleapis.com/acdb/photos/BromideNpcNmlBrd05_Remake_1_0.png")</f>
        <v/>
      </c>
      <c r="C2259" s="5" t="s">
        <v>1132</v>
      </c>
      <c r="D2259" s="5" t="s">
        <v>1327</v>
      </c>
      <c r="E2259" s="5" t="s">
        <v>34</v>
      </c>
      <c r="F2259" s="5" t="s">
        <v>34</v>
      </c>
      <c r="G2259" s="5" t="s">
        <v>36</v>
      </c>
      <c r="H2259" s="5" t="s">
        <v>35</v>
      </c>
      <c r="I2259" s="6">
        <v>1.0</v>
      </c>
      <c r="J2259" s="6" t="s">
        <v>37</v>
      </c>
      <c r="K2259" s="6">
        <v>10.0</v>
      </c>
      <c r="L2259" s="5"/>
      <c r="M2259" s="5"/>
      <c r="N2259" s="6" t="s">
        <v>40</v>
      </c>
      <c r="O2259" s="5" t="s">
        <v>5363</v>
      </c>
      <c r="P2259" s="6" t="s">
        <v>42</v>
      </c>
      <c r="Q2259" s="5" t="s">
        <v>1237</v>
      </c>
      <c r="R2259" s="5" t="s">
        <v>13367</v>
      </c>
      <c r="S2259" s="6" t="s">
        <v>56</v>
      </c>
      <c r="T2259" s="6">
        <v>6615.0</v>
      </c>
    </row>
    <row r="2260" ht="56.25" customHeight="1">
      <c r="A2260" s="5" t="s">
        <v>13360</v>
      </c>
      <c r="B2260" s="6" t="str">
        <f>image("https://storage.googleapis.com/acdb/photos/BromideNpcNmlBrd05_Remake_2_0.png")</f>
        <v/>
      </c>
      <c r="C2260" s="5" t="s">
        <v>688</v>
      </c>
      <c r="D2260" s="5" t="s">
        <v>1327</v>
      </c>
      <c r="E2260" s="5" t="s">
        <v>34</v>
      </c>
      <c r="F2260" s="5" t="s">
        <v>34</v>
      </c>
      <c r="G2260" s="5" t="s">
        <v>36</v>
      </c>
      <c r="H2260" s="5" t="s">
        <v>35</v>
      </c>
      <c r="I2260" s="6">
        <v>1.0</v>
      </c>
      <c r="J2260" s="6" t="s">
        <v>37</v>
      </c>
      <c r="K2260" s="6">
        <v>10.0</v>
      </c>
      <c r="L2260" s="5"/>
      <c r="M2260" s="5"/>
      <c r="N2260" s="6" t="s">
        <v>40</v>
      </c>
      <c r="O2260" s="5" t="s">
        <v>5363</v>
      </c>
      <c r="P2260" s="6" t="s">
        <v>42</v>
      </c>
      <c r="Q2260" s="5" t="s">
        <v>1237</v>
      </c>
      <c r="R2260" s="5" t="s">
        <v>13369</v>
      </c>
      <c r="S2260" s="6" t="s">
        <v>67</v>
      </c>
      <c r="T2260" s="6">
        <v>6615.0</v>
      </c>
    </row>
    <row r="2261" ht="56.25" customHeight="1">
      <c r="A2261" s="5" t="s">
        <v>13360</v>
      </c>
      <c r="B2261" s="6" t="str">
        <f>image("https://storage.googleapis.com/acdb/photos/BromideNpcNmlBrd05_Remake_3_0.png")</f>
        <v/>
      </c>
      <c r="C2261" s="5" t="s">
        <v>57</v>
      </c>
      <c r="D2261" s="5" t="s">
        <v>1327</v>
      </c>
      <c r="E2261" s="5" t="s">
        <v>34</v>
      </c>
      <c r="F2261" s="5" t="s">
        <v>34</v>
      </c>
      <c r="G2261" s="5" t="s">
        <v>36</v>
      </c>
      <c r="H2261" s="5" t="s">
        <v>35</v>
      </c>
      <c r="I2261" s="6">
        <v>1.0</v>
      </c>
      <c r="J2261" s="6" t="s">
        <v>37</v>
      </c>
      <c r="K2261" s="6">
        <v>10.0</v>
      </c>
      <c r="L2261" s="5"/>
      <c r="M2261" s="5"/>
      <c r="N2261" s="6" t="s">
        <v>40</v>
      </c>
      <c r="O2261" s="5" t="s">
        <v>5363</v>
      </c>
      <c r="P2261" s="6" t="s">
        <v>42</v>
      </c>
      <c r="Q2261" s="5" t="s">
        <v>1237</v>
      </c>
      <c r="R2261" s="5" t="s">
        <v>13372</v>
      </c>
      <c r="S2261" s="6" t="s">
        <v>71</v>
      </c>
      <c r="T2261" s="6">
        <v>6615.0</v>
      </c>
    </row>
    <row r="2262" ht="56.25" customHeight="1">
      <c r="A2262" s="5" t="s">
        <v>13360</v>
      </c>
      <c r="B2262" s="6" t="str">
        <f>image("https://storage.googleapis.com/acdb/photos/BromideNpcNmlBrd05_Remake_4_0.png")</f>
        <v/>
      </c>
      <c r="C2262" s="5" t="s">
        <v>1167</v>
      </c>
      <c r="D2262" s="5" t="s">
        <v>1327</v>
      </c>
      <c r="E2262" s="5" t="s">
        <v>34</v>
      </c>
      <c r="F2262" s="5" t="s">
        <v>34</v>
      </c>
      <c r="G2262" s="5" t="s">
        <v>36</v>
      </c>
      <c r="H2262" s="5" t="s">
        <v>35</v>
      </c>
      <c r="I2262" s="6">
        <v>1.0</v>
      </c>
      <c r="J2262" s="6" t="s">
        <v>37</v>
      </c>
      <c r="K2262" s="6">
        <v>10.0</v>
      </c>
      <c r="L2262" s="5"/>
      <c r="M2262" s="5"/>
      <c r="N2262" s="6" t="s">
        <v>40</v>
      </c>
      <c r="O2262" s="5" t="s">
        <v>5363</v>
      </c>
      <c r="P2262" s="6" t="s">
        <v>42</v>
      </c>
      <c r="Q2262" s="5" t="s">
        <v>1237</v>
      </c>
      <c r="R2262" s="5" t="s">
        <v>13375</v>
      </c>
      <c r="S2262" s="6" t="s">
        <v>75</v>
      </c>
      <c r="T2262" s="6">
        <v>6615.0</v>
      </c>
    </row>
    <row r="2263" ht="56.25" customHeight="1">
      <c r="A2263" s="5" t="s">
        <v>13360</v>
      </c>
      <c r="B2263" s="6" t="str">
        <f>image("https://storage.googleapis.com/acdb/photos/BromideNpcNmlBrd05_Remake_5_0.png")</f>
        <v/>
      </c>
      <c r="C2263" s="5" t="s">
        <v>58</v>
      </c>
      <c r="D2263" s="5" t="s">
        <v>1327</v>
      </c>
      <c r="E2263" s="5" t="s">
        <v>34</v>
      </c>
      <c r="F2263" s="5" t="s">
        <v>34</v>
      </c>
      <c r="G2263" s="5" t="s">
        <v>36</v>
      </c>
      <c r="H2263" s="5" t="s">
        <v>35</v>
      </c>
      <c r="I2263" s="6">
        <v>1.0</v>
      </c>
      <c r="J2263" s="6" t="s">
        <v>37</v>
      </c>
      <c r="K2263" s="6">
        <v>10.0</v>
      </c>
      <c r="L2263" s="5"/>
      <c r="M2263" s="5"/>
      <c r="N2263" s="6" t="s">
        <v>40</v>
      </c>
      <c r="O2263" s="5" t="s">
        <v>5363</v>
      </c>
      <c r="P2263" s="6" t="s">
        <v>42</v>
      </c>
      <c r="Q2263" s="5" t="s">
        <v>1237</v>
      </c>
      <c r="R2263" s="5" t="s">
        <v>13377</v>
      </c>
      <c r="S2263" s="6" t="s">
        <v>79</v>
      </c>
      <c r="T2263" s="6">
        <v>6615.0</v>
      </c>
    </row>
    <row r="2264" ht="56.25" customHeight="1">
      <c r="A2264" s="5" t="s">
        <v>13360</v>
      </c>
      <c r="B2264" s="6" t="str">
        <f>image("https://storage.googleapis.com/acdb/photos/BromideNpcNmlBrd05_Remake_6_0.png")</f>
        <v/>
      </c>
      <c r="C2264" s="5" t="s">
        <v>146</v>
      </c>
      <c r="D2264" s="5" t="s">
        <v>1327</v>
      </c>
      <c r="E2264" s="5" t="s">
        <v>34</v>
      </c>
      <c r="F2264" s="5" t="s">
        <v>34</v>
      </c>
      <c r="G2264" s="5" t="s">
        <v>36</v>
      </c>
      <c r="H2264" s="5" t="s">
        <v>35</v>
      </c>
      <c r="I2264" s="6">
        <v>1.0</v>
      </c>
      <c r="J2264" s="6" t="s">
        <v>37</v>
      </c>
      <c r="K2264" s="6">
        <v>10.0</v>
      </c>
      <c r="L2264" s="5"/>
      <c r="M2264" s="5"/>
      <c r="N2264" s="6" t="s">
        <v>40</v>
      </c>
      <c r="O2264" s="5" t="s">
        <v>5363</v>
      </c>
      <c r="P2264" s="6" t="s">
        <v>42</v>
      </c>
      <c r="Q2264" s="5" t="s">
        <v>1237</v>
      </c>
      <c r="R2264" s="5" t="s">
        <v>13380</v>
      </c>
      <c r="S2264" s="6" t="s">
        <v>86</v>
      </c>
      <c r="T2264" s="6">
        <v>6615.0</v>
      </c>
    </row>
    <row r="2265" ht="56.25" customHeight="1">
      <c r="A2265" s="5" t="s">
        <v>13360</v>
      </c>
      <c r="B2265" s="6" t="str">
        <f>image("https://storage.googleapis.com/acdb/photos/BromideNpcNmlBrd05_Remake_7_0.png")</f>
        <v/>
      </c>
      <c r="C2265" s="5" t="s">
        <v>151</v>
      </c>
      <c r="D2265" s="5" t="s">
        <v>1327</v>
      </c>
      <c r="E2265" s="5" t="s">
        <v>34</v>
      </c>
      <c r="F2265" s="5" t="s">
        <v>34</v>
      </c>
      <c r="G2265" s="5" t="s">
        <v>36</v>
      </c>
      <c r="H2265" s="5" t="s">
        <v>35</v>
      </c>
      <c r="I2265" s="6">
        <v>1.0</v>
      </c>
      <c r="J2265" s="6" t="s">
        <v>37</v>
      </c>
      <c r="K2265" s="6">
        <v>10.0</v>
      </c>
      <c r="L2265" s="5"/>
      <c r="M2265" s="5"/>
      <c r="N2265" s="6" t="s">
        <v>40</v>
      </c>
      <c r="O2265" s="5" t="s">
        <v>5363</v>
      </c>
      <c r="P2265" s="6" t="s">
        <v>42</v>
      </c>
      <c r="Q2265" s="5" t="s">
        <v>1237</v>
      </c>
      <c r="R2265" s="5" t="s">
        <v>13383</v>
      </c>
      <c r="S2265" s="6" t="s">
        <v>208</v>
      </c>
      <c r="T2265" s="6">
        <v>6615.0</v>
      </c>
    </row>
    <row r="2266" ht="56.25" customHeight="1">
      <c r="A2266" s="5" t="s">
        <v>13384</v>
      </c>
      <c r="B2266" s="6" t="str">
        <f>image("https://storage.googleapis.com/acdb/photos/BromideNpcNmlRbt06_Remake_0_0.png")</f>
        <v/>
      </c>
      <c r="C2266" s="5" t="s">
        <v>366</v>
      </c>
      <c r="D2266" s="5" t="s">
        <v>1327</v>
      </c>
      <c r="E2266" s="5" t="s">
        <v>34</v>
      </c>
      <c r="F2266" s="5" t="s">
        <v>34</v>
      </c>
      <c r="G2266" s="5" t="s">
        <v>36</v>
      </c>
      <c r="H2266" s="5" t="s">
        <v>35</v>
      </c>
      <c r="I2266" s="6">
        <v>1.0</v>
      </c>
      <c r="J2266" s="6" t="s">
        <v>37</v>
      </c>
      <c r="K2266" s="6">
        <v>10.0</v>
      </c>
      <c r="L2266" s="5"/>
      <c r="M2266" s="5"/>
      <c r="N2266" s="6" t="s">
        <v>40</v>
      </c>
      <c r="O2266" s="5" t="s">
        <v>5363</v>
      </c>
      <c r="P2266" s="6" t="s">
        <v>42</v>
      </c>
      <c r="Q2266" s="5" t="s">
        <v>1237</v>
      </c>
      <c r="R2266" s="5" t="s">
        <v>13387</v>
      </c>
      <c r="S2266" s="6" t="s">
        <v>50</v>
      </c>
      <c r="T2266" s="6">
        <v>6668.0</v>
      </c>
    </row>
    <row r="2267" ht="56.25" customHeight="1">
      <c r="A2267" s="5" t="s">
        <v>13384</v>
      </c>
      <c r="B2267" s="6" t="str">
        <f>image("https://storage.googleapis.com/acdb/photos/BromideNpcNmlRbt06_Remake_1_0.png")</f>
        <v/>
      </c>
      <c r="C2267" s="5" t="s">
        <v>1132</v>
      </c>
      <c r="D2267" s="5" t="s">
        <v>1327</v>
      </c>
      <c r="E2267" s="5" t="s">
        <v>34</v>
      </c>
      <c r="F2267" s="5" t="s">
        <v>34</v>
      </c>
      <c r="G2267" s="5" t="s">
        <v>36</v>
      </c>
      <c r="H2267" s="5" t="s">
        <v>35</v>
      </c>
      <c r="I2267" s="6">
        <v>1.0</v>
      </c>
      <c r="J2267" s="6" t="s">
        <v>37</v>
      </c>
      <c r="K2267" s="6">
        <v>10.0</v>
      </c>
      <c r="L2267" s="5"/>
      <c r="M2267" s="5"/>
      <c r="N2267" s="6" t="s">
        <v>40</v>
      </c>
      <c r="O2267" s="5" t="s">
        <v>5363</v>
      </c>
      <c r="P2267" s="6" t="s">
        <v>42</v>
      </c>
      <c r="Q2267" s="5" t="s">
        <v>1237</v>
      </c>
      <c r="R2267" s="5" t="s">
        <v>13390</v>
      </c>
      <c r="S2267" s="6" t="s">
        <v>56</v>
      </c>
      <c r="T2267" s="6">
        <v>6668.0</v>
      </c>
    </row>
    <row r="2268" ht="56.25" customHeight="1">
      <c r="A2268" s="5" t="s">
        <v>13384</v>
      </c>
      <c r="B2268" s="6" t="str">
        <f>image("https://storage.googleapis.com/acdb/photos/BromideNpcNmlRbt06_Remake_2_0.png")</f>
        <v/>
      </c>
      <c r="C2268" s="5" t="s">
        <v>688</v>
      </c>
      <c r="D2268" s="5" t="s">
        <v>1327</v>
      </c>
      <c r="E2268" s="5" t="s">
        <v>34</v>
      </c>
      <c r="F2268" s="5" t="s">
        <v>34</v>
      </c>
      <c r="G2268" s="5" t="s">
        <v>36</v>
      </c>
      <c r="H2268" s="5" t="s">
        <v>35</v>
      </c>
      <c r="I2268" s="6">
        <v>1.0</v>
      </c>
      <c r="J2268" s="6" t="s">
        <v>37</v>
      </c>
      <c r="K2268" s="6">
        <v>10.0</v>
      </c>
      <c r="L2268" s="5"/>
      <c r="M2268" s="5"/>
      <c r="N2268" s="6" t="s">
        <v>40</v>
      </c>
      <c r="O2268" s="5" t="s">
        <v>5363</v>
      </c>
      <c r="P2268" s="6" t="s">
        <v>42</v>
      </c>
      <c r="Q2268" s="5" t="s">
        <v>1237</v>
      </c>
      <c r="R2268" s="5" t="s">
        <v>13393</v>
      </c>
      <c r="S2268" s="6" t="s">
        <v>67</v>
      </c>
      <c r="T2268" s="6">
        <v>6668.0</v>
      </c>
    </row>
    <row r="2269" ht="56.25" customHeight="1">
      <c r="A2269" s="5" t="s">
        <v>13384</v>
      </c>
      <c r="B2269" s="6" t="str">
        <f>image("https://storage.googleapis.com/acdb/photos/BromideNpcNmlRbt06_Remake_3_0.png")</f>
        <v/>
      </c>
      <c r="C2269" s="5" t="s">
        <v>57</v>
      </c>
      <c r="D2269" s="5" t="s">
        <v>1327</v>
      </c>
      <c r="E2269" s="5" t="s">
        <v>34</v>
      </c>
      <c r="F2269" s="5" t="s">
        <v>34</v>
      </c>
      <c r="G2269" s="5" t="s">
        <v>36</v>
      </c>
      <c r="H2269" s="5" t="s">
        <v>35</v>
      </c>
      <c r="I2269" s="6">
        <v>1.0</v>
      </c>
      <c r="J2269" s="6" t="s">
        <v>37</v>
      </c>
      <c r="K2269" s="6">
        <v>10.0</v>
      </c>
      <c r="L2269" s="5"/>
      <c r="M2269" s="5"/>
      <c r="N2269" s="6" t="s">
        <v>40</v>
      </c>
      <c r="O2269" s="5" t="s">
        <v>5363</v>
      </c>
      <c r="P2269" s="6" t="s">
        <v>42</v>
      </c>
      <c r="Q2269" s="5" t="s">
        <v>1237</v>
      </c>
      <c r="R2269" s="5" t="s">
        <v>13396</v>
      </c>
      <c r="S2269" s="6" t="s">
        <v>71</v>
      </c>
      <c r="T2269" s="6">
        <v>6668.0</v>
      </c>
    </row>
    <row r="2270" ht="56.25" customHeight="1">
      <c r="A2270" s="5" t="s">
        <v>13384</v>
      </c>
      <c r="B2270" s="6" t="str">
        <f>image("https://storage.googleapis.com/acdb/photos/BromideNpcNmlRbt06_Remake_4_0.png")</f>
        <v/>
      </c>
      <c r="C2270" s="5" t="s">
        <v>1167</v>
      </c>
      <c r="D2270" s="5" t="s">
        <v>1327</v>
      </c>
      <c r="E2270" s="5" t="s">
        <v>34</v>
      </c>
      <c r="F2270" s="5" t="s">
        <v>34</v>
      </c>
      <c r="G2270" s="5" t="s">
        <v>36</v>
      </c>
      <c r="H2270" s="5" t="s">
        <v>35</v>
      </c>
      <c r="I2270" s="6">
        <v>1.0</v>
      </c>
      <c r="J2270" s="6" t="s">
        <v>37</v>
      </c>
      <c r="K2270" s="6">
        <v>10.0</v>
      </c>
      <c r="L2270" s="5"/>
      <c r="M2270" s="5"/>
      <c r="N2270" s="6" t="s">
        <v>40</v>
      </c>
      <c r="O2270" s="5" t="s">
        <v>5363</v>
      </c>
      <c r="P2270" s="6" t="s">
        <v>42</v>
      </c>
      <c r="Q2270" s="5" t="s">
        <v>1237</v>
      </c>
      <c r="R2270" s="5" t="s">
        <v>13398</v>
      </c>
      <c r="S2270" s="6" t="s">
        <v>75</v>
      </c>
      <c r="T2270" s="6">
        <v>6668.0</v>
      </c>
    </row>
    <row r="2271" ht="56.25" customHeight="1">
      <c r="A2271" s="5" t="s">
        <v>13384</v>
      </c>
      <c r="B2271" s="6" t="str">
        <f>image("https://storage.googleapis.com/acdb/photos/BromideNpcNmlRbt06_Remake_5_0.png")</f>
        <v/>
      </c>
      <c r="C2271" s="5" t="s">
        <v>58</v>
      </c>
      <c r="D2271" s="5" t="s">
        <v>1327</v>
      </c>
      <c r="E2271" s="5" t="s">
        <v>34</v>
      </c>
      <c r="F2271" s="5" t="s">
        <v>34</v>
      </c>
      <c r="G2271" s="5" t="s">
        <v>36</v>
      </c>
      <c r="H2271" s="5" t="s">
        <v>35</v>
      </c>
      <c r="I2271" s="6">
        <v>1.0</v>
      </c>
      <c r="J2271" s="6" t="s">
        <v>37</v>
      </c>
      <c r="K2271" s="6">
        <v>10.0</v>
      </c>
      <c r="L2271" s="5"/>
      <c r="M2271" s="5"/>
      <c r="N2271" s="6" t="s">
        <v>40</v>
      </c>
      <c r="O2271" s="5" t="s">
        <v>5363</v>
      </c>
      <c r="P2271" s="6" t="s">
        <v>42</v>
      </c>
      <c r="Q2271" s="5" t="s">
        <v>1237</v>
      </c>
      <c r="R2271" s="5" t="s">
        <v>13403</v>
      </c>
      <c r="S2271" s="6" t="s">
        <v>79</v>
      </c>
      <c r="T2271" s="6">
        <v>6668.0</v>
      </c>
    </row>
    <row r="2272" ht="56.25" customHeight="1">
      <c r="A2272" s="5" t="s">
        <v>13384</v>
      </c>
      <c r="B2272" s="6" t="str">
        <f>image("https://storage.googleapis.com/acdb/photos/BromideNpcNmlRbt06_Remake_6_0.png")</f>
        <v/>
      </c>
      <c r="C2272" s="5" t="s">
        <v>146</v>
      </c>
      <c r="D2272" s="5" t="s">
        <v>1327</v>
      </c>
      <c r="E2272" s="5" t="s">
        <v>34</v>
      </c>
      <c r="F2272" s="5" t="s">
        <v>34</v>
      </c>
      <c r="G2272" s="5" t="s">
        <v>36</v>
      </c>
      <c r="H2272" s="5" t="s">
        <v>35</v>
      </c>
      <c r="I2272" s="6">
        <v>1.0</v>
      </c>
      <c r="J2272" s="6" t="s">
        <v>37</v>
      </c>
      <c r="K2272" s="6">
        <v>10.0</v>
      </c>
      <c r="L2272" s="5"/>
      <c r="M2272" s="5"/>
      <c r="N2272" s="6" t="s">
        <v>40</v>
      </c>
      <c r="O2272" s="5" t="s">
        <v>5363</v>
      </c>
      <c r="P2272" s="6" t="s">
        <v>42</v>
      </c>
      <c r="Q2272" s="5" t="s">
        <v>1237</v>
      </c>
      <c r="R2272" s="5" t="s">
        <v>13407</v>
      </c>
      <c r="S2272" s="6" t="s">
        <v>86</v>
      </c>
      <c r="T2272" s="6">
        <v>6668.0</v>
      </c>
    </row>
    <row r="2273" ht="56.25" customHeight="1">
      <c r="A2273" s="5" t="s">
        <v>13384</v>
      </c>
      <c r="B2273" s="6" t="str">
        <f>image("https://storage.googleapis.com/acdb/photos/BromideNpcNmlRbt06_Remake_7_0.png")</f>
        <v/>
      </c>
      <c r="C2273" s="5" t="s">
        <v>151</v>
      </c>
      <c r="D2273" s="5" t="s">
        <v>1327</v>
      </c>
      <c r="E2273" s="5" t="s">
        <v>34</v>
      </c>
      <c r="F2273" s="5" t="s">
        <v>34</v>
      </c>
      <c r="G2273" s="5" t="s">
        <v>36</v>
      </c>
      <c r="H2273" s="5" t="s">
        <v>35</v>
      </c>
      <c r="I2273" s="6">
        <v>1.0</v>
      </c>
      <c r="J2273" s="6" t="s">
        <v>37</v>
      </c>
      <c r="K2273" s="6">
        <v>10.0</v>
      </c>
      <c r="L2273" s="5"/>
      <c r="M2273" s="5"/>
      <c r="N2273" s="6" t="s">
        <v>40</v>
      </c>
      <c r="O2273" s="5" t="s">
        <v>5363</v>
      </c>
      <c r="P2273" s="6" t="s">
        <v>42</v>
      </c>
      <c r="Q2273" s="5" t="s">
        <v>1237</v>
      </c>
      <c r="R2273" s="5" t="s">
        <v>13410</v>
      </c>
      <c r="S2273" s="6" t="s">
        <v>208</v>
      </c>
      <c r="T2273" s="6">
        <v>6668.0</v>
      </c>
    </row>
    <row r="2274" ht="56.25" customHeight="1">
      <c r="A2274" s="5" t="s">
        <v>13411</v>
      </c>
      <c r="B2274" s="6" t="str">
        <f>image("https://storage.googleapis.com/acdb/photos/BromideNpcNmlChn10_Remake_0_0.png")</f>
        <v/>
      </c>
      <c r="C2274" s="5" t="s">
        <v>366</v>
      </c>
      <c r="D2274" s="5" t="s">
        <v>1327</v>
      </c>
      <c r="E2274" s="5" t="s">
        <v>34</v>
      </c>
      <c r="F2274" s="5" t="s">
        <v>34</v>
      </c>
      <c r="G2274" s="5" t="s">
        <v>36</v>
      </c>
      <c r="H2274" s="5" t="s">
        <v>35</v>
      </c>
      <c r="I2274" s="6">
        <v>1.0</v>
      </c>
      <c r="J2274" s="6" t="s">
        <v>37</v>
      </c>
      <c r="K2274" s="6">
        <v>10.0</v>
      </c>
      <c r="L2274" s="5"/>
      <c r="M2274" s="5"/>
      <c r="N2274" s="6" t="s">
        <v>40</v>
      </c>
      <c r="O2274" s="5" t="s">
        <v>5363</v>
      </c>
      <c r="P2274" s="6" t="s">
        <v>42</v>
      </c>
      <c r="Q2274" s="5" t="s">
        <v>1237</v>
      </c>
      <c r="R2274" s="5" t="s">
        <v>13414</v>
      </c>
      <c r="S2274" s="6" t="s">
        <v>50</v>
      </c>
      <c r="T2274" s="6">
        <v>6791.0</v>
      </c>
    </row>
    <row r="2275" ht="56.25" customHeight="1">
      <c r="A2275" s="5" t="s">
        <v>13411</v>
      </c>
      <c r="B2275" s="6" t="str">
        <f>image("https://storage.googleapis.com/acdb/photos/BromideNpcNmlChn10_Remake_1_0.png")</f>
        <v/>
      </c>
      <c r="C2275" s="5" t="s">
        <v>1132</v>
      </c>
      <c r="D2275" s="5" t="s">
        <v>1327</v>
      </c>
      <c r="E2275" s="5" t="s">
        <v>34</v>
      </c>
      <c r="F2275" s="5" t="s">
        <v>34</v>
      </c>
      <c r="G2275" s="5" t="s">
        <v>36</v>
      </c>
      <c r="H2275" s="5" t="s">
        <v>35</v>
      </c>
      <c r="I2275" s="6">
        <v>1.0</v>
      </c>
      <c r="J2275" s="6" t="s">
        <v>37</v>
      </c>
      <c r="K2275" s="6">
        <v>10.0</v>
      </c>
      <c r="L2275" s="5"/>
      <c r="M2275" s="5"/>
      <c r="N2275" s="6" t="s">
        <v>40</v>
      </c>
      <c r="O2275" s="5" t="s">
        <v>5363</v>
      </c>
      <c r="P2275" s="6" t="s">
        <v>42</v>
      </c>
      <c r="Q2275" s="5" t="s">
        <v>1237</v>
      </c>
      <c r="R2275" s="5" t="s">
        <v>13416</v>
      </c>
      <c r="S2275" s="6" t="s">
        <v>56</v>
      </c>
      <c r="T2275" s="6">
        <v>6791.0</v>
      </c>
    </row>
    <row r="2276" ht="56.25" customHeight="1">
      <c r="A2276" s="5" t="s">
        <v>13411</v>
      </c>
      <c r="B2276" s="6" t="str">
        <f>image("https://storage.googleapis.com/acdb/photos/BromideNpcNmlChn10_Remake_2_0.png")</f>
        <v/>
      </c>
      <c r="C2276" s="5" t="s">
        <v>688</v>
      </c>
      <c r="D2276" s="5" t="s">
        <v>1327</v>
      </c>
      <c r="E2276" s="5" t="s">
        <v>34</v>
      </c>
      <c r="F2276" s="5" t="s">
        <v>34</v>
      </c>
      <c r="G2276" s="5" t="s">
        <v>36</v>
      </c>
      <c r="H2276" s="5" t="s">
        <v>35</v>
      </c>
      <c r="I2276" s="6">
        <v>1.0</v>
      </c>
      <c r="J2276" s="6" t="s">
        <v>37</v>
      </c>
      <c r="K2276" s="6">
        <v>10.0</v>
      </c>
      <c r="L2276" s="5"/>
      <c r="M2276" s="5"/>
      <c r="N2276" s="6" t="s">
        <v>40</v>
      </c>
      <c r="O2276" s="5" t="s">
        <v>5363</v>
      </c>
      <c r="P2276" s="6" t="s">
        <v>42</v>
      </c>
      <c r="Q2276" s="5" t="s">
        <v>1237</v>
      </c>
      <c r="R2276" s="5" t="s">
        <v>13419</v>
      </c>
      <c r="S2276" s="6" t="s">
        <v>67</v>
      </c>
      <c r="T2276" s="6">
        <v>6791.0</v>
      </c>
    </row>
    <row r="2277" ht="56.25" customHeight="1">
      <c r="A2277" s="5" t="s">
        <v>13411</v>
      </c>
      <c r="B2277" s="6" t="str">
        <f>image("https://storage.googleapis.com/acdb/photos/BromideNpcNmlChn10_Remake_3_0.png")</f>
        <v/>
      </c>
      <c r="C2277" s="5" t="s">
        <v>57</v>
      </c>
      <c r="D2277" s="5" t="s">
        <v>1327</v>
      </c>
      <c r="E2277" s="5" t="s">
        <v>34</v>
      </c>
      <c r="F2277" s="5" t="s">
        <v>34</v>
      </c>
      <c r="G2277" s="5" t="s">
        <v>36</v>
      </c>
      <c r="H2277" s="5" t="s">
        <v>35</v>
      </c>
      <c r="I2277" s="6">
        <v>1.0</v>
      </c>
      <c r="J2277" s="6" t="s">
        <v>37</v>
      </c>
      <c r="K2277" s="6">
        <v>10.0</v>
      </c>
      <c r="L2277" s="5"/>
      <c r="M2277" s="5"/>
      <c r="N2277" s="6" t="s">
        <v>40</v>
      </c>
      <c r="O2277" s="5" t="s">
        <v>5363</v>
      </c>
      <c r="P2277" s="6" t="s">
        <v>42</v>
      </c>
      <c r="Q2277" s="5" t="s">
        <v>1237</v>
      </c>
      <c r="R2277" s="5" t="s">
        <v>13423</v>
      </c>
      <c r="S2277" s="6" t="s">
        <v>71</v>
      </c>
      <c r="T2277" s="6">
        <v>6791.0</v>
      </c>
    </row>
    <row r="2278" ht="56.25" customHeight="1">
      <c r="A2278" s="5" t="s">
        <v>13411</v>
      </c>
      <c r="B2278" s="6" t="str">
        <f>image("https://storage.googleapis.com/acdb/photos/BromideNpcNmlChn10_Remake_4_0.png")</f>
        <v/>
      </c>
      <c r="C2278" s="5" t="s">
        <v>1167</v>
      </c>
      <c r="D2278" s="5" t="s">
        <v>1327</v>
      </c>
      <c r="E2278" s="5" t="s">
        <v>34</v>
      </c>
      <c r="F2278" s="5" t="s">
        <v>34</v>
      </c>
      <c r="G2278" s="5" t="s">
        <v>36</v>
      </c>
      <c r="H2278" s="5" t="s">
        <v>35</v>
      </c>
      <c r="I2278" s="6">
        <v>1.0</v>
      </c>
      <c r="J2278" s="6" t="s">
        <v>37</v>
      </c>
      <c r="K2278" s="6">
        <v>10.0</v>
      </c>
      <c r="L2278" s="5"/>
      <c r="M2278" s="5"/>
      <c r="N2278" s="6" t="s">
        <v>40</v>
      </c>
      <c r="O2278" s="5" t="s">
        <v>5363</v>
      </c>
      <c r="P2278" s="6" t="s">
        <v>42</v>
      </c>
      <c r="Q2278" s="5" t="s">
        <v>1237</v>
      </c>
      <c r="R2278" s="5" t="s">
        <v>13426</v>
      </c>
      <c r="S2278" s="6" t="s">
        <v>75</v>
      </c>
      <c r="T2278" s="6">
        <v>6791.0</v>
      </c>
    </row>
    <row r="2279" ht="56.25" customHeight="1">
      <c r="A2279" s="5" t="s">
        <v>13411</v>
      </c>
      <c r="B2279" s="6" t="str">
        <f>image("https://storage.googleapis.com/acdb/photos/BromideNpcNmlChn10_Remake_5_0.png")</f>
        <v/>
      </c>
      <c r="C2279" s="5" t="s">
        <v>58</v>
      </c>
      <c r="D2279" s="5" t="s">
        <v>1327</v>
      </c>
      <c r="E2279" s="5" t="s">
        <v>34</v>
      </c>
      <c r="F2279" s="5" t="s">
        <v>34</v>
      </c>
      <c r="G2279" s="5" t="s">
        <v>36</v>
      </c>
      <c r="H2279" s="5" t="s">
        <v>35</v>
      </c>
      <c r="I2279" s="6">
        <v>1.0</v>
      </c>
      <c r="J2279" s="6" t="s">
        <v>37</v>
      </c>
      <c r="K2279" s="6">
        <v>10.0</v>
      </c>
      <c r="L2279" s="5"/>
      <c r="M2279" s="5"/>
      <c r="N2279" s="6" t="s">
        <v>40</v>
      </c>
      <c r="O2279" s="5" t="s">
        <v>5363</v>
      </c>
      <c r="P2279" s="6" t="s">
        <v>42</v>
      </c>
      <c r="Q2279" s="5" t="s">
        <v>1237</v>
      </c>
      <c r="R2279" s="5" t="s">
        <v>13428</v>
      </c>
      <c r="S2279" s="6" t="s">
        <v>79</v>
      </c>
      <c r="T2279" s="6">
        <v>6791.0</v>
      </c>
    </row>
    <row r="2280" ht="56.25" customHeight="1">
      <c r="A2280" s="5" t="s">
        <v>13411</v>
      </c>
      <c r="B2280" s="6" t="str">
        <f>image("https://storage.googleapis.com/acdb/photos/BromideNpcNmlChn10_Remake_6_0.png")</f>
        <v/>
      </c>
      <c r="C2280" s="5" t="s">
        <v>146</v>
      </c>
      <c r="D2280" s="5" t="s">
        <v>1327</v>
      </c>
      <c r="E2280" s="5" t="s">
        <v>34</v>
      </c>
      <c r="F2280" s="5" t="s">
        <v>34</v>
      </c>
      <c r="G2280" s="5" t="s">
        <v>36</v>
      </c>
      <c r="H2280" s="5" t="s">
        <v>35</v>
      </c>
      <c r="I2280" s="6">
        <v>1.0</v>
      </c>
      <c r="J2280" s="6" t="s">
        <v>37</v>
      </c>
      <c r="K2280" s="6">
        <v>10.0</v>
      </c>
      <c r="L2280" s="5"/>
      <c r="M2280" s="5"/>
      <c r="N2280" s="6" t="s">
        <v>40</v>
      </c>
      <c r="O2280" s="5" t="s">
        <v>5363</v>
      </c>
      <c r="P2280" s="6" t="s">
        <v>42</v>
      </c>
      <c r="Q2280" s="5" t="s">
        <v>1237</v>
      </c>
      <c r="R2280" s="5" t="s">
        <v>13430</v>
      </c>
      <c r="S2280" s="6" t="s">
        <v>86</v>
      </c>
      <c r="T2280" s="6">
        <v>6791.0</v>
      </c>
    </row>
    <row r="2281" ht="56.25" customHeight="1">
      <c r="A2281" s="5" t="s">
        <v>13411</v>
      </c>
      <c r="B2281" s="6" t="str">
        <f>image("https://storage.googleapis.com/acdb/photos/BromideNpcNmlChn10_Remake_7_0.png")</f>
        <v/>
      </c>
      <c r="C2281" s="5" t="s">
        <v>151</v>
      </c>
      <c r="D2281" s="5" t="s">
        <v>1327</v>
      </c>
      <c r="E2281" s="5" t="s">
        <v>34</v>
      </c>
      <c r="F2281" s="5" t="s">
        <v>34</v>
      </c>
      <c r="G2281" s="5" t="s">
        <v>36</v>
      </c>
      <c r="H2281" s="5" t="s">
        <v>35</v>
      </c>
      <c r="I2281" s="6">
        <v>1.0</v>
      </c>
      <c r="J2281" s="6" t="s">
        <v>37</v>
      </c>
      <c r="K2281" s="6">
        <v>10.0</v>
      </c>
      <c r="L2281" s="5"/>
      <c r="M2281" s="5"/>
      <c r="N2281" s="6" t="s">
        <v>40</v>
      </c>
      <c r="O2281" s="5" t="s">
        <v>5363</v>
      </c>
      <c r="P2281" s="6" t="s">
        <v>42</v>
      </c>
      <c r="Q2281" s="5" t="s">
        <v>1237</v>
      </c>
      <c r="R2281" s="5" t="s">
        <v>13434</v>
      </c>
      <c r="S2281" s="6" t="s">
        <v>208</v>
      </c>
      <c r="T2281" s="6">
        <v>6791.0</v>
      </c>
    </row>
    <row r="2282" ht="56.25" customHeight="1">
      <c r="A2282" s="5" t="s">
        <v>13435</v>
      </c>
      <c r="B2282" s="6" t="str">
        <f>image("https://storage.googleapis.com/acdb/photos/BromideNpcNmlDuk05_Remake_0_0.png")</f>
        <v/>
      </c>
      <c r="C2282" s="5" t="s">
        <v>366</v>
      </c>
      <c r="D2282" s="5" t="s">
        <v>1327</v>
      </c>
      <c r="E2282" s="5" t="s">
        <v>34</v>
      </c>
      <c r="F2282" s="5" t="s">
        <v>34</v>
      </c>
      <c r="G2282" s="5" t="s">
        <v>36</v>
      </c>
      <c r="H2282" s="5" t="s">
        <v>35</v>
      </c>
      <c r="I2282" s="6">
        <v>1.0</v>
      </c>
      <c r="J2282" s="6" t="s">
        <v>37</v>
      </c>
      <c r="K2282" s="6">
        <v>10.0</v>
      </c>
      <c r="L2282" s="5"/>
      <c r="M2282" s="5"/>
      <c r="N2282" s="6" t="s">
        <v>40</v>
      </c>
      <c r="O2282" s="5" t="s">
        <v>5363</v>
      </c>
      <c r="P2282" s="6" t="s">
        <v>42</v>
      </c>
      <c r="Q2282" s="5" t="s">
        <v>1237</v>
      </c>
      <c r="R2282" s="5" t="s">
        <v>13438</v>
      </c>
      <c r="S2282" s="6" t="s">
        <v>50</v>
      </c>
      <c r="T2282" s="6">
        <v>6459.0</v>
      </c>
    </row>
    <row r="2283" ht="56.25" customHeight="1">
      <c r="A2283" s="5" t="s">
        <v>13435</v>
      </c>
      <c r="B2283" s="6" t="str">
        <f>image("https://storage.googleapis.com/acdb/photos/BromideNpcNmlDuk05_Remake_1_0.png")</f>
        <v/>
      </c>
      <c r="C2283" s="5" t="s">
        <v>1132</v>
      </c>
      <c r="D2283" s="5" t="s">
        <v>1327</v>
      </c>
      <c r="E2283" s="5" t="s">
        <v>34</v>
      </c>
      <c r="F2283" s="5" t="s">
        <v>34</v>
      </c>
      <c r="G2283" s="5" t="s">
        <v>36</v>
      </c>
      <c r="H2283" s="5" t="s">
        <v>35</v>
      </c>
      <c r="I2283" s="6">
        <v>1.0</v>
      </c>
      <c r="J2283" s="6" t="s">
        <v>37</v>
      </c>
      <c r="K2283" s="6">
        <v>10.0</v>
      </c>
      <c r="L2283" s="5"/>
      <c r="M2283" s="5"/>
      <c r="N2283" s="6" t="s">
        <v>40</v>
      </c>
      <c r="O2283" s="5" t="s">
        <v>5363</v>
      </c>
      <c r="P2283" s="6" t="s">
        <v>42</v>
      </c>
      <c r="Q2283" s="5" t="s">
        <v>1237</v>
      </c>
      <c r="R2283" s="5" t="s">
        <v>13440</v>
      </c>
      <c r="S2283" s="6" t="s">
        <v>56</v>
      </c>
      <c r="T2283" s="6">
        <v>6459.0</v>
      </c>
    </row>
    <row r="2284" ht="56.25" customHeight="1">
      <c r="A2284" s="5" t="s">
        <v>13435</v>
      </c>
      <c r="B2284" s="6" t="str">
        <f>image("https://storage.googleapis.com/acdb/photos/BromideNpcNmlDuk05_Remake_2_0.png")</f>
        <v/>
      </c>
      <c r="C2284" s="5" t="s">
        <v>688</v>
      </c>
      <c r="D2284" s="5" t="s">
        <v>1327</v>
      </c>
      <c r="E2284" s="5" t="s">
        <v>34</v>
      </c>
      <c r="F2284" s="5" t="s">
        <v>34</v>
      </c>
      <c r="G2284" s="5" t="s">
        <v>36</v>
      </c>
      <c r="H2284" s="5" t="s">
        <v>35</v>
      </c>
      <c r="I2284" s="6">
        <v>1.0</v>
      </c>
      <c r="J2284" s="6" t="s">
        <v>37</v>
      </c>
      <c r="K2284" s="6">
        <v>10.0</v>
      </c>
      <c r="L2284" s="5"/>
      <c r="M2284" s="5"/>
      <c r="N2284" s="6" t="s">
        <v>40</v>
      </c>
      <c r="O2284" s="5" t="s">
        <v>5363</v>
      </c>
      <c r="P2284" s="6" t="s">
        <v>42</v>
      </c>
      <c r="Q2284" s="5" t="s">
        <v>1237</v>
      </c>
      <c r="R2284" s="5" t="s">
        <v>13443</v>
      </c>
      <c r="S2284" s="6" t="s">
        <v>67</v>
      </c>
      <c r="T2284" s="6">
        <v>6459.0</v>
      </c>
    </row>
    <row r="2285" ht="56.25" customHeight="1">
      <c r="A2285" s="5" t="s">
        <v>13435</v>
      </c>
      <c r="B2285" s="6" t="str">
        <f>image("https://storage.googleapis.com/acdb/photos/BromideNpcNmlDuk05_Remake_3_0.png")</f>
        <v/>
      </c>
      <c r="C2285" s="5" t="s">
        <v>57</v>
      </c>
      <c r="D2285" s="5" t="s">
        <v>1327</v>
      </c>
      <c r="E2285" s="5" t="s">
        <v>34</v>
      </c>
      <c r="F2285" s="5" t="s">
        <v>34</v>
      </c>
      <c r="G2285" s="5" t="s">
        <v>36</v>
      </c>
      <c r="H2285" s="5" t="s">
        <v>35</v>
      </c>
      <c r="I2285" s="6">
        <v>1.0</v>
      </c>
      <c r="J2285" s="6" t="s">
        <v>37</v>
      </c>
      <c r="K2285" s="6">
        <v>10.0</v>
      </c>
      <c r="L2285" s="5"/>
      <c r="M2285" s="5"/>
      <c r="N2285" s="6" t="s">
        <v>40</v>
      </c>
      <c r="O2285" s="5" t="s">
        <v>5363</v>
      </c>
      <c r="P2285" s="6" t="s">
        <v>42</v>
      </c>
      <c r="Q2285" s="5" t="s">
        <v>1237</v>
      </c>
      <c r="R2285" s="5" t="s">
        <v>13446</v>
      </c>
      <c r="S2285" s="6" t="s">
        <v>71</v>
      </c>
      <c r="T2285" s="6">
        <v>6459.0</v>
      </c>
    </row>
    <row r="2286" ht="56.25" customHeight="1">
      <c r="A2286" s="5" t="s">
        <v>13435</v>
      </c>
      <c r="B2286" s="6" t="str">
        <f>image("https://storage.googleapis.com/acdb/photos/BromideNpcNmlDuk05_Remake_4_0.png")</f>
        <v/>
      </c>
      <c r="C2286" s="5" t="s">
        <v>1167</v>
      </c>
      <c r="D2286" s="5" t="s">
        <v>1327</v>
      </c>
      <c r="E2286" s="5" t="s">
        <v>34</v>
      </c>
      <c r="F2286" s="5" t="s">
        <v>34</v>
      </c>
      <c r="G2286" s="5" t="s">
        <v>36</v>
      </c>
      <c r="H2286" s="5" t="s">
        <v>35</v>
      </c>
      <c r="I2286" s="6">
        <v>1.0</v>
      </c>
      <c r="J2286" s="6" t="s">
        <v>37</v>
      </c>
      <c r="K2286" s="6">
        <v>10.0</v>
      </c>
      <c r="L2286" s="5"/>
      <c r="M2286" s="5"/>
      <c r="N2286" s="6" t="s">
        <v>40</v>
      </c>
      <c r="O2286" s="5" t="s">
        <v>5363</v>
      </c>
      <c r="P2286" s="6" t="s">
        <v>42</v>
      </c>
      <c r="Q2286" s="5" t="s">
        <v>1237</v>
      </c>
      <c r="R2286" s="5" t="s">
        <v>13450</v>
      </c>
      <c r="S2286" s="6" t="s">
        <v>75</v>
      </c>
      <c r="T2286" s="6">
        <v>6459.0</v>
      </c>
    </row>
    <row r="2287" ht="56.25" customHeight="1">
      <c r="A2287" s="5" t="s">
        <v>13435</v>
      </c>
      <c r="B2287" s="6" t="str">
        <f>image("https://storage.googleapis.com/acdb/photos/BromideNpcNmlDuk05_Remake_5_0.png")</f>
        <v/>
      </c>
      <c r="C2287" s="5" t="s">
        <v>58</v>
      </c>
      <c r="D2287" s="5" t="s">
        <v>1327</v>
      </c>
      <c r="E2287" s="5" t="s">
        <v>34</v>
      </c>
      <c r="F2287" s="5" t="s">
        <v>34</v>
      </c>
      <c r="G2287" s="5" t="s">
        <v>36</v>
      </c>
      <c r="H2287" s="5" t="s">
        <v>35</v>
      </c>
      <c r="I2287" s="6">
        <v>1.0</v>
      </c>
      <c r="J2287" s="6" t="s">
        <v>37</v>
      </c>
      <c r="K2287" s="6">
        <v>10.0</v>
      </c>
      <c r="L2287" s="5"/>
      <c r="M2287" s="5"/>
      <c r="N2287" s="6" t="s">
        <v>40</v>
      </c>
      <c r="O2287" s="5" t="s">
        <v>5363</v>
      </c>
      <c r="P2287" s="6" t="s">
        <v>42</v>
      </c>
      <c r="Q2287" s="5" t="s">
        <v>1237</v>
      </c>
      <c r="R2287" s="5" t="s">
        <v>13453</v>
      </c>
      <c r="S2287" s="6" t="s">
        <v>79</v>
      </c>
      <c r="T2287" s="6">
        <v>6459.0</v>
      </c>
    </row>
    <row r="2288" ht="56.25" customHeight="1">
      <c r="A2288" s="5" t="s">
        <v>13435</v>
      </c>
      <c r="B2288" s="6" t="str">
        <f>image("https://storage.googleapis.com/acdb/photos/BromideNpcNmlDuk05_Remake_6_0.png")</f>
        <v/>
      </c>
      <c r="C2288" s="5" t="s">
        <v>146</v>
      </c>
      <c r="D2288" s="5" t="s">
        <v>1327</v>
      </c>
      <c r="E2288" s="5" t="s">
        <v>34</v>
      </c>
      <c r="F2288" s="5" t="s">
        <v>34</v>
      </c>
      <c r="G2288" s="5" t="s">
        <v>36</v>
      </c>
      <c r="H2288" s="5" t="s">
        <v>35</v>
      </c>
      <c r="I2288" s="6">
        <v>1.0</v>
      </c>
      <c r="J2288" s="6" t="s">
        <v>37</v>
      </c>
      <c r="K2288" s="6">
        <v>10.0</v>
      </c>
      <c r="L2288" s="5"/>
      <c r="M2288" s="5"/>
      <c r="N2288" s="6" t="s">
        <v>40</v>
      </c>
      <c r="O2288" s="5" t="s">
        <v>5363</v>
      </c>
      <c r="P2288" s="6" t="s">
        <v>42</v>
      </c>
      <c r="Q2288" s="5" t="s">
        <v>1237</v>
      </c>
      <c r="R2288" s="5" t="s">
        <v>13455</v>
      </c>
      <c r="S2288" s="6" t="s">
        <v>86</v>
      </c>
      <c r="T2288" s="6">
        <v>6459.0</v>
      </c>
    </row>
    <row r="2289" ht="56.25" customHeight="1">
      <c r="A2289" s="5" t="s">
        <v>13435</v>
      </c>
      <c r="B2289" s="6" t="str">
        <f>image("https://storage.googleapis.com/acdb/photos/BromideNpcNmlDuk05_Remake_7_0.png")</f>
        <v/>
      </c>
      <c r="C2289" s="5" t="s">
        <v>151</v>
      </c>
      <c r="D2289" s="5" t="s">
        <v>1327</v>
      </c>
      <c r="E2289" s="5" t="s">
        <v>34</v>
      </c>
      <c r="F2289" s="5" t="s">
        <v>34</v>
      </c>
      <c r="G2289" s="5" t="s">
        <v>36</v>
      </c>
      <c r="H2289" s="5" t="s">
        <v>35</v>
      </c>
      <c r="I2289" s="6">
        <v>1.0</v>
      </c>
      <c r="J2289" s="6" t="s">
        <v>37</v>
      </c>
      <c r="K2289" s="6">
        <v>10.0</v>
      </c>
      <c r="L2289" s="5"/>
      <c r="M2289" s="5"/>
      <c r="N2289" s="6" t="s">
        <v>40</v>
      </c>
      <c r="O2289" s="5" t="s">
        <v>5363</v>
      </c>
      <c r="P2289" s="6" t="s">
        <v>42</v>
      </c>
      <c r="Q2289" s="5" t="s">
        <v>1237</v>
      </c>
      <c r="R2289" s="5" t="s">
        <v>13458</v>
      </c>
      <c r="S2289" s="6" t="s">
        <v>208</v>
      </c>
      <c r="T2289" s="6">
        <v>6459.0</v>
      </c>
    </row>
    <row r="2290" ht="56.25" customHeight="1">
      <c r="A2290" s="5" t="s">
        <v>13460</v>
      </c>
      <c r="B2290" s="6" t="str">
        <f>image("https://storage.googleapis.com/acdb/photos/BromideNpcNmlCbr02_Remake_0_0.png")</f>
        <v/>
      </c>
      <c r="C2290" s="5" t="s">
        <v>366</v>
      </c>
      <c r="D2290" s="5" t="s">
        <v>1327</v>
      </c>
      <c r="E2290" s="5" t="s">
        <v>34</v>
      </c>
      <c r="F2290" s="5" t="s">
        <v>34</v>
      </c>
      <c r="G2290" s="5" t="s">
        <v>36</v>
      </c>
      <c r="H2290" s="5" t="s">
        <v>35</v>
      </c>
      <c r="I2290" s="6">
        <v>1.0</v>
      </c>
      <c r="J2290" s="6" t="s">
        <v>37</v>
      </c>
      <c r="K2290" s="6">
        <v>10.0</v>
      </c>
      <c r="L2290" s="5"/>
      <c r="M2290" s="5"/>
      <c r="N2290" s="6" t="s">
        <v>40</v>
      </c>
      <c r="O2290" s="5" t="s">
        <v>5363</v>
      </c>
      <c r="P2290" s="6" t="s">
        <v>42</v>
      </c>
      <c r="Q2290" s="5" t="s">
        <v>1237</v>
      </c>
      <c r="R2290" s="5" t="s">
        <v>13462</v>
      </c>
      <c r="S2290" s="6" t="s">
        <v>50</v>
      </c>
      <c r="T2290" s="6">
        <v>6771.0</v>
      </c>
    </row>
    <row r="2291" ht="56.25" customHeight="1">
      <c r="A2291" s="5" t="s">
        <v>13460</v>
      </c>
      <c r="B2291" s="6" t="str">
        <f>image("https://storage.googleapis.com/acdb/photos/BromideNpcNmlCbr02_Remake_1_0.png")</f>
        <v/>
      </c>
      <c r="C2291" s="5" t="s">
        <v>1132</v>
      </c>
      <c r="D2291" s="5" t="s">
        <v>1327</v>
      </c>
      <c r="E2291" s="5" t="s">
        <v>34</v>
      </c>
      <c r="F2291" s="5" t="s">
        <v>34</v>
      </c>
      <c r="G2291" s="5" t="s">
        <v>36</v>
      </c>
      <c r="H2291" s="5" t="s">
        <v>35</v>
      </c>
      <c r="I2291" s="6">
        <v>1.0</v>
      </c>
      <c r="J2291" s="6" t="s">
        <v>37</v>
      </c>
      <c r="K2291" s="6">
        <v>10.0</v>
      </c>
      <c r="L2291" s="5"/>
      <c r="M2291" s="5"/>
      <c r="N2291" s="6" t="s">
        <v>40</v>
      </c>
      <c r="O2291" s="5" t="s">
        <v>5363</v>
      </c>
      <c r="P2291" s="6" t="s">
        <v>42</v>
      </c>
      <c r="Q2291" s="5" t="s">
        <v>1237</v>
      </c>
      <c r="R2291" s="5" t="s">
        <v>13466</v>
      </c>
      <c r="S2291" s="6" t="s">
        <v>56</v>
      </c>
      <c r="T2291" s="6">
        <v>6771.0</v>
      </c>
    </row>
    <row r="2292" ht="56.25" customHeight="1">
      <c r="A2292" s="5" t="s">
        <v>13460</v>
      </c>
      <c r="B2292" s="6" t="str">
        <f>image("https://storage.googleapis.com/acdb/photos/BromideNpcNmlCbr02_Remake_2_0.png")</f>
        <v/>
      </c>
      <c r="C2292" s="5" t="s">
        <v>688</v>
      </c>
      <c r="D2292" s="5" t="s">
        <v>1327</v>
      </c>
      <c r="E2292" s="5" t="s">
        <v>34</v>
      </c>
      <c r="F2292" s="5" t="s">
        <v>34</v>
      </c>
      <c r="G2292" s="5" t="s">
        <v>36</v>
      </c>
      <c r="H2292" s="5" t="s">
        <v>35</v>
      </c>
      <c r="I2292" s="6">
        <v>1.0</v>
      </c>
      <c r="J2292" s="6" t="s">
        <v>37</v>
      </c>
      <c r="K2292" s="6">
        <v>10.0</v>
      </c>
      <c r="L2292" s="5"/>
      <c r="M2292" s="5"/>
      <c r="N2292" s="6" t="s">
        <v>40</v>
      </c>
      <c r="O2292" s="5" t="s">
        <v>5363</v>
      </c>
      <c r="P2292" s="6" t="s">
        <v>42</v>
      </c>
      <c r="Q2292" s="5" t="s">
        <v>1237</v>
      </c>
      <c r="R2292" s="5" t="s">
        <v>13470</v>
      </c>
      <c r="S2292" s="6" t="s">
        <v>67</v>
      </c>
      <c r="T2292" s="6">
        <v>6771.0</v>
      </c>
    </row>
    <row r="2293" ht="56.25" customHeight="1">
      <c r="A2293" s="5" t="s">
        <v>13460</v>
      </c>
      <c r="B2293" s="6" t="str">
        <f>image("https://storage.googleapis.com/acdb/photos/BromideNpcNmlCbr02_Remake_3_0.png")</f>
        <v/>
      </c>
      <c r="C2293" s="5" t="s">
        <v>57</v>
      </c>
      <c r="D2293" s="5" t="s">
        <v>1327</v>
      </c>
      <c r="E2293" s="5" t="s">
        <v>34</v>
      </c>
      <c r="F2293" s="5" t="s">
        <v>34</v>
      </c>
      <c r="G2293" s="5" t="s">
        <v>36</v>
      </c>
      <c r="H2293" s="5" t="s">
        <v>35</v>
      </c>
      <c r="I2293" s="6">
        <v>1.0</v>
      </c>
      <c r="J2293" s="6" t="s">
        <v>37</v>
      </c>
      <c r="K2293" s="6">
        <v>10.0</v>
      </c>
      <c r="L2293" s="5"/>
      <c r="M2293" s="5"/>
      <c r="N2293" s="6" t="s">
        <v>40</v>
      </c>
      <c r="O2293" s="5" t="s">
        <v>5363</v>
      </c>
      <c r="P2293" s="6" t="s">
        <v>42</v>
      </c>
      <c r="Q2293" s="5" t="s">
        <v>1237</v>
      </c>
      <c r="R2293" s="5" t="s">
        <v>13472</v>
      </c>
      <c r="S2293" s="6" t="s">
        <v>71</v>
      </c>
      <c r="T2293" s="6">
        <v>6771.0</v>
      </c>
    </row>
    <row r="2294" ht="56.25" customHeight="1">
      <c r="A2294" s="5" t="s">
        <v>13460</v>
      </c>
      <c r="B2294" s="6" t="str">
        <f>image("https://storage.googleapis.com/acdb/photos/BromideNpcNmlCbr02_Remake_4_0.png")</f>
        <v/>
      </c>
      <c r="C2294" s="5" t="s">
        <v>1167</v>
      </c>
      <c r="D2294" s="5" t="s">
        <v>1327</v>
      </c>
      <c r="E2294" s="5" t="s">
        <v>34</v>
      </c>
      <c r="F2294" s="5" t="s">
        <v>34</v>
      </c>
      <c r="G2294" s="5" t="s">
        <v>36</v>
      </c>
      <c r="H2294" s="5" t="s">
        <v>35</v>
      </c>
      <c r="I2294" s="6">
        <v>1.0</v>
      </c>
      <c r="J2294" s="6" t="s">
        <v>37</v>
      </c>
      <c r="K2294" s="6">
        <v>10.0</v>
      </c>
      <c r="L2294" s="5"/>
      <c r="M2294" s="5"/>
      <c r="N2294" s="6" t="s">
        <v>40</v>
      </c>
      <c r="O2294" s="5" t="s">
        <v>5363</v>
      </c>
      <c r="P2294" s="6" t="s">
        <v>42</v>
      </c>
      <c r="Q2294" s="5" t="s">
        <v>1237</v>
      </c>
      <c r="R2294" s="5" t="s">
        <v>13476</v>
      </c>
      <c r="S2294" s="6" t="s">
        <v>75</v>
      </c>
      <c r="T2294" s="6">
        <v>6771.0</v>
      </c>
    </row>
    <row r="2295" ht="56.25" customHeight="1">
      <c r="A2295" s="5" t="s">
        <v>13460</v>
      </c>
      <c r="B2295" s="6" t="str">
        <f>image("https://storage.googleapis.com/acdb/photos/BromideNpcNmlCbr02_Remake_5_0.png")</f>
        <v/>
      </c>
      <c r="C2295" s="5" t="s">
        <v>58</v>
      </c>
      <c r="D2295" s="5" t="s">
        <v>1327</v>
      </c>
      <c r="E2295" s="5" t="s">
        <v>34</v>
      </c>
      <c r="F2295" s="5" t="s">
        <v>34</v>
      </c>
      <c r="G2295" s="5" t="s">
        <v>36</v>
      </c>
      <c r="H2295" s="5" t="s">
        <v>35</v>
      </c>
      <c r="I2295" s="6">
        <v>1.0</v>
      </c>
      <c r="J2295" s="6" t="s">
        <v>37</v>
      </c>
      <c r="K2295" s="6">
        <v>10.0</v>
      </c>
      <c r="L2295" s="5"/>
      <c r="M2295" s="5"/>
      <c r="N2295" s="6" t="s">
        <v>40</v>
      </c>
      <c r="O2295" s="5" t="s">
        <v>5363</v>
      </c>
      <c r="P2295" s="6" t="s">
        <v>42</v>
      </c>
      <c r="Q2295" s="5" t="s">
        <v>1237</v>
      </c>
      <c r="R2295" s="5" t="s">
        <v>13478</v>
      </c>
      <c r="S2295" s="6" t="s">
        <v>79</v>
      </c>
      <c r="T2295" s="6">
        <v>6771.0</v>
      </c>
    </row>
    <row r="2296" ht="56.25" customHeight="1">
      <c r="A2296" s="5" t="s">
        <v>13460</v>
      </c>
      <c r="B2296" s="6" t="str">
        <f>image("https://storage.googleapis.com/acdb/photos/BromideNpcNmlCbr02_Remake_6_0.png")</f>
        <v/>
      </c>
      <c r="C2296" s="5" t="s">
        <v>146</v>
      </c>
      <c r="D2296" s="5" t="s">
        <v>1327</v>
      </c>
      <c r="E2296" s="5" t="s">
        <v>34</v>
      </c>
      <c r="F2296" s="5" t="s">
        <v>34</v>
      </c>
      <c r="G2296" s="5" t="s">
        <v>36</v>
      </c>
      <c r="H2296" s="5" t="s">
        <v>35</v>
      </c>
      <c r="I2296" s="6">
        <v>1.0</v>
      </c>
      <c r="J2296" s="6" t="s">
        <v>37</v>
      </c>
      <c r="K2296" s="6">
        <v>10.0</v>
      </c>
      <c r="L2296" s="5"/>
      <c r="M2296" s="5"/>
      <c r="N2296" s="6" t="s">
        <v>40</v>
      </c>
      <c r="O2296" s="5" t="s">
        <v>5363</v>
      </c>
      <c r="P2296" s="6" t="s">
        <v>42</v>
      </c>
      <c r="Q2296" s="5" t="s">
        <v>1237</v>
      </c>
      <c r="R2296" s="5" t="s">
        <v>13480</v>
      </c>
      <c r="S2296" s="6" t="s">
        <v>86</v>
      </c>
      <c r="T2296" s="6">
        <v>6771.0</v>
      </c>
    </row>
    <row r="2297" ht="56.25" customHeight="1">
      <c r="A2297" s="5" t="s">
        <v>13460</v>
      </c>
      <c r="B2297" s="6" t="str">
        <f>image("https://storage.googleapis.com/acdb/photos/BromideNpcNmlCbr02_Remake_7_0.png")</f>
        <v/>
      </c>
      <c r="C2297" s="5" t="s">
        <v>151</v>
      </c>
      <c r="D2297" s="5" t="s">
        <v>1327</v>
      </c>
      <c r="E2297" s="5" t="s">
        <v>34</v>
      </c>
      <c r="F2297" s="5" t="s">
        <v>34</v>
      </c>
      <c r="G2297" s="5" t="s">
        <v>36</v>
      </c>
      <c r="H2297" s="5" t="s">
        <v>35</v>
      </c>
      <c r="I2297" s="6">
        <v>1.0</v>
      </c>
      <c r="J2297" s="6" t="s">
        <v>37</v>
      </c>
      <c r="K2297" s="6">
        <v>10.0</v>
      </c>
      <c r="L2297" s="5"/>
      <c r="M2297" s="5"/>
      <c r="N2297" s="6" t="s">
        <v>40</v>
      </c>
      <c r="O2297" s="5" t="s">
        <v>5363</v>
      </c>
      <c r="P2297" s="6" t="s">
        <v>42</v>
      </c>
      <c r="Q2297" s="5" t="s">
        <v>1237</v>
      </c>
      <c r="R2297" s="5" t="s">
        <v>13484</v>
      </c>
      <c r="S2297" s="6" t="s">
        <v>208</v>
      </c>
      <c r="T2297" s="6">
        <v>6771.0</v>
      </c>
    </row>
    <row r="2298" ht="56.25" customHeight="1">
      <c r="A2298" s="5" t="s">
        <v>13485</v>
      </c>
      <c r="B2298" s="6" t="str">
        <f>image("https://storage.googleapis.com/acdb/photos/BromideNpcNmlSqu15_Remake_0_0.png")</f>
        <v/>
      </c>
      <c r="C2298" s="5" t="s">
        <v>366</v>
      </c>
      <c r="D2298" s="5" t="s">
        <v>1327</v>
      </c>
      <c r="E2298" s="5" t="s">
        <v>34</v>
      </c>
      <c r="F2298" s="5" t="s">
        <v>34</v>
      </c>
      <c r="G2298" s="5" t="s">
        <v>36</v>
      </c>
      <c r="H2298" s="5" t="s">
        <v>35</v>
      </c>
      <c r="I2298" s="6">
        <v>1.0</v>
      </c>
      <c r="J2298" s="6" t="s">
        <v>37</v>
      </c>
      <c r="K2298" s="6">
        <v>10.0</v>
      </c>
      <c r="L2298" s="5"/>
      <c r="M2298" s="5"/>
      <c r="N2298" s="6" t="s">
        <v>40</v>
      </c>
      <c r="O2298" s="5" t="s">
        <v>5363</v>
      </c>
      <c r="P2298" s="6" t="s">
        <v>42</v>
      </c>
      <c r="Q2298" s="5" t="s">
        <v>1237</v>
      </c>
      <c r="R2298" s="5" t="s">
        <v>13487</v>
      </c>
      <c r="S2298" s="6" t="s">
        <v>50</v>
      </c>
      <c r="T2298" s="6">
        <v>6719.0</v>
      </c>
    </row>
    <row r="2299" ht="56.25" customHeight="1">
      <c r="A2299" s="5" t="s">
        <v>13485</v>
      </c>
      <c r="B2299" s="6" t="str">
        <f>image("https://storage.googleapis.com/acdb/photos/BromideNpcNmlSqu15_Remake_1_0.png")</f>
        <v/>
      </c>
      <c r="C2299" s="5" t="s">
        <v>1132</v>
      </c>
      <c r="D2299" s="5" t="s">
        <v>1327</v>
      </c>
      <c r="E2299" s="5" t="s">
        <v>34</v>
      </c>
      <c r="F2299" s="5" t="s">
        <v>34</v>
      </c>
      <c r="G2299" s="5" t="s">
        <v>36</v>
      </c>
      <c r="H2299" s="5" t="s">
        <v>35</v>
      </c>
      <c r="I2299" s="6">
        <v>1.0</v>
      </c>
      <c r="J2299" s="6" t="s">
        <v>37</v>
      </c>
      <c r="K2299" s="6">
        <v>10.0</v>
      </c>
      <c r="L2299" s="5"/>
      <c r="M2299" s="5"/>
      <c r="N2299" s="6" t="s">
        <v>40</v>
      </c>
      <c r="O2299" s="5" t="s">
        <v>5363</v>
      </c>
      <c r="P2299" s="6" t="s">
        <v>42</v>
      </c>
      <c r="Q2299" s="5" t="s">
        <v>1237</v>
      </c>
      <c r="R2299" s="5" t="s">
        <v>13491</v>
      </c>
      <c r="S2299" s="6" t="s">
        <v>56</v>
      </c>
      <c r="T2299" s="6">
        <v>6719.0</v>
      </c>
    </row>
    <row r="2300" ht="56.25" customHeight="1">
      <c r="A2300" s="5" t="s">
        <v>13485</v>
      </c>
      <c r="B2300" s="6" t="str">
        <f>image("https://storage.googleapis.com/acdb/photos/BromideNpcNmlSqu15_Remake_2_0.png")</f>
        <v/>
      </c>
      <c r="C2300" s="5" t="s">
        <v>688</v>
      </c>
      <c r="D2300" s="5" t="s">
        <v>1327</v>
      </c>
      <c r="E2300" s="5" t="s">
        <v>34</v>
      </c>
      <c r="F2300" s="5" t="s">
        <v>34</v>
      </c>
      <c r="G2300" s="5" t="s">
        <v>36</v>
      </c>
      <c r="H2300" s="5" t="s">
        <v>35</v>
      </c>
      <c r="I2300" s="6">
        <v>1.0</v>
      </c>
      <c r="J2300" s="6" t="s">
        <v>37</v>
      </c>
      <c r="K2300" s="6">
        <v>10.0</v>
      </c>
      <c r="L2300" s="5"/>
      <c r="M2300" s="5"/>
      <c r="N2300" s="6" t="s">
        <v>40</v>
      </c>
      <c r="O2300" s="5" t="s">
        <v>5363</v>
      </c>
      <c r="P2300" s="6" t="s">
        <v>42</v>
      </c>
      <c r="Q2300" s="5" t="s">
        <v>1237</v>
      </c>
      <c r="R2300" s="5" t="s">
        <v>13495</v>
      </c>
      <c r="S2300" s="6" t="s">
        <v>67</v>
      </c>
      <c r="T2300" s="6">
        <v>6719.0</v>
      </c>
    </row>
    <row r="2301" ht="56.25" customHeight="1">
      <c r="A2301" s="5" t="s">
        <v>13485</v>
      </c>
      <c r="B2301" s="6" t="str">
        <f>image("https://storage.googleapis.com/acdb/photos/BromideNpcNmlSqu15_Remake_3_0.png")</f>
        <v/>
      </c>
      <c r="C2301" s="5" t="s">
        <v>57</v>
      </c>
      <c r="D2301" s="5" t="s">
        <v>1327</v>
      </c>
      <c r="E2301" s="5" t="s">
        <v>34</v>
      </c>
      <c r="F2301" s="5" t="s">
        <v>34</v>
      </c>
      <c r="G2301" s="5" t="s">
        <v>36</v>
      </c>
      <c r="H2301" s="5" t="s">
        <v>35</v>
      </c>
      <c r="I2301" s="6">
        <v>1.0</v>
      </c>
      <c r="J2301" s="6" t="s">
        <v>37</v>
      </c>
      <c r="K2301" s="6">
        <v>10.0</v>
      </c>
      <c r="L2301" s="5"/>
      <c r="M2301" s="5"/>
      <c r="N2301" s="6" t="s">
        <v>40</v>
      </c>
      <c r="O2301" s="5" t="s">
        <v>5363</v>
      </c>
      <c r="P2301" s="6" t="s">
        <v>42</v>
      </c>
      <c r="Q2301" s="5" t="s">
        <v>1237</v>
      </c>
      <c r="R2301" s="5" t="s">
        <v>13497</v>
      </c>
      <c r="S2301" s="6" t="s">
        <v>71</v>
      </c>
      <c r="T2301" s="6">
        <v>6719.0</v>
      </c>
    </row>
    <row r="2302" ht="56.25" customHeight="1">
      <c r="A2302" s="5" t="s">
        <v>13485</v>
      </c>
      <c r="B2302" s="6" t="str">
        <f>image("https://storage.googleapis.com/acdb/photos/BromideNpcNmlSqu15_Remake_4_0.png")</f>
        <v/>
      </c>
      <c r="C2302" s="5" t="s">
        <v>1167</v>
      </c>
      <c r="D2302" s="5" t="s">
        <v>1327</v>
      </c>
      <c r="E2302" s="5" t="s">
        <v>34</v>
      </c>
      <c r="F2302" s="5" t="s">
        <v>34</v>
      </c>
      <c r="G2302" s="5" t="s">
        <v>36</v>
      </c>
      <c r="H2302" s="5" t="s">
        <v>35</v>
      </c>
      <c r="I2302" s="6">
        <v>1.0</v>
      </c>
      <c r="J2302" s="6" t="s">
        <v>37</v>
      </c>
      <c r="K2302" s="6">
        <v>10.0</v>
      </c>
      <c r="L2302" s="5"/>
      <c r="M2302" s="5"/>
      <c r="N2302" s="6" t="s">
        <v>40</v>
      </c>
      <c r="O2302" s="5" t="s">
        <v>5363</v>
      </c>
      <c r="P2302" s="6" t="s">
        <v>42</v>
      </c>
      <c r="Q2302" s="5" t="s">
        <v>1237</v>
      </c>
      <c r="R2302" s="5" t="s">
        <v>13500</v>
      </c>
      <c r="S2302" s="6" t="s">
        <v>75</v>
      </c>
      <c r="T2302" s="6">
        <v>6719.0</v>
      </c>
    </row>
    <row r="2303" ht="56.25" customHeight="1">
      <c r="A2303" s="5" t="s">
        <v>13485</v>
      </c>
      <c r="B2303" s="6" t="str">
        <f>image("https://storage.googleapis.com/acdb/photos/BromideNpcNmlSqu15_Remake_5_0.png")</f>
        <v/>
      </c>
      <c r="C2303" s="5" t="s">
        <v>58</v>
      </c>
      <c r="D2303" s="5" t="s">
        <v>1327</v>
      </c>
      <c r="E2303" s="5" t="s">
        <v>34</v>
      </c>
      <c r="F2303" s="5" t="s">
        <v>34</v>
      </c>
      <c r="G2303" s="5" t="s">
        <v>36</v>
      </c>
      <c r="H2303" s="5" t="s">
        <v>35</v>
      </c>
      <c r="I2303" s="6">
        <v>1.0</v>
      </c>
      <c r="J2303" s="6" t="s">
        <v>37</v>
      </c>
      <c r="K2303" s="6">
        <v>10.0</v>
      </c>
      <c r="L2303" s="5"/>
      <c r="M2303" s="5"/>
      <c r="N2303" s="6" t="s">
        <v>40</v>
      </c>
      <c r="O2303" s="5" t="s">
        <v>5363</v>
      </c>
      <c r="P2303" s="6" t="s">
        <v>42</v>
      </c>
      <c r="Q2303" s="5" t="s">
        <v>1237</v>
      </c>
      <c r="R2303" s="5" t="s">
        <v>13502</v>
      </c>
      <c r="S2303" s="6" t="s">
        <v>79</v>
      </c>
      <c r="T2303" s="6">
        <v>6719.0</v>
      </c>
    </row>
    <row r="2304" ht="56.25" customHeight="1">
      <c r="A2304" s="5" t="s">
        <v>13485</v>
      </c>
      <c r="B2304" s="6" t="str">
        <f>image("https://storage.googleapis.com/acdb/photos/BromideNpcNmlSqu15_Remake_6_0.png")</f>
        <v/>
      </c>
      <c r="C2304" s="5" t="s">
        <v>146</v>
      </c>
      <c r="D2304" s="5" t="s">
        <v>1327</v>
      </c>
      <c r="E2304" s="5" t="s">
        <v>34</v>
      </c>
      <c r="F2304" s="5" t="s">
        <v>34</v>
      </c>
      <c r="G2304" s="5" t="s">
        <v>36</v>
      </c>
      <c r="H2304" s="5" t="s">
        <v>35</v>
      </c>
      <c r="I2304" s="6">
        <v>1.0</v>
      </c>
      <c r="J2304" s="6" t="s">
        <v>37</v>
      </c>
      <c r="K2304" s="6">
        <v>10.0</v>
      </c>
      <c r="L2304" s="5"/>
      <c r="M2304" s="5"/>
      <c r="N2304" s="6" t="s">
        <v>40</v>
      </c>
      <c r="O2304" s="5" t="s">
        <v>5363</v>
      </c>
      <c r="P2304" s="6" t="s">
        <v>42</v>
      </c>
      <c r="Q2304" s="5" t="s">
        <v>1237</v>
      </c>
      <c r="R2304" s="5" t="s">
        <v>13506</v>
      </c>
      <c r="S2304" s="6" t="s">
        <v>86</v>
      </c>
      <c r="T2304" s="6">
        <v>6719.0</v>
      </c>
    </row>
    <row r="2305" ht="56.25" customHeight="1">
      <c r="A2305" s="5" t="s">
        <v>13485</v>
      </c>
      <c r="B2305" s="6" t="str">
        <f>image("https://storage.googleapis.com/acdb/photos/BromideNpcNmlSqu15_Remake_7_0.png")</f>
        <v/>
      </c>
      <c r="C2305" s="5" t="s">
        <v>151</v>
      </c>
      <c r="D2305" s="5" t="s">
        <v>1327</v>
      </c>
      <c r="E2305" s="5" t="s">
        <v>34</v>
      </c>
      <c r="F2305" s="5" t="s">
        <v>34</v>
      </c>
      <c r="G2305" s="5" t="s">
        <v>36</v>
      </c>
      <c r="H2305" s="5" t="s">
        <v>35</v>
      </c>
      <c r="I2305" s="6">
        <v>1.0</v>
      </c>
      <c r="J2305" s="6" t="s">
        <v>37</v>
      </c>
      <c r="K2305" s="6">
        <v>10.0</v>
      </c>
      <c r="L2305" s="5"/>
      <c r="M2305" s="5"/>
      <c r="N2305" s="6" t="s">
        <v>40</v>
      </c>
      <c r="O2305" s="5" t="s">
        <v>5363</v>
      </c>
      <c r="P2305" s="6" t="s">
        <v>42</v>
      </c>
      <c r="Q2305" s="5" t="s">
        <v>1237</v>
      </c>
      <c r="R2305" s="5" t="s">
        <v>13508</v>
      </c>
      <c r="S2305" s="6" t="s">
        <v>208</v>
      </c>
      <c r="T2305" s="6">
        <v>6719.0</v>
      </c>
    </row>
    <row r="2306" ht="56.25" customHeight="1">
      <c r="A2306" s="5" t="s">
        <v>13509</v>
      </c>
      <c r="B2306" s="6" t="str">
        <f>image("https://storage.googleapis.com/acdb/photos/BromideNpcNmlDog05_Remake_0_0.png")</f>
        <v/>
      </c>
      <c r="C2306" s="5" t="s">
        <v>366</v>
      </c>
      <c r="D2306" s="5" t="s">
        <v>1327</v>
      </c>
      <c r="E2306" s="5" t="s">
        <v>34</v>
      </c>
      <c r="F2306" s="5" t="s">
        <v>34</v>
      </c>
      <c r="G2306" s="5" t="s">
        <v>36</v>
      </c>
      <c r="H2306" s="5" t="s">
        <v>35</v>
      </c>
      <c r="I2306" s="6">
        <v>1.0</v>
      </c>
      <c r="J2306" s="6" t="s">
        <v>37</v>
      </c>
      <c r="K2306" s="6">
        <v>10.0</v>
      </c>
      <c r="L2306" s="5"/>
      <c r="M2306" s="5"/>
      <c r="N2306" s="6" t="s">
        <v>40</v>
      </c>
      <c r="O2306" s="5" t="s">
        <v>5363</v>
      </c>
      <c r="P2306" s="6" t="s">
        <v>42</v>
      </c>
      <c r="Q2306" s="5" t="s">
        <v>1237</v>
      </c>
      <c r="R2306" s="5" t="s">
        <v>13513</v>
      </c>
      <c r="S2306" s="6" t="s">
        <v>50</v>
      </c>
      <c r="T2306" s="6">
        <v>6442.0</v>
      </c>
    </row>
    <row r="2307" ht="56.25" customHeight="1">
      <c r="A2307" s="5" t="s">
        <v>13509</v>
      </c>
      <c r="B2307" s="6" t="str">
        <f>image("https://storage.googleapis.com/acdb/photos/BromideNpcNmlDog05_Remake_1_0.png")</f>
        <v/>
      </c>
      <c r="C2307" s="5" t="s">
        <v>1132</v>
      </c>
      <c r="D2307" s="5" t="s">
        <v>1327</v>
      </c>
      <c r="E2307" s="5" t="s">
        <v>34</v>
      </c>
      <c r="F2307" s="5" t="s">
        <v>34</v>
      </c>
      <c r="G2307" s="5" t="s">
        <v>36</v>
      </c>
      <c r="H2307" s="5" t="s">
        <v>35</v>
      </c>
      <c r="I2307" s="6">
        <v>1.0</v>
      </c>
      <c r="J2307" s="6" t="s">
        <v>37</v>
      </c>
      <c r="K2307" s="6">
        <v>10.0</v>
      </c>
      <c r="L2307" s="5"/>
      <c r="M2307" s="5"/>
      <c r="N2307" s="6" t="s">
        <v>40</v>
      </c>
      <c r="O2307" s="5" t="s">
        <v>5363</v>
      </c>
      <c r="P2307" s="6" t="s">
        <v>42</v>
      </c>
      <c r="Q2307" s="5" t="s">
        <v>1237</v>
      </c>
      <c r="R2307" s="5" t="s">
        <v>13515</v>
      </c>
      <c r="S2307" s="6" t="s">
        <v>56</v>
      </c>
      <c r="T2307" s="6">
        <v>6442.0</v>
      </c>
    </row>
    <row r="2308" ht="56.25" customHeight="1">
      <c r="A2308" s="5" t="s">
        <v>13509</v>
      </c>
      <c r="B2308" s="6" t="str">
        <f>image("https://storage.googleapis.com/acdb/photos/BromideNpcNmlDog05_Remake_2_0.png")</f>
        <v/>
      </c>
      <c r="C2308" s="5" t="s">
        <v>688</v>
      </c>
      <c r="D2308" s="5" t="s">
        <v>1327</v>
      </c>
      <c r="E2308" s="5" t="s">
        <v>34</v>
      </c>
      <c r="F2308" s="5" t="s">
        <v>34</v>
      </c>
      <c r="G2308" s="5" t="s">
        <v>36</v>
      </c>
      <c r="H2308" s="5" t="s">
        <v>35</v>
      </c>
      <c r="I2308" s="6">
        <v>1.0</v>
      </c>
      <c r="J2308" s="6" t="s">
        <v>37</v>
      </c>
      <c r="K2308" s="6">
        <v>10.0</v>
      </c>
      <c r="L2308" s="5"/>
      <c r="M2308" s="5"/>
      <c r="N2308" s="6" t="s">
        <v>40</v>
      </c>
      <c r="O2308" s="5" t="s">
        <v>5363</v>
      </c>
      <c r="P2308" s="6" t="s">
        <v>42</v>
      </c>
      <c r="Q2308" s="5" t="s">
        <v>1237</v>
      </c>
      <c r="R2308" s="5" t="s">
        <v>13517</v>
      </c>
      <c r="S2308" s="6" t="s">
        <v>67</v>
      </c>
      <c r="T2308" s="6">
        <v>6442.0</v>
      </c>
    </row>
    <row r="2309" ht="56.25" customHeight="1">
      <c r="A2309" s="5" t="s">
        <v>13509</v>
      </c>
      <c r="B2309" s="6" t="str">
        <f>image("https://storage.googleapis.com/acdb/photos/BromideNpcNmlDog05_Remake_3_0.png")</f>
        <v/>
      </c>
      <c r="C2309" s="5" t="s">
        <v>57</v>
      </c>
      <c r="D2309" s="5" t="s">
        <v>1327</v>
      </c>
      <c r="E2309" s="5" t="s">
        <v>34</v>
      </c>
      <c r="F2309" s="5" t="s">
        <v>34</v>
      </c>
      <c r="G2309" s="5" t="s">
        <v>36</v>
      </c>
      <c r="H2309" s="5" t="s">
        <v>35</v>
      </c>
      <c r="I2309" s="6">
        <v>1.0</v>
      </c>
      <c r="J2309" s="6" t="s">
        <v>37</v>
      </c>
      <c r="K2309" s="6">
        <v>10.0</v>
      </c>
      <c r="L2309" s="5"/>
      <c r="M2309" s="5"/>
      <c r="N2309" s="6" t="s">
        <v>40</v>
      </c>
      <c r="O2309" s="5" t="s">
        <v>5363</v>
      </c>
      <c r="P2309" s="6" t="s">
        <v>42</v>
      </c>
      <c r="Q2309" s="5" t="s">
        <v>1237</v>
      </c>
      <c r="R2309" s="5" t="s">
        <v>13521</v>
      </c>
      <c r="S2309" s="6" t="s">
        <v>71</v>
      </c>
      <c r="T2309" s="6">
        <v>6442.0</v>
      </c>
    </row>
    <row r="2310" ht="56.25" customHeight="1">
      <c r="A2310" s="5" t="s">
        <v>13509</v>
      </c>
      <c r="B2310" s="6" t="str">
        <f>image("https://storage.googleapis.com/acdb/photos/BromideNpcNmlDog05_Remake_4_0.png")</f>
        <v/>
      </c>
      <c r="C2310" s="5" t="s">
        <v>1167</v>
      </c>
      <c r="D2310" s="5" t="s">
        <v>1327</v>
      </c>
      <c r="E2310" s="5" t="s">
        <v>34</v>
      </c>
      <c r="F2310" s="5" t="s">
        <v>34</v>
      </c>
      <c r="G2310" s="5" t="s">
        <v>36</v>
      </c>
      <c r="H2310" s="5" t="s">
        <v>35</v>
      </c>
      <c r="I2310" s="6">
        <v>1.0</v>
      </c>
      <c r="J2310" s="6" t="s">
        <v>37</v>
      </c>
      <c r="K2310" s="6">
        <v>10.0</v>
      </c>
      <c r="L2310" s="5"/>
      <c r="M2310" s="5"/>
      <c r="N2310" s="6" t="s">
        <v>40</v>
      </c>
      <c r="O2310" s="5" t="s">
        <v>5363</v>
      </c>
      <c r="P2310" s="6" t="s">
        <v>42</v>
      </c>
      <c r="Q2310" s="5" t="s">
        <v>1237</v>
      </c>
      <c r="R2310" s="5" t="s">
        <v>13523</v>
      </c>
      <c r="S2310" s="6" t="s">
        <v>75</v>
      </c>
      <c r="T2310" s="6">
        <v>6442.0</v>
      </c>
    </row>
    <row r="2311" ht="56.25" customHeight="1">
      <c r="A2311" s="5" t="s">
        <v>13509</v>
      </c>
      <c r="B2311" s="6" t="str">
        <f>image("https://storage.googleapis.com/acdb/photos/BromideNpcNmlDog05_Remake_5_0.png")</f>
        <v/>
      </c>
      <c r="C2311" s="5" t="s">
        <v>58</v>
      </c>
      <c r="D2311" s="5" t="s">
        <v>1327</v>
      </c>
      <c r="E2311" s="5" t="s">
        <v>34</v>
      </c>
      <c r="F2311" s="5" t="s">
        <v>34</v>
      </c>
      <c r="G2311" s="5" t="s">
        <v>36</v>
      </c>
      <c r="H2311" s="5" t="s">
        <v>35</v>
      </c>
      <c r="I2311" s="6">
        <v>1.0</v>
      </c>
      <c r="J2311" s="6" t="s">
        <v>37</v>
      </c>
      <c r="K2311" s="6">
        <v>10.0</v>
      </c>
      <c r="L2311" s="5"/>
      <c r="M2311" s="5"/>
      <c r="N2311" s="6" t="s">
        <v>40</v>
      </c>
      <c r="O2311" s="5" t="s">
        <v>5363</v>
      </c>
      <c r="P2311" s="6" t="s">
        <v>42</v>
      </c>
      <c r="Q2311" s="5" t="s">
        <v>1237</v>
      </c>
      <c r="R2311" s="5" t="s">
        <v>13526</v>
      </c>
      <c r="S2311" s="6" t="s">
        <v>79</v>
      </c>
      <c r="T2311" s="6">
        <v>6442.0</v>
      </c>
    </row>
    <row r="2312" ht="56.25" customHeight="1">
      <c r="A2312" s="5" t="s">
        <v>13509</v>
      </c>
      <c r="B2312" s="6" t="str">
        <f>image("https://storage.googleapis.com/acdb/photos/BromideNpcNmlDog05_Remake_6_0.png")</f>
        <v/>
      </c>
      <c r="C2312" s="5" t="s">
        <v>146</v>
      </c>
      <c r="D2312" s="5" t="s">
        <v>1327</v>
      </c>
      <c r="E2312" s="5" t="s">
        <v>34</v>
      </c>
      <c r="F2312" s="5" t="s">
        <v>34</v>
      </c>
      <c r="G2312" s="5" t="s">
        <v>36</v>
      </c>
      <c r="H2312" s="5" t="s">
        <v>35</v>
      </c>
      <c r="I2312" s="6">
        <v>1.0</v>
      </c>
      <c r="J2312" s="6" t="s">
        <v>37</v>
      </c>
      <c r="K2312" s="6">
        <v>10.0</v>
      </c>
      <c r="L2312" s="5"/>
      <c r="M2312" s="5"/>
      <c r="N2312" s="6" t="s">
        <v>40</v>
      </c>
      <c r="O2312" s="5" t="s">
        <v>5363</v>
      </c>
      <c r="P2312" s="6" t="s">
        <v>42</v>
      </c>
      <c r="Q2312" s="5" t="s">
        <v>1237</v>
      </c>
      <c r="R2312" s="5" t="s">
        <v>13528</v>
      </c>
      <c r="S2312" s="6" t="s">
        <v>86</v>
      </c>
      <c r="T2312" s="6">
        <v>6442.0</v>
      </c>
    </row>
    <row r="2313" ht="56.25" customHeight="1">
      <c r="A2313" s="5" t="s">
        <v>13509</v>
      </c>
      <c r="B2313" s="6" t="str">
        <f>image("https://storage.googleapis.com/acdb/photos/BromideNpcNmlDog05_Remake_7_0.png")</f>
        <v/>
      </c>
      <c r="C2313" s="5" t="s">
        <v>151</v>
      </c>
      <c r="D2313" s="5" t="s">
        <v>1327</v>
      </c>
      <c r="E2313" s="5" t="s">
        <v>34</v>
      </c>
      <c r="F2313" s="5" t="s">
        <v>34</v>
      </c>
      <c r="G2313" s="5" t="s">
        <v>36</v>
      </c>
      <c r="H2313" s="5" t="s">
        <v>35</v>
      </c>
      <c r="I2313" s="6">
        <v>1.0</v>
      </c>
      <c r="J2313" s="6" t="s">
        <v>37</v>
      </c>
      <c r="K2313" s="6">
        <v>10.0</v>
      </c>
      <c r="L2313" s="5"/>
      <c r="M2313" s="5"/>
      <c r="N2313" s="6" t="s">
        <v>40</v>
      </c>
      <c r="O2313" s="5" t="s">
        <v>5363</v>
      </c>
      <c r="P2313" s="6" t="s">
        <v>42</v>
      </c>
      <c r="Q2313" s="5" t="s">
        <v>1237</v>
      </c>
      <c r="R2313" s="5" t="s">
        <v>13531</v>
      </c>
      <c r="S2313" s="6" t="s">
        <v>208</v>
      </c>
      <c r="T2313" s="6">
        <v>6442.0</v>
      </c>
    </row>
    <row r="2314" ht="56.25" customHeight="1">
      <c r="A2314" s="5" t="s">
        <v>13533</v>
      </c>
      <c r="B2314" s="6" t="str">
        <f>image("https://storage.googleapis.com/acdb/photos/BromideNpcNmlFlg12_Remake_0_0.png")</f>
        <v/>
      </c>
      <c r="C2314" s="5" t="s">
        <v>366</v>
      </c>
      <c r="D2314" s="5" t="s">
        <v>1327</v>
      </c>
      <c r="E2314" s="5" t="s">
        <v>34</v>
      </c>
      <c r="F2314" s="5" t="s">
        <v>34</v>
      </c>
      <c r="G2314" s="5" t="s">
        <v>36</v>
      </c>
      <c r="H2314" s="5" t="s">
        <v>35</v>
      </c>
      <c r="I2314" s="6">
        <v>1.0</v>
      </c>
      <c r="J2314" s="6" t="s">
        <v>37</v>
      </c>
      <c r="K2314" s="6">
        <v>10.0</v>
      </c>
      <c r="L2314" s="5"/>
      <c r="M2314" s="5"/>
      <c r="N2314" s="6" t="s">
        <v>40</v>
      </c>
      <c r="O2314" s="5" t="s">
        <v>5363</v>
      </c>
      <c r="P2314" s="6" t="s">
        <v>42</v>
      </c>
      <c r="Q2314" s="5" t="s">
        <v>1237</v>
      </c>
      <c r="R2314" s="5" t="s">
        <v>13535</v>
      </c>
      <c r="S2314" s="6" t="s">
        <v>50</v>
      </c>
      <c r="T2314" s="6">
        <v>6496.0</v>
      </c>
    </row>
    <row r="2315" ht="56.25" customHeight="1">
      <c r="A2315" s="5" t="s">
        <v>13533</v>
      </c>
      <c r="B2315" s="6" t="str">
        <f>image("https://storage.googleapis.com/acdb/photos/BromideNpcNmlFlg12_Remake_1_0.png")</f>
        <v/>
      </c>
      <c r="C2315" s="5" t="s">
        <v>1132</v>
      </c>
      <c r="D2315" s="5" t="s">
        <v>1327</v>
      </c>
      <c r="E2315" s="5" t="s">
        <v>34</v>
      </c>
      <c r="F2315" s="5" t="s">
        <v>34</v>
      </c>
      <c r="G2315" s="5" t="s">
        <v>36</v>
      </c>
      <c r="H2315" s="5" t="s">
        <v>35</v>
      </c>
      <c r="I2315" s="6">
        <v>1.0</v>
      </c>
      <c r="J2315" s="6" t="s">
        <v>37</v>
      </c>
      <c r="K2315" s="6">
        <v>10.0</v>
      </c>
      <c r="L2315" s="5"/>
      <c r="M2315" s="5"/>
      <c r="N2315" s="6" t="s">
        <v>40</v>
      </c>
      <c r="O2315" s="5" t="s">
        <v>5363</v>
      </c>
      <c r="P2315" s="6" t="s">
        <v>42</v>
      </c>
      <c r="Q2315" s="5" t="s">
        <v>1237</v>
      </c>
      <c r="R2315" s="5" t="s">
        <v>13538</v>
      </c>
      <c r="S2315" s="6" t="s">
        <v>56</v>
      </c>
      <c r="T2315" s="6">
        <v>6496.0</v>
      </c>
    </row>
    <row r="2316" ht="56.25" customHeight="1">
      <c r="A2316" s="5" t="s">
        <v>13533</v>
      </c>
      <c r="B2316" s="6" t="str">
        <f>image("https://storage.googleapis.com/acdb/photos/BromideNpcNmlFlg12_Remake_2_0.png")</f>
        <v/>
      </c>
      <c r="C2316" s="5" t="s">
        <v>688</v>
      </c>
      <c r="D2316" s="5" t="s">
        <v>1327</v>
      </c>
      <c r="E2316" s="5" t="s">
        <v>34</v>
      </c>
      <c r="F2316" s="5" t="s">
        <v>34</v>
      </c>
      <c r="G2316" s="5" t="s">
        <v>36</v>
      </c>
      <c r="H2316" s="5" t="s">
        <v>35</v>
      </c>
      <c r="I2316" s="6">
        <v>1.0</v>
      </c>
      <c r="J2316" s="6" t="s">
        <v>37</v>
      </c>
      <c r="K2316" s="6">
        <v>10.0</v>
      </c>
      <c r="L2316" s="5"/>
      <c r="M2316" s="5"/>
      <c r="N2316" s="6" t="s">
        <v>40</v>
      </c>
      <c r="O2316" s="5" t="s">
        <v>5363</v>
      </c>
      <c r="P2316" s="6" t="s">
        <v>42</v>
      </c>
      <c r="Q2316" s="5" t="s">
        <v>1237</v>
      </c>
      <c r="R2316" s="5" t="s">
        <v>13542</v>
      </c>
      <c r="S2316" s="6" t="s">
        <v>67</v>
      </c>
      <c r="T2316" s="6">
        <v>6496.0</v>
      </c>
    </row>
    <row r="2317" ht="56.25" customHeight="1">
      <c r="A2317" s="5" t="s">
        <v>13533</v>
      </c>
      <c r="B2317" s="6" t="str">
        <f>image("https://storage.googleapis.com/acdb/photos/BromideNpcNmlFlg12_Remake_3_0.png")</f>
        <v/>
      </c>
      <c r="C2317" s="5" t="s">
        <v>57</v>
      </c>
      <c r="D2317" s="5" t="s">
        <v>1327</v>
      </c>
      <c r="E2317" s="5" t="s">
        <v>34</v>
      </c>
      <c r="F2317" s="5" t="s">
        <v>34</v>
      </c>
      <c r="G2317" s="5" t="s">
        <v>36</v>
      </c>
      <c r="H2317" s="5" t="s">
        <v>35</v>
      </c>
      <c r="I2317" s="6">
        <v>1.0</v>
      </c>
      <c r="J2317" s="6" t="s">
        <v>37</v>
      </c>
      <c r="K2317" s="6">
        <v>10.0</v>
      </c>
      <c r="L2317" s="5"/>
      <c r="M2317" s="5"/>
      <c r="N2317" s="6" t="s">
        <v>40</v>
      </c>
      <c r="O2317" s="5" t="s">
        <v>5363</v>
      </c>
      <c r="P2317" s="6" t="s">
        <v>42</v>
      </c>
      <c r="Q2317" s="5" t="s">
        <v>1237</v>
      </c>
      <c r="R2317" s="5" t="s">
        <v>13546</v>
      </c>
      <c r="S2317" s="6" t="s">
        <v>71</v>
      </c>
      <c r="T2317" s="6">
        <v>6496.0</v>
      </c>
    </row>
    <row r="2318" ht="56.25" customHeight="1">
      <c r="A2318" s="5" t="s">
        <v>13533</v>
      </c>
      <c r="B2318" s="6" t="str">
        <f>image("https://storage.googleapis.com/acdb/photos/BromideNpcNmlFlg12_Remake_4_0.png")</f>
        <v/>
      </c>
      <c r="C2318" s="5" t="s">
        <v>1167</v>
      </c>
      <c r="D2318" s="5" t="s">
        <v>1327</v>
      </c>
      <c r="E2318" s="5" t="s">
        <v>34</v>
      </c>
      <c r="F2318" s="5" t="s">
        <v>34</v>
      </c>
      <c r="G2318" s="5" t="s">
        <v>36</v>
      </c>
      <c r="H2318" s="5" t="s">
        <v>35</v>
      </c>
      <c r="I2318" s="6">
        <v>1.0</v>
      </c>
      <c r="J2318" s="6" t="s">
        <v>37</v>
      </c>
      <c r="K2318" s="6">
        <v>10.0</v>
      </c>
      <c r="L2318" s="5"/>
      <c r="M2318" s="5"/>
      <c r="N2318" s="6" t="s">
        <v>40</v>
      </c>
      <c r="O2318" s="5" t="s">
        <v>5363</v>
      </c>
      <c r="P2318" s="6" t="s">
        <v>42</v>
      </c>
      <c r="Q2318" s="5" t="s">
        <v>1237</v>
      </c>
      <c r="R2318" s="5" t="s">
        <v>13550</v>
      </c>
      <c r="S2318" s="6" t="s">
        <v>75</v>
      </c>
      <c r="T2318" s="6">
        <v>6496.0</v>
      </c>
    </row>
    <row r="2319" ht="56.25" customHeight="1">
      <c r="A2319" s="5" t="s">
        <v>13533</v>
      </c>
      <c r="B2319" s="6" t="str">
        <f>image("https://storage.googleapis.com/acdb/photos/BromideNpcNmlFlg12_Remake_5_0.png")</f>
        <v/>
      </c>
      <c r="C2319" s="5" t="s">
        <v>58</v>
      </c>
      <c r="D2319" s="5" t="s">
        <v>1327</v>
      </c>
      <c r="E2319" s="5" t="s">
        <v>34</v>
      </c>
      <c r="F2319" s="5" t="s">
        <v>34</v>
      </c>
      <c r="G2319" s="5" t="s">
        <v>36</v>
      </c>
      <c r="H2319" s="5" t="s">
        <v>35</v>
      </c>
      <c r="I2319" s="6">
        <v>1.0</v>
      </c>
      <c r="J2319" s="6" t="s">
        <v>37</v>
      </c>
      <c r="K2319" s="6">
        <v>10.0</v>
      </c>
      <c r="L2319" s="5"/>
      <c r="M2319" s="5"/>
      <c r="N2319" s="6" t="s">
        <v>40</v>
      </c>
      <c r="O2319" s="5" t="s">
        <v>5363</v>
      </c>
      <c r="P2319" s="6" t="s">
        <v>42</v>
      </c>
      <c r="Q2319" s="5" t="s">
        <v>1237</v>
      </c>
      <c r="R2319" s="5" t="s">
        <v>13553</v>
      </c>
      <c r="S2319" s="6" t="s">
        <v>79</v>
      </c>
      <c r="T2319" s="6">
        <v>6496.0</v>
      </c>
    </row>
    <row r="2320" ht="56.25" customHeight="1">
      <c r="A2320" s="5" t="s">
        <v>13533</v>
      </c>
      <c r="B2320" s="6" t="str">
        <f>image("https://storage.googleapis.com/acdb/photos/BromideNpcNmlFlg12_Remake_6_0.png")</f>
        <v/>
      </c>
      <c r="C2320" s="5" t="s">
        <v>146</v>
      </c>
      <c r="D2320" s="5" t="s">
        <v>1327</v>
      </c>
      <c r="E2320" s="5" t="s">
        <v>34</v>
      </c>
      <c r="F2320" s="5" t="s">
        <v>34</v>
      </c>
      <c r="G2320" s="5" t="s">
        <v>36</v>
      </c>
      <c r="H2320" s="5" t="s">
        <v>35</v>
      </c>
      <c r="I2320" s="6">
        <v>1.0</v>
      </c>
      <c r="J2320" s="6" t="s">
        <v>37</v>
      </c>
      <c r="K2320" s="6">
        <v>10.0</v>
      </c>
      <c r="L2320" s="5"/>
      <c r="M2320" s="5"/>
      <c r="N2320" s="6" t="s">
        <v>40</v>
      </c>
      <c r="O2320" s="5" t="s">
        <v>5363</v>
      </c>
      <c r="P2320" s="6" t="s">
        <v>42</v>
      </c>
      <c r="Q2320" s="5" t="s">
        <v>1237</v>
      </c>
      <c r="R2320" s="5" t="s">
        <v>13555</v>
      </c>
      <c r="S2320" s="6" t="s">
        <v>86</v>
      </c>
      <c r="T2320" s="6">
        <v>6496.0</v>
      </c>
    </row>
    <row r="2321" ht="56.25" customHeight="1">
      <c r="A2321" s="5" t="s">
        <v>13533</v>
      </c>
      <c r="B2321" s="6" t="str">
        <f>image("https://storage.googleapis.com/acdb/photos/BromideNpcNmlFlg12_Remake_7_0.png")</f>
        <v/>
      </c>
      <c r="C2321" s="5" t="s">
        <v>151</v>
      </c>
      <c r="D2321" s="5" t="s">
        <v>1327</v>
      </c>
      <c r="E2321" s="5" t="s">
        <v>34</v>
      </c>
      <c r="F2321" s="5" t="s">
        <v>34</v>
      </c>
      <c r="G2321" s="5" t="s">
        <v>36</v>
      </c>
      <c r="H2321" s="5" t="s">
        <v>35</v>
      </c>
      <c r="I2321" s="6">
        <v>1.0</v>
      </c>
      <c r="J2321" s="6" t="s">
        <v>37</v>
      </c>
      <c r="K2321" s="6">
        <v>10.0</v>
      </c>
      <c r="L2321" s="5"/>
      <c r="M2321" s="5"/>
      <c r="N2321" s="6" t="s">
        <v>40</v>
      </c>
      <c r="O2321" s="5" t="s">
        <v>5363</v>
      </c>
      <c r="P2321" s="6" t="s">
        <v>42</v>
      </c>
      <c r="Q2321" s="5" t="s">
        <v>1237</v>
      </c>
      <c r="R2321" s="5" t="s">
        <v>13559</v>
      </c>
      <c r="S2321" s="6" t="s">
        <v>208</v>
      </c>
      <c r="T2321" s="6">
        <v>6496.0</v>
      </c>
    </row>
    <row r="2322" ht="56.25" customHeight="1">
      <c r="A2322" s="5" t="s">
        <v>13561</v>
      </c>
      <c r="B2322" s="6" t="str">
        <f>image("https://storage.googleapis.com/acdb/photos/BromideNpcNmlPgn06_Remake_0_0.png")</f>
        <v/>
      </c>
      <c r="C2322" s="5" t="s">
        <v>366</v>
      </c>
      <c r="D2322" s="5" t="s">
        <v>1327</v>
      </c>
      <c r="E2322" s="5" t="s">
        <v>34</v>
      </c>
      <c r="F2322" s="5" t="s">
        <v>34</v>
      </c>
      <c r="G2322" s="5" t="s">
        <v>36</v>
      </c>
      <c r="H2322" s="5" t="s">
        <v>35</v>
      </c>
      <c r="I2322" s="6">
        <v>1.0</v>
      </c>
      <c r="J2322" s="6" t="s">
        <v>37</v>
      </c>
      <c r="K2322" s="6">
        <v>10.0</v>
      </c>
      <c r="L2322" s="5"/>
      <c r="M2322" s="5"/>
      <c r="N2322" s="6" t="s">
        <v>40</v>
      </c>
      <c r="O2322" s="5" t="s">
        <v>5363</v>
      </c>
      <c r="P2322" s="6" t="s">
        <v>42</v>
      </c>
      <c r="Q2322" s="5" t="s">
        <v>1237</v>
      </c>
      <c r="R2322" s="5" t="s">
        <v>13564</v>
      </c>
      <c r="S2322" s="6" t="s">
        <v>50</v>
      </c>
      <c r="T2322" s="6">
        <v>6636.0</v>
      </c>
    </row>
    <row r="2323" ht="56.25" customHeight="1">
      <c r="A2323" s="5" t="s">
        <v>13561</v>
      </c>
      <c r="B2323" s="6" t="str">
        <f>image("https://storage.googleapis.com/acdb/photos/BromideNpcNmlPgn06_Remake_1_0.png")</f>
        <v/>
      </c>
      <c r="C2323" s="5" t="s">
        <v>1132</v>
      </c>
      <c r="D2323" s="5" t="s">
        <v>1327</v>
      </c>
      <c r="E2323" s="5" t="s">
        <v>34</v>
      </c>
      <c r="F2323" s="5" t="s">
        <v>34</v>
      </c>
      <c r="G2323" s="5" t="s">
        <v>36</v>
      </c>
      <c r="H2323" s="5" t="s">
        <v>35</v>
      </c>
      <c r="I2323" s="6">
        <v>1.0</v>
      </c>
      <c r="J2323" s="6" t="s">
        <v>37</v>
      </c>
      <c r="K2323" s="6">
        <v>10.0</v>
      </c>
      <c r="L2323" s="5"/>
      <c r="M2323" s="5"/>
      <c r="N2323" s="6" t="s">
        <v>40</v>
      </c>
      <c r="O2323" s="5" t="s">
        <v>5363</v>
      </c>
      <c r="P2323" s="6" t="s">
        <v>42</v>
      </c>
      <c r="Q2323" s="5" t="s">
        <v>1237</v>
      </c>
      <c r="R2323" s="5" t="s">
        <v>13566</v>
      </c>
      <c r="S2323" s="6" t="s">
        <v>56</v>
      </c>
      <c r="T2323" s="6">
        <v>6636.0</v>
      </c>
    </row>
    <row r="2324" ht="56.25" customHeight="1">
      <c r="A2324" s="5" t="s">
        <v>13561</v>
      </c>
      <c r="B2324" s="6" t="str">
        <f>image("https://storage.googleapis.com/acdb/photos/BromideNpcNmlPgn06_Remake_2_0.png")</f>
        <v/>
      </c>
      <c r="C2324" s="5" t="s">
        <v>688</v>
      </c>
      <c r="D2324" s="5" t="s">
        <v>1327</v>
      </c>
      <c r="E2324" s="5" t="s">
        <v>34</v>
      </c>
      <c r="F2324" s="5" t="s">
        <v>34</v>
      </c>
      <c r="G2324" s="5" t="s">
        <v>36</v>
      </c>
      <c r="H2324" s="5" t="s">
        <v>35</v>
      </c>
      <c r="I2324" s="6">
        <v>1.0</v>
      </c>
      <c r="J2324" s="6" t="s">
        <v>37</v>
      </c>
      <c r="K2324" s="6">
        <v>10.0</v>
      </c>
      <c r="L2324" s="5"/>
      <c r="M2324" s="5"/>
      <c r="N2324" s="6" t="s">
        <v>40</v>
      </c>
      <c r="O2324" s="5" t="s">
        <v>5363</v>
      </c>
      <c r="P2324" s="6" t="s">
        <v>42</v>
      </c>
      <c r="Q2324" s="5" t="s">
        <v>1237</v>
      </c>
      <c r="R2324" s="5" t="s">
        <v>13569</v>
      </c>
      <c r="S2324" s="6" t="s">
        <v>67</v>
      </c>
      <c r="T2324" s="6">
        <v>6636.0</v>
      </c>
    </row>
    <row r="2325" ht="56.25" customHeight="1">
      <c r="A2325" s="5" t="s">
        <v>13561</v>
      </c>
      <c r="B2325" s="6" t="str">
        <f>image("https://storage.googleapis.com/acdb/photos/BromideNpcNmlPgn06_Remake_3_0.png")</f>
        <v/>
      </c>
      <c r="C2325" s="5" t="s">
        <v>57</v>
      </c>
      <c r="D2325" s="5" t="s">
        <v>1327</v>
      </c>
      <c r="E2325" s="5" t="s">
        <v>34</v>
      </c>
      <c r="F2325" s="5" t="s">
        <v>34</v>
      </c>
      <c r="G2325" s="5" t="s">
        <v>36</v>
      </c>
      <c r="H2325" s="5" t="s">
        <v>35</v>
      </c>
      <c r="I2325" s="6">
        <v>1.0</v>
      </c>
      <c r="J2325" s="6" t="s">
        <v>37</v>
      </c>
      <c r="K2325" s="6">
        <v>10.0</v>
      </c>
      <c r="L2325" s="5"/>
      <c r="M2325" s="5"/>
      <c r="N2325" s="6" t="s">
        <v>40</v>
      </c>
      <c r="O2325" s="5" t="s">
        <v>5363</v>
      </c>
      <c r="P2325" s="6" t="s">
        <v>42</v>
      </c>
      <c r="Q2325" s="5" t="s">
        <v>1237</v>
      </c>
      <c r="R2325" s="5" t="s">
        <v>13573</v>
      </c>
      <c r="S2325" s="6" t="s">
        <v>71</v>
      </c>
      <c r="T2325" s="6">
        <v>6636.0</v>
      </c>
    </row>
    <row r="2326" ht="56.25" customHeight="1">
      <c r="A2326" s="5" t="s">
        <v>13561</v>
      </c>
      <c r="B2326" s="6" t="str">
        <f>image("https://storage.googleapis.com/acdb/photos/BromideNpcNmlPgn06_Remake_4_0.png")</f>
        <v/>
      </c>
      <c r="C2326" s="5" t="s">
        <v>1167</v>
      </c>
      <c r="D2326" s="5" t="s">
        <v>1327</v>
      </c>
      <c r="E2326" s="5" t="s">
        <v>34</v>
      </c>
      <c r="F2326" s="5" t="s">
        <v>34</v>
      </c>
      <c r="G2326" s="5" t="s">
        <v>36</v>
      </c>
      <c r="H2326" s="5" t="s">
        <v>35</v>
      </c>
      <c r="I2326" s="6">
        <v>1.0</v>
      </c>
      <c r="J2326" s="6" t="s">
        <v>37</v>
      </c>
      <c r="K2326" s="6">
        <v>10.0</v>
      </c>
      <c r="L2326" s="5"/>
      <c r="M2326" s="5"/>
      <c r="N2326" s="6" t="s">
        <v>40</v>
      </c>
      <c r="O2326" s="5" t="s">
        <v>5363</v>
      </c>
      <c r="P2326" s="6" t="s">
        <v>42</v>
      </c>
      <c r="Q2326" s="5" t="s">
        <v>1237</v>
      </c>
      <c r="R2326" s="5" t="s">
        <v>13576</v>
      </c>
      <c r="S2326" s="6" t="s">
        <v>75</v>
      </c>
      <c r="T2326" s="6">
        <v>6636.0</v>
      </c>
    </row>
    <row r="2327" ht="56.25" customHeight="1">
      <c r="A2327" s="5" t="s">
        <v>13561</v>
      </c>
      <c r="B2327" s="6" t="str">
        <f>image("https://storage.googleapis.com/acdb/photos/BromideNpcNmlPgn06_Remake_5_0.png")</f>
        <v/>
      </c>
      <c r="C2327" s="5" t="s">
        <v>58</v>
      </c>
      <c r="D2327" s="5" t="s">
        <v>1327</v>
      </c>
      <c r="E2327" s="5" t="s">
        <v>34</v>
      </c>
      <c r="F2327" s="5" t="s">
        <v>34</v>
      </c>
      <c r="G2327" s="5" t="s">
        <v>36</v>
      </c>
      <c r="H2327" s="5" t="s">
        <v>35</v>
      </c>
      <c r="I2327" s="6">
        <v>1.0</v>
      </c>
      <c r="J2327" s="6" t="s">
        <v>37</v>
      </c>
      <c r="K2327" s="6">
        <v>10.0</v>
      </c>
      <c r="L2327" s="5"/>
      <c r="M2327" s="5"/>
      <c r="N2327" s="6" t="s">
        <v>40</v>
      </c>
      <c r="O2327" s="5" t="s">
        <v>5363</v>
      </c>
      <c r="P2327" s="6" t="s">
        <v>42</v>
      </c>
      <c r="Q2327" s="5" t="s">
        <v>1237</v>
      </c>
      <c r="R2327" s="5" t="s">
        <v>13578</v>
      </c>
      <c r="S2327" s="6" t="s">
        <v>79</v>
      </c>
      <c r="T2327" s="6">
        <v>6636.0</v>
      </c>
    </row>
    <row r="2328" ht="56.25" customHeight="1">
      <c r="A2328" s="5" t="s">
        <v>13561</v>
      </c>
      <c r="B2328" s="6" t="str">
        <f>image("https://storage.googleapis.com/acdb/photos/BromideNpcNmlPgn06_Remake_6_0.png")</f>
        <v/>
      </c>
      <c r="C2328" s="5" t="s">
        <v>146</v>
      </c>
      <c r="D2328" s="5" t="s">
        <v>1327</v>
      </c>
      <c r="E2328" s="5" t="s">
        <v>34</v>
      </c>
      <c r="F2328" s="5" t="s">
        <v>34</v>
      </c>
      <c r="G2328" s="5" t="s">
        <v>36</v>
      </c>
      <c r="H2328" s="5" t="s">
        <v>35</v>
      </c>
      <c r="I2328" s="6">
        <v>1.0</v>
      </c>
      <c r="J2328" s="6" t="s">
        <v>37</v>
      </c>
      <c r="K2328" s="6">
        <v>10.0</v>
      </c>
      <c r="L2328" s="5"/>
      <c r="M2328" s="5"/>
      <c r="N2328" s="6" t="s">
        <v>40</v>
      </c>
      <c r="O2328" s="5" t="s">
        <v>5363</v>
      </c>
      <c r="P2328" s="6" t="s">
        <v>42</v>
      </c>
      <c r="Q2328" s="5" t="s">
        <v>1237</v>
      </c>
      <c r="R2328" s="5" t="s">
        <v>13581</v>
      </c>
      <c r="S2328" s="6" t="s">
        <v>86</v>
      </c>
      <c r="T2328" s="6">
        <v>6636.0</v>
      </c>
    </row>
    <row r="2329" ht="56.25" customHeight="1">
      <c r="A2329" s="5" t="s">
        <v>13561</v>
      </c>
      <c r="B2329" s="6" t="str">
        <f>image("https://storage.googleapis.com/acdb/photos/BromideNpcNmlPgn06_Remake_7_0.png")</f>
        <v/>
      </c>
      <c r="C2329" s="5" t="s">
        <v>151</v>
      </c>
      <c r="D2329" s="5" t="s">
        <v>1327</v>
      </c>
      <c r="E2329" s="5" t="s">
        <v>34</v>
      </c>
      <c r="F2329" s="5" t="s">
        <v>34</v>
      </c>
      <c r="G2329" s="5" t="s">
        <v>36</v>
      </c>
      <c r="H2329" s="5" t="s">
        <v>35</v>
      </c>
      <c r="I2329" s="6">
        <v>1.0</v>
      </c>
      <c r="J2329" s="6" t="s">
        <v>37</v>
      </c>
      <c r="K2329" s="6">
        <v>10.0</v>
      </c>
      <c r="L2329" s="5"/>
      <c r="M2329" s="5"/>
      <c r="N2329" s="6" t="s">
        <v>40</v>
      </c>
      <c r="O2329" s="5" t="s">
        <v>5363</v>
      </c>
      <c r="P2329" s="6" t="s">
        <v>42</v>
      </c>
      <c r="Q2329" s="5" t="s">
        <v>1237</v>
      </c>
      <c r="R2329" s="5" t="s">
        <v>13585</v>
      </c>
      <c r="S2329" s="6" t="s">
        <v>208</v>
      </c>
      <c r="T2329" s="6">
        <v>6636.0</v>
      </c>
    </row>
    <row r="2330" ht="56.25" customHeight="1">
      <c r="A2330" s="5" t="s">
        <v>13586</v>
      </c>
      <c r="B2330" s="6" t="str">
        <f>image("https://storage.googleapis.com/acdb/photos/BromideNpcNmlFlg06_Remake_0_0.png")</f>
        <v/>
      </c>
      <c r="C2330" s="5" t="s">
        <v>366</v>
      </c>
      <c r="D2330" s="5" t="s">
        <v>1327</v>
      </c>
      <c r="E2330" s="5" t="s">
        <v>34</v>
      </c>
      <c r="F2330" s="5" t="s">
        <v>34</v>
      </c>
      <c r="G2330" s="5" t="s">
        <v>36</v>
      </c>
      <c r="H2330" s="5" t="s">
        <v>35</v>
      </c>
      <c r="I2330" s="6">
        <v>1.0</v>
      </c>
      <c r="J2330" s="6" t="s">
        <v>37</v>
      </c>
      <c r="K2330" s="6">
        <v>10.0</v>
      </c>
      <c r="L2330" s="5"/>
      <c r="M2330" s="5"/>
      <c r="N2330" s="6" t="s">
        <v>40</v>
      </c>
      <c r="O2330" s="5" t="s">
        <v>5363</v>
      </c>
      <c r="P2330" s="6" t="s">
        <v>42</v>
      </c>
      <c r="Q2330" s="5" t="s">
        <v>1237</v>
      </c>
      <c r="R2330" s="5" t="s">
        <v>13589</v>
      </c>
      <c r="S2330" s="6" t="s">
        <v>50</v>
      </c>
      <c r="T2330" s="6">
        <v>6490.0</v>
      </c>
    </row>
    <row r="2331" ht="56.25" customHeight="1">
      <c r="A2331" s="5" t="s">
        <v>13586</v>
      </c>
      <c r="B2331" s="6" t="str">
        <f>image("https://storage.googleapis.com/acdb/photos/BromideNpcNmlFlg06_Remake_1_0.png")</f>
        <v/>
      </c>
      <c r="C2331" s="5" t="s">
        <v>1132</v>
      </c>
      <c r="D2331" s="5" t="s">
        <v>1327</v>
      </c>
      <c r="E2331" s="5" t="s">
        <v>34</v>
      </c>
      <c r="F2331" s="5" t="s">
        <v>34</v>
      </c>
      <c r="G2331" s="5" t="s">
        <v>36</v>
      </c>
      <c r="H2331" s="5" t="s">
        <v>35</v>
      </c>
      <c r="I2331" s="6">
        <v>1.0</v>
      </c>
      <c r="J2331" s="6" t="s">
        <v>37</v>
      </c>
      <c r="K2331" s="6">
        <v>10.0</v>
      </c>
      <c r="L2331" s="5"/>
      <c r="M2331" s="5"/>
      <c r="N2331" s="6" t="s">
        <v>40</v>
      </c>
      <c r="O2331" s="5" t="s">
        <v>5363</v>
      </c>
      <c r="P2331" s="6" t="s">
        <v>42</v>
      </c>
      <c r="Q2331" s="5" t="s">
        <v>1237</v>
      </c>
      <c r="R2331" s="5" t="s">
        <v>13592</v>
      </c>
      <c r="S2331" s="6" t="s">
        <v>56</v>
      </c>
      <c r="T2331" s="6">
        <v>6490.0</v>
      </c>
    </row>
    <row r="2332" ht="56.25" customHeight="1">
      <c r="A2332" s="5" t="s">
        <v>13586</v>
      </c>
      <c r="B2332" s="6" t="str">
        <f>image("https://storage.googleapis.com/acdb/photos/BromideNpcNmlFlg06_Remake_2_0.png")</f>
        <v/>
      </c>
      <c r="C2332" s="5" t="s">
        <v>688</v>
      </c>
      <c r="D2332" s="5" t="s">
        <v>1327</v>
      </c>
      <c r="E2332" s="5" t="s">
        <v>34</v>
      </c>
      <c r="F2332" s="5" t="s">
        <v>34</v>
      </c>
      <c r="G2332" s="5" t="s">
        <v>36</v>
      </c>
      <c r="H2332" s="5" t="s">
        <v>35</v>
      </c>
      <c r="I2332" s="6">
        <v>1.0</v>
      </c>
      <c r="J2332" s="6" t="s">
        <v>37</v>
      </c>
      <c r="K2332" s="6">
        <v>10.0</v>
      </c>
      <c r="L2332" s="5"/>
      <c r="M2332" s="5"/>
      <c r="N2332" s="6" t="s">
        <v>40</v>
      </c>
      <c r="O2332" s="5" t="s">
        <v>5363</v>
      </c>
      <c r="P2332" s="6" t="s">
        <v>42</v>
      </c>
      <c r="Q2332" s="5" t="s">
        <v>1237</v>
      </c>
      <c r="R2332" s="5" t="s">
        <v>13595</v>
      </c>
      <c r="S2332" s="6" t="s">
        <v>67</v>
      </c>
      <c r="T2332" s="6">
        <v>6490.0</v>
      </c>
    </row>
    <row r="2333" ht="56.25" customHeight="1">
      <c r="A2333" s="5" t="s">
        <v>13586</v>
      </c>
      <c r="B2333" s="6" t="str">
        <f>image("https://storage.googleapis.com/acdb/photos/BromideNpcNmlFlg06_Remake_3_0.png")</f>
        <v/>
      </c>
      <c r="C2333" s="5" t="s">
        <v>57</v>
      </c>
      <c r="D2333" s="5" t="s">
        <v>1327</v>
      </c>
      <c r="E2333" s="5" t="s">
        <v>34</v>
      </c>
      <c r="F2333" s="5" t="s">
        <v>34</v>
      </c>
      <c r="G2333" s="5" t="s">
        <v>36</v>
      </c>
      <c r="H2333" s="5" t="s">
        <v>35</v>
      </c>
      <c r="I2333" s="6">
        <v>1.0</v>
      </c>
      <c r="J2333" s="6" t="s">
        <v>37</v>
      </c>
      <c r="K2333" s="6">
        <v>10.0</v>
      </c>
      <c r="L2333" s="5"/>
      <c r="M2333" s="5"/>
      <c r="N2333" s="6" t="s">
        <v>40</v>
      </c>
      <c r="O2333" s="5" t="s">
        <v>5363</v>
      </c>
      <c r="P2333" s="6" t="s">
        <v>42</v>
      </c>
      <c r="Q2333" s="5" t="s">
        <v>1237</v>
      </c>
      <c r="R2333" s="5" t="s">
        <v>13597</v>
      </c>
      <c r="S2333" s="6" t="s">
        <v>71</v>
      </c>
      <c r="T2333" s="6">
        <v>6490.0</v>
      </c>
    </row>
    <row r="2334" ht="56.25" customHeight="1">
      <c r="A2334" s="5" t="s">
        <v>13586</v>
      </c>
      <c r="B2334" s="6" t="str">
        <f>image("https://storage.googleapis.com/acdb/photos/BromideNpcNmlFlg06_Remake_4_0.png")</f>
        <v/>
      </c>
      <c r="C2334" s="5" t="s">
        <v>1167</v>
      </c>
      <c r="D2334" s="5" t="s">
        <v>1327</v>
      </c>
      <c r="E2334" s="5" t="s">
        <v>34</v>
      </c>
      <c r="F2334" s="5" t="s">
        <v>34</v>
      </c>
      <c r="G2334" s="5" t="s">
        <v>36</v>
      </c>
      <c r="H2334" s="5" t="s">
        <v>35</v>
      </c>
      <c r="I2334" s="6">
        <v>1.0</v>
      </c>
      <c r="J2334" s="6" t="s">
        <v>37</v>
      </c>
      <c r="K2334" s="6">
        <v>10.0</v>
      </c>
      <c r="L2334" s="5"/>
      <c r="M2334" s="5"/>
      <c r="N2334" s="6" t="s">
        <v>40</v>
      </c>
      <c r="O2334" s="5" t="s">
        <v>5363</v>
      </c>
      <c r="P2334" s="6" t="s">
        <v>42</v>
      </c>
      <c r="Q2334" s="5" t="s">
        <v>1237</v>
      </c>
      <c r="R2334" s="5" t="s">
        <v>13601</v>
      </c>
      <c r="S2334" s="6" t="s">
        <v>75</v>
      </c>
      <c r="T2334" s="6">
        <v>6490.0</v>
      </c>
    </row>
    <row r="2335" ht="56.25" customHeight="1">
      <c r="A2335" s="5" t="s">
        <v>13586</v>
      </c>
      <c r="B2335" s="6" t="str">
        <f>image("https://storage.googleapis.com/acdb/photos/BromideNpcNmlFlg06_Remake_5_0.png")</f>
        <v/>
      </c>
      <c r="C2335" s="5" t="s">
        <v>58</v>
      </c>
      <c r="D2335" s="5" t="s">
        <v>1327</v>
      </c>
      <c r="E2335" s="5" t="s">
        <v>34</v>
      </c>
      <c r="F2335" s="5" t="s">
        <v>34</v>
      </c>
      <c r="G2335" s="5" t="s">
        <v>36</v>
      </c>
      <c r="H2335" s="5" t="s">
        <v>35</v>
      </c>
      <c r="I2335" s="6">
        <v>1.0</v>
      </c>
      <c r="J2335" s="6" t="s">
        <v>37</v>
      </c>
      <c r="K2335" s="6">
        <v>10.0</v>
      </c>
      <c r="L2335" s="5"/>
      <c r="M2335" s="5"/>
      <c r="N2335" s="6" t="s">
        <v>40</v>
      </c>
      <c r="O2335" s="5" t="s">
        <v>5363</v>
      </c>
      <c r="P2335" s="6" t="s">
        <v>42</v>
      </c>
      <c r="Q2335" s="5" t="s">
        <v>1237</v>
      </c>
      <c r="R2335" s="5" t="s">
        <v>13604</v>
      </c>
      <c r="S2335" s="6" t="s">
        <v>79</v>
      </c>
      <c r="T2335" s="6">
        <v>6490.0</v>
      </c>
    </row>
    <row r="2336" ht="56.25" customHeight="1">
      <c r="A2336" s="5" t="s">
        <v>13586</v>
      </c>
      <c r="B2336" s="6" t="str">
        <f>image("https://storage.googleapis.com/acdb/photos/BromideNpcNmlFlg06_Remake_6_0.png")</f>
        <v/>
      </c>
      <c r="C2336" s="5" t="s">
        <v>146</v>
      </c>
      <c r="D2336" s="5" t="s">
        <v>1327</v>
      </c>
      <c r="E2336" s="5" t="s">
        <v>34</v>
      </c>
      <c r="F2336" s="5" t="s">
        <v>34</v>
      </c>
      <c r="G2336" s="5" t="s">
        <v>36</v>
      </c>
      <c r="H2336" s="5" t="s">
        <v>35</v>
      </c>
      <c r="I2336" s="6">
        <v>1.0</v>
      </c>
      <c r="J2336" s="6" t="s">
        <v>37</v>
      </c>
      <c r="K2336" s="6">
        <v>10.0</v>
      </c>
      <c r="L2336" s="5"/>
      <c r="M2336" s="5"/>
      <c r="N2336" s="6" t="s">
        <v>40</v>
      </c>
      <c r="O2336" s="5" t="s">
        <v>5363</v>
      </c>
      <c r="P2336" s="6" t="s">
        <v>42</v>
      </c>
      <c r="Q2336" s="5" t="s">
        <v>1237</v>
      </c>
      <c r="R2336" s="5" t="s">
        <v>13608</v>
      </c>
      <c r="S2336" s="6" t="s">
        <v>86</v>
      </c>
      <c r="T2336" s="6">
        <v>6490.0</v>
      </c>
    </row>
    <row r="2337" ht="56.25" customHeight="1">
      <c r="A2337" s="5" t="s">
        <v>13586</v>
      </c>
      <c r="B2337" s="6" t="str">
        <f>image("https://storage.googleapis.com/acdb/photos/BromideNpcNmlFlg06_Remake_7_0.png")</f>
        <v/>
      </c>
      <c r="C2337" s="5" t="s">
        <v>151</v>
      </c>
      <c r="D2337" s="5" t="s">
        <v>1327</v>
      </c>
      <c r="E2337" s="5" t="s">
        <v>34</v>
      </c>
      <c r="F2337" s="5" t="s">
        <v>34</v>
      </c>
      <c r="G2337" s="5" t="s">
        <v>36</v>
      </c>
      <c r="H2337" s="5" t="s">
        <v>35</v>
      </c>
      <c r="I2337" s="6">
        <v>1.0</v>
      </c>
      <c r="J2337" s="6" t="s">
        <v>37</v>
      </c>
      <c r="K2337" s="6">
        <v>10.0</v>
      </c>
      <c r="L2337" s="5"/>
      <c r="M2337" s="5"/>
      <c r="N2337" s="6" t="s">
        <v>40</v>
      </c>
      <c r="O2337" s="5" t="s">
        <v>5363</v>
      </c>
      <c r="P2337" s="6" t="s">
        <v>42</v>
      </c>
      <c r="Q2337" s="5" t="s">
        <v>1237</v>
      </c>
      <c r="R2337" s="5" t="s">
        <v>13612</v>
      </c>
      <c r="S2337" s="6" t="s">
        <v>208</v>
      </c>
      <c r="T2337" s="6">
        <v>6490.0</v>
      </c>
    </row>
    <row r="2338" ht="56.25" customHeight="1">
      <c r="A2338" s="5" t="s">
        <v>13613</v>
      </c>
      <c r="B2338" s="6" t="str">
        <f>image("https://storage.googleapis.com/acdb/photos/BromideNpcNmlCbr03_Remake_0_0.png")</f>
        <v/>
      </c>
      <c r="C2338" s="5" t="s">
        <v>366</v>
      </c>
      <c r="D2338" s="5" t="s">
        <v>1327</v>
      </c>
      <c r="E2338" s="5" t="s">
        <v>34</v>
      </c>
      <c r="F2338" s="5" t="s">
        <v>34</v>
      </c>
      <c r="G2338" s="5" t="s">
        <v>36</v>
      </c>
      <c r="H2338" s="5" t="s">
        <v>35</v>
      </c>
      <c r="I2338" s="6">
        <v>1.0</v>
      </c>
      <c r="J2338" s="6" t="s">
        <v>37</v>
      </c>
      <c r="K2338" s="6">
        <v>10.0</v>
      </c>
      <c r="L2338" s="5"/>
      <c r="M2338" s="5"/>
      <c r="N2338" s="6" t="s">
        <v>40</v>
      </c>
      <c r="O2338" s="5" t="s">
        <v>5363</v>
      </c>
      <c r="P2338" s="6" t="s">
        <v>42</v>
      </c>
      <c r="Q2338" s="5" t="s">
        <v>1237</v>
      </c>
      <c r="R2338" s="5" t="s">
        <v>13615</v>
      </c>
      <c r="S2338" s="6" t="s">
        <v>50</v>
      </c>
      <c r="T2338" s="6">
        <v>6772.0</v>
      </c>
    </row>
    <row r="2339" ht="56.25" customHeight="1">
      <c r="A2339" s="5" t="s">
        <v>13613</v>
      </c>
      <c r="B2339" s="6" t="str">
        <f>image("https://storage.googleapis.com/acdb/photos/BromideNpcNmlCbr03_Remake_1_0.png")</f>
        <v/>
      </c>
      <c r="C2339" s="5" t="s">
        <v>1132</v>
      </c>
      <c r="D2339" s="5" t="s">
        <v>1327</v>
      </c>
      <c r="E2339" s="5" t="s">
        <v>34</v>
      </c>
      <c r="F2339" s="5" t="s">
        <v>34</v>
      </c>
      <c r="G2339" s="5" t="s">
        <v>36</v>
      </c>
      <c r="H2339" s="5" t="s">
        <v>35</v>
      </c>
      <c r="I2339" s="6">
        <v>1.0</v>
      </c>
      <c r="J2339" s="6" t="s">
        <v>37</v>
      </c>
      <c r="K2339" s="6">
        <v>10.0</v>
      </c>
      <c r="L2339" s="5"/>
      <c r="M2339" s="5"/>
      <c r="N2339" s="6" t="s">
        <v>40</v>
      </c>
      <c r="O2339" s="5" t="s">
        <v>5363</v>
      </c>
      <c r="P2339" s="6" t="s">
        <v>42</v>
      </c>
      <c r="Q2339" s="5" t="s">
        <v>1237</v>
      </c>
      <c r="R2339" s="5" t="s">
        <v>13619</v>
      </c>
      <c r="S2339" s="6" t="s">
        <v>56</v>
      </c>
      <c r="T2339" s="6">
        <v>6772.0</v>
      </c>
    </row>
    <row r="2340" ht="56.25" customHeight="1">
      <c r="A2340" s="5" t="s">
        <v>13613</v>
      </c>
      <c r="B2340" s="6" t="str">
        <f>image("https://storage.googleapis.com/acdb/photos/BromideNpcNmlCbr03_Remake_2_0.png")</f>
        <v/>
      </c>
      <c r="C2340" s="5" t="s">
        <v>688</v>
      </c>
      <c r="D2340" s="5" t="s">
        <v>1327</v>
      </c>
      <c r="E2340" s="5" t="s">
        <v>34</v>
      </c>
      <c r="F2340" s="5" t="s">
        <v>34</v>
      </c>
      <c r="G2340" s="5" t="s">
        <v>36</v>
      </c>
      <c r="H2340" s="5" t="s">
        <v>35</v>
      </c>
      <c r="I2340" s="6">
        <v>1.0</v>
      </c>
      <c r="J2340" s="6" t="s">
        <v>37</v>
      </c>
      <c r="K2340" s="6">
        <v>10.0</v>
      </c>
      <c r="L2340" s="5"/>
      <c r="M2340" s="5"/>
      <c r="N2340" s="6" t="s">
        <v>40</v>
      </c>
      <c r="O2340" s="5" t="s">
        <v>5363</v>
      </c>
      <c r="P2340" s="6" t="s">
        <v>42</v>
      </c>
      <c r="Q2340" s="5" t="s">
        <v>1237</v>
      </c>
      <c r="R2340" s="5" t="s">
        <v>13623</v>
      </c>
      <c r="S2340" s="6" t="s">
        <v>67</v>
      </c>
      <c r="T2340" s="6">
        <v>6772.0</v>
      </c>
    </row>
    <row r="2341" ht="56.25" customHeight="1">
      <c r="A2341" s="5" t="s">
        <v>13613</v>
      </c>
      <c r="B2341" s="6" t="str">
        <f>image("https://storage.googleapis.com/acdb/photos/BromideNpcNmlCbr03_Remake_3_0.png")</f>
        <v/>
      </c>
      <c r="C2341" s="5" t="s">
        <v>57</v>
      </c>
      <c r="D2341" s="5" t="s">
        <v>1327</v>
      </c>
      <c r="E2341" s="5" t="s">
        <v>34</v>
      </c>
      <c r="F2341" s="5" t="s">
        <v>34</v>
      </c>
      <c r="G2341" s="5" t="s">
        <v>36</v>
      </c>
      <c r="H2341" s="5" t="s">
        <v>35</v>
      </c>
      <c r="I2341" s="6">
        <v>1.0</v>
      </c>
      <c r="J2341" s="6" t="s">
        <v>37</v>
      </c>
      <c r="K2341" s="6">
        <v>10.0</v>
      </c>
      <c r="L2341" s="5"/>
      <c r="M2341" s="5"/>
      <c r="N2341" s="6" t="s">
        <v>40</v>
      </c>
      <c r="O2341" s="5" t="s">
        <v>5363</v>
      </c>
      <c r="P2341" s="6" t="s">
        <v>42</v>
      </c>
      <c r="Q2341" s="5" t="s">
        <v>1237</v>
      </c>
      <c r="R2341" s="5" t="s">
        <v>13625</v>
      </c>
      <c r="S2341" s="6" t="s">
        <v>71</v>
      </c>
      <c r="T2341" s="6">
        <v>6772.0</v>
      </c>
    </row>
    <row r="2342" ht="56.25" customHeight="1">
      <c r="A2342" s="5" t="s">
        <v>13613</v>
      </c>
      <c r="B2342" s="6" t="str">
        <f>image("https://storage.googleapis.com/acdb/photos/BromideNpcNmlCbr03_Remake_4_0.png")</f>
        <v/>
      </c>
      <c r="C2342" s="5" t="s">
        <v>1167</v>
      </c>
      <c r="D2342" s="5" t="s">
        <v>1327</v>
      </c>
      <c r="E2342" s="5" t="s">
        <v>34</v>
      </c>
      <c r="F2342" s="5" t="s">
        <v>34</v>
      </c>
      <c r="G2342" s="5" t="s">
        <v>36</v>
      </c>
      <c r="H2342" s="5" t="s">
        <v>35</v>
      </c>
      <c r="I2342" s="6">
        <v>1.0</v>
      </c>
      <c r="J2342" s="6" t="s">
        <v>37</v>
      </c>
      <c r="K2342" s="6">
        <v>10.0</v>
      </c>
      <c r="L2342" s="5"/>
      <c r="M2342" s="5"/>
      <c r="N2342" s="6" t="s">
        <v>40</v>
      </c>
      <c r="O2342" s="5" t="s">
        <v>5363</v>
      </c>
      <c r="P2342" s="6" t="s">
        <v>42</v>
      </c>
      <c r="Q2342" s="5" t="s">
        <v>1237</v>
      </c>
      <c r="R2342" s="5" t="s">
        <v>13629</v>
      </c>
      <c r="S2342" s="6" t="s">
        <v>75</v>
      </c>
      <c r="T2342" s="6">
        <v>6772.0</v>
      </c>
    </row>
    <row r="2343" ht="56.25" customHeight="1">
      <c r="A2343" s="5" t="s">
        <v>13613</v>
      </c>
      <c r="B2343" s="6" t="str">
        <f>image("https://storage.googleapis.com/acdb/photos/BromideNpcNmlCbr03_Remake_5_0.png")</f>
        <v/>
      </c>
      <c r="C2343" s="5" t="s">
        <v>58</v>
      </c>
      <c r="D2343" s="5" t="s">
        <v>1327</v>
      </c>
      <c r="E2343" s="5" t="s">
        <v>34</v>
      </c>
      <c r="F2343" s="5" t="s">
        <v>34</v>
      </c>
      <c r="G2343" s="5" t="s">
        <v>36</v>
      </c>
      <c r="H2343" s="5" t="s">
        <v>35</v>
      </c>
      <c r="I2343" s="6">
        <v>1.0</v>
      </c>
      <c r="J2343" s="6" t="s">
        <v>37</v>
      </c>
      <c r="K2343" s="6">
        <v>10.0</v>
      </c>
      <c r="L2343" s="5"/>
      <c r="M2343" s="5"/>
      <c r="N2343" s="6" t="s">
        <v>40</v>
      </c>
      <c r="O2343" s="5" t="s">
        <v>5363</v>
      </c>
      <c r="P2343" s="6" t="s">
        <v>42</v>
      </c>
      <c r="Q2343" s="5" t="s">
        <v>1237</v>
      </c>
      <c r="R2343" s="5" t="s">
        <v>13634</v>
      </c>
      <c r="S2343" s="6" t="s">
        <v>79</v>
      </c>
      <c r="T2343" s="6">
        <v>6772.0</v>
      </c>
    </row>
    <row r="2344" ht="56.25" customHeight="1">
      <c r="A2344" s="5" t="s">
        <v>13613</v>
      </c>
      <c r="B2344" s="6" t="str">
        <f>image("https://storage.googleapis.com/acdb/photos/BromideNpcNmlCbr03_Remake_6_0.png")</f>
        <v/>
      </c>
      <c r="C2344" s="5" t="s">
        <v>146</v>
      </c>
      <c r="D2344" s="5" t="s">
        <v>1327</v>
      </c>
      <c r="E2344" s="5" t="s">
        <v>34</v>
      </c>
      <c r="F2344" s="5" t="s">
        <v>34</v>
      </c>
      <c r="G2344" s="5" t="s">
        <v>36</v>
      </c>
      <c r="H2344" s="5" t="s">
        <v>35</v>
      </c>
      <c r="I2344" s="6">
        <v>1.0</v>
      </c>
      <c r="J2344" s="6" t="s">
        <v>37</v>
      </c>
      <c r="K2344" s="6">
        <v>10.0</v>
      </c>
      <c r="L2344" s="5"/>
      <c r="M2344" s="5"/>
      <c r="N2344" s="6" t="s">
        <v>40</v>
      </c>
      <c r="O2344" s="5" t="s">
        <v>5363</v>
      </c>
      <c r="P2344" s="6" t="s">
        <v>42</v>
      </c>
      <c r="Q2344" s="5" t="s">
        <v>1237</v>
      </c>
      <c r="R2344" s="5" t="s">
        <v>13636</v>
      </c>
      <c r="S2344" s="6" t="s">
        <v>86</v>
      </c>
      <c r="T2344" s="6">
        <v>6772.0</v>
      </c>
    </row>
    <row r="2345" ht="56.25" customHeight="1">
      <c r="A2345" s="5" t="s">
        <v>13613</v>
      </c>
      <c r="B2345" s="6" t="str">
        <f>image("https://storage.googleapis.com/acdb/photos/BromideNpcNmlCbr03_Remake_7_0.png")</f>
        <v/>
      </c>
      <c r="C2345" s="5" t="s">
        <v>151</v>
      </c>
      <c r="D2345" s="5" t="s">
        <v>1327</v>
      </c>
      <c r="E2345" s="5" t="s">
        <v>34</v>
      </c>
      <c r="F2345" s="5" t="s">
        <v>34</v>
      </c>
      <c r="G2345" s="5" t="s">
        <v>36</v>
      </c>
      <c r="H2345" s="5" t="s">
        <v>35</v>
      </c>
      <c r="I2345" s="6">
        <v>1.0</v>
      </c>
      <c r="J2345" s="6" t="s">
        <v>37</v>
      </c>
      <c r="K2345" s="6">
        <v>10.0</v>
      </c>
      <c r="L2345" s="5"/>
      <c r="M2345" s="5"/>
      <c r="N2345" s="6" t="s">
        <v>40</v>
      </c>
      <c r="O2345" s="5" t="s">
        <v>5363</v>
      </c>
      <c r="P2345" s="6" t="s">
        <v>42</v>
      </c>
      <c r="Q2345" s="5" t="s">
        <v>1237</v>
      </c>
      <c r="R2345" s="5" t="s">
        <v>13639</v>
      </c>
      <c r="S2345" s="6" t="s">
        <v>208</v>
      </c>
      <c r="T2345" s="6">
        <v>6772.0</v>
      </c>
    </row>
    <row r="2346" ht="56.25" customHeight="1">
      <c r="A2346" s="5" t="s">
        <v>13641</v>
      </c>
      <c r="B2346" s="6" t="str">
        <f>image("https://storage.googleapis.com/acdb/photos/BromideNpcNmlCat06_Remake_0_0.png")</f>
        <v/>
      </c>
      <c r="C2346" s="5" t="s">
        <v>366</v>
      </c>
      <c r="D2346" s="5" t="s">
        <v>1327</v>
      </c>
      <c r="E2346" s="5" t="s">
        <v>34</v>
      </c>
      <c r="F2346" s="5" t="s">
        <v>34</v>
      </c>
      <c r="G2346" s="5" t="s">
        <v>36</v>
      </c>
      <c r="H2346" s="5" t="s">
        <v>35</v>
      </c>
      <c r="I2346" s="6">
        <v>1.0</v>
      </c>
      <c r="J2346" s="6" t="s">
        <v>37</v>
      </c>
      <c r="K2346" s="6">
        <v>10.0</v>
      </c>
      <c r="L2346" s="5"/>
      <c r="M2346" s="5"/>
      <c r="N2346" s="6" t="s">
        <v>40</v>
      </c>
      <c r="O2346" s="5" t="s">
        <v>5363</v>
      </c>
      <c r="P2346" s="6" t="s">
        <v>42</v>
      </c>
      <c r="Q2346" s="5" t="s">
        <v>1237</v>
      </c>
      <c r="R2346" s="5" t="s">
        <v>13645</v>
      </c>
      <c r="S2346" s="6" t="s">
        <v>50</v>
      </c>
      <c r="T2346" s="6">
        <v>6751.0</v>
      </c>
    </row>
    <row r="2347" ht="56.25" customHeight="1">
      <c r="A2347" s="5" t="s">
        <v>13641</v>
      </c>
      <c r="B2347" s="6" t="str">
        <f>image("https://storage.googleapis.com/acdb/photos/BromideNpcNmlCat06_Remake_1_0.png")</f>
        <v/>
      </c>
      <c r="C2347" s="5" t="s">
        <v>1132</v>
      </c>
      <c r="D2347" s="5" t="s">
        <v>1327</v>
      </c>
      <c r="E2347" s="5" t="s">
        <v>34</v>
      </c>
      <c r="F2347" s="5" t="s">
        <v>34</v>
      </c>
      <c r="G2347" s="5" t="s">
        <v>36</v>
      </c>
      <c r="H2347" s="5" t="s">
        <v>35</v>
      </c>
      <c r="I2347" s="6">
        <v>1.0</v>
      </c>
      <c r="J2347" s="6" t="s">
        <v>37</v>
      </c>
      <c r="K2347" s="6">
        <v>10.0</v>
      </c>
      <c r="L2347" s="5"/>
      <c r="M2347" s="5"/>
      <c r="N2347" s="6" t="s">
        <v>40</v>
      </c>
      <c r="O2347" s="5" t="s">
        <v>5363</v>
      </c>
      <c r="P2347" s="6" t="s">
        <v>42</v>
      </c>
      <c r="Q2347" s="5" t="s">
        <v>1237</v>
      </c>
      <c r="R2347" s="5" t="s">
        <v>13647</v>
      </c>
      <c r="S2347" s="6" t="s">
        <v>56</v>
      </c>
      <c r="T2347" s="6">
        <v>6751.0</v>
      </c>
    </row>
    <row r="2348" ht="56.25" customHeight="1">
      <c r="A2348" s="5" t="s">
        <v>13641</v>
      </c>
      <c r="B2348" s="6" t="str">
        <f>image("https://storage.googleapis.com/acdb/photos/BromideNpcNmlCat06_Remake_2_0.png")</f>
        <v/>
      </c>
      <c r="C2348" s="5" t="s">
        <v>688</v>
      </c>
      <c r="D2348" s="5" t="s">
        <v>1327</v>
      </c>
      <c r="E2348" s="5" t="s">
        <v>34</v>
      </c>
      <c r="F2348" s="5" t="s">
        <v>34</v>
      </c>
      <c r="G2348" s="5" t="s">
        <v>36</v>
      </c>
      <c r="H2348" s="5" t="s">
        <v>35</v>
      </c>
      <c r="I2348" s="6">
        <v>1.0</v>
      </c>
      <c r="J2348" s="6" t="s">
        <v>37</v>
      </c>
      <c r="K2348" s="6">
        <v>10.0</v>
      </c>
      <c r="L2348" s="5"/>
      <c r="M2348" s="5"/>
      <c r="N2348" s="6" t="s">
        <v>40</v>
      </c>
      <c r="O2348" s="5" t="s">
        <v>5363</v>
      </c>
      <c r="P2348" s="6" t="s">
        <v>42</v>
      </c>
      <c r="Q2348" s="5" t="s">
        <v>1237</v>
      </c>
      <c r="R2348" s="5" t="s">
        <v>13650</v>
      </c>
      <c r="S2348" s="6" t="s">
        <v>67</v>
      </c>
      <c r="T2348" s="6">
        <v>6751.0</v>
      </c>
    </row>
    <row r="2349" ht="56.25" customHeight="1">
      <c r="A2349" s="5" t="s">
        <v>13641</v>
      </c>
      <c r="B2349" s="6" t="str">
        <f>image("https://storage.googleapis.com/acdb/photos/BromideNpcNmlCat06_Remake_3_0.png")</f>
        <v/>
      </c>
      <c r="C2349" s="5" t="s">
        <v>57</v>
      </c>
      <c r="D2349" s="5" t="s">
        <v>1327</v>
      </c>
      <c r="E2349" s="5" t="s">
        <v>34</v>
      </c>
      <c r="F2349" s="5" t="s">
        <v>34</v>
      </c>
      <c r="G2349" s="5" t="s">
        <v>36</v>
      </c>
      <c r="H2349" s="5" t="s">
        <v>35</v>
      </c>
      <c r="I2349" s="6">
        <v>1.0</v>
      </c>
      <c r="J2349" s="6" t="s">
        <v>37</v>
      </c>
      <c r="K2349" s="6">
        <v>10.0</v>
      </c>
      <c r="L2349" s="5"/>
      <c r="M2349" s="5"/>
      <c r="N2349" s="6" t="s">
        <v>40</v>
      </c>
      <c r="O2349" s="5" t="s">
        <v>5363</v>
      </c>
      <c r="P2349" s="6" t="s">
        <v>42</v>
      </c>
      <c r="Q2349" s="5" t="s">
        <v>1237</v>
      </c>
      <c r="R2349" s="5" t="s">
        <v>13655</v>
      </c>
      <c r="S2349" s="6" t="s">
        <v>71</v>
      </c>
      <c r="T2349" s="6">
        <v>6751.0</v>
      </c>
    </row>
    <row r="2350" ht="56.25" customHeight="1">
      <c r="A2350" s="5" t="s">
        <v>13641</v>
      </c>
      <c r="B2350" s="6" t="str">
        <f>image("https://storage.googleapis.com/acdb/photos/BromideNpcNmlCat06_Remake_4_0.png")</f>
        <v/>
      </c>
      <c r="C2350" s="5" t="s">
        <v>1167</v>
      </c>
      <c r="D2350" s="5" t="s">
        <v>1327</v>
      </c>
      <c r="E2350" s="5" t="s">
        <v>34</v>
      </c>
      <c r="F2350" s="5" t="s">
        <v>34</v>
      </c>
      <c r="G2350" s="5" t="s">
        <v>36</v>
      </c>
      <c r="H2350" s="5" t="s">
        <v>35</v>
      </c>
      <c r="I2350" s="6">
        <v>1.0</v>
      </c>
      <c r="J2350" s="6" t="s">
        <v>37</v>
      </c>
      <c r="K2350" s="6">
        <v>10.0</v>
      </c>
      <c r="L2350" s="5"/>
      <c r="M2350" s="5"/>
      <c r="N2350" s="6" t="s">
        <v>40</v>
      </c>
      <c r="O2350" s="5" t="s">
        <v>5363</v>
      </c>
      <c r="P2350" s="6" t="s">
        <v>42</v>
      </c>
      <c r="Q2350" s="5" t="s">
        <v>1237</v>
      </c>
      <c r="R2350" s="5" t="s">
        <v>13660</v>
      </c>
      <c r="S2350" s="6" t="s">
        <v>75</v>
      </c>
      <c r="T2350" s="6">
        <v>6751.0</v>
      </c>
    </row>
    <row r="2351" ht="56.25" customHeight="1">
      <c r="A2351" s="5" t="s">
        <v>13641</v>
      </c>
      <c r="B2351" s="6" t="str">
        <f>image("https://storage.googleapis.com/acdb/photos/BromideNpcNmlCat06_Remake_5_0.png")</f>
        <v/>
      </c>
      <c r="C2351" s="5" t="s">
        <v>58</v>
      </c>
      <c r="D2351" s="5" t="s">
        <v>1327</v>
      </c>
      <c r="E2351" s="5" t="s">
        <v>34</v>
      </c>
      <c r="F2351" s="5" t="s">
        <v>34</v>
      </c>
      <c r="G2351" s="5" t="s">
        <v>36</v>
      </c>
      <c r="H2351" s="5" t="s">
        <v>35</v>
      </c>
      <c r="I2351" s="6">
        <v>1.0</v>
      </c>
      <c r="J2351" s="6" t="s">
        <v>37</v>
      </c>
      <c r="K2351" s="6">
        <v>10.0</v>
      </c>
      <c r="L2351" s="5"/>
      <c r="M2351" s="5"/>
      <c r="N2351" s="6" t="s">
        <v>40</v>
      </c>
      <c r="O2351" s="5" t="s">
        <v>5363</v>
      </c>
      <c r="P2351" s="6" t="s">
        <v>42</v>
      </c>
      <c r="Q2351" s="5" t="s">
        <v>1237</v>
      </c>
      <c r="R2351" s="5" t="s">
        <v>13662</v>
      </c>
      <c r="S2351" s="6" t="s">
        <v>79</v>
      </c>
      <c r="T2351" s="6">
        <v>6751.0</v>
      </c>
    </row>
    <row r="2352" ht="56.25" customHeight="1">
      <c r="A2352" s="5" t="s">
        <v>13641</v>
      </c>
      <c r="B2352" s="6" t="str">
        <f>image("https://storage.googleapis.com/acdb/photos/BromideNpcNmlCat06_Remake_6_0.png")</f>
        <v/>
      </c>
      <c r="C2352" s="5" t="s">
        <v>146</v>
      </c>
      <c r="D2352" s="5" t="s">
        <v>1327</v>
      </c>
      <c r="E2352" s="5" t="s">
        <v>34</v>
      </c>
      <c r="F2352" s="5" t="s">
        <v>34</v>
      </c>
      <c r="G2352" s="5" t="s">
        <v>36</v>
      </c>
      <c r="H2352" s="5" t="s">
        <v>35</v>
      </c>
      <c r="I2352" s="6">
        <v>1.0</v>
      </c>
      <c r="J2352" s="6" t="s">
        <v>37</v>
      </c>
      <c r="K2352" s="6">
        <v>10.0</v>
      </c>
      <c r="L2352" s="5"/>
      <c r="M2352" s="5"/>
      <c r="N2352" s="6" t="s">
        <v>40</v>
      </c>
      <c r="O2352" s="5" t="s">
        <v>5363</v>
      </c>
      <c r="P2352" s="6" t="s">
        <v>42</v>
      </c>
      <c r="Q2352" s="5" t="s">
        <v>1237</v>
      </c>
      <c r="R2352" s="5" t="s">
        <v>13665</v>
      </c>
      <c r="S2352" s="6" t="s">
        <v>86</v>
      </c>
      <c r="T2352" s="6">
        <v>6751.0</v>
      </c>
    </row>
    <row r="2353" ht="56.25" customHeight="1">
      <c r="A2353" s="5" t="s">
        <v>13641</v>
      </c>
      <c r="B2353" s="6" t="str">
        <f>image("https://storage.googleapis.com/acdb/photos/BromideNpcNmlCat06_Remake_7_0.png")</f>
        <v/>
      </c>
      <c r="C2353" s="5" t="s">
        <v>151</v>
      </c>
      <c r="D2353" s="5" t="s">
        <v>1327</v>
      </c>
      <c r="E2353" s="5" t="s">
        <v>34</v>
      </c>
      <c r="F2353" s="5" t="s">
        <v>34</v>
      </c>
      <c r="G2353" s="5" t="s">
        <v>36</v>
      </c>
      <c r="H2353" s="5" t="s">
        <v>35</v>
      </c>
      <c r="I2353" s="6">
        <v>1.0</v>
      </c>
      <c r="J2353" s="6" t="s">
        <v>37</v>
      </c>
      <c r="K2353" s="6">
        <v>10.0</v>
      </c>
      <c r="L2353" s="5"/>
      <c r="M2353" s="5"/>
      <c r="N2353" s="6" t="s">
        <v>40</v>
      </c>
      <c r="O2353" s="5" t="s">
        <v>5363</v>
      </c>
      <c r="P2353" s="6" t="s">
        <v>42</v>
      </c>
      <c r="Q2353" s="5" t="s">
        <v>1237</v>
      </c>
      <c r="R2353" s="5" t="s">
        <v>13668</v>
      </c>
      <c r="S2353" s="6" t="s">
        <v>208</v>
      </c>
      <c r="T2353" s="6">
        <v>6751.0</v>
      </c>
    </row>
    <row r="2354" ht="56.25" customHeight="1">
      <c r="A2354" s="5" t="s">
        <v>13670</v>
      </c>
      <c r="B2354" s="6" t="str">
        <f>image("https://storage.googleapis.com/acdb/photos/BromideNpcNmlCat07_Remake_0_0.png")</f>
        <v/>
      </c>
      <c r="C2354" s="5" t="s">
        <v>366</v>
      </c>
      <c r="D2354" s="5" t="s">
        <v>1327</v>
      </c>
      <c r="E2354" s="5" t="s">
        <v>34</v>
      </c>
      <c r="F2354" s="5" t="s">
        <v>34</v>
      </c>
      <c r="G2354" s="5" t="s">
        <v>36</v>
      </c>
      <c r="H2354" s="5" t="s">
        <v>35</v>
      </c>
      <c r="I2354" s="6">
        <v>1.0</v>
      </c>
      <c r="J2354" s="6" t="s">
        <v>37</v>
      </c>
      <c r="K2354" s="6">
        <v>10.0</v>
      </c>
      <c r="L2354" s="5"/>
      <c r="M2354" s="5"/>
      <c r="N2354" s="6" t="s">
        <v>40</v>
      </c>
      <c r="O2354" s="5" t="s">
        <v>5363</v>
      </c>
      <c r="P2354" s="6" t="s">
        <v>42</v>
      </c>
      <c r="Q2354" s="5" t="s">
        <v>1237</v>
      </c>
      <c r="R2354" s="5" t="s">
        <v>13673</v>
      </c>
      <c r="S2354" s="6" t="s">
        <v>50</v>
      </c>
      <c r="T2354" s="6">
        <v>6752.0</v>
      </c>
    </row>
    <row r="2355" ht="56.25" customHeight="1">
      <c r="A2355" s="5" t="s">
        <v>13670</v>
      </c>
      <c r="B2355" s="6" t="str">
        <f>image("https://storage.googleapis.com/acdb/photos/BromideNpcNmlCat07_Remake_1_0.png")</f>
        <v/>
      </c>
      <c r="C2355" s="5" t="s">
        <v>1132</v>
      </c>
      <c r="D2355" s="5" t="s">
        <v>1327</v>
      </c>
      <c r="E2355" s="5" t="s">
        <v>34</v>
      </c>
      <c r="F2355" s="5" t="s">
        <v>34</v>
      </c>
      <c r="G2355" s="5" t="s">
        <v>36</v>
      </c>
      <c r="H2355" s="5" t="s">
        <v>35</v>
      </c>
      <c r="I2355" s="6">
        <v>1.0</v>
      </c>
      <c r="J2355" s="6" t="s">
        <v>37</v>
      </c>
      <c r="K2355" s="6">
        <v>10.0</v>
      </c>
      <c r="L2355" s="5"/>
      <c r="M2355" s="5"/>
      <c r="N2355" s="6" t="s">
        <v>40</v>
      </c>
      <c r="O2355" s="5" t="s">
        <v>5363</v>
      </c>
      <c r="P2355" s="6" t="s">
        <v>42</v>
      </c>
      <c r="Q2355" s="5" t="s">
        <v>1237</v>
      </c>
      <c r="R2355" s="5" t="s">
        <v>13676</v>
      </c>
      <c r="S2355" s="6" t="s">
        <v>56</v>
      </c>
      <c r="T2355" s="6">
        <v>6752.0</v>
      </c>
    </row>
    <row r="2356" ht="56.25" customHeight="1">
      <c r="A2356" s="5" t="s">
        <v>13670</v>
      </c>
      <c r="B2356" s="6" t="str">
        <f>image("https://storage.googleapis.com/acdb/photos/BromideNpcNmlCat07_Remake_2_0.png")</f>
        <v/>
      </c>
      <c r="C2356" s="5" t="s">
        <v>688</v>
      </c>
      <c r="D2356" s="5" t="s">
        <v>1327</v>
      </c>
      <c r="E2356" s="5" t="s">
        <v>34</v>
      </c>
      <c r="F2356" s="5" t="s">
        <v>34</v>
      </c>
      <c r="G2356" s="5" t="s">
        <v>36</v>
      </c>
      <c r="H2356" s="5" t="s">
        <v>35</v>
      </c>
      <c r="I2356" s="6">
        <v>1.0</v>
      </c>
      <c r="J2356" s="6" t="s">
        <v>37</v>
      </c>
      <c r="K2356" s="6">
        <v>10.0</v>
      </c>
      <c r="L2356" s="5"/>
      <c r="M2356" s="5"/>
      <c r="N2356" s="6" t="s">
        <v>40</v>
      </c>
      <c r="O2356" s="5" t="s">
        <v>5363</v>
      </c>
      <c r="P2356" s="6" t="s">
        <v>42</v>
      </c>
      <c r="Q2356" s="5" t="s">
        <v>1237</v>
      </c>
      <c r="R2356" s="5" t="s">
        <v>13680</v>
      </c>
      <c r="S2356" s="6" t="s">
        <v>67</v>
      </c>
      <c r="T2356" s="6">
        <v>6752.0</v>
      </c>
    </row>
    <row r="2357" ht="56.25" customHeight="1">
      <c r="A2357" s="5" t="s">
        <v>13670</v>
      </c>
      <c r="B2357" s="6" t="str">
        <f>image("https://storage.googleapis.com/acdb/photos/BromideNpcNmlCat07_Remake_3_0.png")</f>
        <v/>
      </c>
      <c r="C2357" s="5" t="s">
        <v>57</v>
      </c>
      <c r="D2357" s="5" t="s">
        <v>1327</v>
      </c>
      <c r="E2357" s="5" t="s">
        <v>34</v>
      </c>
      <c r="F2357" s="5" t="s">
        <v>34</v>
      </c>
      <c r="G2357" s="5" t="s">
        <v>36</v>
      </c>
      <c r="H2357" s="5" t="s">
        <v>35</v>
      </c>
      <c r="I2357" s="6">
        <v>1.0</v>
      </c>
      <c r="J2357" s="6" t="s">
        <v>37</v>
      </c>
      <c r="K2357" s="6">
        <v>10.0</v>
      </c>
      <c r="L2357" s="5"/>
      <c r="M2357" s="5"/>
      <c r="N2357" s="6" t="s">
        <v>40</v>
      </c>
      <c r="O2357" s="5" t="s">
        <v>5363</v>
      </c>
      <c r="P2357" s="6" t="s">
        <v>42</v>
      </c>
      <c r="Q2357" s="5" t="s">
        <v>1237</v>
      </c>
      <c r="R2357" s="5" t="s">
        <v>13683</v>
      </c>
      <c r="S2357" s="6" t="s">
        <v>71</v>
      </c>
      <c r="T2357" s="6">
        <v>6752.0</v>
      </c>
    </row>
    <row r="2358" ht="56.25" customHeight="1">
      <c r="A2358" s="5" t="s">
        <v>13670</v>
      </c>
      <c r="B2358" s="6" t="str">
        <f>image("https://storage.googleapis.com/acdb/photos/BromideNpcNmlCat07_Remake_4_0.png")</f>
        <v/>
      </c>
      <c r="C2358" s="5" t="s">
        <v>1167</v>
      </c>
      <c r="D2358" s="5" t="s">
        <v>1327</v>
      </c>
      <c r="E2358" s="5" t="s">
        <v>34</v>
      </c>
      <c r="F2358" s="5" t="s">
        <v>34</v>
      </c>
      <c r="G2358" s="5" t="s">
        <v>36</v>
      </c>
      <c r="H2358" s="5" t="s">
        <v>35</v>
      </c>
      <c r="I2358" s="6">
        <v>1.0</v>
      </c>
      <c r="J2358" s="6" t="s">
        <v>37</v>
      </c>
      <c r="K2358" s="6">
        <v>10.0</v>
      </c>
      <c r="L2358" s="5"/>
      <c r="M2358" s="5"/>
      <c r="N2358" s="6" t="s">
        <v>40</v>
      </c>
      <c r="O2358" s="5" t="s">
        <v>5363</v>
      </c>
      <c r="P2358" s="6" t="s">
        <v>42</v>
      </c>
      <c r="Q2358" s="5" t="s">
        <v>1237</v>
      </c>
      <c r="R2358" s="5" t="s">
        <v>13686</v>
      </c>
      <c r="S2358" s="6" t="s">
        <v>75</v>
      </c>
      <c r="T2358" s="6">
        <v>6752.0</v>
      </c>
    </row>
    <row r="2359" ht="56.25" customHeight="1">
      <c r="A2359" s="5" t="s">
        <v>13670</v>
      </c>
      <c r="B2359" s="6" t="str">
        <f>image("https://storage.googleapis.com/acdb/photos/BromideNpcNmlCat07_Remake_5_0.png")</f>
        <v/>
      </c>
      <c r="C2359" s="5" t="s">
        <v>58</v>
      </c>
      <c r="D2359" s="5" t="s">
        <v>1327</v>
      </c>
      <c r="E2359" s="5" t="s">
        <v>34</v>
      </c>
      <c r="F2359" s="5" t="s">
        <v>34</v>
      </c>
      <c r="G2359" s="5" t="s">
        <v>36</v>
      </c>
      <c r="H2359" s="5" t="s">
        <v>35</v>
      </c>
      <c r="I2359" s="6">
        <v>1.0</v>
      </c>
      <c r="J2359" s="6" t="s">
        <v>37</v>
      </c>
      <c r="K2359" s="6">
        <v>10.0</v>
      </c>
      <c r="L2359" s="5"/>
      <c r="M2359" s="5"/>
      <c r="N2359" s="6" t="s">
        <v>40</v>
      </c>
      <c r="O2359" s="5" t="s">
        <v>5363</v>
      </c>
      <c r="P2359" s="6" t="s">
        <v>42</v>
      </c>
      <c r="Q2359" s="5" t="s">
        <v>1237</v>
      </c>
      <c r="R2359" s="5" t="s">
        <v>13690</v>
      </c>
      <c r="S2359" s="6" t="s">
        <v>79</v>
      </c>
      <c r="T2359" s="6">
        <v>6752.0</v>
      </c>
    </row>
    <row r="2360" ht="56.25" customHeight="1">
      <c r="A2360" s="5" t="s">
        <v>13670</v>
      </c>
      <c r="B2360" s="6" t="str">
        <f>image("https://storage.googleapis.com/acdb/photos/BromideNpcNmlCat07_Remake_6_0.png")</f>
        <v/>
      </c>
      <c r="C2360" s="5" t="s">
        <v>146</v>
      </c>
      <c r="D2360" s="5" t="s">
        <v>1327</v>
      </c>
      <c r="E2360" s="5" t="s">
        <v>34</v>
      </c>
      <c r="F2360" s="5" t="s">
        <v>34</v>
      </c>
      <c r="G2360" s="5" t="s">
        <v>36</v>
      </c>
      <c r="H2360" s="5" t="s">
        <v>35</v>
      </c>
      <c r="I2360" s="6">
        <v>1.0</v>
      </c>
      <c r="J2360" s="6" t="s">
        <v>37</v>
      </c>
      <c r="K2360" s="6">
        <v>10.0</v>
      </c>
      <c r="L2360" s="5"/>
      <c r="M2360" s="5"/>
      <c r="N2360" s="6" t="s">
        <v>40</v>
      </c>
      <c r="O2360" s="5" t="s">
        <v>5363</v>
      </c>
      <c r="P2360" s="6" t="s">
        <v>42</v>
      </c>
      <c r="Q2360" s="5" t="s">
        <v>1237</v>
      </c>
      <c r="R2360" s="5" t="s">
        <v>13697</v>
      </c>
      <c r="S2360" s="6" t="s">
        <v>86</v>
      </c>
      <c r="T2360" s="6">
        <v>6752.0</v>
      </c>
    </row>
    <row r="2361" ht="56.25" customHeight="1">
      <c r="A2361" s="5" t="s">
        <v>13670</v>
      </c>
      <c r="B2361" s="6" t="str">
        <f>image("https://storage.googleapis.com/acdb/photos/BromideNpcNmlCat07_Remake_7_0.png")</f>
        <v/>
      </c>
      <c r="C2361" s="5" t="s">
        <v>151</v>
      </c>
      <c r="D2361" s="5" t="s">
        <v>1327</v>
      </c>
      <c r="E2361" s="5" t="s">
        <v>34</v>
      </c>
      <c r="F2361" s="5" t="s">
        <v>34</v>
      </c>
      <c r="G2361" s="5" t="s">
        <v>36</v>
      </c>
      <c r="H2361" s="5" t="s">
        <v>35</v>
      </c>
      <c r="I2361" s="6">
        <v>1.0</v>
      </c>
      <c r="J2361" s="6" t="s">
        <v>37</v>
      </c>
      <c r="K2361" s="6">
        <v>10.0</v>
      </c>
      <c r="L2361" s="5"/>
      <c r="M2361" s="5"/>
      <c r="N2361" s="6" t="s">
        <v>40</v>
      </c>
      <c r="O2361" s="5" t="s">
        <v>5363</v>
      </c>
      <c r="P2361" s="6" t="s">
        <v>42</v>
      </c>
      <c r="Q2361" s="5" t="s">
        <v>1237</v>
      </c>
      <c r="R2361" s="5" t="s">
        <v>13700</v>
      </c>
      <c r="S2361" s="6" t="s">
        <v>208</v>
      </c>
      <c r="T2361" s="6">
        <v>6752.0</v>
      </c>
    </row>
    <row r="2362" ht="56.25" customHeight="1">
      <c r="A2362" s="5" t="s">
        <v>13701</v>
      </c>
      <c r="B2362" s="6" t="str">
        <f>image("https://storage.googleapis.com/acdb/photos/BromideNpcNmlOst00_Remake_0_0.png")</f>
        <v/>
      </c>
      <c r="C2362" s="5" t="s">
        <v>366</v>
      </c>
      <c r="D2362" s="5" t="s">
        <v>1327</v>
      </c>
      <c r="E2362" s="5" t="s">
        <v>34</v>
      </c>
      <c r="F2362" s="5" t="s">
        <v>34</v>
      </c>
      <c r="G2362" s="5" t="s">
        <v>36</v>
      </c>
      <c r="H2362" s="5" t="s">
        <v>35</v>
      </c>
      <c r="I2362" s="6">
        <v>1.0</v>
      </c>
      <c r="J2362" s="6" t="s">
        <v>37</v>
      </c>
      <c r="K2362" s="6">
        <v>10.0</v>
      </c>
      <c r="L2362" s="5"/>
      <c r="M2362" s="5"/>
      <c r="N2362" s="6" t="s">
        <v>40</v>
      </c>
      <c r="O2362" s="5" t="s">
        <v>5363</v>
      </c>
      <c r="P2362" s="6" t="s">
        <v>42</v>
      </c>
      <c r="Q2362" s="5" t="s">
        <v>1237</v>
      </c>
      <c r="R2362" s="5" t="s">
        <v>13703</v>
      </c>
      <c r="S2362" s="6" t="s">
        <v>50</v>
      </c>
      <c r="T2362" s="6">
        <v>6609.0</v>
      </c>
    </row>
    <row r="2363" ht="56.25" customHeight="1">
      <c r="A2363" s="5" t="s">
        <v>13701</v>
      </c>
      <c r="B2363" s="6" t="str">
        <f>image("https://storage.googleapis.com/acdb/photos/BromideNpcNmlOst00_Remake_1_0.png")</f>
        <v/>
      </c>
      <c r="C2363" s="5" t="s">
        <v>1132</v>
      </c>
      <c r="D2363" s="5" t="s">
        <v>1327</v>
      </c>
      <c r="E2363" s="5" t="s">
        <v>34</v>
      </c>
      <c r="F2363" s="5" t="s">
        <v>34</v>
      </c>
      <c r="G2363" s="5" t="s">
        <v>36</v>
      </c>
      <c r="H2363" s="5" t="s">
        <v>35</v>
      </c>
      <c r="I2363" s="6">
        <v>1.0</v>
      </c>
      <c r="J2363" s="6" t="s">
        <v>37</v>
      </c>
      <c r="K2363" s="6">
        <v>10.0</v>
      </c>
      <c r="L2363" s="5"/>
      <c r="M2363" s="5"/>
      <c r="N2363" s="6" t="s">
        <v>40</v>
      </c>
      <c r="O2363" s="5" t="s">
        <v>5363</v>
      </c>
      <c r="P2363" s="6" t="s">
        <v>42</v>
      </c>
      <c r="Q2363" s="5" t="s">
        <v>1237</v>
      </c>
      <c r="R2363" s="5" t="s">
        <v>13707</v>
      </c>
      <c r="S2363" s="6" t="s">
        <v>56</v>
      </c>
      <c r="T2363" s="6">
        <v>6609.0</v>
      </c>
    </row>
    <row r="2364" ht="56.25" customHeight="1">
      <c r="A2364" s="5" t="s">
        <v>13701</v>
      </c>
      <c r="B2364" s="6" t="str">
        <f>image("https://storage.googleapis.com/acdb/photos/BromideNpcNmlOst00_Remake_2_0.png")</f>
        <v/>
      </c>
      <c r="C2364" s="5" t="s">
        <v>688</v>
      </c>
      <c r="D2364" s="5" t="s">
        <v>1327</v>
      </c>
      <c r="E2364" s="5" t="s">
        <v>34</v>
      </c>
      <c r="F2364" s="5" t="s">
        <v>34</v>
      </c>
      <c r="G2364" s="5" t="s">
        <v>36</v>
      </c>
      <c r="H2364" s="5" t="s">
        <v>35</v>
      </c>
      <c r="I2364" s="6">
        <v>1.0</v>
      </c>
      <c r="J2364" s="6" t="s">
        <v>37</v>
      </c>
      <c r="K2364" s="6">
        <v>10.0</v>
      </c>
      <c r="L2364" s="5"/>
      <c r="M2364" s="5"/>
      <c r="N2364" s="6" t="s">
        <v>40</v>
      </c>
      <c r="O2364" s="5" t="s">
        <v>5363</v>
      </c>
      <c r="P2364" s="6" t="s">
        <v>42</v>
      </c>
      <c r="Q2364" s="5" t="s">
        <v>1237</v>
      </c>
      <c r="R2364" s="5" t="s">
        <v>13711</v>
      </c>
      <c r="S2364" s="6" t="s">
        <v>67</v>
      </c>
      <c r="T2364" s="6">
        <v>6609.0</v>
      </c>
    </row>
    <row r="2365" ht="56.25" customHeight="1">
      <c r="A2365" s="5" t="s">
        <v>13701</v>
      </c>
      <c r="B2365" s="6" t="str">
        <f>image("https://storage.googleapis.com/acdb/photos/BromideNpcNmlOst00_Remake_3_0.png")</f>
        <v/>
      </c>
      <c r="C2365" s="5" t="s">
        <v>57</v>
      </c>
      <c r="D2365" s="5" t="s">
        <v>1327</v>
      </c>
      <c r="E2365" s="5" t="s">
        <v>34</v>
      </c>
      <c r="F2365" s="5" t="s">
        <v>34</v>
      </c>
      <c r="G2365" s="5" t="s">
        <v>36</v>
      </c>
      <c r="H2365" s="5" t="s">
        <v>35</v>
      </c>
      <c r="I2365" s="6">
        <v>1.0</v>
      </c>
      <c r="J2365" s="6" t="s">
        <v>37</v>
      </c>
      <c r="K2365" s="6">
        <v>10.0</v>
      </c>
      <c r="L2365" s="5"/>
      <c r="M2365" s="5"/>
      <c r="N2365" s="6" t="s">
        <v>40</v>
      </c>
      <c r="O2365" s="5" t="s">
        <v>5363</v>
      </c>
      <c r="P2365" s="6" t="s">
        <v>42</v>
      </c>
      <c r="Q2365" s="5" t="s">
        <v>1237</v>
      </c>
      <c r="R2365" s="5" t="s">
        <v>13714</v>
      </c>
      <c r="S2365" s="6" t="s">
        <v>71</v>
      </c>
      <c r="T2365" s="6">
        <v>6609.0</v>
      </c>
    </row>
    <row r="2366" ht="56.25" customHeight="1">
      <c r="A2366" s="5" t="s">
        <v>13701</v>
      </c>
      <c r="B2366" s="6" t="str">
        <f>image("https://storage.googleapis.com/acdb/photos/BromideNpcNmlOst00_Remake_4_0.png")</f>
        <v/>
      </c>
      <c r="C2366" s="5" t="s">
        <v>1167</v>
      </c>
      <c r="D2366" s="5" t="s">
        <v>1327</v>
      </c>
      <c r="E2366" s="5" t="s">
        <v>34</v>
      </c>
      <c r="F2366" s="5" t="s">
        <v>34</v>
      </c>
      <c r="G2366" s="5" t="s">
        <v>36</v>
      </c>
      <c r="H2366" s="5" t="s">
        <v>35</v>
      </c>
      <c r="I2366" s="6">
        <v>1.0</v>
      </c>
      <c r="J2366" s="6" t="s">
        <v>37</v>
      </c>
      <c r="K2366" s="6">
        <v>10.0</v>
      </c>
      <c r="L2366" s="5"/>
      <c r="M2366" s="5"/>
      <c r="N2366" s="6" t="s">
        <v>40</v>
      </c>
      <c r="O2366" s="5" t="s">
        <v>5363</v>
      </c>
      <c r="P2366" s="6" t="s">
        <v>42</v>
      </c>
      <c r="Q2366" s="5" t="s">
        <v>1237</v>
      </c>
      <c r="R2366" s="5" t="s">
        <v>13716</v>
      </c>
      <c r="S2366" s="6" t="s">
        <v>75</v>
      </c>
      <c r="T2366" s="6">
        <v>6609.0</v>
      </c>
    </row>
    <row r="2367" ht="56.25" customHeight="1">
      <c r="A2367" s="5" t="s">
        <v>13701</v>
      </c>
      <c r="B2367" s="6" t="str">
        <f>image("https://storage.googleapis.com/acdb/photos/BromideNpcNmlOst00_Remake_5_0.png")</f>
        <v/>
      </c>
      <c r="C2367" s="5" t="s">
        <v>58</v>
      </c>
      <c r="D2367" s="5" t="s">
        <v>1327</v>
      </c>
      <c r="E2367" s="5" t="s">
        <v>34</v>
      </c>
      <c r="F2367" s="5" t="s">
        <v>34</v>
      </c>
      <c r="G2367" s="5" t="s">
        <v>36</v>
      </c>
      <c r="H2367" s="5" t="s">
        <v>35</v>
      </c>
      <c r="I2367" s="6">
        <v>1.0</v>
      </c>
      <c r="J2367" s="6" t="s">
        <v>37</v>
      </c>
      <c r="K2367" s="6">
        <v>10.0</v>
      </c>
      <c r="L2367" s="5"/>
      <c r="M2367" s="5"/>
      <c r="N2367" s="6" t="s">
        <v>40</v>
      </c>
      <c r="O2367" s="5" t="s">
        <v>5363</v>
      </c>
      <c r="P2367" s="6" t="s">
        <v>42</v>
      </c>
      <c r="Q2367" s="5" t="s">
        <v>1237</v>
      </c>
      <c r="R2367" s="5" t="s">
        <v>13721</v>
      </c>
      <c r="S2367" s="6" t="s">
        <v>79</v>
      </c>
      <c r="T2367" s="6">
        <v>6609.0</v>
      </c>
    </row>
    <row r="2368" ht="56.25" customHeight="1">
      <c r="A2368" s="5" t="s">
        <v>13701</v>
      </c>
      <c r="B2368" s="6" t="str">
        <f>image("https://storage.googleapis.com/acdb/photos/BromideNpcNmlOst00_Remake_6_0.png")</f>
        <v/>
      </c>
      <c r="C2368" s="5" t="s">
        <v>146</v>
      </c>
      <c r="D2368" s="5" t="s">
        <v>1327</v>
      </c>
      <c r="E2368" s="5" t="s">
        <v>34</v>
      </c>
      <c r="F2368" s="5" t="s">
        <v>34</v>
      </c>
      <c r="G2368" s="5" t="s">
        <v>36</v>
      </c>
      <c r="H2368" s="5" t="s">
        <v>35</v>
      </c>
      <c r="I2368" s="6">
        <v>1.0</v>
      </c>
      <c r="J2368" s="6" t="s">
        <v>37</v>
      </c>
      <c r="K2368" s="6">
        <v>10.0</v>
      </c>
      <c r="L2368" s="5"/>
      <c r="M2368" s="5"/>
      <c r="N2368" s="6" t="s">
        <v>40</v>
      </c>
      <c r="O2368" s="5" t="s">
        <v>5363</v>
      </c>
      <c r="P2368" s="6" t="s">
        <v>42</v>
      </c>
      <c r="Q2368" s="5" t="s">
        <v>1237</v>
      </c>
      <c r="R2368" s="5" t="s">
        <v>13724</v>
      </c>
      <c r="S2368" s="6" t="s">
        <v>86</v>
      </c>
      <c r="T2368" s="6">
        <v>6609.0</v>
      </c>
    </row>
    <row r="2369" ht="56.25" customHeight="1">
      <c r="A2369" s="5" t="s">
        <v>13701</v>
      </c>
      <c r="B2369" s="6" t="str">
        <f>image("https://storage.googleapis.com/acdb/photos/BromideNpcNmlOst00_Remake_7_0.png")</f>
        <v/>
      </c>
      <c r="C2369" s="5" t="s">
        <v>151</v>
      </c>
      <c r="D2369" s="5" t="s">
        <v>1327</v>
      </c>
      <c r="E2369" s="5" t="s">
        <v>34</v>
      </c>
      <c r="F2369" s="5" t="s">
        <v>34</v>
      </c>
      <c r="G2369" s="5" t="s">
        <v>36</v>
      </c>
      <c r="H2369" s="5" t="s">
        <v>35</v>
      </c>
      <c r="I2369" s="6">
        <v>1.0</v>
      </c>
      <c r="J2369" s="6" t="s">
        <v>37</v>
      </c>
      <c r="K2369" s="6">
        <v>10.0</v>
      </c>
      <c r="L2369" s="5"/>
      <c r="M2369" s="5"/>
      <c r="N2369" s="6" t="s">
        <v>40</v>
      </c>
      <c r="O2369" s="5" t="s">
        <v>5363</v>
      </c>
      <c r="P2369" s="6" t="s">
        <v>42</v>
      </c>
      <c r="Q2369" s="5" t="s">
        <v>1237</v>
      </c>
      <c r="R2369" s="5" t="s">
        <v>13728</v>
      </c>
      <c r="S2369" s="6" t="s">
        <v>208</v>
      </c>
      <c r="T2369" s="6">
        <v>6609.0</v>
      </c>
    </row>
    <row r="2370" ht="56.25" customHeight="1">
      <c r="A2370" s="5" t="s">
        <v>13729</v>
      </c>
      <c r="B2370" s="6" t="str">
        <f>image("https://storage.googleapis.com/acdb/photos/BromideNpcNmlDuk17_Remake_0_0.png")</f>
        <v/>
      </c>
      <c r="C2370" s="5" t="s">
        <v>366</v>
      </c>
      <c r="D2370" s="5" t="s">
        <v>1327</v>
      </c>
      <c r="E2370" s="5" t="s">
        <v>34</v>
      </c>
      <c r="F2370" s="5" t="s">
        <v>34</v>
      </c>
      <c r="G2370" s="5" t="s">
        <v>36</v>
      </c>
      <c r="H2370" s="5" t="s">
        <v>35</v>
      </c>
      <c r="I2370" s="6">
        <v>1.0</v>
      </c>
      <c r="J2370" s="6" t="s">
        <v>37</v>
      </c>
      <c r="K2370" s="6">
        <v>10.0</v>
      </c>
      <c r="L2370" s="5"/>
      <c r="M2370" s="5"/>
      <c r="N2370" s="6" t="s">
        <v>40</v>
      </c>
      <c r="O2370" s="5" t="s">
        <v>5363</v>
      </c>
      <c r="P2370" s="6" t="s">
        <v>42</v>
      </c>
      <c r="Q2370" s="5" t="s">
        <v>1237</v>
      </c>
      <c r="R2370" s="5" t="s">
        <v>13732</v>
      </c>
      <c r="S2370" s="6" t="s">
        <v>50</v>
      </c>
      <c r="T2370" s="6">
        <v>6472.0</v>
      </c>
    </row>
    <row r="2371" ht="56.25" customHeight="1">
      <c r="A2371" s="5" t="s">
        <v>13729</v>
      </c>
      <c r="B2371" s="6" t="str">
        <f>image("https://storage.googleapis.com/acdb/photos/BromideNpcNmlDuk17_Remake_1_0.png")</f>
        <v/>
      </c>
      <c r="C2371" s="5" t="s">
        <v>1132</v>
      </c>
      <c r="D2371" s="5" t="s">
        <v>1327</v>
      </c>
      <c r="E2371" s="5" t="s">
        <v>34</v>
      </c>
      <c r="F2371" s="5" t="s">
        <v>34</v>
      </c>
      <c r="G2371" s="5" t="s">
        <v>36</v>
      </c>
      <c r="H2371" s="5" t="s">
        <v>35</v>
      </c>
      <c r="I2371" s="6">
        <v>1.0</v>
      </c>
      <c r="J2371" s="6" t="s">
        <v>37</v>
      </c>
      <c r="K2371" s="6">
        <v>10.0</v>
      </c>
      <c r="L2371" s="5"/>
      <c r="M2371" s="5"/>
      <c r="N2371" s="6" t="s">
        <v>40</v>
      </c>
      <c r="O2371" s="5" t="s">
        <v>5363</v>
      </c>
      <c r="P2371" s="6" t="s">
        <v>42</v>
      </c>
      <c r="Q2371" s="5" t="s">
        <v>1237</v>
      </c>
      <c r="R2371" s="5" t="s">
        <v>13736</v>
      </c>
      <c r="S2371" s="6" t="s">
        <v>56</v>
      </c>
      <c r="T2371" s="6">
        <v>6472.0</v>
      </c>
    </row>
    <row r="2372" ht="56.25" customHeight="1">
      <c r="A2372" s="5" t="s">
        <v>13729</v>
      </c>
      <c r="B2372" s="6" t="str">
        <f>image("https://storage.googleapis.com/acdb/photos/BromideNpcNmlDuk17_Remake_2_0.png")</f>
        <v/>
      </c>
      <c r="C2372" s="5" t="s">
        <v>688</v>
      </c>
      <c r="D2372" s="5" t="s">
        <v>1327</v>
      </c>
      <c r="E2372" s="5" t="s">
        <v>34</v>
      </c>
      <c r="F2372" s="5" t="s">
        <v>34</v>
      </c>
      <c r="G2372" s="5" t="s">
        <v>36</v>
      </c>
      <c r="H2372" s="5" t="s">
        <v>35</v>
      </c>
      <c r="I2372" s="6">
        <v>1.0</v>
      </c>
      <c r="J2372" s="6" t="s">
        <v>37</v>
      </c>
      <c r="K2372" s="6">
        <v>10.0</v>
      </c>
      <c r="L2372" s="5"/>
      <c r="M2372" s="5"/>
      <c r="N2372" s="6" t="s">
        <v>40</v>
      </c>
      <c r="O2372" s="5" t="s">
        <v>5363</v>
      </c>
      <c r="P2372" s="6" t="s">
        <v>42</v>
      </c>
      <c r="Q2372" s="5" t="s">
        <v>1237</v>
      </c>
      <c r="R2372" s="5" t="s">
        <v>13739</v>
      </c>
      <c r="S2372" s="6" t="s">
        <v>67</v>
      </c>
      <c r="T2372" s="6">
        <v>6472.0</v>
      </c>
    </row>
    <row r="2373" ht="56.25" customHeight="1">
      <c r="A2373" s="5" t="s">
        <v>13729</v>
      </c>
      <c r="B2373" s="6" t="str">
        <f>image("https://storage.googleapis.com/acdb/photos/BromideNpcNmlDuk17_Remake_3_0.png")</f>
        <v/>
      </c>
      <c r="C2373" s="5" t="s">
        <v>57</v>
      </c>
      <c r="D2373" s="5" t="s">
        <v>1327</v>
      </c>
      <c r="E2373" s="5" t="s">
        <v>34</v>
      </c>
      <c r="F2373" s="5" t="s">
        <v>34</v>
      </c>
      <c r="G2373" s="5" t="s">
        <v>36</v>
      </c>
      <c r="H2373" s="5" t="s">
        <v>35</v>
      </c>
      <c r="I2373" s="6">
        <v>1.0</v>
      </c>
      <c r="J2373" s="6" t="s">
        <v>37</v>
      </c>
      <c r="K2373" s="6">
        <v>10.0</v>
      </c>
      <c r="L2373" s="5"/>
      <c r="M2373" s="5"/>
      <c r="N2373" s="6" t="s">
        <v>40</v>
      </c>
      <c r="O2373" s="5" t="s">
        <v>5363</v>
      </c>
      <c r="P2373" s="6" t="s">
        <v>42</v>
      </c>
      <c r="Q2373" s="5" t="s">
        <v>1237</v>
      </c>
      <c r="R2373" s="5" t="s">
        <v>13743</v>
      </c>
      <c r="S2373" s="6" t="s">
        <v>71</v>
      </c>
      <c r="T2373" s="6">
        <v>6472.0</v>
      </c>
    </row>
    <row r="2374" ht="56.25" customHeight="1">
      <c r="A2374" s="5" t="s">
        <v>13729</v>
      </c>
      <c r="B2374" s="6" t="str">
        <f>image("https://storage.googleapis.com/acdb/photos/BromideNpcNmlDuk17_Remake_4_0.png")</f>
        <v/>
      </c>
      <c r="C2374" s="5" t="s">
        <v>1167</v>
      </c>
      <c r="D2374" s="5" t="s">
        <v>1327</v>
      </c>
      <c r="E2374" s="5" t="s">
        <v>34</v>
      </c>
      <c r="F2374" s="5" t="s">
        <v>34</v>
      </c>
      <c r="G2374" s="5" t="s">
        <v>36</v>
      </c>
      <c r="H2374" s="5" t="s">
        <v>35</v>
      </c>
      <c r="I2374" s="6">
        <v>1.0</v>
      </c>
      <c r="J2374" s="6" t="s">
        <v>37</v>
      </c>
      <c r="K2374" s="6">
        <v>10.0</v>
      </c>
      <c r="L2374" s="5"/>
      <c r="M2374" s="5"/>
      <c r="N2374" s="6" t="s">
        <v>40</v>
      </c>
      <c r="O2374" s="5" t="s">
        <v>5363</v>
      </c>
      <c r="P2374" s="6" t="s">
        <v>42</v>
      </c>
      <c r="Q2374" s="5" t="s">
        <v>1237</v>
      </c>
      <c r="R2374" s="5" t="s">
        <v>13746</v>
      </c>
      <c r="S2374" s="6" t="s">
        <v>75</v>
      </c>
      <c r="T2374" s="6">
        <v>6472.0</v>
      </c>
    </row>
    <row r="2375" ht="56.25" customHeight="1">
      <c r="A2375" s="5" t="s">
        <v>13729</v>
      </c>
      <c r="B2375" s="6" t="str">
        <f>image("https://storage.googleapis.com/acdb/photos/BromideNpcNmlDuk17_Remake_5_0.png")</f>
        <v/>
      </c>
      <c r="C2375" s="5" t="s">
        <v>58</v>
      </c>
      <c r="D2375" s="5" t="s">
        <v>1327</v>
      </c>
      <c r="E2375" s="5" t="s">
        <v>34</v>
      </c>
      <c r="F2375" s="5" t="s">
        <v>34</v>
      </c>
      <c r="G2375" s="5" t="s">
        <v>36</v>
      </c>
      <c r="H2375" s="5" t="s">
        <v>35</v>
      </c>
      <c r="I2375" s="6">
        <v>1.0</v>
      </c>
      <c r="J2375" s="6" t="s">
        <v>37</v>
      </c>
      <c r="K2375" s="6">
        <v>10.0</v>
      </c>
      <c r="L2375" s="5"/>
      <c r="M2375" s="5"/>
      <c r="N2375" s="6" t="s">
        <v>40</v>
      </c>
      <c r="O2375" s="5" t="s">
        <v>5363</v>
      </c>
      <c r="P2375" s="6" t="s">
        <v>42</v>
      </c>
      <c r="Q2375" s="5" t="s">
        <v>1237</v>
      </c>
      <c r="R2375" s="5" t="s">
        <v>13748</v>
      </c>
      <c r="S2375" s="6" t="s">
        <v>79</v>
      </c>
      <c r="T2375" s="6">
        <v>6472.0</v>
      </c>
    </row>
    <row r="2376" ht="56.25" customHeight="1">
      <c r="A2376" s="5" t="s">
        <v>13729</v>
      </c>
      <c r="B2376" s="6" t="str">
        <f>image("https://storage.googleapis.com/acdb/photos/BromideNpcNmlDuk17_Remake_6_0.png")</f>
        <v/>
      </c>
      <c r="C2376" s="5" t="s">
        <v>146</v>
      </c>
      <c r="D2376" s="5" t="s">
        <v>1327</v>
      </c>
      <c r="E2376" s="5" t="s">
        <v>34</v>
      </c>
      <c r="F2376" s="5" t="s">
        <v>34</v>
      </c>
      <c r="G2376" s="5" t="s">
        <v>36</v>
      </c>
      <c r="H2376" s="5" t="s">
        <v>35</v>
      </c>
      <c r="I2376" s="6">
        <v>1.0</v>
      </c>
      <c r="J2376" s="6" t="s">
        <v>37</v>
      </c>
      <c r="K2376" s="6">
        <v>10.0</v>
      </c>
      <c r="L2376" s="5"/>
      <c r="M2376" s="5"/>
      <c r="N2376" s="6" t="s">
        <v>40</v>
      </c>
      <c r="O2376" s="5" t="s">
        <v>5363</v>
      </c>
      <c r="P2376" s="6" t="s">
        <v>42</v>
      </c>
      <c r="Q2376" s="5" t="s">
        <v>1237</v>
      </c>
      <c r="R2376" s="5" t="s">
        <v>13753</v>
      </c>
      <c r="S2376" s="6" t="s">
        <v>86</v>
      </c>
      <c r="T2376" s="6">
        <v>6472.0</v>
      </c>
    </row>
    <row r="2377" ht="56.25" customHeight="1">
      <c r="A2377" s="5" t="s">
        <v>13729</v>
      </c>
      <c r="B2377" s="6" t="str">
        <f>image("https://storage.googleapis.com/acdb/photos/BromideNpcNmlDuk17_Remake_7_0.png")</f>
        <v/>
      </c>
      <c r="C2377" s="5" t="s">
        <v>151</v>
      </c>
      <c r="D2377" s="5" t="s">
        <v>1327</v>
      </c>
      <c r="E2377" s="5" t="s">
        <v>34</v>
      </c>
      <c r="F2377" s="5" t="s">
        <v>34</v>
      </c>
      <c r="G2377" s="5" t="s">
        <v>36</v>
      </c>
      <c r="H2377" s="5" t="s">
        <v>35</v>
      </c>
      <c r="I2377" s="6">
        <v>1.0</v>
      </c>
      <c r="J2377" s="6" t="s">
        <v>37</v>
      </c>
      <c r="K2377" s="6">
        <v>10.0</v>
      </c>
      <c r="L2377" s="5"/>
      <c r="M2377" s="5"/>
      <c r="N2377" s="6" t="s">
        <v>40</v>
      </c>
      <c r="O2377" s="5" t="s">
        <v>5363</v>
      </c>
      <c r="P2377" s="6" t="s">
        <v>42</v>
      </c>
      <c r="Q2377" s="5" t="s">
        <v>1237</v>
      </c>
      <c r="R2377" s="5" t="s">
        <v>13756</v>
      </c>
      <c r="S2377" s="6" t="s">
        <v>208</v>
      </c>
      <c r="T2377" s="6">
        <v>6472.0</v>
      </c>
    </row>
    <row r="2378" ht="56.25" customHeight="1">
      <c r="A2378" s="5" t="s">
        <v>13757</v>
      </c>
      <c r="B2378" s="6" t="str">
        <f>image("https://storage.googleapis.com/acdb/photos/BromideNpcNmlFlg15_Remake_0_0.png")</f>
        <v/>
      </c>
      <c r="C2378" s="5" t="s">
        <v>366</v>
      </c>
      <c r="D2378" s="5" t="s">
        <v>1327</v>
      </c>
      <c r="E2378" s="5" t="s">
        <v>34</v>
      </c>
      <c r="F2378" s="5" t="s">
        <v>34</v>
      </c>
      <c r="G2378" s="5" t="s">
        <v>36</v>
      </c>
      <c r="H2378" s="5" t="s">
        <v>35</v>
      </c>
      <c r="I2378" s="6">
        <v>1.0</v>
      </c>
      <c r="J2378" s="6" t="s">
        <v>37</v>
      </c>
      <c r="K2378" s="6">
        <v>10.0</v>
      </c>
      <c r="L2378" s="5"/>
      <c r="M2378" s="5"/>
      <c r="N2378" s="6" t="s">
        <v>40</v>
      </c>
      <c r="O2378" s="5" t="s">
        <v>5363</v>
      </c>
      <c r="P2378" s="6" t="s">
        <v>42</v>
      </c>
      <c r="Q2378" s="5" t="s">
        <v>1237</v>
      </c>
      <c r="R2378" s="5" t="s">
        <v>13760</v>
      </c>
      <c r="S2378" s="6" t="s">
        <v>50</v>
      </c>
      <c r="T2378" s="6">
        <v>6498.0</v>
      </c>
    </row>
    <row r="2379" ht="56.25" customHeight="1">
      <c r="A2379" s="5" t="s">
        <v>13757</v>
      </c>
      <c r="B2379" s="6" t="str">
        <f>image("https://storage.googleapis.com/acdb/photos/BromideNpcNmlFlg15_Remake_1_0.png")</f>
        <v/>
      </c>
      <c r="C2379" s="5" t="s">
        <v>1132</v>
      </c>
      <c r="D2379" s="5" t="s">
        <v>1327</v>
      </c>
      <c r="E2379" s="5" t="s">
        <v>34</v>
      </c>
      <c r="F2379" s="5" t="s">
        <v>34</v>
      </c>
      <c r="G2379" s="5" t="s">
        <v>36</v>
      </c>
      <c r="H2379" s="5" t="s">
        <v>35</v>
      </c>
      <c r="I2379" s="6">
        <v>1.0</v>
      </c>
      <c r="J2379" s="6" t="s">
        <v>37</v>
      </c>
      <c r="K2379" s="6">
        <v>10.0</v>
      </c>
      <c r="L2379" s="5"/>
      <c r="M2379" s="5"/>
      <c r="N2379" s="6" t="s">
        <v>40</v>
      </c>
      <c r="O2379" s="5" t="s">
        <v>5363</v>
      </c>
      <c r="P2379" s="6" t="s">
        <v>42</v>
      </c>
      <c r="Q2379" s="5" t="s">
        <v>1237</v>
      </c>
      <c r="R2379" s="5" t="s">
        <v>13763</v>
      </c>
      <c r="S2379" s="6" t="s">
        <v>56</v>
      </c>
      <c r="T2379" s="6">
        <v>6498.0</v>
      </c>
    </row>
    <row r="2380" ht="56.25" customHeight="1">
      <c r="A2380" s="5" t="s">
        <v>13757</v>
      </c>
      <c r="B2380" s="6" t="str">
        <f>image("https://storage.googleapis.com/acdb/photos/BromideNpcNmlFlg15_Remake_2_0.png")</f>
        <v/>
      </c>
      <c r="C2380" s="5" t="s">
        <v>688</v>
      </c>
      <c r="D2380" s="5" t="s">
        <v>1327</v>
      </c>
      <c r="E2380" s="5" t="s">
        <v>34</v>
      </c>
      <c r="F2380" s="5" t="s">
        <v>34</v>
      </c>
      <c r="G2380" s="5" t="s">
        <v>36</v>
      </c>
      <c r="H2380" s="5" t="s">
        <v>35</v>
      </c>
      <c r="I2380" s="6">
        <v>1.0</v>
      </c>
      <c r="J2380" s="6" t="s">
        <v>37</v>
      </c>
      <c r="K2380" s="6">
        <v>10.0</v>
      </c>
      <c r="L2380" s="5"/>
      <c r="M2380" s="5"/>
      <c r="N2380" s="6" t="s">
        <v>40</v>
      </c>
      <c r="O2380" s="5" t="s">
        <v>5363</v>
      </c>
      <c r="P2380" s="6" t="s">
        <v>42</v>
      </c>
      <c r="Q2380" s="5" t="s">
        <v>1237</v>
      </c>
      <c r="R2380" s="5" t="s">
        <v>13766</v>
      </c>
      <c r="S2380" s="6" t="s">
        <v>67</v>
      </c>
      <c r="T2380" s="6">
        <v>6498.0</v>
      </c>
    </row>
    <row r="2381" ht="56.25" customHeight="1">
      <c r="A2381" s="5" t="s">
        <v>13757</v>
      </c>
      <c r="B2381" s="6" t="str">
        <f>image("https://storage.googleapis.com/acdb/photos/BromideNpcNmlFlg15_Remake_3_0.png")</f>
        <v/>
      </c>
      <c r="C2381" s="5" t="s">
        <v>57</v>
      </c>
      <c r="D2381" s="5" t="s">
        <v>1327</v>
      </c>
      <c r="E2381" s="5" t="s">
        <v>34</v>
      </c>
      <c r="F2381" s="5" t="s">
        <v>34</v>
      </c>
      <c r="G2381" s="5" t="s">
        <v>36</v>
      </c>
      <c r="H2381" s="5" t="s">
        <v>35</v>
      </c>
      <c r="I2381" s="6">
        <v>1.0</v>
      </c>
      <c r="J2381" s="6" t="s">
        <v>37</v>
      </c>
      <c r="K2381" s="6">
        <v>10.0</v>
      </c>
      <c r="L2381" s="5"/>
      <c r="M2381" s="5"/>
      <c r="N2381" s="6" t="s">
        <v>40</v>
      </c>
      <c r="O2381" s="5" t="s">
        <v>5363</v>
      </c>
      <c r="P2381" s="6" t="s">
        <v>42</v>
      </c>
      <c r="Q2381" s="5" t="s">
        <v>1237</v>
      </c>
      <c r="R2381" s="5" t="s">
        <v>13768</v>
      </c>
      <c r="S2381" s="6" t="s">
        <v>71</v>
      </c>
      <c r="T2381" s="6">
        <v>6498.0</v>
      </c>
    </row>
    <row r="2382" ht="56.25" customHeight="1">
      <c r="A2382" s="5" t="s">
        <v>13757</v>
      </c>
      <c r="B2382" s="6" t="str">
        <f>image("https://storage.googleapis.com/acdb/photos/BromideNpcNmlFlg15_Remake_4_0.png")</f>
        <v/>
      </c>
      <c r="C2382" s="5" t="s">
        <v>1167</v>
      </c>
      <c r="D2382" s="5" t="s">
        <v>1327</v>
      </c>
      <c r="E2382" s="5" t="s">
        <v>34</v>
      </c>
      <c r="F2382" s="5" t="s">
        <v>34</v>
      </c>
      <c r="G2382" s="5" t="s">
        <v>36</v>
      </c>
      <c r="H2382" s="5" t="s">
        <v>35</v>
      </c>
      <c r="I2382" s="6">
        <v>1.0</v>
      </c>
      <c r="J2382" s="6" t="s">
        <v>37</v>
      </c>
      <c r="K2382" s="6">
        <v>10.0</v>
      </c>
      <c r="L2382" s="5"/>
      <c r="M2382" s="5"/>
      <c r="N2382" s="6" t="s">
        <v>40</v>
      </c>
      <c r="O2382" s="5" t="s">
        <v>5363</v>
      </c>
      <c r="P2382" s="6" t="s">
        <v>42</v>
      </c>
      <c r="Q2382" s="5" t="s">
        <v>1237</v>
      </c>
      <c r="R2382" s="5" t="s">
        <v>13772</v>
      </c>
      <c r="S2382" s="6" t="s">
        <v>75</v>
      </c>
      <c r="T2382" s="6">
        <v>6498.0</v>
      </c>
    </row>
    <row r="2383" ht="56.25" customHeight="1">
      <c r="A2383" s="5" t="s">
        <v>13757</v>
      </c>
      <c r="B2383" s="6" t="str">
        <f>image("https://storage.googleapis.com/acdb/photos/BromideNpcNmlFlg15_Remake_5_0.png")</f>
        <v/>
      </c>
      <c r="C2383" s="5" t="s">
        <v>58</v>
      </c>
      <c r="D2383" s="5" t="s">
        <v>1327</v>
      </c>
      <c r="E2383" s="5" t="s">
        <v>34</v>
      </c>
      <c r="F2383" s="5" t="s">
        <v>34</v>
      </c>
      <c r="G2383" s="5" t="s">
        <v>36</v>
      </c>
      <c r="H2383" s="5" t="s">
        <v>35</v>
      </c>
      <c r="I2383" s="6">
        <v>1.0</v>
      </c>
      <c r="J2383" s="6" t="s">
        <v>37</v>
      </c>
      <c r="K2383" s="6">
        <v>10.0</v>
      </c>
      <c r="L2383" s="5"/>
      <c r="M2383" s="5"/>
      <c r="N2383" s="6" t="s">
        <v>40</v>
      </c>
      <c r="O2383" s="5" t="s">
        <v>5363</v>
      </c>
      <c r="P2383" s="6" t="s">
        <v>42</v>
      </c>
      <c r="Q2383" s="5" t="s">
        <v>1237</v>
      </c>
      <c r="R2383" s="5" t="s">
        <v>13776</v>
      </c>
      <c r="S2383" s="6" t="s">
        <v>79</v>
      </c>
      <c r="T2383" s="6">
        <v>6498.0</v>
      </c>
    </row>
    <row r="2384" ht="56.25" customHeight="1">
      <c r="A2384" s="5" t="s">
        <v>13757</v>
      </c>
      <c r="B2384" s="6" t="str">
        <f>image("https://storage.googleapis.com/acdb/photos/BromideNpcNmlFlg15_Remake_6_0.png")</f>
        <v/>
      </c>
      <c r="C2384" s="5" t="s">
        <v>146</v>
      </c>
      <c r="D2384" s="5" t="s">
        <v>1327</v>
      </c>
      <c r="E2384" s="5" t="s">
        <v>34</v>
      </c>
      <c r="F2384" s="5" t="s">
        <v>34</v>
      </c>
      <c r="G2384" s="5" t="s">
        <v>36</v>
      </c>
      <c r="H2384" s="5" t="s">
        <v>35</v>
      </c>
      <c r="I2384" s="6">
        <v>1.0</v>
      </c>
      <c r="J2384" s="6" t="s">
        <v>37</v>
      </c>
      <c r="K2384" s="6">
        <v>10.0</v>
      </c>
      <c r="L2384" s="5"/>
      <c r="M2384" s="5"/>
      <c r="N2384" s="6" t="s">
        <v>40</v>
      </c>
      <c r="O2384" s="5" t="s">
        <v>5363</v>
      </c>
      <c r="P2384" s="6" t="s">
        <v>42</v>
      </c>
      <c r="Q2384" s="5" t="s">
        <v>1237</v>
      </c>
      <c r="R2384" s="5" t="s">
        <v>13779</v>
      </c>
      <c r="S2384" s="6" t="s">
        <v>86</v>
      </c>
      <c r="T2384" s="6">
        <v>6498.0</v>
      </c>
    </row>
    <row r="2385" ht="56.25" customHeight="1">
      <c r="A2385" s="5" t="s">
        <v>13757</v>
      </c>
      <c r="B2385" s="6" t="str">
        <f>image("https://storage.googleapis.com/acdb/photos/BromideNpcNmlFlg15_Remake_7_0.png")</f>
        <v/>
      </c>
      <c r="C2385" s="5" t="s">
        <v>151</v>
      </c>
      <c r="D2385" s="5" t="s">
        <v>1327</v>
      </c>
      <c r="E2385" s="5" t="s">
        <v>34</v>
      </c>
      <c r="F2385" s="5" t="s">
        <v>34</v>
      </c>
      <c r="G2385" s="5" t="s">
        <v>36</v>
      </c>
      <c r="H2385" s="5" t="s">
        <v>35</v>
      </c>
      <c r="I2385" s="6">
        <v>1.0</v>
      </c>
      <c r="J2385" s="6" t="s">
        <v>37</v>
      </c>
      <c r="K2385" s="6">
        <v>10.0</v>
      </c>
      <c r="L2385" s="5"/>
      <c r="M2385" s="5"/>
      <c r="N2385" s="6" t="s">
        <v>40</v>
      </c>
      <c r="O2385" s="5" t="s">
        <v>5363</v>
      </c>
      <c r="P2385" s="6" t="s">
        <v>42</v>
      </c>
      <c r="Q2385" s="5" t="s">
        <v>1237</v>
      </c>
      <c r="R2385" s="5" t="s">
        <v>13782</v>
      </c>
      <c r="S2385" s="6" t="s">
        <v>208</v>
      </c>
      <c r="T2385" s="6">
        <v>6498.0</v>
      </c>
    </row>
    <row r="2386" ht="56.25" customHeight="1">
      <c r="A2386" s="5" t="s">
        <v>13783</v>
      </c>
      <c r="B2386" s="6" t="str">
        <f>image("https://storage.googleapis.com/acdb/photos/BromideNpcNmlPig02_Remake_0_0.png")</f>
        <v/>
      </c>
      <c r="C2386" s="5" t="s">
        <v>366</v>
      </c>
      <c r="D2386" s="5" t="s">
        <v>1327</v>
      </c>
      <c r="E2386" s="5" t="s">
        <v>34</v>
      </c>
      <c r="F2386" s="5" t="s">
        <v>34</v>
      </c>
      <c r="G2386" s="5" t="s">
        <v>36</v>
      </c>
      <c r="H2386" s="5" t="s">
        <v>35</v>
      </c>
      <c r="I2386" s="6">
        <v>1.0</v>
      </c>
      <c r="J2386" s="6" t="s">
        <v>37</v>
      </c>
      <c r="K2386" s="6">
        <v>10.0</v>
      </c>
      <c r="L2386" s="5"/>
      <c r="M2386" s="5"/>
      <c r="N2386" s="6" t="s">
        <v>40</v>
      </c>
      <c r="O2386" s="5" t="s">
        <v>5363</v>
      </c>
      <c r="P2386" s="6" t="s">
        <v>42</v>
      </c>
      <c r="Q2386" s="5" t="s">
        <v>1237</v>
      </c>
      <c r="R2386" s="5" t="s">
        <v>13787</v>
      </c>
      <c r="S2386" s="6" t="s">
        <v>50</v>
      </c>
      <c r="T2386" s="6">
        <v>6646.0</v>
      </c>
    </row>
    <row r="2387" ht="56.25" customHeight="1">
      <c r="A2387" s="5" t="s">
        <v>13783</v>
      </c>
      <c r="B2387" s="6" t="str">
        <f>image("https://storage.googleapis.com/acdb/photos/BromideNpcNmlPig02_Remake_1_0.png")</f>
        <v/>
      </c>
      <c r="C2387" s="5" t="s">
        <v>1132</v>
      </c>
      <c r="D2387" s="5" t="s">
        <v>1327</v>
      </c>
      <c r="E2387" s="5" t="s">
        <v>34</v>
      </c>
      <c r="F2387" s="5" t="s">
        <v>34</v>
      </c>
      <c r="G2387" s="5" t="s">
        <v>36</v>
      </c>
      <c r="H2387" s="5" t="s">
        <v>35</v>
      </c>
      <c r="I2387" s="6">
        <v>1.0</v>
      </c>
      <c r="J2387" s="6" t="s">
        <v>37</v>
      </c>
      <c r="K2387" s="6">
        <v>10.0</v>
      </c>
      <c r="L2387" s="5"/>
      <c r="M2387" s="5"/>
      <c r="N2387" s="6" t="s">
        <v>40</v>
      </c>
      <c r="O2387" s="5" t="s">
        <v>5363</v>
      </c>
      <c r="P2387" s="6" t="s">
        <v>42</v>
      </c>
      <c r="Q2387" s="5" t="s">
        <v>1237</v>
      </c>
      <c r="R2387" s="5" t="s">
        <v>13789</v>
      </c>
      <c r="S2387" s="6" t="s">
        <v>56</v>
      </c>
      <c r="T2387" s="6">
        <v>6646.0</v>
      </c>
    </row>
    <row r="2388" ht="56.25" customHeight="1">
      <c r="A2388" s="5" t="s">
        <v>13783</v>
      </c>
      <c r="B2388" s="6" t="str">
        <f>image("https://storage.googleapis.com/acdb/photos/BromideNpcNmlPig02_Remake_2_0.png")</f>
        <v/>
      </c>
      <c r="C2388" s="5" t="s">
        <v>688</v>
      </c>
      <c r="D2388" s="5" t="s">
        <v>1327</v>
      </c>
      <c r="E2388" s="5" t="s">
        <v>34</v>
      </c>
      <c r="F2388" s="5" t="s">
        <v>34</v>
      </c>
      <c r="G2388" s="5" t="s">
        <v>36</v>
      </c>
      <c r="H2388" s="5" t="s">
        <v>35</v>
      </c>
      <c r="I2388" s="6">
        <v>1.0</v>
      </c>
      <c r="J2388" s="6" t="s">
        <v>37</v>
      </c>
      <c r="K2388" s="6">
        <v>10.0</v>
      </c>
      <c r="L2388" s="5"/>
      <c r="M2388" s="5"/>
      <c r="N2388" s="6" t="s">
        <v>40</v>
      </c>
      <c r="O2388" s="5" t="s">
        <v>5363</v>
      </c>
      <c r="P2388" s="6" t="s">
        <v>42</v>
      </c>
      <c r="Q2388" s="5" t="s">
        <v>1237</v>
      </c>
      <c r="R2388" s="5" t="s">
        <v>13792</v>
      </c>
      <c r="S2388" s="6" t="s">
        <v>67</v>
      </c>
      <c r="T2388" s="6">
        <v>6646.0</v>
      </c>
    </row>
    <row r="2389" ht="56.25" customHeight="1">
      <c r="A2389" s="5" t="s">
        <v>13783</v>
      </c>
      <c r="B2389" s="6" t="str">
        <f>image("https://storage.googleapis.com/acdb/photos/BromideNpcNmlPig02_Remake_3_0.png")</f>
        <v/>
      </c>
      <c r="C2389" s="5" t="s">
        <v>57</v>
      </c>
      <c r="D2389" s="5" t="s">
        <v>1327</v>
      </c>
      <c r="E2389" s="5" t="s">
        <v>34</v>
      </c>
      <c r="F2389" s="5" t="s">
        <v>34</v>
      </c>
      <c r="G2389" s="5" t="s">
        <v>36</v>
      </c>
      <c r="H2389" s="5" t="s">
        <v>35</v>
      </c>
      <c r="I2389" s="6">
        <v>1.0</v>
      </c>
      <c r="J2389" s="6" t="s">
        <v>37</v>
      </c>
      <c r="K2389" s="6">
        <v>10.0</v>
      </c>
      <c r="L2389" s="5"/>
      <c r="M2389" s="5"/>
      <c r="N2389" s="6" t="s">
        <v>40</v>
      </c>
      <c r="O2389" s="5" t="s">
        <v>5363</v>
      </c>
      <c r="P2389" s="6" t="s">
        <v>42</v>
      </c>
      <c r="Q2389" s="5" t="s">
        <v>1237</v>
      </c>
      <c r="R2389" s="5" t="s">
        <v>13794</v>
      </c>
      <c r="S2389" s="6" t="s">
        <v>71</v>
      </c>
      <c r="T2389" s="6">
        <v>6646.0</v>
      </c>
    </row>
    <row r="2390" ht="56.25" customHeight="1">
      <c r="A2390" s="5" t="s">
        <v>13783</v>
      </c>
      <c r="B2390" s="6" t="str">
        <f>image("https://storage.googleapis.com/acdb/photos/BromideNpcNmlPig02_Remake_4_0.png")</f>
        <v/>
      </c>
      <c r="C2390" s="5" t="s">
        <v>1167</v>
      </c>
      <c r="D2390" s="5" t="s">
        <v>1327</v>
      </c>
      <c r="E2390" s="5" t="s">
        <v>34</v>
      </c>
      <c r="F2390" s="5" t="s">
        <v>34</v>
      </c>
      <c r="G2390" s="5" t="s">
        <v>36</v>
      </c>
      <c r="H2390" s="5" t="s">
        <v>35</v>
      </c>
      <c r="I2390" s="6">
        <v>1.0</v>
      </c>
      <c r="J2390" s="6" t="s">
        <v>37</v>
      </c>
      <c r="K2390" s="6">
        <v>10.0</v>
      </c>
      <c r="L2390" s="5"/>
      <c r="M2390" s="5"/>
      <c r="N2390" s="6" t="s">
        <v>40</v>
      </c>
      <c r="O2390" s="5" t="s">
        <v>5363</v>
      </c>
      <c r="P2390" s="6" t="s">
        <v>42</v>
      </c>
      <c r="Q2390" s="5" t="s">
        <v>1237</v>
      </c>
      <c r="R2390" s="5" t="s">
        <v>13797</v>
      </c>
      <c r="S2390" s="6" t="s">
        <v>75</v>
      </c>
      <c r="T2390" s="6">
        <v>6646.0</v>
      </c>
    </row>
    <row r="2391" ht="56.25" customHeight="1">
      <c r="A2391" s="5" t="s">
        <v>13783</v>
      </c>
      <c r="B2391" s="6" t="str">
        <f>image("https://storage.googleapis.com/acdb/photos/BromideNpcNmlPig02_Remake_5_0.png")</f>
        <v/>
      </c>
      <c r="C2391" s="5" t="s">
        <v>58</v>
      </c>
      <c r="D2391" s="5" t="s">
        <v>1327</v>
      </c>
      <c r="E2391" s="5" t="s">
        <v>34</v>
      </c>
      <c r="F2391" s="5" t="s">
        <v>34</v>
      </c>
      <c r="G2391" s="5" t="s">
        <v>36</v>
      </c>
      <c r="H2391" s="5" t="s">
        <v>35</v>
      </c>
      <c r="I2391" s="6">
        <v>1.0</v>
      </c>
      <c r="J2391" s="6" t="s">
        <v>37</v>
      </c>
      <c r="K2391" s="6">
        <v>10.0</v>
      </c>
      <c r="L2391" s="5"/>
      <c r="M2391" s="5"/>
      <c r="N2391" s="6" t="s">
        <v>40</v>
      </c>
      <c r="O2391" s="5" t="s">
        <v>5363</v>
      </c>
      <c r="P2391" s="6" t="s">
        <v>42</v>
      </c>
      <c r="Q2391" s="5" t="s">
        <v>1237</v>
      </c>
      <c r="R2391" s="5" t="s">
        <v>13800</v>
      </c>
      <c r="S2391" s="6" t="s">
        <v>79</v>
      </c>
      <c r="T2391" s="6">
        <v>6646.0</v>
      </c>
    </row>
    <row r="2392" ht="56.25" customHeight="1">
      <c r="A2392" s="5" t="s">
        <v>13783</v>
      </c>
      <c r="B2392" s="6" t="str">
        <f>image("https://storage.googleapis.com/acdb/photos/BromideNpcNmlPig02_Remake_6_0.png")</f>
        <v/>
      </c>
      <c r="C2392" s="5" t="s">
        <v>146</v>
      </c>
      <c r="D2392" s="5" t="s">
        <v>1327</v>
      </c>
      <c r="E2392" s="5" t="s">
        <v>34</v>
      </c>
      <c r="F2392" s="5" t="s">
        <v>34</v>
      </c>
      <c r="G2392" s="5" t="s">
        <v>36</v>
      </c>
      <c r="H2392" s="5" t="s">
        <v>35</v>
      </c>
      <c r="I2392" s="6">
        <v>1.0</v>
      </c>
      <c r="J2392" s="6" t="s">
        <v>37</v>
      </c>
      <c r="K2392" s="6">
        <v>10.0</v>
      </c>
      <c r="L2392" s="5"/>
      <c r="M2392" s="5"/>
      <c r="N2392" s="6" t="s">
        <v>40</v>
      </c>
      <c r="O2392" s="5" t="s">
        <v>5363</v>
      </c>
      <c r="P2392" s="6" t="s">
        <v>42</v>
      </c>
      <c r="Q2392" s="5" t="s">
        <v>1237</v>
      </c>
      <c r="R2392" s="5" t="s">
        <v>13803</v>
      </c>
      <c r="S2392" s="6" t="s">
        <v>86</v>
      </c>
      <c r="T2392" s="6">
        <v>6646.0</v>
      </c>
    </row>
    <row r="2393" ht="56.25" customHeight="1">
      <c r="A2393" s="5" t="s">
        <v>13783</v>
      </c>
      <c r="B2393" s="6" t="str">
        <f>image("https://storage.googleapis.com/acdb/photos/BromideNpcNmlPig02_Remake_7_0.png")</f>
        <v/>
      </c>
      <c r="C2393" s="5" t="s">
        <v>151</v>
      </c>
      <c r="D2393" s="5" t="s">
        <v>1327</v>
      </c>
      <c r="E2393" s="5" t="s">
        <v>34</v>
      </c>
      <c r="F2393" s="5" t="s">
        <v>34</v>
      </c>
      <c r="G2393" s="5" t="s">
        <v>36</v>
      </c>
      <c r="H2393" s="5" t="s">
        <v>35</v>
      </c>
      <c r="I2393" s="6">
        <v>1.0</v>
      </c>
      <c r="J2393" s="6" t="s">
        <v>37</v>
      </c>
      <c r="K2393" s="6">
        <v>10.0</v>
      </c>
      <c r="L2393" s="5"/>
      <c r="M2393" s="5"/>
      <c r="N2393" s="6" t="s">
        <v>40</v>
      </c>
      <c r="O2393" s="5" t="s">
        <v>5363</v>
      </c>
      <c r="P2393" s="6" t="s">
        <v>42</v>
      </c>
      <c r="Q2393" s="5" t="s">
        <v>1237</v>
      </c>
      <c r="R2393" s="5" t="s">
        <v>13807</v>
      </c>
      <c r="S2393" s="6" t="s">
        <v>208</v>
      </c>
      <c r="T2393" s="6">
        <v>6646.0</v>
      </c>
    </row>
    <row r="2394" ht="56.25" customHeight="1">
      <c r="A2394" s="5" t="s">
        <v>13808</v>
      </c>
      <c r="B2394" s="6" t="str">
        <f>image("https://storage.googleapis.com/acdb/photos/BromideNpcNmlCat23_Remake_0_0.png")</f>
        <v/>
      </c>
      <c r="C2394" s="5" t="s">
        <v>366</v>
      </c>
      <c r="D2394" s="5" t="s">
        <v>1327</v>
      </c>
      <c r="E2394" s="5" t="s">
        <v>34</v>
      </c>
      <c r="F2394" s="5" t="s">
        <v>34</v>
      </c>
      <c r="G2394" s="5" t="s">
        <v>36</v>
      </c>
      <c r="H2394" s="5" t="s">
        <v>35</v>
      </c>
      <c r="I2394" s="6">
        <v>1.0</v>
      </c>
      <c r="J2394" s="6" t="s">
        <v>37</v>
      </c>
      <c r="K2394" s="6">
        <v>10.0</v>
      </c>
      <c r="L2394" s="5"/>
      <c r="M2394" s="5"/>
      <c r="N2394" s="6" t="s">
        <v>40</v>
      </c>
      <c r="O2394" s="5" t="s">
        <v>5363</v>
      </c>
      <c r="P2394" s="6" t="s">
        <v>42</v>
      </c>
      <c r="Q2394" s="5" t="s">
        <v>1237</v>
      </c>
      <c r="R2394" s="5" t="s">
        <v>13811</v>
      </c>
      <c r="S2394" s="6" t="s">
        <v>50</v>
      </c>
      <c r="T2394" s="6">
        <v>6996.0</v>
      </c>
    </row>
    <row r="2395" ht="56.25" customHeight="1">
      <c r="A2395" s="5" t="s">
        <v>13808</v>
      </c>
      <c r="B2395" s="6" t="str">
        <f>image("https://storage.googleapis.com/acdb/photos/BromideNpcNmlCat23_Remake_1_0.png")</f>
        <v/>
      </c>
      <c r="C2395" s="5" t="s">
        <v>1132</v>
      </c>
      <c r="D2395" s="5" t="s">
        <v>1327</v>
      </c>
      <c r="E2395" s="5" t="s">
        <v>34</v>
      </c>
      <c r="F2395" s="5" t="s">
        <v>34</v>
      </c>
      <c r="G2395" s="5" t="s">
        <v>36</v>
      </c>
      <c r="H2395" s="5" t="s">
        <v>35</v>
      </c>
      <c r="I2395" s="6">
        <v>1.0</v>
      </c>
      <c r="J2395" s="6" t="s">
        <v>37</v>
      </c>
      <c r="K2395" s="6">
        <v>10.0</v>
      </c>
      <c r="L2395" s="5"/>
      <c r="M2395" s="5"/>
      <c r="N2395" s="6" t="s">
        <v>40</v>
      </c>
      <c r="O2395" s="5" t="s">
        <v>5363</v>
      </c>
      <c r="P2395" s="6" t="s">
        <v>42</v>
      </c>
      <c r="Q2395" s="5" t="s">
        <v>1237</v>
      </c>
      <c r="R2395" s="5" t="s">
        <v>13813</v>
      </c>
      <c r="S2395" s="6" t="s">
        <v>56</v>
      </c>
      <c r="T2395" s="6">
        <v>6996.0</v>
      </c>
    </row>
    <row r="2396" ht="56.25" customHeight="1">
      <c r="A2396" s="5" t="s">
        <v>13808</v>
      </c>
      <c r="B2396" s="6" t="str">
        <f>image("https://storage.googleapis.com/acdb/photos/BromideNpcNmlCat23_Remake_2_0.png")</f>
        <v/>
      </c>
      <c r="C2396" s="5" t="s">
        <v>688</v>
      </c>
      <c r="D2396" s="5" t="s">
        <v>1327</v>
      </c>
      <c r="E2396" s="5" t="s">
        <v>34</v>
      </c>
      <c r="F2396" s="5" t="s">
        <v>34</v>
      </c>
      <c r="G2396" s="5" t="s">
        <v>36</v>
      </c>
      <c r="H2396" s="5" t="s">
        <v>35</v>
      </c>
      <c r="I2396" s="6">
        <v>1.0</v>
      </c>
      <c r="J2396" s="6" t="s">
        <v>37</v>
      </c>
      <c r="K2396" s="6">
        <v>10.0</v>
      </c>
      <c r="L2396" s="5"/>
      <c r="M2396" s="5"/>
      <c r="N2396" s="6" t="s">
        <v>40</v>
      </c>
      <c r="O2396" s="5" t="s">
        <v>5363</v>
      </c>
      <c r="P2396" s="6" t="s">
        <v>42</v>
      </c>
      <c r="Q2396" s="5" t="s">
        <v>1237</v>
      </c>
      <c r="R2396" s="5" t="s">
        <v>13816</v>
      </c>
      <c r="S2396" s="6" t="s">
        <v>67</v>
      </c>
      <c r="T2396" s="6">
        <v>6996.0</v>
      </c>
    </row>
    <row r="2397" ht="56.25" customHeight="1">
      <c r="A2397" s="5" t="s">
        <v>13808</v>
      </c>
      <c r="B2397" s="6" t="str">
        <f>image("https://storage.googleapis.com/acdb/photos/BromideNpcNmlCat23_Remake_3_0.png")</f>
        <v/>
      </c>
      <c r="C2397" s="5" t="s">
        <v>57</v>
      </c>
      <c r="D2397" s="5" t="s">
        <v>1327</v>
      </c>
      <c r="E2397" s="5" t="s">
        <v>34</v>
      </c>
      <c r="F2397" s="5" t="s">
        <v>34</v>
      </c>
      <c r="G2397" s="5" t="s">
        <v>36</v>
      </c>
      <c r="H2397" s="5" t="s">
        <v>35</v>
      </c>
      <c r="I2397" s="6">
        <v>1.0</v>
      </c>
      <c r="J2397" s="6" t="s">
        <v>37</v>
      </c>
      <c r="K2397" s="6">
        <v>10.0</v>
      </c>
      <c r="L2397" s="5"/>
      <c r="M2397" s="5"/>
      <c r="N2397" s="6" t="s">
        <v>40</v>
      </c>
      <c r="O2397" s="5" t="s">
        <v>5363</v>
      </c>
      <c r="P2397" s="6" t="s">
        <v>42</v>
      </c>
      <c r="Q2397" s="5" t="s">
        <v>1237</v>
      </c>
      <c r="R2397" s="5" t="s">
        <v>13819</v>
      </c>
      <c r="S2397" s="6" t="s">
        <v>71</v>
      </c>
      <c r="T2397" s="6">
        <v>6996.0</v>
      </c>
    </row>
    <row r="2398" ht="56.25" customHeight="1">
      <c r="A2398" s="5" t="s">
        <v>13808</v>
      </c>
      <c r="B2398" s="6" t="str">
        <f>image("https://storage.googleapis.com/acdb/photos/BromideNpcNmlCat23_Remake_4_0.png")</f>
        <v/>
      </c>
      <c r="C2398" s="5" t="s">
        <v>1167</v>
      </c>
      <c r="D2398" s="5" t="s">
        <v>1327</v>
      </c>
      <c r="E2398" s="5" t="s">
        <v>34</v>
      </c>
      <c r="F2398" s="5" t="s">
        <v>34</v>
      </c>
      <c r="G2398" s="5" t="s">
        <v>36</v>
      </c>
      <c r="H2398" s="5" t="s">
        <v>35</v>
      </c>
      <c r="I2398" s="6">
        <v>1.0</v>
      </c>
      <c r="J2398" s="6" t="s">
        <v>37</v>
      </c>
      <c r="K2398" s="6">
        <v>10.0</v>
      </c>
      <c r="L2398" s="5"/>
      <c r="M2398" s="5"/>
      <c r="N2398" s="6" t="s">
        <v>40</v>
      </c>
      <c r="O2398" s="5" t="s">
        <v>5363</v>
      </c>
      <c r="P2398" s="6" t="s">
        <v>42</v>
      </c>
      <c r="Q2398" s="5" t="s">
        <v>1237</v>
      </c>
      <c r="R2398" s="5" t="s">
        <v>13823</v>
      </c>
      <c r="S2398" s="6" t="s">
        <v>75</v>
      </c>
      <c r="T2398" s="6">
        <v>6996.0</v>
      </c>
    </row>
    <row r="2399" ht="56.25" customHeight="1">
      <c r="A2399" s="5" t="s">
        <v>13808</v>
      </c>
      <c r="B2399" s="6" t="str">
        <f>image("https://storage.googleapis.com/acdb/photos/BromideNpcNmlCat23_Remake_5_0.png")</f>
        <v/>
      </c>
      <c r="C2399" s="5" t="s">
        <v>58</v>
      </c>
      <c r="D2399" s="5" t="s">
        <v>1327</v>
      </c>
      <c r="E2399" s="5" t="s">
        <v>34</v>
      </c>
      <c r="F2399" s="5" t="s">
        <v>34</v>
      </c>
      <c r="G2399" s="5" t="s">
        <v>36</v>
      </c>
      <c r="H2399" s="5" t="s">
        <v>35</v>
      </c>
      <c r="I2399" s="6">
        <v>1.0</v>
      </c>
      <c r="J2399" s="6" t="s">
        <v>37</v>
      </c>
      <c r="K2399" s="6">
        <v>10.0</v>
      </c>
      <c r="L2399" s="5"/>
      <c r="M2399" s="5"/>
      <c r="N2399" s="6" t="s">
        <v>40</v>
      </c>
      <c r="O2399" s="5" t="s">
        <v>5363</v>
      </c>
      <c r="P2399" s="6" t="s">
        <v>42</v>
      </c>
      <c r="Q2399" s="5" t="s">
        <v>1237</v>
      </c>
      <c r="R2399" s="5" t="s">
        <v>13825</v>
      </c>
      <c r="S2399" s="6" t="s">
        <v>79</v>
      </c>
      <c r="T2399" s="6">
        <v>6996.0</v>
      </c>
    </row>
    <row r="2400" ht="56.25" customHeight="1">
      <c r="A2400" s="5" t="s">
        <v>13808</v>
      </c>
      <c r="B2400" s="6" t="str">
        <f>image("https://storage.googleapis.com/acdb/photos/BromideNpcNmlCat23_Remake_6_0.png")</f>
        <v/>
      </c>
      <c r="C2400" s="5" t="s">
        <v>146</v>
      </c>
      <c r="D2400" s="5" t="s">
        <v>1327</v>
      </c>
      <c r="E2400" s="5" t="s">
        <v>34</v>
      </c>
      <c r="F2400" s="5" t="s">
        <v>34</v>
      </c>
      <c r="G2400" s="5" t="s">
        <v>36</v>
      </c>
      <c r="H2400" s="5" t="s">
        <v>35</v>
      </c>
      <c r="I2400" s="6">
        <v>1.0</v>
      </c>
      <c r="J2400" s="6" t="s">
        <v>37</v>
      </c>
      <c r="K2400" s="6">
        <v>10.0</v>
      </c>
      <c r="L2400" s="5"/>
      <c r="M2400" s="5"/>
      <c r="N2400" s="6" t="s">
        <v>40</v>
      </c>
      <c r="O2400" s="5" t="s">
        <v>5363</v>
      </c>
      <c r="P2400" s="6" t="s">
        <v>42</v>
      </c>
      <c r="Q2400" s="5" t="s">
        <v>1237</v>
      </c>
      <c r="R2400" s="5" t="s">
        <v>13829</v>
      </c>
      <c r="S2400" s="6" t="s">
        <v>86</v>
      </c>
      <c r="T2400" s="6">
        <v>6996.0</v>
      </c>
    </row>
    <row r="2401" ht="56.25" customHeight="1">
      <c r="A2401" s="5" t="s">
        <v>13808</v>
      </c>
      <c r="B2401" s="6" t="str">
        <f>image("https://storage.googleapis.com/acdb/photos/BromideNpcNmlCat23_Remake_7_0.png")</f>
        <v/>
      </c>
      <c r="C2401" s="5" t="s">
        <v>151</v>
      </c>
      <c r="D2401" s="5" t="s">
        <v>1327</v>
      </c>
      <c r="E2401" s="5" t="s">
        <v>34</v>
      </c>
      <c r="F2401" s="5" t="s">
        <v>34</v>
      </c>
      <c r="G2401" s="5" t="s">
        <v>36</v>
      </c>
      <c r="H2401" s="5" t="s">
        <v>35</v>
      </c>
      <c r="I2401" s="6">
        <v>1.0</v>
      </c>
      <c r="J2401" s="6" t="s">
        <v>37</v>
      </c>
      <c r="K2401" s="6">
        <v>10.0</v>
      </c>
      <c r="L2401" s="5"/>
      <c r="M2401" s="5"/>
      <c r="N2401" s="6" t="s">
        <v>40</v>
      </c>
      <c r="O2401" s="5" t="s">
        <v>5363</v>
      </c>
      <c r="P2401" s="6" t="s">
        <v>42</v>
      </c>
      <c r="Q2401" s="5" t="s">
        <v>1237</v>
      </c>
      <c r="R2401" s="5" t="s">
        <v>13832</v>
      </c>
      <c r="S2401" s="6" t="s">
        <v>208</v>
      </c>
      <c r="T2401" s="6">
        <v>6996.0</v>
      </c>
    </row>
    <row r="2402" ht="56.25" customHeight="1">
      <c r="A2402" s="5" t="s">
        <v>13834</v>
      </c>
      <c r="B2402" s="6" t="str">
        <f>image("https://storage.googleapis.com/acdb/photos/BromideNpcNmlRhn08_Remake_0_0.png")</f>
        <v/>
      </c>
      <c r="C2402" s="5" t="s">
        <v>366</v>
      </c>
      <c r="D2402" s="5" t="s">
        <v>1327</v>
      </c>
      <c r="E2402" s="5" t="s">
        <v>34</v>
      </c>
      <c r="F2402" s="5" t="s">
        <v>34</v>
      </c>
      <c r="G2402" s="5" t="s">
        <v>36</v>
      </c>
      <c r="H2402" s="5" t="s">
        <v>35</v>
      </c>
      <c r="I2402" s="6">
        <v>1.0</v>
      </c>
      <c r="J2402" s="6" t="s">
        <v>37</v>
      </c>
      <c r="K2402" s="6">
        <v>10.0</v>
      </c>
      <c r="L2402" s="5"/>
      <c r="M2402" s="5"/>
      <c r="N2402" s="6" t="s">
        <v>40</v>
      </c>
      <c r="O2402" s="5" t="s">
        <v>5363</v>
      </c>
      <c r="P2402" s="6" t="s">
        <v>42</v>
      </c>
      <c r="Q2402" s="5" t="s">
        <v>1237</v>
      </c>
      <c r="R2402" s="5" t="s">
        <v>13837</v>
      </c>
      <c r="S2402" s="6" t="s">
        <v>50</v>
      </c>
      <c r="T2402" s="6">
        <v>6689.0</v>
      </c>
    </row>
    <row r="2403" ht="56.25" customHeight="1">
      <c r="A2403" s="5" t="s">
        <v>13834</v>
      </c>
      <c r="B2403" s="6" t="str">
        <f>image("https://storage.googleapis.com/acdb/photos/BromideNpcNmlRhn08_Remake_1_0.png")</f>
        <v/>
      </c>
      <c r="C2403" s="5" t="s">
        <v>1132</v>
      </c>
      <c r="D2403" s="5" t="s">
        <v>1327</v>
      </c>
      <c r="E2403" s="5" t="s">
        <v>34</v>
      </c>
      <c r="F2403" s="5" t="s">
        <v>34</v>
      </c>
      <c r="G2403" s="5" t="s">
        <v>36</v>
      </c>
      <c r="H2403" s="5" t="s">
        <v>35</v>
      </c>
      <c r="I2403" s="6">
        <v>1.0</v>
      </c>
      <c r="J2403" s="6" t="s">
        <v>37</v>
      </c>
      <c r="K2403" s="6">
        <v>10.0</v>
      </c>
      <c r="L2403" s="5"/>
      <c r="M2403" s="5"/>
      <c r="N2403" s="6" t="s">
        <v>40</v>
      </c>
      <c r="O2403" s="5" t="s">
        <v>5363</v>
      </c>
      <c r="P2403" s="6" t="s">
        <v>42</v>
      </c>
      <c r="Q2403" s="5" t="s">
        <v>1237</v>
      </c>
      <c r="R2403" s="5" t="s">
        <v>13840</v>
      </c>
      <c r="S2403" s="6" t="s">
        <v>56</v>
      </c>
      <c r="T2403" s="6">
        <v>6689.0</v>
      </c>
    </row>
    <row r="2404" ht="56.25" customHeight="1">
      <c r="A2404" s="5" t="s">
        <v>13834</v>
      </c>
      <c r="B2404" s="6" t="str">
        <f>image("https://storage.googleapis.com/acdb/photos/BromideNpcNmlRhn08_Remake_2_0.png")</f>
        <v/>
      </c>
      <c r="C2404" s="5" t="s">
        <v>688</v>
      </c>
      <c r="D2404" s="5" t="s">
        <v>1327</v>
      </c>
      <c r="E2404" s="5" t="s">
        <v>34</v>
      </c>
      <c r="F2404" s="5" t="s">
        <v>34</v>
      </c>
      <c r="G2404" s="5" t="s">
        <v>36</v>
      </c>
      <c r="H2404" s="5" t="s">
        <v>35</v>
      </c>
      <c r="I2404" s="6">
        <v>1.0</v>
      </c>
      <c r="J2404" s="6" t="s">
        <v>37</v>
      </c>
      <c r="K2404" s="6">
        <v>10.0</v>
      </c>
      <c r="L2404" s="5"/>
      <c r="M2404" s="5"/>
      <c r="N2404" s="6" t="s">
        <v>40</v>
      </c>
      <c r="O2404" s="5" t="s">
        <v>5363</v>
      </c>
      <c r="P2404" s="6" t="s">
        <v>42</v>
      </c>
      <c r="Q2404" s="5" t="s">
        <v>1237</v>
      </c>
      <c r="R2404" s="5" t="s">
        <v>13842</v>
      </c>
      <c r="S2404" s="6" t="s">
        <v>67</v>
      </c>
      <c r="T2404" s="6">
        <v>6689.0</v>
      </c>
    </row>
    <row r="2405" ht="56.25" customHeight="1">
      <c r="A2405" s="5" t="s">
        <v>13834</v>
      </c>
      <c r="B2405" s="6" t="str">
        <f>image("https://storage.googleapis.com/acdb/photos/BromideNpcNmlRhn08_Remake_3_0.png")</f>
        <v/>
      </c>
      <c r="C2405" s="5" t="s">
        <v>57</v>
      </c>
      <c r="D2405" s="5" t="s">
        <v>1327</v>
      </c>
      <c r="E2405" s="5" t="s">
        <v>34</v>
      </c>
      <c r="F2405" s="5" t="s">
        <v>34</v>
      </c>
      <c r="G2405" s="5" t="s">
        <v>36</v>
      </c>
      <c r="H2405" s="5" t="s">
        <v>35</v>
      </c>
      <c r="I2405" s="6">
        <v>1.0</v>
      </c>
      <c r="J2405" s="6" t="s">
        <v>37</v>
      </c>
      <c r="K2405" s="6">
        <v>10.0</v>
      </c>
      <c r="L2405" s="5"/>
      <c r="M2405" s="5"/>
      <c r="N2405" s="6" t="s">
        <v>40</v>
      </c>
      <c r="O2405" s="5" t="s">
        <v>5363</v>
      </c>
      <c r="P2405" s="6" t="s">
        <v>42</v>
      </c>
      <c r="Q2405" s="5" t="s">
        <v>1237</v>
      </c>
      <c r="R2405" s="5" t="s">
        <v>13845</v>
      </c>
      <c r="S2405" s="6" t="s">
        <v>71</v>
      </c>
      <c r="T2405" s="6">
        <v>6689.0</v>
      </c>
    </row>
    <row r="2406" ht="56.25" customHeight="1">
      <c r="A2406" s="5" t="s">
        <v>13834</v>
      </c>
      <c r="B2406" s="6" t="str">
        <f>image("https://storage.googleapis.com/acdb/photos/BromideNpcNmlRhn08_Remake_4_0.png")</f>
        <v/>
      </c>
      <c r="C2406" s="5" t="s">
        <v>1167</v>
      </c>
      <c r="D2406" s="5" t="s">
        <v>1327</v>
      </c>
      <c r="E2406" s="5" t="s">
        <v>34</v>
      </c>
      <c r="F2406" s="5" t="s">
        <v>34</v>
      </c>
      <c r="G2406" s="5" t="s">
        <v>36</v>
      </c>
      <c r="H2406" s="5" t="s">
        <v>35</v>
      </c>
      <c r="I2406" s="6">
        <v>1.0</v>
      </c>
      <c r="J2406" s="6" t="s">
        <v>37</v>
      </c>
      <c r="K2406" s="6">
        <v>10.0</v>
      </c>
      <c r="L2406" s="5"/>
      <c r="M2406" s="5"/>
      <c r="N2406" s="6" t="s">
        <v>40</v>
      </c>
      <c r="O2406" s="5" t="s">
        <v>5363</v>
      </c>
      <c r="P2406" s="6" t="s">
        <v>42</v>
      </c>
      <c r="Q2406" s="5" t="s">
        <v>1237</v>
      </c>
      <c r="R2406" s="5" t="s">
        <v>13848</v>
      </c>
      <c r="S2406" s="6" t="s">
        <v>75</v>
      </c>
      <c r="T2406" s="6">
        <v>6689.0</v>
      </c>
    </row>
    <row r="2407" ht="56.25" customHeight="1">
      <c r="A2407" s="5" t="s">
        <v>13834</v>
      </c>
      <c r="B2407" s="6" t="str">
        <f>image("https://storage.googleapis.com/acdb/photos/BromideNpcNmlRhn08_Remake_5_0.png")</f>
        <v/>
      </c>
      <c r="C2407" s="5" t="s">
        <v>58</v>
      </c>
      <c r="D2407" s="5" t="s">
        <v>1327</v>
      </c>
      <c r="E2407" s="5" t="s">
        <v>34</v>
      </c>
      <c r="F2407" s="5" t="s">
        <v>34</v>
      </c>
      <c r="G2407" s="5" t="s">
        <v>36</v>
      </c>
      <c r="H2407" s="5" t="s">
        <v>35</v>
      </c>
      <c r="I2407" s="6">
        <v>1.0</v>
      </c>
      <c r="J2407" s="6" t="s">
        <v>37</v>
      </c>
      <c r="K2407" s="6">
        <v>10.0</v>
      </c>
      <c r="L2407" s="5"/>
      <c r="M2407" s="5"/>
      <c r="N2407" s="6" t="s">
        <v>40</v>
      </c>
      <c r="O2407" s="5" t="s">
        <v>5363</v>
      </c>
      <c r="P2407" s="6" t="s">
        <v>42</v>
      </c>
      <c r="Q2407" s="5" t="s">
        <v>1237</v>
      </c>
      <c r="R2407" s="5" t="s">
        <v>13851</v>
      </c>
      <c r="S2407" s="6" t="s">
        <v>79</v>
      </c>
      <c r="T2407" s="6">
        <v>6689.0</v>
      </c>
    </row>
    <row r="2408" ht="56.25" customHeight="1">
      <c r="A2408" s="5" t="s">
        <v>13834</v>
      </c>
      <c r="B2408" s="6" t="str">
        <f>image("https://storage.googleapis.com/acdb/photos/BromideNpcNmlRhn08_Remake_6_0.png")</f>
        <v/>
      </c>
      <c r="C2408" s="5" t="s">
        <v>146</v>
      </c>
      <c r="D2408" s="5" t="s">
        <v>1327</v>
      </c>
      <c r="E2408" s="5" t="s">
        <v>34</v>
      </c>
      <c r="F2408" s="5" t="s">
        <v>34</v>
      </c>
      <c r="G2408" s="5" t="s">
        <v>36</v>
      </c>
      <c r="H2408" s="5" t="s">
        <v>35</v>
      </c>
      <c r="I2408" s="6">
        <v>1.0</v>
      </c>
      <c r="J2408" s="6" t="s">
        <v>37</v>
      </c>
      <c r="K2408" s="6">
        <v>10.0</v>
      </c>
      <c r="L2408" s="5"/>
      <c r="M2408" s="5"/>
      <c r="N2408" s="6" t="s">
        <v>40</v>
      </c>
      <c r="O2408" s="5" t="s">
        <v>5363</v>
      </c>
      <c r="P2408" s="6" t="s">
        <v>42</v>
      </c>
      <c r="Q2408" s="5" t="s">
        <v>1237</v>
      </c>
      <c r="R2408" s="5" t="s">
        <v>13854</v>
      </c>
      <c r="S2408" s="6" t="s">
        <v>86</v>
      </c>
      <c r="T2408" s="6">
        <v>6689.0</v>
      </c>
    </row>
    <row r="2409" ht="56.25" customHeight="1">
      <c r="A2409" s="5" t="s">
        <v>13834</v>
      </c>
      <c r="B2409" s="6" t="str">
        <f>image("https://storage.googleapis.com/acdb/photos/BromideNpcNmlRhn08_Remake_7_0.png")</f>
        <v/>
      </c>
      <c r="C2409" s="5" t="s">
        <v>151</v>
      </c>
      <c r="D2409" s="5" t="s">
        <v>1327</v>
      </c>
      <c r="E2409" s="5" t="s">
        <v>34</v>
      </c>
      <c r="F2409" s="5" t="s">
        <v>34</v>
      </c>
      <c r="G2409" s="5" t="s">
        <v>36</v>
      </c>
      <c r="H2409" s="5" t="s">
        <v>35</v>
      </c>
      <c r="I2409" s="6">
        <v>1.0</v>
      </c>
      <c r="J2409" s="6" t="s">
        <v>37</v>
      </c>
      <c r="K2409" s="6">
        <v>10.0</v>
      </c>
      <c r="L2409" s="5"/>
      <c r="M2409" s="5"/>
      <c r="N2409" s="6" t="s">
        <v>40</v>
      </c>
      <c r="O2409" s="5" t="s">
        <v>5363</v>
      </c>
      <c r="P2409" s="6" t="s">
        <v>42</v>
      </c>
      <c r="Q2409" s="5" t="s">
        <v>1237</v>
      </c>
      <c r="R2409" s="5" t="s">
        <v>13856</v>
      </c>
      <c r="S2409" s="6" t="s">
        <v>208</v>
      </c>
      <c r="T2409" s="6">
        <v>6689.0</v>
      </c>
    </row>
    <row r="2410" ht="56.25" customHeight="1">
      <c r="A2410" s="5" t="s">
        <v>13858</v>
      </c>
      <c r="B2410" s="6" t="str">
        <f>image("https://storage.googleapis.com/acdb/photos/BromideNpcNmlHrs16_Remake_0_0.png")</f>
        <v/>
      </c>
      <c r="C2410" s="5" t="s">
        <v>366</v>
      </c>
      <c r="D2410" s="5" t="s">
        <v>1327</v>
      </c>
      <c r="E2410" s="5" t="s">
        <v>34</v>
      </c>
      <c r="F2410" s="5" t="s">
        <v>34</v>
      </c>
      <c r="G2410" s="5" t="s">
        <v>36</v>
      </c>
      <c r="H2410" s="5" t="s">
        <v>35</v>
      </c>
      <c r="I2410" s="6">
        <v>1.0</v>
      </c>
      <c r="J2410" s="6" t="s">
        <v>37</v>
      </c>
      <c r="K2410" s="6">
        <v>10.0</v>
      </c>
      <c r="L2410" s="5"/>
      <c r="M2410" s="5"/>
      <c r="N2410" s="6" t="s">
        <v>40</v>
      </c>
      <c r="O2410" s="5" t="s">
        <v>5363</v>
      </c>
      <c r="P2410" s="6" t="s">
        <v>42</v>
      </c>
      <c r="Q2410" s="5" t="s">
        <v>1237</v>
      </c>
      <c r="R2410" s="5" t="s">
        <v>13861</v>
      </c>
      <c r="S2410" s="6" t="s">
        <v>50</v>
      </c>
      <c r="T2410" s="6">
        <v>6992.0</v>
      </c>
    </row>
    <row r="2411" ht="56.25" customHeight="1">
      <c r="A2411" s="5" t="s">
        <v>13858</v>
      </c>
      <c r="B2411" s="6" t="str">
        <f>image("https://storage.googleapis.com/acdb/photos/BromideNpcNmlHrs16_Remake_1_0.png")</f>
        <v/>
      </c>
      <c r="C2411" s="5" t="s">
        <v>1132</v>
      </c>
      <c r="D2411" s="5" t="s">
        <v>1327</v>
      </c>
      <c r="E2411" s="5" t="s">
        <v>34</v>
      </c>
      <c r="F2411" s="5" t="s">
        <v>34</v>
      </c>
      <c r="G2411" s="5" t="s">
        <v>36</v>
      </c>
      <c r="H2411" s="5" t="s">
        <v>35</v>
      </c>
      <c r="I2411" s="6">
        <v>1.0</v>
      </c>
      <c r="J2411" s="6" t="s">
        <v>37</v>
      </c>
      <c r="K2411" s="6">
        <v>10.0</v>
      </c>
      <c r="L2411" s="5"/>
      <c r="M2411" s="5"/>
      <c r="N2411" s="6" t="s">
        <v>40</v>
      </c>
      <c r="O2411" s="5" t="s">
        <v>5363</v>
      </c>
      <c r="P2411" s="6" t="s">
        <v>42</v>
      </c>
      <c r="Q2411" s="5" t="s">
        <v>1237</v>
      </c>
      <c r="R2411" s="5" t="s">
        <v>13865</v>
      </c>
      <c r="S2411" s="6" t="s">
        <v>56</v>
      </c>
      <c r="T2411" s="6">
        <v>6992.0</v>
      </c>
    </row>
    <row r="2412" ht="56.25" customHeight="1">
      <c r="A2412" s="5" t="s">
        <v>13858</v>
      </c>
      <c r="B2412" s="6" t="str">
        <f>image("https://storage.googleapis.com/acdb/photos/BromideNpcNmlHrs16_Remake_2_0.png")</f>
        <v/>
      </c>
      <c r="C2412" s="5" t="s">
        <v>688</v>
      </c>
      <c r="D2412" s="5" t="s">
        <v>1327</v>
      </c>
      <c r="E2412" s="5" t="s">
        <v>34</v>
      </c>
      <c r="F2412" s="5" t="s">
        <v>34</v>
      </c>
      <c r="G2412" s="5" t="s">
        <v>36</v>
      </c>
      <c r="H2412" s="5" t="s">
        <v>35</v>
      </c>
      <c r="I2412" s="6">
        <v>1.0</v>
      </c>
      <c r="J2412" s="6" t="s">
        <v>37</v>
      </c>
      <c r="K2412" s="6">
        <v>10.0</v>
      </c>
      <c r="L2412" s="5"/>
      <c r="M2412" s="5"/>
      <c r="N2412" s="6" t="s">
        <v>40</v>
      </c>
      <c r="O2412" s="5" t="s">
        <v>5363</v>
      </c>
      <c r="P2412" s="6" t="s">
        <v>42</v>
      </c>
      <c r="Q2412" s="5" t="s">
        <v>1237</v>
      </c>
      <c r="R2412" s="5" t="s">
        <v>13869</v>
      </c>
      <c r="S2412" s="6" t="s">
        <v>67</v>
      </c>
      <c r="T2412" s="6">
        <v>6992.0</v>
      </c>
    </row>
    <row r="2413" ht="56.25" customHeight="1">
      <c r="A2413" s="5" t="s">
        <v>13858</v>
      </c>
      <c r="B2413" s="6" t="str">
        <f>image("https://storage.googleapis.com/acdb/photos/BromideNpcNmlHrs16_Remake_3_0.png")</f>
        <v/>
      </c>
      <c r="C2413" s="5" t="s">
        <v>57</v>
      </c>
      <c r="D2413" s="5" t="s">
        <v>1327</v>
      </c>
      <c r="E2413" s="5" t="s">
        <v>34</v>
      </c>
      <c r="F2413" s="5" t="s">
        <v>34</v>
      </c>
      <c r="G2413" s="5" t="s">
        <v>36</v>
      </c>
      <c r="H2413" s="5" t="s">
        <v>35</v>
      </c>
      <c r="I2413" s="6">
        <v>1.0</v>
      </c>
      <c r="J2413" s="6" t="s">
        <v>37</v>
      </c>
      <c r="K2413" s="6">
        <v>10.0</v>
      </c>
      <c r="L2413" s="5"/>
      <c r="M2413" s="5"/>
      <c r="N2413" s="6" t="s">
        <v>40</v>
      </c>
      <c r="O2413" s="5" t="s">
        <v>5363</v>
      </c>
      <c r="P2413" s="6" t="s">
        <v>42</v>
      </c>
      <c r="Q2413" s="5" t="s">
        <v>1237</v>
      </c>
      <c r="R2413" s="5" t="s">
        <v>13873</v>
      </c>
      <c r="S2413" s="6" t="s">
        <v>71</v>
      </c>
      <c r="T2413" s="6">
        <v>6992.0</v>
      </c>
    </row>
    <row r="2414" ht="56.25" customHeight="1">
      <c r="A2414" s="5" t="s">
        <v>13858</v>
      </c>
      <c r="B2414" s="6" t="str">
        <f>image("https://storage.googleapis.com/acdb/photos/BromideNpcNmlHrs16_Remake_4_0.png")</f>
        <v/>
      </c>
      <c r="C2414" s="5" t="s">
        <v>1167</v>
      </c>
      <c r="D2414" s="5" t="s">
        <v>1327</v>
      </c>
      <c r="E2414" s="5" t="s">
        <v>34</v>
      </c>
      <c r="F2414" s="5" t="s">
        <v>34</v>
      </c>
      <c r="G2414" s="5" t="s">
        <v>36</v>
      </c>
      <c r="H2414" s="5" t="s">
        <v>35</v>
      </c>
      <c r="I2414" s="6">
        <v>1.0</v>
      </c>
      <c r="J2414" s="6" t="s">
        <v>37</v>
      </c>
      <c r="K2414" s="6">
        <v>10.0</v>
      </c>
      <c r="L2414" s="5"/>
      <c r="M2414" s="5"/>
      <c r="N2414" s="6" t="s">
        <v>40</v>
      </c>
      <c r="O2414" s="5" t="s">
        <v>5363</v>
      </c>
      <c r="P2414" s="6" t="s">
        <v>42</v>
      </c>
      <c r="Q2414" s="5" t="s">
        <v>1237</v>
      </c>
      <c r="R2414" s="5" t="s">
        <v>13875</v>
      </c>
      <c r="S2414" s="6" t="s">
        <v>75</v>
      </c>
      <c r="T2414" s="6">
        <v>6992.0</v>
      </c>
    </row>
    <row r="2415" ht="56.25" customHeight="1">
      <c r="A2415" s="5" t="s">
        <v>13858</v>
      </c>
      <c r="B2415" s="6" t="str">
        <f>image("https://storage.googleapis.com/acdb/photos/BromideNpcNmlHrs16_Remake_5_0.png")</f>
        <v/>
      </c>
      <c r="C2415" s="5" t="s">
        <v>58</v>
      </c>
      <c r="D2415" s="5" t="s">
        <v>1327</v>
      </c>
      <c r="E2415" s="5" t="s">
        <v>34</v>
      </c>
      <c r="F2415" s="5" t="s">
        <v>34</v>
      </c>
      <c r="G2415" s="5" t="s">
        <v>36</v>
      </c>
      <c r="H2415" s="5" t="s">
        <v>35</v>
      </c>
      <c r="I2415" s="6">
        <v>1.0</v>
      </c>
      <c r="J2415" s="6" t="s">
        <v>37</v>
      </c>
      <c r="K2415" s="6">
        <v>10.0</v>
      </c>
      <c r="L2415" s="5"/>
      <c r="M2415" s="5"/>
      <c r="N2415" s="6" t="s">
        <v>40</v>
      </c>
      <c r="O2415" s="5" t="s">
        <v>5363</v>
      </c>
      <c r="P2415" s="6" t="s">
        <v>42</v>
      </c>
      <c r="Q2415" s="5" t="s">
        <v>1237</v>
      </c>
      <c r="R2415" s="5" t="s">
        <v>13878</v>
      </c>
      <c r="S2415" s="6" t="s">
        <v>79</v>
      </c>
      <c r="T2415" s="6">
        <v>6992.0</v>
      </c>
    </row>
    <row r="2416" ht="56.25" customHeight="1">
      <c r="A2416" s="5" t="s">
        <v>13858</v>
      </c>
      <c r="B2416" s="6" t="str">
        <f>image("https://storage.googleapis.com/acdb/photos/BromideNpcNmlHrs16_Remake_6_0.png")</f>
        <v/>
      </c>
      <c r="C2416" s="5" t="s">
        <v>146</v>
      </c>
      <c r="D2416" s="5" t="s">
        <v>1327</v>
      </c>
      <c r="E2416" s="5" t="s">
        <v>34</v>
      </c>
      <c r="F2416" s="5" t="s">
        <v>34</v>
      </c>
      <c r="G2416" s="5" t="s">
        <v>36</v>
      </c>
      <c r="H2416" s="5" t="s">
        <v>35</v>
      </c>
      <c r="I2416" s="6">
        <v>1.0</v>
      </c>
      <c r="J2416" s="6" t="s">
        <v>37</v>
      </c>
      <c r="K2416" s="6">
        <v>10.0</v>
      </c>
      <c r="L2416" s="5"/>
      <c r="M2416" s="5"/>
      <c r="N2416" s="6" t="s">
        <v>40</v>
      </c>
      <c r="O2416" s="5" t="s">
        <v>5363</v>
      </c>
      <c r="P2416" s="6" t="s">
        <v>42</v>
      </c>
      <c r="Q2416" s="5" t="s">
        <v>1237</v>
      </c>
      <c r="R2416" s="5" t="s">
        <v>13881</v>
      </c>
      <c r="S2416" s="6" t="s">
        <v>86</v>
      </c>
      <c r="T2416" s="6">
        <v>6992.0</v>
      </c>
    </row>
    <row r="2417" ht="56.25" customHeight="1">
      <c r="A2417" s="5" t="s">
        <v>13858</v>
      </c>
      <c r="B2417" s="6" t="str">
        <f>image("https://storage.googleapis.com/acdb/photos/BromideNpcNmlHrs16_Remake_7_0.png")</f>
        <v/>
      </c>
      <c r="C2417" s="5" t="s">
        <v>151</v>
      </c>
      <c r="D2417" s="5" t="s">
        <v>1327</v>
      </c>
      <c r="E2417" s="5" t="s">
        <v>34</v>
      </c>
      <c r="F2417" s="5" t="s">
        <v>34</v>
      </c>
      <c r="G2417" s="5" t="s">
        <v>36</v>
      </c>
      <c r="H2417" s="5" t="s">
        <v>35</v>
      </c>
      <c r="I2417" s="6">
        <v>1.0</v>
      </c>
      <c r="J2417" s="6" t="s">
        <v>37</v>
      </c>
      <c r="K2417" s="6">
        <v>10.0</v>
      </c>
      <c r="L2417" s="5"/>
      <c r="M2417" s="5"/>
      <c r="N2417" s="6" t="s">
        <v>40</v>
      </c>
      <c r="O2417" s="5" t="s">
        <v>5363</v>
      </c>
      <c r="P2417" s="6" t="s">
        <v>42</v>
      </c>
      <c r="Q2417" s="5" t="s">
        <v>1237</v>
      </c>
      <c r="R2417" s="5" t="s">
        <v>13882</v>
      </c>
      <c r="S2417" s="6" t="s">
        <v>208</v>
      </c>
      <c r="T2417" s="6">
        <v>6992.0</v>
      </c>
    </row>
    <row r="2418" ht="56.25" customHeight="1">
      <c r="A2418" s="5" t="s">
        <v>13883</v>
      </c>
      <c r="B2418" s="6" t="str">
        <f>image("https://storage.googleapis.com/acdb/photos/BromideNpcNmlLon02_Remake_0_0.png")</f>
        <v/>
      </c>
      <c r="C2418" s="5" t="s">
        <v>366</v>
      </c>
      <c r="D2418" s="5" t="s">
        <v>1327</v>
      </c>
      <c r="E2418" s="5" t="s">
        <v>34</v>
      </c>
      <c r="F2418" s="5" t="s">
        <v>34</v>
      </c>
      <c r="G2418" s="5" t="s">
        <v>36</v>
      </c>
      <c r="H2418" s="5" t="s">
        <v>35</v>
      </c>
      <c r="I2418" s="6">
        <v>1.0</v>
      </c>
      <c r="J2418" s="6" t="s">
        <v>37</v>
      </c>
      <c r="K2418" s="6">
        <v>10.0</v>
      </c>
      <c r="L2418" s="5"/>
      <c r="M2418" s="5"/>
      <c r="N2418" s="6" t="s">
        <v>40</v>
      </c>
      <c r="O2418" s="5" t="s">
        <v>5363</v>
      </c>
      <c r="P2418" s="6" t="s">
        <v>42</v>
      </c>
      <c r="Q2418" s="5" t="s">
        <v>1237</v>
      </c>
      <c r="R2418" s="5" t="s">
        <v>13887</v>
      </c>
      <c r="S2418" s="6" t="s">
        <v>50</v>
      </c>
      <c r="T2418" s="6">
        <v>6575.0</v>
      </c>
    </row>
    <row r="2419" ht="56.25" customHeight="1">
      <c r="A2419" s="5" t="s">
        <v>13883</v>
      </c>
      <c r="B2419" s="6" t="str">
        <f>image("https://storage.googleapis.com/acdb/photos/BromideNpcNmlLon02_Remake_1_0.png")</f>
        <v/>
      </c>
      <c r="C2419" s="5" t="s">
        <v>1132</v>
      </c>
      <c r="D2419" s="5" t="s">
        <v>1327</v>
      </c>
      <c r="E2419" s="5" t="s">
        <v>34</v>
      </c>
      <c r="F2419" s="5" t="s">
        <v>34</v>
      </c>
      <c r="G2419" s="5" t="s">
        <v>36</v>
      </c>
      <c r="H2419" s="5" t="s">
        <v>35</v>
      </c>
      <c r="I2419" s="6">
        <v>1.0</v>
      </c>
      <c r="J2419" s="6" t="s">
        <v>37</v>
      </c>
      <c r="K2419" s="6">
        <v>10.0</v>
      </c>
      <c r="L2419" s="5"/>
      <c r="M2419" s="5"/>
      <c r="N2419" s="6" t="s">
        <v>40</v>
      </c>
      <c r="O2419" s="5" t="s">
        <v>5363</v>
      </c>
      <c r="P2419" s="6" t="s">
        <v>42</v>
      </c>
      <c r="Q2419" s="5" t="s">
        <v>1237</v>
      </c>
      <c r="R2419" s="5" t="s">
        <v>13890</v>
      </c>
      <c r="S2419" s="6" t="s">
        <v>56</v>
      </c>
      <c r="T2419" s="6">
        <v>6575.0</v>
      </c>
    </row>
    <row r="2420" ht="56.25" customHeight="1">
      <c r="A2420" s="5" t="s">
        <v>13883</v>
      </c>
      <c r="B2420" s="6" t="str">
        <f>image("https://storage.googleapis.com/acdb/photos/BromideNpcNmlLon02_Remake_2_0.png")</f>
        <v/>
      </c>
      <c r="C2420" s="5" t="s">
        <v>688</v>
      </c>
      <c r="D2420" s="5" t="s">
        <v>1327</v>
      </c>
      <c r="E2420" s="5" t="s">
        <v>34</v>
      </c>
      <c r="F2420" s="5" t="s">
        <v>34</v>
      </c>
      <c r="G2420" s="5" t="s">
        <v>36</v>
      </c>
      <c r="H2420" s="5" t="s">
        <v>35</v>
      </c>
      <c r="I2420" s="6">
        <v>1.0</v>
      </c>
      <c r="J2420" s="6" t="s">
        <v>37</v>
      </c>
      <c r="K2420" s="6">
        <v>10.0</v>
      </c>
      <c r="L2420" s="5"/>
      <c r="M2420" s="5"/>
      <c r="N2420" s="6" t="s">
        <v>40</v>
      </c>
      <c r="O2420" s="5" t="s">
        <v>5363</v>
      </c>
      <c r="P2420" s="6" t="s">
        <v>42</v>
      </c>
      <c r="Q2420" s="5" t="s">
        <v>1237</v>
      </c>
      <c r="R2420" s="5" t="s">
        <v>13894</v>
      </c>
      <c r="S2420" s="6" t="s">
        <v>67</v>
      </c>
      <c r="T2420" s="6">
        <v>6575.0</v>
      </c>
    </row>
    <row r="2421" ht="56.25" customHeight="1">
      <c r="A2421" s="5" t="s">
        <v>13883</v>
      </c>
      <c r="B2421" s="6" t="str">
        <f>image("https://storage.googleapis.com/acdb/photos/BromideNpcNmlLon02_Remake_3_0.png")</f>
        <v/>
      </c>
      <c r="C2421" s="5" t="s">
        <v>57</v>
      </c>
      <c r="D2421" s="5" t="s">
        <v>1327</v>
      </c>
      <c r="E2421" s="5" t="s">
        <v>34</v>
      </c>
      <c r="F2421" s="5" t="s">
        <v>34</v>
      </c>
      <c r="G2421" s="5" t="s">
        <v>36</v>
      </c>
      <c r="H2421" s="5" t="s">
        <v>35</v>
      </c>
      <c r="I2421" s="6">
        <v>1.0</v>
      </c>
      <c r="J2421" s="6" t="s">
        <v>37</v>
      </c>
      <c r="K2421" s="6">
        <v>10.0</v>
      </c>
      <c r="L2421" s="5"/>
      <c r="M2421" s="5"/>
      <c r="N2421" s="6" t="s">
        <v>40</v>
      </c>
      <c r="O2421" s="5" t="s">
        <v>5363</v>
      </c>
      <c r="P2421" s="6" t="s">
        <v>42</v>
      </c>
      <c r="Q2421" s="5" t="s">
        <v>1237</v>
      </c>
      <c r="R2421" s="5" t="s">
        <v>13901</v>
      </c>
      <c r="S2421" s="6" t="s">
        <v>71</v>
      </c>
      <c r="T2421" s="6">
        <v>6575.0</v>
      </c>
    </row>
    <row r="2422" ht="56.25" customHeight="1">
      <c r="A2422" s="5" t="s">
        <v>13883</v>
      </c>
      <c r="B2422" s="6" t="str">
        <f>image("https://storage.googleapis.com/acdb/photos/BromideNpcNmlLon02_Remake_4_0.png")</f>
        <v/>
      </c>
      <c r="C2422" s="5" t="s">
        <v>1167</v>
      </c>
      <c r="D2422" s="5" t="s">
        <v>1327</v>
      </c>
      <c r="E2422" s="5" t="s">
        <v>34</v>
      </c>
      <c r="F2422" s="5" t="s">
        <v>34</v>
      </c>
      <c r="G2422" s="5" t="s">
        <v>36</v>
      </c>
      <c r="H2422" s="5" t="s">
        <v>35</v>
      </c>
      <c r="I2422" s="6">
        <v>1.0</v>
      </c>
      <c r="J2422" s="6" t="s">
        <v>37</v>
      </c>
      <c r="K2422" s="6">
        <v>10.0</v>
      </c>
      <c r="L2422" s="5"/>
      <c r="M2422" s="5"/>
      <c r="N2422" s="6" t="s">
        <v>40</v>
      </c>
      <c r="O2422" s="5" t="s">
        <v>5363</v>
      </c>
      <c r="P2422" s="6" t="s">
        <v>42</v>
      </c>
      <c r="Q2422" s="5" t="s">
        <v>1237</v>
      </c>
      <c r="R2422" s="5" t="s">
        <v>13904</v>
      </c>
      <c r="S2422" s="6" t="s">
        <v>75</v>
      </c>
      <c r="T2422" s="6">
        <v>6575.0</v>
      </c>
    </row>
    <row r="2423" ht="56.25" customHeight="1">
      <c r="A2423" s="5" t="s">
        <v>13883</v>
      </c>
      <c r="B2423" s="6" t="str">
        <f>image("https://storage.googleapis.com/acdb/photos/BromideNpcNmlLon02_Remake_5_0.png")</f>
        <v/>
      </c>
      <c r="C2423" s="5" t="s">
        <v>58</v>
      </c>
      <c r="D2423" s="5" t="s">
        <v>1327</v>
      </c>
      <c r="E2423" s="5" t="s">
        <v>34</v>
      </c>
      <c r="F2423" s="5" t="s">
        <v>34</v>
      </c>
      <c r="G2423" s="5" t="s">
        <v>36</v>
      </c>
      <c r="H2423" s="5" t="s">
        <v>35</v>
      </c>
      <c r="I2423" s="6">
        <v>1.0</v>
      </c>
      <c r="J2423" s="6" t="s">
        <v>37</v>
      </c>
      <c r="K2423" s="6">
        <v>10.0</v>
      </c>
      <c r="L2423" s="5"/>
      <c r="M2423" s="5"/>
      <c r="N2423" s="6" t="s">
        <v>40</v>
      </c>
      <c r="O2423" s="5" t="s">
        <v>5363</v>
      </c>
      <c r="P2423" s="6" t="s">
        <v>42</v>
      </c>
      <c r="Q2423" s="5" t="s">
        <v>1237</v>
      </c>
      <c r="R2423" s="5" t="s">
        <v>13907</v>
      </c>
      <c r="S2423" s="6" t="s">
        <v>79</v>
      </c>
      <c r="T2423" s="6">
        <v>6575.0</v>
      </c>
    </row>
    <row r="2424" ht="56.25" customHeight="1">
      <c r="A2424" s="5" t="s">
        <v>13883</v>
      </c>
      <c r="B2424" s="6" t="str">
        <f>image("https://storage.googleapis.com/acdb/photos/BromideNpcNmlLon02_Remake_6_0.png")</f>
        <v/>
      </c>
      <c r="C2424" s="5" t="s">
        <v>146</v>
      </c>
      <c r="D2424" s="5" t="s">
        <v>1327</v>
      </c>
      <c r="E2424" s="5" t="s">
        <v>34</v>
      </c>
      <c r="F2424" s="5" t="s">
        <v>34</v>
      </c>
      <c r="G2424" s="5" t="s">
        <v>36</v>
      </c>
      <c r="H2424" s="5" t="s">
        <v>35</v>
      </c>
      <c r="I2424" s="6">
        <v>1.0</v>
      </c>
      <c r="J2424" s="6" t="s">
        <v>37</v>
      </c>
      <c r="K2424" s="6">
        <v>10.0</v>
      </c>
      <c r="L2424" s="5"/>
      <c r="M2424" s="5"/>
      <c r="N2424" s="6" t="s">
        <v>40</v>
      </c>
      <c r="O2424" s="5" t="s">
        <v>5363</v>
      </c>
      <c r="P2424" s="6" t="s">
        <v>42</v>
      </c>
      <c r="Q2424" s="5" t="s">
        <v>1237</v>
      </c>
      <c r="R2424" s="5" t="s">
        <v>13911</v>
      </c>
      <c r="S2424" s="6" t="s">
        <v>86</v>
      </c>
      <c r="T2424" s="6">
        <v>6575.0</v>
      </c>
    </row>
    <row r="2425" ht="56.25" customHeight="1">
      <c r="A2425" s="5" t="s">
        <v>13883</v>
      </c>
      <c r="B2425" s="6" t="str">
        <f>image("https://storage.googleapis.com/acdb/photos/BromideNpcNmlLon02_Remake_7_0.png")</f>
        <v/>
      </c>
      <c r="C2425" s="5" t="s">
        <v>151</v>
      </c>
      <c r="D2425" s="5" t="s">
        <v>1327</v>
      </c>
      <c r="E2425" s="5" t="s">
        <v>34</v>
      </c>
      <c r="F2425" s="5" t="s">
        <v>34</v>
      </c>
      <c r="G2425" s="5" t="s">
        <v>36</v>
      </c>
      <c r="H2425" s="5" t="s">
        <v>35</v>
      </c>
      <c r="I2425" s="6">
        <v>1.0</v>
      </c>
      <c r="J2425" s="6" t="s">
        <v>37</v>
      </c>
      <c r="K2425" s="6">
        <v>10.0</v>
      </c>
      <c r="L2425" s="5"/>
      <c r="M2425" s="5"/>
      <c r="N2425" s="6" t="s">
        <v>40</v>
      </c>
      <c r="O2425" s="5" t="s">
        <v>5363</v>
      </c>
      <c r="P2425" s="6" t="s">
        <v>42</v>
      </c>
      <c r="Q2425" s="5" t="s">
        <v>1237</v>
      </c>
      <c r="R2425" s="5" t="s">
        <v>13914</v>
      </c>
      <c r="S2425" s="6" t="s">
        <v>208</v>
      </c>
      <c r="T2425" s="6">
        <v>6575.0</v>
      </c>
    </row>
    <row r="2426" ht="56.25" customHeight="1">
      <c r="A2426" s="5" t="s">
        <v>13915</v>
      </c>
      <c r="B2426" s="6" t="str">
        <f>image("https://storage.googleapis.com/acdb/photos/BromideNpcNmlRhn01_Remake_0_0.png")</f>
        <v/>
      </c>
      <c r="C2426" s="5" t="s">
        <v>366</v>
      </c>
      <c r="D2426" s="5" t="s">
        <v>1327</v>
      </c>
      <c r="E2426" s="5" t="s">
        <v>34</v>
      </c>
      <c r="F2426" s="5" t="s">
        <v>34</v>
      </c>
      <c r="G2426" s="5" t="s">
        <v>36</v>
      </c>
      <c r="H2426" s="5" t="s">
        <v>35</v>
      </c>
      <c r="I2426" s="6">
        <v>1.0</v>
      </c>
      <c r="J2426" s="6" t="s">
        <v>37</v>
      </c>
      <c r="K2426" s="6">
        <v>10.0</v>
      </c>
      <c r="L2426" s="5"/>
      <c r="M2426" s="5"/>
      <c r="N2426" s="6" t="s">
        <v>40</v>
      </c>
      <c r="O2426" s="5" t="s">
        <v>5363</v>
      </c>
      <c r="P2426" s="6" t="s">
        <v>42</v>
      </c>
      <c r="Q2426" s="5" t="s">
        <v>1237</v>
      </c>
      <c r="R2426" s="5" t="s">
        <v>13917</v>
      </c>
      <c r="S2426" s="6" t="s">
        <v>50</v>
      </c>
      <c r="T2426" s="6">
        <v>6685.0</v>
      </c>
    </row>
    <row r="2427" ht="56.25" customHeight="1">
      <c r="A2427" s="5" t="s">
        <v>13915</v>
      </c>
      <c r="B2427" s="6" t="str">
        <f>image("https://storage.googleapis.com/acdb/photos/BromideNpcNmlRhn01_Remake_1_0.png")</f>
        <v/>
      </c>
      <c r="C2427" s="5" t="s">
        <v>1132</v>
      </c>
      <c r="D2427" s="5" t="s">
        <v>1327</v>
      </c>
      <c r="E2427" s="5" t="s">
        <v>34</v>
      </c>
      <c r="F2427" s="5" t="s">
        <v>34</v>
      </c>
      <c r="G2427" s="5" t="s">
        <v>36</v>
      </c>
      <c r="H2427" s="5" t="s">
        <v>35</v>
      </c>
      <c r="I2427" s="6">
        <v>1.0</v>
      </c>
      <c r="J2427" s="6" t="s">
        <v>37</v>
      </c>
      <c r="K2427" s="6">
        <v>10.0</v>
      </c>
      <c r="L2427" s="5"/>
      <c r="M2427" s="5"/>
      <c r="N2427" s="6" t="s">
        <v>40</v>
      </c>
      <c r="O2427" s="5" t="s">
        <v>5363</v>
      </c>
      <c r="P2427" s="6" t="s">
        <v>42</v>
      </c>
      <c r="Q2427" s="5" t="s">
        <v>1237</v>
      </c>
      <c r="R2427" s="5" t="s">
        <v>13920</v>
      </c>
      <c r="S2427" s="6" t="s">
        <v>56</v>
      </c>
      <c r="T2427" s="6">
        <v>6685.0</v>
      </c>
    </row>
    <row r="2428" ht="56.25" customHeight="1">
      <c r="A2428" s="5" t="s">
        <v>13915</v>
      </c>
      <c r="B2428" s="6" t="str">
        <f>image("https://storage.googleapis.com/acdb/photos/BromideNpcNmlRhn01_Remake_2_0.png")</f>
        <v/>
      </c>
      <c r="C2428" s="5" t="s">
        <v>688</v>
      </c>
      <c r="D2428" s="5" t="s">
        <v>1327</v>
      </c>
      <c r="E2428" s="5" t="s">
        <v>34</v>
      </c>
      <c r="F2428" s="5" t="s">
        <v>34</v>
      </c>
      <c r="G2428" s="5" t="s">
        <v>36</v>
      </c>
      <c r="H2428" s="5" t="s">
        <v>35</v>
      </c>
      <c r="I2428" s="6">
        <v>1.0</v>
      </c>
      <c r="J2428" s="6" t="s">
        <v>37</v>
      </c>
      <c r="K2428" s="6">
        <v>10.0</v>
      </c>
      <c r="L2428" s="5"/>
      <c r="M2428" s="5"/>
      <c r="N2428" s="6" t="s">
        <v>40</v>
      </c>
      <c r="O2428" s="5" t="s">
        <v>5363</v>
      </c>
      <c r="P2428" s="6" t="s">
        <v>42</v>
      </c>
      <c r="Q2428" s="5" t="s">
        <v>1237</v>
      </c>
      <c r="R2428" s="5" t="s">
        <v>13924</v>
      </c>
      <c r="S2428" s="6" t="s">
        <v>67</v>
      </c>
      <c r="T2428" s="6">
        <v>6685.0</v>
      </c>
    </row>
    <row r="2429" ht="56.25" customHeight="1">
      <c r="A2429" s="5" t="s">
        <v>13915</v>
      </c>
      <c r="B2429" s="6" t="str">
        <f>image("https://storage.googleapis.com/acdb/photos/BromideNpcNmlRhn01_Remake_3_0.png")</f>
        <v/>
      </c>
      <c r="C2429" s="5" t="s">
        <v>57</v>
      </c>
      <c r="D2429" s="5" t="s">
        <v>1327</v>
      </c>
      <c r="E2429" s="5" t="s">
        <v>34</v>
      </c>
      <c r="F2429" s="5" t="s">
        <v>34</v>
      </c>
      <c r="G2429" s="5" t="s">
        <v>36</v>
      </c>
      <c r="H2429" s="5" t="s">
        <v>35</v>
      </c>
      <c r="I2429" s="6">
        <v>1.0</v>
      </c>
      <c r="J2429" s="6" t="s">
        <v>37</v>
      </c>
      <c r="K2429" s="6">
        <v>10.0</v>
      </c>
      <c r="L2429" s="5"/>
      <c r="M2429" s="5"/>
      <c r="N2429" s="6" t="s">
        <v>40</v>
      </c>
      <c r="O2429" s="5" t="s">
        <v>5363</v>
      </c>
      <c r="P2429" s="6" t="s">
        <v>42</v>
      </c>
      <c r="Q2429" s="5" t="s">
        <v>1237</v>
      </c>
      <c r="R2429" s="5" t="s">
        <v>13928</v>
      </c>
      <c r="S2429" s="6" t="s">
        <v>71</v>
      </c>
      <c r="T2429" s="6">
        <v>6685.0</v>
      </c>
    </row>
    <row r="2430" ht="56.25" customHeight="1">
      <c r="A2430" s="5" t="s">
        <v>13915</v>
      </c>
      <c r="B2430" s="6" t="str">
        <f>image("https://storage.googleapis.com/acdb/photos/BromideNpcNmlRhn01_Remake_4_0.png")</f>
        <v/>
      </c>
      <c r="C2430" s="5" t="s">
        <v>1167</v>
      </c>
      <c r="D2430" s="5" t="s">
        <v>1327</v>
      </c>
      <c r="E2430" s="5" t="s">
        <v>34</v>
      </c>
      <c r="F2430" s="5" t="s">
        <v>34</v>
      </c>
      <c r="G2430" s="5" t="s">
        <v>36</v>
      </c>
      <c r="H2430" s="5" t="s">
        <v>35</v>
      </c>
      <c r="I2430" s="6">
        <v>1.0</v>
      </c>
      <c r="J2430" s="6" t="s">
        <v>37</v>
      </c>
      <c r="K2430" s="6">
        <v>10.0</v>
      </c>
      <c r="L2430" s="5"/>
      <c r="M2430" s="5"/>
      <c r="N2430" s="6" t="s">
        <v>40</v>
      </c>
      <c r="O2430" s="5" t="s">
        <v>5363</v>
      </c>
      <c r="P2430" s="6" t="s">
        <v>42</v>
      </c>
      <c r="Q2430" s="5" t="s">
        <v>1237</v>
      </c>
      <c r="R2430" s="5" t="s">
        <v>13930</v>
      </c>
      <c r="S2430" s="6" t="s">
        <v>75</v>
      </c>
      <c r="T2430" s="6">
        <v>6685.0</v>
      </c>
    </row>
    <row r="2431" ht="56.25" customHeight="1">
      <c r="A2431" s="5" t="s">
        <v>13915</v>
      </c>
      <c r="B2431" s="6" t="str">
        <f>image("https://storage.googleapis.com/acdb/photos/BromideNpcNmlRhn01_Remake_5_0.png")</f>
        <v/>
      </c>
      <c r="C2431" s="5" t="s">
        <v>58</v>
      </c>
      <c r="D2431" s="5" t="s">
        <v>1327</v>
      </c>
      <c r="E2431" s="5" t="s">
        <v>34</v>
      </c>
      <c r="F2431" s="5" t="s">
        <v>34</v>
      </c>
      <c r="G2431" s="5" t="s">
        <v>36</v>
      </c>
      <c r="H2431" s="5" t="s">
        <v>35</v>
      </c>
      <c r="I2431" s="6">
        <v>1.0</v>
      </c>
      <c r="J2431" s="6" t="s">
        <v>37</v>
      </c>
      <c r="K2431" s="6">
        <v>10.0</v>
      </c>
      <c r="L2431" s="5"/>
      <c r="M2431" s="5"/>
      <c r="N2431" s="6" t="s">
        <v>40</v>
      </c>
      <c r="O2431" s="5" t="s">
        <v>5363</v>
      </c>
      <c r="P2431" s="6" t="s">
        <v>42</v>
      </c>
      <c r="Q2431" s="5" t="s">
        <v>1237</v>
      </c>
      <c r="R2431" s="5" t="s">
        <v>13934</v>
      </c>
      <c r="S2431" s="6" t="s">
        <v>79</v>
      </c>
      <c r="T2431" s="6">
        <v>6685.0</v>
      </c>
    </row>
    <row r="2432" ht="56.25" customHeight="1">
      <c r="A2432" s="5" t="s">
        <v>13915</v>
      </c>
      <c r="B2432" s="6" t="str">
        <f>image("https://storage.googleapis.com/acdb/photos/BromideNpcNmlRhn01_Remake_6_0.png")</f>
        <v/>
      </c>
      <c r="C2432" s="5" t="s">
        <v>146</v>
      </c>
      <c r="D2432" s="5" t="s">
        <v>1327</v>
      </c>
      <c r="E2432" s="5" t="s">
        <v>34</v>
      </c>
      <c r="F2432" s="5" t="s">
        <v>34</v>
      </c>
      <c r="G2432" s="5" t="s">
        <v>36</v>
      </c>
      <c r="H2432" s="5" t="s">
        <v>35</v>
      </c>
      <c r="I2432" s="6">
        <v>1.0</v>
      </c>
      <c r="J2432" s="6" t="s">
        <v>37</v>
      </c>
      <c r="K2432" s="6">
        <v>10.0</v>
      </c>
      <c r="L2432" s="5"/>
      <c r="M2432" s="5"/>
      <c r="N2432" s="6" t="s">
        <v>40</v>
      </c>
      <c r="O2432" s="5" t="s">
        <v>5363</v>
      </c>
      <c r="P2432" s="6" t="s">
        <v>42</v>
      </c>
      <c r="Q2432" s="5" t="s">
        <v>1237</v>
      </c>
      <c r="R2432" s="5" t="s">
        <v>13937</v>
      </c>
      <c r="S2432" s="6" t="s">
        <v>86</v>
      </c>
      <c r="T2432" s="6">
        <v>6685.0</v>
      </c>
    </row>
    <row r="2433" ht="56.25" customHeight="1">
      <c r="A2433" s="5" t="s">
        <v>13915</v>
      </c>
      <c r="B2433" s="6" t="str">
        <f>image("https://storage.googleapis.com/acdb/photos/BromideNpcNmlRhn01_Remake_7_0.png")</f>
        <v/>
      </c>
      <c r="C2433" s="5" t="s">
        <v>151</v>
      </c>
      <c r="D2433" s="5" t="s">
        <v>1327</v>
      </c>
      <c r="E2433" s="5" t="s">
        <v>34</v>
      </c>
      <c r="F2433" s="5" t="s">
        <v>34</v>
      </c>
      <c r="G2433" s="5" t="s">
        <v>36</v>
      </c>
      <c r="H2433" s="5" t="s">
        <v>35</v>
      </c>
      <c r="I2433" s="6">
        <v>1.0</v>
      </c>
      <c r="J2433" s="6" t="s">
        <v>37</v>
      </c>
      <c r="K2433" s="6">
        <v>10.0</v>
      </c>
      <c r="L2433" s="5"/>
      <c r="M2433" s="5"/>
      <c r="N2433" s="6" t="s">
        <v>40</v>
      </c>
      <c r="O2433" s="5" t="s">
        <v>5363</v>
      </c>
      <c r="P2433" s="6" t="s">
        <v>42</v>
      </c>
      <c r="Q2433" s="5" t="s">
        <v>1237</v>
      </c>
      <c r="R2433" s="5" t="s">
        <v>13939</v>
      </c>
      <c r="S2433" s="6" t="s">
        <v>208</v>
      </c>
      <c r="T2433" s="6">
        <v>6685.0</v>
      </c>
    </row>
    <row r="2434" ht="56.25" customHeight="1">
      <c r="A2434" s="5" t="s">
        <v>13940</v>
      </c>
      <c r="B2434" s="6" t="str">
        <f>image("https://storage.googleapis.com/acdb/photos/BromideNpcNmlFlg01_Remake_0_0.png")</f>
        <v/>
      </c>
      <c r="C2434" s="5" t="s">
        <v>366</v>
      </c>
      <c r="D2434" s="5" t="s">
        <v>1327</v>
      </c>
      <c r="E2434" s="5" t="s">
        <v>34</v>
      </c>
      <c r="F2434" s="5" t="s">
        <v>34</v>
      </c>
      <c r="G2434" s="5" t="s">
        <v>36</v>
      </c>
      <c r="H2434" s="5" t="s">
        <v>35</v>
      </c>
      <c r="I2434" s="6">
        <v>1.0</v>
      </c>
      <c r="J2434" s="6" t="s">
        <v>37</v>
      </c>
      <c r="K2434" s="6">
        <v>10.0</v>
      </c>
      <c r="L2434" s="5"/>
      <c r="M2434" s="5"/>
      <c r="N2434" s="6" t="s">
        <v>40</v>
      </c>
      <c r="O2434" s="5" t="s">
        <v>5363</v>
      </c>
      <c r="P2434" s="6" t="s">
        <v>42</v>
      </c>
      <c r="Q2434" s="5" t="s">
        <v>1237</v>
      </c>
      <c r="R2434" s="5" t="s">
        <v>13942</v>
      </c>
      <c r="S2434" s="6" t="s">
        <v>50</v>
      </c>
      <c r="T2434" s="6">
        <v>6485.0</v>
      </c>
    </row>
    <row r="2435" ht="56.25" customHeight="1">
      <c r="A2435" s="5" t="s">
        <v>13940</v>
      </c>
      <c r="B2435" s="6" t="str">
        <f>image("https://storage.googleapis.com/acdb/photos/BromideNpcNmlFlg01_Remake_1_0.png")</f>
        <v/>
      </c>
      <c r="C2435" s="5" t="s">
        <v>1132</v>
      </c>
      <c r="D2435" s="5" t="s">
        <v>1327</v>
      </c>
      <c r="E2435" s="5" t="s">
        <v>34</v>
      </c>
      <c r="F2435" s="5" t="s">
        <v>34</v>
      </c>
      <c r="G2435" s="5" t="s">
        <v>36</v>
      </c>
      <c r="H2435" s="5" t="s">
        <v>35</v>
      </c>
      <c r="I2435" s="6">
        <v>1.0</v>
      </c>
      <c r="J2435" s="6" t="s">
        <v>37</v>
      </c>
      <c r="K2435" s="6">
        <v>10.0</v>
      </c>
      <c r="L2435" s="5"/>
      <c r="M2435" s="5"/>
      <c r="N2435" s="6" t="s">
        <v>40</v>
      </c>
      <c r="O2435" s="5" t="s">
        <v>5363</v>
      </c>
      <c r="P2435" s="6" t="s">
        <v>42</v>
      </c>
      <c r="Q2435" s="5" t="s">
        <v>1237</v>
      </c>
      <c r="R2435" s="5" t="s">
        <v>13946</v>
      </c>
      <c r="S2435" s="6" t="s">
        <v>56</v>
      </c>
      <c r="T2435" s="6">
        <v>6485.0</v>
      </c>
    </row>
    <row r="2436" ht="56.25" customHeight="1">
      <c r="A2436" s="5" t="s">
        <v>13940</v>
      </c>
      <c r="B2436" s="6" t="str">
        <f>image("https://storage.googleapis.com/acdb/photos/BromideNpcNmlFlg01_Remake_2_0.png")</f>
        <v/>
      </c>
      <c r="C2436" s="5" t="s">
        <v>688</v>
      </c>
      <c r="D2436" s="5" t="s">
        <v>1327</v>
      </c>
      <c r="E2436" s="5" t="s">
        <v>34</v>
      </c>
      <c r="F2436" s="5" t="s">
        <v>34</v>
      </c>
      <c r="G2436" s="5" t="s">
        <v>36</v>
      </c>
      <c r="H2436" s="5" t="s">
        <v>35</v>
      </c>
      <c r="I2436" s="6">
        <v>1.0</v>
      </c>
      <c r="J2436" s="6" t="s">
        <v>37</v>
      </c>
      <c r="K2436" s="6">
        <v>10.0</v>
      </c>
      <c r="L2436" s="5"/>
      <c r="M2436" s="5"/>
      <c r="N2436" s="6" t="s">
        <v>40</v>
      </c>
      <c r="O2436" s="5" t="s">
        <v>5363</v>
      </c>
      <c r="P2436" s="6" t="s">
        <v>42</v>
      </c>
      <c r="Q2436" s="5" t="s">
        <v>1237</v>
      </c>
      <c r="R2436" s="5" t="s">
        <v>13949</v>
      </c>
      <c r="S2436" s="6" t="s">
        <v>67</v>
      </c>
      <c r="T2436" s="6">
        <v>6485.0</v>
      </c>
    </row>
    <row r="2437" ht="56.25" customHeight="1">
      <c r="A2437" s="5" t="s">
        <v>13940</v>
      </c>
      <c r="B2437" s="6" t="str">
        <f>image("https://storage.googleapis.com/acdb/photos/BromideNpcNmlFlg01_Remake_3_0.png")</f>
        <v/>
      </c>
      <c r="C2437" s="5" t="s">
        <v>57</v>
      </c>
      <c r="D2437" s="5" t="s">
        <v>1327</v>
      </c>
      <c r="E2437" s="5" t="s">
        <v>34</v>
      </c>
      <c r="F2437" s="5" t="s">
        <v>34</v>
      </c>
      <c r="G2437" s="5" t="s">
        <v>36</v>
      </c>
      <c r="H2437" s="5" t="s">
        <v>35</v>
      </c>
      <c r="I2437" s="6">
        <v>1.0</v>
      </c>
      <c r="J2437" s="6" t="s">
        <v>37</v>
      </c>
      <c r="K2437" s="6">
        <v>10.0</v>
      </c>
      <c r="L2437" s="5"/>
      <c r="M2437" s="5"/>
      <c r="N2437" s="6" t="s">
        <v>40</v>
      </c>
      <c r="O2437" s="5" t="s">
        <v>5363</v>
      </c>
      <c r="P2437" s="6" t="s">
        <v>42</v>
      </c>
      <c r="Q2437" s="5" t="s">
        <v>1237</v>
      </c>
      <c r="R2437" s="5" t="s">
        <v>13951</v>
      </c>
      <c r="S2437" s="6" t="s">
        <v>71</v>
      </c>
      <c r="T2437" s="6">
        <v>6485.0</v>
      </c>
    </row>
    <row r="2438" ht="56.25" customHeight="1">
      <c r="A2438" s="5" t="s">
        <v>13940</v>
      </c>
      <c r="B2438" s="6" t="str">
        <f>image("https://storage.googleapis.com/acdb/photos/BromideNpcNmlFlg01_Remake_4_0.png")</f>
        <v/>
      </c>
      <c r="C2438" s="5" t="s">
        <v>1167</v>
      </c>
      <c r="D2438" s="5" t="s">
        <v>1327</v>
      </c>
      <c r="E2438" s="5" t="s">
        <v>34</v>
      </c>
      <c r="F2438" s="5" t="s">
        <v>34</v>
      </c>
      <c r="G2438" s="5" t="s">
        <v>36</v>
      </c>
      <c r="H2438" s="5" t="s">
        <v>35</v>
      </c>
      <c r="I2438" s="6">
        <v>1.0</v>
      </c>
      <c r="J2438" s="6" t="s">
        <v>37</v>
      </c>
      <c r="K2438" s="6">
        <v>10.0</v>
      </c>
      <c r="L2438" s="5"/>
      <c r="M2438" s="5"/>
      <c r="N2438" s="6" t="s">
        <v>40</v>
      </c>
      <c r="O2438" s="5" t="s">
        <v>5363</v>
      </c>
      <c r="P2438" s="6" t="s">
        <v>42</v>
      </c>
      <c r="Q2438" s="5" t="s">
        <v>1237</v>
      </c>
      <c r="R2438" s="5" t="s">
        <v>13956</v>
      </c>
      <c r="S2438" s="6" t="s">
        <v>75</v>
      </c>
      <c r="T2438" s="6">
        <v>6485.0</v>
      </c>
    </row>
    <row r="2439" ht="56.25" customHeight="1">
      <c r="A2439" s="5" t="s">
        <v>13940</v>
      </c>
      <c r="B2439" s="6" t="str">
        <f>image("https://storage.googleapis.com/acdb/photos/BromideNpcNmlFlg01_Remake_5_0.png")</f>
        <v/>
      </c>
      <c r="C2439" s="5" t="s">
        <v>58</v>
      </c>
      <c r="D2439" s="5" t="s">
        <v>1327</v>
      </c>
      <c r="E2439" s="5" t="s">
        <v>34</v>
      </c>
      <c r="F2439" s="5" t="s">
        <v>34</v>
      </c>
      <c r="G2439" s="5" t="s">
        <v>36</v>
      </c>
      <c r="H2439" s="5" t="s">
        <v>35</v>
      </c>
      <c r="I2439" s="6">
        <v>1.0</v>
      </c>
      <c r="J2439" s="6" t="s">
        <v>37</v>
      </c>
      <c r="K2439" s="6">
        <v>10.0</v>
      </c>
      <c r="L2439" s="5"/>
      <c r="M2439" s="5"/>
      <c r="N2439" s="6" t="s">
        <v>40</v>
      </c>
      <c r="O2439" s="5" t="s">
        <v>5363</v>
      </c>
      <c r="P2439" s="6" t="s">
        <v>42</v>
      </c>
      <c r="Q2439" s="5" t="s">
        <v>1237</v>
      </c>
      <c r="R2439" s="5" t="s">
        <v>13959</v>
      </c>
      <c r="S2439" s="6" t="s">
        <v>79</v>
      </c>
      <c r="T2439" s="6">
        <v>6485.0</v>
      </c>
    </row>
    <row r="2440" ht="56.25" customHeight="1">
      <c r="A2440" s="5" t="s">
        <v>13940</v>
      </c>
      <c r="B2440" s="6" t="str">
        <f>image("https://storage.googleapis.com/acdb/photos/BromideNpcNmlFlg01_Remake_6_0.png")</f>
        <v/>
      </c>
      <c r="C2440" s="5" t="s">
        <v>146</v>
      </c>
      <c r="D2440" s="5" t="s">
        <v>1327</v>
      </c>
      <c r="E2440" s="5" t="s">
        <v>34</v>
      </c>
      <c r="F2440" s="5" t="s">
        <v>34</v>
      </c>
      <c r="G2440" s="5" t="s">
        <v>36</v>
      </c>
      <c r="H2440" s="5" t="s">
        <v>35</v>
      </c>
      <c r="I2440" s="6">
        <v>1.0</v>
      </c>
      <c r="J2440" s="6" t="s">
        <v>37</v>
      </c>
      <c r="K2440" s="6">
        <v>10.0</v>
      </c>
      <c r="L2440" s="5"/>
      <c r="M2440" s="5"/>
      <c r="N2440" s="6" t="s">
        <v>40</v>
      </c>
      <c r="O2440" s="5" t="s">
        <v>5363</v>
      </c>
      <c r="P2440" s="6" t="s">
        <v>42</v>
      </c>
      <c r="Q2440" s="5" t="s">
        <v>1237</v>
      </c>
      <c r="R2440" s="5" t="s">
        <v>13962</v>
      </c>
      <c r="S2440" s="6" t="s">
        <v>86</v>
      </c>
      <c r="T2440" s="6">
        <v>6485.0</v>
      </c>
    </row>
    <row r="2441" ht="56.25" customHeight="1">
      <c r="A2441" s="5" t="s">
        <v>13940</v>
      </c>
      <c r="B2441" s="6" t="str">
        <f>image("https://storage.googleapis.com/acdb/photos/BromideNpcNmlFlg01_Remake_7_0.png")</f>
        <v/>
      </c>
      <c r="C2441" s="5" t="s">
        <v>151</v>
      </c>
      <c r="D2441" s="5" t="s">
        <v>1327</v>
      </c>
      <c r="E2441" s="5" t="s">
        <v>34</v>
      </c>
      <c r="F2441" s="5" t="s">
        <v>34</v>
      </c>
      <c r="G2441" s="5" t="s">
        <v>36</v>
      </c>
      <c r="H2441" s="5" t="s">
        <v>35</v>
      </c>
      <c r="I2441" s="6">
        <v>1.0</v>
      </c>
      <c r="J2441" s="6" t="s">
        <v>37</v>
      </c>
      <c r="K2441" s="6">
        <v>10.0</v>
      </c>
      <c r="L2441" s="5"/>
      <c r="M2441" s="5"/>
      <c r="N2441" s="6" t="s">
        <v>40</v>
      </c>
      <c r="O2441" s="5" t="s">
        <v>5363</v>
      </c>
      <c r="P2441" s="6" t="s">
        <v>42</v>
      </c>
      <c r="Q2441" s="5" t="s">
        <v>1237</v>
      </c>
      <c r="R2441" s="5" t="s">
        <v>13967</v>
      </c>
      <c r="S2441" s="6" t="s">
        <v>208</v>
      </c>
      <c r="T2441" s="6">
        <v>6485.0</v>
      </c>
    </row>
    <row r="2442" ht="56.25" customHeight="1">
      <c r="A2442" s="5" t="s">
        <v>13969</v>
      </c>
      <c r="B2442" s="6" t="str">
        <f>image("https://storage.googleapis.com/acdb/photos/BromideNpcNmlSqu10_Remake_0_0.png")</f>
        <v/>
      </c>
      <c r="C2442" s="5" t="s">
        <v>366</v>
      </c>
      <c r="D2442" s="5" t="s">
        <v>1327</v>
      </c>
      <c r="E2442" s="5" t="s">
        <v>34</v>
      </c>
      <c r="F2442" s="5" t="s">
        <v>34</v>
      </c>
      <c r="G2442" s="5" t="s">
        <v>36</v>
      </c>
      <c r="H2442" s="5" t="s">
        <v>35</v>
      </c>
      <c r="I2442" s="6">
        <v>1.0</v>
      </c>
      <c r="J2442" s="6" t="s">
        <v>37</v>
      </c>
      <c r="K2442" s="6">
        <v>10.0</v>
      </c>
      <c r="L2442" s="5"/>
      <c r="M2442" s="5"/>
      <c r="N2442" s="6" t="s">
        <v>40</v>
      </c>
      <c r="O2442" s="5" t="s">
        <v>5363</v>
      </c>
      <c r="P2442" s="6" t="s">
        <v>42</v>
      </c>
      <c r="Q2442" s="5" t="s">
        <v>1237</v>
      </c>
      <c r="R2442" s="5" t="s">
        <v>13974</v>
      </c>
      <c r="S2442" s="6" t="s">
        <v>50</v>
      </c>
      <c r="T2442" s="6">
        <v>6714.0</v>
      </c>
    </row>
    <row r="2443" ht="56.25" customHeight="1">
      <c r="A2443" s="5" t="s">
        <v>13969</v>
      </c>
      <c r="B2443" s="6" t="str">
        <f>image("https://storage.googleapis.com/acdb/photos/BromideNpcNmlSqu10_Remake_1_0.png")</f>
        <v/>
      </c>
      <c r="C2443" s="5" t="s">
        <v>1132</v>
      </c>
      <c r="D2443" s="5" t="s">
        <v>1327</v>
      </c>
      <c r="E2443" s="5" t="s">
        <v>34</v>
      </c>
      <c r="F2443" s="5" t="s">
        <v>34</v>
      </c>
      <c r="G2443" s="5" t="s">
        <v>36</v>
      </c>
      <c r="H2443" s="5" t="s">
        <v>35</v>
      </c>
      <c r="I2443" s="6">
        <v>1.0</v>
      </c>
      <c r="J2443" s="6" t="s">
        <v>37</v>
      </c>
      <c r="K2443" s="6">
        <v>10.0</v>
      </c>
      <c r="L2443" s="5"/>
      <c r="M2443" s="5"/>
      <c r="N2443" s="6" t="s">
        <v>40</v>
      </c>
      <c r="O2443" s="5" t="s">
        <v>5363</v>
      </c>
      <c r="P2443" s="6" t="s">
        <v>42</v>
      </c>
      <c r="Q2443" s="5" t="s">
        <v>1237</v>
      </c>
      <c r="R2443" s="5" t="s">
        <v>13977</v>
      </c>
      <c r="S2443" s="6" t="s">
        <v>56</v>
      </c>
      <c r="T2443" s="6">
        <v>6714.0</v>
      </c>
    </row>
    <row r="2444" ht="56.25" customHeight="1">
      <c r="A2444" s="5" t="s">
        <v>13969</v>
      </c>
      <c r="B2444" s="6" t="str">
        <f>image("https://storage.googleapis.com/acdb/photos/BromideNpcNmlSqu10_Remake_2_0.png")</f>
        <v/>
      </c>
      <c r="C2444" s="5" t="s">
        <v>688</v>
      </c>
      <c r="D2444" s="5" t="s">
        <v>1327</v>
      </c>
      <c r="E2444" s="5" t="s">
        <v>34</v>
      </c>
      <c r="F2444" s="5" t="s">
        <v>34</v>
      </c>
      <c r="G2444" s="5" t="s">
        <v>36</v>
      </c>
      <c r="H2444" s="5" t="s">
        <v>35</v>
      </c>
      <c r="I2444" s="6">
        <v>1.0</v>
      </c>
      <c r="J2444" s="6" t="s">
        <v>37</v>
      </c>
      <c r="K2444" s="6">
        <v>10.0</v>
      </c>
      <c r="L2444" s="5"/>
      <c r="M2444" s="5"/>
      <c r="N2444" s="6" t="s">
        <v>40</v>
      </c>
      <c r="O2444" s="5" t="s">
        <v>5363</v>
      </c>
      <c r="P2444" s="6" t="s">
        <v>42</v>
      </c>
      <c r="Q2444" s="5" t="s">
        <v>1237</v>
      </c>
      <c r="R2444" s="5" t="s">
        <v>13980</v>
      </c>
      <c r="S2444" s="6" t="s">
        <v>67</v>
      </c>
      <c r="T2444" s="6">
        <v>6714.0</v>
      </c>
    </row>
    <row r="2445" ht="56.25" customHeight="1">
      <c r="A2445" s="5" t="s">
        <v>13969</v>
      </c>
      <c r="B2445" s="6" t="str">
        <f>image("https://storage.googleapis.com/acdb/photos/BromideNpcNmlSqu10_Remake_3_0.png")</f>
        <v/>
      </c>
      <c r="C2445" s="5" t="s">
        <v>57</v>
      </c>
      <c r="D2445" s="5" t="s">
        <v>1327</v>
      </c>
      <c r="E2445" s="5" t="s">
        <v>34</v>
      </c>
      <c r="F2445" s="5" t="s">
        <v>34</v>
      </c>
      <c r="G2445" s="5" t="s">
        <v>36</v>
      </c>
      <c r="H2445" s="5" t="s">
        <v>35</v>
      </c>
      <c r="I2445" s="6">
        <v>1.0</v>
      </c>
      <c r="J2445" s="6" t="s">
        <v>37</v>
      </c>
      <c r="K2445" s="6">
        <v>10.0</v>
      </c>
      <c r="L2445" s="5"/>
      <c r="M2445" s="5"/>
      <c r="N2445" s="6" t="s">
        <v>40</v>
      </c>
      <c r="O2445" s="5" t="s">
        <v>5363</v>
      </c>
      <c r="P2445" s="6" t="s">
        <v>42</v>
      </c>
      <c r="Q2445" s="5" t="s">
        <v>1237</v>
      </c>
      <c r="R2445" s="5" t="s">
        <v>13982</v>
      </c>
      <c r="S2445" s="6" t="s">
        <v>71</v>
      </c>
      <c r="T2445" s="6">
        <v>6714.0</v>
      </c>
    </row>
    <row r="2446" ht="56.25" customHeight="1">
      <c r="A2446" s="5" t="s">
        <v>13969</v>
      </c>
      <c r="B2446" s="6" t="str">
        <f>image("https://storage.googleapis.com/acdb/photos/BromideNpcNmlSqu10_Remake_4_0.png")</f>
        <v/>
      </c>
      <c r="C2446" s="5" t="s">
        <v>1167</v>
      </c>
      <c r="D2446" s="5" t="s">
        <v>1327</v>
      </c>
      <c r="E2446" s="5" t="s">
        <v>34</v>
      </c>
      <c r="F2446" s="5" t="s">
        <v>34</v>
      </c>
      <c r="G2446" s="5" t="s">
        <v>36</v>
      </c>
      <c r="H2446" s="5" t="s">
        <v>35</v>
      </c>
      <c r="I2446" s="6">
        <v>1.0</v>
      </c>
      <c r="J2446" s="6" t="s">
        <v>37</v>
      </c>
      <c r="K2446" s="6">
        <v>10.0</v>
      </c>
      <c r="L2446" s="5"/>
      <c r="M2446" s="5"/>
      <c r="N2446" s="6" t="s">
        <v>40</v>
      </c>
      <c r="O2446" s="5" t="s">
        <v>5363</v>
      </c>
      <c r="P2446" s="6" t="s">
        <v>42</v>
      </c>
      <c r="Q2446" s="5" t="s">
        <v>1237</v>
      </c>
      <c r="R2446" s="5" t="s">
        <v>13986</v>
      </c>
      <c r="S2446" s="6" t="s">
        <v>75</v>
      </c>
      <c r="T2446" s="6">
        <v>6714.0</v>
      </c>
    </row>
    <row r="2447" ht="56.25" customHeight="1">
      <c r="A2447" s="5" t="s">
        <v>13969</v>
      </c>
      <c r="B2447" s="6" t="str">
        <f>image("https://storage.googleapis.com/acdb/photos/BromideNpcNmlSqu10_Remake_5_0.png")</f>
        <v/>
      </c>
      <c r="C2447" s="5" t="s">
        <v>58</v>
      </c>
      <c r="D2447" s="5" t="s">
        <v>1327</v>
      </c>
      <c r="E2447" s="5" t="s">
        <v>34</v>
      </c>
      <c r="F2447" s="5" t="s">
        <v>34</v>
      </c>
      <c r="G2447" s="5" t="s">
        <v>36</v>
      </c>
      <c r="H2447" s="5" t="s">
        <v>35</v>
      </c>
      <c r="I2447" s="6">
        <v>1.0</v>
      </c>
      <c r="J2447" s="6" t="s">
        <v>37</v>
      </c>
      <c r="K2447" s="6">
        <v>10.0</v>
      </c>
      <c r="L2447" s="5"/>
      <c r="M2447" s="5"/>
      <c r="N2447" s="6" t="s">
        <v>40</v>
      </c>
      <c r="O2447" s="5" t="s">
        <v>5363</v>
      </c>
      <c r="P2447" s="6" t="s">
        <v>42</v>
      </c>
      <c r="Q2447" s="5" t="s">
        <v>1237</v>
      </c>
      <c r="R2447" s="5" t="s">
        <v>13987</v>
      </c>
      <c r="S2447" s="6" t="s">
        <v>79</v>
      </c>
      <c r="T2447" s="6">
        <v>6714.0</v>
      </c>
    </row>
    <row r="2448" ht="56.25" customHeight="1">
      <c r="A2448" s="5" t="s">
        <v>13969</v>
      </c>
      <c r="B2448" s="6" t="str">
        <f>image("https://storage.googleapis.com/acdb/photos/BromideNpcNmlSqu10_Remake_6_0.png")</f>
        <v/>
      </c>
      <c r="C2448" s="5" t="s">
        <v>146</v>
      </c>
      <c r="D2448" s="5" t="s">
        <v>1327</v>
      </c>
      <c r="E2448" s="5" t="s">
        <v>34</v>
      </c>
      <c r="F2448" s="5" t="s">
        <v>34</v>
      </c>
      <c r="G2448" s="5" t="s">
        <v>36</v>
      </c>
      <c r="H2448" s="5" t="s">
        <v>35</v>
      </c>
      <c r="I2448" s="6">
        <v>1.0</v>
      </c>
      <c r="J2448" s="6" t="s">
        <v>37</v>
      </c>
      <c r="K2448" s="6">
        <v>10.0</v>
      </c>
      <c r="L2448" s="5"/>
      <c r="M2448" s="5"/>
      <c r="N2448" s="6" t="s">
        <v>40</v>
      </c>
      <c r="O2448" s="5" t="s">
        <v>5363</v>
      </c>
      <c r="P2448" s="6" t="s">
        <v>42</v>
      </c>
      <c r="Q2448" s="5" t="s">
        <v>1237</v>
      </c>
      <c r="R2448" s="5" t="s">
        <v>13991</v>
      </c>
      <c r="S2448" s="6" t="s">
        <v>86</v>
      </c>
      <c r="T2448" s="6">
        <v>6714.0</v>
      </c>
    </row>
    <row r="2449" ht="56.25" customHeight="1">
      <c r="A2449" s="5" t="s">
        <v>13969</v>
      </c>
      <c r="B2449" s="6" t="str">
        <f>image("https://storage.googleapis.com/acdb/photos/BromideNpcNmlSqu10_Remake_7_0.png")</f>
        <v/>
      </c>
      <c r="C2449" s="5" t="s">
        <v>151</v>
      </c>
      <c r="D2449" s="5" t="s">
        <v>1327</v>
      </c>
      <c r="E2449" s="5" t="s">
        <v>34</v>
      </c>
      <c r="F2449" s="5" t="s">
        <v>34</v>
      </c>
      <c r="G2449" s="5" t="s">
        <v>36</v>
      </c>
      <c r="H2449" s="5" t="s">
        <v>35</v>
      </c>
      <c r="I2449" s="6">
        <v>1.0</v>
      </c>
      <c r="J2449" s="6" t="s">
        <v>37</v>
      </c>
      <c r="K2449" s="6">
        <v>10.0</v>
      </c>
      <c r="L2449" s="5"/>
      <c r="M2449" s="5"/>
      <c r="N2449" s="6" t="s">
        <v>40</v>
      </c>
      <c r="O2449" s="5" t="s">
        <v>5363</v>
      </c>
      <c r="P2449" s="6" t="s">
        <v>42</v>
      </c>
      <c r="Q2449" s="5" t="s">
        <v>1237</v>
      </c>
      <c r="R2449" s="5" t="s">
        <v>13994</v>
      </c>
      <c r="S2449" s="6" t="s">
        <v>208</v>
      </c>
      <c r="T2449" s="6">
        <v>6714.0</v>
      </c>
    </row>
    <row r="2450" ht="56.25" customHeight="1">
      <c r="A2450" s="5" t="s">
        <v>13995</v>
      </c>
      <c r="B2450" s="6" t="str">
        <f>image("https://storage.googleapis.com/acdb/photos/BromideNpcNmlMus09_Remake_0_0.png")</f>
        <v/>
      </c>
      <c r="C2450" s="5" t="s">
        <v>366</v>
      </c>
      <c r="D2450" s="5" t="s">
        <v>1327</v>
      </c>
      <c r="E2450" s="5" t="s">
        <v>34</v>
      </c>
      <c r="F2450" s="5" t="s">
        <v>34</v>
      </c>
      <c r="G2450" s="5" t="s">
        <v>36</v>
      </c>
      <c r="H2450" s="5" t="s">
        <v>35</v>
      </c>
      <c r="I2450" s="6">
        <v>1.0</v>
      </c>
      <c r="J2450" s="6" t="s">
        <v>37</v>
      </c>
      <c r="K2450" s="6">
        <v>10.0</v>
      </c>
      <c r="L2450" s="5"/>
      <c r="M2450" s="5"/>
      <c r="N2450" s="6" t="s">
        <v>40</v>
      </c>
      <c r="O2450" s="5" t="s">
        <v>5363</v>
      </c>
      <c r="P2450" s="6" t="s">
        <v>42</v>
      </c>
      <c r="Q2450" s="5" t="s">
        <v>1237</v>
      </c>
      <c r="R2450" s="5" t="s">
        <v>13999</v>
      </c>
      <c r="S2450" s="6" t="s">
        <v>50</v>
      </c>
      <c r="T2450" s="6">
        <v>6597.0</v>
      </c>
    </row>
    <row r="2451" ht="56.25" customHeight="1">
      <c r="A2451" s="5" t="s">
        <v>13995</v>
      </c>
      <c r="B2451" s="6" t="str">
        <f>image("https://storage.googleapis.com/acdb/photos/BromideNpcNmlMus09_Remake_1_0.png")</f>
        <v/>
      </c>
      <c r="C2451" s="5" t="s">
        <v>1132</v>
      </c>
      <c r="D2451" s="5" t="s">
        <v>1327</v>
      </c>
      <c r="E2451" s="5" t="s">
        <v>34</v>
      </c>
      <c r="F2451" s="5" t="s">
        <v>34</v>
      </c>
      <c r="G2451" s="5" t="s">
        <v>36</v>
      </c>
      <c r="H2451" s="5" t="s">
        <v>35</v>
      </c>
      <c r="I2451" s="6">
        <v>1.0</v>
      </c>
      <c r="J2451" s="6" t="s">
        <v>37</v>
      </c>
      <c r="K2451" s="6">
        <v>10.0</v>
      </c>
      <c r="L2451" s="5"/>
      <c r="M2451" s="5"/>
      <c r="N2451" s="6" t="s">
        <v>40</v>
      </c>
      <c r="O2451" s="5" t="s">
        <v>5363</v>
      </c>
      <c r="P2451" s="6" t="s">
        <v>42</v>
      </c>
      <c r="Q2451" s="5" t="s">
        <v>1237</v>
      </c>
      <c r="R2451" s="5" t="s">
        <v>14004</v>
      </c>
      <c r="S2451" s="6" t="s">
        <v>56</v>
      </c>
      <c r="T2451" s="6">
        <v>6597.0</v>
      </c>
    </row>
    <row r="2452" ht="56.25" customHeight="1">
      <c r="A2452" s="5" t="s">
        <v>13995</v>
      </c>
      <c r="B2452" s="6" t="str">
        <f>image("https://storage.googleapis.com/acdb/photos/BromideNpcNmlMus09_Remake_2_0.png")</f>
        <v/>
      </c>
      <c r="C2452" s="5" t="s">
        <v>688</v>
      </c>
      <c r="D2452" s="5" t="s">
        <v>1327</v>
      </c>
      <c r="E2452" s="5" t="s">
        <v>34</v>
      </c>
      <c r="F2452" s="5" t="s">
        <v>34</v>
      </c>
      <c r="G2452" s="5" t="s">
        <v>36</v>
      </c>
      <c r="H2452" s="5" t="s">
        <v>35</v>
      </c>
      <c r="I2452" s="6">
        <v>1.0</v>
      </c>
      <c r="J2452" s="6" t="s">
        <v>37</v>
      </c>
      <c r="K2452" s="6">
        <v>10.0</v>
      </c>
      <c r="L2452" s="5"/>
      <c r="M2452" s="5"/>
      <c r="N2452" s="6" t="s">
        <v>40</v>
      </c>
      <c r="O2452" s="5" t="s">
        <v>5363</v>
      </c>
      <c r="P2452" s="6" t="s">
        <v>42</v>
      </c>
      <c r="Q2452" s="5" t="s">
        <v>1237</v>
      </c>
      <c r="R2452" s="5" t="s">
        <v>14008</v>
      </c>
      <c r="S2452" s="6" t="s">
        <v>67</v>
      </c>
      <c r="T2452" s="6">
        <v>6597.0</v>
      </c>
    </row>
    <row r="2453" ht="56.25" customHeight="1">
      <c r="A2453" s="5" t="s">
        <v>13995</v>
      </c>
      <c r="B2453" s="6" t="str">
        <f>image("https://storage.googleapis.com/acdb/photos/BromideNpcNmlMus09_Remake_3_0.png")</f>
        <v/>
      </c>
      <c r="C2453" s="5" t="s">
        <v>57</v>
      </c>
      <c r="D2453" s="5" t="s">
        <v>1327</v>
      </c>
      <c r="E2453" s="5" t="s">
        <v>34</v>
      </c>
      <c r="F2453" s="5" t="s">
        <v>34</v>
      </c>
      <c r="G2453" s="5" t="s">
        <v>36</v>
      </c>
      <c r="H2453" s="5" t="s">
        <v>35</v>
      </c>
      <c r="I2453" s="6">
        <v>1.0</v>
      </c>
      <c r="J2453" s="6" t="s">
        <v>37</v>
      </c>
      <c r="K2453" s="6">
        <v>10.0</v>
      </c>
      <c r="L2453" s="5"/>
      <c r="M2453" s="5"/>
      <c r="N2453" s="6" t="s">
        <v>40</v>
      </c>
      <c r="O2453" s="5" t="s">
        <v>5363</v>
      </c>
      <c r="P2453" s="6" t="s">
        <v>42</v>
      </c>
      <c r="Q2453" s="5" t="s">
        <v>1237</v>
      </c>
      <c r="R2453" s="5" t="s">
        <v>14010</v>
      </c>
      <c r="S2453" s="6" t="s">
        <v>71</v>
      </c>
      <c r="T2453" s="6">
        <v>6597.0</v>
      </c>
    </row>
    <row r="2454" ht="56.25" customHeight="1">
      <c r="A2454" s="5" t="s">
        <v>13995</v>
      </c>
      <c r="B2454" s="6" t="str">
        <f>image("https://storage.googleapis.com/acdb/photos/BromideNpcNmlMus09_Remake_4_0.png")</f>
        <v/>
      </c>
      <c r="C2454" s="5" t="s">
        <v>1167</v>
      </c>
      <c r="D2454" s="5" t="s">
        <v>1327</v>
      </c>
      <c r="E2454" s="5" t="s">
        <v>34</v>
      </c>
      <c r="F2454" s="5" t="s">
        <v>34</v>
      </c>
      <c r="G2454" s="5" t="s">
        <v>36</v>
      </c>
      <c r="H2454" s="5" t="s">
        <v>35</v>
      </c>
      <c r="I2454" s="6">
        <v>1.0</v>
      </c>
      <c r="J2454" s="6" t="s">
        <v>37</v>
      </c>
      <c r="K2454" s="6">
        <v>10.0</v>
      </c>
      <c r="L2454" s="5"/>
      <c r="M2454" s="5"/>
      <c r="N2454" s="6" t="s">
        <v>40</v>
      </c>
      <c r="O2454" s="5" t="s">
        <v>5363</v>
      </c>
      <c r="P2454" s="6" t="s">
        <v>42</v>
      </c>
      <c r="Q2454" s="5" t="s">
        <v>1237</v>
      </c>
      <c r="R2454" s="5" t="s">
        <v>14012</v>
      </c>
      <c r="S2454" s="6" t="s">
        <v>75</v>
      </c>
      <c r="T2454" s="6">
        <v>6597.0</v>
      </c>
    </row>
    <row r="2455" ht="56.25" customHeight="1">
      <c r="A2455" s="5" t="s">
        <v>13995</v>
      </c>
      <c r="B2455" s="6" t="str">
        <f>image("https://storage.googleapis.com/acdb/photos/BromideNpcNmlMus09_Remake_5_0.png")</f>
        <v/>
      </c>
      <c r="C2455" s="5" t="s">
        <v>58</v>
      </c>
      <c r="D2455" s="5" t="s">
        <v>1327</v>
      </c>
      <c r="E2455" s="5" t="s">
        <v>34</v>
      </c>
      <c r="F2455" s="5" t="s">
        <v>34</v>
      </c>
      <c r="G2455" s="5" t="s">
        <v>36</v>
      </c>
      <c r="H2455" s="5" t="s">
        <v>35</v>
      </c>
      <c r="I2455" s="6">
        <v>1.0</v>
      </c>
      <c r="J2455" s="6" t="s">
        <v>37</v>
      </c>
      <c r="K2455" s="6">
        <v>10.0</v>
      </c>
      <c r="L2455" s="5"/>
      <c r="M2455" s="5"/>
      <c r="N2455" s="6" t="s">
        <v>40</v>
      </c>
      <c r="O2455" s="5" t="s">
        <v>5363</v>
      </c>
      <c r="P2455" s="6" t="s">
        <v>42</v>
      </c>
      <c r="Q2455" s="5" t="s">
        <v>1237</v>
      </c>
      <c r="R2455" s="5" t="s">
        <v>14016</v>
      </c>
      <c r="S2455" s="6" t="s">
        <v>79</v>
      </c>
      <c r="T2455" s="6">
        <v>6597.0</v>
      </c>
    </row>
    <row r="2456" ht="56.25" customHeight="1">
      <c r="A2456" s="5" t="s">
        <v>13995</v>
      </c>
      <c r="B2456" s="6" t="str">
        <f>image("https://storage.googleapis.com/acdb/photos/BromideNpcNmlMus09_Remake_6_0.png")</f>
        <v/>
      </c>
      <c r="C2456" s="5" t="s">
        <v>146</v>
      </c>
      <c r="D2456" s="5" t="s">
        <v>1327</v>
      </c>
      <c r="E2456" s="5" t="s">
        <v>34</v>
      </c>
      <c r="F2456" s="5" t="s">
        <v>34</v>
      </c>
      <c r="G2456" s="5" t="s">
        <v>36</v>
      </c>
      <c r="H2456" s="5" t="s">
        <v>35</v>
      </c>
      <c r="I2456" s="6">
        <v>1.0</v>
      </c>
      <c r="J2456" s="6" t="s">
        <v>37</v>
      </c>
      <c r="K2456" s="6">
        <v>10.0</v>
      </c>
      <c r="L2456" s="5"/>
      <c r="M2456" s="5"/>
      <c r="N2456" s="6" t="s">
        <v>40</v>
      </c>
      <c r="O2456" s="5" t="s">
        <v>5363</v>
      </c>
      <c r="P2456" s="6" t="s">
        <v>42</v>
      </c>
      <c r="Q2456" s="5" t="s">
        <v>1237</v>
      </c>
      <c r="R2456" s="5" t="s">
        <v>14018</v>
      </c>
      <c r="S2456" s="6" t="s">
        <v>86</v>
      </c>
      <c r="T2456" s="6">
        <v>6597.0</v>
      </c>
    </row>
    <row r="2457" ht="56.25" customHeight="1">
      <c r="A2457" s="5" t="s">
        <v>13995</v>
      </c>
      <c r="B2457" s="6" t="str">
        <f>image("https://storage.googleapis.com/acdb/photos/BromideNpcNmlMus09_Remake_7_0.png")</f>
        <v/>
      </c>
      <c r="C2457" s="5" t="s">
        <v>151</v>
      </c>
      <c r="D2457" s="5" t="s">
        <v>1327</v>
      </c>
      <c r="E2457" s="5" t="s">
        <v>34</v>
      </c>
      <c r="F2457" s="5" t="s">
        <v>34</v>
      </c>
      <c r="G2457" s="5" t="s">
        <v>36</v>
      </c>
      <c r="H2457" s="5" t="s">
        <v>35</v>
      </c>
      <c r="I2457" s="6">
        <v>1.0</v>
      </c>
      <c r="J2457" s="6" t="s">
        <v>37</v>
      </c>
      <c r="K2457" s="6">
        <v>10.0</v>
      </c>
      <c r="L2457" s="5"/>
      <c r="M2457" s="5"/>
      <c r="N2457" s="6" t="s">
        <v>40</v>
      </c>
      <c r="O2457" s="5" t="s">
        <v>5363</v>
      </c>
      <c r="P2457" s="6" t="s">
        <v>42</v>
      </c>
      <c r="Q2457" s="5" t="s">
        <v>1237</v>
      </c>
      <c r="R2457" s="5" t="s">
        <v>14022</v>
      </c>
      <c r="S2457" s="6" t="s">
        <v>208</v>
      </c>
      <c r="T2457" s="6">
        <v>6597.0</v>
      </c>
    </row>
    <row r="2458" ht="56.25" customHeight="1">
      <c r="A2458" s="5" t="s">
        <v>14024</v>
      </c>
      <c r="B2458" s="6" t="str">
        <f>image("https://storage.googleapis.com/acdb/photos/BromideNpcNmlPgn01_Remake_0_0.png")</f>
        <v/>
      </c>
      <c r="C2458" s="5" t="s">
        <v>366</v>
      </c>
      <c r="D2458" s="5" t="s">
        <v>1327</v>
      </c>
      <c r="E2458" s="5" t="s">
        <v>34</v>
      </c>
      <c r="F2458" s="5" t="s">
        <v>34</v>
      </c>
      <c r="G2458" s="5" t="s">
        <v>36</v>
      </c>
      <c r="H2458" s="5" t="s">
        <v>35</v>
      </c>
      <c r="I2458" s="6">
        <v>1.0</v>
      </c>
      <c r="J2458" s="6" t="s">
        <v>37</v>
      </c>
      <c r="K2458" s="6">
        <v>10.0</v>
      </c>
      <c r="L2458" s="5"/>
      <c r="M2458" s="5"/>
      <c r="N2458" s="6" t="s">
        <v>40</v>
      </c>
      <c r="O2458" s="5" t="s">
        <v>5363</v>
      </c>
      <c r="P2458" s="6" t="s">
        <v>42</v>
      </c>
      <c r="Q2458" s="5" t="s">
        <v>1237</v>
      </c>
      <c r="R2458" s="5" t="s">
        <v>14027</v>
      </c>
      <c r="S2458" s="6" t="s">
        <v>50</v>
      </c>
      <c r="T2458" s="6">
        <v>6631.0</v>
      </c>
    </row>
    <row r="2459" ht="56.25" customHeight="1">
      <c r="A2459" s="5" t="s">
        <v>14024</v>
      </c>
      <c r="B2459" s="6" t="str">
        <f>image("https://storage.googleapis.com/acdb/photos/BromideNpcNmlPgn01_Remake_1_0.png")</f>
        <v/>
      </c>
      <c r="C2459" s="5" t="s">
        <v>1132</v>
      </c>
      <c r="D2459" s="5" t="s">
        <v>1327</v>
      </c>
      <c r="E2459" s="5" t="s">
        <v>34</v>
      </c>
      <c r="F2459" s="5" t="s">
        <v>34</v>
      </c>
      <c r="G2459" s="5" t="s">
        <v>36</v>
      </c>
      <c r="H2459" s="5" t="s">
        <v>35</v>
      </c>
      <c r="I2459" s="6">
        <v>1.0</v>
      </c>
      <c r="J2459" s="6" t="s">
        <v>37</v>
      </c>
      <c r="K2459" s="6">
        <v>10.0</v>
      </c>
      <c r="L2459" s="5"/>
      <c r="M2459" s="5"/>
      <c r="N2459" s="6" t="s">
        <v>40</v>
      </c>
      <c r="O2459" s="5" t="s">
        <v>5363</v>
      </c>
      <c r="P2459" s="6" t="s">
        <v>42</v>
      </c>
      <c r="Q2459" s="5" t="s">
        <v>1237</v>
      </c>
      <c r="R2459" s="5" t="s">
        <v>14031</v>
      </c>
      <c r="S2459" s="6" t="s">
        <v>56</v>
      </c>
      <c r="T2459" s="6">
        <v>6631.0</v>
      </c>
    </row>
    <row r="2460" ht="56.25" customHeight="1">
      <c r="A2460" s="5" t="s">
        <v>14024</v>
      </c>
      <c r="B2460" s="6" t="str">
        <f>image("https://storage.googleapis.com/acdb/photos/BromideNpcNmlPgn01_Remake_2_0.png")</f>
        <v/>
      </c>
      <c r="C2460" s="5" t="s">
        <v>688</v>
      </c>
      <c r="D2460" s="5" t="s">
        <v>1327</v>
      </c>
      <c r="E2460" s="5" t="s">
        <v>34</v>
      </c>
      <c r="F2460" s="5" t="s">
        <v>34</v>
      </c>
      <c r="G2460" s="5" t="s">
        <v>36</v>
      </c>
      <c r="H2460" s="5" t="s">
        <v>35</v>
      </c>
      <c r="I2460" s="6">
        <v>1.0</v>
      </c>
      <c r="J2460" s="6" t="s">
        <v>37</v>
      </c>
      <c r="K2460" s="6">
        <v>10.0</v>
      </c>
      <c r="L2460" s="5"/>
      <c r="M2460" s="5"/>
      <c r="N2460" s="6" t="s">
        <v>40</v>
      </c>
      <c r="O2460" s="5" t="s">
        <v>5363</v>
      </c>
      <c r="P2460" s="6" t="s">
        <v>42</v>
      </c>
      <c r="Q2460" s="5" t="s">
        <v>1237</v>
      </c>
      <c r="R2460" s="5" t="s">
        <v>14033</v>
      </c>
      <c r="S2460" s="6" t="s">
        <v>67</v>
      </c>
      <c r="T2460" s="6">
        <v>6631.0</v>
      </c>
    </row>
    <row r="2461" ht="56.25" customHeight="1">
      <c r="A2461" s="5" t="s">
        <v>14024</v>
      </c>
      <c r="B2461" s="6" t="str">
        <f>image("https://storage.googleapis.com/acdb/photos/BromideNpcNmlPgn01_Remake_3_0.png")</f>
        <v/>
      </c>
      <c r="C2461" s="5" t="s">
        <v>57</v>
      </c>
      <c r="D2461" s="5" t="s">
        <v>1327</v>
      </c>
      <c r="E2461" s="5" t="s">
        <v>34</v>
      </c>
      <c r="F2461" s="5" t="s">
        <v>34</v>
      </c>
      <c r="G2461" s="5" t="s">
        <v>36</v>
      </c>
      <c r="H2461" s="5" t="s">
        <v>35</v>
      </c>
      <c r="I2461" s="6">
        <v>1.0</v>
      </c>
      <c r="J2461" s="6" t="s">
        <v>37</v>
      </c>
      <c r="K2461" s="6">
        <v>10.0</v>
      </c>
      <c r="L2461" s="5"/>
      <c r="M2461" s="5"/>
      <c r="N2461" s="6" t="s">
        <v>40</v>
      </c>
      <c r="O2461" s="5" t="s">
        <v>5363</v>
      </c>
      <c r="P2461" s="6" t="s">
        <v>42</v>
      </c>
      <c r="Q2461" s="5" t="s">
        <v>1237</v>
      </c>
      <c r="R2461" s="5" t="s">
        <v>14036</v>
      </c>
      <c r="S2461" s="6" t="s">
        <v>71</v>
      </c>
      <c r="T2461" s="6">
        <v>6631.0</v>
      </c>
    </row>
    <row r="2462" ht="56.25" customHeight="1">
      <c r="A2462" s="5" t="s">
        <v>14024</v>
      </c>
      <c r="B2462" s="6" t="str">
        <f>image("https://storage.googleapis.com/acdb/photos/BromideNpcNmlPgn01_Remake_4_0.png")</f>
        <v/>
      </c>
      <c r="C2462" s="5" t="s">
        <v>1167</v>
      </c>
      <c r="D2462" s="5" t="s">
        <v>1327</v>
      </c>
      <c r="E2462" s="5" t="s">
        <v>34</v>
      </c>
      <c r="F2462" s="5" t="s">
        <v>34</v>
      </c>
      <c r="G2462" s="5" t="s">
        <v>36</v>
      </c>
      <c r="H2462" s="5" t="s">
        <v>35</v>
      </c>
      <c r="I2462" s="6">
        <v>1.0</v>
      </c>
      <c r="J2462" s="6" t="s">
        <v>37</v>
      </c>
      <c r="K2462" s="6">
        <v>10.0</v>
      </c>
      <c r="L2462" s="5"/>
      <c r="M2462" s="5"/>
      <c r="N2462" s="6" t="s">
        <v>40</v>
      </c>
      <c r="O2462" s="5" t="s">
        <v>5363</v>
      </c>
      <c r="P2462" s="6" t="s">
        <v>42</v>
      </c>
      <c r="Q2462" s="5" t="s">
        <v>1237</v>
      </c>
      <c r="R2462" s="5" t="s">
        <v>14038</v>
      </c>
      <c r="S2462" s="6" t="s">
        <v>75</v>
      </c>
      <c r="T2462" s="6">
        <v>6631.0</v>
      </c>
    </row>
    <row r="2463" ht="56.25" customHeight="1">
      <c r="A2463" s="5" t="s">
        <v>14024</v>
      </c>
      <c r="B2463" s="6" t="str">
        <f>image("https://storage.googleapis.com/acdb/photos/BromideNpcNmlPgn01_Remake_5_0.png")</f>
        <v/>
      </c>
      <c r="C2463" s="5" t="s">
        <v>58</v>
      </c>
      <c r="D2463" s="5" t="s">
        <v>1327</v>
      </c>
      <c r="E2463" s="5" t="s">
        <v>34</v>
      </c>
      <c r="F2463" s="5" t="s">
        <v>34</v>
      </c>
      <c r="G2463" s="5" t="s">
        <v>36</v>
      </c>
      <c r="H2463" s="5" t="s">
        <v>35</v>
      </c>
      <c r="I2463" s="6">
        <v>1.0</v>
      </c>
      <c r="J2463" s="6" t="s">
        <v>37</v>
      </c>
      <c r="K2463" s="6">
        <v>10.0</v>
      </c>
      <c r="L2463" s="5"/>
      <c r="M2463" s="5"/>
      <c r="N2463" s="6" t="s">
        <v>40</v>
      </c>
      <c r="O2463" s="5" t="s">
        <v>5363</v>
      </c>
      <c r="P2463" s="6" t="s">
        <v>42</v>
      </c>
      <c r="Q2463" s="5" t="s">
        <v>1237</v>
      </c>
      <c r="R2463" s="5" t="s">
        <v>14042</v>
      </c>
      <c r="S2463" s="6" t="s">
        <v>79</v>
      </c>
      <c r="T2463" s="6">
        <v>6631.0</v>
      </c>
    </row>
    <row r="2464" ht="56.25" customHeight="1">
      <c r="A2464" s="5" t="s">
        <v>14024</v>
      </c>
      <c r="B2464" s="6" t="str">
        <f>image("https://storage.googleapis.com/acdb/photos/BromideNpcNmlPgn01_Remake_6_0.png")</f>
        <v/>
      </c>
      <c r="C2464" s="5" t="s">
        <v>146</v>
      </c>
      <c r="D2464" s="5" t="s">
        <v>1327</v>
      </c>
      <c r="E2464" s="5" t="s">
        <v>34</v>
      </c>
      <c r="F2464" s="5" t="s">
        <v>34</v>
      </c>
      <c r="G2464" s="5" t="s">
        <v>36</v>
      </c>
      <c r="H2464" s="5" t="s">
        <v>35</v>
      </c>
      <c r="I2464" s="6">
        <v>1.0</v>
      </c>
      <c r="J2464" s="6" t="s">
        <v>37</v>
      </c>
      <c r="K2464" s="6">
        <v>10.0</v>
      </c>
      <c r="L2464" s="5"/>
      <c r="M2464" s="5"/>
      <c r="N2464" s="6" t="s">
        <v>40</v>
      </c>
      <c r="O2464" s="5" t="s">
        <v>5363</v>
      </c>
      <c r="P2464" s="6" t="s">
        <v>42</v>
      </c>
      <c r="Q2464" s="5" t="s">
        <v>1237</v>
      </c>
      <c r="R2464" s="5" t="s">
        <v>14045</v>
      </c>
      <c r="S2464" s="6" t="s">
        <v>86</v>
      </c>
      <c r="T2464" s="6">
        <v>6631.0</v>
      </c>
    </row>
    <row r="2465" ht="56.25" customHeight="1">
      <c r="A2465" s="5" t="s">
        <v>14024</v>
      </c>
      <c r="B2465" s="6" t="str">
        <f>image("https://storage.googleapis.com/acdb/photos/BromideNpcNmlPgn01_Remake_7_0.png")</f>
        <v/>
      </c>
      <c r="C2465" s="5" t="s">
        <v>151</v>
      </c>
      <c r="D2465" s="5" t="s">
        <v>1327</v>
      </c>
      <c r="E2465" s="5" t="s">
        <v>34</v>
      </c>
      <c r="F2465" s="5" t="s">
        <v>34</v>
      </c>
      <c r="G2465" s="5" t="s">
        <v>36</v>
      </c>
      <c r="H2465" s="5" t="s">
        <v>35</v>
      </c>
      <c r="I2465" s="6">
        <v>1.0</v>
      </c>
      <c r="J2465" s="6" t="s">
        <v>37</v>
      </c>
      <c r="K2465" s="6">
        <v>10.0</v>
      </c>
      <c r="L2465" s="5"/>
      <c r="M2465" s="5"/>
      <c r="N2465" s="6" t="s">
        <v>40</v>
      </c>
      <c r="O2465" s="5" t="s">
        <v>5363</v>
      </c>
      <c r="P2465" s="6" t="s">
        <v>42</v>
      </c>
      <c r="Q2465" s="5" t="s">
        <v>1237</v>
      </c>
      <c r="R2465" s="5" t="s">
        <v>14048</v>
      </c>
      <c r="S2465" s="6" t="s">
        <v>208</v>
      </c>
      <c r="T2465" s="6">
        <v>6631.0</v>
      </c>
    </row>
    <row r="2466" ht="56.25" customHeight="1">
      <c r="A2466" s="5" t="s">
        <v>14049</v>
      </c>
      <c r="B2466" s="6" t="str">
        <f>image("https://storage.googleapis.com/acdb/photos/BromideNpcNmlBrd01_Remake_0_0.png")</f>
        <v/>
      </c>
      <c r="C2466" s="5" t="s">
        <v>366</v>
      </c>
      <c r="D2466" s="5" t="s">
        <v>1327</v>
      </c>
      <c r="E2466" s="5" t="s">
        <v>34</v>
      </c>
      <c r="F2466" s="5" t="s">
        <v>34</v>
      </c>
      <c r="G2466" s="5" t="s">
        <v>36</v>
      </c>
      <c r="H2466" s="5" t="s">
        <v>35</v>
      </c>
      <c r="I2466" s="6">
        <v>1.0</v>
      </c>
      <c r="J2466" s="6" t="s">
        <v>37</v>
      </c>
      <c r="K2466" s="6">
        <v>10.0</v>
      </c>
      <c r="L2466" s="5"/>
      <c r="M2466" s="5"/>
      <c r="N2466" s="6" t="s">
        <v>40</v>
      </c>
      <c r="O2466" s="5" t="s">
        <v>5363</v>
      </c>
      <c r="P2466" s="6" t="s">
        <v>42</v>
      </c>
      <c r="Q2466" s="5" t="s">
        <v>1237</v>
      </c>
      <c r="R2466" s="5" t="s">
        <v>14053</v>
      </c>
      <c r="S2466" s="6" t="s">
        <v>50</v>
      </c>
      <c r="T2466" s="6">
        <v>6571.0</v>
      </c>
    </row>
    <row r="2467" ht="56.25" customHeight="1">
      <c r="A2467" s="5" t="s">
        <v>14049</v>
      </c>
      <c r="B2467" s="6" t="str">
        <f>image("https://storage.googleapis.com/acdb/photos/BromideNpcNmlBrd01_Remake_1_0.png")</f>
        <v/>
      </c>
      <c r="C2467" s="5" t="s">
        <v>1132</v>
      </c>
      <c r="D2467" s="5" t="s">
        <v>1327</v>
      </c>
      <c r="E2467" s="5" t="s">
        <v>34</v>
      </c>
      <c r="F2467" s="5" t="s">
        <v>34</v>
      </c>
      <c r="G2467" s="5" t="s">
        <v>36</v>
      </c>
      <c r="H2467" s="5" t="s">
        <v>35</v>
      </c>
      <c r="I2467" s="6">
        <v>1.0</v>
      </c>
      <c r="J2467" s="6" t="s">
        <v>37</v>
      </c>
      <c r="K2467" s="6">
        <v>10.0</v>
      </c>
      <c r="L2467" s="5"/>
      <c r="M2467" s="5"/>
      <c r="N2467" s="6" t="s">
        <v>40</v>
      </c>
      <c r="O2467" s="5" t="s">
        <v>5363</v>
      </c>
      <c r="P2467" s="6" t="s">
        <v>42</v>
      </c>
      <c r="Q2467" s="5" t="s">
        <v>1237</v>
      </c>
      <c r="R2467" s="5" t="s">
        <v>14056</v>
      </c>
      <c r="S2467" s="6" t="s">
        <v>56</v>
      </c>
      <c r="T2467" s="6">
        <v>6571.0</v>
      </c>
    </row>
    <row r="2468" ht="56.25" customHeight="1">
      <c r="A2468" s="5" t="s">
        <v>14049</v>
      </c>
      <c r="B2468" s="6" t="str">
        <f>image("https://storage.googleapis.com/acdb/photos/BromideNpcNmlBrd01_Remake_2_0.png")</f>
        <v/>
      </c>
      <c r="C2468" s="5" t="s">
        <v>688</v>
      </c>
      <c r="D2468" s="5" t="s">
        <v>1327</v>
      </c>
      <c r="E2468" s="5" t="s">
        <v>34</v>
      </c>
      <c r="F2468" s="5" t="s">
        <v>34</v>
      </c>
      <c r="G2468" s="5" t="s">
        <v>36</v>
      </c>
      <c r="H2468" s="5" t="s">
        <v>35</v>
      </c>
      <c r="I2468" s="6">
        <v>1.0</v>
      </c>
      <c r="J2468" s="6" t="s">
        <v>37</v>
      </c>
      <c r="K2468" s="6">
        <v>10.0</v>
      </c>
      <c r="L2468" s="5"/>
      <c r="M2468" s="5"/>
      <c r="N2468" s="6" t="s">
        <v>40</v>
      </c>
      <c r="O2468" s="5" t="s">
        <v>5363</v>
      </c>
      <c r="P2468" s="6" t="s">
        <v>42</v>
      </c>
      <c r="Q2468" s="5" t="s">
        <v>1237</v>
      </c>
      <c r="R2468" s="5" t="s">
        <v>14058</v>
      </c>
      <c r="S2468" s="6" t="s">
        <v>67</v>
      </c>
      <c r="T2468" s="6">
        <v>6571.0</v>
      </c>
    </row>
    <row r="2469" ht="56.25" customHeight="1">
      <c r="A2469" s="5" t="s">
        <v>14049</v>
      </c>
      <c r="B2469" s="6" t="str">
        <f>image("https://storage.googleapis.com/acdb/photos/BromideNpcNmlBrd01_Remake_3_0.png")</f>
        <v/>
      </c>
      <c r="C2469" s="5" t="s">
        <v>57</v>
      </c>
      <c r="D2469" s="5" t="s">
        <v>1327</v>
      </c>
      <c r="E2469" s="5" t="s">
        <v>34</v>
      </c>
      <c r="F2469" s="5" t="s">
        <v>34</v>
      </c>
      <c r="G2469" s="5" t="s">
        <v>36</v>
      </c>
      <c r="H2469" s="5" t="s">
        <v>35</v>
      </c>
      <c r="I2469" s="6">
        <v>1.0</v>
      </c>
      <c r="J2469" s="6" t="s">
        <v>37</v>
      </c>
      <c r="K2469" s="6">
        <v>10.0</v>
      </c>
      <c r="L2469" s="5"/>
      <c r="M2469" s="5"/>
      <c r="N2469" s="6" t="s">
        <v>40</v>
      </c>
      <c r="O2469" s="5" t="s">
        <v>5363</v>
      </c>
      <c r="P2469" s="6" t="s">
        <v>42</v>
      </c>
      <c r="Q2469" s="5" t="s">
        <v>1237</v>
      </c>
      <c r="R2469" s="5" t="s">
        <v>14062</v>
      </c>
      <c r="S2469" s="6" t="s">
        <v>71</v>
      </c>
      <c r="T2469" s="6">
        <v>6571.0</v>
      </c>
    </row>
    <row r="2470" ht="56.25" customHeight="1">
      <c r="A2470" s="5" t="s">
        <v>14049</v>
      </c>
      <c r="B2470" s="6" t="str">
        <f>image("https://storage.googleapis.com/acdb/photos/BromideNpcNmlBrd01_Remake_4_0.png")</f>
        <v/>
      </c>
      <c r="C2470" s="5" t="s">
        <v>1167</v>
      </c>
      <c r="D2470" s="5" t="s">
        <v>1327</v>
      </c>
      <c r="E2470" s="5" t="s">
        <v>34</v>
      </c>
      <c r="F2470" s="5" t="s">
        <v>34</v>
      </c>
      <c r="G2470" s="5" t="s">
        <v>36</v>
      </c>
      <c r="H2470" s="5" t="s">
        <v>35</v>
      </c>
      <c r="I2470" s="6">
        <v>1.0</v>
      </c>
      <c r="J2470" s="6" t="s">
        <v>37</v>
      </c>
      <c r="K2470" s="6">
        <v>10.0</v>
      </c>
      <c r="L2470" s="5"/>
      <c r="M2470" s="5"/>
      <c r="N2470" s="6" t="s">
        <v>40</v>
      </c>
      <c r="O2470" s="5" t="s">
        <v>5363</v>
      </c>
      <c r="P2470" s="6" t="s">
        <v>42</v>
      </c>
      <c r="Q2470" s="5" t="s">
        <v>1237</v>
      </c>
      <c r="R2470" s="5" t="s">
        <v>14065</v>
      </c>
      <c r="S2470" s="6" t="s">
        <v>75</v>
      </c>
      <c r="T2470" s="6">
        <v>6571.0</v>
      </c>
    </row>
    <row r="2471" ht="56.25" customHeight="1">
      <c r="A2471" s="5" t="s">
        <v>14049</v>
      </c>
      <c r="B2471" s="6" t="str">
        <f>image("https://storage.googleapis.com/acdb/photos/BromideNpcNmlBrd01_Remake_5_0.png")</f>
        <v/>
      </c>
      <c r="C2471" s="5" t="s">
        <v>58</v>
      </c>
      <c r="D2471" s="5" t="s">
        <v>1327</v>
      </c>
      <c r="E2471" s="5" t="s">
        <v>34</v>
      </c>
      <c r="F2471" s="5" t="s">
        <v>34</v>
      </c>
      <c r="G2471" s="5" t="s">
        <v>36</v>
      </c>
      <c r="H2471" s="5" t="s">
        <v>35</v>
      </c>
      <c r="I2471" s="6">
        <v>1.0</v>
      </c>
      <c r="J2471" s="6" t="s">
        <v>37</v>
      </c>
      <c r="K2471" s="6">
        <v>10.0</v>
      </c>
      <c r="L2471" s="5"/>
      <c r="M2471" s="5"/>
      <c r="N2471" s="6" t="s">
        <v>40</v>
      </c>
      <c r="O2471" s="5" t="s">
        <v>5363</v>
      </c>
      <c r="P2471" s="6" t="s">
        <v>42</v>
      </c>
      <c r="Q2471" s="5" t="s">
        <v>1237</v>
      </c>
      <c r="R2471" s="5" t="s">
        <v>14067</v>
      </c>
      <c r="S2471" s="6" t="s">
        <v>79</v>
      </c>
      <c r="T2471" s="6">
        <v>6571.0</v>
      </c>
    </row>
    <row r="2472" ht="56.25" customHeight="1">
      <c r="A2472" s="5" t="s">
        <v>14049</v>
      </c>
      <c r="B2472" s="6" t="str">
        <f>image("https://storage.googleapis.com/acdb/photos/BromideNpcNmlBrd01_Remake_6_0.png")</f>
        <v/>
      </c>
      <c r="C2472" s="5" t="s">
        <v>146</v>
      </c>
      <c r="D2472" s="5" t="s">
        <v>1327</v>
      </c>
      <c r="E2472" s="5" t="s">
        <v>34</v>
      </c>
      <c r="F2472" s="5" t="s">
        <v>34</v>
      </c>
      <c r="G2472" s="5" t="s">
        <v>36</v>
      </c>
      <c r="H2472" s="5" t="s">
        <v>35</v>
      </c>
      <c r="I2472" s="6">
        <v>1.0</v>
      </c>
      <c r="J2472" s="6" t="s">
        <v>37</v>
      </c>
      <c r="K2472" s="6">
        <v>10.0</v>
      </c>
      <c r="L2472" s="5"/>
      <c r="M2472" s="5"/>
      <c r="N2472" s="6" t="s">
        <v>40</v>
      </c>
      <c r="O2472" s="5" t="s">
        <v>5363</v>
      </c>
      <c r="P2472" s="6" t="s">
        <v>42</v>
      </c>
      <c r="Q2472" s="5" t="s">
        <v>1237</v>
      </c>
      <c r="R2472" s="5" t="s">
        <v>14070</v>
      </c>
      <c r="S2472" s="6" t="s">
        <v>86</v>
      </c>
      <c r="T2472" s="6">
        <v>6571.0</v>
      </c>
    </row>
    <row r="2473" ht="56.25" customHeight="1">
      <c r="A2473" s="5" t="s">
        <v>14049</v>
      </c>
      <c r="B2473" s="6" t="str">
        <f>image("https://storage.googleapis.com/acdb/photos/BromideNpcNmlBrd01_Remake_7_0.png")</f>
        <v/>
      </c>
      <c r="C2473" s="5" t="s">
        <v>151</v>
      </c>
      <c r="D2473" s="5" t="s">
        <v>1327</v>
      </c>
      <c r="E2473" s="5" t="s">
        <v>34</v>
      </c>
      <c r="F2473" s="5" t="s">
        <v>34</v>
      </c>
      <c r="G2473" s="5" t="s">
        <v>36</v>
      </c>
      <c r="H2473" s="5" t="s">
        <v>35</v>
      </c>
      <c r="I2473" s="6">
        <v>1.0</v>
      </c>
      <c r="J2473" s="6" t="s">
        <v>37</v>
      </c>
      <c r="K2473" s="6">
        <v>10.0</v>
      </c>
      <c r="L2473" s="5"/>
      <c r="M2473" s="5"/>
      <c r="N2473" s="6" t="s">
        <v>40</v>
      </c>
      <c r="O2473" s="5" t="s">
        <v>5363</v>
      </c>
      <c r="P2473" s="6" t="s">
        <v>42</v>
      </c>
      <c r="Q2473" s="5" t="s">
        <v>1237</v>
      </c>
      <c r="R2473" s="5" t="s">
        <v>14073</v>
      </c>
      <c r="S2473" s="6" t="s">
        <v>208</v>
      </c>
      <c r="T2473" s="6">
        <v>6571.0</v>
      </c>
    </row>
    <row r="2474" ht="56.25" customHeight="1">
      <c r="A2474" s="5" t="s">
        <v>14074</v>
      </c>
      <c r="B2474" s="6" t="str">
        <f>image("https://storage.googleapis.com/acdb/photos/BromideNpcNmlHip00_Remake_0_0.png")</f>
        <v/>
      </c>
      <c r="C2474" s="5" t="s">
        <v>366</v>
      </c>
      <c r="D2474" s="5" t="s">
        <v>1327</v>
      </c>
      <c r="E2474" s="5" t="s">
        <v>34</v>
      </c>
      <c r="F2474" s="5" t="s">
        <v>34</v>
      </c>
      <c r="G2474" s="5" t="s">
        <v>36</v>
      </c>
      <c r="H2474" s="5" t="s">
        <v>35</v>
      </c>
      <c r="I2474" s="6">
        <v>1.0</v>
      </c>
      <c r="J2474" s="6" t="s">
        <v>37</v>
      </c>
      <c r="K2474" s="6">
        <v>10.0</v>
      </c>
      <c r="L2474" s="5"/>
      <c r="M2474" s="5"/>
      <c r="N2474" s="6" t="s">
        <v>40</v>
      </c>
      <c r="O2474" s="5" t="s">
        <v>5363</v>
      </c>
      <c r="P2474" s="6" t="s">
        <v>42</v>
      </c>
      <c r="Q2474" s="5" t="s">
        <v>1237</v>
      </c>
      <c r="R2474" s="5" t="s">
        <v>14076</v>
      </c>
      <c r="S2474" s="6" t="s">
        <v>50</v>
      </c>
      <c r="T2474" s="6">
        <v>6530.0</v>
      </c>
    </row>
    <row r="2475" ht="56.25" customHeight="1">
      <c r="A2475" s="5" t="s">
        <v>14074</v>
      </c>
      <c r="B2475" s="6" t="str">
        <f>image("https://storage.googleapis.com/acdb/photos/BromideNpcNmlHip00_Remake_1_0.png")</f>
        <v/>
      </c>
      <c r="C2475" s="5" t="s">
        <v>1132</v>
      </c>
      <c r="D2475" s="5" t="s">
        <v>1327</v>
      </c>
      <c r="E2475" s="5" t="s">
        <v>34</v>
      </c>
      <c r="F2475" s="5" t="s">
        <v>34</v>
      </c>
      <c r="G2475" s="5" t="s">
        <v>36</v>
      </c>
      <c r="H2475" s="5" t="s">
        <v>35</v>
      </c>
      <c r="I2475" s="6">
        <v>1.0</v>
      </c>
      <c r="J2475" s="6" t="s">
        <v>37</v>
      </c>
      <c r="K2475" s="6">
        <v>10.0</v>
      </c>
      <c r="L2475" s="5"/>
      <c r="M2475" s="5"/>
      <c r="N2475" s="6" t="s">
        <v>40</v>
      </c>
      <c r="O2475" s="5" t="s">
        <v>5363</v>
      </c>
      <c r="P2475" s="6" t="s">
        <v>42</v>
      </c>
      <c r="Q2475" s="5" t="s">
        <v>1237</v>
      </c>
      <c r="R2475" s="5" t="s">
        <v>14079</v>
      </c>
      <c r="S2475" s="6" t="s">
        <v>56</v>
      </c>
      <c r="T2475" s="6">
        <v>6530.0</v>
      </c>
    </row>
    <row r="2476" ht="56.25" customHeight="1">
      <c r="A2476" s="5" t="s">
        <v>14074</v>
      </c>
      <c r="B2476" s="6" t="str">
        <f>image("https://storage.googleapis.com/acdb/photos/BromideNpcNmlHip00_Remake_2_0.png")</f>
        <v/>
      </c>
      <c r="C2476" s="5" t="s">
        <v>688</v>
      </c>
      <c r="D2476" s="5" t="s">
        <v>1327</v>
      </c>
      <c r="E2476" s="5" t="s">
        <v>34</v>
      </c>
      <c r="F2476" s="5" t="s">
        <v>34</v>
      </c>
      <c r="G2476" s="5" t="s">
        <v>36</v>
      </c>
      <c r="H2476" s="5" t="s">
        <v>35</v>
      </c>
      <c r="I2476" s="6">
        <v>1.0</v>
      </c>
      <c r="J2476" s="6" t="s">
        <v>37</v>
      </c>
      <c r="K2476" s="6">
        <v>10.0</v>
      </c>
      <c r="L2476" s="5"/>
      <c r="M2476" s="5"/>
      <c r="N2476" s="6" t="s">
        <v>40</v>
      </c>
      <c r="O2476" s="5" t="s">
        <v>5363</v>
      </c>
      <c r="P2476" s="6" t="s">
        <v>42</v>
      </c>
      <c r="Q2476" s="5" t="s">
        <v>1237</v>
      </c>
      <c r="R2476" s="5" t="s">
        <v>14084</v>
      </c>
      <c r="S2476" s="6" t="s">
        <v>67</v>
      </c>
      <c r="T2476" s="6">
        <v>6530.0</v>
      </c>
    </row>
    <row r="2477" ht="56.25" customHeight="1">
      <c r="A2477" s="5" t="s">
        <v>14074</v>
      </c>
      <c r="B2477" s="6" t="str">
        <f>image("https://storage.googleapis.com/acdb/photos/BromideNpcNmlHip00_Remake_3_0.png")</f>
        <v/>
      </c>
      <c r="C2477" s="5" t="s">
        <v>57</v>
      </c>
      <c r="D2477" s="5" t="s">
        <v>1327</v>
      </c>
      <c r="E2477" s="5" t="s">
        <v>34</v>
      </c>
      <c r="F2477" s="5" t="s">
        <v>34</v>
      </c>
      <c r="G2477" s="5" t="s">
        <v>36</v>
      </c>
      <c r="H2477" s="5" t="s">
        <v>35</v>
      </c>
      <c r="I2477" s="6">
        <v>1.0</v>
      </c>
      <c r="J2477" s="6" t="s">
        <v>37</v>
      </c>
      <c r="K2477" s="6">
        <v>10.0</v>
      </c>
      <c r="L2477" s="5"/>
      <c r="M2477" s="5"/>
      <c r="N2477" s="6" t="s">
        <v>40</v>
      </c>
      <c r="O2477" s="5" t="s">
        <v>5363</v>
      </c>
      <c r="P2477" s="6" t="s">
        <v>42</v>
      </c>
      <c r="Q2477" s="5" t="s">
        <v>1237</v>
      </c>
      <c r="R2477" s="5" t="s">
        <v>14087</v>
      </c>
      <c r="S2477" s="6" t="s">
        <v>71</v>
      </c>
      <c r="T2477" s="6">
        <v>6530.0</v>
      </c>
    </row>
    <row r="2478" ht="56.25" customHeight="1">
      <c r="A2478" s="5" t="s">
        <v>14074</v>
      </c>
      <c r="B2478" s="6" t="str">
        <f>image("https://storage.googleapis.com/acdb/photos/BromideNpcNmlHip00_Remake_4_0.png")</f>
        <v/>
      </c>
      <c r="C2478" s="5" t="s">
        <v>1167</v>
      </c>
      <c r="D2478" s="5" t="s">
        <v>1327</v>
      </c>
      <c r="E2478" s="5" t="s">
        <v>34</v>
      </c>
      <c r="F2478" s="5" t="s">
        <v>34</v>
      </c>
      <c r="G2478" s="5" t="s">
        <v>36</v>
      </c>
      <c r="H2478" s="5" t="s">
        <v>35</v>
      </c>
      <c r="I2478" s="6">
        <v>1.0</v>
      </c>
      <c r="J2478" s="6" t="s">
        <v>37</v>
      </c>
      <c r="K2478" s="6">
        <v>10.0</v>
      </c>
      <c r="L2478" s="5"/>
      <c r="M2478" s="5"/>
      <c r="N2478" s="6" t="s">
        <v>40</v>
      </c>
      <c r="O2478" s="5" t="s">
        <v>5363</v>
      </c>
      <c r="P2478" s="6" t="s">
        <v>42</v>
      </c>
      <c r="Q2478" s="5" t="s">
        <v>1237</v>
      </c>
      <c r="R2478" s="5" t="s">
        <v>14091</v>
      </c>
      <c r="S2478" s="6" t="s">
        <v>75</v>
      </c>
      <c r="T2478" s="6">
        <v>6530.0</v>
      </c>
    </row>
    <row r="2479" ht="56.25" customHeight="1">
      <c r="A2479" s="5" t="s">
        <v>14074</v>
      </c>
      <c r="B2479" s="6" t="str">
        <f>image("https://storage.googleapis.com/acdb/photos/BromideNpcNmlHip00_Remake_5_0.png")</f>
        <v/>
      </c>
      <c r="C2479" s="5" t="s">
        <v>58</v>
      </c>
      <c r="D2479" s="5" t="s">
        <v>1327</v>
      </c>
      <c r="E2479" s="5" t="s">
        <v>34</v>
      </c>
      <c r="F2479" s="5" t="s">
        <v>34</v>
      </c>
      <c r="G2479" s="5" t="s">
        <v>36</v>
      </c>
      <c r="H2479" s="5" t="s">
        <v>35</v>
      </c>
      <c r="I2479" s="6">
        <v>1.0</v>
      </c>
      <c r="J2479" s="6" t="s">
        <v>37</v>
      </c>
      <c r="K2479" s="6">
        <v>10.0</v>
      </c>
      <c r="L2479" s="5"/>
      <c r="M2479" s="5"/>
      <c r="N2479" s="6" t="s">
        <v>40</v>
      </c>
      <c r="O2479" s="5" t="s">
        <v>5363</v>
      </c>
      <c r="P2479" s="6" t="s">
        <v>42</v>
      </c>
      <c r="Q2479" s="5" t="s">
        <v>1237</v>
      </c>
      <c r="R2479" s="5" t="s">
        <v>14094</v>
      </c>
      <c r="S2479" s="6" t="s">
        <v>79</v>
      </c>
      <c r="T2479" s="6">
        <v>6530.0</v>
      </c>
    </row>
    <row r="2480" ht="56.25" customHeight="1">
      <c r="A2480" s="5" t="s">
        <v>14074</v>
      </c>
      <c r="B2480" s="6" t="str">
        <f>image("https://storage.googleapis.com/acdb/photos/BromideNpcNmlHip00_Remake_6_0.png")</f>
        <v/>
      </c>
      <c r="C2480" s="5" t="s">
        <v>146</v>
      </c>
      <c r="D2480" s="5" t="s">
        <v>1327</v>
      </c>
      <c r="E2480" s="5" t="s">
        <v>34</v>
      </c>
      <c r="F2480" s="5" t="s">
        <v>34</v>
      </c>
      <c r="G2480" s="5" t="s">
        <v>36</v>
      </c>
      <c r="H2480" s="5" t="s">
        <v>35</v>
      </c>
      <c r="I2480" s="6">
        <v>1.0</v>
      </c>
      <c r="J2480" s="6" t="s">
        <v>37</v>
      </c>
      <c r="K2480" s="6">
        <v>10.0</v>
      </c>
      <c r="L2480" s="5"/>
      <c r="M2480" s="5"/>
      <c r="N2480" s="6" t="s">
        <v>40</v>
      </c>
      <c r="O2480" s="5" t="s">
        <v>5363</v>
      </c>
      <c r="P2480" s="6" t="s">
        <v>42</v>
      </c>
      <c r="Q2480" s="5" t="s">
        <v>1237</v>
      </c>
      <c r="R2480" s="5" t="s">
        <v>14096</v>
      </c>
      <c r="S2480" s="6" t="s">
        <v>86</v>
      </c>
      <c r="T2480" s="6">
        <v>6530.0</v>
      </c>
    </row>
    <row r="2481" ht="56.25" customHeight="1">
      <c r="A2481" s="5" t="s">
        <v>14074</v>
      </c>
      <c r="B2481" s="6" t="str">
        <f>image("https://storage.googleapis.com/acdb/photos/BromideNpcNmlHip00_Remake_7_0.png")</f>
        <v/>
      </c>
      <c r="C2481" s="5" t="s">
        <v>151</v>
      </c>
      <c r="D2481" s="5" t="s">
        <v>1327</v>
      </c>
      <c r="E2481" s="5" t="s">
        <v>34</v>
      </c>
      <c r="F2481" s="5" t="s">
        <v>34</v>
      </c>
      <c r="G2481" s="5" t="s">
        <v>36</v>
      </c>
      <c r="H2481" s="5" t="s">
        <v>35</v>
      </c>
      <c r="I2481" s="6">
        <v>1.0</v>
      </c>
      <c r="J2481" s="6" t="s">
        <v>37</v>
      </c>
      <c r="K2481" s="6">
        <v>10.0</v>
      </c>
      <c r="L2481" s="5"/>
      <c r="M2481" s="5"/>
      <c r="N2481" s="6" t="s">
        <v>40</v>
      </c>
      <c r="O2481" s="5" t="s">
        <v>5363</v>
      </c>
      <c r="P2481" s="6" t="s">
        <v>42</v>
      </c>
      <c r="Q2481" s="5" t="s">
        <v>1237</v>
      </c>
      <c r="R2481" s="5" t="s">
        <v>14099</v>
      </c>
      <c r="S2481" s="6" t="s">
        <v>208</v>
      </c>
      <c r="T2481" s="6">
        <v>6530.0</v>
      </c>
    </row>
    <row r="2482" ht="56.25" customHeight="1">
      <c r="A2482" s="5" t="s">
        <v>14100</v>
      </c>
      <c r="B2482" s="6" t="str">
        <f>image("https://storage.googleapis.com/acdb/photos/BromideNpcNmlGor09_Remake_0_0.png")</f>
        <v/>
      </c>
      <c r="C2482" s="5" t="s">
        <v>366</v>
      </c>
      <c r="D2482" s="5" t="s">
        <v>1327</v>
      </c>
      <c r="E2482" s="5" t="s">
        <v>34</v>
      </c>
      <c r="F2482" s="5" t="s">
        <v>34</v>
      </c>
      <c r="G2482" s="5" t="s">
        <v>36</v>
      </c>
      <c r="H2482" s="5" t="s">
        <v>35</v>
      </c>
      <c r="I2482" s="6">
        <v>1.0</v>
      </c>
      <c r="J2482" s="6" t="s">
        <v>37</v>
      </c>
      <c r="K2482" s="6">
        <v>10.0</v>
      </c>
      <c r="L2482" s="5"/>
      <c r="M2482" s="5"/>
      <c r="N2482" s="6" t="s">
        <v>40</v>
      </c>
      <c r="O2482" s="5" t="s">
        <v>5363</v>
      </c>
      <c r="P2482" s="6" t="s">
        <v>42</v>
      </c>
      <c r="Q2482" s="5" t="s">
        <v>1237</v>
      </c>
      <c r="R2482" s="5" t="s">
        <v>14102</v>
      </c>
      <c r="S2482" s="6" t="s">
        <v>50</v>
      </c>
      <c r="T2482" s="6">
        <v>6519.0</v>
      </c>
    </row>
    <row r="2483" ht="56.25" customHeight="1">
      <c r="A2483" s="5" t="s">
        <v>14100</v>
      </c>
      <c r="B2483" s="6" t="str">
        <f>image("https://storage.googleapis.com/acdb/photos/BromideNpcNmlGor09_Remake_1_0.png")</f>
        <v/>
      </c>
      <c r="C2483" s="5" t="s">
        <v>1132</v>
      </c>
      <c r="D2483" s="5" t="s">
        <v>1327</v>
      </c>
      <c r="E2483" s="5" t="s">
        <v>34</v>
      </c>
      <c r="F2483" s="5" t="s">
        <v>34</v>
      </c>
      <c r="G2483" s="5" t="s">
        <v>36</v>
      </c>
      <c r="H2483" s="5" t="s">
        <v>35</v>
      </c>
      <c r="I2483" s="6">
        <v>1.0</v>
      </c>
      <c r="J2483" s="6" t="s">
        <v>37</v>
      </c>
      <c r="K2483" s="6">
        <v>10.0</v>
      </c>
      <c r="L2483" s="5"/>
      <c r="M2483" s="5"/>
      <c r="N2483" s="6" t="s">
        <v>40</v>
      </c>
      <c r="O2483" s="5" t="s">
        <v>5363</v>
      </c>
      <c r="P2483" s="6" t="s">
        <v>42</v>
      </c>
      <c r="Q2483" s="5" t="s">
        <v>1237</v>
      </c>
      <c r="R2483" s="5" t="s">
        <v>14106</v>
      </c>
      <c r="S2483" s="6" t="s">
        <v>56</v>
      </c>
      <c r="T2483" s="6">
        <v>6519.0</v>
      </c>
    </row>
    <row r="2484" ht="56.25" customHeight="1">
      <c r="A2484" s="5" t="s">
        <v>14100</v>
      </c>
      <c r="B2484" s="6" t="str">
        <f>image("https://storage.googleapis.com/acdb/photos/BromideNpcNmlGor09_Remake_2_0.png")</f>
        <v/>
      </c>
      <c r="C2484" s="5" t="s">
        <v>688</v>
      </c>
      <c r="D2484" s="5" t="s">
        <v>1327</v>
      </c>
      <c r="E2484" s="5" t="s">
        <v>34</v>
      </c>
      <c r="F2484" s="5" t="s">
        <v>34</v>
      </c>
      <c r="G2484" s="5" t="s">
        <v>36</v>
      </c>
      <c r="H2484" s="5" t="s">
        <v>35</v>
      </c>
      <c r="I2484" s="6">
        <v>1.0</v>
      </c>
      <c r="J2484" s="6" t="s">
        <v>37</v>
      </c>
      <c r="K2484" s="6">
        <v>10.0</v>
      </c>
      <c r="L2484" s="5"/>
      <c r="M2484" s="5"/>
      <c r="N2484" s="6" t="s">
        <v>40</v>
      </c>
      <c r="O2484" s="5" t="s">
        <v>5363</v>
      </c>
      <c r="P2484" s="6" t="s">
        <v>42</v>
      </c>
      <c r="Q2484" s="5" t="s">
        <v>1237</v>
      </c>
      <c r="R2484" s="5" t="s">
        <v>14109</v>
      </c>
      <c r="S2484" s="6" t="s">
        <v>67</v>
      </c>
      <c r="T2484" s="6">
        <v>6519.0</v>
      </c>
    </row>
    <row r="2485" ht="56.25" customHeight="1">
      <c r="A2485" s="5" t="s">
        <v>14100</v>
      </c>
      <c r="B2485" s="6" t="str">
        <f>image("https://storage.googleapis.com/acdb/photos/BromideNpcNmlGor09_Remake_3_0.png")</f>
        <v/>
      </c>
      <c r="C2485" s="5" t="s">
        <v>57</v>
      </c>
      <c r="D2485" s="5" t="s">
        <v>1327</v>
      </c>
      <c r="E2485" s="5" t="s">
        <v>34</v>
      </c>
      <c r="F2485" s="5" t="s">
        <v>34</v>
      </c>
      <c r="G2485" s="5" t="s">
        <v>36</v>
      </c>
      <c r="H2485" s="5" t="s">
        <v>35</v>
      </c>
      <c r="I2485" s="6">
        <v>1.0</v>
      </c>
      <c r="J2485" s="6" t="s">
        <v>37</v>
      </c>
      <c r="K2485" s="6">
        <v>10.0</v>
      </c>
      <c r="L2485" s="5"/>
      <c r="M2485" s="5"/>
      <c r="N2485" s="6" t="s">
        <v>40</v>
      </c>
      <c r="O2485" s="5" t="s">
        <v>5363</v>
      </c>
      <c r="P2485" s="6" t="s">
        <v>42</v>
      </c>
      <c r="Q2485" s="5" t="s">
        <v>1237</v>
      </c>
      <c r="R2485" s="5" t="s">
        <v>14111</v>
      </c>
      <c r="S2485" s="6" t="s">
        <v>71</v>
      </c>
      <c r="T2485" s="6">
        <v>6519.0</v>
      </c>
    </row>
    <row r="2486" ht="56.25" customHeight="1">
      <c r="A2486" s="5" t="s">
        <v>14100</v>
      </c>
      <c r="B2486" s="6" t="str">
        <f>image("https://storage.googleapis.com/acdb/photos/BromideNpcNmlGor09_Remake_4_0.png")</f>
        <v/>
      </c>
      <c r="C2486" s="5" t="s">
        <v>1167</v>
      </c>
      <c r="D2486" s="5" t="s">
        <v>1327</v>
      </c>
      <c r="E2486" s="5" t="s">
        <v>34</v>
      </c>
      <c r="F2486" s="5" t="s">
        <v>34</v>
      </c>
      <c r="G2486" s="5" t="s">
        <v>36</v>
      </c>
      <c r="H2486" s="5" t="s">
        <v>35</v>
      </c>
      <c r="I2486" s="6">
        <v>1.0</v>
      </c>
      <c r="J2486" s="6" t="s">
        <v>37</v>
      </c>
      <c r="K2486" s="6">
        <v>10.0</v>
      </c>
      <c r="L2486" s="5"/>
      <c r="M2486" s="5"/>
      <c r="N2486" s="6" t="s">
        <v>40</v>
      </c>
      <c r="O2486" s="5" t="s">
        <v>5363</v>
      </c>
      <c r="P2486" s="6" t="s">
        <v>42</v>
      </c>
      <c r="Q2486" s="5" t="s">
        <v>1237</v>
      </c>
      <c r="R2486" s="5" t="s">
        <v>14114</v>
      </c>
      <c r="S2486" s="6" t="s">
        <v>75</v>
      </c>
      <c r="T2486" s="6">
        <v>6519.0</v>
      </c>
    </row>
    <row r="2487" ht="56.25" customHeight="1">
      <c r="A2487" s="5" t="s">
        <v>14100</v>
      </c>
      <c r="B2487" s="6" t="str">
        <f>image("https://storage.googleapis.com/acdb/photos/BromideNpcNmlGor09_Remake_5_0.png")</f>
        <v/>
      </c>
      <c r="C2487" s="5" t="s">
        <v>58</v>
      </c>
      <c r="D2487" s="5" t="s">
        <v>1327</v>
      </c>
      <c r="E2487" s="5" t="s">
        <v>34</v>
      </c>
      <c r="F2487" s="5" t="s">
        <v>34</v>
      </c>
      <c r="G2487" s="5" t="s">
        <v>36</v>
      </c>
      <c r="H2487" s="5" t="s">
        <v>35</v>
      </c>
      <c r="I2487" s="6">
        <v>1.0</v>
      </c>
      <c r="J2487" s="6" t="s">
        <v>37</v>
      </c>
      <c r="K2487" s="6">
        <v>10.0</v>
      </c>
      <c r="L2487" s="5"/>
      <c r="M2487" s="5"/>
      <c r="N2487" s="6" t="s">
        <v>40</v>
      </c>
      <c r="O2487" s="5" t="s">
        <v>5363</v>
      </c>
      <c r="P2487" s="6" t="s">
        <v>42</v>
      </c>
      <c r="Q2487" s="5" t="s">
        <v>1237</v>
      </c>
      <c r="R2487" s="5" t="s">
        <v>14117</v>
      </c>
      <c r="S2487" s="6" t="s">
        <v>79</v>
      </c>
      <c r="T2487" s="6">
        <v>6519.0</v>
      </c>
    </row>
    <row r="2488" ht="56.25" customHeight="1">
      <c r="A2488" s="5" t="s">
        <v>14100</v>
      </c>
      <c r="B2488" s="6" t="str">
        <f>image("https://storage.googleapis.com/acdb/photos/BromideNpcNmlGor09_Remake_6_0.png")</f>
        <v/>
      </c>
      <c r="C2488" s="5" t="s">
        <v>146</v>
      </c>
      <c r="D2488" s="5" t="s">
        <v>1327</v>
      </c>
      <c r="E2488" s="5" t="s">
        <v>34</v>
      </c>
      <c r="F2488" s="5" t="s">
        <v>34</v>
      </c>
      <c r="G2488" s="5" t="s">
        <v>36</v>
      </c>
      <c r="H2488" s="5" t="s">
        <v>35</v>
      </c>
      <c r="I2488" s="6">
        <v>1.0</v>
      </c>
      <c r="J2488" s="6" t="s">
        <v>37</v>
      </c>
      <c r="K2488" s="6">
        <v>10.0</v>
      </c>
      <c r="L2488" s="5"/>
      <c r="M2488" s="5"/>
      <c r="N2488" s="6" t="s">
        <v>40</v>
      </c>
      <c r="O2488" s="5" t="s">
        <v>5363</v>
      </c>
      <c r="P2488" s="6" t="s">
        <v>42</v>
      </c>
      <c r="Q2488" s="5" t="s">
        <v>1237</v>
      </c>
      <c r="R2488" s="5" t="s">
        <v>14121</v>
      </c>
      <c r="S2488" s="6" t="s">
        <v>86</v>
      </c>
      <c r="T2488" s="6">
        <v>6519.0</v>
      </c>
    </row>
    <row r="2489" ht="56.25" customHeight="1">
      <c r="A2489" s="5" t="s">
        <v>14100</v>
      </c>
      <c r="B2489" s="6" t="str">
        <f>image("https://storage.googleapis.com/acdb/photos/BromideNpcNmlGor09_Remake_7_0.png")</f>
        <v/>
      </c>
      <c r="C2489" s="5" t="s">
        <v>151</v>
      </c>
      <c r="D2489" s="5" t="s">
        <v>1327</v>
      </c>
      <c r="E2489" s="5" t="s">
        <v>34</v>
      </c>
      <c r="F2489" s="5" t="s">
        <v>34</v>
      </c>
      <c r="G2489" s="5" t="s">
        <v>36</v>
      </c>
      <c r="H2489" s="5" t="s">
        <v>35</v>
      </c>
      <c r="I2489" s="6">
        <v>1.0</v>
      </c>
      <c r="J2489" s="6" t="s">
        <v>37</v>
      </c>
      <c r="K2489" s="6">
        <v>10.0</v>
      </c>
      <c r="L2489" s="5"/>
      <c r="M2489" s="5"/>
      <c r="N2489" s="6" t="s">
        <v>40</v>
      </c>
      <c r="O2489" s="5" t="s">
        <v>5363</v>
      </c>
      <c r="P2489" s="6" t="s">
        <v>42</v>
      </c>
      <c r="Q2489" s="5" t="s">
        <v>1237</v>
      </c>
      <c r="R2489" s="5" t="s">
        <v>14123</v>
      </c>
      <c r="S2489" s="6" t="s">
        <v>208</v>
      </c>
      <c r="T2489" s="6">
        <v>6519.0</v>
      </c>
    </row>
    <row r="2490" ht="56.25" customHeight="1">
      <c r="A2490" s="5" t="s">
        <v>14124</v>
      </c>
      <c r="B2490" s="6" t="str">
        <f>image("https://storage.googleapis.com/acdb/photos/BromideNpcNmlMus05_Remake_0_0.png")</f>
        <v/>
      </c>
      <c r="C2490" s="5" t="s">
        <v>366</v>
      </c>
      <c r="D2490" s="5" t="s">
        <v>1327</v>
      </c>
      <c r="E2490" s="5" t="s">
        <v>34</v>
      </c>
      <c r="F2490" s="5" t="s">
        <v>34</v>
      </c>
      <c r="G2490" s="5" t="s">
        <v>36</v>
      </c>
      <c r="H2490" s="5" t="s">
        <v>35</v>
      </c>
      <c r="I2490" s="6">
        <v>1.0</v>
      </c>
      <c r="J2490" s="6" t="s">
        <v>37</v>
      </c>
      <c r="K2490" s="6">
        <v>10.0</v>
      </c>
      <c r="L2490" s="5"/>
      <c r="M2490" s="5"/>
      <c r="N2490" s="6" t="s">
        <v>40</v>
      </c>
      <c r="O2490" s="5" t="s">
        <v>5363</v>
      </c>
      <c r="P2490" s="6" t="s">
        <v>42</v>
      </c>
      <c r="Q2490" s="5" t="s">
        <v>1237</v>
      </c>
      <c r="R2490" s="5" t="s">
        <v>14127</v>
      </c>
      <c r="S2490" s="6" t="s">
        <v>50</v>
      </c>
      <c r="T2490" s="6">
        <v>6595.0</v>
      </c>
    </row>
    <row r="2491" ht="56.25" customHeight="1">
      <c r="A2491" s="5" t="s">
        <v>14124</v>
      </c>
      <c r="B2491" s="6" t="str">
        <f>image("https://storage.googleapis.com/acdb/photos/BromideNpcNmlMus05_Remake_1_0.png")</f>
        <v/>
      </c>
      <c r="C2491" s="5" t="s">
        <v>1132</v>
      </c>
      <c r="D2491" s="5" t="s">
        <v>1327</v>
      </c>
      <c r="E2491" s="5" t="s">
        <v>34</v>
      </c>
      <c r="F2491" s="5" t="s">
        <v>34</v>
      </c>
      <c r="G2491" s="5" t="s">
        <v>36</v>
      </c>
      <c r="H2491" s="5" t="s">
        <v>35</v>
      </c>
      <c r="I2491" s="6">
        <v>1.0</v>
      </c>
      <c r="J2491" s="6" t="s">
        <v>37</v>
      </c>
      <c r="K2491" s="6">
        <v>10.0</v>
      </c>
      <c r="L2491" s="5"/>
      <c r="M2491" s="5"/>
      <c r="N2491" s="6" t="s">
        <v>40</v>
      </c>
      <c r="O2491" s="5" t="s">
        <v>5363</v>
      </c>
      <c r="P2491" s="6" t="s">
        <v>42</v>
      </c>
      <c r="Q2491" s="5" t="s">
        <v>1237</v>
      </c>
      <c r="R2491" s="5" t="s">
        <v>14129</v>
      </c>
      <c r="S2491" s="6" t="s">
        <v>56</v>
      </c>
      <c r="T2491" s="6">
        <v>6595.0</v>
      </c>
    </row>
    <row r="2492" ht="56.25" customHeight="1">
      <c r="A2492" s="5" t="s">
        <v>14124</v>
      </c>
      <c r="B2492" s="6" t="str">
        <f>image("https://storage.googleapis.com/acdb/photos/BromideNpcNmlMus05_Remake_2_0.png")</f>
        <v/>
      </c>
      <c r="C2492" s="5" t="s">
        <v>688</v>
      </c>
      <c r="D2492" s="5" t="s">
        <v>1327</v>
      </c>
      <c r="E2492" s="5" t="s">
        <v>34</v>
      </c>
      <c r="F2492" s="5" t="s">
        <v>34</v>
      </c>
      <c r="G2492" s="5" t="s">
        <v>36</v>
      </c>
      <c r="H2492" s="5" t="s">
        <v>35</v>
      </c>
      <c r="I2492" s="6">
        <v>1.0</v>
      </c>
      <c r="J2492" s="6" t="s">
        <v>37</v>
      </c>
      <c r="K2492" s="6">
        <v>10.0</v>
      </c>
      <c r="L2492" s="5"/>
      <c r="M2492" s="5"/>
      <c r="N2492" s="6" t="s">
        <v>40</v>
      </c>
      <c r="O2492" s="5" t="s">
        <v>5363</v>
      </c>
      <c r="P2492" s="6" t="s">
        <v>42</v>
      </c>
      <c r="Q2492" s="5" t="s">
        <v>1237</v>
      </c>
      <c r="R2492" s="5" t="s">
        <v>14134</v>
      </c>
      <c r="S2492" s="6" t="s">
        <v>67</v>
      </c>
      <c r="T2492" s="6">
        <v>6595.0</v>
      </c>
    </row>
    <row r="2493" ht="56.25" customHeight="1">
      <c r="A2493" s="5" t="s">
        <v>14124</v>
      </c>
      <c r="B2493" s="6" t="str">
        <f>image("https://storage.googleapis.com/acdb/photos/BromideNpcNmlMus05_Remake_3_0.png")</f>
        <v/>
      </c>
      <c r="C2493" s="5" t="s">
        <v>57</v>
      </c>
      <c r="D2493" s="5" t="s">
        <v>1327</v>
      </c>
      <c r="E2493" s="5" t="s">
        <v>34</v>
      </c>
      <c r="F2493" s="5" t="s">
        <v>34</v>
      </c>
      <c r="G2493" s="5" t="s">
        <v>36</v>
      </c>
      <c r="H2493" s="5" t="s">
        <v>35</v>
      </c>
      <c r="I2493" s="6">
        <v>1.0</v>
      </c>
      <c r="J2493" s="6" t="s">
        <v>37</v>
      </c>
      <c r="K2493" s="6">
        <v>10.0</v>
      </c>
      <c r="L2493" s="5"/>
      <c r="M2493" s="5"/>
      <c r="N2493" s="6" t="s">
        <v>40</v>
      </c>
      <c r="O2493" s="5" t="s">
        <v>5363</v>
      </c>
      <c r="P2493" s="6" t="s">
        <v>42</v>
      </c>
      <c r="Q2493" s="5" t="s">
        <v>1237</v>
      </c>
      <c r="R2493" s="5" t="s">
        <v>14137</v>
      </c>
      <c r="S2493" s="6" t="s">
        <v>71</v>
      </c>
      <c r="T2493" s="6">
        <v>6595.0</v>
      </c>
    </row>
    <row r="2494" ht="56.25" customHeight="1">
      <c r="A2494" s="5" t="s">
        <v>14124</v>
      </c>
      <c r="B2494" s="6" t="str">
        <f>image("https://storage.googleapis.com/acdb/photos/BromideNpcNmlMus05_Remake_4_0.png")</f>
        <v/>
      </c>
      <c r="C2494" s="5" t="s">
        <v>1167</v>
      </c>
      <c r="D2494" s="5" t="s">
        <v>1327</v>
      </c>
      <c r="E2494" s="5" t="s">
        <v>34</v>
      </c>
      <c r="F2494" s="5" t="s">
        <v>34</v>
      </c>
      <c r="G2494" s="5" t="s">
        <v>36</v>
      </c>
      <c r="H2494" s="5" t="s">
        <v>35</v>
      </c>
      <c r="I2494" s="6">
        <v>1.0</v>
      </c>
      <c r="J2494" s="6" t="s">
        <v>37</v>
      </c>
      <c r="K2494" s="6">
        <v>10.0</v>
      </c>
      <c r="L2494" s="5"/>
      <c r="M2494" s="5"/>
      <c r="N2494" s="6" t="s">
        <v>40</v>
      </c>
      <c r="O2494" s="5" t="s">
        <v>5363</v>
      </c>
      <c r="P2494" s="6" t="s">
        <v>42</v>
      </c>
      <c r="Q2494" s="5" t="s">
        <v>1237</v>
      </c>
      <c r="R2494" s="5" t="s">
        <v>14141</v>
      </c>
      <c r="S2494" s="6" t="s">
        <v>75</v>
      </c>
      <c r="T2494" s="6">
        <v>6595.0</v>
      </c>
    </row>
    <row r="2495" ht="56.25" customHeight="1">
      <c r="A2495" s="5" t="s">
        <v>14124</v>
      </c>
      <c r="B2495" s="6" t="str">
        <f>image("https://storage.googleapis.com/acdb/photos/BromideNpcNmlMus05_Remake_5_0.png")</f>
        <v/>
      </c>
      <c r="C2495" s="5" t="s">
        <v>58</v>
      </c>
      <c r="D2495" s="5" t="s">
        <v>1327</v>
      </c>
      <c r="E2495" s="5" t="s">
        <v>34</v>
      </c>
      <c r="F2495" s="5" t="s">
        <v>34</v>
      </c>
      <c r="G2495" s="5" t="s">
        <v>36</v>
      </c>
      <c r="H2495" s="5" t="s">
        <v>35</v>
      </c>
      <c r="I2495" s="6">
        <v>1.0</v>
      </c>
      <c r="J2495" s="6" t="s">
        <v>37</v>
      </c>
      <c r="K2495" s="6">
        <v>10.0</v>
      </c>
      <c r="L2495" s="5"/>
      <c r="M2495" s="5"/>
      <c r="N2495" s="6" t="s">
        <v>40</v>
      </c>
      <c r="O2495" s="5" t="s">
        <v>5363</v>
      </c>
      <c r="P2495" s="6" t="s">
        <v>42</v>
      </c>
      <c r="Q2495" s="5" t="s">
        <v>1237</v>
      </c>
      <c r="R2495" s="5" t="s">
        <v>14145</v>
      </c>
      <c r="S2495" s="6" t="s">
        <v>79</v>
      </c>
      <c r="T2495" s="6">
        <v>6595.0</v>
      </c>
    </row>
    <row r="2496" ht="56.25" customHeight="1">
      <c r="A2496" s="5" t="s">
        <v>14124</v>
      </c>
      <c r="B2496" s="6" t="str">
        <f>image("https://storage.googleapis.com/acdb/photos/BromideNpcNmlMus05_Remake_6_0.png")</f>
        <v/>
      </c>
      <c r="C2496" s="5" t="s">
        <v>146</v>
      </c>
      <c r="D2496" s="5" t="s">
        <v>1327</v>
      </c>
      <c r="E2496" s="5" t="s">
        <v>34</v>
      </c>
      <c r="F2496" s="5" t="s">
        <v>34</v>
      </c>
      <c r="G2496" s="5" t="s">
        <v>36</v>
      </c>
      <c r="H2496" s="5" t="s">
        <v>35</v>
      </c>
      <c r="I2496" s="6">
        <v>1.0</v>
      </c>
      <c r="J2496" s="6" t="s">
        <v>37</v>
      </c>
      <c r="K2496" s="6">
        <v>10.0</v>
      </c>
      <c r="L2496" s="5"/>
      <c r="M2496" s="5"/>
      <c r="N2496" s="6" t="s">
        <v>40</v>
      </c>
      <c r="O2496" s="5" t="s">
        <v>5363</v>
      </c>
      <c r="P2496" s="6" t="s">
        <v>42</v>
      </c>
      <c r="Q2496" s="5" t="s">
        <v>1237</v>
      </c>
      <c r="R2496" s="5" t="s">
        <v>14147</v>
      </c>
      <c r="S2496" s="6" t="s">
        <v>86</v>
      </c>
      <c r="T2496" s="6">
        <v>6595.0</v>
      </c>
    </row>
    <row r="2497" ht="56.25" customHeight="1">
      <c r="A2497" s="5" t="s">
        <v>14124</v>
      </c>
      <c r="B2497" s="6" t="str">
        <f>image("https://storage.googleapis.com/acdb/photos/BromideNpcNmlMus05_Remake_7_0.png")</f>
        <v/>
      </c>
      <c r="C2497" s="5" t="s">
        <v>151</v>
      </c>
      <c r="D2497" s="5" t="s">
        <v>1327</v>
      </c>
      <c r="E2497" s="5" t="s">
        <v>34</v>
      </c>
      <c r="F2497" s="5" t="s">
        <v>34</v>
      </c>
      <c r="G2497" s="5" t="s">
        <v>36</v>
      </c>
      <c r="H2497" s="5" t="s">
        <v>35</v>
      </c>
      <c r="I2497" s="6">
        <v>1.0</v>
      </c>
      <c r="J2497" s="6" t="s">
        <v>37</v>
      </c>
      <c r="K2497" s="6">
        <v>10.0</v>
      </c>
      <c r="L2497" s="5"/>
      <c r="M2497" s="5"/>
      <c r="N2497" s="6" t="s">
        <v>40</v>
      </c>
      <c r="O2497" s="5" t="s">
        <v>5363</v>
      </c>
      <c r="P2497" s="6" t="s">
        <v>42</v>
      </c>
      <c r="Q2497" s="5" t="s">
        <v>1237</v>
      </c>
      <c r="R2497" s="5" t="s">
        <v>14150</v>
      </c>
      <c r="S2497" s="6" t="s">
        <v>208</v>
      </c>
      <c r="T2497" s="6">
        <v>6595.0</v>
      </c>
    </row>
    <row r="2498" ht="56.25" customHeight="1">
      <c r="A2498" s="5" t="s">
        <v>14151</v>
      </c>
      <c r="B2498" s="6" t="str">
        <f>image("https://storage.googleapis.com/acdb/photos/BromideNpcNmlBul01_Remake_0_0.png")</f>
        <v/>
      </c>
      <c r="C2498" s="5" t="s">
        <v>366</v>
      </c>
      <c r="D2498" s="5" t="s">
        <v>1327</v>
      </c>
      <c r="E2498" s="5" t="s">
        <v>34</v>
      </c>
      <c r="F2498" s="5" t="s">
        <v>34</v>
      </c>
      <c r="G2498" s="5" t="s">
        <v>36</v>
      </c>
      <c r="H2498" s="5" t="s">
        <v>35</v>
      </c>
      <c r="I2498" s="6">
        <v>1.0</v>
      </c>
      <c r="J2498" s="6" t="s">
        <v>37</v>
      </c>
      <c r="K2498" s="6">
        <v>10.0</v>
      </c>
      <c r="L2498" s="5"/>
      <c r="M2498" s="5"/>
      <c r="N2498" s="6" t="s">
        <v>40</v>
      </c>
      <c r="O2498" s="5" t="s">
        <v>5363</v>
      </c>
      <c r="P2498" s="6" t="s">
        <v>42</v>
      </c>
      <c r="Q2498" s="5" t="s">
        <v>1237</v>
      </c>
      <c r="R2498" s="5" t="s">
        <v>14153</v>
      </c>
      <c r="S2498" s="6" t="s">
        <v>50</v>
      </c>
      <c r="T2498" s="6">
        <v>6715.0</v>
      </c>
    </row>
    <row r="2499" ht="56.25" customHeight="1">
      <c r="A2499" s="5" t="s">
        <v>14151</v>
      </c>
      <c r="B2499" s="6" t="str">
        <f>image("https://storage.googleapis.com/acdb/photos/BromideNpcNmlBul01_Remake_1_0.png")</f>
        <v/>
      </c>
      <c r="C2499" s="5" t="s">
        <v>1132</v>
      </c>
      <c r="D2499" s="5" t="s">
        <v>1327</v>
      </c>
      <c r="E2499" s="5" t="s">
        <v>34</v>
      </c>
      <c r="F2499" s="5" t="s">
        <v>34</v>
      </c>
      <c r="G2499" s="5" t="s">
        <v>36</v>
      </c>
      <c r="H2499" s="5" t="s">
        <v>35</v>
      </c>
      <c r="I2499" s="6">
        <v>1.0</v>
      </c>
      <c r="J2499" s="6" t="s">
        <v>37</v>
      </c>
      <c r="K2499" s="6">
        <v>10.0</v>
      </c>
      <c r="L2499" s="5"/>
      <c r="M2499" s="5"/>
      <c r="N2499" s="6" t="s">
        <v>40</v>
      </c>
      <c r="O2499" s="5" t="s">
        <v>5363</v>
      </c>
      <c r="P2499" s="6" t="s">
        <v>42</v>
      </c>
      <c r="Q2499" s="5" t="s">
        <v>1237</v>
      </c>
      <c r="R2499" s="5" t="s">
        <v>14158</v>
      </c>
      <c r="S2499" s="6" t="s">
        <v>56</v>
      </c>
      <c r="T2499" s="6">
        <v>6715.0</v>
      </c>
    </row>
    <row r="2500" ht="56.25" customHeight="1">
      <c r="A2500" s="5" t="s">
        <v>14151</v>
      </c>
      <c r="B2500" s="6" t="str">
        <f>image("https://storage.googleapis.com/acdb/photos/BromideNpcNmlBul01_Remake_2_0.png")</f>
        <v/>
      </c>
      <c r="C2500" s="5" t="s">
        <v>688</v>
      </c>
      <c r="D2500" s="5" t="s">
        <v>1327</v>
      </c>
      <c r="E2500" s="5" t="s">
        <v>34</v>
      </c>
      <c r="F2500" s="5" t="s">
        <v>34</v>
      </c>
      <c r="G2500" s="5" t="s">
        <v>36</v>
      </c>
      <c r="H2500" s="5" t="s">
        <v>35</v>
      </c>
      <c r="I2500" s="6">
        <v>1.0</v>
      </c>
      <c r="J2500" s="6" t="s">
        <v>37</v>
      </c>
      <c r="K2500" s="6">
        <v>10.0</v>
      </c>
      <c r="L2500" s="5"/>
      <c r="M2500" s="5"/>
      <c r="N2500" s="6" t="s">
        <v>40</v>
      </c>
      <c r="O2500" s="5" t="s">
        <v>5363</v>
      </c>
      <c r="P2500" s="6" t="s">
        <v>42</v>
      </c>
      <c r="Q2500" s="5" t="s">
        <v>1237</v>
      </c>
      <c r="R2500" s="5" t="s">
        <v>14162</v>
      </c>
      <c r="S2500" s="6" t="s">
        <v>67</v>
      </c>
      <c r="T2500" s="6">
        <v>6715.0</v>
      </c>
    </row>
    <row r="2501" ht="56.25" customHeight="1">
      <c r="A2501" s="5" t="s">
        <v>14151</v>
      </c>
      <c r="B2501" s="6" t="str">
        <f>image("https://storage.googleapis.com/acdb/photos/BromideNpcNmlBul01_Remake_3_0.png")</f>
        <v/>
      </c>
      <c r="C2501" s="5" t="s">
        <v>57</v>
      </c>
      <c r="D2501" s="5" t="s">
        <v>1327</v>
      </c>
      <c r="E2501" s="5" t="s">
        <v>34</v>
      </c>
      <c r="F2501" s="5" t="s">
        <v>34</v>
      </c>
      <c r="G2501" s="5" t="s">
        <v>36</v>
      </c>
      <c r="H2501" s="5" t="s">
        <v>35</v>
      </c>
      <c r="I2501" s="6">
        <v>1.0</v>
      </c>
      <c r="J2501" s="6" t="s">
        <v>37</v>
      </c>
      <c r="K2501" s="6">
        <v>10.0</v>
      </c>
      <c r="L2501" s="5"/>
      <c r="M2501" s="5"/>
      <c r="N2501" s="6" t="s">
        <v>40</v>
      </c>
      <c r="O2501" s="5" t="s">
        <v>5363</v>
      </c>
      <c r="P2501" s="6" t="s">
        <v>42</v>
      </c>
      <c r="Q2501" s="5" t="s">
        <v>1237</v>
      </c>
      <c r="R2501" s="5" t="s">
        <v>14165</v>
      </c>
      <c r="S2501" s="6" t="s">
        <v>71</v>
      </c>
      <c r="T2501" s="6">
        <v>6715.0</v>
      </c>
    </row>
    <row r="2502" ht="56.25" customHeight="1">
      <c r="A2502" s="5" t="s">
        <v>14151</v>
      </c>
      <c r="B2502" s="6" t="str">
        <f>image("https://storage.googleapis.com/acdb/photos/BromideNpcNmlBul01_Remake_4_0.png")</f>
        <v/>
      </c>
      <c r="C2502" s="5" t="s">
        <v>1167</v>
      </c>
      <c r="D2502" s="5" t="s">
        <v>1327</v>
      </c>
      <c r="E2502" s="5" t="s">
        <v>34</v>
      </c>
      <c r="F2502" s="5" t="s">
        <v>34</v>
      </c>
      <c r="G2502" s="5" t="s">
        <v>36</v>
      </c>
      <c r="H2502" s="5" t="s">
        <v>35</v>
      </c>
      <c r="I2502" s="6">
        <v>1.0</v>
      </c>
      <c r="J2502" s="6" t="s">
        <v>37</v>
      </c>
      <c r="K2502" s="6">
        <v>10.0</v>
      </c>
      <c r="L2502" s="5"/>
      <c r="M2502" s="5"/>
      <c r="N2502" s="6" t="s">
        <v>40</v>
      </c>
      <c r="O2502" s="5" t="s">
        <v>5363</v>
      </c>
      <c r="P2502" s="6" t="s">
        <v>42</v>
      </c>
      <c r="Q2502" s="5" t="s">
        <v>1237</v>
      </c>
      <c r="R2502" s="5" t="s">
        <v>14167</v>
      </c>
      <c r="S2502" s="6" t="s">
        <v>75</v>
      </c>
      <c r="T2502" s="6">
        <v>6715.0</v>
      </c>
    </row>
    <row r="2503" ht="56.25" customHeight="1">
      <c r="A2503" s="5" t="s">
        <v>14151</v>
      </c>
      <c r="B2503" s="6" t="str">
        <f>image("https://storage.googleapis.com/acdb/photos/BromideNpcNmlBul01_Remake_5_0.png")</f>
        <v/>
      </c>
      <c r="C2503" s="5" t="s">
        <v>58</v>
      </c>
      <c r="D2503" s="5" t="s">
        <v>1327</v>
      </c>
      <c r="E2503" s="5" t="s">
        <v>34</v>
      </c>
      <c r="F2503" s="5" t="s">
        <v>34</v>
      </c>
      <c r="G2503" s="5" t="s">
        <v>36</v>
      </c>
      <c r="H2503" s="5" t="s">
        <v>35</v>
      </c>
      <c r="I2503" s="6">
        <v>1.0</v>
      </c>
      <c r="J2503" s="6" t="s">
        <v>37</v>
      </c>
      <c r="K2503" s="6">
        <v>10.0</v>
      </c>
      <c r="L2503" s="5"/>
      <c r="M2503" s="5"/>
      <c r="N2503" s="6" t="s">
        <v>40</v>
      </c>
      <c r="O2503" s="5" t="s">
        <v>5363</v>
      </c>
      <c r="P2503" s="6" t="s">
        <v>42</v>
      </c>
      <c r="Q2503" s="5" t="s">
        <v>1237</v>
      </c>
      <c r="R2503" s="5" t="s">
        <v>14171</v>
      </c>
      <c r="S2503" s="6" t="s">
        <v>79</v>
      </c>
      <c r="T2503" s="6">
        <v>6715.0</v>
      </c>
    </row>
    <row r="2504" ht="56.25" customHeight="1">
      <c r="A2504" s="5" t="s">
        <v>14151</v>
      </c>
      <c r="B2504" s="6" t="str">
        <f>image("https://storage.googleapis.com/acdb/photos/BromideNpcNmlBul01_Remake_6_0.png")</f>
        <v/>
      </c>
      <c r="C2504" s="5" t="s">
        <v>146</v>
      </c>
      <c r="D2504" s="5" t="s">
        <v>1327</v>
      </c>
      <c r="E2504" s="5" t="s">
        <v>34</v>
      </c>
      <c r="F2504" s="5" t="s">
        <v>34</v>
      </c>
      <c r="G2504" s="5" t="s">
        <v>36</v>
      </c>
      <c r="H2504" s="5" t="s">
        <v>35</v>
      </c>
      <c r="I2504" s="6">
        <v>1.0</v>
      </c>
      <c r="J2504" s="6" t="s">
        <v>37</v>
      </c>
      <c r="K2504" s="6">
        <v>10.0</v>
      </c>
      <c r="L2504" s="5"/>
      <c r="M2504" s="5"/>
      <c r="N2504" s="6" t="s">
        <v>40</v>
      </c>
      <c r="O2504" s="5" t="s">
        <v>5363</v>
      </c>
      <c r="P2504" s="6" t="s">
        <v>42</v>
      </c>
      <c r="Q2504" s="5" t="s">
        <v>1237</v>
      </c>
      <c r="R2504" s="5" t="s">
        <v>14173</v>
      </c>
      <c r="S2504" s="6" t="s">
        <v>86</v>
      </c>
      <c r="T2504" s="6">
        <v>6715.0</v>
      </c>
    </row>
    <row r="2505" ht="56.25" customHeight="1">
      <c r="A2505" s="5" t="s">
        <v>14151</v>
      </c>
      <c r="B2505" s="6" t="str">
        <f>image("https://storage.googleapis.com/acdb/photos/BromideNpcNmlBul01_Remake_7_0.png")</f>
        <v/>
      </c>
      <c r="C2505" s="5" t="s">
        <v>151</v>
      </c>
      <c r="D2505" s="5" t="s">
        <v>1327</v>
      </c>
      <c r="E2505" s="5" t="s">
        <v>34</v>
      </c>
      <c r="F2505" s="5" t="s">
        <v>34</v>
      </c>
      <c r="G2505" s="5" t="s">
        <v>36</v>
      </c>
      <c r="H2505" s="5" t="s">
        <v>35</v>
      </c>
      <c r="I2505" s="6">
        <v>1.0</v>
      </c>
      <c r="J2505" s="6" t="s">
        <v>37</v>
      </c>
      <c r="K2505" s="6">
        <v>10.0</v>
      </c>
      <c r="L2505" s="5"/>
      <c r="M2505" s="5"/>
      <c r="N2505" s="6" t="s">
        <v>40</v>
      </c>
      <c r="O2505" s="5" t="s">
        <v>5363</v>
      </c>
      <c r="P2505" s="6" t="s">
        <v>42</v>
      </c>
      <c r="Q2505" s="5" t="s">
        <v>1237</v>
      </c>
      <c r="R2505" s="5" t="s">
        <v>14176</v>
      </c>
      <c r="S2505" s="6" t="s">
        <v>208</v>
      </c>
      <c r="T2505" s="6">
        <v>6715.0</v>
      </c>
    </row>
    <row r="2506" ht="56.25" customHeight="1">
      <c r="A2506" s="5" t="s">
        <v>14177</v>
      </c>
      <c r="B2506" s="6" t="str">
        <f>image("https://storage.googleapis.com/acdb/photos/BromideNpcNmlHam03_Remake_0_0.png")</f>
        <v/>
      </c>
      <c r="C2506" s="5" t="s">
        <v>366</v>
      </c>
      <c r="D2506" s="5" t="s">
        <v>1327</v>
      </c>
      <c r="E2506" s="5" t="s">
        <v>34</v>
      </c>
      <c r="F2506" s="5" t="s">
        <v>34</v>
      </c>
      <c r="G2506" s="5" t="s">
        <v>36</v>
      </c>
      <c r="H2506" s="5" t="s">
        <v>35</v>
      </c>
      <c r="I2506" s="6">
        <v>1.0</v>
      </c>
      <c r="J2506" s="6" t="s">
        <v>37</v>
      </c>
      <c r="K2506" s="6">
        <v>10.0</v>
      </c>
      <c r="L2506" s="5"/>
      <c r="M2506" s="5"/>
      <c r="N2506" s="6" t="s">
        <v>40</v>
      </c>
      <c r="O2506" s="5" t="s">
        <v>5363</v>
      </c>
      <c r="P2506" s="6" t="s">
        <v>42</v>
      </c>
      <c r="Q2506" s="5" t="s">
        <v>1237</v>
      </c>
      <c r="R2506" s="5" t="s">
        <v>14179</v>
      </c>
      <c r="S2506" s="6" t="s">
        <v>50</v>
      </c>
      <c r="T2506" s="6">
        <v>6524.0</v>
      </c>
    </row>
    <row r="2507" ht="56.25" customHeight="1">
      <c r="A2507" s="5" t="s">
        <v>14177</v>
      </c>
      <c r="B2507" s="6" t="str">
        <f>image("https://storage.googleapis.com/acdb/photos/BromideNpcNmlHam03_Remake_1_0.png")</f>
        <v/>
      </c>
      <c r="C2507" s="5" t="s">
        <v>1132</v>
      </c>
      <c r="D2507" s="5" t="s">
        <v>1327</v>
      </c>
      <c r="E2507" s="5" t="s">
        <v>34</v>
      </c>
      <c r="F2507" s="5" t="s">
        <v>34</v>
      </c>
      <c r="G2507" s="5" t="s">
        <v>36</v>
      </c>
      <c r="H2507" s="5" t="s">
        <v>35</v>
      </c>
      <c r="I2507" s="6">
        <v>1.0</v>
      </c>
      <c r="J2507" s="6" t="s">
        <v>37</v>
      </c>
      <c r="K2507" s="6">
        <v>10.0</v>
      </c>
      <c r="L2507" s="5"/>
      <c r="M2507" s="5"/>
      <c r="N2507" s="6" t="s">
        <v>40</v>
      </c>
      <c r="O2507" s="5" t="s">
        <v>5363</v>
      </c>
      <c r="P2507" s="6" t="s">
        <v>42</v>
      </c>
      <c r="Q2507" s="5" t="s">
        <v>1237</v>
      </c>
      <c r="R2507" s="5" t="s">
        <v>14185</v>
      </c>
      <c r="S2507" s="6" t="s">
        <v>56</v>
      </c>
      <c r="T2507" s="6">
        <v>6524.0</v>
      </c>
    </row>
    <row r="2508" ht="56.25" customHeight="1">
      <c r="A2508" s="5" t="s">
        <v>14177</v>
      </c>
      <c r="B2508" s="6" t="str">
        <f>image("https://storage.googleapis.com/acdb/photos/BromideNpcNmlHam03_Remake_2_0.png")</f>
        <v/>
      </c>
      <c r="C2508" s="5" t="s">
        <v>688</v>
      </c>
      <c r="D2508" s="5" t="s">
        <v>1327</v>
      </c>
      <c r="E2508" s="5" t="s">
        <v>34</v>
      </c>
      <c r="F2508" s="5" t="s">
        <v>34</v>
      </c>
      <c r="G2508" s="5" t="s">
        <v>36</v>
      </c>
      <c r="H2508" s="5" t="s">
        <v>35</v>
      </c>
      <c r="I2508" s="6">
        <v>1.0</v>
      </c>
      <c r="J2508" s="6" t="s">
        <v>37</v>
      </c>
      <c r="K2508" s="6">
        <v>10.0</v>
      </c>
      <c r="L2508" s="5"/>
      <c r="M2508" s="5"/>
      <c r="N2508" s="6" t="s">
        <v>40</v>
      </c>
      <c r="O2508" s="5" t="s">
        <v>5363</v>
      </c>
      <c r="P2508" s="6" t="s">
        <v>42</v>
      </c>
      <c r="Q2508" s="5" t="s">
        <v>1237</v>
      </c>
      <c r="R2508" s="5" t="s">
        <v>14188</v>
      </c>
      <c r="S2508" s="6" t="s">
        <v>67</v>
      </c>
      <c r="T2508" s="6">
        <v>6524.0</v>
      </c>
    </row>
    <row r="2509" ht="56.25" customHeight="1">
      <c r="A2509" s="5" t="s">
        <v>14177</v>
      </c>
      <c r="B2509" s="6" t="str">
        <f>image("https://storage.googleapis.com/acdb/photos/BromideNpcNmlHam03_Remake_3_0.png")</f>
        <v/>
      </c>
      <c r="C2509" s="5" t="s">
        <v>57</v>
      </c>
      <c r="D2509" s="5" t="s">
        <v>1327</v>
      </c>
      <c r="E2509" s="5" t="s">
        <v>34</v>
      </c>
      <c r="F2509" s="5" t="s">
        <v>34</v>
      </c>
      <c r="G2509" s="5" t="s">
        <v>36</v>
      </c>
      <c r="H2509" s="5" t="s">
        <v>35</v>
      </c>
      <c r="I2509" s="6">
        <v>1.0</v>
      </c>
      <c r="J2509" s="6" t="s">
        <v>37</v>
      </c>
      <c r="K2509" s="6">
        <v>10.0</v>
      </c>
      <c r="L2509" s="5"/>
      <c r="M2509" s="5"/>
      <c r="N2509" s="6" t="s">
        <v>40</v>
      </c>
      <c r="O2509" s="5" t="s">
        <v>5363</v>
      </c>
      <c r="P2509" s="6" t="s">
        <v>42</v>
      </c>
      <c r="Q2509" s="5" t="s">
        <v>1237</v>
      </c>
      <c r="R2509" s="5" t="s">
        <v>14191</v>
      </c>
      <c r="S2509" s="6" t="s">
        <v>71</v>
      </c>
      <c r="T2509" s="6">
        <v>6524.0</v>
      </c>
    </row>
    <row r="2510" ht="56.25" customHeight="1">
      <c r="A2510" s="5" t="s">
        <v>14177</v>
      </c>
      <c r="B2510" s="6" t="str">
        <f>image("https://storage.googleapis.com/acdb/photos/BromideNpcNmlHam03_Remake_4_0.png")</f>
        <v/>
      </c>
      <c r="C2510" s="5" t="s">
        <v>1167</v>
      </c>
      <c r="D2510" s="5" t="s">
        <v>1327</v>
      </c>
      <c r="E2510" s="5" t="s">
        <v>34</v>
      </c>
      <c r="F2510" s="5" t="s">
        <v>34</v>
      </c>
      <c r="G2510" s="5" t="s">
        <v>36</v>
      </c>
      <c r="H2510" s="5" t="s">
        <v>35</v>
      </c>
      <c r="I2510" s="6">
        <v>1.0</v>
      </c>
      <c r="J2510" s="6" t="s">
        <v>37</v>
      </c>
      <c r="K2510" s="6">
        <v>10.0</v>
      </c>
      <c r="L2510" s="5"/>
      <c r="M2510" s="5"/>
      <c r="N2510" s="6" t="s">
        <v>40</v>
      </c>
      <c r="O2510" s="5" t="s">
        <v>5363</v>
      </c>
      <c r="P2510" s="6" t="s">
        <v>42</v>
      </c>
      <c r="Q2510" s="5" t="s">
        <v>1237</v>
      </c>
      <c r="R2510" s="5" t="s">
        <v>14194</v>
      </c>
      <c r="S2510" s="6" t="s">
        <v>75</v>
      </c>
      <c r="T2510" s="6">
        <v>6524.0</v>
      </c>
    </row>
    <row r="2511" ht="56.25" customHeight="1">
      <c r="A2511" s="5" t="s">
        <v>14177</v>
      </c>
      <c r="B2511" s="6" t="str">
        <f>image("https://storage.googleapis.com/acdb/photos/BromideNpcNmlHam03_Remake_5_0.png")</f>
        <v/>
      </c>
      <c r="C2511" s="5" t="s">
        <v>58</v>
      </c>
      <c r="D2511" s="5" t="s">
        <v>1327</v>
      </c>
      <c r="E2511" s="5" t="s">
        <v>34</v>
      </c>
      <c r="F2511" s="5" t="s">
        <v>34</v>
      </c>
      <c r="G2511" s="5" t="s">
        <v>36</v>
      </c>
      <c r="H2511" s="5" t="s">
        <v>35</v>
      </c>
      <c r="I2511" s="6">
        <v>1.0</v>
      </c>
      <c r="J2511" s="6" t="s">
        <v>37</v>
      </c>
      <c r="K2511" s="6">
        <v>10.0</v>
      </c>
      <c r="L2511" s="5"/>
      <c r="M2511" s="5"/>
      <c r="N2511" s="6" t="s">
        <v>40</v>
      </c>
      <c r="O2511" s="5" t="s">
        <v>5363</v>
      </c>
      <c r="P2511" s="6" t="s">
        <v>42</v>
      </c>
      <c r="Q2511" s="5" t="s">
        <v>1237</v>
      </c>
      <c r="R2511" s="5" t="s">
        <v>14199</v>
      </c>
      <c r="S2511" s="6" t="s">
        <v>79</v>
      </c>
      <c r="T2511" s="6">
        <v>6524.0</v>
      </c>
    </row>
    <row r="2512" ht="56.25" customHeight="1">
      <c r="A2512" s="5" t="s">
        <v>14177</v>
      </c>
      <c r="B2512" s="6" t="str">
        <f>image("https://storage.googleapis.com/acdb/photos/BromideNpcNmlHam03_Remake_6_0.png")</f>
        <v/>
      </c>
      <c r="C2512" s="5" t="s">
        <v>146</v>
      </c>
      <c r="D2512" s="5" t="s">
        <v>1327</v>
      </c>
      <c r="E2512" s="5" t="s">
        <v>34</v>
      </c>
      <c r="F2512" s="5" t="s">
        <v>34</v>
      </c>
      <c r="G2512" s="5" t="s">
        <v>36</v>
      </c>
      <c r="H2512" s="5" t="s">
        <v>35</v>
      </c>
      <c r="I2512" s="6">
        <v>1.0</v>
      </c>
      <c r="J2512" s="6" t="s">
        <v>37</v>
      </c>
      <c r="K2512" s="6">
        <v>10.0</v>
      </c>
      <c r="L2512" s="5"/>
      <c r="M2512" s="5"/>
      <c r="N2512" s="6" t="s">
        <v>40</v>
      </c>
      <c r="O2512" s="5" t="s">
        <v>5363</v>
      </c>
      <c r="P2512" s="6" t="s">
        <v>42</v>
      </c>
      <c r="Q2512" s="5" t="s">
        <v>1237</v>
      </c>
      <c r="R2512" s="5" t="s">
        <v>14202</v>
      </c>
      <c r="S2512" s="6" t="s">
        <v>86</v>
      </c>
      <c r="T2512" s="6">
        <v>6524.0</v>
      </c>
    </row>
    <row r="2513" ht="56.25" customHeight="1">
      <c r="A2513" s="5" t="s">
        <v>14177</v>
      </c>
      <c r="B2513" s="6" t="str">
        <f>image("https://storage.googleapis.com/acdb/photos/BromideNpcNmlHam03_Remake_7_0.png")</f>
        <v/>
      </c>
      <c r="C2513" s="5" t="s">
        <v>151</v>
      </c>
      <c r="D2513" s="5" t="s">
        <v>1327</v>
      </c>
      <c r="E2513" s="5" t="s">
        <v>34</v>
      </c>
      <c r="F2513" s="5" t="s">
        <v>34</v>
      </c>
      <c r="G2513" s="5" t="s">
        <v>36</v>
      </c>
      <c r="H2513" s="5" t="s">
        <v>35</v>
      </c>
      <c r="I2513" s="6">
        <v>1.0</v>
      </c>
      <c r="J2513" s="6" t="s">
        <v>37</v>
      </c>
      <c r="K2513" s="6">
        <v>10.0</v>
      </c>
      <c r="L2513" s="5"/>
      <c r="M2513" s="5"/>
      <c r="N2513" s="6" t="s">
        <v>40</v>
      </c>
      <c r="O2513" s="5" t="s">
        <v>5363</v>
      </c>
      <c r="P2513" s="6" t="s">
        <v>42</v>
      </c>
      <c r="Q2513" s="5" t="s">
        <v>1237</v>
      </c>
      <c r="R2513" s="5" t="s">
        <v>14204</v>
      </c>
      <c r="S2513" s="6" t="s">
        <v>208</v>
      </c>
      <c r="T2513" s="6">
        <v>6524.0</v>
      </c>
    </row>
    <row r="2514" ht="56.25" customHeight="1">
      <c r="A2514" s="5" t="s">
        <v>14206</v>
      </c>
      <c r="B2514" s="6" t="str">
        <f>image("https://storage.googleapis.com/acdb/photos/BromideNpcNmlTig00_Remake_0_0.png")</f>
        <v/>
      </c>
      <c r="C2514" s="5" t="s">
        <v>366</v>
      </c>
      <c r="D2514" s="5" t="s">
        <v>1327</v>
      </c>
      <c r="E2514" s="5" t="s">
        <v>34</v>
      </c>
      <c r="F2514" s="5" t="s">
        <v>34</v>
      </c>
      <c r="G2514" s="5" t="s">
        <v>36</v>
      </c>
      <c r="H2514" s="5" t="s">
        <v>35</v>
      </c>
      <c r="I2514" s="6">
        <v>1.0</v>
      </c>
      <c r="J2514" s="6" t="s">
        <v>37</v>
      </c>
      <c r="K2514" s="6">
        <v>10.0</v>
      </c>
      <c r="L2514" s="5"/>
      <c r="M2514" s="5"/>
      <c r="N2514" s="6" t="s">
        <v>40</v>
      </c>
      <c r="O2514" s="5" t="s">
        <v>5363</v>
      </c>
      <c r="P2514" s="6" t="s">
        <v>42</v>
      </c>
      <c r="Q2514" s="5" t="s">
        <v>1237</v>
      </c>
      <c r="R2514" s="5" t="s">
        <v>14208</v>
      </c>
      <c r="S2514" s="6" t="s">
        <v>50</v>
      </c>
      <c r="T2514" s="6">
        <v>6723.0</v>
      </c>
    </row>
    <row r="2515" ht="56.25" customHeight="1">
      <c r="A2515" s="5" t="s">
        <v>14206</v>
      </c>
      <c r="B2515" s="6" t="str">
        <f>image("https://storage.googleapis.com/acdb/photos/BromideNpcNmlTig00_Remake_1_0.png")</f>
        <v/>
      </c>
      <c r="C2515" s="5" t="s">
        <v>1132</v>
      </c>
      <c r="D2515" s="5" t="s">
        <v>1327</v>
      </c>
      <c r="E2515" s="5" t="s">
        <v>34</v>
      </c>
      <c r="F2515" s="5" t="s">
        <v>34</v>
      </c>
      <c r="G2515" s="5" t="s">
        <v>36</v>
      </c>
      <c r="H2515" s="5" t="s">
        <v>35</v>
      </c>
      <c r="I2515" s="6">
        <v>1.0</v>
      </c>
      <c r="J2515" s="6" t="s">
        <v>37</v>
      </c>
      <c r="K2515" s="6">
        <v>10.0</v>
      </c>
      <c r="L2515" s="5"/>
      <c r="M2515" s="5"/>
      <c r="N2515" s="6" t="s">
        <v>40</v>
      </c>
      <c r="O2515" s="5" t="s">
        <v>5363</v>
      </c>
      <c r="P2515" s="6" t="s">
        <v>42</v>
      </c>
      <c r="Q2515" s="5" t="s">
        <v>1237</v>
      </c>
      <c r="R2515" s="5" t="s">
        <v>14210</v>
      </c>
      <c r="S2515" s="6" t="s">
        <v>56</v>
      </c>
      <c r="T2515" s="6">
        <v>6723.0</v>
      </c>
    </row>
    <row r="2516" ht="56.25" customHeight="1">
      <c r="A2516" s="5" t="s">
        <v>14206</v>
      </c>
      <c r="B2516" s="6" t="str">
        <f>image("https://storage.googleapis.com/acdb/photos/BromideNpcNmlTig00_Remake_2_0.png")</f>
        <v/>
      </c>
      <c r="C2516" s="5" t="s">
        <v>688</v>
      </c>
      <c r="D2516" s="5" t="s">
        <v>1327</v>
      </c>
      <c r="E2516" s="5" t="s">
        <v>34</v>
      </c>
      <c r="F2516" s="5" t="s">
        <v>34</v>
      </c>
      <c r="G2516" s="5" t="s">
        <v>36</v>
      </c>
      <c r="H2516" s="5" t="s">
        <v>35</v>
      </c>
      <c r="I2516" s="6">
        <v>1.0</v>
      </c>
      <c r="J2516" s="6" t="s">
        <v>37</v>
      </c>
      <c r="K2516" s="6">
        <v>10.0</v>
      </c>
      <c r="L2516" s="5"/>
      <c r="M2516" s="5"/>
      <c r="N2516" s="6" t="s">
        <v>40</v>
      </c>
      <c r="O2516" s="5" t="s">
        <v>5363</v>
      </c>
      <c r="P2516" s="6" t="s">
        <v>42</v>
      </c>
      <c r="Q2516" s="5" t="s">
        <v>1237</v>
      </c>
      <c r="R2516" s="5" t="s">
        <v>14214</v>
      </c>
      <c r="S2516" s="6" t="s">
        <v>67</v>
      </c>
      <c r="T2516" s="6">
        <v>6723.0</v>
      </c>
    </row>
    <row r="2517" ht="56.25" customHeight="1">
      <c r="A2517" s="5" t="s">
        <v>14206</v>
      </c>
      <c r="B2517" s="6" t="str">
        <f>image("https://storage.googleapis.com/acdb/photos/BromideNpcNmlTig00_Remake_3_0.png")</f>
        <v/>
      </c>
      <c r="C2517" s="5" t="s">
        <v>57</v>
      </c>
      <c r="D2517" s="5" t="s">
        <v>1327</v>
      </c>
      <c r="E2517" s="5" t="s">
        <v>34</v>
      </c>
      <c r="F2517" s="5" t="s">
        <v>34</v>
      </c>
      <c r="G2517" s="5" t="s">
        <v>36</v>
      </c>
      <c r="H2517" s="5" t="s">
        <v>35</v>
      </c>
      <c r="I2517" s="6">
        <v>1.0</v>
      </c>
      <c r="J2517" s="6" t="s">
        <v>37</v>
      </c>
      <c r="K2517" s="6">
        <v>10.0</v>
      </c>
      <c r="L2517" s="5"/>
      <c r="M2517" s="5"/>
      <c r="N2517" s="6" t="s">
        <v>40</v>
      </c>
      <c r="O2517" s="5" t="s">
        <v>5363</v>
      </c>
      <c r="P2517" s="6" t="s">
        <v>42</v>
      </c>
      <c r="Q2517" s="5" t="s">
        <v>1237</v>
      </c>
      <c r="R2517" s="5" t="s">
        <v>14217</v>
      </c>
      <c r="S2517" s="6" t="s">
        <v>71</v>
      </c>
      <c r="T2517" s="6">
        <v>6723.0</v>
      </c>
    </row>
    <row r="2518" ht="56.25" customHeight="1">
      <c r="A2518" s="5" t="s">
        <v>14206</v>
      </c>
      <c r="B2518" s="6" t="str">
        <f>image("https://storage.googleapis.com/acdb/photos/BromideNpcNmlTig00_Remake_4_0.png")</f>
        <v/>
      </c>
      <c r="C2518" s="5" t="s">
        <v>1167</v>
      </c>
      <c r="D2518" s="5" t="s">
        <v>1327</v>
      </c>
      <c r="E2518" s="5" t="s">
        <v>34</v>
      </c>
      <c r="F2518" s="5" t="s">
        <v>34</v>
      </c>
      <c r="G2518" s="5" t="s">
        <v>36</v>
      </c>
      <c r="H2518" s="5" t="s">
        <v>35</v>
      </c>
      <c r="I2518" s="6">
        <v>1.0</v>
      </c>
      <c r="J2518" s="6" t="s">
        <v>37</v>
      </c>
      <c r="K2518" s="6">
        <v>10.0</v>
      </c>
      <c r="L2518" s="5"/>
      <c r="M2518" s="5"/>
      <c r="N2518" s="6" t="s">
        <v>40</v>
      </c>
      <c r="O2518" s="5" t="s">
        <v>5363</v>
      </c>
      <c r="P2518" s="6" t="s">
        <v>42</v>
      </c>
      <c r="Q2518" s="5" t="s">
        <v>1237</v>
      </c>
      <c r="R2518" s="5" t="s">
        <v>14220</v>
      </c>
      <c r="S2518" s="6" t="s">
        <v>75</v>
      </c>
      <c r="T2518" s="6">
        <v>6723.0</v>
      </c>
    </row>
    <row r="2519" ht="56.25" customHeight="1">
      <c r="A2519" s="5" t="s">
        <v>14206</v>
      </c>
      <c r="B2519" s="6" t="str">
        <f>image("https://storage.googleapis.com/acdb/photos/BromideNpcNmlTig00_Remake_5_0.png")</f>
        <v/>
      </c>
      <c r="C2519" s="5" t="s">
        <v>58</v>
      </c>
      <c r="D2519" s="5" t="s">
        <v>1327</v>
      </c>
      <c r="E2519" s="5" t="s">
        <v>34</v>
      </c>
      <c r="F2519" s="5" t="s">
        <v>34</v>
      </c>
      <c r="G2519" s="5" t="s">
        <v>36</v>
      </c>
      <c r="H2519" s="5" t="s">
        <v>35</v>
      </c>
      <c r="I2519" s="6">
        <v>1.0</v>
      </c>
      <c r="J2519" s="6" t="s">
        <v>37</v>
      </c>
      <c r="K2519" s="6">
        <v>10.0</v>
      </c>
      <c r="L2519" s="5"/>
      <c r="M2519" s="5"/>
      <c r="N2519" s="6" t="s">
        <v>40</v>
      </c>
      <c r="O2519" s="5" t="s">
        <v>5363</v>
      </c>
      <c r="P2519" s="6" t="s">
        <v>42</v>
      </c>
      <c r="Q2519" s="5" t="s">
        <v>1237</v>
      </c>
      <c r="R2519" s="5" t="s">
        <v>14223</v>
      </c>
      <c r="S2519" s="6" t="s">
        <v>79</v>
      </c>
      <c r="T2519" s="6">
        <v>6723.0</v>
      </c>
    </row>
    <row r="2520" ht="56.25" customHeight="1">
      <c r="A2520" s="5" t="s">
        <v>14206</v>
      </c>
      <c r="B2520" s="6" t="str">
        <f>image("https://storage.googleapis.com/acdb/photos/BromideNpcNmlTig00_Remake_6_0.png")</f>
        <v/>
      </c>
      <c r="C2520" s="5" t="s">
        <v>146</v>
      </c>
      <c r="D2520" s="5" t="s">
        <v>1327</v>
      </c>
      <c r="E2520" s="5" t="s">
        <v>34</v>
      </c>
      <c r="F2520" s="5" t="s">
        <v>34</v>
      </c>
      <c r="G2520" s="5" t="s">
        <v>36</v>
      </c>
      <c r="H2520" s="5" t="s">
        <v>35</v>
      </c>
      <c r="I2520" s="6">
        <v>1.0</v>
      </c>
      <c r="J2520" s="6" t="s">
        <v>37</v>
      </c>
      <c r="K2520" s="6">
        <v>10.0</v>
      </c>
      <c r="L2520" s="5"/>
      <c r="M2520" s="5"/>
      <c r="N2520" s="6" t="s">
        <v>40</v>
      </c>
      <c r="O2520" s="5" t="s">
        <v>5363</v>
      </c>
      <c r="P2520" s="6" t="s">
        <v>42</v>
      </c>
      <c r="Q2520" s="5" t="s">
        <v>1237</v>
      </c>
      <c r="R2520" s="5" t="s">
        <v>14226</v>
      </c>
      <c r="S2520" s="6" t="s">
        <v>86</v>
      </c>
      <c r="T2520" s="6">
        <v>6723.0</v>
      </c>
    </row>
    <row r="2521" ht="56.25" customHeight="1">
      <c r="A2521" s="5" t="s">
        <v>14206</v>
      </c>
      <c r="B2521" s="6" t="str">
        <f>image("https://storage.googleapis.com/acdb/photos/BromideNpcNmlTig00_Remake_7_0.png")</f>
        <v/>
      </c>
      <c r="C2521" s="5" t="s">
        <v>151</v>
      </c>
      <c r="D2521" s="5" t="s">
        <v>1327</v>
      </c>
      <c r="E2521" s="5" t="s">
        <v>34</v>
      </c>
      <c r="F2521" s="5" t="s">
        <v>34</v>
      </c>
      <c r="G2521" s="5" t="s">
        <v>36</v>
      </c>
      <c r="H2521" s="5" t="s">
        <v>35</v>
      </c>
      <c r="I2521" s="6">
        <v>1.0</v>
      </c>
      <c r="J2521" s="6" t="s">
        <v>37</v>
      </c>
      <c r="K2521" s="6">
        <v>10.0</v>
      </c>
      <c r="L2521" s="5"/>
      <c r="M2521" s="5"/>
      <c r="N2521" s="6" t="s">
        <v>40</v>
      </c>
      <c r="O2521" s="5" t="s">
        <v>5363</v>
      </c>
      <c r="P2521" s="6" t="s">
        <v>42</v>
      </c>
      <c r="Q2521" s="5" t="s">
        <v>1237</v>
      </c>
      <c r="R2521" s="5" t="s">
        <v>14230</v>
      </c>
      <c r="S2521" s="6" t="s">
        <v>208</v>
      </c>
      <c r="T2521" s="6">
        <v>6723.0</v>
      </c>
    </row>
    <row r="2522" ht="56.25" customHeight="1">
      <c r="A2522" s="5" t="s">
        <v>14232</v>
      </c>
      <c r="B2522" s="6" t="str">
        <f>image("https://storage.googleapis.com/acdb/photos/BromideNpcNmlKgr09_Remake_0_0.png")</f>
        <v/>
      </c>
      <c r="C2522" s="5" t="s">
        <v>366</v>
      </c>
      <c r="D2522" s="5" t="s">
        <v>1327</v>
      </c>
      <c r="E2522" s="5" t="s">
        <v>34</v>
      </c>
      <c r="F2522" s="5" t="s">
        <v>34</v>
      </c>
      <c r="G2522" s="5" t="s">
        <v>36</v>
      </c>
      <c r="H2522" s="5" t="s">
        <v>35</v>
      </c>
      <c r="I2522" s="6">
        <v>1.0</v>
      </c>
      <c r="J2522" s="6" t="s">
        <v>37</v>
      </c>
      <c r="K2522" s="6">
        <v>10.0</v>
      </c>
      <c r="L2522" s="5"/>
      <c r="M2522" s="5"/>
      <c r="N2522" s="6" t="s">
        <v>40</v>
      </c>
      <c r="O2522" s="5" t="s">
        <v>5363</v>
      </c>
      <c r="P2522" s="6" t="s">
        <v>42</v>
      </c>
      <c r="Q2522" s="5" t="s">
        <v>1237</v>
      </c>
      <c r="R2522" s="5" t="s">
        <v>14235</v>
      </c>
      <c r="S2522" s="6" t="s">
        <v>50</v>
      </c>
      <c r="T2522" s="6">
        <v>6570.0</v>
      </c>
    </row>
    <row r="2523" ht="56.25" customHeight="1">
      <c r="A2523" s="5" t="s">
        <v>14232</v>
      </c>
      <c r="B2523" s="6" t="str">
        <f>image("https://storage.googleapis.com/acdb/photos/BromideNpcNmlKgr09_Remake_1_0.png")</f>
        <v/>
      </c>
      <c r="C2523" s="5" t="s">
        <v>1132</v>
      </c>
      <c r="D2523" s="5" t="s">
        <v>1327</v>
      </c>
      <c r="E2523" s="5" t="s">
        <v>34</v>
      </c>
      <c r="F2523" s="5" t="s">
        <v>34</v>
      </c>
      <c r="G2523" s="5" t="s">
        <v>36</v>
      </c>
      <c r="H2523" s="5" t="s">
        <v>35</v>
      </c>
      <c r="I2523" s="6">
        <v>1.0</v>
      </c>
      <c r="J2523" s="6" t="s">
        <v>37</v>
      </c>
      <c r="K2523" s="6">
        <v>10.0</v>
      </c>
      <c r="L2523" s="5"/>
      <c r="M2523" s="5"/>
      <c r="N2523" s="6" t="s">
        <v>40</v>
      </c>
      <c r="O2523" s="5" t="s">
        <v>5363</v>
      </c>
      <c r="P2523" s="6" t="s">
        <v>42</v>
      </c>
      <c r="Q2523" s="5" t="s">
        <v>1237</v>
      </c>
      <c r="R2523" s="5" t="s">
        <v>14238</v>
      </c>
      <c r="S2523" s="6" t="s">
        <v>56</v>
      </c>
      <c r="T2523" s="6">
        <v>6570.0</v>
      </c>
    </row>
    <row r="2524" ht="56.25" customHeight="1">
      <c r="A2524" s="5" t="s">
        <v>14232</v>
      </c>
      <c r="B2524" s="6" t="str">
        <f>image("https://storage.googleapis.com/acdb/photos/BromideNpcNmlKgr09_Remake_2_0.png")</f>
        <v/>
      </c>
      <c r="C2524" s="5" t="s">
        <v>688</v>
      </c>
      <c r="D2524" s="5" t="s">
        <v>1327</v>
      </c>
      <c r="E2524" s="5" t="s">
        <v>34</v>
      </c>
      <c r="F2524" s="5" t="s">
        <v>34</v>
      </c>
      <c r="G2524" s="5" t="s">
        <v>36</v>
      </c>
      <c r="H2524" s="5" t="s">
        <v>35</v>
      </c>
      <c r="I2524" s="6">
        <v>1.0</v>
      </c>
      <c r="J2524" s="6" t="s">
        <v>37</v>
      </c>
      <c r="K2524" s="6">
        <v>10.0</v>
      </c>
      <c r="L2524" s="5"/>
      <c r="M2524" s="5"/>
      <c r="N2524" s="6" t="s">
        <v>40</v>
      </c>
      <c r="O2524" s="5" t="s">
        <v>5363</v>
      </c>
      <c r="P2524" s="6" t="s">
        <v>42</v>
      </c>
      <c r="Q2524" s="5" t="s">
        <v>1237</v>
      </c>
      <c r="R2524" s="5" t="s">
        <v>14240</v>
      </c>
      <c r="S2524" s="6" t="s">
        <v>67</v>
      </c>
      <c r="T2524" s="6">
        <v>6570.0</v>
      </c>
    </row>
    <row r="2525" ht="56.25" customHeight="1">
      <c r="A2525" s="5" t="s">
        <v>14232</v>
      </c>
      <c r="B2525" s="6" t="str">
        <f>image("https://storage.googleapis.com/acdb/photos/BromideNpcNmlKgr09_Remake_3_0.png")</f>
        <v/>
      </c>
      <c r="C2525" s="5" t="s">
        <v>57</v>
      </c>
      <c r="D2525" s="5" t="s">
        <v>1327</v>
      </c>
      <c r="E2525" s="5" t="s">
        <v>34</v>
      </c>
      <c r="F2525" s="5" t="s">
        <v>34</v>
      </c>
      <c r="G2525" s="5" t="s">
        <v>36</v>
      </c>
      <c r="H2525" s="5" t="s">
        <v>35</v>
      </c>
      <c r="I2525" s="6">
        <v>1.0</v>
      </c>
      <c r="J2525" s="6" t="s">
        <v>37</v>
      </c>
      <c r="K2525" s="6">
        <v>10.0</v>
      </c>
      <c r="L2525" s="5"/>
      <c r="M2525" s="5"/>
      <c r="N2525" s="6" t="s">
        <v>40</v>
      </c>
      <c r="O2525" s="5" t="s">
        <v>5363</v>
      </c>
      <c r="P2525" s="6" t="s">
        <v>42</v>
      </c>
      <c r="Q2525" s="5" t="s">
        <v>1237</v>
      </c>
      <c r="R2525" s="5" t="s">
        <v>14246</v>
      </c>
      <c r="S2525" s="6" t="s">
        <v>71</v>
      </c>
      <c r="T2525" s="6">
        <v>6570.0</v>
      </c>
    </row>
    <row r="2526" ht="56.25" customHeight="1">
      <c r="A2526" s="5" t="s">
        <v>14232</v>
      </c>
      <c r="B2526" s="6" t="str">
        <f>image("https://storage.googleapis.com/acdb/photos/BromideNpcNmlKgr09_Remake_4_0.png")</f>
        <v/>
      </c>
      <c r="C2526" s="5" t="s">
        <v>1167</v>
      </c>
      <c r="D2526" s="5" t="s">
        <v>1327</v>
      </c>
      <c r="E2526" s="5" t="s">
        <v>34</v>
      </c>
      <c r="F2526" s="5" t="s">
        <v>34</v>
      </c>
      <c r="G2526" s="5" t="s">
        <v>36</v>
      </c>
      <c r="H2526" s="5" t="s">
        <v>35</v>
      </c>
      <c r="I2526" s="6">
        <v>1.0</v>
      </c>
      <c r="J2526" s="6" t="s">
        <v>37</v>
      </c>
      <c r="K2526" s="6">
        <v>10.0</v>
      </c>
      <c r="L2526" s="5"/>
      <c r="M2526" s="5"/>
      <c r="N2526" s="6" t="s">
        <v>40</v>
      </c>
      <c r="O2526" s="5" t="s">
        <v>5363</v>
      </c>
      <c r="P2526" s="6" t="s">
        <v>42</v>
      </c>
      <c r="Q2526" s="5" t="s">
        <v>1237</v>
      </c>
      <c r="R2526" s="5" t="s">
        <v>14248</v>
      </c>
      <c r="S2526" s="6" t="s">
        <v>75</v>
      </c>
      <c r="T2526" s="6">
        <v>6570.0</v>
      </c>
    </row>
    <row r="2527" ht="56.25" customHeight="1">
      <c r="A2527" s="5" t="s">
        <v>14232</v>
      </c>
      <c r="B2527" s="6" t="str">
        <f>image("https://storage.googleapis.com/acdb/photos/BromideNpcNmlKgr09_Remake_5_0.png")</f>
        <v/>
      </c>
      <c r="C2527" s="5" t="s">
        <v>58</v>
      </c>
      <c r="D2527" s="5" t="s">
        <v>1327</v>
      </c>
      <c r="E2527" s="5" t="s">
        <v>34</v>
      </c>
      <c r="F2527" s="5" t="s">
        <v>34</v>
      </c>
      <c r="G2527" s="5" t="s">
        <v>36</v>
      </c>
      <c r="H2527" s="5" t="s">
        <v>35</v>
      </c>
      <c r="I2527" s="6">
        <v>1.0</v>
      </c>
      <c r="J2527" s="6" t="s">
        <v>37</v>
      </c>
      <c r="K2527" s="6">
        <v>10.0</v>
      </c>
      <c r="L2527" s="5"/>
      <c r="M2527" s="5"/>
      <c r="N2527" s="6" t="s">
        <v>40</v>
      </c>
      <c r="O2527" s="5" t="s">
        <v>5363</v>
      </c>
      <c r="P2527" s="6" t="s">
        <v>42</v>
      </c>
      <c r="Q2527" s="5" t="s">
        <v>1237</v>
      </c>
      <c r="R2527" s="5" t="s">
        <v>14251</v>
      </c>
      <c r="S2527" s="6" t="s">
        <v>79</v>
      </c>
      <c r="T2527" s="6">
        <v>6570.0</v>
      </c>
    </row>
    <row r="2528" ht="56.25" customHeight="1">
      <c r="A2528" s="5" t="s">
        <v>14232</v>
      </c>
      <c r="B2528" s="6" t="str">
        <f>image("https://storage.googleapis.com/acdb/photos/BromideNpcNmlKgr09_Remake_6_0.png")</f>
        <v/>
      </c>
      <c r="C2528" s="5" t="s">
        <v>146</v>
      </c>
      <c r="D2528" s="5" t="s">
        <v>1327</v>
      </c>
      <c r="E2528" s="5" t="s">
        <v>34</v>
      </c>
      <c r="F2528" s="5" t="s">
        <v>34</v>
      </c>
      <c r="G2528" s="5" t="s">
        <v>36</v>
      </c>
      <c r="H2528" s="5" t="s">
        <v>35</v>
      </c>
      <c r="I2528" s="6">
        <v>1.0</v>
      </c>
      <c r="J2528" s="6" t="s">
        <v>37</v>
      </c>
      <c r="K2528" s="6">
        <v>10.0</v>
      </c>
      <c r="L2528" s="5"/>
      <c r="M2528" s="5"/>
      <c r="N2528" s="6" t="s">
        <v>40</v>
      </c>
      <c r="O2528" s="5" t="s">
        <v>5363</v>
      </c>
      <c r="P2528" s="6" t="s">
        <v>42</v>
      </c>
      <c r="Q2528" s="5" t="s">
        <v>1237</v>
      </c>
      <c r="R2528" s="5" t="s">
        <v>14257</v>
      </c>
      <c r="S2528" s="6" t="s">
        <v>86</v>
      </c>
      <c r="T2528" s="6">
        <v>6570.0</v>
      </c>
    </row>
    <row r="2529" ht="56.25" customHeight="1">
      <c r="A2529" s="5" t="s">
        <v>14232</v>
      </c>
      <c r="B2529" s="6" t="str">
        <f>image("https://storage.googleapis.com/acdb/photos/BromideNpcNmlKgr09_Remake_7_0.png")</f>
        <v/>
      </c>
      <c r="C2529" s="5" t="s">
        <v>151</v>
      </c>
      <c r="D2529" s="5" t="s">
        <v>1327</v>
      </c>
      <c r="E2529" s="5" t="s">
        <v>34</v>
      </c>
      <c r="F2529" s="5" t="s">
        <v>34</v>
      </c>
      <c r="G2529" s="5" t="s">
        <v>36</v>
      </c>
      <c r="H2529" s="5" t="s">
        <v>35</v>
      </c>
      <c r="I2529" s="6">
        <v>1.0</v>
      </c>
      <c r="J2529" s="6" t="s">
        <v>37</v>
      </c>
      <c r="K2529" s="6">
        <v>10.0</v>
      </c>
      <c r="L2529" s="5"/>
      <c r="M2529" s="5"/>
      <c r="N2529" s="6" t="s">
        <v>40</v>
      </c>
      <c r="O2529" s="5" t="s">
        <v>5363</v>
      </c>
      <c r="P2529" s="6" t="s">
        <v>42</v>
      </c>
      <c r="Q2529" s="5" t="s">
        <v>1237</v>
      </c>
      <c r="R2529" s="5" t="s">
        <v>14259</v>
      </c>
      <c r="S2529" s="6" t="s">
        <v>208</v>
      </c>
      <c r="T2529" s="6">
        <v>6570.0</v>
      </c>
    </row>
    <row r="2530" ht="56.25" customHeight="1">
      <c r="A2530" s="5" t="s">
        <v>14261</v>
      </c>
      <c r="B2530" s="6" t="str">
        <f>image("https://storage.googleapis.com/acdb/photos/BromideNpcNmlLon07_Remake_0_0.png")</f>
        <v/>
      </c>
      <c r="C2530" s="5" t="s">
        <v>366</v>
      </c>
      <c r="D2530" s="5" t="s">
        <v>1327</v>
      </c>
      <c r="E2530" s="5" t="s">
        <v>34</v>
      </c>
      <c r="F2530" s="5" t="s">
        <v>34</v>
      </c>
      <c r="G2530" s="5" t="s">
        <v>36</v>
      </c>
      <c r="H2530" s="5" t="s">
        <v>35</v>
      </c>
      <c r="I2530" s="6">
        <v>1.0</v>
      </c>
      <c r="J2530" s="6" t="s">
        <v>37</v>
      </c>
      <c r="K2530" s="6">
        <v>10.0</v>
      </c>
      <c r="L2530" s="5"/>
      <c r="M2530" s="5"/>
      <c r="N2530" s="6" t="s">
        <v>40</v>
      </c>
      <c r="O2530" s="5" t="s">
        <v>5363</v>
      </c>
      <c r="P2530" s="6" t="s">
        <v>42</v>
      </c>
      <c r="Q2530" s="5" t="s">
        <v>1237</v>
      </c>
      <c r="R2530" s="5" t="s">
        <v>14263</v>
      </c>
      <c r="S2530" s="6" t="s">
        <v>50</v>
      </c>
      <c r="T2530" s="6">
        <v>6578.0</v>
      </c>
    </row>
    <row r="2531" ht="56.25" customHeight="1">
      <c r="A2531" s="5" t="s">
        <v>14261</v>
      </c>
      <c r="B2531" s="6" t="str">
        <f>image("https://storage.googleapis.com/acdb/photos/BromideNpcNmlLon07_Remake_1_0.png")</f>
        <v/>
      </c>
      <c r="C2531" s="5" t="s">
        <v>1132</v>
      </c>
      <c r="D2531" s="5" t="s">
        <v>1327</v>
      </c>
      <c r="E2531" s="5" t="s">
        <v>34</v>
      </c>
      <c r="F2531" s="5" t="s">
        <v>34</v>
      </c>
      <c r="G2531" s="5" t="s">
        <v>36</v>
      </c>
      <c r="H2531" s="5" t="s">
        <v>35</v>
      </c>
      <c r="I2531" s="6">
        <v>1.0</v>
      </c>
      <c r="J2531" s="6" t="s">
        <v>37</v>
      </c>
      <c r="K2531" s="6">
        <v>10.0</v>
      </c>
      <c r="L2531" s="5"/>
      <c r="M2531" s="5"/>
      <c r="N2531" s="6" t="s">
        <v>40</v>
      </c>
      <c r="O2531" s="5" t="s">
        <v>5363</v>
      </c>
      <c r="P2531" s="6" t="s">
        <v>42</v>
      </c>
      <c r="Q2531" s="5" t="s">
        <v>1237</v>
      </c>
      <c r="R2531" s="5" t="s">
        <v>14267</v>
      </c>
      <c r="S2531" s="6" t="s">
        <v>56</v>
      </c>
      <c r="T2531" s="6">
        <v>6578.0</v>
      </c>
    </row>
    <row r="2532" ht="56.25" customHeight="1">
      <c r="A2532" s="5" t="s">
        <v>14261</v>
      </c>
      <c r="B2532" s="6" t="str">
        <f>image("https://storage.googleapis.com/acdb/photos/BromideNpcNmlLon07_Remake_2_0.png")</f>
        <v/>
      </c>
      <c r="C2532" s="5" t="s">
        <v>688</v>
      </c>
      <c r="D2532" s="5" t="s">
        <v>1327</v>
      </c>
      <c r="E2532" s="5" t="s">
        <v>34</v>
      </c>
      <c r="F2532" s="5" t="s">
        <v>34</v>
      </c>
      <c r="G2532" s="5" t="s">
        <v>36</v>
      </c>
      <c r="H2532" s="5" t="s">
        <v>35</v>
      </c>
      <c r="I2532" s="6">
        <v>1.0</v>
      </c>
      <c r="J2532" s="6" t="s">
        <v>37</v>
      </c>
      <c r="K2532" s="6">
        <v>10.0</v>
      </c>
      <c r="L2532" s="5"/>
      <c r="M2532" s="5"/>
      <c r="N2532" s="6" t="s">
        <v>40</v>
      </c>
      <c r="O2532" s="5" t="s">
        <v>5363</v>
      </c>
      <c r="P2532" s="6" t="s">
        <v>42</v>
      </c>
      <c r="Q2532" s="5" t="s">
        <v>1237</v>
      </c>
      <c r="R2532" s="5" t="s">
        <v>14270</v>
      </c>
      <c r="S2532" s="6" t="s">
        <v>67</v>
      </c>
      <c r="T2532" s="6">
        <v>6578.0</v>
      </c>
    </row>
    <row r="2533" ht="56.25" customHeight="1">
      <c r="A2533" s="5" t="s">
        <v>14261</v>
      </c>
      <c r="B2533" s="6" t="str">
        <f>image("https://storage.googleapis.com/acdb/photos/BromideNpcNmlLon07_Remake_3_0.png")</f>
        <v/>
      </c>
      <c r="C2533" s="5" t="s">
        <v>57</v>
      </c>
      <c r="D2533" s="5" t="s">
        <v>1327</v>
      </c>
      <c r="E2533" s="5" t="s">
        <v>34</v>
      </c>
      <c r="F2533" s="5" t="s">
        <v>34</v>
      </c>
      <c r="G2533" s="5" t="s">
        <v>36</v>
      </c>
      <c r="H2533" s="5" t="s">
        <v>35</v>
      </c>
      <c r="I2533" s="6">
        <v>1.0</v>
      </c>
      <c r="J2533" s="6" t="s">
        <v>37</v>
      </c>
      <c r="K2533" s="6">
        <v>10.0</v>
      </c>
      <c r="L2533" s="5"/>
      <c r="M2533" s="5"/>
      <c r="N2533" s="6" t="s">
        <v>40</v>
      </c>
      <c r="O2533" s="5" t="s">
        <v>5363</v>
      </c>
      <c r="P2533" s="6" t="s">
        <v>42</v>
      </c>
      <c r="Q2533" s="5" t="s">
        <v>1237</v>
      </c>
      <c r="R2533" s="5" t="s">
        <v>14274</v>
      </c>
      <c r="S2533" s="6" t="s">
        <v>71</v>
      </c>
      <c r="T2533" s="6">
        <v>6578.0</v>
      </c>
    </row>
    <row r="2534" ht="56.25" customHeight="1">
      <c r="A2534" s="5" t="s">
        <v>14261</v>
      </c>
      <c r="B2534" s="6" t="str">
        <f>image("https://storage.googleapis.com/acdb/photos/BromideNpcNmlLon07_Remake_4_0.png")</f>
        <v/>
      </c>
      <c r="C2534" s="5" t="s">
        <v>1167</v>
      </c>
      <c r="D2534" s="5" t="s">
        <v>1327</v>
      </c>
      <c r="E2534" s="5" t="s">
        <v>34</v>
      </c>
      <c r="F2534" s="5" t="s">
        <v>34</v>
      </c>
      <c r="G2534" s="5" t="s">
        <v>36</v>
      </c>
      <c r="H2534" s="5" t="s">
        <v>35</v>
      </c>
      <c r="I2534" s="6">
        <v>1.0</v>
      </c>
      <c r="J2534" s="6" t="s">
        <v>37</v>
      </c>
      <c r="K2534" s="6">
        <v>10.0</v>
      </c>
      <c r="L2534" s="5"/>
      <c r="M2534" s="5"/>
      <c r="N2534" s="6" t="s">
        <v>40</v>
      </c>
      <c r="O2534" s="5" t="s">
        <v>5363</v>
      </c>
      <c r="P2534" s="6" t="s">
        <v>42</v>
      </c>
      <c r="Q2534" s="5" t="s">
        <v>1237</v>
      </c>
      <c r="R2534" s="5" t="s">
        <v>14279</v>
      </c>
      <c r="S2534" s="6" t="s">
        <v>75</v>
      </c>
      <c r="T2534" s="6">
        <v>6578.0</v>
      </c>
    </row>
    <row r="2535" ht="56.25" customHeight="1">
      <c r="A2535" s="5" t="s">
        <v>14261</v>
      </c>
      <c r="B2535" s="6" t="str">
        <f>image("https://storage.googleapis.com/acdb/photos/BromideNpcNmlLon07_Remake_5_0.png")</f>
        <v/>
      </c>
      <c r="C2535" s="5" t="s">
        <v>58</v>
      </c>
      <c r="D2535" s="5" t="s">
        <v>1327</v>
      </c>
      <c r="E2535" s="5" t="s">
        <v>34</v>
      </c>
      <c r="F2535" s="5" t="s">
        <v>34</v>
      </c>
      <c r="G2535" s="5" t="s">
        <v>36</v>
      </c>
      <c r="H2535" s="5" t="s">
        <v>35</v>
      </c>
      <c r="I2535" s="6">
        <v>1.0</v>
      </c>
      <c r="J2535" s="6" t="s">
        <v>37</v>
      </c>
      <c r="K2535" s="6">
        <v>10.0</v>
      </c>
      <c r="L2535" s="5"/>
      <c r="M2535" s="5"/>
      <c r="N2535" s="6" t="s">
        <v>40</v>
      </c>
      <c r="O2535" s="5" t="s">
        <v>5363</v>
      </c>
      <c r="P2535" s="6" t="s">
        <v>42</v>
      </c>
      <c r="Q2535" s="5" t="s">
        <v>1237</v>
      </c>
      <c r="R2535" s="5" t="s">
        <v>14282</v>
      </c>
      <c r="S2535" s="6" t="s">
        <v>79</v>
      </c>
      <c r="T2535" s="6">
        <v>6578.0</v>
      </c>
    </row>
    <row r="2536" ht="56.25" customHeight="1">
      <c r="A2536" s="5" t="s">
        <v>14261</v>
      </c>
      <c r="B2536" s="6" t="str">
        <f>image("https://storage.googleapis.com/acdb/photos/BromideNpcNmlLon07_Remake_6_0.png")</f>
        <v/>
      </c>
      <c r="C2536" s="5" t="s">
        <v>146</v>
      </c>
      <c r="D2536" s="5" t="s">
        <v>1327</v>
      </c>
      <c r="E2536" s="5" t="s">
        <v>34</v>
      </c>
      <c r="F2536" s="5" t="s">
        <v>34</v>
      </c>
      <c r="G2536" s="5" t="s">
        <v>36</v>
      </c>
      <c r="H2536" s="5" t="s">
        <v>35</v>
      </c>
      <c r="I2536" s="6">
        <v>1.0</v>
      </c>
      <c r="J2536" s="6" t="s">
        <v>37</v>
      </c>
      <c r="K2536" s="6">
        <v>10.0</v>
      </c>
      <c r="L2536" s="5"/>
      <c r="M2536" s="5"/>
      <c r="N2536" s="6" t="s">
        <v>40</v>
      </c>
      <c r="O2536" s="5" t="s">
        <v>5363</v>
      </c>
      <c r="P2536" s="6" t="s">
        <v>42</v>
      </c>
      <c r="Q2536" s="5" t="s">
        <v>1237</v>
      </c>
      <c r="R2536" s="5" t="s">
        <v>14288</v>
      </c>
      <c r="S2536" s="6" t="s">
        <v>86</v>
      </c>
      <c r="T2536" s="6">
        <v>6578.0</v>
      </c>
    </row>
    <row r="2537" ht="56.25" customHeight="1">
      <c r="A2537" s="5" t="s">
        <v>14261</v>
      </c>
      <c r="B2537" s="6" t="str">
        <f>image("https://storage.googleapis.com/acdb/photos/BromideNpcNmlLon07_Remake_7_0.png")</f>
        <v/>
      </c>
      <c r="C2537" s="5" t="s">
        <v>151</v>
      </c>
      <c r="D2537" s="5" t="s">
        <v>1327</v>
      </c>
      <c r="E2537" s="5" t="s">
        <v>34</v>
      </c>
      <c r="F2537" s="5" t="s">
        <v>34</v>
      </c>
      <c r="G2537" s="5" t="s">
        <v>36</v>
      </c>
      <c r="H2537" s="5" t="s">
        <v>35</v>
      </c>
      <c r="I2537" s="6">
        <v>1.0</v>
      </c>
      <c r="J2537" s="6" t="s">
        <v>37</v>
      </c>
      <c r="K2537" s="6">
        <v>10.0</v>
      </c>
      <c r="L2537" s="5"/>
      <c r="M2537" s="5"/>
      <c r="N2537" s="6" t="s">
        <v>40</v>
      </c>
      <c r="O2537" s="5" t="s">
        <v>5363</v>
      </c>
      <c r="P2537" s="6" t="s">
        <v>42</v>
      </c>
      <c r="Q2537" s="5" t="s">
        <v>1237</v>
      </c>
      <c r="R2537" s="5" t="s">
        <v>14290</v>
      </c>
      <c r="S2537" s="6" t="s">
        <v>208</v>
      </c>
      <c r="T2537" s="6">
        <v>6578.0</v>
      </c>
    </row>
    <row r="2538" ht="56.25" customHeight="1">
      <c r="A2538" s="5" t="s">
        <v>14291</v>
      </c>
      <c r="B2538" s="6" t="str">
        <f>image("https://storage.googleapis.com/acdb/photos/BromideNpcNmlHrs04_Remake_0_0.png")</f>
        <v/>
      </c>
      <c r="C2538" s="5" t="s">
        <v>366</v>
      </c>
      <c r="D2538" s="5" t="s">
        <v>1327</v>
      </c>
      <c r="E2538" s="5" t="s">
        <v>34</v>
      </c>
      <c r="F2538" s="5" t="s">
        <v>34</v>
      </c>
      <c r="G2538" s="5" t="s">
        <v>36</v>
      </c>
      <c r="H2538" s="5" t="s">
        <v>35</v>
      </c>
      <c r="I2538" s="6">
        <v>1.0</v>
      </c>
      <c r="J2538" s="6" t="s">
        <v>37</v>
      </c>
      <c r="K2538" s="6">
        <v>10.0</v>
      </c>
      <c r="L2538" s="5"/>
      <c r="M2538" s="5"/>
      <c r="N2538" s="6" t="s">
        <v>40</v>
      </c>
      <c r="O2538" s="5" t="s">
        <v>5363</v>
      </c>
      <c r="P2538" s="6" t="s">
        <v>42</v>
      </c>
      <c r="Q2538" s="5" t="s">
        <v>1237</v>
      </c>
      <c r="R2538" s="5" t="s">
        <v>14294</v>
      </c>
      <c r="S2538" s="6" t="s">
        <v>50</v>
      </c>
      <c r="T2538" s="6">
        <v>6543.0</v>
      </c>
    </row>
    <row r="2539" ht="56.25" customHeight="1">
      <c r="A2539" s="5" t="s">
        <v>14291</v>
      </c>
      <c r="B2539" s="6" t="str">
        <f>image("https://storage.googleapis.com/acdb/photos/BromideNpcNmlHrs04_Remake_1_0.png")</f>
        <v/>
      </c>
      <c r="C2539" s="5" t="s">
        <v>1132</v>
      </c>
      <c r="D2539" s="5" t="s">
        <v>1327</v>
      </c>
      <c r="E2539" s="5" t="s">
        <v>34</v>
      </c>
      <c r="F2539" s="5" t="s">
        <v>34</v>
      </c>
      <c r="G2539" s="5" t="s">
        <v>36</v>
      </c>
      <c r="H2539" s="5" t="s">
        <v>35</v>
      </c>
      <c r="I2539" s="6">
        <v>1.0</v>
      </c>
      <c r="J2539" s="6" t="s">
        <v>37</v>
      </c>
      <c r="K2539" s="6">
        <v>10.0</v>
      </c>
      <c r="L2539" s="5"/>
      <c r="M2539" s="5"/>
      <c r="N2539" s="6" t="s">
        <v>40</v>
      </c>
      <c r="O2539" s="5" t="s">
        <v>5363</v>
      </c>
      <c r="P2539" s="6" t="s">
        <v>42</v>
      </c>
      <c r="Q2539" s="5" t="s">
        <v>1237</v>
      </c>
      <c r="R2539" s="5" t="s">
        <v>14300</v>
      </c>
      <c r="S2539" s="6" t="s">
        <v>56</v>
      </c>
      <c r="T2539" s="6">
        <v>6543.0</v>
      </c>
    </row>
    <row r="2540" ht="56.25" customHeight="1">
      <c r="A2540" s="5" t="s">
        <v>14291</v>
      </c>
      <c r="B2540" s="6" t="str">
        <f>image("https://storage.googleapis.com/acdb/photos/BromideNpcNmlHrs04_Remake_2_0.png")</f>
        <v/>
      </c>
      <c r="C2540" s="5" t="s">
        <v>688</v>
      </c>
      <c r="D2540" s="5" t="s">
        <v>1327</v>
      </c>
      <c r="E2540" s="5" t="s">
        <v>34</v>
      </c>
      <c r="F2540" s="5" t="s">
        <v>34</v>
      </c>
      <c r="G2540" s="5" t="s">
        <v>36</v>
      </c>
      <c r="H2540" s="5" t="s">
        <v>35</v>
      </c>
      <c r="I2540" s="6">
        <v>1.0</v>
      </c>
      <c r="J2540" s="6" t="s">
        <v>37</v>
      </c>
      <c r="K2540" s="6">
        <v>10.0</v>
      </c>
      <c r="L2540" s="5"/>
      <c r="M2540" s="5"/>
      <c r="N2540" s="6" t="s">
        <v>40</v>
      </c>
      <c r="O2540" s="5" t="s">
        <v>5363</v>
      </c>
      <c r="P2540" s="6" t="s">
        <v>42</v>
      </c>
      <c r="Q2540" s="5" t="s">
        <v>1237</v>
      </c>
      <c r="R2540" s="5" t="s">
        <v>14305</v>
      </c>
      <c r="S2540" s="6" t="s">
        <v>67</v>
      </c>
      <c r="T2540" s="6">
        <v>6543.0</v>
      </c>
    </row>
    <row r="2541" ht="56.25" customHeight="1">
      <c r="A2541" s="5" t="s">
        <v>14291</v>
      </c>
      <c r="B2541" s="6" t="str">
        <f>image("https://storage.googleapis.com/acdb/photos/BromideNpcNmlHrs04_Remake_3_0.png")</f>
        <v/>
      </c>
      <c r="C2541" s="5" t="s">
        <v>57</v>
      </c>
      <c r="D2541" s="5" t="s">
        <v>1327</v>
      </c>
      <c r="E2541" s="5" t="s">
        <v>34</v>
      </c>
      <c r="F2541" s="5" t="s">
        <v>34</v>
      </c>
      <c r="G2541" s="5" t="s">
        <v>36</v>
      </c>
      <c r="H2541" s="5" t="s">
        <v>35</v>
      </c>
      <c r="I2541" s="6">
        <v>1.0</v>
      </c>
      <c r="J2541" s="6" t="s">
        <v>37</v>
      </c>
      <c r="K2541" s="6">
        <v>10.0</v>
      </c>
      <c r="L2541" s="5"/>
      <c r="M2541" s="5"/>
      <c r="N2541" s="6" t="s">
        <v>40</v>
      </c>
      <c r="O2541" s="5" t="s">
        <v>5363</v>
      </c>
      <c r="P2541" s="6" t="s">
        <v>42</v>
      </c>
      <c r="Q2541" s="5" t="s">
        <v>1237</v>
      </c>
      <c r="R2541" s="5" t="s">
        <v>14309</v>
      </c>
      <c r="S2541" s="6" t="s">
        <v>71</v>
      </c>
      <c r="T2541" s="6">
        <v>6543.0</v>
      </c>
    </row>
    <row r="2542" ht="56.25" customHeight="1">
      <c r="A2542" s="5" t="s">
        <v>14291</v>
      </c>
      <c r="B2542" s="6" t="str">
        <f>image("https://storage.googleapis.com/acdb/photos/BromideNpcNmlHrs04_Remake_4_0.png")</f>
        <v/>
      </c>
      <c r="C2542" s="5" t="s">
        <v>1167</v>
      </c>
      <c r="D2542" s="5" t="s">
        <v>1327</v>
      </c>
      <c r="E2542" s="5" t="s">
        <v>34</v>
      </c>
      <c r="F2542" s="5" t="s">
        <v>34</v>
      </c>
      <c r="G2542" s="5" t="s">
        <v>36</v>
      </c>
      <c r="H2542" s="5" t="s">
        <v>35</v>
      </c>
      <c r="I2542" s="6">
        <v>1.0</v>
      </c>
      <c r="J2542" s="6" t="s">
        <v>37</v>
      </c>
      <c r="K2542" s="6">
        <v>10.0</v>
      </c>
      <c r="L2542" s="5"/>
      <c r="M2542" s="5"/>
      <c r="N2542" s="6" t="s">
        <v>40</v>
      </c>
      <c r="O2542" s="5" t="s">
        <v>5363</v>
      </c>
      <c r="P2542" s="6" t="s">
        <v>42</v>
      </c>
      <c r="Q2542" s="5" t="s">
        <v>1237</v>
      </c>
      <c r="R2542" s="5" t="s">
        <v>14312</v>
      </c>
      <c r="S2542" s="6" t="s">
        <v>75</v>
      </c>
      <c r="T2542" s="6">
        <v>6543.0</v>
      </c>
    </row>
    <row r="2543" ht="56.25" customHeight="1">
      <c r="A2543" s="5" t="s">
        <v>14291</v>
      </c>
      <c r="B2543" s="6" t="str">
        <f>image("https://storage.googleapis.com/acdb/photos/BromideNpcNmlHrs04_Remake_5_0.png")</f>
        <v/>
      </c>
      <c r="C2543" s="5" t="s">
        <v>58</v>
      </c>
      <c r="D2543" s="5" t="s">
        <v>1327</v>
      </c>
      <c r="E2543" s="5" t="s">
        <v>34</v>
      </c>
      <c r="F2543" s="5" t="s">
        <v>34</v>
      </c>
      <c r="G2543" s="5" t="s">
        <v>36</v>
      </c>
      <c r="H2543" s="5" t="s">
        <v>35</v>
      </c>
      <c r="I2543" s="6">
        <v>1.0</v>
      </c>
      <c r="J2543" s="6" t="s">
        <v>37</v>
      </c>
      <c r="K2543" s="6">
        <v>10.0</v>
      </c>
      <c r="L2543" s="5"/>
      <c r="M2543" s="5"/>
      <c r="N2543" s="6" t="s">
        <v>40</v>
      </c>
      <c r="O2543" s="5" t="s">
        <v>5363</v>
      </c>
      <c r="P2543" s="6" t="s">
        <v>42</v>
      </c>
      <c r="Q2543" s="5" t="s">
        <v>1237</v>
      </c>
      <c r="R2543" s="5" t="s">
        <v>14315</v>
      </c>
      <c r="S2543" s="6" t="s">
        <v>79</v>
      </c>
      <c r="T2543" s="6">
        <v>6543.0</v>
      </c>
    </row>
    <row r="2544" ht="56.25" customHeight="1">
      <c r="A2544" s="5" t="s">
        <v>14291</v>
      </c>
      <c r="B2544" s="6" t="str">
        <f>image("https://storage.googleapis.com/acdb/photos/BromideNpcNmlHrs04_Remake_6_0.png")</f>
        <v/>
      </c>
      <c r="C2544" s="5" t="s">
        <v>146</v>
      </c>
      <c r="D2544" s="5" t="s">
        <v>1327</v>
      </c>
      <c r="E2544" s="5" t="s">
        <v>34</v>
      </c>
      <c r="F2544" s="5" t="s">
        <v>34</v>
      </c>
      <c r="G2544" s="5" t="s">
        <v>36</v>
      </c>
      <c r="H2544" s="5" t="s">
        <v>35</v>
      </c>
      <c r="I2544" s="6">
        <v>1.0</v>
      </c>
      <c r="J2544" s="6" t="s">
        <v>37</v>
      </c>
      <c r="K2544" s="6">
        <v>10.0</v>
      </c>
      <c r="L2544" s="5"/>
      <c r="M2544" s="5"/>
      <c r="N2544" s="6" t="s">
        <v>40</v>
      </c>
      <c r="O2544" s="5" t="s">
        <v>5363</v>
      </c>
      <c r="P2544" s="6" t="s">
        <v>42</v>
      </c>
      <c r="Q2544" s="5" t="s">
        <v>1237</v>
      </c>
      <c r="R2544" s="5" t="s">
        <v>14317</v>
      </c>
      <c r="S2544" s="6" t="s">
        <v>86</v>
      </c>
      <c r="T2544" s="6">
        <v>6543.0</v>
      </c>
    </row>
    <row r="2545" ht="56.25" customHeight="1">
      <c r="A2545" s="5" t="s">
        <v>14291</v>
      </c>
      <c r="B2545" s="6" t="str">
        <f>image("https://storage.googleapis.com/acdb/photos/BromideNpcNmlHrs04_Remake_7_0.png")</f>
        <v/>
      </c>
      <c r="C2545" s="5" t="s">
        <v>151</v>
      </c>
      <c r="D2545" s="5" t="s">
        <v>1327</v>
      </c>
      <c r="E2545" s="5" t="s">
        <v>34</v>
      </c>
      <c r="F2545" s="5" t="s">
        <v>34</v>
      </c>
      <c r="G2545" s="5" t="s">
        <v>36</v>
      </c>
      <c r="H2545" s="5" t="s">
        <v>35</v>
      </c>
      <c r="I2545" s="6">
        <v>1.0</v>
      </c>
      <c r="J2545" s="6" t="s">
        <v>37</v>
      </c>
      <c r="K2545" s="6">
        <v>10.0</v>
      </c>
      <c r="L2545" s="5"/>
      <c r="M2545" s="5"/>
      <c r="N2545" s="6" t="s">
        <v>40</v>
      </c>
      <c r="O2545" s="5" t="s">
        <v>5363</v>
      </c>
      <c r="P2545" s="6" t="s">
        <v>42</v>
      </c>
      <c r="Q2545" s="5" t="s">
        <v>1237</v>
      </c>
      <c r="R2545" s="5" t="s">
        <v>14319</v>
      </c>
      <c r="S2545" s="6" t="s">
        <v>208</v>
      </c>
      <c r="T2545" s="6">
        <v>6543.0</v>
      </c>
    </row>
    <row r="2546" ht="56.25" customHeight="1">
      <c r="A2546" s="5" t="s">
        <v>14320</v>
      </c>
      <c r="B2546" s="6" t="str">
        <f>image("https://storage.googleapis.com/acdb/photos/BromideNpcNmlCat02_Remake_0_0.png")</f>
        <v/>
      </c>
      <c r="C2546" s="5" t="s">
        <v>366</v>
      </c>
      <c r="D2546" s="5" t="s">
        <v>1327</v>
      </c>
      <c r="E2546" s="5" t="s">
        <v>34</v>
      </c>
      <c r="F2546" s="5" t="s">
        <v>34</v>
      </c>
      <c r="G2546" s="5" t="s">
        <v>36</v>
      </c>
      <c r="H2546" s="5" t="s">
        <v>35</v>
      </c>
      <c r="I2546" s="6">
        <v>1.0</v>
      </c>
      <c r="J2546" s="6" t="s">
        <v>37</v>
      </c>
      <c r="K2546" s="6">
        <v>10.0</v>
      </c>
      <c r="L2546" s="5"/>
      <c r="M2546" s="5"/>
      <c r="N2546" s="6" t="s">
        <v>40</v>
      </c>
      <c r="O2546" s="5" t="s">
        <v>5363</v>
      </c>
      <c r="P2546" s="6" t="s">
        <v>42</v>
      </c>
      <c r="Q2546" s="5" t="s">
        <v>1237</v>
      </c>
      <c r="R2546" s="5" t="s">
        <v>14321</v>
      </c>
      <c r="S2546" s="6" t="s">
        <v>50</v>
      </c>
      <c r="T2546" s="6">
        <v>6747.0</v>
      </c>
    </row>
    <row r="2547" ht="56.25" customHeight="1">
      <c r="A2547" s="5" t="s">
        <v>14320</v>
      </c>
      <c r="B2547" s="6" t="str">
        <f>image("https://storage.googleapis.com/acdb/photos/BromideNpcNmlCat02_Remake_1_0.png")</f>
        <v/>
      </c>
      <c r="C2547" s="5" t="s">
        <v>1132</v>
      </c>
      <c r="D2547" s="5" t="s">
        <v>1327</v>
      </c>
      <c r="E2547" s="5" t="s">
        <v>34</v>
      </c>
      <c r="F2547" s="5" t="s">
        <v>34</v>
      </c>
      <c r="G2547" s="5" t="s">
        <v>36</v>
      </c>
      <c r="H2547" s="5" t="s">
        <v>35</v>
      </c>
      <c r="I2547" s="6">
        <v>1.0</v>
      </c>
      <c r="J2547" s="6" t="s">
        <v>37</v>
      </c>
      <c r="K2547" s="6">
        <v>10.0</v>
      </c>
      <c r="L2547" s="5"/>
      <c r="M2547" s="5"/>
      <c r="N2547" s="6" t="s">
        <v>40</v>
      </c>
      <c r="O2547" s="5" t="s">
        <v>5363</v>
      </c>
      <c r="P2547" s="6" t="s">
        <v>42</v>
      </c>
      <c r="Q2547" s="5" t="s">
        <v>1237</v>
      </c>
      <c r="R2547" s="5" t="s">
        <v>14323</v>
      </c>
      <c r="S2547" s="6" t="s">
        <v>56</v>
      </c>
      <c r="T2547" s="6">
        <v>6747.0</v>
      </c>
    </row>
    <row r="2548" ht="56.25" customHeight="1">
      <c r="A2548" s="5" t="s">
        <v>14320</v>
      </c>
      <c r="B2548" s="6" t="str">
        <f>image("https://storage.googleapis.com/acdb/photos/BromideNpcNmlCat02_Remake_2_0.png")</f>
        <v/>
      </c>
      <c r="C2548" s="5" t="s">
        <v>688</v>
      </c>
      <c r="D2548" s="5" t="s">
        <v>1327</v>
      </c>
      <c r="E2548" s="5" t="s">
        <v>34</v>
      </c>
      <c r="F2548" s="5" t="s">
        <v>34</v>
      </c>
      <c r="G2548" s="5" t="s">
        <v>36</v>
      </c>
      <c r="H2548" s="5" t="s">
        <v>35</v>
      </c>
      <c r="I2548" s="6">
        <v>1.0</v>
      </c>
      <c r="J2548" s="6" t="s">
        <v>37</v>
      </c>
      <c r="K2548" s="6">
        <v>10.0</v>
      </c>
      <c r="L2548" s="5"/>
      <c r="M2548" s="5"/>
      <c r="N2548" s="6" t="s">
        <v>40</v>
      </c>
      <c r="O2548" s="5" t="s">
        <v>5363</v>
      </c>
      <c r="P2548" s="6" t="s">
        <v>42</v>
      </c>
      <c r="Q2548" s="5" t="s">
        <v>1237</v>
      </c>
      <c r="R2548" s="5" t="s">
        <v>14325</v>
      </c>
      <c r="S2548" s="6" t="s">
        <v>67</v>
      </c>
      <c r="T2548" s="6">
        <v>6747.0</v>
      </c>
    </row>
    <row r="2549" ht="56.25" customHeight="1">
      <c r="A2549" s="5" t="s">
        <v>14320</v>
      </c>
      <c r="B2549" s="6" t="str">
        <f>image("https://storage.googleapis.com/acdb/photos/BromideNpcNmlCat02_Remake_3_0.png")</f>
        <v/>
      </c>
      <c r="C2549" s="5" t="s">
        <v>57</v>
      </c>
      <c r="D2549" s="5" t="s">
        <v>1327</v>
      </c>
      <c r="E2549" s="5" t="s">
        <v>34</v>
      </c>
      <c r="F2549" s="5" t="s">
        <v>34</v>
      </c>
      <c r="G2549" s="5" t="s">
        <v>36</v>
      </c>
      <c r="H2549" s="5" t="s">
        <v>35</v>
      </c>
      <c r="I2549" s="6">
        <v>1.0</v>
      </c>
      <c r="J2549" s="6" t="s">
        <v>37</v>
      </c>
      <c r="K2549" s="6">
        <v>10.0</v>
      </c>
      <c r="L2549" s="5"/>
      <c r="M2549" s="5"/>
      <c r="N2549" s="6" t="s">
        <v>40</v>
      </c>
      <c r="O2549" s="5" t="s">
        <v>5363</v>
      </c>
      <c r="P2549" s="6" t="s">
        <v>42</v>
      </c>
      <c r="Q2549" s="5" t="s">
        <v>1237</v>
      </c>
      <c r="R2549" s="5" t="s">
        <v>14328</v>
      </c>
      <c r="S2549" s="6" t="s">
        <v>71</v>
      </c>
      <c r="T2549" s="6">
        <v>6747.0</v>
      </c>
    </row>
    <row r="2550" ht="56.25" customHeight="1">
      <c r="A2550" s="5" t="s">
        <v>14320</v>
      </c>
      <c r="B2550" s="6" t="str">
        <f>image("https://storage.googleapis.com/acdb/photos/BromideNpcNmlCat02_Remake_4_0.png")</f>
        <v/>
      </c>
      <c r="C2550" s="5" t="s">
        <v>1167</v>
      </c>
      <c r="D2550" s="5" t="s">
        <v>1327</v>
      </c>
      <c r="E2550" s="5" t="s">
        <v>34</v>
      </c>
      <c r="F2550" s="5" t="s">
        <v>34</v>
      </c>
      <c r="G2550" s="5" t="s">
        <v>36</v>
      </c>
      <c r="H2550" s="5" t="s">
        <v>35</v>
      </c>
      <c r="I2550" s="6">
        <v>1.0</v>
      </c>
      <c r="J2550" s="6" t="s">
        <v>37</v>
      </c>
      <c r="K2550" s="6">
        <v>10.0</v>
      </c>
      <c r="L2550" s="5"/>
      <c r="M2550" s="5"/>
      <c r="N2550" s="6" t="s">
        <v>40</v>
      </c>
      <c r="O2550" s="5" t="s">
        <v>5363</v>
      </c>
      <c r="P2550" s="6" t="s">
        <v>42</v>
      </c>
      <c r="Q2550" s="5" t="s">
        <v>1237</v>
      </c>
      <c r="R2550" s="5" t="s">
        <v>14331</v>
      </c>
      <c r="S2550" s="6" t="s">
        <v>75</v>
      </c>
      <c r="T2550" s="6">
        <v>6747.0</v>
      </c>
    </row>
    <row r="2551" ht="56.25" customHeight="1">
      <c r="A2551" s="5" t="s">
        <v>14320</v>
      </c>
      <c r="B2551" s="6" t="str">
        <f>image("https://storage.googleapis.com/acdb/photos/BromideNpcNmlCat02_Remake_5_0.png")</f>
        <v/>
      </c>
      <c r="C2551" s="5" t="s">
        <v>58</v>
      </c>
      <c r="D2551" s="5" t="s">
        <v>1327</v>
      </c>
      <c r="E2551" s="5" t="s">
        <v>34</v>
      </c>
      <c r="F2551" s="5" t="s">
        <v>34</v>
      </c>
      <c r="G2551" s="5" t="s">
        <v>36</v>
      </c>
      <c r="H2551" s="5" t="s">
        <v>35</v>
      </c>
      <c r="I2551" s="6">
        <v>1.0</v>
      </c>
      <c r="J2551" s="6" t="s">
        <v>37</v>
      </c>
      <c r="K2551" s="6">
        <v>10.0</v>
      </c>
      <c r="L2551" s="5"/>
      <c r="M2551" s="5"/>
      <c r="N2551" s="6" t="s">
        <v>40</v>
      </c>
      <c r="O2551" s="5" t="s">
        <v>5363</v>
      </c>
      <c r="P2551" s="6" t="s">
        <v>42</v>
      </c>
      <c r="Q2551" s="5" t="s">
        <v>1237</v>
      </c>
      <c r="R2551" s="5" t="s">
        <v>14335</v>
      </c>
      <c r="S2551" s="6" t="s">
        <v>79</v>
      </c>
      <c r="T2551" s="6">
        <v>6747.0</v>
      </c>
    </row>
    <row r="2552" ht="56.25" customHeight="1">
      <c r="A2552" s="5" t="s">
        <v>14320</v>
      </c>
      <c r="B2552" s="6" t="str">
        <f>image("https://storage.googleapis.com/acdb/photos/BromideNpcNmlCat02_Remake_6_0.png")</f>
        <v/>
      </c>
      <c r="C2552" s="5" t="s">
        <v>146</v>
      </c>
      <c r="D2552" s="5" t="s">
        <v>1327</v>
      </c>
      <c r="E2552" s="5" t="s">
        <v>34</v>
      </c>
      <c r="F2552" s="5" t="s">
        <v>34</v>
      </c>
      <c r="G2552" s="5" t="s">
        <v>36</v>
      </c>
      <c r="H2552" s="5" t="s">
        <v>35</v>
      </c>
      <c r="I2552" s="6">
        <v>1.0</v>
      </c>
      <c r="J2552" s="6" t="s">
        <v>37</v>
      </c>
      <c r="K2552" s="6">
        <v>10.0</v>
      </c>
      <c r="L2552" s="5"/>
      <c r="M2552" s="5"/>
      <c r="N2552" s="6" t="s">
        <v>40</v>
      </c>
      <c r="O2552" s="5" t="s">
        <v>5363</v>
      </c>
      <c r="P2552" s="6" t="s">
        <v>42</v>
      </c>
      <c r="Q2552" s="5" t="s">
        <v>1237</v>
      </c>
      <c r="R2552" s="5" t="s">
        <v>14338</v>
      </c>
      <c r="S2552" s="6" t="s">
        <v>86</v>
      </c>
      <c r="T2552" s="6">
        <v>6747.0</v>
      </c>
    </row>
    <row r="2553" ht="56.25" customHeight="1">
      <c r="A2553" s="5" t="s">
        <v>14320</v>
      </c>
      <c r="B2553" s="6" t="str">
        <f>image("https://storage.googleapis.com/acdb/photos/BromideNpcNmlCat02_Remake_7_0.png")</f>
        <v/>
      </c>
      <c r="C2553" s="5" t="s">
        <v>151</v>
      </c>
      <c r="D2553" s="5" t="s">
        <v>1327</v>
      </c>
      <c r="E2553" s="5" t="s">
        <v>34</v>
      </c>
      <c r="F2553" s="5" t="s">
        <v>34</v>
      </c>
      <c r="G2553" s="5" t="s">
        <v>36</v>
      </c>
      <c r="H2553" s="5" t="s">
        <v>35</v>
      </c>
      <c r="I2553" s="6">
        <v>1.0</v>
      </c>
      <c r="J2553" s="6" t="s">
        <v>37</v>
      </c>
      <c r="K2553" s="6">
        <v>10.0</v>
      </c>
      <c r="L2553" s="5"/>
      <c r="M2553" s="5"/>
      <c r="N2553" s="6" t="s">
        <v>40</v>
      </c>
      <c r="O2553" s="5" t="s">
        <v>5363</v>
      </c>
      <c r="P2553" s="6" t="s">
        <v>42</v>
      </c>
      <c r="Q2553" s="5" t="s">
        <v>1237</v>
      </c>
      <c r="R2553" s="5" t="s">
        <v>14342</v>
      </c>
      <c r="S2553" s="6" t="s">
        <v>208</v>
      </c>
      <c r="T2553" s="6">
        <v>6747.0</v>
      </c>
    </row>
    <row r="2554" ht="56.25" customHeight="1">
      <c r="A2554" s="5" t="s">
        <v>14343</v>
      </c>
      <c r="B2554" s="6" t="str">
        <f>image("https://storage.googleapis.com/acdb/photos/BromideNpcNmlTig01_Remake_0_0.png")</f>
        <v/>
      </c>
      <c r="C2554" s="5" t="s">
        <v>366</v>
      </c>
      <c r="D2554" s="5" t="s">
        <v>1327</v>
      </c>
      <c r="E2554" s="5" t="s">
        <v>34</v>
      </c>
      <c r="F2554" s="5" t="s">
        <v>34</v>
      </c>
      <c r="G2554" s="5" t="s">
        <v>36</v>
      </c>
      <c r="H2554" s="5" t="s">
        <v>35</v>
      </c>
      <c r="I2554" s="6">
        <v>1.0</v>
      </c>
      <c r="J2554" s="6" t="s">
        <v>37</v>
      </c>
      <c r="K2554" s="6">
        <v>10.0</v>
      </c>
      <c r="L2554" s="5"/>
      <c r="M2554" s="5"/>
      <c r="N2554" s="6" t="s">
        <v>40</v>
      </c>
      <c r="O2554" s="5" t="s">
        <v>5363</v>
      </c>
      <c r="P2554" s="6" t="s">
        <v>42</v>
      </c>
      <c r="Q2554" s="5" t="s">
        <v>1237</v>
      </c>
      <c r="R2554" s="5" t="s">
        <v>14350</v>
      </c>
      <c r="S2554" s="6" t="s">
        <v>50</v>
      </c>
      <c r="T2554" s="6">
        <v>6724.0</v>
      </c>
    </row>
    <row r="2555" ht="56.25" customHeight="1">
      <c r="A2555" s="5" t="s">
        <v>14343</v>
      </c>
      <c r="B2555" s="6" t="str">
        <f>image("https://storage.googleapis.com/acdb/photos/BromideNpcNmlTig01_Remake_1_0.png")</f>
        <v/>
      </c>
      <c r="C2555" s="5" t="s">
        <v>1132</v>
      </c>
      <c r="D2555" s="5" t="s">
        <v>1327</v>
      </c>
      <c r="E2555" s="5" t="s">
        <v>34</v>
      </c>
      <c r="F2555" s="5" t="s">
        <v>34</v>
      </c>
      <c r="G2555" s="5" t="s">
        <v>36</v>
      </c>
      <c r="H2555" s="5" t="s">
        <v>35</v>
      </c>
      <c r="I2555" s="6">
        <v>1.0</v>
      </c>
      <c r="J2555" s="6" t="s">
        <v>37</v>
      </c>
      <c r="K2555" s="6">
        <v>10.0</v>
      </c>
      <c r="L2555" s="5"/>
      <c r="M2555" s="5"/>
      <c r="N2555" s="6" t="s">
        <v>40</v>
      </c>
      <c r="O2555" s="5" t="s">
        <v>5363</v>
      </c>
      <c r="P2555" s="6" t="s">
        <v>42</v>
      </c>
      <c r="Q2555" s="5" t="s">
        <v>1237</v>
      </c>
      <c r="R2555" s="5" t="s">
        <v>14352</v>
      </c>
      <c r="S2555" s="6" t="s">
        <v>56</v>
      </c>
      <c r="T2555" s="6">
        <v>6724.0</v>
      </c>
    </row>
    <row r="2556" ht="56.25" customHeight="1">
      <c r="A2556" s="5" t="s">
        <v>14343</v>
      </c>
      <c r="B2556" s="6" t="str">
        <f>image("https://storage.googleapis.com/acdb/photos/BromideNpcNmlTig01_Remake_2_0.png")</f>
        <v/>
      </c>
      <c r="C2556" s="5" t="s">
        <v>688</v>
      </c>
      <c r="D2556" s="5" t="s">
        <v>1327</v>
      </c>
      <c r="E2556" s="5" t="s">
        <v>34</v>
      </c>
      <c r="F2556" s="5" t="s">
        <v>34</v>
      </c>
      <c r="G2556" s="5" t="s">
        <v>36</v>
      </c>
      <c r="H2556" s="5" t="s">
        <v>35</v>
      </c>
      <c r="I2556" s="6">
        <v>1.0</v>
      </c>
      <c r="J2556" s="6" t="s">
        <v>37</v>
      </c>
      <c r="K2556" s="6">
        <v>10.0</v>
      </c>
      <c r="L2556" s="5"/>
      <c r="M2556" s="5"/>
      <c r="N2556" s="6" t="s">
        <v>40</v>
      </c>
      <c r="O2556" s="5" t="s">
        <v>5363</v>
      </c>
      <c r="P2556" s="6" t="s">
        <v>42</v>
      </c>
      <c r="Q2556" s="5" t="s">
        <v>1237</v>
      </c>
      <c r="R2556" s="5" t="s">
        <v>14357</v>
      </c>
      <c r="S2556" s="6" t="s">
        <v>67</v>
      </c>
      <c r="T2556" s="6">
        <v>6724.0</v>
      </c>
    </row>
    <row r="2557" ht="56.25" customHeight="1">
      <c r="A2557" s="5" t="s">
        <v>14343</v>
      </c>
      <c r="B2557" s="6" t="str">
        <f>image("https://storage.googleapis.com/acdb/photos/BromideNpcNmlTig01_Remake_3_0.png")</f>
        <v/>
      </c>
      <c r="C2557" s="5" t="s">
        <v>57</v>
      </c>
      <c r="D2557" s="5" t="s">
        <v>1327</v>
      </c>
      <c r="E2557" s="5" t="s">
        <v>34</v>
      </c>
      <c r="F2557" s="5" t="s">
        <v>34</v>
      </c>
      <c r="G2557" s="5" t="s">
        <v>36</v>
      </c>
      <c r="H2557" s="5" t="s">
        <v>35</v>
      </c>
      <c r="I2557" s="6">
        <v>1.0</v>
      </c>
      <c r="J2557" s="6" t="s">
        <v>37</v>
      </c>
      <c r="K2557" s="6">
        <v>10.0</v>
      </c>
      <c r="L2557" s="5"/>
      <c r="M2557" s="5"/>
      <c r="N2557" s="6" t="s">
        <v>40</v>
      </c>
      <c r="O2557" s="5" t="s">
        <v>5363</v>
      </c>
      <c r="P2557" s="6" t="s">
        <v>42</v>
      </c>
      <c r="Q2557" s="5" t="s">
        <v>1237</v>
      </c>
      <c r="R2557" s="5" t="s">
        <v>14360</v>
      </c>
      <c r="S2557" s="6" t="s">
        <v>71</v>
      </c>
      <c r="T2557" s="6">
        <v>6724.0</v>
      </c>
    </row>
    <row r="2558" ht="56.25" customHeight="1">
      <c r="A2558" s="5" t="s">
        <v>14343</v>
      </c>
      <c r="B2558" s="6" t="str">
        <f>image("https://storage.googleapis.com/acdb/photos/BromideNpcNmlTig01_Remake_4_0.png")</f>
        <v/>
      </c>
      <c r="C2558" s="5" t="s">
        <v>1167</v>
      </c>
      <c r="D2558" s="5" t="s">
        <v>1327</v>
      </c>
      <c r="E2558" s="5" t="s">
        <v>34</v>
      </c>
      <c r="F2558" s="5" t="s">
        <v>34</v>
      </c>
      <c r="G2558" s="5" t="s">
        <v>36</v>
      </c>
      <c r="H2558" s="5" t="s">
        <v>35</v>
      </c>
      <c r="I2558" s="6">
        <v>1.0</v>
      </c>
      <c r="J2558" s="6" t="s">
        <v>37</v>
      </c>
      <c r="K2558" s="6">
        <v>10.0</v>
      </c>
      <c r="L2558" s="5"/>
      <c r="M2558" s="5"/>
      <c r="N2558" s="6" t="s">
        <v>40</v>
      </c>
      <c r="O2558" s="5" t="s">
        <v>5363</v>
      </c>
      <c r="P2558" s="6" t="s">
        <v>42</v>
      </c>
      <c r="Q2558" s="5" t="s">
        <v>1237</v>
      </c>
      <c r="R2558" s="5" t="s">
        <v>14363</v>
      </c>
      <c r="S2558" s="6" t="s">
        <v>75</v>
      </c>
      <c r="T2558" s="6">
        <v>6724.0</v>
      </c>
    </row>
    <row r="2559" ht="56.25" customHeight="1">
      <c r="A2559" s="5" t="s">
        <v>14343</v>
      </c>
      <c r="B2559" s="6" t="str">
        <f>image("https://storage.googleapis.com/acdb/photos/BromideNpcNmlTig01_Remake_5_0.png")</f>
        <v/>
      </c>
      <c r="C2559" s="5" t="s">
        <v>58</v>
      </c>
      <c r="D2559" s="5" t="s">
        <v>1327</v>
      </c>
      <c r="E2559" s="5" t="s">
        <v>34</v>
      </c>
      <c r="F2559" s="5" t="s">
        <v>34</v>
      </c>
      <c r="G2559" s="5" t="s">
        <v>36</v>
      </c>
      <c r="H2559" s="5" t="s">
        <v>35</v>
      </c>
      <c r="I2559" s="6">
        <v>1.0</v>
      </c>
      <c r="J2559" s="6" t="s">
        <v>37</v>
      </c>
      <c r="K2559" s="6">
        <v>10.0</v>
      </c>
      <c r="L2559" s="5"/>
      <c r="M2559" s="5"/>
      <c r="N2559" s="6" t="s">
        <v>40</v>
      </c>
      <c r="O2559" s="5" t="s">
        <v>5363</v>
      </c>
      <c r="P2559" s="6" t="s">
        <v>42</v>
      </c>
      <c r="Q2559" s="5" t="s">
        <v>1237</v>
      </c>
      <c r="R2559" s="5" t="s">
        <v>14367</v>
      </c>
      <c r="S2559" s="6" t="s">
        <v>79</v>
      </c>
      <c r="T2559" s="6">
        <v>6724.0</v>
      </c>
    </row>
    <row r="2560" ht="56.25" customHeight="1">
      <c r="A2560" s="5" t="s">
        <v>14343</v>
      </c>
      <c r="B2560" s="6" t="str">
        <f>image("https://storage.googleapis.com/acdb/photos/BromideNpcNmlTig01_Remake_6_0.png")</f>
        <v/>
      </c>
      <c r="C2560" s="5" t="s">
        <v>146</v>
      </c>
      <c r="D2560" s="5" t="s">
        <v>1327</v>
      </c>
      <c r="E2560" s="5" t="s">
        <v>34</v>
      </c>
      <c r="F2560" s="5" t="s">
        <v>34</v>
      </c>
      <c r="G2560" s="5" t="s">
        <v>36</v>
      </c>
      <c r="H2560" s="5" t="s">
        <v>35</v>
      </c>
      <c r="I2560" s="6">
        <v>1.0</v>
      </c>
      <c r="J2560" s="6" t="s">
        <v>37</v>
      </c>
      <c r="K2560" s="6">
        <v>10.0</v>
      </c>
      <c r="L2560" s="5"/>
      <c r="M2560" s="5"/>
      <c r="N2560" s="6" t="s">
        <v>40</v>
      </c>
      <c r="O2560" s="5" t="s">
        <v>5363</v>
      </c>
      <c r="P2560" s="6" t="s">
        <v>42</v>
      </c>
      <c r="Q2560" s="5" t="s">
        <v>1237</v>
      </c>
      <c r="R2560" s="5" t="s">
        <v>14370</v>
      </c>
      <c r="S2560" s="6" t="s">
        <v>86</v>
      </c>
      <c r="T2560" s="6">
        <v>6724.0</v>
      </c>
    </row>
    <row r="2561" ht="56.25" customHeight="1">
      <c r="A2561" s="5" t="s">
        <v>14343</v>
      </c>
      <c r="B2561" s="6" t="str">
        <f>image("https://storage.googleapis.com/acdb/photos/BromideNpcNmlTig01_Remake_7_0.png")</f>
        <v/>
      </c>
      <c r="C2561" s="5" t="s">
        <v>151</v>
      </c>
      <c r="D2561" s="5" t="s">
        <v>1327</v>
      </c>
      <c r="E2561" s="5" t="s">
        <v>34</v>
      </c>
      <c r="F2561" s="5" t="s">
        <v>34</v>
      </c>
      <c r="G2561" s="5" t="s">
        <v>36</v>
      </c>
      <c r="H2561" s="5" t="s">
        <v>35</v>
      </c>
      <c r="I2561" s="6">
        <v>1.0</v>
      </c>
      <c r="J2561" s="6" t="s">
        <v>37</v>
      </c>
      <c r="K2561" s="6">
        <v>10.0</v>
      </c>
      <c r="L2561" s="5"/>
      <c r="M2561" s="5"/>
      <c r="N2561" s="6" t="s">
        <v>40</v>
      </c>
      <c r="O2561" s="5" t="s">
        <v>5363</v>
      </c>
      <c r="P2561" s="6" t="s">
        <v>42</v>
      </c>
      <c r="Q2561" s="5" t="s">
        <v>1237</v>
      </c>
      <c r="R2561" s="5" t="s">
        <v>14372</v>
      </c>
      <c r="S2561" s="6" t="s">
        <v>208</v>
      </c>
      <c r="T2561" s="6">
        <v>6724.0</v>
      </c>
    </row>
    <row r="2562" ht="56.25" customHeight="1">
      <c r="A2562" s="5" t="s">
        <v>14374</v>
      </c>
      <c r="B2562" s="6" t="str">
        <f>image("https://storage.googleapis.com/acdb/photos/BromideNpcNmlRbt09_Remake_0_0.png")</f>
        <v/>
      </c>
      <c r="C2562" s="5" t="s">
        <v>366</v>
      </c>
      <c r="D2562" s="5" t="s">
        <v>1327</v>
      </c>
      <c r="E2562" s="5" t="s">
        <v>34</v>
      </c>
      <c r="F2562" s="5" t="s">
        <v>34</v>
      </c>
      <c r="G2562" s="5" t="s">
        <v>36</v>
      </c>
      <c r="H2562" s="5" t="s">
        <v>35</v>
      </c>
      <c r="I2562" s="6">
        <v>1.0</v>
      </c>
      <c r="J2562" s="6" t="s">
        <v>37</v>
      </c>
      <c r="K2562" s="6">
        <v>10.0</v>
      </c>
      <c r="L2562" s="5"/>
      <c r="M2562" s="5"/>
      <c r="N2562" s="6" t="s">
        <v>40</v>
      </c>
      <c r="O2562" s="5" t="s">
        <v>5363</v>
      </c>
      <c r="P2562" s="6" t="s">
        <v>42</v>
      </c>
      <c r="Q2562" s="5" t="s">
        <v>1237</v>
      </c>
      <c r="R2562" s="5" t="s">
        <v>14377</v>
      </c>
      <c r="S2562" s="6" t="s">
        <v>50</v>
      </c>
      <c r="T2562" s="6">
        <v>6672.0</v>
      </c>
    </row>
    <row r="2563" ht="56.25" customHeight="1">
      <c r="A2563" s="5" t="s">
        <v>14374</v>
      </c>
      <c r="B2563" s="6" t="str">
        <f>image("https://storage.googleapis.com/acdb/photos/BromideNpcNmlRbt09_Remake_1_0.png")</f>
        <v/>
      </c>
      <c r="C2563" s="5" t="s">
        <v>1132</v>
      </c>
      <c r="D2563" s="5" t="s">
        <v>1327</v>
      </c>
      <c r="E2563" s="5" t="s">
        <v>34</v>
      </c>
      <c r="F2563" s="5" t="s">
        <v>34</v>
      </c>
      <c r="G2563" s="5" t="s">
        <v>36</v>
      </c>
      <c r="H2563" s="5" t="s">
        <v>35</v>
      </c>
      <c r="I2563" s="6">
        <v>1.0</v>
      </c>
      <c r="J2563" s="6" t="s">
        <v>37</v>
      </c>
      <c r="K2563" s="6">
        <v>10.0</v>
      </c>
      <c r="L2563" s="5"/>
      <c r="M2563" s="5"/>
      <c r="N2563" s="6" t="s">
        <v>40</v>
      </c>
      <c r="O2563" s="5" t="s">
        <v>5363</v>
      </c>
      <c r="P2563" s="6" t="s">
        <v>42</v>
      </c>
      <c r="Q2563" s="5" t="s">
        <v>1237</v>
      </c>
      <c r="R2563" s="5" t="s">
        <v>14379</v>
      </c>
      <c r="S2563" s="6" t="s">
        <v>56</v>
      </c>
      <c r="T2563" s="6">
        <v>6672.0</v>
      </c>
    </row>
    <row r="2564" ht="56.25" customHeight="1">
      <c r="A2564" s="5" t="s">
        <v>14374</v>
      </c>
      <c r="B2564" s="6" t="str">
        <f>image("https://storage.googleapis.com/acdb/photos/BromideNpcNmlRbt09_Remake_2_0.png")</f>
        <v/>
      </c>
      <c r="C2564" s="5" t="s">
        <v>688</v>
      </c>
      <c r="D2564" s="5" t="s">
        <v>1327</v>
      </c>
      <c r="E2564" s="5" t="s">
        <v>34</v>
      </c>
      <c r="F2564" s="5" t="s">
        <v>34</v>
      </c>
      <c r="G2564" s="5" t="s">
        <v>36</v>
      </c>
      <c r="H2564" s="5" t="s">
        <v>35</v>
      </c>
      <c r="I2564" s="6">
        <v>1.0</v>
      </c>
      <c r="J2564" s="6" t="s">
        <v>37</v>
      </c>
      <c r="K2564" s="6">
        <v>10.0</v>
      </c>
      <c r="L2564" s="5"/>
      <c r="M2564" s="5"/>
      <c r="N2564" s="6" t="s">
        <v>40</v>
      </c>
      <c r="O2564" s="5" t="s">
        <v>5363</v>
      </c>
      <c r="P2564" s="6" t="s">
        <v>42</v>
      </c>
      <c r="Q2564" s="5" t="s">
        <v>1237</v>
      </c>
      <c r="R2564" s="5" t="s">
        <v>14383</v>
      </c>
      <c r="S2564" s="6" t="s">
        <v>67</v>
      </c>
      <c r="T2564" s="6">
        <v>6672.0</v>
      </c>
    </row>
    <row r="2565" ht="56.25" customHeight="1">
      <c r="A2565" s="5" t="s">
        <v>14374</v>
      </c>
      <c r="B2565" s="6" t="str">
        <f>image("https://storage.googleapis.com/acdb/photos/BromideNpcNmlRbt09_Remake_3_0.png")</f>
        <v/>
      </c>
      <c r="C2565" s="5" t="s">
        <v>57</v>
      </c>
      <c r="D2565" s="5" t="s">
        <v>1327</v>
      </c>
      <c r="E2565" s="5" t="s">
        <v>34</v>
      </c>
      <c r="F2565" s="5" t="s">
        <v>34</v>
      </c>
      <c r="G2565" s="5" t="s">
        <v>36</v>
      </c>
      <c r="H2565" s="5" t="s">
        <v>35</v>
      </c>
      <c r="I2565" s="6">
        <v>1.0</v>
      </c>
      <c r="J2565" s="6" t="s">
        <v>37</v>
      </c>
      <c r="K2565" s="6">
        <v>10.0</v>
      </c>
      <c r="L2565" s="5"/>
      <c r="M2565" s="5"/>
      <c r="N2565" s="6" t="s">
        <v>40</v>
      </c>
      <c r="O2565" s="5" t="s">
        <v>5363</v>
      </c>
      <c r="P2565" s="6" t="s">
        <v>42</v>
      </c>
      <c r="Q2565" s="5" t="s">
        <v>1237</v>
      </c>
      <c r="R2565" s="5" t="s">
        <v>14386</v>
      </c>
      <c r="S2565" s="6" t="s">
        <v>71</v>
      </c>
      <c r="T2565" s="6">
        <v>6672.0</v>
      </c>
    </row>
    <row r="2566" ht="56.25" customHeight="1">
      <c r="A2566" s="5" t="s">
        <v>14374</v>
      </c>
      <c r="B2566" s="6" t="str">
        <f>image("https://storage.googleapis.com/acdb/photos/BromideNpcNmlRbt09_Remake_4_0.png")</f>
        <v/>
      </c>
      <c r="C2566" s="5" t="s">
        <v>1167</v>
      </c>
      <c r="D2566" s="5" t="s">
        <v>1327</v>
      </c>
      <c r="E2566" s="5" t="s">
        <v>34</v>
      </c>
      <c r="F2566" s="5" t="s">
        <v>34</v>
      </c>
      <c r="G2566" s="5" t="s">
        <v>36</v>
      </c>
      <c r="H2566" s="5" t="s">
        <v>35</v>
      </c>
      <c r="I2566" s="6">
        <v>1.0</v>
      </c>
      <c r="J2566" s="6" t="s">
        <v>37</v>
      </c>
      <c r="K2566" s="6">
        <v>10.0</v>
      </c>
      <c r="L2566" s="5"/>
      <c r="M2566" s="5"/>
      <c r="N2566" s="6" t="s">
        <v>40</v>
      </c>
      <c r="O2566" s="5" t="s">
        <v>5363</v>
      </c>
      <c r="P2566" s="6" t="s">
        <v>42</v>
      </c>
      <c r="Q2566" s="5" t="s">
        <v>1237</v>
      </c>
      <c r="R2566" s="5" t="s">
        <v>14392</v>
      </c>
      <c r="S2566" s="6" t="s">
        <v>75</v>
      </c>
      <c r="T2566" s="6">
        <v>6672.0</v>
      </c>
    </row>
    <row r="2567" ht="56.25" customHeight="1">
      <c r="A2567" s="5" t="s">
        <v>14374</v>
      </c>
      <c r="B2567" s="6" t="str">
        <f>image("https://storage.googleapis.com/acdb/photos/BromideNpcNmlRbt09_Remake_5_0.png")</f>
        <v/>
      </c>
      <c r="C2567" s="5" t="s">
        <v>58</v>
      </c>
      <c r="D2567" s="5" t="s">
        <v>1327</v>
      </c>
      <c r="E2567" s="5" t="s">
        <v>34</v>
      </c>
      <c r="F2567" s="5" t="s">
        <v>34</v>
      </c>
      <c r="G2567" s="5" t="s">
        <v>36</v>
      </c>
      <c r="H2567" s="5" t="s">
        <v>35</v>
      </c>
      <c r="I2567" s="6">
        <v>1.0</v>
      </c>
      <c r="J2567" s="6" t="s">
        <v>37</v>
      </c>
      <c r="K2567" s="6">
        <v>10.0</v>
      </c>
      <c r="L2567" s="5"/>
      <c r="M2567" s="5"/>
      <c r="N2567" s="6" t="s">
        <v>40</v>
      </c>
      <c r="O2567" s="5" t="s">
        <v>5363</v>
      </c>
      <c r="P2567" s="6" t="s">
        <v>42</v>
      </c>
      <c r="Q2567" s="5" t="s">
        <v>1237</v>
      </c>
      <c r="R2567" s="5" t="s">
        <v>14398</v>
      </c>
      <c r="S2567" s="6" t="s">
        <v>79</v>
      </c>
      <c r="T2567" s="6">
        <v>6672.0</v>
      </c>
    </row>
    <row r="2568" ht="56.25" customHeight="1">
      <c r="A2568" s="5" t="s">
        <v>14374</v>
      </c>
      <c r="B2568" s="6" t="str">
        <f>image("https://storage.googleapis.com/acdb/photos/BromideNpcNmlRbt09_Remake_6_0.png")</f>
        <v/>
      </c>
      <c r="C2568" s="5" t="s">
        <v>146</v>
      </c>
      <c r="D2568" s="5" t="s">
        <v>1327</v>
      </c>
      <c r="E2568" s="5" t="s">
        <v>34</v>
      </c>
      <c r="F2568" s="5" t="s">
        <v>34</v>
      </c>
      <c r="G2568" s="5" t="s">
        <v>36</v>
      </c>
      <c r="H2568" s="5" t="s">
        <v>35</v>
      </c>
      <c r="I2568" s="6">
        <v>1.0</v>
      </c>
      <c r="J2568" s="6" t="s">
        <v>37</v>
      </c>
      <c r="K2568" s="6">
        <v>10.0</v>
      </c>
      <c r="L2568" s="5"/>
      <c r="M2568" s="5"/>
      <c r="N2568" s="6" t="s">
        <v>40</v>
      </c>
      <c r="O2568" s="5" t="s">
        <v>5363</v>
      </c>
      <c r="P2568" s="6" t="s">
        <v>42</v>
      </c>
      <c r="Q2568" s="5" t="s">
        <v>1237</v>
      </c>
      <c r="R2568" s="5" t="s">
        <v>14400</v>
      </c>
      <c r="S2568" s="6" t="s">
        <v>86</v>
      </c>
      <c r="T2568" s="6">
        <v>6672.0</v>
      </c>
    </row>
    <row r="2569" ht="56.25" customHeight="1">
      <c r="A2569" s="5" t="s">
        <v>14374</v>
      </c>
      <c r="B2569" s="6" t="str">
        <f>image("https://storage.googleapis.com/acdb/photos/BromideNpcNmlRbt09_Remake_7_0.png")</f>
        <v/>
      </c>
      <c r="C2569" s="5" t="s">
        <v>151</v>
      </c>
      <c r="D2569" s="5" t="s">
        <v>1327</v>
      </c>
      <c r="E2569" s="5" t="s">
        <v>34</v>
      </c>
      <c r="F2569" s="5" t="s">
        <v>34</v>
      </c>
      <c r="G2569" s="5" t="s">
        <v>36</v>
      </c>
      <c r="H2569" s="5" t="s">
        <v>35</v>
      </c>
      <c r="I2569" s="6">
        <v>1.0</v>
      </c>
      <c r="J2569" s="6" t="s">
        <v>37</v>
      </c>
      <c r="K2569" s="6">
        <v>10.0</v>
      </c>
      <c r="L2569" s="5"/>
      <c r="M2569" s="5"/>
      <c r="N2569" s="6" t="s">
        <v>40</v>
      </c>
      <c r="O2569" s="5" t="s">
        <v>5363</v>
      </c>
      <c r="P2569" s="6" t="s">
        <v>42</v>
      </c>
      <c r="Q2569" s="5" t="s">
        <v>1237</v>
      </c>
      <c r="R2569" s="5" t="s">
        <v>14403</v>
      </c>
      <c r="S2569" s="6" t="s">
        <v>208</v>
      </c>
      <c r="T2569" s="6">
        <v>6672.0</v>
      </c>
    </row>
    <row r="2570" ht="56.25" customHeight="1">
      <c r="A2570" s="5" t="s">
        <v>14404</v>
      </c>
      <c r="B2570" s="6" t="str">
        <f>image("https://storage.googleapis.com/acdb/photos/BromideNpcNmlCat20_Remake_0_0.png")</f>
        <v/>
      </c>
      <c r="C2570" s="5" t="s">
        <v>366</v>
      </c>
      <c r="D2570" s="5" t="s">
        <v>1327</v>
      </c>
      <c r="E2570" s="5" t="s">
        <v>34</v>
      </c>
      <c r="F2570" s="5" t="s">
        <v>34</v>
      </c>
      <c r="G2570" s="5" t="s">
        <v>36</v>
      </c>
      <c r="H2570" s="5" t="s">
        <v>35</v>
      </c>
      <c r="I2570" s="6">
        <v>1.0</v>
      </c>
      <c r="J2570" s="6" t="s">
        <v>37</v>
      </c>
      <c r="K2570" s="6">
        <v>10.0</v>
      </c>
      <c r="L2570" s="5"/>
      <c r="M2570" s="5"/>
      <c r="N2570" s="6" t="s">
        <v>40</v>
      </c>
      <c r="O2570" s="5" t="s">
        <v>5363</v>
      </c>
      <c r="P2570" s="6" t="s">
        <v>42</v>
      </c>
      <c r="Q2570" s="5" t="s">
        <v>1237</v>
      </c>
      <c r="R2570" s="5" t="s">
        <v>14406</v>
      </c>
      <c r="S2570" s="6" t="s">
        <v>50</v>
      </c>
      <c r="T2570" s="6">
        <v>6767.0</v>
      </c>
    </row>
    <row r="2571" ht="56.25" customHeight="1">
      <c r="A2571" s="5" t="s">
        <v>14404</v>
      </c>
      <c r="B2571" s="6" t="str">
        <f>image("https://storage.googleapis.com/acdb/photos/BromideNpcNmlCat20_Remake_1_0.png")</f>
        <v/>
      </c>
      <c r="C2571" s="5" t="s">
        <v>1132</v>
      </c>
      <c r="D2571" s="5" t="s">
        <v>1327</v>
      </c>
      <c r="E2571" s="5" t="s">
        <v>34</v>
      </c>
      <c r="F2571" s="5" t="s">
        <v>34</v>
      </c>
      <c r="G2571" s="5" t="s">
        <v>36</v>
      </c>
      <c r="H2571" s="5" t="s">
        <v>35</v>
      </c>
      <c r="I2571" s="6">
        <v>1.0</v>
      </c>
      <c r="J2571" s="6" t="s">
        <v>37</v>
      </c>
      <c r="K2571" s="6">
        <v>10.0</v>
      </c>
      <c r="L2571" s="5"/>
      <c r="M2571" s="5"/>
      <c r="N2571" s="6" t="s">
        <v>40</v>
      </c>
      <c r="O2571" s="5" t="s">
        <v>5363</v>
      </c>
      <c r="P2571" s="6" t="s">
        <v>42</v>
      </c>
      <c r="Q2571" s="5" t="s">
        <v>1237</v>
      </c>
      <c r="R2571" s="5" t="s">
        <v>14410</v>
      </c>
      <c r="S2571" s="6" t="s">
        <v>56</v>
      </c>
      <c r="T2571" s="6">
        <v>6767.0</v>
      </c>
    </row>
    <row r="2572" ht="56.25" customHeight="1">
      <c r="A2572" s="5" t="s">
        <v>14404</v>
      </c>
      <c r="B2572" s="6" t="str">
        <f>image("https://storage.googleapis.com/acdb/photos/BromideNpcNmlCat20_Remake_2_0.png")</f>
        <v/>
      </c>
      <c r="C2572" s="5" t="s">
        <v>688</v>
      </c>
      <c r="D2572" s="5" t="s">
        <v>1327</v>
      </c>
      <c r="E2572" s="5" t="s">
        <v>34</v>
      </c>
      <c r="F2572" s="5" t="s">
        <v>34</v>
      </c>
      <c r="G2572" s="5" t="s">
        <v>36</v>
      </c>
      <c r="H2572" s="5" t="s">
        <v>35</v>
      </c>
      <c r="I2572" s="6">
        <v>1.0</v>
      </c>
      <c r="J2572" s="6" t="s">
        <v>37</v>
      </c>
      <c r="K2572" s="6">
        <v>10.0</v>
      </c>
      <c r="L2572" s="5"/>
      <c r="M2572" s="5"/>
      <c r="N2572" s="6" t="s">
        <v>40</v>
      </c>
      <c r="O2572" s="5" t="s">
        <v>5363</v>
      </c>
      <c r="P2572" s="6" t="s">
        <v>42</v>
      </c>
      <c r="Q2572" s="5" t="s">
        <v>1237</v>
      </c>
      <c r="R2572" s="5" t="s">
        <v>14415</v>
      </c>
      <c r="S2572" s="6" t="s">
        <v>67</v>
      </c>
      <c r="T2572" s="6">
        <v>6767.0</v>
      </c>
    </row>
    <row r="2573" ht="56.25" customHeight="1">
      <c r="A2573" s="5" t="s">
        <v>14404</v>
      </c>
      <c r="B2573" s="6" t="str">
        <f>image("https://storage.googleapis.com/acdb/photos/BromideNpcNmlCat20_Remake_3_0.png")</f>
        <v/>
      </c>
      <c r="C2573" s="5" t="s">
        <v>57</v>
      </c>
      <c r="D2573" s="5" t="s">
        <v>1327</v>
      </c>
      <c r="E2573" s="5" t="s">
        <v>34</v>
      </c>
      <c r="F2573" s="5" t="s">
        <v>34</v>
      </c>
      <c r="G2573" s="5" t="s">
        <v>36</v>
      </c>
      <c r="H2573" s="5" t="s">
        <v>35</v>
      </c>
      <c r="I2573" s="6">
        <v>1.0</v>
      </c>
      <c r="J2573" s="6" t="s">
        <v>37</v>
      </c>
      <c r="K2573" s="6">
        <v>10.0</v>
      </c>
      <c r="L2573" s="5"/>
      <c r="M2573" s="5"/>
      <c r="N2573" s="6" t="s">
        <v>40</v>
      </c>
      <c r="O2573" s="5" t="s">
        <v>5363</v>
      </c>
      <c r="P2573" s="6" t="s">
        <v>42</v>
      </c>
      <c r="Q2573" s="5" t="s">
        <v>1237</v>
      </c>
      <c r="R2573" s="5" t="s">
        <v>14418</v>
      </c>
      <c r="S2573" s="6" t="s">
        <v>71</v>
      </c>
      <c r="T2573" s="6">
        <v>6767.0</v>
      </c>
    </row>
    <row r="2574" ht="56.25" customHeight="1">
      <c r="A2574" s="5" t="s">
        <v>14404</v>
      </c>
      <c r="B2574" s="6" t="str">
        <f>image("https://storage.googleapis.com/acdb/photos/BromideNpcNmlCat20_Remake_4_0.png")</f>
        <v/>
      </c>
      <c r="C2574" s="5" t="s">
        <v>1167</v>
      </c>
      <c r="D2574" s="5" t="s">
        <v>1327</v>
      </c>
      <c r="E2574" s="5" t="s">
        <v>34</v>
      </c>
      <c r="F2574" s="5" t="s">
        <v>34</v>
      </c>
      <c r="G2574" s="5" t="s">
        <v>36</v>
      </c>
      <c r="H2574" s="5" t="s">
        <v>35</v>
      </c>
      <c r="I2574" s="6">
        <v>1.0</v>
      </c>
      <c r="J2574" s="6" t="s">
        <v>37</v>
      </c>
      <c r="K2574" s="6">
        <v>10.0</v>
      </c>
      <c r="L2574" s="5"/>
      <c r="M2574" s="5"/>
      <c r="N2574" s="6" t="s">
        <v>40</v>
      </c>
      <c r="O2574" s="5" t="s">
        <v>5363</v>
      </c>
      <c r="P2574" s="6" t="s">
        <v>42</v>
      </c>
      <c r="Q2574" s="5" t="s">
        <v>1237</v>
      </c>
      <c r="R2574" s="5" t="s">
        <v>14420</v>
      </c>
      <c r="S2574" s="6" t="s">
        <v>75</v>
      </c>
      <c r="T2574" s="6">
        <v>6767.0</v>
      </c>
    </row>
    <row r="2575" ht="56.25" customHeight="1">
      <c r="A2575" s="5" t="s">
        <v>14404</v>
      </c>
      <c r="B2575" s="6" t="str">
        <f>image("https://storage.googleapis.com/acdb/photos/BromideNpcNmlCat20_Remake_5_0.png")</f>
        <v/>
      </c>
      <c r="C2575" s="5" t="s">
        <v>58</v>
      </c>
      <c r="D2575" s="5" t="s">
        <v>1327</v>
      </c>
      <c r="E2575" s="5" t="s">
        <v>34</v>
      </c>
      <c r="F2575" s="5" t="s">
        <v>34</v>
      </c>
      <c r="G2575" s="5" t="s">
        <v>36</v>
      </c>
      <c r="H2575" s="5" t="s">
        <v>35</v>
      </c>
      <c r="I2575" s="6">
        <v>1.0</v>
      </c>
      <c r="J2575" s="6" t="s">
        <v>37</v>
      </c>
      <c r="K2575" s="6">
        <v>10.0</v>
      </c>
      <c r="L2575" s="5"/>
      <c r="M2575" s="5"/>
      <c r="N2575" s="6" t="s">
        <v>40</v>
      </c>
      <c r="O2575" s="5" t="s">
        <v>5363</v>
      </c>
      <c r="P2575" s="6" t="s">
        <v>42</v>
      </c>
      <c r="Q2575" s="5" t="s">
        <v>1237</v>
      </c>
      <c r="R2575" s="5" t="s">
        <v>14423</v>
      </c>
      <c r="S2575" s="6" t="s">
        <v>79</v>
      </c>
      <c r="T2575" s="6">
        <v>6767.0</v>
      </c>
    </row>
    <row r="2576" ht="56.25" customHeight="1">
      <c r="A2576" s="5" t="s">
        <v>14404</v>
      </c>
      <c r="B2576" s="6" t="str">
        <f>image("https://storage.googleapis.com/acdb/photos/BromideNpcNmlCat20_Remake_6_0.png")</f>
        <v/>
      </c>
      <c r="C2576" s="5" t="s">
        <v>146</v>
      </c>
      <c r="D2576" s="5" t="s">
        <v>1327</v>
      </c>
      <c r="E2576" s="5" t="s">
        <v>34</v>
      </c>
      <c r="F2576" s="5" t="s">
        <v>34</v>
      </c>
      <c r="G2576" s="5" t="s">
        <v>36</v>
      </c>
      <c r="H2576" s="5" t="s">
        <v>35</v>
      </c>
      <c r="I2576" s="6">
        <v>1.0</v>
      </c>
      <c r="J2576" s="6" t="s">
        <v>37</v>
      </c>
      <c r="K2576" s="6">
        <v>10.0</v>
      </c>
      <c r="L2576" s="5"/>
      <c r="M2576" s="5"/>
      <c r="N2576" s="6" t="s">
        <v>40</v>
      </c>
      <c r="O2576" s="5" t="s">
        <v>5363</v>
      </c>
      <c r="P2576" s="6" t="s">
        <v>42</v>
      </c>
      <c r="Q2576" s="5" t="s">
        <v>1237</v>
      </c>
      <c r="R2576" s="5" t="s">
        <v>14426</v>
      </c>
      <c r="S2576" s="6" t="s">
        <v>86</v>
      </c>
      <c r="T2576" s="6">
        <v>6767.0</v>
      </c>
    </row>
    <row r="2577" ht="56.25" customHeight="1">
      <c r="A2577" s="5" t="s">
        <v>14404</v>
      </c>
      <c r="B2577" s="6" t="str">
        <f>image("https://storage.googleapis.com/acdb/photos/BromideNpcNmlCat20_Remake_7_0.png")</f>
        <v/>
      </c>
      <c r="C2577" s="5" t="s">
        <v>151</v>
      </c>
      <c r="D2577" s="5" t="s">
        <v>1327</v>
      </c>
      <c r="E2577" s="5" t="s">
        <v>34</v>
      </c>
      <c r="F2577" s="5" t="s">
        <v>34</v>
      </c>
      <c r="G2577" s="5" t="s">
        <v>36</v>
      </c>
      <c r="H2577" s="5" t="s">
        <v>35</v>
      </c>
      <c r="I2577" s="6">
        <v>1.0</v>
      </c>
      <c r="J2577" s="6" t="s">
        <v>37</v>
      </c>
      <c r="K2577" s="6">
        <v>10.0</v>
      </c>
      <c r="L2577" s="5"/>
      <c r="M2577" s="5"/>
      <c r="N2577" s="6" t="s">
        <v>40</v>
      </c>
      <c r="O2577" s="5" t="s">
        <v>5363</v>
      </c>
      <c r="P2577" s="6" t="s">
        <v>42</v>
      </c>
      <c r="Q2577" s="5" t="s">
        <v>1237</v>
      </c>
      <c r="R2577" s="5" t="s">
        <v>14428</v>
      </c>
      <c r="S2577" s="6" t="s">
        <v>208</v>
      </c>
      <c r="T2577" s="6">
        <v>6767.0</v>
      </c>
    </row>
    <row r="2578" ht="56.25" customHeight="1">
      <c r="A2578" s="5" t="s">
        <v>14429</v>
      </c>
      <c r="B2578" s="6" t="str">
        <f>image("https://storage.googleapis.com/acdb/photos/BromideNpcNmlSqu07_Remake_0_0.png")</f>
        <v/>
      </c>
      <c r="C2578" s="5" t="s">
        <v>366</v>
      </c>
      <c r="D2578" s="5" t="s">
        <v>1327</v>
      </c>
      <c r="E2578" s="5" t="s">
        <v>34</v>
      </c>
      <c r="F2578" s="5" t="s">
        <v>34</v>
      </c>
      <c r="G2578" s="5" t="s">
        <v>36</v>
      </c>
      <c r="H2578" s="5" t="s">
        <v>35</v>
      </c>
      <c r="I2578" s="6">
        <v>1.0</v>
      </c>
      <c r="J2578" s="6" t="s">
        <v>37</v>
      </c>
      <c r="K2578" s="6">
        <v>10.0</v>
      </c>
      <c r="L2578" s="5"/>
      <c r="M2578" s="5"/>
      <c r="N2578" s="6" t="s">
        <v>40</v>
      </c>
      <c r="O2578" s="5" t="s">
        <v>5363</v>
      </c>
      <c r="P2578" s="6" t="s">
        <v>42</v>
      </c>
      <c r="Q2578" s="5" t="s">
        <v>1237</v>
      </c>
      <c r="R2578" s="5" t="s">
        <v>14433</v>
      </c>
      <c r="S2578" s="6" t="s">
        <v>50</v>
      </c>
      <c r="T2578" s="6">
        <v>6711.0</v>
      </c>
    </row>
    <row r="2579" ht="56.25" customHeight="1">
      <c r="A2579" s="5" t="s">
        <v>14429</v>
      </c>
      <c r="B2579" s="6" t="str">
        <f>image("https://storage.googleapis.com/acdb/photos/BromideNpcNmlSqu07_Remake_1_0.png")</f>
        <v/>
      </c>
      <c r="C2579" s="5" t="s">
        <v>1132</v>
      </c>
      <c r="D2579" s="5" t="s">
        <v>1327</v>
      </c>
      <c r="E2579" s="5" t="s">
        <v>34</v>
      </c>
      <c r="F2579" s="5" t="s">
        <v>34</v>
      </c>
      <c r="G2579" s="5" t="s">
        <v>36</v>
      </c>
      <c r="H2579" s="5" t="s">
        <v>35</v>
      </c>
      <c r="I2579" s="6">
        <v>1.0</v>
      </c>
      <c r="J2579" s="6" t="s">
        <v>37</v>
      </c>
      <c r="K2579" s="6">
        <v>10.0</v>
      </c>
      <c r="L2579" s="5"/>
      <c r="M2579" s="5"/>
      <c r="N2579" s="6" t="s">
        <v>40</v>
      </c>
      <c r="O2579" s="5" t="s">
        <v>5363</v>
      </c>
      <c r="P2579" s="6" t="s">
        <v>42</v>
      </c>
      <c r="Q2579" s="5" t="s">
        <v>1237</v>
      </c>
      <c r="R2579" s="5" t="s">
        <v>14437</v>
      </c>
      <c r="S2579" s="6" t="s">
        <v>56</v>
      </c>
      <c r="T2579" s="6">
        <v>6711.0</v>
      </c>
    </row>
    <row r="2580" ht="56.25" customHeight="1">
      <c r="A2580" s="5" t="s">
        <v>14429</v>
      </c>
      <c r="B2580" s="6" t="str">
        <f>image("https://storage.googleapis.com/acdb/photos/BromideNpcNmlSqu07_Remake_2_0.png")</f>
        <v/>
      </c>
      <c r="C2580" s="5" t="s">
        <v>688</v>
      </c>
      <c r="D2580" s="5" t="s">
        <v>1327</v>
      </c>
      <c r="E2580" s="5" t="s">
        <v>34</v>
      </c>
      <c r="F2580" s="5" t="s">
        <v>34</v>
      </c>
      <c r="G2580" s="5" t="s">
        <v>36</v>
      </c>
      <c r="H2580" s="5" t="s">
        <v>35</v>
      </c>
      <c r="I2580" s="6">
        <v>1.0</v>
      </c>
      <c r="J2580" s="6" t="s">
        <v>37</v>
      </c>
      <c r="K2580" s="6">
        <v>10.0</v>
      </c>
      <c r="L2580" s="5"/>
      <c r="M2580" s="5"/>
      <c r="N2580" s="6" t="s">
        <v>40</v>
      </c>
      <c r="O2580" s="5" t="s">
        <v>5363</v>
      </c>
      <c r="P2580" s="6" t="s">
        <v>42</v>
      </c>
      <c r="Q2580" s="5" t="s">
        <v>1237</v>
      </c>
      <c r="R2580" s="5" t="s">
        <v>14438</v>
      </c>
      <c r="S2580" s="6" t="s">
        <v>67</v>
      </c>
      <c r="T2580" s="6">
        <v>6711.0</v>
      </c>
    </row>
    <row r="2581" ht="56.25" customHeight="1">
      <c r="A2581" s="5" t="s">
        <v>14429</v>
      </c>
      <c r="B2581" s="6" t="str">
        <f>image("https://storage.googleapis.com/acdb/photos/BromideNpcNmlSqu07_Remake_3_0.png")</f>
        <v/>
      </c>
      <c r="C2581" s="5" t="s">
        <v>57</v>
      </c>
      <c r="D2581" s="5" t="s">
        <v>1327</v>
      </c>
      <c r="E2581" s="5" t="s">
        <v>34</v>
      </c>
      <c r="F2581" s="5" t="s">
        <v>34</v>
      </c>
      <c r="G2581" s="5" t="s">
        <v>36</v>
      </c>
      <c r="H2581" s="5" t="s">
        <v>35</v>
      </c>
      <c r="I2581" s="6">
        <v>1.0</v>
      </c>
      <c r="J2581" s="6" t="s">
        <v>37</v>
      </c>
      <c r="K2581" s="6">
        <v>10.0</v>
      </c>
      <c r="L2581" s="5"/>
      <c r="M2581" s="5"/>
      <c r="N2581" s="6" t="s">
        <v>40</v>
      </c>
      <c r="O2581" s="5" t="s">
        <v>5363</v>
      </c>
      <c r="P2581" s="6" t="s">
        <v>42</v>
      </c>
      <c r="Q2581" s="5" t="s">
        <v>1237</v>
      </c>
      <c r="R2581" s="5" t="s">
        <v>14442</v>
      </c>
      <c r="S2581" s="6" t="s">
        <v>71</v>
      </c>
      <c r="T2581" s="6">
        <v>6711.0</v>
      </c>
    </row>
    <row r="2582" ht="56.25" customHeight="1">
      <c r="A2582" s="5" t="s">
        <v>14429</v>
      </c>
      <c r="B2582" s="6" t="str">
        <f>image("https://storage.googleapis.com/acdb/photos/BromideNpcNmlSqu07_Remake_4_0.png")</f>
        <v/>
      </c>
      <c r="C2582" s="5" t="s">
        <v>1167</v>
      </c>
      <c r="D2582" s="5" t="s">
        <v>1327</v>
      </c>
      <c r="E2582" s="5" t="s">
        <v>34</v>
      </c>
      <c r="F2582" s="5" t="s">
        <v>34</v>
      </c>
      <c r="G2582" s="5" t="s">
        <v>36</v>
      </c>
      <c r="H2582" s="5" t="s">
        <v>35</v>
      </c>
      <c r="I2582" s="6">
        <v>1.0</v>
      </c>
      <c r="J2582" s="6" t="s">
        <v>37</v>
      </c>
      <c r="K2582" s="6">
        <v>10.0</v>
      </c>
      <c r="L2582" s="5"/>
      <c r="M2582" s="5"/>
      <c r="N2582" s="6" t="s">
        <v>40</v>
      </c>
      <c r="O2582" s="5" t="s">
        <v>5363</v>
      </c>
      <c r="P2582" s="6" t="s">
        <v>42</v>
      </c>
      <c r="Q2582" s="5" t="s">
        <v>1237</v>
      </c>
      <c r="R2582" s="5" t="s">
        <v>14446</v>
      </c>
      <c r="S2582" s="6" t="s">
        <v>75</v>
      </c>
      <c r="T2582" s="6">
        <v>6711.0</v>
      </c>
    </row>
    <row r="2583" ht="56.25" customHeight="1">
      <c r="A2583" s="5" t="s">
        <v>14429</v>
      </c>
      <c r="B2583" s="6" t="str">
        <f>image("https://storage.googleapis.com/acdb/photos/BromideNpcNmlSqu07_Remake_5_0.png")</f>
        <v/>
      </c>
      <c r="C2583" s="5" t="s">
        <v>58</v>
      </c>
      <c r="D2583" s="5" t="s">
        <v>1327</v>
      </c>
      <c r="E2583" s="5" t="s">
        <v>34</v>
      </c>
      <c r="F2583" s="5" t="s">
        <v>34</v>
      </c>
      <c r="G2583" s="5" t="s">
        <v>36</v>
      </c>
      <c r="H2583" s="5" t="s">
        <v>35</v>
      </c>
      <c r="I2583" s="6">
        <v>1.0</v>
      </c>
      <c r="J2583" s="6" t="s">
        <v>37</v>
      </c>
      <c r="K2583" s="6">
        <v>10.0</v>
      </c>
      <c r="L2583" s="5"/>
      <c r="M2583" s="5"/>
      <c r="N2583" s="6" t="s">
        <v>40</v>
      </c>
      <c r="O2583" s="5" t="s">
        <v>5363</v>
      </c>
      <c r="P2583" s="6" t="s">
        <v>42</v>
      </c>
      <c r="Q2583" s="5" t="s">
        <v>1237</v>
      </c>
      <c r="R2583" s="5" t="s">
        <v>14451</v>
      </c>
      <c r="S2583" s="6" t="s">
        <v>79</v>
      </c>
      <c r="T2583" s="6">
        <v>6711.0</v>
      </c>
    </row>
    <row r="2584" ht="56.25" customHeight="1">
      <c r="A2584" s="5" t="s">
        <v>14429</v>
      </c>
      <c r="B2584" s="6" t="str">
        <f>image("https://storage.googleapis.com/acdb/photos/BromideNpcNmlSqu07_Remake_6_0.png")</f>
        <v/>
      </c>
      <c r="C2584" s="5" t="s">
        <v>146</v>
      </c>
      <c r="D2584" s="5" t="s">
        <v>1327</v>
      </c>
      <c r="E2584" s="5" t="s">
        <v>34</v>
      </c>
      <c r="F2584" s="5" t="s">
        <v>34</v>
      </c>
      <c r="G2584" s="5" t="s">
        <v>36</v>
      </c>
      <c r="H2584" s="5" t="s">
        <v>35</v>
      </c>
      <c r="I2584" s="6">
        <v>1.0</v>
      </c>
      <c r="J2584" s="6" t="s">
        <v>37</v>
      </c>
      <c r="K2584" s="6">
        <v>10.0</v>
      </c>
      <c r="L2584" s="5"/>
      <c r="M2584" s="5"/>
      <c r="N2584" s="6" t="s">
        <v>40</v>
      </c>
      <c r="O2584" s="5" t="s">
        <v>5363</v>
      </c>
      <c r="P2584" s="6" t="s">
        <v>42</v>
      </c>
      <c r="Q2584" s="5" t="s">
        <v>1237</v>
      </c>
      <c r="R2584" s="5" t="s">
        <v>14455</v>
      </c>
      <c r="S2584" s="6" t="s">
        <v>86</v>
      </c>
      <c r="T2584" s="6">
        <v>6711.0</v>
      </c>
    </row>
    <row r="2585" ht="56.25" customHeight="1">
      <c r="A2585" s="5" t="s">
        <v>14429</v>
      </c>
      <c r="B2585" s="6" t="str">
        <f>image("https://storage.googleapis.com/acdb/photos/BromideNpcNmlSqu07_Remake_7_0.png")</f>
        <v/>
      </c>
      <c r="C2585" s="5" t="s">
        <v>151</v>
      </c>
      <c r="D2585" s="5" t="s">
        <v>1327</v>
      </c>
      <c r="E2585" s="5" t="s">
        <v>34</v>
      </c>
      <c r="F2585" s="5" t="s">
        <v>34</v>
      </c>
      <c r="G2585" s="5" t="s">
        <v>36</v>
      </c>
      <c r="H2585" s="5" t="s">
        <v>35</v>
      </c>
      <c r="I2585" s="6">
        <v>1.0</v>
      </c>
      <c r="J2585" s="6" t="s">
        <v>37</v>
      </c>
      <c r="K2585" s="6">
        <v>10.0</v>
      </c>
      <c r="L2585" s="5"/>
      <c r="M2585" s="5"/>
      <c r="N2585" s="6" t="s">
        <v>40</v>
      </c>
      <c r="O2585" s="5" t="s">
        <v>5363</v>
      </c>
      <c r="P2585" s="6" t="s">
        <v>42</v>
      </c>
      <c r="Q2585" s="5" t="s">
        <v>1237</v>
      </c>
      <c r="R2585" s="5" t="s">
        <v>14461</v>
      </c>
      <c r="S2585" s="6" t="s">
        <v>208</v>
      </c>
      <c r="T2585" s="6">
        <v>6711.0</v>
      </c>
    </row>
    <row r="2586" ht="56.25" customHeight="1">
      <c r="A2586" s="5" t="s">
        <v>14462</v>
      </c>
      <c r="B2586" s="6" t="str">
        <f>image("https://storage.googleapis.com/acdb/photos/BromideNpcNmlMus04_Remake_0_0.png")</f>
        <v/>
      </c>
      <c r="C2586" s="5" t="s">
        <v>366</v>
      </c>
      <c r="D2586" s="5" t="s">
        <v>1327</v>
      </c>
      <c r="E2586" s="5" t="s">
        <v>34</v>
      </c>
      <c r="F2586" s="5" t="s">
        <v>34</v>
      </c>
      <c r="G2586" s="5" t="s">
        <v>36</v>
      </c>
      <c r="H2586" s="5" t="s">
        <v>35</v>
      </c>
      <c r="I2586" s="6">
        <v>1.0</v>
      </c>
      <c r="J2586" s="6" t="s">
        <v>37</v>
      </c>
      <c r="K2586" s="6">
        <v>10.0</v>
      </c>
      <c r="L2586" s="5"/>
      <c r="M2586" s="5"/>
      <c r="N2586" s="6" t="s">
        <v>40</v>
      </c>
      <c r="O2586" s="5" t="s">
        <v>5363</v>
      </c>
      <c r="P2586" s="6" t="s">
        <v>42</v>
      </c>
      <c r="Q2586" s="5" t="s">
        <v>1237</v>
      </c>
      <c r="R2586" s="5" t="s">
        <v>14465</v>
      </c>
      <c r="S2586" s="6" t="s">
        <v>50</v>
      </c>
      <c r="T2586" s="6">
        <v>6594.0</v>
      </c>
    </row>
    <row r="2587" ht="56.25" customHeight="1">
      <c r="A2587" s="5" t="s">
        <v>14462</v>
      </c>
      <c r="B2587" s="6" t="str">
        <f>image("https://storage.googleapis.com/acdb/photos/BromideNpcNmlMus04_Remake_1_0.png")</f>
        <v/>
      </c>
      <c r="C2587" s="5" t="s">
        <v>1132</v>
      </c>
      <c r="D2587" s="5" t="s">
        <v>1327</v>
      </c>
      <c r="E2587" s="5" t="s">
        <v>34</v>
      </c>
      <c r="F2587" s="5" t="s">
        <v>34</v>
      </c>
      <c r="G2587" s="5" t="s">
        <v>36</v>
      </c>
      <c r="H2587" s="5" t="s">
        <v>35</v>
      </c>
      <c r="I2587" s="6">
        <v>1.0</v>
      </c>
      <c r="J2587" s="6" t="s">
        <v>37</v>
      </c>
      <c r="K2587" s="6">
        <v>10.0</v>
      </c>
      <c r="L2587" s="5"/>
      <c r="M2587" s="5"/>
      <c r="N2587" s="6" t="s">
        <v>40</v>
      </c>
      <c r="O2587" s="5" t="s">
        <v>5363</v>
      </c>
      <c r="P2587" s="6" t="s">
        <v>42</v>
      </c>
      <c r="Q2587" s="5" t="s">
        <v>1237</v>
      </c>
      <c r="R2587" s="5" t="s">
        <v>14470</v>
      </c>
      <c r="S2587" s="6" t="s">
        <v>56</v>
      </c>
      <c r="T2587" s="6">
        <v>6594.0</v>
      </c>
    </row>
    <row r="2588" ht="56.25" customHeight="1">
      <c r="A2588" s="5" t="s">
        <v>14462</v>
      </c>
      <c r="B2588" s="6" t="str">
        <f>image("https://storage.googleapis.com/acdb/photos/BromideNpcNmlMus04_Remake_2_0.png")</f>
        <v/>
      </c>
      <c r="C2588" s="5" t="s">
        <v>688</v>
      </c>
      <c r="D2588" s="5" t="s">
        <v>1327</v>
      </c>
      <c r="E2588" s="5" t="s">
        <v>34</v>
      </c>
      <c r="F2588" s="5" t="s">
        <v>34</v>
      </c>
      <c r="G2588" s="5" t="s">
        <v>36</v>
      </c>
      <c r="H2588" s="5" t="s">
        <v>35</v>
      </c>
      <c r="I2588" s="6">
        <v>1.0</v>
      </c>
      <c r="J2588" s="6" t="s">
        <v>37</v>
      </c>
      <c r="K2588" s="6">
        <v>10.0</v>
      </c>
      <c r="L2588" s="5"/>
      <c r="M2588" s="5"/>
      <c r="N2588" s="6" t="s">
        <v>40</v>
      </c>
      <c r="O2588" s="5" t="s">
        <v>5363</v>
      </c>
      <c r="P2588" s="6" t="s">
        <v>42</v>
      </c>
      <c r="Q2588" s="5" t="s">
        <v>1237</v>
      </c>
      <c r="R2588" s="5" t="s">
        <v>14474</v>
      </c>
      <c r="S2588" s="6" t="s">
        <v>67</v>
      </c>
      <c r="T2588" s="6">
        <v>6594.0</v>
      </c>
    </row>
    <row r="2589" ht="56.25" customHeight="1">
      <c r="A2589" s="5" t="s">
        <v>14462</v>
      </c>
      <c r="B2589" s="6" t="str">
        <f>image("https://storage.googleapis.com/acdb/photos/BromideNpcNmlMus04_Remake_3_0.png")</f>
        <v/>
      </c>
      <c r="C2589" s="5" t="s">
        <v>57</v>
      </c>
      <c r="D2589" s="5" t="s">
        <v>1327</v>
      </c>
      <c r="E2589" s="5" t="s">
        <v>34</v>
      </c>
      <c r="F2589" s="5" t="s">
        <v>34</v>
      </c>
      <c r="G2589" s="5" t="s">
        <v>36</v>
      </c>
      <c r="H2589" s="5" t="s">
        <v>35</v>
      </c>
      <c r="I2589" s="6">
        <v>1.0</v>
      </c>
      <c r="J2589" s="6" t="s">
        <v>37</v>
      </c>
      <c r="K2589" s="6">
        <v>10.0</v>
      </c>
      <c r="L2589" s="5"/>
      <c r="M2589" s="5"/>
      <c r="N2589" s="6" t="s">
        <v>40</v>
      </c>
      <c r="O2589" s="5" t="s">
        <v>5363</v>
      </c>
      <c r="P2589" s="6" t="s">
        <v>42</v>
      </c>
      <c r="Q2589" s="5" t="s">
        <v>1237</v>
      </c>
      <c r="R2589" s="5" t="s">
        <v>14476</v>
      </c>
      <c r="S2589" s="6" t="s">
        <v>71</v>
      </c>
      <c r="T2589" s="6">
        <v>6594.0</v>
      </c>
    </row>
    <row r="2590" ht="56.25" customHeight="1">
      <c r="A2590" s="5" t="s">
        <v>14462</v>
      </c>
      <c r="B2590" s="6" t="str">
        <f>image("https://storage.googleapis.com/acdb/photos/BromideNpcNmlMus04_Remake_4_0.png")</f>
        <v/>
      </c>
      <c r="C2590" s="5" t="s">
        <v>1167</v>
      </c>
      <c r="D2590" s="5" t="s">
        <v>1327</v>
      </c>
      <c r="E2590" s="5" t="s">
        <v>34</v>
      </c>
      <c r="F2590" s="5" t="s">
        <v>34</v>
      </c>
      <c r="G2590" s="5" t="s">
        <v>36</v>
      </c>
      <c r="H2590" s="5" t="s">
        <v>35</v>
      </c>
      <c r="I2590" s="6">
        <v>1.0</v>
      </c>
      <c r="J2590" s="6" t="s">
        <v>37</v>
      </c>
      <c r="K2590" s="6">
        <v>10.0</v>
      </c>
      <c r="L2590" s="5"/>
      <c r="M2590" s="5"/>
      <c r="N2590" s="6" t="s">
        <v>40</v>
      </c>
      <c r="O2590" s="5" t="s">
        <v>5363</v>
      </c>
      <c r="P2590" s="6" t="s">
        <v>42</v>
      </c>
      <c r="Q2590" s="5" t="s">
        <v>1237</v>
      </c>
      <c r="R2590" s="5" t="s">
        <v>14479</v>
      </c>
      <c r="S2590" s="6" t="s">
        <v>75</v>
      </c>
      <c r="T2590" s="6">
        <v>6594.0</v>
      </c>
    </row>
    <row r="2591" ht="56.25" customHeight="1">
      <c r="A2591" s="5" t="s">
        <v>14462</v>
      </c>
      <c r="B2591" s="6" t="str">
        <f>image("https://storage.googleapis.com/acdb/photos/BromideNpcNmlMus04_Remake_5_0.png")</f>
        <v/>
      </c>
      <c r="C2591" s="5" t="s">
        <v>58</v>
      </c>
      <c r="D2591" s="5" t="s">
        <v>1327</v>
      </c>
      <c r="E2591" s="5" t="s">
        <v>34</v>
      </c>
      <c r="F2591" s="5" t="s">
        <v>34</v>
      </c>
      <c r="G2591" s="5" t="s">
        <v>36</v>
      </c>
      <c r="H2591" s="5" t="s">
        <v>35</v>
      </c>
      <c r="I2591" s="6">
        <v>1.0</v>
      </c>
      <c r="J2591" s="6" t="s">
        <v>37</v>
      </c>
      <c r="K2591" s="6">
        <v>10.0</v>
      </c>
      <c r="L2591" s="5"/>
      <c r="M2591" s="5"/>
      <c r="N2591" s="6" t="s">
        <v>40</v>
      </c>
      <c r="O2591" s="5" t="s">
        <v>5363</v>
      </c>
      <c r="P2591" s="6" t="s">
        <v>42</v>
      </c>
      <c r="Q2591" s="5" t="s">
        <v>1237</v>
      </c>
      <c r="R2591" s="5" t="s">
        <v>14482</v>
      </c>
      <c r="S2591" s="6" t="s">
        <v>79</v>
      </c>
      <c r="T2591" s="6">
        <v>6594.0</v>
      </c>
    </row>
    <row r="2592" ht="56.25" customHeight="1">
      <c r="A2592" s="5" t="s">
        <v>14462</v>
      </c>
      <c r="B2592" s="6" t="str">
        <f>image("https://storage.googleapis.com/acdb/photos/BromideNpcNmlMus04_Remake_6_0.png")</f>
        <v/>
      </c>
      <c r="C2592" s="5" t="s">
        <v>146</v>
      </c>
      <c r="D2592" s="5" t="s">
        <v>1327</v>
      </c>
      <c r="E2592" s="5" t="s">
        <v>34</v>
      </c>
      <c r="F2592" s="5" t="s">
        <v>34</v>
      </c>
      <c r="G2592" s="5" t="s">
        <v>36</v>
      </c>
      <c r="H2592" s="5" t="s">
        <v>35</v>
      </c>
      <c r="I2592" s="6">
        <v>1.0</v>
      </c>
      <c r="J2592" s="6" t="s">
        <v>37</v>
      </c>
      <c r="K2592" s="6">
        <v>10.0</v>
      </c>
      <c r="L2592" s="5"/>
      <c r="M2592" s="5"/>
      <c r="N2592" s="6" t="s">
        <v>40</v>
      </c>
      <c r="O2592" s="5" t="s">
        <v>5363</v>
      </c>
      <c r="P2592" s="6" t="s">
        <v>42</v>
      </c>
      <c r="Q2592" s="5" t="s">
        <v>1237</v>
      </c>
      <c r="R2592" s="5" t="s">
        <v>14484</v>
      </c>
      <c r="S2592" s="6" t="s">
        <v>86</v>
      </c>
      <c r="T2592" s="6">
        <v>6594.0</v>
      </c>
    </row>
    <row r="2593" ht="56.25" customHeight="1">
      <c r="A2593" s="5" t="s">
        <v>14462</v>
      </c>
      <c r="B2593" s="6" t="str">
        <f>image("https://storage.googleapis.com/acdb/photos/BromideNpcNmlMus04_Remake_7_0.png")</f>
        <v/>
      </c>
      <c r="C2593" s="5" t="s">
        <v>151</v>
      </c>
      <c r="D2593" s="5" t="s">
        <v>1327</v>
      </c>
      <c r="E2593" s="5" t="s">
        <v>34</v>
      </c>
      <c r="F2593" s="5" t="s">
        <v>34</v>
      </c>
      <c r="G2593" s="5" t="s">
        <v>36</v>
      </c>
      <c r="H2593" s="5" t="s">
        <v>35</v>
      </c>
      <c r="I2593" s="6">
        <v>1.0</v>
      </c>
      <c r="J2593" s="6" t="s">
        <v>37</v>
      </c>
      <c r="K2593" s="6">
        <v>10.0</v>
      </c>
      <c r="L2593" s="5"/>
      <c r="M2593" s="5"/>
      <c r="N2593" s="6" t="s">
        <v>40</v>
      </c>
      <c r="O2593" s="5" t="s">
        <v>5363</v>
      </c>
      <c r="P2593" s="6" t="s">
        <v>42</v>
      </c>
      <c r="Q2593" s="5" t="s">
        <v>1237</v>
      </c>
      <c r="R2593" s="5" t="s">
        <v>14487</v>
      </c>
      <c r="S2593" s="6" t="s">
        <v>208</v>
      </c>
      <c r="T2593" s="6">
        <v>6594.0</v>
      </c>
    </row>
    <row r="2594" ht="56.25" customHeight="1">
      <c r="A2594" s="5" t="s">
        <v>14488</v>
      </c>
      <c r="B2594" s="6" t="str">
        <f>image("https://storage.googleapis.com/acdb/photos/BromideNpcNmlOst02_Remake_0_0.png")</f>
        <v/>
      </c>
      <c r="C2594" s="5" t="s">
        <v>366</v>
      </c>
      <c r="D2594" s="5" t="s">
        <v>1327</v>
      </c>
      <c r="E2594" s="5" t="s">
        <v>34</v>
      </c>
      <c r="F2594" s="5" t="s">
        <v>34</v>
      </c>
      <c r="G2594" s="5" t="s">
        <v>36</v>
      </c>
      <c r="H2594" s="5" t="s">
        <v>35</v>
      </c>
      <c r="I2594" s="6">
        <v>1.0</v>
      </c>
      <c r="J2594" s="6" t="s">
        <v>37</v>
      </c>
      <c r="K2594" s="6">
        <v>10.0</v>
      </c>
      <c r="L2594" s="5"/>
      <c r="M2594" s="5"/>
      <c r="N2594" s="6" t="s">
        <v>40</v>
      </c>
      <c r="O2594" s="5" t="s">
        <v>5363</v>
      </c>
      <c r="P2594" s="6" t="s">
        <v>42</v>
      </c>
      <c r="Q2594" s="5" t="s">
        <v>1237</v>
      </c>
      <c r="R2594" s="5" t="s">
        <v>14490</v>
      </c>
      <c r="S2594" s="6" t="s">
        <v>50</v>
      </c>
      <c r="T2594" s="6">
        <v>6611.0</v>
      </c>
    </row>
    <row r="2595" ht="56.25" customHeight="1">
      <c r="A2595" s="5" t="s">
        <v>14488</v>
      </c>
      <c r="B2595" s="6" t="str">
        <f>image("https://storage.googleapis.com/acdb/photos/BromideNpcNmlOst02_Remake_1_0.png")</f>
        <v/>
      </c>
      <c r="C2595" s="5" t="s">
        <v>1132</v>
      </c>
      <c r="D2595" s="5" t="s">
        <v>1327</v>
      </c>
      <c r="E2595" s="5" t="s">
        <v>34</v>
      </c>
      <c r="F2595" s="5" t="s">
        <v>34</v>
      </c>
      <c r="G2595" s="5" t="s">
        <v>36</v>
      </c>
      <c r="H2595" s="5" t="s">
        <v>35</v>
      </c>
      <c r="I2595" s="6">
        <v>1.0</v>
      </c>
      <c r="J2595" s="6" t="s">
        <v>37</v>
      </c>
      <c r="K2595" s="6">
        <v>10.0</v>
      </c>
      <c r="L2595" s="5"/>
      <c r="M2595" s="5"/>
      <c r="N2595" s="6" t="s">
        <v>40</v>
      </c>
      <c r="O2595" s="5" t="s">
        <v>5363</v>
      </c>
      <c r="P2595" s="6" t="s">
        <v>42</v>
      </c>
      <c r="Q2595" s="5" t="s">
        <v>1237</v>
      </c>
      <c r="R2595" s="5" t="s">
        <v>14493</v>
      </c>
      <c r="S2595" s="6" t="s">
        <v>56</v>
      </c>
      <c r="T2595" s="6">
        <v>6611.0</v>
      </c>
    </row>
    <row r="2596" ht="56.25" customHeight="1">
      <c r="A2596" s="5" t="s">
        <v>14488</v>
      </c>
      <c r="B2596" s="6" t="str">
        <f>image("https://storage.googleapis.com/acdb/photos/BromideNpcNmlOst02_Remake_2_0.png")</f>
        <v/>
      </c>
      <c r="C2596" s="5" t="s">
        <v>688</v>
      </c>
      <c r="D2596" s="5" t="s">
        <v>1327</v>
      </c>
      <c r="E2596" s="5" t="s">
        <v>34</v>
      </c>
      <c r="F2596" s="5" t="s">
        <v>34</v>
      </c>
      <c r="G2596" s="5" t="s">
        <v>36</v>
      </c>
      <c r="H2596" s="5" t="s">
        <v>35</v>
      </c>
      <c r="I2596" s="6">
        <v>1.0</v>
      </c>
      <c r="J2596" s="6" t="s">
        <v>37</v>
      </c>
      <c r="K2596" s="6">
        <v>10.0</v>
      </c>
      <c r="L2596" s="5"/>
      <c r="M2596" s="5"/>
      <c r="N2596" s="6" t="s">
        <v>40</v>
      </c>
      <c r="O2596" s="5" t="s">
        <v>5363</v>
      </c>
      <c r="P2596" s="6" t="s">
        <v>42</v>
      </c>
      <c r="Q2596" s="5" t="s">
        <v>1237</v>
      </c>
      <c r="R2596" s="5" t="s">
        <v>14495</v>
      </c>
      <c r="S2596" s="6" t="s">
        <v>67</v>
      </c>
      <c r="T2596" s="6">
        <v>6611.0</v>
      </c>
    </row>
    <row r="2597" ht="56.25" customHeight="1">
      <c r="A2597" s="5" t="s">
        <v>14488</v>
      </c>
      <c r="B2597" s="6" t="str">
        <f>image("https://storage.googleapis.com/acdb/photos/BromideNpcNmlOst02_Remake_3_0.png")</f>
        <v/>
      </c>
      <c r="C2597" s="5" t="s">
        <v>57</v>
      </c>
      <c r="D2597" s="5" t="s">
        <v>1327</v>
      </c>
      <c r="E2597" s="5" t="s">
        <v>34</v>
      </c>
      <c r="F2597" s="5" t="s">
        <v>34</v>
      </c>
      <c r="G2597" s="5" t="s">
        <v>36</v>
      </c>
      <c r="H2597" s="5" t="s">
        <v>35</v>
      </c>
      <c r="I2597" s="6">
        <v>1.0</v>
      </c>
      <c r="J2597" s="6" t="s">
        <v>37</v>
      </c>
      <c r="K2597" s="6">
        <v>10.0</v>
      </c>
      <c r="L2597" s="5"/>
      <c r="M2597" s="5"/>
      <c r="N2597" s="6" t="s">
        <v>40</v>
      </c>
      <c r="O2597" s="5" t="s">
        <v>5363</v>
      </c>
      <c r="P2597" s="6" t="s">
        <v>42</v>
      </c>
      <c r="Q2597" s="5" t="s">
        <v>1237</v>
      </c>
      <c r="R2597" s="5" t="s">
        <v>14500</v>
      </c>
      <c r="S2597" s="6" t="s">
        <v>71</v>
      </c>
      <c r="T2597" s="6">
        <v>6611.0</v>
      </c>
    </row>
    <row r="2598" ht="56.25" customHeight="1">
      <c r="A2598" s="5" t="s">
        <v>14488</v>
      </c>
      <c r="B2598" s="6" t="str">
        <f>image("https://storage.googleapis.com/acdb/photos/BromideNpcNmlOst02_Remake_4_0.png")</f>
        <v/>
      </c>
      <c r="C2598" s="5" t="s">
        <v>1167</v>
      </c>
      <c r="D2598" s="5" t="s">
        <v>1327</v>
      </c>
      <c r="E2598" s="5" t="s">
        <v>34</v>
      </c>
      <c r="F2598" s="5" t="s">
        <v>34</v>
      </c>
      <c r="G2598" s="5" t="s">
        <v>36</v>
      </c>
      <c r="H2598" s="5" t="s">
        <v>35</v>
      </c>
      <c r="I2598" s="6">
        <v>1.0</v>
      </c>
      <c r="J2598" s="6" t="s">
        <v>37</v>
      </c>
      <c r="K2598" s="6">
        <v>10.0</v>
      </c>
      <c r="L2598" s="5"/>
      <c r="M2598" s="5"/>
      <c r="N2598" s="6" t="s">
        <v>40</v>
      </c>
      <c r="O2598" s="5" t="s">
        <v>5363</v>
      </c>
      <c r="P2598" s="6" t="s">
        <v>42</v>
      </c>
      <c r="Q2598" s="5" t="s">
        <v>1237</v>
      </c>
      <c r="R2598" s="5" t="s">
        <v>14502</v>
      </c>
      <c r="S2598" s="6" t="s">
        <v>75</v>
      </c>
      <c r="T2598" s="6">
        <v>6611.0</v>
      </c>
    </row>
    <row r="2599" ht="56.25" customHeight="1">
      <c r="A2599" s="5" t="s">
        <v>14488</v>
      </c>
      <c r="B2599" s="6" t="str">
        <f>image("https://storage.googleapis.com/acdb/photos/BromideNpcNmlOst02_Remake_5_0.png")</f>
        <v/>
      </c>
      <c r="C2599" s="5" t="s">
        <v>58</v>
      </c>
      <c r="D2599" s="5" t="s">
        <v>1327</v>
      </c>
      <c r="E2599" s="5" t="s">
        <v>34</v>
      </c>
      <c r="F2599" s="5" t="s">
        <v>34</v>
      </c>
      <c r="G2599" s="5" t="s">
        <v>36</v>
      </c>
      <c r="H2599" s="5" t="s">
        <v>35</v>
      </c>
      <c r="I2599" s="6">
        <v>1.0</v>
      </c>
      <c r="J2599" s="6" t="s">
        <v>37</v>
      </c>
      <c r="K2599" s="6">
        <v>10.0</v>
      </c>
      <c r="L2599" s="5"/>
      <c r="M2599" s="5"/>
      <c r="N2599" s="6" t="s">
        <v>40</v>
      </c>
      <c r="O2599" s="5" t="s">
        <v>5363</v>
      </c>
      <c r="P2599" s="6" t="s">
        <v>42</v>
      </c>
      <c r="Q2599" s="5" t="s">
        <v>1237</v>
      </c>
      <c r="R2599" s="5" t="s">
        <v>14507</v>
      </c>
      <c r="S2599" s="6" t="s">
        <v>79</v>
      </c>
      <c r="T2599" s="6">
        <v>6611.0</v>
      </c>
    </row>
    <row r="2600" ht="56.25" customHeight="1">
      <c r="A2600" s="5" t="s">
        <v>14488</v>
      </c>
      <c r="B2600" s="6" t="str">
        <f>image("https://storage.googleapis.com/acdb/photos/BromideNpcNmlOst02_Remake_6_0.png")</f>
        <v/>
      </c>
      <c r="C2600" s="5" t="s">
        <v>146</v>
      </c>
      <c r="D2600" s="5" t="s">
        <v>1327</v>
      </c>
      <c r="E2600" s="5" t="s">
        <v>34</v>
      </c>
      <c r="F2600" s="5" t="s">
        <v>34</v>
      </c>
      <c r="G2600" s="5" t="s">
        <v>36</v>
      </c>
      <c r="H2600" s="5" t="s">
        <v>35</v>
      </c>
      <c r="I2600" s="6">
        <v>1.0</v>
      </c>
      <c r="J2600" s="6" t="s">
        <v>37</v>
      </c>
      <c r="K2600" s="6">
        <v>10.0</v>
      </c>
      <c r="L2600" s="5"/>
      <c r="M2600" s="5"/>
      <c r="N2600" s="6" t="s">
        <v>40</v>
      </c>
      <c r="O2600" s="5" t="s">
        <v>5363</v>
      </c>
      <c r="P2600" s="6" t="s">
        <v>42</v>
      </c>
      <c r="Q2600" s="5" t="s">
        <v>1237</v>
      </c>
      <c r="R2600" s="5" t="s">
        <v>14510</v>
      </c>
      <c r="S2600" s="6" t="s">
        <v>86</v>
      </c>
      <c r="T2600" s="6">
        <v>6611.0</v>
      </c>
    </row>
    <row r="2601" ht="56.25" customHeight="1">
      <c r="A2601" s="5" t="s">
        <v>14488</v>
      </c>
      <c r="B2601" s="6" t="str">
        <f>image("https://storage.googleapis.com/acdb/photos/BromideNpcNmlOst02_Remake_7_0.png")</f>
        <v/>
      </c>
      <c r="C2601" s="5" t="s">
        <v>151</v>
      </c>
      <c r="D2601" s="5" t="s">
        <v>1327</v>
      </c>
      <c r="E2601" s="5" t="s">
        <v>34</v>
      </c>
      <c r="F2601" s="5" t="s">
        <v>34</v>
      </c>
      <c r="G2601" s="5" t="s">
        <v>36</v>
      </c>
      <c r="H2601" s="5" t="s">
        <v>35</v>
      </c>
      <c r="I2601" s="6">
        <v>1.0</v>
      </c>
      <c r="J2601" s="6" t="s">
        <v>37</v>
      </c>
      <c r="K2601" s="6">
        <v>10.0</v>
      </c>
      <c r="L2601" s="5"/>
      <c r="M2601" s="5"/>
      <c r="N2601" s="6" t="s">
        <v>40</v>
      </c>
      <c r="O2601" s="5" t="s">
        <v>5363</v>
      </c>
      <c r="P2601" s="6" t="s">
        <v>42</v>
      </c>
      <c r="Q2601" s="5" t="s">
        <v>1237</v>
      </c>
      <c r="R2601" s="5" t="s">
        <v>14513</v>
      </c>
      <c r="S2601" s="6" t="s">
        <v>208</v>
      </c>
      <c r="T2601" s="6">
        <v>6611.0</v>
      </c>
    </row>
    <row r="2602" ht="56.25" customHeight="1">
      <c r="A2602" s="5" t="s">
        <v>14514</v>
      </c>
      <c r="B2602" s="6" t="str">
        <f>image("https://storage.googleapis.com/acdb/photos/BromideNpcNmlHrs02_Remake_0_0.png")</f>
        <v/>
      </c>
      <c r="C2602" s="5" t="s">
        <v>366</v>
      </c>
      <c r="D2602" s="5" t="s">
        <v>1327</v>
      </c>
      <c r="E2602" s="5" t="s">
        <v>34</v>
      </c>
      <c r="F2602" s="5" t="s">
        <v>34</v>
      </c>
      <c r="G2602" s="5" t="s">
        <v>36</v>
      </c>
      <c r="H2602" s="5" t="s">
        <v>35</v>
      </c>
      <c r="I2602" s="6">
        <v>1.0</v>
      </c>
      <c r="J2602" s="6" t="s">
        <v>37</v>
      </c>
      <c r="K2602" s="6">
        <v>10.0</v>
      </c>
      <c r="L2602" s="5"/>
      <c r="M2602" s="5"/>
      <c r="N2602" s="6" t="s">
        <v>40</v>
      </c>
      <c r="O2602" s="5" t="s">
        <v>5363</v>
      </c>
      <c r="P2602" s="6" t="s">
        <v>42</v>
      </c>
      <c r="Q2602" s="5" t="s">
        <v>1237</v>
      </c>
      <c r="R2602" s="5" t="s">
        <v>14516</v>
      </c>
      <c r="S2602" s="6" t="s">
        <v>50</v>
      </c>
      <c r="T2602" s="6">
        <v>6541.0</v>
      </c>
    </row>
    <row r="2603" ht="56.25" customHeight="1">
      <c r="A2603" s="5" t="s">
        <v>14514</v>
      </c>
      <c r="B2603" s="6" t="str">
        <f>image("https://storage.googleapis.com/acdb/photos/BromideNpcNmlHrs02_Remake_1_0.png")</f>
        <v/>
      </c>
      <c r="C2603" s="5" t="s">
        <v>1132</v>
      </c>
      <c r="D2603" s="5" t="s">
        <v>1327</v>
      </c>
      <c r="E2603" s="5" t="s">
        <v>34</v>
      </c>
      <c r="F2603" s="5" t="s">
        <v>34</v>
      </c>
      <c r="G2603" s="5" t="s">
        <v>36</v>
      </c>
      <c r="H2603" s="5" t="s">
        <v>35</v>
      </c>
      <c r="I2603" s="6">
        <v>1.0</v>
      </c>
      <c r="J2603" s="6" t="s">
        <v>37</v>
      </c>
      <c r="K2603" s="6">
        <v>10.0</v>
      </c>
      <c r="L2603" s="5"/>
      <c r="M2603" s="5"/>
      <c r="N2603" s="6" t="s">
        <v>40</v>
      </c>
      <c r="O2603" s="5" t="s">
        <v>5363</v>
      </c>
      <c r="P2603" s="6" t="s">
        <v>42</v>
      </c>
      <c r="Q2603" s="5" t="s">
        <v>1237</v>
      </c>
      <c r="R2603" s="5" t="s">
        <v>14519</v>
      </c>
      <c r="S2603" s="6" t="s">
        <v>56</v>
      </c>
      <c r="T2603" s="6">
        <v>6541.0</v>
      </c>
    </row>
    <row r="2604" ht="56.25" customHeight="1">
      <c r="A2604" s="5" t="s">
        <v>14514</v>
      </c>
      <c r="B2604" s="6" t="str">
        <f>image("https://storage.googleapis.com/acdb/photos/BromideNpcNmlHrs02_Remake_2_0.png")</f>
        <v/>
      </c>
      <c r="C2604" s="5" t="s">
        <v>688</v>
      </c>
      <c r="D2604" s="5" t="s">
        <v>1327</v>
      </c>
      <c r="E2604" s="5" t="s">
        <v>34</v>
      </c>
      <c r="F2604" s="5" t="s">
        <v>34</v>
      </c>
      <c r="G2604" s="5" t="s">
        <v>36</v>
      </c>
      <c r="H2604" s="5" t="s">
        <v>35</v>
      </c>
      <c r="I2604" s="6">
        <v>1.0</v>
      </c>
      <c r="J2604" s="6" t="s">
        <v>37</v>
      </c>
      <c r="K2604" s="6">
        <v>10.0</v>
      </c>
      <c r="L2604" s="5"/>
      <c r="M2604" s="5"/>
      <c r="N2604" s="6" t="s">
        <v>40</v>
      </c>
      <c r="O2604" s="5" t="s">
        <v>5363</v>
      </c>
      <c r="P2604" s="6" t="s">
        <v>42</v>
      </c>
      <c r="Q2604" s="5" t="s">
        <v>1237</v>
      </c>
      <c r="R2604" s="5" t="s">
        <v>14522</v>
      </c>
      <c r="S2604" s="6" t="s">
        <v>67</v>
      </c>
      <c r="T2604" s="6">
        <v>6541.0</v>
      </c>
    </row>
    <row r="2605" ht="56.25" customHeight="1">
      <c r="A2605" s="5" t="s">
        <v>14514</v>
      </c>
      <c r="B2605" s="6" t="str">
        <f>image("https://storage.googleapis.com/acdb/photos/BromideNpcNmlHrs02_Remake_3_0.png")</f>
        <v/>
      </c>
      <c r="C2605" s="5" t="s">
        <v>57</v>
      </c>
      <c r="D2605" s="5" t="s">
        <v>1327</v>
      </c>
      <c r="E2605" s="5" t="s">
        <v>34</v>
      </c>
      <c r="F2605" s="5" t="s">
        <v>34</v>
      </c>
      <c r="G2605" s="5" t="s">
        <v>36</v>
      </c>
      <c r="H2605" s="5" t="s">
        <v>35</v>
      </c>
      <c r="I2605" s="6">
        <v>1.0</v>
      </c>
      <c r="J2605" s="6" t="s">
        <v>37</v>
      </c>
      <c r="K2605" s="6">
        <v>10.0</v>
      </c>
      <c r="L2605" s="5"/>
      <c r="M2605" s="5"/>
      <c r="N2605" s="6" t="s">
        <v>40</v>
      </c>
      <c r="O2605" s="5" t="s">
        <v>5363</v>
      </c>
      <c r="P2605" s="6" t="s">
        <v>42</v>
      </c>
      <c r="Q2605" s="5" t="s">
        <v>1237</v>
      </c>
      <c r="R2605" s="5" t="s">
        <v>14525</v>
      </c>
      <c r="S2605" s="6" t="s">
        <v>71</v>
      </c>
      <c r="T2605" s="6">
        <v>6541.0</v>
      </c>
    </row>
    <row r="2606" ht="56.25" customHeight="1">
      <c r="A2606" s="5" t="s">
        <v>14514</v>
      </c>
      <c r="B2606" s="6" t="str">
        <f>image("https://storage.googleapis.com/acdb/photos/BromideNpcNmlHrs02_Remake_4_0.png")</f>
        <v/>
      </c>
      <c r="C2606" s="5" t="s">
        <v>1167</v>
      </c>
      <c r="D2606" s="5" t="s">
        <v>1327</v>
      </c>
      <c r="E2606" s="5" t="s">
        <v>34</v>
      </c>
      <c r="F2606" s="5" t="s">
        <v>34</v>
      </c>
      <c r="G2606" s="5" t="s">
        <v>36</v>
      </c>
      <c r="H2606" s="5" t="s">
        <v>35</v>
      </c>
      <c r="I2606" s="6">
        <v>1.0</v>
      </c>
      <c r="J2606" s="6" t="s">
        <v>37</v>
      </c>
      <c r="K2606" s="6">
        <v>10.0</v>
      </c>
      <c r="L2606" s="5"/>
      <c r="M2606" s="5"/>
      <c r="N2606" s="6" t="s">
        <v>40</v>
      </c>
      <c r="O2606" s="5" t="s">
        <v>5363</v>
      </c>
      <c r="P2606" s="6" t="s">
        <v>42</v>
      </c>
      <c r="Q2606" s="5" t="s">
        <v>1237</v>
      </c>
      <c r="R2606" s="5" t="s">
        <v>14527</v>
      </c>
      <c r="S2606" s="6" t="s">
        <v>75</v>
      </c>
      <c r="T2606" s="6">
        <v>6541.0</v>
      </c>
    </row>
    <row r="2607" ht="56.25" customHeight="1">
      <c r="A2607" s="5" t="s">
        <v>14514</v>
      </c>
      <c r="B2607" s="6" t="str">
        <f>image("https://storage.googleapis.com/acdb/photos/BromideNpcNmlHrs02_Remake_5_0.png")</f>
        <v/>
      </c>
      <c r="C2607" s="5" t="s">
        <v>58</v>
      </c>
      <c r="D2607" s="5" t="s">
        <v>1327</v>
      </c>
      <c r="E2607" s="5" t="s">
        <v>34</v>
      </c>
      <c r="F2607" s="5" t="s">
        <v>34</v>
      </c>
      <c r="G2607" s="5" t="s">
        <v>36</v>
      </c>
      <c r="H2607" s="5" t="s">
        <v>35</v>
      </c>
      <c r="I2607" s="6">
        <v>1.0</v>
      </c>
      <c r="J2607" s="6" t="s">
        <v>37</v>
      </c>
      <c r="K2607" s="6">
        <v>10.0</v>
      </c>
      <c r="L2607" s="5"/>
      <c r="M2607" s="5"/>
      <c r="N2607" s="6" t="s">
        <v>40</v>
      </c>
      <c r="O2607" s="5" t="s">
        <v>5363</v>
      </c>
      <c r="P2607" s="6" t="s">
        <v>42</v>
      </c>
      <c r="Q2607" s="5" t="s">
        <v>1237</v>
      </c>
      <c r="R2607" s="5" t="s">
        <v>14531</v>
      </c>
      <c r="S2607" s="6" t="s">
        <v>79</v>
      </c>
      <c r="T2607" s="6">
        <v>6541.0</v>
      </c>
    </row>
    <row r="2608" ht="56.25" customHeight="1">
      <c r="A2608" s="5" t="s">
        <v>14514</v>
      </c>
      <c r="B2608" s="6" t="str">
        <f>image("https://storage.googleapis.com/acdb/photos/BromideNpcNmlHrs02_Remake_6_0.png")</f>
        <v/>
      </c>
      <c r="C2608" s="5" t="s">
        <v>146</v>
      </c>
      <c r="D2608" s="5" t="s">
        <v>1327</v>
      </c>
      <c r="E2608" s="5" t="s">
        <v>34</v>
      </c>
      <c r="F2608" s="5" t="s">
        <v>34</v>
      </c>
      <c r="G2608" s="5" t="s">
        <v>36</v>
      </c>
      <c r="H2608" s="5" t="s">
        <v>35</v>
      </c>
      <c r="I2608" s="6">
        <v>1.0</v>
      </c>
      <c r="J2608" s="6" t="s">
        <v>37</v>
      </c>
      <c r="K2608" s="6">
        <v>10.0</v>
      </c>
      <c r="L2608" s="5"/>
      <c r="M2608" s="5"/>
      <c r="N2608" s="6" t="s">
        <v>40</v>
      </c>
      <c r="O2608" s="5" t="s">
        <v>5363</v>
      </c>
      <c r="P2608" s="6" t="s">
        <v>42</v>
      </c>
      <c r="Q2608" s="5" t="s">
        <v>1237</v>
      </c>
      <c r="R2608" s="5" t="s">
        <v>14534</v>
      </c>
      <c r="S2608" s="6" t="s">
        <v>86</v>
      </c>
      <c r="T2608" s="6">
        <v>6541.0</v>
      </c>
    </row>
    <row r="2609" ht="56.25" customHeight="1">
      <c r="A2609" s="5" t="s">
        <v>14514</v>
      </c>
      <c r="B2609" s="6" t="str">
        <f>image("https://storage.googleapis.com/acdb/photos/BromideNpcNmlHrs02_Remake_7_0.png")</f>
        <v/>
      </c>
      <c r="C2609" s="5" t="s">
        <v>151</v>
      </c>
      <c r="D2609" s="5" t="s">
        <v>1327</v>
      </c>
      <c r="E2609" s="5" t="s">
        <v>34</v>
      </c>
      <c r="F2609" s="5" t="s">
        <v>34</v>
      </c>
      <c r="G2609" s="5" t="s">
        <v>36</v>
      </c>
      <c r="H2609" s="5" t="s">
        <v>35</v>
      </c>
      <c r="I2609" s="6">
        <v>1.0</v>
      </c>
      <c r="J2609" s="6" t="s">
        <v>37</v>
      </c>
      <c r="K2609" s="6">
        <v>10.0</v>
      </c>
      <c r="L2609" s="5"/>
      <c r="M2609" s="5"/>
      <c r="N2609" s="6" t="s">
        <v>40</v>
      </c>
      <c r="O2609" s="5" t="s">
        <v>5363</v>
      </c>
      <c r="P2609" s="6" t="s">
        <v>42</v>
      </c>
      <c r="Q2609" s="5" t="s">
        <v>1237</v>
      </c>
      <c r="R2609" s="5" t="s">
        <v>14538</v>
      </c>
      <c r="S2609" s="6" t="s">
        <v>208</v>
      </c>
      <c r="T2609" s="6">
        <v>6541.0</v>
      </c>
    </row>
    <row r="2610" ht="56.25" customHeight="1">
      <c r="A2610" s="5" t="s">
        <v>14539</v>
      </c>
      <c r="B2610" s="6" t="str">
        <f>image("https://storage.googleapis.com/acdb/photos/BromideNpcNmlDuk10_Remake_0_0.png")</f>
        <v/>
      </c>
      <c r="C2610" s="5" t="s">
        <v>366</v>
      </c>
      <c r="D2610" s="5" t="s">
        <v>1327</v>
      </c>
      <c r="E2610" s="5" t="s">
        <v>34</v>
      </c>
      <c r="F2610" s="5" t="s">
        <v>34</v>
      </c>
      <c r="G2610" s="5" t="s">
        <v>36</v>
      </c>
      <c r="H2610" s="5" t="s">
        <v>35</v>
      </c>
      <c r="I2610" s="6">
        <v>1.0</v>
      </c>
      <c r="J2610" s="6" t="s">
        <v>37</v>
      </c>
      <c r="K2610" s="6">
        <v>10.0</v>
      </c>
      <c r="L2610" s="5"/>
      <c r="M2610" s="5"/>
      <c r="N2610" s="6" t="s">
        <v>40</v>
      </c>
      <c r="O2610" s="5" t="s">
        <v>5363</v>
      </c>
      <c r="P2610" s="6" t="s">
        <v>42</v>
      </c>
      <c r="Q2610" s="5" t="s">
        <v>1237</v>
      </c>
      <c r="R2610" s="5" t="s">
        <v>14542</v>
      </c>
      <c r="S2610" s="6" t="s">
        <v>50</v>
      </c>
      <c r="T2610" s="6">
        <v>6465.0</v>
      </c>
    </row>
    <row r="2611" ht="56.25" customHeight="1">
      <c r="A2611" s="5" t="s">
        <v>14539</v>
      </c>
      <c r="B2611" s="6" t="str">
        <f>image("https://storage.googleapis.com/acdb/photos/BromideNpcNmlDuk10_Remake_1_0.png")</f>
        <v/>
      </c>
      <c r="C2611" s="5" t="s">
        <v>1132</v>
      </c>
      <c r="D2611" s="5" t="s">
        <v>1327</v>
      </c>
      <c r="E2611" s="5" t="s">
        <v>34</v>
      </c>
      <c r="F2611" s="5" t="s">
        <v>34</v>
      </c>
      <c r="G2611" s="5" t="s">
        <v>36</v>
      </c>
      <c r="H2611" s="5" t="s">
        <v>35</v>
      </c>
      <c r="I2611" s="6">
        <v>1.0</v>
      </c>
      <c r="J2611" s="6" t="s">
        <v>37</v>
      </c>
      <c r="K2611" s="6">
        <v>10.0</v>
      </c>
      <c r="L2611" s="5"/>
      <c r="M2611" s="5"/>
      <c r="N2611" s="6" t="s">
        <v>40</v>
      </c>
      <c r="O2611" s="5" t="s">
        <v>5363</v>
      </c>
      <c r="P2611" s="6" t="s">
        <v>42</v>
      </c>
      <c r="Q2611" s="5" t="s">
        <v>1237</v>
      </c>
      <c r="R2611" s="5" t="s">
        <v>14544</v>
      </c>
      <c r="S2611" s="6" t="s">
        <v>56</v>
      </c>
      <c r="T2611" s="6">
        <v>6465.0</v>
      </c>
    </row>
    <row r="2612" ht="56.25" customHeight="1">
      <c r="A2612" s="5" t="s">
        <v>14539</v>
      </c>
      <c r="B2612" s="6" t="str">
        <f>image("https://storage.googleapis.com/acdb/photos/BromideNpcNmlDuk10_Remake_2_0.png")</f>
        <v/>
      </c>
      <c r="C2612" s="5" t="s">
        <v>688</v>
      </c>
      <c r="D2612" s="5" t="s">
        <v>1327</v>
      </c>
      <c r="E2612" s="5" t="s">
        <v>34</v>
      </c>
      <c r="F2612" s="5" t="s">
        <v>34</v>
      </c>
      <c r="G2612" s="5" t="s">
        <v>36</v>
      </c>
      <c r="H2612" s="5" t="s">
        <v>35</v>
      </c>
      <c r="I2612" s="6">
        <v>1.0</v>
      </c>
      <c r="J2612" s="6" t="s">
        <v>37</v>
      </c>
      <c r="K2612" s="6">
        <v>10.0</v>
      </c>
      <c r="L2612" s="5"/>
      <c r="M2612" s="5"/>
      <c r="N2612" s="6" t="s">
        <v>40</v>
      </c>
      <c r="O2612" s="5" t="s">
        <v>5363</v>
      </c>
      <c r="P2612" s="6" t="s">
        <v>42</v>
      </c>
      <c r="Q2612" s="5" t="s">
        <v>1237</v>
      </c>
      <c r="R2612" s="5" t="s">
        <v>14547</v>
      </c>
      <c r="S2612" s="6" t="s">
        <v>67</v>
      </c>
      <c r="T2612" s="6">
        <v>6465.0</v>
      </c>
    </row>
    <row r="2613" ht="56.25" customHeight="1">
      <c r="A2613" s="5" t="s">
        <v>14539</v>
      </c>
      <c r="B2613" s="6" t="str">
        <f>image("https://storage.googleapis.com/acdb/photos/BromideNpcNmlDuk10_Remake_3_0.png")</f>
        <v/>
      </c>
      <c r="C2613" s="5" t="s">
        <v>57</v>
      </c>
      <c r="D2613" s="5" t="s">
        <v>1327</v>
      </c>
      <c r="E2613" s="5" t="s">
        <v>34</v>
      </c>
      <c r="F2613" s="5" t="s">
        <v>34</v>
      </c>
      <c r="G2613" s="5" t="s">
        <v>36</v>
      </c>
      <c r="H2613" s="5" t="s">
        <v>35</v>
      </c>
      <c r="I2613" s="6">
        <v>1.0</v>
      </c>
      <c r="J2613" s="6" t="s">
        <v>37</v>
      </c>
      <c r="K2613" s="6">
        <v>10.0</v>
      </c>
      <c r="L2613" s="5"/>
      <c r="M2613" s="5"/>
      <c r="N2613" s="6" t="s">
        <v>40</v>
      </c>
      <c r="O2613" s="5" t="s">
        <v>5363</v>
      </c>
      <c r="P2613" s="6" t="s">
        <v>42</v>
      </c>
      <c r="Q2613" s="5" t="s">
        <v>1237</v>
      </c>
      <c r="R2613" s="5" t="s">
        <v>14550</v>
      </c>
      <c r="S2613" s="6" t="s">
        <v>71</v>
      </c>
      <c r="T2613" s="6">
        <v>6465.0</v>
      </c>
    </row>
    <row r="2614" ht="56.25" customHeight="1">
      <c r="A2614" s="5" t="s">
        <v>14539</v>
      </c>
      <c r="B2614" s="6" t="str">
        <f>image("https://storage.googleapis.com/acdb/photos/BromideNpcNmlDuk10_Remake_4_0.png")</f>
        <v/>
      </c>
      <c r="C2614" s="5" t="s">
        <v>1167</v>
      </c>
      <c r="D2614" s="5" t="s">
        <v>1327</v>
      </c>
      <c r="E2614" s="5" t="s">
        <v>34</v>
      </c>
      <c r="F2614" s="5" t="s">
        <v>34</v>
      </c>
      <c r="G2614" s="5" t="s">
        <v>36</v>
      </c>
      <c r="H2614" s="5" t="s">
        <v>35</v>
      </c>
      <c r="I2614" s="6">
        <v>1.0</v>
      </c>
      <c r="J2614" s="6" t="s">
        <v>37</v>
      </c>
      <c r="K2614" s="6">
        <v>10.0</v>
      </c>
      <c r="L2614" s="5"/>
      <c r="M2614" s="5"/>
      <c r="N2614" s="6" t="s">
        <v>40</v>
      </c>
      <c r="O2614" s="5" t="s">
        <v>5363</v>
      </c>
      <c r="P2614" s="6" t="s">
        <v>42</v>
      </c>
      <c r="Q2614" s="5" t="s">
        <v>1237</v>
      </c>
      <c r="R2614" s="5" t="s">
        <v>14552</v>
      </c>
      <c r="S2614" s="6" t="s">
        <v>75</v>
      </c>
      <c r="T2614" s="6">
        <v>6465.0</v>
      </c>
    </row>
    <row r="2615" ht="56.25" customHeight="1">
      <c r="A2615" s="5" t="s">
        <v>14539</v>
      </c>
      <c r="B2615" s="6" t="str">
        <f>image("https://storage.googleapis.com/acdb/photos/BromideNpcNmlDuk10_Remake_5_0.png")</f>
        <v/>
      </c>
      <c r="C2615" s="5" t="s">
        <v>58</v>
      </c>
      <c r="D2615" s="5" t="s">
        <v>1327</v>
      </c>
      <c r="E2615" s="5" t="s">
        <v>34</v>
      </c>
      <c r="F2615" s="5" t="s">
        <v>34</v>
      </c>
      <c r="G2615" s="5" t="s">
        <v>36</v>
      </c>
      <c r="H2615" s="5" t="s">
        <v>35</v>
      </c>
      <c r="I2615" s="6">
        <v>1.0</v>
      </c>
      <c r="J2615" s="6" t="s">
        <v>37</v>
      </c>
      <c r="K2615" s="6">
        <v>10.0</v>
      </c>
      <c r="L2615" s="5"/>
      <c r="M2615" s="5"/>
      <c r="N2615" s="6" t="s">
        <v>40</v>
      </c>
      <c r="O2615" s="5" t="s">
        <v>5363</v>
      </c>
      <c r="P2615" s="6" t="s">
        <v>42</v>
      </c>
      <c r="Q2615" s="5" t="s">
        <v>1237</v>
      </c>
      <c r="R2615" s="5" t="s">
        <v>14554</v>
      </c>
      <c r="S2615" s="6" t="s">
        <v>79</v>
      </c>
      <c r="T2615" s="6">
        <v>6465.0</v>
      </c>
    </row>
    <row r="2616" ht="56.25" customHeight="1">
      <c r="A2616" s="5" t="s">
        <v>14539</v>
      </c>
      <c r="B2616" s="6" t="str">
        <f>image("https://storage.googleapis.com/acdb/photos/BromideNpcNmlDuk10_Remake_6_0.png")</f>
        <v/>
      </c>
      <c r="C2616" s="5" t="s">
        <v>146</v>
      </c>
      <c r="D2616" s="5" t="s">
        <v>1327</v>
      </c>
      <c r="E2616" s="5" t="s">
        <v>34</v>
      </c>
      <c r="F2616" s="5" t="s">
        <v>34</v>
      </c>
      <c r="G2616" s="5" t="s">
        <v>36</v>
      </c>
      <c r="H2616" s="5" t="s">
        <v>35</v>
      </c>
      <c r="I2616" s="6">
        <v>1.0</v>
      </c>
      <c r="J2616" s="6" t="s">
        <v>37</v>
      </c>
      <c r="K2616" s="6">
        <v>10.0</v>
      </c>
      <c r="L2616" s="5"/>
      <c r="M2616" s="5"/>
      <c r="N2616" s="6" t="s">
        <v>40</v>
      </c>
      <c r="O2616" s="5" t="s">
        <v>5363</v>
      </c>
      <c r="P2616" s="6" t="s">
        <v>42</v>
      </c>
      <c r="Q2616" s="5" t="s">
        <v>1237</v>
      </c>
      <c r="R2616" s="5" t="s">
        <v>14557</v>
      </c>
      <c r="S2616" s="6" t="s">
        <v>86</v>
      </c>
      <c r="T2616" s="6">
        <v>6465.0</v>
      </c>
    </row>
    <row r="2617" ht="56.25" customHeight="1">
      <c r="A2617" s="5" t="s">
        <v>14539</v>
      </c>
      <c r="B2617" s="6" t="str">
        <f>image("https://storage.googleapis.com/acdb/photos/BromideNpcNmlDuk10_Remake_7_0.png")</f>
        <v/>
      </c>
      <c r="C2617" s="5" t="s">
        <v>151</v>
      </c>
      <c r="D2617" s="5" t="s">
        <v>1327</v>
      </c>
      <c r="E2617" s="5" t="s">
        <v>34</v>
      </c>
      <c r="F2617" s="5" t="s">
        <v>34</v>
      </c>
      <c r="G2617" s="5" t="s">
        <v>36</v>
      </c>
      <c r="H2617" s="5" t="s">
        <v>35</v>
      </c>
      <c r="I2617" s="6">
        <v>1.0</v>
      </c>
      <c r="J2617" s="6" t="s">
        <v>37</v>
      </c>
      <c r="K2617" s="6">
        <v>10.0</v>
      </c>
      <c r="L2617" s="5"/>
      <c r="M2617" s="5"/>
      <c r="N2617" s="6" t="s">
        <v>40</v>
      </c>
      <c r="O2617" s="5" t="s">
        <v>5363</v>
      </c>
      <c r="P2617" s="6" t="s">
        <v>42</v>
      </c>
      <c r="Q2617" s="5" t="s">
        <v>1237</v>
      </c>
      <c r="R2617" s="5" t="s">
        <v>14561</v>
      </c>
      <c r="S2617" s="6" t="s">
        <v>208</v>
      </c>
      <c r="T2617" s="6">
        <v>6465.0</v>
      </c>
    </row>
    <row r="2618" ht="56.25" customHeight="1">
      <c r="A2618" s="5" t="s">
        <v>14562</v>
      </c>
      <c r="B2618" s="6" t="str">
        <f>image("https://storage.googleapis.com/acdb/photos/BromideNpcNmlMnk07_Remake_0_0.png")</f>
        <v/>
      </c>
      <c r="C2618" s="5" t="s">
        <v>366</v>
      </c>
      <c r="D2618" s="5" t="s">
        <v>1327</v>
      </c>
      <c r="E2618" s="5" t="s">
        <v>34</v>
      </c>
      <c r="F2618" s="5" t="s">
        <v>34</v>
      </c>
      <c r="G2618" s="5" t="s">
        <v>36</v>
      </c>
      <c r="H2618" s="5" t="s">
        <v>35</v>
      </c>
      <c r="I2618" s="6">
        <v>1.0</v>
      </c>
      <c r="J2618" s="6" t="s">
        <v>37</v>
      </c>
      <c r="K2618" s="6">
        <v>10.0</v>
      </c>
      <c r="L2618" s="5"/>
      <c r="M2618" s="5"/>
      <c r="N2618" s="6" t="s">
        <v>40</v>
      </c>
      <c r="O2618" s="5" t="s">
        <v>5363</v>
      </c>
      <c r="P2618" s="6" t="s">
        <v>42</v>
      </c>
      <c r="Q2618" s="5" t="s">
        <v>1237</v>
      </c>
      <c r="R2618" s="5" t="s">
        <v>14564</v>
      </c>
      <c r="S2618" s="6" t="s">
        <v>50</v>
      </c>
      <c r="T2618" s="6">
        <v>6587.0</v>
      </c>
    </row>
    <row r="2619" ht="56.25" customHeight="1">
      <c r="A2619" s="5" t="s">
        <v>14562</v>
      </c>
      <c r="B2619" s="6" t="str">
        <f>image("https://storage.googleapis.com/acdb/photos/BromideNpcNmlMnk07_Remake_1_0.png")</f>
        <v/>
      </c>
      <c r="C2619" s="5" t="s">
        <v>1132</v>
      </c>
      <c r="D2619" s="5" t="s">
        <v>1327</v>
      </c>
      <c r="E2619" s="5" t="s">
        <v>34</v>
      </c>
      <c r="F2619" s="5" t="s">
        <v>34</v>
      </c>
      <c r="G2619" s="5" t="s">
        <v>36</v>
      </c>
      <c r="H2619" s="5" t="s">
        <v>35</v>
      </c>
      <c r="I2619" s="6">
        <v>1.0</v>
      </c>
      <c r="J2619" s="6" t="s">
        <v>37</v>
      </c>
      <c r="K2619" s="6">
        <v>10.0</v>
      </c>
      <c r="L2619" s="5"/>
      <c r="M2619" s="5"/>
      <c r="N2619" s="6" t="s">
        <v>40</v>
      </c>
      <c r="O2619" s="5" t="s">
        <v>5363</v>
      </c>
      <c r="P2619" s="6" t="s">
        <v>42</v>
      </c>
      <c r="Q2619" s="5" t="s">
        <v>1237</v>
      </c>
      <c r="R2619" s="5" t="s">
        <v>14567</v>
      </c>
      <c r="S2619" s="6" t="s">
        <v>56</v>
      </c>
      <c r="T2619" s="6">
        <v>6587.0</v>
      </c>
    </row>
    <row r="2620" ht="56.25" customHeight="1">
      <c r="A2620" s="5" t="s">
        <v>14562</v>
      </c>
      <c r="B2620" s="6" t="str">
        <f>image("https://storage.googleapis.com/acdb/photos/BromideNpcNmlMnk07_Remake_2_0.png")</f>
        <v/>
      </c>
      <c r="C2620" s="5" t="s">
        <v>688</v>
      </c>
      <c r="D2620" s="5" t="s">
        <v>1327</v>
      </c>
      <c r="E2620" s="5" t="s">
        <v>34</v>
      </c>
      <c r="F2620" s="5" t="s">
        <v>34</v>
      </c>
      <c r="G2620" s="5" t="s">
        <v>36</v>
      </c>
      <c r="H2620" s="5" t="s">
        <v>35</v>
      </c>
      <c r="I2620" s="6">
        <v>1.0</v>
      </c>
      <c r="J2620" s="6" t="s">
        <v>37</v>
      </c>
      <c r="K2620" s="6">
        <v>10.0</v>
      </c>
      <c r="L2620" s="5"/>
      <c r="M2620" s="5"/>
      <c r="N2620" s="6" t="s">
        <v>40</v>
      </c>
      <c r="O2620" s="5" t="s">
        <v>5363</v>
      </c>
      <c r="P2620" s="6" t="s">
        <v>42</v>
      </c>
      <c r="Q2620" s="5" t="s">
        <v>1237</v>
      </c>
      <c r="R2620" s="5" t="s">
        <v>14568</v>
      </c>
      <c r="S2620" s="6" t="s">
        <v>67</v>
      </c>
      <c r="T2620" s="6">
        <v>6587.0</v>
      </c>
    </row>
    <row r="2621" ht="56.25" customHeight="1">
      <c r="A2621" s="5" t="s">
        <v>14562</v>
      </c>
      <c r="B2621" s="6" t="str">
        <f>image("https://storage.googleapis.com/acdb/photos/BromideNpcNmlMnk07_Remake_3_0.png")</f>
        <v/>
      </c>
      <c r="C2621" s="5" t="s">
        <v>57</v>
      </c>
      <c r="D2621" s="5" t="s">
        <v>1327</v>
      </c>
      <c r="E2621" s="5" t="s">
        <v>34</v>
      </c>
      <c r="F2621" s="5" t="s">
        <v>34</v>
      </c>
      <c r="G2621" s="5" t="s">
        <v>36</v>
      </c>
      <c r="H2621" s="5" t="s">
        <v>35</v>
      </c>
      <c r="I2621" s="6">
        <v>1.0</v>
      </c>
      <c r="J2621" s="6" t="s">
        <v>37</v>
      </c>
      <c r="K2621" s="6">
        <v>10.0</v>
      </c>
      <c r="L2621" s="5"/>
      <c r="M2621" s="5"/>
      <c r="N2621" s="6" t="s">
        <v>40</v>
      </c>
      <c r="O2621" s="5" t="s">
        <v>5363</v>
      </c>
      <c r="P2621" s="6" t="s">
        <v>42</v>
      </c>
      <c r="Q2621" s="5" t="s">
        <v>1237</v>
      </c>
      <c r="R2621" s="5" t="s">
        <v>14571</v>
      </c>
      <c r="S2621" s="6" t="s">
        <v>71</v>
      </c>
      <c r="T2621" s="6">
        <v>6587.0</v>
      </c>
    </row>
    <row r="2622" ht="56.25" customHeight="1">
      <c r="A2622" s="5" t="s">
        <v>14562</v>
      </c>
      <c r="B2622" s="6" t="str">
        <f>image("https://storage.googleapis.com/acdb/photos/BromideNpcNmlMnk07_Remake_4_0.png")</f>
        <v/>
      </c>
      <c r="C2622" s="5" t="s">
        <v>1167</v>
      </c>
      <c r="D2622" s="5" t="s">
        <v>1327</v>
      </c>
      <c r="E2622" s="5" t="s">
        <v>34</v>
      </c>
      <c r="F2622" s="5" t="s">
        <v>34</v>
      </c>
      <c r="G2622" s="5" t="s">
        <v>36</v>
      </c>
      <c r="H2622" s="5" t="s">
        <v>35</v>
      </c>
      <c r="I2622" s="6">
        <v>1.0</v>
      </c>
      <c r="J2622" s="6" t="s">
        <v>37</v>
      </c>
      <c r="K2622" s="6">
        <v>10.0</v>
      </c>
      <c r="L2622" s="5"/>
      <c r="M2622" s="5"/>
      <c r="N2622" s="6" t="s">
        <v>40</v>
      </c>
      <c r="O2622" s="5" t="s">
        <v>5363</v>
      </c>
      <c r="P2622" s="6" t="s">
        <v>42</v>
      </c>
      <c r="Q2622" s="5" t="s">
        <v>1237</v>
      </c>
      <c r="R2622" s="5" t="s">
        <v>14573</v>
      </c>
      <c r="S2622" s="6" t="s">
        <v>75</v>
      </c>
      <c r="T2622" s="6">
        <v>6587.0</v>
      </c>
    </row>
    <row r="2623" ht="56.25" customHeight="1">
      <c r="A2623" s="5" t="s">
        <v>14562</v>
      </c>
      <c r="B2623" s="6" t="str">
        <f>image("https://storage.googleapis.com/acdb/photos/BromideNpcNmlMnk07_Remake_5_0.png")</f>
        <v/>
      </c>
      <c r="C2623" s="5" t="s">
        <v>58</v>
      </c>
      <c r="D2623" s="5" t="s">
        <v>1327</v>
      </c>
      <c r="E2623" s="5" t="s">
        <v>34</v>
      </c>
      <c r="F2623" s="5" t="s">
        <v>34</v>
      </c>
      <c r="G2623" s="5" t="s">
        <v>36</v>
      </c>
      <c r="H2623" s="5" t="s">
        <v>35</v>
      </c>
      <c r="I2623" s="6">
        <v>1.0</v>
      </c>
      <c r="J2623" s="6" t="s">
        <v>37</v>
      </c>
      <c r="K2623" s="6">
        <v>10.0</v>
      </c>
      <c r="L2623" s="5"/>
      <c r="M2623" s="5"/>
      <c r="N2623" s="6" t="s">
        <v>40</v>
      </c>
      <c r="O2623" s="5" t="s">
        <v>5363</v>
      </c>
      <c r="P2623" s="6" t="s">
        <v>42</v>
      </c>
      <c r="Q2623" s="5" t="s">
        <v>1237</v>
      </c>
      <c r="R2623" s="5" t="s">
        <v>14576</v>
      </c>
      <c r="S2623" s="6" t="s">
        <v>79</v>
      </c>
      <c r="T2623" s="6">
        <v>6587.0</v>
      </c>
    </row>
    <row r="2624" ht="56.25" customHeight="1">
      <c r="A2624" s="5" t="s">
        <v>14562</v>
      </c>
      <c r="B2624" s="6" t="str">
        <f>image("https://storage.googleapis.com/acdb/photos/BromideNpcNmlMnk07_Remake_6_0.png")</f>
        <v/>
      </c>
      <c r="C2624" s="5" t="s">
        <v>146</v>
      </c>
      <c r="D2624" s="5" t="s">
        <v>1327</v>
      </c>
      <c r="E2624" s="5" t="s">
        <v>34</v>
      </c>
      <c r="F2624" s="5" t="s">
        <v>34</v>
      </c>
      <c r="G2624" s="5" t="s">
        <v>36</v>
      </c>
      <c r="H2624" s="5" t="s">
        <v>35</v>
      </c>
      <c r="I2624" s="6">
        <v>1.0</v>
      </c>
      <c r="J2624" s="6" t="s">
        <v>37</v>
      </c>
      <c r="K2624" s="6">
        <v>10.0</v>
      </c>
      <c r="L2624" s="5"/>
      <c r="M2624" s="5"/>
      <c r="N2624" s="6" t="s">
        <v>40</v>
      </c>
      <c r="O2624" s="5" t="s">
        <v>5363</v>
      </c>
      <c r="P2624" s="6" t="s">
        <v>42</v>
      </c>
      <c r="Q2624" s="5" t="s">
        <v>1237</v>
      </c>
      <c r="R2624" s="5" t="s">
        <v>14579</v>
      </c>
      <c r="S2624" s="6" t="s">
        <v>86</v>
      </c>
      <c r="T2624" s="6">
        <v>6587.0</v>
      </c>
    </row>
    <row r="2625" ht="56.25" customHeight="1">
      <c r="A2625" s="5" t="s">
        <v>14562</v>
      </c>
      <c r="B2625" s="6" t="str">
        <f>image("https://storage.googleapis.com/acdb/photos/BromideNpcNmlMnk07_Remake_7_0.png")</f>
        <v/>
      </c>
      <c r="C2625" s="5" t="s">
        <v>151</v>
      </c>
      <c r="D2625" s="5" t="s">
        <v>1327</v>
      </c>
      <c r="E2625" s="5" t="s">
        <v>34</v>
      </c>
      <c r="F2625" s="5" t="s">
        <v>34</v>
      </c>
      <c r="G2625" s="5" t="s">
        <v>36</v>
      </c>
      <c r="H2625" s="5" t="s">
        <v>35</v>
      </c>
      <c r="I2625" s="6">
        <v>1.0</v>
      </c>
      <c r="J2625" s="6" t="s">
        <v>37</v>
      </c>
      <c r="K2625" s="6">
        <v>10.0</v>
      </c>
      <c r="L2625" s="5"/>
      <c r="M2625" s="5"/>
      <c r="N2625" s="6" t="s">
        <v>40</v>
      </c>
      <c r="O2625" s="5" t="s">
        <v>5363</v>
      </c>
      <c r="P2625" s="6" t="s">
        <v>42</v>
      </c>
      <c r="Q2625" s="5" t="s">
        <v>1237</v>
      </c>
      <c r="R2625" s="5" t="s">
        <v>14581</v>
      </c>
      <c r="S2625" s="6" t="s">
        <v>208</v>
      </c>
      <c r="T2625" s="6">
        <v>6587.0</v>
      </c>
    </row>
    <row r="2626" ht="56.25" customHeight="1">
      <c r="A2626" s="5" t="s">
        <v>14582</v>
      </c>
      <c r="B2626" s="6" t="str">
        <f>image("https://storage.googleapis.com/acdb/photos/BromideNpcNmlSqu16_Remake_0_0.png")</f>
        <v/>
      </c>
      <c r="C2626" s="5" t="s">
        <v>366</v>
      </c>
      <c r="D2626" s="5" t="s">
        <v>1327</v>
      </c>
      <c r="E2626" s="5" t="s">
        <v>34</v>
      </c>
      <c r="F2626" s="5" t="s">
        <v>34</v>
      </c>
      <c r="G2626" s="5" t="s">
        <v>36</v>
      </c>
      <c r="H2626" s="5" t="s">
        <v>35</v>
      </c>
      <c r="I2626" s="6">
        <v>1.0</v>
      </c>
      <c r="J2626" s="6" t="s">
        <v>37</v>
      </c>
      <c r="K2626" s="6">
        <v>10.0</v>
      </c>
      <c r="L2626" s="5"/>
      <c r="M2626" s="5"/>
      <c r="N2626" s="6" t="s">
        <v>40</v>
      </c>
      <c r="O2626" s="5" t="s">
        <v>5363</v>
      </c>
      <c r="P2626" s="6" t="s">
        <v>42</v>
      </c>
      <c r="Q2626" s="5" t="s">
        <v>1237</v>
      </c>
      <c r="R2626" s="5" t="s">
        <v>14586</v>
      </c>
      <c r="S2626" s="6" t="s">
        <v>50</v>
      </c>
      <c r="T2626" s="6">
        <v>6720.0</v>
      </c>
    </row>
    <row r="2627" ht="56.25" customHeight="1">
      <c r="A2627" s="5" t="s">
        <v>14582</v>
      </c>
      <c r="B2627" s="6" t="str">
        <f>image("https://storage.googleapis.com/acdb/photos/BromideNpcNmlSqu16_Remake_1_0.png")</f>
        <v/>
      </c>
      <c r="C2627" s="5" t="s">
        <v>1132</v>
      </c>
      <c r="D2627" s="5" t="s">
        <v>1327</v>
      </c>
      <c r="E2627" s="5" t="s">
        <v>34</v>
      </c>
      <c r="F2627" s="5" t="s">
        <v>34</v>
      </c>
      <c r="G2627" s="5" t="s">
        <v>36</v>
      </c>
      <c r="H2627" s="5" t="s">
        <v>35</v>
      </c>
      <c r="I2627" s="6">
        <v>1.0</v>
      </c>
      <c r="J2627" s="6" t="s">
        <v>37</v>
      </c>
      <c r="K2627" s="6">
        <v>10.0</v>
      </c>
      <c r="L2627" s="5"/>
      <c r="M2627" s="5"/>
      <c r="N2627" s="6" t="s">
        <v>40</v>
      </c>
      <c r="O2627" s="5" t="s">
        <v>5363</v>
      </c>
      <c r="P2627" s="6" t="s">
        <v>42</v>
      </c>
      <c r="Q2627" s="5" t="s">
        <v>1237</v>
      </c>
      <c r="R2627" s="5" t="s">
        <v>14589</v>
      </c>
      <c r="S2627" s="6" t="s">
        <v>56</v>
      </c>
      <c r="T2627" s="6">
        <v>6720.0</v>
      </c>
    </row>
    <row r="2628" ht="56.25" customHeight="1">
      <c r="A2628" s="5" t="s">
        <v>14582</v>
      </c>
      <c r="B2628" s="6" t="str">
        <f>image("https://storage.googleapis.com/acdb/photos/BromideNpcNmlSqu16_Remake_2_0.png")</f>
        <v/>
      </c>
      <c r="C2628" s="5" t="s">
        <v>688</v>
      </c>
      <c r="D2628" s="5" t="s">
        <v>1327</v>
      </c>
      <c r="E2628" s="5" t="s">
        <v>34</v>
      </c>
      <c r="F2628" s="5" t="s">
        <v>34</v>
      </c>
      <c r="G2628" s="5" t="s">
        <v>36</v>
      </c>
      <c r="H2628" s="5" t="s">
        <v>35</v>
      </c>
      <c r="I2628" s="6">
        <v>1.0</v>
      </c>
      <c r="J2628" s="6" t="s">
        <v>37</v>
      </c>
      <c r="K2628" s="6">
        <v>10.0</v>
      </c>
      <c r="L2628" s="5"/>
      <c r="M2628" s="5"/>
      <c r="N2628" s="6" t="s">
        <v>40</v>
      </c>
      <c r="O2628" s="5" t="s">
        <v>5363</v>
      </c>
      <c r="P2628" s="6" t="s">
        <v>42</v>
      </c>
      <c r="Q2628" s="5" t="s">
        <v>1237</v>
      </c>
      <c r="R2628" s="5" t="s">
        <v>14592</v>
      </c>
      <c r="S2628" s="6" t="s">
        <v>67</v>
      </c>
      <c r="T2628" s="6">
        <v>6720.0</v>
      </c>
    </row>
    <row r="2629" ht="56.25" customHeight="1">
      <c r="A2629" s="5" t="s">
        <v>14582</v>
      </c>
      <c r="B2629" s="6" t="str">
        <f>image("https://storage.googleapis.com/acdb/photos/BromideNpcNmlSqu16_Remake_3_0.png")</f>
        <v/>
      </c>
      <c r="C2629" s="5" t="s">
        <v>57</v>
      </c>
      <c r="D2629" s="5" t="s">
        <v>1327</v>
      </c>
      <c r="E2629" s="5" t="s">
        <v>34</v>
      </c>
      <c r="F2629" s="5" t="s">
        <v>34</v>
      </c>
      <c r="G2629" s="5" t="s">
        <v>36</v>
      </c>
      <c r="H2629" s="5" t="s">
        <v>35</v>
      </c>
      <c r="I2629" s="6">
        <v>1.0</v>
      </c>
      <c r="J2629" s="6" t="s">
        <v>37</v>
      </c>
      <c r="K2629" s="6">
        <v>10.0</v>
      </c>
      <c r="L2629" s="5"/>
      <c r="M2629" s="5"/>
      <c r="N2629" s="6" t="s">
        <v>40</v>
      </c>
      <c r="O2629" s="5" t="s">
        <v>5363</v>
      </c>
      <c r="P2629" s="6" t="s">
        <v>42</v>
      </c>
      <c r="Q2629" s="5" t="s">
        <v>1237</v>
      </c>
      <c r="R2629" s="5" t="s">
        <v>14596</v>
      </c>
      <c r="S2629" s="6" t="s">
        <v>71</v>
      </c>
      <c r="T2629" s="6">
        <v>6720.0</v>
      </c>
    </row>
    <row r="2630" ht="56.25" customHeight="1">
      <c r="A2630" s="5" t="s">
        <v>14582</v>
      </c>
      <c r="B2630" s="6" t="str">
        <f>image("https://storage.googleapis.com/acdb/photos/BromideNpcNmlSqu16_Remake_4_0.png")</f>
        <v/>
      </c>
      <c r="C2630" s="5" t="s">
        <v>1167</v>
      </c>
      <c r="D2630" s="5" t="s">
        <v>1327</v>
      </c>
      <c r="E2630" s="5" t="s">
        <v>34</v>
      </c>
      <c r="F2630" s="5" t="s">
        <v>34</v>
      </c>
      <c r="G2630" s="5" t="s">
        <v>36</v>
      </c>
      <c r="H2630" s="5" t="s">
        <v>35</v>
      </c>
      <c r="I2630" s="6">
        <v>1.0</v>
      </c>
      <c r="J2630" s="6" t="s">
        <v>37</v>
      </c>
      <c r="K2630" s="6">
        <v>10.0</v>
      </c>
      <c r="L2630" s="5"/>
      <c r="M2630" s="5"/>
      <c r="N2630" s="6" t="s">
        <v>40</v>
      </c>
      <c r="O2630" s="5" t="s">
        <v>5363</v>
      </c>
      <c r="P2630" s="6" t="s">
        <v>42</v>
      </c>
      <c r="Q2630" s="5" t="s">
        <v>1237</v>
      </c>
      <c r="R2630" s="5" t="s">
        <v>14600</v>
      </c>
      <c r="S2630" s="6" t="s">
        <v>75</v>
      </c>
      <c r="T2630" s="6">
        <v>6720.0</v>
      </c>
    </row>
    <row r="2631" ht="56.25" customHeight="1">
      <c r="A2631" s="5" t="s">
        <v>14582</v>
      </c>
      <c r="B2631" s="6" t="str">
        <f>image("https://storage.googleapis.com/acdb/photos/BromideNpcNmlSqu16_Remake_5_0.png")</f>
        <v/>
      </c>
      <c r="C2631" s="5" t="s">
        <v>58</v>
      </c>
      <c r="D2631" s="5" t="s">
        <v>1327</v>
      </c>
      <c r="E2631" s="5" t="s">
        <v>34</v>
      </c>
      <c r="F2631" s="5" t="s">
        <v>34</v>
      </c>
      <c r="G2631" s="5" t="s">
        <v>36</v>
      </c>
      <c r="H2631" s="5" t="s">
        <v>35</v>
      </c>
      <c r="I2631" s="6">
        <v>1.0</v>
      </c>
      <c r="J2631" s="6" t="s">
        <v>37</v>
      </c>
      <c r="K2631" s="6">
        <v>10.0</v>
      </c>
      <c r="L2631" s="5"/>
      <c r="M2631" s="5"/>
      <c r="N2631" s="6" t="s">
        <v>40</v>
      </c>
      <c r="O2631" s="5" t="s">
        <v>5363</v>
      </c>
      <c r="P2631" s="6" t="s">
        <v>42</v>
      </c>
      <c r="Q2631" s="5" t="s">
        <v>1237</v>
      </c>
      <c r="R2631" s="5" t="s">
        <v>14602</v>
      </c>
      <c r="S2631" s="6" t="s">
        <v>79</v>
      </c>
      <c r="T2631" s="6">
        <v>6720.0</v>
      </c>
    </row>
    <row r="2632" ht="56.25" customHeight="1">
      <c r="A2632" s="5" t="s">
        <v>14582</v>
      </c>
      <c r="B2632" s="6" t="str">
        <f>image("https://storage.googleapis.com/acdb/photos/BromideNpcNmlSqu16_Remake_6_0.png")</f>
        <v/>
      </c>
      <c r="C2632" s="5" t="s">
        <v>146</v>
      </c>
      <c r="D2632" s="5" t="s">
        <v>1327</v>
      </c>
      <c r="E2632" s="5" t="s">
        <v>34</v>
      </c>
      <c r="F2632" s="5" t="s">
        <v>34</v>
      </c>
      <c r="G2632" s="5" t="s">
        <v>36</v>
      </c>
      <c r="H2632" s="5" t="s">
        <v>35</v>
      </c>
      <c r="I2632" s="6">
        <v>1.0</v>
      </c>
      <c r="J2632" s="6" t="s">
        <v>37</v>
      </c>
      <c r="K2632" s="6">
        <v>10.0</v>
      </c>
      <c r="L2632" s="5"/>
      <c r="M2632" s="5"/>
      <c r="N2632" s="6" t="s">
        <v>40</v>
      </c>
      <c r="O2632" s="5" t="s">
        <v>5363</v>
      </c>
      <c r="P2632" s="6" t="s">
        <v>42</v>
      </c>
      <c r="Q2632" s="5" t="s">
        <v>1237</v>
      </c>
      <c r="R2632" s="5" t="s">
        <v>14605</v>
      </c>
      <c r="S2632" s="6" t="s">
        <v>86</v>
      </c>
      <c r="T2632" s="6">
        <v>6720.0</v>
      </c>
    </row>
    <row r="2633" ht="56.25" customHeight="1">
      <c r="A2633" s="5" t="s">
        <v>14582</v>
      </c>
      <c r="B2633" s="6" t="str">
        <f>image("https://storage.googleapis.com/acdb/photos/BromideNpcNmlSqu16_Remake_7_0.png")</f>
        <v/>
      </c>
      <c r="C2633" s="5" t="s">
        <v>151</v>
      </c>
      <c r="D2633" s="5" t="s">
        <v>1327</v>
      </c>
      <c r="E2633" s="5" t="s">
        <v>34</v>
      </c>
      <c r="F2633" s="5" t="s">
        <v>34</v>
      </c>
      <c r="G2633" s="5" t="s">
        <v>36</v>
      </c>
      <c r="H2633" s="5" t="s">
        <v>35</v>
      </c>
      <c r="I2633" s="6">
        <v>1.0</v>
      </c>
      <c r="J2633" s="6" t="s">
        <v>37</v>
      </c>
      <c r="K2633" s="6">
        <v>10.0</v>
      </c>
      <c r="L2633" s="5"/>
      <c r="M2633" s="5"/>
      <c r="N2633" s="6" t="s">
        <v>40</v>
      </c>
      <c r="O2633" s="5" t="s">
        <v>5363</v>
      </c>
      <c r="P2633" s="6" t="s">
        <v>42</v>
      </c>
      <c r="Q2633" s="5" t="s">
        <v>1237</v>
      </c>
      <c r="R2633" s="5" t="s">
        <v>14608</v>
      </c>
      <c r="S2633" s="6" t="s">
        <v>208</v>
      </c>
      <c r="T2633" s="6">
        <v>6720.0</v>
      </c>
    </row>
    <row r="2634" ht="56.25" customHeight="1">
      <c r="A2634" s="5" t="s">
        <v>14610</v>
      </c>
      <c r="B2634" s="6" t="str">
        <f>image("https://storage.googleapis.com/acdb/photos/BromideNpcNmlDog18_Remake_0_0.png")</f>
        <v/>
      </c>
      <c r="C2634" s="5" t="s">
        <v>366</v>
      </c>
      <c r="D2634" s="5" t="s">
        <v>1327</v>
      </c>
      <c r="E2634" s="5" t="s">
        <v>34</v>
      </c>
      <c r="F2634" s="5" t="s">
        <v>34</v>
      </c>
      <c r="G2634" s="5" t="s">
        <v>36</v>
      </c>
      <c r="H2634" s="5" t="s">
        <v>35</v>
      </c>
      <c r="I2634" s="6">
        <v>1.0</v>
      </c>
      <c r="J2634" s="6" t="s">
        <v>37</v>
      </c>
      <c r="K2634" s="6">
        <v>10.0</v>
      </c>
      <c r="L2634" s="5"/>
      <c r="M2634" s="5"/>
      <c r="N2634" s="6" t="s">
        <v>40</v>
      </c>
      <c r="O2634" s="5" t="s">
        <v>5363</v>
      </c>
      <c r="P2634" s="6" t="s">
        <v>42</v>
      </c>
      <c r="Q2634" s="5" t="s">
        <v>1237</v>
      </c>
      <c r="R2634" s="5" t="s">
        <v>14611</v>
      </c>
      <c r="S2634" s="6" t="s">
        <v>50</v>
      </c>
      <c r="T2634" s="6">
        <v>6453.0</v>
      </c>
    </row>
    <row r="2635" ht="56.25" customHeight="1">
      <c r="A2635" s="5" t="s">
        <v>14610</v>
      </c>
      <c r="B2635" s="6" t="str">
        <f>image("https://storage.googleapis.com/acdb/photos/BromideNpcNmlDog18_Remake_1_0.png")</f>
        <v/>
      </c>
      <c r="C2635" s="5" t="s">
        <v>1132</v>
      </c>
      <c r="D2635" s="5" t="s">
        <v>1327</v>
      </c>
      <c r="E2635" s="5" t="s">
        <v>34</v>
      </c>
      <c r="F2635" s="5" t="s">
        <v>34</v>
      </c>
      <c r="G2635" s="5" t="s">
        <v>36</v>
      </c>
      <c r="H2635" s="5" t="s">
        <v>35</v>
      </c>
      <c r="I2635" s="6">
        <v>1.0</v>
      </c>
      <c r="J2635" s="6" t="s">
        <v>37</v>
      </c>
      <c r="K2635" s="6">
        <v>10.0</v>
      </c>
      <c r="L2635" s="5"/>
      <c r="M2635" s="5"/>
      <c r="N2635" s="6" t="s">
        <v>40</v>
      </c>
      <c r="O2635" s="5" t="s">
        <v>5363</v>
      </c>
      <c r="P2635" s="6" t="s">
        <v>42</v>
      </c>
      <c r="Q2635" s="5" t="s">
        <v>1237</v>
      </c>
      <c r="R2635" s="5" t="s">
        <v>14615</v>
      </c>
      <c r="S2635" s="6" t="s">
        <v>56</v>
      </c>
      <c r="T2635" s="6">
        <v>6453.0</v>
      </c>
    </row>
    <row r="2636" ht="56.25" customHeight="1">
      <c r="A2636" s="5" t="s">
        <v>14610</v>
      </c>
      <c r="B2636" s="6" t="str">
        <f>image("https://storage.googleapis.com/acdb/photos/BromideNpcNmlDog18_Remake_2_0.png")</f>
        <v/>
      </c>
      <c r="C2636" s="5" t="s">
        <v>688</v>
      </c>
      <c r="D2636" s="5" t="s">
        <v>1327</v>
      </c>
      <c r="E2636" s="5" t="s">
        <v>34</v>
      </c>
      <c r="F2636" s="5" t="s">
        <v>34</v>
      </c>
      <c r="G2636" s="5" t="s">
        <v>36</v>
      </c>
      <c r="H2636" s="5" t="s">
        <v>35</v>
      </c>
      <c r="I2636" s="6">
        <v>1.0</v>
      </c>
      <c r="J2636" s="6" t="s">
        <v>37</v>
      </c>
      <c r="K2636" s="6">
        <v>10.0</v>
      </c>
      <c r="L2636" s="5"/>
      <c r="M2636" s="5"/>
      <c r="N2636" s="6" t="s">
        <v>40</v>
      </c>
      <c r="O2636" s="5" t="s">
        <v>5363</v>
      </c>
      <c r="P2636" s="6" t="s">
        <v>42</v>
      </c>
      <c r="Q2636" s="5" t="s">
        <v>1237</v>
      </c>
      <c r="R2636" s="5" t="s">
        <v>14618</v>
      </c>
      <c r="S2636" s="6" t="s">
        <v>67</v>
      </c>
      <c r="T2636" s="6">
        <v>6453.0</v>
      </c>
    </row>
    <row r="2637" ht="56.25" customHeight="1">
      <c r="A2637" s="5" t="s">
        <v>14610</v>
      </c>
      <c r="B2637" s="6" t="str">
        <f>image("https://storage.googleapis.com/acdb/photos/BromideNpcNmlDog18_Remake_3_0.png")</f>
        <v/>
      </c>
      <c r="C2637" s="5" t="s">
        <v>57</v>
      </c>
      <c r="D2637" s="5" t="s">
        <v>1327</v>
      </c>
      <c r="E2637" s="5" t="s">
        <v>34</v>
      </c>
      <c r="F2637" s="5" t="s">
        <v>34</v>
      </c>
      <c r="G2637" s="5" t="s">
        <v>36</v>
      </c>
      <c r="H2637" s="5" t="s">
        <v>35</v>
      </c>
      <c r="I2637" s="6">
        <v>1.0</v>
      </c>
      <c r="J2637" s="6" t="s">
        <v>37</v>
      </c>
      <c r="K2637" s="6">
        <v>10.0</v>
      </c>
      <c r="L2637" s="5"/>
      <c r="M2637" s="5"/>
      <c r="N2637" s="6" t="s">
        <v>40</v>
      </c>
      <c r="O2637" s="5" t="s">
        <v>5363</v>
      </c>
      <c r="P2637" s="6" t="s">
        <v>42</v>
      </c>
      <c r="Q2637" s="5" t="s">
        <v>1237</v>
      </c>
      <c r="R2637" s="5" t="s">
        <v>14622</v>
      </c>
      <c r="S2637" s="6" t="s">
        <v>71</v>
      </c>
      <c r="T2637" s="6">
        <v>6453.0</v>
      </c>
    </row>
    <row r="2638" ht="56.25" customHeight="1">
      <c r="A2638" s="5" t="s">
        <v>14610</v>
      </c>
      <c r="B2638" s="6" t="str">
        <f>image("https://storage.googleapis.com/acdb/photos/BromideNpcNmlDog18_Remake_4_0.png")</f>
        <v/>
      </c>
      <c r="C2638" s="5" t="s">
        <v>1167</v>
      </c>
      <c r="D2638" s="5" t="s">
        <v>1327</v>
      </c>
      <c r="E2638" s="5" t="s">
        <v>34</v>
      </c>
      <c r="F2638" s="5" t="s">
        <v>34</v>
      </c>
      <c r="G2638" s="5" t="s">
        <v>36</v>
      </c>
      <c r="H2638" s="5" t="s">
        <v>35</v>
      </c>
      <c r="I2638" s="6">
        <v>1.0</v>
      </c>
      <c r="J2638" s="6" t="s">
        <v>37</v>
      </c>
      <c r="K2638" s="6">
        <v>10.0</v>
      </c>
      <c r="L2638" s="5"/>
      <c r="M2638" s="5"/>
      <c r="N2638" s="6" t="s">
        <v>40</v>
      </c>
      <c r="O2638" s="5" t="s">
        <v>5363</v>
      </c>
      <c r="P2638" s="6" t="s">
        <v>42</v>
      </c>
      <c r="Q2638" s="5" t="s">
        <v>1237</v>
      </c>
      <c r="R2638" s="5" t="s">
        <v>14625</v>
      </c>
      <c r="S2638" s="6" t="s">
        <v>75</v>
      </c>
      <c r="T2638" s="6">
        <v>6453.0</v>
      </c>
    </row>
    <row r="2639" ht="56.25" customHeight="1">
      <c r="A2639" s="5" t="s">
        <v>14610</v>
      </c>
      <c r="B2639" s="6" t="str">
        <f>image("https://storage.googleapis.com/acdb/photos/BromideNpcNmlDog18_Remake_5_0.png")</f>
        <v/>
      </c>
      <c r="C2639" s="5" t="s">
        <v>58</v>
      </c>
      <c r="D2639" s="5" t="s">
        <v>1327</v>
      </c>
      <c r="E2639" s="5" t="s">
        <v>34</v>
      </c>
      <c r="F2639" s="5" t="s">
        <v>34</v>
      </c>
      <c r="G2639" s="5" t="s">
        <v>36</v>
      </c>
      <c r="H2639" s="5" t="s">
        <v>35</v>
      </c>
      <c r="I2639" s="6">
        <v>1.0</v>
      </c>
      <c r="J2639" s="6" t="s">
        <v>37</v>
      </c>
      <c r="K2639" s="6">
        <v>10.0</v>
      </c>
      <c r="L2639" s="5"/>
      <c r="M2639" s="5"/>
      <c r="N2639" s="6" t="s">
        <v>40</v>
      </c>
      <c r="O2639" s="5" t="s">
        <v>5363</v>
      </c>
      <c r="P2639" s="6" t="s">
        <v>42</v>
      </c>
      <c r="Q2639" s="5" t="s">
        <v>1237</v>
      </c>
      <c r="R2639" s="5" t="s">
        <v>14628</v>
      </c>
      <c r="S2639" s="6" t="s">
        <v>79</v>
      </c>
      <c r="T2639" s="6">
        <v>6453.0</v>
      </c>
    </row>
    <row r="2640" ht="56.25" customHeight="1">
      <c r="A2640" s="5" t="s">
        <v>14610</v>
      </c>
      <c r="B2640" s="6" t="str">
        <f>image("https://storage.googleapis.com/acdb/photos/BromideNpcNmlDog18_Remake_6_0.png")</f>
        <v/>
      </c>
      <c r="C2640" s="5" t="s">
        <v>146</v>
      </c>
      <c r="D2640" s="5" t="s">
        <v>1327</v>
      </c>
      <c r="E2640" s="5" t="s">
        <v>34</v>
      </c>
      <c r="F2640" s="5" t="s">
        <v>34</v>
      </c>
      <c r="G2640" s="5" t="s">
        <v>36</v>
      </c>
      <c r="H2640" s="5" t="s">
        <v>35</v>
      </c>
      <c r="I2640" s="6">
        <v>1.0</v>
      </c>
      <c r="J2640" s="6" t="s">
        <v>37</v>
      </c>
      <c r="K2640" s="6">
        <v>10.0</v>
      </c>
      <c r="L2640" s="5"/>
      <c r="M2640" s="5"/>
      <c r="N2640" s="6" t="s">
        <v>40</v>
      </c>
      <c r="O2640" s="5" t="s">
        <v>5363</v>
      </c>
      <c r="P2640" s="6" t="s">
        <v>42</v>
      </c>
      <c r="Q2640" s="5" t="s">
        <v>1237</v>
      </c>
      <c r="R2640" s="5" t="s">
        <v>14632</v>
      </c>
      <c r="S2640" s="6" t="s">
        <v>86</v>
      </c>
      <c r="T2640" s="6">
        <v>6453.0</v>
      </c>
    </row>
    <row r="2641" ht="56.25" customHeight="1">
      <c r="A2641" s="5" t="s">
        <v>14610</v>
      </c>
      <c r="B2641" s="6" t="str">
        <f>image("https://storage.googleapis.com/acdb/photos/BromideNpcNmlDog18_Remake_7_0.png")</f>
        <v/>
      </c>
      <c r="C2641" s="5" t="s">
        <v>151</v>
      </c>
      <c r="D2641" s="5" t="s">
        <v>1327</v>
      </c>
      <c r="E2641" s="5" t="s">
        <v>34</v>
      </c>
      <c r="F2641" s="5" t="s">
        <v>34</v>
      </c>
      <c r="G2641" s="5" t="s">
        <v>36</v>
      </c>
      <c r="H2641" s="5" t="s">
        <v>35</v>
      </c>
      <c r="I2641" s="6">
        <v>1.0</v>
      </c>
      <c r="J2641" s="6" t="s">
        <v>37</v>
      </c>
      <c r="K2641" s="6">
        <v>10.0</v>
      </c>
      <c r="L2641" s="5"/>
      <c r="M2641" s="5"/>
      <c r="N2641" s="6" t="s">
        <v>40</v>
      </c>
      <c r="O2641" s="5" t="s">
        <v>5363</v>
      </c>
      <c r="P2641" s="6" t="s">
        <v>42</v>
      </c>
      <c r="Q2641" s="5" t="s">
        <v>1237</v>
      </c>
      <c r="R2641" s="5" t="s">
        <v>14635</v>
      </c>
      <c r="S2641" s="6" t="s">
        <v>208</v>
      </c>
      <c r="T2641" s="6">
        <v>6453.0</v>
      </c>
    </row>
    <row r="2642" ht="56.25" customHeight="1">
      <c r="A2642" s="5" t="s">
        <v>14636</v>
      </c>
      <c r="B2642" s="6" t="str">
        <f>image("https://storage.googleapis.com/acdb/photos/BromideNpcNmlGoa09_Remake_0_0.png")</f>
        <v/>
      </c>
      <c r="C2642" s="5" t="s">
        <v>366</v>
      </c>
      <c r="D2642" s="5" t="s">
        <v>1327</v>
      </c>
      <c r="E2642" s="5" t="s">
        <v>34</v>
      </c>
      <c r="F2642" s="5" t="s">
        <v>34</v>
      </c>
      <c r="G2642" s="5" t="s">
        <v>36</v>
      </c>
      <c r="H2642" s="5" t="s">
        <v>35</v>
      </c>
      <c r="I2642" s="6">
        <v>1.0</v>
      </c>
      <c r="J2642" s="6" t="s">
        <v>37</v>
      </c>
      <c r="K2642" s="6">
        <v>10.0</v>
      </c>
      <c r="L2642" s="5"/>
      <c r="M2642" s="5"/>
      <c r="N2642" s="6" t="s">
        <v>40</v>
      </c>
      <c r="O2642" s="5" t="s">
        <v>5363</v>
      </c>
      <c r="P2642" s="6" t="s">
        <v>42</v>
      </c>
      <c r="Q2642" s="5" t="s">
        <v>1237</v>
      </c>
      <c r="R2642" s="5" t="s">
        <v>14638</v>
      </c>
      <c r="S2642" s="6" t="s">
        <v>50</v>
      </c>
      <c r="T2642" s="6">
        <v>7212.0</v>
      </c>
    </row>
    <row r="2643" ht="56.25" customHeight="1">
      <c r="A2643" s="5" t="s">
        <v>14636</v>
      </c>
      <c r="B2643" s="6" t="str">
        <f>image("https://storage.googleapis.com/acdb/photos/BromideNpcNmlGoa09_Remake_1_0.png")</f>
        <v/>
      </c>
      <c r="C2643" s="5" t="s">
        <v>1132</v>
      </c>
      <c r="D2643" s="5" t="s">
        <v>1327</v>
      </c>
      <c r="E2643" s="5" t="s">
        <v>34</v>
      </c>
      <c r="F2643" s="5" t="s">
        <v>34</v>
      </c>
      <c r="G2643" s="5" t="s">
        <v>36</v>
      </c>
      <c r="H2643" s="5" t="s">
        <v>35</v>
      </c>
      <c r="I2643" s="6">
        <v>1.0</v>
      </c>
      <c r="J2643" s="6" t="s">
        <v>37</v>
      </c>
      <c r="K2643" s="6">
        <v>10.0</v>
      </c>
      <c r="L2643" s="5"/>
      <c r="M2643" s="5"/>
      <c r="N2643" s="6" t="s">
        <v>40</v>
      </c>
      <c r="O2643" s="5" t="s">
        <v>5363</v>
      </c>
      <c r="P2643" s="6" t="s">
        <v>42</v>
      </c>
      <c r="Q2643" s="5" t="s">
        <v>1237</v>
      </c>
      <c r="R2643" s="5" t="s">
        <v>14642</v>
      </c>
      <c r="S2643" s="6" t="s">
        <v>56</v>
      </c>
      <c r="T2643" s="6">
        <v>7212.0</v>
      </c>
    </row>
    <row r="2644" ht="56.25" customHeight="1">
      <c r="A2644" s="5" t="s">
        <v>14636</v>
      </c>
      <c r="B2644" s="6" t="str">
        <f>image("https://storage.googleapis.com/acdb/photos/BromideNpcNmlGoa09_Remake_2_0.png")</f>
        <v/>
      </c>
      <c r="C2644" s="5" t="s">
        <v>688</v>
      </c>
      <c r="D2644" s="5" t="s">
        <v>1327</v>
      </c>
      <c r="E2644" s="5" t="s">
        <v>34</v>
      </c>
      <c r="F2644" s="5" t="s">
        <v>34</v>
      </c>
      <c r="G2644" s="5" t="s">
        <v>36</v>
      </c>
      <c r="H2644" s="5" t="s">
        <v>35</v>
      </c>
      <c r="I2644" s="6">
        <v>1.0</v>
      </c>
      <c r="J2644" s="6" t="s">
        <v>37</v>
      </c>
      <c r="K2644" s="6">
        <v>10.0</v>
      </c>
      <c r="L2644" s="5"/>
      <c r="M2644" s="5"/>
      <c r="N2644" s="6" t="s">
        <v>40</v>
      </c>
      <c r="O2644" s="5" t="s">
        <v>5363</v>
      </c>
      <c r="P2644" s="6" t="s">
        <v>42</v>
      </c>
      <c r="Q2644" s="5" t="s">
        <v>1237</v>
      </c>
      <c r="R2644" s="5" t="s">
        <v>14645</v>
      </c>
      <c r="S2644" s="6" t="s">
        <v>67</v>
      </c>
      <c r="T2644" s="6">
        <v>7212.0</v>
      </c>
    </row>
    <row r="2645" ht="56.25" customHeight="1">
      <c r="A2645" s="5" t="s">
        <v>14636</v>
      </c>
      <c r="B2645" s="6" t="str">
        <f>image("https://storage.googleapis.com/acdb/photos/BromideNpcNmlGoa09_Remake_3_0.png")</f>
        <v/>
      </c>
      <c r="C2645" s="5" t="s">
        <v>57</v>
      </c>
      <c r="D2645" s="5" t="s">
        <v>1327</v>
      </c>
      <c r="E2645" s="5" t="s">
        <v>34</v>
      </c>
      <c r="F2645" s="5" t="s">
        <v>34</v>
      </c>
      <c r="G2645" s="5" t="s">
        <v>36</v>
      </c>
      <c r="H2645" s="5" t="s">
        <v>35</v>
      </c>
      <c r="I2645" s="6">
        <v>1.0</v>
      </c>
      <c r="J2645" s="6" t="s">
        <v>37</v>
      </c>
      <c r="K2645" s="6">
        <v>10.0</v>
      </c>
      <c r="L2645" s="5"/>
      <c r="M2645" s="5"/>
      <c r="N2645" s="6" t="s">
        <v>40</v>
      </c>
      <c r="O2645" s="5" t="s">
        <v>5363</v>
      </c>
      <c r="P2645" s="6" t="s">
        <v>42</v>
      </c>
      <c r="Q2645" s="5" t="s">
        <v>1237</v>
      </c>
      <c r="R2645" s="5" t="s">
        <v>14649</v>
      </c>
      <c r="S2645" s="6" t="s">
        <v>71</v>
      </c>
      <c r="T2645" s="6">
        <v>7212.0</v>
      </c>
    </row>
    <row r="2646" ht="56.25" customHeight="1">
      <c r="A2646" s="5" t="s">
        <v>14636</v>
      </c>
      <c r="B2646" s="6" t="str">
        <f>image("https://storage.googleapis.com/acdb/photos/BromideNpcNmlGoa09_Remake_4_0.png")</f>
        <v/>
      </c>
      <c r="C2646" s="5" t="s">
        <v>1167</v>
      </c>
      <c r="D2646" s="5" t="s">
        <v>1327</v>
      </c>
      <c r="E2646" s="5" t="s">
        <v>34</v>
      </c>
      <c r="F2646" s="5" t="s">
        <v>34</v>
      </c>
      <c r="G2646" s="5" t="s">
        <v>36</v>
      </c>
      <c r="H2646" s="5" t="s">
        <v>35</v>
      </c>
      <c r="I2646" s="6">
        <v>1.0</v>
      </c>
      <c r="J2646" s="6" t="s">
        <v>37</v>
      </c>
      <c r="K2646" s="6">
        <v>10.0</v>
      </c>
      <c r="L2646" s="5"/>
      <c r="M2646" s="5"/>
      <c r="N2646" s="6" t="s">
        <v>40</v>
      </c>
      <c r="O2646" s="5" t="s">
        <v>5363</v>
      </c>
      <c r="P2646" s="6" t="s">
        <v>42</v>
      </c>
      <c r="Q2646" s="5" t="s">
        <v>1237</v>
      </c>
      <c r="R2646" s="5" t="s">
        <v>14651</v>
      </c>
      <c r="S2646" s="6" t="s">
        <v>75</v>
      </c>
      <c r="T2646" s="6">
        <v>7212.0</v>
      </c>
    </row>
    <row r="2647" ht="56.25" customHeight="1">
      <c r="A2647" s="5" t="s">
        <v>14636</v>
      </c>
      <c r="B2647" s="6" t="str">
        <f>image("https://storage.googleapis.com/acdb/photos/BromideNpcNmlGoa09_Remake_5_0.png")</f>
        <v/>
      </c>
      <c r="C2647" s="5" t="s">
        <v>58</v>
      </c>
      <c r="D2647" s="5" t="s">
        <v>1327</v>
      </c>
      <c r="E2647" s="5" t="s">
        <v>34</v>
      </c>
      <c r="F2647" s="5" t="s">
        <v>34</v>
      </c>
      <c r="G2647" s="5" t="s">
        <v>36</v>
      </c>
      <c r="H2647" s="5" t="s">
        <v>35</v>
      </c>
      <c r="I2647" s="6">
        <v>1.0</v>
      </c>
      <c r="J2647" s="6" t="s">
        <v>37</v>
      </c>
      <c r="K2647" s="6">
        <v>10.0</v>
      </c>
      <c r="L2647" s="5"/>
      <c r="M2647" s="5"/>
      <c r="N2647" s="6" t="s">
        <v>40</v>
      </c>
      <c r="O2647" s="5" t="s">
        <v>5363</v>
      </c>
      <c r="P2647" s="6" t="s">
        <v>42</v>
      </c>
      <c r="Q2647" s="5" t="s">
        <v>1237</v>
      </c>
      <c r="R2647" s="5" t="s">
        <v>14654</v>
      </c>
      <c r="S2647" s="6" t="s">
        <v>79</v>
      </c>
      <c r="T2647" s="6">
        <v>7212.0</v>
      </c>
    </row>
    <row r="2648" ht="56.25" customHeight="1">
      <c r="A2648" s="5" t="s">
        <v>14636</v>
      </c>
      <c r="B2648" s="6" t="str">
        <f>image("https://storage.googleapis.com/acdb/photos/BromideNpcNmlGoa09_Remake_6_0.png")</f>
        <v/>
      </c>
      <c r="C2648" s="5" t="s">
        <v>146</v>
      </c>
      <c r="D2648" s="5" t="s">
        <v>1327</v>
      </c>
      <c r="E2648" s="5" t="s">
        <v>34</v>
      </c>
      <c r="F2648" s="5" t="s">
        <v>34</v>
      </c>
      <c r="G2648" s="5" t="s">
        <v>36</v>
      </c>
      <c r="H2648" s="5" t="s">
        <v>35</v>
      </c>
      <c r="I2648" s="6">
        <v>1.0</v>
      </c>
      <c r="J2648" s="6" t="s">
        <v>37</v>
      </c>
      <c r="K2648" s="6">
        <v>10.0</v>
      </c>
      <c r="L2648" s="5"/>
      <c r="M2648" s="5"/>
      <c r="N2648" s="6" t="s">
        <v>40</v>
      </c>
      <c r="O2648" s="5" t="s">
        <v>5363</v>
      </c>
      <c r="P2648" s="6" t="s">
        <v>42</v>
      </c>
      <c r="Q2648" s="5" t="s">
        <v>1237</v>
      </c>
      <c r="R2648" s="5" t="s">
        <v>14656</v>
      </c>
      <c r="S2648" s="6" t="s">
        <v>86</v>
      </c>
      <c r="T2648" s="6">
        <v>7212.0</v>
      </c>
    </row>
    <row r="2649" ht="56.25" customHeight="1">
      <c r="A2649" s="5" t="s">
        <v>14636</v>
      </c>
      <c r="B2649" s="6" t="str">
        <f>image("https://storage.googleapis.com/acdb/photos/BromideNpcNmlGoa09_Remake_7_0.png")</f>
        <v/>
      </c>
      <c r="C2649" s="5" t="s">
        <v>151</v>
      </c>
      <c r="D2649" s="5" t="s">
        <v>1327</v>
      </c>
      <c r="E2649" s="5" t="s">
        <v>34</v>
      </c>
      <c r="F2649" s="5" t="s">
        <v>34</v>
      </c>
      <c r="G2649" s="5" t="s">
        <v>36</v>
      </c>
      <c r="H2649" s="5" t="s">
        <v>35</v>
      </c>
      <c r="I2649" s="6">
        <v>1.0</v>
      </c>
      <c r="J2649" s="6" t="s">
        <v>37</v>
      </c>
      <c r="K2649" s="6">
        <v>10.0</v>
      </c>
      <c r="L2649" s="5"/>
      <c r="M2649" s="5"/>
      <c r="N2649" s="6" t="s">
        <v>40</v>
      </c>
      <c r="O2649" s="5" t="s">
        <v>5363</v>
      </c>
      <c r="P2649" s="6" t="s">
        <v>42</v>
      </c>
      <c r="Q2649" s="5" t="s">
        <v>1237</v>
      </c>
      <c r="R2649" s="5" t="s">
        <v>14658</v>
      </c>
      <c r="S2649" s="6" t="s">
        <v>208</v>
      </c>
      <c r="T2649" s="6">
        <v>7212.0</v>
      </c>
    </row>
    <row r="2650" ht="56.25" customHeight="1">
      <c r="A2650" s="5" t="s">
        <v>14659</v>
      </c>
      <c r="B2650" s="6" t="str">
        <f>image("https://storage.googleapis.com/acdb/photos/BromideNpcNmlMnk02_Remake_0_0.png")</f>
        <v/>
      </c>
      <c r="C2650" s="5" t="s">
        <v>366</v>
      </c>
      <c r="D2650" s="5" t="s">
        <v>1327</v>
      </c>
      <c r="E2650" s="5" t="s">
        <v>34</v>
      </c>
      <c r="F2650" s="5" t="s">
        <v>34</v>
      </c>
      <c r="G2650" s="5" t="s">
        <v>36</v>
      </c>
      <c r="H2650" s="5" t="s">
        <v>35</v>
      </c>
      <c r="I2650" s="6">
        <v>1.0</v>
      </c>
      <c r="J2650" s="6" t="s">
        <v>37</v>
      </c>
      <c r="K2650" s="6">
        <v>10.0</v>
      </c>
      <c r="L2650" s="5"/>
      <c r="M2650" s="5"/>
      <c r="N2650" s="6" t="s">
        <v>40</v>
      </c>
      <c r="O2650" s="5" t="s">
        <v>5363</v>
      </c>
      <c r="P2650" s="6" t="s">
        <v>42</v>
      </c>
      <c r="Q2650" s="5" t="s">
        <v>1237</v>
      </c>
      <c r="R2650" s="5" t="s">
        <v>14661</v>
      </c>
      <c r="S2650" s="6" t="s">
        <v>50</v>
      </c>
      <c r="T2650" s="6">
        <v>6581.0</v>
      </c>
    </row>
    <row r="2651" ht="56.25" customHeight="1">
      <c r="A2651" s="5" t="s">
        <v>14659</v>
      </c>
      <c r="B2651" s="6" t="str">
        <f>image("https://storage.googleapis.com/acdb/photos/BromideNpcNmlMnk02_Remake_1_0.png")</f>
        <v/>
      </c>
      <c r="C2651" s="5" t="s">
        <v>1132</v>
      </c>
      <c r="D2651" s="5" t="s">
        <v>1327</v>
      </c>
      <c r="E2651" s="5" t="s">
        <v>34</v>
      </c>
      <c r="F2651" s="5" t="s">
        <v>34</v>
      </c>
      <c r="G2651" s="5" t="s">
        <v>36</v>
      </c>
      <c r="H2651" s="5" t="s">
        <v>35</v>
      </c>
      <c r="I2651" s="6">
        <v>1.0</v>
      </c>
      <c r="J2651" s="6" t="s">
        <v>37</v>
      </c>
      <c r="K2651" s="6">
        <v>10.0</v>
      </c>
      <c r="L2651" s="5"/>
      <c r="M2651" s="5"/>
      <c r="N2651" s="6" t="s">
        <v>40</v>
      </c>
      <c r="O2651" s="5" t="s">
        <v>5363</v>
      </c>
      <c r="P2651" s="6" t="s">
        <v>42</v>
      </c>
      <c r="Q2651" s="5" t="s">
        <v>1237</v>
      </c>
      <c r="R2651" s="5" t="s">
        <v>14666</v>
      </c>
      <c r="S2651" s="6" t="s">
        <v>56</v>
      </c>
      <c r="T2651" s="6">
        <v>6581.0</v>
      </c>
    </row>
    <row r="2652" ht="56.25" customHeight="1">
      <c r="A2652" s="5" t="s">
        <v>14659</v>
      </c>
      <c r="B2652" s="6" t="str">
        <f>image("https://storage.googleapis.com/acdb/photos/BromideNpcNmlMnk02_Remake_2_0.png")</f>
        <v/>
      </c>
      <c r="C2652" s="5" t="s">
        <v>688</v>
      </c>
      <c r="D2652" s="5" t="s">
        <v>1327</v>
      </c>
      <c r="E2652" s="5" t="s">
        <v>34</v>
      </c>
      <c r="F2652" s="5" t="s">
        <v>34</v>
      </c>
      <c r="G2652" s="5" t="s">
        <v>36</v>
      </c>
      <c r="H2652" s="5" t="s">
        <v>35</v>
      </c>
      <c r="I2652" s="6">
        <v>1.0</v>
      </c>
      <c r="J2652" s="6" t="s">
        <v>37</v>
      </c>
      <c r="K2652" s="6">
        <v>10.0</v>
      </c>
      <c r="L2652" s="5"/>
      <c r="M2652" s="5"/>
      <c r="N2652" s="6" t="s">
        <v>40</v>
      </c>
      <c r="O2652" s="5" t="s">
        <v>5363</v>
      </c>
      <c r="P2652" s="6" t="s">
        <v>42</v>
      </c>
      <c r="Q2652" s="5" t="s">
        <v>1237</v>
      </c>
      <c r="R2652" s="5" t="s">
        <v>14668</v>
      </c>
      <c r="S2652" s="6" t="s">
        <v>67</v>
      </c>
      <c r="T2652" s="6">
        <v>6581.0</v>
      </c>
    </row>
    <row r="2653" ht="56.25" customHeight="1">
      <c r="A2653" s="5" t="s">
        <v>14659</v>
      </c>
      <c r="B2653" s="6" t="str">
        <f>image("https://storage.googleapis.com/acdb/photos/BromideNpcNmlMnk02_Remake_3_0.png")</f>
        <v/>
      </c>
      <c r="C2653" s="5" t="s">
        <v>57</v>
      </c>
      <c r="D2653" s="5" t="s">
        <v>1327</v>
      </c>
      <c r="E2653" s="5" t="s">
        <v>34</v>
      </c>
      <c r="F2653" s="5" t="s">
        <v>34</v>
      </c>
      <c r="G2653" s="5" t="s">
        <v>36</v>
      </c>
      <c r="H2653" s="5" t="s">
        <v>35</v>
      </c>
      <c r="I2653" s="6">
        <v>1.0</v>
      </c>
      <c r="J2653" s="6" t="s">
        <v>37</v>
      </c>
      <c r="K2653" s="6">
        <v>10.0</v>
      </c>
      <c r="L2653" s="5"/>
      <c r="M2653" s="5"/>
      <c r="N2653" s="6" t="s">
        <v>40</v>
      </c>
      <c r="O2653" s="5" t="s">
        <v>5363</v>
      </c>
      <c r="P2653" s="6" t="s">
        <v>42</v>
      </c>
      <c r="Q2653" s="5" t="s">
        <v>1237</v>
      </c>
      <c r="R2653" s="5" t="s">
        <v>14671</v>
      </c>
      <c r="S2653" s="6" t="s">
        <v>71</v>
      </c>
      <c r="T2653" s="6">
        <v>6581.0</v>
      </c>
    </row>
    <row r="2654" ht="56.25" customHeight="1">
      <c r="A2654" s="5" t="s">
        <v>14659</v>
      </c>
      <c r="B2654" s="6" t="str">
        <f>image("https://storage.googleapis.com/acdb/photos/BromideNpcNmlMnk02_Remake_4_0.png")</f>
        <v/>
      </c>
      <c r="C2654" s="5" t="s">
        <v>1167</v>
      </c>
      <c r="D2654" s="5" t="s">
        <v>1327</v>
      </c>
      <c r="E2654" s="5" t="s">
        <v>34</v>
      </c>
      <c r="F2654" s="5" t="s">
        <v>34</v>
      </c>
      <c r="G2654" s="5" t="s">
        <v>36</v>
      </c>
      <c r="H2654" s="5" t="s">
        <v>35</v>
      </c>
      <c r="I2654" s="6">
        <v>1.0</v>
      </c>
      <c r="J2654" s="6" t="s">
        <v>37</v>
      </c>
      <c r="K2654" s="6">
        <v>10.0</v>
      </c>
      <c r="L2654" s="5"/>
      <c r="M2654" s="5"/>
      <c r="N2654" s="6" t="s">
        <v>40</v>
      </c>
      <c r="O2654" s="5" t="s">
        <v>5363</v>
      </c>
      <c r="P2654" s="6" t="s">
        <v>42</v>
      </c>
      <c r="Q2654" s="5" t="s">
        <v>1237</v>
      </c>
      <c r="R2654" s="5" t="s">
        <v>14673</v>
      </c>
      <c r="S2654" s="6" t="s">
        <v>75</v>
      </c>
      <c r="T2654" s="6">
        <v>6581.0</v>
      </c>
    </row>
    <row r="2655" ht="56.25" customHeight="1">
      <c r="A2655" s="5" t="s">
        <v>14659</v>
      </c>
      <c r="B2655" s="6" t="str">
        <f>image("https://storage.googleapis.com/acdb/photos/BromideNpcNmlMnk02_Remake_5_0.png")</f>
        <v/>
      </c>
      <c r="C2655" s="5" t="s">
        <v>58</v>
      </c>
      <c r="D2655" s="5" t="s">
        <v>1327</v>
      </c>
      <c r="E2655" s="5" t="s">
        <v>34</v>
      </c>
      <c r="F2655" s="5" t="s">
        <v>34</v>
      </c>
      <c r="G2655" s="5" t="s">
        <v>36</v>
      </c>
      <c r="H2655" s="5" t="s">
        <v>35</v>
      </c>
      <c r="I2655" s="6">
        <v>1.0</v>
      </c>
      <c r="J2655" s="6" t="s">
        <v>37</v>
      </c>
      <c r="K2655" s="6">
        <v>10.0</v>
      </c>
      <c r="L2655" s="5"/>
      <c r="M2655" s="5"/>
      <c r="N2655" s="6" t="s">
        <v>40</v>
      </c>
      <c r="O2655" s="5" t="s">
        <v>5363</v>
      </c>
      <c r="P2655" s="6" t="s">
        <v>42</v>
      </c>
      <c r="Q2655" s="5" t="s">
        <v>1237</v>
      </c>
      <c r="R2655" s="5" t="s">
        <v>14675</v>
      </c>
      <c r="S2655" s="6" t="s">
        <v>79</v>
      </c>
      <c r="T2655" s="6">
        <v>6581.0</v>
      </c>
    </row>
    <row r="2656" ht="56.25" customHeight="1">
      <c r="A2656" s="5" t="s">
        <v>14659</v>
      </c>
      <c r="B2656" s="6" t="str">
        <f>image("https://storage.googleapis.com/acdb/photos/BromideNpcNmlMnk02_Remake_6_0.png")</f>
        <v/>
      </c>
      <c r="C2656" s="5" t="s">
        <v>146</v>
      </c>
      <c r="D2656" s="5" t="s">
        <v>1327</v>
      </c>
      <c r="E2656" s="5" t="s">
        <v>34</v>
      </c>
      <c r="F2656" s="5" t="s">
        <v>34</v>
      </c>
      <c r="G2656" s="5" t="s">
        <v>36</v>
      </c>
      <c r="H2656" s="5" t="s">
        <v>35</v>
      </c>
      <c r="I2656" s="6">
        <v>1.0</v>
      </c>
      <c r="J2656" s="6" t="s">
        <v>37</v>
      </c>
      <c r="K2656" s="6">
        <v>10.0</v>
      </c>
      <c r="L2656" s="5"/>
      <c r="M2656" s="5"/>
      <c r="N2656" s="6" t="s">
        <v>40</v>
      </c>
      <c r="O2656" s="5" t="s">
        <v>5363</v>
      </c>
      <c r="P2656" s="6" t="s">
        <v>42</v>
      </c>
      <c r="Q2656" s="5" t="s">
        <v>1237</v>
      </c>
      <c r="R2656" s="5" t="s">
        <v>14677</v>
      </c>
      <c r="S2656" s="6" t="s">
        <v>86</v>
      </c>
      <c r="T2656" s="6">
        <v>6581.0</v>
      </c>
    </row>
    <row r="2657" ht="56.25" customHeight="1">
      <c r="A2657" s="5" t="s">
        <v>14659</v>
      </c>
      <c r="B2657" s="6" t="str">
        <f>image("https://storage.googleapis.com/acdb/photos/BromideNpcNmlMnk02_Remake_7_0.png")</f>
        <v/>
      </c>
      <c r="C2657" s="5" t="s">
        <v>151</v>
      </c>
      <c r="D2657" s="5" t="s">
        <v>1327</v>
      </c>
      <c r="E2657" s="5" t="s">
        <v>34</v>
      </c>
      <c r="F2657" s="5" t="s">
        <v>34</v>
      </c>
      <c r="G2657" s="5" t="s">
        <v>36</v>
      </c>
      <c r="H2657" s="5" t="s">
        <v>35</v>
      </c>
      <c r="I2657" s="6">
        <v>1.0</v>
      </c>
      <c r="J2657" s="6" t="s">
        <v>37</v>
      </c>
      <c r="K2657" s="6">
        <v>10.0</v>
      </c>
      <c r="L2657" s="5"/>
      <c r="M2657" s="5"/>
      <c r="N2657" s="6" t="s">
        <v>40</v>
      </c>
      <c r="O2657" s="5" t="s">
        <v>5363</v>
      </c>
      <c r="P2657" s="6" t="s">
        <v>42</v>
      </c>
      <c r="Q2657" s="5" t="s">
        <v>1237</v>
      </c>
      <c r="R2657" s="5" t="s">
        <v>14679</v>
      </c>
      <c r="S2657" s="6" t="s">
        <v>208</v>
      </c>
      <c r="T2657" s="6">
        <v>6581.0</v>
      </c>
    </row>
    <row r="2658" ht="56.25" customHeight="1">
      <c r="A2658" s="5" t="s">
        <v>14681</v>
      </c>
      <c r="B2658" s="6" t="str">
        <f>image("https://storage.googleapis.com/acdb/photos/BromideNpcNmlWol09_Remake_0_0.png")</f>
        <v/>
      </c>
      <c r="C2658" s="5" t="s">
        <v>366</v>
      </c>
      <c r="D2658" s="5" t="s">
        <v>1327</v>
      </c>
      <c r="E2658" s="5" t="s">
        <v>34</v>
      </c>
      <c r="F2658" s="5" t="s">
        <v>34</v>
      </c>
      <c r="G2658" s="5" t="s">
        <v>36</v>
      </c>
      <c r="H2658" s="5" t="s">
        <v>35</v>
      </c>
      <c r="I2658" s="6">
        <v>1.0</v>
      </c>
      <c r="J2658" s="6" t="s">
        <v>37</v>
      </c>
      <c r="K2658" s="6">
        <v>10.0</v>
      </c>
      <c r="L2658" s="5"/>
      <c r="M2658" s="5"/>
      <c r="N2658" s="6" t="s">
        <v>40</v>
      </c>
      <c r="O2658" s="5" t="s">
        <v>5363</v>
      </c>
      <c r="P2658" s="6" t="s">
        <v>42</v>
      </c>
      <c r="Q2658" s="5" t="s">
        <v>1237</v>
      </c>
      <c r="R2658" s="5" t="s">
        <v>14682</v>
      </c>
      <c r="S2658" s="6" t="s">
        <v>50</v>
      </c>
      <c r="T2658" s="6">
        <v>6740.0</v>
      </c>
    </row>
    <row r="2659" ht="56.25" customHeight="1">
      <c r="A2659" s="5" t="s">
        <v>14681</v>
      </c>
      <c r="B2659" s="6" t="str">
        <f>image("https://storage.googleapis.com/acdb/photos/BromideNpcNmlWol09_Remake_1_0.png")</f>
        <v/>
      </c>
      <c r="C2659" s="5" t="s">
        <v>1132</v>
      </c>
      <c r="D2659" s="5" t="s">
        <v>1327</v>
      </c>
      <c r="E2659" s="5" t="s">
        <v>34</v>
      </c>
      <c r="F2659" s="5" t="s">
        <v>34</v>
      </c>
      <c r="G2659" s="5" t="s">
        <v>36</v>
      </c>
      <c r="H2659" s="5" t="s">
        <v>35</v>
      </c>
      <c r="I2659" s="6">
        <v>1.0</v>
      </c>
      <c r="J2659" s="6" t="s">
        <v>37</v>
      </c>
      <c r="K2659" s="6">
        <v>10.0</v>
      </c>
      <c r="L2659" s="5"/>
      <c r="M2659" s="5"/>
      <c r="N2659" s="6" t="s">
        <v>40</v>
      </c>
      <c r="O2659" s="5" t="s">
        <v>5363</v>
      </c>
      <c r="P2659" s="6" t="s">
        <v>42</v>
      </c>
      <c r="Q2659" s="5" t="s">
        <v>1237</v>
      </c>
      <c r="R2659" s="5" t="s">
        <v>14684</v>
      </c>
      <c r="S2659" s="6" t="s">
        <v>56</v>
      </c>
      <c r="T2659" s="6">
        <v>6740.0</v>
      </c>
    </row>
    <row r="2660" ht="56.25" customHeight="1">
      <c r="A2660" s="5" t="s">
        <v>14681</v>
      </c>
      <c r="B2660" s="6" t="str">
        <f>image("https://storage.googleapis.com/acdb/photos/BromideNpcNmlWol09_Remake_2_0.png")</f>
        <v/>
      </c>
      <c r="C2660" s="5" t="s">
        <v>688</v>
      </c>
      <c r="D2660" s="5" t="s">
        <v>1327</v>
      </c>
      <c r="E2660" s="5" t="s">
        <v>34</v>
      </c>
      <c r="F2660" s="5" t="s">
        <v>34</v>
      </c>
      <c r="G2660" s="5" t="s">
        <v>36</v>
      </c>
      <c r="H2660" s="5" t="s">
        <v>35</v>
      </c>
      <c r="I2660" s="6">
        <v>1.0</v>
      </c>
      <c r="J2660" s="6" t="s">
        <v>37</v>
      </c>
      <c r="K2660" s="6">
        <v>10.0</v>
      </c>
      <c r="L2660" s="5"/>
      <c r="M2660" s="5"/>
      <c r="N2660" s="6" t="s">
        <v>40</v>
      </c>
      <c r="O2660" s="5" t="s">
        <v>5363</v>
      </c>
      <c r="P2660" s="6" t="s">
        <v>42</v>
      </c>
      <c r="Q2660" s="5" t="s">
        <v>1237</v>
      </c>
      <c r="R2660" s="5" t="s">
        <v>14687</v>
      </c>
      <c r="S2660" s="6" t="s">
        <v>67</v>
      </c>
      <c r="T2660" s="6">
        <v>6740.0</v>
      </c>
    </row>
    <row r="2661" ht="56.25" customHeight="1">
      <c r="A2661" s="5" t="s">
        <v>14681</v>
      </c>
      <c r="B2661" s="6" t="str">
        <f>image("https://storage.googleapis.com/acdb/photos/BromideNpcNmlWol09_Remake_3_0.png")</f>
        <v/>
      </c>
      <c r="C2661" s="5" t="s">
        <v>57</v>
      </c>
      <c r="D2661" s="5" t="s">
        <v>1327</v>
      </c>
      <c r="E2661" s="5" t="s">
        <v>34</v>
      </c>
      <c r="F2661" s="5" t="s">
        <v>34</v>
      </c>
      <c r="G2661" s="5" t="s">
        <v>36</v>
      </c>
      <c r="H2661" s="5" t="s">
        <v>35</v>
      </c>
      <c r="I2661" s="6">
        <v>1.0</v>
      </c>
      <c r="J2661" s="6" t="s">
        <v>37</v>
      </c>
      <c r="K2661" s="6">
        <v>10.0</v>
      </c>
      <c r="L2661" s="5"/>
      <c r="M2661" s="5"/>
      <c r="N2661" s="6" t="s">
        <v>40</v>
      </c>
      <c r="O2661" s="5" t="s">
        <v>5363</v>
      </c>
      <c r="P2661" s="6" t="s">
        <v>42</v>
      </c>
      <c r="Q2661" s="5" t="s">
        <v>1237</v>
      </c>
      <c r="R2661" s="5" t="s">
        <v>14689</v>
      </c>
      <c r="S2661" s="6" t="s">
        <v>71</v>
      </c>
      <c r="T2661" s="6">
        <v>6740.0</v>
      </c>
    </row>
    <row r="2662" ht="56.25" customHeight="1">
      <c r="A2662" s="5" t="s">
        <v>14681</v>
      </c>
      <c r="B2662" s="6" t="str">
        <f>image("https://storage.googleapis.com/acdb/photos/BromideNpcNmlWol09_Remake_4_0.png")</f>
        <v/>
      </c>
      <c r="C2662" s="5" t="s">
        <v>1167</v>
      </c>
      <c r="D2662" s="5" t="s">
        <v>1327</v>
      </c>
      <c r="E2662" s="5" t="s">
        <v>34</v>
      </c>
      <c r="F2662" s="5" t="s">
        <v>34</v>
      </c>
      <c r="G2662" s="5" t="s">
        <v>36</v>
      </c>
      <c r="H2662" s="5" t="s">
        <v>35</v>
      </c>
      <c r="I2662" s="6">
        <v>1.0</v>
      </c>
      <c r="J2662" s="6" t="s">
        <v>37</v>
      </c>
      <c r="K2662" s="6">
        <v>10.0</v>
      </c>
      <c r="L2662" s="5"/>
      <c r="M2662" s="5"/>
      <c r="N2662" s="6" t="s">
        <v>40</v>
      </c>
      <c r="O2662" s="5" t="s">
        <v>5363</v>
      </c>
      <c r="P2662" s="6" t="s">
        <v>42</v>
      </c>
      <c r="Q2662" s="5" t="s">
        <v>1237</v>
      </c>
      <c r="R2662" s="5" t="s">
        <v>14693</v>
      </c>
      <c r="S2662" s="6" t="s">
        <v>75</v>
      </c>
      <c r="T2662" s="6">
        <v>6740.0</v>
      </c>
    </row>
    <row r="2663" ht="56.25" customHeight="1">
      <c r="A2663" s="5" t="s">
        <v>14681</v>
      </c>
      <c r="B2663" s="6" t="str">
        <f>image("https://storage.googleapis.com/acdb/photos/BromideNpcNmlWol09_Remake_5_0.png")</f>
        <v/>
      </c>
      <c r="C2663" s="5" t="s">
        <v>58</v>
      </c>
      <c r="D2663" s="5" t="s">
        <v>1327</v>
      </c>
      <c r="E2663" s="5" t="s">
        <v>34</v>
      </c>
      <c r="F2663" s="5" t="s">
        <v>34</v>
      </c>
      <c r="G2663" s="5" t="s">
        <v>36</v>
      </c>
      <c r="H2663" s="5" t="s">
        <v>35</v>
      </c>
      <c r="I2663" s="6">
        <v>1.0</v>
      </c>
      <c r="J2663" s="6" t="s">
        <v>37</v>
      </c>
      <c r="K2663" s="6">
        <v>10.0</v>
      </c>
      <c r="L2663" s="5"/>
      <c r="M2663" s="5"/>
      <c r="N2663" s="6" t="s">
        <v>40</v>
      </c>
      <c r="O2663" s="5" t="s">
        <v>5363</v>
      </c>
      <c r="P2663" s="6" t="s">
        <v>42</v>
      </c>
      <c r="Q2663" s="5" t="s">
        <v>1237</v>
      </c>
      <c r="R2663" s="5" t="s">
        <v>14695</v>
      </c>
      <c r="S2663" s="6" t="s">
        <v>79</v>
      </c>
      <c r="T2663" s="6">
        <v>6740.0</v>
      </c>
    </row>
    <row r="2664" ht="56.25" customHeight="1">
      <c r="A2664" s="5" t="s">
        <v>14681</v>
      </c>
      <c r="B2664" s="6" t="str">
        <f>image("https://storage.googleapis.com/acdb/photos/BromideNpcNmlWol09_Remake_6_0.png")</f>
        <v/>
      </c>
      <c r="C2664" s="5" t="s">
        <v>146</v>
      </c>
      <c r="D2664" s="5" t="s">
        <v>1327</v>
      </c>
      <c r="E2664" s="5" t="s">
        <v>34</v>
      </c>
      <c r="F2664" s="5" t="s">
        <v>34</v>
      </c>
      <c r="G2664" s="5" t="s">
        <v>36</v>
      </c>
      <c r="H2664" s="5" t="s">
        <v>35</v>
      </c>
      <c r="I2664" s="6">
        <v>1.0</v>
      </c>
      <c r="J2664" s="6" t="s">
        <v>37</v>
      </c>
      <c r="K2664" s="6">
        <v>10.0</v>
      </c>
      <c r="L2664" s="5"/>
      <c r="M2664" s="5"/>
      <c r="N2664" s="6" t="s">
        <v>40</v>
      </c>
      <c r="O2664" s="5" t="s">
        <v>5363</v>
      </c>
      <c r="P2664" s="6" t="s">
        <v>42</v>
      </c>
      <c r="Q2664" s="5" t="s">
        <v>1237</v>
      </c>
      <c r="R2664" s="5" t="s">
        <v>14698</v>
      </c>
      <c r="S2664" s="6" t="s">
        <v>86</v>
      </c>
      <c r="T2664" s="6">
        <v>6740.0</v>
      </c>
    </row>
    <row r="2665" ht="56.25" customHeight="1">
      <c r="A2665" s="5" t="s">
        <v>14681</v>
      </c>
      <c r="B2665" s="6" t="str">
        <f>image("https://storage.googleapis.com/acdb/photos/BromideNpcNmlWol09_Remake_7_0.png")</f>
        <v/>
      </c>
      <c r="C2665" s="5" t="s">
        <v>151</v>
      </c>
      <c r="D2665" s="5" t="s">
        <v>1327</v>
      </c>
      <c r="E2665" s="5" t="s">
        <v>34</v>
      </c>
      <c r="F2665" s="5" t="s">
        <v>34</v>
      </c>
      <c r="G2665" s="5" t="s">
        <v>36</v>
      </c>
      <c r="H2665" s="5" t="s">
        <v>35</v>
      </c>
      <c r="I2665" s="6">
        <v>1.0</v>
      </c>
      <c r="J2665" s="6" t="s">
        <v>37</v>
      </c>
      <c r="K2665" s="6">
        <v>10.0</v>
      </c>
      <c r="L2665" s="5"/>
      <c r="M2665" s="5"/>
      <c r="N2665" s="6" t="s">
        <v>40</v>
      </c>
      <c r="O2665" s="5" t="s">
        <v>5363</v>
      </c>
      <c r="P2665" s="6" t="s">
        <v>42</v>
      </c>
      <c r="Q2665" s="5" t="s">
        <v>1237</v>
      </c>
      <c r="R2665" s="5" t="s">
        <v>14701</v>
      </c>
      <c r="S2665" s="6" t="s">
        <v>208</v>
      </c>
      <c r="T2665" s="6">
        <v>6740.0</v>
      </c>
    </row>
    <row r="2666" ht="56.25" customHeight="1">
      <c r="A2666" s="5" t="s">
        <v>14703</v>
      </c>
      <c r="B2666" s="6" t="str">
        <f>image("https://storage.googleapis.com/acdb/photos/BromideNpcNmlCrd06_Remake_0_0.png")</f>
        <v/>
      </c>
      <c r="C2666" s="5" t="s">
        <v>366</v>
      </c>
      <c r="D2666" s="5" t="s">
        <v>1327</v>
      </c>
      <c r="E2666" s="5" t="s">
        <v>34</v>
      </c>
      <c r="F2666" s="5" t="s">
        <v>34</v>
      </c>
      <c r="G2666" s="5" t="s">
        <v>36</v>
      </c>
      <c r="H2666" s="5" t="s">
        <v>35</v>
      </c>
      <c r="I2666" s="6">
        <v>1.0</v>
      </c>
      <c r="J2666" s="6" t="s">
        <v>37</v>
      </c>
      <c r="K2666" s="6">
        <v>10.0</v>
      </c>
      <c r="L2666" s="5"/>
      <c r="M2666" s="5"/>
      <c r="N2666" s="6" t="s">
        <v>40</v>
      </c>
      <c r="O2666" s="5" t="s">
        <v>5363</v>
      </c>
      <c r="P2666" s="6" t="s">
        <v>42</v>
      </c>
      <c r="Q2666" s="5" t="s">
        <v>1237</v>
      </c>
      <c r="R2666" s="5" t="s">
        <v>14706</v>
      </c>
      <c r="S2666" s="6" t="s">
        <v>50</v>
      </c>
      <c r="T2666" s="6">
        <v>6804.0</v>
      </c>
    </row>
    <row r="2667" ht="56.25" customHeight="1">
      <c r="A2667" s="5" t="s">
        <v>14703</v>
      </c>
      <c r="B2667" s="6" t="str">
        <f>image("https://storage.googleapis.com/acdb/photos/BromideNpcNmlCrd06_Remake_1_0.png")</f>
        <v/>
      </c>
      <c r="C2667" s="5" t="s">
        <v>1132</v>
      </c>
      <c r="D2667" s="5" t="s">
        <v>1327</v>
      </c>
      <c r="E2667" s="5" t="s">
        <v>34</v>
      </c>
      <c r="F2667" s="5" t="s">
        <v>34</v>
      </c>
      <c r="G2667" s="5" t="s">
        <v>36</v>
      </c>
      <c r="H2667" s="5" t="s">
        <v>35</v>
      </c>
      <c r="I2667" s="6">
        <v>1.0</v>
      </c>
      <c r="J2667" s="6" t="s">
        <v>37</v>
      </c>
      <c r="K2667" s="6">
        <v>10.0</v>
      </c>
      <c r="L2667" s="5"/>
      <c r="M2667" s="5"/>
      <c r="N2667" s="6" t="s">
        <v>40</v>
      </c>
      <c r="O2667" s="5" t="s">
        <v>5363</v>
      </c>
      <c r="P2667" s="6" t="s">
        <v>42</v>
      </c>
      <c r="Q2667" s="5" t="s">
        <v>1237</v>
      </c>
      <c r="R2667" s="5" t="s">
        <v>14711</v>
      </c>
      <c r="S2667" s="6" t="s">
        <v>56</v>
      </c>
      <c r="T2667" s="6">
        <v>6804.0</v>
      </c>
    </row>
    <row r="2668" ht="56.25" customHeight="1">
      <c r="A2668" s="5" t="s">
        <v>14703</v>
      </c>
      <c r="B2668" s="6" t="str">
        <f>image("https://storage.googleapis.com/acdb/photos/BromideNpcNmlCrd06_Remake_2_0.png")</f>
        <v/>
      </c>
      <c r="C2668" s="5" t="s">
        <v>688</v>
      </c>
      <c r="D2668" s="5" t="s">
        <v>1327</v>
      </c>
      <c r="E2668" s="5" t="s">
        <v>34</v>
      </c>
      <c r="F2668" s="5" t="s">
        <v>34</v>
      </c>
      <c r="G2668" s="5" t="s">
        <v>36</v>
      </c>
      <c r="H2668" s="5" t="s">
        <v>35</v>
      </c>
      <c r="I2668" s="6">
        <v>1.0</v>
      </c>
      <c r="J2668" s="6" t="s">
        <v>37</v>
      </c>
      <c r="K2668" s="6">
        <v>10.0</v>
      </c>
      <c r="L2668" s="5"/>
      <c r="M2668" s="5"/>
      <c r="N2668" s="6" t="s">
        <v>40</v>
      </c>
      <c r="O2668" s="5" t="s">
        <v>5363</v>
      </c>
      <c r="P2668" s="6" t="s">
        <v>42</v>
      </c>
      <c r="Q2668" s="5" t="s">
        <v>1237</v>
      </c>
      <c r="R2668" s="5" t="s">
        <v>14715</v>
      </c>
      <c r="S2668" s="6" t="s">
        <v>67</v>
      </c>
      <c r="T2668" s="6">
        <v>6804.0</v>
      </c>
    </row>
    <row r="2669" ht="56.25" customHeight="1">
      <c r="A2669" s="5" t="s">
        <v>14703</v>
      </c>
      <c r="B2669" s="6" t="str">
        <f>image("https://storage.googleapis.com/acdb/photos/BromideNpcNmlCrd06_Remake_3_0.png")</f>
        <v/>
      </c>
      <c r="C2669" s="5" t="s">
        <v>57</v>
      </c>
      <c r="D2669" s="5" t="s">
        <v>1327</v>
      </c>
      <c r="E2669" s="5" t="s">
        <v>34</v>
      </c>
      <c r="F2669" s="5" t="s">
        <v>34</v>
      </c>
      <c r="G2669" s="5" t="s">
        <v>36</v>
      </c>
      <c r="H2669" s="5" t="s">
        <v>35</v>
      </c>
      <c r="I2669" s="6">
        <v>1.0</v>
      </c>
      <c r="J2669" s="6" t="s">
        <v>37</v>
      </c>
      <c r="K2669" s="6">
        <v>10.0</v>
      </c>
      <c r="L2669" s="5"/>
      <c r="M2669" s="5"/>
      <c r="N2669" s="6" t="s">
        <v>40</v>
      </c>
      <c r="O2669" s="5" t="s">
        <v>5363</v>
      </c>
      <c r="P2669" s="6" t="s">
        <v>42</v>
      </c>
      <c r="Q2669" s="5" t="s">
        <v>1237</v>
      </c>
      <c r="R2669" s="5" t="s">
        <v>14718</v>
      </c>
      <c r="S2669" s="6" t="s">
        <v>71</v>
      </c>
      <c r="T2669" s="6">
        <v>6804.0</v>
      </c>
    </row>
    <row r="2670" ht="56.25" customHeight="1">
      <c r="A2670" s="5" t="s">
        <v>14703</v>
      </c>
      <c r="B2670" s="6" t="str">
        <f>image("https://storage.googleapis.com/acdb/photos/BromideNpcNmlCrd06_Remake_4_0.png")</f>
        <v/>
      </c>
      <c r="C2670" s="5" t="s">
        <v>1167</v>
      </c>
      <c r="D2670" s="5" t="s">
        <v>1327</v>
      </c>
      <c r="E2670" s="5" t="s">
        <v>34</v>
      </c>
      <c r="F2670" s="5" t="s">
        <v>34</v>
      </c>
      <c r="G2670" s="5" t="s">
        <v>36</v>
      </c>
      <c r="H2670" s="5" t="s">
        <v>35</v>
      </c>
      <c r="I2670" s="6">
        <v>1.0</v>
      </c>
      <c r="J2670" s="6" t="s">
        <v>37</v>
      </c>
      <c r="K2670" s="6">
        <v>10.0</v>
      </c>
      <c r="L2670" s="5"/>
      <c r="M2670" s="5"/>
      <c r="N2670" s="6" t="s">
        <v>40</v>
      </c>
      <c r="O2670" s="5" t="s">
        <v>5363</v>
      </c>
      <c r="P2670" s="6" t="s">
        <v>42</v>
      </c>
      <c r="Q2670" s="5" t="s">
        <v>1237</v>
      </c>
      <c r="R2670" s="5" t="s">
        <v>14720</v>
      </c>
      <c r="S2670" s="6" t="s">
        <v>75</v>
      </c>
      <c r="T2670" s="6">
        <v>6804.0</v>
      </c>
    </row>
    <row r="2671" ht="56.25" customHeight="1">
      <c r="A2671" s="5" t="s">
        <v>14703</v>
      </c>
      <c r="B2671" s="6" t="str">
        <f>image("https://storage.googleapis.com/acdb/photos/BromideNpcNmlCrd06_Remake_5_0.png")</f>
        <v/>
      </c>
      <c r="C2671" s="5" t="s">
        <v>58</v>
      </c>
      <c r="D2671" s="5" t="s">
        <v>1327</v>
      </c>
      <c r="E2671" s="5" t="s">
        <v>34</v>
      </c>
      <c r="F2671" s="5" t="s">
        <v>34</v>
      </c>
      <c r="G2671" s="5" t="s">
        <v>36</v>
      </c>
      <c r="H2671" s="5" t="s">
        <v>35</v>
      </c>
      <c r="I2671" s="6">
        <v>1.0</v>
      </c>
      <c r="J2671" s="6" t="s">
        <v>37</v>
      </c>
      <c r="K2671" s="6">
        <v>10.0</v>
      </c>
      <c r="L2671" s="5"/>
      <c r="M2671" s="5"/>
      <c r="N2671" s="6" t="s">
        <v>40</v>
      </c>
      <c r="O2671" s="5" t="s">
        <v>5363</v>
      </c>
      <c r="P2671" s="6" t="s">
        <v>42</v>
      </c>
      <c r="Q2671" s="5" t="s">
        <v>1237</v>
      </c>
      <c r="R2671" s="5" t="s">
        <v>14722</v>
      </c>
      <c r="S2671" s="6" t="s">
        <v>79</v>
      </c>
      <c r="T2671" s="6">
        <v>6804.0</v>
      </c>
    </row>
    <row r="2672" ht="56.25" customHeight="1">
      <c r="A2672" s="5" t="s">
        <v>14703</v>
      </c>
      <c r="B2672" s="6" t="str">
        <f>image("https://storage.googleapis.com/acdb/photos/BromideNpcNmlCrd06_Remake_6_0.png")</f>
        <v/>
      </c>
      <c r="C2672" s="5" t="s">
        <v>146</v>
      </c>
      <c r="D2672" s="5" t="s">
        <v>1327</v>
      </c>
      <c r="E2672" s="5" t="s">
        <v>34</v>
      </c>
      <c r="F2672" s="5" t="s">
        <v>34</v>
      </c>
      <c r="G2672" s="5" t="s">
        <v>36</v>
      </c>
      <c r="H2672" s="5" t="s">
        <v>35</v>
      </c>
      <c r="I2672" s="6">
        <v>1.0</v>
      </c>
      <c r="J2672" s="6" t="s">
        <v>37</v>
      </c>
      <c r="K2672" s="6">
        <v>10.0</v>
      </c>
      <c r="L2672" s="5"/>
      <c r="M2672" s="5"/>
      <c r="N2672" s="6" t="s">
        <v>40</v>
      </c>
      <c r="O2672" s="5" t="s">
        <v>5363</v>
      </c>
      <c r="P2672" s="6" t="s">
        <v>42</v>
      </c>
      <c r="Q2672" s="5" t="s">
        <v>1237</v>
      </c>
      <c r="R2672" s="5" t="s">
        <v>14725</v>
      </c>
      <c r="S2672" s="6" t="s">
        <v>86</v>
      </c>
      <c r="T2672" s="6">
        <v>6804.0</v>
      </c>
    </row>
    <row r="2673" ht="56.25" customHeight="1">
      <c r="A2673" s="5" t="s">
        <v>14703</v>
      </c>
      <c r="B2673" s="6" t="str">
        <f>image("https://storage.googleapis.com/acdb/photos/BromideNpcNmlCrd06_Remake_7_0.png")</f>
        <v/>
      </c>
      <c r="C2673" s="5" t="s">
        <v>151</v>
      </c>
      <c r="D2673" s="5" t="s">
        <v>1327</v>
      </c>
      <c r="E2673" s="5" t="s">
        <v>34</v>
      </c>
      <c r="F2673" s="5" t="s">
        <v>34</v>
      </c>
      <c r="G2673" s="5" t="s">
        <v>36</v>
      </c>
      <c r="H2673" s="5" t="s">
        <v>35</v>
      </c>
      <c r="I2673" s="6">
        <v>1.0</v>
      </c>
      <c r="J2673" s="6" t="s">
        <v>37</v>
      </c>
      <c r="K2673" s="6">
        <v>10.0</v>
      </c>
      <c r="L2673" s="5"/>
      <c r="M2673" s="5"/>
      <c r="N2673" s="6" t="s">
        <v>40</v>
      </c>
      <c r="O2673" s="5" t="s">
        <v>5363</v>
      </c>
      <c r="P2673" s="6" t="s">
        <v>42</v>
      </c>
      <c r="Q2673" s="5" t="s">
        <v>1237</v>
      </c>
      <c r="R2673" s="5" t="s">
        <v>14728</v>
      </c>
      <c r="S2673" s="6" t="s">
        <v>208</v>
      </c>
      <c r="T2673" s="6">
        <v>6804.0</v>
      </c>
    </row>
    <row r="2674" ht="56.25" customHeight="1">
      <c r="A2674" s="5" t="s">
        <v>14729</v>
      </c>
      <c r="B2674" s="6" t="str">
        <f>image("https://storage.googleapis.com/acdb/photos/BromideNpcNmlRbt03_Remake_0_0.png")</f>
        <v/>
      </c>
      <c r="C2674" s="5" t="s">
        <v>366</v>
      </c>
      <c r="D2674" s="5" t="s">
        <v>1327</v>
      </c>
      <c r="E2674" s="5" t="s">
        <v>34</v>
      </c>
      <c r="F2674" s="5" t="s">
        <v>34</v>
      </c>
      <c r="G2674" s="5" t="s">
        <v>36</v>
      </c>
      <c r="H2674" s="5" t="s">
        <v>35</v>
      </c>
      <c r="I2674" s="6">
        <v>1.0</v>
      </c>
      <c r="J2674" s="6" t="s">
        <v>37</v>
      </c>
      <c r="K2674" s="6">
        <v>10.0</v>
      </c>
      <c r="L2674" s="5"/>
      <c r="M2674" s="5"/>
      <c r="N2674" s="6" t="s">
        <v>40</v>
      </c>
      <c r="O2674" s="5" t="s">
        <v>5363</v>
      </c>
      <c r="P2674" s="6" t="s">
        <v>42</v>
      </c>
      <c r="Q2674" s="5" t="s">
        <v>1237</v>
      </c>
      <c r="R2674" s="5" t="s">
        <v>14733</v>
      </c>
      <c r="S2674" s="6" t="s">
        <v>50</v>
      </c>
      <c r="T2674" s="6">
        <v>6665.0</v>
      </c>
    </row>
    <row r="2675" ht="56.25" customHeight="1">
      <c r="A2675" s="5" t="s">
        <v>14729</v>
      </c>
      <c r="B2675" s="6" t="str">
        <f>image("https://storage.googleapis.com/acdb/photos/BromideNpcNmlRbt03_Remake_1_0.png")</f>
        <v/>
      </c>
      <c r="C2675" s="5" t="s">
        <v>1132</v>
      </c>
      <c r="D2675" s="5" t="s">
        <v>1327</v>
      </c>
      <c r="E2675" s="5" t="s">
        <v>34</v>
      </c>
      <c r="F2675" s="5" t="s">
        <v>34</v>
      </c>
      <c r="G2675" s="5" t="s">
        <v>36</v>
      </c>
      <c r="H2675" s="5" t="s">
        <v>35</v>
      </c>
      <c r="I2675" s="6">
        <v>1.0</v>
      </c>
      <c r="J2675" s="6" t="s">
        <v>37</v>
      </c>
      <c r="K2675" s="6">
        <v>10.0</v>
      </c>
      <c r="L2675" s="5"/>
      <c r="M2675" s="5"/>
      <c r="N2675" s="6" t="s">
        <v>40</v>
      </c>
      <c r="O2675" s="5" t="s">
        <v>5363</v>
      </c>
      <c r="P2675" s="6" t="s">
        <v>42</v>
      </c>
      <c r="Q2675" s="5" t="s">
        <v>1237</v>
      </c>
      <c r="R2675" s="5" t="s">
        <v>14736</v>
      </c>
      <c r="S2675" s="6" t="s">
        <v>56</v>
      </c>
      <c r="T2675" s="6">
        <v>6665.0</v>
      </c>
    </row>
    <row r="2676" ht="56.25" customHeight="1">
      <c r="A2676" s="5" t="s">
        <v>14729</v>
      </c>
      <c r="B2676" s="6" t="str">
        <f>image("https://storage.googleapis.com/acdb/photos/BromideNpcNmlRbt03_Remake_2_0.png")</f>
        <v/>
      </c>
      <c r="C2676" s="5" t="s">
        <v>688</v>
      </c>
      <c r="D2676" s="5" t="s">
        <v>1327</v>
      </c>
      <c r="E2676" s="5" t="s">
        <v>34</v>
      </c>
      <c r="F2676" s="5" t="s">
        <v>34</v>
      </c>
      <c r="G2676" s="5" t="s">
        <v>36</v>
      </c>
      <c r="H2676" s="5" t="s">
        <v>35</v>
      </c>
      <c r="I2676" s="6">
        <v>1.0</v>
      </c>
      <c r="J2676" s="6" t="s">
        <v>37</v>
      </c>
      <c r="K2676" s="6">
        <v>10.0</v>
      </c>
      <c r="L2676" s="5"/>
      <c r="M2676" s="5"/>
      <c r="N2676" s="6" t="s">
        <v>40</v>
      </c>
      <c r="O2676" s="5" t="s">
        <v>5363</v>
      </c>
      <c r="P2676" s="6" t="s">
        <v>42</v>
      </c>
      <c r="Q2676" s="5" t="s">
        <v>1237</v>
      </c>
      <c r="R2676" s="5" t="s">
        <v>14739</v>
      </c>
      <c r="S2676" s="6" t="s">
        <v>67</v>
      </c>
      <c r="T2676" s="6">
        <v>6665.0</v>
      </c>
    </row>
    <row r="2677" ht="56.25" customHeight="1">
      <c r="A2677" s="5" t="s">
        <v>14729</v>
      </c>
      <c r="B2677" s="6" t="str">
        <f>image("https://storage.googleapis.com/acdb/photos/BromideNpcNmlRbt03_Remake_3_0.png")</f>
        <v/>
      </c>
      <c r="C2677" s="5" t="s">
        <v>57</v>
      </c>
      <c r="D2677" s="5" t="s">
        <v>1327</v>
      </c>
      <c r="E2677" s="5" t="s">
        <v>34</v>
      </c>
      <c r="F2677" s="5" t="s">
        <v>34</v>
      </c>
      <c r="G2677" s="5" t="s">
        <v>36</v>
      </c>
      <c r="H2677" s="5" t="s">
        <v>35</v>
      </c>
      <c r="I2677" s="6">
        <v>1.0</v>
      </c>
      <c r="J2677" s="6" t="s">
        <v>37</v>
      </c>
      <c r="K2677" s="6">
        <v>10.0</v>
      </c>
      <c r="L2677" s="5"/>
      <c r="M2677" s="5"/>
      <c r="N2677" s="6" t="s">
        <v>40</v>
      </c>
      <c r="O2677" s="5" t="s">
        <v>5363</v>
      </c>
      <c r="P2677" s="6" t="s">
        <v>42</v>
      </c>
      <c r="Q2677" s="5" t="s">
        <v>1237</v>
      </c>
      <c r="R2677" s="5" t="s">
        <v>14743</v>
      </c>
      <c r="S2677" s="6" t="s">
        <v>71</v>
      </c>
      <c r="T2677" s="6">
        <v>6665.0</v>
      </c>
    </row>
    <row r="2678" ht="56.25" customHeight="1">
      <c r="A2678" s="5" t="s">
        <v>14729</v>
      </c>
      <c r="B2678" s="6" t="str">
        <f>image("https://storage.googleapis.com/acdb/photos/BromideNpcNmlRbt03_Remake_4_0.png")</f>
        <v/>
      </c>
      <c r="C2678" s="5" t="s">
        <v>1167</v>
      </c>
      <c r="D2678" s="5" t="s">
        <v>1327</v>
      </c>
      <c r="E2678" s="5" t="s">
        <v>34</v>
      </c>
      <c r="F2678" s="5" t="s">
        <v>34</v>
      </c>
      <c r="G2678" s="5" t="s">
        <v>36</v>
      </c>
      <c r="H2678" s="5" t="s">
        <v>35</v>
      </c>
      <c r="I2678" s="6">
        <v>1.0</v>
      </c>
      <c r="J2678" s="6" t="s">
        <v>37</v>
      </c>
      <c r="K2678" s="6">
        <v>10.0</v>
      </c>
      <c r="L2678" s="5"/>
      <c r="M2678" s="5"/>
      <c r="N2678" s="6" t="s">
        <v>40</v>
      </c>
      <c r="O2678" s="5" t="s">
        <v>5363</v>
      </c>
      <c r="P2678" s="6" t="s">
        <v>42</v>
      </c>
      <c r="Q2678" s="5" t="s">
        <v>1237</v>
      </c>
      <c r="R2678" s="5" t="s">
        <v>14745</v>
      </c>
      <c r="S2678" s="6" t="s">
        <v>75</v>
      </c>
      <c r="T2678" s="6">
        <v>6665.0</v>
      </c>
    </row>
    <row r="2679" ht="56.25" customHeight="1">
      <c r="A2679" s="5" t="s">
        <v>14729</v>
      </c>
      <c r="B2679" s="6" t="str">
        <f>image("https://storage.googleapis.com/acdb/photos/BromideNpcNmlRbt03_Remake_5_0.png")</f>
        <v/>
      </c>
      <c r="C2679" s="5" t="s">
        <v>58</v>
      </c>
      <c r="D2679" s="5" t="s">
        <v>1327</v>
      </c>
      <c r="E2679" s="5" t="s">
        <v>34</v>
      </c>
      <c r="F2679" s="5" t="s">
        <v>34</v>
      </c>
      <c r="G2679" s="5" t="s">
        <v>36</v>
      </c>
      <c r="H2679" s="5" t="s">
        <v>35</v>
      </c>
      <c r="I2679" s="6">
        <v>1.0</v>
      </c>
      <c r="J2679" s="6" t="s">
        <v>37</v>
      </c>
      <c r="K2679" s="6">
        <v>10.0</v>
      </c>
      <c r="L2679" s="5"/>
      <c r="M2679" s="5"/>
      <c r="N2679" s="6" t="s">
        <v>40</v>
      </c>
      <c r="O2679" s="5" t="s">
        <v>5363</v>
      </c>
      <c r="P2679" s="6" t="s">
        <v>42</v>
      </c>
      <c r="Q2679" s="5" t="s">
        <v>1237</v>
      </c>
      <c r="R2679" s="5" t="s">
        <v>14747</v>
      </c>
      <c r="S2679" s="6" t="s">
        <v>79</v>
      </c>
      <c r="T2679" s="6">
        <v>6665.0</v>
      </c>
    </row>
    <row r="2680" ht="56.25" customHeight="1">
      <c r="A2680" s="5" t="s">
        <v>14729</v>
      </c>
      <c r="B2680" s="6" t="str">
        <f>image("https://storage.googleapis.com/acdb/photos/BromideNpcNmlRbt03_Remake_6_0.png")</f>
        <v/>
      </c>
      <c r="C2680" s="5" t="s">
        <v>146</v>
      </c>
      <c r="D2680" s="5" t="s">
        <v>1327</v>
      </c>
      <c r="E2680" s="5" t="s">
        <v>34</v>
      </c>
      <c r="F2680" s="5" t="s">
        <v>34</v>
      </c>
      <c r="G2680" s="5" t="s">
        <v>36</v>
      </c>
      <c r="H2680" s="5" t="s">
        <v>35</v>
      </c>
      <c r="I2680" s="6">
        <v>1.0</v>
      </c>
      <c r="J2680" s="6" t="s">
        <v>37</v>
      </c>
      <c r="K2680" s="6">
        <v>10.0</v>
      </c>
      <c r="L2680" s="5"/>
      <c r="M2680" s="5"/>
      <c r="N2680" s="6" t="s">
        <v>40</v>
      </c>
      <c r="O2680" s="5" t="s">
        <v>5363</v>
      </c>
      <c r="P2680" s="6" t="s">
        <v>42</v>
      </c>
      <c r="Q2680" s="5" t="s">
        <v>1237</v>
      </c>
      <c r="R2680" s="5" t="s">
        <v>14752</v>
      </c>
      <c r="S2680" s="6" t="s">
        <v>86</v>
      </c>
      <c r="T2680" s="6">
        <v>6665.0</v>
      </c>
    </row>
    <row r="2681" ht="56.25" customHeight="1">
      <c r="A2681" s="5" t="s">
        <v>14729</v>
      </c>
      <c r="B2681" s="6" t="str">
        <f>image("https://storage.googleapis.com/acdb/photos/BromideNpcNmlRbt03_Remake_7_0.png")</f>
        <v/>
      </c>
      <c r="C2681" s="5" t="s">
        <v>151</v>
      </c>
      <c r="D2681" s="5" t="s">
        <v>1327</v>
      </c>
      <c r="E2681" s="5" t="s">
        <v>34</v>
      </c>
      <c r="F2681" s="5" t="s">
        <v>34</v>
      </c>
      <c r="G2681" s="5" t="s">
        <v>36</v>
      </c>
      <c r="H2681" s="5" t="s">
        <v>35</v>
      </c>
      <c r="I2681" s="6">
        <v>1.0</v>
      </c>
      <c r="J2681" s="6" t="s">
        <v>37</v>
      </c>
      <c r="K2681" s="6">
        <v>10.0</v>
      </c>
      <c r="L2681" s="5"/>
      <c r="M2681" s="5"/>
      <c r="N2681" s="6" t="s">
        <v>40</v>
      </c>
      <c r="O2681" s="5" t="s">
        <v>5363</v>
      </c>
      <c r="P2681" s="6" t="s">
        <v>42</v>
      </c>
      <c r="Q2681" s="5" t="s">
        <v>1237</v>
      </c>
      <c r="R2681" s="5" t="s">
        <v>14754</v>
      </c>
      <c r="S2681" s="6" t="s">
        <v>208</v>
      </c>
      <c r="T2681" s="6">
        <v>6665.0</v>
      </c>
    </row>
    <row r="2682" ht="56.25" customHeight="1">
      <c r="A2682" s="5" t="s">
        <v>14755</v>
      </c>
      <c r="B2682" s="6" t="str">
        <f>image("https://storage.googleapis.com/acdb/photos/BromideNpcNmlAnt06_Remake_0_0.png")</f>
        <v/>
      </c>
      <c r="C2682" s="5" t="s">
        <v>366</v>
      </c>
      <c r="D2682" s="5" t="s">
        <v>1327</v>
      </c>
      <c r="E2682" s="5" t="s">
        <v>34</v>
      </c>
      <c r="F2682" s="5" t="s">
        <v>34</v>
      </c>
      <c r="G2682" s="5" t="s">
        <v>36</v>
      </c>
      <c r="H2682" s="5" t="s">
        <v>35</v>
      </c>
      <c r="I2682" s="6">
        <v>1.0</v>
      </c>
      <c r="J2682" s="6" t="s">
        <v>37</v>
      </c>
      <c r="K2682" s="6">
        <v>10.0</v>
      </c>
      <c r="L2682" s="5"/>
      <c r="M2682" s="5"/>
      <c r="N2682" s="6" t="s">
        <v>40</v>
      </c>
      <c r="O2682" s="5" t="s">
        <v>5363</v>
      </c>
      <c r="P2682" s="6" t="s">
        <v>42</v>
      </c>
      <c r="Q2682" s="5" t="s">
        <v>1237</v>
      </c>
      <c r="R2682" s="5" t="s">
        <v>14758</v>
      </c>
      <c r="S2682" s="6" t="s">
        <v>50</v>
      </c>
      <c r="T2682" s="6">
        <v>6754.0</v>
      </c>
    </row>
    <row r="2683" ht="56.25" customHeight="1">
      <c r="A2683" s="5" t="s">
        <v>14755</v>
      </c>
      <c r="B2683" s="6" t="str">
        <f>image("https://storage.googleapis.com/acdb/photos/BromideNpcNmlAnt06_Remake_1_0.png")</f>
        <v/>
      </c>
      <c r="C2683" s="5" t="s">
        <v>1132</v>
      </c>
      <c r="D2683" s="5" t="s">
        <v>1327</v>
      </c>
      <c r="E2683" s="5" t="s">
        <v>34</v>
      </c>
      <c r="F2683" s="5" t="s">
        <v>34</v>
      </c>
      <c r="G2683" s="5" t="s">
        <v>36</v>
      </c>
      <c r="H2683" s="5" t="s">
        <v>35</v>
      </c>
      <c r="I2683" s="6">
        <v>1.0</v>
      </c>
      <c r="J2683" s="6" t="s">
        <v>37</v>
      </c>
      <c r="K2683" s="6">
        <v>10.0</v>
      </c>
      <c r="L2683" s="5"/>
      <c r="M2683" s="5"/>
      <c r="N2683" s="6" t="s">
        <v>40</v>
      </c>
      <c r="O2683" s="5" t="s">
        <v>5363</v>
      </c>
      <c r="P2683" s="6" t="s">
        <v>42</v>
      </c>
      <c r="Q2683" s="5" t="s">
        <v>1237</v>
      </c>
      <c r="R2683" s="5" t="s">
        <v>14761</v>
      </c>
      <c r="S2683" s="6" t="s">
        <v>56</v>
      </c>
      <c r="T2683" s="6">
        <v>6754.0</v>
      </c>
    </row>
    <row r="2684" ht="56.25" customHeight="1">
      <c r="A2684" s="5" t="s">
        <v>14755</v>
      </c>
      <c r="B2684" s="6" t="str">
        <f>image("https://storage.googleapis.com/acdb/photos/BromideNpcNmlAnt06_Remake_2_0.png")</f>
        <v/>
      </c>
      <c r="C2684" s="5" t="s">
        <v>688</v>
      </c>
      <c r="D2684" s="5" t="s">
        <v>1327</v>
      </c>
      <c r="E2684" s="5" t="s">
        <v>34</v>
      </c>
      <c r="F2684" s="5" t="s">
        <v>34</v>
      </c>
      <c r="G2684" s="5" t="s">
        <v>36</v>
      </c>
      <c r="H2684" s="5" t="s">
        <v>35</v>
      </c>
      <c r="I2684" s="6">
        <v>1.0</v>
      </c>
      <c r="J2684" s="6" t="s">
        <v>37</v>
      </c>
      <c r="K2684" s="6">
        <v>10.0</v>
      </c>
      <c r="L2684" s="5"/>
      <c r="M2684" s="5"/>
      <c r="N2684" s="6" t="s">
        <v>40</v>
      </c>
      <c r="O2684" s="5" t="s">
        <v>5363</v>
      </c>
      <c r="P2684" s="6" t="s">
        <v>42</v>
      </c>
      <c r="Q2684" s="5" t="s">
        <v>1237</v>
      </c>
      <c r="R2684" s="5" t="s">
        <v>14763</v>
      </c>
      <c r="S2684" s="6" t="s">
        <v>67</v>
      </c>
      <c r="T2684" s="6">
        <v>6754.0</v>
      </c>
    </row>
    <row r="2685" ht="56.25" customHeight="1">
      <c r="A2685" s="5" t="s">
        <v>14755</v>
      </c>
      <c r="B2685" s="6" t="str">
        <f>image("https://storage.googleapis.com/acdb/photos/BromideNpcNmlAnt06_Remake_3_0.png")</f>
        <v/>
      </c>
      <c r="C2685" s="5" t="s">
        <v>57</v>
      </c>
      <c r="D2685" s="5" t="s">
        <v>1327</v>
      </c>
      <c r="E2685" s="5" t="s">
        <v>34</v>
      </c>
      <c r="F2685" s="5" t="s">
        <v>34</v>
      </c>
      <c r="G2685" s="5" t="s">
        <v>36</v>
      </c>
      <c r="H2685" s="5" t="s">
        <v>35</v>
      </c>
      <c r="I2685" s="6">
        <v>1.0</v>
      </c>
      <c r="J2685" s="6" t="s">
        <v>37</v>
      </c>
      <c r="K2685" s="6">
        <v>10.0</v>
      </c>
      <c r="L2685" s="5"/>
      <c r="M2685" s="5"/>
      <c r="N2685" s="6" t="s">
        <v>40</v>
      </c>
      <c r="O2685" s="5" t="s">
        <v>5363</v>
      </c>
      <c r="P2685" s="6" t="s">
        <v>42</v>
      </c>
      <c r="Q2685" s="5" t="s">
        <v>1237</v>
      </c>
      <c r="R2685" s="5" t="s">
        <v>14766</v>
      </c>
      <c r="S2685" s="6" t="s">
        <v>71</v>
      </c>
      <c r="T2685" s="6">
        <v>6754.0</v>
      </c>
    </row>
    <row r="2686" ht="56.25" customHeight="1">
      <c r="A2686" s="5" t="s">
        <v>14755</v>
      </c>
      <c r="B2686" s="6" t="str">
        <f>image("https://storage.googleapis.com/acdb/photos/BromideNpcNmlAnt06_Remake_4_0.png")</f>
        <v/>
      </c>
      <c r="C2686" s="5" t="s">
        <v>1167</v>
      </c>
      <c r="D2686" s="5" t="s">
        <v>1327</v>
      </c>
      <c r="E2686" s="5" t="s">
        <v>34</v>
      </c>
      <c r="F2686" s="5" t="s">
        <v>34</v>
      </c>
      <c r="G2686" s="5" t="s">
        <v>36</v>
      </c>
      <c r="H2686" s="5" t="s">
        <v>35</v>
      </c>
      <c r="I2686" s="6">
        <v>1.0</v>
      </c>
      <c r="J2686" s="6" t="s">
        <v>37</v>
      </c>
      <c r="K2686" s="6">
        <v>10.0</v>
      </c>
      <c r="L2686" s="5"/>
      <c r="M2686" s="5"/>
      <c r="N2686" s="6" t="s">
        <v>40</v>
      </c>
      <c r="O2686" s="5" t="s">
        <v>5363</v>
      </c>
      <c r="P2686" s="6" t="s">
        <v>42</v>
      </c>
      <c r="Q2686" s="5" t="s">
        <v>1237</v>
      </c>
      <c r="R2686" s="5" t="s">
        <v>14769</v>
      </c>
      <c r="S2686" s="6" t="s">
        <v>75</v>
      </c>
      <c r="T2686" s="6">
        <v>6754.0</v>
      </c>
    </row>
    <row r="2687" ht="56.25" customHeight="1">
      <c r="A2687" s="5" t="s">
        <v>14755</v>
      </c>
      <c r="B2687" s="6" t="str">
        <f>image("https://storage.googleapis.com/acdb/photos/BromideNpcNmlAnt06_Remake_5_0.png")</f>
        <v/>
      </c>
      <c r="C2687" s="5" t="s">
        <v>58</v>
      </c>
      <c r="D2687" s="5" t="s">
        <v>1327</v>
      </c>
      <c r="E2687" s="5" t="s">
        <v>34</v>
      </c>
      <c r="F2687" s="5" t="s">
        <v>34</v>
      </c>
      <c r="G2687" s="5" t="s">
        <v>36</v>
      </c>
      <c r="H2687" s="5" t="s">
        <v>35</v>
      </c>
      <c r="I2687" s="6">
        <v>1.0</v>
      </c>
      <c r="J2687" s="6" t="s">
        <v>37</v>
      </c>
      <c r="K2687" s="6">
        <v>10.0</v>
      </c>
      <c r="L2687" s="5"/>
      <c r="M2687" s="5"/>
      <c r="N2687" s="6" t="s">
        <v>40</v>
      </c>
      <c r="O2687" s="5" t="s">
        <v>5363</v>
      </c>
      <c r="P2687" s="6" t="s">
        <v>42</v>
      </c>
      <c r="Q2687" s="5" t="s">
        <v>1237</v>
      </c>
      <c r="R2687" s="5" t="s">
        <v>14773</v>
      </c>
      <c r="S2687" s="6" t="s">
        <v>79</v>
      </c>
      <c r="T2687" s="6">
        <v>6754.0</v>
      </c>
    </row>
    <row r="2688" ht="56.25" customHeight="1">
      <c r="A2688" s="5" t="s">
        <v>14755</v>
      </c>
      <c r="B2688" s="6" t="str">
        <f>image("https://storage.googleapis.com/acdb/photos/BromideNpcNmlAnt06_Remake_6_0.png")</f>
        <v/>
      </c>
      <c r="C2688" s="5" t="s">
        <v>146</v>
      </c>
      <c r="D2688" s="5" t="s">
        <v>1327</v>
      </c>
      <c r="E2688" s="5" t="s">
        <v>34</v>
      </c>
      <c r="F2688" s="5" t="s">
        <v>34</v>
      </c>
      <c r="G2688" s="5" t="s">
        <v>36</v>
      </c>
      <c r="H2688" s="5" t="s">
        <v>35</v>
      </c>
      <c r="I2688" s="6">
        <v>1.0</v>
      </c>
      <c r="J2688" s="6" t="s">
        <v>37</v>
      </c>
      <c r="K2688" s="6">
        <v>10.0</v>
      </c>
      <c r="L2688" s="5"/>
      <c r="M2688" s="5"/>
      <c r="N2688" s="6" t="s">
        <v>40</v>
      </c>
      <c r="O2688" s="5" t="s">
        <v>5363</v>
      </c>
      <c r="P2688" s="6" t="s">
        <v>42</v>
      </c>
      <c r="Q2688" s="5" t="s">
        <v>1237</v>
      </c>
      <c r="R2688" s="5" t="s">
        <v>14775</v>
      </c>
      <c r="S2688" s="6" t="s">
        <v>86</v>
      </c>
      <c r="T2688" s="6">
        <v>6754.0</v>
      </c>
    </row>
    <row r="2689" ht="56.25" customHeight="1">
      <c r="A2689" s="5" t="s">
        <v>14755</v>
      </c>
      <c r="B2689" s="6" t="str">
        <f>image("https://storage.googleapis.com/acdb/photos/BromideNpcNmlAnt06_Remake_7_0.png")</f>
        <v/>
      </c>
      <c r="C2689" s="5" t="s">
        <v>151</v>
      </c>
      <c r="D2689" s="5" t="s">
        <v>1327</v>
      </c>
      <c r="E2689" s="5" t="s">
        <v>34</v>
      </c>
      <c r="F2689" s="5" t="s">
        <v>34</v>
      </c>
      <c r="G2689" s="5" t="s">
        <v>36</v>
      </c>
      <c r="H2689" s="5" t="s">
        <v>35</v>
      </c>
      <c r="I2689" s="6">
        <v>1.0</v>
      </c>
      <c r="J2689" s="6" t="s">
        <v>37</v>
      </c>
      <c r="K2689" s="6">
        <v>10.0</v>
      </c>
      <c r="L2689" s="5"/>
      <c r="M2689" s="5"/>
      <c r="N2689" s="6" t="s">
        <v>40</v>
      </c>
      <c r="O2689" s="5" t="s">
        <v>5363</v>
      </c>
      <c r="P2689" s="6" t="s">
        <v>42</v>
      </c>
      <c r="Q2689" s="5" t="s">
        <v>1237</v>
      </c>
      <c r="R2689" s="5" t="s">
        <v>14779</v>
      </c>
      <c r="S2689" s="6" t="s">
        <v>208</v>
      </c>
      <c r="T2689" s="6">
        <v>6754.0</v>
      </c>
    </row>
    <row r="2690" ht="56.25" customHeight="1">
      <c r="A2690" s="5" t="s">
        <v>14780</v>
      </c>
      <c r="B2690" s="6" t="str">
        <f>image("https://storage.googleapis.com/acdb/photos/BromideNpcNmlHam04_Remake_0_0.png")</f>
        <v/>
      </c>
      <c r="C2690" s="5" t="s">
        <v>366</v>
      </c>
      <c r="D2690" s="5" t="s">
        <v>1327</v>
      </c>
      <c r="E2690" s="5" t="s">
        <v>34</v>
      </c>
      <c r="F2690" s="5" t="s">
        <v>34</v>
      </c>
      <c r="G2690" s="5" t="s">
        <v>36</v>
      </c>
      <c r="H2690" s="5" t="s">
        <v>35</v>
      </c>
      <c r="I2690" s="6">
        <v>1.0</v>
      </c>
      <c r="J2690" s="6" t="s">
        <v>37</v>
      </c>
      <c r="K2690" s="6">
        <v>10.0</v>
      </c>
      <c r="L2690" s="5"/>
      <c r="M2690" s="5"/>
      <c r="N2690" s="6" t="s">
        <v>40</v>
      </c>
      <c r="O2690" s="5" t="s">
        <v>5363</v>
      </c>
      <c r="P2690" s="6" t="s">
        <v>42</v>
      </c>
      <c r="Q2690" s="5" t="s">
        <v>1237</v>
      </c>
      <c r="R2690" s="5" t="s">
        <v>14781</v>
      </c>
      <c r="S2690" s="6" t="s">
        <v>50</v>
      </c>
      <c r="T2690" s="6">
        <v>6525.0</v>
      </c>
    </row>
    <row r="2691" ht="56.25" customHeight="1">
      <c r="A2691" s="5" t="s">
        <v>14780</v>
      </c>
      <c r="B2691" s="6" t="str">
        <f>image("https://storage.googleapis.com/acdb/photos/BromideNpcNmlHam04_Remake_1_0.png")</f>
        <v/>
      </c>
      <c r="C2691" s="5" t="s">
        <v>1132</v>
      </c>
      <c r="D2691" s="5" t="s">
        <v>1327</v>
      </c>
      <c r="E2691" s="5" t="s">
        <v>34</v>
      </c>
      <c r="F2691" s="5" t="s">
        <v>34</v>
      </c>
      <c r="G2691" s="5" t="s">
        <v>36</v>
      </c>
      <c r="H2691" s="5" t="s">
        <v>35</v>
      </c>
      <c r="I2691" s="6">
        <v>1.0</v>
      </c>
      <c r="J2691" s="6" t="s">
        <v>37</v>
      </c>
      <c r="K2691" s="6">
        <v>10.0</v>
      </c>
      <c r="L2691" s="5"/>
      <c r="M2691" s="5"/>
      <c r="N2691" s="6" t="s">
        <v>40</v>
      </c>
      <c r="O2691" s="5" t="s">
        <v>5363</v>
      </c>
      <c r="P2691" s="6" t="s">
        <v>42</v>
      </c>
      <c r="Q2691" s="5" t="s">
        <v>1237</v>
      </c>
      <c r="R2691" s="5" t="s">
        <v>14783</v>
      </c>
      <c r="S2691" s="6" t="s">
        <v>56</v>
      </c>
      <c r="T2691" s="6">
        <v>6525.0</v>
      </c>
    </row>
    <row r="2692" ht="56.25" customHeight="1">
      <c r="A2692" s="5" t="s">
        <v>14780</v>
      </c>
      <c r="B2692" s="6" t="str">
        <f>image("https://storage.googleapis.com/acdb/photos/BromideNpcNmlHam04_Remake_2_0.png")</f>
        <v/>
      </c>
      <c r="C2692" s="5" t="s">
        <v>688</v>
      </c>
      <c r="D2692" s="5" t="s">
        <v>1327</v>
      </c>
      <c r="E2692" s="5" t="s">
        <v>34</v>
      </c>
      <c r="F2692" s="5" t="s">
        <v>34</v>
      </c>
      <c r="G2692" s="5" t="s">
        <v>36</v>
      </c>
      <c r="H2692" s="5" t="s">
        <v>35</v>
      </c>
      <c r="I2692" s="6">
        <v>1.0</v>
      </c>
      <c r="J2692" s="6" t="s">
        <v>37</v>
      </c>
      <c r="K2692" s="6">
        <v>10.0</v>
      </c>
      <c r="L2692" s="5"/>
      <c r="M2692" s="5"/>
      <c r="N2692" s="6" t="s">
        <v>40</v>
      </c>
      <c r="O2692" s="5" t="s">
        <v>5363</v>
      </c>
      <c r="P2692" s="6" t="s">
        <v>42</v>
      </c>
      <c r="Q2692" s="5" t="s">
        <v>1237</v>
      </c>
      <c r="R2692" s="5" t="s">
        <v>14786</v>
      </c>
      <c r="S2692" s="6" t="s">
        <v>67</v>
      </c>
      <c r="T2692" s="6">
        <v>6525.0</v>
      </c>
    </row>
    <row r="2693" ht="56.25" customHeight="1">
      <c r="A2693" s="5" t="s">
        <v>14780</v>
      </c>
      <c r="B2693" s="6" t="str">
        <f>image("https://storage.googleapis.com/acdb/photos/BromideNpcNmlHam04_Remake_3_0.png")</f>
        <v/>
      </c>
      <c r="C2693" s="5" t="s">
        <v>57</v>
      </c>
      <c r="D2693" s="5" t="s">
        <v>1327</v>
      </c>
      <c r="E2693" s="5" t="s">
        <v>34</v>
      </c>
      <c r="F2693" s="5" t="s">
        <v>34</v>
      </c>
      <c r="G2693" s="5" t="s">
        <v>36</v>
      </c>
      <c r="H2693" s="5" t="s">
        <v>35</v>
      </c>
      <c r="I2693" s="6">
        <v>1.0</v>
      </c>
      <c r="J2693" s="6" t="s">
        <v>37</v>
      </c>
      <c r="K2693" s="6">
        <v>10.0</v>
      </c>
      <c r="L2693" s="5"/>
      <c r="M2693" s="5"/>
      <c r="N2693" s="6" t="s">
        <v>40</v>
      </c>
      <c r="O2693" s="5" t="s">
        <v>5363</v>
      </c>
      <c r="P2693" s="6" t="s">
        <v>42</v>
      </c>
      <c r="Q2693" s="5" t="s">
        <v>1237</v>
      </c>
      <c r="R2693" s="5" t="s">
        <v>14790</v>
      </c>
      <c r="S2693" s="6" t="s">
        <v>71</v>
      </c>
      <c r="T2693" s="6">
        <v>6525.0</v>
      </c>
    </row>
    <row r="2694" ht="56.25" customHeight="1">
      <c r="A2694" s="5" t="s">
        <v>14780</v>
      </c>
      <c r="B2694" s="6" t="str">
        <f>image("https://storage.googleapis.com/acdb/photos/BromideNpcNmlHam04_Remake_4_0.png")</f>
        <v/>
      </c>
      <c r="C2694" s="5" t="s">
        <v>1167</v>
      </c>
      <c r="D2694" s="5" t="s">
        <v>1327</v>
      </c>
      <c r="E2694" s="5" t="s">
        <v>34</v>
      </c>
      <c r="F2694" s="5" t="s">
        <v>34</v>
      </c>
      <c r="G2694" s="5" t="s">
        <v>36</v>
      </c>
      <c r="H2694" s="5" t="s">
        <v>35</v>
      </c>
      <c r="I2694" s="6">
        <v>1.0</v>
      </c>
      <c r="J2694" s="6" t="s">
        <v>37</v>
      </c>
      <c r="K2694" s="6">
        <v>10.0</v>
      </c>
      <c r="L2694" s="5"/>
      <c r="M2694" s="5"/>
      <c r="N2694" s="6" t="s">
        <v>40</v>
      </c>
      <c r="O2694" s="5" t="s">
        <v>5363</v>
      </c>
      <c r="P2694" s="6" t="s">
        <v>42</v>
      </c>
      <c r="Q2694" s="5" t="s">
        <v>1237</v>
      </c>
      <c r="R2694" s="5" t="s">
        <v>14792</v>
      </c>
      <c r="S2694" s="6" t="s">
        <v>75</v>
      </c>
      <c r="T2694" s="6">
        <v>6525.0</v>
      </c>
    </row>
    <row r="2695" ht="56.25" customHeight="1">
      <c r="A2695" s="5" t="s">
        <v>14780</v>
      </c>
      <c r="B2695" s="6" t="str">
        <f>image("https://storage.googleapis.com/acdb/photos/BromideNpcNmlHam04_Remake_5_0.png")</f>
        <v/>
      </c>
      <c r="C2695" s="5" t="s">
        <v>58</v>
      </c>
      <c r="D2695" s="5" t="s">
        <v>1327</v>
      </c>
      <c r="E2695" s="5" t="s">
        <v>34</v>
      </c>
      <c r="F2695" s="5" t="s">
        <v>34</v>
      </c>
      <c r="G2695" s="5" t="s">
        <v>36</v>
      </c>
      <c r="H2695" s="5" t="s">
        <v>35</v>
      </c>
      <c r="I2695" s="6">
        <v>1.0</v>
      </c>
      <c r="J2695" s="6" t="s">
        <v>37</v>
      </c>
      <c r="K2695" s="6">
        <v>10.0</v>
      </c>
      <c r="L2695" s="5"/>
      <c r="M2695" s="5"/>
      <c r="N2695" s="6" t="s">
        <v>40</v>
      </c>
      <c r="O2695" s="5" t="s">
        <v>5363</v>
      </c>
      <c r="P2695" s="6" t="s">
        <v>42</v>
      </c>
      <c r="Q2695" s="5" t="s">
        <v>1237</v>
      </c>
      <c r="R2695" s="5" t="s">
        <v>14795</v>
      </c>
      <c r="S2695" s="6" t="s">
        <v>79</v>
      </c>
      <c r="T2695" s="6">
        <v>6525.0</v>
      </c>
    </row>
    <row r="2696" ht="56.25" customHeight="1">
      <c r="A2696" s="5" t="s">
        <v>14780</v>
      </c>
      <c r="B2696" s="6" t="str">
        <f>image("https://storage.googleapis.com/acdb/photos/BromideNpcNmlHam04_Remake_6_0.png")</f>
        <v/>
      </c>
      <c r="C2696" s="5" t="s">
        <v>146</v>
      </c>
      <c r="D2696" s="5" t="s">
        <v>1327</v>
      </c>
      <c r="E2696" s="5" t="s">
        <v>34</v>
      </c>
      <c r="F2696" s="5" t="s">
        <v>34</v>
      </c>
      <c r="G2696" s="5" t="s">
        <v>36</v>
      </c>
      <c r="H2696" s="5" t="s">
        <v>35</v>
      </c>
      <c r="I2696" s="6">
        <v>1.0</v>
      </c>
      <c r="J2696" s="6" t="s">
        <v>37</v>
      </c>
      <c r="K2696" s="6">
        <v>10.0</v>
      </c>
      <c r="L2696" s="5"/>
      <c r="M2696" s="5"/>
      <c r="N2696" s="6" t="s">
        <v>40</v>
      </c>
      <c r="O2696" s="5" t="s">
        <v>5363</v>
      </c>
      <c r="P2696" s="6" t="s">
        <v>42</v>
      </c>
      <c r="Q2696" s="5" t="s">
        <v>1237</v>
      </c>
      <c r="R2696" s="5" t="s">
        <v>14796</v>
      </c>
      <c r="S2696" s="6" t="s">
        <v>86</v>
      </c>
      <c r="T2696" s="6">
        <v>6525.0</v>
      </c>
    </row>
    <row r="2697" ht="56.25" customHeight="1">
      <c r="A2697" s="5" t="s">
        <v>14780</v>
      </c>
      <c r="B2697" s="6" t="str">
        <f>image("https://storage.googleapis.com/acdb/photos/BromideNpcNmlHam04_Remake_7_0.png")</f>
        <v/>
      </c>
      <c r="C2697" s="5" t="s">
        <v>151</v>
      </c>
      <c r="D2697" s="5" t="s">
        <v>1327</v>
      </c>
      <c r="E2697" s="5" t="s">
        <v>34</v>
      </c>
      <c r="F2697" s="5" t="s">
        <v>34</v>
      </c>
      <c r="G2697" s="5" t="s">
        <v>36</v>
      </c>
      <c r="H2697" s="5" t="s">
        <v>35</v>
      </c>
      <c r="I2697" s="6">
        <v>1.0</v>
      </c>
      <c r="J2697" s="6" t="s">
        <v>37</v>
      </c>
      <c r="K2697" s="6">
        <v>10.0</v>
      </c>
      <c r="L2697" s="5"/>
      <c r="M2697" s="5"/>
      <c r="N2697" s="6" t="s">
        <v>40</v>
      </c>
      <c r="O2697" s="5" t="s">
        <v>5363</v>
      </c>
      <c r="P2697" s="6" t="s">
        <v>42</v>
      </c>
      <c r="Q2697" s="5" t="s">
        <v>1237</v>
      </c>
      <c r="R2697" s="5" t="s">
        <v>14799</v>
      </c>
      <c r="S2697" s="6" t="s">
        <v>208</v>
      </c>
      <c r="T2697" s="6">
        <v>6525.0</v>
      </c>
    </row>
    <row r="2698" ht="56.25" customHeight="1">
      <c r="A2698" s="5" t="s">
        <v>14801</v>
      </c>
      <c r="B2698" s="6" t="str">
        <f>image("https://storage.googleapis.com/acdb/photos/BromideNpcNmlBrd18_Remake_0_0.png")</f>
        <v/>
      </c>
      <c r="C2698" s="5" t="s">
        <v>366</v>
      </c>
      <c r="D2698" s="5" t="s">
        <v>1327</v>
      </c>
      <c r="E2698" s="5" t="s">
        <v>34</v>
      </c>
      <c r="F2698" s="5" t="s">
        <v>34</v>
      </c>
      <c r="G2698" s="5" t="s">
        <v>36</v>
      </c>
      <c r="H2698" s="5" t="s">
        <v>35</v>
      </c>
      <c r="I2698" s="6">
        <v>1.0</v>
      </c>
      <c r="J2698" s="6" t="s">
        <v>37</v>
      </c>
      <c r="K2698" s="6">
        <v>10.0</v>
      </c>
      <c r="L2698" s="5"/>
      <c r="M2698" s="5"/>
      <c r="N2698" s="6" t="s">
        <v>40</v>
      </c>
      <c r="O2698" s="5" t="s">
        <v>5363</v>
      </c>
      <c r="P2698" s="6" t="s">
        <v>42</v>
      </c>
      <c r="Q2698" s="5" t="s">
        <v>1237</v>
      </c>
      <c r="R2698" s="5" t="s">
        <v>14802</v>
      </c>
      <c r="S2698" s="6" t="s">
        <v>50</v>
      </c>
      <c r="T2698" s="6">
        <v>6693.0</v>
      </c>
    </row>
    <row r="2699" ht="56.25" customHeight="1">
      <c r="A2699" s="5" t="s">
        <v>14801</v>
      </c>
      <c r="B2699" s="6" t="str">
        <f>image("https://storage.googleapis.com/acdb/photos/BromideNpcNmlBrd18_Remake_1_0.png")</f>
        <v/>
      </c>
      <c r="C2699" s="5" t="s">
        <v>1132</v>
      </c>
      <c r="D2699" s="5" t="s">
        <v>1327</v>
      </c>
      <c r="E2699" s="5" t="s">
        <v>34</v>
      </c>
      <c r="F2699" s="5" t="s">
        <v>34</v>
      </c>
      <c r="G2699" s="5" t="s">
        <v>36</v>
      </c>
      <c r="H2699" s="5" t="s">
        <v>35</v>
      </c>
      <c r="I2699" s="6">
        <v>1.0</v>
      </c>
      <c r="J2699" s="6" t="s">
        <v>37</v>
      </c>
      <c r="K2699" s="6">
        <v>10.0</v>
      </c>
      <c r="L2699" s="5"/>
      <c r="M2699" s="5"/>
      <c r="N2699" s="6" t="s">
        <v>40</v>
      </c>
      <c r="O2699" s="5" t="s">
        <v>5363</v>
      </c>
      <c r="P2699" s="6" t="s">
        <v>42</v>
      </c>
      <c r="Q2699" s="5" t="s">
        <v>1237</v>
      </c>
      <c r="R2699" s="5" t="s">
        <v>14806</v>
      </c>
      <c r="S2699" s="6" t="s">
        <v>56</v>
      </c>
      <c r="T2699" s="6">
        <v>6693.0</v>
      </c>
    </row>
    <row r="2700" ht="56.25" customHeight="1">
      <c r="A2700" s="5" t="s">
        <v>14801</v>
      </c>
      <c r="B2700" s="6" t="str">
        <f>image("https://storage.googleapis.com/acdb/photos/BromideNpcNmlBrd18_Remake_2_0.png")</f>
        <v/>
      </c>
      <c r="C2700" s="5" t="s">
        <v>688</v>
      </c>
      <c r="D2700" s="5" t="s">
        <v>1327</v>
      </c>
      <c r="E2700" s="5" t="s">
        <v>34</v>
      </c>
      <c r="F2700" s="5" t="s">
        <v>34</v>
      </c>
      <c r="G2700" s="5" t="s">
        <v>36</v>
      </c>
      <c r="H2700" s="5" t="s">
        <v>35</v>
      </c>
      <c r="I2700" s="6">
        <v>1.0</v>
      </c>
      <c r="J2700" s="6" t="s">
        <v>37</v>
      </c>
      <c r="K2700" s="6">
        <v>10.0</v>
      </c>
      <c r="L2700" s="5"/>
      <c r="M2700" s="5"/>
      <c r="N2700" s="6" t="s">
        <v>40</v>
      </c>
      <c r="O2700" s="5" t="s">
        <v>5363</v>
      </c>
      <c r="P2700" s="6" t="s">
        <v>42</v>
      </c>
      <c r="Q2700" s="5" t="s">
        <v>1237</v>
      </c>
      <c r="R2700" s="5" t="s">
        <v>14809</v>
      </c>
      <c r="S2700" s="6" t="s">
        <v>67</v>
      </c>
      <c r="T2700" s="6">
        <v>6693.0</v>
      </c>
    </row>
    <row r="2701" ht="56.25" customHeight="1">
      <c r="A2701" s="5" t="s">
        <v>14801</v>
      </c>
      <c r="B2701" s="6" t="str">
        <f>image("https://storage.googleapis.com/acdb/photos/BromideNpcNmlBrd18_Remake_3_0.png")</f>
        <v/>
      </c>
      <c r="C2701" s="5" t="s">
        <v>57</v>
      </c>
      <c r="D2701" s="5" t="s">
        <v>1327</v>
      </c>
      <c r="E2701" s="5" t="s">
        <v>34</v>
      </c>
      <c r="F2701" s="5" t="s">
        <v>34</v>
      </c>
      <c r="G2701" s="5" t="s">
        <v>36</v>
      </c>
      <c r="H2701" s="5" t="s">
        <v>35</v>
      </c>
      <c r="I2701" s="6">
        <v>1.0</v>
      </c>
      <c r="J2701" s="6" t="s">
        <v>37</v>
      </c>
      <c r="K2701" s="6">
        <v>10.0</v>
      </c>
      <c r="L2701" s="5"/>
      <c r="M2701" s="5"/>
      <c r="N2701" s="6" t="s">
        <v>40</v>
      </c>
      <c r="O2701" s="5" t="s">
        <v>5363</v>
      </c>
      <c r="P2701" s="6" t="s">
        <v>42</v>
      </c>
      <c r="Q2701" s="5" t="s">
        <v>1237</v>
      </c>
      <c r="R2701" s="5" t="s">
        <v>14812</v>
      </c>
      <c r="S2701" s="6" t="s">
        <v>71</v>
      </c>
      <c r="T2701" s="6">
        <v>6693.0</v>
      </c>
    </row>
    <row r="2702" ht="56.25" customHeight="1">
      <c r="A2702" s="5" t="s">
        <v>14801</v>
      </c>
      <c r="B2702" s="6" t="str">
        <f>image("https://storage.googleapis.com/acdb/photos/BromideNpcNmlBrd18_Remake_4_0.png")</f>
        <v/>
      </c>
      <c r="C2702" s="5" t="s">
        <v>1167</v>
      </c>
      <c r="D2702" s="5" t="s">
        <v>1327</v>
      </c>
      <c r="E2702" s="5" t="s">
        <v>34</v>
      </c>
      <c r="F2702" s="5" t="s">
        <v>34</v>
      </c>
      <c r="G2702" s="5" t="s">
        <v>36</v>
      </c>
      <c r="H2702" s="5" t="s">
        <v>35</v>
      </c>
      <c r="I2702" s="6">
        <v>1.0</v>
      </c>
      <c r="J2702" s="6" t="s">
        <v>37</v>
      </c>
      <c r="K2702" s="6">
        <v>10.0</v>
      </c>
      <c r="L2702" s="5"/>
      <c r="M2702" s="5"/>
      <c r="N2702" s="6" t="s">
        <v>40</v>
      </c>
      <c r="O2702" s="5" t="s">
        <v>5363</v>
      </c>
      <c r="P2702" s="6" t="s">
        <v>42</v>
      </c>
      <c r="Q2702" s="5" t="s">
        <v>1237</v>
      </c>
      <c r="R2702" s="5" t="s">
        <v>14815</v>
      </c>
      <c r="S2702" s="6" t="s">
        <v>75</v>
      </c>
      <c r="T2702" s="6">
        <v>6693.0</v>
      </c>
    </row>
    <row r="2703" ht="56.25" customHeight="1">
      <c r="A2703" s="5" t="s">
        <v>14801</v>
      </c>
      <c r="B2703" s="6" t="str">
        <f>image("https://storage.googleapis.com/acdb/photos/BromideNpcNmlBrd18_Remake_5_0.png")</f>
        <v/>
      </c>
      <c r="C2703" s="5" t="s">
        <v>58</v>
      </c>
      <c r="D2703" s="5" t="s">
        <v>1327</v>
      </c>
      <c r="E2703" s="5" t="s">
        <v>34</v>
      </c>
      <c r="F2703" s="5" t="s">
        <v>34</v>
      </c>
      <c r="G2703" s="5" t="s">
        <v>36</v>
      </c>
      <c r="H2703" s="5" t="s">
        <v>35</v>
      </c>
      <c r="I2703" s="6">
        <v>1.0</v>
      </c>
      <c r="J2703" s="6" t="s">
        <v>37</v>
      </c>
      <c r="K2703" s="6">
        <v>10.0</v>
      </c>
      <c r="L2703" s="5"/>
      <c r="M2703" s="5"/>
      <c r="N2703" s="6" t="s">
        <v>40</v>
      </c>
      <c r="O2703" s="5" t="s">
        <v>5363</v>
      </c>
      <c r="P2703" s="6" t="s">
        <v>42</v>
      </c>
      <c r="Q2703" s="5" t="s">
        <v>1237</v>
      </c>
      <c r="R2703" s="5" t="s">
        <v>14816</v>
      </c>
      <c r="S2703" s="6" t="s">
        <v>79</v>
      </c>
      <c r="T2703" s="6">
        <v>6693.0</v>
      </c>
    </row>
    <row r="2704" ht="56.25" customHeight="1">
      <c r="A2704" s="5" t="s">
        <v>14801</v>
      </c>
      <c r="B2704" s="6" t="str">
        <f>image("https://storage.googleapis.com/acdb/photos/BromideNpcNmlBrd18_Remake_6_0.png")</f>
        <v/>
      </c>
      <c r="C2704" s="5" t="s">
        <v>146</v>
      </c>
      <c r="D2704" s="5" t="s">
        <v>1327</v>
      </c>
      <c r="E2704" s="5" t="s">
        <v>34</v>
      </c>
      <c r="F2704" s="5" t="s">
        <v>34</v>
      </c>
      <c r="G2704" s="5" t="s">
        <v>36</v>
      </c>
      <c r="H2704" s="5" t="s">
        <v>35</v>
      </c>
      <c r="I2704" s="6">
        <v>1.0</v>
      </c>
      <c r="J2704" s="6" t="s">
        <v>37</v>
      </c>
      <c r="K2704" s="6">
        <v>10.0</v>
      </c>
      <c r="L2704" s="5"/>
      <c r="M2704" s="5"/>
      <c r="N2704" s="6" t="s">
        <v>40</v>
      </c>
      <c r="O2704" s="5" t="s">
        <v>5363</v>
      </c>
      <c r="P2704" s="6" t="s">
        <v>42</v>
      </c>
      <c r="Q2704" s="5" t="s">
        <v>1237</v>
      </c>
      <c r="R2704" s="5" t="s">
        <v>14819</v>
      </c>
      <c r="S2704" s="6" t="s">
        <v>86</v>
      </c>
      <c r="T2704" s="6">
        <v>6693.0</v>
      </c>
    </row>
    <row r="2705" ht="56.25" customHeight="1">
      <c r="A2705" s="5" t="s">
        <v>14801</v>
      </c>
      <c r="B2705" s="6" t="str">
        <f>image("https://storage.googleapis.com/acdb/photos/BromideNpcNmlBrd18_Remake_7_0.png")</f>
        <v/>
      </c>
      <c r="C2705" s="5" t="s">
        <v>151</v>
      </c>
      <c r="D2705" s="5" t="s">
        <v>1327</v>
      </c>
      <c r="E2705" s="5" t="s">
        <v>34</v>
      </c>
      <c r="F2705" s="5" t="s">
        <v>34</v>
      </c>
      <c r="G2705" s="5" t="s">
        <v>36</v>
      </c>
      <c r="H2705" s="5" t="s">
        <v>35</v>
      </c>
      <c r="I2705" s="6">
        <v>1.0</v>
      </c>
      <c r="J2705" s="6" t="s">
        <v>37</v>
      </c>
      <c r="K2705" s="6">
        <v>10.0</v>
      </c>
      <c r="L2705" s="5"/>
      <c r="M2705" s="5"/>
      <c r="N2705" s="6" t="s">
        <v>40</v>
      </c>
      <c r="O2705" s="5" t="s">
        <v>5363</v>
      </c>
      <c r="P2705" s="6" t="s">
        <v>42</v>
      </c>
      <c r="Q2705" s="5" t="s">
        <v>1237</v>
      </c>
      <c r="R2705" s="5" t="s">
        <v>14822</v>
      </c>
      <c r="S2705" s="6" t="s">
        <v>208</v>
      </c>
      <c r="T2705" s="6">
        <v>6693.0</v>
      </c>
    </row>
    <row r="2706" ht="56.25" customHeight="1">
      <c r="A2706" s="5" t="s">
        <v>14823</v>
      </c>
      <c r="B2706" s="6" t="str">
        <f>image("https://storage.googleapis.com/acdb/photos/BromideNpcNmlRhn02_Remake_0_0.png")</f>
        <v/>
      </c>
      <c r="C2706" s="5" t="s">
        <v>366</v>
      </c>
      <c r="D2706" s="5" t="s">
        <v>1327</v>
      </c>
      <c r="E2706" s="5" t="s">
        <v>34</v>
      </c>
      <c r="F2706" s="5" t="s">
        <v>34</v>
      </c>
      <c r="G2706" s="5" t="s">
        <v>36</v>
      </c>
      <c r="H2706" s="5" t="s">
        <v>35</v>
      </c>
      <c r="I2706" s="6">
        <v>1.0</v>
      </c>
      <c r="J2706" s="6" t="s">
        <v>37</v>
      </c>
      <c r="K2706" s="6">
        <v>10.0</v>
      </c>
      <c r="L2706" s="5"/>
      <c r="M2706" s="5"/>
      <c r="N2706" s="6" t="s">
        <v>40</v>
      </c>
      <c r="O2706" s="5" t="s">
        <v>5363</v>
      </c>
      <c r="P2706" s="6" t="s">
        <v>42</v>
      </c>
      <c r="Q2706" s="5" t="s">
        <v>1237</v>
      </c>
      <c r="R2706" s="5" t="s">
        <v>14825</v>
      </c>
      <c r="S2706" s="6" t="s">
        <v>50</v>
      </c>
      <c r="T2706" s="6">
        <v>6686.0</v>
      </c>
    </row>
    <row r="2707" ht="56.25" customHeight="1">
      <c r="A2707" s="5" t="s">
        <v>14823</v>
      </c>
      <c r="B2707" s="6" t="str">
        <f>image("https://storage.googleapis.com/acdb/photos/BromideNpcNmlRhn02_Remake_1_0.png")</f>
        <v/>
      </c>
      <c r="C2707" s="5" t="s">
        <v>1132</v>
      </c>
      <c r="D2707" s="5" t="s">
        <v>1327</v>
      </c>
      <c r="E2707" s="5" t="s">
        <v>34</v>
      </c>
      <c r="F2707" s="5" t="s">
        <v>34</v>
      </c>
      <c r="G2707" s="5" t="s">
        <v>36</v>
      </c>
      <c r="H2707" s="5" t="s">
        <v>35</v>
      </c>
      <c r="I2707" s="6">
        <v>1.0</v>
      </c>
      <c r="J2707" s="6" t="s">
        <v>37</v>
      </c>
      <c r="K2707" s="6">
        <v>10.0</v>
      </c>
      <c r="L2707" s="5"/>
      <c r="M2707" s="5"/>
      <c r="N2707" s="6" t="s">
        <v>40</v>
      </c>
      <c r="O2707" s="5" t="s">
        <v>5363</v>
      </c>
      <c r="P2707" s="6" t="s">
        <v>42</v>
      </c>
      <c r="Q2707" s="5" t="s">
        <v>1237</v>
      </c>
      <c r="R2707" s="5" t="s">
        <v>14828</v>
      </c>
      <c r="S2707" s="6" t="s">
        <v>56</v>
      </c>
      <c r="T2707" s="6">
        <v>6686.0</v>
      </c>
    </row>
    <row r="2708" ht="56.25" customHeight="1">
      <c r="A2708" s="5" t="s">
        <v>14823</v>
      </c>
      <c r="B2708" s="6" t="str">
        <f>image("https://storage.googleapis.com/acdb/photos/BromideNpcNmlRhn02_Remake_2_0.png")</f>
        <v/>
      </c>
      <c r="C2708" s="5" t="s">
        <v>688</v>
      </c>
      <c r="D2708" s="5" t="s">
        <v>1327</v>
      </c>
      <c r="E2708" s="5" t="s">
        <v>34</v>
      </c>
      <c r="F2708" s="5" t="s">
        <v>34</v>
      </c>
      <c r="G2708" s="5" t="s">
        <v>36</v>
      </c>
      <c r="H2708" s="5" t="s">
        <v>35</v>
      </c>
      <c r="I2708" s="6">
        <v>1.0</v>
      </c>
      <c r="J2708" s="6" t="s">
        <v>37</v>
      </c>
      <c r="K2708" s="6">
        <v>10.0</v>
      </c>
      <c r="L2708" s="5"/>
      <c r="M2708" s="5"/>
      <c r="N2708" s="6" t="s">
        <v>40</v>
      </c>
      <c r="O2708" s="5" t="s">
        <v>5363</v>
      </c>
      <c r="P2708" s="6" t="s">
        <v>42</v>
      </c>
      <c r="Q2708" s="5" t="s">
        <v>1237</v>
      </c>
      <c r="R2708" s="5" t="s">
        <v>14830</v>
      </c>
      <c r="S2708" s="6" t="s">
        <v>67</v>
      </c>
      <c r="T2708" s="6">
        <v>6686.0</v>
      </c>
    </row>
    <row r="2709" ht="56.25" customHeight="1">
      <c r="A2709" s="5" t="s">
        <v>14823</v>
      </c>
      <c r="B2709" s="6" t="str">
        <f>image("https://storage.googleapis.com/acdb/photos/BromideNpcNmlRhn02_Remake_3_0.png")</f>
        <v/>
      </c>
      <c r="C2709" s="5" t="s">
        <v>57</v>
      </c>
      <c r="D2709" s="5" t="s">
        <v>1327</v>
      </c>
      <c r="E2709" s="5" t="s">
        <v>34</v>
      </c>
      <c r="F2709" s="5" t="s">
        <v>34</v>
      </c>
      <c r="G2709" s="5" t="s">
        <v>36</v>
      </c>
      <c r="H2709" s="5" t="s">
        <v>35</v>
      </c>
      <c r="I2709" s="6">
        <v>1.0</v>
      </c>
      <c r="J2709" s="6" t="s">
        <v>37</v>
      </c>
      <c r="K2709" s="6">
        <v>10.0</v>
      </c>
      <c r="L2709" s="5"/>
      <c r="M2709" s="5"/>
      <c r="N2709" s="6" t="s">
        <v>40</v>
      </c>
      <c r="O2709" s="5" t="s">
        <v>5363</v>
      </c>
      <c r="P2709" s="6" t="s">
        <v>42</v>
      </c>
      <c r="Q2709" s="5" t="s">
        <v>1237</v>
      </c>
      <c r="R2709" s="5" t="s">
        <v>14833</v>
      </c>
      <c r="S2709" s="6" t="s">
        <v>71</v>
      </c>
      <c r="T2709" s="6">
        <v>6686.0</v>
      </c>
    </row>
    <row r="2710" ht="56.25" customHeight="1">
      <c r="A2710" s="5" t="s">
        <v>14823</v>
      </c>
      <c r="B2710" s="6" t="str">
        <f>image("https://storage.googleapis.com/acdb/photos/BromideNpcNmlRhn02_Remake_4_0.png")</f>
        <v/>
      </c>
      <c r="C2710" s="5" t="s">
        <v>1167</v>
      </c>
      <c r="D2710" s="5" t="s">
        <v>1327</v>
      </c>
      <c r="E2710" s="5" t="s">
        <v>34</v>
      </c>
      <c r="F2710" s="5" t="s">
        <v>34</v>
      </c>
      <c r="G2710" s="5" t="s">
        <v>36</v>
      </c>
      <c r="H2710" s="5" t="s">
        <v>35</v>
      </c>
      <c r="I2710" s="6">
        <v>1.0</v>
      </c>
      <c r="J2710" s="6" t="s">
        <v>37</v>
      </c>
      <c r="K2710" s="6">
        <v>10.0</v>
      </c>
      <c r="L2710" s="5"/>
      <c r="M2710" s="5"/>
      <c r="N2710" s="6" t="s">
        <v>40</v>
      </c>
      <c r="O2710" s="5" t="s">
        <v>5363</v>
      </c>
      <c r="P2710" s="6" t="s">
        <v>42</v>
      </c>
      <c r="Q2710" s="5" t="s">
        <v>1237</v>
      </c>
      <c r="R2710" s="5" t="s">
        <v>14836</v>
      </c>
      <c r="S2710" s="6" t="s">
        <v>75</v>
      </c>
      <c r="T2710" s="6">
        <v>6686.0</v>
      </c>
    </row>
    <row r="2711" ht="56.25" customHeight="1">
      <c r="A2711" s="5" t="s">
        <v>14823</v>
      </c>
      <c r="B2711" s="6" t="str">
        <f>image("https://storage.googleapis.com/acdb/photos/BromideNpcNmlRhn02_Remake_5_0.png")</f>
        <v/>
      </c>
      <c r="C2711" s="5" t="s">
        <v>58</v>
      </c>
      <c r="D2711" s="5" t="s">
        <v>1327</v>
      </c>
      <c r="E2711" s="5" t="s">
        <v>34</v>
      </c>
      <c r="F2711" s="5" t="s">
        <v>34</v>
      </c>
      <c r="G2711" s="5" t="s">
        <v>36</v>
      </c>
      <c r="H2711" s="5" t="s">
        <v>35</v>
      </c>
      <c r="I2711" s="6">
        <v>1.0</v>
      </c>
      <c r="J2711" s="6" t="s">
        <v>37</v>
      </c>
      <c r="K2711" s="6">
        <v>10.0</v>
      </c>
      <c r="L2711" s="5"/>
      <c r="M2711" s="5"/>
      <c r="N2711" s="6" t="s">
        <v>40</v>
      </c>
      <c r="O2711" s="5" t="s">
        <v>5363</v>
      </c>
      <c r="P2711" s="6" t="s">
        <v>42</v>
      </c>
      <c r="Q2711" s="5" t="s">
        <v>1237</v>
      </c>
      <c r="R2711" s="5" t="s">
        <v>14839</v>
      </c>
      <c r="S2711" s="6" t="s">
        <v>79</v>
      </c>
      <c r="T2711" s="6">
        <v>6686.0</v>
      </c>
    </row>
    <row r="2712" ht="56.25" customHeight="1">
      <c r="A2712" s="5" t="s">
        <v>14823</v>
      </c>
      <c r="B2712" s="6" t="str">
        <f>image("https://storage.googleapis.com/acdb/photos/BromideNpcNmlRhn02_Remake_6_0.png")</f>
        <v/>
      </c>
      <c r="C2712" s="5" t="s">
        <v>146</v>
      </c>
      <c r="D2712" s="5" t="s">
        <v>1327</v>
      </c>
      <c r="E2712" s="5" t="s">
        <v>34</v>
      </c>
      <c r="F2712" s="5" t="s">
        <v>34</v>
      </c>
      <c r="G2712" s="5" t="s">
        <v>36</v>
      </c>
      <c r="H2712" s="5" t="s">
        <v>35</v>
      </c>
      <c r="I2712" s="6">
        <v>1.0</v>
      </c>
      <c r="J2712" s="6" t="s">
        <v>37</v>
      </c>
      <c r="K2712" s="6">
        <v>10.0</v>
      </c>
      <c r="L2712" s="5"/>
      <c r="M2712" s="5"/>
      <c r="N2712" s="6" t="s">
        <v>40</v>
      </c>
      <c r="O2712" s="5" t="s">
        <v>5363</v>
      </c>
      <c r="P2712" s="6" t="s">
        <v>42</v>
      </c>
      <c r="Q2712" s="5" t="s">
        <v>1237</v>
      </c>
      <c r="R2712" s="5" t="s">
        <v>14845</v>
      </c>
      <c r="S2712" s="6" t="s">
        <v>86</v>
      </c>
      <c r="T2712" s="6">
        <v>6686.0</v>
      </c>
    </row>
    <row r="2713" ht="56.25" customHeight="1">
      <c r="A2713" s="5" t="s">
        <v>14823</v>
      </c>
      <c r="B2713" s="6" t="str">
        <f>image("https://storage.googleapis.com/acdb/photos/BromideNpcNmlRhn02_Remake_7_0.png")</f>
        <v/>
      </c>
      <c r="C2713" s="5" t="s">
        <v>151</v>
      </c>
      <c r="D2713" s="5" t="s">
        <v>1327</v>
      </c>
      <c r="E2713" s="5" t="s">
        <v>34</v>
      </c>
      <c r="F2713" s="5" t="s">
        <v>34</v>
      </c>
      <c r="G2713" s="5" t="s">
        <v>36</v>
      </c>
      <c r="H2713" s="5" t="s">
        <v>35</v>
      </c>
      <c r="I2713" s="6">
        <v>1.0</v>
      </c>
      <c r="J2713" s="6" t="s">
        <v>37</v>
      </c>
      <c r="K2713" s="6">
        <v>10.0</v>
      </c>
      <c r="L2713" s="5"/>
      <c r="M2713" s="5"/>
      <c r="N2713" s="6" t="s">
        <v>40</v>
      </c>
      <c r="O2713" s="5" t="s">
        <v>5363</v>
      </c>
      <c r="P2713" s="6" t="s">
        <v>42</v>
      </c>
      <c r="Q2713" s="5" t="s">
        <v>1237</v>
      </c>
      <c r="R2713" s="5" t="s">
        <v>14851</v>
      </c>
      <c r="S2713" s="6" t="s">
        <v>208</v>
      </c>
      <c r="T2713" s="6">
        <v>6686.0</v>
      </c>
    </row>
    <row r="2714" ht="56.25" customHeight="1">
      <c r="A2714" s="5" t="s">
        <v>14852</v>
      </c>
      <c r="B2714" s="6" t="str">
        <f>image("https://storage.googleapis.com/acdb/photos/BromideNpcNmlPgn14_Remake_0_0.png")</f>
        <v/>
      </c>
      <c r="C2714" s="5" t="s">
        <v>366</v>
      </c>
      <c r="D2714" s="5" t="s">
        <v>1327</v>
      </c>
      <c r="E2714" s="5" t="s">
        <v>34</v>
      </c>
      <c r="F2714" s="5" t="s">
        <v>34</v>
      </c>
      <c r="G2714" s="5" t="s">
        <v>36</v>
      </c>
      <c r="H2714" s="5" t="s">
        <v>35</v>
      </c>
      <c r="I2714" s="6">
        <v>1.0</v>
      </c>
      <c r="J2714" s="6" t="s">
        <v>37</v>
      </c>
      <c r="K2714" s="6">
        <v>10.0</v>
      </c>
      <c r="L2714" s="5"/>
      <c r="M2714" s="5"/>
      <c r="N2714" s="6" t="s">
        <v>40</v>
      </c>
      <c r="O2714" s="5" t="s">
        <v>5363</v>
      </c>
      <c r="P2714" s="6" t="s">
        <v>42</v>
      </c>
      <c r="Q2714" s="5" t="s">
        <v>1237</v>
      </c>
      <c r="R2714" s="5" t="s">
        <v>14855</v>
      </c>
      <c r="S2714" s="6" t="s">
        <v>50</v>
      </c>
      <c r="T2714" s="6">
        <v>6643.0</v>
      </c>
    </row>
    <row r="2715" ht="56.25" customHeight="1">
      <c r="A2715" s="5" t="s">
        <v>14852</v>
      </c>
      <c r="B2715" s="6" t="str">
        <f>image("https://storage.googleapis.com/acdb/photos/BromideNpcNmlPgn14_Remake_1_0.png")</f>
        <v/>
      </c>
      <c r="C2715" s="5" t="s">
        <v>1132</v>
      </c>
      <c r="D2715" s="5" t="s">
        <v>1327</v>
      </c>
      <c r="E2715" s="5" t="s">
        <v>34</v>
      </c>
      <c r="F2715" s="5" t="s">
        <v>34</v>
      </c>
      <c r="G2715" s="5" t="s">
        <v>36</v>
      </c>
      <c r="H2715" s="5" t="s">
        <v>35</v>
      </c>
      <c r="I2715" s="6">
        <v>1.0</v>
      </c>
      <c r="J2715" s="6" t="s">
        <v>37</v>
      </c>
      <c r="K2715" s="6">
        <v>10.0</v>
      </c>
      <c r="L2715" s="5"/>
      <c r="M2715" s="5"/>
      <c r="N2715" s="6" t="s">
        <v>40</v>
      </c>
      <c r="O2715" s="5" t="s">
        <v>5363</v>
      </c>
      <c r="P2715" s="6" t="s">
        <v>42</v>
      </c>
      <c r="Q2715" s="5" t="s">
        <v>1237</v>
      </c>
      <c r="R2715" s="5" t="s">
        <v>14858</v>
      </c>
      <c r="S2715" s="6" t="s">
        <v>56</v>
      </c>
      <c r="T2715" s="6">
        <v>6643.0</v>
      </c>
    </row>
    <row r="2716" ht="56.25" customHeight="1">
      <c r="A2716" s="5" t="s">
        <v>14852</v>
      </c>
      <c r="B2716" s="6" t="str">
        <f>image("https://storage.googleapis.com/acdb/photos/BromideNpcNmlPgn14_Remake_2_0.png")</f>
        <v/>
      </c>
      <c r="C2716" s="5" t="s">
        <v>688</v>
      </c>
      <c r="D2716" s="5" t="s">
        <v>1327</v>
      </c>
      <c r="E2716" s="5" t="s">
        <v>34</v>
      </c>
      <c r="F2716" s="5" t="s">
        <v>34</v>
      </c>
      <c r="G2716" s="5" t="s">
        <v>36</v>
      </c>
      <c r="H2716" s="5" t="s">
        <v>35</v>
      </c>
      <c r="I2716" s="6">
        <v>1.0</v>
      </c>
      <c r="J2716" s="6" t="s">
        <v>37</v>
      </c>
      <c r="K2716" s="6">
        <v>10.0</v>
      </c>
      <c r="L2716" s="5"/>
      <c r="M2716" s="5"/>
      <c r="N2716" s="6" t="s">
        <v>40</v>
      </c>
      <c r="O2716" s="5" t="s">
        <v>5363</v>
      </c>
      <c r="P2716" s="6" t="s">
        <v>42</v>
      </c>
      <c r="Q2716" s="5" t="s">
        <v>1237</v>
      </c>
      <c r="R2716" s="5" t="s">
        <v>14862</v>
      </c>
      <c r="S2716" s="6" t="s">
        <v>67</v>
      </c>
      <c r="T2716" s="6">
        <v>6643.0</v>
      </c>
    </row>
    <row r="2717" ht="56.25" customHeight="1">
      <c r="A2717" s="5" t="s">
        <v>14852</v>
      </c>
      <c r="B2717" s="6" t="str">
        <f>image("https://storage.googleapis.com/acdb/photos/BromideNpcNmlPgn14_Remake_3_0.png")</f>
        <v/>
      </c>
      <c r="C2717" s="5" t="s">
        <v>57</v>
      </c>
      <c r="D2717" s="5" t="s">
        <v>1327</v>
      </c>
      <c r="E2717" s="5" t="s">
        <v>34</v>
      </c>
      <c r="F2717" s="5" t="s">
        <v>34</v>
      </c>
      <c r="G2717" s="5" t="s">
        <v>36</v>
      </c>
      <c r="H2717" s="5" t="s">
        <v>35</v>
      </c>
      <c r="I2717" s="6">
        <v>1.0</v>
      </c>
      <c r="J2717" s="6" t="s">
        <v>37</v>
      </c>
      <c r="K2717" s="6">
        <v>10.0</v>
      </c>
      <c r="L2717" s="5"/>
      <c r="M2717" s="5"/>
      <c r="N2717" s="6" t="s">
        <v>40</v>
      </c>
      <c r="O2717" s="5" t="s">
        <v>5363</v>
      </c>
      <c r="P2717" s="6" t="s">
        <v>42</v>
      </c>
      <c r="Q2717" s="5" t="s">
        <v>1237</v>
      </c>
      <c r="R2717" s="5" t="s">
        <v>14866</v>
      </c>
      <c r="S2717" s="6" t="s">
        <v>71</v>
      </c>
      <c r="T2717" s="6">
        <v>6643.0</v>
      </c>
    </row>
    <row r="2718" ht="56.25" customHeight="1">
      <c r="A2718" s="5" t="s">
        <v>14852</v>
      </c>
      <c r="B2718" s="6" t="str">
        <f>image("https://storage.googleapis.com/acdb/photos/BromideNpcNmlPgn14_Remake_4_0.png")</f>
        <v/>
      </c>
      <c r="C2718" s="5" t="s">
        <v>1167</v>
      </c>
      <c r="D2718" s="5" t="s">
        <v>1327</v>
      </c>
      <c r="E2718" s="5" t="s">
        <v>34</v>
      </c>
      <c r="F2718" s="5" t="s">
        <v>34</v>
      </c>
      <c r="G2718" s="5" t="s">
        <v>36</v>
      </c>
      <c r="H2718" s="5" t="s">
        <v>35</v>
      </c>
      <c r="I2718" s="6">
        <v>1.0</v>
      </c>
      <c r="J2718" s="6" t="s">
        <v>37</v>
      </c>
      <c r="K2718" s="6">
        <v>10.0</v>
      </c>
      <c r="L2718" s="5"/>
      <c r="M2718" s="5"/>
      <c r="N2718" s="6" t="s">
        <v>40</v>
      </c>
      <c r="O2718" s="5" t="s">
        <v>5363</v>
      </c>
      <c r="P2718" s="6" t="s">
        <v>42</v>
      </c>
      <c r="Q2718" s="5" t="s">
        <v>1237</v>
      </c>
      <c r="R2718" s="5" t="s">
        <v>14871</v>
      </c>
      <c r="S2718" s="6" t="s">
        <v>75</v>
      </c>
      <c r="T2718" s="6">
        <v>6643.0</v>
      </c>
    </row>
    <row r="2719" ht="56.25" customHeight="1">
      <c r="A2719" s="5" t="s">
        <v>14852</v>
      </c>
      <c r="B2719" s="6" t="str">
        <f>image("https://storage.googleapis.com/acdb/photos/BromideNpcNmlPgn14_Remake_5_0.png")</f>
        <v/>
      </c>
      <c r="C2719" s="5" t="s">
        <v>58</v>
      </c>
      <c r="D2719" s="5" t="s">
        <v>1327</v>
      </c>
      <c r="E2719" s="5" t="s">
        <v>34</v>
      </c>
      <c r="F2719" s="5" t="s">
        <v>34</v>
      </c>
      <c r="G2719" s="5" t="s">
        <v>36</v>
      </c>
      <c r="H2719" s="5" t="s">
        <v>35</v>
      </c>
      <c r="I2719" s="6">
        <v>1.0</v>
      </c>
      <c r="J2719" s="6" t="s">
        <v>37</v>
      </c>
      <c r="K2719" s="6">
        <v>10.0</v>
      </c>
      <c r="L2719" s="5"/>
      <c r="M2719" s="5"/>
      <c r="N2719" s="6" t="s">
        <v>40</v>
      </c>
      <c r="O2719" s="5" t="s">
        <v>5363</v>
      </c>
      <c r="P2719" s="6" t="s">
        <v>42</v>
      </c>
      <c r="Q2719" s="5" t="s">
        <v>1237</v>
      </c>
      <c r="R2719" s="5" t="s">
        <v>14874</v>
      </c>
      <c r="S2719" s="6" t="s">
        <v>79</v>
      </c>
      <c r="T2719" s="6">
        <v>6643.0</v>
      </c>
    </row>
    <row r="2720" ht="56.25" customHeight="1">
      <c r="A2720" s="5" t="s">
        <v>14852</v>
      </c>
      <c r="B2720" s="6" t="str">
        <f>image("https://storage.googleapis.com/acdb/photos/BromideNpcNmlPgn14_Remake_6_0.png")</f>
        <v/>
      </c>
      <c r="C2720" s="5" t="s">
        <v>146</v>
      </c>
      <c r="D2720" s="5" t="s">
        <v>1327</v>
      </c>
      <c r="E2720" s="5" t="s">
        <v>34</v>
      </c>
      <c r="F2720" s="5" t="s">
        <v>34</v>
      </c>
      <c r="G2720" s="5" t="s">
        <v>36</v>
      </c>
      <c r="H2720" s="5" t="s">
        <v>35</v>
      </c>
      <c r="I2720" s="6">
        <v>1.0</v>
      </c>
      <c r="J2720" s="6" t="s">
        <v>37</v>
      </c>
      <c r="K2720" s="6">
        <v>10.0</v>
      </c>
      <c r="L2720" s="5"/>
      <c r="M2720" s="5"/>
      <c r="N2720" s="6" t="s">
        <v>40</v>
      </c>
      <c r="O2720" s="5" t="s">
        <v>5363</v>
      </c>
      <c r="P2720" s="6" t="s">
        <v>42</v>
      </c>
      <c r="Q2720" s="5" t="s">
        <v>1237</v>
      </c>
      <c r="R2720" s="5" t="s">
        <v>14877</v>
      </c>
      <c r="S2720" s="6" t="s">
        <v>86</v>
      </c>
      <c r="T2720" s="6">
        <v>6643.0</v>
      </c>
    </row>
    <row r="2721" ht="56.25" customHeight="1">
      <c r="A2721" s="5" t="s">
        <v>14852</v>
      </c>
      <c r="B2721" s="6" t="str">
        <f>image("https://storage.googleapis.com/acdb/photos/BromideNpcNmlPgn14_Remake_7_0.png")</f>
        <v/>
      </c>
      <c r="C2721" s="5" t="s">
        <v>151</v>
      </c>
      <c r="D2721" s="5" t="s">
        <v>1327</v>
      </c>
      <c r="E2721" s="5" t="s">
        <v>34</v>
      </c>
      <c r="F2721" s="5" t="s">
        <v>34</v>
      </c>
      <c r="G2721" s="5" t="s">
        <v>36</v>
      </c>
      <c r="H2721" s="5" t="s">
        <v>35</v>
      </c>
      <c r="I2721" s="6">
        <v>1.0</v>
      </c>
      <c r="J2721" s="6" t="s">
        <v>37</v>
      </c>
      <c r="K2721" s="6">
        <v>10.0</v>
      </c>
      <c r="L2721" s="5"/>
      <c r="M2721" s="5"/>
      <c r="N2721" s="6" t="s">
        <v>40</v>
      </c>
      <c r="O2721" s="5" t="s">
        <v>5363</v>
      </c>
      <c r="P2721" s="6" t="s">
        <v>42</v>
      </c>
      <c r="Q2721" s="5" t="s">
        <v>1237</v>
      </c>
      <c r="R2721" s="5" t="s">
        <v>14880</v>
      </c>
      <c r="S2721" s="6" t="s">
        <v>208</v>
      </c>
      <c r="T2721" s="6">
        <v>6643.0</v>
      </c>
    </row>
    <row r="2722" ht="56.25" customHeight="1">
      <c r="A2722" s="5" t="s">
        <v>14881</v>
      </c>
      <c r="B2722" s="6" t="str">
        <f>image("https://storage.googleapis.com/acdb/photos/BromideNpcNmlOst03_Remake_0_0.png")</f>
        <v/>
      </c>
      <c r="C2722" s="5" t="s">
        <v>366</v>
      </c>
      <c r="D2722" s="5" t="s">
        <v>1327</v>
      </c>
      <c r="E2722" s="5" t="s">
        <v>34</v>
      </c>
      <c r="F2722" s="5" t="s">
        <v>34</v>
      </c>
      <c r="G2722" s="5" t="s">
        <v>36</v>
      </c>
      <c r="H2722" s="5" t="s">
        <v>35</v>
      </c>
      <c r="I2722" s="6">
        <v>1.0</v>
      </c>
      <c r="J2722" s="6" t="s">
        <v>37</v>
      </c>
      <c r="K2722" s="6">
        <v>10.0</v>
      </c>
      <c r="L2722" s="5"/>
      <c r="M2722" s="5"/>
      <c r="N2722" s="6" t="s">
        <v>40</v>
      </c>
      <c r="O2722" s="5" t="s">
        <v>5363</v>
      </c>
      <c r="P2722" s="6" t="s">
        <v>42</v>
      </c>
      <c r="Q2722" s="5" t="s">
        <v>1237</v>
      </c>
      <c r="R2722" s="5" t="s">
        <v>14885</v>
      </c>
      <c r="S2722" s="6" t="s">
        <v>50</v>
      </c>
      <c r="T2722" s="6">
        <v>6612.0</v>
      </c>
    </row>
    <row r="2723" ht="56.25" customHeight="1">
      <c r="A2723" s="5" t="s">
        <v>14881</v>
      </c>
      <c r="B2723" s="6" t="str">
        <f>image("https://storage.googleapis.com/acdb/photos/BromideNpcNmlOst03_Remake_1_0.png")</f>
        <v/>
      </c>
      <c r="C2723" s="5" t="s">
        <v>1132</v>
      </c>
      <c r="D2723" s="5" t="s">
        <v>1327</v>
      </c>
      <c r="E2723" s="5" t="s">
        <v>34</v>
      </c>
      <c r="F2723" s="5" t="s">
        <v>34</v>
      </c>
      <c r="G2723" s="5" t="s">
        <v>36</v>
      </c>
      <c r="H2723" s="5" t="s">
        <v>35</v>
      </c>
      <c r="I2723" s="6">
        <v>1.0</v>
      </c>
      <c r="J2723" s="6" t="s">
        <v>37</v>
      </c>
      <c r="K2723" s="6">
        <v>10.0</v>
      </c>
      <c r="L2723" s="5"/>
      <c r="M2723" s="5"/>
      <c r="N2723" s="6" t="s">
        <v>40</v>
      </c>
      <c r="O2723" s="5" t="s">
        <v>5363</v>
      </c>
      <c r="P2723" s="6" t="s">
        <v>42</v>
      </c>
      <c r="Q2723" s="5" t="s">
        <v>1237</v>
      </c>
      <c r="R2723" s="5" t="s">
        <v>14888</v>
      </c>
      <c r="S2723" s="6" t="s">
        <v>56</v>
      </c>
      <c r="T2723" s="6">
        <v>6612.0</v>
      </c>
    </row>
    <row r="2724" ht="56.25" customHeight="1">
      <c r="A2724" s="5" t="s">
        <v>14881</v>
      </c>
      <c r="B2724" s="6" t="str">
        <f>image("https://storage.googleapis.com/acdb/photos/BromideNpcNmlOst03_Remake_2_0.png")</f>
        <v/>
      </c>
      <c r="C2724" s="5" t="s">
        <v>688</v>
      </c>
      <c r="D2724" s="5" t="s">
        <v>1327</v>
      </c>
      <c r="E2724" s="5" t="s">
        <v>34</v>
      </c>
      <c r="F2724" s="5" t="s">
        <v>34</v>
      </c>
      <c r="G2724" s="5" t="s">
        <v>36</v>
      </c>
      <c r="H2724" s="5" t="s">
        <v>35</v>
      </c>
      <c r="I2724" s="6">
        <v>1.0</v>
      </c>
      <c r="J2724" s="6" t="s">
        <v>37</v>
      </c>
      <c r="K2724" s="6">
        <v>10.0</v>
      </c>
      <c r="L2724" s="5"/>
      <c r="M2724" s="5"/>
      <c r="N2724" s="6" t="s">
        <v>40</v>
      </c>
      <c r="O2724" s="5" t="s">
        <v>5363</v>
      </c>
      <c r="P2724" s="6" t="s">
        <v>42</v>
      </c>
      <c r="Q2724" s="5" t="s">
        <v>1237</v>
      </c>
      <c r="R2724" s="5" t="s">
        <v>14890</v>
      </c>
      <c r="S2724" s="6" t="s">
        <v>67</v>
      </c>
      <c r="T2724" s="6">
        <v>6612.0</v>
      </c>
    </row>
    <row r="2725" ht="56.25" customHeight="1">
      <c r="A2725" s="5" t="s">
        <v>14881</v>
      </c>
      <c r="B2725" s="6" t="str">
        <f>image("https://storage.googleapis.com/acdb/photos/BromideNpcNmlOst03_Remake_3_0.png")</f>
        <v/>
      </c>
      <c r="C2725" s="5" t="s">
        <v>57</v>
      </c>
      <c r="D2725" s="5" t="s">
        <v>1327</v>
      </c>
      <c r="E2725" s="5" t="s">
        <v>34</v>
      </c>
      <c r="F2725" s="5" t="s">
        <v>34</v>
      </c>
      <c r="G2725" s="5" t="s">
        <v>36</v>
      </c>
      <c r="H2725" s="5" t="s">
        <v>35</v>
      </c>
      <c r="I2725" s="6">
        <v>1.0</v>
      </c>
      <c r="J2725" s="6" t="s">
        <v>37</v>
      </c>
      <c r="K2725" s="6">
        <v>10.0</v>
      </c>
      <c r="L2725" s="5"/>
      <c r="M2725" s="5"/>
      <c r="N2725" s="6" t="s">
        <v>40</v>
      </c>
      <c r="O2725" s="5" t="s">
        <v>5363</v>
      </c>
      <c r="P2725" s="6" t="s">
        <v>42</v>
      </c>
      <c r="Q2725" s="5" t="s">
        <v>1237</v>
      </c>
      <c r="R2725" s="5" t="s">
        <v>14893</v>
      </c>
      <c r="S2725" s="6" t="s">
        <v>71</v>
      </c>
      <c r="T2725" s="6">
        <v>6612.0</v>
      </c>
    </row>
    <row r="2726" ht="56.25" customHeight="1">
      <c r="A2726" s="5" t="s">
        <v>14881</v>
      </c>
      <c r="B2726" s="6" t="str">
        <f>image("https://storage.googleapis.com/acdb/photos/BromideNpcNmlOst03_Remake_4_0.png")</f>
        <v/>
      </c>
      <c r="C2726" s="5" t="s">
        <v>1167</v>
      </c>
      <c r="D2726" s="5" t="s">
        <v>1327</v>
      </c>
      <c r="E2726" s="5" t="s">
        <v>34</v>
      </c>
      <c r="F2726" s="5" t="s">
        <v>34</v>
      </c>
      <c r="G2726" s="5" t="s">
        <v>36</v>
      </c>
      <c r="H2726" s="5" t="s">
        <v>35</v>
      </c>
      <c r="I2726" s="6">
        <v>1.0</v>
      </c>
      <c r="J2726" s="6" t="s">
        <v>37</v>
      </c>
      <c r="K2726" s="6">
        <v>10.0</v>
      </c>
      <c r="L2726" s="5"/>
      <c r="M2726" s="5"/>
      <c r="N2726" s="6" t="s">
        <v>40</v>
      </c>
      <c r="O2726" s="5" t="s">
        <v>5363</v>
      </c>
      <c r="P2726" s="6" t="s">
        <v>42</v>
      </c>
      <c r="Q2726" s="5" t="s">
        <v>1237</v>
      </c>
      <c r="R2726" s="5" t="s">
        <v>14895</v>
      </c>
      <c r="S2726" s="6" t="s">
        <v>75</v>
      </c>
      <c r="T2726" s="6">
        <v>6612.0</v>
      </c>
    </row>
    <row r="2727" ht="56.25" customHeight="1">
      <c r="A2727" s="5" t="s">
        <v>14881</v>
      </c>
      <c r="B2727" s="6" t="str">
        <f>image("https://storage.googleapis.com/acdb/photos/BromideNpcNmlOst03_Remake_5_0.png")</f>
        <v/>
      </c>
      <c r="C2727" s="5" t="s">
        <v>58</v>
      </c>
      <c r="D2727" s="5" t="s">
        <v>1327</v>
      </c>
      <c r="E2727" s="5" t="s">
        <v>34</v>
      </c>
      <c r="F2727" s="5" t="s">
        <v>34</v>
      </c>
      <c r="G2727" s="5" t="s">
        <v>36</v>
      </c>
      <c r="H2727" s="5" t="s">
        <v>35</v>
      </c>
      <c r="I2727" s="6">
        <v>1.0</v>
      </c>
      <c r="J2727" s="6" t="s">
        <v>37</v>
      </c>
      <c r="K2727" s="6">
        <v>10.0</v>
      </c>
      <c r="L2727" s="5"/>
      <c r="M2727" s="5"/>
      <c r="N2727" s="6" t="s">
        <v>40</v>
      </c>
      <c r="O2727" s="5" t="s">
        <v>5363</v>
      </c>
      <c r="P2727" s="6" t="s">
        <v>42</v>
      </c>
      <c r="Q2727" s="5" t="s">
        <v>1237</v>
      </c>
      <c r="R2727" s="5" t="s">
        <v>14899</v>
      </c>
      <c r="S2727" s="6" t="s">
        <v>79</v>
      </c>
      <c r="T2727" s="6">
        <v>6612.0</v>
      </c>
    </row>
    <row r="2728" ht="56.25" customHeight="1">
      <c r="A2728" s="5" t="s">
        <v>14881</v>
      </c>
      <c r="B2728" s="6" t="str">
        <f>image("https://storage.googleapis.com/acdb/photos/BromideNpcNmlOst03_Remake_6_0.png")</f>
        <v/>
      </c>
      <c r="C2728" s="5" t="s">
        <v>146</v>
      </c>
      <c r="D2728" s="5" t="s">
        <v>1327</v>
      </c>
      <c r="E2728" s="5" t="s">
        <v>34</v>
      </c>
      <c r="F2728" s="5" t="s">
        <v>34</v>
      </c>
      <c r="G2728" s="5" t="s">
        <v>36</v>
      </c>
      <c r="H2728" s="5" t="s">
        <v>35</v>
      </c>
      <c r="I2728" s="6">
        <v>1.0</v>
      </c>
      <c r="J2728" s="6" t="s">
        <v>37</v>
      </c>
      <c r="K2728" s="6">
        <v>10.0</v>
      </c>
      <c r="L2728" s="5"/>
      <c r="M2728" s="5"/>
      <c r="N2728" s="6" t="s">
        <v>40</v>
      </c>
      <c r="O2728" s="5" t="s">
        <v>5363</v>
      </c>
      <c r="P2728" s="6" t="s">
        <v>42</v>
      </c>
      <c r="Q2728" s="5" t="s">
        <v>1237</v>
      </c>
      <c r="R2728" s="5" t="s">
        <v>14900</v>
      </c>
      <c r="S2728" s="6" t="s">
        <v>86</v>
      </c>
      <c r="T2728" s="6">
        <v>6612.0</v>
      </c>
    </row>
    <row r="2729" ht="56.25" customHeight="1">
      <c r="A2729" s="5" t="s">
        <v>14881</v>
      </c>
      <c r="B2729" s="6" t="str">
        <f>image("https://storage.googleapis.com/acdb/photos/BromideNpcNmlOst03_Remake_7_0.png")</f>
        <v/>
      </c>
      <c r="C2729" s="5" t="s">
        <v>151</v>
      </c>
      <c r="D2729" s="5" t="s">
        <v>1327</v>
      </c>
      <c r="E2729" s="5" t="s">
        <v>34</v>
      </c>
      <c r="F2729" s="5" t="s">
        <v>34</v>
      </c>
      <c r="G2729" s="5" t="s">
        <v>36</v>
      </c>
      <c r="H2729" s="5" t="s">
        <v>35</v>
      </c>
      <c r="I2729" s="6">
        <v>1.0</v>
      </c>
      <c r="J2729" s="6" t="s">
        <v>37</v>
      </c>
      <c r="K2729" s="6">
        <v>10.0</v>
      </c>
      <c r="L2729" s="5"/>
      <c r="M2729" s="5"/>
      <c r="N2729" s="6" t="s">
        <v>40</v>
      </c>
      <c r="O2729" s="5" t="s">
        <v>5363</v>
      </c>
      <c r="P2729" s="6" t="s">
        <v>42</v>
      </c>
      <c r="Q2729" s="5" t="s">
        <v>1237</v>
      </c>
      <c r="R2729" s="5" t="s">
        <v>14903</v>
      </c>
      <c r="S2729" s="6" t="s">
        <v>208</v>
      </c>
      <c r="T2729" s="6">
        <v>6612.0</v>
      </c>
    </row>
    <row r="2730" ht="56.25" customHeight="1">
      <c r="A2730" s="5" t="s">
        <v>14904</v>
      </c>
      <c r="B2730" s="6" t="str">
        <f>image("https://storage.googleapis.com/acdb/photos/BromideNpcNmlSqu08_Remake_0_0.png")</f>
        <v/>
      </c>
      <c r="C2730" s="5" t="s">
        <v>366</v>
      </c>
      <c r="D2730" s="5" t="s">
        <v>1327</v>
      </c>
      <c r="E2730" s="5" t="s">
        <v>34</v>
      </c>
      <c r="F2730" s="5" t="s">
        <v>34</v>
      </c>
      <c r="G2730" s="5" t="s">
        <v>36</v>
      </c>
      <c r="H2730" s="5" t="s">
        <v>35</v>
      </c>
      <c r="I2730" s="6">
        <v>1.0</v>
      </c>
      <c r="J2730" s="6" t="s">
        <v>37</v>
      </c>
      <c r="K2730" s="6">
        <v>10.0</v>
      </c>
      <c r="L2730" s="5"/>
      <c r="M2730" s="5"/>
      <c r="N2730" s="6" t="s">
        <v>40</v>
      </c>
      <c r="O2730" s="5" t="s">
        <v>5363</v>
      </c>
      <c r="P2730" s="6" t="s">
        <v>42</v>
      </c>
      <c r="Q2730" s="5" t="s">
        <v>1237</v>
      </c>
      <c r="R2730" s="5" t="s">
        <v>14907</v>
      </c>
      <c r="S2730" s="6" t="s">
        <v>50</v>
      </c>
      <c r="T2730" s="6">
        <v>6712.0</v>
      </c>
    </row>
    <row r="2731" ht="56.25" customHeight="1">
      <c r="A2731" s="5" t="s">
        <v>14904</v>
      </c>
      <c r="B2731" s="6" t="str">
        <f>image("https://storage.googleapis.com/acdb/photos/BromideNpcNmlSqu08_Remake_1_0.png")</f>
        <v/>
      </c>
      <c r="C2731" s="5" t="s">
        <v>1132</v>
      </c>
      <c r="D2731" s="5" t="s">
        <v>1327</v>
      </c>
      <c r="E2731" s="5" t="s">
        <v>34</v>
      </c>
      <c r="F2731" s="5" t="s">
        <v>34</v>
      </c>
      <c r="G2731" s="5" t="s">
        <v>36</v>
      </c>
      <c r="H2731" s="5" t="s">
        <v>35</v>
      </c>
      <c r="I2731" s="6">
        <v>1.0</v>
      </c>
      <c r="J2731" s="6" t="s">
        <v>37</v>
      </c>
      <c r="K2731" s="6">
        <v>10.0</v>
      </c>
      <c r="L2731" s="5"/>
      <c r="M2731" s="5"/>
      <c r="N2731" s="6" t="s">
        <v>40</v>
      </c>
      <c r="O2731" s="5" t="s">
        <v>5363</v>
      </c>
      <c r="P2731" s="6" t="s">
        <v>42</v>
      </c>
      <c r="Q2731" s="5" t="s">
        <v>1237</v>
      </c>
      <c r="R2731" s="5" t="s">
        <v>14911</v>
      </c>
      <c r="S2731" s="6" t="s">
        <v>56</v>
      </c>
      <c r="T2731" s="6">
        <v>6712.0</v>
      </c>
    </row>
    <row r="2732" ht="56.25" customHeight="1">
      <c r="A2732" s="5" t="s">
        <v>14904</v>
      </c>
      <c r="B2732" s="6" t="str">
        <f>image("https://storage.googleapis.com/acdb/photos/BromideNpcNmlSqu08_Remake_2_0.png")</f>
        <v/>
      </c>
      <c r="C2732" s="5" t="s">
        <v>688</v>
      </c>
      <c r="D2732" s="5" t="s">
        <v>1327</v>
      </c>
      <c r="E2732" s="5" t="s">
        <v>34</v>
      </c>
      <c r="F2732" s="5" t="s">
        <v>34</v>
      </c>
      <c r="G2732" s="5" t="s">
        <v>36</v>
      </c>
      <c r="H2732" s="5" t="s">
        <v>35</v>
      </c>
      <c r="I2732" s="6">
        <v>1.0</v>
      </c>
      <c r="J2732" s="6" t="s">
        <v>37</v>
      </c>
      <c r="K2732" s="6">
        <v>10.0</v>
      </c>
      <c r="L2732" s="5"/>
      <c r="M2732" s="5"/>
      <c r="N2732" s="6" t="s">
        <v>40</v>
      </c>
      <c r="O2732" s="5" t="s">
        <v>5363</v>
      </c>
      <c r="P2732" s="6" t="s">
        <v>42</v>
      </c>
      <c r="Q2732" s="5" t="s">
        <v>1237</v>
      </c>
      <c r="R2732" s="5" t="s">
        <v>14915</v>
      </c>
      <c r="S2732" s="6" t="s">
        <v>67</v>
      </c>
      <c r="T2732" s="6">
        <v>6712.0</v>
      </c>
    </row>
    <row r="2733" ht="56.25" customHeight="1">
      <c r="A2733" s="5" t="s">
        <v>14904</v>
      </c>
      <c r="B2733" s="6" t="str">
        <f>image("https://storage.googleapis.com/acdb/photos/BromideNpcNmlSqu08_Remake_3_0.png")</f>
        <v/>
      </c>
      <c r="C2733" s="5" t="s">
        <v>57</v>
      </c>
      <c r="D2733" s="5" t="s">
        <v>1327</v>
      </c>
      <c r="E2733" s="5" t="s">
        <v>34</v>
      </c>
      <c r="F2733" s="5" t="s">
        <v>34</v>
      </c>
      <c r="G2733" s="5" t="s">
        <v>36</v>
      </c>
      <c r="H2733" s="5" t="s">
        <v>35</v>
      </c>
      <c r="I2733" s="6">
        <v>1.0</v>
      </c>
      <c r="J2733" s="6" t="s">
        <v>37</v>
      </c>
      <c r="K2733" s="6">
        <v>10.0</v>
      </c>
      <c r="L2733" s="5"/>
      <c r="M2733" s="5"/>
      <c r="N2733" s="6" t="s">
        <v>40</v>
      </c>
      <c r="O2733" s="5" t="s">
        <v>5363</v>
      </c>
      <c r="P2733" s="6" t="s">
        <v>42</v>
      </c>
      <c r="Q2733" s="5" t="s">
        <v>1237</v>
      </c>
      <c r="R2733" s="5" t="s">
        <v>14919</v>
      </c>
      <c r="S2733" s="6" t="s">
        <v>71</v>
      </c>
      <c r="T2733" s="6">
        <v>6712.0</v>
      </c>
    </row>
    <row r="2734" ht="56.25" customHeight="1">
      <c r="A2734" s="5" t="s">
        <v>14904</v>
      </c>
      <c r="B2734" s="6" t="str">
        <f>image("https://storage.googleapis.com/acdb/photos/BromideNpcNmlSqu08_Remake_4_0.png")</f>
        <v/>
      </c>
      <c r="C2734" s="5" t="s">
        <v>1167</v>
      </c>
      <c r="D2734" s="5" t="s">
        <v>1327</v>
      </c>
      <c r="E2734" s="5" t="s">
        <v>34</v>
      </c>
      <c r="F2734" s="5" t="s">
        <v>34</v>
      </c>
      <c r="G2734" s="5" t="s">
        <v>36</v>
      </c>
      <c r="H2734" s="5" t="s">
        <v>35</v>
      </c>
      <c r="I2734" s="6">
        <v>1.0</v>
      </c>
      <c r="J2734" s="6" t="s">
        <v>37</v>
      </c>
      <c r="K2734" s="6">
        <v>10.0</v>
      </c>
      <c r="L2734" s="5"/>
      <c r="M2734" s="5"/>
      <c r="N2734" s="6" t="s">
        <v>40</v>
      </c>
      <c r="O2734" s="5" t="s">
        <v>5363</v>
      </c>
      <c r="P2734" s="6" t="s">
        <v>42</v>
      </c>
      <c r="Q2734" s="5" t="s">
        <v>1237</v>
      </c>
      <c r="R2734" s="5" t="s">
        <v>14923</v>
      </c>
      <c r="S2734" s="6" t="s">
        <v>75</v>
      </c>
      <c r="T2734" s="6">
        <v>6712.0</v>
      </c>
    </row>
    <row r="2735" ht="56.25" customHeight="1">
      <c r="A2735" s="5" t="s">
        <v>14904</v>
      </c>
      <c r="B2735" s="6" t="str">
        <f>image("https://storage.googleapis.com/acdb/photos/BromideNpcNmlSqu08_Remake_5_0.png")</f>
        <v/>
      </c>
      <c r="C2735" s="5" t="s">
        <v>58</v>
      </c>
      <c r="D2735" s="5" t="s">
        <v>1327</v>
      </c>
      <c r="E2735" s="5" t="s">
        <v>34</v>
      </c>
      <c r="F2735" s="5" t="s">
        <v>34</v>
      </c>
      <c r="G2735" s="5" t="s">
        <v>36</v>
      </c>
      <c r="H2735" s="5" t="s">
        <v>35</v>
      </c>
      <c r="I2735" s="6">
        <v>1.0</v>
      </c>
      <c r="J2735" s="6" t="s">
        <v>37</v>
      </c>
      <c r="K2735" s="6">
        <v>10.0</v>
      </c>
      <c r="L2735" s="5"/>
      <c r="M2735" s="5"/>
      <c r="N2735" s="6" t="s">
        <v>40</v>
      </c>
      <c r="O2735" s="5" t="s">
        <v>5363</v>
      </c>
      <c r="P2735" s="6" t="s">
        <v>42</v>
      </c>
      <c r="Q2735" s="5" t="s">
        <v>1237</v>
      </c>
      <c r="R2735" s="5" t="s">
        <v>14927</v>
      </c>
      <c r="S2735" s="6" t="s">
        <v>79</v>
      </c>
      <c r="T2735" s="6">
        <v>6712.0</v>
      </c>
    </row>
    <row r="2736" ht="56.25" customHeight="1">
      <c r="A2736" s="5" t="s">
        <v>14904</v>
      </c>
      <c r="B2736" s="6" t="str">
        <f>image("https://storage.googleapis.com/acdb/photos/BromideNpcNmlSqu08_Remake_6_0.png")</f>
        <v/>
      </c>
      <c r="C2736" s="5" t="s">
        <v>146</v>
      </c>
      <c r="D2736" s="5" t="s">
        <v>1327</v>
      </c>
      <c r="E2736" s="5" t="s">
        <v>34</v>
      </c>
      <c r="F2736" s="5" t="s">
        <v>34</v>
      </c>
      <c r="G2736" s="5" t="s">
        <v>36</v>
      </c>
      <c r="H2736" s="5" t="s">
        <v>35</v>
      </c>
      <c r="I2736" s="6">
        <v>1.0</v>
      </c>
      <c r="J2736" s="6" t="s">
        <v>37</v>
      </c>
      <c r="K2736" s="6">
        <v>10.0</v>
      </c>
      <c r="L2736" s="5"/>
      <c r="M2736" s="5"/>
      <c r="N2736" s="6" t="s">
        <v>40</v>
      </c>
      <c r="O2736" s="5" t="s">
        <v>5363</v>
      </c>
      <c r="P2736" s="6" t="s">
        <v>42</v>
      </c>
      <c r="Q2736" s="5" t="s">
        <v>1237</v>
      </c>
      <c r="R2736" s="5" t="s">
        <v>14930</v>
      </c>
      <c r="S2736" s="6" t="s">
        <v>86</v>
      </c>
      <c r="T2736" s="6">
        <v>6712.0</v>
      </c>
    </row>
    <row r="2737" ht="56.25" customHeight="1">
      <c r="A2737" s="5" t="s">
        <v>14904</v>
      </c>
      <c r="B2737" s="6" t="str">
        <f>image("https://storage.googleapis.com/acdb/photos/BromideNpcNmlSqu08_Remake_7_0.png")</f>
        <v/>
      </c>
      <c r="C2737" s="5" t="s">
        <v>151</v>
      </c>
      <c r="D2737" s="5" t="s">
        <v>1327</v>
      </c>
      <c r="E2737" s="5" t="s">
        <v>34</v>
      </c>
      <c r="F2737" s="5" t="s">
        <v>34</v>
      </c>
      <c r="G2737" s="5" t="s">
        <v>36</v>
      </c>
      <c r="H2737" s="5" t="s">
        <v>35</v>
      </c>
      <c r="I2737" s="6">
        <v>1.0</v>
      </c>
      <c r="J2737" s="6" t="s">
        <v>37</v>
      </c>
      <c r="K2737" s="6">
        <v>10.0</v>
      </c>
      <c r="L2737" s="5"/>
      <c r="M2737" s="5"/>
      <c r="N2737" s="6" t="s">
        <v>40</v>
      </c>
      <c r="O2737" s="5" t="s">
        <v>5363</v>
      </c>
      <c r="P2737" s="6" t="s">
        <v>42</v>
      </c>
      <c r="Q2737" s="5" t="s">
        <v>1237</v>
      </c>
      <c r="R2737" s="5" t="s">
        <v>14934</v>
      </c>
      <c r="S2737" s="6" t="s">
        <v>208</v>
      </c>
      <c r="T2737" s="6">
        <v>6712.0</v>
      </c>
    </row>
    <row r="2738" ht="56.25" customHeight="1">
      <c r="A2738" s="5" t="s">
        <v>14935</v>
      </c>
      <c r="B2738" s="6" t="str">
        <f>image("https://storage.googleapis.com/acdb/photos/BromideNpcNmlShp03_Remake_0_0.png")</f>
        <v/>
      </c>
      <c r="C2738" s="5" t="s">
        <v>366</v>
      </c>
      <c r="D2738" s="5" t="s">
        <v>1327</v>
      </c>
      <c r="E2738" s="5" t="s">
        <v>34</v>
      </c>
      <c r="F2738" s="5" t="s">
        <v>34</v>
      </c>
      <c r="G2738" s="5" t="s">
        <v>36</v>
      </c>
      <c r="H2738" s="5" t="s">
        <v>35</v>
      </c>
      <c r="I2738" s="6">
        <v>1.0</v>
      </c>
      <c r="J2738" s="6" t="s">
        <v>37</v>
      </c>
      <c r="K2738" s="6">
        <v>10.0</v>
      </c>
      <c r="L2738" s="5"/>
      <c r="M2738" s="5"/>
      <c r="N2738" s="6" t="s">
        <v>40</v>
      </c>
      <c r="O2738" s="5" t="s">
        <v>5363</v>
      </c>
      <c r="P2738" s="6" t="s">
        <v>42</v>
      </c>
      <c r="Q2738" s="5" t="s">
        <v>1237</v>
      </c>
      <c r="R2738" s="5" t="s">
        <v>14938</v>
      </c>
      <c r="S2738" s="6" t="s">
        <v>50</v>
      </c>
      <c r="T2738" s="6">
        <v>6694.0</v>
      </c>
    </row>
    <row r="2739" ht="56.25" customHeight="1">
      <c r="A2739" s="5" t="s">
        <v>14935</v>
      </c>
      <c r="B2739" s="6" t="str">
        <f>image("https://storage.googleapis.com/acdb/photos/BromideNpcNmlShp03_Remake_1_0.png")</f>
        <v/>
      </c>
      <c r="C2739" s="5" t="s">
        <v>1132</v>
      </c>
      <c r="D2739" s="5" t="s">
        <v>1327</v>
      </c>
      <c r="E2739" s="5" t="s">
        <v>34</v>
      </c>
      <c r="F2739" s="5" t="s">
        <v>34</v>
      </c>
      <c r="G2739" s="5" t="s">
        <v>36</v>
      </c>
      <c r="H2739" s="5" t="s">
        <v>35</v>
      </c>
      <c r="I2739" s="6">
        <v>1.0</v>
      </c>
      <c r="J2739" s="6" t="s">
        <v>37</v>
      </c>
      <c r="K2739" s="6">
        <v>10.0</v>
      </c>
      <c r="L2739" s="5"/>
      <c r="M2739" s="5"/>
      <c r="N2739" s="6" t="s">
        <v>40</v>
      </c>
      <c r="O2739" s="5" t="s">
        <v>5363</v>
      </c>
      <c r="P2739" s="6" t="s">
        <v>42</v>
      </c>
      <c r="Q2739" s="5" t="s">
        <v>1237</v>
      </c>
      <c r="R2739" s="5" t="s">
        <v>14943</v>
      </c>
      <c r="S2739" s="6" t="s">
        <v>56</v>
      </c>
      <c r="T2739" s="6">
        <v>6694.0</v>
      </c>
    </row>
    <row r="2740" ht="56.25" customHeight="1">
      <c r="A2740" s="5" t="s">
        <v>14935</v>
      </c>
      <c r="B2740" s="6" t="str">
        <f>image("https://storage.googleapis.com/acdb/photos/BromideNpcNmlShp03_Remake_2_0.png")</f>
        <v/>
      </c>
      <c r="C2740" s="5" t="s">
        <v>688</v>
      </c>
      <c r="D2740" s="5" t="s">
        <v>1327</v>
      </c>
      <c r="E2740" s="5" t="s">
        <v>34</v>
      </c>
      <c r="F2740" s="5" t="s">
        <v>34</v>
      </c>
      <c r="G2740" s="5" t="s">
        <v>36</v>
      </c>
      <c r="H2740" s="5" t="s">
        <v>35</v>
      </c>
      <c r="I2740" s="6">
        <v>1.0</v>
      </c>
      <c r="J2740" s="6" t="s">
        <v>37</v>
      </c>
      <c r="K2740" s="6">
        <v>10.0</v>
      </c>
      <c r="L2740" s="5"/>
      <c r="M2740" s="5"/>
      <c r="N2740" s="6" t="s">
        <v>40</v>
      </c>
      <c r="O2740" s="5" t="s">
        <v>5363</v>
      </c>
      <c r="P2740" s="6" t="s">
        <v>42</v>
      </c>
      <c r="Q2740" s="5" t="s">
        <v>1237</v>
      </c>
      <c r="R2740" s="5" t="s">
        <v>14945</v>
      </c>
      <c r="S2740" s="6" t="s">
        <v>67</v>
      </c>
      <c r="T2740" s="6">
        <v>6694.0</v>
      </c>
    </row>
    <row r="2741" ht="56.25" customHeight="1">
      <c r="A2741" s="5" t="s">
        <v>14935</v>
      </c>
      <c r="B2741" s="6" t="str">
        <f>image("https://storage.googleapis.com/acdb/photos/BromideNpcNmlShp03_Remake_3_0.png")</f>
        <v/>
      </c>
      <c r="C2741" s="5" t="s">
        <v>57</v>
      </c>
      <c r="D2741" s="5" t="s">
        <v>1327</v>
      </c>
      <c r="E2741" s="5" t="s">
        <v>34</v>
      </c>
      <c r="F2741" s="5" t="s">
        <v>34</v>
      </c>
      <c r="G2741" s="5" t="s">
        <v>36</v>
      </c>
      <c r="H2741" s="5" t="s">
        <v>35</v>
      </c>
      <c r="I2741" s="6">
        <v>1.0</v>
      </c>
      <c r="J2741" s="6" t="s">
        <v>37</v>
      </c>
      <c r="K2741" s="6">
        <v>10.0</v>
      </c>
      <c r="L2741" s="5"/>
      <c r="M2741" s="5"/>
      <c r="N2741" s="6" t="s">
        <v>40</v>
      </c>
      <c r="O2741" s="5" t="s">
        <v>5363</v>
      </c>
      <c r="P2741" s="6" t="s">
        <v>42</v>
      </c>
      <c r="Q2741" s="5" t="s">
        <v>1237</v>
      </c>
      <c r="R2741" s="5" t="s">
        <v>14948</v>
      </c>
      <c r="S2741" s="6" t="s">
        <v>71</v>
      </c>
      <c r="T2741" s="6">
        <v>6694.0</v>
      </c>
    </row>
    <row r="2742" ht="56.25" customHeight="1">
      <c r="A2742" s="5" t="s">
        <v>14935</v>
      </c>
      <c r="B2742" s="6" t="str">
        <f>image("https://storage.googleapis.com/acdb/photos/BromideNpcNmlShp03_Remake_4_0.png")</f>
        <v/>
      </c>
      <c r="C2742" s="5" t="s">
        <v>1167</v>
      </c>
      <c r="D2742" s="5" t="s">
        <v>1327</v>
      </c>
      <c r="E2742" s="5" t="s">
        <v>34</v>
      </c>
      <c r="F2742" s="5" t="s">
        <v>34</v>
      </c>
      <c r="G2742" s="5" t="s">
        <v>36</v>
      </c>
      <c r="H2742" s="5" t="s">
        <v>35</v>
      </c>
      <c r="I2742" s="6">
        <v>1.0</v>
      </c>
      <c r="J2742" s="6" t="s">
        <v>37</v>
      </c>
      <c r="K2742" s="6">
        <v>10.0</v>
      </c>
      <c r="L2742" s="5"/>
      <c r="M2742" s="5"/>
      <c r="N2742" s="6" t="s">
        <v>40</v>
      </c>
      <c r="O2742" s="5" t="s">
        <v>5363</v>
      </c>
      <c r="P2742" s="6" t="s">
        <v>42</v>
      </c>
      <c r="Q2742" s="5" t="s">
        <v>1237</v>
      </c>
      <c r="R2742" s="5" t="s">
        <v>14952</v>
      </c>
      <c r="S2742" s="6" t="s">
        <v>75</v>
      </c>
      <c r="T2742" s="6">
        <v>6694.0</v>
      </c>
    </row>
    <row r="2743" ht="56.25" customHeight="1">
      <c r="A2743" s="5" t="s">
        <v>14935</v>
      </c>
      <c r="B2743" s="6" t="str">
        <f>image("https://storage.googleapis.com/acdb/photos/BromideNpcNmlShp03_Remake_5_0.png")</f>
        <v/>
      </c>
      <c r="C2743" s="5" t="s">
        <v>58</v>
      </c>
      <c r="D2743" s="5" t="s">
        <v>1327</v>
      </c>
      <c r="E2743" s="5" t="s">
        <v>34</v>
      </c>
      <c r="F2743" s="5" t="s">
        <v>34</v>
      </c>
      <c r="G2743" s="5" t="s">
        <v>36</v>
      </c>
      <c r="H2743" s="5" t="s">
        <v>35</v>
      </c>
      <c r="I2743" s="6">
        <v>1.0</v>
      </c>
      <c r="J2743" s="6" t="s">
        <v>37</v>
      </c>
      <c r="K2743" s="6">
        <v>10.0</v>
      </c>
      <c r="L2743" s="5"/>
      <c r="M2743" s="5"/>
      <c r="N2743" s="6" t="s">
        <v>40</v>
      </c>
      <c r="O2743" s="5" t="s">
        <v>5363</v>
      </c>
      <c r="P2743" s="6" t="s">
        <v>42</v>
      </c>
      <c r="Q2743" s="5" t="s">
        <v>1237</v>
      </c>
      <c r="R2743" s="5" t="s">
        <v>14954</v>
      </c>
      <c r="S2743" s="6" t="s">
        <v>79</v>
      </c>
      <c r="T2743" s="6">
        <v>6694.0</v>
      </c>
    </row>
    <row r="2744" ht="56.25" customHeight="1">
      <c r="A2744" s="5" t="s">
        <v>14935</v>
      </c>
      <c r="B2744" s="6" t="str">
        <f>image("https://storage.googleapis.com/acdb/photos/BromideNpcNmlShp03_Remake_6_0.png")</f>
        <v/>
      </c>
      <c r="C2744" s="5" t="s">
        <v>146</v>
      </c>
      <c r="D2744" s="5" t="s">
        <v>1327</v>
      </c>
      <c r="E2744" s="5" t="s">
        <v>34</v>
      </c>
      <c r="F2744" s="5" t="s">
        <v>34</v>
      </c>
      <c r="G2744" s="5" t="s">
        <v>36</v>
      </c>
      <c r="H2744" s="5" t="s">
        <v>35</v>
      </c>
      <c r="I2744" s="6">
        <v>1.0</v>
      </c>
      <c r="J2744" s="6" t="s">
        <v>37</v>
      </c>
      <c r="K2744" s="6">
        <v>10.0</v>
      </c>
      <c r="L2744" s="5"/>
      <c r="M2744" s="5"/>
      <c r="N2744" s="6" t="s">
        <v>40</v>
      </c>
      <c r="O2744" s="5" t="s">
        <v>5363</v>
      </c>
      <c r="P2744" s="6" t="s">
        <v>42</v>
      </c>
      <c r="Q2744" s="5" t="s">
        <v>1237</v>
      </c>
      <c r="R2744" s="5" t="s">
        <v>14958</v>
      </c>
      <c r="S2744" s="6" t="s">
        <v>86</v>
      </c>
      <c r="T2744" s="6">
        <v>6694.0</v>
      </c>
    </row>
    <row r="2745" ht="56.25" customHeight="1">
      <c r="A2745" s="5" t="s">
        <v>14935</v>
      </c>
      <c r="B2745" s="6" t="str">
        <f>image("https://storage.googleapis.com/acdb/photos/BromideNpcNmlShp03_Remake_7_0.png")</f>
        <v/>
      </c>
      <c r="C2745" s="5" t="s">
        <v>151</v>
      </c>
      <c r="D2745" s="5" t="s">
        <v>1327</v>
      </c>
      <c r="E2745" s="5" t="s">
        <v>34</v>
      </c>
      <c r="F2745" s="5" t="s">
        <v>34</v>
      </c>
      <c r="G2745" s="5" t="s">
        <v>36</v>
      </c>
      <c r="H2745" s="5" t="s">
        <v>35</v>
      </c>
      <c r="I2745" s="6">
        <v>1.0</v>
      </c>
      <c r="J2745" s="6" t="s">
        <v>37</v>
      </c>
      <c r="K2745" s="6">
        <v>10.0</v>
      </c>
      <c r="L2745" s="5"/>
      <c r="M2745" s="5"/>
      <c r="N2745" s="6" t="s">
        <v>40</v>
      </c>
      <c r="O2745" s="5" t="s">
        <v>5363</v>
      </c>
      <c r="P2745" s="6" t="s">
        <v>42</v>
      </c>
      <c r="Q2745" s="5" t="s">
        <v>1237</v>
      </c>
      <c r="R2745" s="5" t="s">
        <v>14962</v>
      </c>
      <c r="S2745" s="6" t="s">
        <v>208</v>
      </c>
      <c r="T2745" s="6">
        <v>6694.0</v>
      </c>
    </row>
    <row r="2746" ht="56.25" customHeight="1">
      <c r="A2746" s="5" t="s">
        <v>14963</v>
      </c>
      <c r="B2746" s="6" t="str">
        <f>image("https://storage.googleapis.com/acdb/photos/BromideNpcNmlPbr07_Remake_0_0.png")</f>
        <v/>
      </c>
      <c r="C2746" s="5" t="s">
        <v>366</v>
      </c>
      <c r="D2746" s="5" t="s">
        <v>1327</v>
      </c>
      <c r="E2746" s="5" t="s">
        <v>34</v>
      </c>
      <c r="F2746" s="5" t="s">
        <v>34</v>
      </c>
      <c r="G2746" s="5" t="s">
        <v>36</v>
      </c>
      <c r="H2746" s="5" t="s">
        <v>35</v>
      </c>
      <c r="I2746" s="6">
        <v>1.0</v>
      </c>
      <c r="J2746" s="6" t="s">
        <v>37</v>
      </c>
      <c r="K2746" s="6">
        <v>10.0</v>
      </c>
      <c r="L2746" s="5"/>
      <c r="M2746" s="5"/>
      <c r="N2746" s="6" t="s">
        <v>40</v>
      </c>
      <c r="O2746" s="5" t="s">
        <v>5363</v>
      </c>
      <c r="P2746" s="6" t="s">
        <v>42</v>
      </c>
      <c r="Q2746" s="5" t="s">
        <v>1237</v>
      </c>
      <c r="R2746" s="5" t="s">
        <v>14965</v>
      </c>
      <c r="S2746" s="6" t="s">
        <v>50</v>
      </c>
      <c r="T2746" s="6">
        <v>6627.0</v>
      </c>
    </row>
    <row r="2747" ht="56.25" customHeight="1">
      <c r="A2747" s="5" t="s">
        <v>14963</v>
      </c>
      <c r="B2747" s="6" t="str">
        <f>image("https://storage.googleapis.com/acdb/photos/BromideNpcNmlPbr07_Remake_1_0.png")</f>
        <v/>
      </c>
      <c r="C2747" s="5" t="s">
        <v>1132</v>
      </c>
      <c r="D2747" s="5" t="s">
        <v>1327</v>
      </c>
      <c r="E2747" s="5" t="s">
        <v>34</v>
      </c>
      <c r="F2747" s="5" t="s">
        <v>34</v>
      </c>
      <c r="G2747" s="5" t="s">
        <v>36</v>
      </c>
      <c r="H2747" s="5" t="s">
        <v>35</v>
      </c>
      <c r="I2747" s="6">
        <v>1.0</v>
      </c>
      <c r="J2747" s="6" t="s">
        <v>37</v>
      </c>
      <c r="K2747" s="6">
        <v>10.0</v>
      </c>
      <c r="L2747" s="5"/>
      <c r="M2747" s="5"/>
      <c r="N2747" s="6" t="s">
        <v>40</v>
      </c>
      <c r="O2747" s="5" t="s">
        <v>5363</v>
      </c>
      <c r="P2747" s="6" t="s">
        <v>42</v>
      </c>
      <c r="Q2747" s="5" t="s">
        <v>1237</v>
      </c>
      <c r="R2747" s="5" t="s">
        <v>14968</v>
      </c>
      <c r="S2747" s="6" t="s">
        <v>56</v>
      </c>
      <c r="T2747" s="6">
        <v>6627.0</v>
      </c>
    </row>
    <row r="2748" ht="56.25" customHeight="1">
      <c r="A2748" s="5" t="s">
        <v>14963</v>
      </c>
      <c r="B2748" s="6" t="str">
        <f>image("https://storage.googleapis.com/acdb/photos/BromideNpcNmlPbr07_Remake_2_0.png")</f>
        <v/>
      </c>
      <c r="C2748" s="5" t="s">
        <v>688</v>
      </c>
      <c r="D2748" s="5" t="s">
        <v>1327</v>
      </c>
      <c r="E2748" s="5" t="s">
        <v>34</v>
      </c>
      <c r="F2748" s="5" t="s">
        <v>34</v>
      </c>
      <c r="G2748" s="5" t="s">
        <v>36</v>
      </c>
      <c r="H2748" s="5" t="s">
        <v>35</v>
      </c>
      <c r="I2748" s="6">
        <v>1.0</v>
      </c>
      <c r="J2748" s="6" t="s">
        <v>37</v>
      </c>
      <c r="K2748" s="6">
        <v>10.0</v>
      </c>
      <c r="L2748" s="5"/>
      <c r="M2748" s="5"/>
      <c r="N2748" s="6" t="s">
        <v>40</v>
      </c>
      <c r="O2748" s="5" t="s">
        <v>5363</v>
      </c>
      <c r="P2748" s="6" t="s">
        <v>42</v>
      </c>
      <c r="Q2748" s="5" t="s">
        <v>1237</v>
      </c>
      <c r="R2748" s="5" t="s">
        <v>14970</v>
      </c>
      <c r="S2748" s="6" t="s">
        <v>67</v>
      </c>
      <c r="T2748" s="6">
        <v>6627.0</v>
      </c>
    </row>
    <row r="2749" ht="56.25" customHeight="1">
      <c r="A2749" s="5" t="s">
        <v>14963</v>
      </c>
      <c r="B2749" s="6" t="str">
        <f>image("https://storage.googleapis.com/acdb/photos/BromideNpcNmlPbr07_Remake_3_0.png")</f>
        <v/>
      </c>
      <c r="C2749" s="5" t="s">
        <v>57</v>
      </c>
      <c r="D2749" s="5" t="s">
        <v>1327</v>
      </c>
      <c r="E2749" s="5" t="s">
        <v>34</v>
      </c>
      <c r="F2749" s="5" t="s">
        <v>34</v>
      </c>
      <c r="G2749" s="5" t="s">
        <v>36</v>
      </c>
      <c r="H2749" s="5" t="s">
        <v>35</v>
      </c>
      <c r="I2749" s="6">
        <v>1.0</v>
      </c>
      <c r="J2749" s="6" t="s">
        <v>37</v>
      </c>
      <c r="K2749" s="6">
        <v>10.0</v>
      </c>
      <c r="L2749" s="5"/>
      <c r="M2749" s="5"/>
      <c r="N2749" s="6" t="s">
        <v>40</v>
      </c>
      <c r="O2749" s="5" t="s">
        <v>5363</v>
      </c>
      <c r="P2749" s="6" t="s">
        <v>42</v>
      </c>
      <c r="Q2749" s="5" t="s">
        <v>1237</v>
      </c>
      <c r="R2749" s="5" t="s">
        <v>14973</v>
      </c>
      <c r="S2749" s="6" t="s">
        <v>71</v>
      </c>
      <c r="T2749" s="6">
        <v>6627.0</v>
      </c>
    </row>
    <row r="2750" ht="56.25" customHeight="1">
      <c r="A2750" s="5" t="s">
        <v>14963</v>
      </c>
      <c r="B2750" s="6" t="str">
        <f>image("https://storage.googleapis.com/acdb/photos/BromideNpcNmlPbr07_Remake_4_0.png")</f>
        <v/>
      </c>
      <c r="C2750" s="5" t="s">
        <v>1167</v>
      </c>
      <c r="D2750" s="5" t="s">
        <v>1327</v>
      </c>
      <c r="E2750" s="5" t="s">
        <v>34</v>
      </c>
      <c r="F2750" s="5" t="s">
        <v>34</v>
      </c>
      <c r="G2750" s="5" t="s">
        <v>36</v>
      </c>
      <c r="H2750" s="5" t="s">
        <v>35</v>
      </c>
      <c r="I2750" s="6">
        <v>1.0</v>
      </c>
      <c r="J2750" s="6" t="s">
        <v>37</v>
      </c>
      <c r="K2750" s="6">
        <v>10.0</v>
      </c>
      <c r="L2750" s="5"/>
      <c r="M2750" s="5"/>
      <c r="N2750" s="6" t="s">
        <v>40</v>
      </c>
      <c r="O2750" s="5" t="s">
        <v>5363</v>
      </c>
      <c r="P2750" s="6" t="s">
        <v>42</v>
      </c>
      <c r="Q2750" s="5" t="s">
        <v>1237</v>
      </c>
      <c r="R2750" s="5" t="s">
        <v>14976</v>
      </c>
      <c r="S2750" s="6" t="s">
        <v>75</v>
      </c>
      <c r="T2750" s="6">
        <v>6627.0</v>
      </c>
    </row>
    <row r="2751" ht="56.25" customHeight="1">
      <c r="A2751" s="5" t="s">
        <v>14963</v>
      </c>
      <c r="B2751" s="6" t="str">
        <f>image("https://storage.googleapis.com/acdb/photos/BromideNpcNmlPbr07_Remake_5_0.png")</f>
        <v/>
      </c>
      <c r="C2751" s="5" t="s">
        <v>58</v>
      </c>
      <c r="D2751" s="5" t="s">
        <v>1327</v>
      </c>
      <c r="E2751" s="5" t="s">
        <v>34</v>
      </c>
      <c r="F2751" s="5" t="s">
        <v>34</v>
      </c>
      <c r="G2751" s="5" t="s">
        <v>36</v>
      </c>
      <c r="H2751" s="5" t="s">
        <v>35</v>
      </c>
      <c r="I2751" s="6">
        <v>1.0</v>
      </c>
      <c r="J2751" s="6" t="s">
        <v>37</v>
      </c>
      <c r="K2751" s="6">
        <v>10.0</v>
      </c>
      <c r="L2751" s="5"/>
      <c r="M2751" s="5"/>
      <c r="N2751" s="6" t="s">
        <v>40</v>
      </c>
      <c r="O2751" s="5" t="s">
        <v>5363</v>
      </c>
      <c r="P2751" s="6" t="s">
        <v>42</v>
      </c>
      <c r="Q2751" s="5" t="s">
        <v>1237</v>
      </c>
      <c r="R2751" s="5" t="s">
        <v>14978</v>
      </c>
      <c r="S2751" s="6" t="s">
        <v>79</v>
      </c>
      <c r="T2751" s="6">
        <v>6627.0</v>
      </c>
    </row>
    <row r="2752" ht="56.25" customHeight="1">
      <c r="A2752" s="5" t="s">
        <v>14963</v>
      </c>
      <c r="B2752" s="6" t="str">
        <f>image("https://storage.googleapis.com/acdb/photos/BromideNpcNmlPbr07_Remake_6_0.png")</f>
        <v/>
      </c>
      <c r="C2752" s="5" t="s">
        <v>146</v>
      </c>
      <c r="D2752" s="5" t="s">
        <v>1327</v>
      </c>
      <c r="E2752" s="5" t="s">
        <v>34</v>
      </c>
      <c r="F2752" s="5" t="s">
        <v>34</v>
      </c>
      <c r="G2752" s="5" t="s">
        <v>36</v>
      </c>
      <c r="H2752" s="5" t="s">
        <v>35</v>
      </c>
      <c r="I2752" s="6">
        <v>1.0</v>
      </c>
      <c r="J2752" s="6" t="s">
        <v>37</v>
      </c>
      <c r="K2752" s="6">
        <v>10.0</v>
      </c>
      <c r="L2752" s="5"/>
      <c r="M2752" s="5"/>
      <c r="N2752" s="6" t="s">
        <v>40</v>
      </c>
      <c r="O2752" s="5" t="s">
        <v>5363</v>
      </c>
      <c r="P2752" s="6" t="s">
        <v>42</v>
      </c>
      <c r="Q2752" s="5" t="s">
        <v>1237</v>
      </c>
      <c r="R2752" s="5" t="s">
        <v>14983</v>
      </c>
      <c r="S2752" s="6" t="s">
        <v>86</v>
      </c>
      <c r="T2752" s="6">
        <v>6627.0</v>
      </c>
    </row>
    <row r="2753" ht="56.25" customHeight="1">
      <c r="A2753" s="5" t="s">
        <v>14963</v>
      </c>
      <c r="B2753" s="6" t="str">
        <f>image("https://storage.googleapis.com/acdb/photos/BromideNpcNmlPbr07_Remake_7_0.png")</f>
        <v/>
      </c>
      <c r="C2753" s="5" t="s">
        <v>151</v>
      </c>
      <c r="D2753" s="5" t="s">
        <v>1327</v>
      </c>
      <c r="E2753" s="5" t="s">
        <v>34</v>
      </c>
      <c r="F2753" s="5" t="s">
        <v>34</v>
      </c>
      <c r="G2753" s="5" t="s">
        <v>36</v>
      </c>
      <c r="H2753" s="5" t="s">
        <v>35</v>
      </c>
      <c r="I2753" s="6">
        <v>1.0</v>
      </c>
      <c r="J2753" s="6" t="s">
        <v>37</v>
      </c>
      <c r="K2753" s="6">
        <v>10.0</v>
      </c>
      <c r="L2753" s="5"/>
      <c r="M2753" s="5"/>
      <c r="N2753" s="6" t="s">
        <v>40</v>
      </c>
      <c r="O2753" s="5" t="s">
        <v>5363</v>
      </c>
      <c r="P2753" s="6" t="s">
        <v>42</v>
      </c>
      <c r="Q2753" s="5" t="s">
        <v>1237</v>
      </c>
      <c r="R2753" s="5" t="s">
        <v>14985</v>
      </c>
      <c r="S2753" s="6" t="s">
        <v>208</v>
      </c>
      <c r="T2753" s="6">
        <v>6627.0</v>
      </c>
    </row>
    <row r="2754" ht="56.25" customHeight="1">
      <c r="A2754" s="5" t="s">
        <v>14986</v>
      </c>
      <c r="B2754" s="6" t="str">
        <f>image("https://storage.googleapis.com/acdb/photos/BromideNpcNmlCat13_Remake_0_0.png")</f>
        <v/>
      </c>
      <c r="C2754" s="5" t="s">
        <v>366</v>
      </c>
      <c r="D2754" s="5" t="s">
        <v>1327</v>
      </c>
      <c r="E2754" s="5" t="s">
        <v>34</v>
      </c>
      <c r="F2754" s="5" t="s">
        <v>34</v>
      </c>
      <c r="G2754" s="5" t="s">
        <v>36</v>
      </c>
      <c r="H2754" s="5" t="s">
        <v>35</v>
      </c>
      <c r="I2754" s="6">
        <v>1.0</v>
      </c>
      <c r="J2754" s="6" t="s">
        <v>37</v>
      </c>
      <c r="K2754" s="6">
        <v>10.0</v>
      </c>
      <c r="L2754" s="5"/>
      <c r="M2754" s="5"/>
      <c r="N2754" s="6" t="s">
        <v>40</v>
      </c>
      <c r="O2754" s="5" t="s">
        <v>5363</v>
      </c>
      <c r="P2754" s="6" t="s">
        <v>42</v>
      </c>
      <c r="Q2754" s="5" t="s">
        <v>1237</v>
      </c>
      <c r="R2754" s="5" t="s">
        <v>14989</v>
      </c>
      <c r="S2754" s="6" t="s">
        <v>50</v>
      </c>
      <c r="T2754" s="6">
        <v>6759.0</v>
      </c>
    </row>
    <row r="2755" ht="56.25" customHeight="1">
      <c r="A2755" s="5" t="s">
        <v>14986</v>
      </c>
      <c r="B2755" s="6" t="str">
        <f>image("https://storage.googleapis.com/acdb/photos/BromideNpcNmlCat13_Remake_1_0.png")</f>
        <v/>
      </c>
      <c r="C2755" s="5" t="s">
        <v>1132</v>
      </c>
      <c r="D2755" s="5" t="s">
        <v>1327</v>
      </c>
      <c r="E2755" s="5" t="s">
        <v>34</v>
      </c>
      <c r="F2755" s="5" t="s">
        <v>34</v>
      </c>
      <c r="G2755" s="5" t="s">
        <v>36</v>
      </c>
      <c r="H2755" s="5" t="s">
        <v>35</v>
      </c>
      <c r="I2755" s="6">
        <v>1.0</v>
      </c>
      <c r="J2755" s="6" t="s">
        <v>37</v>
      </c>
      <c r="K2755" s="6">
        <v>10.0</v>
      </c>
      <c r="L2755" s="5"/>
      <c r="M2755" s="5"/>
      <c r="N2755" s="6" t="s">
        <v>40</v>
      </c>
      <c r="O2755" s="5" t="s">
        <v>5363</v>
      </c>
      <c r="P2755" s="6" t="s">
        <v>42</v>
      </c>
      <c r="Q2755" s="5" t="s">
        <v>1237</v>
      </c>
      <c r="R2755" s="5" t="s">
        <v>14991</v>
      </c>
      <c r="S2755" s="6" t="s">
        <v>56</v>
      </c>
      <c r="T2755" s="6">
        <v>6759.0</v>
      </c>
    </row>
    <row r="2756" ht="56.25" customHeight="1">
      <c r="A2756" s="5" t="s">
        <v>14986</v>
      </c>
      <c r="B2756" s="6" t="str">
        <f>image("https://storage.googleapis.com/acdb/photos/BromideNpcNmlCat13_Remake_2_0.png")</f>
        <v/>
      </c>
      <c r="C2756" s="5" t="s">
        <v>688</v>
      </c>
      <c r="D2756" s="5" t="s">
        <v>1327</v>
      </c>
      <c r="E2756" s="5" t="s">
        <v>34</v>
      </c>
      <c r="F2756" s="5" t="s">
        <v>34</v>
      </c>
      <c r="G2756" s="5" t="s">
        <v>36</v>
      </c>
      <c r="H2756" s="5" t="s">
        <v>35</v>
      </c>
      <c r="I2756" s="6">
        <v>1.0</v>
      </c>
      <c r="J2756" s="6" t="s">
        <v>37</v>
      </c>
      <c r="K2756" s="6">
        <v>10.0</v>
      </c>
      <c r="L2756" s="5"/>
      <c r="M2756" s="5"/>
      <c r="N2756" s="6" t="s">
        <v>40</v>
      </c>
      <c r="O2756" s="5" t="s">
        <v>5363</v>
      </c>
      <c r="P2756" s="6" t="s">
        <v>42</v>
      </c>
      <c r="Q2756" s="5" t="s">
        <v>1237</v>
      </c>
      <c r="R2756" s="5" t="s">
        <v>14994</v>
      </c>
      <c r="S2756" s="6" t="s">
        <v>67</v>
      </c>
      <c r="T2756" s="6">
        <v>6759.0</v>
      </c>
    </row>
    <row r="2757" ht="56.25" customHeight="1">
      <c r="A2757" s="5" t="s">
        <v>14986</v>
      </c>
      <c r="B2757" s="6" t="str">
        <f>image("https://storage.googleapis.com/acdb/photos/BromideNpcNmlCat13_Remake_3_0.png")</f>
        <v/>
      </c>
      <c r="C2757" s="5" t="s">
        <v>57</v>
      </c>
      <c r="D2757" s="5" t="s">
        <v>1327</v>
      </c>
      <c r="E2757" s="5" t="s">
        <v>34</v>
      </c>
      <c r="F2757" s="5" t="s">
        <v>34</v>
      </c>
      <c r="G2757" s="5" t="s">
        <v>36</v>
      </c>
      <c r="H2757" s="5" t="s">
        <v>35</v>
      </c>
      <c r="I2757" s="6">
        <v>1.0</v>
      </c>
      <c r="J2757" s="6" t="s">
        <v>37</v>
      </c>
      <c r="K2757" s="6">
        <v>10.0</v>
      </c>
      <c r="L2757" s="5"/>
      <c r="M2757" s="5"/>
      <c r="N2757" s="6" t="s">
        <v>40</v>
      </c>
      <c r="O2757" s="5" t="s">
        <v>5363</v>
      </c>
      <c r="P2757" s="6" t="s">
        <v>42</v>
      </c>
      <c r="Q2757" s="5" t="s">
        <v>1237</v>
      </c>
      <c r="R2757" s="5" t="s">
        <v>14997</v>
      </c>
      <c r="S2757" s="6" t="s">
        <v>71</v>
      </c>
      <c r="T2757" s="6">
        <v>6759.0</v>
      </c>
    </row>
    <row r="2758" ht="56.25" customHeight="1">
      <c r="A2758" s="5" t="s">
        <v>14986</v>
      </c>
      <c r="B2758" s="6" t="str">
        <f>image("https://storage.googleapis.com/acdb/photos/BromideNpcNmlCat13_Remake_4_0.png")</f>
        <v/>
      </c>
      <c r="C2758" s="5" t="s">
        <v>1167</v>
      </c>
      <c r="D2758" s="5" t="s">
        <v>1327</v>
      </c>
      <c r="E2758" s="5" t="s">
        <v>34</v>
      </c>
      <c r="F2758" s="5" t="s">
        <v>34</v>
      </c>
      <c r="G2758" s="5" t="s">
        <v>36</v>
      </c>
      <c r="H2758" s="5" t="s">
        <v>35</v>
      </c>
      <c r="I2758" s="6">
        <v>1.0</v>
      </c>
      <c r="J2758" s="6" t="s">
        <v>37</v>
      </c>
      <c r="K2758" s="6">
        <v>10.0</v>
      </c>
      <c r="L2758" s="5"/>
      <c r="M2758" s="5"/>
      <c r="N2758" s="6" t="s">
        <v>40</v>
      </c>
      <c r="O2758" s="5" t="s">
        <v>5363</v>
      </c>
      <c r="P2758" s="6" t="s">
        <v>42</v>
      </c>
      <c r="Q2758" s="5" t="s">
        <v>1237</v>
      </c>
      <c r="R2758" s="5" t="s">
        <v>15000</v>
      </c>
      <c r="S2758" s="6" t="s">
        <v>75</v>
      </c>
      <c r="T2758" s="6">
        <v>6759.0</v>
      </c>
    </row>
    <row r="2759" ht="56.25" customHeight="1">
      <c r="A2759" s="5" t="s">
        <v>14986</v>
      </c>
      <c r="B2759" s="6" t="str">
        <f>image("https://storage.googleapis.com/acdb/photos/BromideNpcNmlCat13_Remake_5_0.png")</f>
        <v/>
      </c>
      <c r="C2759" s="5" t="s">
        <v>58</v>
      </c>
      <c r="D2759" s="5" t="s">
        <v>1327</v>
      </c>
      <c r="E2759" s="5" t="s">
        <v>34</v>
      </c>
      <c r="F2759" s="5" t="s">
        <v>34</v>
      </c>
      <c r="G2759" s="5" t="s">
        <v>36</v>
      </c>
      <c r="H2759" s="5" t="s">
        <v>35</v>
      </c>
      <c r="I2759" s="6">
        <v>1.0</v>
      </c>
      <c r="J2759" s="6" t="s">
        <v>37</v>
      </c>
      <c r="K2759" s="6">
        <v>10.0</v>
      </c>
      <c r="L2759" s="5"/>
      <c r="M2759" s="5"/>
      <c r="N2759" s="6" t="s">
        <v>40</v>
      </c>
      <c r="O2759" s="5" t="s">
        <v>5363</v>
      </c>
      <c r="P2759" s="6" t="s">
        <v>42</v>
      </c>
      <c r="Q2759" s="5" t="s">
        <v>1237</v>
      </c>
      <c r="R2759" s="5" t="s">
        <v>15003</v>
      </c>
      <c r="S2759" s="6" t="s">
        <v>79</v>
      </c>
      <c r="T2759" s="6">
        <v>6759.0</v>
      </c>
    </row>
    <row r="2760" ht="56.25" customHeight="1">
      <c r="A2760" s="5" t="s">
        <v>14986</v>
      </c>
      <c r="B2760" s="6" t="str">
        <f>image("https://storage.googleapis.com/acdb/photos/BromideNpcNmlCat13_Remake_6_0.png")</f>
        <v/>
      </c>
      <c r="C2760" s="5" t="s">
        <v>146</v>
      </c>
      <c r="D2760" s="5" t="s">
        <v>1327</v>
      </c>
      <c r="E2760" s="5" t="s">
        <v>34</v>
      </c>
      <c r="F2760" s="5" t="s">
        <v>34</v>
      </c>
      <c r="G2760" s="5" t="s">
        <v>36</v>
      </c>
      <c r="H2760" s="5" t="s">
        <v>35</v>
      </c>
      <c r="I2760" s="6">
        <v>1.0</v>
      </c>
      <c r="J2760" s="6" t="s">
        <v>37</v>
      </c>
      <c r="K2760" s="6">
        <v>10.0</v>
      </c>
      <c r="L2760" s="5"/>
      <c r="M2760" s="5"/>
      <c r="N2760" s="6" t="s">
        <v>40</v>
      </c>
      <c r="O2760" s="5" t="s">
        <v>5363</v>
      </c>
      <c r="P2760" s="6" t="s">
        <v>42</v>
      </c>
      <c r="Q2760" s="5" t="s">
        <v>1237</v>
      </c>
      <c r="R2760" s="5" t="s">
        <v>15006</v>
      </c>
      <c r="S2760" s="6" t="s">
        <v>86</v>
      </c>
      <c r="T2760" s="6">
        <v>6759.0</v>
      </c>
    </row>
    <row r="2761" ht="56.25" customHeight="1">
      <c r="A2761" s="5" t="s">
        <v>14986</v>
      </c>
      <c r="B2761" s="6" t="str">
        <f>image("https://storage.googleapis.com/acdb/photos/BromideNpcNmlCat13_Remake_7_0.png")</f>
        <v/>
      </c>
      <c r="C2761" s="5" t="s">
        <v>151</v>
      </c>
      <c r="D2761" s="5" t="s">
        <v>1327</v>
      </c>
      <c r="E2761" s="5" t="s">
        <v>34</v>
      </c>
      <c r="F2761" s="5" t="s">
        <v>34</v>
      </c>
      <c r="G2761" s="5" t="s">
        <v>36</v>
      </c>
      <c r="H2761" s="5" t="s">
        <v>35</v>
      </c>
      <c r="I2761" s="6">
        <v>1.0</v>
      </c>
      <c r="J2761" s="6" t="s">
        <v>37</v>
      </c>
      <c r="K2761" s="6">
        <v>10.0</v>
      </c>
      <c r="L2761" s="5"/>
      <c r="M2761" s="5"/>
      <c r="N2761" s="6" t="s">
        <v>40</v>
      </c>
      <c r="O2761" s="5" t="s">
        <v>5363</v>
      </c>
      <c r="P2761" s="6" t="s">
        <v>42</v>
      </c>
      <c r="Q2761" s="5" t="s">
        <v>1237</v>
      </c>
      <c r="R2761" s="5" t="s">
        <v>15009</v>
      </c>
      <c r="S2761" s="6" t="s">
        <v>208</v>
      </c>
      <c r="T2761" s="6">
        <v>6759.0</v>
      </c>
    </row>
    <row r="2762" ht="56.25" customHeight="1">
      <c r="A2762" s="5" t="s">
        <v>15010</v>
      </c>
      <c r="B2762" s="6" t="str">
        <f>image("https://storage.googleapis.com/acdb/photos/BromideNpcNmlCbr05_Remake_0_0.png")</f>
        <v/>
      </c>
      <c r="C2762" s="5" t="s">
        <v>366</v>
      </c>
      <c r="D2762" s="5" t="s">
        <v>1327</v>
      </c>
      <c r="E2762" s="5" t="s">
        <v>34</v>
      </c>
      <c r="F2762" s="5" t="s">
        <v>34</v>
      </c>
      <c r="G2762" s="5" t="s">
        <v>36</v>
      </c>
      <c r="H2762" s="5" t="s">
        <v>35</v>
      </c>
      <c r="I2762" s="6">
        <v>1.0</v>
      </c>
      <c r="J2762" s="6" t="s">
        <v>37</v>
      </c>
      <c r="K2762" s="6">
        <v>10.0</v>
      </c>
      <c r="L2762" s="5"/>
      <c r="M2762" s="5"/>
      <c r="N2762" s="6" t="s">
        <v>40</v>
      </c>
      <c r="O2762" s="5" t="s">
        <v>5363</v>
      </c>
      <c r="P2762" s="6" t="s">
        <v>42</v>
      </c>
      <c r="Q2762" s="5" t="s">
        <v>1237</v>
      </c>
      <c r="R2762" s="5" t="s">
        <v>15012</v>
      </c>
      <c r="S2762" s="6" t="s">
        <v>50</v>
      </c>
      <c r="T2762" s="6">
        <v>6774.0</v>
      </c>
    </row>
    <row r="2763" ht="56.25" customHeight="1">
      <c r="A2763" s="5" t="s">
        <v>15010</v>
      </c>
      <c r="B2763" s="6" t="str">
        <f>image("https://storage.googleapis.com/acdb/photos/BromideNpcNmlCbr05_Remake_1_0.png")</f>
        <v/>
      </c>
      <c r="C2763" s="5" t="s">
        <v>1132</v>
      </c>
      <c r="D2763" s="5" t="s">
        <v>1327</v>
      </c>
      <c r="E2763" s="5" t="s">
        <v>34</v>
      </c>
      <c r="F2763" s="5" t="s">
        <v>34</v>
      </c>
      <c r="G2763" s="5" t="s">
        <v>36</v>
      </c>
      <c r="H2763" s="5" t="s">
        <v>35</v>
      </c>
      <c r="I2763" s="6">
        <v>1.0</v>
      </c>
      <c r="J2763" s="6" t="s">
        <v>37</v>
      </c>
      <c r="K2763" s="6">
        <v>10.0</v>
      </c>
      <c r="L2763" s="5"/>
      <c r="M2763" s="5"/>
      <c r="N2763" s="6" t="s">
        <v>40</v>
      </c>
      <c r="O2763" s="5" t="s">
        <v>5363</v>
      </c>
      <c r="P2763" s="6" t="s">
        <v>42</v>
      </c>
      <c r="Q2763" s="5" t="s">
        <v>1237</v>
      </c>
      <c r="R2763" s="5" t="s">
        <v>15014</v>
      </c>
      <c r="S2763" s="6" t="s">
        <v>56</v>
      </c>
      <c r="T2763" s="6">
        <v>6774.0</v>
      </c>
    </row>
    <row r="2764" ht="56.25" customHeight="1">
      <c r="A2764" s="5" t="s">
        <v>15010</v>
      </c>
      <c r="B2764" s="6" t="str">
        <f>image("https://storage.googleapis.com/acdb/photos/BromideNpcNmlCbr05_Remake_2_0.png")</f>
        <v/>
      </c>
      <c r="C2764" s="5" t="s">
        <v>688</v>
      </c>
      <c r="D2764" s="5" t="s">
        <v>1327</v>
      </c>
      <c r="E2764" s="5" t="s">
        <v>34</v>
      </c>
      <c r="F2764" s="5" t="s">
        <v>34</v>
      </c>
      <c r="G2764" s="5" t="s">
        <v>36</v>
      </c>
      <c r="H2764" s="5" t="s">
        <v>35</v>
      </c>
      <c r="I2764" s="6">
        <v>1.0</v>
      </c>
      <c r="J2764" s="6" t="s">
        <v>37</v>
      </c>
      <c r="K2764" s="6">
        <v>10.0</v>
      </c>
      <c r="L2764" s="5"/>
      <c r="M2764" s="5"/>
      <c r="N2764" s="6" t="s">
        <v>40</v>
      </c>
      <c r="O2764" s="5" t="s">
        <v>5363</v>
      </c>
      <c r="P2764" s="6" t="s">
        <v>42</v>
      </c>
      <c r="Q2764" s="5" t="s">
        <v>1237</v>
      </c>
      <c r="R2764" s="5" t="s">
        <v>15018</v>
      </c>
      <c r="S2764" s="6" t="s">
        <v>67</v>
      </c>
      <c r="T2764" s="6">
        <v>6774.0</v>
      </c>
    </row>
    <row r="2765" ht="56.25" customHeight="1">
      <c r="A2765" s="5" t="s">
        <v>15010</v>
      </c>
      <c r="B2765" s="6" t="str">
        <f>image("https://storage.googleapis.com/acdb/photos/BromideNpcNmlCbr05_Remake_3_0.png")</f>
        <v/>
      </c>
      <c r="C2765" s="5" t="s">
        <v>57</v>
      </c>
      <c r="D2765" s="5" t="s">
        <v>1327</v>
      </c>
      <c r="E2765" s="5" t="s">
        <v>34</v>
      </c>
      <c r="F2765" s="5" t="s">
        <v>34</v>
      </c>
      <c r="G2765" s="5" t="s">
        <v>36</v>
      </c>
      <c r="H2765" s="5" t="s">
        <v>35</v>
      </c>
      <c r="I2765" s="6">
        <v>1.0</v>
      </c>
      <c r="J2765" s="6" t="s">
        <v>37</v>
      </c>
      <c r="K2765" s="6">
        <v>10.0</v>
      </c>
      <c r="L2765" s="5"/>
      <c r="M2765" s="5"/>
      <c r="N2765" s="6" t="s">
        <v>40</v>
      </c>
      <c r="O2765" s="5" t="s">
        <v>5363</v>
      </c>
      <c r="P2765" s="6" t="s">
        <v>42</v>
      </c>
      <c r="Q2765" s="5" t="s">
        <v>1237</v>
      </c>
      <c r="R2765" s="5" t="s">
        <v>15022</v>
      </c>
      <c r="S2765" s="6" t="s">
        <v>71</v>
      </c>
      <c r="T2765" s="6">
        <v>6774.0</v>
      </c>
    </row>
    <row r="2766" ht="56.25" customHeight="1">
      <c r="A2766" s="5" t="s">
        <v>15010</v>
      </c>
      <c r="B2766" s="6" t="str">
        <f>image("https://storage.googleapis.com/acdb/photos/BromideNpcNmlCbr05_Remake_4_0.png")</f>
        <v/>
      </c>
      <c r="C2766" s="5" t="s">
        <v>1167</v>
      </c>
      <c r="D2766" s="5" t="s">
        <v>1327</v>
      </c>
      <c r="E2766" s="5" t="s">
        <v>34</v>
      </c>
      <c r="F2766" s="5" t="s">
        <v>34</v>
      </c>
      <c r="G2766" s="5" t="s">
        <v>36</v>
      </c>
      <c r="H2766" s="5" t="s">
        <v>35</v>
      </c>
      <c r="I2766" s="6">
        <v>1.0</v>
      </c>
      <c r="J2766" s="6" t="s">
        <v>37</v>
      </c>
      <c r="K2766" s="6">
        <v>10.0</v>
      </c>
      <c r="L2766" s="5"/>
      <c r="M2766" s="5"/>
      <c r="N2766" s="6" t="s">
        <v>40</v>
      </c>
      <c r="O2766" s="5" t="s">
        <v>5363</v>
      </c>
      <c r="P2766" s="6" t="s">
        <v>42</v>
      </c>
      <c r="Q2766" s="5" t="s">
        <v>1237</v>
      </c>
      <c r="R2766" s="5" t="s">
        <v>15025</v>
      </c>
      <c r="S2766" s="6" t="s">
        <v>75</v>
      </c>
      <c r="T2766" s="6">
        <v>6774.0</v>
      </c>
    </row>
    <row r="2767" ht="56.25" customHeight="1">
      <c r="A2767" s="5" t="s">
        <v>15010</v>
      </c>
      <c r="B2767" s="6" t="str">
        <f>image("https://storage.googleapis.com/acdb/photos/BromideNpcNmlCbr05_Remake_5_0.png")</f>
        <v/>
      </c>
      <c r="C2767" s="5" t="s">
        <v>58</v>
      </c>
      <c r="D2767" s="5" t="s">
        <v>1327</v>
      </c>
      <c r="E2767" s="5" t="s">
        <v>34</v>
      </c>
      <c r="F2767" s="5" t="s">
        <v>34</v>
      </c>
      <c r="G2767" s="5" t="s">
        <v>36</v>
      </c>
      <c r="H2767" s="5" t="s">
        <v>35</v>
      </c>
      <c r="I2767" s="6">
        <v>1.0</v>
      </c>
      <c r="J2767" s="6" t="s">
        <v>37</v>
      </c>
      <c r="K2767" s="6">
        <v>10.0</v>
      </c>
      <c r="L2767" s="5"/>
      <c r="M2767" s="5"/>
      <c r="N2767" s="6" t="s">
        <v>40</v>
      </c>
      <c r="O2767" s="5" t="s">
        <v>5363</v>
      </c>
      <c r="P2767" s="6" t="s">
        <v>42</v>
      </c>
      <c r="Q2767" s="5" t="s">
        <v>1237</v>
      </c>
      <c r="R2767" s="5" t="s">
        <v>15029</v>
      </c>
      <c r="S2767" s="6" t="s">
        <v>79</v>
      </c>
      <c r="T2767" s="6">
        <v>6774.0</v>
      </c>
    </row>
    <row r="2768" ht="56.25" customHeight="1">
      <c r="A2768" s="5" t="s">
        <v>15010</v>
      </c>
      <c r="B2768" s="6" t="str">
        <f>image("https://storage.googleapis.com/acdb/photos/BromideNpcNmlCbr05_Remake_6_0.png")</f>
        <v/>
      </c>
      <c r="C2768" s="5" t="s">
        <v>146</v>
      </c>
      <c r="D2768" s="5" t="s">
        <v>1327</v>
      </c>
      <c r="E2768" s="5" t="s">
        <v>34</v>
      </c>
      <c r="F2768" s="5" t="s">
        <v>34</v>
      </c>
      <c r="G2768" s="5" t="s">
        <v>36</v>
      </c>
      <c r="H2768" s="5" t="s">
        <v>35</v>
      </c>
      <c r="I2768" s="6">
        <v>1.0</v>
      </c>
      <c r="J2768" s="6" t="s">
        <v>37</v>
      </c>
      <c r="K2768" s="6">
        <v>10.0</v>
      </c>
      <c r="L2768" s="5"/>
      <c r="M2768" s="5"/>
      <c r="N2768" s="6" t="s">
        <v>40</v>
      </c>
      <c r="O2768" s="5" t="s">
        <v>5363</v>
      </c>
      <c r="P2768" s="6" t="s">
        <v>42</v>
      </c>
      <c r="Q2768" s="5" t="s">
        <v>1237</v>
      </c>
      <c r="R2768" s="5" t="s">
        <v>15032</v>
      </c>
      <c r="S2768" s="6" t="s">
        <v>86</v>
      </c>
      <c r="T2768" s="6">
        <v>6774.0</v>
      </c>
    </row>
    <row r="2769" ht="56.25" customHeight="1">
      <c r="A2769" s="5" t="s">
        <v>15010</v>
      </c>
      <c r="B2769" s="6" t="str">
        <f>image("https://storage.googleapis.com/acdb/photos/BromideNpcNmlCbr05_Remake_7_0.png")</f>
        <v/>
      </c>
      <c r="C2769" s="5" t="s">
        <v>151</v>
      </c>
      <c r="D2769" s="5" t="s">
        <v>1327</v>
      </c>
      <c r="E2769" s="5" t="s">
        <v>34</v>
      </c>
      <c r="F2769" s="5" t="s">
        <v>34</v>
      </c>
      <c r="G2769" s="5" t="s">
        <v>36</v>
      </c>
      <c r="H2769" s="5" t="s">
        <v>35</v>
      </c>
      <c r="I2769" s="6">
        <v>1.0</v>
      </c>
      <c r="J2769" s="6" t="s">
        <v>37</v>
      </c>
      <c r="K2769" s="6">
        <v>10.0</v>
      </c>
      <c r="L2769" s="5"/>
      <c r="M2769" s="5"/>
      <c r="N2769" s="6" t="s">
        <v>40</v>
      </c>
      <c r="O2769" s="5" t="s">
        <v>5363</v>
      </c>
      <c r="P2769" s="6" t="s">
        <v>42</v>
      </c>
      <c r="Q2769" s="5" t="s">
        <v>1237</v>
      </c>
      <c r="R2769" s="5" t="s">
        <v>15035</v>
      </c>
      <c r="S2769" s="6" t="s">
        <v>208</v>
      </c>
      <c r="T2769" s="6">
        <v>6774.0</v>
      </c>
    </row>
    <row r="2770" ht="56.25" customHeight="1">
      <c r="A2770" s="5" t="s">
        <v>15036</v>
      </c>
      <c r="B2770" s="6" t="str">
        <f>image("https://storage.googleapis.com/acdb/photos/BromideNpcNmlBul03_Remake_0_0.png")</f>
        <v/>
      </c>
      <c r="C2770" s="5" t="s">
        <v>366</v>
      </c>
      <c r="D2770" s="5" t="s">
        <v>1327</v>
      </c>
      <c r="E2770" s="5" t="s">
        <v>34</v>
      </c>
      <c r="F2770" s="5" t="s">
        <v>34</v>
      </c>
      <c r="G2770" s="5" t="s">
        <v>36</v>
      </c>
      <c r="H2770" s="5" t="s">
        <v>35</v>
      </c>
      <c r="I2770" s="6">
        <v>1.0</v>
      </c>
      <c r="J2770" s="6" t="s">
        <v>37</v>
      </c>
      <c r="K2770" s="6">
        <v>10.0</v>
      </c>
      <c r="L2770" s="5"/>
      <c r="M2770" s="5"/>
      <c r="N2770" s="6" t="s">
        <v>40</v>
      </c>
      <c r="O2770" s="5" t="s">
        <v>5363</v>
      </c>
      <c r="P2770" s="6" t="s">
        <v>42</v>
      </c>
      <c r="Q2770" s="5" t="s">
        <v>1237</v>
      </c>
      <c r="R2770" s="5" t="s">
        <v>15038</v>
      </c>
      <c r="S2770" s="6" t="s">
        <v>50</v>
      </c>
      <c r="T2770" s="6">
        <v>6726.0</v>
      </c>
    </row>
    <row r="2771" ht="56.25" customHeight="1">
      <c r="A2771" s="5" t="s">
        <v>15036</v>
      </c>
      <c r="B2771" s="6" t="str">
        <f>image("https://storage.googleapis.com/acdb/photos/BromideNpcNmlBul03_Remake_1_0.png")</f>
        <v/>
      </c>
      <c r="C2771" s="5" t="s">
        <v>1132</v>
      </c>
      <c r="D2771" s="5" t="s">
        <v>1327</v>
      </c>
      <c r="E2771" s="5" t="s">
        <v>34</v>
      </c>
      <c r="F2771" s="5" t="s">
        <v>34</v>
      </c>
      <c r="G2771" s="5" t="s">
        <v>36</v>
      </c>
      <c r="H2771" s="5" t="s">
        <v>35</v>
      </c>
      <c r="I2771" s="6">
        <v>1.0</v>
      </c>
      <c r="J2771" s="6" t="s">
        <v>37</v>
      </c>
      <c r="K2771" s="6">
        <v>10.0</v>
      </c>
      <c r="L2771" s="5"/>
      <c r="M2771" s="5"/>
      <c r="N2771" s="6" t="s">
        <v>40</v>
      </c>
      <c r="O2771" s="5" t="s">
        <v>5363</v>
      </c>
      <c r="P2771" s="6" t="s">
        <v>42</v>
      </c>
      <c r="Q2771" s="5" t="s">
        <v>1237</v>
      </c>
      <c r="R2771" s="5" t="s">
        <v>15040</v>
      </c>
      <c r="S2771" s="6" t="s">
        <v>56</v>
      </c>
      <c r="T2771" s="6">
        <v>6726.0</v>
      </c>
    </row>
    <row r="2772" ht="56.25" customHeight="1">
      <c r="A2772" s="5" t="s">
        <v>15036</v>
      </c>
      <c r="B2772" s="6" t="str">
        <f>image("https://storage.googleapis.com/acdb/photos/BromideNpcNmlBul03_Remake_2_0.png")</f>
        <v/>
      </c>
      <c r="C2772" s="5" t="s">
        <v>688</v>
      </c>
      <c r="D2772" s="5" t="s">
        <v>1327</v>
      </c>
      <c r="E2772" s="5" t="s">
        <v>34</v>
      </c>
      <c r="F2772" s="5" t="s">
        <v>34</v>
      </c>
      <c r="G2772" s="5" t="s">
        <v>36</v>
      </c>
      <c r="H2772" s="5" t="s">
        <v>35</v>
      </c>
      <c r="I2772" s="6">
        <v>1.0</v>
      </c>
      <c r="J2772" s="6" t="s">
        <v>37</v>
      </c>
      <c r="K2772" s="6">
        <v>10.0</v>
      </c>
      <c r="L2772" s="5"/>
      <c r="M2772" s="5"/>
      <c r="N2772" s="6" t="s">
        <v>40</v>
      </c>
      <c r="O2772" s="5" t="s">
        <v>5363</v>
      </c>
      <c r="P2772" s="6" t="s">
        <v>42</v>
      </c>
      <c r="Q2772" s="5" t="s">
        <v>1237</v>
      </c>
      <c r="R2772" s="5" t="s">
        <v>15043</v>
      </c>
      <c r="S2772" s="6" t="s">
        <v>67</v>
      </c>
      <c r="T2772" s="6">
        <v>6726.0</v>
      </c>
    </row>
    <row r="2773" ht="56.25" customHeight="1">
      <c r="A2773" s="5" t="s">
        <v>15036</v>
      </c>
      <c r="B2773" s="6" t="str">
        <f>image("https://storage.googleapis.com/acdb/photos/BromideNpcNmlBul03_Remake_3_0.png")</f>
        <v/>
      </c>
      <c r="C2773" s="5" t="s">
        <v>57</v>
      </c>
      <c r="D2773" s="5" t="s">
        <v>1327</v>
      </c>
      <c r="E2773" s="5" t="s">
        <v>34</v>
      </c>
      <c r="F2773" s="5" t="s">
        <v>34</v>
      </c>
      <c r="G2773" s="5" t="s">
        <v>36</v>
      </c>
      <c r="H2773" s="5" t="s">
        <v>35</v>
      </c>
      <c r="I2773" s="6">
        <v>1.0</v>
      </c>
      <c r="J2773" s="6" t="s">
        <v>37</v>
      </c>
      <c r="K2773" s="6">
        <v>10.0</v>
      </c>
      <c r="L2773" s="5"/>
      <c r="M2773" s="5"/>
      <c r="N2773" s="6" t="s">
        <v>40</v>
      </c>
      <c r="O2773" s="5" t="s">
        <v>5363</v>
      </c>
      <c r="P2773" s="6" t="s">
        <v>42</v>
      </c>
      <c r="Q2773" s="5" t="s">
        <v>1237</v>
      </c>
      <c r="R2773" s="5" t="s">
        <v>15045</v>
      </c>
      <c r="S2773" s="6" t="s">
        <v>71</v>
      </c>
      <c r="T2773" s="6">
        <v>6726.0</v>
      </c>
    </row>
    <row r="2774" ht="56.25" customHeight="1">
      <c r="A2774" s="5" t="s">
        <v>15036</v>
      </c>
      <c r="B2774" s="6" t="str">
        <f>image("https://storage.googleapis.com/acdb/photos/BromideNpcNmlBul03_Remake_4_0.png")</f>
        <v/>
      </c>
      <c r="C2774" s="5" t="s">
        <v>1167</v>
      </c>
      <c r="D2774" s="5" t="s">
        <v>1327</v>
      </c>
      <c r="E2774" s="5" t="s">
        <v>34</v>
      </c>
      <c r="F2774" s="5" t="s">
        <v>34</v>
      </c>
      <c r="G2774" s="5" t="s">
        <v>36</v>
      </c>
      <c r="H2774" s="5" t="s">
        <v>35</v>
      </c>
      <c r="I2774" s="6">
        <v>1.0</v>
      </c>
      <c r="J2774" s="6" t="s">
        <v>37</v>
      </c>
      <c r="K2774" s="6">
        <v>10.0</v>
      </c>
      <c r="L2774" s="5"/>
      <c r="M2774" s="5"/>
      <c r="N2774" s="6" t="s">
        <v>40</v>
      </c>
      <c r="O2774" s="5" t="s">
        <v>5363</v>
      </c>
      <c r="P2774" s="6" t="s">
        <v>42</v>
      </c>
      <c r="Q2774" s="5" t="s">
        <v>1237</v>
      </c>
      <c r="R2774" s="5" t="s">
        <v>15049</v>
      </c>
      <c r="S2774" s="6" t="s">
        <v>75</v>
      </c>
      <c r="T2774" s="6">
        <v>6726.0</v>
      </c>
    </row>
    <row r="2775" ht="56.25" customHeight="1">
      <c r="A2775" s="5" t="s">
        <v>15036</v>
      </c>
      <c r="B2775" s="6" t="str">
        <f>image("https://storage.googleapis.com/acdb/photos/BromideNpcNmlBul03_Remake_5_0.png")</f>
        <v/>
      </c>
      <c r="C2775" s="5" t="s">
        <v>58</v>
      </c>
      <c r="D2775" s="5" t="s">
        <v>1327</v>
      </c>
      <c r="E2775" s="5" t="s">
        <v>34</v>
      </c>
      <c r="F2775" s="5" t="s">
        <v>34</v>
      </c>
      <c r="G2775" s="5" t="s">
        <v>36</v>
      </c>
      <c r="H2775" s="5" t="s">
        <v>35</v>
      </c>
      <c r="I2775" s="6">
        <v>1.0</v>
      </c>
      <c r="J2775" s="6" t="s">
        <v>37</v>
      </c>
      <c r="K2775" s="6">
        <v>10.0</v>
      </c>
      <c r="L2775" s="5"/>
      <c r="M2775" s="5"/>
      <c r="N2775" s="6" t="s">
        <v>40</v>
      </c>
      <c r="O2775" s="5" t="s">
        <v>5363</v>
      </c>
      <c r="P2775" s="6" t="s">
        <v>42</v>
      </c>
      <c r="Q2775" s="5" t="s">
        <v>1237</v>
      </c>
      <c r="R2775" s="5" t="s">
        <v>15052</v>
      </c>
      <c r="S2775" s="6" t="s">
        <v>79</v>
      </c>
      <c r="T2775" s="6">
        <v>6726.0</v>
      </c>
    </row>
    <row r="2776" ht="56.25" customHeight="1">
      <c r="A2776" s="5" t="s">
        <v>15036</v>
      </c>
      <c r="B2776" s="6" t="str">
        <f>image("https://storage.googleapis.com/acdb/photos/BromideNpcNmlBul03_Remake_6_0.png")</f>
        <v/>
      </c>
      <c r="C2776" s="5" t="s">
        <v>146</v>
      </c>
      <c r="D2776" s="5" t="s">
        <v>1327</v>
      </c>
      <c r="E2776" s="5" t="s">
        <v>34</v>
      </c>
      <c r="F2776" s="5" t="s">
        <v>34</v>
      </c>
      <c r="G2776" s="5" t="s">
        <v>36</v>
      </c>
      <c r="H2776" s="5" t="s">
        <v>35</v>
      </c>
      <c r="I2776" s="6">
        <v>1.0</v>
      </c>
      <c r="J2776" s="6" t="s">
        <v>37</v>
      </c>
      <c r="K2776" s="6">
        <v>10.0</v>
      </c>
      <c r="L2776" s="5"/>
      <c r="M2776" s="5"/>
      <c r="N2776" s="6" t="s">
        <v>40</v>
      </c>
      <c r="O2776" s="5" t="s">
        <v>5363</v>
      </c>
      <c r="P2776" s="6" t="s">
        <v>42</v>
      </c>
      <c r="Q2776" s="5" t="s">
        <v>1237</v>
      </c>
      <c r="R2776" s="5" t="s">
        <v>15055</v>
      </c>
      <c r="S2776" s="6" t="s">
        <v>86</v>
      </c>
      <c r="T2776" s="6">
        <v>6726.0</v>
      </c>
    </row>
    <row r="2777" ht="56.25" customHeight="1">
      <c r="A2777" s="5" t="s">
        <v>15036</v>
      </c>
      <c r="B2777" s="6" t="str">
        <f>image("https://storage.googleapis.com/acdb/photos/BromideNpcNmlBul03_Remake_7_0.png")</f>
        <v/>
      </c>
      <c r="C2777" s="5" t="s">
        <v>151</v>
      </c>
      <c r="D2777" s="5" t="s">
        <v>1327</v>
      </c>
      <c r="E2777" s="5" t="s">
        <v>34</v>
      </c>
      <c r="F2777" s="5" t="s">
        <v>34</v>
      </c>
      <c r="G2777" s="5" t="s">
        <v>36</v>
      </c>
      <c r="H2777" s="5" t="s">
        <v>35</v>
      </c>
      <c r="I2777" s="6">
        <v>1.0</v>
      </c>
      <c r="J2777" s="6" t="s">
        <v>37</v>
      </c>
      <c r="K2777" s="6">
        <v>10.0</v>
      </c>
      <c r="L2777" s="5"/>
      <c r="M2777" s="5"/>
      <c r="N2777" s="6" t="s">
        <v>40</v>
      </c>
      <c r="O2777" s="5" t="s">
        <v>5363</v>
      </c>
      <c r="P2777" s="6" t="s">
        <v>42</v>
      </c>
      <c r="Q2777" s="5" t="s">
        <v>1237</v>
      </c>
      <c r="R2777" s="5" t="s">
        <v>15059</v>
      </c>
      <c r="S2777" s="6" t="s">
        <v>208</v>
      </c>
      <c r="T2777" s="6">
        <v>6726.0</v>
      </c>
    </row>
    <row r="2778" ht="56.25" customHeight="1">
      <c r="A2778" s="5" t="s">
        <v>15060</v>
      </c>
      <c r="B2778" s="6" t="str">
        <f>image("https://storage.googleapis.com/acdb/photos/BromideNpcNmlKal03_Remake_0_0.png")</f>
        <v/>
      </c>
      <c r="C2778" s="5" t="s">
        <v>366</v>
      </c>
      <c r="D2778" s="5" t="s">
        <v>1327</v>
      </c>
      <c r="E2778" s="5" t="s">
        <v>34</v>
      </c>
      <c r="F2778" s="5" t="s">
        <v>34</v>
      </c>
      <c r="G2778" s="5" t="s">
        <v>36</v>
      </c>
      <c r="H2778" s="5" t="s">
        <v>35</v>
      </c>
      <c r="I2778" s="6">
        <v>1.0</v>
      </c>
      <c r="J2778" s="6" t="s">
        <v>37</v>
      </c>
      <c r="K2778" s="6">
        <v>10.0</v>
      </c>
      <c r="L2778" s="5"/>
      <c r="M2778" s="5"/>
      <c r="N2778" s="6" t="s">
        <v>40</v>
      </c>
      <c r="O2778" s="5" t="s">
        <v>5363</v>
      </c>
      <c r="P2778" s="6" t="s">
        <v>42</v>
      </c>
      <c r="Q2778" s="5" t="s">
        <v>1237</v>
      </c>
      <c r="R2778" s="5" t="s">
        <v>15065</v>
      </c>
      <c r="S2778" s="6" t="s">
        <v>50</v>
      </c>
      <c r="T2778" s="6">
        <v>6557.0</v>
      </c>
    </row>
    <row r="2779" ht="56.25" customHeight="1">
      <c r="A2779" s="5" t="s">
        <v>15060</v>
      </c>
      <c r="B2779" s="6" t="str">
        <f>image("https://storage.googleapis.com/acdb/photos/BromideNpcNmlKal03_Remake_1_0.png")</f>
        <v/>
      </c>
      <c r="C2779" s="5" t="s">
        <v>1132</v>
      </c>
      <c r="D2779" s="5" t="s">
        <v>1327</v>
      </c>
      <c r="E2779" s="5" t="s">
        <v>34</v>
      </c>
      <c r="F2779" s="5" t="s">
        <v>34</v>
      </c>
      <c r="G2779" s="5" t="s">
        <v>36</v>
      </c>
      <c r="H2779" s="5" t="s">
        <v>35</v>
      </c>
      <c r="I2779" s="6">
        <v>1.0</v>
      </c>
      <c r="J2779" s="6" t="s">
        <v>37</v>
      </c>
      <c r="K2779" s="6">
        <v>10.0</v>
      </c>
      <c r="L2779" s="5"/>
      <c r="M2779" s="5"/>
      <c r="N2779" s="6" t="s">
        <v>40</v>
      </c>
      <c r="O2779" s="5" t="s">
        <v>5363</v>
      </c>
      <c r="P2779" s="6" t="s">
        <v>42</v>
      </c>
      <c r="Q2779" s="5" t="s">
        <v>1237</v>
      </c>
      <c r="R2779" s="5" t="s">
        <v>15068</v>
      </c>
      <c r="S2779" s="6" t="s">
        <v>56</v>
      </c>
      <c r="T2779" s="6">
        <v>6557.0</v>
      </c>
    </row>
    <row r="2780" ht="56.25" customHeight="1">
      <c r="A2780" s="5" t="s">
        <v>15060</v>
      </c>
      <c r="B2780" s="6" t="str">
        <f>image("https://storage.googleapis.com/acdb/photos/BromideNpcNmlKal03_Remake_2_0.png")</f>
        <v/>
      </c>
      <c r="C2780" s="5" t="s">
        <v>688</v>
      </c>
      <c r="D2780" s="5" t="s">
        <v>1327</v>
      </c>
      <c r="E2780" s="5" t="s">
        <v>34</v>
      </c>
      <c r="F2780" s="5" t="s">
        <v>34</v>
      </c>
      <c r="G2780" s="5" t="s">
        <v>36</v>
      </c>
      <c r="H2780" s="5" t="s">
        <v>35</v>
      </c>
      <c r="I2780" s="6">
        <v>1.0</v>
      </c>
      <c r="J2780" s="6" t="s">
        <v>37</v>
      </c>
      <c r="K2780" s="6">
        <v>10.0</v>
      </c>
      <c r="L2780" s="5"/>
      <c r="M2780" s="5"/>
      <c r="N2780" s="6" t="s">
        <v>40</v>
      </c>
      <c r="O2780" s="5" t="s">
        <v>5363</v>
      </c>
      <c r="P2780" s="6" t="s">
        <v>42</v>
      </c>
      <c r="Q2780" s="5" t="s">
        <v>1237</v>
      </c>
      <c r="R2780" s="5" t="s">
        <v>15070</v>
      </c>
      <c r="S2780" s="6" t="s">
        <v>67</v>
      </c>
      <c r="T2780" s="6">
        <v>6557.0</v>
      </c>
    </row>
    <row r="2781" ht="56.25" customHeight="1">
      <c r="A2781" s="5" t="s">
        <v>15060</v>
      </c>
      <c r="B2781" s="6" t="str">
        <f>image("https://storage.googleapis.com/acdb/photos/BromideNpcNmlKal03_Remake_3_0.png")</f>
        <v/>
      </c>
      <c r="C2781" s="5" t="s">
        <v>57</v>
      </c>
      <c r="D2781" s="5" t="s">
        <v>1327</v>
      </c>
      <c r="E2781" s="5" t="s">
        <v>34</v>
      </c>
      <c r="F2781" s="5" t="s">
        <v>34</v>
      </c>
      <c r="G2781" s="5" t="s">
        <v>36</v>
      </c>
      <c r="H2781" s="5" t="s">
        <v>35</v>
      </c>
      <c r="I2781" s="6">
        <v>1.0</v>
      </c>
      <c r="J2781" s="6" t="s">
        <v>37</v>
      </c>
      <c r="K2781" s="6">
        <v>10.0</v>
      </c>
      <c r="L2781" s="5"/>
      <c r="M2781" s="5"/>
      <c r="N2781" s="6" t="s">
        <v>40</v>
      </c>
      <c r="O2781" s="5" t="s">
        <v>5363</v>
      </c>
      <c r="P2781" s="6" t="s">
        <v>42</v>
      </c>
      <c r="Q2781" s="5" t="s">
        <v>1237</v>
      </c>
      <c r="R2781" s="5" t="s">
        <v>15073</v>
      </c>
      <c r="S2781" s="6" t="s">
        <v>71</v>
      </c>
      <c r="T2781" s="6">
        <v>6557.0</v>
      </c>
    </row>
    <row r="2782" ht="56.25" customHeight="1">
      <c r="A2782" s="5" t="s">
        <v>15060</v>
      </c>
      <c r="B2782" s="6" t="str">
        <f>image("https://storage.googleapis.com/acdb/photos/BromideNpcNmlKal03_Remake_4_0.png")</f>
        <v/>
      </c>
      <c r="C2782" s="5" t="s">
        <v>1167</v>
      </c>
      <c r="D2782" s="5" t="s">
        <v>1327</v>
      </c>
      <c r="E2782" s="5" t="s">
        <v>34</v>
      </c>
      <c r="F2782" s="5" t="s">
        <v>34</v>
      </c>
      <c r="G2782" s="5" t="s">
        <v>36</v>
      </c>
      <c r="H2782" s="5" t="s">
        <v>35</v>
      </c>
      <c r="I2782" s="6">
        <v>1.0</v>
      </c>
      <c r="J2782" s="6" t="s">
        <v>37</v>
      </c>
      <c r="K2782" s="6">
        <v>10.0</v>
      </c>
      <c r="L2782" s="5"/>
      <c r="M2782" s="5"/>
      <c r="N2782" s="6" t="s">
        <v>40</v>
      </c>
      <c r="O2782" s="5" t="s">
        <v>5363</v>
      </c>
      <c r="P2782" s="6" t="s">
        <v>42</v>
      </c>
      <c r="Q2782" s="5" t="s">
        <v>1237</v>
      </c>
      <c r="R2782" s="5" t="s">
        <v>15076</v>
      </c>
      <c r="S2782" s="6" t="s">
        <v>75</v>
      </c>
      <c r="T2782" s="6">
        <v>6557.0</v>
      </c>
    </row>
    <row r="2783" ht="56.25" customHeight="1">
      <c r="A2783" s="5" t="s">
        <v>15060</v>
      </c>
      <c r="B2783" s="6" t="str">
        <f>image("https://storage.googleapis.com/acdb/photos/BromideNpcNmlKal03_Remake_5_0.png")</f>
        <v/>
      </c>
      <c r="C2783" s="5" t="s">
        <v>58</v>
      </c>
      <c r="D2783" s="5" t="s">
        <v>1327</v>
      </c>
      <c r="E2783" s="5" t="s">
        <v>34</v>
      </c>
      <c r="F2783" s="5" t="s">
        <v>34</v>
      </c>
      <c r="G2783" s="5" t="s">
        <v>36</v>
      </c>
      <c r="H2783" s="5" t="s">
        <v>35</v>
      </c>
      <c r="I2783" s="6">
        <v>1.0</v>
      </c>
      <c r="J2783" s="6" t="s">
        <v>37</v>
      </c>
      <c r="K2783" s="6">
        <v>10.0</v>
      </c>
      <c r="L2783" s="5"/>
      <c r="M2783" s="5"/>
      <c r="N2783" s="6" t="s">
        <v>40</v>
      </c>
      <c r="O2783" s="5" t="s">
        <v>5363</v>
      </c>
      <c r="P2783" s="6" t="s">
        <v>42</v>
      </c>
      <c r="Q2783" s="5" t="s">
        <v>1237</v>
      </c>
      <c r="R2783" s="5" t="s">
        <v>15079</v>
      </c>
      <c r="S2783" s="6" t="s">
        <v>79</v>
      </c>
      <c r="T2783" s="6">
        <v>6557.0</v>
      </c>
    </row>
    <row r="2784" ht="56.25" customHeight="1">
      <c r="A2784" s="5" t="s">
        <v>15060</v>
      </c>
      <c r="B2784" s="6" t="str">
        <f>image("https://storage.googleapis.com/acdb/photos/BromideNpcNmlKal03_Remake_6_0.png")</f>
        <v/>
      </c>
      <c r="C2784" s="5" t="s">
        <v>146</v>
      </c>
      <c r="D2784" s="5" t="s">
        <v>1327</v>
      </c>
      <c r="E2784" s="5" t="s">
        <v>34</v>
      </c>
      <c r="F2784" s="5" t="s">
        <v>34</v>
      </c>
      <c r="G2784" s="5" t="s">
        <v>36</v>
      </c>
      <c r="H2784" s="5" t="s">
        <v>35</v>
      </c>
      <c r="I2784" s="6">
        <v>1.0</v>
      </c>
      <c r="J2784" s="6" t="s">
        <v>37</v>
      </c>
      <c r="K2784" s="6">
        <v>10.0</v>
      </c>
      <c r="L2784" s="5"/>
      <c r="M2784" s="5"/>
      <c r="N2784" s="6" t="s">
        <v>40</v>
      </c>
      <c r="O2784" s="5" t="s">
        <v>5363</v>
      </c>
      <c r="P2784" s="6" t="s">
        <v>42</v>
      </c>
      <c r="Q2784" s="5" t="s">
        <v>1237</v>
      </c>
      <c r="R2784" s="5" t="s">
        <v>15082</v>
      </c>
      <c r="S2784" s="6" t="s">
        <v>86</v>
      </c>
      <c r="T2784" s="6">
        <v>6557.0</v>
      </c>
    </row>
    <row r="2785" ht="56.25" customHeight="1">
      <c r="A2785" s="5" t="s">
        <v>15060</v>
      </c>
      <c r="B2785" s="6" t="str">
        <f>image("https://storage.googleapis.com/acdb/photos/BromideNpcNmlKal03_Remake_7_0.png")</f>
        <v/>
      </c>
      <c r="C2785" s="5" t="s">
        <v>151</v>
      </c>
      <c r="D2785" s="5" t="s">
        <v>1327</v>
      </c>
      <c r="E2785" s="5" t="s">
        <v>34</v>
      </c>
      <c r="F2785" s="5" t="s">
        <v>34</v>
      </c>
      <c r="G2785" s="5" t="s">
        <v>36</v>
      </c>
      <c r="H2785" s="5" t="s">
        <v>35</v>
      </c>
      <c r="I2785" s="6">
        <v>1.0</v>
      </c>
      <c r="J2785" s="6" t="s">
        <v>37</v>
      </c>
      <c r="K2785" s="6">
        <v>10.0</v>
      </c>
      <c r="L2785" s="5"/>
      <c r="M2785" s="5"/>
      <c r="N2785" s="6" t="s">
        <v>40</v>
      </c>
      <c r="O2785" s="5" t="s">
        <v>5363</v>
      </c>
      <c r="P2785" s="6" t="s">
        <v>42</v>
      </c>
      <c r="Q2785" s="5" t="s">
        <v>1237</v>
      </c>
      <c r="R2785" s="5" t="s">
        <v>15086</v>
      </c>
      <c r="S2785" s="6" t="s">
        <v>208</v>
      </c>
      <c r="T2785" s="6">
        <v>6557.0</v>
      </c>
    </row>
    <row r="2786" ht="56.25" customHeight="1">
      <c r="A2786" s="5" t="s">
        <v>15087</v>
      </c>
      <c r="B2786" s="6" t="str">
        <f>image("https://storage.googleapis.com/acdb/photos/BromideNpcNmlSqu14_Remake_0_0.png")</f>
        <v/>
      </c>
      <c r="C2786" s="5" t="s">
        <v>366</v>
      </c>
      <c r="D2786" s="5" t="s">
        <v>1327</v>
      </c>
      <c r="E2786" s="5" t="s">
        <v>34</v>
      </c>
      <c r="F2786" s="5" t="s">
        <v>34</v>
      </c>
      <c r="G2786" s="5" t="s">
        <v>36</v>
      </c>
      <c r="H2786" s="5" t="s">
        <v>35</v>
      </c>
      <c r="I2786" s="6">
        <v>1.0</v>
      </c>
      <c r="J2786" s="6" t="s">
        <v>37</v>
      </c>
      <c r="K2786" s="6">
        <v>10.0</v>
      </c>
      <c r="L2786" s="5"/>
      <c r="M2786" s="5"/>
      <c r="N2786" s="6" t="s">
        <v>40</v>
      </c>
      <c r="O2786" s="5" t="s">
        <v>5363</v>
      </c>
      <c r="P2786" s="6" t="s">
        <v>42</v>
      </c>
      <c r="Q2786" s="5" t="s">
        <v>1237</v>
      </c>
      <c r="R2786" s="5" t="s">
        <v>15088</v>
      </c>
      <c r="S2786" s="6" t="s">
        <v>50</v>
      </c>
      <c r="T2786" s="6">
        <v>6718.0</v>
      </c>
    </row>
    <row r="2787" ht="56.25" customHeight="1">
      <c r="A2787" s="5" t="s">
        <v>15087</v>
      </c>
      <c r="B2787" s="6" t="str">
        <f>image("https://storage.googleapis.com/acdb/photos/BromideNpcNmlSqu14_Remake_1_0.png")</f>
        <v/>
      </c>
      <c r="C2787" s="5" t="s">
        <v>1132</v>
      </c>
      <c r="D2787" s="5" t="s">
        <v>1327</v>
      </c>
      <c r="E2787" s="5" t="s">
        <v>34</v>
      </c>
      <c r="F2787" s="5" t="s">
        <v>34</v>
      </c>
      <c r="G2787" s="5" t="s">
        <v>36</v>
      </c>
      <c r="H2787" s="5" t="s">
        <v>35</v>
      </c>
      <c r="I2787" s="6">
        <v>1.0</v>
      </c>
      <c r="J2787" s="6" t="s">
        <v>37</v>
      </c>
      <c r="K2787" s="6">
        <v>10.0</v>
      </c>
      <c r="L2787" s="5"/>
      <c r="M2787" s="5"/>
      <c r="N2787" s="6" t="s">
        <v>40</v>
      </c>
      <c r="O2787" s="5" t="s">
        <v>5363</v>
      </c>
      <c r="P2787" s="6" t="s">
        <v>42</v>
      </c>
      <c r="Q2787" s="5" t="s">
        <v>1237</v>
      </c>
      <c r="R2787" s="5" t="s">
        <v>15092</v>
      </c>
      <c r="S2787" s="6" t="s">
        <v>56</v>
      </c>
      <c r="T2787" s="6">
        <v>6718.0</v>
      </c>
    </row>
    <row r="2788" ht="56.25" customHeight="1">
      <c r="A2788" s="5" t="s">
        <v>15087</v>
      </c>
      <c r="B2788" s="6" t="str">
        <f>image("https://storage.googleapis.com/acdb/photos/BromideNpcNmlSqu14_Remake_2_0.png")</f>
        <v/>
      </c>
      <c r="C2788" s="5" t="s">
        <v>688</v>
      </c>
      <c r="D2788" s="5" t="s">
        <v>1327</v>
      </c>
      <c r="E2788" s="5" t="s">
        <v>34</v>
      </c>
      <c r="F2788" s="5" t="s">
        <v>34</v>
      </c>
      <c r="G2788" s="5" t="s">
        <v>36</v>
      </c>
      <c r="H2788" s="5" t="s">
        <v>35</v>
      </c>
      <c r="I2788" s="6">
        <v>1.0</v>
      </c>
      <c r="J2788" s="6" t="s">
        <v>37</v>
      </c>
      <c r="K2788" s="6">
        <v>10.0</v>
      </c>
      <c r="L2788" s="5"/>
      <c r="M2788" s="5"/>
      <c r="N2788" s="6" t="s">
        <v>40</v>
      </c>
      <c r="O2788" s="5" t="s">
        <v>5363</v>
      </c>
      <c r="P2788" s="6" t="s">
        <v>42</v>
      </c>
      <c r="Q2788" s="5" t="s">
        <v>1237</v>
      </c>
      <c r="R2788" s="5" t="s">
        <v>15095</v>
      </c>
      <c r="S2788" s="6" t="s">
        <v>67</v>
      </c>
      <c r="T2788" s="6">
        <v>6718.0</v>
      </c>
    </row>
    <row r="2789" ht="56.25" customHeight="1">
      <c r="A2789" s="5" t="s">
        <v>15087</v>
      </c>
      <c r="B2789" s="6" t="str">
        <f>image("https://storage.googleapis.com/acdb/photos/BromideNpcNmlSqu14_Remake_3_0.png")</f>
        <v/>
      </c>
      <c r="C2789" s="5" t="s">
        <v>57</v>
      </c>
      <c r="D2789" s="5" t="s">
        <v>1327</v>
      </c>
      <c r="E2789" s="5" t="s">
        <v>34</v>
      </c>
      <c r="F2789" s="5" t="s">
        <v>34</v>
      </c>
      <c r="G2789" s="5" t="s">
        <v>36</v>
      </c>
      <c r="H2789" s="5" t="s">
        <v>35</v>
      </c>
      <c r="I2789" s="6">
        <v>1.0</v>
      </c>
      <c r="J2789" s="6" t="s">
        <v>37</v>
      </c>
      <c r="K2789" s="6">
        <v>10.0</v>
      </c>
      <c r="L2789" s="5"/>
      <c r="M2789" s="5"/>
      <c r="N2789" s="6" t="s">
        <v>40</v>
      </c>
      <c r="O2789" s="5" t="s">
        <v>5363</v>
      </c>
      <c r="P2789" s="6" t="s">
        <v>42</v>
      </c>
      <c r="Q2789" s="5" t="s">
        <v>1237</v>
      </c>
      <c r="R2789" s="5" t="s">
        <v>15097</v>
      </c>
      <c r="S2789" s="6" t="s">
        <v>71</v>
      </c>
      <c r="T2789" s="6">
        <v>6718.0</v>
      </c>
    </row>
    <row r="2790" ht="56.25" customHeight="1">
      <c r="A2790" s="5" t="s">
        <v>15087</v>
      </c>
      <c r="B2790" s="6" t="str">
        <f>image("https://storage.googleapis.com/acdb/photos/BromideNpcNmlSqu14_Remake_4_0.png")</f>
        <v/>
      </c>
      <c r="C2790" s="5" t="s">
        <v>1167</v>
      </c>
      <c r="D2790" s="5" t="s">
        <v>1327</v>
      </c>
      <c r="E2790" s="5" t="s">
        <v>34</v>
      </c>
      <c r="F2790" s="5" t="s">
        <v>34</v>
      </c>
      <c r="G2790" s="5" t="s">
        <v>36</v>
      </c>
      <c r="H2790" s="5" t="s">
        <v>35</v>
      </c>
      <c r="I2790" s="6">
        <v>1.0</v>
      </c>
      <c r="J2790" s="6" t="s">
        <v>37</v>
      </c>
      <c r="K2790" s="6">
        <v>10.0</v>
      </c>
      <c r="L2790" s="5"/>
      <c r="M2790" s="5"/>
      <c r="N2790" s="6" t="s">
        <v>40</v>
      </c>
      <c r="O2790" s="5" t="s">
        <v>5363</v>
      </c>
      <c r="P2790" s="6" t="s">
        <v>42</v>
      </c>
      <c r="Q2790" s="5" t="s">
        <v>1237</v>
      </c>
      <c r="R2790" s="5" t="s">
        <v>15100</v>
      </c>
      <c r="S2790" s="6" t="s">
        <v>75</v>
      </c>
      <c r="T2790" s="6">
        <v>6718.0</v>
      </c>
    </row>
    <row r="2791" ht="56.25" customHeight="1">
      <c r="A2791" s="5" t="s">
        <v>15087</v>
      </c>
      <c r="B2791" s="6" t="str">
        <f>image("https://storage.googleapis.com/acdb/photos/BromideNpcNmlSqu14_Remake_5_0.png")</f>
        <v/>
      </c>
      <c r="C2791" s="5" t="s">
        <v>58</v>
      </c>
      <c r="D2791" s="5" t="s">
        <v>1327</v>
      </c>
      <c r="E2791" s="5" t="s">
        <v>34</v>
      </c>
      <c r="F2791" s="5" t="s">
        <v>34</v>
      </c>
      <c r="G2791" s="5" t="s">
        <v>36</v>
      </c>
      <c r="H2791" s="5" t="s">
        <v>35</v>
      </c>
      <c r="I2791" s="6">
        <v>1.0</v>
      </c>
      <c r="J2791" s="6" t="s">
        <v>37</v>
      </c>
      <c r="K2791" s="6">
        <v>10.0</v>
      </c>
      <c r="L2791" s="5"/>
      <c r="M2791" s="5"/>
      <c r="N2791" s="6" t="s">
        <v>40</v>
      </c>
      <c r="O2791" s="5" t="s">
        <v>5363</v>
      </c>
      <c r="P2791" s="6" t="s">
        <v>42</v>
      </c>
      <c r="Q2791" s="5" t="s">
        <v>1237</v>
      </c>
      <c r="R2791" s="5" t="s">
        <v>15101</v>
      </c>
      <c r="S2791" s="6" t="s">
        <v>79</v>
      </c>
      <c r="T2791" s="6">
        <v>6718.0</v>
      </c>
    </row>
    <row r="2792" ht="56.25" customHeight="1">
      <c r="A2792" s="5" t="s">
        <v>15087</v>
      </c>
      <c r="B2792" s="6" t="str">
        <f>image("https://storage.googleapis.com/acdb/photos/BromideNpcNmlSqu14_Remake_6_0.png")</f>
        <v/>
      </c>
      <c r="C2792" s="5" t="s">
        <v>146</v>
      </c>
      <c r="D2792" s="5" t="s">
        <v>1327</v>
      </c>
      <c r="E2792" s="5" t="s">
        <v>34</v>
      </c>
      <c r="F2792" s="5" t="s">
        <v>34</v>
      </c>
      <c r="G2792" s="5" t="s">
        <v>36</v>
      </c>
      <c r="H2792" s="5" t="s">
        <v>35</v>
      </c>
      <c r="I2792" s="6">
        <v>1.0</v>
      </c>
      <c r="J2792" s="6" t="s">
        <v>37</v>
      </c>
      <c r="K2792" s="6">
        <v>10.0</v>
      </c>
      <c r="L2792" s="5"/>
      <c r="M2792" s="5"/>
      <c r="N2792" s="6" t="s">
        <v>40</v>
      </c>
      <c r="O2792" s="5" t="s">
        <v>5363</v>
      </c>
      <c r="P2792" s="6" t="s">
        <v>42</v>
      </c>
      <c r="Q2792" s="5" t="s">
        <v>1237</v>
      </c>
      <c r="R2792" s="5" t="s">
        <v>15104</v>
      </c>
      <c r="S2792" s="6" t="s">
        <v>86</v>
      </c>
      <c r="T2792" s="6">
        <v>6718.0</v>
      </c>
    </row>
    <row r="2793" ht="56.25" customHeight="1">
      <c r="A2793" s="5" t="s">
        <v>15087</v>
      </c>
      <c r="B2793" s="6" t="str">
        <f>image("https://storage.googleapis.com/acdb/photos/BromideNpcNmlSqu14_Remake_7_0.png")</f>
        <v/>
      </c>
      <c r="C2793" s="5" t="s">
        <v>151</v>
      </c>
      <c r="D2793" s="5" t="s">
        <v>1327</v>
      </c>
      <c r="E2793" s="5" t="s">
        <v>34</v>
      </c>
      <c r="F2793" s="5" t="s">
        <v>34</v>
      </c>
      <c r="G2793" s="5" t="s">
        <v>36</v>
      </c>
      <c r="H2793" s="5" t="s">
        <v>35</v>
      </c>
      <c r="I2793" s="6">
        <v>1.0</v>
      </c>
      <c r="J2793" s="6" t="s">
        <v>37</v>
      </c>
      <c r="K2793" s="6">
        <v>10.0</v>
      </c>
      <c r="L2793" s="5"/>
      <c r="M2793" s="5"/>
      <c r="N2793" s="6" t="s">
        <v>40</v>
      </c>
      <c r="O2793" s="5" t="s">
        <v>5363</v>
      </c>
      <c r="P2793" s="6" t="s">
        <v>42</v>
      </c>
      <c r="Q2793" s="5" t="s">
        <v>1237</v>
      </c>
      <c r="R2793" s="5" t="s">
        <v>15105</v>
      </c>
      <c r="S2793" s="6" t="s">
        <v>208</v>
      </c>
      <c r="T2793" s="6">
        <v>6718.0</v>
      </c>
    </row>
    <row r="2794" ht="56.25" customHeight="1">
      <c r="A2794" s="5" t="s">
        <v>15106</v>
      </c>
      <c r="B2794" s="6" t="str">
        <f>image("https://storage.googleapis.com/acdb/photos/BromideNpcNmlKgr06_Remake_0_0.png")</f>
        <v/>
      </c>
      <c r="C2794" s="5" t="s">
        <v>366</v>
      </c>
      <c r="D2794" s="5" t="s">
        <v>1327</v>
      </c>
      <c r="E2794" s="5" t="s">
        <v>34</v>
      </c>
      <c r="F2794" s="5" t="s">
        <v>34</v>
      </c>
      <c r="G2794" s="5" t="s">
        <v>36</v>
      </c>
      <c r="H2794" s="5" t="s">
        <v>35</v>
      </c>
      <c r="I2794" s="6">
        <v>1.0</v>
      </c>
      <c r="J2794" s="6" t="s">
        <v>37</v>
      </c>
      <c r="K2794" s="6">
        <v>10.0</v>
      </c>
      <c r="L2794" s="5"/>
      <c r="M2794" s="5"/>
      <c r="N2794" s="6" t="s">
        <v>40</v>
      </c>
      <c r="O2794" s="5" t="s">
        <v>5363</v>
      </c>
      <c r="P2794" s="6" t="s">
        <v>42</v>
      </c>
      <c r="Q2794" s="5" t="s">
        <v>1237</v>
      </c>
      <c r="R2794" s="5" t="s">
        <v>15109</v>
      </c>
      <c r="S2794" s="6" t="s">
        <v>50</v>
      </c>
      <c r="T2794" s="6">
        <v>6568.0</v>
      </c>
    </row>
    <row r="2795" ht="56.25" customHeight="1">
      <c r="A2795" s="5" t="s">
        <v>15106</v>
      </c>
      <c r="B2795" s="6" t="str">
        <f>image("https://storage.googleapis.com/acdb/photos/BromideNpcNmlKgr06_Remake_1_0.png")</f>
        <v/>
      </c>
      <c r="C2795" s="5" t="s">
        <v>1132</v>
      </c>
      <c r="D2795" s="5" t="s">
        <v>1327</v>
      </c>
      <c r="E2795" s="5" t="s">
        <v>34</v>
      </c>
      <c r="F2795" s="5" t="s">
        <v>34</v>
      </c>
      <c r="G2795" s="5" t="s">
        <v>36</v>
      </c>
      <c r="H2795" s="5" t="s">
        <v>35</v>
      </c>
      <c r="I2795" s="6">
        <v>1.0</v>
      </c>
      <c r="J2795" s="6" t="s">
        <v>37</v>
      </c>
      <c r="K2795" s="6">
        <v>10.0</v>
      </c>
      <c r="L2795" s="5"/>
      <c r="M2795" s="5"/>
      <c r="N2795" s="6" t="s">
        <v>40</v>
      </c>
      <c r="O2795" s="5" t="s">
        <v>5363</v>
      </c>
      <c r="P2795" s="6" t="s">
        <v>42</v>
      </c>
      <c r="Q2795" s="5" t="s">
        <v>1237</v>
      </c>
      <c r="R2795" s="5" t="s">
        <v>15112</v>
      </c>
      <c r="S2795" s="6" t="s">
        <v>56</v>
      </c>
      <c r="T2795" s="6">
        <v>6568.0</v>
      </c>
    </row>
    <row r="2796" ht="56.25" customHeight="1">
      <c r="A2796" s="5" t="s">
        <v>15106</v>
      </c>
      <c r="B2796" s="6" t="str">
        <f>image("https://storage.googleapis.com/acdb/photos/BromideNpcNmlKgr06_Remake_2_0.png")</f>
        <v/>
      </c>
      <c r="C2796" s="5" t="s">
        <v>688</v>
      </c>
      <c r="D2796" s="5" t="s">
        <v>1327</v>
      </c>
      <c r="E2796" s="5" t="s">
        <v>34</v>
      </c>
      <c r="F2796" s="5" t="s">
        <v>34</v>
      </c>
      <c r="G2796" s="5" t="s">
        <v>36</v>
      </c>
      <c r="H2796" s="5" t="s">
        <v>35</v>
      </c>
      <c r="I2796" s="6">
        <v>1.0</v>
      </c>
      <c r="J2796" s="6" t="s">
        <v>37</v>
      </c>
      <c r="K2796" s="6">
        <v>10.0</v>
      </c>
      <c r="L2796" s="5"/>
      <c r="M2796" s="5"/>
      <c r="N2796" s="6" t="s">
        <v>40</v>
      </c>
      <c r="O2796" s="5" t="s">
        <v>5363</v>
      </c>
      <c r="P2796" s="6" t="s">
        <v>42</v>
      </c>
      <c r="Q2796" s="5" t="s">
        <v>1237</v>
      </c>
      <c r="R2796" s="5" t="s">
        <v>15116</v>
      </c>
      <c r="S2796" s="6" t="s">
        <v>67</v>
      </c>
      <c r="T2796" s="6">
        <v>6568.0</v>
      </c>
    </row>
    <row r="2797" ht="56.25" customHeight="1">
      <c r="A2797" s="5" t="s">
        <v>15106</v>
      </c>
      <c r="B2797" s="6" t="str">
        <f>image("https://storage.googleapis.com/acdb/photos/BromideNpcNmlKgr06_Remake_3_0.png")</f>
        <v/>
      </c>
      <c r="C2797" s="5" t="s">
        <v>57</v>
      </c>
      <c r="D2797" s="5" t="s">
        <v>1327</v>
      </c>
      <c r="E2797" s="5" t="s">
        <v>34</v>
      </c>
      <c r="F2797" s="5" t="s">
        <v>34</v>
      </c>
      <c r="G2797" s="5" t="s">
        <v>36</v>
      </c>
      <c r="H2797" s="5" t="s">
        <v>35</v>
      </c>
      <c r="I2797" s="6">
        <v>1.0</v>
      </c>
      <c r="J2797" s="6" t="s">
        <v>37</v>
      </c>
      <c r="K2797" s="6">
        <v>10.0</v>
      </c>
      <c r="L2797" s="5"/>
      <c r="M2797" s="5"/>
      <c r="N2797" s="6" t="s">
        <v>40</v>
      </c>
      <c r="O2797" s="5" t="s">
        <v>5363</v>
      </c>
      <c r="P2797" s="6" t="s">
        <v>42</v>
      </c>
      <c r="Q2797" s="5" t="s">
        <v>1237</v>
      </c>
      <c r="R2797" s="5" t="s">
        <v>15119</v>
      </c>
      <c r="S2797" s="6" t="s">
        <v>71</v>
      </c>
      <c r="T2797" s="6">
        <v>6568.0</v>
      </c>
    </row>
    <row r="2798" ht="56.25" customHeight="1">
      <c r="A2798" s="5" t="s">
        <v>15106</v>
      </c>
      <c r="B2798" s="6" t="str">
        <f>image("https://storage.googleapis.com/acdb/photos/BromideNpcNmlKgr06_Remake_4_0.png")</f>
        <v/>
      </c>
      <c r="C2798" s="5" t="s">
        <v>1167</v>
      </c>
      <c r="D2798" s="5" t="s">
        <v>1327</v>
      </c>
      <c r="E2798" s="5" t="s">
        <v>34</v>
      </c>
      <c r="F2798" s="5" t="s">
        <v>34</v>
      </c>
      <c r="G2798" s="5" t="s">
        <v>36</v>
      </c>
      <c r="H2798" s="5" t="s">
        <v>35</v>
      </c>
      <c r="I2798" s="6">
        <v>1.0</v>
      </c>
      <c r="J2798" s="6" t="s">
        <v>37</v>
      </c>
      <c r="K2798" s="6">
        <v>10.0</v>
      </c>
      <c r="L2798" s="5"/>
      <c r="M2798" s="5"/>
      <c r="N2798" s="6" t="s">
        <v>40</v>
      </c>
      <c r="O2798" s="5" t="s">
        <v>5363</v>
      </c>
      <c r="P2798" s="6" t="s">
        <v>42</v>
      </c>
      <c r="Q2798" s="5" t="s">
        <v>1237</v>
      </c>
      <c r="R2798" s="5" t="s">
        <v>15123</v>
      </c>
      <c r="S2798" s="6" t="s">
        <v>75</v>
      </c>
      <c r="T2798" s="6">
        <v>6568.0</v>
      </c>
    </row>
    <row r="2799" ht="56.25" customHeight="1">
      <c r="A2799" s="5" t="s">
        <v>15106</v>
      </c>
      <c r="B2799" s="6" t="str">
        <f>image("https://storage.googleapis.com/acdb/photos/BromideNpcNmlKgr06_Remake_5_0.png")</f>
        <v/>
      </c>
      <c r="C2799" s="5" t="s">
        <v>58</v>
      </c>
      <c r="D2799" s="5" t="s">
        <v>1327</v>
      </c>
      <c r="E2799" s="5" t="s">
        <v>34</v>
      </c>
      <c r="F2799" s="5" t="s">
        <v>34</v>
      </c>
      <c r="G2799" s="5" t="s">
        <v>36</v>
      </c>
      <c r="H2799" s="5" t="s">
        <v>35</v>
      </c>
      <c r="I2799" s="6">
        <v>1.0</v>
      </c>
      <c r="J2799" s="6" t="s">
        <v>37</v>
      </c>
      <c r="K2799" s="6">
        <v>10.0</v>
      </c>
      <c r="L2799" s="5"/>
      <c r="M2799" s="5"/>
      <c r="N2799" s="6" t="s">
        <v>40</v>
      </c>
      <c r="O2799" s="5" t="s">
        <v>5363</v>
      </c>
      <c r="P2799" s="6" t="s">
        <v>42</v>
      </c>
      <c r="Q2799" s="5" t="s">
        <v>1237</v>
      </c>
      <c r="R2799" s="5" t="s">
        <v>15126</v>
      </c>
      <c r="S2799" s="6" t="s">
        <v>79</v>
      </c>
      <c r="T2799" s="6">
        <v>6568.0</v>
      </c>
    </row>
    <row r="2800" ht="56.25" customHeight="1">
      <c r="A2800" s="5" t="s">
        <v>15106</v>
      </c>
      <c r="B2800" s="6" t="str">
        <f>image("https://storage.googleapis.com/acdb/photos/BromideNpcNmlKgr06_Remake_6_0.png")</f>
        <v/>
      </c>
      <c r="C2800" s="5" t="s">
        <v>146</v>
      </c>
      <c r="D2800" s="5" t="s">
        <v>1327</v>
      </c>
      <c r="E2800" s="5" t="s">
        <v>34</v>
      </c>
      <c r="F2800" s="5" t="s">
        <v>34</v>
      </c>
      <c r="G2800" s="5" t="s">
        <v>36</v>
      </c>
      <c r="H2800" s="5" t="s">
        <v>35</v>
      </c>
      <c r="I2800" s="6">
        <v>1.0</v>
      </c>
      <c r="J2800" s="6" t="s">
        <v>37</v>
      </c>
      <c r="K2800" s="6">
        <v>10.0</v>
      </c>
      <c r="L2800" s="5"/>
      <c r="M2800" s="5"/>
      <c r="N2800" s="6" t="s">
        <v>40</v>
      </c>
      <c r="O2800" s="5" t="s">
        <v>5363</v>
      </c>
      <c r="P2800" s="6" t="s">
        <v>42</v>
      </c>
      <c r="Q2800" s="5" t="s">
        <v>1237</v>
      </c>
      <c r="R2800" s="5" t="s">
        <v>15129</v>
      </c>
      <c r="S2800" s="6" t="s">
        <v>86</v>
      </c>
      <c r="T2800" s="6">
        <v>6568.0</v>
      </c>
    </row>
    <row r="2801" ht="56.25" customHeight="1">
      <c r="A2801" s="5" t="s">
        <v>15106</v>
      </c>
      <c r="B2801" s="6" t="str">
        <f>image("https://storage.googleapis.com/acdb/photos/BromideNpcNmlKgr06_Remake_7_0.png")</f>
        <v/>
      </c>
      <c r="C2801" s="5" t="s">
        <v>151</v>
      </c>
      <c r="D2801" s="5" t="s">
        <v>1327</v>
      </c>
      <c r="E2801" s="5" t="s">
        <v>34</v>
      </c>
      <c r="F2801" s="5" t="s">
        <v>34</v>
      </c>
      <c r="G2801" s="5" t="s">
        <v>36</v>
      </c>
      <c r="H2801" s="5" t="s">
        <v>35</v>
      </c>
      <c r="I2801" s="6">
        <v>1.0</v>
      </c>
      <c r="J2801" s="6" t="s">
        <v>37</v>
      </c>
      <c r="K2801" s="6">
        <v>10.0</v>
      </c>
      <c r="L2801" s="5"/>
      <c r="M2801" s="5"/>
      <c r="N2801" s="6" t="s">
        <v>40</v>
      </c>
      <c r="O2801" s="5" t="s">
        <v>5363</v>
      </c>
      <c r="P2801" s="6" t="s">
        <v>42</v>
      </c>
      <c r="Q2801" s="5" t="s">
        <v>1237</v>
      </c>
      <c r="R2801" s="5" t="s">
        <v>15133</v>
      </c>
      <c r="S2801" s="6" t="s">
        <v>208</v>
      </c>
      <c r="T2801" s="6">
        <v>6568.0</v>
      </c>
    </row>
    <row r="2802" ht="56.25" customHeight="1">
      <c r="A2802" s="5" t="s">
        <v>15134</v>
      </c>
      <c r="B2802" s="6" t="str">
        <f>image("https://storage.googleapis.com/acdb/photos/BromideNpcNmlBul05_Remake_0_0.png")</f>
        <v/>
      </c>
      <c r="C2802" s="5" t="s">
        <v>366</v>
      </c>
      <c r="D2802" s="5" t="s">
        <v>1327</v>
      </c>
      <c r="E2802" s="5" t="s">
        <v>34</v>
      </c>
      <c r="F2802" s="5" t="s">
        <v>34</v>
      </c>
      <c r="G2802" s="5" t="s">
        <v>36</v>
      </c>
      <c r="H2802" s="5" t="s">
        <v>35</v>
      </c>
      <c r="I2802" s="6">
        <v>1.0</v>
      </c>
      <c r="J2802" s="6" t="s">
        <v>37</v>
      </c>
      <c r="K2802" s="6">
        <v>10.0</v>
      </c>
      <c r="L2802" s="5"/>
      <c r="M2802" s="5"/>
      <c r="N2802" s="6" t="s">
        <v>40</v>
      </c>
      <c r="O2802" s="5" t="s">
        <v>5363</v>
      </c>
      <c r="P2802" s="6" t="s">
        <v>42</v>
      </c>
      <c r="Q2802" s="5" t="s">
        <v>1237</v>
      </c>
      <c r="R2802" s="5" t="s">
        <v>15139</v>
      </c>
      <c r="S2802" s="6" t="s">
        <v>50</v>
      </c>
      <c r="T2802" s="6">
        <v>6737.0</v>
      </c>
    </row>
    <row r="2803" ht="56.25" customHeight="1">
      <c r="A2803" s="5" t="s">
        <v>15134</v>
      </c>
      <c r="B2803" s="6" t="str">
        <f>image("https://storage.googleapis.com/acdb/photos/BromideNpcNmlBul05_Remake_1_0.png")</f>
        <v/>
      </c>
      <c r="C2803" s="5" t="s">
        <v>1132</v>
      </c>
      <c r="D2803" s="5" t="s">
        <v>1327</v>
      </c>
      <c r="E2803" s="5" t="s">
        <v>34</v>
      </c>
      <c r="F2803" s="5" t="s">
        <v>34</v>
      </c>
      <c r="G2803" s="5" t="s">
        <v>36</v>
      </c>
      <c r="H2803" s="5" t="s">
        <v>35</v>
      </c>
      <c r="I2803" s="6">
        <v>1.0</v>
      </c>
      <c r="J2803" s="6" t="s">
        <v>37</v>
      </c>
      <c r="K2803" s="6">
        <v>10.0</v>
      </c>
      <c r="L2803" s="5"/>
      <c r="M2803" s="5"/>
      <c r="N2803" s="6" t="s">
        <v>40</v>
      </c>
      <c r="O2803" s="5" t="s">
        <v>5363</v>
      </c>
      <c r="P2803" s="6" t="s">
        <v>42</v>
      </c>
      <c r="Q2803" s="5" t="s">
        <v>1237</v>
      </c>
      <c r="R2803" s="5" t="s">
        <v>15142</v>
      </c>
      <c r="S2803" s="6" t="s">
        <v>56</v>
      </c>
      <c r="T2803" s="6">
        <v>6737.0</v>
      </c>
    </row>
    <row r="2804" ht="56.25" customHeight="1">
      <c r="A2804" s="5" t="s">
        <v>15134</v>
      </c>
      <c r="B2804" s="6" t="str">
        <f>image("https://storage.googleapis.com/acdb/photos/BromideNpcNmlBul05_Remake_2_0.png")</f>
        <v/>
      </c>
      <c r="C2804" s="5" t="s">
        <v>688</v>
      </c>
      <c r="D2804" s="5" t="s">
        <v>1327</v>
      </c>
      <c r="E2804" s="5" t="s">
        <v>34</v>
      </c>
      <c r="F2804" s="5" t="s">
        <v>34</v>
      </c>
      <c r="G2804" s="5" t="s">
        <v>36</v>
      </c>
      <c r="H2804" s="5" t="s">
        <v>35</v>
      </c>
      <c r="I2804" s="6">
        <v>1.0</v>
      </c>
      <c r="J2804" s="6" t="s">
        <v>37</v>
      </c>
      <c r="K2804" s="6">
        <v>10.0</v>
      </c>
      <c r="L2804" s="5"/>
      <c r="M2804" s="5"/>
      <c r="N2804" s="6" t="s">
        <v>40</v>
      </c>
      <c r="O2804" s="5" t="s">
        <v>5363</v>
      </c>
      <c r="P2804" s="6" t="s">
        <v>42</v>
      </c>
      <c r="Q2804" s="5" t="s">
        <v>1237</v>
      </c>
      <c r="R2804" s="5" t="s">
        <v>15145</v>
      </c>
      <c r="S2804" s="6" t="s">
        <v>67</v>
      </c>
      <c r="T2804" s="6">
        <v>6737.0</v>
      </c>
    </row>
    <row r="2805" ht="56.25" customHeight="1">
      <c r="A2805" s="5" t="s">
        <v>15134</v>
      </c>
      <c r="B2805" s="6" t="str">
        <f>image("https://storage.googleapis.com/acdb/photos/BromideNpcNmlBul05_Remake_3_0.png")</f>
        <v/>
      </c>
      <c r="C2805" s="5" t="s">
        <v>57</v>
      </c>
      <c r="D2805" s="5" t="s">
        <v>1327</v>
      </c>
      <c r="E2805" s="5" t="s">
        <v>34</v>
      </c>
      <c r="F2805" s="5" t="s">
        <v>34</v>
      </c>
      <c r="G2805" s="5" t="s">
        <v>36</v>
      </c>
      <c r="H2805" s="5" t="s">
        <v>35</v>
      </c>
      <c r="I2805" s="6">
        <v>1.0</v>
      </c>
      <c r="J2805" s="6" t="s">
        <v>37</v>
      </c>
      <c r="K2805" s="6">
        <v>10.0</v>
      </c>
      <c r="L2805" s="5"/>
      <c r="M2805" s="5"/>
      <c r="N2805" s="6" t="s">
        <v>40</v>
      </c>
      <c r="O2805" s="5" t="s">
        <v>5363</v>
      </c>
      <c r="P2805" s="6" t="s">
        <v>42</v>
      </c>
      <c r="Q2805" s="5" t="s">
        <v>1237</v>
      </c>
      <c r="R2805" s="5" t="s">
        <v>15147</v>
      </c>
      <c r="S2805" s="6" t="s">
        <v>71</v>
      </c>
      <c r="T2805" s="6">
        <v>6737.0</v>
      </c>
    </row>
    <row r="2806" ht="56.25" customHeight="1">
      <c r="A2806" s="5" t="s">
        <v>15134</v>
      </c>
      <c r="B2806" s="6" t="str">
        <f>image("https://storage.googleapis.com/acdb/photos/BromideNpcNmlBul05_Remake_4_0.png")</f>
        <v/>
      </c>
      <c r="C2806" s="5" t="s">
        <v>1167</v>
      </c>
      <c r="D2806" s="5" t="s">
        <v>1327</v>
      </c>
      <c r="E2806" s="5" t="s">
        <v>34</v>
      </c>
      <c r="F2806" s="5" t="s">
        <v>34</v>
      </c>
      <c r="G2806" s="5" t="s">
        <v>36</v>
      </c>
      <c r="H2806" s="5" t="s">
        <v>35</v>
      </c>
      <c r="I2806" s="6">
        <v>1.0</v>
      </c>
      <c r="J2806" s="6" t="s">
        <v>37</v>
      </c>
      <c r="K2806" s="6">
        <v>10.0</v>
      </c>
      <c r="L2806" s="5"/>
      <c r="M2806" s="5"/>
      <c r="N2806" s="6" t="s">
        <v>40</v>
      </c>
      <c r="O2806" s="5" t="s">
        <v>5363</v>
      </c>
      <c r="P2806" s="6" t="s">
        <v>42</v>
      </c>
      <c r="Q2806" s="5" t="s">
        <v>1237</v>
      </c>
      <c r="R2806" s="5" t="s">
        <v>15149</v>
      </c>
      <c r="S2806" s="6" t="s">
        <v>75</v>
      </c>
      <c r="T2806" s="6">
        <v>6737.0</v>
      </c>
    </row>
    <row r="2807" ht="56.25" customHeight="1">
      <c r="A2807" s="5" t="s">
        <v>15134</v>
      </c>
      <c r="B2807" s="6" t="str">
        <f>image("https://storage.googleapis.com/acdb/photos/BromideNpcNmlBul05_Remake_5_0.png")</f>
        <v/>
      </c>
      <c r="C2807" s="5" t="s">
        <v>58</v>
      </c>
      <c r="D2807" s="5" t="s">
        <v>1327</v>
      </c>
      <c r="E2807" s="5" t="s">
        <v>34</v>
      </c>
      <c r="F2807" s="5" t="s">
        <v>34</v>
      </c>
      <c r="G2807" s="5" t="s">
        <v>36</v>
      </c>
      <c r="H2807" s="5" t="s">
        <v>35</v>
      </c>
      <c r="I2807" s="6">
        <v>1.0</v>
      </c>
      <c r="J2807" s="6" t="s">
        <v>37</v>
      </c>
      <c r="K2807" s="6">
        <v>10.0</v>
      </c>
      <c r="L2807" s="5"/>
      <c r="M2807" s="5"/>
      <c r="N2807" s="6" t="s">
        <v>40</v>
      </c>
      <c r="O2807" s="5" t="s">
        <v>5363</v>
      </c>
      <c r="P2807" s="6" t="s">
        <v>42</v>
      </c>
      <c r="Q2807" s="5" t="s">
        <v>1237</v>
      </c>
      <c r="R2807" s="5" t="s">
        <v>15152</v>
      </c>
      <c r="S2807" s="6" t="s">
        <v>79</v>
      </c>
      <c r="T2807" s="6">
        <v>6737.0</v>
      </c>
    </row>
    <row r="2808" ht="56.25" customHeight="1">
      <c r="A2808" s="5" t="s">
        <v>15134</v>
      </c>
      <c r="B2808" s="6" t="str">
        <f>image("https://storage.googleapis.com/acdb/photos/BromideNpcNmlBul05_Remake_6_0.png")</f>
        <v/>
      </c>
      <c r="C2808" s="5" t="s">
        <v>146</v>
      </c>
      <c r="D2808" s="5" t="s">
        <v>1327</v>
      </c>
      <c r="E2808" s="5" t="s">
        <v>34</v>
      </c>
      <c r="F2808" s="5" t="s">
        <v>34</v>
      </c>
      <c r="G2808" s="5" t="s">
        <v>36</v>
      </c>
      <c r="H2808" s="5" t="s">
        <v>35</v>
      </c>
      <c r="I2808" s="6">
        <v>1.0</v>
      </c>
      <c r="J2808" s="6" t="s">
        <v>37</v>
      </c>
      <c r="K2808" s="6">
        <v>10.0</v>
      </c>
      <c r="L2808" s="5"/>
      <c r="M2808" s="5"/>
      <c r="N2808" s="6" t="s">
        <v>40</v>
      </c>
      <c r="O2808" s="5" t="s">
        <v>5363</v>
      </c>
      <c r="P2808" s="6" t="s">
        <v>42</v>
      </c>
      <c r="Q2808" s="5" t="s">
        <v>1237</v>
      </c>
      <c r="R2808" s="5" t="s">
        <v>15153</v>
      </c>
      <c r="S2808" s="6" t="s">
        <v>86</v>
      </c>
      <c r="T2808" s="6">
        <v>6737.0</v>
      </c>
    </row>
    <row r="2809" ht="56.25" customHeight="1">
      <c r="A2809" s="5" t="s">
        <v>15134</v>
      </c>
      <c r="B2809" s="6" t="str">
        <f>image("https://storage.googleapis.com/acdb/photos/BromideNpcNmlBul05_Remake_7_0.png")</f>
        <v/>
      </c>
      <c r="C2809" s="5" t="s">
        <v>151</v>
      </c>
      <c r="D2809" s="5" t="s">
        <v>1327</v>
      </c>
      <c r="E2809" s="5" t="s">
        <v>34</v>
      </c>
      <c r="F2809" s="5" t="s">
        <v>34</v>
      </c>
      <c r="G2809" s="5" t="s">
        <v>36</v>
      </c>
      <c r="H2809" s="5" t="s">
        <v>35</v>
      </c>
      <c r="I2809" s="6">
        <v>1.0</v>
      </c>
      <c r="J2809" s="6" t="s">
        <v>37</v>
      </c>
      <c r="K2809" s="6">
        <v>10.0</v>
      </c>
      <c r="L2809" s="5"/>
      <c r="M2809" s="5"/>
      <c r="N2809" s="6" t="s">
        <v>40</v>
      </c>
      <c r="O2809" s="5" t="s">
        <v>5363</v>
      </c>
      <c r="P2809" s="6" t="s">
        <v>42</v>
      </c>
      <c r="Q2809" s="5" t="s">
        <v>1237</v>
      </c>
      <c r="R2809" s="5" t="s">
        <v>15157</v>
      </c>
      <c r="S2809" s="6" t="s">
        <v>208</v>
      </c>
      <c r="T2809" s="6">
        <v>6737.0</v>
      </c>
    </row>
    <row r="2810" ht="56.25" customHeight="1">
      <c r="A2810" s="5" t="s">
        <v>15158</v>
      </c>
      <c r="B2810" s="6" t="str">
        <f>image("https://storage.googleapis.com/acdb/photos/BromideNpcNmlCat12_Remake_0_0.png")</f>
        <v/>
      </c>
      <c r="C2810" s="5" t="s">
        <v>366</v>
      </c>
      <c r="D2810" s="5" t="s">
        <v>1327</v>
      </c>
      <c r="E2810" s="5" t="s">
        <v>34</v>
      </c>
      <c r="F2810" s="5" t="s">
        <v>34</v>
      </c>
      <c r="G2810" s="5" t="s">
        <v>36</v>
      </c>
      <c r="H2810" s="5" t="s">
        <v>35</v>
      </c>
      <c r="I2810" s="6">
        <v>1.0</v>
      </c>
      <c r="J2810" s="6" t="s">
        <v>37</v>
      </c>
      <c r="K2810" s="6">
        <v>10.0</v>
      </c>
      <c r="L2810" s="5"/>
      <c r="M2810" s="5"/>
      <c r="N2810" s="6" t="s">
        <v>40</v>
      </c>
      <c r="O2810" s="5" t="s">
        <v>5363</v>
      </c>
      <c r="P2810" s="6" t="s">
        <v>42</v>
      </c>
      <c r="Q2810" s="5" t="s">
        <v>1237</v>
      </c>
      <c r="R2810" s="5" t="s">
        <v>15162</v>
      </c>
      <c r="S2810" s="6" t="s">
        <v>50</v>
      </c>
      <c r="T2810" s="6">
        <v>6758.0</v>
      </c>
    </row>
    <row r="2811" ht="56.25" customHeight="1">
      <c r="A2811" s="5" t="s">
        <v>15158</v>
      </c>
      <c r="B2811" s="6" t="str">
        <f>image("https://storage.googleapis.com/acdb/photos/BromideNpcNmlCat12_Remake_1_0.png")</f>
        <v/>
      </c>
      <c r="C2811" s="5" t="s">
        <v>1132</v>
      </c>
      <c r="D2811" s="5" t="s">
        <v>1327</v>
      </c>
      <c r="E2811" s="5" t="s">
        <v>34</v>
      </c>
      <c r="F2811" s="5" t="s">
        <v>34</v>
      </c>
      <c r="G2811" s="5" t="s">
        <v>36</v>
      </c>
      <c r="H2811" s="5" t="s">
        <v>35</v>
      </c>
      <c r="I2811" s="6">
        <v>1.0</v>
      </c>
      <c r="J2811" s="6" t="s">
        <v>37</v>
      </c>
      <c r="K2811" s="6">
        <v>10.0</v>
      </c>
      <c r="L2811" s="5"/>
      <c r="M2811" s="5"/>
      <c r="N2811" s="6" t="s">
        <v>40</v>
      </c>
      <c r="O2811" s="5" t="s">
        <v>5363</v>
      </c>
      <c r="P2811" s="6" t="s">
        <v>42</v>
      </c>
      <c r="Q2811" s="5" t="s">
        <v>1237</v>
      </c>
      <c r="R2811" s="5" t="s">
        <v>15164</v>
      </c>
      <c r="S2811" s="6" t="s">
        <v>56</v>
      </c>
      <c r="T2811" s="6">
        <v>6758.0</v>
      </c>
    </row>
    <row r="2812" ht="56.25" customHeight="1">
      <c r="A2812" s="5" t="s">
        <v>15158</v>
      </c>
      <c r="B2812" s="6" t="str">
        <f>image("https://storage.googleapis.com/acdb/photos/BromideNpcNmlCat12_Remake_2_0.png")</f>
        <v/>
      </c>
      <c r="C2812" s="5" t="s">
        <v>688</v>
      </c>
      <c r="D2812" s="5" t="s">
        <v>1327</v>
      </c>
      <c r="E2812" s="5" t="s">
        <v>34</v>
      </c>
      <c r="F2812" s="5" t="s">
        <v>34</v>
      </c>
      <c r="G2812" s="5" t="s">
        <v>36</v>
      </c>
      <c r="H2812" s="5" t="s">
        <v>35</v>
      </c>
      <c r="I2812" s="6">
        <v>1.0</v>
      </c>
      <c r="J2812" s="6" t="s">
        <v>37</v>
      </c>
      <c r="K2812" s="6">
        <v>10.0</v>
      </c>
      <c r="L2812" s="5"/>
      <c r="M2812" s="5"/>
      <c r="N2812" s="6" t="s">
        <v>40</v>
      </c>
      <c r="O2812" s="5" t="s">
        <v>5363</v>
      </c>
      <c r="P2812" s="6" t="s">
        <v>42</v>
      </c>
      <c r="Q2812" s="5" t="s">
        <v>1237</v>
      </c>
      <c r="R2812" s="5" t="s">
        <v>15167</v>
      </c>
      <c r="S2812" s="6" t="s">
        <v>67</v>
      </c>
      <c r="T2812" s="6">
        <v>6758.0</v>
      </c>
    </row>
    <row r="2813" ht="56.25" customHeight="1">
      <c r="A2813" s="5" t="s">
        <v>15158</v>
      </c>
      <c r="B2813" s="6" t="str">
        <f>image("https://storage.googleapis.com/acdb/photos/BromideNpcNmlCat12_Remake_3_0.png")</f>
        <v/>
      </c>
      <c r="C2813" s="5" t="s">
        <v>57</v>
      </c>
      <c r="D2813" s="5" t="s">
        <v>1327</v>
      </c>
      <c r="E2813" s="5" t="s">
        <v>34</v>
      </c>
      <c r="F2813" s="5" t="s">
        <v>34</v>
      </c>
      <c r="G2813" s="5" t="s">
        <v>36</v>
      </c>
      <c r="H2813" s="5" t="s">
        <v>35</v>
      </c>
      <c r="I2813" s="6">
        <v>1.0</v>
      </c>
      <c r="J2813" s="6" t="s">
        <v>37</v>
      </c>
      <c r="K2813" s="6">
        <v>10.0</v>
      </c>
      <c r="L2813" s="5"/>
      <c r="M2813" s="5"/>
      <c r="N2813" s="6" t="s">
        <v>40</v>
      </c>
      <c r="O2813" s="5" t="s">
        <v>5363</v>
      </c>
      <c r="P2813" s="6" t="s">
        <v>42</v>
      </c>
      <c r="Q2813" s="5" t="s">
        <v>1237</v>
      </c>
      <c r="R2813" s="5" t="s">
        <v>15170</v>
      </c>
      <c r="S2813" s="6" t="s">
        <v>71</v>
      </c>
      <c r="T2813" s="6">
        <v>6758.0</v>
      </c>
    </row>
    <row r="2814" ht="56.25" customHeight="1">
      <c r="A2814" s="5" t="s">
        <v>15158</v>
      </c>
      <c r="B2814" s="6" t="str">
        <f>image("https://storage.googleapis.com/acdb/photos/BromideNpcNmlCat12_Remake_4_0.png")</f>
        <v/>
      </c>
      <c r="C2814" s="5" t="s">
        <v>1167</v>
      </c>
      <c r="D2814" s="5" t="s">
        <v>1327</v>
      </c>
      <c r="E2814" s="5" t="s">
        <v>34</v>
      </c>
      <c r="F2814" s="5" t="s">
        <v>34</v>
      </c>
      <c r="G2814" s="5" t="s">
        <v>36</v>
      </c>
      <c r="H2814" s="5" t="s">
        <v>35</v>
      </c>
      <c r="I2814" s="6">
        <v>1.0</v>
      </c>
      <c r="J2814" s="6" t="s">
        <v>37</v>
      </c>
      <c r="K2814" s="6">
        <v>10.0</v>
      </c>
      <c r="L2814" s="5"/>
      <c r="M2814" s="5"/>
      <c r="N2814" s="6" t="s">
        <v>40</v>
      </c>
      <c r="O2814" s="5" t="s">
        <v>5363</v>
      </c>
      <c r="P2814" s="6" t="s">
        <v>42</v>
      </c>
      <c r="Q2814" s="5" t="s">
        <v>1237</v>
      </c>
      <c r="R2814" s="5" t="s">
        <v>15173</v>
      </c>
      <c r="S2814" s="6" t="s">
        <v>75</v>
      </c>
      <c r="T2814" s="6">
        <v>6758.0</v>
      </c>
    </row>
    <row r="2815" ht="56.25" customHeight="1">
      <c r="A2815" s="5" t="s">
        <v>15158</v>
      </c>
      <c r="B2815" s="6" t="str">
        <f>image("https://storage.googleapis.com/acdb/photos/BromideNpcNmlCat12_Remake_5_0.png")</f>
        <v/>
      </c>
      <c r="C2815" s="5" t="s">
        <v>58</v>
      </c>
      <c r="D2815" s="5" t="s">
        <v>1327</v>
      </c>
      <c r="E2815" s="5" t="s">
        <v>34</v>
      </c>
      <c r="F2815" s="5" t="s">
        <v>34</v>
      </c>
      <c r="G2815" s="5" t="s">
        <v>36</v>
      </c>
      <c r="H2815" s="5" t="s">
        <v>35</v>
      </c>
      <c r="I2815" s="6">
        <v>1.0</v>
      </c>
      <c r="J2815" s="6" t="s">
        <v>37</v>
      </c>
      <c r="K2815" s="6">
        <v>10.0</v>
      </c>
      <c r="L2815" s="5"/>
      <c r="M2815" s="5"/>
      <c r="N2815" s="6" t="s">
        <v>40</v>
      </c>
      <c r="O2815" s="5" t="s">
        <v>5363</v>
      </c>
      <c r="P2815" s="6" t="s">
        <v>42</v>
      </c>
      <c r="Q2815" s="5" t="s">
        <v>1237</v>
      </c>
      <c r="R2815" s="5" t="s">
        <v>15175</v>
      </c>
      <c r="S2815" s="6" t="s">
        <v>79</v>
      </c>
      <c r="T2815" s="6">
        <v>6758.0</v>
      </c>
    </row>
    <row r="2816" ht="56.25" customHeight="1">
      <c r="A2816" s="5" t="s">
        <v>15158</v>
      </c>
      <c r="B2816" s="6" t="str">
        <f>image("https://storage.googleapis.com/acdb/photos/BromideNpcNmlCat12_Remake_6_0.png")</f>
        <v/>
      </c>
      <c r="C2816" s="5" t="s">
        <v>146</v>
      </c>
      <c r="D2816" s="5" t="s">
        <v>1327</v>
      </c>
      <c r="E2816" s="5" t="s">
        <v>34</v>
      </c>
      <c r="F2816" s="5" t="s">
        <v>34</v>
      </c>
      <c r="G2816" s="5" t="s">
        <v>36</v>
      </c>
      <c r="H2816" s="5" t="s">
        <v>35</v>
      </c>
      <c r="I2816" s="6">
        <v>1.0</v>
      </c>
      <c r="J2816" s="6" t="s">
        <v>37</v>
      </c>
      <c r="K2816" s="6">
        <v>10.0</v>
      </c>
      <c r="L2816" s="5"/>
      <c r="M2816" s="5"/>
      <c r="N2816" s="6" t="s">
        <v>40</v>
      </c>
      <c r="O2816" s="5" t="s">
        <v>5363</v>
      </c>
      <c r="P2816" s="6" t="s">
        <v>42</v>
      </c>
      <c r="Q2816" s="5" t="s">
        <v>1237</v>
      </c>
      <c r="R2816" s="5" t="s">
        <v>15178</v>
      </c>
      <c r="S2816" s="6" t="s">
        <v>86</v>
      </c>
      <c r="T2816" s="6">
        <v>6758.0</v>
      </c>
    </row>
    <row r="2817" ht="56.25" customHeight="1">
      <c r="A2817" s="5" t="s">
        <v>15158</v>
      </c>
      <c r="B2817" s="6" t="str">
        <f>image("https://storage.googleapis.com/acdb/photos/BromideNpcNmlCat12_Remake_7_0.png")</f>
        <v/>
      </c>
      <c r="C2817" s="5" t="s">
        <v>151</v>
      </c>
      <c r="D2817" s="5" t="s">
        <v>1327</v>
      </c>
      <c r="E2817" s="5" t="s">
        <v>34</v>
      </c>
      <c r="F2817" s="5" t="s">
        <v>34</v>
      </c>
      <c r="G2817" s="5" t="s">
        <v>36</v>
      </c>
      <c r="H2817" s="5" t="s">
        <v>35</v>
      </c>
      <c r="I2817" s="6">
        <v>1.0</v>
      </c>
      <c r="J2817" s="6" t="s">
        <v>37</v>
      </c>
      <c r="K2817" s="6">
        <v>10.0</v>
      </c>
      <c r="L2817" s="5"/>
      <c r="M2817" s="5"/>
      <c r="N2817" s="6" t="s">
        <v>40</v>
      </c>
      <c r="O2817" s="5" t="s">
        <v>5363</v>
      </c>
      <c r="P2817" s="6" t="s">
        <v>42</v>
      </c>
      <c r="Q2817" s="5" t="s">
        <v>1237</v>
      </c>
      <c r="R2817" s="5" t="s">
        <v>15180</v>
      </c>
      <c r="S2817" s="6" t="s">
        <v>208</v>
      </c>
      <c r="T2817" s="6">
        <v>6758.0</v>
      </c>
    </row>
    <row r="2818" ht="56.25" customHeight="1">
      <c r="A2818" s="5" t="s">
        <v>15181</v>
      </c>
      <c r="B2818" s="6" t="str">
        <f>image("https://storage.googleapis.com/acdb/photos/BromideNpcNmlFlg09_Remake_0_0.png")</f>
        <v/>
      </c>
      <c r="C2818" s="5" t="s">
        <v>366</v>
      </c>
      <c r="D2818" s="5" t="s">
        <v>1327</v>
      </c>
      <c r="E2818" s="5" t="s">
        <v>34</v>
      </c>
      <c r="F2818" s="5" t="s">
        <v>34</v>
      </c>
      <c r="G2818" s="5" t="s">
        <v>36</v>
      </c>
      <c r="H2818" s="5" t="s">
        <v>35</v>
      </c>
      <c r="I2818" s="6">
        <v>1.0</v>
      </c>
      <c r="J2818" s="6" t="s">
        <v>37</v>
      </c>
      <c r="K2818" s="6">
        <v>10.0</v>
      </c>
      <c r="L2818" s="5"/>
      <c r="M2818" s="5"/>
      <c r="N2818" s="6" t="s">
        <v>40</v>
      </c>
      <c r="O2818" s="5" t="s">
        <v>5363</v>
      </c>
      <c r="P2818" s="6" t="s">
        <v>42</v>
      </c>
      <c r="Q2818" s="5" t="s">
        <v>1237</v>
      </c>
      <c r="R2818" s="5" t="s">
        <v>15183</v>
      </c>
      <c r="S2818" s="6" t="s">
        <v>50</v>
      </c>
      <c r="T2818" s="6">
        <v>6492.0</v>
      </c>
    </row>
    <row r="2819" ht="56.25" customHeight="1">
      <c r="A2819" s="5" t="s">
        <v>15181</v>
      </c>
      <c r="B2819" s="6" t="str">
        <f>image("https://storage.googleapis.com/acdb/photos/BromideNpcNmlFlg09_Remake_1_0.png")</f>
        <v/>
      </c>
      <c r="C2819" s="5" t="s">
        <v>1132</v>
      </c>
      <c r="D2819" s="5" t="s">
        <v>1327</v>
      </c>
      <c r="E2819" s="5" t="s">
        <v>34</v>
      </c>
      <c r="F2819" s="5" t="s">
        <v>34</v>
      </c>
      <c r="G2819" s="5" t="s">
        <v>36</v>
      </c>
      <c r="H2819" s="5" t="s">
        <v>35</v>
      </c>
      <c r="I2819" s="6">
        <v>1.0</v>
      </c>
      <c r="J2819" s="6" t="s">
        <v>37</v>
      </c>
      <c r="K2819" s="6">
        <v>10.0</v>
      </c>
      <c r="L2819" s="5"/>
      <c r="M2819" s="5"/>
      <c r="N2819" s="6" t="s">
        <v>40</v>
      </c>
      <c r="O2819" s="5" t="s">
        <v>5363</v>
      </c>
      <c r="P2819" s="6" t="s">
        <v>42</v>
      </c>
      <c r="Q2819" s="5" t="s">
        <v>1237</v>
      </c>
      <c r="R2819" s="5" t="s">
        <v>15187</v>
      </c>
      <c r="S2819" s="6" t="s">
        <v>56</v>
      </c>
      <c r="T2819" s="6">
        <v>6492.0</v>
      </c>
    </row>
    <row r="2820" ht="56.25" customHeight="1">
      <c r="A2820" s="5" t="s">
        <v>15181</v>
      </c>
      <c r="B2820" s="6" t="str">
        <f>image("https://storage.googleapis.com/acdb/photos/BromideNpcNmlFlg09_Remake_2_0.png")</f>
        <v/>
      </c>
      <c r="C2820" s="5" t="s">
        <v>688</v>
      </c>
      <c r="D2820" s="5" t="s">
        <v>1327</v>
      </c>
      <c r="E2820" s="5" t="s">
        <v>34</v>
      </c>
      <c r="F2820" s="5" t="s">
        <v>34</v>
      </c>
      <c r="G2820" s="5" t="s">
        <v>36</v>
      </c>
      <c r="H2820" s="5" t="s">
        <v>35</v>
      </c>
      <c r="I2820" s="6">
        <v>1.0</v>
      </c>
      <c r="J2820" s="6" t="s">
        <v>37</v>
      </c>
      <c r="K2820" s="6">
        <v>10.0</v>
      </c>
      <c r="L2820" s="5"/>
      <c r="M2820" s="5"/>
      <c r="N2820" s="6" t="s">
        <v>40</v>
      </c>
      <c r="O2820" s="5" t="s">
        <v>5363</v>
      </c>
      <c r="P2820" s="6" t="s">
        <v>42</v>
      </c>
      <c r="Q2820" s="5" t="s">
        <v>1237</v>
      </c>
      <c r="R2820" s="5" t="s">
        <v>15191</v>
      </c>
      <c r="S2820" s="6" t="s">
        <v>67</v>
      </c>
      <c r="T2820" s="6">
        <v>6492.0</v>
      </c>
    </row>
    <row r="2821" ht="56.25" customHeight="1">
      <c r="A2821" s="5" t="s">
        <v>15181</v>
      </c>
      <c r="B2821" s="6" t="str">
        <f>image("https://storage.googleapis.com/acdb/photos/BromideNpcNmlFlg09_Remake_3_0.png")</f>
        <v/>
      </c>
      <c r="C2821" s="5" t="s">
        <v>57</v>
      </c>
      <c r="D2821" s="5" t="s">
        <v>1327</v>
      </c>
      <c r="E2821" s="5" t="s">
        <v>34</v>
      </c>
      <c r="F2821" s="5" t="s">
        <v>34</v>
      </c>
      <c r="G2821" s="5" t="s">
        <v>36</v>
      </c>
      <c r="H2821" s="5" t="s">
        <v>35</v>
      </c>
      <c r="I2821" s="6">
        <v>1.0</v>
      </c>
      <c r="J2821" s="6" t="s">
        <v>37</v>
      </c>
      <c r="K2821" s="6">
        <v>10.0</v>
      </c>
      <c r="L2821" s="5"/>
      <c r="M2821" s="5"/>
      <c r="N2821" s="6" t="s">
        <v>40</v>
      </c>
      <c r="O2821" s="5" t="s">
        <v>5363</v>
      </c>
      <c r="P2821" s="6" t="s">
        <v>42</v>
      </c>
      <c r="Q2821" s="5" t="s">
        <v>1237</v>
      </c>
      <c r="R2821" s="5" t="s">
        <v>15195</v>
      </c>
      <c r="S2821" s="6" t="s">
        <v>71</v>
      </c>
      <c r="T2821" s="6">
        <v>6492.0</v>
      </c>
    </row>
    <row r="2822" ht="56.25" customHeight="1">
      <c r="A2822" s="5" t="s">
        <v>15181</v>
      </c>
      <c r="B2822" s="6" t="str">
        <f>image("https://storage.googleapis.com/acdb/photos/BromideNpcNmlFlg09_Remake_4_0.png")</f>
        <v/>
      </c>
      <c r="C2822" s="5" t="s">
        <v>1167</v>
      </c>
      <c r="D2822" s="5" t="s">
        <v>1327</v>
      </c>
      <c r="E2822" s="5" t="s">
        <v>34</v>
      </c>
      <c r="F2822" s="5" t="s">
        <v>34</v>
      </c>
      <c r="G2822" s="5" t="s">
        <v>36</v>
      </c>
      <c r="H2822" s="5" t="s">
        <v>35</v>
      </c>
      <c r="I2822" s="6">
        <v>1.0</v>
      </c>
      <c r="J2822" s="6" t="s">
        <v>37</v>
      </c>
      <c r="K2822" s="6">
        <v>10.0</v>
      </c>
      <c r="L2822" s="5"/>
      <c r="M2822" s="5"/>
      <c r="N2822" s="6" t="s">
        <v>40</v>
      </c>
      <c r="O2822" s="5" t="s">
        <v>5363</v>
      </c>
      <c r="P2822" s="6" t="s">
        <v>42</v>
      </c>
      <c r="Q2822" s="5" t="s">
        <v>1237</v>
      </c>
      <c r="R2822" s="5" t="s">
        <v>15199</v>
      </c>
      <c r="S2822" s="6" t="s">
        <v>75</v>
      </c>
      <c r="T2822" s="6">
        <v>6492.0</v>
      </c>
    </row>
    <row r="2823" ht="56.25" customHeight="1">
      <c r="A2823" s="5" t="s">
        <v>15181</v>
      </c>
      <c r="B2823" s="6" t="str">
        <f>image("https://storage.googleapis.com/acdb/photos/BromideNpcNmlFlg09_Remake_5_0.png")</f>
        <v/>
      </c>
      <c r="C2823" s="5" t="s">
        <v>58</v>
      </c>
      <c r="D2823" s="5" t="s">
        <v>1327</v>
      </c>
      <c r="E2823" s="5" t="s">
        <v>34</v>
      </c>
      <c r="F2823" s="5" t="s">
        <v>34</v>
      </c>
      <c r="G2823" s="5" t="s">
        <v>36</v>
      </c>
      <c r="H2823" s="5" t="s">
        <v>35</v>
      </c>
      <c r="I2823" s="6">
        <v>1.0</v>
      </c>
      <c r="J2823" s="6" t="s">
        <v>37</v>
      </c>
      <c r="K2823" s="6">
        <v>10.0</v>
      </c>
      <c r="L2823" s="5"/>
      <c r="M2823" s="5"/>
      <c r="N2823" s="6" t="s">
        <v>40</v>
      </c>
      <c r="O2823" s="5" t="s">
        <v>5363</v>
      </c>
      <c r="P2823" s="6" t="s">
        <v>42</v>
      </c>
      <c r="Q2823" s="5" t="s">
        <v>1237</v>
      </c>
      <c r="R2823" s="5" t="s">
        <v>15201</v>
      </c>
      <c r="S2823" s="6" t="s">
        <v>79</v>
      </c>
      <c r="T2823" s="6">
        <v>6492.0</v>
      </c>
    </row>
    <row r="2824" ht="56.25" customHeight="1">
      <c r="A2824" s="5" t="s">
        <v>15181</v>
      </c>
      <c r="B2824" s="6" t="str">
        <f>image("https://storage.googleapis.com/acdb/photos/BromideNpcNmlFlg09_Remake_6_0.png")</f>
        <v/>
      </c>
      <c r="C2824" s="5" t="s">
        <v>146</v>
      </c>
      <c r="D2824" s="5" t="s">
        <v>1327</v>
      </c>
      <c r="E2824" s="5" t="s">
        <v>34</v>
      </c>
      <c r="F2824" s="5" t="s">
        <v>34</v>
      </c>
      <c r="G2824" s="5" t="s">
        <v>36</v>
      </c>
      <c r="H2824" s="5" t="s">
        <v>35</v>
      </c>
      <c r="I2824" s="6">
        <v>1.0</v>
      </c>
      <c r="J2824" s="6" t="s">
        <v>37</v>
      </c>
      <c r="K2824" s="6">
        <v>10.0</v>
      </c>
      <c r="L2824" s="5"/>
      <c r="M2824" s="5"/>
      <c r="N2824" s="6" t="s">
        <v>40</v>
      </c>
      <c r="O2824" s="5" t="s">
        <v>5363</v>
      </c>
      <c r="P2824" s="6" t="s">
        <v>42</v>
      </c>
      <c r="Q2824" s="5" t="s">
        <v>1237</v>
      </c>
      <c r="R2824" s="5" t="s">
        <v>15204</v>
      </c>
      <c r="S2824" s="6" t="s">
        <v>86</v>
      </c>
      <c r="T2824" s="6">
        <v>6492.0</v>
      </c>
    </row>
    <row r="2825" ht="56.25" customHeight="1">
      <c r="A2825" s="5" t="s">
        <v>15181</v>
      </c>
      <c r="B2825" s="6" t="str">
        <f>image("https://storage.googleapis.com/acdb/photos/BromideNpcNmlFlg09_Remake_7_0.png")</f>
        <v/>
      </c>
      <c r="C2825" s="5" t="s">
        <v>151</v>
      </c>
      <c r="D2825" s="5" t="s">
        <v>1327</v>
      </c>
      <c r="E2825" s="5" t="s">
        <v>34</v>
      </c>
      <c r="F2825" s="5" t="s">
        <v>34</v>
      </c>
      <c r="G2825" s="5" t="s">
        <v>36</v>
      </c>
      <c r="H2825" s="5" t="s">
        <v>35</v>
      </c>
      <c r="I2825" s="6">
        <v>1.0</v>
      </c>
      <c r="J2825" s="6" t="s">
        <v>37</v>
      </c>
      <c r="K2825" s="6">
        <v>10.0</v>
      </c>
      <c r="L2825" s="5"/>
      <c r="M2825" s="5"/>
      <c r="N2825" s="6" t="s">
        <v>40</v>
      </c>
      <c r="O2825" s="5" t="s">
        <v>5363</v>
      </c>
      <c r="P2825" s="6" t="s">
        <v>42</v>
      </c>
      <c r="Q2825" s="5" t="s">
        <v>1237</v>
      </c>
      <c r="R2825" s="5" t="s">
        <v>15207</v>
      </c>
      <c r="S2825" s="6" t="s">
        <v>208</v>
      </c>
      <c r="T2825" s="6">
        <v>6492.0</v>
      </c>
    </row>
    <row r="2826" ht="56.25" customHeight="1">
      <c r="A2826" s="5" t="s">
        <v>15208</v>
      </c>
      <c r="B2826" s="6" t="str">
        <f>image("https://storage.googleapis.com/acdb/photos/BromideNpcNmlMnk03_Remake_0_0.png")</f>
        <v/>
      </c>
      <c r="C2826" s="5" t="s">
        <v>366</v>
      </c>
      <c r="D2826" s="5" t="s">
        <v>1327</v>
      </c>
      <c r="E2826" s="5" t="s">
        <v>34</v>
      </c>
      <c r="F2826" s="5" t="s">
        <v>34</v>
      </c>
      <c r="G2826" s="5" t="s">
        <v>36</v>
      </c>
      <c r="H2826" s="5" t="s">
        <v>35</v>
      </c>
      <c r="I2826" s="6">
        <v>1.0</v>
      </c>
      <c r="J2826" s="6" t="s">
        <v>37</v>
      </c>
      <c r="K2826" s="6">
        <v>10.0</v>
      </c>
      <c r="L2826" s="5"/>
      <c r="M2826" s="5"/>
      <c r="N2826" s="6" t="s">
        <v>40</v>
      </c>
      <c r="O2826" s="5" t="s">
        <v>5363</v>
      </c>
      <c r="P2826" s="6" t="s">
        <v>42</v>
      </c>
      <c r="Q2826" s="5" t="s">
        <v>1237</v>
      </c>
      <c r="R2826" s="5" t="s">
        <v>15211</v>
      </c>
      <c r="S2826" s="6" t="s">
        <v>50</v>
      </c>
      <c r="T2826" s="6">
        <v>6583.0</v>
      </c>
    </row>
    <row r="2827" ht="56.25" customHeight="1">
      <c r="A2827" s="5" t="s">
        <v>15208</v>
      </c>
      <c r="B2827" s="6" t="str">
        <f>image("https://storage.googleapis.com/acdb/photos/BromideNpcNmlMnk03_Remake_1_0.png")</f>
        <v/>
      </c>
      <c r="C2827" s="5" t="s">
        <v>1132</v>
      </c>
      <c r="D2827" s="5" t="s">
        <v>1327</v>
      </c>
      <c r="E2827" s="5" t="s">
        <v>34</v>
      </c>
      <c r="F2827" s="5" t="s">
        <v>34</v>
      </c>
      <c r="G2827" s="5" t="s">
        <v>36</v>
      </c>
      <c r="H2827" s="5" t="s">
        <v>35</v>
      </c>
      <c r="I2827" s="6">
        <v>1.0</v>
      </c>
      <c r="J2827" s="6" t="s">
        <v>37</v>
      </c>
      <c r="K2827" s="6">
        <v>10.0</v>
      </c>
      <c r="L2827" s="5"/>
      <c r="M2827" s="5"/>
      <c r="N2827" s="6" t="s">
        <v>40</v>
      </c>
      <c r="O2827" s="5" t="s">
        <v>5363</v>
      </c>
      <c r="P2827" s="6" t="s">
        <v>42</v>
      </c>
      <c r="Q2827" s="5" t="s">
        <v>1237</v>
      </c>
      <c r="R2827" s="5" t="s">
        <v>15214</v>
      </c>
      <c r="S2827" s="6" t="s">
        <v>56</v>
      </c>
      <c r="T2827" s="6">
        <v>6583.0</v>
      </c>
    </row>
    <row r="2828" ht="56.25" customHeight="1">
      <c r="A2828" s="5" t="s">
        <v>15208</v>
      </c>
      <c r="B2828" s="6" t="str">
        <f>image("https://storage.googleapis.com/acdb/photos/BromideNpcNmlMnk03_Remake_2_0.png")</f>
        <v/>
      </c>
      <c r="C2828" s="5" t="s">
        <v>688</v>
      </c>
      <c r="D2828" s="5" t="s">
        <v>1327</v>
      </c>
      <c r="E2828" s="5" t="s">
        <v>34</v>
      </c>
      <c r="F2828" s="5" t="s">
        <v>34</v>
      </c>
      <c r="G2828" s="5" t="s">
        <v>36</v>
      </c>
      <c r="H2828" s="5" t="s">
        <v>35</v>
      </c>
      <c r="I2828" s="6">
        <v>1.0</v>
      </c>
      <c r="J2828" s="6" t="s">
        <v>37</v>
      </c>
      <c r="K2828" s="6">
        <v>10.0</v>
      </c>
      <c r="L2828" s="5"/>
      <c r="M2828" s="5"/>
      <c r="N2828" s="6" t="s">
        <v>40</v>
      </c>
      <c r="O2828" s="5" t="s">
        <v>5363</v>
      </c>
      <c r="P2828" s="6" t="s">
        <v>42</v>
      </c>
      <c r="Q2828" s="5" t="s">
        <v>1237</v>
      </c>
      <c r="R2828" s="5" t="s">
        <v>15216</v>
      </c>
      <c r="S2828" s="6" t="s">
        <v>67</v>
      </c>
      <c r="T2828" s="6">
        <v>6583.0</v>
      </c>
    </row>
    <row r="2829" ht="56.25" customHeight="1">
      <c r="A2829" s="5" t="s">
        <v>15208</v>
      </c>
      <c r="B2829" s="6" t="str">
        <f>image("https://storage.googleapis.com/acdb/photos/BromideNpcNmlMnk03_Remake_3_0.png")</f>
        <v/>
      </c>
      <c r="C2829" s="5" t="s">
        <v>57</v>
      </c>
      <c r="D2829" s="5" t="s">
        <v>1327</v>
      </c>
      <c r="E2829" s="5" t="s">
        <v>34</v>
      </c>
      <c r="F2829" s="5" t="s">
        <v>34</v>
      </c>
      <c r="G2829" s="5" t="s">
        <v>36</v>
      </c>
      <c r="H2829" s="5" t="s">
        <v>35</v>
      </c>
      <c r="I2829" s="6">
        <v>1.0</v>
      </c>
      <c r="J2829" s="6" t="s">
        <v>37</v>
      </c>
      <c r="K2829" s="6">
        <v>10.0</v>
      </c>
      <c r="L2829" s="5"/>
      <c r="M2829" s="5"/>
      <c r="N2829" s="6" t="s">
        <v>40</v>
      </c>
      <c r="O2829" s="5" t="s">
        <v>5363</v>
      </c>
      <c r="P2829" s="6" t="s">
        <v>42</v>
      </c>
      <c r="Q2829" s="5" t="s">
        <v>1237</v>
      </c>
      <c r="R2829" s="5" t="s">
        <v>15220</v>
      </c>
      <c r="S2829" s="6" t="s">
        <v>71</v>
      </c>
      <c r="T2829" s="6">
        <v>6583.0</v>
      </c>
    </row>
    <row r="2830" ht="56.25" customHeight="1">
      <c r="A2830" s="5" t="s">
        <v>15208</v>
      </c>
      <c r="B2830" s="6" t="str">
        <f>image("https://storage.googleapis.com/acdb/photos/BromideNpcNmlMnk03_Remake_4_0.png")</f>
        <v/>
      </c>
      <c r="C2830" s="5" t="s">
        <v>1167</v>
      </c>
      <c r="D2830" s="5" t="s">
        <v>1327</v>
      </c>
      <c r="E2830" s="5" t="s">
        <v>34</v>
      </c>
      <c r="F2830" s="5" t="s">
        <v>34</v>
      </c>
      <c r="G2830" s="5" t="s">
        <v>36</v>
      </c>
      <c r="H2830" s="5" t="s">
        <v>35</v>
      </c>
      <c r="I2830" s="6">
        <v>1.0</v>
      </c>
      <c r="J2830" s="6" t="s">
        <v>37</v>
      </c>
      <c r="K2830" s="6">
        <v>10.0</v>
      </c>
      <c r="L2830" s="5"/>
      <c r="M2830" s="5"/>
      <c r="N2830" s="6" t="s">
        <v>40</v>
      </c>
      <c r="O2830" s="5" t="s">
        <v>5363</v>
      </c>
      <c r="P2830" s="6" t="s">
        <v>42</v>
      </c>
      <c r="Q2830" s="5" t="s">
        <v>1237</v>
      </c>
      <c r="R2830" s="5" t="s">
        <v>15221</v>
      </c>
      <c r="S2830" s="6" t="s">
        <v>75</v>
      </c>
      <c r="T2830" s="6">
        <v>6583.0</v>
      </c>
    </row>
    <row r="2831" ht="56.25" customHeight="1">
      <c r="A2831" s="5" t="s">
        <v>15208</v>
      </c>
      <c r="B2831" s="6" t="str">
        <f>image("https://storage.googleapis.com/acdb/photos/BromideNpcNmlMnk03_Remake_5_0.png")</f>
        <v/>
      </c>
      <c r="C2831" s="5" t="s">
        <v>58</v>
      </c>
      <c r="D2831" s="5" t="s">
        <v>1327</v>
      </c>
      <c r="E2831" s="5" t="s">
        <v>34</v>
      </c>
      <c r="F2831" s="5" t="s">
        <v>34</v>
      </c>
      <c r="G2831" s="5" t="s">
        <v>36</v>
      </c>
      <c r="H2831" s="5" t="s">
        <v>35</v>
      </c>
      <c r="I2831" s="6">
        <v>1.0</v>
      </c>
      <c r="J2831" s="6" t="s">
        <v>37</v>
      </c>
      <c r="K2831" s="6">
        <v>10.0</v>
      </c>
      <c r="L2831" s="5"/>
      <c r="M2831" s="5"/>
      <c r="N2831" s="6" t="s">
        <v>40</v>
      </c>
      <c r="O2831" s="5" t="s">
        <v>5363</v>
      </c>
      <c r="P2831" s="6" t="s">
        <v>42</v>
      </c>
      <c r="Q2831" s="5" t="s">
        <v>1237</v>
      </c>
      <c r="R2831" s="5" t="s">
        <v>15225</v>
      </c>
      <c r="S2831" s="6" t="s">
        <v>79</v>
      </c>
      <c r="T2831" s="6">
        <v>6583.0</v>
      </c>
    </row>
    <row r="2832" ht="56.25" customHeight="1">
      <c r="A2832" s="5" t="s">
        <v>15208</v>
      </c>
      <c r="B2832" s="6" t="str">
        <f>image("https://storage.googleapis.com/acdb/photos/BromideNpcNmlMnk03_Remake_6_0.png")</f>
        <v/>
      </c>
      <c r="C2832" s="5" t="s">
        <v>146</v>
      </c>
      <c r="D2832" s="5" t="s">
        <v>1327</v>
      </c>
      <c r="E2832" s="5" t="s">
        <v>34</v>
      </c>
      <c r="F2832" s="5" t="s">
        <v>34</v>
      </c>
      <c r="G2832" s="5" t="s">
        <v>36</v>
      </c>
      <c r="H2832" s="5" t="s">
        <v>35</v>
      </c>
      <c r="I2832" s="6">
        <v>1.0</v>
      </c>
      <c r="J2832" s="6" t="s">
        <v>37</v>
      </c>
      <c r="K2832" s="6">
        <v>10.0</v>
      </c>
      <c r="L2832" s="5"/>
      <c r="M2832" s="5"/>
      <c r="N2832" s="6" t="s">
        <v>40</v>
      </c>
      <c r="O2832" s="5" t="s">
        <v>5363</v>
      </c>
      <c r="P2832" s="6" t="s">
        <v>42</v>
      </c>
      <c r="Q2832" s="5" t="s">
        <v>1237</v>
      </c>
      <c r="R2832" s="5" t="s">
        <v>15231</v>
      </c>
      <c r="S2832" s="6" t="s">
        <v>86</v>
      </c>
      <c r="T2832" s="6">
        <v>6583.0</v>
      </c>
    </row>
    <row r="2833" ht="56.25" customHeight="1">
      <c r="A2833" s="5" t="s">
        <v>15208</v>
      </c>
      <c r="B2833" s="6" t="str">
        <f>image("https://storage.googleapis.com/acdb/photos/BromideNpcNmlMnk03_Remake_7_0.png")</f>
        <v/>
      </c>
      <c r="C2833" s="5" t="s">
        <v>151</v>
      </c>
      <c r="D2833" s="5" t="s">
        <v>1327</v>
      </c>
      <c r="E2833" s="5" t="s">
        <v>34</v>
      </c>
      <c r="F2833" s="5" t="s">
        <v>34</v>
      </c>
      <c r="G2833" s="5" t="s">
        <v>36</v>
      </c>
      <c r="H2833" s="5" t="s">
        <v>35</v>
      </c>
      <c r="I2833" s="6">
        <v>1.0</v>
      </c>
      <c r="J2833" s="6" t="s">
        <v>37</v>
      </c>
      <c r="K2833" s="6">
        <v>10.0</v>
      </c>
      <c r="L2833" s="5"/>
      <c r="M2833" s="5"/>
      <c r="N2833" s="6" t="s">
        <v>40</v>
      </c>
      <c r="O2833" s="5" t="s">
        <v>5363</v>
      </c>
      <c r="P2833" s="6" t="s">
        <v>42</v>
      </c>
      <c r="Q2833" s="5" t="s">
        <v>1237</v>
      </c>
      <c r="R2833" s="5" t="s">
        <v>15234</v>
      </c>
      <c r="S2833" s="6" t="s">
        <v>208</v>
      </c>
      <c r="T2833" s="6">
        <v>6583.0</v>
      </c>
    </row>
    <row r="2834" ht="56.25" customHeight="1">
      <c r="A2834" s="5" t="s">
        <v>15235</v>
      </c>
      <c r="B2834" s="6" t="str">
        <f>image("https://storage.googleapis.com/acdb/photos/BromideNpcNmlCbr17_Remake_0_0.png")</f>
        <v/>
      </c>
      <c r="C2834" s="5" t="s">
        <v>366</v>
      </c>
      <c r="D2834" s="5" t="s">
        <v>1327</v>
      </c>
      <c r="E2834" s="5" t="s">
        <v>34</v>
      </c>
      <c r="F2834" s="5" t="s">
        <v>34</v>
      </c>
      <c r="G2834" s="5" t="s">
        <v>36</v>
      </c>
      <c r="H2834" s="5" t="s">
        <v>35</v>
      </c>
      <c r="I2834" s="6">
        <v>1.0</v>
      </c>
      <c r="J2834" s="6" t="s">
        <v>37</v>
      </c>
      <c r="K2834" s="6">
        <v>10.0</v>
      </c>
      <c r="L2834" s="5"/>
      <c r="M2834" s="5"/>
      <c r="N2834" s="6" t="s">
        <v>40</v>
      </c>
      <c r="O2834" s="5" t="s">
        <v>5363</v>
      </c>
      <c r="P2834" s="6" t="s">
        <v>42</v>
      </c>
      <c r="Q2834" s="5" t="s">
        <v>1237</v>
      </c>
      <c r="R2834" s="5" t="s">
        <v>15238</v>
      </c>
      <c r="S2834" s="6" t="s">
        <v>50</v>
      </c>
      <c r="T2834" s="6">
        <v>6784.0</v>
      </c>
    </row>
    <row r="2835" ht="56.25" customHeight="1">
      <c r="A2835" s="5" t="s">
        <v>15235</v>
      </c>
      <c r="B2835" s="6" t="str">
        <f>image("https://storage.googleapis.com/acdb/photos/BromideNpcNmlCbr17_Remake_1_0.png")</f>
        <v/>
      </c>
      <c r="C2835" s="5" t="s">
        <v>1132</v>
      </c>
      <c r="D2835" s="5" t="s">
        <v>1327</v>
      </c>
      <c r="E2835" s="5" t="s">
        <v>34</v>
      </c>
      <c r="F2835" s="5" t="s">
        <v>34</v>
      </c>
      <c r="G2835" s="5" t="s">
        <v>36</v>
      </c>
      <c r="H2835" s="5" t="s">
        <v>35</v>
      </c>
      <c r="I2835" s="6">
        <v>1.0</v>
      </c>
      <c r="J2835" s="6" t="s">
        <v>37</v>
      </c>
      <c r="K2835" s="6">
        <v>10.0</v>
      </c>
      <c r="L2835" s="5"/>
      <c r="M2835" s="5"/>
      <c r="N2835" s="6" t="s">
        <v>40</v>
      </c>
      <c r="O2835" s="5" t="s">
        <v>5363</v>
      </c>
      <c r="P2835" s="6" t="s">
        <v>42</v>
      </c>
      <c r="Q2835" s="5" t="s">
        <v>1237</v>
      </c>
      <c r="R2835" s="5" t="s">
        <v>15241</v>
      </c>
      <c r="S2835" s="6" t="s">
        <v>56</v>
      </c>
      <c r="T2835" s="6">
        <v>6784.0</v>
      </c>
    </row>
    <row r="2836" ht="56.25" customHeight="1">
      <c r="A2836" s="5" t="s">
        <v>15235</v>
      </c>
      <c r="B2836" s="6" t="str">
        <f>image("https://storage.googleapis.com/acdb/photos/BromideNpcNmlCbr17_Remake_2_0.png")</f>
        <v/>
      </c>
      <c r="C2836" s="5" t="s">
        <v>688</v>
      </c>
      <c r="D2836" s="5" t="s">
        <v>1327</v>
      </c>
      <c r="E2836" s="5" t="s">
        <v>34</v>
      </c>
      <c r="F2836" s="5" t="s">
        <v>34</v>
      </c>
      <c r="G2836" s="5" t="s">
        <v>36</v>
      </c>
      <c r="H2836" s="5" t="s">
        <v>35</v>
      </c>
      <c r="I2836" s="6">
        <v>1.0</v>
      </c>
      <c r="J2836" s="6" t="s">
        <v>37</v>
      </c>
      <c r="K2836" s="6">
        <v>10.0</v>
      </c>
      <c r="L2836" s="5"/>
      <c r="M2836" s="5"/>
      <c r="N2836" s="6" t="s">
        <v>40</v>
      </c>
      <c r="O2836" s="5" t="s">
        <v>5363</v>
      </c>
      <c r="P2836" s="6" t="s">
        <v>42</v>
      </c>
      <c r="Q2836" s="5" t="s">
        <v>1237</v>
      </c>
      <c r="R2836" s="5" t="s">
        <v>15245</v>
      </c>
      <c r="S2836" s="6" t="s">
        <v>67</v>
      </c>
      <c r="T2836" s="6">
        <v>6784.0</v>
      </c>
    </row>
    <row r="2837" ht="56.25" customHeight="1">
      <c r="A2837" s="5" t="s">
        <v>15235</v>
      </c>
      <c r="B2837" s="6" t="str">
        <f>image("https://storage.googleapis.com/acdb/photos/BromideNpcNmlCbr17_Remake_3_0.png")</f>
        <v/>
      </c>
      <c r="C2837" s="5" t="s">
        <v>57</v>
      </c>
      <c r="D2837" s="5" t="s">
        <v>1327</v>
      </c>
      <c r="E2837" s="5" t="s">
        <v>34</v>
      </c>
      <c r="F2837" s="5" t="s">
        <v>34</v>
      </c>
      <c r="G2837" s="5" t="s">
        <v>36</v>
      </c>
      <c r="H2837" s="5" t="s">
        <v>35</v>
      </c>
      <c r="I2837" s="6">
        <v>1.0</v>
      </c>
      <c r="J2837" s="6" t="s">
        <v>37</v>
      </c>
      <c r="K2837" s="6">
        <v>10.0</v>
      </c>
      <c r="L2837" s="5"/>
      <c r="M2837" s="5"/>
      <c r="N2837" s="6" t="s">
        <v>40</v>
      </c>
      <c r="O2837" s="5" t="s">
        <v>5363</v>
      </c>
      <c r="P2837" s="6" t="s">
        <v>42</v>
      </c>
      <c r="Q2837" s="5" t="s">
        <v>1237</v>
      </c>
      <c r="R2837" s="5" t="s">
        <v>15249</v>
      </c>
      <c r="S2837" s="6" t="s">
        <v>71</v>
      </c>
      <c r="T2837" s="6">
        <v>6784.0</v>
      </c>
    </row>
    <row r="2838" ht="56.25" customHeight="1">
      <c r="A2838" s="5" t="s">
        <v>15235</v>
      </c>
      <c r="B2838" s="6" t="str">
        <f>image("https://storage.googleapis.com/acdb/photos/BromideNpcNmlCbr17_Remake_4_0.png")</f>
        <v/>
      </c>
      <c r="C2838" s="5" t="s">
        <v>1167</v>
      </c>
      <c r="D2838" s="5" t="s">
        <v>1327</v>
      </c>
      <c r="E2838" s="5" t="s">
        <v>34</v>
      </c>
      <c r="F2838" s="5" t="s">
        <v>34</v>
      </c>
      <c r="G2838" s="5" t="s">
        <v>36</v>
      </c>
      <c r="H2838" s="5" t="s">
        <v>35</v>
      </c>
      <c r="I2838" s="6">
        <v>1.0</v>
      </c>
      <c r="J2838" s="6" t="s">
        <v>37</v>
      </c>
      <c r="K2838" s="6">
        <v>10.0</v>
      </c>
      <c r="L2838" s="5"/>
      <c r="M2838" s="5"/>
      <c r="N2838" s="6" t="s">
        <v>40</v>
      </c>
      <c r="O2838" s="5" t="s">
        <v>5363</v>
      </c>
      <c r="P2838" s="6" t="s">
        <v>42</v>
      </c>
      <c r="Q2838" s="5" t="s">
        <v>1237</v>
      </c>
      <c r="R2838" s="5" t="s">
        <v>15251</v>
      </c>
      <c r="S2838" s="6" t="s">
        <v>75</v>
      </c>
      <c r="T2838" s="6">
        <v>6784.0</v>
      </c>
    </row>
    <row r="2839" ht="56.25" customHeight="1">
      <c r="A2839" s="5" t="s">
        <v>15235</v>
      </c>
      <c r="B2839" s="6" t="str">
        <f>image("https://storage.googleapis.com/acdb/photos/BromideNpcNmlCbr17_Remake_5_0.png")</f>
        <v/>
      </c>
      <c r="C2839" s="5" t="s">
        <v>58</v>
      </c>
      <c r="D2839" s="5" t="s">
        <v>1327</v>
      </c>
      <c r="E2839" s="5" t="s">
        <v>34</v>
      </c>
      <c r="F2839" s="5" t="s">
        <v>34</v>
      </c>
      <c r="G2839" s="5" t="s">
        <v>36</v>
      </c>
      <c r="H2839" s="5" t="s">
        <v>35</v>
      </c>
      <c r="I2839" s="6">
        <v>1.0</v>
      </c>
      <c r="J2839" s="6" t="s">
        <v>37</v>
      </c>
      <c r="K2839" s="6">
        <v>10.0</v>
      </c>
      <c r="L2839" s="5"/>
      <c r="M2839" s="5"/>
      <c r="N2839" s="6" t="s">
        <v>40</v>
      </c>
      <c r="O2839" s="5" t="s">
        <v>5363</v>
      </c>
      <c r="P2839" s="6" t="s">
        <v>42</v>
      </c>
      <c r="Q2839" s="5" t="s">
        <v>1237</v>
      </c>
      <c r="R2839" s="5" t="s">
        <v>15255</v>
      </c>
      <c r="S2839" s="6" t="s">
        <v>79</v>
      </c>
      <c r="T2839" s="6">
        <v>6784.0</v>
      </c>
    </row>
    <row r="2840" ht="56.25" customHeight="1">
      <c r="A2840" s="5" t="s">
        <v>15235</v>
      </c>
      <c r="B2840" s="6" t="str">
        <f>image("https://storage.googleapis.com/acdb/photos/BromideNpcNmlCbr17_Remake_6_0.png")</f>
        <v/>
      </c>
      <c r="C2840" s="5" t="s">
        <v>146</v>
      </c>
      <c r="D2840" s="5" t="s">
        <v>1327</v>
      </c>
      <c r="E2840" s="5" t="s">
        <v>34</v>
      </c>
      <c r="F2840" s="5" t="s">
        <v>34</v>
      </c>
      <c r="G2840" s="5" t="s">
        <v>36</v>
      </c>
      <c r="H2840" s="5" t="s">
        <v>35</v>
      </c>
      <c r="I2840" s="6">
        <v>1.0</v>
      </c>
      <c r="J2840" s="6" t="s">
        <v>37</v>
      </c>
      <c r="K2840" s="6">
        <v>10.0</v>
      </c>
      <c r="L2840" s="5"/>
      <c r="M2840" s="5"/>
      <c r="N2840" s="6" t="s">
        <v>40</v>
      </c>
      <c r="O2840" s="5" t="s">
        <v>5363</v>
      </c>
      <c r="P2840" s="6" t="s">
        <v>42</v>
      </c>
      <c r="Q2840" s="5" t="s">
        <v>1237</v>
      </c>
      <c r="R2840" s="5" t="s">
        <v>15259</v>
      </c>
      <c r="S2840" s="6" t="s">
        <v>86</v>
      </c>
      <c r="T2840" s="6">
        <v>6784.0</v>
      </c>
    </row>
    <row r="2841" ht="56.25" customHeight="1">
      <c r="A2841" s="5" t="s">
        <v>15235</v>
      </c>
      <c r="B2841" s="6" t="str">
        <f>image("https://storage.googleapis.com/acdb/photos/BromideNpcNmlCbr17_Remake_7_0.png")</f>
        <v/>
      </c>
      <c r="C2841" s="5" t="s">
        <v>151</v>
      </c>
      <c r="D2841" s="5" t="s">
        <v>1327</v>
      </c>
      <c r="E2841" s="5" t="s">
        <v>34</v>
      </c>
      <c r="F2841" s="5" t="s">
        <v>34</v>
      </c>
      <c r="G2841" s="5" t="s">
        <v>36</v>
      </c>
      <c r="H2841" s="5" t="s">
        <v>35</v>
      </c>
      <c r="I2841" s="6">
        <v>1.0</v>
      </c>
      <c r="J2841" s="6" t="s">
        <v>37</v>
      </c>
      <c r="K2841" s="6">
        <v>10.0</v>
      </c>
      <c r="L2841" s="5"/>
      <c r="M2841" s="5"/>
      <c r="N2841" s="6" t="s">
        <v>40</v>
      </c>
      <c r="O2841" s="5" t="s">
        <v>5363</v>
      </c>
      <c r="P2841" s="6" t="s">
        <v>42</v>
      </c>
      <c r="Q2841" s="5" t="s">
        <v>1237</v>
      </c>
      <c r="R2841" s="5" t="s">
        <v>15260</v>
      </c>
      <c r="S2841" s="6" t="s">
        <v>208</v>
      </c>
      <c r="T2841" s="6">
        <v>6784.0</v>
      </c>
    </row>
    <row r="2842" ht="56.25" customHeight="1">
      <c r="A2842" s="5" t="s">
        <v>15261</v>
      </c>
      <c r="B2842" s="6" t="str">
        <f>image("https://storage.googleapis.com/acdb/photos/BromideNpcNmlCat05_Remake_0_0.png")</f>
        <v/>
      </c>
      <c r="C2842" s="5" t="s">
        <v>366</v>
      </c>
      <c r="D2842" s="5" t="s">
        <v>1327</v>
      </c>
      <c r="E2842" s="5" t="s">
        <v>34</v>
      </c>
      <c r="F2842" s="5" t="s">
        <v>34</v>
      </c>
      <c r="G2842" s="5" t="s">
        <v>36</v>
      </c>
      <c r="H2842" s="5" t="s">
        <v>35</v>
      </c>
      <c r="I2842" s="6">
        <v>1.0</v>
      </c>
      <c r="J2842" s="6" t="s">
        <v>37</v>
      </c>
      <c r="K2842" s="6">
        <v>10.0</v>
      </c>
      <c r="L2842" s="5"/>
      <c r="M2842" s="5"/>
      <c r="N2842" s="6" t="s">
        <v>40</v>
      </c>
      <c r="O2842" s="5" t="s">
        <v>5363</v>
      </c>
      <c r="P2842" s="6" t="s">
        <v>42</v>
      </c>
      <c r="Q2842" s="5" t="s">
        <v>1237</v>
      </c>
      <c r="R2842" s="5" t="s">
        <v>15264</v>
      </c>
      <c r="S2842" s="6" t="s">
        <v>50</v>
      </c>
      <c r="T2842" s="6">
        <v>6750.0</v>
      </c>
    </row>
    <row r="2843" ht="56.25" customHeight="1">
      <c r="A2843" s="5" t="s">
        <v>15261</v>
      </c>
      <c r="B2843" s="6" t="str">
        <f>image("https://storage.googleapis.com/acdb/photos/BromideNpcNmlCat05_Remake_1_0.png")</f>
        <v/>
      </c>
      <c r="C2843" s="5" t="s">
        <v>1132</v>
      </c>
      <c r="D2843" s="5" t="s">
        <v>1327</v>
      </c>
      <c r="E2843" s="5" t="s">
        <v>34</v>
      </c>
      <c r="F2843" s="5" t="s">
        <v>34</v>
      </c>
      <c r="G2843" s="5" t="s">
        <v>36</v>
      </c>
      <c r="H2843" s="5" t="s">
        <v>35</v>
      </c>
      <c r="I2843" s="6">
        <v>1.0</v>
      </c>
      <c r="J2843" s="6" t="s">
        <v>37</v>
      </c>
      <c r="K2843" s="6">
        <v>10.0</v>
      </c>
      <c r="L2843" s="5"/>
      <c r="M2843" s="5"/>
      <c r="N2843" s="6" t="s">
        <v>40</v>
      </c>
      <c r="O2843" s="5" t="s">
        <v>5363</v>
      </c>
      <c r="P2843" s="6" t="s">
        <v>42</v>
      </c>
      <c r="Q2843" s="5" t="s">
        <v>1237</v>
      </c>
      <c r="R2843" s="5" t="s">
        <v>15267</v>
      </c>
      <c r="S2843" s="6" t="s">
        <v>56</v>
      </c>
      <c r="T2843" s="6">
        <v>6750.0</v>
      </c>
    </row>
    <row r="2844" ht="56.25" customHeight="1">
      <c r="A2844" s="5" t="s">
        <v>15261</v>
      </c>
      <c r="B2844" s="6" t="str">
        <f>image("https://storage.googleapis.com/acdb/photos/BromideNpcNmlCat05_Remake_2_0.png")</f>
        <v/>
      </c>
      <c r="C2844" s="5" t="s">
        <v>688</v>
      </c>
      <c r="D2844" s="5" t="s">
        <v>1327</v>
      </c>
      <c r="E2844" s="5" t="s">
        <v>34</v>
      </c>
      <c r="F2844" s="5" t="s">
        <v>34</v>
      </c>
      <c r="G2844" s="5" t="s">
        <v>36</v>
      </c>
      <c r="H2844" s="5" t="s">
        <v>35</v>
      </c>
      <c r="I2844" s="6">
        <v>1.0</v>
      </c>
      <c r="J2844" s="6" t="s">
        <v>37</v>
      </c>
      <c r="K2844" s="6">
        <v>10.0</v>
      </c>
      <c r="L2844" s="5"/>
      <c r="M2844" s="5"/>
      <c r="N2844" s="6" t="s">
        <v>40</v>
      </c>
      <c r="O2844" s="5" t="s">
        <v>5363</v>
      </c>
      <c r="P2844" s="6" t="s">
        <v>42</v>
      </c>
      <c r="Q2844" s="5" t="s">
        <v>1237</v>
      </c>
      <c r="R2844" s="5" t="s">
        <v>15269</v>
      </c>
      <c r="S2844" s="6" t="s">
        <v>67</v>
      </c>
      <c r="T2844" s="6">
        <v>6750.0</v>
      </c>
    </row>
    <row r="2845" ht="56.25" customHeight="1">
      <c r="A2845" s="5" t="s">
        <v>15261</v>
      </c>
      <c r="B2845" s="6" t="str">
        <f>image("https://storage.googleapis.com/acdb/photos/BromideNpcNmlCat05_Remake_3_0.png")</f>
        <v/>
      </c>
      <c r="C2845" s="5" t="s">
        <v>57</v>
      </c>
      <c r="D2845" s="5" t="s">
        <v>1327</v>
      </c>
      <c r="E2845" s="5" t="s">
        <v>34</v>
      </c>
      <c r="F2845" s="5" t="s">
        <v>34</v>
      </c>
      <c r="G2845" s="5" t="s">
        <v>36</v>
      </c>
      <c r="H2845" s="5" t="s">
        <v>35</v>
      </c>
      <c r="I2845" s="6">
        <v>1.0</v>
      </c>
      <c r="J2845" s="6" t="s">
        <v>37</v>
      </c>
      <c r="K2845" s="6">
        <v>10.0</v>
      </c>
      <c r="L2845" s="5"/>
      <c r="M2845" s="5"/>
      <c r="N2845" s="6" t="s">
        <v>40</v>
      </c>
      <c r="O2845" s="5" t="s">
        <v>5363</v>
      </c>
      <c r="P2845" s="6" t="s">
        <v>42</v>
      </c>
      <c r="Q2845" s="5" t="s">
        <v>1237</v>
      </c>
      <c r="R2845" s="5" t="s">
        <v>15272</v>
      </c>
      <c r="S2845" s="6" t="s">
        <v>71</v>
      </c>
      <c r="T2845" s="6">
        <v>6750.0</v>
      </c>
    </row>
    <row r="2846" ht="56.25" customHeight="1">
      <c r="A2846" s="5" t="s">
        <v>15261</v>
      </c>
      <c r="B2846" s="6" t="str">
        <f>image("https://storage.googleapis.com/acdb/photos/BromideNpcNmlCat05_Remake_4_0.png")</f>
        <v/>
      </c>
      <c r="C2846" s="5" t="s">
        <v>1167</v>
      </c>
      <c r="D2846" s="5" t="s">
        <v>1327</v>
      </c>
      <c r="E2846" s="5" t="s">
        <v>34</v>
      </c>
      <c r="F2846" s="5" t="s">
        <v>34</v>
      </c>
      <c r="G2846" s="5" t="s">
        <v>36</v>
      </c>
      <c r="H2846" s="5" t="s">
        <v>35</v>
      </c>
      <c r="I2846" s="6">
        <v>1.0</v>
      </c>
      <c r="J2846" s="6" t="s">
        <v>37</v>
      </c>
      <c r="K2846" s="6">
        <v>10.0</v>
      </c>
      <c r="L2846" s="5"/>
      <c r="M2846" s="5"/>
      <c r="N2846" s="6" t="s">
        <v>40</v>
      </c>
      <c r="O2846" s="5" t="s">
        <v>5363</v>
      </c>
      <c r="P2846" s="6" t="s">
        <v>42</v>
      </c>
      <c r="Q2846" s="5" t="s">
        <v>1237</v>
      </c>
      <c r="R2846" s="5" t="s">
        <v>15275</v>
      </c>
      <c r="S2846" s="6" t="s">
        <v>75</v>
      </c>
      <c r="T2846" s="6">
        <v>6750.0</v>
      </c>
    </row>
    <row r="2847" ht="56.25" customHeight="1">
      <c r="A2847" s="5" t="s">
        <v>15261</v>
      </c>
      <c r="B2847" s="6" t="str">
        <f>image("https://storage.googleapis.com/acdb/photos/BromideNpcNmlCat05_Remake_5_0.png")</f>
        <v/>
      </c>
      <c r="C2847" s="5" t="s">
        <v>58</v>
      </c>
      <c r="D2847" s="5" t="s">
        <v>1327</v>
      </c>
      <c r="E2847" s="5" t="s">
        <v>34</v>
      </c>
      <c r="F2847" s="5" t="s">
        <v>34</v>
      </c>
      <c r="G2847" s="5" t="s">
        <v>36</v>
      </c>
      <c r="H2847" s="5" t="s">
        <v>35</v>
      </c>
      <c r="I2847" s="6">
        <v>1.0</v>
      </c>
      <c r="J2847" s="6" t="s">
        <v>37</v>
      </c>
      <c r="K2847" s="6">
        <v>10.0</v>
      </c>
      <c r="L2847" s="5"/>
      <c r="M2847" s="5"/>
      <c r="N2847" s="6" t="s">
        <v>40</v>
      </c>
      <c r="O2847" s="5" t="s">
        <v>5363</v>
      </c>
      <c r="P2847" s="6" t="s">
        <v>42</v>
      </c>
      <c r="Q2847" s="5" t="s">
        <v>1237</v>
      </c>
      <c r="R2847" s="5" t="s">
        <v>15279</v>
      </c>
      <c r="S2847" s="6" t="s">
        <v>79</v>
      </c>
      <c r="T2847" s="6">
        <v>6750.0</v>
      </c>
    </row>
    <row r="2848" ht="56.25" customHeight="1">
      <c r="A2848" s="5" t="s">
        <v>15261</v>
      </c>
      <c r="B2848" s="6" t="str">
        <f>image("https://storage.googleapis.com/acdb/photos/BromideNpcNmlCat05_Remake_6_0.png")</f>
        <v/>
      </c>
      <c r="C2848" s="5" t="s">
        <v>146</v>
      </c>
      <c r="D2848" s="5" t="s">
        <v>1327</v>
      </c>
      <c r="E2848" s="5" t="s">
        <v>34</v>
      </c>
      <c r="F2848" s="5" t="s">
        <v>34</v>
      </c>
      <c r="G2848" s="5" t="s">
        <v>36</v>
      </c>
      <c r="H2848" s="5" t="s">
        <v>35</v>
      </c>
      <c r="I2848" s="6">
        <v>1.0</v>
      </c>
      <c r="J2848" s="6" t="s">
        <v>37</v>
      </c>
      <c r="K2848" s="6">
        <v>10.0</v>
      </c>
      <c r="L2848" s="5"/>
      <c r="M2848" s="5"/>
      <c r="N2848" s="6" t="s">
        <v>40</v>
      </c>
      <c r="O2848" s="5" t="s">
        <v>5363</v>
      </c>
      <c r="P2848" s="6" t="s">
        <v>42</v>
      </c>
      <c r="Q2848" s="5" t="s">
        <v>1237</v>
      </c>
      <c r="R2848" s="5" t="s">
        <v>15281</v>
      </c>
      <c r="S2848" s="6" t="s">
        <v>86</v>
      </c>
      <c r="T2848" s="6">
        <v>6750.0</v>
      </c>
    </row>
    <row r="2849" ht="56.25" customHeight="1">
      <c r="A2849" s="5" t="s">
        <v>15261</v>
      </c>
      <c r="B2849" s="6" t="str">
        <f>image("https://storage.googleapis.com/acdb/photos/BromideNpcNmlCat05_Remake_7_0.png")</f>
        <v/>
      </c>
      <c r="C2849" s="5" t="s">
        <v>151</v>
      </c>
      <c r="D2849" s="5" t="s">
        <v>1327</v>
      </c>
      <c r="E2849" s="5" t="s">
        <v>34</v>
      </c>
      <c r="F2849" s="5" t="s">
        <v>34</v>
      </c>
      <c r="G2849" s="5" t="s">
        <v>36</v>
      </c>
      <c r="H2849" s="5" t="s">
        <v>35</v>
      </c>
      <c r="I2849" s="6">
        <v>1.0</v>
      </c>
      <c r="J2849" s="6" t="s">
        <v>37</v>
      </c>
      <c r="K2849" s="6">
        <v>10.0</v>
      </c>
      <c r="L2849" s="5"/>
      <c r="M2849" s="5"/>
      <c r="N2849" s="6" t="s">
        <v>40</v>
      </c>
      <c r="O2849" s="5" t="s">
        <v>5363</v>
      </c>
      <c r="P2849" s="6" t="s">
        <v>42</v>
      </c>
      <c r="Q2849" s="5" t="s">
        <v>1237</v>
      </c>
      <c r="R2849" s="5" t="s">
        <v>15283</v>
      </c>
      <c r="S2849" s="6" t="s">
        <v>208</v>
      </c>
      <c r="T2849" s="6">
        <v>6750.0</v>
      </c>
    </row>
    <row r="2850" ht="56.25" customHeight="1">
      <c r="A2850" s="5" t="s">
        <v>15284</v>
      </c>
      <c r="B2850" s="6" t="str">
        <f>image("https://storage.googleapis.com/acdb/photos/BromideNpcNmlRhn00_Remake_0_0.png")</f>
        <v/>
      </c>
      <c r="C2850" s="5" t="s">
        <v>366</v>
      </c>
      <c r="D2850" s="5" t="s">
        <v>1327</v>
      </c>
      <c r="E2850" s="5" t="s">
        <v>34</v>
      </c>
      <c r="F2850" s="5" t="s">
        <v>34</v>
      </c>
      <c r="G2850" s="5" t="s">
        <v>36</v>
      </c>
      <c r="H2850" s="5" t="s">
        <v>35</v>
      </c>
      <c r="I2850" s="6">
        <v>1.0</v>
      </c>
      <c r="J2850" s="6" t="s">
        <v>37</v>
      </c>
      <c r="K2850" s="6">
        <v>10.0</v>
      </c>
      <c r="L2850" s="5"/>
      <c r="M2850" s="5"/>
      <c r="N2850" s="6" t="s">
        <v>40</v>
      </c>
      <c r="O2850" s="5" t="s">
        <v>5363</v>
      </c>
      <c r="P2850" s="6" t="s">
        <v>42</v>
      </c>
      <c r="Q2850" s="5" t="s">
        <v>1237</v>
      </c>
      <c r="R2850" s="5" t="s">
        <v>15288</v>
      </c>
      <c r="S2850" s="6" t="s">
        <v>50</v>
      </c>
      <c r="T2850" s="6">
        <v>6684.0</v>
      </c>
    </row>
    <row r="2851" ht="56.25" customHeight="1">
      <c r="A2851" s="5" t="s">
        <v>15284</v>
      </c>
      <c r="B2851" s="6" t="str">
        <f>image("https://storage.googleapis.com/acdb/photos/BromideNpcNmlRhn00_Remake_1_0.png")</f>
        <v/>
      </c>
      <c r="C2851" s="5" t="s">
        <v>1132</v>
      </c>
      <c r="D2851" s="5" t="s">
        <v>1327</v>
      </c>
      <c r="E2851" s="5" t="s">
        <v>34</v>
      </c>
      <c r="F2851" s="5" t="s">
        <v>34</v>
      </c>
      <c r="G2851" s="5" t="s">
        <v>36</v>
      </c>
      <c r="H2851" s="5" t="s">
        <v>35</v>
      </c>
      <c r="I2851" s="6">
        <v>1.0</v>
      </c>
      <c r="J2851" s="6" t="s">
        <v>37</v>
      </c>
      <c r="K2851" s="6">
        <v>10.0</v>
      </c>
      <c r="L2851" s="5"/>
      <c r="M2851" s="5"/>
      <c r="N2851" s="6" t="s">
        <v>40</v>
      </c>
      <c r="O2851" s="5" t="s">
        <v>5363</v>
      </c>
      <c r="P2851" s="6" t="s">
        <v>42</v>
      </c>
      <c r="Q2851" s="5" t="s">
        <v>1237</v>
      </c>
      <c r="R2851" s="5" t="s">
        <v>15290</v>
      </c>
      <c r="S2851" s="6" t="s">
        <v>56</v>
      </c>
      <c r="T2851" s="6">
        <v>6684.0</v>
      </c>
    </row>
    <row r="2852" ht="56.25" customHeight="1">
      <c r="A2852" s="5" t="s">
        <v>15284</v>
      </c>
      <c r="B2852" s="6" t="str">
        <f>image("https://storage.googleapis.com/acdb/photos/BromideNpcNmlRhn00_Remake_2_0.png")</f>
        <v/>
      </c>
      <c r="C2852" s="5" t="s">
        <v>688</v>
      </c>
      <c r="D2852" s="5" t="s">
        <v>1327</v>
      </c>
      <c r="E2852" s="5" t="s">
        <v>34</v>
      </c>
      <c r="F2852" s="5" t="s">
        <v>34</v>
      </c>
      <c r="G2852" s="5" t="s">
        <v>36</v>
      </c>
      <c r="H2852" s="5" t="s">
        <v>35</v>
      </c>
      <c r="I2852" s="6">
        <v>1.0</v>
      </c>
      <c r="J2852" s="6" t="s">
        <v>37</v>
      </c>
      <c r="K2852" s="6">
        <v>10.0</v>
      </c>
      <c r="L2852" s="5"/>
      <c r="M2852" s="5"/>
      <c r="N2852" s="6" t="s">
        <v>40</v>
      </c>
      <c r="O2852" s="5" t="s">
        <v>5363</v>
      </c>
      <c r="P2852" s="6" t="s">
        <v>42</v>
      </c>
      <c r="Q2852" s="5" t="s">
        <v>1237</v>
      </c>
      <c r="R2852" s="5" t="s">
        <v>15294</v>
      </c>
      <c r="S2852" s="6" t="s">
        <v>67</v>
      </c>
      <c r="T2852" s="6">
        <v>6684.0</v>
      </c>
    </row>
    <row r="2853" ht="56.25" customHeight="1">
      <c r="A2853" s="5" t="s">
        <v>15284</v>
      </c>
      <c r="B2853" s="6" t="str">
        <f>image("https://storage.googleapis.com/acdb/photos/BromideNpcNmlRhn00_Remake_3_0.png")</f>
        <v/>
      </c>
      <c r="C2853" s="5" t="s">
        <v>57</v>
      </c>
      <c r="D2853" s="5" t="s">
        <v>1327</v>
      </c>
      <c r="E2853" s="5" t="s">
        <v>34</v>
      </c>
      <c r="F2853" s="5" t="s">
        <v>34</v>
      </c>
      <c r="G2853" s="5" t="s">
        <v>36</v>
      </c>
      <c r="H2853" s="5" t="s">
        <v>35</v>
      </c>
      <c r="I2853" s="6">
        <v>1.0</v>
      </c>
      <c r="J2853" s="6" t="s">
        <v>37</v>
      </c>
      <c r="K2853" s="6">
        <v>10.0</v>
      </c>
      <c r="L2853" s="5"/>
      <c r="M2853" s="5"/>
      <c r="N2853" s="6" t="s">
        <v>40</v>
      </c>
      <c r="O2853" s="5" t="s">
        <v>5363</v>
      </c>
      <c r="P2853" s="6" t="s">
        <v>42</v>
      </c>
      <c r="Q2853" s="5" t="s">
        <v>1237</v>
      </c>
      <c r="R2853" s="5" t="s">
        <v>15297</v>
      </c>
      <c r="S2853" s="6" t="s">
        <v>71</v>
      </c>
      <c r="T2853" s="6">
        <v>6684.0</v>
      </c>
    </row>
    <row r="2854" ht="56.25" customHeight="1">
      <c r="A2854" s="5" t="s">
        <v>15284</v>
      </c>
      <c r="B2854" s="6" t="str">
        <f>image("https://storage.googleapis.com/acdb/photos/BromideNpcNmlRhn00_Remake_4_0.png")</f>
        <v/>
      </c>
      <c r="C2854" s="5" t="s">
        <v>1167</v>
      </c>
      <c r="D2854" s="5" t="s">
        <v>1327</v>
      </c>
      <c r="E2854" s="5" t="s">
        <v>34</v>
      </c>
      <c r="F2854" s="5" t="s">
        <v>34</v>
      </c>
      <c r="G2854" s="5" t="s">
        <v>36</v>
      </c>
      <c r="H2854" s="5" t="s">
        <v>35</v>
      </c>
      <c r="I2854" s="6">
        <v>1.0</v>
      </c>
      <c r="J2854" s="6" t="s">
        <v>37</v>
      </c>
      <c r="K2854" s="6">
        <v>10.0</v>
      </c>
      <c r="L2854" s="5"/>
      <c r="M2854" s="5"/>
      <c r="N2854" s="6" t="s">
        <v>40</v>
      </c>
      <c r="O2854" s="5" t="s">
        <v>5363</v>
      </c>
      <c r="P2854" s="6" t="s">
        <v>42</v>
      </c>
      <c r="Q2854" s="5" t="s">
        <v>1237</v>
      </c>
      <c r="R2854" s="5" t="s">
        <v>15299</v>
      </c>
      <c r="S2854" s="6" t="s">
        <v>75</v>
      </c>
      <c r="T2854" s="6">
        <v>6684.0</v>
      </c>
    </row>
    <row r="2855" ht="56.25" customHeight="1">
      <c r="A2855" s="5" t="s">
        <v>15284</v>
      </c>
      <c r="B2855" s="6" t="str">
        <f>image("https://storage.googleapis.com/acdb/photos/BromideNpcNmlRhn00_Remake_5_0.png")</f>
        <v/>
      </c>
      <c r="C2855" s="5" t="s">
        <v>58</v>
      </c>
      <c r="D2855" s="5" t="s">
        <v>1327</v>
      </c>
      <c r="E2855" s="5" t="s">
        <v>34</v>
      </c>
      <c r="F2855" s="5" t="s">
        <v>34</v>
      </c>
      <c r="G2855" s="5" t="s">
        <v>36</v>
      </c>
      <c r="H2855" s="5" t="s">
        <v>35</v>
      </c>
      <c r="I2855" s="6">
        <v>1.0</v>
      </c>
      <c r="J2855" s="6" t="s">
        <v>37</v>
      </c>
      <c r="K2855" s="6">
        <v>10.0</v>
      </c>
      <c r="L2855" s="5"/>
      <c r="M2855" s="5"/>
      <c r="N2855" s="6" t="s">
        <v>40</v>
      </c>
      <c r="O2855" s="5" t="s">
        <v>5363</v>
      </c>
      <c r="P2855" s="6" t="s">
        <v>42</v>
      </c>
      <c r="Q2855" s="5" t="s">
        <v>1237</v>
      </c>
      <c r="R2855" s="5" t="s">
        <v>15302</v>
      </c>
      <c r="S2855" s="6" t="s">
        <v>79</v>
      </c>
      <c r="T2855" s="6">
        <v>6684.0</v>
      </c>
    </row>
    <row r="2856" ht="56.25" customHeight="1">
      <c r="A2856" s="5" t="s">
        <v>15284</v>
      </c>
      <c r="B2856" s="6" t="str">
        <f>image("https://storage.googleapis.com/acdb/photos/BromideNpcNmlRhn00_Remake_6_0.png")</f>
        <v/>
      </c>
      <c r="C2856" s="5" t="s">
        <v>146</v>
      </c>
      <c r="D2856" s="5" t="s">
        <v>1327</v>
      </c>
      <c r="E2856" s="5" t="s">
        <v>34</v>
      </c>
      <c r="F2856" s="5" t="s">
        <v>34</v>
      </c>
      <c r="G2856" s="5" t="s">
        <v>36</v>
      </c>
      <c r="H2856" s="5" t="s">
        <v>35</v>
      </c>
      <c r="I2856" s="6">
        <v>1.0</v>
      </c>
      <c r="J2856" s="6" t="s">
        <v>37</v>
      </c>
      <c r="K2856" s="6">
        <v>10.0</v>
      </c>
      <c r="L2856" s="5"/>
      <c r="M2856" s="5"/>
      <c r="N2856" s="6" t="s">
        <v>40</v>
      </c>
      <c r="O2856" s="5" t="s">
        <v>5363</v>
      </c>
      <c r="P2856" s="6" t="s">
        <v>42</v>
      </c>
      <c r="Q2856" s="5" t="s">
        <v>1237</v>
      </c>
      <c r="R2856" s="5" t="s">
        <v>15304</v>
      </c>
      <c r="S2856" s="6" t="s">
        <v>86</v>
      </c>
      <c r="T2856" s="6">
        <v>6684.0</v>
      </c>
    </row>
    <row r="2857" ht="56.25" customHeight="1">
      <c r="A2857" s="5" t="s">
        <v>15284</v>
      </c>
      <c r="B2857" s="6" t="str">
        <f>image("https://storage.googleapis.com/acdb/photos/BromideNpcNmlRhn00_Remake_7_0.png")</f>
        <v/>
      </c>
      <c r="C2857" s="5" t="s">
        <v>151</v>
      </c>
      <c r="D2857" s="5" t="s">
        <v>1327</v>
      </c>
      <c r="E2857" s="5" t="s">
        <v>34</v>
      </c>
      <c r="F2857" s="5" t="s">
        <v>34</v>
      </c>
      <c r="G2857" s="5" t="s">
        <v>36</v>
      </c>
      <c r="H2857" s="5" t="s">
        <v>35</v>
      </c>
      <c r="I2857" s="6">
        <v>1.0</v>
      </c>
      <c r="J2857" s="6" t="s">
        <v>37</v>
      </c>
      <c r="K2857" s="6">
        <v>10.0</v>
      </c>
      <c r="L2857" s="5"/>
      <c r="M2857" s="5"/>
      <c r="N2857" s="6" t="s">
        <v>40</v>
      </c>
      <c r="O2857" s="5" t="s">
        <v>5363</v>
      </c>
      <c r="P2857" s="6" t="s">
        <v>42</v>
      </c>
      <c r="Q2857" s="5" t="s">
        <v>1237</v>
      </c>
      <c r="R2857" s="5" t="s">
        <v>15308</v>
      </c>
      <c r="S2857" s="6" t="s">
        <v>208</v>
      </c>
      <c r="T2857" s="6">
        <v>6684.0</v>
      </c>
    </row>
    <row r="2858" ht="56.25" customHeight="1">
      <c r="A2858" s="5" t="s">
        <v>15310</v>
      </c>
      <c r="B2858" s="6" t="str">
        <f>image("https://storage.googleapis.com/acdb/photos/BromideNpcNmlSqu13_Remake_0_0.png")</f>
        <v/>
      </c>
      <c r="C2858" s="5" t="s">
        <v>366</v>
      </c>
      <c r="D2858" s="5" t="s">
        <v>1327</v>
      </c>
      <c r="E2858" s="5" t="s">
        <v>34</v>
      </c>
      <c r="F2858" s="5" t="s">
        <v>34</v>
      </c>
      <c r="G2858" s="5" t="s">
        <v>36</v>
      </c>
      <c r="H2858" s="5" t="s">
        <v>35</v>
      </c>
      <c r="I2858" s="6">
        <v>1.0</v>
      </c>
      <c r="J2858" s="6" t="s">
        <v>37</v>
      </c>
      <c r="K2858" s="6">
        <v>10.0</v>
      </c>
      <c r="L2858" s="5"/>
      <c r="M2858" s="5"/>
      <c r="N2858" s="6" t="s">
        <v>40</v>
      </c>
      <c r="O2858" s="5" t="s">
        <v>5363</v>
      </c>
      <c r="P2858" s="6" t="s">
        <v>42</v>
      </c>
      <c r="Q2858" s="5" t="s">
        <v>1237</v>
      </c>
      <c r="R2858" s="5" t="s">
        <v>15314</v>
      </c>
      <c r="S2858" s="6" t="s">
        <v>50</v>
      </c>
      <c r="T2858" s="6">
        <v>6717.0</v>
      </c>
    </row>
    <row r="2859" ht="56.25" customHeight="1">
      <c r="A2859" s="5" t="s">
        <v>15310</v>
      </c>
      <c r="B2859" s="6" t="str">
        <f>image("https://storage.googleapis.com/acdb/photos/BromideNpcNmlSqu13_Remake_1_0.png")</f>
        <v/>
      </c>
      <c r="C2859" s="5" t="s">
        <v>1132</v>
      </c>
      <c r="D2859" s="5" t="s">
        <v>1327</v>
      </c>
      <c r="E2859" s="5" t="s">
        <v>34</v>
      </c>
      <c r="F2859" s="5" t="s">
        <v>34</v>
      </c>
      <c r="G2859" s="5" t="s">
        <v>36</v>
      </c>
      <c r="H2859" s="5" t="s">
        <v>35</v>
      </c>
      <c r="I2859" s="6">
        <v>1.0</v>
      </c>
      <c r="J2859" s="6" t="s">
        <v>37</v>
      </c>
      <c r="K2859" s="6">
        <v>10.0</v>
      </c>
      <c r="L2859" s="5"/>
      <c r="M2859" s="5"/>
      <c r="N2859" s="6" t="s">
        <v>40</v>
      </c>
      <c r="O2859" s="5" t="s">
        <v>5363</v>
      </c>
      <c r="P2859" s="6" t="s">
        <v>42</v>
      </c>
      <c r="Q2859" s="5" t="s">
        <v>1237</v>
      </c>
      <c r="R2859" s="5" t="s">
        <v>15317</v>
      </c>
      <c r="S2859" s="6" t="s">
        <v>56</v>
      </c>
      <c r="T2859" s="6">
        <v>6717.0</v>
      </c>
    </row>
    <row r="2860" ht="56.25" customHeight="1">
      <c r="A2860" s="5" t="s">
        <v>15310</v>
      </c>
      <c r="B2860" s="6" t="str">
        <f>image("https://storage.googleapis.com/acdb/photos/BromideNpcNmlSqu13_Remake_2_0.png")</f>
        <v/>
      </c>
      <c r="C2860" s="5" t="s">
        <v>688</v>
      </c>
      <c r="D2860" s="5" t="s">
        <v>1327</v>
      </c>
      <c r="E2860" s="5" t="s">
        <v>34</v>
      </c>
      <c r="F2860" s="5" t="s">
        <v>34</v>
      </c>
      <c r="G2860" s="5" t="s">
        <v>36</v>
      </c>
      <c r="H2860" s="5" t="s">
        <v>35</v>
      </c>
      <c r="I2860" s="6">
        <v>1.0</v>
      </c>
      <c r="J2860" s="6" t="s">
        <v>37</v>
      </c>
      <c r="K2860" s="6">
        <v>10.0</v>
      </c>
      <c r="L2860" s="5"/>
      <c r="M2860" s="5"/>
      <c r="N2860" s="6" t="s">
        <v>40</v>
      </c>
      <c r="O2860" s="5" t="s">
        <v>5363</v>
      </c>
      <c r="P2860" s="6" t="s">
        <v>42</v>
      </c>
      <c r="Q2860" s="5" t="s">
        <v>1237</v>
      </c>
      <c r="R2860" s="5" t="s">
        <v>15319</v>
      </c>
      <c r="S2860" s="6" t="s">
        <v>67</v>
      </c>
      <c r="T2860" s="6">
        <v>6717.0</v>
      </c>
    </row>
    <row r="2861" ht="56.25" customHeight="1">
      <c r="A2861" s="5" t="s">
        <v>15310</v>
      </c>
      <c r="B2861" s="6" t="str">
        <f>image("https://storage.googleapis.com/acdb/photos/BromideNpcNmlSqu13_Remake_3_0.png")</f>
        <v/>
      </c>
      <c r="C2861" s="5" t="s">
        <v>57</v>
      </c>
      <c r="D2861" s="5" t="s">
        <v>1327</v>
      </c>
      <c r="E2861" s="5" t="s">
        <v>34</v>
      </c>
      <c r="F2861" s="5" t="s">
        <v>34</v>
      </c>
      <c r="G2861" s="5" t="s">
        <v>36</v>
      </c>
      <c r="H2861" s="5" t="s">
        <v>35</v>
      </c>
      <c r="I2861" s="6">
        <v>1.0</v>
      </c>
      <c r="J2861" s="6" t="s">
        <v>37</v>
      </c>
      <c r="K2861" s="6">
        <v>10.0</v>
      </c>
      <c r="L2861" s="5"/>
      <c r="M2861" s="5"/>
      <c r="N2861" s="6" t="s">
        <v>40</v>
      </c>
      <c r="O2861" s="5" t="s">
        <v>5363</v>
      </c>
      <c r="P2861" s="6" t="s">
        <v>42</v>
      </c>
      <c r="Q2861" s="5" t="s">
        <v>1237</v>
      </c>
      <c r="R2861" s="5" t="s">
        <v>15322</v>
      </c>
      <c r="S2861" s="6" t="s">
        <v>71</v>
      </c>
      <c r="T2861" s="6">
        <v>6717.0</v>
      </c>
    </row>
    <row r="2862" ht="56.25" customHeight="1">
      <c r="A2862" s="5" t="s">
        <v>15310</v>
      </c>
      <c r="B2862" s="6" t="str">
        <f>image("https://storage.googleapis.com/acdb/photos/BromideNpcNmlSqu13_Remake_4_0.png")</f>
        <v/>
      </c>
      <c r="C2862" s="5" t="s">
        <v>1167</v>
      </c>
      <c r="D2862" s="5" t="s">
        <v>1327</v>
      </c>
      <c r="E2862" s="5" t="s">
        <v>34</v>
      </c>
      <c r="F2862" s="5" t="s">
        <v>34</v>
      </c>
      <c r="G2862" s="5" t="s">
        <v>36</v>
      </c>
      <c r="H2862" s="5" t="s">
        <v>35</v>
      </c>
      <c r="I2862" s="6">
        <v>1.0</v>
      </c>
      <c r="J2862" s="6" t="s">
        <v>37</v>
      </c>
      <c r="K2862" s="6">
        <v>10.0</v>
      </c>
      <c r="L2862" s="5"/>
      <c r="M2862" s="5"/>
      <c r="N2862" s="6" t="s">
        <v>40</v>
      </c>
      <c r="O2862" s="5" t="s">
        <v>5363</v>
      </c>
      <c r="P2862" s="6" t="s">
        <v>42</v>
      </c>
      <c r="Q2862" s="5" t="s">
        <v>1237</v>
      </c>
      <c r="R2862" s="5" t="s">
        <v>15324</v>
      </c>
      <c r="S2862" s="6" t="s">
        <v>75</v>
      </c>
      <c r="T2862" s="6">
        <v>6717.0</v>
      </c>
    </row>
    <row r="2863" ht="56.25" customHeight="1">
      <c r="A2863" s="5" t="s">
        <v>15310</v>
      </c>
      <c r="B2863" s="6" t="str">
        <f>image("https://storage.googleapis.com/acdb/photos/BromideNpcNmlSqu13_Remake_5_0.png")</f>
        <v/>
      </c>
      <c r="C2863" s="5" t="s">
        <v>58</v>
      </c>
      <c r="D2863" s="5" t="s">
        <v>1327</v>
      </c>
      <c r="E2863" s="5" t="s">
        <v>34</v>
      </c>
      <c r="F2863" s="5" t="s">
        <v>34</v>
      </c>
      <c r="G2863" s="5" t="s">
        <v>36</v>
      </c>
      <c r="H2863" s="5" t="s">
        <v>35</v>
      </c>
      <c r="I2863" s="6">
        <v>1.0</v>
      </c>
      <c r="J2863" s="6" t="s">
        <v>37</v>
      </c>
      <c r="K2863" s="6">
        <v>10.0</v>
      </c>
      <c r="L2863" s="5"/>
      <c r="M2863" s="5"/>
      <c r="N2863" s="6" t="s">
        <v>40</v>
      </c>
      <c r="O2863" s="5" t="s">
        <v>5363</v>
      </c>
      <c r="P2863" s="6" t="s">
        <v>42</v>
      </c>
      <c r="Q2863" s="5" t="s">
        <v>1237</v>
      </c>
      <c r="R2863" s="5" t="s">
        <v>15326</v>
      </c>
      <c r="S2863" s="6" t="s">
        <v>79</v>
      </c>
      <c r="T2863" s="6">
        <v>6717.0</v>
      </c>
    </row>
    <row r="2864" ht="56.25" customHeight="1">
      <c r="A2864" s="5" t="s">
        <v>15310</v>
      </c>
      <c r="B2864" s="6" t="str">
        <f>image("https://storage.googleapis.com/acdb/photos/BromideNpcNmlSqu13_Remake_6_0.png")</f>
        <v/>
      </c>
      <c r="C2864" s="5" t="s">
        <v>146</v>
      </c>
      <c r="D2864" s="5" t="s">
        <v>1327</v>
      </c>
      <c r="E2864" s="5" t="s">
        <v>34</v>
      </c>
      <c r="F2864" s="5" t="s">
        <v>34</v>
      </c>
      <c r="G2864" s="5" t="s">
        <v>36</v>
      </c>
      <c r="H2864" s="5" t="s">
        <v>35</v>
      </c>
      <c r="I2864" s="6">
        <v>1.0</v>
      </c>
      <c r="J2864" s="6" t="s">
        <v>37</v>
      </c>
      <c r="K2864" s="6">
        <v>10.0</v>
      </c>
      <c r="L2864" s="5"/>
      <c r="M2864" s="5"/>
      <c r="N2864" s="6" t="s">
        <v>40</v>
      </c>
      <c r="O2864" s="5" t="s">
        <v>5363</v>
      </c>
      <c r="P2864" s="6" t="s">
        <v>42</v>
      </c>
      <c r="Q2864" s="5" t="s">
        <v>1237</v>
      </c>
      <c r="R2864" s="5" t="s">
        <v>15331</v>
      </c>
      <c r="S2864" s="6" t="s">
        <v>86</v>
      </c>
      <c r="T2864" s="6">
        <v>6717.0</v>
      </c>
    </row>
    <row r="2865" ht="56.25" customHeight="1">
      <c r="A2865" s="5" t="s">
        <v>15310</v>
      </c>
      <c r="B2865" s="6" t="str">
        <f>image("https://storage.googleapis.com/acdb/photos/BromideNpcNmlSqu13_Remake_7_0.png")</f>
        <v/>
      </c>
      <c r="C2865" s="5" t="s">
        <v>151</v>
      </c>
      <c r="D2865" s="5" t="s">
        <v>1327</v>
      </c>
      <c r="E2865" s="5" t="s">
        <v>34</v>
      </c>
      <c r="F2865" s="5" t="s">
        <v>34</v>
      </c>
      <c r="G2865" s="5" t="s">
        <v>36</v>
      </c>
      <c r="H2865" s="5" t="s">
        <v>35</v>
      </c>
      <c r="I2865" s="6">
        <v>1.0</v>
      </c>
      <c r="J2865" s="6" t="s">
        <v>37</v>
      </c>
      <c r="K2865" s="6">
        <v>10.0</v>
      </c>
      <c r="L2865" s="5"/>
      <c r="M2865" s="5"/>
      <c r="N2865" s="6" t="s">
        <v>40</v>
      </c>
      <c r="O2865" s="5" t="s">
        <v>5363</v>
      </c>
      <c r="P2865" s="6" t="s">
        <v>42</v>
      </c>
      <c r="Q2865" s="5" t="s">
        <v>1237</v>
      </c>
      <c r="R2865" s="5" t="s">
        <v>15334</v>
      </c>
      <c r="S2865" s="6" t="s">
        <v>208</v>
      </c>
      <c r="T2865" s="6">
        <v>6717.0</v>
      </c>
    </row>
    <row r="2866" ht="56.25" customHeight="1">
      <c r="A2866" s="5" t="s">
        <v>15335</v>
      </c>
      <c r="B2866" s="6" t="str">
        <f>image("https://storage.googleapis.com/acdb/photos/BromideNpcNmlBea00_Remake_0_0.png")</f>
        <v/>
      </c>
      <c r="C2866" s="5" t="s">
        <v>366</v>
      </c>
      <c r="D2866" s="5" t="s">
        <v>1327</v>
      </c>
      <c r="E2866" s="5" t="s">
        <v>34</v>
      </c>
      <c r="F2866" s="5" t="s">
        <v>34</v>
      </c>
      <c r="G2866" s="5" t="s">
        <v>36</v>
      </c>
      <c r="H2866" s="5" t="s">
        <v>35</v>
      </c>
      <c r="I2866" s="6">
        <v>1.0</v>
      </c>
      <c r="J2866" s="6" t="s">
        <v>37</v>
      </c>
      <c r="K2866" s="6">
        <v>10.0</v>
      </c>
      <c r="L2866" s="5"/>
      <c r="M2866" s="5"/>
      <c r="N2866" s="6" t="s">
        <v>40</v>
      </c>
      <c r="O2866" s="5" t="s">
        <v>5363</v>
      </c>
      <c r="P2866" s="6" t="s">
        <v>42</v>
      </c>
      <c r="Q2866" s="5" t="s">
        <v>1237</v>
      </c>
      <c r="R2866" s="5" t="s">
        <v>15339</v>
      </c>
      <c r="S2866" s="6" t="s">
        <v>50</v>
      </c>
      <c r="T2866" s="6">
        <v>6787.0</v>
      </c>
    </row>
    <row r="2867" ht="56.25" customHeight="1">
      <c r="A2867" s="5" t="s">
        <v>15335</v>
      </c>
      <c r="B2867" s="6" t="str">
        <f>image("https://storage.googleapis.com/acdb/photos/BromideNpcNmlBea00_Remake_1_0.png")</f>
        <v/>
      </c>
      <c r="C2867" s="5" t="s">
        <v>1132</v>
      </c>
      <c r="D2867" s="5" t="s">
        <v>1327</v>
      </c>
      <c r="E2867" s="5" t="s">
        <v>34</v>
      </c>
      <c r="F2867" s="5" t="s">
        <v>34</v>
      </c>
      <c r="G2867" s="5" t="s">
        <v>36</v>
      </c>
      <c r="H2867" s="5" t="s">
        <v>35</v>
      </c>
      <c r="I2867" s="6">
        <v>1.0</v>
      </c>
      <c r="J2867" s="6" t="s">
        <v>37</v>
      </c>
      <c r="K2867" s="6">
        <v>10.0</v>
      </c>
      <c r="L2867" s="5"/>
      <c r="M2867" s="5"/>
      <c r="N2867" s="6" t="s">
        <v>40</v>
      </c>
      <c r="O2867" s="5" t="s">
        <v>5363</v>
      </c>
      <c r="P2867" s="6" t="s">
        <v>42</v>
      </c>
      <c r="Q2867" s="5" t="s">
        <v>1237</v>
      </c>
      <c r="R2867" s="5" t="s">
        <v>15341</v>
      </c>
      <c r="S2867" s="6" t="s">
        <v>56</v>
      </c>
      <c r="T2867" s="6">
        <v>6787.0</v>
      </c>
    </row>
    <row r="2868" ht="56.25" customHeight="1">
      <c r="A2868" s="5" t="s">
        <v>15335</v>
      </c>
      <c r="B2868" s="6" t="str">
        <f>image("https://storage.googleapis.com/acdb/photos/BromideNpcNmlBea00_Remake_2_0.png")</f>
        <v/>
      </c>
      <c r="C2868" s="5" t="s">
        <v>688</v>
      </c>
      <c r="D2868" s="5" t="s">
        <v>1327</v>
      </c>
      <c r="E2868" s="5" t="s">
        <v>34</v>
      </c>
      <c r="F2868" s="5" t="s">
        <v>34</v>
      </c>
      <c r="G2868" s="5" t="s">
        <v>36</v>
      </c>
      <c r="H2868" s="5" t="s">
        <v>35</v>
      </c>
      <c r="I2868" s="6">
        <v>1.0</v>
      </c>
      <c r="J2868" s="6" t="s">
        <v>37</v>
      </c>
      <c r="K2868" s="6">
        <v>10.0</v>
      </c>
      <c r="L2868" s="5"/>
      <c r="M2868" s="5"/>
      <c r="N2868" s="6" t="s">
        <v>40</v>
      </c>
      <c r="O2868" s="5" t="s">
        <v>5363</v>
      </c>
      <c r="P2868" s="6" t="s">
        <v>42</v>
      </c>
      <c r="Q2868" s="5" t="s">
        <v>1237</v>
      </c>
      <c r="R2868" s="5" t="s">
        <v>15344</v>
      </c>
      <c r="S2868" s="6" t="s">
        <v>67</v>
      </c>
      <c r="T2868" s="6">
        <v>6787.0</v>
      </c>
    </row>
    <row r="2869" ht="56.25" customHeight="1">
      <c r="A2869" s="5" t="s">
        <v>15335</v>
      </c>
      <c r="B2869" s="6" t="str">
        <f>image("https://storage.googleapis.com/acdb/photos/BromideNpcNmlBea00_Remake_3_0.png")</f>
        <v/>
      </c>
      <c r="C2869" s="5" t="s">
        <v>57</v>
      </c>
      <c r="D2869" s="5" t="s">
        <v>1327</v>
      </c>
      <c r="E2869" s="5" t="s">
        <v>34</v>
      </c>
      <c r="F2869" s="5" t="s">
        <v>34</v>
      </c>
      <c r="G2869" s="5" t="s">
        <v>36</v>
      </c>
      <c r="H2869" s="5" t="s">
        <v>35</v>
      </c>
      <c r="I2869" s="6">
        <v>1.0</v>
      </c>
      <c r="J2869" s="6" t="s">
        <v>37</v>
      </c>
      <c r="K2869" s="6">
        <v>10.0</v>
      </c>
      <c r="L2869" s="5"/>
      <c r="M2869" s="5"/>
      <c r="N2869" s="6" t="s">
        <v>40</v>
      </c>
      <c r="O2869" s="5" t="s">
        <v>5363</v>
      </c>
      <c r="P2869" s="6" t="s">
        <v>42</v>
      </c>
      <c r="Q2869" s="5" t="s">
        <v>1237</v>
      </c>
      <c r="R2869" s="5" t="s">
        <v>15347</v>
      </c>
      <c r="S2869" s="6" t="s">
        <v>71</v>
      </c>
      <c r="T2869" s="6">
        <v>6787.0</v>
      </c>
    </row>
    <row r="2870" ht="56.25" customHeight="1">
      <c r="A2870" s="5" t="s">
        <v>15335</v>
      </c>
      <c r="B2870" s="6" t="str">
        <f>image("https://storage.googleapis.com/acdb/photos/BromideNpcNmlBea00_Remake_4_0.png")</f>
        <v/>
      </c>
      <c r="C2870" s="5" t="s">
        <v>1167</v>
      </c>
      <c r="D2870" s="5" t="s">
        <v>1327</v>
      </c>
      <c r="E2870" s="5" t="s">
        <v>34</v>
      </c>
      <c r="F2870" s="5" t="s">
        <v>34</v>
      </c>
      <c r="G2870" s="5" t="s">
        <v>36</v>
      </c>
      <c r="H2870" s="5" t="s">
        <v>35</v>
      </c>
      <c r="I2870" s="6">
        <v>1.0</v>
      </c>
      <c r="J2870" s="6" t="s">
        <v>37</v>
      </c>
      <c r="K2870" s="6">
        <v>10.0</v>
      </c>
      <c r="L2870" s="5"/>
      <c r="M2870" s="5"/>
      <c r="N2870" s="6" t="s">
        <v>40</v>
      </c>
      <c r="O2870" s="5" t="s">
        <v>5363</v>
      </c>
      <c r="P2870" s="6" t="s">
        <v>42</v>
      </c>
      <c r="Q2870" s="5" t="s">
        <v>1237</v>
      </c>
      <c r="R2870" s="5" t="s">
        <v>15352</v>
      </c>
      <c r="S2870" s="6" t="s">
        <v>75</v>
      </c>
      <c r="T2870" s="6">
        <v>6787.0</v>
      </c>
    </row>
    <row r="2871" ht="56.25" customHeight="1">
      <c r="A2871" s="5" t="s">
        <v>15335</v>
      </c>
      <c r="B2871" s="6" t="str">
        <f>image("https://storage.googleapis.com/acdb/photos/BromideNpcNmlBea00_Remake_5_0.png")</f>
        <v/>
      </c>
      <c r="C2871" s="5" t="s">
        <v>58</v>
      </c>
      <c r="D2871" s="5" t="s">
        <v>1327</v>
      </c>
      <c r="E2871" s="5" t="s">
        <v>34</v>
      </c>
      <c r="F2871" s="5" t="s">
        <v>34</v>
      </c>
      <c r="G2871" s="5" t="s">
        <v>36</v>
      </c>
      <c r="H2871" s="5" t="s">
        <v>35</v>
      </c>
      <c r="I2871" s="6">
        <v>1.0</v>
      </c>
      <c r="J2871" s="6" t="s">
        <v>37</v>
      </c>
      <c r="K2871" s="6">
        <v>10.0</v>
      </c>
      <c r="L2871" s="5"/>
      <c r="M2871" s="5"/>
      <c r="N2871" s="6" t="s">
        <v>40</v>
      </c>
      <c r="O2871" s="5" t="s">
        <v>5363</v>
      </c>
      <c r="P2871" s="6" t="s">
        <v>42</v>
      </c>
      <c r="Q2871" s="5" t="s">
        <v>1237</v>
      </c>
      <c r="R2871" s="5" t="s">
        <v>15356</v>
      </c>
      <c r="S2871" s="6" t="s">
        <v>79</v>
      </c>
      <c r="T2871" s="6">
        <v>6787.0</v>
      </c>
    </row>
    <row r="2872" ht="56.25" customHeight="1">
      <c r="A2872" s="5" t="s">
        <v>15335</v>
      </c>
      <c r="B2872" s="6" t="str">
        <f>image("https://storage.googleapis.com/acdb/photos/BromideNpcNmlBea00_Remake_6_0.png")</f>
        <v/>
      </c>
      <c r="C2872" s="5" t="s">
        <v>146</v>
      </c>
      <c r="D2872" s="5" t="s">
        <v>1327</v>
      </c>
      <c r="E2872" s="5" t="s">
        <v>34</v>
      </c>
      <c r="F2872" s="5" t="s">
        <v>34</v>
      </c>
      <c r="G2872" s="5" t="s">
        <v>36</v>
      </c>
      <c r="H2872" s="5" t="s">
        <v>35</v>
      </c>
      <c r="I2872" s="6">
        <v>1.0</v>
      </c>
      <c r="J2872" s="6" t="s">
        <v>37</v>
      </c>
      <c r="K2872" s="6">
        <v>10.0</v>
      </c>
      <c r="L2872" s="5"/>
      <c r="M2872" s="5"/>
      <c r="N2872" s="6" t="s">
        <v>40</v>
      </c>
      <c r="O2872" s="5" t="s">
        <v>5363</v>
      </c>
      <c r="P2872" s="6" t="s">
        <v>42</v>
      </c>
      <c r="Q2872" s="5" t="s">
        <v>1237</v>
      </c>
      <c r="R2872" s="5" t="s">
        <v>15359</v>
      </c>
      <c r="S2872" s="6" t="s">
        <v>86</v>
      </c>
      <c r="T2872" s="6">
        <v>6787.0</v>
      </c>
    </row>
    <row r="2873" ht="56.25" customHeight="1">
      <c r="A2873" s="5" t="s">
        <v>15335</v>
      </c>
      <c r="B2873" s="6" t="str">
        <f>image("https://storage.googleapis.com/acdb/photos/BromideNpcNmlBea00_Remake_7_0.png")</f>
        <v/>
      </c>
      <c r="C2873" s="5" t="s">
        <v>151</v>
      </c>
      <c r="D2873" s="5" t="s">
        <v>1327</v>
      </c>
      <c r="E2873" s="5" t="s">
        <v>34</v>
      </c>
      <c r="F2873" s="5" t="s">
        <v>34</v>
      </c>
      <c r="G2873" s="5" t="s">
        <v>36</v>
      </c>
      <c r="H2873" s="5" t="s">
        <v>35</v>
      </c>
      <c r="I2873" s="6">
        <v>1.0</v>
      </c>
      <c r="J2873" s="6" t="s">
        <v>37</v>
      </c>
      <c r="K2873" s="6">
        <v>10.0</v>
      </c>
      <c r="L2873" s="5"/>
      <c r="M2873" s="5"/>
      <c r="N2873" s="6" t="s">
        <v>40</v>
      </c>
      <c r="O2873" s="5" t="s">
        <v>5363</v>
      </c>
      <c r="P2873" s="6" t="s">
        <v>42</v>
      </c>
      <c r="Q2873" s="5" t="s">
        <v>1237</v>
      </c>
      <c r="R2873" s="5" t="s">
        <v>15363</v>
      </c>
      <c r="S2873" s="6" t="s">
        <v>208</v>
      </c>
      <c r="T2873" s="6">
        <v>6787.0</v>
      </c>
    </row>
    <row r="2874" ht="56.25" customHeight="1">
      <c r="A2874" s="5" t="s">
        <v>15365</v>
      </c>
      <c r="B2874" s="6" t="str">
        <f>image("https://storage.googleapis.com/acdb/photos/BromideNpcNmlPgn12_Remake_0_0.png")</f>
        <v/>
      </c>
      <c r="C2874" s="5" t="s">
        <v>366</v>
      </c>
      <c r="D2874" s="5" t="s">
        <v>1327</v>
      </c>
      <c r="E2874" s="5" t="s">
        <v>34</v>
      </c>
      <c r="F2874" s="5" t="s">
        <v>34</v>
      </c>
      <c r="G2874" s="5" t="s">
        <v>36</v>
      </c>
      <c r="H2874" s="5" t="s">
        <v>35</v>
      </c>
      <c r="I2874" s="6">
        <v>1.0</v>
      </c>
      <c r="J2874" s="6" t="s">
        <v>37</v>
      </c>
      <c r="K2874" s="6">
        <v>10.0</v>
      </c>
      <c r="L2874" s="5"/>
      <c r="M2874" s="5"/>
      <c r="N2874" s="6" t="s">
        <v>40</v>
      </c>
      <c r="O2874" s="5" t="s">
        <v>5363</v>
      </c>
      <c r="P2874" s="6" t="s">
        <v>42</v>
      </c>
      <c r="Q2874" s="5" t="s">
        <v>1237</v>
      </c>
      <c r="R2874" s="5" t="s">
        <v>15367</v>
      </c>
      <c r="S2874" s="6" t="s">
        <v>50</v>
      </c>
      <c r="T2874" s="6">
        <v>6641.0</v>
      </c>
    </row>
    <row r="2875" ht="56.25" customHeight="1">
      <c r="A2875" s="5" t="s">
        <v>15365</v>
      </c>
      <c r="B2875" s="6" t="str">
        <f>image("https://storage.googleapis.com/acdb/photos/BromideNpcNmlPgn12_Remake_1_0.png")</f>
        <v/>
      </c>
      <c r="C2875" s="5" t="s">
        <v>1132</v>
      </c>
      <c r="D2875" s="5" t="s">
        <v>1327</v>
      </c>
      <c r="E2875" s="5" t="s">
        <v>34</v>
      </c>
      <c r="F2875" s="5" t="s">
        <v>34</v>
      </c>
      <c r="G2875" s="5" t="s">
        <v>36</v>
      </c>
      <c r="H2875" s="5" t="s">
        <v>35</v>
      </c>
      <c r="I2875" s="6">
        <v>1.0</v>
      </c>
      <c r="J2875" s="6" t="s">
        <v>37</v>
      </c>
      <c r="K2875" s="6">
        <v>10.0</v>
      </c>
      <c r="L2875" s="5"/>
      <c r="M2875" s="5"/>
      <c r="N2875" s="6" t="s">
        <v>40</v>
      </c>
      <c r="O2875" s="5" t="s">
        <v>5363</v>
      </c>
      <c r="P2875" s="6" t="s">
        <v>42</v>
      </c>
      <c r="Q2875" s="5" t="s">
        <v>1237</v>
      </c>
      <c r="R2875" s="5" t="s">
        <v>15369</v>
      </c>
      <c r="S2875" s="6" t="s">
        <v>56</v>
      </c>
      <c r="T2875" s="6">
        <v>6641.0</v>
      </c>
    </row>
    <row r="2876" ht="56.25" customHeight="1">
      <c r="A2876" s="5" t="s">
        <v>15365</v>
      </c>
      <c r="B2876" s="6" t="str">
        <f>image("https://storage.googleapis.com/acdb/photos/BromideNpcNmlPgn12_Remake_2_0.png")</f>
        <v/>
      </c>
      <c r="C2876" s="5" t="s">
        <v>688</v>
      </c>
      <c r="D2876" s="5" t="s">
        <v>1327</v>
      </c>
      <c r="E2876" s="5" t="s">
        <v>34</v>
      </c>
      <c r="F2876" s="5" t="s">
        <v>34</v>
      </c>
      <c r="G2876" s="5" t="s">
        <v>36</v>
      </c>
      <c r="H2876" s="5" t="s">
        <v>35</v>
      </c>
      <c r="I2876" s="6">
        <v>1.0</v>
      </c>
      <c r="J2876" s="6" t="s">
        <v>37</v>
      </c>
      <c r="K2876" s="6">
        <v>10.0</v>
      </c>
      <c r="L2876" s="5"/>
      <c r="M2876" s="5"/>
      <c r="N2876" s="6" t="s">
        <v>40</v>
      </c>
      <c r="O2876" s="5" t="s">
        <v>5363</v>
      </c>
      <c r="P2876" s="6" t="s">
        <v>42</v>
      </c>
      <c r="Q2876" s="5" t="s">
        <v>1237</v>
      </c>
      <c r="R2876" s="5" t="s">
        <v>15371</v>
      </c>
      <c r="S2876" s="6" t="s">
        <v>67</v>
      </c>
      <c r="T2876" s="6">
        <v>6641.0</v>
      </c>
    </row>
    <row r="2877" ht="56.25" customHeight="1">
      <c r="A2877" s="5" t="s">
        <v>15365</v>
      </c>
      <c r="B2877" s="6" t="str">
        <f>image("https://storage.googleapis.com/acdb/photos/BromideNpcNmlPgn12_Remake_3_0.png")</f>
        <v/>
      </c>
      <c r="C2877" s="5" t="s">
        <v>57</v>
      </c>
      <c r="D2877" s="5" t="s">
        <v>1327</v>
      </c>
      <c r="E2877" s="5" t="s">
        <v>34</v>
      </c>
      <c r="F2877" s="5" t="s">
        <v>34</v>
      </c>
      <c r="G2877" s="5" t="s">
        <v>36</v>
      </c>
      <c r="H2877" s="5" t="s">
        <v>35</v>
      </c>
      <c r="I2877" s="6">
        <v>1.0</v>
      </c>
      <c r="J2877" s="6" t="s">
        <v>37</v>
      </c>
      <c r="K2877" s="6">
        <v>10.0</v>
      </c>
      <c r="L2877" s="5"/>
      <c r="M2877" s="5"/>
      <c r="N2877" s="6" t="s">
        <v>40</v>
      </c>
      <c r="O2877" s="5" t="s">
        <v>5363</v>
      </c>
      <c r="P2877" s="6" t="s">
        <v>42</v>
      </c>
      <c r="Q2877" s="5" t="s">
        <v>1237</v>
      </c>
      <c r="R2877" s="5" t="s">
        <v>15374</v>
      </c>
      <c r="S2877" s="6" t="s">
        <v>71</v>
      </c>
      <c r="T2877" s="6">
        <v>6641.0</v>
      </c>
    </row>
    <row r="2878" ht="56.25" customHeight="1">
      <c r="A2878" s="5" t="s">
        <v>15365</v>
      </c>
      <c r="B2878" s="6" t="str">
        <f>image("https://storage.googleapis.com/acdb/photos/BromideNpcNmlPgn12_Remake_4_0.png")</f>
        <v/>
      </c>
      <c r="C2878" s="5" t="s">
        <v>1167</v>
      </c>
      <c r="D2878" s="5" t="s">
        <v>1327</v>
      </c>
      <c r="E2878" s="5" t="s">
        <v>34</v>
      </c>
      <c r="F2878" s="5" t="s">
        <v>34</v>
      </c>
      <c r="G2878" s="5" t="s">
        <v>36</v>
      </c>
      <c r="H2878" s="5" t="s">
        <v>35</v>
      </c>
      <c r="I2878" s="6">
        <v>1.0</v>
      </c>
      <c r="J2878" s="6" t="s">
        <v>37</v>
      </c>
      <c r="K2878" s="6">
        <v>10.0</v>
      </c>
      <c r="L2878" s="5"/>
      <c r="M2878" s="5"/>
      <c r="N2878" s="6" t="s">
        <v>40</v>
      </c>
      <c r="O2878" s="5" t="s">
        <v>5363</v>
      </c>
      <c r="P2878" s="6" t="s">
        <v>42</v>
      </c>
      <c r="Q2878" s="5" t="s">
        <v>1237</v>
      </c>
      <c r="R2878" s="5" t="s">
        <v>15376</v>
      </c>
      <c r="S2878" s="6" t="s">
        <v>75</v>
      </c>
      <c r="T2878" s="6">
        <v>6641.0</v>
      </c>
    </row>
    <row r="2879" ht="56.25" customHeight="1">
      <c r="A2879" s="5" t="s">
        <v>15365</v>
      </c>
      <c r="B2879" s="6" t="str">
        <f>image("https://storage.googleapis.com/acdb/photos/BromideNpcNmlPgn12_Remake_5_0.png")</f>
        <v/>
      </c>
      <c r="C2879" s="5" t="s">
        <v>58</v>
      </c>
      <c r="D2879" s="5" t="s">
        <v>1327</v>
      </c>
      <c r="E2879" s="5" t="s">
        <v>34</v>
      </c>
      <c r="F2879" s="5" t="s">
        <v>34</v>
      </c>
      <c r="G2879" s="5" t="s">
        <v>36</v>
      </c>
      <c r="H2879" s="5" t="s">
        <v>35</v>
      </c>
      <c r="I2879" s="6">
        <v>1.0</v>
      </c>
      <c r="J2879" s="6" t="s">
        <v>37</v>
      </c>
      <c r="K2879" s="6">
        <v>10.0</v>
      </c>
      <c r="L2879" s="5"/>
      <c r="M2879" s="5"/>
      <c r="N2879" s="6" t="s">
        <v>40</v>
      </c>
      <c r="O2879" s="5" t="s">
        <v>5363</v>
      </c>
      <c r="P2879" s="6" t="s">
        <v>42</v>
      </c>
      <c r="Q2879" s="5" t="s">
        <v>1237</v>
      </c>
      <c r="R2879" s="5" t="s">
        <v>15379</v>
      </c>
      <c r="S2879" s="6" t="s">
        <v>79</v>
      </c>
      <c r="T2879" s="6">
        <v>6641.0</v>
      </c>
    </row>
    <row r="2880" ht="56.25" customHeight="1">
      <c r="A2880" s="5" t="s">
        <v>15365</v>
      </c>
      <c r="B2880" s="6" t="str">
        <f>image("https://storage.googleapis.com/acdb/photos/BromideNpcNmlPgn12_Remake_6_0.png")</f>
        <v/>
      </c>
      <c r="C2880" s="5" t="s">
        <v>146</v>
      </c>
      <c r="D2880" s="5" t="s">
        <v>1327</v>
      </c>
      <c r="E2880" s="5" t="s">
        <v>34</v>
      </c>
      <c r="F2880" s="5" t="s">
        <v>34</v>
      </c>
      <c r="G2880" s="5" t="s">
        <v>36</v>
      </c>
      <c r="H2880" s="5" t="s">
        <v>35</v>
      </c>
      <c r="I2880" s="6">
        <v>1.0</v>
      </c>
      <c r="J2880" s="6" t="s">
        <v>37</v>
      </c>
      <c r="K2880" s="6">
        <v>10.0</v>
      </c>
      <c r="L2880" s="5"/>
      <c r="M2880" s="5"/>
      <c r="N2880" s="6" t="s">
        <v>40</v>
      </c>
      <c r="O2880" s="5" t="s">
        <v>5363</v>
      </c>
      <c r="P2880" s="6" t="s">
        <v>42</v>
      </c>
      <c r="Q2880" s="5" t="s">
        <v>1237</v>
      </c>
      <c r="R2880" s="5" t="s">
        <v>15381</v>
      </c>
      <c r="S2880" s="6" t="s">
        <v>86</v>
      </c>
      <c r="T2880" s="6">
        <v>6641.0</v>
      </c>
    </row>
    <row r="2881" ht="56.25" customHeight="1">
      <c r="A2881" s="5" t="s">
        <v>15365</v>
      </c>
      <c r="B2881" s="6" t="str">
        <f>image("https://storage.googleapis.com/acdb/photos/BromideNpcNmlPgn12_Remake_7_0.png")</f>
        <v/>
      </c>
      <c r="C2881" s="5" t="s">
        <v>151</v>
      </c>
      <c r="D2881" s="5" t="s">
        <v>1327</v>
      </c>
      <c r="E2881" s="5" t="s">
        <v>34</v>
      </c>
      <c r="F2881" s="5" t="s">
        <v>34</v>
      </c>
      <c r="G2881" s="5" t="s">
        <v>36</v>
      </c>
      <c r="H2881" s="5" t="s">
        <v>35</v>
      </c>
      <c r="I2881" s="6">
        <v>1.0</v>
      </c>
      <c r="J2881" s="6" t="s">
        <v>37</v>
      </c>
      <c r="K2881" s="6">
        <v>10.0</v>
      </c>
      <c r="L2881" s="5"/>
      <c r="M2881" s="5"/>
      <c r="N2881" s="6" t="s">
        <v>40</v>
      </c>
      <c r="O2881" s="5" t="s">
        <v>5363</v>
      </c>
      <c r="P2881" s="6" t="s">
        <v>42</v>
      </c>
      <c r="Q2881" s="5" t="s">
        <v>1237</v>
      </c>
      <c r="R2881" s="5" t="s">
        <v>15383</v>
      </c>
      <c r="S2881" s="6" t="s">
        <v>208</v>
      </c>
      <c r="T2881" s="6">
        <v>6641.0</v>
      </c>
    </row>
    <row r="2882" ht="56.25" customHeight="1">
      <c r="A2882" s="5" t="s">
        <v>15384</v>
      </c>
      <c r="B2882" s="6" t="str">
        <f>image("https://storage.googleapis.com/acdb/photos/BromideNpcNmlElp10_Remake_0_0.png")</f>
        <v/>
      </c>
      <c r="C2882" s="5" t="s">
        <v>366</v>
      </c>
      <c r="D2882" s="5" t="s">
        <v>1327</v>
      </c>
      <c r="E2882" s="5" t="s">
        <v>34</v>
      </c>
      <c r="F2882" s="5" t="s">
        <v>34</v>
      </c>
      <c r="G2882" s="5" t="s">
        <v>36</v>
      </c>
      <c r="H2882" s="5" t="s">
        <v>35</v>
      </c>
      <c r="I2882" s="6">
        <v>1.0</v>
      </c>
      <c r="J2882" s="6" t="s">
        <v>37</v>
      </c>
      <c r="K2882" s="6">
        <v>10.0</v>
      </c>
      <c r="L2882" s="5"/>
      <c r="M2882" s="5"/>
      <c r="N2882" s="6" t="s">
        <v>40</v>
      </c>
      <c r="O2882" s="5" t="s">
        <v>5363</v>
      </c>
      <c r="P2882" s="6" t="s">
        <v>42</v>
      </c>
      <c r="Q2882" s="5" t="s">
        <v>1237</v>
      </c>
      <c r="R2882" s="5" t="s">
        <v>15387</v>
      </c>
      <c r="S2882" s="6" t="s">
        <v>50</v>
      </c>
      <c r="T2882" s="6">
        <v>6483.0</v>
      </c>
    </row>
    <row r="2883" ht="56.25" customHeight="1">
      <c r="A2883" s="5" t="s">
        <v>15384</v>
      </c>
      <c r="B2883" s="6" t="str">
        <f>image("https://storage.googleapis.com/acdb/photos/BromideNpcNmlElp10_Remake_1_0.png")</f>
        <v/>
      </c>
      <c r="C2883" s="5" t="s">
        <v>1132</v>
      </c>
      <c r="D2883" s="5" t="s">
        <v>1327</v>
      </c>
      <c r="E2883" s="5" t="s">
        <v>34</v>
      </c>
      <c r="F2883" s="5" t="s">
        <v>34</v>
      </c>
      <c r="G2883" s="5" t="s">
        <v>36</v>
      </c>
      <c r="H2883" s="5" t="s">
        <v>35</v>
      </c>
      <c r="I2883" s="6">
        <v>1.0</v>
      </c>
      <c r="J2883" s="6" t="s">
        <v>37</v>
      </c>
      <c r="K2883" s="6">
        <v>10.0</v>
      </c>
      <c r="L2883" s="5"/>
      <c r="M2883" s="5"/>
      <c r="N2883" s="6" t="s">
        <v>40</v>
      </c>
      <c r="O2883" s="5" t="s">
        <v>5363</v>
      </c>
      <c r="P2883" s="6" t="s">
        <v>42</v>
      </c>
      <c r="Q2883" s="5" t="s">
        <v>1237</v>
      </c>
      <c r="R2883" s="5" t="s">
        <v>15389</v>
      </c>
      <c r="S2883" s="6" t="s">
        <v>56</v>
      </c>
      <c r="T2883" s="6">
        <v>6483.0</v>
      </c>
    </row>
    <row r="2884" ht="56.25" customHeight="1">
      <c r="A2884" s="5" t="s">
        <v>15384</v>
      </c>
      <c r="B2884" s="6" t="str">
        <f>image("https://storage.googleapis.com/acdb/photos/BromideNpcNmlElp10_Remake_2_0.png")</f>
        <v/>
      </c>
      <c r="C2884" s="5" t="s">
        <v>688</v>
      </c>
      <c r="D2884" s="5" t="s">
        <v>1327</v>
      </c>
      <c r="E2884" s="5" t="s">
        <v>34</v>
      </c>
      <c r="F2884" s="5" t="s">
        <v>34</v>
      </c>
      <c r="G2884" s="5" t="s">
        <v>36</v>
      </c>
      <c r="H2884" s="5" t="s">
        <v>35</v>
      </c>
      <c r="I2884" s="6">
        <v>1.0</v>
      </c>
      <c r="J2884" s="6" t="s">
        <v>37</v>
      </c>
      <c r="K2884" s="6">
        <v>10.0</v>
      </c>
      <c r="L2884" s="5"/>
      <c r="M2884" s="5"/>
      <c r="N2884" s="6" t="s">
        <v>40</v>
      </c>
      <c r="O2884" s="5" t="s">
        <v>5363</v>
      </c>
      <c r="P2884" s="6" t="s">
        <v>42</v>
      </c>
      <c r="Q2884" s="5" t="s">
        <v>1237</v>
      </c>
      <c r="R2884" s="5" t="s">
        <v>15391</v>
      </c>
      <c r="S2884" s="6" t="s">
        <v>67</v>
      </c>
      <c r="T2884" s="6">
        <v>6483.0</v>
      </c>
    </row>
    <row r="2885" ht="56.25" customHeight="1">
      <c r="A2885" s="5" t="s">
        <v>15384</v>
      </c>
      <c r="B2885" s="6" t="str">
        <f>image("https://storage.googleapis.com/acdb/photos/BromideNpcNmlElp10_Remake_3_0.png")</f>
        <v/>
      </c>
      <c r="C2885" s="5" t="s">
        <v>57</v>
      </c>
      <c r="D2885" s="5" t="s">
        <v>1327</v>
      </c>
      <c r="E2885" s="5" t="s">
        <v>34</v>
      </c>
      <c r="F2885" s="5" t="s">
        <v>34</v>
      </c>
      <c r="G2885" s="5" t="s">
        <v>36</v>
      </c>
      <c r="H2885" s="5" t="s">
        <v>35</v>
      </c>
      <c r="I2885" s="6">
        <v>1.0</v>
      </c>
      <c r="J2885" s="6" t="s">
        <v>37</v>
      </c>
      <c r="K2885" s="6">
        <v>10.0</v>
      </c>
      <c r="L2885" s="5"/>
      <c r="M2885" s="5"/>
      <c r="N2885" s="6" t="s">
        <v>40</v>
      </c>
      <c r="O2885" s="5" t="s">
        <v>5363</v>
      </c>
      <c r="P2885" s="6" t="s">
        <v>42</v>
      </c>
      <c r="Q2885" s="5" t="s">
        <v>1237</v>
      </c>
      <c r="R2885" s="5" t="s">
        <v>15394</v>
      </c>
      <c r="S2885" s="6" t="s">
        <v>71</v>
      </c>
      <c r="T2885" s="6">
        <v>6483.0</v>
      </c>
    </row>
    <row r="2886" ht="56.25" customHeight="1">
      <c r="A2886" s="5" t="s">
        <v>15384</v>
      </c>
      <c r="B2886" s="6" t="str">
        <f>image("https://storage.googleapis.com/acdb/photos/BromideNpcNmlElp10_Remake_4_0.png")</f>
        <v/>
      </c>
      <c r="C2886" s="5" t="s">
        <v>1167</v>
      </c>
      <c r="D2886" s="5" t="s">
        <v>1327</v>
      </c>
      <c r="E2886" s="5" t="s">
        <v>34</v>
      </c>
      <c r="F2886" s="5" t="s">
        <v>34</v>
      </c>
      <c r="G2886" s="5" t="s">
        <v>36</v>
      </c>
      <c r="H2886" s="5" t="s">
        <v>35</v>
      </c>
      <c r="I2886" s="6">
        <v>1.0</v>
      </c>
      <c r="J2886" s="6" t="s">
        <v>37</v>
      </c>
      <c r="K2886" s="6">
        <v>10.0</v>
      </c>
      <c r="L2886" s="5"/>
      <c r="M2886" s="5"/>
      <c r="N2886" s="6" t="s">
        <v>40</v>
      </c>
      <c r="O2886" s="5" t="s">
        <v>5363</v>
      </c>
      <c r="P2886" s="6" t="s">
        <v>42</v>
      </c>
      <c r="Q2886" s="5" t="s">
        <v>1237</v>
      </c>
      <c r="R2886" s="5" t="s">
        <v>15395</v>
      </c>
      <c r="S2886" s="6" t="s">
        <v>75</v>
      </c>
      <c r="T2886" s="6">
        <v>6483.0</v>
      </c>
    </row>
    <row r="2887" ht="56.25" customHeight="1">
      <c r="A2887" s="5" t="s">
        <v>15384</v>
      </c>
      <c r="B2887" s="6" t="str">
        <f>image("https://storage.googleapis.com/acdb/photos/BromideNpcNmlElp10_Remake_5_0.png")</f>
        <v/>
      </c>
      <c r="C2887" s="5" t="s">
        <v>58</v>
      </c>
      <c r="D2887" s="5" t="s">
        <v>1327</v>
      </c>
      <c r="E2887" s="5" t="s">
        <v>34</v>
      </c>
      <c r="F2887" s="5" t="s">
        <v>34</v>
      </c>
      <c r="G2887" s="5" t="s">
        <v>36</v>
      </c>
      <c r="H2887" s="5" t="s">
        <v>35</v>
      </c>
      <c r="I2887" s="6">
        <v>1.0</v>
      </c>
      <c r="J2887" s="6" t="s">
        <v>37</v>
      </c>
      <c r="K2887" s="6">
        <v>10.0</v>
      </c>
      <c r="L2887" s="5"/>
      <c r="M2887" s="5"/>
      <c r="N2887" s="6" t="s">
        <v>40</v>
      </c>
      <c r="O2887" s="5" t="s">
        <v>5363</v>
      </c>
      <c r="P2887" s="6" t="s">
        <v>42</v>
      </c>
      <c r="Q2887" s="5" t="s">
        <v>1237</v>
      </c>
      <c r="R2887" s="5" t="s">
        <v>15399</v>
      </c>
      <c r="S2887" s="6" t="s">
        <v>79</v>
      </c>
      <c r="T2887" s="6">
        <v>6483.0</v>
      </c>
    </row>
    <row r="2888" ht="56.25" customHeight="1">
      <c r="A2888" s="5" t="s">
        <v>15384</v>
      </c>
      <c r="B2888" s="6" t="str">
        <f>image("https://storage.googleapis.com/acdb/photos/BromideNpcNmlElp10_Remake_6_0.png")</f>
        <v/>
      </c>
      <c r="C2888" s="5" t="s">
        <v>146</v>
      </c>
      <c r="D2888" s="5" t="s">
        <v>1327</v>
      </c>
      <c r="E2888" s="5" t="s">
        <v>34</v>
      </c>
      <c r="F2888" s="5" t="s">
        <v>34</v>
      </c>
      <c r="G2888" s="5" t="s">
        <v>36</v>
      </c>
      <c r="H2888" s="5" t="s">
        <v>35</v>
      </c>
      <c r="I2888" s="6">
        <v>1.0</v>
      </c>
      <c r="J2888" s="6" t="s">
        <v>37</v>
      </c>
      <c r="K2888" s="6">
        <v>10.0</v>
      </c>
      <c r="L2888" s="5"/>
      <c r="M2888" s="5"/>
      <c r="N2888" s="6" t="s">
        <v>40</v>
      </c>
      <c r="O2888" s="5" t="s">
        <v>5363</v>
      </c>
      <c r="P2888" s="6" t="s">
        <v>42</v>
      </c>
      <c r="Q2888" s="5" t="s">
        <v>1237</v>
      </c>
      <c r="R2888" s="5" t="s">
        <v>15402</v>
      </c>
      <c r="S2888" s="6" t="s">
        <v>86</v>
      </c>
      <c r="T2888" s="6">
        <v>6483.0</v>
      </c>
    </row>
    <row r="2889" ht="56.25" customHeight="1">
      <c r="A2889" s="5" t="s">
        <v>15384</v>
      </c>
      <c r="B2889" s="6" t="str">
        <f>image("https://storage.googleapis.com/acdb/photos/BromideNpcNmlElp10_Remake_7_0.png")</f>
        <v/>
      </c>
      <c r="C2889" s="5" t="s">
        <v>151</v>
      </c>
      <c r="D2889" s="5" t="s">
        <v>1327</v>
      </c>
      <c r="E2889" s="5" t="s">
        <v>34</v>
      </c>
      <c r="F2889" s="5" t="s">
        <v>34</v>
      </c>
      <c r="G2889" s="5" t="s">
        <v>36</v>
      </c>
      <c r="H2889" s="5" t="s">
        <v>35</v>
      </c>
      <c r="I2889" s="6">
        <v>1.0</v>
      </c>
      <c r="J2889" s="6" t="s">
        <v>37</v>
      </c>
      <c r="K2889" s="6">
        <v>10.0</v>
      </c>
      <c r="L2889" s="5"/>
      <c r="M2889" s="5"/>
      <c r="N2889" s="6" t="s">
        <v>40</v>
      </c>
      <c r="O2889" s="5" t="s">
        <v>5363</v>
      </c>
      <c r="P2889" s="6" t="s">
        <v>42</v>
      </c>
      <c r="Q2889" s="5" t="s">
        <v>1237</v>
      </c>
      <c r="R2889" s="5" t="s">
        <v>15404</v>
      </c>
      <c r="S2889" s="6" t="s">
        <v>208</v>
      </c>
      <c r="T2889" s="6">
        <v>6483.0</v>
      </c>
    </row>
    <row r="2890" ht="56.25" customHeight="1">
      <c r="A2890" s="5" t="s">
        <v>15406</v>
      </c>
      <c r="B2890" s="6" t="str">
        <f>image("https://storage.googleapis.com/acdb/photos/BromideNpcNmlRbt07_Remake_0_0.png")</f>
        <v/>
      </c>
      <c r="C2890" s="5" t="s">
        <v>366</v>
      </c>
      <c r="D2890" s="5" t="s">
        <v>1327</v>
      </c>
      <c r="E2890" s="5" t="s">
        <v>34</v>
      </c>
      <c r="F2890" s="5" t="s">
        <v>34</v>
      </c>
      <c r="G2890" s="5" t="s">
        <v>36</v>
      </c>
      <c r="H2890" s="5" t="s">
        <v>35</v>
      </c>
      <c r="I2890" s="6">
        <v>1.0</v>
      </c>
      <c r="J2890" s="6" t="s">
        <v>37</v>
      </c>
      <c r="K2890" s="6">
        <v>10.0</v>
      </c>
      <c r="L2890" s="5"/>
      <c r="M2890" s="5"/>
      <c r="N2890" s="6" t="s">
        <v>40</v>
      </c>
      <c r="O2890" s="5" t="s">
        <v>5363</v>
      </c>
      <c r="P2890" s="6" t="s">
        <v>42</v>
      </c>
      <c r="Q2890" s="5" t="s">
        <v>1237</v>
      </c>
      <c r="R2890" s="5" t="s">
        <v>15407</v>
      </c>
      <c r="S2890" s="6" t="s">
        <v>50</v>
      </c>
      <c r="T2890" s="6">
        <v>6669.0</v>
      </c>
    </row>
    <row r="2891" ht="56.25" customHeight="1">
      <c r="A2891" s="5" t="s">
        <v>15406</v>
      </c>
      <c r="B2891" s="6" t="str">
        <f>image("https://storage.googleapis.com/acdb/photos/BromideNpcNmlRbt07_Remake_1_0.png")</f>
        <v/>
      </c>
      <c r="C2891" s="5" t="s">
        <v>1132</v>
      </c>
      <c r="D2891" s="5" t="s">
        <v>1327</v>
      </c>
      <c r="E2891" s="5" t="s">
        <v>34</v>
      </c>
      <c r="F2891" s="5" t="s">
        <v>34</v>
      </c>
      <c r="G2891" s="5" t="s">
        <v>36</v>
      </c>
      <c r="H2891" s="5" t="s">
        <v>35</v>
      </c>
      <c r="I2891" s="6">
        <v>1.0</v>
      </c>
      <c r="J2891" s="6" t="s">
        <v>37</v>
      </c>
      <c r="K2891" s="6">
        <v>10.0</v>
      </c>
      <c r="L2891" s="5"/>
      <c r="M2891" s="5"/>
      <c r="N2891" s="6" t="s">
        <v>40</v>
      </c>
      <c r="O2891" s="5" t="s">
        <v>5363</v>
      </c>
      <c r="P2891" s="6" t="s">
        <v>42</v>
      </c>
      <c r="Q2891" s="5" t="s">
        <v>1237</v>
      </c>
      <c r="R2891" s="5" t="s">
        <v>15410</v>
      </c>
      <c r="S2891" s="6" t="s">
        <v>56</v>
      </c>
      <c r="T2891" s="6">
        <v>6669.0</v>
      </c>
    </row>
    <row r="2892" ht="56.25" customHeight="1">
      <c r="A2892" s="5" t="s">
        <v>15406</v>
      </c>
      <c r="B2892" s="6" t="str">
        <f>image("https://storage.googleapis.com/acdb/photos/BromideNpcNmlRbt07_Remake_2_0.png")</f>
        <v/>
      </c>
      <c r="C2892" s="5" t="s">
        <v>688</v>
      </c>
      <c r="D2892" s="5" t="s">
        <v>1327</v>
      </c>
      <c r="E2892" s="5" t="s">
        <v>34</v>
      </c>
      <c r="F2892" s="5" t="s">
        <v>34</v>
      </c>
      <c r="G2892" s="5" t="s">
        <v>36</v>
      </c>
      <c r="H2892" s="5" t="s">
        <v>35</v>
      </c>
      <c r="I2892" s="6">
        <v>1.0</v>
      </c>
      <c r="J2892" s="6" t="s">
        <v>37</v>
      </c>
      <c r="K2892" s="6">
        <v>10.0</v>
      </c>
      <c r="L2892" s="5"/>
      <c r="M2892" s="5"/>
      <c r="N2892" s="6" t="s">
        <v>40</v>
      </c>
      <c r="O2892" s="5" t="s">
        <v>5363</v>
      </c>
      <c r="P2892" s="6" t="s">
        <v>42</v>
      </c>
      <c r="Q2892" s="5" t="s">
        <v>1237</v>
      </c>
      <c r="R2892" s="5" t="s">
        <v>15411</v>
      </c>
      <c r="S2892" s="6" t="s">
        <v>67</v>
      </c>
      <c r="T2892" s="6">
        <v>6669.0</v>
      </c>
    </row>
    <row r="2893" ht="56.25" customHeight="1">
      <c r="A2893" s="5" t="s">
        <v>15406</v>
      </c>
      <c r="B2893" s="6" t="str">
        <f>image("https://storage.googleapis.com/acdb/photos/BromideNpcNmlRbt07_Remake_3_0.png")</f>
        <v/>
      </c>
      <c r="C2893" s="5" t="s">
        <v>57</v>
      </c>
      <c r="D2893" s="5" t="s">
        <v>1327</v>
      </c>
      <c r="E2893" s="5" t="s">
        <v>34</v>
      </c>
      <c r="F2893" s="5" t="s">
        <v>34</v>
      </c>
      <c r="G2893" s="5" t="s">
        <v>36</v>
      </c>
      <c r="H2893" s="5" t="s">
        <v>35</v>
      </c>
      <c r="I2893" s="6">
        <v>1.0</v>
      </c>
      <c r="J2893" s="6" t="s">
        <v>37</v>
      </c>
      <c r="K2893" s="6">
        <v>10.0</v>
      </c>
      <c r="L2893" s="5"/>
      <c r="M2893" s="5"/>
      <c r="N2893" s="6" t="s">
        <v>40</v>
      </c>
      <c r="O2893" s="5" t="s">
        <v>5363</v>
      </c>
      <c r="P2893" s="6" t="s">
        <v>42</v>
      </c>
      <c r="Q2893" s="5" t="s">
        <v>1237</v>
      </c>
      <c r="R2893" s="5" t="s">
        <v>15414</v>
      </c>
      <c r="S2893" s="6" t="s">
        <v>71</v>
      </c>
      <c r="T2893" s="6">
        <v>6669.0</v>
      </c>
    </row>
    <row r="2894" ht="56.25" customHeight="1">
      <c r="A2894" s="5" t="s">
        <v>15406</v>
      </c>
      <c r="B2894" s="6" t="str">
        <f>image("https://storage.googleapis.com/acdb/photos/BromideNpcNmlRbt07_Remake_4_0.png")</f>
        <v/>
      </c>
      <c r="C2894" s="5" t="s">
        <v>1167</v>
      </c>
      <c r="D2894" s="5" t="s">
        <v>1327</v>
      </c>
      <c r="E2894" s="5" t="s">
        <v>34</v>
      </c>
      <c r="F2894" s="5" t="s">
        <v>34</v>
      </c>
      <c r="G2894" s="5" t="s">
        <v>36</v>
      </c>
      <c r="H2894" s="5" t="s">
        <v>35</v>
      </c>
      <c r="I2894" s="6">
        <v>1.0</v>
      </c>
      <c r="J2894" s="6" t="s">
        <v>37</v>
      </c>
      <c r="K2894" s="6">
        <v>10.0</v>
      </c>
      <c r="L2894" s="5"/>
      <c r="M2894" s="5"/>
      <c r="N2894" s="6" t="s">
        <v>40</v>
      </c>
      <c r="O2894" s="5" t="s">
        <v>5363</v>
      </c>
      <c r="P2894" s="6" t="s">
        <v>42</v>
      </c>
      <c r="Q2894" s="5" t="s">
        <v>1237</v>
      </c>
      <c r="R2894" s="5" t="s">
        <v>15416</v>
      </c>
      <c r="S2894" s="6" t="s">
        <v>75</v>
      </c>
      <c r="T2894" s="6">
        <v>6669.0</v>
      </c>
    </row>
    <row r="2895" ht="56.25" customHeight="1">
      <c r="A2895" s="5" t="s">
        <v>15406</v>
      </c>
      <c r="B2895" s="6" t="str">
        <f>image("https://storage.googleapis.com/acdb/photos/BromideNpcNmlRbt07_Remake_5_0.png")</f>
        <v/>
      </c>
      <c r="C2895" s="5" t="s">
        <v>58</v>
      </c>
      <c r="D2895" s="5" t="s">
        <v>1327</v>
      </c>
      <c r="E2895" s="5" t="s">
        <v>34</v>
      </c>
      <c r="F2895" s="5" t="s">
        <v>34</v>
      </c>
      <c r="G2895" s="5" t="s">
        <v>36</v>
      </c>
      <c r="H2895" s="5" t="s">
        <v>35</v>
      </c>
      <c r="I2895" s="6">
        <v>1.0</v>
      </c>
      <c r="J2895" s="6" t="s">
        <v>37</v>
      </c>
      <c r="K2895" s="6">
        <v>10.0</v>
      </c>
      <c r="L2895" s="5"/>
      <c r="M2895" s="5"/>
      <c r="N2895" s="6" t="s">
        <v>40</v>
      </c>
      <c r="O2895" s="5" t="s">
        <v>5363</v>
      </c>
      <c r="P2895" s="6" t="s">
        <v>42</v>
      </c>
      <c r="Q2895" s="5" t="s">
        <v>1237</v>
      </c>
      <c r="R2895" s="5" t="s">
        <v>15418</v>
      </c>
      <c r="S2895" s="6" t="s">
        <v>79</v>
      </c>
      <c r="T2895" s="6">
        <v>6669.0</v>
      </c>
    </row>
    <row r="2896" ht="56.25" customHeight="1">
      <c r="A2896" s="5" t="s">
        <v>15406</v>
      </c>
      <c r="B2896" s="6" t="str">
        <f>image("https://storage.googleapis.com/acdb/photos/BromideNpcNmlRbt07_Remake_6_0.png")</f>
        <v/>
      </c>
      <c r="C2896" s="5" t="s">
        <v>146</v>
      </c>
      <c r="D2896" s="5" t="s">
        <v>1327</v>
      </c>
      <c r="E2896" s="5" t="s">
        <v>34</v>
      </c>
      <c r="F2896" s="5" t="s">
        <v>34</v>
      </c>
      <c r="G2896" s="5" t="s">
        <v>36</v>
      </c>
      <c r="H2896" s="5" t="s">
        <v>35</v>
      </c>
      <c r="I2896" s="6">
        <v>1.0</v>
      </c>
      <c r="J2896" s="6" t="s">
        <v>37</v>
      </c>
      <c r="K2896" s="6">
        <v>10.0</v>
      </c>
      <c r="L2896" s="5"/>
      <c r="M2896" s="5"/>
      <c r="N2896" s="6" t="s">
        <v>40</v>
      </c>
      <c r="O2896" s="5" t="s">
        <v>5363</v>
      </c>
      <c r="P2896" s="6" t="s">
        <v>42</v>
      </c>
      <c r="Q2896" s="5" t="s">
        <v>1237</v>
      </c>
      <c r="R2896" s="5" t="s">
        <v>15420</v>
      </c>
      <c r="S2896" s="6" t="s">
        <v>86</v>
      </c>
      <c r="T2896" s="6">
        <v>6669.0</v>
      </c>
    </row>
    <row r="2897" ht="56.25" customHeight="1">
      <c r="A2897" s="5" t="s">
        <v>15406</v>
      </c>
      <c r="B2897" s="6" t="str">
        <f>image("https://storage.googleapis.com/acdb/photos/BromideNpcNmlRbt07_Remake_7_0.png")</f>
        <v/>
      </c>
      <c r="C2897" s="5" t="s">
        <v>151</v>
      </c>
      <c r="D2897" s="5" t="s">
        <v>1327</v>
      </c>
      <c r="E2897" s="5" t="s">
        <v>34</v>
      </c>
      <c r="F2897" s="5" t="s">
        <v>34</v>
      </c>
      <c r="G2897" s="5" t="s">
        <v>36</v>
      </c>
      <c r="H2897" s="5" t="s">
        <v>35</v>
      </c>
      <c r="I2897" s="6">
        <v>1.0</v>
      </c>
      <c r="J2897" s="6" t="s">
        <v>37</v>
      </c>
      <c r="K2897" s="6">
        <v>10.0</v>
      </c>
      <c r="L2897" s="5"/>
      <c r="M2897" s="5"/>
      <c r="N2897" s="6" t="s">
        <v>40</v>
      </c>
      <c r="O2897" s="5" t="s">
        <v>5363</v>
      </c>
      <c r="P2897" s="6" t="s">
        <v>42</v>
      </c>
      <c r="Q2897" s="5" t="s">
        <v>1237</v>
      </c>
      <c r="R2897" s="5" t="s">
        <v>15423</v>
      </c>
      <c r="S2897" s="6" t="s">
        <v>208</v>
      </c>
      <c r="T2897" s="6">
        <v>6669.0</v>
      </c>
    </row>
    <row r="2898" ht="56.25" customHeight="1">
      <c r="A2898" s="5" t="s">
        <v>15424</v>
      </c>
      <c r="B2898" s="6" t="str">
        <f>image("https://storage.googleapis.com/acdb/photos/BromideNpcNmlShp10_Remake_0_0.png")</f>
        <v/>
      </c>
      <c r="C2898" s="5" t="s">
        <v>366</v>
      </c>
      <c r="D2898" s="5" t="s">
        <v>1327</v>
      </c>
      <c r="E2898" s="5" t="s">
        <v>34</v>
      </c>
      <c r="F2898" s="5" t="s">
        <v>34</v>
      </c>
      <c r="G2898" s="5" t="s">
        <v>36</v>
      </c>
      <c r="H2898" s="5" t="s">
        <v>35</v>
      </c>
      <c r="I2898" s="6">
        <v>1.0</v>
      </c>
      <c r="J2898" s="6" t="s">
        <v>37</v>
      </c>
      <c r="K2898" s="6">
        <v>10.0</v>
      </c>
      <c r="L2898" s="5"/>
      <c r="M2898" s="5"/>
      <c r="N2898" s="6" t="s">
        <v>40</v>
      </c>
      <c r="O2898" s="5" t="s">
        <v>5363</v>
      </c>
      <c r="P2898" s="6" t="s">
        <v>42</v>
      </c>
      <c r="Q2898" s="5" t="s">
        <v>1237</v>
      </c>
      <c r="R2898" s="5" t="s">
        <v>15428</v>
      </c>
      <c r="S2898" s="6" t="s">
        <v>50</v>
      </c>
      <c r="T2898" s="6">
        <v>6699.0</v>
      </c>
    </row>
    <row r="2899" ht="56.25" customHeight="1">
      <c r="A2899" s="5" t="s">
        <v>15424</v>
      </c>
      <c r="B2899" s="6" t="str">
        <f>image("https://storage.googleapis.com/acdb/photos/BromideNpcNmlShp10_Remake_1_0.png")</f>
        <v/>
      </c>
      <c r="C2899" s="5" t="s">
        <v>1132</v>
      </c>
      <c r="D2899" s="5" t="s">
        <v>1327</v>
      </c>
      <c r="E2899" s="5" t="s">
        <v>34</v>
      </c>
      <c r="F2899" s="5" t="s">
        <v>34</v>
      </c>
      <c r="G2899" s="5" t="s">
        <v>36</v>
      </c>
      <c r="H2899" s="5" t="s">
        <v>35</v>
      </c>
      <c r="I2899" s="6">
        <v>1.0</v>
      </c>
      <c r="J2899" s="6" t="s">
        <v>37</v>
      </c>
      <c r="K2899" s="6">
        <v>10.0</v>
      </c>
      <c r="L2899" s="5"/>
      <c r="M2899" s="5"/>
      <c r="N2899" s="6" t="s">
        <v>40</v>
      </c>
      <c r="O2899" s="5" t="s">
        <v>5363</v>
      </c>
      <c r="P2899" s="6" t="s">
        <v>42</v>
      </c>
      <c r="Q2899" s="5" t="s">
        <v>1237</v>
      </c>
      <c r="R2899" s="5" t="s">
        <v>15431</v>
      </c>
      <c r="S2899" s="6" t="s">
        <v>56</v>
      </c>
      <c r="T2899" s="6">
        <v>6699.0</v>
      </c>
    </row>
    <row r="2900" ht="56.25" customHeight="1">
      <c r="A2900" s="5" t="s">
        <v>15424</v>
      </c>
      <c r="B2900" s="6" t="str">
        <f>image("https://storage.googleapis.com/acdb/photos/BromideNpcNmlShp10_Remake_2_0.png")</f>
        <v/>
      </c>
      <c r="C2900" s="5" t="s">
        <v>688</v>
      </c>
      <c r="D2900" s="5" t="s">
        <v>1327</v>
      </c>
      <c r="E2900" s="5" t="s">
        <v>34</v>
      </c>
      <c r="F2900" s="5" t="s">
        <v>34</v>
      </c>
      <c r="G2900" s="5" t="s">
        <v>36</v>
      </c>
      <c r="H2900" s="5" t="s">
        <v>35</v>
      </c>
      <c r="I2900" s="6">
        <v>1.0</v>
      </c>
      <c r="J2900" s="6" t="s">
        <v>37</v>
      </c>
      <c r="K2900" s="6">
        <v>10.0</v>
      </c>
      <c r="L2900" s="5"/>
      <c r="M2900" s="5"/>
      <c r="N2900" s="6" t="s">
        <v>40</v>
      </c>
      <c r="O2900" s="5" t="s">
        <v>5363</v>
      </c>
      <c r="P2900" s="6" t="s">
        <v>42</v>
      </c>
      <c r="Q2900" s="5" t="s">
        <v>1237</v>
      </c>
      <c r="R2900" s="5" t="s">
        <v>15434</v>
      </c>
      <c r="S2900" s="6" t="s">
        <v>67</v>
      </c>
      <c r="T2900" s="6">
        <v>6699.0</v>
      </c>
    </row>
    <row r="2901" ht="56.25" customHeight="1">
      <c r="A2901" s="5" t="s">
        <v>15424</v>
      </c>
      <c r="B2901" s="6" t="str">
        <f>image("https://storage.googleapis.com/acdb/photos/BromideNpcNmlShp10_Remake_3_0.png")</f>
        <v/>
      </c>
      <c r="C2901" s="5" t="s">
        <v>57</v>
      </c>
      <c r="D2901" s="5" t="s">
        <v>1327</v>
      </c>
      <c r="E2901" s="5" t="s">
        <v>34</v>
      </c>
      <c r="F2901" s="5" t="s">
        <v>34</v>
      </c>
      <c r="G2901" s="5" t="s">
        <v>36</v>
      </c>
      <c r="H2901" s="5" t="s">
        <v>35</v>
      </c>
      <c r="I2901" s="6">
        <v>1.0</v>
      </c>
      <c r="J2901" s="6" t="s">
        <v>37</v>
      </c>
      <c r="K2901" s="6">
        <v>10.0</v>
      </c>
      <c r="L2901" s="5"/>
      <c r="M2901" s="5"/>
      <c r="N2901" s="6" t="s">
        <v>40</v>
      </c>
      <c r="O2901" s="5" t="s">
        <v>5363</v>
      </c>
      <c r="P2901" s="6" t="s">
        <v>42</v>
      </c>
      <c r="Q2901" s="5" t="s">
        <v>1237</v>
      </c>
      <c r="R2901" s="5" t="s">
        <v>15439</v>
      </c>
      <c r="S2901" s="6" t="s">
        <v>71</v>
      </c>
      <c r="T2901" s="6">
        <v>6699.0</v>
      </c>
    </row>
    <row r="2902" ht="56.25" customHeight="1">
      <c r="A2902" s="5" t="s">
        <v>15424</v>
      </c>
      <c r="B2902" s="6" t="str">
        <f>image("https://storage.googleapis.com/acdb/photos/BromideNpcNmlShp10_Remake_4_0.png")</f>
        <v/>
      </c>
      <c r="C2902" s="5" t="s">
        <v>1167</v>
      </c>
      <c r="D2902" s="5" t="s">
        <v>1327</v>
      </c>
      <c r="E2902" s="5" t="s">
        <v>34</v>
      </c>
      <c r="F2902" s="5" t="s">
        <v>34</v>
      </c>
      <c r="G2902" s="5" t="s">
        <v>36</v>
      </c>
      <c r="H2902" s="5" t="s">
        <v>35</v>
      </c>
      <c r="I2902" s="6">
        <v>1.0</v>
      </c>
      <c r="J2902" s="6" t="s">
        <v>37</v>
      </c>
      <c r="K2902" s="6">
        <v>10.0</v>
      </c>
      <c r="L2902" s="5"/>
      <c r="M2902" s="5"/>
      <c r="N2902" s="6" t="s">
        <v>40</v>
      </c>
      <c r="O2902" s="5" t="s">
        <v>5363</v>
      </c>
      <c r="P2902" s="6" t="s">
        <v>42</v>
      </c>
      <c r="Q2902" s="5" t="s">
        <v>1237</v>
      </c>
      <c r="R2902" s="5" t="s">
        <v>15443</v>
      </c>
      <c r="S2902" s="6" t="s">
        <v>75</v>
      </c>
      <c r="T2902" s="6">
        <v>6699.0</v>
      </c>
    </row>
    <row r="2903" ht="56.25" customHeight="1">
      <c r="A2903" s="5" t="s">
        <v>15424</v>
      </c>
      <c r="B2903" s="6" t="str">
        <f>image("https://storage.googleapis.com/acdb/photos/BromideNpcNmlShp10_Remake_5_0.png")</f>
        <v/>
      </c>
      <c r="C2903" s="5" t="s">
        <v>58</v>
      </c>
      <c r="D2903" s="5" t="s">
        <v>1327</v>
      </c>
      <c r="E2903" s="5" t="s">
        <v>34</v>
      </c>
      <c r="F2903" s="5" t="s">
        <v>34</v>
      </c>
      <c r="G2903" s="5" t="s">
        <v>36</v>
      </c>
      <c r="H2903" s="5" t="s">
        <v>35</v>
      </c>
      <c r="I2903" s="6">
        <v>1.0</v>
      </c>
      <c r="J2903" s="6" t="s">
        <v>37</v>
      </c>
      <c r="K2903" s="6">
        <v>10.0</v>
      </c>
      <c r="L2903" s="5"/>
      <c r="M2903" s="5"/>
      <c r="N2903" s="6" t="s">
        <v>40</v>
      </c>
      <c r="O2903" s="5" t="s">
        <v>5363</v>
      </c>
      <c r="P2903" s="6" t="s">
        <v>42</v>
      </c>
      <c r="Q2903" s="5" t="s">
        <v>1237</v>
      </c>
      <c r="R2903" s="5" t="s">
        <v>15447</v>
      </c>
      <c r="S2903" s="6" t="s">
        <v>79</v>
      </c>
      <c r="T2903" s="6">
        <v>6699.0</v>
      </c>
    </row>
    <row r="2904" ht="56.25" customHeight="1">
      <c r="A2904" s="5" t="s">
        <v>15424</v>
      </c>
      <c r="B2904" s="6" t="str">
        <f>image("https://storage.googleapis.com/acdb/photos/BromideNpcNmlShp10_Remake_6_0.png")</f>
        <v/>
      </c>
      <c r="C2904" s="5" t="s">
        <v>146</v>
      </c>
      <c r="D2904" s="5" t="s">
        <v>1327</v>
      </c>
      <c r="E2904" s="5" t="s">
        <v>34</v>
      </c>
      <c r="F2904" s="5" t="s">
        <v>34</v>
      </c>
      <c r="G2904" s="5" t="s">
        <v>36</v>
      </c>
      <c r="H2904" s="5" t="s">
        <v>35</v>
      </c>
      <c r="I2904" s="6">
        <v>1.0</v>
      </c>
      <c r="J2904" s="6" t="s">
        <v>37</v>
      </c>
      <c r="K2904" s="6">
        <v>10.0</v>
      </c>
      <c r="L2904" s="5"/>
      <c r="M2904" s="5"/>
      <c r="N2904" s="6" t="s">
        <v>40</v>
      </c>
      <c r="O2904" s="5" t="s">
        <v>5363</v>
      </c>
      <c r="P2904" s="6" t="s">
        <v>42</v>
      </c>
      <c r="Q2904" s="5" t="s">
        <v>1237</v>
      </c>
      <c r="R2904" s="5" t="s">
        <v>15450</v>
      </c>
      <c r="S2904" s="6" t="s">
        <v>86</v>
      </c>
      <c r="T2904" s="6">
        <v>6699.0</v>
      </c>
    </row>
    <row r="2905" ht="56.25" customHeight="1">
      <c r="A2905" s="5" t="s">
        <v>15424</v>
      </c>
      <c r="B2905" s="6" t="str">
        <f>image("https://storage.googleapis.com/acdb/photos/BromideNpcNmlShp10_Remake_7_0.png")</f>
        <v/>
      </c>
      <c r="C2905" s="5" t="s">
        <v>151</v>
      </c>
      <c r="D2905" s="5" t="s">
        <v>1327</v>
      </c>
      <c r="E2905" s="5" t="s">
        <v>34</v>
      </c>
      <c r="F2905" s="5" t="s">
        <v>34</v>
      </c>
      <c r="G2905" s="5" t="s">
        <v>36</v>
      </c>
      <c r="H2905" s="5" t="s">
        <v>35</v>
      </c>
      <c r="I2905" s="6">
        <v>1.0</v>
      </c>
      <c r="J2905" s="6" t="s">
        <v>37</v>
      </c>
      <c r="K2905" s="6">
        <v>10.0</v>
      </c>
      <c r="L2905" s="5"/>
      <c r="M2905" s="5"/>
      <c r="N2905" s="6" t="s">
        <v>40</v>
      </c>
      <c r="O2905" s="5" t="s">
        <v>5363</v>
      </c>
      <c r="P2905" s="6" t="s">
        <v>42</v>
      </c>
      <c r="Q2905" s="5" t="s">
        <v>1237</v>
      </c>
      <c r="R2905" s="5" t="s">
        <v>15453</v>
      </c>
      <c r="S2905" s="6" t="s">
        <v>208</v>
      </c>
      <c r="T2905" s="6">
        <v>6699.0</v>
      </c>
    </row>
    <row r="2906" ht="56.25" customHeight="1">
      <c r="A2906" s="5" t="s">
        <v>15454</v>
      </c>
      <c r="B2906" s="6" t="str">
        <f>image("https://storage.googleapis.com/acdb/photos/BromideNpcNmlCow01_Remake_0_0.png")</f>
        <v/>
      </c>
      <c r="C2906" s="5" t="s">
        <v>366</v>
      </c>
      <c r="D2906" s="5" t="s">
        <v>1327</v>
      </c>
      <c r="E2906" s="5" t="s">
        <v>34</v>
      </c>
      <c r="F2906" s="5" t="s">
        <v>34</v>
      </c>
      <c r="G2906" s="5" t="s">
        <v>36</v>
      </c>
      <c r="H2906" s="5" t="s">
        <v>35</v>
      </c>
      <c r="I2906" s="6">
        <v>1.0</v>
      </c>
      <c r="J2906" s="6" t="s">
        <v>37</v>
      </c>
      <c r="K2906" s="6">
        <v>10.0</v>
      </c>
      <c r="L2906" s="5"/>
      <c r="M2906" s="5"/>
      <c r="N2906" s="6" t="s">
        <v>40</v>
      </c>
      <c r="O2906" s="5" t="s">
        <v>5363</v>
      </c>
      <c r="P2906" s="6" t="s">
        <v>42</v>
      </c>
      <c r="Q2906" s="5" t="s">
        <v>1237</v>
      </c>
      <c r="R2906" s="5" t="s">
        <v>15458</v>
      </c>
      <c r="S2906" s="6" t="s">
        <v>50</v>
      </c>
      <c r="T2906" s="6">
        <v>6796.0</v>
      </c>
    </row>
    <row r="2907" ht="56.25" customHeight="1">
      <c r="A2907" s="5" t="s">
        <v>15454</v>
      </c>
      <c r="B2907" s="6" t="str">
        <f>image("https://storage.googleapis.com/acdb/photos/BromideNpcNmlCow01_Remake_1_0.png")</f>
        <v/>
      </c>
      <c r="C2907" s="5" t="s">
        <v>1132</v>
      </c>
      <c r="D2907" s="5" t="s">
        <v>1327</v>
      </c>
      <c r="E2907" s="5" t="s">
        <v>34</v>
      </c>
      <c r="F2907" s="5" t="s">
        <v>34</v>
      </c>
      <c r="G2907" s="5" t="s">
        <v>36</v>
      </c>
      <c r="H2907" s="5" t="s">
        <v>35</v>
      </c>
      <c r="I2907" s="6">
        <v>1.0</v>
      </c>
      <c r="J2907" s="6" t="s">
        <v>37</v>
      </c>
      <c r="K2907" s="6">
        <v>10.0</v>
      </c>
      <c r="L2907" s="5"/>
      <c r="M2907" s="5"/>
      <c r="N2907" s="6" t="s">
        <v>40</v>
      </c>
      <c r="O2907" s="5" t="s">
        <v>5363</v>
      </c>
      <c r="P2907" s="6" t="s">
        <v>42</v>
      </c>
      <c r="Q2907" s="5" t="s">
        <v>1237</v>
      </c>
      <c r="R2907" s="5" t="s">
        <v>15461</v>
      </c>
      <c r="S2907" s="6" t="s">
        <v>56</v>
      </c>
      <c r="T2907" s="6">
        <v>6796.0</v>
      </c>
    </row>
    <row r="2908" ht="56.25" customHeight="1">
      <c r="A2908" s="5" t="s">
        <v>15454</v>
      </c>
      <c r="B2908" s="6" t="str">
        <f>image("https://storage.googleapis.com/acdb/photos/BromideNpcNmlCow01_Remake_2_0.png")</f>
        <v/>
      </c>
      <c r="C2908" s="5" t="s">
        <v>688</v>
      </c>
      <c r="D2908" s="5" t="s">
        <v>1327</v>
      </c>
      <c r="E2908" s="5" t="s">
        <v>34</v>
      </c>
      <c r="F2908" s="5" t="s">
        <v>34</v>
      </c>
      <c r="G2908" s="5" t="s">
        <v>36</v>
      </c>
      <c r="H2908" s="5" t="s">
        <v>35</v>
      </c>
      <c r="I2908" s="6">
        <v>1.0</v>
      </c>
      <c r="J2908" s="6" t="s">
        <v>37</v>
      </c>
      <c r="K2908" s="6">
        <v>10.0</v>
      </c>
      <c r="L2908" s="5"/>
      <c r="M2908" s="5"/>
      <c r="N2908" s="6" t="s">
        <v>40</v>
      </c>
      <c r="O2908" s="5" t="s">
        <v>5363</v>
      </c>
      <c r="P2908" s="6" t="s">
        <v>42</v>
      </c>
      <c r="Q2908" s="5" t="s">
        <v>1237</v>
      </c>
      <c r="R2908" s="5" t="s">
        <v>15464</v>
      </c>
      <c r="S2908" s="6" t="s">
        <v>67</v>
      </c>
      <c r="T2908" s="6">
        <v>6796.0</v>
      </c>
    </row>
    <row r="2909" ht="56.25" customHeight="1">
      <c r="A2909" s="5" t="s">
        <v>15454</v>
      </c>
      <c r="B2909" s="6" t="str">
        <f>image("https://storage.googleapis.com/acdb/photos/BromideNpcNmlCow01_Remake_3_0.png")</f>
        <v/>
      </c>
      <c r="C2909" s="5" t="s">
        <v>57</v>
      </c>
      <c r="D2909" s="5" t="s">
        <v>1327</v>
      </c>
      <c r="E2909" s="5" t="s">
        <v>34</v>
      </c>
      <c r="F2909" s="5" t="s">
        <v>34</v>
      </c>
      <c r="G2909" s="5" t="s">
        <v>36</v>
      </c>
      <c r="H2909" s="5" t="s">
        <v>35</v>
      </c>
      <c r="I2909" s="6">
        <v>1.0</v>
      </c>
      <c r="J2909" s="6" t="s">
        <v>37</v>
      </c>
      <c r="K2909" s="6">
        <v>10.0</v>
      </c>
      <c r="L2909" s="5"/>
      <c r="M2909" s="5"/>
      <c r="N2909" s="6" t="s">
        <v>40</v>
      </c>
      <c r="O2909" s="5" t="s">
        <v>5363</v>
      </c>
      <c r="P2909" s="6" t="s">
        <v>42</v>
      </c>
      <c r="Q2909" s="5" t="s">
        <v>1237</v>
      </c>
      <c r="R2909" s="5" t="s">
        <v>15468</v>
      </c>
      <c r="S2909" s="6" t="s">
        <v>71</v>
      </c>
      <c r="T2909" s="6">
        <v>6796.0</v>
      </c>
    </row>
    <row r="2910" ht="56.25" customHeight="1">
      <c r="A2910" s="5" t="s">
        <v>15454</v>
      </c>
      <c r="B2910" s="6" t="str">
        <f>image("https://storage.googleapis.com/acdb/photos/BromideNpcNmlCow01_Remake_4_0.png")</f>
        <v/>
      </c>
      <c r="C2910" s="5" t="s">
        <v>1167</v>
      </c>
      <c r="D2910" s="5" t="s">
        <v>1327</v>
      </c>
      <c r="E2910" s="5" t="s">
        <v>34</v>
      </c>
      <c r="F2910" s="5" t="s">
        <v>34</v>
      </c>
      <c r="G2910" s="5" t="s">
        <v>36</v>
      </c>
      <c r="H2910" s="5" t="s">
        <v>35</v>
      </c>
      <c r="I2910" s="6">
        <v>1.0</v>
      </c>
      <c r="J2910" s="6" t="s">
        <v>37</v>
      </c>
      <c r="K2910" s="6">
        <v>10.0</v>
      </c>
      <c r="L2910" s="5"/>
      <c r="M2910" s="5"/>
      <c r="N2910" s="6" t="s">
        <v>40</v>
      </c>
      <c r="O2910" s="5" t="s">
        <v>5363</v>
      </c>
      <c r="P2910" s="6" t="s">
        <v>42</v>
      </c>
      <c r="Q2910" s="5" t="s">
        <v>1237</v>
      </c>
      <c r="R2910" s="5" t="s">
        <v>15472</v>
      </c>
      <c r="S2910" s="6" t="s">
        <v>75</v>
      </c>
      <c r="T2910" s="6">
        <v>6796.0</v>
      </c>
    </row>
    <row r="2911" ht="56.25" customHeight="1">
      <c r="A2911" s="5" t="s">
        <v>15454</v>
      </c>
      <c r="B2911" s="6" t="str">
        <f>image("https://storage.googleapis.com/acdb/photos/BromideNpcNmlCow01_Remake_5_0.png")</f>
        <v/>
      </c>
      <c r="C2911" s="5" t="s">
        <v>58</v>
      </c>
      <c r="D2911" s="5" t="s">
        <v>1327</v>
      </c>
      <c r="E2911" s="5" t="s">
        <v>34</v>
      </c>
      <c r="F2911" s="5" t="s">
        <v>34</v>
      </c>
      <c r="G2911" s="5" t="s">
        <v>36</v>
      </c>
      <c r="H2911" s="5" t="s">
        <v>35</v>
      </c>
      <c r="I2911" s="6">
        <v>1.0</v>
      </c>
      <c r="J2911" s="6" t="s">
        <v>37</v>
      </c>
      <c r="K2911" s="6">
        <v>10.0</v>
      </c>
      <c r="L2911" s="5"/>
      <c r="M2911" s="5"/>
      <c r="N2911" s="6" t="s">
        <v>40</v>
      </c>
      <c r="O2911" s="5" t="s">
        <v>5363</v>
      </c>
      <c r="P2911" s="6" t="s">
        <v>42</v>
      </c>
      <c r="Q2911" s="5" t="s">
        <v>1237</v>
      </c>
      <c r="R2911" s="5" t="s">
        <v>15474</v>
      </c>
      <c r="S2911" s="6" t="s">
        <v>79</v>
      </c>
      <c r="T2911" s="6">
        <v>6796.0</v>
      </c>
    </row>
    <row r="2912" ht="56.25" customHeight="1">
      <c r="A2912" s="5" t="s">
        <v>15454</v>
      </c>
      <c r="B2912" s="6" t="str">
        <f>image("https://storage.googleapis.com/acdb/photos/BromideNpcNmlCow01_Remake_6_0.png")</f>
        <v/>
      </c>
      <c r="C2912" s="5" t="s">
        <v>146</v>
      </c>
      <c r="D2912" s="5" t="s">
        <v>1327</v>
      </c>
      <c r="E2912" s="5" t="s">
        <v>34</v>
      </c>
      <c r="F2912" s="5" t="s">
        <v>34</v>
      </c>
      <c r="G2912" s="5" t="s">
        <v>36</v>
      </c>
      <c r="H2912" s="5" t="s">
        <v>35</v>
      </c>
      <c r="I2912" s="6">
        <v>1.0</v>
      </c>
      <c r="J2912" s="6" t="s">
        <v>37</v>
      </c>
      <c r="K2912" s="6">
        <v>10.0</v>
      </c>
      <c r="L2912" s="5"/>
      <c r="M2912" s="5"/>
      <c r="N2912" s="6" t="s">
        <v>40</v>
      </c>
      <c r="O2912" s="5" t="s">
        <v>5363</v>
      </c>
      <c r="P2912" s="6" t="s">
        <v>42</v>
      </c>
      <c r="Q2912" s="5" t="s">
        <v>1237</v>
      </c>
      <c r="R2912" s="5" t="s">
        <v>15477</v>
      </c>
      <c r="S2912" s="6" t="s">
        <v>86</v>
      </c>
      <c r="T2912" s="6">
        <v>6796.0</v>
      </c>
    </row>
    <row r="2913" ht="56.25" customHeight="1">
      <c r="A2913" s="5" t="s">
        <v>15454</v>
      </c>
      <c r="B2913" s="6" t="str">
        <f>image("https://storage.googleapis.com/acdb/photos/BromideNpcNmlCow01_Remake_7_0.png")</f>
        <v/>
      </c>
      <c r="C2913" s="5" t="s">
        <v>151</v>
      </c>
      <c r="D2913" s="5" t="s">
        <v>1327</v>
      </c>
      <c r="E2913" s="5" t="s">
        <v>34</v>
      </c>
      <c r="F2913" s="5" t="s">
        <v>34</v>
      </c>
      <c r="G2913" s="5" t="s">
        <v>36</v>
      </c>
      <c r="H2913" s="5" t="s">
        <v>35</v>
      </c>
      <c r="I2913" s="6">
        <v>1.0</v>
      </c>
      <c r="J2913" s="6" t="s">
        <v>37</v>
      </c>
      <c r="K2913" s="6">
        <v>10.0</v>
      </c>
      <c r="L2913" s="5"/>
      <c r="M2913" s="5"/>
      <c r="N2913" s="6" t="s">
        <v>40</v>
      </c>
      <c r="O2913" s="5" t="s">
        <v>5363</v>
      </c>
      <c r="P2913" s="6" t="s">
        <v>42</v>
      </c>
      <c r="Q2913" s="5" t="s">
        <v>1237</v>
      </c>
      <c r="R2913" s="5" t="s">
        <v>15481</v>
      </c>
      <c r="S2913" s="6" t="s">
        <v>208</v>
      </c>
      <c r="T2913" s="6">
        <v>6796.0</v>
      </c>
    </row>
    <row r="2914" ht="56.25" customHeight="1">
      <c r="A2914" s="5" t="s">
        <v>15482</v>
      </c>
      <c r="B2914" s="6" t="str">
        <f>image("https://storage.googleapis.com/acdb/photos/BromideNpcNmlCat15_Remake_0_0.png")</f>
        <v/>
      </c>
      <c r="C2914" s="5" t="s">
        <v>366</v>
      </c>
      <c r="D2914" s="5" t="s">
        <v>1327</v>
      </c>
      <c r="E2914" s="5" t="s">
        <v>34</v>
      </c>
      <c r="F2914" s="5" t="s">
        <v>34</v>
      </c>
      <c r="G2914" s="5" t="s">
        <v>36</v>
      </c>
      <c r="H2914" s="5" t="s">
        <v>35</v>
      </c>
      <c r="I2914" s="6">
        <v>1.0</v>
      </c>
      <c r="J2914" s="6" t="s">
        <v>37</v>
      </c>
      <c r="K2914" s="6">
        <v>10.0</v>
      </c>
      <c r="L2914" s="5"/>
      <c r="M2914" s="5"/>
      <c r="N2914" s="6" t="s">
        <v>40</v>
      </c>
      <c r="O2914" s="5" t="s">
        <v>5363</v>
      </c>
      <c r="P2914" s="6" t="s">
        <v>42</v>
      </c>
      <c r="Q2914" s="5" t="s">
        <v>1237</v>
      </c>
      <c r="R2914" s="5" t="s">
        <v>15486</v>
      </c>
      <c r="S2914" s="6" t="s">
        <v>50</v>
      </c>
      <c r="T2914" s="6">
        <v>6761.0</v>
      </c>
    </row>
    <row r="2915" ht="56.25" customHeight="1">
      <c r="A2915" s="5" t="s">
        <v>15482</v>
      </c>
      <c r="B2915" s="6" t="str">
        <f>image("https://storage.googleapis.com/acdb/photos/BromideNpcNmlCat15_Remake_1_0.png")</f>
        <v/>
      </c>
      <c r="C2915" s="5" t="s">
        <v>1132</v>
      </c>
      <c r="D2915" s="5" t="s">
        <v>1327</v>
      </c>
      <c r="E2915" s="5" t="s">
        <v>34</v>
      </c>
      <c r="F2915" s="5" t="s">
        <v>34</v>
      </c>
      <c r="G2915" s="5" t="s">
        <v>36</v>
      </c>
      <c r="H2915" s="5" t="s">
        <v>35</v>
      </c>
      <c r="I2915" s="6">
        <v>1.0</v>
      </c>
      <c r="J2915" s="6" t="s">
        <v>37</v>
      </c>
      <c r="K2915" s="6">
        <v>10.0</v>
      </c>
      <c r="L2915" s="5"/>
      <c r="M2915" s="5"/>
      <c r="N2915" s="6" t="s">
        <v>40</v>
      </c>
      <c r="O2915" s="5" t="s">
        <v>5363</v>
      </c>
      <c r="P2915" s="6" t="s">
        <v>42</v>
      </c>
      <c r="Q2915" s="5" t="s">
        <v>1237</v>
      </c>
      <c r="R2915" s="5" t="s">
        <v>15489</v>
      </c>
      <c r="S2915" s="6" t="s">
        <v>56</v>
      </c>
      <c r="T2915" s="6">
        <v>6761.0</v>
      </c>
    </row>
    <row r="2916" ht="56.25" customHeight="1">
      <c r="A2916" s="5" t="s">
        <v>15482</v>
      </c>
      <c r="B2916" s="6" t="str">
        <f>image("https://storage.googleapis.com/acdb/photos/BromideNpcNmlCat15_Remake_2_0.png")</f>
        <v/>
      </c>
      <c r="C2916" s="5" t="s">
        <v>688</v>
      </c>
      <c r="D2916" s="5" t="s">
        <v>1327</v>
      </c>
      <c r="E2916" s="5" t="s">
        <v>34</v>
      </c>
      <c r="F2916" s="5" t="s">
        <v>34</v>
      </c>
      <c r="G2916" s="5" t="s">
        <v>36</v>
      </c>
      <c r="H2916" s="5" t="s">
        <v>35</v>
      </c>
      <c r="I2916" s="6">
        <v>1.0</v>
      </c>
      <c r="J2916" s="6" t="s">
        <v>37</v>
      </c>
      <c r="K2916" s="6">
        <v>10.0</v>
      </c>
      <c r="L2916" s="5"/>
      <c r="M2916" s="5"/>
      <c r="N2916" s="6" t="s">
        <v>40</v>
      </c>
      <c r="O2916" s="5" t="s">
        <v>5363</v>
      </c>
      <c r="P2916" s="6" t="s">
        <v>42</v>
      </c>
      <c r="Q2916" s="5" t="s">
        <v>1237</v>
      </c>
      <c r="R2916" s="5" t="s">
        <v>15494</v>
      </c>
      <c r="S2916" s="6" t="s">
        <v>67</v>
      </c>
      <c r="T2916" s="6">
        <v>6761.0</v>
      </c>
    </row>
    <row r="2917" ht="56.25" customHeight="1">
      <c r="A2917" s="5" t="s">
        <v>15482</v>
      </c>
      <c r="B2917" s="6" t="str">
        <f>image("https://storage.googleapis.com/acdb/photos/BromideNpcNmlCat15_Remake_3_0.png")</f>
        <v/>
      </c>
      <c r="C2917" s="5" t="s">
        <v>57</v>
      </c>
      <c r="D2917" s="5" t="s">
        <v>1327</v>
      </c>
      <c r="E2917" s="5" t="s">
        <v>34</v>
      </c>
      <c r="F2917" s="5" t="s">
        <v>34</v>
      </c>
      <c r="G2917" s="5" t="s">
        <v>36</v>
      </c>
      <c r="H2917" s="5" t="s">
        <v>35</v>
      </c>
      <c r="I2917" s="6">
        <v>1.0</v>
      </c>
      <c r="J2917" s="6" t="s">
        <v>37</v>
      </c>
      <c r="K2917" s="6">
        <v>10.0</v>
      </c>
      <c r="L2917" s="5"/>
      <c r="M2917" s="5"/>
      <c r="N2917" s="6" t="s">
        <v>40</v>
      </c>
      <c r="O2917" s="5" t="s">
        <v>5363</v>
      </c>
      <c r="P2917" s="6" t="s">
        <v>42</v>
      </c>
      <c r="Q2917" s="5" t="s">
        <v>1237</v>
      </c>
      <c r="R2917" s="5" t="s">
        <v>15496</v>
      </c>
      <c r="S2917" s="6" t="s">
        <v>71</v>
      </c>
      <c r="T2917" s="6">
        <v>6761.0</v>
      </c>
    </row>
    <row r="2918" ht="56.25" customHeight="1">
      <c r="A2918" s="5" t="s">
        <v>15482</v>
      </c>
      <c r="B2918" s="6" t="str">
        <f>image("https://storage.googleapis.com/acdb/photos/BromideNpcNmlCat15_Remake_4_0.png")</f>
        <v/>
      </c>
      <c r="C2918" s="5" t="s">
        <v>1167</v>
      </c>
      <c r="D2918" s="5" t="s">
        <v>1327</v>
      </c>
      <c r="E2918" s="5" t="s">
        <v>34</v>
      </c>
      <c r="F2918" s="5" t="s">
        <v>34</v>
      </c>
      <c r="G2918" s="5" t="s">
        <v>36</v>
      </c>
      <c r="H2918" s="5" t="s">
        <v>35</v>
      </c>
      <c r="I2918" s="6">
        <v>1.0</v>
      </c>
      <c r="J2918" s="6" t="s">
        <v>37</v>
      </c>
      <c r="K2918" s="6">
        <v>10.0</v>
      </c>
      <c r="L2918" s="5"/>
      <c r="M2918" s="5"/>
      <c r="N2918" s="6" t="s">
        <v>40</v>
      </c>
      <c r="O2918" s="5" t="s">
        <v>5363</v>
      </c>
      <c r="P2918" s="6" t="s">
        <v>42</v>
      </c>
      <c r="Q2918" s="5" t="s">
        <v>1237</v>
      </c>
      <c r="R2918" s="5" t="s">
        <v>15499</v>
      </c>
      <c r="S2918" s="6" t="s">
        <v>75</v>
      </c>
      <c r="T2918" s="6">
        <v>6761.0</v>
      </c>
    </row>
    <row r="2919" ht="56.25" customHeight="1">
      <c r="A2919" s="5" t="s">
        <v>15482</v>
      </c>
      <c r="B2919" s="6" t="str">
        <f>image("https://storage.googleapis.com/acdb/photos/BromideNpcNmlCat15_Remake_5_0.png")</f>
        <v/>
      </c>
      <c r="C2919" s="5" t="s">
        <v>58</v>
      </c>
      <c r="D2919" s="5" t="s">
        <v>1327</v>
      </c>
      <c r="E2919" s="5" t="s">
        <v>34</v>
      </c>
      <c r="F2919" s="5" t="s">
        <v>34</v>
      </c>
      <c r="G2919" s="5" t="s">
        <v>36</v>
      </c>
      <c r="H2919" s="5" t="s">
        <v>35</v>
      </c>
      <c r="I2919" s="6">
        <v>1.0</v>
      </c>
      <c r="J2919" s="6" t="s">
        <v>37</v>
      </c>
      <c r="K2919" s="6">
        <v>10.0</v>
      </c>
      <c r="L2919" s="5"/>
      <c r="M2919" s="5"/>
      <c r="N2919" s="6" t="s">
        <v>40</v>
      </c>
      <c r="O2919" s="5" t="s">
        <v>5363</v>
      </c>
      <c r="P2919" s="6" t="s">
        <v>42</v>
      </c>
      <c r="Q2919" s="5" t="s">
        <v>1237</v>
      </c>
      <c r="R2919" s="5" t="s">
        <v>15502</v>
      </c>
      <c r="S2919" s="6" t="s">
        <v>79</v>
      </c>
      <c r="T2919" s="6">
        <v>6761.0</v>
      </c>
    </row>
    <row r="2920" ht="56.25" customHeight="1">
      <c r="A2920" s="5" t="s">
        <v>15482</v>
      </c>
      <c r="B2920" s="6" t="str">
        <f>image("https://storage.googleapis.com/acdb/photos/BromideNpcNmlCat15_Remake_6_0.png")</f>
        <v/>
      </c>
      <c r="C2920" s="5" t="s">
        <v>146</v>
      </c>
      <c r="D2920" s="5" t="s">
        <v>1327</v>
      </c>
      <c r="E2920" s="5" t="s">
        <v>34</v>
      </c>
      <c r="F2920" s="5" t="s">
        <v>34</v>
      </c>
      <c r="G2920" s="5" t="s">
        <v>36</v>
      </c>
      <c r="H2920" s="5" t="s">
        <v>35</v>
      </c>
      <c r="I2920" s="6">
        <v>1.0</v>
      </c>
      <c r="J2920" s="6" t="s">
        <v>37</v>
      </c>
      <c r="K2920" s="6">
        <v>10.0</v>
      </c>
      <c r="L2920" s="5"/>
      <c r="M2920" s="5"/>
      <c r="N2920" s="6" t="s">
        <v>40</v>
      </c>
      <c r="O2920" s="5" t="s">
        <v>5363</v>
      </c>
      <c r="P2920" s="6" t="s">
        <v>42</v>
      </c>
      <c r="Q2920" s="5" t="s">
        <v>1237</v>
      </c>
      <c r="R2920" s="5" t="s">
        <v>15505</v>
      </c>
      <c r="S2920" s="6" t="s">
        <v>86</v>
      </c>
      <c r="T2920" s="6">
        <v>6761.0</v>
      </c>
    </row>
    <row r="2921" ht="56.25" customHeight="1">
      <c r="A2921" s="5" t="s">
        <v>15482</v>
      </c>
      <c r="B2921" s="6" t="str">
        <f>image("https://storage.googleapis.com/acdb/photos/BromideNpcNmlCat15_Remake_7_0.png")</f>
        <v/>
      </c>
      <c r="C2921" s="5" t="s">
        <v>151</v>
      </c>
      <c r="D2921" s="5" t="s">
        <v>1327</v>
      </c>
      <c r="E2921" s="5" t="s">
        <v>34</v>
      </c>
      <c r="F2921" s="5" t="s">
        <v>34</v>
      </c>
      <c r="G2921" s="5" t="s">
        <v>36</v>
      </c>
      <c r="H2921" s="5" t="s">
        <v>35</v>
      </c>
      <c r="I2921" s="6">
        <v>1.0</v>
      </c>
      <c r="J2921" s="6" t="s">
        <v>37</v>
      </c>
      <c r="K2921" s="6">
        <v>10.0</v>
      </c>
      <c r="L2921" s="5"/>
      <c r="M2921" s="5"/>
      <c r="N2921" s="6" t="s">
        <v>40</v>
      </c>
      <c r="O2921" s="5" t="s">
        <v>5363</v>
      </c>
      <c r="P2921" s="6" t="s">
        <v>42</v>
      </c>
      <c r="Q2921" s="5" t="s">
        <v>1237</v>
      </c>
      <c r="R2921" s="5" t="s">
        <v>15508</v>
      </c>
      <c r="S2921" s="6" t="s">
        <v>208</v>
      </c>
      <c r="T2921" s="6">
        <v>6761.0</v>
      </c>
    </row>
    <row r="2922" ht="56.25" customHeight="1">
      <c r="A2922" s="5" t="s">
        <v>15509</v>
      </c>
      <c r="B2922" s="6" t="str">
        <f>image("https://storage.googleapis.com/acdb/photos/BromideNpcNmlPig01_Remake_0_0.png")</f>
        <v/>
      </c>
      <c r="C2922" s="5" t="s">
        <v>366</v>
      </c>
      <c r="D2922" s="5" t="s">
        <v>1327</v>
      </c>
      <c r="E2922" s="5" t="s">
        <v>34</v>
      </c>
      <c r="F2922" s="5" t="s">
        <v>34</v>
      </c>
      <c r="G2922" s="5" t="s">
        <v>36</v>
      </c>
      <c r="H2922" s="5" t="s">
        <v>35</v>
      </c>
      <c r="I2922" s="6">
        <v>1.0</v>
      </c>
      <c r="J2922" s="6" t="s">
        <v>37</v>
      </c>
      <c r="K2922" s="6">
        <v>10.0</v>
      </c>
      <c r="L2922" s="5"/>
      <c r="M2922" s="5"/>
      <c r="N2922" s="6" t="s">
        <v>40</v>
      </c>
      <c r="O2922" s="5" t="s">
        <v>5363</v>
      </c>
      <c r="P2922" s="6" t="s">
        <v>42</v>
      </c>
      <c r="Q2922" s="5" t="s">
        <v>1237</v>
      </c>
      <c r="R2922" s="5" t="s">
        <v>15512</v>
      </c>
      <c r="S2922" s="6" t="s">
        <v>50</v>
      </c>
      <c r="T2922" s="6">
        <v>6645.0</v>
      </c>
    </row>
    <row r="2923" ht="56.25" customHeight="1">
      <c r="A2923" s="5" t="s">
        <v>15509</v>
      </c>
      <c r="B2923" s="6" t="str">
        <f>image("https://storage.googleapis.com/acdb/photos/BromideNpcNmlPig01_Remake_1_0.png")</f>
        <v/>
      </c>
      <c r="C2923" s="5" t="s">
        <v>1132</v>
      </c>
      <c r="D2923" s="5" t="s">
        <v>1327</v>
      </c>
      <c r="E2923" s="5" t="s">
        <v>34</v>
      </c>
      <c r="F2923" s="5" t="s">
        <v>34</v>
      </c>
      <c r="G2923" s="5" t="s">
        <v>36</v>
      </c>
      <c r="H2923" s="5" t="s">
        <v>35</v>
      </c>
      <c r="I2923" s="6">
        <v>1.0</v>
      </c>
      <c r="J2923" s="6" t="s">
        <v>37</v>
      </c>
      <c r="K2923" s="6">
        <v>10.0</v>
      </c>
      <c r="L2923" s="5"/>
      <c r="M2923" s="5"/>
      <c r="N2923" s="6" t="s">
        <v>40</v>
      </c>
      <c r="O2923" s="5" t="s">
        <v>5363</v>
      </c>
      <c r="P2923" s="6" t="s">
        <v>42</v>
      </c>
      <c r="Q2923" s="5" t="s">
        <v>1237</v>
      </c>
      <c r="R2923" s="5" t="s">
        <v>15515</v>
      </c>
      <c r="S2923" s="6" t="s">
        <v>56</v>
      </c>
      <c r="T2923" s="6">
        <v>6645.0</v>
      </c>
    </row>
    <row r="2924" ht="56.25" customHeight="1">
      <c r="A2924" s="5" t="s">
        <v>15509</v>
      </c>
      <c r="B2924" s="6" t="str">
        <f>image("https://storage.googleapis.com/acdb/photos/BromideNpcNmlPig01_Remake_2_0.png")</f>
        <v/>
      </c>
      <c r="C2924" s="5" t="s">
        <v>688</v>
      </c>
      <c r="D2924" s="5" t="s">
        <v>1327</v>
      </c>
      <c r="E2924" s="5" t="s">
        <v>34</v>
      </c>
      <c r="F2924" s="5" t="s">
        <v>34</v>
      </c>
      <c r="G2924" s="5" t="s">
        <v>36</v>
      </c>
      <c r="H2924" s="5" t="s">
        <v>35</v>
      </c>
      <c r="I2924" s="6">
        <v>1.0</v>
      </c>
      <c r="J2924" s="6" t="s">
        <v>37</v>
      </c>
      <c r="K2924" s="6">
        <v>10.0</v>
      </c>
      <c r="L2924" s="5"/>
      <c r="M2924" s="5"/>
      <c r="N2924" s="6" t="s">
        <v>40</v>
      </c>
      <c r="O2924" s="5" t="s">
        <v>5363</v>
      </c>
      <c r="P2924" s="6" t="s">
        <v>42</v>
      </c>
      <c r="Q2924" s="5" t="s">
        <v>1237</v>
      </c>
      <c r="R2924" s="5" t="s">
        <v>15519</v>
      </c>
      <c r="S2924" s="6" t="s">
        <v>67</v>
      </c>
      <c r="T2924" s="6">
        <v>6645.0</v>
      </c>
    </row>
    <row r="2925" ht="56.25" customHeight="1">
      <c r="A2925" s="5" t="s">
        <v>15509</v>
      </c>
      <c r="B2925" s="6" t="str">
        <f>image("https://storage.googleapis.com/acdb/photos/BromideNpcNmlPig01_Remake_3_0.png")</f>
        <v/>
      </c>
      <c r="C2925" s="5" t="s">
        <v>57</v>
      </c>
      <c r="D2925" s="5" t="s">
        <v>1327</v>
      </c>
      <c r="E2925" s="5" t="s">
        <v>34</v>
      </c>
      <c r="F2925" s="5" t="s">
        <v>34</v>
      </c>
      <c r="G2925" s="5" t="s">
        <v>36</v>
      </c>
      <c r="H2925" s="5" t="s">
        <v>35</v>
      </c>
      <c r="I2925" s="6">
        <v>1.0</v>
      </c>
      <c r="J2925" s="6" t="s">
        <v>37</v>
      </c>
      <c r="K2925" s="6">
        <v>10.0</v>
      </c>
      <c r="L2925" s="5"/>
      <c r="M2925" s="5"/>
      <c r="N2925" s="6" t="s">
        <v>40</v>
      </c>
      <c r="O2925" s="5" t="s">
        <v>5363</v>
      </c>
      <c r="P2925" s="6" t="s">
        <v>42</v>
      </c>
      <c r="Q2925" s="5" t="s">
        <v>1237</v>
      </c>
      <c r="R2925" s="5" t="s">
        <v>15525</v>
      </c>
      <c r="S2925" s="6" t="s">
        <v>71</v>
      </c>
      <c r="T2925" s="6">
        <v>6645.0</v>
      </c>
    </row>
    <row r="2926" ht="56.25" customHeight="1">
      <c r="A2926" s="5" t="s">
        <v>15509</v>
      </c>
      <c r="B2926" s="6" t="str">
        <f>image("https://storage.googleapis.com/acdb/photos/BromideNpcNmlPig01_Remake_4_0.png")</f>
        <v/>
      </c>
      <c r="C2926" s="5" t="s">
        <v>1167</v>
      </c>
      <c r="D2926" s="5" t="s">
        <v>1327</v>
      </c>
      <c r="E2926" s="5" t="s">
        <v>34</v>
      </c>
      <c r="F2926" s="5" t="s">
        <v>34</v>
      </c>
      <c r="G2926" s="5" t="s">
        <v>36</v>
      </c>
      <c r="H2926" s="5" t="s">
        <v>35</v>
      </c>
      <c r="I2926" s="6">
        <v>1.0</v>
      </c>
      <c r="J2926" s="6" t="s">
        <v>37</v>
      </c>
      <c r="K2926" s="6">
        <v>10.0</v>
      </c>
      <c r="L2926" s="5"/>
      <c r="M2926" s="5"/>
      <c r="N2926" s="6" t="s">
        <v>40</v>
      </c>
      <c r="O2926" s="5" t="s">
        <v>5363</v>
      </c>
      <c r="P2926" s="6" t="s">
        <v>42</v>
      </c>
      <c r="Q2926" s="5" t="s">
        <v>1237</v>
      </c>
      <c r="R2926" s="5" t="s">
        <v>15527</v>
      </c>
      <c r="S2926" s="6" t="s">
        <v>75</v>
      </c>
      <c r="T2926" s="6">
        <v>6645.0</v>
      </c>
    </row>
    <row r="2927" ht="56.25" customHeight="1">
      <c r="A2927" s="5" t="s">
        <v>15509</v>
      </c>
      <c r="B2927" s="6" t="str">
        <f>image("https://storage.googleapis.com/acdb/photos/BromideNpcNmlPig01_Remake_5_0.png")</f>
        <v/>
      </c>
      <c r="C2927" s="5" t="s">
        <v>58</v>
      </c>
      <c r="D2927" s="5" t="s">
        <v>1327</v>
      </c>
      <c r="E2927" s="5" t="s">
        <v>34</v>
      </c>
      <c r="F2927" s="5" t="s">
        <v>34</v>
      </c>
      <c r="G2927" s="5" t="s">
        <v>36</v>
      </c>
      <c r="H2927" s="5" t="s">
        <v>35</v>
      </c>
      <c r="I2927" s="6">
        <v>1.0</v>
      </c>
      <c r="J2927" s="6" t="s">
        <v>37</v>
      </c>
      <c r="K2927" s="6">
        <v>10.0</v>
      </c>
      <c r="L2927" s="5"/>
      <c r="M2927" s="5"/>
      <c r="N2927" s="6" t="s">
        <v>40</v>
      </c>
      <c r="O2927" s="5" t="s">
        <v>5363</v>
      </c>
      <c r="P2927" s="6" t="s">
        <v>42</v>
      </c>
      <c r="Q2927" s="5" t="s">
        <v>1237</v>
      </c>
      <c r="R2927" s="5" t="s">
        <v>15533</v>
      </c>
      <c r="S2927" s="6" t="s">
        <v>79</v>
      </c>
      <c r="T2927" s="6">
        <v>6645.0</v>
      </c>
    </row>
    <row r="2928" ht="56.25" customHeight="1">
      <c r="A2928" s="5" t="s">
        <v>15509</v>
      </c>
      <c r="B2928" s="6" t="str">
        <f>image("https://storage.googleapis.com/acdb/photos/BromideNpcNmlPig01_Remake_6_0.png")</f>
        <v/>
      </c>
      <c r="C2928" s="5" t="s">
        <v>146</v>
      </c>
      <c r="D2928" s="5" t="s">
        <v>1327</v>
      </c>
      <c r="E2928" s="5" t="s">
        <v>34</v>
      </c>
      <c r="F2928" s="5" t="s">
        <v>34</v>
      </c>
      <c r="G2928" s="5" t="s">
        <v>36</v>
      </c>
      <c r="H2928" s="5" t="s">
        <v>35</v>
      </c>
      <c r="I2928" s="6">
        <v>1.0</v>
      </c>
      <c r="J2928" s="6" t="s">
        <v>37</v>
      </c>
      <c r="K2928" s="6">
        <v>10.0</v>
      </c>
      <c r="L2928" s="5"/>
      <c r="M2928" s="5"/>
      <c r="N2928" s="6" t="s">
        <v>40</v>
      </c>
      <c r="O2928" s="5" t="s">
        <v>5363</v>
      </c>
      <c r="P2928" s="6" t="s">
        <v>42</v>
      </c>
      <c r="Q2928" s="5" t="s">
        <v>1237</v>
      </c>
      <c r="R2928" s="5" t="s">
        <v>15536</v>
      </c>
      <c r="S2928" s="6" t="s">
        <v>86</v>
      </c>
      <c r="T2928" s="6">
        <v>6645.0</v>
      </c>
    </row>
    <row r="2929" ht="56.25" customHeight="1">
      <c r="A2929" s="5" t="s">
        <v>15509</v>
      </c>
      <c r="B2929" s="6" t="str">
        <f>image("https://storage.googleapis.com/acdb/photos/BromideNpcNmlPig01_Remake_7_0.png")</f>
        <v/>
      </c>
      <c r="C2929" s="5" t="s">
        <v>151</v>
      </c>
      <c r="D2929" s="5" t="s">
        <v>1327</v>
      </c>
      <c r="E2929" s="5" t="s">
        <v>34</v>
      </c>
      <c r="F2929" s="5" t="s">
        <v>34</v>
      </c>
      <c r="G2929" s="5" t="s">
        <v>36</v>
      </c>
      <c r="H2929" s="5" t="s">
        <v>35</v>
      </c>
      <c r="I2929" s="6">
        <v>1.0</v>
      </c>
      <c r="J2929" s="6" t="s">
        <v>37</v>
      </c>
      <c r="K2929" s="6">
        <v>10.0</v>
      </c>
      <c r="L2929" s="5"/>
      <c r="M2929" s="5"/>
      <c r="N2929" s="6" t="s">
        <v>40</v>
      </c>
      <c r="O2929" s="5" t="s">
        <v>5363</v>
      </c>
      <c r="P2929" s="6" t="s">
        <v>42</v>
      </c>
      <c r="Q2929" s="5" t="s">
        <v>1237</v>
      </c>
      <c r="R2929" s="5" t="s">
        <v>15539</v>
      </c>
      <c r="S2929" s="6" t="s">
        <v>208</v>
      </c>
      <c r="T2929" s="6">
        <v>6645.0</v>
      </c>
    </row>
    <row r="2930" ht="56.25" customHeight="1">
      <c r="A2930" s="5" t="s">
        <v>15541</v>
      </c>
      <c r="B2930" s="6" t="str">
        <f>image("https://storage.googleapis.com/acdb/photos/BromideNpcNmlElp09_Remake_0_0.png")</f>
        <v/>
      </c>
      <c r="C2930" s="5" t="s">
        <v>366</v>
      </c>
      <c r="D2930" s="5" t="s">
        <v>1327</v>
      </c>
      <c r="E2930" s="5" t="s">
        <v>34</v>
      </c>
      <c r="F2930" s="5" t="s">
        <v>34</v>
      </c>
      <c r="G2930" s="5" t="s">
        <v>36</v>
      </c>
      <c r="H2930" s="5" t="s">
        <v>35</v>
      </c>
      <c r="I2930" s="6">
        <v>1.0</v>
      </c>
      <c r="J2930" s="6" t="s">
        <v>37</v>
      </c>
      <c r="K2930" s="6">
        <v>10.0</v>
      </c>
      <c r="L2930" s="5"/>
      <c r="M2930" s="5"/>
      <c r="N2930" s="6" t="s">
        <v>40</v>
      </c>
      <c r="O2930" s="5" t="s">
        <v>5363</v>
      </c>
      <c r="P2930" s="6" t="s">
        <v>42</v>
      </c>
      <c r="Q2930" s="5" t="s">
        <v>1237</v>
      </c>
      <c r="R2930" s="5" t="s">
        <v>15544</v>
      </c>
      <c r="S2930" s="6" t="s">
        <v>50</v>
      </c>
      <c r="T2930" s="6">
        <v>6481.0</v>
      </c>
    </row>
    <row r="2931" ht="56.25" customHeight="1">
      <c r="A2931" s="5" t="s">
        <v>15541</v>
      </c>
      <c r="B2931" s="6" t="str">
        <f>image("https://storage.googleapis.com/acdb/photos/BromideNpcNmlElp09_Remake_1_0.png")</f>
        <v/>
      </c>
      <c r="C2931" s="5" t="s">
        <v>1132</v>
      </c>
      <c r="D2931" s="5" t="s">
        <v>1327</v>
      </c>
      <c r="E2931" s="5" t="s">
        <v>34</v>
      </c>
      <c r="F2931" s="5" t="s">
        <v>34</v>
      </c>
      <c r="G2931" s="5" t="s">
        <v>36</v>
      </c>
      <c r="H2931" s="5" t="s">
        <v>35</v>
      </c>
      <c r="I2931" s="6">
        <v>1.0</v>
      </c>
      <c r="J2931" s="6" t="s">
        <v>37</v>
      </c>
      <c r="K2931" s="6">
        <v>10.0</v>
      </c>
      <c r="L2931" s="5"/>
      <c r="M2931" s="5"/>
      <c r="N2931" s="6" t="s">
        <v>40</v>
      </c>
      <c r="O2931" s="5" t="s">
        <v>5363</v>
      </c>
      <c r="P2931" s="6" t="s">
        <v>42</v>
      </c>
      <c r="Q2931" s="5" t="s">
        <v>1237</v>
      </c>
      <c r="R2931" s="5" t="s">
        <v>15546</v>
      </c>
      <c r="S2931" s="6" t="s">
        <v>56</v>
      </c>
      <c r="T2931" s="6">
        <v>6481.0</v>
      </c>
    </row>
    <row r="2932" ht="56.25" customHeight="1">
      <c r="A2932" s="5" t="s">
        <v>15541</v>
      </c>
      <c r="B2932" s="6" t="str">
        <f>image("https://storage.googleapis.com/acdb/photos/BromideNpcNmlElp09_Remake_2_0.png")</f>
        <v/>
      </c>
      <c r="C2932" s="5" t="s">
        <v>688</v>
      </c>
      <c r="D2932" s="5" t="s">
        <v>1327</v>
      </c>
      <c r="E2932" s="5" t="s">
        <v>34</v>
      </c>
      <c r="F2932" s="5" t="s">
        <v>34</v>
      </c>
      <c r="G2932" s="5" t="s">
        <v>36</v>
      </c>
      <c r="H2932" s="5" t="s">
        <v>35</v>
      </c>
      <c r="I2932" s="6">
        <v>1.0</v>
      </c>
      <c r="J2932" s="6" t="s">
        <v>37</v>
      </c>
      <c r="K2932" s="6">
        <v>10.0</v>
      </c>
      <c r="L2932" s="5"/>
      <c r="M2932" s="5"/>
      <c r="N2932" s="6" t="s">
        <v>40</v>
      </c>
      <c r="O2932" s="5" t="s">
        <v>5363</v>
      </c>
      <c r="P2932" s="6" t="s">
        <v>42</v>
      </c>
      <c r="Q2932" s="5" t="s">
        <v>1237</v>
      </c>
      <c r="R2932" s="5" t="s">
        <v>15553</v>
      </c>
      <c r="S2932" s="6" t="s">
        <v>67</v>
      </c>
      <c r="T2932" s="6">
        <v>6481.0</v>
      </c>
    </row>
    <row r="2933" ht="56.25" customHeight="1">
      <c r="A2933" s="5" t="s">
        <v>15541</v>
      </c>
      <c r="B2933" s="6" t="str">
        <f>image("https://storage.googleapis.com/acdb/photos/BromideNpcNmlElp09_Remake_3_0.png")</f>
        <v/>
      </c>
      <c r="C2933" s="5" t="s">
        <v>57</v>
      </c>
      <c r="D2933" s="5" t="s">
        <v>1327</v>
      </c>
      <c r="E2933" s="5" t="s">
        <v>34</v>
      </c>
      <c r="F2933" s="5" t="s">
        <v>34</v>
      </c>
      <c r="G2933" s="5" t="s">
        <v>36</v>
      </c>
      <c r="H2933" s="5" t="s">
        <v>35</v>
      </c>
      <c r="I2933" s="6">
        <v>1.0</v>
      </c>
      <c r="J2933" s="6" t="s">
        <v>37</v>
      </c>
      <c r="K2933" s="6">
        <v>10.0</v>
      </c>
      <c r="L2933" s="5"/>
      <c r="M2933" s="5"/>
      <c r="N2933" s="6" t="s">
        <v>40</v>
      </c>
      <c r="O2933" s="5" t="s">
        <v>5363</v>
      </c>
      <c r="P2933" s="6" t="s">
        <v>42</v>
      </c>
      <c r="Q2933" s="5" t="s">
        <v>1237</v>
      </c>
      <c r="R2933" s="5" t="s">
        <v>15556</v>
      </c>
      <c r="S2933" s="6" t="s">
        <v>71</v>
      </c>
      <c r="T2933" s="6">
        <v>6481.0</v>
      </c>
    </row>
    <row r="2934" ht="56.25" customHeight="1">
      <c r="A2934" s="5" t="s">
        <v>15541</v>
      </c>
      <c r="B2934" s="6" t="str">
        <f>image("https://storage.googleapis.com/acdb/photos/BromideNpcNmlElp09_Remake_4_0.png")</f>
        <v/>
      </c>
      <c r="C2934" s="5" t="s">
        <v>1167</v>
      </c>
      <c r="D2934" s="5" t="s">
        <v>1327</v>
      </c>
      <c r="E2934" s="5" t="s">
        <v>34</v>
      </c>
      <c r="F2934" s="5" t="s">
        <v>34</v>
      </c>
      <c r="G2934" s="5" t="s">
        <v>36</v>
      </c>
      <c r="H2934" s="5" t="s">
        <v>35</v>
      </c>
      <c r="I2934" s="6">
        <v>1.0</v>
      </c>
      <c r="J2934" s="6" t="s">
        <v>37</v>
      </c>
      <c r="K2934" s="6">
        <v>10.0</v>
      </c>
      <c r="L2934" s="5"/>
      <c r="M2934" s="5"/>
      <c r="N2934" s="6" t="s">
        <v>40</v>
      </c>
      <c r="O2934" s="5" t="s">
        <v>5363</v>
      </c>
      <c r="P2934" s="6" t="s">
        <v>42</v>
      </c>
      <c r="Q2934" s="5" t="s">
        <v>1237</v>
      </c>
      <c r="R2934" s="5" t="s">
        <v>15559</v>
      </c>
      <c r="S2934" s="6" t="s">
        <v>75</v>
      </c>
      <c r="T2934" s="6">
        <v>6481.0</v>
      </c>
    </row>
    <row r="2935" ht="56.25" customHeight="1">
      <c r="A2935" s="5" t="s">
        <v>15541</v>
      </c>
      <c r="B2935" s="6" t="str">
        <f>image("https://storage.googleapis.com/acdb/photos/BromideNpcNmlElp09_Remake_5_0.png")</f>
        <v/>
      </c>
      <c r="C2935" s="5" t="s">
        <v>58</v>
      </c>
      <c r="D2935" s="5" t="s">
        <v>1327</v>
      </c>
      <c r="E2935" s="5" t="s">
        <v>34</v>
      </c>
      <c r="F2935" s="5" t="s">
        <v>34</v>
      </c>
      <c r="G2935" s="5" t="s">
        <v>36</v>
      </c>
      <c r="H2935" s="5" t="s">
        <v>35</v>
      </c>
      <c r="I2935" s="6">
        <v>1.0</v>
      </c>
      <c r="J2935" s="6" t="s">
        <v>37</v>
      </c>
      <c r="K2935" s="6">
        <v>10.0</v>
      </c>
      <c r="L2935" s="5"/>
      <c r="M2935" s="5"/>
      <c r="N2935" s="6" t="s">
        <v>40</v>
      </c>
      <c r="O2935" s="5" t="s">
        <v>5363</v>
      </c>
      <c r="P2935" s="6" t="s">
        <v>42</v>
      </c>
      <c r="Q2935" s="5" t="s">
        <v>1237</v>
      </c>
      <c r="R2935" s="5" t="s">
        <v>15563</v>
      </c>
      <c r="S2935" s="6" t="s">
        <v>79</v>
      </c>
      <c r="T2935" s="6">
        <v>6481.0</v>
      </c>
    </row>
    <row r="2936" ht="56.25" customHeight="1">
      <c r="A2936" s="5" t="s">
        <v>15541</v>
      </c>
      <c r="B2936" s="6" t="str">
        <f>image("https://storage.googleapis.com/acdb/photos/BromideNpcNmlElp09_Remake_6_0.png")</f>
        <v/>
      </c>
      <c r="C2936" s="5" t="s">
        <v>146</v>
      </c>
      <c r="D2936" s="5" t="s">
        <v>1327</v>
      </c>
      <c r="E2936" s="5" t="s">
        <v>34</v>
      </c>
      <c r="F2936" s="5" t="s">
        <v>34</v>
      </c>
      <c r="G2936" s="5" t="s">
        <v>36</v>
      </c>
      <c r="H2936" s="5" t="s">
        <v>35</v>
      </c>
      <c r="I2936" s="6">
        <v>1.0</v>
      </c>
      <c r="J2936" s="6" t="s">
        <v>37</v>
      </c>
      <c r="K2936" s="6">
        <v>10.0</v>
      </c>
      <c r="L2936" s="5"/>
      <c r="M2936" s="5"/>
      <c r="N2936" s="6" t="s">
        <v>40</v>
      </c>
      <c r="O2936" s="5" t="s">
        <v>5363</v>
      </c>
      <c r="P2936" s="6" t="s">
        <v>42</v>
      </c>
      <c r="Q2936" s="5" t="s">
        <v>1237</v>
      </c>
      <c r="R2936" s="5" t="s">
        <v>15566</v>
      </c>
      <c r="S2936" s="6" t="s">
        <v>86</v>
      </c>
      <c r="T2936" s="6">
        <v>6481.0</v>
      </c>
    </row>
    <row r="2937" ht="56.25" customHeight="1">
      <c r="A2937" s="5" t="s">
        <v>15541</v>
      </c>
      <c r="B2937" s="6" t="str">
        <f>image("https://storage.googleapis.com/acdb/photos/BromideNpcNmlElp09_Remake_7_0.png")</f>
        <v/>
      </c>
      <c r="C2937" s="5" t="s">
        <v>151</v>
      </c>
      <c r="D2937" s="5" t="s">
        <v>1327</v>
      </c>
      <c r="E2937" s="5" t="s">
        <v>34</v>
      </c>
      <c r="F2937" s="5" t="s">
        <v>34</v>
      </c>
      <c r="G2937" s="5" t="s">
        <v>36</v>
      </c>
      <c r="H2937" s="5" t="s">
        <v>35</v>
      </c>
      <c r="I2937" s="6">
        <v>1.0</v>
      </c>
      <c r="J2937" s="6" t="s">
        <v>37</v>
      </c>
      <c r="K2937" s="6">
        <v>10.0</v>
      </c>
      <c r="L2937" s="5"/>
      <c r="M2937" s="5"/>
      <c r="N2937" s="6" t="s">
        <v>40</v>
      </c>
      <c r="O2937" s="5" t="s">
        <v>5363</v>
      </c>
      <c r="P2937" s="6" t="s">
        <v>42</v>
      </c>
      <c r="Q2937" s="5" t="s">
        <v>1237</v>
      </c>
      <c r="R2937" s="5" t="s">
        <v>15568</v>
      </c>
      <c r="S2937" s="6" t="s">
        <v>208</v>
      </c>
      <c r="T2937" s="6">
        <v>6481.0</v>
      </c>
    </row>
    <row r="2938" ht="56.25" customHeight="1">
      <c r="A2938" s="5" t="s">
        <v>15569</v>
      </c>
      <c r="B2938" s="6" t="str">
        <f>image("https://storage.googleapis.com/acdb/photos/BromideNpcNmlBea07_Remake_0_0.png")</f>
        <v/>
      </c>
      <c r="C2938" s="5" t="s">
        <v>366</v>
      </c>
      <c r="D2938" s="5" t="s">
        <v>1327</v>
      </c>
      <c r="E2938" s="5" t="s">
        <v>34</v>
      </c>
      <c r="F2938" s="5" t="s">
        <v>34</v>
      </c>
      <c r="G2938" s="5" t="s">
        <v>36</v>
      </c>
      <c r="H2938" s="5" t="s">
        <v>35</v>
      </c>
      <c r="I2938" s="6">
        <v>1.0</v>
      </c>
      <c r="J2938" s="6" t="s">
        <v>37</v>
      </c>
      <c r="K2938" s="6">
        <v>10.0</v>
      </c>
      <c r="L2938" s="5"/>
      <c r="M2938" s="5"/>
      <c r="N2938" s="6" t="s">
        <v>40</v>
      </c>
      <c r="O2938" s="5" t="s">
        <v>5363</v>
      </c>
      <c r="P2938" s="6" t="s">
        <v>42</v>
      </c>
      <c r="Q2938" s="5" t="s">
        <v>1237</v>
      </c>
      <c r="R2938" s="5" t="s">
        <v>15571</v>
      </c>
      <c r="S2938" s="6" t="s">
        <v>50</v>
      </c>
      <c r="T2938" s="6">
        <v>6471.0</v>
      </c>
    </row>
    <row r="2939" ht="56.25" customHeight="1">
      <c r="A2939" s="5" t="s">
        <v>15569</v>
      </c>
      <c r="B2939" s="6" t="str">
        <f>image("https://storage.googleapis.com/acdb/photos/BromideNpcNmlBea07_Remake_1_0.png")</f>
        <v/>
      </c>
      <c r="C2939" s="5" t="s">
        <v>1132</v>
      </c>
      <c r="D2939" s="5" t="s">
        <v>1327</v>
      </c>
      <c r="E2939" s="5" t="s">
        <v>34</v>
      </c>
      <c r="F2939" s="5" t="s">
        <v>34</v>
      </c>
      <c r="G2939" s="5" t="s">
        <v>36</v>
      </c>
      <c r="H2939" s="5" t="s">
        <v>35</v>
      </c>
      <c r="I2939" s="6">
        <v>1.0</v>
      </c>
      <c r="J2939" s="6" t="s">
        <v>37</v>
      </c>
      <c r="K2939" s="6">
        <v>10.0</v>
      </c>
      <c r="L2939" s="5"/>
      <c r="M2939" s="5"/>
      <c r="N2939" s="6" t="s">
        <v>40</v>
      </c>
      <c r="O2939" s="5" t="s">
        <v>5363</v>
      </c>
      <c r="P2939" s="6" t="s">
        <v>42</v>
      </c>
      <c r="Q2939" s="5" t="s">
        <v>1237</v>
      </c>
      <c r="R2939" s="5" t="s">
        <v>15573</v>
      </c>
      <c r="S2939" s="6" t="s">
        <v>56</v>
      </c>
      <c r="T2939" s="6">
        <v>6471.0</v>
      </c>
    </row>
    <row r="2940" ht="56.25" customHeight="1">
      <c r="A2940" s="5" t="s">
        <v>15569</v>
      </c>
      <c r="B2940" s="6" t="str">
        <f>image("https://storage.googleapis.com/acdb/photos/BromideNpcNmlBea07_Remake_2_0.png")</f>
        <v/>
      </c>
      <c r="C2940" s="5" t="s">
        <v>688</v>
      </c>
      <c r="D2940" s="5" t="s">
        <v>1327</v>
      </c>
      <c r="E2940" s="5" t="s">
        <v>34</v>
      </c>
      <c r="F2940" s="5" t="s">
        <v>34</v>
      </c>
      <c r="G2940" s="5" t="s">
        <v>36</v>
      </c>
      <c r="H2940" s="5" t="s">
        <v>35</v>
      </c>
      <c r="I2940" s="6">
        <v>1.0</v>
      </c>
      <c r="J2940" s="6" t="s">
        <v>37</v>
      </c>
      <c r="K2940" s="6">
        <v>10.0</v>
      </c>
      <c r="L2940" s="5"/>
      <c r="M2940" s="5"/>
      <c r="N2940" s="6" t="s">
        <v>40</v>
      </c>
      <c r="O2940" s="5" t="s">
        <v>5363</v>
      </c>
      <c r="P2940" s="6" t="s">
        <v>42</v>
      </c>
      <c r="Q2940" s="5" t="s">
        <v>1237</v>
      </c>
      <c r="R2940" s="5" t="s">
        <v>15577</v>
      </c>
      <c r="S2940" s="6" t="s">
        <v>67</v>
      </c>
      <c r="T2940" s="6">
        <v>6471.0</v>
      </c>
    </row>
    <row r="2941" ht="56.25" customHeight="1">
      <c r="A2941" s="5" t="s">
        <v>15569</v>
      </c>
      <c r="B2941" s="6" t="str">
        <f>image("https://storage.googleapis.com/acdb/photos/BromideNpcNmlBea07_Remake_3_0.png")</f>
        <v/>
      </c>
      <c r="C2941" s="5" t="s">
        <v>57</v>
      </c>
      <c r="D2941" s="5" t="s">
        <v>1327</v>
      </c>
      <c r="E2941" s="5" t="s">
        <v>34</v>
      </c>
      <c r="F2941" s="5" t="s">
        <v>34</v>
      </c>
      <c r="G2941" s="5" t="s">
        <v>36</v>
      </c>
      <c r="H2941" s="5" t="s">
        <v>35</v>
      </c>
      <c r="I2941" s="6">
        <v>1.0</v>
      </c>
      <c r="J2941" s="6" t="s">
        <v>37</v>
      </c>
      <c r="K2941" s="6">
        <v>10.0</v>
      </c>
      <c r="L2941" s="5"/>
      <c r="M2941" s="5"/>
      <c r="N2941" s="6" t="s">
        <v>40</v>
      </c>
      <c r="O2941" s="5" t="s">
        <v>5363</v>
      </c>
      <c r="P2941" s="6" t="s">
        <v>42</v>
      </c>
      <c r="Q2941" s="5" t="s">
        <v>1237</v>
      </c>
      <c r="R2941" s="5" t="s">
        <v>15581</v>
      </c>
      <c r="S2941" s="6" t="s">
        <v>71</v>
      </c>
      <c r="T2941" s="6">
        <v>6471.0</v>
      </c>
    </row>
    <row r="2942" ht="56.25" customHeight="1">
      <c r="A2942" s="5" t="s">
        <v>15569</v>
      </c>
      <c r="B2942" s="6" t="str">
        <f>image("https://storage.googleapis.com/acdb/photos/BromideNpcNmlBea07_Remake_4_0.png")</f>
        <v/>
      </c>
      <c r="C2942" s="5" t="s">
        <v>1167</v>
      </c>
      <c r="D2942" s="5" t="s">
        <v>1327</v>
      </c>
      <c r="E2942" s="5" t="s">
        <v>34</v>
      </c>
      <c r="F2942" s="5" t="s">
        <v>34</v>
      </c>
      <c r="G2942" s="5" t="s">
        <v>36</v>
      </c>
      <c r="H2942" s="5" t="s">
        <v>35</v>
      </c>
      <c r="I2942" s="6">
        <v>1.0</v>
      </c>
      <c r="J2942" s="6" t="s">
        <v>37</v>
      </c>
      <c r="K2942" s="6">
        <v>10.0</v>
      </c>
      <c r="L2942" s="5"/>
      <c r="M2942" s="5"/>
      <c r="N2942" s="6" t="s">
        <v>40</v>
      </c>
      <c r="O2942" s="5" t="s">
        <v>5363</v>
      </c>
      <c r="P2942" s="6" t="s">
        <v>42</v>
      </c>
      <c r="Q2942" s="5" t="s">
        <v>1237</v>
      </c>
      <c r="R2942" s="5" t="s">
        <v>15584</v>
      </c>
      <c r="S2942" s="6" t="s">
        <v>75</v>
      </c>
      <c r="T2942" s="6">
        <v>6471.0</v>
      </c>
    </row>
    <row r="2943" ht="56.25" customHeight="1">
      <c r="A2943" s="5" t="s">
        <v>15569</v>
      </c>
      <c r="B2943" s="6" t="str">
        <f>image("https://storage.googleapis.com/acdb/photos/BromideNpcNmlBea07_Remake_5_0.png")</f>
        <v/>
      </c>
      <c r="C2943" s="5" t="s">
        <v>58</v>
      </c>
      <c r="D2943" s="5" t="s">
        <v>1327</v>
      </c>
      <c r="E2943" s="5" t="s">
        <v>34</v>
      </c>
      <c r="F2943" s="5" t="s">
        <v>34</v>
      </c>
      <c r="G2943" s="5" t="s">
        <v>36</v>
      </c>
      <c r="H2943" s="5" t="s">
        <v>35</v>
      </c>
      <c r="I2943" s="6">
        <v>1.0</v>
      </c>
      <c r="J2943" s="6" t="s">
        <v>37</v>
      </c>
      <c r="K2943" s="6">
        <v>10.0</v>
      </c>
      <c r="L2943" s="5"/>
      <c r="M2943" s="5"/>
      <c r="N2943" s="6" t="s">
        <v>40</v>
      </c>
      <c r="O2943" s="5" t="s">
        <v>5363</v>
      </c>
      <c r="P2943" s="6" t="s">
        <v>42</v>
      </c>
      <c r="Q2943" s="5" t="s">
        <v>1237</v>
      </c>
      <c r="R2943" s="5" t="s">
        <v>15589</v>
      </c>
      <c r="S2943" s="6" t="s">
        <v>79</v>
      </c>
      <c r="T2943" s="6">
        <v>6471.0</v>
      </c>
    </row>
    <row r="2944" ht="56.25" customHeight="1">
      <c r="A2944" s="5" t="s">
        <v>15569</v>
      </c>
      <c r="B2944" s="6" t="str">
        <f>image("https://storage.googleapis.com/acdb/photos/BromideNpcNmlBea07_Remake_6_0.png")</f>
        <v/>
      </c>
      <c r="C2944" s="5" t="s">
        <v>146</v>
      </c>
      <c r="D2944" s="5" t="s">
        <v>1327</v>
      </c>
      <c r="E2944" s="5" t="s">
        <v>34</v>
      </c>
      <c r="F2944" s="5" t="s">
        <v>34</v>
      </c>
      <c r="G2944" s="5" t="s">
        <v>36</v>
      </c>
      <c r="H2944" s="5" t="s">
        <v>35</v>
      </c>
      <c r="I2944" s="6">
        <v>1.0</v>
      </c>
      <c r="J2944" s="6" t="s">
        <v>37</v>
      </c>
      <c r="K2944" s="6">
        <v>10.0</v>
      </c>
      <c r="L2944" s="5"/>
      <c r="M2944" s="5"/>
      <c r="N2944" s="6" t="s">
        <v>40</v>
      </c>
      <c r="O2944" s="5" t="s">
        <v>5363</v>
      </c>
      <c r="P2944" s="6" t="s">
        <v>42</v>
      </c>
      <c r="Q2944" s="5" t="s">
        <v>1237</v>
      </c>
      <c r="R2944" s="5" t="s">
        <v>15592</v>
      </c>
      <c r="S2944" s="6" t="s">
        <v>86</v>
      </c>
      <c r="T2944" s="6">
        <v>6471.0</v>
      </c>
    </row>
    <row r="2945" ht="56.25" customHeight="1">
      <c r="A2945" s="5" t="s">
        <v>15569</v>
      </c>
      <c r="B2945" s="6" t="str">
        <f>image("https://storage.googleapis.com/acdb/photos/BromideNpcNmlBea07_Remake_7_0.png")</f>
        <v/>
      </c>
      <c r="C2945" s="5" t="s">
        <v>151</v>
      </c>
      <c r="D2945" s="5" t="s">
        <v>1327</v>
      </c>
      <c r="E2945" s="5" t="s">
        <v>34</v>
      </c>
      <c r="F2945" s="5" t="s">
        <v>34</v>
      </c>
      <c r="G2945" s="5" t="s">
        <v>36</v>
      </c>
      <c r="H2945" s="5" t="s">
        <v>35</v>
      </c>
      <c r="I2945" s="6">
        <v>1.0</v>
      </c>
      <c r="J2945" s="6" t="s">
        <v>37</v>
      </c>
      <c r="K2945" s="6">
        <v>10.0</v>
      </c>
      <c r="L2945" s="5"/>
      <c r="M2945" s="5"/>
      <c r="N2945" s="6" t="s">
        <v>40</v>
      </c>
      <c r="O2945" s="5" t="s">
        <v>5363</v>
      </c>
      <c r="P2945" s="6" t="s">
        <v>42</v>
      </c>
      <c r="Q2945" s="5" t="s">
        <v>1237</v>
      </c>
      <c r="R2945" s="5" t="s">
        <v>15595</v>
      </c>
      <c r="S2945" s="6" t="s">
        <v>208</v>
      </c>
      <c r="T2945" s="6">
        <v>6471.0</v>
      </c>
    </row>
    <row r="2946" ht="56.25" customHeight="1">
      <c r="A2946" s="5" t="s">
        <v>15596</v>
      </c>
      <c r="B2946" s="6" t="str">
        <f>image("https://storage.googleapis.com/acdb/photos/BromideNpcNmlBrd03_Remake_0_0.png")</f>
        <v/>
      </c>
      <c r="C2946" s="5" t="s">
        <v>366</v>
      </c>
      <c r="D2946" s="5" t="s">
        <v>1327</v>
      </c>
      <c r="E2946" s="5" t="s">
        <v>34</v>
      </c>
      <c r="F2946" s="5" t="s">
        <v>34</v>
      </c>
      <c r="G2946" s="5" t="s">
        <v>36</v>
      </c>
      <c r="H2946" s="5" t="s">
        <v>35</v>
      </c>
      <c r="I2946" s="6">
        <v>1.0</v>
      </c>
      <c r="J2946" s="6" t="s">
        <v>37</v>
      </c>
      <c r="K2946" s="6">
        <v>10.0</v>
      </c>
      <c r="L2946" s="5"/>
      <c r="M2946" s="5"/>
      <c r="N2946" s="6" t="s">
        <v>40</v>
      </c>
      <c r="O2946" s="5" t="s">
        <v>5363</v>
      </c>
      <c r="P2946" s="6" t="s">
        <v>42</v>
      </c>
      <c r="Q2946" s="5" t="s">
        <v>1237</v>
      </c>
      <c r="R2946" s="5" t="s">
        <v>15598</v>
      </c>
      <c r="S2946" s="6" t="s">
        <v>50</v>
      </c>
      <c r="T2946" s="6">
        <v>6593.0</v>
      </c>
    </row>
    <row r="2947" ht="56.25" customHeight="1">
      <c r="A2947" s="5" t="s">
        <v>15596</v>
      </c>
      <c r="B2947" s="6" t="str">
        <f>image("https://storage.googleapis.com/acdb/photos/BromideNpcNmlBrd03_Remake_1_0.png")</f>
        <v/>
      </c>
      <c r="C2947" s="5" t="s">
        <v>1132</v>
      </c>
      <c r="D2947" s="5" t="s">
        <v>1327</v>
      </c>
      <c r="E2947" s="5" t="s">
        <v>34</v>
      </c>
      <c r="F2947" s="5" t="s">
        <v>34</v>
      </c>
      <c r="G2947" s="5" t="s">
        <v>36</v>
      </c>
      <c r="H2947" s="5" t="s">
        <v>35</v>
      </c>
      <c r="I2947" s="6">
        <v>1.0</v>
      </c>
      <c r="J2947" s="6" t="s">
        <v>37</v>
      </c>
      <c r="K2947" s="6">
        <v>10.0</v>
      </c>
      <c r="L2947" s="5"/>
      <c r="M2947" s="5"/>
      <c r="N2947" s="6" t="s">
        <v>40</v>
      </c>
      <c r="O2947" s="5" t="s">
        <v>5363</v>
      </c>
      <c r="P2947" s="6" t="s">
        <v>42</v>
      </c>
      <c r="Q2947" s="5" t="s">
        <v>1237</v>
      </c>
      <c r="R2947" s="5" t="s">
        <v>15602</v>
      </c>
      <c r="S2947" s="6" t="s">
        <v>56</v>
      </c>
      <c r="T2947" s="6">
        <v>6593.0</v>
      </c>
    </row>
    <row r="2948" ht="56.25" customHeight="1">
      <c r="A2948" s="5" t="s">
        <v>15596</v>
      </c>
      <c r="B2948" s="6" t="str">
        <f>image("https://storage.googleapis.com/acdb/photos/BromideNpcNmlBrd03_Remake_2_0.png")</f>
        <v/>
      </c>
      <c r="C2948" s="5" t="s">
        <v>688</v>
      </c>
      <c r="D2948" s="5" t="s">
        <v>1327</v>
      </c>
      <c r="E2948" s="5" t="s">
        <v>34</v>
      </c>
      <c r="F2948" s="5" t="s">
        <v>34</v>
      </c>
      <c r="G2948" s="5" t="s">
        <v>36</v>
      </c>
      <c r="H2948" s="5" t="s">
        <v>35</v>
      </c>
      <c r="I2948" s="6">
        <v>1.0</v>
      </c>
      <c r="J2948" s="6" t="s">
        <v>37</v>
      </c>
      <c r="K2948" s="6">
        <v>10.0</v>
      </c>
      <c r="L2948" s="5"/>
      <c r="M2948" s="5"/>
      <c r="N2948" s="6" t="s">
        <v>40</v>
      </c>
      <c r="O2948" s="5" t="s">
        <v>5363</v>
      </c>
      <c r="P2948" s="6" t="s">
        <v>42</v>
      </c>
      <c r="Q2948" s="5" t="s">
        <v>1237</v>
      </c>
      <c r="R2948" s="5" t="s">
        <v>15605</v>
      </c>
      <c r="S2948" s="6" t="s">
        <v>67</v>
      </c>
      <c r="T2948" s="6">
        <v>6593.0</v>
      </c>
    </row>
    <row r="2949" ht="56.25" customHeight="1">
      <c r="A2949" s="5" t="s">
        <v>15596</v>
      </c>
      <c r="B2949" s="6" t="str">
        <f>image("https://storage.googleapis.com/acdb/photos/BromideNpcNmlBrd03_Remake_3_0.png")</f>
        <v/>
      </c>
      <c r="C2949" s="5" t="s">
        <v>57</v>
      </c>
      <c r="D2949" s="5" t="s">
        <v>1327</v>
      </c>
      <c r="E2949" s="5" t="s">
        <v>34</v>
      </c>
      <c r="F2949" s="5" t="s">
        <v>34</v>
      </c>
      <c r="G2949" s="5" t="s">
        <v>36</v>
      </c>
      <c r="H2949" s="5" t="s">
        <v>35</v>
      </c>
      <c r="I2949" s="6">
        <v>1.0</v>
      </c>
      <c r="J2949" s="6" t="s">
        <v>37</v>
      </c>
      <c r="K2949" s="6">
        <v>10.0</v>
      </c>
      <c r="L2949" s="5"/>
      <c r="M2949" s="5"/>
      <c r="N2949" s="6" t="s">
        <v>40</v>
      </c>
      <c r="O2949" s="5" t="s">
        <v>5363</v>
      </c>
      <c r="P2949" s="6" t="s">
        <v>42</v>
      </c>
      <c r="Q2949" s="5" t="s">
        <v>1237</v>
      </c>
      <c r="R2949" s="5" t="s">
        <v>15607</v>
      </c>
      <c r="S2949" s="6" t="s">
        <v>71</v>
      </c>
      <c r="T2949" s="6">
        <v>6593.0</v>
      </c>
    </row>
    <row r="2950" ht="56.25" customHeight="1">
      <c r="A2950" s="5" t="s">
        <v>15596</v>
      </c>
      <c r="B2950" s="6" t="str">
        <f>image("https://storage.googleapis.com/acdb/photos/BromideNpcNmlBrd03_Remake_4_0.png")</f>
        <v/>
      </c>
      <c r="C2950" s="5" t="s">
        <v>1167</v>
      </c>
      <c r="D2950" s="5" t="s">
        <v>1327</v>
      </c>
      <c r="E2950" s="5" t="s">
        <v>34</v>
      </c>
      <c r="F2950" s="5" t="s">
        <v>34</v>
      </c>
      <c r="G2950" s="5" t="s">
        <v>36</v>
      </c>
      <c r="H2950" s="5" t="s">
        <v>35</v>
      </c>
      <c r="I2950" s="6">
        <v>1.0</v>
      </c>
      <c r="J2950" s="6" t="s">
        <v>37</v>
      </c>
      <c r="K2950" s="6">
        <v>10.0</v>
      </c>
      <c r="L2950" s="5"/>
      <c r="M2950" s="5"/>
      <c r="N2950" s="6" t="s">
        <v>40</v>
      </c>
      <c r="O2950" s="5" t="s">
        <v>5363</v>
      </c>
      <c r="P2950" s="6" t="s">
        <v>42</v>
      </c>
      <c r="Q2950" s="5" t="s">
        <v>1237</v>
      </c>
      <c r="R2950" s="5" t="s">
        <v>15611</v>
      </c>
      <c r="S2950" s="6" t="s">
        <v>75</v>
      </c>
      <c r="T2950" s="6">
        <v>6593.0</v>
      </c>
    </row>
    <row r="2951" ht="56.25" customHeight="1">
      <c r="A2951" s="5" t="s">
        <v>15596</v>
      </c>
      <c r="B2951" s="6" t="str">
        <f>image("https://storage.googleapis.com/acdb/photos/BromideNpcNmlBrd03_Remake_5_0.png")</f>
        <v/>
      </c>
      <c r="C2951" s="5" t="s">
        <v>58</v>
      </c>
      <c r="D2951" s="5" t="s">
        <v>1327</v>
      </c>
      <c r="E2951" s="5" t="s">
        <v>34</v>
      </c>
      <c r="F2951" s="5" t="s">
        <v>34</v>
      </c>
      <c r="G2951" s="5" t="s">
        <v>36</v>
      </c>
      <c r="H2951" s="5" t="s">
        <v>35</v>
      </c>
      <c r="I2951" s="6">
        <v>1.0</v>
      </c>
      <c r="J2951" s="6" t="s">
        <v>37</v>
      </c>
      <c r="K2951" s="6">
        <v>10.0</v>
      </c>
      <c r="L2951" s="5"/>
      <c r="M2951" s="5"/>
      <c r="N2951" s="6" t="s">
        <v>40</v>
      </c>
      <c r="O2951" s="5" t="s">
        <v>5363</v>
      </c>
      <c r="P2951" s="6" t="s">
        <v>42</v>
      </c>
      <c r="Q2951" s="5" t="s">
        <v>1237</v>
      </c>
      <c r="R2951" s="5" t="s">
        <v>15613</v>
      </c>
      <c r="S2951" s="6" t="s">
        <v>79</v>
      </c>
      <c r="T2951" s="6">
        <v>6593.0</v>
      </c>
    </row>
    <row r="2952" ht="56.25" customHeight="1">
      <c r="A2952" s="5" t="s">
        <v>15596</v>
      </c>
      <c r="B2952" s="6" t="str">
        <f>image("https://storage.googleapis.com/acdb/photos/BromideNpcNmlBrd03_Remake_6_0.png")</f>
        <v/>
      </c>
      <c r="C2952" s="5" t="s">
        <v>146</v>
      </c>
      <c r="D2952" s="5" t="s">
        <v>1327</v>
      </c>
      <c r="E2952" s="5" t="s">
        <v>34</v>
      </c>
      <c r="F2952" s="5" t="s">
        <v>34</v>
      </c>
      <c r="G2952" s="5" t="s">
        <v>36</v>
      </c>
      <c r="H2952" s="5" t="s">
        <v>35</v>
      </c>
      <c r="I2952" s="6">
        <v>1.0</v>
      </c>
      <c r="J2952" s="6" t="s">
        <v>37</v>
      </c>
      <c r="K2952" s="6">
        <v>10.0</v>
      </c>
      <c r="L2952" s="5"/>
      <c r="M2952" s="5"/>
      <c r="N2952" s="6" t="s">
        <v>40</v>
      </c>
      <c r="O2952" s="5" t="s">
        <v>5363</v>
      </c>
      <c r="P2952" s="6" t="s">
        <v>42</v>
      </c>
      <c r="Q2952" s="5" t="s">
        <v>1237</v>
      </c>
      <c r="R2952" s="5" t="s">
        <v>15619</v>
      </c>
      <c r="S2952" s="6" t="s">
        <v>86</v>
      </c>
      <c r="T2952" s="6">
        <v>6593.0</v>
      </c>
    </row>
    <row r="2953" ht="56.25" customHeight="1">
      <c r="A2953" s="5" t="s">
        <v>15596</v>
      </c>
      <c r="B2953" s="6" t="str">
        <f>image("https://storage.googleapis.com/acdb/photos/BromideNpcNmlBrd03_Remake_7_0.png")</f>
        <v/>
      </c>
      <c r="C2953" s="5" t="s">
        <v>151</v>
      </c>
      <c r="D2953" s="5" t="s">
        <v>1327</v>
      </c>
      <c r="E2953" s="5" t="s">
        <v>34</v>
      </c>
      <c r="F2953" s="5" t="s">
        <v>34</v>
      </c>
      <c r="G2953" s="5" t="s">
        <v>36</v>
      </c>
      <c r="H2953" s="5" t="s">
        <v>35</v>
      </c>
      <c r="I2953" s="6">
        <v>1.0</v>
      </c>
      <c r="J2953" s="6" t="s">
        <v>37</v>
      </c>
      <c r="K2953" s="6">
        <v>10.0</v>
      </c>
      <c r="L2953" s="5"/>
      <c r="M2953" s="5"/>
      <c r="N2953" s="6" t="s">
        <v>40</v>
      </c>
      <c r="O2953" s="5" t="s">
        <v>5363</v>
      </c>
      <c r="P2953" s="6" t="s">
        <v>42</v>
      </c>
      <c r="Q2953" s="5" t="s">
        <v>1237</v>
      </c>
      <c r="R2953" s="5" t="s">
        <v>15621</v>
      </c>
      <c r="S2953" s="6" t="s">
        <v>208</v>
      </c>
      <c r="T2953" s="6">
        <v>6593.0</v>
      </c>
    </row>
    <row r="2954" ht="56.25" customHeight="1">
      <c r="A2954" s="5" t="s">
        <v>15622</v>
      </c>
      <c r="B2954" s="6" t="str">
        <f>image("https://storage.googleapis.com/acdb/photos/BromideNpcNmlTig02_Remake_0_0.png")</f>
        <v/>
      </c>
      <c r="C2954" s="5" t="s">
        <v>366</v>
      </c>
      <c r="D2954" s="5" t="s">
        <v>1327</v>
      </c>
      <c r="E2954" s="5" t="s">
        <v>34</v>
      </c>
      <c r="F2954" s="5" t="s">
        <v>34</v>
      </c>
      <c r="G2954" s="5" t="s">
        <v>36</v>
      </c>
      <c r="H2954" s="5" t="s">
        <v>35</v>
      </c>
      <c r="I2954" s="6">
        <v>1.0</v>
      </c>
      <c r="J2954" s="6" t="s">
        <v>37</v>
      </c>
      <c r="K2954" s="6">
        <v>10.0</v>
      </c>
      <c r="L2954" s="5"/>
      <c r="M2954" s="5"/>
      <c r="N2954" s="6" t="s">
        <v>40</v>
      </c>
      <c r="O2954" s="5" t="s">
        <v>5363</v>
      </c>
      <c r="P2954" s="6" t="s">
        <v>42</v>
      </c>
      <c r="Q2954" s="5" t="s">
        <v>1237</v>
      </c>
      <c r="R2954" s="5" t="s">
        <v>15625</v>
      </c>
      <c r="S2954" s="6" t="s">
        <v>50</v>
      </c>
      <c r="T2954" s="6">
        <v>6725.0</v>
      </c>
    </row>
    <row r="2955" ht="56.25" customHeight="1">
      <c r="A2955" s="5" t="s">
        <v>15622</v>
      </c>
      <c r="B2955" s="6" t="str">
        <f>image("https://storage.googleapis.com/acdb/photos/BromideNpcNmlTig02_Remake_1_0.png")</f>
        <v/>
      </c>
      <c r="C2955" s="5" t="s">
        <v>1132</v>
      </c>
      <c r="D2955" s="5" t="s">
        <v>1327</v>
      </c>
      <c r="E2955" s="5" t="s">
        <v>34</v>
      </c>
      <c r="F2955" s="5" t="s">
        <v>34</v>
      </c>
      <c r="G2955" s="5" t="s">
        <v>36</v>
      </c>
      <c r="H2955" s="5" t="s">
        <v>35</v>
      </c>
      <c r="I2955" s="6">
        <v>1.0</v>
      </c>
      <c r="J2955" s="6" t="s">
        <v>37</v>
      </c>
      <c r="K2955" s="6">
        <v>10.0</v>
      </c>
      <c r="L2955" s="5"/>
      <c r="M2955" s="5"/>
      <c r="N2955" s="6" t="s">
        <v>40</v>
      </c>
      <c r="O2955" s="5" t="s">
        <v>5363</v>
      </c>
      <c r="P2955" s="6" t="s">
        <v>42</v>
      </c>
      <c r="Q2955" s="5" t="s">
        <v>1237</v>
      </c>
      <c r="R2955" s="5" t="s">
        <v>15626</v>
      </c>
      <c r="S2955" s="6" t="s">
        <v>56</v>
      </c>
      <c r="T2955" s="6">
        <v>6725.0</v>
      </c>
    </row>
    <row r="2956" ht="56.25" customHeight="1">
      <c r="A2956" s="5" t="s">
        <v>15622</v>
      </c>
      <c r="B2956" s="6" t="str">
        <f>image("https://storage.googleapis.com/acdb/photos/BromideNpcNmlTig02_Remake_2_0.png")</f>
        <v/>
      </c>
      <c r="C2956" s="5" t="s">
        <v>688</v>
      </c>
      <c r="D2956" s="5" t="s">
        <v>1327</v>
      </c>
      <c r="E2956" s="5" t="s">
        <v>34</v>
      </c>
      <c r="F2956" s="5" t="s">
        <v>34</v>
      </c>
      <c r="G2956" s="5" t="s">
        <v>36</v>
      </c>
      <c r="H2956" s="5" t="s">
        <v>35</v>
      </c>
      <c r="I2956" s="6">
        <v>1.0</v>
      </c>
      <c r="J2956" s="6" t="s">
        <v>37</v>
      </c>
      <c r="K2956" s="6">
        <v>10.0</v>
      </c>
      <c r="L2956" s="5"/>
      <c r="M2956" s="5"/>
      <c r="N2956" s="6" t="s">
        <v>40</v>
      </c>
      <c r="O2956" s="5" t="s">
        <v>5363</v>
      </c>
      <c r="P2956" s="6" t="s">
        <v>42</v>
      </c>
      <c r="Q2956" s="5" t="s">
        <v>1237</v>
      </c>
      <c r="R2956" s="5" t="s">
        <v>15628</v>
      </c>
      <c r="S2956" s="6" t="s">
        <v>67</v>
      </c>
      <c r="T2956" s="6">
        <v>6725.0</v>
      </c>
    </row>
    <row r="2957" ht="56.25" customHeight="1">
      <c r="A2957" s="5" t="s">
        <v>15622</v>
      </c>
      <c r="B2957" s="6" t="str">
        <f>image("https://storage.googleapis.com/acdb/photos/BromideNpcNmlTig02_Remake_3_0.png")</f>
        <v/>
      </c>
      <c r="C2957" s="5" t="s">
        <v>57</v>
      </c>
      <c r="D2957" s="5" t="s">
        <v>1327</v>
      </c>
      <c r="E2957" s="5" t="s">
        <v>34</v>
      </c>
      <c r="F2957" s="5" t="s">
        <v>34</v>
      </c>
      <c r="G2957" s="5" t="s">
        <v>36</v>
      </c>
      <c r="H2957" s="5" t="s">
        <v>35</v>
      </c>
      <c r="I2957" s="6">
        <v>1.0</v>
      </c>
      <c r="J2957" s="6" t="s">
        <v>37</v>
      </c>
      <c r="K2957" s="6">
        <v>10.0</v>
      </c>
      <c r="L2957" s="5"/>
      <c r="M2957" s="5"/>
      <c r="N2957" s="6" t="s">
        <v>40</v>
      </c>
      <c r="O2957" s="5" t="s">
        <v>5363</v>
      </c>
      <c r="P2957" s="6" t="s">
        <v>42</v>
      </c>
      <c r="Q2957" s="5" t="s">
        <v>1237</v>
      </c>
      <c r="R2957" s="5" t="s">
        <v>15631</v>
      </c>
      <c r="S2957" s="6" t="s">
        <v>71</v>
      </c>
      <c r="T2957" s="6">
        <v>6725.0</v>
      </c>
    </row>
    <row r="2958" ht="56.25" customHeight="1">
      <c r="A2958" s="5" t="s">
        <v>15622</v>
      </c>
      <c r="B2958" s="6" t="str">
        <f>image("https://storage.googleapis.com/acdb/photos/BromideNpcNmlTig02_Remake_4_0.png")</f>
        <v/>
      </c>
      <c r="C2958" s="5" t="s">
        <v>1167</v>
      </c>
      <c r="D2958" s="5" t="s">
        <v>1327</v>
      </c>
      <c r="E2958" s="5" t="s">
        <v>34</v>
      </c>
      <c r="F2958" s="5" t="s">
        <v>34</v>
      </c>
      <c r="G2958" s="5" t="s">
        <v>36</v>
      </c>
      <c r="H2958" s="5" t="s">
        <v>35</v>
      </c>
      <c r="I2958" s="6">
        <v>1.0</v>
      </c>
      <c r="J2958" s="6" t="s">
        <v>37</v>
      </c>
      <c r="K2958" s="6">
        <v>10.0</v>
      </c>
      <c r="L2958" s="5"/>
      <c r="M2958" s="5"/>
      <c r="N2958" s="6" t="s">
        <v>40</v>
      </c>
      <c r="O2958" s="5" t="s">
        <v>5363</v>
      </c>
      <c r="P2958" s="6" t="s">
        <v>42</v>
      </c>
      <c r="Q2958" s="5" t="s">
        <v>1237</v>
      </c>
      <c r="R2958" s="5" t="s">
        <v>15634</v>
      </c>
      <c r="S2958" s="6" t="s">
        <v>75</v>
      </c>
      <c r="T2958" s="6">
        <v>6725.0</v>
      </c>
    </row>
    <row r="2959" ht="56.25" customHeight="1">
      <c r="A2959" s="5" t="s">
        <v>15622</v>
      </c>
      <c r="B2959" s="6" t="str">
        <f>image("https://storage.googleapis.com/acdb/photos/BromideNpcNmlTig02_Remake_5_0.png")</f>
        <v/>
      </c>
      <c r="C2959" s="5" t="s">
        <v>58</v>
      </c>
      <c r="D2959" s="5" t="s">
        <v>1327</v>
      </c>
      <c r="E2959" s="5" t="s">
        <v>34</v>
      </c>
      <c r="F2959" s="5" t="s">
        <v>34</v>
      </c>
      <c r="G2959" s="5" t="s">
        <v>36</v>
      </c>
      <c r="H2959" s="5" t="s">
        <v>35</v>
      </c>
      <c r="I2959" s="6">
        <v>1.0</v>
      </c>
      <c r="J2959" s="6" t="s">
        <v>37</v>
      </c>
      <c r="K2959" s="6">
        <v>10.0</v>
      </c>
      <c r="L2959" s="5"/>
      <c r="M2959" s="5"/>
      <c r="N2959" s="6" t="s">
        <v>40</v>
      </c>
      <c r="O2959" s="5" t="s">
        <v>5363</v>
      </c>
      <c r="P2959" s="6" t="s">
        <v>42</v>
      </c>
      <c r="Q2959" s="5" t="s">
        <v>1237</v>
      </c>
      <c r="R2959" s="5" t="s">
        <v>15637</v>
      </c>
      <c r="S2959" s="6" t="s">
        <v>79</v>
      </c>
      <c r="T2959" s="6">
        <v>6725.0</v>
      </c>
    </row>
    <row r="2960" ht="56.25" customHeight="1">
      <c r="A2960" s="5" t="s">
        <v>15622</v>
      </c>
      <c r="B2960" s="6" t="str">
        <f>image("https://storage.googleapis.com/acdb/photos/BromideNpcNmlTig02_Remake_6_0.png")</f>
        <v/>
      </c>
      <c r="C2960" s="5" t="s">
        <v>146</v>
      </c>
      <c r="D2960" s="5" t="s">
        <v>1327</v>
      </c>
      <c r="E2960" s="5" t="s">
        <v>34</v>
      </c>
      <c r="F2960" s="5" t="s">
        <v>34</v>
      </c>
      <c r="G2960" s="5" t="s">
        <v>36</v>
      </c>
      <c r="H2960" s="5" t="s">
        <v>35</v>
      </c>
      <c r="I2960" s="6">
        <v>1.0</v>
      </c>
      <c r="J2960" s="6" t="s">
        <v>37</v>
      </c>
      <c r="K2960" s="6">
        <v>10.0</v>
      </c>
      <c r="L2960" s="5"/>
      <c r="M2960" s="5"/>
      <c r="N2960" s="6" t="s">
        <v>40</v>
      </c>
      <c r="O2960" s="5" t="s">
        <v>5363</v>
      </c>
      <c r="P2960" s="6" t="s">
        <v>42</v>
      </c>
      <c r="Q2960" s="5" t="s">
        <v>1237</v>
      </c>
      <c r="R2960" s="5" t="s">
        <v>15641</v>
      </c>
      <c r="S2960" s="6" t="s">
        <v>86</v>
      </c>
      <c r="T2960" s="6">
        <v>6725.0</v>
      </c>
    </row>
    <row r="2961" ht="56.25" customHeight="1">
      <c r="A2961" s="5" t="s">
        <v>15622</v>
      </c>
      <c r="B2961" s="6" t="str">
        <f>image("https://storage.googleapis.com/acdb/photos/BromideNpcNmlTig02_Remake_7_0.png")</f>
        <v/>
      </c>
      <c r="C2961" s="5" t="s">
        <v>151</v>
      </c>
      <c r="D2961" s="5" t="s">
        <v>1327</v>
      </c>
      <c r="E2961" s="5" t="s">
        <v>34</v>
      </c>
      <c r="F2961" s="5" t="s">
        <v>34</v>
      </c>
      <c r="G2961" s="5" t="s">
        <v>36</v>
      </c>
      <c r="H2961" s="5" t="s">
        <v>35</v>
      </c>
      <c r="I2961" s="6">
        <v>1.0</v>
      </c>
      <c r="J2961" s="6" t="s">
        <v>37</v>
      </c>
      <c r="K2961" s="6">
        <v>10.0</v>
      </c>
      <c r="L2961" s="5"/>
      <c r="M2961" s="5"/>
      <c r="N2961" s="6" t="s">
        <v>40</v>
      </c>
      <c r="O2961" s="5" t="s">
        <v>5363</v>
      </c>
      <c r="P2961" s="6" t="s">
        <v>42</v>
      </c>
      <c r="Q2961" s="5" t="s">
        <v>1237</v>
      </c>
      <c r="R2961" s="5" t="s">
        <v>15644</v>
      </c>
      <c r="S2961" s="6" t="s">
        <v>208</v>
      </c>
      <c r="T2961" s="6">
        <v>6725.0</v>
      </c>
    </row>
    <row r="2962" ht="56.25" customHeight="1">
      <c r="A2962" s="5" t="s">
        <v>15646</v>
      </c>
      <c r="B2962" s="6" t="str">
        <f>image("https://storage.googleapis.com/acdb/photos/BromideNpcNmlBea08_Remake_0_0.png")</f>
        <v/>
      </c>
      <c r="C2962" s="5" t="s">
        <v>366</v>
      </c>
      <c r="D2962" s="5" t="s">
        <v>1327</v>
      </c>
      <c r="E2962" s="5" t="s">
        <v>34</v>
      </c>
      <c r="F2962" s="5" t="s">
        <v>34</v>
      </c>
      <c r="G2962" s="5" t="s">
        <v>36</v>
      </c>
      <c r="H2962" s="5" t="s">
        <v>35</v>
      </c>
      <c r="I2962" s="6">
        <v>1.0</v>
      </c>
      <c r="J2962" s="6" t="s">
        <v>37</v>
      </c>
      <c r="K2962" s="6">
        <v>10.0</v>
      </c>
      <c r="L2962" s="5"/>
      <c r="M2962" s="5"/>
      <c r="N2962" s="6" t="s">
        <v>40</v>
      </c>
      <c r="O2962" s="5" t="s">
        <v>5363</v>
      </c>
      <c r="P2962" s="6" t="s">
        <v>42</v>
      </c>
      <c r="Q2962" s="5" t="s">
        <v>1237</v>
      </c>
      <c r="R2962" s="5" t="s">
        <v>15649</v>
      </c>
      <c r="S2962" s="6" t="s">
        <v>50</v>
      </c>
      <c r="T2962" s="6">
        <v>6482.0</v>
      </c>
    </row>
    <row r="2963" ht="56.25" customHeight="1">
      <c r="A2963" s="5" t="s">
        <v>15646</v>
      </c>
      <c r="B2963" s="6" t="str">
        <f>image("https://storage.googleapis.com/acdb/photos/BromideNpcNmlBea08_Remake_1_0.png")</f>
        <v/>
      </c>
      <c r="C2963" s="5" t="s">
        <v>1132</v>
      </c>
      <c r="D2963" s="5" t="s">
        <v>1327</v>
      </c>
      <c r="E2963" s="5" t="s">
        <v>34</v>
      </c>
      <c r="F2963" s="5" t="s">
        <v>34</v>
      </c>
      <c r="G2963" s="5" t="s">
        <v>36</v>
      </c>
      <c r="H2963" s="5" t="s">
        <v>35</v>
      </c>
      <c r="I2963" s="6">
        <v>1.0</v>
      </c>
      <c r="J2963" s="6" t="s">
        <v>37</v>
      </c>
      <c r="K2963" s="6">
        <v>10.0</v>
      </c>
      <c r="L2963" s="5"/>
      <c r="M2963" s="5"/>
      <c r="N2963" s="6" t="s">
        <v>40</v>
      </c>
      <c r="O2963" s="5" t="s">
        <v>5363</v>
      </c>
      <c r="P2963" s="6" t="s">
        <v>42</v>
      </c>
      <c r="Q2963" s="5" t="s">
        <v>1237</v>
      </c>
      <c r="R2963" s="5" t="s">
        <v>15651</v>
      </c>
      <c r="S2963" s="6" t="s">
        <v>56</v>
      </c>
      <c r="T2963" s="6">
        <v>6482.0</v>
      </c>
    </row>
    <row r="2964" ht="56.25" customHeight="1">
      <c r="A2964" s="5" t="s">
        <v>15646</v>
      </c>
      <c r="B2964" s="6" t="str">
        <f>image("https://storage.googleapis.com/acdb/photos/BromideNpcNmlBea08_Remake_2_0.png")</f>
        <v/>
      </c>
      <c r="C2964" s="5" t="s">
        <v>688</v>
      </c>
      <c r="D2964" s="5" t="s">
        <v>1327</v>
      </c>
      <c r="E2964" s="5" t="s">
        <v>34</v>
      </c>
      <c r="F2964" s="5" t="s">
        <v>34</v>
      </c>
      <c r="G2964" s="5" t="s">
        <v>36</v>
      </c>
      <c r="H2964" s="5" t="s">
        <v>35</v>
      </c>
      <c r="I2964" s="6">
        <v>1.0</v>
      </c>
      <c r="J2964" s="6" t="s">
        <v>37</v>
      </c>
      <c r="K2964" s="6">
        <v>10.0</v>
      </c>
      <c r="L2964" s="5"/>
      <c r="M2964" s="5"/>
      <c r="N2964" s="6" t="s">
        <v>40</v>
      </c>
      <c r="O2964" s="5" t="s">
        <v>5363</v>
      </c>
      <c r="P2964" s="6" t="s">
        <v>42</v>
      </c>
      <c r="Q2964" s="5" t="s">
        <v>1237</v>
      </c>
      <c r="R2964" s="5" t="s">
        <v>15655</v>
      </c>
      <c r="S2964" s="6" t="s">
        <v>67</v>
      </c>
      <c r="T2964" s="6">
        <v>6482.0</v>
      </c>
    </row>
    <row r="2965" ht="56.25" customHeight="1">
      <c r="A2965" s="5" t="s">
        <v>15646</v>
      </c>
      <c r="B2965" s="6" t="str">
        <f>image("https://storage.googleapis.com/acdb/photos/BromideNpcNmlBea08_Remake_3_0.png")</f>
        <v/>
      </c>
      <c r="C2965" s="5" t="s">
        <v>57</v>
      </c>
      <c r="D2965" s="5" t="s">
        <v>1327</v>
      </c>
      <c r="E2965" s="5" t="s">
        <v>34</v>
      </c>
      <c r="F2965" s="5" t="s">
        <v>34</v>
      </c>
      <c r="G2965" s="5" t="s">
        <v>36</v>
      </c>
      <c r="H2965" s="5" t="s">
        <v>35</v>
      </c>
      <c r="I2965" s="6">
        <v>1.0</v>
      </c>
      <c r="J2965" s="6" t="s">
        <v>37</v>
      </c>
      <c r="K2965" s="6">
        <v>10.0</v>
      </c>
      <c r="L2965" s="5"/>
      <c r="M2965" s="5"/>
      <c r="N2965" s="6" t="s">
        <v>40</v>
      </c>
      <c r="O2965" s="5" t="s">
        <v>5363</v>
      </c>
      <c r="P2965" s="6" t="s">
        <v>42</v>
      </c>
      <c r="Q2965" s="5" t="s">
        <v>1237</v>
      </c>
      <c r="R2965" s="5" t="s">
        <v>15658</v>
      </c>
      <c r="S2965" s="6" t="s">
        <v>71</v>
      </c>
      <c r="T2965" s="6">
        <v>6482.0</v>
      </c>
    </row>
    <row r="2966" ht="56.25" customHeight="1">
      <c r="A2966" s="5" t="s">
        <v>15646</v>
      </c>
      <c r="B2966" s="6" t="str">
        <f>image("https://storage.googleapis.com/acdb/photos/BromideNpcNmlBea08_Remake_4_0.png")</f>
        <v/>
      </c>
      <c r="C2966" s="5" t="s">
        <v>1167</v>
      </c>
      <c r="D2966" s="5" t="s">
        <v>1327</v>
      </c>
      <c r="E2966" s="5" t="s">
        <v>34</v>
      </c>
      <c r="F2966" s="5" t="s">
        <v>34</v>
      </c>
      <c r="G2966" s="5" t="s">
        <v>36</v>
      </c>
      <c r="H2966" s="5" t="s">
        <v>35</v>
      </c>
      <c r="I2966" s="6">
        <v>1.0</v>
      </c>
      <c r="J2966" s="6" t="s">
        <v>37</v>
      </c>
      <c r="K2966" s="6">
        <v>10.0</v>
      </c>
      <c r="L2966" s="5"/>
      <c r="M2966" s="5"/>
      <c r="N2966" s="6" t="s">
        <v>40</v>
      </c>
      <c r="O2966" s="5" t="s">
        <v>5363</v>
      </c>
      <c r="P2966" s="6" t="s">
        <v>42</v>
      </c>
      <c r="Q2966" s="5" t="s">
        <v>1237</v>
      </c>
      <c r="R2966" s="5" t="s">
        <v>15662</v>
      </c>
      <c r="S2966" s="6" t="s">
        <v>75</v>
      </c>
      <c r="T2966" s="6">
        <v>6482.0</v>
      </c>
    </row>
    <row r="2967" ht="56.25" customHeight="1">
      <c r="A2967" s="5" t="s">
        <v>15646</v>
      </c>
      <c r="B2967" s="6" t="str">
        <f>image("https://storage.googleapis.com/acdb/photos/BromideNpcNmlBea08_Remake_5_0.png")</f>
        <v/>
      </c>
      <c r="C2967" s="5" t="s">
        <v>58</v>
      </c>
      <c r="D2967" s="5" t="s">
        <v>1327</v>
      </c>
      <c r="E2967" s="5" t="s">
        <v>34</v>
      </c>
      <c r="F2967" s="5" t="s">
        <v>34</v>
      </c>
      <c r="G2967" s="5" t="s">
        <v>36</v>
      </c>
      <c r="H2967" s="5" t="s">
        <v>35</v>
      </c>
      <c r="I2967" s="6">
        <v>1.0</v>
      </c>
      <c r="J2967" s="6" t="s">
        <v>37</v>
      </c>
      <c r="K2967" s="6">
        <v>10.0</v>
      </c>
      <c r="L2967" s="5"/>
      <c r="M2967" s="5"/>
      <c r="N2967" s="6" t="s">
        <v>40</v>
      </c>
      <c r="O2967" s="5" t="s">
        <v>5363</v>
      </c>
      <c r="P2967" s="6" t="s">
        <v>42</v>
      </c>
      <c r="Q2967" s="5" t="s">
        <v>1237</v>
      </c>
      <c r="R2967" s="5" t="s">
        <v>15667</v>
      </c>
      <c r="S2967" s="6" t="s">
        <v>79</v>
      </c>
      <c r="T2967" s="6">
        <v>6482.0</v>
      </c>
    </row>
    <row r="2968" ht="56.25" customHeight="1">
      <c r="A2968" s="5" t="s">
        <v>15646</v>
      </c>
      <c r="B2968" s="6" t="str">
        <f>image("https://storage.googleapis.com/acdb/photos/BromideNpcNmlBea08_Remake_6_0.png")</f>
        <v/>
      </c>
      <c r="C2968" s="5" t="s">
        <v>146</v>
      </c>
      <c r="D2968" s="5" t="s">
        <v>1327</v>
      </c>
      <c r="E2968" s="5" t="s">
        <v>34</v>
      </c>
      <c r="F2968" s="5" t="s">
        <v>34</v>
      </c>
      <c r="G2968" s="5" t="s">
        <v>36</v>
      </c>
      <c r="H2968" s="5" t="s">
        <v>35</v>
      </c>
      <c r="I2968" s="6">
        <v>1.0</v>
      </c>
      <c r="J2968" s="6" t="s">
        <v>37</v>
      </c>
      <c r="K2968" s="6">
        <v>10.0</v>
      </c>
      <c r="L2968" s="5"/>
      <c r="M2968" s="5"/>
      <c r="N2968" s="6" t="s">
        <v>40</v>
      </c>
      <c r="O2968" s="5" t="s">
        <v>5363</v>
      </c>
      <c r="P2968" s="6" t="s">
        <v>42</v>
      </c>
      <c r="Q2968" s="5" t="s">
        <v>1237</v>
      </c>
      <c r="R2968" s="5" t="s">
        <v>15672</v>
      </c>
      <c r="S2968" s="6" t="s">
        <v>86</v>
      </c>
      <c r="T2968" s="6">
        <v>6482.0</v>
      </c>
    </row>
    <row r="2969" ht="56.25" customHeight="1">
      <c r="A2969" s="5" t="s">
        <v>15646</v>
      </c>
      <c r="B2969" s="6" t="str">
        <f>image("https://storage.googleapis.com/acdb/photos/BromideNpcNmlBea08_Remake_7_0.png")</f>
        <v/>
      </c>
      <c r="C2969" s="5" t="s">
        <v>151</v>
      </c>
      <c r="D2969" s="5" t="s">
        <v>1327</v>
      </c>
      <c r="E2969" s="5" t="s">
        <v>34</v>
      </c>
      <c r="F2969" s="5" t="s">
        <v>34</v>
      </c>
      <c r="G2969" s="5" t="s">
        <v>36</v>
      </c>
      <c r="H2969" s="5" t="s">
        <v>35</v>
      </c>
      <c r="I2969" s="6">
        <v>1.0</v>
      </c>
      <c r="J2969" s="6" t="s">
        <v>37</v>
      </c>
      <c r="K2969" s="6">
        <v>10.0</v>
      </c>
      <c r="L2969" s="5"/>
      <c r="M2969" s="5"/>
      <c r="N2969" s="6" t="s">
        <v>40</v>
      </c>
      <c r="O2969" s="5" t="s">
        <v>5363</v>
      </c>
      <c r="P2969" s="6" t="s">
        <v>42</v>
      </c>
      <c r="Q2969" s="5" t="s">
        <v>1237</v>
      </c>
      <c r="R2969" s="5" t="s">
        <v>15676</v>
      </c>
      <c r="S2969" s="6" t="s">
        <v>208</v>
      </c>
      <c r="T2969" s="6">
        <v>6482.0</v>
      </c>
    </row>
    <row r="2970" ht="56.25" customHeight="1">
      <c r="A2970" s="5" t="s">
        <v>15677</v>
      </c>
      <c r="B2970" s="6" t="str">
        <f>image("https://storage.googleapis.com/acdb/photos/BromideNpcNmlGoa06_Remake_0_0.png")</f>
        <v/>
      </c>
      <c r="C2970" s="5" t="s">
        <v>366</v>
      </c>
      <c r="D2970" s="5" t="s">
        <v>1327</v>
      </c>
      <c r="E2970" s="5" t="s">
        <v>34</v>
      </c>
      <c r="F2970" s="5" t="s">
        <v>34</v>
      </c>
      <c r="G2970" s="5" t="s">
        <v>36</v>
      </c>
      <c r="H2970" s="5" t="s">
        <v>35</v>
      </c>
      <c r="I2970" s="6">
        <v>1.0</v>
      </c>
      <c r="J2970" s="6" t="s">
        <v>37</v>
      </c>
      <c r="K2970" s="6">
        <v>10.0</v>
      </c>
      <c r="L2970" s="5"/>
      <c r="M2970" s="5"/>
      <c r="N2970" s="6" t="s">
        <v>40</v>
      </c>
      <c r="O2970" s="5" t="s">
        <v>5363</v>
      </c>
      <c r="P2970" s="6" t="s">
        <v>42</v>
      </c>
      <c r="Q2970" s="5" t="s">
        <v>1237</v>
      </c>
      <c r="R2970" s="5" t="s">
        <v>15679</v>
      </c>
      <c r="S2970" s="6" t="s">
        <v>50</v>
      </c>
      <c r="T2970" s="6">
        <v>6508.0</v>
      </c>
    </row>
    <row r="2971" ht="56.25" customHeight="1">
      <c r="A2971" s="5" t="s">
        <v>15677</v>
      </c>
      <c r="B2971" s="6" t="str">
        <f>image("https://storage.googleapis.com/acdb/photos/BromideNpcNmlGoa06_Remake_1_0.png")</f>
        <v/>
      </c>
      <c r="C2971" s="5" t="s">
        <v>1132</v>
      </c>
      <c r="D2971" s="5" t="s">
        <v>1327</v>
      </c>
      <c r="E2971" s="5" t="s">
        <v>34</v>
      </c>
      <c r="F2971" s="5" t="s">
        <v>34</v>
      </c>
      <c r="G2971" s="5" t="s">
        <v>36</v>
      </c>
      <c r="H2971" s="5" t="s">
        <v>35</v>
      </c>
      <c r="I2971" s="6">
        <v>1.0</v>
      </c>
      <c r="J2971" s="6" t="s">
        <v>37</v>
      </c>
      <c r="K2971" s="6">
        <v>10.0</v>
      </c>
      <c r="L2971" s="5"/>
      <c r="M2971" s="5"/>
      <c r="N2971" s="6" t="s">
        <v>40</v>
      </c>
      <c r="O2971" s="5" t="s">
        <v>5363</v>
      </c>
      <c r="P2971" s="6" t="s">
        <v>42</v>
      </c>
      <c r="Q2971" s="5" t="s">
        <v>1237</v>
      </c>
      <c r="R2971" s="5" t="s">
        <v>15683</v>
      </c>
      <c r="S2971" s="6" t="s">
        <v>56</v>
      </c>
      <c r="T2971" s="6">
        <v>6508.0</v>
      </c>
    </row>
    <row r="2972" ht="56.25" customHeight="1">
      <c r="A2972" s="5" t="s">
        <v>15677</v>
      </c>
      <c r="B2972" s="6" t="str">
        <f>image("https://storage.googleapis.com/acdb/photos/BromideNpcNmlGoa06_Remake_2_0.png")</f>
        <v/>
      </c>
      <c r="C2972" s="5" t="s">
        <v>688</v>
      </c>
      <c r="D2972" s="5" t="s">
        <v>1327</v>
      </c>
      <c r="E2972" s="5" t="s">
        <v>34</v>
      </c>
      <c r="F2972" s="5" t="s">
        <v>34</v>
      </c>
      <c r="G2972" s="5" t="s">
        <v>36</v>
      </c>
      <c r="H2972" s="5" t="s">
        <v>35</v>
      </c>
      <c r="I2972" s="6">
        <v>1.0</v>
      </c>
      <c r="J2972" s="6" t="s">
        <v>37</v>
      </c>
      <c r="K2972" s="6">
        <v>10.0</v>
      </c>
      <c r="L2972" s="5"/>
      <c r="M2972" s="5"/>
      <c r="N2972" s="6" t="s">
        <v>40</v>
      </c>
      <c r="O2972" s="5" t="s">
        <v>5363</v>
      </c>
      <c r="P2972" s="6" t="s">
        <v>42</v>
      </c>
      <c r="Q2972" s="5" t="s">
        <v>1237</v>
      </c>
      <c r="R2972" s="5" t="s">
        <v>15685</v>
      </c>
      <c r="S2972" s="6" t="s">
        <v>67</v>
      </c>
      <c r="T2972" s="6">
        <v>6508.0</v>
      </c>
    </row>
    <row r="2973" ht="56.25" customHeight="1">
      <c r="A2973" s="5" t="s">
        <v>15677</v>
      </c>
      <c r="B2973" s="6" t="str">
        <f>image("https://storage.googleapis.com/acdb/photos/BromideNpcNmlGoa06_Remake_3_0.png")</f>
        <v/>
      </c>
      <c r="C2973" s="5" t="s">
        <v>57</v>
      </c>
      <c r="D2973" s="5" t="s">
        <v>1327</v>
      </c>
      <c r="E2973" s="5" t="s">
        <v>34</v>
      </c>
      <c r="F2973" s="5" t="s">
        <v>34</v>
      </c>
      <c r="G2973" s="5" t="s">
        <v>36</v>
      </c>
      <c r="H2973" s="5" t="s">
        <v>35</v>
      </c>
      <c r="I2973" s="6">
        <v>1.0</v>
      </c>
      <c r="J2973" s="6" t="s">
        <v>37</v>
      </c>
      <c r="K2973" s="6">
        <v>10.0</v>
      </c>
      <c r="L2973" s="5"/>
      <c r="M2973" s="5"/>
      <c r="N2973" s="6" t="s">
        <v>40</v>
      </c>
      <c r="O2973" s="5" t="s">
        <v>5363</v>
      </c>
      <c r="P2973" s="6" t="s">
        <v>42</v>
      </c>
      <c r="Q2973" s="5" t="s">
        <v>1237</v>
      </c>
      <c r="R2973" s="5" t="s">
        <v>15688</v>
      </c>
      <c r="S2973" s="6" t="s">
        <v>71</v>
      </c>
      <c r="T2973" s="6">
        <v>6508.0</v>
      </c>
    </row>
    <row r="2974" ht="56.25" customHeight="1">
      <c r="A2974" s="5" t="s">
        <v>15677</v>
      </c>
      <c r="B2974" s="6" t="str">
        <f>image("https://storage.googleapis.com/acdb/photos/BromideNpcNmlGoa06_Remake_4_0.png")</f>
        <v/>
      </c>
      <c r="C2974" s="5" t="s">
        <v>1167</v>
      </c>
      <c r="D2974" s="5" t="s">
        <v>1327</v>
      </c>
      <c r="E2974" s="5" t="s">
        <v>34</v>
      </c>
      <c r="F2974" s="5" t="s">
        <v>34</v>
      </c>
      <c r="G2974" s="5" t="s">
        <v>36</v>
      </c>
      <c r="H2974" s="5" t="s">
        <v>35</v>
      </c>
      <c r="I2974" s="6">
        <v>1.0</v>
      </c>
      <c r="J2974" s="6" t="s">
        <v>37</v>
      </c>
      <c r="K2974" s="6">
        <v>10.0</v>
      </c>
      <c r="L2974" s="5"/>
      <c r="M2974" s="5"/>
      <c r="N2974" s="6" t="s">
        <v>40</v>
      </c>
      <c r="O2974" s="5" t="s">
        <v>5363</v>
      </c>
      <c r="P2974" s="6" t="s">
        <v>42</v>
      </c>
      <c r="Q2974" s="5" t="s">
        <v>1237</v>
      </c>
      <c r="R2974" s="5" t="s">
        <v>15690</v>
      </c>
      <c r="S2974" s="6" t="s">
        <v>75</v>
      </c>
      <c r="T2974" s="6">
        <v>6508.0</v>
      </c>
    </row>
    <row r="2975" ht="56.25" customHeight="1">
      <c r="A2975" s="5" t="s">
        <v>15677</v>
      </c>
      <c r="B2975" s="6" t="str">
        <f>image("https://storage.googleapis.com/acdb/photos/BromideNpcNmlGoa06_Remake_5_0.png")</f>
        <v/>
      </c>
      <c r="C2975" s="5" t="s">
        <v>58</v>
      </c>
      <c r="D2975" s="5" t="s">
        <v>1327</v>
      </c>
      <c r="E2975" s="5" t="s">
        <v>34</v>
      </c>
      <c r="F2975" s="5" t="s">
        <v>34</v>
      </c>
      <c r="G2975" s="5" t="s">
        <v>36</v>
      </c>
      <c r="H2975" s="5" t="s">
        <v>35</v>
      </c>
      <c r="I2975" s="6">
        <v>1.0</v>
      </c>
      <c r="J2975" s="6" t="s">
        <v>37</v>
      </c>
      <c r="K2975" s="6">
        <v>10.0</v>
      </c>
      <c r="L2975" s="5"/>
      <c r="M2975" s="5"/>
      <c r="N2975" s="6" t="s">
        <v>40</v>
      </c>
      <c r="O2975" s="5" t="s">
        <v>5363</v>
      </c>
      <c r="P2975" s="6" t="s">
        <v>42</v>
      </c>
      <c r="Q2975" s="5" t="s">
        <v>1237</v>
      </c>
      <c r="R2975" s="5" t="s">
        <v>15693</v>
      </c>
      <c r="S2975" s="6" t="s">
        <v>79</v>
      </c>
      <c r="T2975" s="6">
        <v>6508.0</v>
      </c>
    </row>
    <row r="2976" ht="56.25" customHeight="1">
      <c r="A2976" s="5" t="s">
        <v>15677</v>
      </c>
      <c r="B2976" s="6" t="str">
        <f>image("https://storage.googleapis.com/acdb/photos/BromideNpcNmlGoa06_Remake_6_0.png")</f>
        <v/>
      </c>
      <c r="C2976" s="5" t="s">
        <v>146</v>
      </c>
      <c r="D2976" s="5" t="s">
        <v>1327</v>
      </c>
      <c r="E2976" s="5" t="s">
        <v>34</v>
      </c>
      <c r="F2976" s="5" t="s">
        <v>34</v>
      </c>
      <c r="G2976" s="5" t="s">
        <v>36</v>
      </c>
      <c r="H2976" s="5" t="s">
        <v>35</v>
      </c>
      <c r="I2976" s="6">
        <v>1.0</v>
      </c>
      <c r="J2976" s="6" t="s">
        <v>37</v>
      </c>
      <c r="K2976" s="6">
        <v>10.0</v>
      </c>
      <c r="L2976" s="5"/>
      <c r="M2976" s="5"/>
      <c r="N2976" s="6" t="s">
        <v>40</v>
      </c>
      <c r="O2976" s="5" t="s">
        <v>5363</v>
      </c>
      <c r="P2976" s="6" t="s">
        <v>42</v>
      </c>
      <c r="Q2976" s="5" t="s">
        <v>1237</v>
      </c>
      <c r="R2976" s="5" t="s">
        <v>15694</v>
      </c>
      <c r="S2976" s="6" t="s">
        <v>86</v>
      </c>
      <c r="T2976" s="6">
        <v>6508.0</v>
      </c>
    </row>
    <row r="2977" ht="56.25" customHeight="1">
      <c r="A2977" s="5" t="s">
        <v>15677</v>
      </c>
      <c r="B2977" s="6" t="str">
        <f>image("https://storage.googleapis.com/acdb/photos/BromideNpcNmlGoa06_Remake_7_0.png")</f>
        <v/>
      </c>
      <c r="C2977" s="5" t="s">
        <v>151</v>
      </c>
      <c r="D2977" s="5" t="s">
        <v>1327</v>
      </c>
      <c r="E2977" s="5" t="s">
        <v>34</v>
      </c>
      <c r="F2977" s="5" t="s">
        <v>34</v>
      </c>
      <c r="G2977" s="5" t="s">
        <v>36</v>
      </c>
      <c r="H2977" s="5" t="s">
        <v>35</v>
      </c>
      <c r="I2977" s="6">
        <v>1.0</v>
      </c>
      <c r="J2977" s="6" t="s">
        <v>37</v>
      </c>
      <c r="K2977" s="6">
        <v>10.0</v>
      </c>
      <c r="L2977" s="5"/>
      <c r="M2977" s="5"/>
      <c r="N2977" s="6" t="s">
        <v>40</v>
      </c>
      <c r="O2977" s="5" t="s">
        <v>5363</v>
      </c>
      <c r="P2977" s="6" t="s">
        <v>42</v>
      </c>
      <c r="Q2977" s="5" t="s">
        <v>1237</v>
      </c>
      <c r="R2977" s="5" t="s">
        <v>15699</v>
      </c>
      <c r="S2977" s="6" t="s">
        <v>208</v>
      </c>
      <c r="T2977" s="6">
        <v>6508.0</v>
      </c>
    </row>
    <row r="2978" ht="56.25" customHeight="1">
      <c r="A2978" s="5" t="s">
        <v>15700</v>
      </c>
      <c r="B2978" s="6" t="str">
        <f>image("https://storage.googleapis.com/acdb/photos/BromideNpcNmlShp00_Remake_0_0.png")</f>
        <v/>
      </c>
      <c r="C2978" s="5" t="s">
        <v>366</v>
      </c>
      <c r="D2978" s="5" t="s">
        <v>1327</v>
      </c>
      <c r="E2978" s="5" t="s">
        <v>34</v>
      </c>
      <c r="F2978" s="5" t="s">
        <v>34</v>
      </c>
      <c r="G2978" s="5" t="s">
        <v>36</v>
      </c>
      <c r="H2978" s="5" t="s">
        <v>35</v>
      </c>
      <c r="I2978" s="6">
        <v>1.0</v>
      </c>
      <c r="J2978" s="6" t="s">
        <v>37</v>
      </c>
      <c r="K2978" s="6">
        <v>10.0</v>
      </c>
      <c r="L2978" s="5"/>
      <c r="M2978" s="5"/>
      <c r="N2978" s="6" t="s">
        <v>40</v>
      </c>
      <c r="O2978" s="5" t="s">
        <v>5363</v>
      </c>
      <c r="P2978" s="6" t="s">
        <v>42</v>
      </c>
      <c r="Q2978" s="5" t="s">
        <v>1237</v>
      </c>
      <c r="R2978" s="5" t="s">
        <v>15701</v>
      </c>
      <c r="S2978" s="6" t="s">
        <v>50</v>
      </c>
      <c r="T2978" s="6">
        <v>6690.0</v>
      </c>
    </row>
    <row r="2979" ht="56.25" customHeight="1">
      <c r="A2979" s="5" t="s">
        <v>15700</v>
      </c>
      <c r="B2979" s="6" t="str">
        <f>image("https://storage.googleapis.com/acdb/photos/BromideNpcNmlShp00_Remake_1_0.png")</f>
        <v/>
      </c>
      <c r="C2979" s="5" t="s">
        <v>1132</v>
      </c>
      <c r="D2979" s="5" t="s">
        <v>1327</v>
      </c>
      <c r="E2979" s="5" t="s">
        <v>34</v>
      </c>
      <c r="F2979" s="5" t="s">
        <v>34</v>
      </c>
      <c r="G2979" s="5" t="s">
        <v>36</v>
      </c>
      <c r="H2979" s="5" t="s">
        <v>35</v>
      </c>
      <c r="I2979" s="6">
        <v>1.0</v>
      </c>
      <c r="J2979" s="6" t="s">
        <v>37</v>
      </c>
      <c r="K2979" s="6">
        <v>10.0</v>
      </c>
      <c r="L2979" s="5"/>
      <c r="M2979" s="5"/>
      <c r="N2979" s="6" t="s">
        <v>40</v>
      </c>
      <c r="O2979" s="5" t="s">
        <v>5363</v>
      </c>
      <c r="P2979" s="6" t="s">
        <v>42</v>
      </c>
      <c r="Q2979" s="5" t="s">
        <v>1237</v>
      </c>
      <c r="R2979" s="5" t="s">
        <v>15704</v>
      </c>
      <c r="S2979" s="6" t="s">
        <v>56</v>
      </c>
      <c r="T2979" s="6">
        <v>6690.0</v>
      </c>
    </row>
    <row r="2980" ht="56.25" customHeight="1">
      <c r="A2980" s="5" t="s">
        <v>15700</v>
      </c>
      <c r="B2980" s="6" t="str">
        <f>image("https://storage.googleapis.com/acdb/photos/BromideNpcNmlShp00_Remake_2_0.png")</f>
        <v/>
      </c>
      <c r="C2980" s="5" t="s">
        <v>688</v>
      </c>
      <c r="D2980" s="5" t="s">
        <v>1327</v>
      </c>
      <c r="E2980" s="5" t="s">
        <v>34</v>
      </c>
      <c r="F2980" s="5" t="s">
        <v>34</v>
      </c>
      <c r="G2980" s="5" t="s">
        <v>36</v>
      </c>
      <c r="H2980" s="5" t="s">
        <v>35</v>
      </c>
      <c r="I2980" s="6">
        <v>1.0</v>
      </c>
      <c r="J2980" s="6" t="s">
        <v>37</v>
      </c>
      <c r="K2980" s="6">
        <v>10.0</v>
      </c>
      <c r="L2980" s="5"/>
      <c r="M2980" s="5"/>
      <c r="N2980" s="6" t="s">
        <v>40</v>
      </c>
      <c r="O2980" s="5" t="s">
        <v>5363</v>
      </c>
      <c r="P2980" s="6" t="s">
        <v>42</v>
      </c>
      <c r="Q2980" s="5" t="s">
        <v>1237</v>
      </c>
      <c r="R2980" s="5" t="s">
        <v>15706</v>
      </c>
      <c r="S2980" s="6" t="s">
        <v>67</v>
      </c>
      <c r="T2980" s="6">
        <v>6690.0</v>
      </c>
    </row>
    <row r="2981" ht="56.25" customHeight="1">
      <c r="A2981" s="5" t="s">
        <v>15700</v>
      </c>
      <c r="B2981" s="6" t="str">
        <f>image("https://storage.googleapis.com/acdb/photos/BromideNpcNmlShp00_Remake_3_0.png")</f>
        <v/>
      </c>
      <c r="C2981" s="5" t="s">
        <v>57</v>
      </c>
      <c r="D2981" s="5" t="s">
        <v>1327</v>
      </c>
      <c r="E2981" s="5" t="s">
        <v>34</v>
      </c>
      <c r="F2981" s="5" t="s">
        <v>34</v>
      </c>
      <c r="G2981" s="5" t="s">
        <v>36</v>
      </c>
      <c r="H2981" s="5" t="s">
        <v>35</v>
      </c>
      <c r="I2981" s="6">
        <v>1.0</v>
      </c>
      <c r="J2981" s="6" t="s">
        <v>37</v>
      </c>
      <c r="K2981" s="6">
        <v>10.0</v>
      </c>
      <c r="L2981" s="5"/>
      <c r="M2981" s="5"/>
      <c r="N2981" s="6" t="s">
        <v>40</v>
      </c>
      <c r="O2981" s="5" t="s">
        <v>5363</v>
      </c>
      <c r="P2981" s="6" t="s">
        <v>42</v>
      </c>
      <c r="Q2981" s="5" t="s">
        <v>1237</v>
      </c>
      <c r="R2981" s="5" t="s">
        <v>15708</v>
      </c>
      <c r="S2981" s="6" t="s">
        <v>71</v>
      </c>
      <c r="T2981" s="6">
        <v>6690.0</v>
      </c>
    </row>
    <row r="2982" ht="56.25" customHeight="1">
      <c r="A2982" s="5" t="s">
        <v>15700</v>
      </c>
      <c r="B2982" s="6" t="str">
        <f>image("https://storage.googleapis.com/acdb/photos/BromideNpcNmlShp00_Remake_4_0.png")</f>
        <v/>
      </c>
      <c r="C2982" s="5" t="s">
        <v>1167</v>
      </c>
      <c r="D2982" s="5" t="s">
        <v>1327</v>
      </c>
      <c r="E2982" s="5" t="s">
        <v>34</v>
      </c>
      <c r="F2982" s="5" t="s">
        <v>34</v>
      </c>
      <c r="G2982" s="5" t="s">
        <v>36</v>
      </c>
      <c r="H2982" s="5" t="s">
        <v>35</v>
      </c>
      <c r="I2982" s="6">
        <v>1.0</v>
      </c>
      <c r="J2982" s="6" t="s">
        <v>37</v>
      </c>
      <c r="K2982" s="6">
        <v>10.0</v>
      </c>
      <c r="L2982" s="5"/>
      <c r="M2982" s="5"/>
      <c r="N2982" s="6" t="s">
        <v>40</v>
      </c>
      <c r="O2982" s="5" t="s">
        <v>5363</v>
      </c>
      <c r="P2982" s="6" t="s">
        <v>42</v>
      </c>
      <c r="Q2982" s="5" t="s">
        <v>1237</v>
      </c>
      <c r="R2982" s="5" t="s">
        <v>15711</v>
      </c>
      <c r="S2982" s="6" t="s">
        <v>75</v>
      </c>
      <c r="T2982" s="6">
        <v>6690.0</v>
      </c>
    </row>
    <row r="2983" ht="56.25" customHeight="1">
      <c r="A2983" s="5" t="s">
        <v>15700</v>
      </c>
      <c r="B2983" s="6" t="str">
        <f>image("https://storage.googleapis.com/acdb/photos/BromideNpcNmlShp00_Remake_5_0.png")</f>
        <v/>
      </c>
      <c r="C2983" s="5" t="s">
        <v>58</v>
      </c>
      <c r="D2983" s="5" t="s">
        <v>1327</v>
      </c>
      <c r="E2983" s="5" t="s">
        <v>34</v>
      </c>
      <c r="F2983" s="5" t="s">
        <v>34</v>
      </c>
      <c r="G2983" s="5" t="s">
        <v>36</v>
      </c>
      <c r="H2983" s="5" t="s">
        <v>35</v>
      </c>
      <c r="I2983" s="6">
        <v>1.0</v>
      </c>
      <c r="J2983" s="6" t="s">
        <v>37</v>
      </c>
      <c r="K2983" s="6">
        <v>10.0</v>
      </c>
      <c r="L2983" s="5"/>
      <c r="M2983" s="5"/>
      <c r="N2983" s="6" t="s">
        <v>40</v>
      </c>
      <c r="O2983" s="5" t="s">
        <v>5363</v>
      </c>
      <c r="P2983" s="6" t="s">
        <v>42</v>
      </c>
      <c r="Q2983" s="5" t="s">
        <v>1237</v>
      </c>
      <c r="R2983" s="5" t="s">
        <v>15714</v>
      </c>
      <c r="S2983" s="6" t="s">
        <v>79</v>
      </c>
      <c r="T2983" s="6">
        <v>6690.0</v>
      </c>
    </row>
    <row r="2984" ht="56.25" customHeight="1">
      <c r="A2984" s="5" t="s">
        <v>15700</v>
      </c>
      <c r="B2984" s="6" t="str">
        <f>image("https://storage.googleapis.com/acdb/photos/BromideNpcNmlShp00_Remake_6_0.png")</f>
        <v/>
      </c>
      <c r="C2984" s="5" t="s">
        <v>146</v>
      </c>
      <c r="D2984" s="5" t="s">
        <v>1327</v>
      </c>
      <c r="E2984" s="5" t="s">
        <v>34</v>
      </c>
      <c r="F2984" s="5" t="s">
        <v>34</v>
      </c>
      <c r="G2984" s="5" t="s">
        <v>36</v>
      </c>
      <c r="H2984" s="5" t="s">
        <v>35</v>
      </c>
      <c r="I2984" s="6">
        <v>1.0</v>
      </c>
      <c r="J2984" s="6" t="s">
        <v>37</v>
      </c>
      <c r="K2984" s="6">
        <v>10.0</v>
      </c>
      <c r="L2984" s="5"/>
      <c r="M2984" s="5"/>
      <c r="N2984" s="6" t="s">
        <v>40</v>
      </c>
      <c r="O2984" s="5" t="s">
        <v>5363</v>
      </c>
      <c r="P2984" s="6" t="s">
        <v>42</v>
      </c>
      <c r="Q2984" s="5" t="s">
        <v>1237</v>
      </c>
      <c r="R2984" s="5" t="s">
        <v>15715</v>
      </c>
      <c r="S2984" s="6" t="s">
        <v>86</v>
      </c>
      <c r="T2984" s="6">
        <v>6690.0</v>
      </c>
    </row>
    <row r="2985" ht="56.25" customHeight="1">
      <c r="A2985" s="5" t="s">
        <v>15700</v>
      </c>
      <c r="B2985" s="6" t="str">
        <f>image("https://storage.googleapis.com/acdb/photos/BromideNpcNmlShp00_Remake_7_0.png")</f>
        <v/>
      </c>
      <c r="C2985" s="5" t="s">
        <v>151</v>
      </c>
      <c r="D2985" s="5" t="s">
        <v>1327</v>
      </c>
      <c r="E2985" s="5" t="s">
        <v>34</v>
      </c>
      <c r="F2985" s="5" t="s">
        <v>34</v>
      </c>
      <c r="G2985" s="5" t="s">
        <v>36</v>
      </c>
      <c r="H2985" s="5" t="s">
        <v>35</v>
      </c>
      <c r="I2985" s="6">
        <v>1.0</v>
      </c>
      <c r="J2985" s="6" t="s">
        <v>37</v>
      </c>
      <c r="K2985" s="6">
        <v>10.0</v>
      </c>
      <c r="L2985" s="5"/>
      <c r="M2985" s="5"/>
      <c r="N2985" s="6" t="s">
        <v>40</v>
      </c>
      <c r="O2985" s="5" t="s">
        <v>5363</v>
      </c>
      <c r="P2985" s="6" t="s">
        <v>42</v>
      </c>
      <c r="Q2985" s="5" t="s">
        <v>1237</v>
      </c>
      <c r="R2985" s="5" t="s">
        <v>15718</v>
      </c>
      <c r="S2985" s="6" t="s">
        <v>208</v>
      </c>
      <c r="T2985" s="6">
        <v>6690.0</v>
      </c>
    </row>
    <row r="2986" ht="56.25" customHeight="1">
      <c r="A2986" s="5" t="s">
        <v>15719</v>
      </c>
      <c r="B2986" s="6" t="str">
        <f>image("https://storage.googleapis.com/acdb/photos/BromideNpcNmlBul08_Remake_0_0.png")</f>
        <v/>
      </c>
      <c r="C2986" s="5" t="s">
        <v>366</v>
      </c>
      <c r="D2986" s="5" t="s">
        <v>1327</v>
      </c>
      <c r="E2986" s="5" t="s">
        <v>34</v>
      </c>
      <c r="F2986" s="5" t="s">
        <v>34</v>
      </c>
      <c r="G2986" s="5" t="s">
        <v>36</v>
      </c>
      <c r="H2986" s="5" t="s">
        <v>35</v>
      </c>
      <c r="I2986" s="6">
        <v>1.0</v>
      </c>
      <c r="J2986" s="6" t="s">
        <v>37</v>
      </c>
      <c r="K2986" s="6">
        <v>10.0</v>
      </c>
      <c r="L2986" s="5"/>
      <c r="M2986" s="5"/>
      <c r="N2986" s="6" t="s">
        <v>40</v>
      </c>
      <c r="O2986" s="5" t="s">
        <v>5363</v>
      </c>
      <c r="P2986" s="6" t="s">
        <v>42</v>
      </c>
      <c r="Q2986" s="5" t="s">
        <v>1237</v>
      </c>
      <c r="R2986" s="5" t="s">
        <v>15724</v>
      </c>
      <c r="S2986" s="6" t="s">
        <v>50</v>
      </c>
      <c r="T2986" s="6">
        <v>6744.0</v>
      </c>
    </row>
    <row r="2987" ht="56.25" customHeight="1">
      <c r="A2987" s="5" t="s">
        <v>15719</v>
      </c>
      <c r="B2987" s="6" t="str">
        <f>image("https://storage.googleapis.com/acdb/photos/BromideNpcNmlBul08_Remake_1_0.png")</f>
        <v/>
      </c>
      <c r="C2987" s="5" t="s">
        <v>1132</v>
      </c>
      <c r="D2987" s="5" t="s">
        <v>1327</v>
      </c>
      <c r="E2987" s="5" t="s">
        <v>34</v>
      </c>
      <c r="F2987" s="5" t="s">
        <v>34</v>
      </c>
      <c r="G2987" s="5" t="s">
        <v>36</v>
      </c>
      <c r="H2987" s="5" t="s">
        <v>35</v>
      </c>
      <c r="I2987" s="6">
        <v>1.0</v>
      </c>
      <c r="J2987" s="6" t="s">
        <v>37</v>
      </c>
      <c r="K2987" s="6">
        <v>10.0</v>
      </c>
      <c r="L2987" s="5"/>
      <c r="M2987" s="5"/>
      <c r="N2987" s="6" t="s">
        <v>40</v>
      </c>
      <c r="O2987" s="5" t="s">
        <v>5363</v>
      </c>
      <c r="P2987" s="6" t="s">
        <v>42</v>
      </c>
      <c r="Q2987" s="5" t="s">
        <v>1237</v>
      </c>
      <c r="R2987" s="5" t="s">
        <v>15726</v>
      </c>
      <c r="S2987" s="6" t="s">
        <v>56</v>
      </c>
      <c r="T2987" s="6">
        <v>6744.0</v>
      </c>
    </row>
    <row r="2988" ht="56.25" customHeight="1">
      <c r="A2988" s="5" t="s">
        <v>15719</v>
      </c>
      <c r="B2988" s="6" t="str">
        <f>image("https://storage.googleapis.com/acdb/photos/BromideNpcNmlBul08_Remake_2_0.png")</f>
        <v/>
      </c>
      <c r="C2988" s="5" t="s">
        <v>688</v>
      </c>
      <c r="D2988" s="5" t="s">
        <v>1327</v>
      </c>
      <c r="E2988" s="5" t="s">
        <v>34</v>
      </c>
      <c r="F2988" s="5" t="s">
        <v>34</v>
      </c>
      <c r="G2988" s="5" t="s">
        <v>36</v>
      </c>
      <c r="H2988" s="5" t="s">
        <v>35</v>
      </c>
      <c r="I2988" s="6">
        <v>1.0</v>
      </c>
      <c r="J2988" s="6" t="s">
        <v>37</v>
      </c>
      <c r="K2988" s="6">
        <v>10.0</v>
      </c>
      <c r="L2988" s="5"/>
      <c r="M2988" s="5"/>
      <c r="N2988" s="6" t="s">
        <v>40</v>
      </c>
      <c r="O2988" s="5" t="s">
        <v>5363</v>
      </c>
      <c r="P2988" s="6" t="s">
        <v>42</v>
      </c>
      <c r="Q2988" s="5" t="s">
        <v>1237</v>
      </c>
      <c r="R2988" s="5" t="s">
        <v>15728</v>
      </c>
      <c r="S2988" s="6" t="s">
        <v>67</v>
      </c>
      <c r="T2988" s="6">
        <v>6744.0</v>
      </c>
    </row>
    <row r="2989" ht="56.25" customHeight="1">
      <c r="A2989" s="5" t="s">
        <v>15719</v>
      </c>
      <c r="B2989" s="6" t="str">
        <f>image("https://storage.googleapis.com/acdb/photos/BromideNpcNmlBul08_Remake_3_0.png")</f>
        <v/>
      </c>
      <c r="C2989" s="5" t="s">
        <v>57</v>
      </c>
      <c r="D2989" s="5" t="s">
        <v>1327</v>
      </c>
      <c r="E2989" s="5" t="s">
        <v>34</v>
      </c>
      <c r="F2989" s="5" t="s">
        <v>34</v>
      </c>
      <c r="G2989" s="5" t="s">
        <v>36</v>
      </c>
      <c r="H2989" s="5" t="s">
        <v>35</v>
      </c>
      <c r="I2989" s="6">
        <v>1.0</v>
      </c>
      <c r="J2989" s="6" t="s">
        <v>37</v>
      </c>
      <c r="K2989" s="6">
        <v>10.0</v>
      </c>
      <c r="L2989" s="5"/>
      <c r="M2989" s="5"/>
      <c r="N2989" s="6" t="s">
        <v>40</v>
      </c>
      <c r="O2989" s="5" t="s">
        <v>5363</v>
      </c>
      <c r="P2989" s="6" t="s">
        <v>42</v>
      </c>
      <c r="Q2989" s="5" t="s">
        <v>1237</v>
      </c>
      <c r="R2989" s="5" t="s">
        <v>15730</v>
      </c>
      <c r="S2989" s="6" t="s">
        <v>71</v>
      </c>
      <c r="T2989" s="6">
        <v>6744.0</v>
      </c>
    </row>
    <row r="2990" ht="56.25" customHeight="1">
      <c r="A2990" s="5" t="s">
        <v>15719</v>
      </c>
      <c r="B2990" s="6" t="str">
        <f>image("https://storage.googleapis.com/acdb/photos/BromideNpcNmlBul08_Remake_4_0.png")</f>
        <v/>
      </c>
      <c r="C2990" s="5" t="s">
        <v>1167</v>
      </c>
      <c r="D2990" s="5" t="s">
        <v>1327</v>
      </c>
      <c r="E2990" s="5" t="s">
        <v>34</v>
      </c>
      <c r="F2990" s="5" t="s">
        <v>34</v>
      </c>
      <c r="G2990" s="5" t="s">
        <v>36</v>
      </c>
      <c r="H2990" s="5" t="s">
        <v>35</v>
      </c>
      <c r="I2990" s="6">
        <v>1.0</v>
      </c>
      <c r="J2990" s="6" t="s">
        <v>37</v>
      </c>
      <c r="K2990" s="6">
        <v>10.0</v>
      </c>
      <c r="L2990" s="5"/>
      <c r="M2990" s="5"/>
      <c r="N2990" s="6" t="s">
        <v>40</v>
      </c>
      <c r="O2990" s="5" t="s">
        <v>5363</v>
      </c>
      <c r="P2990" s="6" t="s">
        <v>42</v>
      </c>
      <c r="Q2990" s="5" t="s">
        <v>1237</v>
      </c>
      <c r="R2990" s="5" t="s">
        <v>15733</v>
      </c>
      <c r="S2990" s="6" t="s">
        <v>75</v>
      </c>
      <c r="T2990" s="6">
        <v>6744.0</v>
      </c>
    </row>
    <row r="2991" ht="56.25" customHeight="1">
      <c r="A2991" s="5" t="s">
        <v>15719</v>
      </c>
      <c r="B2991" s="6" t="str">
        <f>image("https://storage.googleapis.com/acdb/photos/BromideNpcNmlBul08_Remake_5_0.png")</f>
        <v/>
      </c>
      <c r="C2991" s="5" t="s">
        <v>58</v>
      </c>
      <c r="D2991" s="5" t="s">
        <v>1327</v>
      </c>
      <c r="E2991" s="5" t="s">
        <v>34</v>
      </c>
      <c r="F2991" s="5" t="s">
        <v>34</v>
      </c>
      <c r="G2991" s="5" t="s">
        <v>36</v>
      </c>
      <c r="H2991" s="5" t="s">
        <v>35</v>
      </c>
      <c r="I2991" s="6">
        <v>1.0</v>
      </c>
      <c r="J2991" s="6" t="s">
        <v>37</v>
      </c>
      <c r="K2991" s="6">
        <v>10.0</v>
      </c>
      <c r="L2991" s="5"/>
      <c r="M2991" s="5"/>
      <c r="N2991" s="6" t="s">
        <v>40</v>
      </c>
      <c r="O2991" s="5" t="s">
        <v>5363</v>
      </c>
      <c r="P2991" s="6" t="s">
        <v>42</v>
      </c>
      <c r="Q2991" s="5" t="s">
        <v>1237</v>
      </c>
      <c r="R2991" s="5" t="s">
        <v>15736</v>
      </c>
      <c r="S2991" s="6" t="s">
        <v>79</v>
      </c>
      <c r="T2991" s="6">
        <v>6744.0</v>
      </c>
    </row>
    <row r="2992" ht="56.25" customHeight="1">
      <c r="A2992" s="5" t="s">
        <v>15719</v>
      </c>
      <c r="B2992" s="6" t="str">
        <f>image("https://storage.googleapis.com/acdb/photos/BromideNpcNmlBul08_Remake_6_0.png")</f>
        <v/>
      </c>
      <c r="C2992" s="5" t="s">
        <v>146</v>
      </c>
      <c r="D2992" s="5" t="s">
        <v>1327</v>
      </c>
      <c r="E2992" s="5" t="s">
        <v>34</v>
      </c>
      <c r="F2992" s="5" t="s">
        <v>34</v>
      </c>
      <c r="G2992" s="5" t="s">
        <v>36</v>
      </c>
      <c r="H2992" s="5" t="s">
        <v>35</v>
      </c>
      <c r="I2992" s="6">
        <v>1.0</v>
      </c>
      <c r="J2992" s="6" t="s">
        <v>37</v>
      </c>
      <c r="K2992" s="6">
        <v>10.0</v>
      </c>
      <c r="L2992" s="5"/>
      <c r="M2992" s="5"/>
      <c r="N2992" s="6" t="s">
        <v>40</v>
      </c>
      <c r="O2992" s="5" t="s">
        <v>5363</v>
      </c>
      <c r="P2992" s="6" t="s">
        <v>42</v>
      </c>
      <c r="Q2992" s="5" t="s">
        <v>1237</v>
      </c>
      <c r="R2992" s="5" t="s">
        <v>15740</v>
      </c>
      <c r="S2992" s="6" t="s">
        <v>86</v>
      </c>
      <c r="T2992" s="6">
        <v>6744.0</v>
      </c>
    </row>
    <row r="2993" ht="56.25" customHeight="1">
      <c r="A2993" s="5" t="s">
        <v>15719</v>
      </c>
      <c r="B2993" s="6" t="str">
        <f>image("https://storage.googleapis.com/acdb/photos/BromideNpcNmlBul08_Remake_7_0.png")</f>
        <v/>
      </c>
      <c r="C2993" s="5" t="s">
        <v>151</v>
      </c>
      <c r="D2993" s="5" t="s">
        <v>1327</v>
      </c>
      <c r="E2993" s="5" t="s">
        <v>34</v>
      </c>
      <c r="F2993" s="5" t="s">
        <v>34</v>
      </c>
      <c r="G2993" s="5" t="s">
        <v>36</v>
      </c>
      <c r="H2993" s="5" t="s">
        <v>35</v>
      </c>
      <c r="I2993" s="6">
        <v>1.0</v>
      </c>
      <c r="J2993" s="6" t="s">
        <v>37</v>
      </c>
      <c r="K2993" s="6">
        <v>10.0</v>
      </c>
      <c r="L2993" s="5"/>
      <c r="M2993" s="5"/>
      <c r="N2993" s="6" t="s">
        <v>40</v>
      </c>
      <c r="O2993" s="5" t="s">
        <v>5363</v>
      </c>
      <c r="P2993" s="6" t="s">
        <v>42</v>
      </c>
      <c r="Q2993" s="5" t="s">
        <v>1237</v>
      </c>
      <c r="R2993" s="5" t="s">
        <v>15745</v>
      </c>
      <c r="S2993" s="6" t="s">
        <v>208</v>
      </c>
      <c r="T2993" s="6">
        <v>6744.0</v>
      </c>
    </row>
    <row r="2994" ht="56.25" customHeight="1">
      <c r="A2994" s="5" t="s">
        <v>15747</v>
      </c>
      <c r="B2994" s="6" t="str">
        <f>image("https://storage.googleapis.com/acdb/photos/BromideNpcNmlHrs01_Remake_0_0.png")</f>
        <v/>
      </c>
      <c r="C2994" s="5" t="s">
        <v>366</v>
      </c>
      <c r="D2994" s="5" t="s">
        <v>1327</v>
      </c>
      <c r="E2994" s="5" t="s">
        <v>34</v>
      </c>
      <c r="F2994" s="5" t="s">
        <v>34</v>
      </c>
      <c r="G2994" s="5" t="s">
        <v>36</v>
      </c>
      <c r="H2994" s="5" t="s">
        <v>35</v>
      </c>
      <c r="I2994" s="6">
        <v>1.0</v>
      </c>
      <c r="J2994" s="6" t="s">
        <v>37</v>
      </c>
      <c r="K2994" s="6">
        <v>10.0</v>
      </c>
      <c r="L2994" s="5"/>
      <c r="M2994" s="5"/>
      <c r="N2994" s="6" t="s">
        <v>40</v>
      </c>
      <c r="O2994" s="5" t="s">
        <v>5363</v>
      </c>
      <c r="P2994" s="6" t="s">
        <v>42</v>
      </c>
      <c r="Q2994" s="5" t="s">
        <v>1237</v>
      </c>
      <c r="R2994" s="5" t="s">
        <v>15749</v>
      </c>
      <c r="S2994" s="6" t="s">
        <v>50</v>
      </c>
      <c r="T2994" s="6">
        <v>6540.0</v>
      </c>
    </row>
    <row r="2995" ht="56.25" customHeight="1">
      <c r="A2995" s="5" t="s">
        <v>15747</v>
      </c>
      <c r="B2995" s="6" t="str">
        <f>image("https://storage.googleapis.com/acdb/photos/BromideNpcNmlHrs01_Remake_1_0.png")</f>
        <v/>
      </c>
      <c r="C2995" s="5" t="s">
        <v>1132</v>
      </c>
      <c r="D2995" s="5" t="s">
        <v>1327</v>
      </c>
      <c r="E2995" s="5" t="s">
        <v>34</v>
      </c>
      <c r="F2995" s="5" t="s">
        <v>34</v>
      </c>
      <c r="G2995" s="5" t="s">
        <v>36</v>
      </c>
      <c r="H2995" s="5" t="s">
        <v>35</v>
      </c>
      <c r="I2995" s="6">
        <v>1.0</v>
      </c>
      <c r="J2995" s="6" t="s">
        <v>37</v>
      </c>
      <c r="K2995" s="6">
        <v>10.0</v>
      </c>
      <c r="L2995" s="5"/>
      <c r="M2995" s="5"/>
      <c r="N2995" s="6" t="s">
        <v>40</v>
      </c>
      <c r="O2995" s="5" t="s">
        <v>5363</v>
      </c>
      <c r="P2995" s="6" t="s">
        <v>42</v>
      </c>
      <c r="Q2995" s="5" t="s">
        <v>1237</v>
      </c>
      <c r="R2995" s="5" t="s">
        <v>15752</v>
      </c>
      <c r="S2995" s="6" t="s">
        <v>56</v>
      </c>
      <c r="T2995" s="6">
        <v>6540.0</v>
      </c>
    </row>
    <row r="2996" ht="56.25" customHeight="1">
      <c r="A2996" s="5" t="s">
        <v>15747</v>
      </c>
      <c r="B2996" s="6" t="str">
        <f>image("https://storage.googleapis.com/acdb/photos/BromideNpcNmlHrs01_Remake_2_0.png")</f>
        <v/>
      </c>
      <c r="C2996" s="5" t="s">
        <v>688</v>
      </c>
      <c r="D2996" s="5" t="s">
        <v>1327</v>
      </c>
      <c r="E2996" s="5" t="s">
        <v>34</v>
      </c>
      <c r="F2996" s="5" t="s">
        <v>34</v>
      </c>
      <c r="G2996" s="5" t="s">
        <v>36</v>
      </c>
      <c r="H2996" s="5" t="s">
        <v>35</v>
      </c>
      <c r="I2996" s="6">
        <v>1.0</v>
      </c>
      <c r="J2996" s="6" t="s">
        <v>37</v>
      </c>
      <c r="K2996" s="6">
        <v>10.0</v>
      </c>
      <c r="L2996" s="5"/>
      <c r="M2996" s="5"/>
      <c r="N2996" s="6" t="s">
        <v>40</v>
      </c>
      <c r="O2996" s="5" t="s">
        <v>5363</v>
      </c>
      <c r="P2996" s="6" t="s">
        <v>42</v>
      </c>
      <c r="Q2996" s="5" t="s">
        <v>1237</v>
      </c>
      <c r="R2996" s="5" t="s">
        <v>15755</v>
      </c>
      <c r="S2996" s="6" t="s">
        <v>67</v>
      </c>
      <c r="T2996" s="6">
        <v>6540.0</v>
      </c>
    </row>
    <row r="2997" ht="56.25" customHeight="1">
      <c r="A2997" s="5" t="s">
        <v>15747</v>
      </c>
      <c r="B2997" s="6" t="str">
        <f>image("https://storage.googleapis.com/acdb/photos/BromideNpcNmlHrs01_Remake_3_0.png")</f>
        <v/>
      </c>
      <c r="C2997" s="5" t="s">
        <v>57</v>
      </c>
      <c r="D2997" s="5" t="s">
        <v>1327</v>
      </c>
      <c r="E2997" s="5" t="s">
        <v>34</v>
      </c>
      <c r="F2997" s="5" t="s">
        <v>34</v>
      </c>
      <c r="G2997" s="5" t="s">
        <v>36</v>
      </c>
      <c r="H2997" s="5" t="s">
        <v>35</v>
      </c>
      <c r="I2997" s="6">
        <v>1.0</v>
      </c>
      <c r="J2997" s="6" t="s">
        <v>37</v>
      </c>
      <c r="K2997" s="6">
        <v>10.0</v>
      </c>
      <c r="L2997" s="5"/>
      <c r="M2997" s="5"/>
      <c r="N2997" s="6" t="s">
        <v>40</v>
      </c>
      <c r="O2997" s="5" t="s">
        <v>5363</v>
      </c>
      <c r="P2997" s="6" t="s">
        <v>42</v>
      </c>
      <c r="Q2997" s="5" t="s">
        <v>1237</v>
      </c>
      <c r="R2997" s="5" t="s">
        <v>15760</v>
      </c>
      <c r="S2997" s="6" t="s">
        <v>71</v>
      </c>
      <c r="T2997" s="6">
        <v>6540.0</v>
      </c>
    </row>
    <row r="2998" ht="56.25" customHeight="1">
      <c r="A2998" s="5" t="s">
        <v>15747</v>
      </c>
      <c r="B2998" s="6" t="str">
        <f>image("https://storage.googleapis.com/acdb/photos/BromideNpcNmlHrs01_Remake_4_0.png")</f>
        <v/>
      </c>
      <c r="C2998" s="5" t="s">
        <v>1167</v>
      </c>
      <c r="D2998" s="5" t="s">
        <v>1327</v>
      </c>
      <c r="E2998" s="5" t="s">
        <v>34</v>
      </c>
      <c r="F2998" s="5" t="s">
        <v>34</v>
      </c>
      <c r="G2998" s="5" t="s">
        <v>36</v>
      </c>
      <c r="H2998" s="5" t="s">
        <v>35</v>
      </c>
      <c r="I2998" s="6">
        <v>1.0</v>
      </c>
      <c r="J2998" s="6" t="s">
        <v>37</v>
      </c>
      <c r="K2998" s="6">
        <v>10.0</v>
      </c>
      <c r="L2998" s="5"/>
      <c r="M2998" s="5"/>
      <c r="N2998" s="6" t="s">
        <v>40</v>
      </c>
      <c r="O2998" s="5" t="s">
        <v>5363</v>
      </c>
      <c r="P2998" s="6" t="s">
        <v>42</v>
      </c>
      <c r="Q2998" s="5" t="s">
        <v>1237</v>
      </c>
      <c r="R2998" s="5" t="s">
        <v>15764</v>
      </c>
      <c r="S2998" s="6" t="s">
        <v>75</v>
      </c>
      <c r="T2998" s="6">
        <v>6540.0</v>
      </c>
    </row>
    <row r="2999" ht="56.25" customHeight="1">
      <c r="A2999" s="5" t="s">
        <v>15747</v>
      </c>
      <c r="B2999" s="6" t="str">
        <f>image("https://storage.googleapis.com/acdb/photos/BromideNpcNmlHrs01_Remake_5_0.png")</f>
        <v/>
      </c>
      <c r="C2999" s="5" t="s">
        <v>58</v>
      </c>
      <c r="D2999" s="5" t="s">
        <v>1327</v>
      </c>
      <c r="E2999" s="5" t="s">
        <v>34</v>
      </c>
      <c r="F2999" s="5" t="s">
        <v>34</v>
      </c>
      <c r="G2999" s="5" t="s">
        <v>36</v>
      </c>
      <c r="H2999" s="5" t="s">
        <v>35</v>
      </c>
      <c r="I2999" s="6">
        <v>1.0</v>
      </c>
      <c r="J2999" s="6" t="s">
        <v>37</v>
      </c>
      <c r="K2999" s="6">
        <v>10.0</v>
      </c>
      <c r="L2999" s="5"/>
      <c r="M2999" s="5"/>
      <c r="N2999" s="6" t="s">
        <v>40</v>
      </c>
      <c r="O2999" s="5" t="s">
        <v>5363</v>
      </c>
      <c r="P2999" s="6" t="s">
        <v>42</v>
      </c>
      <c r="Q2999" s="5" t="s">
        <v>1237</v>
      </c>
      <c r="R2999" s="5" t="s">
        <v>15768</v>
      </c>
      <c r="S2999" s="6" t="s">
        <v>79</v>
      </c>
      <c r="T2999" s="6">
        <v>6540.0</v>
      </c>
    </row>
    <row r="3000" ht="56.25" customHeight="1">
      <c r="A3000" s="5" t="s">
        <v>15747</v>
      </c>
      <c r="B3000" s="6" t="str">
        <f>image("https://storage.googleapis.com/acdb/photos/BromideNpcNmlHrs01_Remake_6_0.png")</f>
        <v/>
      </c>
      <c r="C3000" s="5" t="s">
        <v>146</v>
      </c>
      <c r="D3000" s="5" t="s">
        <v>1327</v>
      </c>
      <c r="E3000" s="5" t="s">
        <v>34</v>
      </c>
      <c r="F3000" s="5" t="s">
        <v>34</v>
      </c>
      <c r="G3000" s="5" t="s">
        <v>36</v>
      </c>
      <c r="H3000" s="5" t="s">
        <v>35</v>
      </c>
      <c r="I3000" s="6">
        <v>1.0</v>
      </c>
      <c r="J3000" s="6" t="s">
        <v>37</v>
      </c>
      <c r="K3000" s="6">
        <v>10.0</v>
      </c>
      <c r="L3000" s="5"/>
      <c r="M3000" s="5"/>
      <c r="N3000" s="6" t="s">
        <v>40</v>
      </c>
      <c r="O3000" s="5" t="s">
        <v>5363</v>
      </c>
      <c r="P3000" s="6" t="s">
        <v>42</v>
      </c>
      <c r="Q3000" s="5" t="s">
        <v>1237</v>
      </c>
      <c r="R3000" s="5" t="s">
        <v>15773</v>
      </c>
      <c r="S3000" s="6" t="s">
        <v>86</v>
      </c>
      <c r="T3000" s="6">
        <v>6540.0</v>
      </c>
    </row>
    <row r="3001" ht="56.25" customHeight="1">
      <c r="A3001" s="5" t="s">
        <v>15747</v>
      </c>
      <c r="B3001" s="6" t="str">
        <f>image("https://storage.googleapis.com/acdb/photos/BromideNpcNmlHrs01_Remake_7_0.png")</f>
        <v/>
      </c>
      <c r="C3001" s="5" t="s">
        <v>151</v>
      </c>
      <c r="D3001" s="5" t="s">
        <v>1327</v>
      </c>
      <c r="E3001" s="5" t="s">
        <v>34</v>
      </c>
      <c r="F3001" s="5" t="s">
        <v>34</v>
      </c>
      <c r="G3001" s="5" t="s">
        <v>36</v>
      </c>
      <c r="H3001" s="5" t="s">
        <v>35</v>
      </c>
      <c r="I3001" s="6">
        <v>1.0</v>
      </c>
      <c r="J3001" s="6" t="s">
        <v>37</v>
      </c>
      <c r="K3001" s="6">
        <v>10.0</v>
      </c>
      <c r="L3001" s="5"/>
      <c r="M3001" s="5"/>
      <c r="N3001" s="6" t="s">
        <v>40</v>
      </c>
      <c r="O3001" s="5" t="s">
        <v>5363</v>
      </c>
      <c r="P3001" s="6" t="s">
        <v>42</v>
      </c>
      <c r="Q3001" s="5" t="s">
        <v>1237</v>
      </c>
      <c r="R3001" s="5" t="s">
        <v>15776</v>
      </c>
      <c r="S3001" s="6" t="s">
        <v>208</v>
      </c>
      <c r="T3001" s="6">
        <v>6540.0</v>
      </c>
    </row>
    <row r="3002" ht="56.25" customHeight="1">
      <c r="A3002" s="5" t="s">
        <v>15778</v>
      </c>
      <c r="B3002" s="6" t="str">
        <f>image("https://storage.googleapis.com/acdb/photos/BromideNpcNmlGor07_Remake_0_0.png")</f>
        <v/>
      </c>
      <c r="C3002" s="5" t="s">
        <v>366</v>
      </c>
      <c r="D3002" s="5" t="s">
        <v>1327</v>
      </c>
      <c r="E3002" s="5" t="s">
        <v>34</v>
      </c>
      <c r="F3002" s="5" t="s">
        <v>34</v>
      </c>
      <c r="G3002" s="5" t="s">
        <v>36</v>
      </c>
      <c r="H3002" s="5" t="s">
        <v>35</v>
      </c>
      <c r="I3002" s="6">
        <v>1.0</v>
      </c>
      <c r="J3002" s="6" t="s">
        <v>37</v>
      </c>
      <c r="K3002" s="6">
        <v>10.0</v>
      </c>
      <c r="L3002" s="5"/>
      <c r="M3002" s="5"/>
      <c r="N3002" s="6" t="s">
        <v>40</v>
      </c>
      <c r="O3002" s="5" t="s">
        <v>5363</v>
      </c>
      <c r="P3002" s="6" t="s">
        <v>42</v>
      </c>
      <c r="Q3002" s="5" t="s">
        <v>1237</v>
      </c>
      <c r="R3002" s="5" t="s">
        <v>15782</v>
      </c>
      <c r="S3002" s="6" t="s">
        <v>50</v>
      </c>
      <c r="T3002" s="6">
        <v>6517.0</v>
      </c>
    </row>
    <row r="3003" ht="56.25" customHeight="1">
      <c r="A3003" s="5" t="s">
        <v>15778</v>
      </c>
      <c r="B3003" s="6" t="str">
        <f>image("https://storage.googleapis.com/acdb/photos/BromideNpcNmlGor07_Remake_1_0.png")</f>
        <v/>
      </c>
      <c r="C3003" s="5" t="s">
        <v>1132</v>
      </c>
      <c r="D3003" s="5" t="s">
        <v>1327</v>
      </c>
      <c r="E3003" s="5" t="s">
        <v>34</v>
      </c>
      <c r="F3003" s="5" t="s">
        <v>34</v>
      </c>
      <c r="G3003" s="5" t="s">
        <v>36</v>
      </c>
      <c r="H3003" s="5" t="s">
        <v>35</v>
      </c>
      <c r="I3003" s="6">
        <v>1.0</v>
      </c>
      <c r="J3003" s="6" t="s">
        <v>37</v>
      </c>
      <c r="K3003" s="6">
        <v>10.0</v>
      </c>
      <c r="L3003" s="5"/>
      <c r="M3003" s="5"/>
      <c r="N3003" s="6" t="s">
        <v>40</v>
      </c>
      <c r="O3003" s="5" t="s">
        <v>5363</v>
      </c>
      <c r="P3003" s="6" t="s">
        <v>42</v>
      </c>
      <c r="Q3003" s="5" t="s">
        <v>1237</v>
      </c>
      <c r="R3003" s="5" t="s">
        <v>15786</v>
      </c>
      <c r="S3003" s="6" t="s">
        <v>56</v>
      </c>
      <c r="T3003" s="6">
        <v>6517.0</v>
      </c>
    </row>
    <row r="3004" ht="56.25" customHeight="1">
      <c r="A3004" s="5" t="s">
        <v>15778</v>
      </c>
      <c r="B3004" s="6" t="str">
        <f>image("https://storage.googleapis.com/acdb/photos/BromideNpcNmlGor07_Remake_2_0.png")</f>
        <v/>
      </c>
      <c r="C3004" s="5" t="s">
        <v>688</v>
      </c>
      <c r="D3004" s="5" t="s">
        <v>1327</v>
      </c>
      <c r="E3004" s="5" t="s">
        <v>34</v>
      </c>
      <c r="F3004" s="5" t="s">
        <v>34</v>
      </c>
      <c r="G3004" s="5" t="s">
        <v>36</v>
      </c>
      <c r="H3004" s="5" t="s">
        <v>35</v>
      </c>
      <c r="I3004" s="6">
        <v>1.0</v>
      </c>
      <c r="J3004" s="6" t="s">
        <v>37</v>
      </c>
      <c r="K3004" s="6">
        <v>10.0</v>
      </c>
      <c r="L3004" s="5"/>
      <c r="M3004" s="5"/>
      <c r="N3004" s="6" t="s">
        <v>40</v>
      </c>
      <c r="O3004" s="5" t="s">
        <v>5363</v>
      </c>
      <c r="P3004" s="6" t="s">
        <v>42</v>
      </c>
      <c r="Q3004" s="5" t="s">
        <v>1237</v>
      </c>
      <c r="R3004" s="5" t="s">
        <v>15790</v>
      </c>
      <c r="S3004" s="6" t="s">
        <v>67</v>
      </c>
      <c r="T3004" s="6">
        <v>6517.0</v>
      </c>
    </row>
    <row r="3005" ht="56.25" customHeight="1">
      <c r="A3005" s="5" t="s">
        <v>15778</v>
      </c>
      <c r="B3005" s="6" t="str">
        <f>image("https://storage.googleapis.com/acdb/photos/BromideNpcNmlGor07_Remake_3_0.png")</f>
        <v/>
      </c>
      <c r="C3005" s="5" t="s">
        <v>57</v>
      </c>
      <c r="D3005" s="5" t="s">
        <v>1327</v>
      </c>
      <c r="E3005" s="5" t="s">
        <v>34</v>
      </c>
      <c r="F3005" s="5" t="s">
        <v>34</v>
      </c>
      <c r="G3005" s="5" t="s">
        <v>36</v>
      </c>
      <c r="H3005" s="5" t="s">
        <v>35</v>
      </c>
      <c r="I3005" s="6">
        <v>1.0</v>
      </c>
      <c r="J3005" s="6" t="s">
        <v>37</v>
      </c>
      <c r="K3005" s="6">
        <v>10.0</v>
      </c>
      <c r="L3005" s="5"/>
      <c r="M3005" s="5"/>
      <c r="N3005" s="6" t="s">
        <v>40</v>
      </c>
      <c r="O3005" s="5" t="s">
        <v>5363</v>
      </c>
      <c r="P3005" s="6" t="s">
        <v>42</v>
      </c>
      <c r="Q3005" s="5" t="s">
        <v>1237</v>
      </c>
      <c r="R3005" s="5" t="s">
        <v>15794</v>
      </c>
      <c r="S3005" s="6" t="s">
        <v>71</v>
      </c>
      <c r="T3005" s="6">
        <v>6517.0</v>
      </c>
    </row>
    <row r="3006" ht="56.25" customHeight="1">
      <c r="A3006" s="5" t="s">
        <v>15778</v>
      </c>
      <c r="B3006" s="6" t="str">
        <f>image("https://storage.googleapis.com/acdb/photos/BromideNpcNmlGor07_Remake_4_0.png")</f>
        <v/>
      </c>
      <c r="C3006" s="5" t="s">
        <v>1167</v>
      </c>
      <c r="D3006" s="5" t="s">
        <v>1327</v>
      </c>
      <c r="E3006" s="5" t="s">
        <v>34</v>
      </c>
      <c r="F3006" s="5" t="s">
        <v>34</v>
      </c>
      <c r="G3006" s="5" t="s">
        <v>36</v>
      </c>
      <c r="H3006" s="5" t="s">
        <v>35</v>
      </c>
      <c r="I3006" s="6">
        <v>1.0</v>
      </c>
      <c r="J3006" s="6" t="s">
        <v>37</v>
      </c>
      <c r="K3006" s="6">
        <v>10.0</v>
      </c>
      <c r="L3006" s="5"/>
      <c r="M3006" s="5"/>
      <c r="N3006" s="6" t="s">
        <v>40</v>
      </c>
      <c r="O3006" s="5" t="s">
        <v>5363</v>
      </c>
      <c r="P3006" s="6" t="s">
        <v>42</v>
      </c>
      <c r="Q3006" s="5" t="s">
        <v>1237</v>
      </c>
      <c r="R3006" s="5" t="s">
        <v>15799</v>
      </c>
      <c r="S3006" s="6" t="s">
        <v>75</v>
      </c>
      <c r="T3006" s="6">
        <v>6517.0</v>
      </c>
    </row>
    <row r="3007" ht="56.25" customHeight="1">
      <c r="A3007" s="5" t="s">
        <v>15778</v>
      </c>
      <c r="B3007" s="6" t="str">
        <f>image("https://storage.googleapis.com/acdb/photos/BromideNpcNmlGor07_Remake_5_0.png")</f>
        <v/>
      </c>
      <c r="C3007" s="5" t="s">
        <v>58</v>
      </c>
      <c r="D3007" s="5" t="s">
        <v>1327</v>
      </c>
      <c r="E3007" s="5" t="s">
        <v>34</v>
      </c>
      <c r="F3007" s="5" t="s">
        <v>34</v>
      </c>
      <c r="G3007" s="5" t="s">
        <v>36</v>
      </c>
      <c r="H3007" s="5" t="s">
        <v>35</v>
      </c>
      <c r="I3007" s="6">
        <v>1.0</v>
      </c>
      <c r="J3007" s="6" t="s">
        <v>37</v>
      </c>
      <c r="K3007" s="6">
        <v>10.0</v>
      </c>
      <c r="L3007" s="5"/>
      <c r="M3007" s="5"/>
      <c r="N3007" s="6" t="s">
        <v>40</v>
      </c>
      <c r="O3007" s="5" t="s">
        <v>5363</v>
      </c>
      <c r="P3007" s="6" t="s">
        <v>42</v>
      </c>
      <c r="Q3007" s="5" t="s">
        <v>1237</v>
      </c>
      <c r="R3007" s="5" t="s">
        <v>15802</v>
      </c>
      <c r="S3007" s="6" t="s">
        <v>79</v>
      </c>
      <c r="T3007" s="6">
        <v>6517.0</v>
      </c>
    </row>
    <row r="3008" ht="56.25" customHeight="1">
      <c r="A3008" s="5" t="s">
        <v>15778</v>
      </c>
      <c r="B3008" s="6" t="str">
        <f>image("https://storage.googleapis.com/acdb/photos/BromideNpcNmlGor07_Remake_6_0.png")</f>
        <v/>
      </c>
      <c r="C3008" s="5" t="s">
        <v>146</v>
      </c>
      <c r="D3008" s="5" t="s">
        <v>1327</v>
      </c>
      <c r="E3008" s="5" t="s">
        <v>34</v>
      </c>
      <c r="F3008" s="5" t="s">
        <v>34</v>
      </c>
      <c r="G3008" s="5" t="s">
        <v>36</v>
      </c>
      <c r="H3008" s="5" t="s">
        <v>35</v>
      </c>
      <c r="I3008" s="6">
        <v>1.0</v>
      </c>
      <c r="J3008" s="6" t="s">
        <v>37</v>
      </c>
      <c r="K3008" s="6">
        <v>10.0</v>
      </c>
      <c r="L3008" s="5"/>
      <c r="M3008" s="5"/>
      <c r="N3008" s="6" t="s">
        <v>40</v>
      </c>
      <c r="O3008" s="5" t="s">
        <v>5363</v>
      </c>
      <c r="P3008" s="6" t="s">
        <v>42</v>
      </c>
      <c r="Q3008" s="5" t="s">
        <v>1237</v>
      </c>
      <c r="R3008" s="5" t="s">
        <v>15807</v>
      </c>
      <c r="S3008" s="6" t="s">
        <v>86</v>
      </c>
      <c r="T3008" s="6">
        <v>6517.0</v>
      </c>
    </row>
    <row r="3009" ht="56.25" customHeight="1">
      <c r="A3009" s="5" t="s">
        <v>15778</v>
      </c>
      <c r="B3009" s="6" t="str">
        <f>image("https://storage.googleapis.com/acdb/photos/BromideNpcNmlGor07_Remake_7_0.png")</f>
        <v/>
      </c>
      <c r="C3009" s="5" t="s">
        <v>151</v>
      </c>
      <c r="D3009" s="5" t="s">
        <v>1327</v>
      </c>
      <c r="E3009" s="5" t="s">
        <v>34</v>
      </c>
      <c r="F3009" s="5" t="s">
        <v>34</v>
      </c>
      <c r="G3009" s="5" t="s">
        <v>36</v>
      </c>
      <c r="H3009" s="5" t="s">
        <v>35</v>
      </c>
      <c r="I3009" s="6">
        <v>1.0</v>
      </c>
      <c r="J3009" s="6" t="s">
        <v>37</v>
      </c>
      <c r="K3009" s="6">
        <v>10.0</v>
      </c>
      <c r="L3009" s="5"/>
      <c r="M3009" s="5"/>
      <c r="N3009" s="6" t="s">
        <v>40</v>
      </c>
      <c r="O3009" s="5" t="s">
        <v>5363</v>
      </c>
      <c r="P3009" s="6" t="s">
        <v>42</v>
      </c>
      <c r="Q3009" s="5" t="s">
        <v>1237</v>
      </c>
      <c r="R3009" s="5" t="s">
        <v>15811</v>
      </c>
      <c r="S3009" s="6" t="s">
        <v>208</v>
      </c>
      <c r="T3009" s="6">
        <v>6517.0</v>
      </c>
    </row>
    <row r="3010" ht="56.25" customHeight="1">
      <c r="A3010" s="5" t="s">
        <v>15812</v>
      </c>
      <c r="B3010" s="6" t="str">
        <f>image("https://storage.googleapis.com/acdb/photos/BromideNpcNmlWol08_Remake_0_0.png")</f>
        <v/>
      </c>
      <c r="C3010" s="5" t="s">
        <v>366</v>
      </c>
      <c r="D3010" s="5" t="s">
        <v>1327</v>
      </c>
      <c r="E3010" s="5" t="s">
        <v>34</v>
      </c>
      <c r="F3010" s="5" t="s">
        <v>34</v>
      </c>
      <c r="G3010" s="5" t="s">
        <v>36</v>
      </c>
      <c r="H3010" s="5" t="s">
        <v>35</v>
      </c>
      <c r="I3010" s="6">
        <v>1.0</v>
      </c>
      <c r="J3010" s="6" t="s">
        <v>37</v>
      </c>
      <c r="K3010" s="6">
        <v>10.0</v>
      </c>
      <c r="L3010" s="5"/>
      <c r="M3010" s="5"/>
      <c r="N3010" s="6" t="s">
        <v>40</v>
      </c>
      <c r="O3010" s="5" t="s">
        <v>5363</v>
      </c>
      <c r="P3010" s="6" t="s">
        <v>42</v>
      </c>
      <c r="Q3010" s="5" t="s">
        <v>1237</v>
      </c>
      <c r="R3010" s="5" t="s">
        <v>15816</v>
      </c>
      <c r="S3010" s="6" t="s">
        <v>50</v>
      </c>
      <c r="T3010" s="6">
        <v>6739.0</v>
      </c>
    </row>
    <row r="3011" ht="56.25" customHeight="1">
      <c r="A3011" s="5" t="s">
        <v>15812</v>
      </c>
      <c r="B3011" s="6" t="str">
        <f>image("https://storage.googleapis.com/acdb/photos/BromideNpcNmlWol08_Remake_1_0.png")</f>
        <v/>
      </c>
      <c r="C3011" s="5" t="s">
        <v>1132</v>
      </c>
      <c r="D3011" s="5" t="s">
        <v>1327</v>
      </c>
      <c r="E3011" s="5" t="s">
        <v>34</v>
      </c>
      <c r="F3011" s="5" t="s">
        <v>34</v>
      </c>
      <c r="G3011" s="5" t="s">
        <v>36</v>
      </c>
      <c r="H3011" s="5" t="s">
        <v>35</v>
      </c>
      <c r="I3011" s="6">
        <v>1.0</v>
      </c>
      <c r="J3011" s="6" t="s">
        <v>37</v>
      </c>
      <c r="K3011" s="6">
        <v>10.0</v>
      </c>
      <c r="L3011" s="5"/>
      <c r="M3011" s="5"/>
      <c r="N3011" s="6" t="s">
        <v>40</v>
      </c>
      <c r="O3011" s="5" t="s">
        <v>5363</v>
      </c>
      <c r="P3011" s="6" t="s">
        <v>42</v>
      </c>
      <c r="Q3011" s="5" t="s">
        <v>1237</v>
      </c>
      <c r="R3011" s="5" t="s">
        <v>15819</v>
      </c>
      <c r="S3011" s="6" t="s">
        <v>56</v>
      </c>
      <c r="T3011" s="6">
        <v>6739.0</v>
      </c>
    </row>
    <row r="3012" ht="56.25" customHeight="1">
      <c r="A3012" s="5" t="s">
        <v>15812</v>
      </c>
      <c r="B3012" s="6" t="str">
        <f>image("https://storage.googleapis.com/acdb/photos/BromideNpcNmlWol08_Remake_2_0.png")</f>
        <v/>
      </c>
      <c r="C3012" s="5" t="s">
        <v>688</v>
      </c>
      <c r="D3012" s="5" t="s">
        <v>1327</v>
      </c>
      <c r="E3012" s="5" t="s">
        <v>34</v>
      </c>
      <c r="F3012" s="5" t="s">
        <v>34</v>
      </c>
      <c r="G3012" s="5" t="s">
        <v>36</v>
      </c>
      <c r="H3012" s="5" t="s">
        <v>35</v>
      </c>
      <c r="I3012" s="6">
        <v>1.0</v>
      </c>
      <c r="J3012" s="6" t="s">
        <v>37</v>
      </c>
      <c r="K3012" s="6">
        <v>10.0</v>
      </c>
      <c r="L3012" s="5"/>
      <c r="M3012" s="5"/>
      <c r="N3012" s="6" t="s">
        <v>40</v>
      </c>
      <c r="O3012" s="5" t="s">
        <v>5363</v>
      </c>
      <c r="P3012" s="6" t="s">
        <v>42</v>
      </c>
      <c r="Q3012" s="5" t="s">
        <v>1237</v>
      </c>
      <c r="R3012" s="5" t="s">
        <v>15823</v>
      </c>
      <c r="S3012" s="6" t="s">
        <v>67</v>
      </c>
      <c r="T3012" s="6">
        <v>6739.0</v>
      </c>
    </row>
    <row r="3013" ht="56.25" customHeight="1">
      <c r="A3013" s="5" t="s">
        <v>15812</v>
      </c>
      <c r="B3013" s="6" t="str">
        <f>image("https://storage.googleapis.com/acdb/photos/BromideNpcNmlWol08_Remake_3_0.png")</f>
        <v/>
      </c>
      <c r="C3013" s="5" t="s">
        <v>57</v>
      </c>
      <c r="D3013" s="5" t="s">
        <v>1327</v>
      </c>
      <c r="E3013" s="5" t="s">
        <v>34</v>
      </c>
      <c r="F3013" s="5" t="s">
        <v>34</v>
      </c>
      <c r="G3013" s="5" t="s">
        <v>36</v>
      </c>
      <c r="H3013" s="5" t="s">
        <v>35</v>
      </c>
      <c r="I3013" s="6">
        <v>1.0</v>
      </c>
      <c r="J3013" s="6" t="s">
        <v>37</v>
      </c>
      <c r="K3013" s="6">
        <v>10.0</v>
      </c>
      <c r="L3013" s="5"/>
      <c r="M3013" s="5"/>
      <c r="N3013" s="6" t="s">
        <v>40</v>
      </c>
      <c r="O3013" s="5" t="s">
        <v>5363</v>
      </c>
      <c r="P3013" s="6" t="s">
        <v>42</v>
      </c>
      <c r="Q3013" s="5" t="s">
        <v>1237</v>
      </c>
      <c r="R3013" s="5" t="s">
        <v>15828</v>
      </c>
      <c r="S3013" s="6" t="s">
        <v>71</v>
      </c>
      <c r="T3013" s="6">
        <v>6739.0</v>
      </c>
    </row>
    <row r="3014" ht="56.25" customHeight="1">
      <c r="A3014" s="5" t="s">
        <v>15812</v>
      </c>
      <c r="B3014" s="6" t="str">
        <f>image("https://storage.googleapis.com/acdb/photos/BromideNpcNmlWol08_Remake_4_0.png")</f>
        <v/>
      </c>
      <c r="C3014" s="5" t="s">
        <v>1167</v>
      </c>
      <c r="D3014" s="5" t="s">
        <v>1327</v>
      </c>
      <c r="E3014" s="5" t="s">
        <v>34</v>
      </c>
      <c r="F3014" s="5" t="s">
        <v>34</v>
      </c>
      <c r="G3014" s="5" t="s">
        <v>36</v>
      </c>
      <c r="H3014" s="5" t="s">
        <v>35</v>
      </c>
      <c r="I3014" s="6">
        <v>1.0</v>
      </c>
      <c r="J3014" s="6" t="s">
        <v>37</v>
      </c>
      <c r="K3014" s="6">
        <v>10.0</v>
      </c>
      <c r="L3014" s="5"/>
      <c r="M3014" s="5"/>
      <c r="N3014" s="6" t="s">
        <v>40</v>
      </c>
      <c r="O3014" s="5" t="s">
        <v>5363</v>
      </c>
      <c r="P3014" s="6" t="s">
        <v>42</v>
      </c>
      <c r="Q3014" s="5" t="s">
        <v>1237</v>
      </c>
      <c r="R3014" s="5" t="s">
        <v>15833</v>
      </c>
      <c r="S3014" s="6" t="s">
        <v>75</v>
      </c>
      <c r="T3014" s="6">
        <v>6739.0</v>
      </c>
    </row>
    <row r="3015" ht="56.25" customHeight="1">
      <c r="A3015" s="5" t="s">
        <v>15812</v>
      </c>
      <c r="B3015" s="6" t="str">
        <f>image("https://storage.googleapis.com/acdb/photos/BromideNpcNmlWol08_Remake_5_0.png")</f>
        <v/>
      </c>
      <c r="C3015" s="5" t="s">
        <v>58</v>
      </c>
      <c r="D3015" s="5" t="s">
        <v>1327</v>
      </c>
      <c r="E3015" s="5" t="s">
        <v>34</v>
      </c>
      <c r="F3015" s="5" t="s">
        <v>34</v>
      </c>
      <c r="G3015" s="5" t="s">
        <v>36</v>
      </c>
      <c r="H3015" s="5" t="s">
        <v>35</v>
      </c>
      <c r="I3015" s="6">
        <v>1.0</v>
      </c>
      <c r="J3015" s="6" t="s">
        <v>37</v>
      </c>
      <c r="K3015" s="6">
        <v>10.0</v>
      </c>
      <c r="L3015" s="5"/>
      <c r="M3015" s="5"/>
      <c r="N3015" s="6" t="s">
        <v>40</v>
      </c>
      <c r="O3015" s="5" t="s">
        <v>5363</v>
      </c>
      <c r="P3015" s="6" t="s">
        <v>42</v>
      </c>
      <c r="Q3015" s="5" t="s">
        <v>1237</v>
      </c>
      <c r="R3015" s="5" t="s">
        <v>15837</v>
      </c>
      <c r="S3015" s="6" t="s">
        <v>79</v>
      </c>
      <c r="T3015" s="6">
        <v>6739.0</v>
      </c>
    </row>
    <row r="3016" ht="56.25" customHeight="1">
      <c r="A3016" s="5" t="s">
        <v>15812</v>
      </c>
      <c r="B3016" s="6" t="str">
        <f>image("https://storage.googleapis.com/acdb/photos/BromideNpcNmlWol08_Remake_6_0.png")</f>
        <v/>
      </c>
      <c r="C3016" s="5" t="s">
        <v>146</v>
      </c>
      <c r="D3016" s="5" t="s">
        <v>1327</v>
      </c>
      <c r="E3016" s="5" t="s">
        <v>34</v>
      </c>
      <c r="F3016" s="5" t="s">
        <v>34</v>
      </c>
      <c r="G3016" s="5" t="s">
        <v>36</v>
      </c>
      <c r="H3016" s="5" t="s">
        <v>35</v>
      </c>
      <c r="I3016" s="6">
        <v>1.0</v>
      </c>
      <c r="J3016" s="6" t="s">
        <v>37</v>
      </c>
      <c r="K3016" s="6">
        <v>10.0</v>
      </c>
      <c r="L3016" s="5"/>
      <c r="M3016" s="5"/>
      <c r="N3016" s="6" t="s">
        <v>40</v>
      </c>
      <c r="O3016" s="5" t="s">
        <v>5363</v>
      </c>
      <c r="P3016" s="6" t="s">
        <v>42</v>
      </c>
      <c r="Q3016" s="5" t="s">
        <v>1237</v>
      </c>
      <c r="R3016" s="5" t="s">
        <v>15840</v>
      </c>
      <c r="S3016" s="6" t="s">
        <v>86</v>
      </c>
      <c r="T3016" s="6">
        <v>6739.0</v>
      </c>
    </row>
    <row r="3017" ht="56.25" customHeight="1">
      <c r="A3017" s="5" t="s">
        <v>15812</v>
      </c>
      <c r="B3017" s="6" t="str">
        <f>image("https://storage.googleapis.com/acdb/photos/BromideNpcNmlWol08_Remake_7_0.png")</f>
        <v/>
      </c>
      <c r="C3017" s="5" t="s">
        <v>151</v>
      </c>
      <c r="D3017" s="5" t="s">
        <v>1327</v>
      </c>
      <c r="E3017" s="5" t="s">
        <v>34</v>
      </c>
      <c r="F3017" s="5" t="s">
        <v>34</v>
      </c>
      <c r="G3017" s="5" t="s">
        <v>36</v>
      </c>
      <c r="H3017" s="5" t="s">
        <v>35</v>
      </c>
      <c r="I3017" s="6">
        <v>1.0</v>
      </c>
      <c r="J3017" s="6" t="s">
        <v>37</v>
      </c>
      <c r="K3017" s="6">
        <v>10.0</v>
      </c>
      <c r="L3017" s="5"/>
      <c r="M3017" s="5"/>
      <c r="N3017" s="6" t="s">
        <v>40</v>
      </c>
      <c r="O3017" s="5" t="s">
        <v>5363</v>
      </c>
      <c r="P3017" s="6" t="s">
        <v>42</v>
      </c>
      <c r="Q3017" s="5" t="s">
        <v>1237</v>
      </c>
      <c r="R3017" s="5" t="s">
        <v>15843</v>
      </c>
      <c r="S3017" s="6" t="s">
        <v>208</v>
      </c>
      <c r="T3017" s="6">
        <v>6739.0</v>
      </c>
    </row>
    <row r="3018" ht="56.25" customHeight="1">
      <c r="A3018" s="5" t="s">
        <v>15844</v>
      </c>
      <c r="B3018" s="6" t="str">
        <f>image("https://storage.googleapis.com/acdb/photos/BromideNpcNmlCbr06_Remake_0_0.png")</f>
        <v/>
      </c>
      <c r="C3018" s="5" t="s">
        <v>366</v>
      </c>
      <c r="D3018" s="5" t="s">
        <v>1327</v>
      </c>
      <c r="E3018" s="5" t="s">
        <v>34</v>
      </c>
      <c r="F3018" s="5" t="s">
        <v>34</v>
      </c>
      <c r="G3018" s="5" t="s">
        <v>36</v>
      </c>
      <c r="H3018" s="5" t="s">
        <v>35</v>
      </c>
      <c r="I3018" s="6">
        <v>1.0</v>
      </c>
      <c r="J3018" s="6" t="s">
        <v>37</v>
      </c>
      <c r="K3018" s="6">
        <v>10.0</v>
      </c>
      <c r="L3018" s="5"/>
      <c r="M3018" s="5"/>
      <c r="N3018" s="6" t="s">
        <v>40</v>
      </c>
      <c r="O3018" s="5" t="s">
        <v>5363</v>
      </c>
      <c r="P3018" s="6" t="s">
        <v>42</v>
      </c>
      <c r="Q3018" s="5" t="s">
        <v>1237</v>
      </c>
      <c r="R3018" s="5" t="s">
        <v>15846</v>
      </c>
      <c r="S3018" s="6" t="s">
        <v>50</v>
      </c>
      <c r="T3018" s="6">
        <v>6775.0</v>
      </c>
    </row>
    <row r="3019" ht="56.25" customHeight="1">
      <c r="A3019" s="5" t="s">
        <v>15844</v>
      </c>
      <c r="B3019" s="6" t="str">
        <f>image("https://storage.googleapis.com/acdb/photos/BromideNpcNmlCbr06_Remake_1_0.png")</f>
        <v/>
      </c>
      <c r="C3019" s="5" t="s">
        <v>1132</v>
      </c>
      <c r="D3019" s="5" t="s">
        <v>1327</v>
      </c>
      <c r="E3019" s="5" t="s">
        <v>34</v>
      </c>
      <c r="F3019" s="5" t="s">
        <v>34</v>
      </c>
      <c r="G3019" s="5" t="s">
        <v>36</v>
      </c>
      <c r="H3019" s="5" t="s">
        <v>35</v>
      </c>
      <c r="I3019" s="6">
        <v>1.0</v>
      </c>
      <c r="J3019" s="6" t="s">
        <v>37</v>
      </c>
      <c r="K3019" s="6">
        <v>10.0</v>
      </c>
      <c r="L3019" s="5"/>
      <c r="M3019" s="5"/>
      <c r="N3019" s="6" t="s">
        <v>40</v>
      </c>
      <c r="O3019" s="5" t="s">
        <v>5363</v>
      </c>
      <c r="P3019" s="6" t="s">
        <v>42</v>
      </c>
      <c r="Q3019" s="5" t="s">
        <v>1237</v>
      </c>
      <c r="R3019" s="5" t="s">
        <v>15849</v>
      </c>
      <c r="S3019" s="6" t="s">
        <v>56</v>
      </c>
      <c r="T3019" s="6">
        <v>6775.0</v>
      </c>
    </row>
    <row r="3020" ht="56.25" customHeight="1">
      <c r="A3020" s="5" t="s">
        <v>15844</v>
      </c>
      <c r="B3020" s="6" t="str">
        <f>image("https://storage.googleapis.com/acdb/photos/BromideNpcNmlCbr06_Remake_2_0.png")</f>
        <v/>
      </c>
      <c r="C3020" s="5" t="s">
        <v>688</v>
      </c>
      <c r="D3020" s="5" t="s">
        <v>1327</v>
      </c>
      <c r="E3020" s="5" t="s">
        <v>34</v>
      </c>
      <c r="F3020" s="5" t="s">
        <v>34</v>
      </c>
      <c r="G3020" s="5" t="s">
        <v>36</v>
      </c>
      <c r="H3020" s="5" t="s">
        <v>35</v>
      </c>
      <c r="I3020" s="6">
        <v>1.0</v>
      </c>
      <c r="J3020" s="6" t="s">
        <v>37</v>
      </c>
      <c r="K3020" s="6">
        <v>10.0</v>
      </c>
      <c r="L3020" s="5"/>
      <c r="M3020" s="5"/>
      <c r="N3020" s="6" t="s">
        <v>40</v>
      </c>
      <c r="O3020" s="5" t="s">
        <v>5363</v>
      </c>
      <c r="P3020" s="6" t="s">
        <v>42</v>
      </c>
      <c r="Q3020" s="5" t="s">
        <v>1237</v>
      </c>
      <c r="R3020" s="5" t="s">
        <v>15855</v>
      </c>
      <c r="S3020" s="6" t="s">
        <v>67</v>
      </c>
      <c r="T3020" s="6">
        <v>6775.0</v>
      </c>
    </row>
    <row r="3021" ht="56.25" customHeight="1">
      <c r="A3021" s="5" t="s">
        <v>15844</v>
      </c>
      <c r="B3021" s="6" t="str">
        <f>image("https://storage.googleapis.com/acdb/photos/BromideNpcNmlCbr06_Remake_3_0.png")</f>
        <v/>
      </c>
      <c r="C3021" s="5" t="s">
        <v>57</v>
      </c>
      <c r="D3021" s="5" t="s">
        <v>1327</v>
      </c>
      <c r="E3021" s="5" t="s">
        <v>34</v>
      </c>
      <c r="F3021" s="5" t="s">
        <v>34</v>
      </c>
      <c r="G3021" s="5" t="s">
        <v>36</v>
      </c>
      <c r="H3021" s="5" t="s">
        <v>35</v>
      </c>
      <c r="I3021" s="6">
        <v>1.0</v>
      </c>
      <c r="J3021" s="6" t="s">
        <v>37</v>
      </c>
      <c r="K3021" s="6">
        <v>10.0</v>
      </c>
      <c r="L3021" s="5"/>
      <c r="M3021" s="5"/>
      <c r="N3021" s="6" t="s">
        <v>40</v>
      </c>
      <c r="O3021" s="5" t="s">
        <v>5363</v>
      </c>
      <c r="P3021" s="6" t="s">
        <v>42</v>
      </c>
      <c r="Q3021" s="5" t="s">
        <v>1237</v>
      </c>
      <c r="R3021" s="5" t="s">
        <v>15859</v>
      </c>
      <c r="S3021" s="6" t="s">
        <v>71</v>
      </c>
      <c r="T3021" s="6">
        <v>6775.0</v>
      </c>
    </row>
    <row r="3022" ht="56.25" customHeight="1">
      <c r="A3022" s="5" t="s">
        <v>15844</v>
      </c>
      <c r="B3022" s="6" t="str">
        <f>image("https://storage.googleapis.com/acdb/photos/BromideNpcNmlCbr06_Remake_4_0.png")</f>
        <v/>
      </c>
      <c r="C3022" s="5" t="s">
        <v>1167</v>
      </c>
      <c r="D3022" s="5" t="s">
        <v>1327</v>
      </c>
      <c r="E3022" s="5" t="s">
        <v>34</v>
      </c>
      <c r="F3022" s="5" t="s">
        <v>34</v>
      </c>
      <c r="G3022" s="5" t="s">
        <v>36</v>
      </c>
      <c r="H3022" s="5" t="s">
        <v>35</v>
      </c>
      <c r="I3022" s="6">
        <v>1.0</v>
      </c>
      <c r="J3022" s="6" t="s">
        <v>37</v>
      </c>
      <c r="K3022" s="6">
        <v>10.0</v>
      </c>
      <c r="L3022" s="5"/>
      <c r="M3022" s="5"/>
      <c r="N3022" s="6" t="s">
        <v>40</v>
      </c>
      <c r="O3022" s="5" t="s">
        <v>5363</v>
      </c>
      <c r="P3022" s="6" t="s">
        <v>42</v>
      </c>
      <c r="Q3022" s="5" t="s">
        <v>1237</v>
      </c>
      <c r="R3022" s="5" t="s">
        <v>15863</v>
      </c>
      <c r="S3022" s="6" t="s">
        <v>75</v>
      </c>
      <c r="T3022" s="6">
        <v>6775.0</v>
      </c>
    </row>
    <row r="3023" ht="56.25" customHeight="1">
      <c r="A3023" s="5" t="s">
        <v>15844</v>
      </c>
      <c r="B3023" s="6" t="str">
        <f>image("https://storage.googleapis.com/acdb/photos/BromideNpcNmlCbr06_Remake_5_0.png")</f>
        <v/>
      </c>
      <c r="C3023" s="5" t="s">
        <v>58</v>
      </c>
      <c r="D3023" s="5" t="s">
        <v>1327</v>
      </c>
      <c r="E3023" s="5" t="s">
        <v>34</v>
      </c>
      <c r="F3023" s="5" t="s">
        <v>34</v>
      </c>
      <c r="G3023" s="5" t="s">
        <v>36</v>
      </c>
      <c r="H3023" s="5" t="s">
        <v>35</v>
      </c>
      <c r="I3023" s="6">
        <v>1.0</v>
      </c>
      <c r="J3023" s="6" t="s">
        <v>37</v>
      </c>
      <c r="K3023" s="6">
        <v>10.0</v>
      </c>
      <c r="L3023" s="5"/>
      <c r="M3023" s="5"/>
      <c r="N3023" s="6" t="s">
        <v>40</v>
      </c>
      <c r="O3023" s="5" t="s">
        <v>5363</v>
      </c>
      <c r="P3023" s="6" t="s">
        <v>42</v>
      </c>
      <c r="Q3023" s="5" t="s">
        <v>1237</v>
      </c>
      <c r="R3023" s="5" t="s">
        <v>15867</v>
      </c>
      <c r="S3023" s="6" t="s">
        <v>79</v>
      </c>
      <c r="T3023" s="6">
        <v>6775.0</v>
      </c>
    </row>
    <row r="3024" ht="56.25" customHeight="1">
      <c r="A3024" s="5" t="s">
        <v>15844</v>
      </c>
      <c r="B3024" s="6" t="str">
        <f>image("https://storage.googleapis.com/acdb/photos/BromideNpcNmlCbr06_Remake_6_0.png")</f>
        <v/>
      </c>
      <c r="C3024" s="5" t="s">
        <v>146</v>
      </c>
      <c r="D3024" s="5" t="s">
        <v>1327</v>
      </c>
      <c r="E3024" s="5" t="s">
        <v>34</v>
      </c>
      <c r="F3024" s="5" t="s">
        <v>34</v>
      </c>
      <c r="G3024" s="5" t="s">
        <v>36</v>
      </c>
      <c r="H3024" s="5" t="s">
        <v>35</v>
      </c>
      <c r="I3024" s="6">
        <v>1.0</v>
      </c>
      <c r="J3024" s="6" t="s">
        <v>37</v>
      </c>
      <c r="K3024" s="6">
        <v>10.0</v>
      </c>
      <c r="L3024" s="5"/>
      <c r="M3024" s="5"/>
      <c r="N3024" s="6" t="s">
        <v>40</v>
      </c>
      <c r="O3024" s="5" t="s">
        <v>5363</v>
      </c>
      <c r="P3024" s="6" t="s">
        <v>42</v>
      </c>
      <c r="Q3024" s="5" t="s">
        <v>1237</v>
      </c>
      <c r="R3024" s="5" t="s">
        <v>15872</v>
      </c>
      <c r="S3024" s="6" t="s">
        <v>86</v>
      </c>
      <c r="T3024" s="6">
        <v>6775.0</v>
      </c>
    </row>
    <row r="3025" ht="56.25" customHeight="1">
      <c r="A3025" s="5" t="s">
        <v>15844</v>
      </c>
      <c r="B3025" s="6" t="str">
        <f>image("https://storage.googleapis.com/acdb/photos/BromideNpcNmlCbr06_Remake_7_0.png")</f>
        <v/>
      </c>
      <c r="C3025" s="5" t="s">
        <v>151</v>
      </c>
      <c r="D3025" s="5" t="s">
        <v>1327</v>
      </c>
      <c r="E3025" s="5" t="s">
        <v>34</v>
      </c>
      <c r="F3025" s="5" t="s">
        <v>34</v>
      </c>
      <c r="G3025" s="5" t="s">
        <v>36</v>
      </c>
      <c r="H3025" s="5" t="s">
        <v>35</v>
      </c>
      <c r="I3025" s="6">
        <v>1.0</v>
      </c>
      <c r="J3025" s="6" t="s">
        <v>37</v>
      </c>
      <c r="K3025" s="6">
        <v>10.0</v>
      </c>
      <c r="L3025" s="5"/>
      <c r="M3025" s="5"/>
      <c r="N3025" s="6" t="s">
        <v>40</v>
      </c>
      <c r="O3025" s="5" t="s">
        <v>5363</v>
      </c>
      <c r="P3025" s="6" t="s">
        <v>42</v>
      </c>
      <c r="Q3025" s="5" t="s">
        <v>1237</v>
      </c>
      <c r="R3025" s="5" t="s">
        <v>15875</v>
      </c>
      <c r="S3025" s="6" t="s">
        <v>208</v>
      </c>
      <c r="T3025" s="6">
        <v>6775.0</v>
      </c>
    </row>
    <row r="3026" ht="56.25" customHeight="1">
      <c r="A3026" s="5" t="s">
        <v>15876</v>
      </c>
      <c r="B3026" s="6" t="str">
        <f>image("https://storage.googleapis.com/acdb/photos/BromideNpcNmlPgn09_Remake_0_0.png")</f>
        <v/>
      </c>
      <c r="C3026" s="5" t="s">
        <v>366</v>
      </c>
      <c r="D3026" s="5" t="s">
        <v>1327</v>
      </c>
      <c r="E3026" s="5" t="s">
        <v>34</v>
      </c>
      <c r="F3026" s="5" t="s">
        <v>34</v>
      </c>
      <c r="G3026" s="5" t="s">
        <v>36</v>
      </c>
      <c r="H3026" s="5" t="s">
        <v>35</v>
      </c>
      <c r="I3026" s="6">
        <v>1.0</v>
      </c>
      <c r="J3026" s="6" t="s">
        <v>37</v>
      </c>
      <c r="K3026" s="6">
        <v>10.0</v>
      </c>
      <c r="L3026" s="5"/>
      <c r="M3026" s="5"/>
      <c r="N3026" s="6" t="s">
        <v>40</v>
      </c>
      <c r="O3026" s="5" t="s">
        <v>5363</v>
      </c>
      <c r="P3026" s="6" t="s">
        <v>42</v>
      </c>
      <c r="Q3026" s="5" t="s">
        <v>1237</v>
      </c>
      <c r="R3026" s="5" t="s">
        <v>15879</v>
      </c>
      <c r="S3026" s="6" t="s">
        <v>50</v>
      </c>
      <c r="T3026" s="6">
        <v>6638.0</v>
      </c>
    </row>
    <row r="3027" ht="56.25" customHeight="1">
      <c r="A3027" s="5" t="s">
        <v>15876</v>
      </c>
      <c r="B3027" s="6" t="str">
        <f>image("https://storage.googleapis.com/acdb/photos/BromideNpcNmlPgn09_Remake_1_0.png")</f>
        <v/>
      </c>
      <c r="C3027" s="5" t="s">
        <v>1132</v>
      </c>
      <c r="D3027" s="5" t="s">
        <v>1327</v>
      </c>
      <c r="E3027" s="5" t="s">
        <v>34</v>
      </c>
      <c r="F3027" s="5" t="s">
        <v>34</v>
      </c>
      <c r="G3027" s="5" t="s">
        <v>36</v>
      </c>
      <c r="H3027" s="5" t="s">
        <v>35</v>
      </c>
      <c r="I3027" s="6">
        <v>1.0</v>
      </c>
      <c r="J3027" s="6" t="s">
        <v>37</v>
      </c>
      <c r="K3027" s="6">
        <v>10.0</v>
      </c>
      <c r="L3027" s="5"/>
      <c r="M3027" s="5"/>
      <c r="N3027" s="6" t="s">
        <v>40</v>
      </c>
      <c r="O3027" s="5" t="s">
        <v>5363</v>
      </c>
      <c r="P3027" s="6" t="s">
        <v>42</v>
      </c>
      <c r="Q3027" s="5" t="s">
        <v>1237</v>
      </c>
      <c r="R3027" s="5" t="s">
        <v>15880</v>
      </c>
      <c r="S3027" s="6" t="s">
        <v>56</v>
      </c>
      <c r="T3027" s="6">
        <v>6638.0</v>
      </c>
    </row>
    <row r="3028" ht="56.25" customHeight="1">
      <c r="A3028" s="5" t="s">
        <v>15876</v>
      </c>
      <c r="B3028" s="6" t="str">
        <f>image("https://storage.googleapis.com/acdb/photos/BromideNpcNmlPgn09_Remake_2_0.png")</f>
        <v/>
      </c>
      <c r="C3028" s="5" t="s">
        <v>688</v>
      </c>
      <c r="D3028" s="5" t="s">
        <v>1327</v>
      </c>
      <c r="E3028" s="5" t="s">
        <v>34</v>
      </c>
      <c r="F3028" s="5" t="s">
        <v>34</v>
      </c>
      <c r="G3028" s="5" t="s">
        <v>36</v>
      </c>
      <c r="H3028" s="5" t="s">
        <v>35</v>
      </c>
      <c r="I3028" s="6">
        <v>1.0</v>
      </c>
      <c r="J3028" s="6" t="s">
        <v>37</v>
      </c>
      <c r="K3028" s="6">
        <v>10.0</v>
      </c>
      <c r="L3028" s="5"/>
      <c r="M3028" s="5"/>
      <c r="N3028" s="6" t="s">
        <v>40</v>
      </c>
      <c r="O3028" s="5" t="s">
        <v>5363</v>
      </c>
      <c r="P3028" s="6" t="s">
        <v>42</v>
      </c>
      <c r="Q3028" s="5" t="s">
        <v>1237</v>
      </c>
      <c r="R3028" s="5" t="s">
        <v>15883</v>
      </c>
      <c r="S3028" s="6" t="s">
        <v>67</v>
      </c>
      <c r="T3028" s="6">
        <v>6638.0</v>
      </c>
    </row>
    <row r="3029" ht="56.25" customHeight="1">
      <c r="A3029" s="5" t="s">
        <v>15876</v>
      </c>
      <c r="B3029" s="6" t="str">
        <f>image("https://storage.googleapis.com/acdb/photos/BromideNpcNmlPgn09_Remake_3_0.png")</f>
        <v/>
      </c>
      <c r="C3029" s="5" t="s">
        <v>57</v>
      </c>
      <c r="D3029" s="5" t="s">
        <v>1327</v>
      </c>
      <c r="E3029" s="5" t="s">
        <v>34</v>
      </c>
      <c r="F3029" s="5" t="s">
        <v>34</v>
      </c>
      <c r="G3029" s="5" t="s">
        <v>36</v>
      </c>
      <c r="H3029" s="5" t="s">
        <v>35</v>
      </c>
      <c r="I3029" s="6">
        <v>1.0</v>
      </c>
      <c r="J3029" s="6" t="s">
        <v>37</v>
      </c>
      <c r="K3029" s="6">
        <v>10.0</v>
      </c>
      <c r="L3029" s="5"/>
      <c r="M3029" s="5"/>
      <c r="N3029" s="6" t="s">
        <v>40</v>
      </c>
      <c r="O3029" s="5" t="s">
        <v>5363</v>
      </c>
      <c r="P3029" s="6" t="s">
        <v>42</v>
      </c>
      <c r="Q3029" s="5" t="s">
        <v>1237</v>
      </c>
      <c r="R3029" s="5" t="s">
        <v>15886</v>
      </c>
      <c r="S3029" s="6" t="s">
        <v>71</v>
      </c>
      <c r="T3029" s="6">
        <v>6638.0</v>
      </c>
    </row>
    <row r="3030" ht="56.25" customHeight="1">
      <c r="A3030" s="5" t="s">
        <v>15876</v>
      </c>
      <c r="B3030" s="6" t="str">
        <f>image("https://storage.googleapis.com/acdb/photos/BromideNpcNmlPgn09_Remake_4_0.png")</f>
        <v/>
      </c>
      <c r="C3030" s="5" t="s">
        <v>1167</v>
      </c>
      <c r="D3030" s="5" t="s">
        <v>1327</v>
      </c>
      <c r="E3030" s="5" t="s">
        <v>34</v>
      </c>
      <c r="F3030" s="5" t="s">
        <v>34</v>
      </c>
      <c r="G3030" s="5" t="s">
        <v>36</v>
      </c>
      <c r="H3030" s="5" t="s">
        <v>35</v>
      </c>
      <c r="I3030" s="6">
        <v>1.0</v>
      </c>
      <c r="J3030" s="6" t="s">
        <v>37</v>
      </c>
      <c r="K3030" s="6">
        <v>10.0</v>
      </c>
      <c r="L3030" s="5"/>
      <c r="M3030" s="5"/>
      <c r="N3030" s="6" t="s">
        <v>40</v>
      </c>
      <c r="O3030" s="5" t="s">
        <v>5363</v>
      </c>
      <c r="P3030" s="6" t="s">
        <v>42</v>
      </c>
      <c r="Q3030" s="5" t="s">
        <v>1237</v>
      </c>
      <c r="R3030" s="5" t="s">
        <v>15888</v>
      </c>
      <c r="S3030" s="6" t="s">
        <v>75</v>
      </c>
      <c r="T3030" s="6">
        <v>6638.0</v>
      </c>
    </row>
    <row r="3031" ht="56.25" customHeight="1">
      <c r="A3031" s="5" t="s">
        <v>15876</v>
      </c>
      <c r="B3031" s="6" t="str">
        <f>image("https://storage.googleapis.com/acdb/photos/BromideNpcNmlPgn09_Remake_5_0.png")</f>
        <v/>
      </c>
      <c r="C3031" s="5" t="s">
        <v>58</v>
      </c>
      <c r="D3031" s="5" t="s">
        <v>1327</v>
      </c>
      <c r="E3031" s="5" t="s">
        <v>34</v>
      </c>
      <c r="F3031" s="5" t="s">
        <v>34</v>
      </c>
      <c r="G3031" s="5" t="s">
        <v>36</v>
      </c>
      <c r="H3031" s="5" t="s">
        <v>35</v>
      </c>
      <c r="I3031" s="6">
        <v>1.0</v>
      </c>
      <c r="J3031" s="6" t="s">
        <v>37</v>
      </c>
      <c r="K3031" s="6">
        <v>10.0</v>
      </c>
      <c r="L3031" s="5"/>
      <c r="M3031" s="5"/>
      <c r="N3031" s="6" t="s">
        <v>40</v>
      </c>
      <c r="O3031" s="5" t="s">
        <v>5363</v>
      </c>
      <c r="P3031" s="6" t="s">
        <v>42</v>
      </c>
      <c r="Q3031" s="5" t="s">
        <v>1237</v>
      </c>
      <c r="R3031" s="5" t="s">
        <v>15890</v>
      </c>
      <c r="S3031" s="6" t="s">
        <v>79</v>
      </c>
      <c r="T3031" s="6">
        <v>6638.0</v>
      </c>
    </row>
    <row r="3032" ht="56.25" customHeight="1">
      <c r="A3032" s="5" t="s">
        <v>15876</v>
      </c>
      <c r="B3032" s="6" t="str">
        <f>image("https://storage.googleapis.com/acdb/photos/BromideNpcNmlPgn09_Remake_6_0.png")</f>
        <v/>
      </c>
      <c r="C3032" s="5" t="s">
        <v>146</v>
      </c>
      <c r="D3032" s="5" t="s">
        <v>1327</v>
      </c>
      <c r="E3032" s="5" t="s">
        <v>34</v>
      </c>
      <c r="F3032" s="5" t="s">
        <v>34</v>
      </c>
      <c r="G3032" s="5" t="s">
        <v>36</v>
      </c>
      <c r="H3032" s="5" t="s">
        <v>35</v>
      </c>
      <c r="I3032" s="6">
        <v>1.0</v>
      </c>
      <c r="J3032" s="6" t="s">
        <v>37</v>
      </c>
      <c r="K3032" s="6">
        <v>10.0</v>
      </c>
      <c r="L3032" s="5"/>
      <c r="M3032" s="5"/>
      <c r="N3032" s="6" t="s">
        <v>40</v>
      </c>
      <c r="O3032" s="5" t="s">
        <v>5363</v>
      </c>
      <c r="P3032" s="6" t="s">
        <v>42</v>
      </c>
      <c r="Q3032" s="5" t="s">
        <v>1237</v>
      </c>
      <c r="R3032" s="5" t="s">
        <v>15892</v>
      </c>
      <c r="S3032" s="6" t="s">
        <v>86</v>
      </c>
      <c r="T3032" s="6">
        <v>6638.0</v>
      </c>
    </row>
    <row r="3033" ht="56.25" customHeight="1">
      <c r="A3033" s="5" t="s">
        <v>15876</v>
      </c>
      <c r="B3033" s="6" t="str">
        <f>image("https://storage.googleapis.com/acdb/photos/BromideNpcNmlPgn09_Remake_7_0.png")</f>
        <v/>
      </c>
      <c r="C3033" s="5" t="s">
        <v>151</v>
      </c>
      <c r="D3033" s="5" t="s">
        <v>1327</v>
      </c>
      <c r="E3033" s="5" t="s">
        <v>34</v>
      </c>
      <c r="F3033" s="5" t="s">
        <v>34</v>
      </c>
      <c r="G3033" s="5" t="s">
        <v>36</v>
      </c>
      <c r="H3033" s="5" t="s">
        <v>35</v>
      </c>
      <c r="I3033" s="6">
        <v>1.0</v>
      </c>
      <c r="J3033" s="6" t="s">
        <v>37</v>
      </c>
      <c r="K3033" s="6">
        <v>10.0</v>
      </c>
      <c r="L3033" s="5"/>
      <c r="M3033" s="5"/>
      <c r="N3033" s="6" t="s">
        <v>40</v>
      </c>
      <c r="O3033" s="5" t="s">
        <v>5363</v>
      </c>
      <c r="P3033" s="6" t="s">
        <v>42</v>
      </c>
      <c r="Q3033" s="5" t="s">
        <v>1237</v>
      </c>
      <c r="R3033" s="5" t="s">
        <v>15895</v>
      </c>
      <c r="S3033" s="6" t="s">
        <v>208</v>
      </c>
      <c r="T3033" s="6">
        <v>6638.0</v>
      </c>
    </row>
    <row r="3034" ht="56.25" customHeight="1">
      <c r="A3034" s="5" t="s">
        <v>15896</v>
      </c>
      <c r="B3034" s="6" t="str">
        <f>image("https://storage.googleapis.com/acdb/photos/BromideNpcNmlDog06_Remake_0_0.png")</f>
        <v/>
      </c>
      <c r="C3034" s="5" t="s">
        <v>366</v>
      </c>
      <c r="D3034" s="5" t="s">
        <v>1327</v>
      </c>
      <c r="E3034" s="5" t="s">
        <v>34</v>
      </c>
      <c r="F3034" s="5" t="s">
        <v>34</v>
      </c>
      <c r="G3034" s="5" t="s">
        <v>36</v>
      </c>
      <c r="H3034" s="5" t="s">
        <v>35</v>
      </c>
      <c r="I3034" s="6">
        <v>1.0</v>
      </c>
      <c r="J3034" s="6" t="s">
        <v>37</v>
      </c>
      <c r="K3034" s="6">
        <v>10.0</v>
      </c>
      <c r="L3034" s="5"/>
      <c r="M3034" s="5"/>
      <c r="N3034" s="6" t="s">
        <v>40</v>
      </c>
      <c r="O3034" s="5" t="s">
        <v>5363</v>
      </c>
      <c r="P3034" s="6" t="s">
        <v>42</v>
      </c>
      <c r="Q3034" s="5" t="s">
        <v>1237</v>
      </c>
      <c r="R3034" s="5" t="s">
        <v>15898</v>
      </c>
      <c r="S3034" s="6" t="s">
        <v>50</v>
      </c>
      <c r="T3034" s="6">
        <v>6443.0</v>
      </c>
    </row>
    <row r="3035" ht="56.25" customHeight="1">
      <c r="A3035" s="5" t="s">
        <v>15896</v>
      </c>
      <c r="B3035" s="6" t="str">
        <f>image("https://storage.googleapis.com/acdb/photos/BromideNpcNmlDog06_Remake_1_0.png")</f>
        <v/>
      </c>
      <c r="C3035" s="5" t="s">
        <v>1132</v>
      </c>
      <c r="D3035" s="5" t="s">
        <v>1327</v>
      </c>
      <c r="E3035" s="5" t="s">
        <v>34</v>
      </c>
      <c r="F3035" s="5" t="s">
        <v>34</v>
      </c>
      <c r="G3035" s="5" t="s">
        <v>36</v>
      </c>
      <c r="H3035" s="5" t="s">
        <v>35</v>
      </c>
      <c r="I3035" s="6">
        <v>1.0</v>
      </c>
      <c r="J3035" s="6" t="s">
        <v>37</v>
      </c>
      <c r="K3035" s="6">
        <v>10.0</v>
      </c>
      <c r="L3035" s="5"/>
      <c r="M3035" s="5"/>
      <c r="N3035" s="6" t="s">
        <v>40</v>
      </c>
      <c r="O3035" s="5" t="s">
        <v>5363</v>
      </c>
      <c r="P3035" s="6" t="s">
        <v>42</v>
      </c>
      <c r="Q3035" s="5" t="s">
        <v>1237</v>
      </c>
      <c r="R3035" s="5" t="s">
        <v>15901</v>
      </c>
      <c r="S3035" s="6" t="s">
        <v>56</v>
      </c>
      <c r="T3035" s="6">
        <v>6443.0</v>
      </c>
    </row>
    <row r="3036" ht="56.25" customHeight="1">
      <c r="A3036" s="5" t="s">
        <v>15896</v>
      </c>
      <c r="B3036" s="6" t="str">
        <f>image("https://storage.googleapis.com/acdb/photos/BromideNpcNmlDog06_Remake_2_0.png")</f>
        <v/>
      </c>
      <c r="C3036" s="5" t="s">
        <v>688</v>
      </c>
      <c r="D3036" s="5" t="s">
        <v>1327</v>
      </c>
      <c r="E3036" s="5" t="s">
        <v>34</v>
      </c>
      <c r="F3036" s="5" t="s">
        <v>34</v>
      </c>
      <c r="G3036" s="5" t="s">
        <v>36</v>
      </c>
      <c r="H3036" s="5" t="s">
        <v>35</v>
      </c>
      <c r="I3036" s="6">
        <v>1.0</v>
      </c>
      <c r="J3036" s="6" t="s">
        <v>37</v>
      </c>
      <c r="K3036" s="6">
        <v>10.0</v>
      </c>
      <c r="L3036" s="5"/>
      <c r="M3036" s="5"/>
      <c r="N3036" s="6" t="s">
        <v>40</v>
      </c>
      <c r="O3036" s="5" t="s">
        <v>5363</v>
      </c>
      <c r="P3036" s="6" t="s">
        <v>42</v>
      </c>
      <c r="Q3036" s="5" t="s">
        <v>1237</v>
      </c>
      <c r="R3036" s="5" t="s">
        <v>15904</v>
      </c>
      <c r="S3036" s="6" t="s">
        <v>67</v>
      </c>
      <c r="T3036" s="6">
        <v>6443.0</v>
      </c>
    </row>
    <row r="3037" ht="56.25" customHeight="1">
      <c r="A3037" s="5" t="s">
        <v>15896</v>
      </c>
      <c r="B3037" s="6" t="str">
        <f>image("https://storage.googleapis.com/acdb/photos/BromideNpcNmlDog06_Remake_3_0.png")</f>
        <v/>
      </c>
      <c r="C3037" s="5" t="s">
        <v>57</v>
      </c>
      <c r="D3037" s="5" t="s">
        <v>1327</v>
      </c>
      <c r="E3037" s="5" t="s">
        <v>34</v>
      </c>
      <c r="F3037" s="5" t="s">
        <v>34</v>
      </c>
      <c r="G3037" s="5" t="s">
        <v>36</v>
      </c>
      <c r="H3037" s="5" t="s">
        <v>35</v>
      </c>
      <c r="I3037" s="6">
        <v>1.0</v>
      </c>
      <c r="J3037" s="6" t="s">
        <v>37</v>
      </c>
      <c r="K3037" s="6">
        <v>10.0</v>
      </c>
      <c r="L3037" s="5"/>
      <c r="M3037" s="5"/>
      <c r="N3037" s="6" t="s">
        <v>40</v>
      </c>
      <c r="O3037" s="5" t="s">
        <v>5363</v>
      </c>
      <c r="P3037" s="6" t="s">
        <v>42</v>
      </c>
      <c r="Q3037" s="5" t="s">
        <v>1237</v>
      </c>
      <c r="R3037" s="5" t="s">
        <v>15905</v>
      </c>
      <c r="S3037" s="6" t="s">
        <v>71</v>
      </c>
      <c r="T3037" s="6">
        <v>6443.0</v>
      </c>
    </row>
    <row r="3038" ht="56.25" customHeight="1">
      <c r="A3038" s="5" t="s">
        <v>15896</v>
      </c>
      <c r="B3038" s="6" t="str">
        <f>image("https://storage.googleapis.com/acdb/photos/BromideNpcNmlDog06_Remake_4_0.png")</f>
        <v/>
      </c>
      <c r="C3038" s="5" t="s">
        <v>1167</v>
      </c>
      <c r="D3038" s="5" t="s">
        <v>1327</v>
      </c>
      <c r="E3038" s="5" t="s">
        <v>34</v>
      </c>
      <c r="F3038" s="5" t="s">
        <v>34</v>
      </c>
      <c r="G3038" s="5" t="s">
        <v>36</v>
      </c>
      <c r="H3038" s="5" t="s">
        <v>35</v>
      </c>
      <c r="I3038" s="6">
        <v>1.0</v>
      </c>
      <c r="J3038" s="6" t="s">
        <v>37</v>
      </c>
      <c r="K3038" s="6">
        <v>10.0</v>
      </c>
      <c r="L3038" s="5"/>
      <c r="M3038" s="5"/>
      <c r="N3038" s="6" t="s">
        <v>40</v>
      </c>
      <c r="O3038" s="5" t="s">
        <v>5363</v>
      </c>
      <c r="P3038" s="6" t="s">
        <v>42</v>
      </c>
      <c r="Q3038" s="5" t="s">
        <v>1237</v>
      </c>
      <c r="R3038" s="5" t="s">
        <v>15908</v>
      </c>
      <c r="S3038" s="6" t="s">
        <v>75</v>
      </c>
      <c r="T3038" s="6">
        <v>6443.0</v>
      </c>
    </row>
    <row r="3039" ht="56.25" customHeight="1">
      <c r="A3039" s="5" t="s">
        <v>15896</v>
      </c>
      <c r="B3039" s="6" t="str">
        <f>image("https://storage.googleapis.com/acdb/photos/BromideNpcNmlDog06_Remake_5_0.png")</f>
        <v/>
      </c>
      <c r="C3039" s="5" t="s">
        <v>58</v>
      </c>
      <c r="D3039" s="5" t="s">
        <v>1327</v>
      </c>
      <c r="E3039" s="5" t="s">
        <v>34</v>
      </c>
      <c r="F3039" s="5" t="s">
        <v>34</v>
      </c>
      <c r="G3039" s="5" t="s">
        <v>36</v>
      </c>
      <c r="H3039" s="5" t="s">
        <v>35</v>
      </c>
      <c r="I3039" s="6">
        <v>1.0</v>
      </c>
      <c r="J3039" s="6" t="s">
        <v>37</v>
      </c>
      <c r="K3039" s="6">
        <v>10.0</v>
      </c>
      <c r="L3039" s="5"/>
      <c r="M3039" s="5"/>
      <c r="N3039" s="6" t="s">
        <v>40</v>
      </c>
      <c r="O3039" s="5" t="s">
        <v>5363</v>
      </c>
      <c r="P3039" s="6" t="s">
        <v>42</v>
      </c>
      <c r="Q3039" s="5" t="s">
        <v>1237</v>
      </c>
      <c r="R3039" s="5" t="s">
        <v>15910</v>
      </c>
      <c r="S3039" s="6" t="s">
        <v>79</v>
      </c>
      <c r="T3039" s="6">
        <v>6443.0</v>
      </c>
    </row>
    <row r="3040" ht="56.25" customHeight="1">
      <c r="A3040" s="5" t="s">
        <v>15896</v>
      </c>
      <c r="B3040" s="6" t="str">
        <f>image("https://storage.googleapis.com/acdb/photos/BromideNpcNmlDog06_Remake_6_0.png")</f>
        <v/>
      </c>
      <c r="C3040" s="5" t="s">
        <v>146</v>
      </c>
      <c r="D3040" s="5" t="s">
        <v>1327</v>
      </c>
      <c r="E3040" s="5" t="s">
        <v>34</v>
      </c>
      <c r="F3040" s="5" t="s">
        <v>34</v>
      </c>
      <c r="G3040" s="5" t="s">
        <v>36</v>
      </c>
      <c r="H3040" s="5" t="s">
        <v>35</v>
      </c>
      <c r="I3040" s="6">
        <v>1.0</v>
      </c>
      <c r="J3040" s="6" t="s">
        <v>37</v>
      </c>
      <c r="K3040" s="6">
        <v>10.0</v>
      </c>
      <c r="L3040" s="5"/>
      <c r="M3040" s="5"/>
      <c r="N3040" s="6" t="s">
        <v>40</v>
      </c>
      <c r="O3040" s="5" t="s">
        <v>5363</v>
      </c>
      <c r="P3040" s="6" t="s">
        <v>42</v>
      </c>
      <c r="Q3040" s="5" t="s">
        <v>1237</v>
      </c>
      <c r="R3040" s="5" t="s">
        <v>15911</v>
      </c>
      <c r="S3040" s="6" t="s">
        <v>86</v>
      </c>
      <c r="T3040" s="6">
        <v>6443.0</v>
      </c>
    </row>
    <row r="3041" ht="56.25" customHeight="1">
      <c r="A3041" s="5" t="s">
        <v>15896</v>
      </c>
      <c r="B3041" s="6" t="str">
        <f>image("https://storage.googleapis.com/acdb/photos/BromideNpcNmlDog06_Remake_7_0.png")</f>
        <v/>
      </c>
      <c r="C3041" s="5" t="s">
        <v>151</v>
      </c>
      <c r="D3041" s="5" t="s">
        <v>1327</v>
      </c>
      <c r="E3041" s="5" t="s">
        <v>34</v>
      </c>
      <c r="F3041" s="5" t="s">
        <v>34</v>
      </c>
      <c r="G3041" s="5" t="s">
        <v>36</v>
      </c>
      <c r="H3041" s="5" t="s">
        <v>35</v>
      </c>
      <c r="I3041" s="6">
        <v>1.0</v>
      </c>
      <c r="J3041" s="6" t="s">
        <v>37</v>
      </c>
      <c r="K3041" s="6">
        <v>10.0</v>
      </c>
      <c r="L3041" s="5"/>
      <c r="M3041" s="5"/>
      <c r="N3041" s="6" t="s">
        <v>40</v>
      </c>
      <c r="O3041" s="5" t="s">
        <v>5363</v>
      </c>
      <c r="P3041" s="6" t="s">
        <v>42</v>
      </c>
      <c r="Q3041" s="5" t="s">
        <v>1237</v>
      </c>
      <c r="R3041" s="5" t="s">
        <v>15915</v>
      </c>
      <c r="S3041" s="6" t="s">
        <v>208</v>
      </c>
      <c r="T3041" s="6">
        <v>6443.0</v>
      </c>
    </row>
    <row r="3042" ht="56.25" customHeight="1">
      <c r="A3042" s="5" t="s">
        <v>15916</v>
      </c>
      <c r="B3042" s="6" t="str">
        <f>image("https://storage.googleapis.com/acdb/photos/BromideNpcNmlKgr08_Remake_0_0.png")</f>
        <v/>
      </c>
      <c r="C3042" s="5" t="s">
        <v>366</v>
      </c>
      <c r="D3042" s="5" t="s">
        <v>1327</v>
      </c>
      <c r="E3042" s="5" t="s">
        <v>34</v>
      </c>
      <c r="F3042" s="5" t="s">
        <v>34</v>
      </c>
      <c r="G3042" s="5" t="s">
        <v>36</v>
      </c>
      <c r="H3042" s="5" t="s">
        <v>35</v>
      </c>
      <c r="I3042" s="6">
        <v>1.0</v>
      </c>
      <c r="J3042" s="6" t="s">
        <v>37</v>
      </c>
      <c r="K3042" s="6">
        <v>10.0</v>
      </c>
      <c r="L3042" s="5"/>
      <c r="M3042" s="5"/>
      <c r="N3042" s="6" t="s">
        <v>40</v>
      </c>
      <c r="O3042" s="5" t="s">
        <v>5363</v>
      </c>
      <c r="P3042" s="6" t="s">
        <v>42</v>
      </c>
      <c r="Q3042" s="5" t="s">
        <v>1237</v>
      </c>
      <c r="R3042" s="5" t="s">
        <v>15918</v>
      </c>
      <c r="S3042" s="6" t="s">
        <v>50</v>
      </c>
      <c r="T3042" s="6">
        <v>6569.0</v>
      </c>
    </row>
    <row r="3043" ht="56.25" customHeight="1">
      <c r="A3043" s="5" t="s">
        <v>15916</v>
      </c>
      <c r="B3043" s="6" t="str">
        <f>image("https://storage.googleapis.com/acdb/photos/BromideNpcNmlKgr08_Remake_1_0.png")</f>
        <v/>
      </c>
      <c r="C3043" s="5" t="s">
        <v>1132</v>
      </c>
      <c r="D3043" s="5" t="s">
        <v>1327</v>
      </c>
      <c r="E3043" s="5" t="s">
        <v>34</v>
      </c>
      <c r="F3043" s="5" t="s">
        <v>34</v>
      </c>
      <c r="G3043" s="5" t="s">
        <v>36</v>
      </c>
      <c r="H3043" s="5" t="s">
        <v>35</v>
      </c>
      <c r="I3043" s="6">
        <v>1.0</v>
      </c>
      <c r="J3043" s="6" t="s">
        <v>37</v>
      </c>
      <c r="K3043" s="6">
        <v>10.0</v>
      </c>
      <c r="L3043" s="5"/>
      <c r="M3043" s="5"/>
      <c r="N3043" s="6" t="s">
        <v>40</v>
      </c>
      <c r="O3043" s="5" t="s">
        <v>5363</v>
      </c>
      <c r="P3043" s="6" t="s">
        <v>42</v>
      </c>
      <c r="Q3043" s="5" t="s">
        <v>1237</v>
      </c>
      <c r="R3043" s="5" t="s">
        <v>15922</v>
      </c>
      <c r="S3043" s="6" t="s">
        <v>56</v>
      </c>
      <c r="T3043" s="6">
        <v>6569.0</v>
      </c>
    </row>
    <row r="3044" ht="56.25" customHeight="1">
      <c r="A3044" s="5" t="s">
        <v>15916</v>
      </c>
      <c r="B3044" s="6" t="str">
        <f>image("https://storage.googleapis.com/acdb/photos/BromideNpcNmlKgr08_Remake_2_0.png")</f>
        <v/>
      </c>
      <c r="C3044" s="5" t="s">
        <v>688</v>
      </c>
      <c r="D3044" s="5" t="s">
        <v>1327</v>
      </c>
      <c r="E3044" s="5" t="s">
        <v>34</v>
      </c>
      <c r="F3044" s="5" t="s">
        <v>34</v>
      </c>
      <c r="G3044" s="5" t="s">
        <v>36</v>
      </c>
      <c r="H3044" s="5" t="s">
        <v>35</v>
      </c>
      <c r="I3044" s="6">
        <v>1.0</v>
      </c>
      <c r="J3044" s="6" t="s">
        <v>37</v>
      </c>
      <c r="K3044" s="6">
        <v>10.0</v>
      </c>
      <c r="L3044" s="5"/>
      <c r="M3044" s="5"/>
      <c r="N3044" s="6" t="s">
        <v>40</v>
      </c>
      <c r="O3044" s="5" t="s">
        <v>5363</v>
      </c>
      <c r="P3044" s="6" t="s">
        <v>42</v>
      </c>
      <c r="Q3044" s="5" t="s">
        <v>1237</v>
      </c>
      <c r="R3044" s="5" t="s">
        <v>15926</v>
      </c>
      <c r="S3044" s="6" t="s">
        <v>67</v>
      </c>
      <c r="T3044" s="6">
        <v>6569.0</v>
      </c>
    </row>
    <row r="3045" ht="56.25" customHeight="1">
      <c r="A3045" s="5" t="s">
        <v>15916</v>
      </c>
      <c r="B3045" s="6" t="str">
        <f>image("https://storage.googleapis.com/acdb/photos/BromideNpcNmlKgr08_Remake_3_0.png")</f>
        <v/>
      </c>
      <c r="C3045" s="5" t="s">
        <v>57</v>
      </c>
      <c r="D3045" s="5" t="s">
        <v>1327</v>
      </c>
      <c r="E3045" s="5" t="s">
        <v>34</v>
      </c>
      <c r="F3045" s="5" t="s">
        <v>34</v>
      </c>
      <c r="G3045" s="5" t="s">
        <v>36</v>
      </c>
      <c r="H3045" s="5" t="s">
        <v>35</v>
      </c>
      <c r="I3045" s="6">
        <v>1.0</v>
      </c>
      <c r="J3045" s="6" t="s">
        <v>37</v>
      </c>
      <c r="K3045" s="6">
        <v>10.0</v>
      </c>
      <c r="L3045" s="5"/>
      <c r="M3045" s="5"/>
      <c r="N3045" s="6" t="s">
        <v>40</v>
      </c>
      <c r="O3045" s="5" t="s">
        <v>5363</v>
      </c>
      <c r="P3045" s="6" t="s">
        <v>42</v>
      </c>
      <c r="Q3045" s="5" t="s">
        <v>1237</v>
      </c>
      <c r="R3045" s="5" t="s">
        <v>15929</v>
      </c>
      <c r="S3045" s="6" t="s">
        <v>71</v>
      </c>
      <c r="T3045" s="6">
        <v>6569.0</v>
      </c>
    </row>
    <row r="3046" ht="56.25" customHeight="1">
      <c r="A3046" s="5" t="s">
        <v>15916</v>
      </c>
      <c r="B3046" s="6" t="str">
        <f>image("https://storage.googleapis.com/acdb/photos/BromideNpcNmlKgr08_Remake_4_0.png")</f>
        <v/>
      </c>
      <c r="C3046" s="5" t="s">
        <v>1167</v>
      </c>
      <c r="D3046" s="5" t="s">
        <v>1327</v>
      </c>
      <c r="E3046" s="5" t="s">
        <v>34</v>
      </c>
      <c r="F3046" s="5" t="s">
        <v>34</v>
      </c>
      <c r="G3046" s="5" t="s">
        <v>36</v>
      </c>
      <c r="H3046" s="5" t="s">
        <v>35</v>
      </c>
      <c r="I3046" s="6">
        <v>1.0</v>
      </c>
      <c r="J3046" s="6" t="s">
        <v>37</v>
      </c>
      <c r="K3046" s="6">
        <v>10.0</v>
      </c>
      <c r="L3046" s="5"/>
      <c r="M3046" s="5"/>
      <c r="N3046" s="6" t="s">
        <v>40</v>
      </c>
      <c r="O3046" s="5" t="s">
        <v>5363</v>
      </c>
      <c r="P3046" s="6" t="s">
        <v>42</v>
      </c>
      <c r="Q3046" s="5" t="s">
        <v>1237</v>
      </c>
      <c r="R3046" s="5" t="s">
        <v>15932</v>
      </c>
      <c r="S3046" s="6" t="s">
        <v>75</v>
      </c>
      <c r="T3046" s="6">
        <v>6569.0</v>
      </c>
    </row>
    <row r="3047" ht="56.25" customHeight="1">
      <c r="A3047" s="5" t="s">
        <v>15916</v>
      </c>
      <c r="B3047" s="6" t="str">
        <f>image("https://storage.googleapis.com/acdb/photos/BromideNpcNmlKgr08_Remake_5_0.png")</f>
        <v/>
      </c>
      <c r="C3047" s="5" t="s">
        <v>58</v>
      </c>
      <c r="D3047" s="5" t="s">
        <v>1327</v>
      </c>
      <c r="E3047" s="5" t="s">
        <v>34</v>
      </c>
      <c r="F3047" s="5" t="s">
        <v>34</v>
      </c>
      <c r="G3047" s="5" t="s">
        <v>36</v>
      </c>
      <c r="H3047" s="5" t="s">
        <v>35</v>
      </c>
      <c r="I3047" s="6">
        <v>1.0</v>
      </c>
      <c r="J3047" s="6" t="s">
        <v>37</v>
      </c>
      <c r="K3047" s="6">
        <v>10.0</v>
      </c>
      <c r="L3047" s="5"/>
      <c r="M3047" s="5"/>
      <c r="N3047" s="6" t="s">
        <v>40</v>
      </c>
      <c r="O3047" s="5" t="s">
        <v>5363</v>
      </c>
      <c r="P3047" s="6" t="s">
        <v>42</v>
      </c>
      <c r="Q3047" s="5" t="s">
        <v>1237</v>
      </c>
      <c r="R3047" s="5" t="s">
        <v>15936</v>
      </c>
      <c r="S3047" s="6" t="s">
        <v>79</v>
      </c>
      <c r="T3047" s="6">
        <v>6569.0</v>
      </c>
    </row>
    <row r="3048" ht="56.25" customHeight="1">
      <c r="A3048" s="5" t="s">
        <v>15916</v>
      </c>
      <c r="B3048" s="6" t="str">
        <f>image("https://storage.googleapis.com/acdb/photos/BromideNpcNmlKgr08_Remake_6_0.png")</f>
        <v/>
      </c>
      <c r="C3048" s="5" t="s">
        <v>146</v>
      </c>
      <c r="D3048" s="5" t="s">
        <v>1327</v>
      </c>
      <c r="E3048" s="5" t="s">
        <v>34</v>
      </c>
      <c r="F3048" s="5" t="s">
        <v>34</v>
      </c>
      <c r="G3048" s="5" t="s">
        <v>36</v>
      </c>
      <c r="H3048" s="5" t="s">
        <v>35</v>
      </c>
      <c r="I3048" s="6">
        <v>1.0</v>
      </c>
      <c r="J3048" s="6" t="s">
        <v>37</v>
      </c>
      <c r="K3048" s="6">
        <v>10.0</v>
      </c>
      <c r="L3048" s="5"/>
      <c r="M3048" s="5"/>
      <c r="N3048" s="6" t="s">
        <v>40</v>
      </c>
      <c r="O3048" s="5" t="s">
        <v>5363</v>
      </c>
      <c r="P3048" s="6" t="s">
        <v>42</v>
      </c>
      <c r="Q3048" s="5" t="s">
        <v>1237</v>
      </c>
      <c r="R3048" s="5" t="s">
        <v>15940</v>
      </c>
      <c r="S3048" s="6" t="s">
        <v>86</v>
      </c>
      <c r="T3048" s="6">
        <v>6569.0</v>
      </c>
    </row>
    <row r="3049" ht="56.25" customHeight="1">
      <c r="A3049" s="5" t="s">
        <v>15916</v>
      </c>
      <c r="B3049" s="6" t="str">
        <f>image("https://storage.googleapis.com/acdb/photos/BromideNpcNmlKgr08_Remake_7_0.png")</f>
        <v/>
      </c>
      <c r="C3049" s="5" t="s">
        <v>151</v>
      </c>
      <c r="D3049" s="5" t="s">
        <v>1327</v>
      </c>
      <c r="E3049" s="5" t="s">
        <v>34</v>
      </c>
      <c r="F3049" s="5" t="s">
        <v>34</v>
      </c>
      <c r="G3049" s="5" t="s">
        <v>36</v>
      </c>
      <c r="H3049" s="5" t="s">
        <v>35</v>
      </c>
      <c r="I3049" s="6">
        <v>1.0</v>
      </c>
      <c r="J3049" s="6" t="s">
        <v>37</v>
      </c>
      <c r="K3049" s="6">
        <v>10.0</v>
      </c>
      <c r="L3049" s="5"/>
      <c r="M3049" s="5"/>
      <c r="N3049" s="6" t="s">
        <v>40</v>
      </c>
      <c r="O3049" s="5" t="s">
        <v>5363</v>
      </c>
      <c r="P3049" s="6" t="s">
        <v>42</v>
      </c>
      <c r="Q3049" s="5" t="s">
        <v>1237</v>
      </c>
      <c r="R3049" s="5" t="s">
        <v>15944</v>
      </c>
      <c r="S3049" s="6" t="s">
        <v>208</v>
      </c>
      <c r="T3049" s="6">
        <v>6569.0</v>
      </c>
    </row>
    <row r="3050" ht="56.25" customHeight="1">
      <c r="A3050" s="5" t="s">
        <v>15945</v>
      </c>
      <c r="B3050" s="6" t="str">
        <f>image("https://storage.googleapis.com/acdb/photos/BromideNpcNmlFlg05_Remake_0_0.png")</f>
        <v/>
      </c>
      <c r="C3050" s="5" t="s">
        <v>366</v>
      </c>
      <c r="D3050" s="5" t="s">
        <v>1327</v>
      </c>
      <c r="E3050" s="5" t="s">
        <v>34</v>
      </c>
      <c r="F3050" s="5" t="s">
        <v>34</v>
      </c>
      <c r="G3050" s="5" t="s">
        <v>36</v>
      </c>
      <c r="H3050" s="5" t="s">
        <v>35</v>
      </c>
      <c r="I3050" s="6">
        <v>1.0</v>
      </c>
      <c r="J3050" s="6" t="s">
        <v>37</v>
      </c>
      <c r="K3050" s="6">
        <v>10.0</v>
      </c>
      <c r="L3050" s="5"/>
      <c r="M3050" s="5"/>
      <c r="N3050" s="6" t="s">
        <v>40</v>
      </c>
      <c r="O3050" s="5" t="s">
        <v>5363</v>
      </c>
      <c r="P3050" s="6" t="s">
        <v>42</v>
      </c>
      <c r="Q3050" s="5" t="s">
        <v>1237</v>
      </c>
      <c r="R3050" s="5" t="s">
        <v>15949</v>
      </c>
      <c r="S3050" s="6" t="s">
        <v>50</v>
      </c>
      <c r="T3050" s="6">
        <v>6489.0</v>
      </c>
    </row>
    <row r="3051" ht="56.25" customHeight="1">
      <c r="A3051" s="5" t="s">
        <v>15945</v>
      </c>
      <c r="B3051" s="6" t="str">
        <f>image("https://storage.googleapis.com/acdb/photos/BromideNpcNmlFlg05_Remake_1_0.png")</f>
        <v/>
      </c>
      <c r="C3051" s="5" t="s">
        <v>1132</v>
      </c>
      <c r="D3051" s="5" t="s">
        <v>1327</v>
      </c>
      <c r="E3051" s="5" t="s">
        <v>34</v>
      </c>
      <c r="F3051" s="5" t="s">
        <v>34</v>
      </c>
      <c r="G3051" s="5" t="s">
        <v>36</v>
      </c>
      <c r="H3051" s="5" t="s">
        <v>35</v>
      </c>
      <c r="I3051" s="6">
        <v>1.0</v>
      </c>
      <c r="J3051" s="6" t="s">
        <v>37</v>
      </c>
      <c r="K3051" s="6">
        <v>10.0</v>
      </c>
      <c r="L3051" s="5"/>
      <c r="M3051" s="5"/>
      <c r="N3051" s="6" t="s">
        <v>40</v>
      </c>
      <c r="O3051" s="5" t="s">
        <v>5363</v>
      </c>
      <c r="P3051" s="6" t="s">
        <v>42</v>
      </c>
      <c r="Q3051" s="5" t="s">
        <v>1237</v>
      </c>
      <c r="R3051" s="5" t="s">
        <v>15955</v>
      </c>
      <c r="S3051" s="6" t="s">
        <v>56</v>
      </c>
      <c r="T3051" s="6">
        <v>6489.0</v>
      </c>
    </row>
    <row r="3052" ht="56.25" customHeight="1">
      <c r="A3052" s="5" t="s">
        <v>15945</v>
      </c>
      <c r="B3052" s="6" t="str">
        <f>image("https://storage.googleapis.com/acdb/photos/BromideNpcNmlFlg05_Remake_2_0.png")</f>
        <v/>
      </c>
      <c r="C3052" s="5" t="s">
        <v>688</v>
      </c>
      <c r="D3052" s="5" t="s">
        <v>1327</v>
      </c>
      <c r="E3052" s="5" t="s">
        <v>34</v>
      </c>
      <c r="F3052" s="5" t="s">
        <v>34</v>
      </c>
      <c r="G3052" s="5" t="s">
        <v>36</v>
      </c>
      <c r="H3052" s="5" t="s">
        <v>35</v>
      </c>
      <c r="I3052" s="6">
        <v>1.0</v>
      </c>
      <c r="J3052" s="6" t="s">
        <v>37</v>
      </c>
      <c r="K3052" s="6">
        <v>10.0</v>
      </c>
      <c r="L3052" s="5"/>
      <c r="M3052" s="5"/>
      <c r="N3052" s="6" t="s">
        <v>40</v>
      </c>
      <c r="O3052" s="5" t="s">
        <v>5363</v>
      </c>
      <c r="P3052" s="6" t="s">
        <v>42</v>
      </c>
      <c r="Q3052" s="5" t="s">
        <v>1237</v>
      </c>
      <c r="R3052" s="5" t="s">
        <v>15957</v>
      </c>
      <c r="S3052" s="6" t="s">
        <v>67</v>
      </c>
      <c r="T3052" s="6">
        <v>6489.0</v>
      </c>
    </row>
    <row r="3053" ht="56.25" customHeight="1">
      <c r="A3053" s="5" t="s">
        <v>15945</v>
      </c>
      <c r="B3053" s="6" t="str">
        <f>image("https://storage.googleapis.com/acdb/photos/BromideNpcNmlFlg05_Remake_3_0.png")</f>
        <v/>
      </c>
      <c r="C3053" s="5" t="s">
        <v>57</v>
      </c>
      <c r="D3053" s="5" t="s">
        <v>1327</v>
      </c>
      <c r="E3053" s="5" t="s">
        <v>34</v>
      </c>
      <c r="F3053" s="5" t="s">
        <v>34</v>
      </c>
      <c r="G3053" s="5" t="s">
        <v>36</v>
      </c>
      <c r="H3053" s="5" t="s">
        <v>35</v>
      </c>
      <c r="I3053" s="6">
        <v>1.0</v>
      </c>
      <c r="J3053" s="6" t="s">
        <v>37</v>
      </c>
      <c r="K3053" s="6">
        <v>10.0</v>
      </c>
      <c r="L3053" s="5"/>
      <c r="M3053" s="5"/>
      <c r="N3053" s="6" t="s">
        <v>40</v>
      </c>
      <c r="O3053" s="5" t="s">
        <v>5363</v>
      </c>
      <c r="P3053" s="6" t="s">
        <v>42</v>
      </c>
      <c r="Q3053" s="5" t="s">
        <v>1237</v>
      </c>
      <c r="R3053" s="5" t="s">
        <v>15959</v>
      </c>
      <c r="S3053" s="6" t="s">
        <v>71</v>
      </c>
      <c r="T3053" s="6">
        <v>6489.0</v>
      </c>
    </row>
    <row r="3054" ht="56.25" customHeight="1">
      <c r="A3054" s="5" t="s">
        <v>15945</v>
      </c>
      <c r="B3054" s="6" t="str">
        <f>image("https://storage.googleapis.com/acdb/photos/BromideNpcNmlFlg05_Remake_4_0.png")</f>
        <v/>
      </c>
      <c r="C3054" s="5" t="s">
        <v>1167</v>
      </c>
      <c r="D3054" s="5" t="s">
        <v>1327</v>
      </c>
      <c r="E3054" s="5" t="s">
        <v>34</v>
      </c>
      <c r="F3054" s="5" t="s">
        <v>34</v>
      </c>
      <c r="G3054" s="5" t="s">
        <v>36</v>
      </c>
      <c r="H3054" s="5" t="s">
        <v>35</v>
      </c>
      <c r="I3054" s="6">
        <v>1.0</v>
      </c>
      <c r="J3054" s="6" t="s">
        <v>37</v>
      </c>
      <c r="K3054" s="6">
        <v>10.0</v>
      </c>
      <c r="L3054" s="5"/>
      <c r="M3054" s="5"/>
      <c r="N3054" s="6" t="s">
        <v>40</v>
      </c>
      <c r="O3054" s="5" t="s">
        <v>5363</v>
      </c>
      <c r="P3054" s="6" t="s">
        <v>42</v>
      </c>
      <c r="Q3054" s="5" t="s">
        <v>1237</v>
      </c>
      <c r="R3054" s="5" t="s">
        <v>15963</v>
      </c>
      <c r="S3054" s="6" t="s">
        <v>75</v>
      </c>
      <c r="T3054" s="6">
        <v>6489.0</v>
      </c>
    </row>
    <row r="3055" ht="56.25" customHeight="1">
      <c r="A3055" s="5" t="s">
        <v>15945</v>
      </c>
      <c r="B3055" s="6" t="str">
        <f>image("https://storage.googleapis.com/acdb/photos/BromideNpcNmlFlg05_Remake_5_0.png")</f>
        <v/>
      </c>
      <c r="C3055" s="5" t="s">
        <v>58</v>
      </c>
      <c r="D3055" s="5" t="s">
        <v>1327</v>
      </c>
      <c r="E3055" s="5" t="s">
        <v>34</v>
      </c>
      <c r="F3055" s="5" t="s">
        <v>34</v>
      </c>
      <c r="G3055" s="5" t="s">
        <v>36</v>
      </c>
      <c r="H3055" s="5" t="s">
        <v>35</v>
      </c>
      <c r="I3055" s="6">
        <v>1.0</v>
      </c>
      <c r="J3055" s="6" t="s">
        <v>37</v>
      </c>
      <c r="K3055" s="6">
        <v>10.0</v>
      </c>
      <c r="L3055" s="5"/>
      <c r="M3055" s="5"/>
      <c r="N3055" s="6" t="s">
        <v>40</v>
      </c>
      <c r="O3055" s="5" t="s">
        <v>5363</v>
      </c>
      <c r="P3055" s="6" t="s">
        <v>42</v>
      </c>
      <c r="Q3055" s="5" t="s">
        <v>1237</v>
      </c>
      <c r="R3055" s="5" t="s">
        <v>15965</v>
      </c>
      <c r="S3055" s="6" t="s">
        <v>79</v>
      </c>
      <c r="T3055" s="6">
        <v>6489.0</v>
      </c>
    </row>
    <row r="3056" ht="56.25" customHeight="1">
      <c r="A3056" s="5" t="s">
        <v>15945</v>
      </c>
      <c r="B3056" s="6" t="str">
        <f>image("https://storage.googleapis.com/acdb/photos/BromideNpcNmlFlg05_Remake_6_0.png")</f>
        <v/>
      </c>
      <c r="C3056" s="5" t="s">
        <v>146</v>
      </c>
      <c r="D3056" s="5" t="s">
        <v>1327</v>
      </c>
      <c r="E3056" s="5" t="s">
        <v>34</v>
      </c>
      <c r="F3056" s="5" t="s">
        <v>34</v>
      </c>
      <c r="G3056" s="5" t="s">
        <v>36</v>
      </c>
      <c r="H3056" s="5" t="s">
        <v>35</v>
      </c>
      <c r="I3056" s="6">
        <v>1.0</v>
      </c>
      <c r="J3056" s="6" t="s">
        <v>37</v>
      </c>
      <c r="K3056" s="6">
        <v>10.0</v>
      </c>
      <c r="L3056" s="5"/>
      <c r="M3056" s="5"/>
      <c r="N3056" s="6" t="s">
        <v>40</v>
      </c>
      <c r="O3056" s="5" t="s">
        <v>5363</v>
      </c>
      <c r="P3056" s="6" t="s">
        <v>42</v>
      </c>
      <c r="Q3056" s="5" t="s">
        <v>1237</v>
      </c>
      <c r="R3056" s="5" t="s">
        <v>15967</v>
      </c>
      <c r="S3056" s="6" t="s">
        <v>86</v>
      </c>
      <c r="T3056" s="6">
        <v>6489.0</v>
      </c>
    </row>
    <row r="3057" ht="56.25" customHeight="1">
      <c r="A3057" s="5" t="s">
        <v>15945</v>
      </c>
      <c r="B3057" s="6" t="str">
        <f>image("https://storage.googleapis.com/acdb/photos/BromideNpcNmlFlg05_Remake_7_0.png")</f>
        <v/>
      </c>
      <c r="C3057" s="5" t="s">
        <v>151</v>
      </c>
      <c r="D3057" s="5" t="s">
        <v>1327</v>
      </c>
      <c r="E3057" s="5" t="s">
        <v>34</v>
      </c>
      <c r="F3057" s="5" t="s">
        <v>34</v>
      </c>
      <c r="G3057" s="5" t="s">
        <v>36</v>
      </c>
      <c r="H3057" s="5" t="s">
        <v>35</v>
      </c>
      <c r="I3057" s="6">
        <v>1.0</v>
      </c>
      <c r="J3057" s="6" t="s">
        <v>37</v>
      </c>
      <c r="K3057" s="6">
        <v>10.0</v>
      </c>
      <c r="L3057" s="5"/>
      <c r="M3057" s="5"/>
      <c r="N3057" s="6" t="s">
        <v>40</v>
      </c>
      <c r="O3057" s="5" t="s">
        <v>5363</v>
      </c>
      <c r="P3057" s="6" t="s">
        <v>42</v>
      </c>
      <c r="Q3057" s="5" t="s">
        <v>1237</v>
      </c>
      <c r="R3057" s="5" t="s">
        <v>15969</v>
      </c>
      <c r="S3057" s="6" t="s">
        <v>208</v>
      </c>
      <c r="T3057" s="6">
        <v>6489.0</v>
      </c>
    </row>
    <row r="3058" ht="56.25" customHeight="1">
      <c r="A3058" s="5" t="s">
        <v>15970</v>
      </c>
      <c r="B3058" s="6" t="str">
        <f>image("https://storage.googleapis.com/acdb/photos/BromideNpcNmlDuk11_Remake_0_0.png")</f>
        <v/>
      </c>
      <c r="C3058" s="5" t="s">
        <v>366</v>
      </c>
      <c r="D3058" s="5" t="s">
        <v>1327</v>
      </c>
      <c r="E3058" s="5" t="s">
        <v>34</v>
      </c>
      <c r="F3058" s="5" t="s">
        <v>34</v>
      </c>
      <c r="G3058" s="5" t="s">
        <v>36</v>
      </c>
      <c r="H3058" s="5" t="s">
        <v>35</v>
      </c>
      <c r="I3058" s="6">
        <v>1.0</v>
      </c>
      <c r="J3058" s="6" t="s">
        <v>37</v>
      </c>
      <c r="K3058" s="6">
        <v>10.0</v>
      </c>
      <c r="L3058" s="5"/>
      <c r="M3058" s="5"/>
      <c r="N3058" s="6" t="s">
        <v>40</v>
      </c>
      <c r="O3058" s="5" t="s">
        <v>5363</v>
      </c>
      <c r="P3058" s="6" t="s">
        <v>42</v>
      </c>
      <c r="Q3058" s="5" t="s">
        <v>1237</v>
      </c>
      <c r="R3058" s="5" t="s">
        <v>15973</v>
      </c>
      <c r="S3058" s="6" t="s">
        <v>50</v>
      </c>
      <c r="T3058" s="6">
        <v>6466.0</v>
      </c>
    </row>
    <row r="3059" ht="56.25" customHeight="1">
      <c r="A3059" s="5" t="s">
        <v>15970</v>
      </c>
      <c r="B3059" s="6" t="str">
        <f>image("https://storage.googleapis.com/acdb/photos/BromideNpcNmlDuk11_Remake_1_0.png")</f>
        <v/>
      </c>
      <c r="C3059" s="5" t="s">
        <v>1132</v>
      </c>
      <c r="D3059" s="5" t="s">
        <v>1327</v>
      </c>
      <c r="E3059" s="5" t="s">
        <v>34</v>
      </c>
      <c r="F3059" s="5" t="s">
        <v>34</v>
      </c>
      <c r="G3059" s="5" t="s">
        <v>36</v>
      </c>
      <c r="H3059" s="5" t="s">
        <v>35</v>
      </c>
      <c r="I3059" s="6">
        <v>1.0</v>
      </c>
      <c r="J3059" s="6" t="s">
        <v>37</v>
      </c>
      <c r="K3059" s="6">
        <v>10.0</v>
      </c>
      <c r="L3059" s="5"/>
      <c r="M3059" s="5"/>
      <c r="N3059" s="6" t="s">
        <v>40</v>
      </c>
      <c r="O3059" s="5" t="s">
        <v>5363</v>
      </c>
      <c r="P3059" s="6" t="s">
        <v>42</v>
      </c>
      <c r="Q3059" s="5" t="s">
        <v>1237</v>
      </c>
      <c r="R3059" s="5" t="s">
        <v>15975</v>
      </c>
      <c r="S3059" s="6" t="s">
        <v>56</v>
      </c>
      <c r="T3059" s="6">
        <v>6466.0</v>
      </c>
    </row>
    <row r="3060" ht="56.25" customHeight="1">
      <c r="A3060" s="5" t="s">
        <v>15970</v>
      </c>
      <c r="B3060" s="6" t="str">
        <f>image("https://storage.googleapis.com/acdb/photos/BromideNpcNmlDuk11_Remake_2_0.png")</f>
        <v/>
      </c>
      <c r="C3060" s="5" t="s">
        <v>688</v>
      </c>
      <c r="D3060" s="5" t="s">
        <v>1327</v>
      </c>
      <c r="E3060" s="5" t="s">
        <v>34</v>
      </c>
      <c r="F3060" s="5" t="s">
        <v>34</v>
      </c>
      <c r="G3060" s="5" t="s">
        <v>36</v>
      </c>
      <c r="H3060" s="5" t="s">
        <v>35</v>
      </c>
      <c r="I3060" s="6">
        <v>1.0</v>
      </c>
      <c r="J3060" s="6" t="s">
        <v>37</v>
      </c>
      <c r="K3060" s="6">
        <v>10.0</v>
      </c>
      <c r="L3060" s="5"/>
      <c r="M3060" s="5"/>
      <c r="N3060" s="6" t="s">
        <v>40</v>
      </c>
      <c r="O3060" s="5" t="s">
        <v>5363</v>
      </c>
      <c r="P3060" s="6" t="s">
        <v>42</v>
      </c>
      <c r="Q3060" s="5" t="s">
        <v>1237</v>
      </c>
      <c r="R3060" s="5" t="s">
        <v>15979</v>
      </c>
      <c r="S3060" s="6" t="s">
        <v>67</v>
      </c>
      <c r="T3060" s="6">
        <v>6466.0</v>
      </c>
    </row>
    <row r="3061" ht="56.25" customHeight="1">
      <c r="A3061" s="5" t="s">
        <v>15970</v>
      </c>
      <c r="B3061" s="6" t="str">
        <f>image("https://storage.googleapis.com/acdb/photos/BromideNpcNmlDuk11_Remake_3_0.png")</f>
        <v/>
      </c>
      <c r="C3061" s="5" t="s">
        <v>57</v>
      </c>
      <c r="D3061" s="5" t="s">
        <v>1327</v>
      </c>
      <c r="E3061" s="5" t="s">
        <v>34</v>
      </c>
      <c r="F3061" s="5" t="s">
        <v>34</v>
      </c>
      <c r="G3061" s="5" t="s">
        <v>36</v>
      </c>
      <c r="H3061" s="5" t="s">
        <v>35</v>
      </c>
      <c r="I3061" s="6">
        <v>1.0</v>
      </c>
      <c r="J3061" s="6" t="s">
        <v>37</v>
      </c>
      <c r="K3061" s="6">
        <v>10.0</v>
      </c>
      <c r="L3061" s="5"/>
      <c r="M3061" s="5"/>
      <c r="N3061" s="6" t="s">
        <v>40</v>
      </c>
      <c r="O3061" s="5" t="s">
        <v>5363</v>
      </c>
      <c r="P3061" s="6" t="s">
        <v>42</v>
      </c>
      <c r="Q3061" s="5" t="s">
        <v>1237</v>
      </c>
      <c r="R3061" s="5" t="s">
        <v>15981</v>
      </c>
      <c r="S3061" s="6" t="s">
        <v>71</v>
      </c>
      <c r="T3061" s="6">
        <v>6466.0</v>
      </c>
    </row>
    <row r="3062" ht="56.25" customHeight="1">
      <c r="A3062" s="5" t="s">
        <v>15970</v>
      </c>
      <c r="B3062" s="6" t="str">
        <f>image("https://storage.googleapis.com/acdb/photos/BromideNpcNmlDuk11_Remake_4_0.png")</f>
        <v/>
      </c>
      <c r="C3062" s="5" t="s">
        <v>1167</v>
      </c>
      <c r="D3062" s="5" t="s">
        <v>1327</v>
      </c>
      <c r="E3062" s="5" t="s">
        <v>34</v>
      </c>
      <c r="F3062" s="5" t="s">
        <v>34</v>
      </c>
      <c r="G3062" s="5" t="s">
        <v>36</v>
      </c>
      <c r="H3062" s="5" t="s">
        <v>35</v>
      </c>
      <c r="I3062" s="6">
        <v>1.0</v>
      </c>
      <c r="J3062" s="6" t="s">
        <v>37</v>
      </c>
      <c r="K3062" s="6">
        <v>10.0</v>
      </c>
      <c r="L3062" s="5"/>
      <c r="M3062" s="5"/>
      <c r="N3062" s="6" t="s">
        <v>40</v>
      </c>
      <c r="O3062" s="5" t="s">
        <v>5363</v>
      </c>
      <c r="P3062" s="6" t="s">
        <v>42</v>
      </c>
      <c r="Q3062" s="5" t="s">
        <v>1237</v>
      </c>
      <c r="R3062" s="5" t="s">
        <v>15984</v>
      </c>
      <c r="S3062" s="6" t="s">
        <v>75</v>
      </c>
      <c r="T3062" s="6">
        <v>6466.0</v>
      </c>
    </row>
    <row r="3063" ht="56.25" customHeight="1">
      <c r="A3063" s="5" t="s">
        <v>15970</v>
      </c>
      <c r="B3063" s="6" t="str">
        <f>image("https://storage.googleapis.com/acdb/photos/BromideNpcNmlDuk11_Remake_5_0.png")</f>
        <v/>
      </c>
      <c r="C3063" s="5" t="s">
        <v>58</v>
      </c>
      <c r="D3063" s="5" t="s">
        <v>1327</v>
      </c>
      <c r="E3063" s="5" t="s">
        <v>34</v>
      </c>
      <c r="F3063" s="5" t="s">
        <v>34</v>
      </c>
      <c r="G3063" s="5" t="s">
        <v>36</v>
      </c>
      <c r="H3063" s="5" t="s">
        <v>35</v>
      </c>
      <c r="I3063" s="6">
        <v>1.0</v>
      </c>
      <c r="J3063" s="6" t="s">
        <v>37</v>
      </c>
      <c r="K3063" s="6">
        <v>10.0</v>
      </c>
      <c r="L3063" s="5"/>
      <c r="M3063" s="5"/>
      <c r="N3063" s="6" t="s">
        <v>40</v>
      </c>
      <c r="O3063" s="5" t="s">
        <v>5363</v>
      </c>
      <c r="P3063" s="6" t="s">
        <v>42</v>
      </c>
      <c r="Q3063" s="5" t="s">
        <v>1237</v>
      </c>
      <c r="R3063" s="5" t="s">
        <v>15987</v>
      </c>
      <c r="S3063" s="6" t="s">
        <v>79</v>
      </c>
      <c r="T3063" s="6">
        <v>6466.0</v>
      </c>
    </row>
    <row r="3064" ht="56.25" customHeight="1">
      <c r="A3064" s="5" t="s">
        <v>15970</v>
      </c>
      <c r="B3064" s="6" t="str">
        <f>image("https://storage.googleapis.com/acdb/photos/BromideNpcNmlDuk11_Remake_6_0.png")</f>
        <v/>
      </c>
      <c r="C3064" s="5" t="s">
        <v>146</v>
      </c>
      <c r="D3064" s="5" t="s">
        <v>1327</v>
      </c>
      <c r="E3064" s="5" t="s">
        <v>34</v>
      </c>
      <c r="F3064" s="5" t="s">
        <v>34</v>
      </c>
      <c r="G3064" s="5" t="s">
        <v>36</v>
      </c>
      <c r="H3064" s="5" t="s">
        <v>35</v>
      </c>
      <c r="I3064" s="6">
        <v>1.0</v>
      </c>
      <c r="J3064" s="6" t="s">
        <v>37</v>
      </c>
      <c r="K3064" s="6">
        <v>10.0</v>
      </c>
      <c r="L3064" s="5"/>
      <c r="M3064" s="5"/>
      <c r="N3064" s="6" t="s">
        <v>40</v>
      </c>
      <c r="O3064" s="5" t="s">
        <v>5363</v>
      </c>
      <c r="P3064" s="6" t="s">
        <v>42</v>
      </c>
      <c r="Q3064" s="5" t="s">
        <v>1237</v>
      </c>
      <c r="R3064" s="5" t="s">
        <v>15992</v>
      </c>
      <c r="S3064" s="6" t="s">
        <v>86</v>
      </c>
      <c r="T3064" s="6">
        <v>6466.0</v>
      </c>
    </row>
    <row r="3065" ht="56.25" customHeight="1">
      <c r="A3065" s="5" t="s">
        <v>15970</v>
      </c>
      <c r="B3065" s="6" t="str">
        <f>image("https://storage.googleapis.com/acdb/photos/BromideNpcNmlDuk11_Remake_7_0.png")</f>
        <v/>
      </c>
      <c r="C3065" s="5" t="s">
        <v>151</v>
      </c>
      <c r="D3065" s="5" t="s">
        <v>1327</v>
      </c>
      <c r="E3065" s="5" t="s">
        <v>34</v>
      </c>
      <c r="F3065" s="5" t="s">
        <v>34</v>
      </c>
      <c r="G3065" s="5" t="s">
        <v>36</v>
      </c>
      <c r="H3065" s="5" t="s">
        <v>35</v>
      </c>
      <c r="I3065" s="6">
        <v>1.0</v>
      </c>
      <c r="J3065" s="6" t="s">
        <v>37</v>
      </c>
      <c r="K3065" s="6">
        <v>10.0</v>
      </c>
      <c r="L3065" s="5"/>
      <c r="M3065" s="5"/>
      <c r="N3065" s="6" t="s">
        <v>40</v>
      </c>
      <c r="O3065" s="5" t="s">
        <v>5363</v>
      </c>
      <c r="P3065" s="6" t="s">
        <v>42</v>
      </c>
      <c r="Q3065" s="5" t="s">
        <v>1237</v>
      </c>
      <c r="R3065" s="5" t="s">
        <v>15995</v>
      </c>
      <c r="S3065" s="6" t="s">
        <v>208</v>
      </c>
      <c r="T3065" s="6">
        <v>6466.0</v>
      </c>
    </row>
    <row r="3066" ht="56.25" customHeight="1">
      <c r="A3066" s="5" t="s">
        <v>15996</v>
      </c>
      <c r="B3066" s="6" t="str">
        <f>image("https://storage.googleapis.com/acdb/photos/BromideNpcNmlShp09_Remake_0_0.png")</f>
        <v/>
      </c>
      <c r="C3066" s="5" t="s">
        <v>366</v>
      </c>
      <c r="D3066" s="5" t="s">
        <v>1327</v>
      </c>
      <c r="E3066" s="5" t="s">
        <v>34</v>
      </c>
      <c r="F3066" s="5" t="s">
        <v>34</v>
      </c>
      <c r="G3066" s="5" t="s">
        <v>36</v>
      </c>
      <c r="H3066" s="5" t="s">
        <v>35</v>
      </c>
      <c r="I3066" s="6">
        <v>1.0</v>
      </c>
      <c r="J3066" s="6" t="s">
        <v>37</v>
      </c>
      <c r="K3066" s="6">
        <v>10.0</v>
      </c>
      <c r="L3066" s="5"/>
      <c r="M3066" s="5"/>
      <c r="N3066" s="6" t="s">
        <v>40</v>
      </c>
      <c r="O3066" s="5" t="s">
        <v>5363</v>
      </c>
      <c r="P3066" s="6" t="s">
        <v>42</v>
      </c>
      <c r="Q3066" s="5" t="s">
        <v>1237</v>
      </c>
      <c r="R3066" s="5" t="s">
        <v>16001</v>
      </c>
      <c r="S3066" s="6" t="s">
        <v>50</v>
      </c>
      <c r="T3066" s="6">
        <v>6698.0</v>
      </c>
    </row>
    <row r="3067" ht="56.25" customHeight="1">
      <c r="A3067" s="5" t="s">
        <v>15996</v>
      </c>
      <c r="B3067" s="6" t="str">
        <f>image("https://storage.googleapis.com/acdb/photos/BromideNpcNmlShp09_Remake_1_0.png")</f>
        <v/>
      </c>
      <c r="C3067" s="5" t="s">
        <v>1132</v>
      </c>
      <c r="D3067" s="5" t="s">
        <v>1327</v>
      </c>
      <c r="E3067" s="5" t="s">
        <v>34</v>
      </c>
      <c r="F3067" s="5" t="s">
        <v>34</v>
      </c>
      <c r="G3067" s="5" t="s">
        <v>36</v>
      </c>
      <c r="H3067" s="5" t="s">
        <v>35</v>
      </c>
      <c r="I3067" s="6">
        <v>1.0</v>
      </c>
      <c r="J3067" s="6" t="s">
        <v>37</v>
      </c>
      <c r="K3067" s="6">
        <v>10.0</v>
      </c>
      <c r="L3067" s="5"/>
      <c r="M3067" s="5"/>
      <c r="N3067" s="6" t="s">
        <v>40</v>
      </c>
      <c r="O3067" s="5" t="s">
        <v>5363</v>
      </c>
      <c r="P3067" s="6" t="s">
        <v>42</v>
      </c>
      <c r="Q3067" s="5" t="s">
        <v>1237</v>
      </c>
      <c r="R3067" s="5" t="s">
        <v>16005</v>
      </c>
      <c r="S3067" s="6" t="s">
        <v>56</v>
      </c>
      <c r="T3067" s="6">
        <v>6698.0</v>
      </c>
    </row>
    <row r="3068" ht="56.25" customHeight="1">
      <c r="A3068" s="5" t="s">
        <v>15996</v>
      </c>
      <c r="B3068" s="6" t="str">
        <f>image("https://storage.googleapis.com/acdb/photos/BromideNpcNmlShp09_Remake_2_0.png")</f>
        <v/>
      </c>
      <c r="C3068" s="5" t="s">
        <v>688</v>
      </c>
      <c r="D3068" s="5" t="s">
        <v>1327</v>
      </c>
      <c r="E3068" s="5" t="s">
        <v>34</v>
      </c>
      <c r="F3068" s="5" t="s">
        <v>34</v>
      </c>
      <c r="G3068" s="5" t="s">
        <v>36</v>
      </c>
      <c r="H3068" s="5" t="s">
        <v>35</v>
      </c>
      <c r="I3068" s="6">
        <v>1.0</v>
      </c>
      <c r="J3068" s="6" t="s">
        <v>37</v>
      </c>
      <c r="K3068" s="6">
        <v>10.0</v>
      </c>
      <c r="L3068" s="5"/>
      <c r="M3068" s="5"/>
      <c r="N3068" s="6" t="s">
        <v>40</v>
      </c>
      <c r="O3068" s="5" t="s">
        <v>5363</v>
      </c>
      <c r="P3068" s="6" t="s">
        <v>42</v>
      </c>
      <c r="Q3068" s="5" t="s">
        <v>1237</v>
      </c>
      <c r="R3068" s="5" t="s">
        <v>16008</v>
      </c>
      <c r="S3068" s="6" t="s">
        <v>67</v>
      </c>
      <c r="T3068" s="6">
        <v>6698.0</v>
      </c>
    </row>
    <row r="3069" ht="56.25" customHeight="1">
      <c r="A3069" s="5" t="s">
        <v>15996</v>
      </c>
      <c r="B3069" s="6" t="str">
        <f>image("https://storage.googleapis.com/acdb/photos/BromideNpcNmlShp09_Remake_3_0.png")</f>
        <v/>
      </c>
      <c r="C3069" s="5" t="s">
        <v>57</v>
      </c>
      <c r="D3069" s="5" t="s">
        <v>1327</v>
      </c>
      <c r="E3069" s="5" t="s">
        <v>34</v>
      </c>
      <c r="F3069" s="5" t="s">
        <v>34</v>
      </c>
      <c r="G3069" s="5" t="s">
        <v>36</v>
      </c>
      <c r="H3069" s="5" t="s">
        <v>35</v>
      </c>
      <c r="I3069" s="6">
        <v>1.0</v>
      </c>
      <c r="J3069" s="6" t="s">
        <v>37</v>
      </c>
      <c r="K3069" s="6">
        <v>10.0</v>
      </c>
      <c r="L3069" s="5"/>
      <c r="M3069" s="5"/>
      <c r="N3069" s="6" t="s">
        <v>40</v>
      </c>
      <c r="O3069" s="5" t="s">
        <v>5363</v>
      </c>
      <c r="P3069" s="6" t="s">
        <v>42</v>
      </c>
      <c r="Q3069" s="5" t="s">
        <v>1237</v>
      </c>
      <c r="R3069" s="5" t="s">
        <v>16012</v>
      </c>
      <c r="S3069" s="6" t="s">
        <v>71</v>
      </c>
      <c r="T3069" s="6">
        <v>6698.0</v>
      </c>
    </row>
    <row r="3070" ht="56.25" customHeight="1">
      <c r="A3070" s="5" t="s">
        <v>15996</v>
      </c>
      <c r="B3070" s="6" t="str">
        <f>image("https://storage.googleapis.com/acdb/photos/BromideNpcNmlShp09_Remake_4_0.png")</f>
        <v/>
      </c>
      <c r="C3070" s="5" t="s">
        <v>1167</v>
      </c>
      <c r="D3070" s="5" t="s">
        <v>1327</v>
      </c>
      <c r="E3070" s="5" t="s">
        <v>34</v>
      </c>
      <c r="F3070" s="5" t="s">
        <v>34</v>
      </c>
      <c r="G3070" s="5" t="s">
        <v>36</v>
      </c>
      <c r="H3070" s="5" t="s">
        <v>35</v>
      </c>
      <c r="I3070" s="6">
        <v>1.0</v>
      </c>
      <c r="J3070" s="6" t="s">
        <v>37</v>
      </c>
      <c r="K3070" s="6">
        <v>10.0</v>
      </c>
      <c r="L3070" s="5"/>
      <c r="M3070" s="5"/>
      <c r="N3070" s="6" t="s">
        <v>40</v>
      </c>
      <c r="O3070" s="5" t="s">
        <v>5363</v>
      </c>
      <c r="P3070" s="6" t="s">
        <v>42</v>
      </c>
      <c r="Q3070" s="5" t="s">
        <v>1237</v>
      </c>
      <c r="R3070" s="5" t="s">
        <v>16017</v>
      </c>
      <c r="S3070" s="6" t="s">
        <v>75</v>
      </c>
      <c r="T3070" s="6">
        <v>6698.0</v>
      </c>
    </row>
    <row r="3071" ht="56.25" customHeight="1">
      <c r="A3071" s="5" t="s">
        <v>15996</v>
      </c>
      <c r="B3071" s="6" t="str">
        <f>image("https://storage.googleapis.com/acdb/photos/BromideNpcNmlShp09_Remake_5_0.png")</f>
        <v/>
      </c>
      <c r="C3071" s="5" t="s">
        <v>58</v>
      </c>
      <c r="D3071" s="5" t="s">
        <v>1327</v>
      </c>
      <c r="E3071" s="5" t="s">
        <v>34</v>
      </c>
      <c r="F3071" s="5" t="s">
        <v>34</v>
      </c>
      <c r="G3071" s="5" t="s">
        <v>36</v>
      </c>
      <c r="H3071" s="5" t="s">
        <v>35</v>
      </c>
      <c r="I3071" s="6">
        <v>1.0</v>
      </c>
      <c r="J3071" s="6" t="s">
        <v>37</v>
      </c>
      <c r="K3071" s="6">
        <v>10.0</v>
      </c>
      <c r="L3071" s="5"/>
      <c r="M3071" s="5"/>
      <c r="N3071" s="6" t="s">
        <v>40</v>
      </c>
      <c r="O3071" s="5" t="s">
        <v>5363</v>
      </c>
      <c r="P3071" s="6" t="s">
        <v>42</v>
      </c>
      <c r="Q3071" s="5" t="s">
        <v>1237</v>
      </c>
      <c r="R3071" s="5" t="s">
        <v>16021</v>
      </c>
      <c r="S3071" s="6" t="s">
        <v>79</v>
      </c>
      <c r="T3071" s="6">
        <v>6698.0</v>
      </c>
    </row>
    <row r="3072" ht="56.25" customHeight="1">
      <c r="A3072" s="5" t="s">
        <v>15996</v>
      </c>
      <c r="B3072" s="6" t="str">
        <f>image("https://storage.googleapis.com/acdb/photos/BromideNpcNmlShp09_Remake_6_0.png")</f>
        <v/>
      </c>
      <c r="C3072" s="5" t="s">
        <v>146</v>
      </c>
      <c r="D3072" s="5" t="s">
        <v>1327</v>
      </c>
      <c r="E3072" s="5" t="s">
        <v>34</v>
      </c>
      <c r="F3072" s="5" t="s">
        <v>34</v>
      </c>
      <c r="G3072" s="5" t="s">
        <v>36</v>
      </c>
      <c r="H3072" s="5" t="s">
        <v>35</v>
      </c>
      <c r="I3072" s="6">
        <v>1.0</v>
      </c>
      <c r="J3072" s="6" t="s">
        <v>37</v>
      </c>
      <c r="K3072" s="6">
        <v>10.0</v>
      </c>
      <c r="L3072" s="5"/>
      <c r="M3072" s="5"/>
      <c r="N3072" s="6" t="s">
        <v>40</v>
      </c>
      <c r="O3072" s="5" t="s">
        <v>5363</v>
      </c>
      <c r="P3072" s="6" t="s">
        <v>42</v>
      </c>
      <c r="Q3072" s="5" t="s">
        <v>1237</v>
      </c>
      <c r="R3072" s="5" t="s">
        <v>16026</v>
      </c>
      <c r="S3072" s="6" t="s">
        <v>86</v>
      </c>
      <c r="T3072" s="6">
        <v>6698.0</v>
      </c>
    </row>
    <row r="3073" ht="56.25" customHeight="1">
      <c r="A3073" s="5" t="s">
        <v>15996</v>
      </c>
      <c r="B3073" s="6" t="str">
        <f>image("https://storage.googleapis.com/acdb/photos/BromideNpcNmlShp09_Remake_7_0.png")</f>
        <v/>
      </c>
      <c r="C3073" s="5" t="s">
        <v>151</v>
      </c>
      <c r="D3073" s="5" t="s">
        <v>1327</v>
      </c>
      <c r="E3073" s="5" t="s">
        <v>34</v>
      </c>
      <c r="F3073" s="5" t="s">
        <v>34</v>
      </c>
      <c r="G3073" s="5" t="s">
        <v>36</v>
      </c>
      <c r="H3073" s="5" t="s">
        <v>35</v>
      </c>
      <c r="I3073" s="6">
        <v>1.0</v>
      </c>
      <c r="J3073" s="6" t="s">
        <v>37</v>
      </c>
      <c r="K3073" s="6">
        <v>10.0</v>
      </c>
      <c r="L3073" s="5"/>
      <c r="M3073" s="5"/>
      <c r="N3073" s="6" t="s">
        <v>40</v>
      </c>
      <c r="O3073" s="5" t="s">
        <v>5363</v>
      </c>
      <c r="P3073" s="6" t="s">
        <v>42</v>
      </c>
      <c r="Q3073" s="5" t="s">
        <v>1237</v>
      </c>
      <c r="R3073" s="5" t="s">
        <v>16029</v>
      </c>
      <c r="S3073" s="6" t="s">
        <v>208</v>
      </c>
      <c r="T3073" s="6">
        <v>6698.0</v>
      </c>
    </row>
    <row r="3074" ht="56.25" customHeight="1">
      <c r="A3074" s="5" t="s">
        <v>16030</v>
      </c>
      <c r="B3074" s="6" t="str">
        <f>image("https://storage.googleapis.com/acdb/photos/BromideNpcNmlWol03_Remake_0_0.png")</f>
        <v/>
      </c>
      <c r="C3074" s="5" t="s">
        <v>366</v>
      </c>
      <c r="D3074" s="5" t="s">
        <v>1327</v>
      </c>
      <c r="E3074" s="5" t="s">
        <v>34</v>
      </c>
      <c r="F3074" s="5" t="s">
        <v>34</v>
      </c>
      <c r="G3074" s="5" t="s">
        <v>36</v>
      </c>
      <c r="H3074" s="5" t="s">
        <v>35</v>
      </c>
      <c r="I3074" s="6">
        <v>1.0</v>
      </c>
      <c r="J3074" s="6" t="s">
        <v>37</v>
      </c>
      <c r="K3074" s="6">
        <v>10.0</v>
      </c>
      <c r="L3074" s="5"/>
      <c r="M3074" s="5"/>
      <c r="N3074" s="6" t="s">
        <v>40</v>
      </c>
      <c r="O3074" s="5" t="s">
        <v>5363</v>
      </c>
      <c r="P3074" s="6" t="s">
        <v>42</v>
      </c>
      <c r="Q3074" s="5" t="s">
        <v>1237</v>
      </c>
      <c r="R3074" s="5" t="s">
        <v>16037</v>
      </c>
      <c r="S3074" s="6" t="s">
        <v>50</v>
      </c>
      <c r="T3074" s="6">
        <v>6734.0</v>
      </c>
    </row>
    <row r="3075" ht="56.25" customHeight="1">
      <c r="A3075" s="5" t="s">
        <v>16030</v>
      </c>
      <c r="B3075" s="6" t="str">
        <f>image("https://storage.googleapis.com/acdb/photos/BromideNpcNmlWol03_Remake_1_0.png")</f>
        <v/>
      </c>
      <c r="C3075" s="5" t="s">
        <v>1132</v>
      </c>
      <c r="D3075" s="5" t="s">
        <v>1327</v>
      </c>
      <c r="E3075" s="5" t="s">
        <v>34</v>
      </c>
      <c r="F3075" s="5" t="s">
        <v>34</v>
      </c>
      <c r="G3075" s="5" t="s">
        <v>36</v>
      </c>
      <c r="H3075" s="5" t="s">
        <v>35</v>
      </c>
      <c r="I3075" s="6">
        <v>1.0</v>
      </c>
      <c r="J3075" s="6" t="s">
        <v>37</v>
      </c>
      <c r="K3075" s="6">
        <v>10.0</v>
      </c>
      <c r="L3075" s="5"/>
      <c r="M3075" s="5"/>
      <c r="N3075" s="6" t="s">
        <v>40</v>
      </c>
      <c r="O3075" s="5" t="s">
        <v>5363</v>
      </c>
      <c r="P3075" s="6" t="s">
        <v>42</v>
      </c>
      <c r="Q3075" s="5" t="s">
        <v>1237</v>
      </c>
      <c r="R3075" s="5" t="s">
        <v>16043</v>
      </c>
      <c r="S3075" s="6" t="s">
        <v>56</v>
      </c>
      <c r="T3075" s="6">
        <v>6734.0</v>
      </c>
    </row>
    <row r="3076" ht="56.25" customHeight="1">
      <c r="A3076" s="5" t="s">
        <v>16030</v>
      </c>
      <c r="B3076" s="6" t="str">
        <f>image("https://storage.googleapis.com/acdb/photos/BromideNpcNmlWol03_Remake_2_0.png")</f>
        <v/>
      </c>
      <c r="C3076" s="5" t="s">
        <v>688</v>
      </c>
      <c r="D3076" s="5" t="s">
        <v>1327</v>
      </c>
      <c r="E3076" s="5" t="s">
        <v>34</v>
      </c>
      <c r="F3076" s="5" t="s">
        <v>34</v>
      </c>
      <c r="G3076" s="5" t="s">
        <v>36</v>
      </c>
      <c r="H3076" s="5" t="s">
        <v>35</v>
      </c>
      <c r="I3076" s="6">
        <v>1.0</v>
      </c>
      <c r="J3076" s="6" t="s">
        <v>37</v>
      </c>
      <c r="K3076" s="6">
        <v>10.0</v>
      </c>
      <c r="L3076" s="5"/>
      <c r="M3076" s="5"/>
      <c r="N3076" s="6" t="s">
        <v>40</v>
      </c>
      <c r="O3076" s="5" t="s">
        <v>5363</v>
      </c>
      <c r="P3076" s="6" t="s">
        <v>42</v>
      </c>
      <c r="Q3076" s="5" t="s">
        <v>1237</v>
      </c>
      <c r="R3076" s="5" t="s">
        <v>16046</v>
      </c>
      <c r="S3076" s="6" t="s">
        <v>67</v>
      </c>
      <c r="T3076" s="6">
        <v>6734.0</v>
      </c>
    </row>
    <row r="3077" ht="56.25" customHeight="1">
      <c r="A3077" s="5" t="s">
        <v>16030</v>
      </c>
      <c r="B3077" s="6" t="str">
        <f>image("https://storage.googleapis.com/acdb/photos/BromideNpcNmlWol03_Remake_3_0.png")</f>
        <v/>
      </c>
      <c r="C3077" s="5" t="s">
        <v>57</v>
      </c>
      <c r="D3077" s="5" t="s">
        <v>1327</v>
      </c>
      <c r="E3077" s="5" t="s">
        <v>34</v>
      </c>
      <c r="F3077" s="5" t="s">
        <v>34</v>
      </c>
      <c r="G3077" s="5" t="s">
        <v>36</v>
      </c>
      <c r="H3077" s="5" t="s">
        <v>35</v>
      </c>
      <c r="I3077" s="6">
        <v>1.0</v>
      </c>
      <c r="J3077" s="6" t="s">
        <v>37</v>
      </c>
      <c r="K3077" s="6">
        <v>10.0</v>
      </c>
      <c r="L3077" s="5"/>
      <c r="M3077" s="5"/>
      <c r="N3077" s="6" t="s">
        <v>40</v>
      </c>
      <c r="O3077" s="5" t="s">
        <v>5363</v>
      </c>
      <c r="P3077" s="6" t="s">
        <v>42</v>
      </c>
      <c r="Q3077" s="5" t="s">
        <v>1237</v>
      </c>
      <c r="R3077" s="5" t="s">
        <v>16052</v>
      </c>
      <c r="S3077" s="6" t="s">
        <v>71</v>
      </c>
      <c r="T3077" s="6">
        <v>6734.0</v>
      </c>
    </row>
    <row r="3078" ht="56.25" customHeight="1">
      <c r="A3078" s="5" t="s">
        <v>16030</v>
      </c>
      <c r="B3078" s="6" t="str">
        <f>image("https://storage.googleapis.com/acdb/photos/BromideNpcNmlWol03_Remake_4_0.png")</f>
        <v/>
      </c>
      <c r="C3078" s="5" t="s">
        <v>1167</v>
      </c>
      <c r="D3078" s="5" t="s">
        <v>1327</v>
      </c>
      <c r="E3078" s="5" t="s">
        <v>34</v>
      </c>
      <c r="F3078" s="5" t="s">
        <v>34</v>
      </c>
      <c r="G3078" s="5" t="s">
        <v>36</v>
      </c>
      <c r="H3078" s="5" t="s">
        <v>35</v>
      </c>
      <c r="I3078" s="6">
        <v>1.0</v>
      </c>
      <c r="J3078" s="6" t="s">
        <v>37</v>
      </c>
      <c r="K3078" s="6">
        <v>10.0</v>
      </c>
      <c r="L3078" s="5"/>
      <c r="M3078" s="5"/>
      <c r="N3078" s="6" t="s">
        <v>40</v>
      </c>
      <c r="O3078" s="5" t="s">
        <v>5363</v>
      </c>
      <c r="P3078" s="6" t="s">
        <v>42</v>
      </c>
      <c r="Q3078" s="5" t="s">
        <v>1237</v>
      </c>
      <c r="R3078" s="5" t="s">
        <v>16057</v>
      </c>
      <c r="S3078" s="6" t="s">
        <v>75</v>
      </c>
      <c r="T3078" s="6">
        <v>6734.0</v>
      </c>
    </row>
    <row r="3079" ht="56.25" customHeight="1">
      <c r="A3079" s="5" t="s">
        <v>16030</v>
      </c>
      <c r="B3079" s="6" t="str">
        <f>image("https://storage.googleapis.com/acdb/photos/BromideNpcNmlWol03_Remake_5_0.png")</f>
        <v/>
      </c>
      <c r="C3079" s="5" t="s">
        <v>58</v>
      </c>
      <c r="D3079" s="5" t="s">
        <v>1327</v>
      </c>
      <c r="E3079" s="5" t="s">
        <v>34</v>
      </c>
      <c r="F3079" s="5" t="s">
        <v>34</v>
      </c>
      <c r="G3079" s="5" t="s">
        <v>36</v>
      </c>
      <c r="H3079" s="5" t="s">
        <v>35</v>
      </c>
      <c r="I3079" s="6">
        <v>1.0</v>
      </c>
      <c r="J3079" s="6" t="s">
        <v>37</v>
      </c>
      <c r="K3079" s="6">
        <v>10.0</v>
      </c>
      <c r="L3079" s="5"/>
      <c r="M3079" s="5"/>
      <c r="N3079" s="6" t="s">
        <v>40</v>
      </c>
      <c r="O3079" s="5" t="s">
        <v>5363</v>
      </c>
      <c r="P3079" s="6" t="s">
        <v>42</v>
      </c>
      <c r="Q3079" s="5" t="s">
        <v>1237</v>
      </c>
      <c r="R3079" s="5" t="s">
        <v>16060</v>
      </c>
      <c r="S3079" s="6" t="s">
        <v>79</v>
      </c>
      <c r="T3079" s="6">
        <v>6734.0</v>
      </c>
    </row>
    <row r="3080" ht="56.25" customHeight="1">
      <c r="A3080" s="5" t="s">
        <v>16030</v>
      </c>
      <c r="B3080" s="6" t="str">
        <f>image("https://storage.googleapis.com/acdb/photos/BromideNpcNmlWol03_Remake_6_0.png")</f>
        <v/>
      </c>
      <c r="C3080" s="5" t="s">
        <v>146</v>
      </c>
      <c r="D3080" s="5" t="s">
        <v>1327</v>
      </c>
      <c r="E3080" s="5" t="s">
        <v>34</v>
      </c>
      <c r="F3080" s="5" t="s">
        <v>34</v>
      </c>
      <c r="G3080" s="5" t="s">
        <v>36</v>
      </c>
      <c r="H3080" s="5" t="s">
        <v>35</v>
      </c>
      <c r="I3080" s="6">
        <v>1.0</v>
      </c>
      <c r="J3080" s="6" t="s">
        <v>37</v>
      </c>
      <c r="K3080" s="6">
        <v>10.0</v>
      </c>
      <c r="L3080" s="5"/>
      <c r="M3080" s="5"/>
      <c r="N3080" s="6" t="s">
        <v>40</v>
      </c>
      <c r="O3080" s="5" t="s">
        <v>5363</v>
      </c>
      <c r="P3080" s="6" t="s">
        <v>42</v>
      </c>
      <c r="Q3080" s="5" t="s">
        <v>1237</v>
      </c>
      <c r="R3080" s="5" t="s">
        <v>16063</v>
      </c>
      <c r="S3080" s="6" t="s">
        <v>86</v>
      </c>
      <c r="T3080" s="6">
        <v>6734.0</v>
      </c>
    </row>
    <row r="3081" ht="56.25" customHeight="1">
      <c r="A3081" s="5" t="s">
        <v>16030</v>
      </c>
      <c r="B3081" s="6" t="str">
        <f>image("https://storage.googleapis.com/acdb/photos/BromideNpcNmlWol03_Remake_7_0.png")</f>
        <v/>
      </c>
      <c r="C3081" s="5" t="s">
        <v>151</v>
      </c>
      <c r="D3081" s="5" t="s">
        <v>1327</v>
      </c>
      <c r="E3081" s="5" t="s">
        <v>34</v>
      </c>
      <c r="F3081" s="5" t="s">
        <v>34</v>
      </c>
      <c r="G3081" s="5" t="s">
        <v>36</v>
      </c>
      <c r="H3081" s="5" t="s">
        <v>35</v>
      </c>
      <c r="I3081" s="6">
        <v>1.0</v>
      </c>
      <c r="J3081" s="6" t="s">
        <v>37</v>
      </c>
      <c r="K3081" s="6">
        <v>10.0</v>
      </c>
      <c r="L3081" s="5"/>
      <c r="M3081" s="5"/>
      <c r="N3081" s="6" t="s">
        <v>40</v>
      </c>
      <c r="O3081" s="5" t="s">
        <v>5363</v>
      </c>
      <c r="P3081" s="6" t="s">
        <v>42</v>
      </c>
      <c r="Q3081" s="5" t="s">
        <v>1237</v>
      </c>
      <c r="R3081" s="5" t="s">
        <v>16068</v>
      </c>
      <c r="S3081" s="6" t="s">
        <v>208</v>
      </c>
      <c r="T3081" s="6">
        <v>6734.0</v>
      </c>
    </row>
    <row r="3082" ht="56.25" customHeight="1">
      <c r="A3082" s="5" t="s">
        <v>16070</v>
      </c>
      <c r="B3082" s="6" t="str">
        <f>image("https://storage.googleapis.com/acdb/photos/BromideNpcNmlShp07_Remake_0_0.png")</f>
        <v/>
      </c>
      <c r="C3082" s="5" t="s">
        <v>366</v>
      </c>
      <c r="D3082" s="5" t="s">
        <v>1327</v>
      </c>
      <c r="E3082" s="5" t="s">
        <v>34</v>
      </c>
      <c r="F3082" s="5" t="s">
        <v>34</v>
      </c>
      <c r="G3082" s="5" t="s">
        <v>36</v>
      </c>
      <c r="H3082" s="5" t="s">
        <v>35</v>
      </c>
      <c r="I3082" s="6">
        <v>1.0</v>
      </c>
      <c r="J3082" s="6" t="s">
        <v>37</v>
      </c>
      <c r="K3082" s="6">
        <v>10.0</v>
      </c>
      <c r="L3082" s="5"/>
      <c r="M3082" s="5"/>
      <c r="N3082" s="6" t="s">
        <v>40</v>
      </c>
      <c r="O3082" s="5" t="s">
        <v>5363</v>
      </c>
      <c r="P3082" s="6" t="s">
        <v>42</v>
      </c>
      <c r="Q3082" s="5" t="s">
        <v>1237</v>
      </c>
      <c r="R3082" s="5" t="s">
        <v>16073</v>
      </c>
      <c r="S3082" s="6" t="s">
        <v>50</v>
      </c>
      <c r="T3082" s="6">
        <v>6696.0</v>
      </c>
    </row>
    <row r="3083" ht="56.25" customHeight="1">
      <c r="A3083" s="5" t="s">
        <v>16070</v>
      </c>
      <c r="B3083" s="6" t="str">
        <f>image("https://storage.googleapis.com/acdb/photos/BromideNpcNmlShp07_Remake_1_0.png")</f>
        <v/>
      </c>
      <c r="C3083" s="5" t="s">
        <v>1132</v>
      </c>
      <c r="D3083" s="5" t="s">
        <v>1327</v>
      </c>
      <c r="E3083" s="5" t="s">
        <v>34</v>
      </c>
      <c r="F3083" s="5" t="s">
        <v>34</v>
      </c>
      <c r="G3083" s="5" t="s">
        <v>36</v>
      </c>
      <c r="H3083" s="5" t="s">
        <v>35</v>
      </c>
      <c r="I3083" s="6">
        <v>1.0</v>
      </c>
      <c r="J3083" s="6" t="s">
        <v>37</v>
      </c>
      <c r="K3083" s="6">
        <v>10.0</v>
      </c>
      <c r="L3083" s="5"/>
      <c r="M3083" s="5"/>
      <c r="N3083" s="6" t="s">
        <v>40</v>
      </c>
      <c r="O3083" s="5" t="s">
        <v>5363</v>
      </c>
      <c r="P3083" s="6" t="s">
        <v>42</v>
      </c>
      <c r="Q3083" s="5" t="s">
        <v>1237</v>
      </c>
      <c r="R3083" s="5" t="s">
        <v>16077</v>
      </c>
      <c r="S3083" s="6" t="s">
        <v>56</v>
      </c>
      <c r="T3083" s="6">
        <v>6696.0</v>
      </c>
    </row>
    <row r="3084" ht="56.25" customHeight="1">
      <c r="A3084" s="5" t="s">
        <v>16070</v>
      </c>
      <c r="B3084" s="6" t="str">
        <f>image("https://storage.googleapis.com/acdb/photos/BromideNpcNmlShp07_Remake_2_0.png")</f>
        <v/>
      </c>
      <c r="C3084" s="5" t="s">
        <v>688</v>
      </c>
      <c r="D3084" s="5" t="s">
        <v>1327</v>
      </c>
      <c r="E3084" s="5" t="s">
        <v>34</v>
      </c>
      <c r="F3084" s="5" t="s">
        <v>34</v>
      </c>
      <c r="G3084" s="5" t="s">
        <v>36</v>
      </c>
      <c r="H3084" s="5" t="s">
        <v>35</v>
      </c>
      <c r="I3084" s="6">
        <v>1.0</v>
      </c>
      <c r="J3084" s="6" t="s">
        <v>37</v>
      </c>
      <c r="K3084" s="6">
        <v>10.0</v>
      </c>
      <c r="L3084" s="5"/>
      <c r="M3084" s="5"/>
      <c r="N3084" s="6" t="s">
        <v>40</v>
      </c>
      <c r="O3084" s="5" t="s">
        <v>5363</v>
      </c>
      <c r="P3084" s="6" t="s">
        <v>42</v>
      </c>
      <c r="Q3084" s="5" t="s">
        <v>1237</v>
      </c>
      <c r="R3084" s="5" t="s">
        <v>16081</v>
      </c>
      <c r="S3084" s="6" t="s">
        <v>67</v>
      </c>
      <c r="T3084" s="6">
        <v>6696.0</v>
      </c>
    </row>
    <row r="3085" ht="56.25" customHeight="1">
      <c r="A3085" s="5" t="s">
        <v>16070</v>
      </c>
      <c r="B3085" s="6" t="str">
        <f>image("https://storage.googleapis.com/acdb/photos/BromideNpcNmlShp07_Remake_3_0.png")</f>
        <v/>
      </c>
      <c r="C3085" s="5" t="s">
        <v>57</v>
      </c>
      <c r="D3085" s="5" t="s">
        <v>1327</v>
      </c>
      <c r="E3085" s="5" t="s">
        <v>34</v>
      </c>
      <c r="F3085" s="5" t="s">
        <v>34</v>
      </c>
      <c r="G3085" s="5" t="s">
        <v>36</v>
      </c>
      <c r="H3085" s="5" t="s">
        <v>35</v>
      </c>
      <c r="I3085" s="6">
        <v>1.0</v>
      </c>
      <c r="J3085" s="6" t="s">
        <v>37</v>
      </c>
      <c r="K3085" s="6">
        <v>10.0</v>
      </c>
      <c r="L3085" s="5"/>
      <c r="M3085" s="5"/>
      <c r="N3085" s="6" t="s">
        <v>40</v>
      </c>
      <c r="O3085" s="5" t="s">
        <v>5363</v>
      </c>
      <c r="P3085" s="6" t="s">
        <v>42</v>
      </c>
      <c r="Q3085" s="5" t="s">
        <v>1237</v>
      </c>
      <c r="R3085" s="5" t="s">
        <v>16087</v>
      </c>
      <c r="S3085" s="6" t="s">
        <v>71</v>
      </c>
      <c r="T3085" s="6">
        <v>6696.0</v>
      </c>
    </row>
    <row r="3086" ht="56.25" customHeight="1">
      <c r="A3086" s="5" t="s">
        <v>16070</v>
      </c>
      <c r="B3086" s="6" t="str">
        <f>image("https://storage.googleapis.com/acdb/photos/BromideNpcNmlShp07_Remake_4_0.png")</f>
        <v/>
      </c>
      <c r="C3086" s="5" t="s">
        <v>1167</v>
      </c>
      <c r="D3086" s="5" t="s">
        <v>1327</v>
      </c>
      <c r="E3086" s="5" t="s">
        <v>34</v>
      </c>
      <c r="F3086" s="5" t="s">
        <v>34</v>
      </c>
      <c r="G3086" s="5" t="s">
        <v>36</v>
      </c>
      <c r="H3086" s="5" t="s">
        <v>35</v>
      </c>
      <c r="I3086" s="6">
        <v>1.0</v>
      </c>
      <c r="J3086" s="6" t="s">
        <v>37</v>
      </c>
      <c r="K3086" s="6">
        <v>10.0</v>
      </c>
      <c r="L3086" s="5"/>
      <c r="M3086" s="5"/>
      <c r="N3086" s="6" t="s">
        <v>40</v>
      </c>
      <c r="O3086" s="5" t="s">
        <v>5363</v>
      </c>
      <c r="P3086" s="6" t="s">
        <v>42</v>
      </c>
      <c r="Q3086" s="5" t="s">
        <v>1237</v>
      </c>
      <c r="R3086" s="5" t="s">
        <v>16091</v>
      </c>
      <c r="S3086" s="6" t="s">
        <v>75</v>
      </c>
      <c r="T3086" s="6">
        <v>6696.0</v>
      </c>
    </row>
    <row r="3087" ht="56.25" customHeight="1">
      <c r="A3087" s="5" t="s">
        <v>16070</v>
      </c>
      <c r="B3087" s="6" t="str">
        <f>image("https://storage.googleapis.com/acdb/photos/BromideNpcNmlShp07_Remake_5_0.png")</f>
        <v/>
      </c>
      <c r="C3087" s="5" t="s">
        <v>58</v>
      </c>
      <c r="D3087" s="5" t="s">
        <v>1327</v>
      </c>
      <c r="E3087" s="5" t="s">
        <v>34</v>
      </c>
      <c r="F3087" s="5" t="s">
        <v>34</v>
      </c>
      <c r="G3087" s="5" t="s">
        <v>36</v>
      </c>
      <c r="H3087" s="5" t="s">
        <v>35</v>
      </c>
      <c r="I3087" s="6">
        <v>1.0</v>
      </c>
      <c r="J3087" s="6" t="s">
        <v>37</v>
      </c>
      <c r="K3087" s="6">
        <v>10.0</v>
      </c>
      <c r="L3087" s="5"/>
      <c r="M3087" s="5"/>
      <c r="N3087" s="6" t="s">
        <v>40</v>
      </c>
      <c r="O3087" s="5" t="s">
        <v>5363</v>
      </c>
      <c r="P3087" s="6" t="s">
        <v>42</v>
      </c>
      <c r="Q3087" s="5" t="s">
        <v>1237</v>
      </c>
      <c r="R3087" s="5" t="s">
        <v>16095</v>
      </c>
      <c r="S3087" s="6" t="s">
        <v>79</v>
      </c>
      <c r="T3087" s="6">
        <v>6696.0</v>
      </c>
    </row>
    <row r="3088" ht="56.25" customHeight="1">
      <c r="A3088" s="5" t="s">
        <v>16070</v>
      </c>
      <c r="B3088" s="6" t="str">
        <f>image("https://storage.googleapis.com/acdb/photos/BromideNpcNmlShp07_Remake_6_0.png")</f>
        <v/>
      </c>
      <c r="C3088" s="5" t="s">
        <v>146</v>
      </c>
      <c r="D3088" s="5" t="s">
        <v>1327</v>
      </c>
      <c r="E3088" s="5" t="s">
        <v>34</v>
      </c>
      <c r="F3088" s="5" t="s">
        <v>34</v>
      </c>
      <c r="G3088" s="5" t="s">
        <v>36</v>
      </c>
      <c r="H3088" s="5" t="s">
        <v>35</v>
      </c>
      <c r="I3088" s="6">
        <v>1.0</v>
      </c>
      <c r="J3088" s="6" t="s">
        <v>37</v>
      </c>
      <c r="K3088" s="6">
        <v>10.0</v>
      </c>
      <c r="L3088" s="5"/>
      <c r="M3088" s="5"/>
      <c r="N3088" s="6" t="s">
        <v>40</v>
      </c>
      <c r="O3088" s="5" t="s">
        <v>5363</v>
      </c>
      <c r="P3088" s="6" t="s">
        <v>42</v>
      </c>
      <c r="Q3088" s="5" t="s">
        <v>1237</v>
      </c>
      <c r="R3088" s="5" t="s">
        <v>16098</v>
      </c>
      <c r="S3088" s="6" t="s">
        <v>86</v>
      </c>
      <c r="T3088" s="6">
        <v>6696.0</v>
      </c>
    </row>
    <row r="3089" ht="56.25" customHeight="1">
      <c r="A3089" s="5" t="s">
        <v>16070</v>
      </c>
      <c r="B3089" s="6" t="str">
        <f>image("https://storage.googleapis.com/acdb/photos/BromideNpcNmlShp07_Remake_7_0.png")</f>
        <v/>
      </c>
      <c r="C3089" s="5" t="s">
        <v>151</v>
      </c>
      <c r="D3089" s="5" t="s">
        <v>1327</v>
      </c>
      <c r="E3089" s="5" t="s">
        <v>34</v>
      </c>
      <c r="F3089" s="5" t="s">
        <v>34</v>
      </c>
      <c r="G3089" s="5" t="s">
        <v>36</v>
      </c>
      <c r="H3089" s="5" t="s">
        <v>35</v>
      </c>
      <c r="I3089" s="6">
        <v>1.0</v>
      </c>
      <c r="J3089" s="6" t="s">
        <v>37</v>
      </c>
      <c r="K3089" s="6">
        <v>10.0</v>
      </c>
      <c r="L3089" s="5"/>
      <c r="M3089" s="5"/>
      <c r="N3089" s="6" t="s">
        <v>40</v>
      </c>
      <c r="O3089" s="5" t="s">
        <v>5363</v>
      </c>
      <c r="P3089" s="6" t="s">
        <v>42</v>
      </c>
      <c r="Q3089" s="5" t="s">
        <v>1237</v>
      </c>
      <c r="R3089" s="5" t="s">
        <v>16101</v>
      </c>
      <c r="S3089" s="6" t="s">
        <v>208</v>
      </c>
      <c r="T3089" s="6">
        <v>6696.0</v>
      </c>
    </row>
    <row r="3090" ht="56.25" customHeight="1">
      <c r="A3090" s="5" t="s">
        <v>16102</v>
      </c>
      <c r="B3090" s="6" t="str">
        <f>image("https://storage.googleapis.com/acdb/photos/BromideNpcNmlHrs05_Remake_0_0.png")</f>
        <v/>
      </c>
      <c r="C3090" s="5" t="s">
        <v>366</v>
      </c>
      <c r="D3090" s="5" t="s">
        <v>1327</v>
      </c>
      <c r="E3090" s="5" t="s">
        <v>34</v>
      </c>
      <c r="F3090" s="5" t="s">
        <v>34</v>
      </c>
      <c r="G3090" s="5" t="s">
        <v>36</v>
      </c>
      <c r="H3090" s="5" t="s">
        <v>35</v>
      </c>
      <c r="I3090" s="6">
        <v>1.0</v>
      </c>
      <c r="J3090" s="6" t="s">
        <v>37</v>
      </c>
      <c r="K3090" s="6">
        <v>10.0</v>
      </c>
      <c r="L3090" s="5"/>
      <c r="M3090" s="5"/>
      <c r="N3090" s="6" t="s">
        <v>40</v>
      </c>
      <c r="O3090" s="5" t="s">
        <v>5363</v>
      </c>
      <c r="P3090" s="6" t="s">
        <v>42</v>
      </c>
      <c r="Q3090" s="5" t="s">
        <v>1237</v>
      </c>
      <c r="R3090" s="5" t="s">
        <v>16105</v>
      </c>
      <c r="S3090" s="6" t="s">
        <v>50</v>
      </c>
      <c r="T3090" s="6">
        <v>6544.0</v>
      </c>
    </row>
    <row r="3091" ht="56.25" customHeight="1">
      <c r="A3091" s="5" t="s">
        <v>16102</v>
      </c>
      <c r="B3091" s="6" t="str">
        <f>image("https://storage.googleapis.com/acdb/photos/BromideNpcNmlHrs05_Remake_1_0.png")</f>
        <v/>
      </c>
      <c r="C3091" s="5" t="s">
        <v>1132</v>
      </c>
      <c r="D3091" s="5" t="s">
        <v>1327</v>
      </c>
      <c r="E3091" s="5" t="s">
        <v>34</v>
      </c>
      <c r="F3091" s="5" t="s">
        <v>34</v>
      </c>
      <c r="G3091" s="5" t="s">
        <v>36</v>
      </c>
      <c r="H3091" s="5" t="s">
        <v>35</v>
      </c>
      <c r="I3091" s="6">
        <v>1.0</v>
      </c>
      <c r="J3091" s="6" t="s">
        <v>37</v>
      </c>
      <c r="K3091" s="6">
        <v>10.0</v>
      </c>
      <c r="L3091" s="5"/>
      <c r="M3091" s="5"/>
      <c r="N3091" s="6" t="s">
        <v>40</v>
      </c>
      <c r="O3091" s="5" t="s">
        <v>5363</v>
      </c>
      <c r="P3091" s="6" t="s">
        <v>42</v>
      </c>
      <c r="Q3091" s="5" t="s">
        <v>1237</v>
      </c>
      <c r="R3091" s="5" t="s">
        <v>16109</v>
      </c>
      <c r="S3091" s="6" t="s">
        <v>56</v>
      </c>
      <c r="T3091" s="6">
        <v>6544.0</v>
      </c>
    </row>
    <row r="3092" ht="56.25" customHeight="1">
      <c r="A3092" s="5" t="s">
        <v>16102</v>
      </c>
      <c r="B3092" s="6" t="str">
        <f>image("https://storage.googleapis.com/acdb/photos/BromideNpcNmlHrs05_Remake_2_0.png")</f>
        <v/>
      </c>
      <c r="C3092" s="5" t="s">
        <v>688</v>
      </c>
      <c r="D3092" s="5" t="s">
        <v>1327</v>
      </c>
      <c r="E3092" s="5" t="s">
        <v>34</v>
      </c>
      <c r="F3092" s="5" t="s">
        <v>34</v>
      </c>
      <c r="G3092" s="5" t="s">
        <v>36</v>
      </c>
      <c r="H3092" s="5" t="s">
        <v>35</v>
      </c>
      <c r="I3092" s="6">
        <v>1.0</v>
      </c>
      <c r="J3092" s="6" t="s">
        <v>37</v>
      </c>
      <c r="K3092" s="6">
        <v>10.0</v>
      </c>
      <c r="L3092" s="5"/>
      <c r="M3092" s="5"/>
      <c r="N3092" s="6" t="s">
        <v>40</v>
      </c>
      <c r="O3092" s="5" t="s">
        <v>5363</v>
      </c>
      <c r="P3092" s="6" t="s">
        <v>42</v>
      </c>
      <c r="Q3092" s="5" t="s">
        <v>1237</v>
      </c>
      <c r="R3092" s="5" t="s">
        <v>16111</v>
      </c>
      <c r="S3092" s="6" t="s">
        <v>67</v>
      </c>
      <c r="T3092" s="6">
        <v>6544.0</v>
      </c>
    </row>
    <row r="3093" ht="56.25" customHeight="1">
      <c r="A3093" s="5" t="s">
        <v>16102</v>
      </c>
      <c r="B3093" s="6" t="str">
        <f>image("https://storage.googleapis.com/acdb/photos/BromideNpcNmlHrs05_Remake_3_0.png")</f>
        <v/>
      </c>
      <c r="C3093" s="5" t="s">
        <v>57</v>
      </c>
      <c r="D3093" s="5" t="s">
        <v>1327</v>
      </c>
      <c r="E3093" s="5" t="s">
        <v>34</v>
      </c>
      <c r="F3093" s="5" t="s">
        <v>34</v>
      </c>
      <c r="G3093" s="5" t="s">
        <v>36</v>
      </c>
      <c r="H3093" s="5" t="s">
        <v>35</v>
      </c>
      <c r="I3093" s="6">
        <v>1.0</v>
      </c>
      <c r="J3093" s="6" t="s">
        <v>37</v>
      </c>
      <c r="K3093" s="6">
        <v>10.0</v>
      </c>
      <c r="L3093" s="5"/>
      <c r="M3093" s="5"/>
      <c r="N3093" s="6" t="s">
        <v>40</v>
      </c>
      <c r="O3093" s="5" t="s">
        <v>5363</v>
      </c>
      <c r="P3093" s="6" t="s">
        <v>42</v>
      </c>
      <c r="Q3093" s="5" t="s">
        <v>1237</v>
      </c>
      <c r="R3093" s="5" t="s">
        <v>16115</v>
      </c>
      <c r="S3093" s="6" t="s">
        <v>71</v>
      </c>
      <c r="T3093" s="6">
        <v>6544.0</v>
      </c>
    </row>
    <row r="3094" ht="56.25" customHeight="1">
      <c r="A3094" s="5" t="s">
        <v>16102</v>
      </c>
      <c r="B3094" s="6" t="str">
        <f>image("https://storage.googleapis.com/acdb/photos/BromideNpcNmlHrs05_Remake_4_0.png")</f>
        <v/>
      </c>
      <c r="C3094" s="5" t="s">
        <v>1167</v>
      </c>
      <c r="D3094" s="5" t="s">
        <v>1327</v>
      </c>
      <c r="E3094" s="5" t="s">
        <v>34</v>
      </c>
      <c r="F3094" s="5" t="s">
        <v>34</v>
      </c>
      <c r="G3094" s="5" t="s">
        <v>36</v>
      </c>
      <c r="H3094" s="5" t="s">
        <v>35</v>
      </c>
      <c r="I3094" s="6">
        <v>1.0</v>
      </c>
      <c r="J3094" s="6" t="s">
        <v>37</v>
      </c>
      <c r="K3094" s="6">
        <v>10.0</v>
      </c>
      <c r="L3094" s="5"/>
      <c r="M3094" s="5"/>
      <c r="N3094" s="6" t="s">
        <v>40</v>
      </c>
      <c r="O3094" s="5" t="s">
        <v>5363</v>
      </c>
      <c r="P3094" s="6" t="s">
        <v>42</v>
      </c>
      <c r="Q3094" s="5" t="s">
        <v>1237</v>
      </c>
      <c r="R3094" s="5" t="s">
        <v>16119</v>
      </c>
      <c r="S3094" s="6" t="s">
        <v>75</v>
      </c>
      <c r="T3094" s="6">
        <v>6544.0</v>
      </c>
    </row>
    <row r="3095" ht="56.25" customHeight="1">
      <c r="A3095" s="5" t="s">
        <v>16102</v>
      </c>
      <c r="B3095" s="6" t="str">
        <f>image("https://storage.googleapis.com/acdb/photos/BromideNpcNmlHrs05_Remake_5_0.png")</f>
        <v/>
      </c>
      <c r="C3095" s="5" t="s">
        <v>58</v>
      </c>
      <c r="D3095" s="5" t="s">
        <v>1327</v>
      </c>
      <c r="E3095" s="5" t="s">
        <v>34</v>
      </c>
      <c r="F3095" s="5" t="s">
        <v>34</v>
      </c>
      <c r="G3095" s="5" t="s">
        <v>36</v>
      </c>
      <c r="H3095" s="5" t="s">
        <v>35</v>
      </c>
      <c r="I3095" s="6">
        <v>1.0</v>
      </c>
      <c r="J3095" s="6" t="s">
        <v>37</v>
      </c>
      <c r="K3095" s="6">
        <v>10.0</v>
      </c>
      <c r="L3095" s="5"/>
      <c r="M3095" s="5"/>
      <c r="N3095" s="6" t="s">
        <v>40</v>
      </c>
      <c r="O3095" s="5" t="s">
        <v>5363</v>
      </c>
      <c r="P3095" s="6" t="s">
        <v>42</v>
      </c>
      <c r="Q3095" s="5" t="s">
        <v>1237</v>
      </c>
      <c r="R3095" s="5" t="s">
        <v>16123</v>
      </c>
      <c r="S3095" s="6" t="s">
        <v>79</v>
      </c>
      <c r="T3095" s="6">
        <v>6544.0</v>
      </c>
    </row>
    <row r="3096" ht="56.25" customHeight="1">
      <c r="A3096" s="5" t="s">
        <v>16102</v>
      </c>
      <c r="B3096" s="6" t="str">
        <f>image("https://storage.googleapis.com/acdb/photos/BromideNpcNmlHrs05_Remake_6_0.png")</f>
        <v/>
      </c>
      <c r="C3096" s="5" t="s">
        <v>146</v>
      </c>
      <c r="D3096" s="5" t="s">
        <v>1327</v>
      </c>
      <c r="E3096" s="5" t="s">
        <v>34</v>
      </c>
      <c r="F3096" s="5" t="s">
        <v>34</v>
      </c>
      <c r="G3096" s="5" t="s">
        <v>36</v>
      </c>
      <c r="H3096" s="5" t="s">
        <v>35</v>
      </c>
      <c r="I3096" s="6">
        <v>1.0</v>
      </c>
      <c r="J3096" s="6" t="s">
        <v>37</v>
      </c>
      <c r="K3096" s="6">
        <v>10.0</v>
      </c>
      <c r="L3096" s="5"/>
      <c r="M3096" s="5"/>
      <c r="N3096" s="6" t="s">
        <v>40</v>
      </c>
      <c r="O3096" s="5" t="s">
        <v>5363</v>
      </c>
      <c r="P3096" s="6" t="s">
        <v>42</v>
      </c>
      <c r="Q3096" s="5" t="s">
        <v>1237</v>
      </c>
      <c r="R3096" s="5" t="s">
        <v>16125</v>
      </c>
      <c r="S3096" s="6" t="s">
        <v>86</v>
      </c>
      <c r="T3096" s="6">
        <v>6544.0</v>
      </c>
    </row>
    <row r="3097" ht="56.25" customHeight="1">
      <c r="A3097" s="5" t="s">
        <v>16102</v>
      </c>
      <c r="B3097" s="6" t="str">
        <f>image("https://storage.googleapis.com/acdb/photos/BromideNpcNmlHrs05_Remake_7_0.png")</f>
        <v/>
      </c>
      <c r="C3097" s="5" t="s">
        <v>151</v>
      </c>
      <c r="D3097" s="5" t="s">
        <v>1327</v>
      </c>
      <c r="E3097" s="5" t="s">
        <v>34</v>
      </c>
      <c r="F3097" s="5" t="s">
        <v>34</v>
      </c>
      <c r="G3097" s="5" t="s">
        <v>36</v>
      </c>
      <c r="H3097" s="5" t="s">
        <v>35</v>
      </c>
      <c r="I3097" s="6">
        <v>1.0</v>
      </c>
      <c r="J3097" s="6" t="s">
        <v>37</v>
      </c>
      <c r="K3097" s="6">
        <v>10.0</v>
      </c>
      <c r="L3097" s="5"/>
      <c r="M3097" s="5"/>
      <c r="N3097" s="6" t="s">
        <v>40</v>
      </c>
      <c r="O3097" s="5" t="s">
        <v>5363</v>
      </c>
      <c r="P3097" s="6" t="s">
        <v>42</v>
      </c>
      <c r="Q3097" s="5" t="s">
        <v>1237</v>
      </c>
      <c r="R3097" s="5" t="s">
        <v>16128</v>
      </c>
      <c r="S3097" s="6" t="s">
        <v>208</v>
      </c>
      <c r="T3097" s="6">
        <v>6544.0</v>
      </c>
    </row>
    <row r="3098" ht="56.25" customHeight="1">
      <c r="A3098" s="5" t="s">
        <v>16129</v>
      </c>
      <c r="B3098" s="6" t="str">
        <f>image("https://storage.googleapis.com/acdb/photos/BromideNpcNmlWol02_Remake_0_0.png")</f>
        <v/>
      </c>
      <c r="C3098" s="5" t="s">
        <v>366</v>
      </c>
      <c r="D3098" s="5" t="s">
        <v>1327</v>
      </c>
      <c r="E3098" s="5" t="s">
        <v>34</v>
      </c>
      <c r="F3098" s="5" t="s">
        <v>34</v>
      </c>
      <c r="G3098" s="5" t="s">
        <v>36</v>
      </c>
      <c r="H3098" s="5" t="s">
        <v>35</v>
      </c>
      <c r="I3098" s="6">
        <v>1.0</v>
      </c>
      <c r="J3098" s="6" t="s">
        <v>37</v>
      </c>
      <c r="K3098" s="6">
        <v>10.0</v>
      </c>
      <c r="L3098" s="5"/>
      <c r="M3098" s="5"/>
      <c r="N3098" s="6" t="s">
        <v>40</v>
      </c>
      <c r="O3098" s="5" t="s">
        <v>5363</v>
      </c>
      <c r="P3098" s="6" t="s">
        <v>42</v>
      </c>
      <c r="Q3098" s="5" t="s">
        <v>1237</v>
      </c>
      <c r="R3098" s="5" t="s">
        <v>16134</v>
      </c>
      <c r="S3098" s="6" t="s">
        <v>50</v>
      </c>
      <c r="T3098" s="6">
        <v>6733.0</v>
      </c>
    </row>
    <row r="3099" ht="56.25" customHeight="1">
      <c r="A3099" s="5" t="s">
        <v>16129</v>
      </c>
      <c r="B3099" s="6" t="str">
        <f>image("https://storage.googleapis.com/acdb/photos/BromideNpcNmlWol02_Remake_1_0.png")</f>
        <v/>
      </c>
      <c r="C3099" s="5" t="s">
        <v>1132</v>
      </c>
      <c r="D3099" s="5" t="s">
        <v>1327</v>
      </c>
      <c r="E3099" s="5" t="s">
        <v>34</v>
      </c>
      <c r="F3099" s="5" t="s">
        <v>34</v>
      </c>
      <c r="G3099" s="5" t="s">
        <v>36</v>
      </c>
      <c r="H3099" s="5" t="s">
        <v>35</v>
      </c>
      <c r="I3099" s="6">
        <v>1.0</v>
      </c>
      <c r="J3099" s="6" t="s">
        <v>37</v>
      </c>
      <c r="K3099" s="6">
        <v>10.0</v>
      </c>
      <c r="L3099" s="5"/>
      <c r="M3099" s="5"/>
      <c r="N3099" s="6" t="s">
        <v>40</v>
      </c>
      <c r="O3099" s="5" t="s">
        <v>5363</v>
      </c>
      <c r="P3099" s="6" t="s">
        <v>42</v>
      </c>
      <c r="Q3099" s="5" t="s">
        <v>1237</v>
      </c>
      <c r="R3099" s="5" t="s">
        <v>16139</v>
      </c>
      <c r="S3099" s="6" t="s">
        <v>56</v>
      </c>
      <c r="T3099" s="6">
        <v>6733.0</v>
      </c>
    </row>
    <row r="3100" ht="56.25" customHeight="1">
      <c r="A3100" s="5" t="s">
        <v>16129</v>
      </c>
      <c r="B3100" s="6" t="str">
        <f>image("https://storage.googleapis.com/acdb/photos/BromideNpcNmlWol02_Remake_2_0.png")</f>
        <v/>
      </c>
      <c r="C3100" s="5" t="s">
        <v>688</v>
      </c>
      <c r="D3100" s="5" t="s">
        <v>1327</v>
      </c>
      <c r="E3100" s="5" t="s">
        <v>34</v>
      </c>
      <c r="F3100" s="5" t="s">
        <v>34</v>
      </c>
      <c r="G3100" s="5" t="s">
        <v>36</v>
      </c>
      <c r="H3100" s="5" t="s">
        <v>35</v>
      </c>
      <c r="I3100" s="6">
        <v>1.0</v>
      </c>
      <c r="J3100" s="6" t="s">
        <v>37</v>
      </c>
      <c r="K3100" s="6">
        <v>10.0</v>
      </c>
      <c r="L3100" s="5"/>
      <c r="M3100" s="5"/>
      <c r="N3100" s="6" t="s">
        <v>40</v>
      </c>
      <c r="O3100" s="5" t="s">
        <v>5363</v>
      </c>
      <c r="P3100" s="6" t="s">
        <v>42</v>
      </c>
      <c r="Q3100" s="5" t="s">
        <v>1237</v>
      </c>
      <c r="R3100" s="5" t="s">
        <v>16142</v>
      </c>
      <c r="S3100" s="6" t="s">
        <v>67</v>
      </c>
      <c r="T3100" s="6">
        <v>6733.0</v>
      </c>
    </row>
    <row r="3101" ht="56.25" customHeight="1">
      <c r="A3101" s="5" t="s">
        <v>16129</v>
      </c>
      <c r="B3101" s="6" t="str">
        <f>image("https://storage.googleapis.com/acdb/photos/BromideNpcNmlWol02_Remake_3_0.png")</f>
        <v/>
      </c>
      <c r="C3101" s="5" t="s">
        <v>57</v>
      </c>
      <c r="D3101" s="5" t="s">
        <v>1327</v>
      </c>
      <c r="E3101" s="5" t="s">
        <v>34</v>
      </c>
      <c r="F3101" s="5" t="s">
        <v>34</v>
      </c>
      <c r="G3101" s="5" t="s">
        <v>36</v>
      </c>
      <c r="H3101" s="5" t="s">
        <v>35</v>
      </c>
      <c r="I3101" s="6">
        <v>1.0</v>
      </c>
      <c r="J3101" s="6" t="s">
        <v>37</v>
      </c>
      <c r="K3101" s="6">
        <v>10.0</v>
      </c>
      <c r="L3101" s="5"/>
      <c r="M3101" s="5"/>
      <c r="N3101" s="6" t="s">
        <v>40</v>
      </c>
      <c r="O3101" s="5" t="s">
        <v>5363</v>
      </c>
      <c r="P3101" s="6" t="s">
        <v>42</v>
      </c>
      <c r="Q3101" s="5" t="s">
        <v>1237</v>
      </c>
      <c r="R3101" s="5" t="s">
        <v>16145</v>
      </c>
      <c r="S3101" s="6" t="s">
        <v>71</v>
      </c>
      <c r="T3101" s="6">
        <v>6733.0</v>
      </c>
    </row>
    <row r="3102" ht="56.25" customHeight="1">
      <c r="A3102" s="5" t="s">
        <v>16129</v>
      </c>
      <c r="B3102" s="6" t="str">
        <f>image("https://storage.googleapis.com/acdb/photos/BromideNpcNmlWol02_Remake_4_0.png")</f>
        <v/>
      </c>
      <c r="C3102" s="5" t="s">
        <v>1167</v>
      </c>
      <c r="D3102" s="5" t="s">
        <v>1327</v>
      </c>
      <c r="E3102" s="5" t="s">
        <v>34</v>
      </c>
      <c r="F3102" s="5" t="s">
        <v>34</v>
      </c>
      <c r="G3102" s="5" t="s">
        <v>36</v>
      </c>
      <c r="H3102" s="5" t="s">
        <v>35</v>
      </c>
      <c r="I3102" s="6">
        <v>1.0</v>
      </c>
      <c r="J3102" s="6" t="s">
        <v>37</v>
      </c>
      <c r="K3102" s="6">
        <v>10.0</v>
      </c>
      <c r="L3102" s="5"/>
      <c r="M3102" s="5"/>
      <c r="N3102" s="6" t="s">
        <v>40</v>
      </c>
      <c r="O3102" s="5" t="s">
        <v>5363</v>
      </c>
      <c r="P3102" s="6" t="s">
        <v>42</v>
      </c>
      <c r="Q3102" s="5" t="s">
        <v>1237</v>
      </c>
      <c r="R3102" s="5" t="s">
        <v>16149</v>
      </c>
      <c r="S3102" s="6" t="s">
        <v>75</v>
      </c>
      <c r="T3102" s="6">
        <v>6733.0</v>
      </c>
    </row>
    <row r="3103" ht="56.25" customHeight="1">
      <c r="A3103" s="5" t="s">
        <v>16129</v>
      </c>
      <c r="B3103" s="6" t="str">
        <f>image("https://storage.googleapis.com/acdb/photos/BromideNpcNmlWol02_Remake_5_0.png")</f>
        <v/>
      </c>
      <c r="C3103" s="5" t="s">
        <v>58</v>
      </c>
      <c r="D3103" s="5" t="s">
        <v>1327</v>
      </c>
      <c r="E3103" s="5" t="s">
        <v>34</v>
      </c>
      <c r="F3103" s="5" t="s">
        <v>34</v>
      </c>
      <c r="G3103" s="5" t="s">
        <v>36</v>
      </c>
      <c r="H3103" s="5" t="s">
        <v>35</v>
      </c>
      <c r="I3103" s="6">
        <v>1.0</v>
      </c>
      <c r="J3103" s="6" t="s">
        <v>37</v>
      </c>
      <c r="K3103" s="6">
        <v>10.0</v>
      </c>
      <c r="L3103" s="5"/>
      <c r="M3103" s="5"/>
      <c r="N3103" s="6" t="s">
        <v>40</v>
      </c>
      <c r="O3103" s="5" t="s">
        <v>5363</v>
      </c>
      <c r="P3103" s="6" t="s">
        <v>42</v>
      </c>
      <c r="Q3103" s="5" t="s">
        <v>1237</v>
      </c>
      <c r="R3103" s="5" t="s">
        <v>16152</v>
      </c>
      <c r="S3103" s="6" t="s">
        <v>79</v>
      </c>
      <c r="T3103" s="6">
        <v>6733.0</v>
      </c>
    </row>
    <row r="3104" ht="56.25" customHeight="1">
      <c r="A3104" s="5" t="s">
        <v>16129</v>
      </c>
      <c r="B3104" s="6" t="str">
        <f>image("https://storage.googleapis.com/acdb/photos/BromideNpcNmlWol02_Remake_6_0.png")</f>
        <v/>
      </c>
      <c r="C3104" s="5" t="s">
        <v>146</v>
      </c>
      <c r="D3104" s="5" t="s">
        <v>1327</v>
      </c>
      <c r="E3104" s="5" t="s">
        <v>34</v>
      </c>
      <c r="F3104" s="5" t="s">
        <v>34</v>
      </c>
      <c r="G3104" s="5" t="s">
        <v>36</v>
      </c>
      <c r="H3104" s="5" t="s">
        <v>35</v>
      </c>
      <c r="I3104" s="6">
        <v>1.0</v>
      </c>
      <c r="J3104" s="6" t="s">
        <v>37</v>
      </c>
      <c r="K3104" s="6">
        <v>10.0</v>
      </c>
      <c r="L3104" s="5"/>
      <c r="M3104" s="5"/>
      <c r="N3104" s="6" t="s">
        <v>40</v>
      </c>
      <c r="O3104" s="5" t="s">
        <v>5363</v>
      </c>
      <c r="P3104" s="6" t="s">
        <v>42</v>
      </c>
      <c r="Q3104" s="5" t="s">
        <v>1237</v>
      </c>
      <c r="R3104" s="5" t="s">
        <v>16155</v>
      </c>
      <c r="S3104" s="6" t="s">
        <v>86</v>
      </c>
      <c r="T3104" s="6">
        <v>6733.0</v>
      </c>
    </row>
    <row r="3105" ht="56.25" customHeight="1">
      <c r="A3105" s="5" t="s">
        <v>16129</v>
      </c>
      <c r="B3105" s="6" t="str">
        <f>image("https://storage.googleapis.com/acdb/photos/BromideNpcNmlWol02_Remake_7_0.png")</f>
        <v/>
      </c>
      <c r="C3105" s="5" t="s">
        <v>151</v>
      </c>
      <c r="D3105" s="5" t="s">
        <v>1327</v>
      </c>
      <c r="E3105" s="5" t="s">
        <v>34</v>
      </c>
      <c r="F3105" s="5" t="s">
        <v>34</v>
      </c>
      <c r="G3105" s="5" t="s">
        <v>36</v>
      </c>
      <c r="H3105" s="5" t="s">
        <v>35</v>
      </c>
      <c r="I3105" s="6">
        <v>1.0</v>
      </c>
      <c r="J3105" s="6" t="s">
        <v>37</v>
      </c>
      <c r="K3105" s="6">
        <v>10.0</v>
      </c>
      <c r="L3105" s="5"/>
      <c r="M3105" s="5"/>
      <c r="N3105" s="6" t="s">
        <v>40</v>
      </c>
      <c r="O3105" s="5" t="s">
        <v>5363</v>
      </c>
      <c r="P3105" s="6" t="s">
        <v>42</v>
      </c>
      <c r="Q3105" s="5" t="s">
        <v>1237</v>
      </c>
      <c r="R3105" s="5" t="s">
        <v>16160</v>
      </c>
      <c r="S3105" s="6" t="s">
        <v>208</v>
      </c>
      <c r="T3105" s="6">
        <v>6733.0</v>
      </c>
    </row>
    <row r="3106" ht="56.25" customHeight="1">
      <c r="A3106" s="5" t="s">
        <v>16161</v>
      </c>
      <c r="B3106" s="6" t="str">
        <f>image("https://storage.googleapis.com/acdb/photos/BromideNpcNmlKal00_Remake_0_0.png")</f>
        <v/>
      </c>
      <c r="C3106" s="5" t="s">
        <v>366</v>
      </c>
      <c r="D3106" s="5" t="s">
        <v>1327</v>
      </c>
      <c r="E3106" s="5" t="s">
        <v>34</v>
      </c>
      <c r="F3106" s="5" t="s">
        <v>34</v>
      </c>
      <c r="G3106" s="5" t="s">
        <v>36</v>
      </c>
      <c r="H3106" s="5" t="s">
        <v>35</v>
      </c>
      <c r="I3106" s="6">
        <v>1.0</v>
      </c>
      <c r="J3106" s="6" t="s">
        <v>37</v>
      </c>
      <c r="K3106" s="6">
        <v>10.0</v>
      </c>
      <c r="L3106" s="5"/>
      <c r="M3106" s="5"/>
      <c r="N3106" s="6" t="s">
        <v>40</v>
      </c>
      <c r="O3106" s="5" t="s">
        <v>5363</v>
      </c>
      <c r="P3106" s="6" t="s">
        <v>42</v>
      </c>
      <c r="Q3106" s="5" t="s">
        <v>1237</v>
      </c>
      <c r="R3106" s="5" t="s">
        <v>16163</v>
      </c>
      <c r="S3106" s="6" t="s">
        <v>50</v>
      </c>
      <c r="T3106" s="6">
        <v>6554.0</v>
      </c>
    </row>
    <row r="3107" ht="56.25" customHeight="1">
      <c r="A3107" s="5" t="s">
        <v>16161</v>
      </c>
      <c r="B3107" s="6" t="str">
        <f>image("https://storage.googleapis.com/acdb/photos/BromideNpcNmlKal00_Remake_1_0.png")</f>
        <v/>
      </c>
      <c r="C3107" s="5" t="s">
        <v>1132</v>
      </c>
      <c r="D3107" s="5" t="s">
        <v>1327</v>
      </c>
      <c r="E3107" s="5" t="s">
        <v>34</v>
      </c>
      <c r="F3107" s="5" t="s">
        <v>34</v>
      </c>
      <c r="G3107" s="5" t="s">
        <v>36</v>
      </c>
      <c r="H3107" s="5" t="s">
        <v>35</v>
      </c>
      <c r="I3107" s="6">
        <v>1.0</v>
      </c>
      <c r="J3107" s="6" t="s">
        <v>37</v>
      </c>
      <c r="K3107" s="6">
        <v>10.0</v>
      </c>
      <c r="L3107" s="5"/>
      <c r="M3107" s="5"/>
      <c r="N3107" s="6" t="s">
        <v>40</v>
      </c>
      <c r="O3107" s="5" t="s">
        <v>5363</v>
      </c>
      <c r="P3107" s="6" t="s">
        <v>42</v>
      </c>
      <c r="Q3107" s="5" t="s">
        <v>1237</v>
      </c>
      <c r="R3107" s="5" t="s">
        <v>16166</v>
      </c>
      <c r="S3107" s="6" t="s">
        <v>56</v>
      </c>
      <c r="T3107" s="6">
        <v>6554.0</v>
      </c>
    </row>
    <row r="3108" ht="56.25" customHeight="1">
      <c r="A3108" s="5" t="s">
        <v>16161</v>
      </c>
      <c r="B3108" s="6" t="str">
        <f>image("https://storage.googleapis.com/acdb/photos/BromideNpcNmlKal00_Remake_2_0.png")</f>
        <v/>
      </c>
      <c r="C3108" s="5" t="s">
        <v>688</v>
      </c>
      <c r="D3108" s="5" t="s">
        <v>1327</v>
      </c>
      <c r="E3108" s="5" t="s">
        <v>34</v>
      </c>
      <c r="F3108" s="5" t="s">
        <v>34</v>
      </c>
      <c r="G3108" s="5" t="s">
        <v>36</v>
      </c>
      <c r="H3108" s="5" t="s">
        <v>35</v>
      </c>
      <c r="I3108" s="6">
        <v>1.0</v>
      </c>
      <c r="J3108" s="6" t="s">
        <v>37</v>
      </c>
      <c r="K3108" s="6">
        <v>10.0</v>
      </c>
      <c r="L3108" s="5"/>
      <c r="M3108" s="5"/>
      <c r="N3108" s="6" t="s">
        <v>40</v>
      </c>
      <c r="O3108" s="5" t="s">
        <v>5363</v>
      </c>
      <c r="P3108" s="6" t="s">
        <v>42</v>
      </c>
      <c r="Q3108" s="5" t="s">
        <v>1237</v>
      </c>
      <c r="R3108" s="5" t="s">
        <v>16169</v>
      </c>
      <c r="S3108" s="6" t="s">
        <v>67</v>
      </c>
      <c r="T3108" s="6">
        <v>6554.0</v>
      </c>
    </row>
    <row r="3109" ht="56.25" customHeight="1">
      <c r="A3109" s="5" t="s">
        <v>16161</v>
      </c>
      <c r="B3109" s="6" t="str">
        <f>image("https://storage.googleapis.com/acdb/photos/BromideNpcNmlKal00_Remake_3_0.png")</f>
        <v/>
      </c>
      <c r="C3109" s="5" t="s">
        <v>57</v>
      </c>
      <c r="D3109" s="5" t="s">
        <v>1327</v>
      </c>
      <c r="E3109" s="5" t="s">
        <v>34</v>
      </c>
      <c r="F3109" s="5" t="s">
        <v>34</v>
      </c>
      <c r="G3109" s="5" t="s">
        <v>36</v>
      </c>
      <c r="H3109" s="5" t="s">
        <v>35</v>
      </c>
      <c r="I3109" s="6">
        <v>1.0</v>
      </c>
      <c r="J3109" s="6" t="s">
        <v>37</v>
      </c>
      <c r="K3109" s="6">
        <v>10.0</v>
      </c>
      <c r="L3109" s="5"/>
      <c r="M3109" s="5"/>
      <c r="N3109" s="6" t="s">
        <v>40</v>
      </c>
      <c r="O3109" s="5" t="s">
        <v>5363</v>
      </c>
      <c r="P3109" s="6" t="s">
        <v>42</v>
      </c>
      <c r="Q3109" s="5" t="s">
        <v>1237</v>
      </c>
      <c r="R3109" s="5" t="s">
        <v>16172</v>
      </c>
      <c r="S3109" s="6" t="s">
        <v>71</v>
      </c>
      <c r="T3109" s="6">
        <v>6554.0</v>
      </c>
    </row>
    <row r="3110" ht="56.25" customHeight="1">
      <c r="A3110" s="5" t="s">
        <v>16161</v>
      </c>
      <c r="B3110" s="6" t="str">
        <f>image("https://storage.googleapis.com/acdb/photos/BromideNpcNmlKal00_Remake_4_0.png")</f>
        <v/>
      </c>
      <c r="C3110" s="5" t="s">
        <v>1167</v>
      </c>
      <c r="D3110" s="5" t="s">
        <v>1327</v>
      </c>
      <c r="E3110" s="5" t="s">
        <v>34</v>
      </c>
      <c r="F3110" s="5" t="s">
        <v>34</v>
      </c>
      <c r="G3110" s="5" t="s">
        <v>36</v>
      </c>
      <c r="H3110" s="5" t="s">
        <v>35</v>
      </c>
      <c r="I3110" s="6">
        <v>1.0</v>
      </c>
      <c r="J3110" s="6" t="s">
        <v>37</v>
      </c>
      <c r="K3110" s="6">
        <v>10.0</v>
      </c>
      <c r="L3110" s="5"/>
      <c r="M3110" s="5"/>
      <c r="N3110" s="6" t="s">
        <v>40</v>
      </c>
      <c r="O3110" s="5" t="s">
        <v>5363</v>
      </c>
      <c r="P3110" s="6" t="s">
        <v>42</v>
      </c>
      <c r="Q3110" s="5" t="s">
        <v>1237</v>
      </c>
      <c r="R3110" s="5" t="s">
        <v>16176</v>
      </c>
      <c r="S3110" s="6" t="s">
        <v>75</v>
      </c>
      <c r="T3110" s="6">
        <v>6554.0</v>
      </c>
    </row>
    <row r="3111" ht="56.25" customHeight="1">
      <c r="A3111" s="5" t="s">
        <v>16161</v>
      </c>
      <c r="B3111" s="6" t="str">
        <f>image("https://storage.googleapis.com/acdb/photos/BromideNpcNmlKal00_Remake_5_0.png")</f>
        <v/>
      </c>
      <c r="C3111" s="5" t="s">
        <v>58</v>
      </c>
      <c r="D3111" s="5" t="s">
        <v>1327</v>
      </c>
      <c r="E3111" s="5" t="s">
        <v>34</v>
      </c>
      <c r="F3111" s="5" t="s">
        <v>34</v>
      </c>
      <c r="G3111" s="5" t="s">
        <v>36</v>
      </c>
      <c r="H3111" s="5" t="s">
        <v>35</v>
      </c>
      <c r="I3111" s="6">
        <v>1.0</v>
      </c>
      <c r="J3111" s="6" t="s">
        <v>37</v>
      </c>
      <c r="K3111" s="6">
        <v>10.0</v>
      </c>
      <c r="L3111" s="5"/>
      <c r="M3111" s="5"/>
      <c r="N3111" s="6" t="s">
        <v>40</v>
      </c>
      <c r="O3111" s="5" t="s">
        <v>5363</v>
      </c>
      <c r="P3111" s="6" t="s">
        <v>42</v>
      </c>
      <c r="Q3111" s="5" t="s">
        <v>1237</v>
      </c>
      <c r="R3111" s="5" t="s">
        <v>16181</v>
      </c>
      <c r="S3111" s="6" t="s">
        <v>79</v>
      </c>
      <c r="T3111" s="6">
        <v>6554.0</v>
      </c>
    </row>
    <row r="3112" ht="56.25" customHeight="1">
      <c r="A3112" s="5" t="s">
        <v>16161</v>
      </c>
      <c r="B3112" s="6" t="str">
        <f>image("https://storage.googleapis.com/acdb/photos/BromideNpcNmlKal00_Remake_6_0.png")</f>
        <v/>
      </c>
      <c r="C3112" s="5" t="s">
        <v>146</v>
      </c>
      <c r="D3112" s="5" t="s">
        <v>1327</v>
      </c>
      <c r="E3112" s="5" t="s">
        <v>34</v>
      </c>
      <c r="F3112" s="5" t="s">
        <v>34</v>
      </c>
      <c r="G3112" s="5" t="s">
        <v>36</v>
      </c>
      <c r="H3112" s="5" t="s">
        <v>35</v>
      </c>
      <c r="I3112" s="6">
        <v>1.0</v>
      </c>
      <c r="J3112" s="6" t="s">
        <v>37</v>
      </c>
      <c r="K3112" s="6">
        <v>10.0</v>
      </c>
      <c r="L3112" s="5"/>
      <c r="M3112" s="5"/>
      <c r="N3112" s="6" t="s">
        <v>40</v>
      </c>
      <c r="O3112" s="5" t="s">
        <v>5363</v>
      </c>
      <c r="P3112" s="6" t="s">
        <v>42</v>
      </c>
      <c r="Q3112" s="5" t="s">
        <v>1237</v>
      </c>
      <c r="R3112" s="5" t="s">
        <v>16184</v>
      </c>
      <c r="S3112" s="6" t="s">
        <v>86</v>
      </c>
      <c r="T3112" s="6">
        <v>6554.0</v>
      </c>
    </row>
    <row r="3113" ht="56.25" customHeight="1">
      <c r="A3113" s="5" t="s">
        <v>16161</v>
      </c>
      <c r="B3113" s="6" t="str">
        <f>image("https://storage.googleapis.com/acdb/photos/BromideNpcNmlKal00_Remake_7_0.png")</f>
        <v/>
      </c>
      <c r="C3113" s="5" t="s">
        <v>151</v>
      </c>
      <c r="D3113" s="5" t="s">
        <v>1327</v>
      </c>
      <c r="E3113" s="5" t="s">
        <v>34</v>
      </c>
      <c r="F3113" s="5" t="s">
        <v>34</v>
      </c>
      <c r="G3113" s="5" t="s">
        <v>36</v>
      </c>
      <c r="H3113" s="5" t="s">
        <v>35</v>
      </c>
      <c r="I3113" s="6">
        <v>1.0</v>
      </c>
      <c r="J3113" s="6" t="s">
        <v>37</v>
      </c>
      <c r="K3113" s="6">
        <v>10.0</v>
      </c>
      <c r="L3113" s="5"/>
      <c r="M3113" s="5"/>
      <c r="N3113" s="6" t="s">
        <v>40</v>
      </c>
      <c r="O3113" s="5" t="s">
        <v>5363</v>
      </c>
      <c r="P3113" s="6" t="s">
        <v>42</v>
      </c>
      <c r="Q3113" s="5" t="s">
        <v>1237</v>
      </c>
      <c r="R3113" s="5" t="s">
        <v>16185</v>
      </c>
      <c r="S3113" s="6" t="s">
        <v>208</v>
      </c>
      <c r="T3113" s="6">
        <v>6554.0</v>
      </c>
    </row>
    <row r="3114" ht="56.25" customHeight="1">
      <c r="A3114" s="5" t="s">
        <v>16187</v>
      </c>
      <c r="B3114" s="6" t="str">
        <f>image("https://storage.googleapis.com/acdb/photos/BromideNpcNmlDer02_Remake_0_0.png")</f>
        <v/>
      </c>
      <c r="C3114" s="5" t="s">
        <v>366</v>
      </c>
      <c r="D3114" s="5" t="s">
        <v>1327</v>
      </c>
      <c r="E3114" s="5" t="s">
        <v>34</v>
      </c>
      <c r="F3114" s="5" t="s">
        <v>34</v>
      </c>
      <c r="G3114" s="5" t="s">
        <v>36</v>
      </c>
      <c r="H3114" s="5" t="s">
        <v>35</v>
      </c>
      <c r="I3114" s="6">
        <v>1.0</v>
      </c>
      <c r="J3114" s="6" t="s">
        <v>37</v>
      </c>
      <c r="K3114" s="6">
        <v>10.0</v>
      </c>
      <c r="L3114" s="5"/>
      <c r="M3114" s="5"/>
      <c r="N3114" s="6" t="s">
        <v>40</v>
      </c>
      <c r="O3114" s="5" t="s">
        <v>5363</v>
      </c>
      <c r="P3114" s="6" t="s">
        <v>42</v>
      </c>
      <c r="Q3114" s="5" t="s">
        <v>1237</v>
      </c>
      <c r="R3114" s="5" t="s">
        <v>16190</v>
      </c>
      <c r="S3114" s="6" t="s">
        <v>50</v>
      </c>
      <c r="T3114" s="6">
        <v>6428.0</v>
      </c>
    </row>
    <row r="3115" ht="56.25" customHeight="1">
      <c r="A3115" s="5" t="s">
        <v>16187</v>
      </c>
      <c r="B3115" s="6" t="str">
        <f>image("https://storage.googleapis.com/acdb/photos/BromideNpcNmlDer02_Remake_1_0.png")</f>
        <v/>
      </c>
      <c r="C3115" s="5" t="s">
        <v>1132</v>
      </c>
      <c r="D3115" s="5" t="s">
        <v>1327</v>
      </c>
      <c r="E3115" s="5" t="s">
        <v>34</v>
      </c>
      <c r="F3115" s="5" t="s">
        <v>34</v>
      </c>
      <c r="G3115" s="5" t="s">
        <v>36</v>
      </c>
      <c r="H3115" s="5" t="s">
        <v>35</v>
      </c>
      <c r="I3115" s="6">
        <v>1.0</v>
      </c>
      <c r="J3115" s="6" t="s">
        <v>37</v>
      </c>
      <c r="K3115" s="6">
        <v>10.0</v>
      </c>
      <c r="L3115" s="5"/>
      <c r="M3115" s="5"/>
      <c r="N3115" s="6" t="s">
        <v>40</v>
      </c>
      <c r="O3115" s="5" t="s">
        <v>5363</v>
      </c>
      <c r="P3115" s="6" t="s">
        <v>42</v>
      </c>
      <c r="Q3115" s="5" t="s">
        <v>1237</v>
      </c>
      <c r="R3115" s="5" t="s">
        <v>16194</v>
      </c>
      <c r="S3115" s="6" t="s">
        <v>56</v>
      </c>
      <c r="T3115" s="6">
        <v>6428.0</v>
      </c>
    </row>
    <row r="3116" ht="56.25" customHeight="1">
      <c r="A3116" s="5" t="s">
        <v>16187</v>
      </c>
      <c r="B3116" s="6" t="str">
        <f>image("https://storage.googleapis.com/acdb/photos/BromideNpcNmlDer02_Remake_2_0.png")</f>
        <v/>
      </c>
      <c r="C3116" s="5" t="s">
        <v>688</v>
      </c>
      <c r="D3116" s="5" t="s">
        <v>1327</v>
      </c>
      <c r="E3116" s="5" t="s">
        <v>34</v>
      </c>
      <c r="F3116" s="5" t="s">
        <v>34</v>
      </c>
      <c r="G3116" s="5" t="s">
        <v>36</v>
      </c>
      <c r="H3116" s="5" t="s">
        <v>35</v>
      </c>
      <c r="I3116" s="6">
        <v>1.0</v>
      </c>
      <c r="J3116" s="6" t="s">
        <v>37</v>
      </c>
      <c r="K3116" s="6">
        <v>10.0</v>
      </c>
      <c r="L3116" s="5"/>
      <c r="M3116" s="5"/>
      <c r="N3116" s="6" t="s">
        <v>40</v>
      </c>
      <c r="O3116" s="5" t="s">
        <v>5363</v>
      </c>
      <c r="P3116" s="6" t="s">
        <v>42</v>
      </c>
      <c r="Q3116" s="5" t="s">
        <v>1237</v>
      </c>
      <c r="R3116" s="5" t="s">
        <v>16198</v>
      </c>
      <c r="S3116" s="6" t="s">
        <v>67</v>
      </c>
      <c r="T3116" s="6">
        <v>6428.0</v>
      </c>
    </row>
    <row r="3117" ht="56.25" customHeight="1">
      <c r="A3117" s="5" t="s">
        <v>16187</v>
      </c>
      <c r="B3117" s="6" t="str">
        <f>image("https://storage.googleapis.com/acdb/photos/BromideNpcNmlDer02_Remake_3_0.png")</f>
        <v/>
      </c>
      <c r="C3117" s="5" t="s">
        <v>57</v>
      </c>
      <c r="D3117" s="5" t="s">
        <v>1327</v>
      </c>
      <c r="E3117" s="5" t="s">
        <v>34</v>
      </c>
      <c r="F3117" s="5" t="s">
        <v>34</v>
      </c>
      <c r="G3117" s="5" t="s">
        <v>36</v>
      </c>
      <c r="H3117" s="5" t="s">
        <v>35</v>
      </c>
      <c r="I3117" s="6">
        <v>1.0</v>
      </c>
      <c r="J3117" s="6" t="s">
        <v>37</v>
      </c>
      <c r="K3117" s="6">
        <v>10.0</v>
      </c>
      <c r="L3117" s="5"/>
      <c r="M3117" s="5"/>
      <c r="N3117" s="6" t="s">
        <v>40</v>
      </c>
      <c r="O3117" s="5" t="s">
        <v>5363</v>
      </c>
      <c r="P3117" s="6" t="s">
        <v>42</v>
      </c>
      <c r="Q3117" s="5" t="s">
        <v>1237</v>
      </c>
      <c r="R3117" s="5" t="s">
        <v>16201</v>
      </c>
      <c r="S3117" s="6" t="s">
        <v>71</v>
      </c>
      <c r="T3117" s="6">
        <v>6428.0</v>
      </c>
    </row>
    <row r="3118" ht="56.25" customHeight="1">
      <c r="A3118" s="5" t="s">
        <v>16187</v>
      </c>
      <c r="B3118" s="6" t="str">
        <f>image("https://storage.googleapis.com/acdb/photos/BromideNpcNmlDer02_Remake_4_0.png")</f>
        <v/>
      </c>
      <c r="C3118" s="5" t="s">
        <v>1167</v>
      </c>
      <c r="D3118" s="5" t="s">
        <v>1327</v>
      </c>
      <c r="E3118" s="5" t="s">
        <v>34</v>
      </c>
      <c r="F3118" s="5" t="s">
        <v>34</v>
      </c>
      <c r="G3118" s="5" t="s">
        <v>36</v>
      </c>
      <c r="H3118" s="5" t="s">
        <v>35</v>
      </c>
      <c r="I3118" s="6">
        <v>1.0</v>
      </c>
      <c r="J3118" s="6" t="s">
        <v>37</v>
      </c>
      <c r="K3118" s="6">
        <v>10.0</v>
      </c>
      <c r="L3118" s="5"/>
      <c r="M3118" s="5"/>
      <c r="N3118" s="6" t="s">
        <v>40</v>
      </c>
      <c r="O3118" s="5" t="s">
        <v>5363</v>
      </c>
      <c r="P3118" s="6" t="s">
        <v>42</v>
      </c>
      <c r="Q3118" s="5" t="s">
        <v>1237</v>
      </c>
      <c r="R3118" s="5" t="s">
        <v>16203</v>
      </c>
      <c r="S3118" s="6" t="s">
        <v>75</v>
      </c>
      <c r="T3118" s="6">
        <v>6428.0</v>
      </c>
    </row>
    <row r="3119" ht="56.25" customHeight="1">
      <c r="A3119" s="5" t="s">
        <v>16187</v>
      </c>
      <c r="B3119" s="6" t="str">
        <f>image("https://storage.googleapis.com/acdb/photos/BromideNpcNmlDer02_Remake_5_0.png")</f>
        <v/>
      </c>
      <c r="C3119" s="5" t="s">
        <v>58</v>
      </c>
      <c r="D3119" s="5" t="s">
        <v>1327</v>
      </c>
      <c r="E3119" s="5" t="s">
        <v>34</v>
      </c>
      <c r="F3119" s="5" t="s">
        <v>34</v>
      </c>
      <c r="G3119" s="5" t="s">
        <v>36</v>
      </c>
      <c r="H3119" s="5" t="s">
        <v>35</v>
      </c>
      <c r="I3119" s="6">
        <v>1.0</v>
      </c>
      <c r="J3119" s="6" t="s">
        <v>37</v>
      </c>
      <c r="K3119" s="6">
        <v>10.0</v>
      </c>
      <c r="L3119" s="5"/>
      <c r="M3119" s="5"/>
      <c r="N3119" s="6" t="s">
        <v>40</v>
      </c>
      <c r="O3119" s="5" t="s">
        <v>5363</v>
      </c>
      <c r="P3119" s="6" t="s">
        <v>42</v>
      </c>
      <c r="Q3119" s="5" t="s">
        <v>1237</v>
      </c>
      <c r="R3119" s="5" t="s">
        <v>16207</v>
      </c>
      <c r="S3119" s="6" t="s">
        <v>79</v>
      </c>
      <c r="T3119" s="6">
        <v>6428.0</v>
      </c>
    </row>
    <row r="3120" ht="56.25" customHeight="1">
      <c r="A3120" s="5" t="s">
        <v>16187</v>
      </c>
      <c r="B3120" s="6" t="str">
        <f>image("https://storage.googleapis.com/acdb/photos/BromideNpcNmlDer02_Remake_6_0.png")</f>
        <v/>
      </c>
      <c r="C3120" s="5" t="s">
        <v>146</v>
      </c>
      <c r="D3120" s="5" t="s">
        <v>1327</v>
      </c>
      <c r="E3120" s="5" t="s">
        <v>34</v>
      </c>
      <c r="F3120" s="5" t="s">
        <v>34</v>
      </c>
      <c r="G3120" s="5" t="s">
        <v>36</v>
      </c>
      <c r="H3120" s="5" t="s">
        <v>35</v>
      </c>
      <c r="I3120" s="6">
        <v>1.0</v>
      </c>
      <c r="J3120" s="6" t="s">
        <v>37</v>
      </c>
      <c r="K3120" s="6">
        <v>10.0</v>
      </c>
      <c r="L3120" s="5"/>
      <c r="M3120" s="5"/>
      <c r="N3120" s="6" t="s">
        <v>40</v>
      </c>
      <c r="O3120" s="5" t="s">
        <v>5363</v>
      </c>
      <c r="P3120" s="6" t="s">
        <v>42</v>
      </c>
      <c r="Q3120" s="5" t="s">
        <v>1237</v>
      </c>
      <c r="R3120" s="5" t="s">
        <v>16211</v>
      </c>
      <c r="S3120" s="6" t="s">
        <v>86</v>
      </c>
      <c r="T3120" s="6">
        <v>6428.0</v>
      </c>
    </row>
    <row r="3121" ht="56.25" customHeight="1">
      <c r="A3121" s="5" t="s">
        <v>16187</v>
      </c>
      <c r="B3121" s="6" t="str">
        <f>image("https://storage.googleapis.com/acdb/photos/BromideNpcNmlDer02_Remake_7_0.png")</f>
        <v/>
      </c>
      <c r="C3121" s="5" t="s">
        <v>151</v>
      </c>
      <c r="D3121" s="5" t="s">
        <v>1327</v>
      </c>
      <c r="E3121" s="5" t="s">
        <v>34</v>
      </c>
      <c r="F3121" s="5" t="s">
        <v>34</v>
      </c>
      <c r="G3121" s="5" t="s">
        <v>36</v>
      </c>
      <c r="H3121" s="5" t="s">
        <v>35</v>
      </c>
      <c r="I3121" s="6">
        <v>1.0</v>
      </c>
      <c r="J3121" s="6" t="s">
        <v>37</v>
      </c>
      <c r="K3121" s="6">
        <v>10.0</v>
      </c>
      <c r="L3121" s="5"/>
      <c r="M3121" s="5"/>
      <c r="N3121" s="6" t="s">
        <v>40</v>
      </c>
      <c r="O3121" s="5" t="s">
        <v>5363</v>
      </c>
      <c r="P3121" s="6" t="s">
        <v>42</v>
      </c>
      <c r="Q3121" s="5" t="s">
        <v>1237</v>
      </c>
      <c r="R3121" s="5" t="s">
        <v>16217</v>
      </c>
      <c r="S3121" s="6" t="s">
        <v>208</v>
      </c>
      <c r="T3121" s="6">
        <v>6428.0</v>
      </c>
    </row>
    <row r="3122" ht="56.25" customHeight="1">
      <c r="A3122" s="5" t="s">
        <v>16221</v>
      </c>
      <c r="B3122" s="6" t="str">
        <f>image("https://storage.googleapis.com/acdb/photos/BromideNpcNmlOcp02_Remake_0_0.png")</f>
        <v/>
      </c>
      <c r="C3122" s="5" t="s">
        <v>366</v>
      </c>
      <c r="D3122" s="5" t="s">
        <v>1327</v>
      </c>
      <c r="E3122" s="5" t="s">
        <v>34</v>
      </c>
      <c r="F3122" s="5" t="s">
        <v>34</v>
      </c>
      <c r="G3122" s="5" t="s">
        <v>36</v>
      </c>
      <c r="H3122" s="5" t="s">
        <v>35</v>
      </c>
      <c r="I3122" s="6">
        <v>1.0</v>
      </c>
      <c r="J3122" s="6" t="s">
        <v>37</v>
      </c>
      <c r="K3122" s="6">
        <v>10.0</v>
      </c>
      <c r="L3122" s="5"/>
      <c r="M3122" s="5"/>
      <c r="N3122" s="6" t="s">
        <v>40</v>
      </c>
      <c r="O3122" s="5" t="s">
        <v>5363</v>
      </c>
      <c r="P3122" s="6" t="s">
        <v>42</v>
      </c>
      <c r="Q3122" s="5" t="s">
        <v>1237</v>
      </c>
      <c r="R3122" s="5" t="s">
        <v>16224</v>
      </c>
      <c r="S3122" s="6" t="s">
        <v>50</v>
      </c>
      <c r="T3122" s="6">
        <v>6608.0</v>
      </c>
    </row>
    <row r="3123" ht="56.25" customHeight="1">
      <c r="A3123" s="5" t="s">
        <v>16221</v>
      </c>
      <c r="B3123" s="6" t="str">
        <f>image("https://storage.googleapis.com/acdb/photos/BromideNpcNmlOcp02_Remake_1_0.png")</f>
        <v/>
      </c>
      <c r="C3123" s="5" t="s">
        <v>1132</v>
      </c>
      <c r="D3123" s="5" t="s">
        <v>1327</v>
      </c>
      <c r="E3123" s="5" t="s">
        <v>34</v>
      </c>
      <c r="F3123" s="5" t="s">
        <v>34</v>
      </c>
      <c r="G3123" s="5" t="s">
        <v>36</v>
      </c>
      <c r="H3123" s="5" t="s">
        <v>35</v>
      </c>
      <c r="I3123" s="6">
        <v>1.0</v>
      </c>
      <c r="J3123" s="6" t="s">
        <v>37</v>
      </c>
      <c r="K3123" s="6">
        <v>10.0</v>
      </c>
      <c r="L3123" s="5"/>
      <c r="M3123" s="5"/>
      <c r="N3123" s="6" t="s">
        <v>40</v>
      </c>
      <c r="O3123" s="5" t="s">
        <v>5363</v>
      </c>
      <c r="P3123" s="6" t="s">
        <v>42</v>
      </c>
      <c r="Q3123" s="5" t="s">
        <v>1237</v>
      </c>
      <c r="R3123" s="5" t="s">
        <v>16229</v>
      </c>
      <c r="S3123" s="6" t="s">
        <v>56</v>
      </c>
      <c r="T3123" s="6">
        <v>6608.0</v>
      </c>
    </row>
    <row r="3124" ht="56.25" customHeight="1">
      <c r="A3124" s="5" t="s">
        <v>16221</v>
      </c>
      <c r="B3124" s="6" t="str">
        <f>image("https://storage.googleapis.com/acdb/photos/BromideNpcNmlOcp02_Remake_2_0.png")</f>
        <v/>
      </c>
      <c r="C3124" s="5" t="s">
        <v>688</v>
      </c>
      <c r="D3124" s="5" t="s">
        <v>1327</v>
      </c>
      <c r="E3124" s="5" t="s">
        <v>34</v>
      </c>
      <c r="F3124" s="5" t="s">
        <v>34</v>
      </c>
      <c r="G3124" s="5" t="s">
        <v>36</v>
      </c>
      <c r="H3124" s="5" t="s">
        <v>35</v>
      </c>
      <c r="I3124" s="6">
        <v>1.0</v>
      </c>
      <c r="J3124" s="6" t="s">
        <v>37</v>
      </c>
      <c r="K3124" s="6">
        <v>10.0</v>
      </c>
      <c r="L3124" s="5"/>
      <c r="M3124" s="5"/>
      <c r="N3124" s="6" t="s">
        <v>40</v>
      </c>
      <c r="O3124" s="5" t="s">
        <v>5363</v>
      </c>
      <c r="P3124" s="6" t="s">
        <v>42</v>
      </c>
      <c r="Q3124" s="5" t="s">
        <v>1237</v>
      </c>
      <c r="R3124" s="5" t="s">
        <v>16233</v>
      </c>
      <c r="S3124" s="6" t="s">
        <v>67</v>
      </c>
      <c r="T3124" s="6">
        <v>6608.0</v>
      </c>
    </row>
    <row r="3125" ht="56.25" customHeight="1">
      <c r="A3125" s="5" t="s">
        <v>16221</v>
      </c>
      <c r="B3125" s="6" t="str">
        <f>image("https://storage.googleapis.com/acdb/photos/BromideNpcNmlOcp02_Remake_3_0.png")</f>
        <v/>
      </c>
      <c r="C3125" s="5" t="s">
        <v>57</v>
      </c>
      <c r="D3125" s="5" t="s">
        <v>1327</v>
      </c>
      <c r="E3125" s="5" t="s">
        <v>34</v>
      </c>
      <c r="F3125" s="5" t="s">
        <v>34</v>
      </c>
      <c r="G3125" s="5" t="s">
        <v>36</v>
      </c>
      <c r="H3125" s="5" t="s">
        <v>35</v>
      </c>
      <c r="I3125" s="6">
        <v>1.0</v>
      </c>
      <c r="J3125" s="6" t="s">
        <v>37</v>
      </c>
      <c r="K3125" s="6">
        <v>10.0</v>
      </c>
      <c r="L3125" s="5"/>
      <c r="M3125" s="5"/>
      <c r="N3125" s="6" t="s">
        <v>40</v>
      </c>
      <c r="O3125" s="5" t="s">
        <v>5363</v>
      </c>
      <c r="P3125" s="6" t="s">
        <v>42</v>
      </c>
      <c r="Q3125" s="5" t="s">
        <v>1237</v>
      </c>
      <c r="R3125" s="5" t="s">
        <v>16239</v>
      </c>
      <c r="S3125" s="6" t="s">
        <v>71</v>
      </c>
      <c r="T3125" s="6">
        <v>6608.0</v>
      </c>
    </row>
    <row r="3126" ht="56.25" customHeight="1">
      <c r="A3126" s="5" t="s">
        <v>16221</v>
      </c>
      <c r="B3126" s="6" t="str">
        <f>image("https://storage.googleapis.com/acdb/photos/BromideNpcNmlOcp02_Remake_4_0.png")</f>
        <v/>
      </c>
      <c r="C3126" s="5" t="s">
        <v>1167</v>
      </c>
      <c r="D3126" s="5" t="s">
        <v>1327</v>
      </c>
      <c r="E3126" s="5" t="s">
        <v>34</v>
      </c>
      <c r="F3126" s="5" t="s">
        <v>34</v>
      </c>
      <c r="G3126" s="5" t="s">
        <v>36</v>
      </c>
      <c r="H3126" s="5" t="s">
        <v>35</v>
      </c>
      <c r="I3126" s="6">
        <v>1.0</v>
      </c>
      <c r="J3126" s="6" t="s">
        <v>37</v>
      </c>
      <c r="K3126" s="6">
        <v>10.0</v>
      </c>
      <c r="L3126" s="5"/>
      <c r="M3126" s="5"/>
      <c r="N3126" s="6" t="s">
        <v>40</v>
      </c>
      <c r="O3126" s="5" t="s">
        <v>5363</v>
      </c>
      <c r="P3126" s="6" t="s">
        <v>42</v>
      </c>
      <c r="Q3126" s="5" t="s">
        <v>1237</v>
      </c>
      <c r="R3126" s="5" t="s">
        <v>16243</v>
      </c>
      <c r="S3126" s="6" t="s">
        <v>75</v>
      </c>
      <c r="T3126" s="6">
        <v>6608.0</v>
      </c>
    </row>
    <row r="3127" ht="56.25" customHeight="1">
      <c r="A3127" s="5" t="s">
        <v>16221</v>
      </c>
      <c r="B3127" s="6" t="str">
        <f>image("https://storage.googleapis.com/acdb/photos/BromideNpcNmlOcp02_Remake_5_0.png")</f>
        <v/>
      </c>
      <c r="C3127" s="5" t="s">
        <v>58</v>
      </c>
      <c r="D3127" s="5" t="s">
        <v>1327</v>
      </c>
      <c r="E3127" s="5" t="s">
        <v>34</v>
      </c>
      <c r="F3127" s="5" t="s">
        <v>34</v>
      </c>
      <c r="G3127" s="5" t="s">
        <v>36</v>
      </c>
      <c r="H3127" s="5" t="s">
        <v>35</v>
      </c>
      <c r="I3127" s="6">
        <v>1.0</v>
      </c>
      <c r="J3127" s="6" t="s">
        <v>37</v>
      </c>
      <c r="K3127" s="6">
        <v>10.0</v>
      </c>
      <c r="L3127" s="5"/>
      <c r="M3127" s="5"/>
      <c r="N3127" s="6" t="s">
        <v>40</v>
      </c>
      <c r="O3127" s="5" t="s">
        <v>5363</v>
      </c>
      <c r="P3127" s="6" t="s">
        <v>42</v>
      </c>
      <c r="Q3127" s="5" t="s">
        <v>1237</v>
      </c>
      <c r="R3127" s="5" t="s">
        <v>16246</v>
      </c>
      <c r="S3127" s="6" t="s">
        <v>79</v>
      </c>
      <c r="T3127" s="6">
        <v>6608.0</v>
      </c>
    </row>
    <row r="3128" ht="56.25" customHeight="1">
      <c r="A3128" s="5" t="s">
        <v>16221</v>
      </c>
      <c r="B3128" s="6" t="str">
        <f>image("https://storage.googleapis.com/acdb/photos/BromideNpcNmlOcp02_Remake_6_0.png")</f>
        <v/>
      </c>
      <c r="C3128" s="5" t="s">
        <v>146</v>
      </c>
      <c r="D3128" s="5" t="s">
        <v>1327</v>
      </c>
      <c r="E3128" s="5" t="s">
        <v>34</v>
      </c>
      <c r="F3128" s="5" t="s">
        <v>34</v>
      </c>
      <c r="G3128" s="5" t="s">
        <v>36</v>
      </c>
      <c r="H3128" s="5" t="s">
        <v>35</v>
      </c>
      <c r="I3128" s="6">
        <v>1.0</v>
      </c>
      <c r="J3128" s="6" t="s">
        <v>37</v>
      </c>
      <c r="K3128" s="6">
        <v>10.0</v>
      </c>
      <c r="L3128" s="5"/>
      <c r="M3128" s="5"/>
      <c r="N3128" s="6" t="s">
        <v>40</v>
      </c>
      <c r="O3128" s="5" t="s">
        <v>5363</v>
      </c>
      <c r="P3128" s="6" t="s">
        <v>42</v>
      </c>
      <c r="Q3128" s="5" t="s">
        <v>1237</v>
      </c>
      <c r="R3128" s="5" t="s">
        <v>16250</v>
      </c>
      <c r="S3128" s="6" t="s">
        <v>86</v>
      </c>
      <c r="T3128" s="6">
        <v>6608.0</v>
      </c>
    </row>
    <row r="3129" ht="56.25" customHeight="1">
      <c r="A3129" s="5" t="s">
        <v>16221</v>
      </c>
      <c r="B3129" s="6" t="str">
        <f>image("https://storage.googleapis.com/acdb/photos/BromideNpcNmlOcp02_Remake_7_0.png")</f>
        <v/>
      </c>
      <c r="C3129" s="5" t="s">
        <v>151</v>
      </c>
      <c r="D3129" s="5" t="s">
        <v>1327</v>
      </c>
      <c r="E3129" s="5" t="s">
        <v>34</v>
      </c>
      <c r="F3129" s="5" t="s">
        <v>34</v>
      </c>
      <c r="G3129" s="5" t="s">
        <v>36</v>
      </c>
      <c r="H3129" s="5" t="s">
        <v>35</v>
      </c>
      <c r="I3129" s="6">
        <v>1.0</v>
      </c>
      <c r="J3129" s="6" t="s">
        <v>37</v>
      </c>
      <c r="K3129" s="6">
        <v>10.0</v>
      </c>
      <c r="L3129" s="5"/>
      <c r="M3129" s="5"/>
      <c r="N3129" s="6" t="s">
        <v>40</v>
      </c>
      <c r="O3129" s="5" t="s">
        <v>5363</v>
      </c>
      <c r="P3129" s="6" t="s">
        <v>42</v>
      </c>
      <c r="Q3129" s="5" t="s">
        <v>1237</v>
      </c>
      <c r="R3129" s="5" t="s">
        <v>16254</v>
      </c>
      <c r="S3129" s="6" t="s">
        <v>208</v>
      </c>
      <c r="T3129" s="6">
        <v>6608.0</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2" width="10.86"/>
    <col customWidth="1" min="3" max="4" width="5.86"/>
    <col customWidth="1" min="5" max="6" width="8.0"/>
    <col customWidth="1" min="7" max="7" width="5.14"/>
    <col customWidth="1" min="8" max="8" width="12.29"/>
    <col customWidth="1" min="9" max="9" width="25.14"/>
    <col customWidth="1" min="10" max="11" width="8.0"/>
    <col customWidth="1" min="12" max="12" width="10.86"/>
    <col customWidth="1" min="13" max="13" width="8.0"/>
  </cols>
  <sheetData>
    <row r="1" ht="26.25" customHeight="1">
      <c r="A1" s="1" t="s">
        <v>0</v>
      </c>
      <c r="B1" s="2" t="s">
        <v>1</v>
      </c>
      <c r="C1" s="2" t="s">
        <v>10</v>
      </c>
      <c r="D1" s="2" t="s">
        <v>11</v>
      </c>
      <c r="E1" s="1" t="s">
        <v>12</v>
      </c>
      <c r="F1" s="1" t="s">
        <v>13</v>
      </c>
      <c r="G1" s="2" t="s">
        <v>14</v>
      </c>
      <c r="H1" s="1" t="s">
        <v>15</v>
      </c>
      <c r="I1" s="1" t="s">
        <v>16</v>
      </c>
      <c r="J1" s="2" t="s">
        <v>17</v>
      </c>
      <c r="K1" s="1" t="s">
        <v>26</v>
      </c>
      <c r="L1" s="1" t="s">
        <v>27</v>
      </c>
      <c r="M1" s="2" t="s">
        <v>29</v>
      </c>
    </row>
    <row r="2" ht="56.25" customHeight="1">
      <c r="A2" s="5" t="s">
        <v>6279</v>
      </c>
      <c r="B2" s="6" t="str">
        <f>IMAGE("https://storage.googleapis.com/acdb/posters/PosterNpcNmlBrd06.png")</f>
        <v/>
      </c>
      <c r="C2" s="6">
        <v>1000.0</v>
      </c>
      <c r="D2" s="6">
        <v>250.0</v>
      </c>
      <c r="E2" s="5" t="s">
        <v>96</v>
      </c>
      <c r="F2" s="5" t="s">
        <v>68</v>
      </c>
      <c r="G2" s="6" t="s">
        <v>40</v>
      </c>
      <c r="H2" s="5" t="s">
        <v>6282</v>
      </c>
      <c r="I2" s="5" t="s">
        <v>6283</v>
      </c>
      <c r="J2" s="6" t="s">
        <v>42</v>
      </c>
      <c r="K2" s="5" t="s">
        <v>64</v>
      </c>
      <c r="L2" s="5" t="s">
        <v>6284</v>
      </c>
      <c r="M2" s="6">
        <v>10814.0</v>
      </c>
    </row>
    <row r="3" ht="56.25" customHeight="1">
      <c r="A3" s="5" t="s">
        <v>6285</v>
      </c>
      <c r="B3" s="6" t="str">
        <f>IMAGE("https://storage.googleapis.com/acdb/posters/PosterNpcNmlSqu05.png")</f>
        <v/>
      </c>
      <c r="C3" s="6">
        <v>1000.0</v>
      </c>
      <c r="D3" s="6">
        <v>250.0</v>
      </c>
      <c r="E3" s="5" t="s">
        <v>68</v>
      </c>
      <c r="F3" s="5" t="s">
        <v>95</v>
      </c>
      <c r="G3" s="6" t="s">
        <v>40</v>
      </c>
      <c r="H3" s="5" t="s">
        <v>6282</v>
      </c>
      <c r="I3" s="5" t="s">
        <v>6283</v>
      </c>
      <c r="J3" s="6" t="s">
        <v>42</v>
      </c>
      <c r="K3" s="5" t="s">
        <v>64</v>
      </c>
      <c r="L3" s="5" t="s">
        <v>6287</v>
      </c>
      <c r="M3" s="6">
        <v>10425.0</v>
      </c>
    </row>
    <row r="4" ht="56.25" customHeight="1">
      <c r="A4" s="5" t="s">
        <v>6288</v>
      </c>
      <c r="B4" s="6" t="str">
        <f>IMAGE("https://storage.googleapis.com/acdb/posters/PosterNpcNmlPig17.png")</f>
        <v/>
      </c>
      <c r="C4" s="6">
        <v>1000.0</v>
      </c>
      <c r="D4" s="6">
        <v>250.0</v>
      </c>
      <c r="E4" s="5" t="s">
        <v>69</v>
      </c>
      <c r="F4" s="5" t="s">
        <v>54</v>
      </c>
      <c r="G4" s="6" t="s">
        <v>40</v>
      </c>
      <c r="H4" s="5" t="s">
        <v>6282</v>
      </c>
      <c r="I4" s="5" t="s">
        <v>6283</v>
      </c>
      <c r="J4" s="6" t="s">
        <v>42</v>
      </c>
      <c r="K4" s="5" t="s">
        <v>64</v>
      </c>
      <c r="L4" s="5" t="s">
        <v>6290</v>
      </c>
      <c r="M4" s="6">
        <v>10401.0</v>
      </c>
    </row>
    <row r="5" ht="56.25" customHeight="1">
      <c r="A5" s="5" t="s">
        <v>6292</v>
      </c>
      <c r="B5" s="6" t="str">
        <f>IMAGE("https://storage.googleapis.com/acdb/posters/PosterNpcNmlGor08.png")</f>
        <v/>
      </c>
      <c r="C5" s="6">
        <v>1000.0</v>
      </c>
      <c r="D5" s="6">
        <v>250.0</v>
      </c>
      <c r="E5" s="5" t="s">
        <v>52</v>
      </c>
      <c r="F5" s="5" t="s">
        <v>83</v>
      </c>
      <c r="G5" s="6" t="s">
        <v>40</v>
      </c>
      <c r="H5" s="5" t="s">
        <v>6282</v>
      </c>
      <c r="I5" s="5" t="s">
        <v>6283</v>
      </c>
      <c r="J5" s="6" t="s">
        <v>42</v>
      </c>
      <c r="K5" s="5" t="s">
        <v>64</v>
      </c>
      <c r="L5" s="5" t="s">
        <v>6294</v>
      </c>
      <c r="M5" s="6">
        <v>10590.0</v>
      </c>
    </row>
    <row r="6" ht="56.25" customHeight="1">
      <c r="A6" s="5" t="s">
        <v>6295</v>
      </c>
      <c r="B6" s="6" t="str">
        <f>IMAGE("https://storage.googleapis.com/acdb/posters/PosterNpcNmlCrd00.png")</f>
        <v/>
      </c>
      <c r="C6" s="6">
        <v>1000.0</v>
      </c>
      <c r="D6" s="6">
        <v>250.0</v>
      </c>
      <c r="E6" s="5" t="s">
        <v>142</v>
      </c>
      <c r="F6" s="5" t="s">
        <v>52</v>
      </c>
      <c r="G6" s="6" t="s">
        <v>40</v>
      </c>
      <c r="H6" s="5" t="s">
        <v>6282</v>
      </c>
      <c r="I6" s="5" t="s">
        <v>6283</v>
      </c>
      <c r="J6" s="6" t="s">
        <v>42</v>
      </c>
      <c r="K6" s="5" t="s">
        <v>64</v>
      </c>
      <c r="L6" s="5" t="s">
        <v>6298</v>
      </c>
      <c r="M6" s="6">
        <v>10382.0</v>
      </c>
    </row>
    <row r="7" ht="56.25" customHeight="1">
      <c r="A7" s="5" t="s">
        <v>6299</v>
      </c>
      <c r="B7" s="6" t="str">
        <f>IMAGE("https://storage.googleapis.com/acdb/posters/PosterNpcNmlKal01.png")</f>
        <v/>
      </c>
      <c r="C7" s="6">
        <v>1000.0</v>
      </c>
      <c r="D7" s="6">
        <v>250.0</v>
      </c>
      <c r="E7" s="5" t="s">
        <v>38</v>
      </c>
      <c r="F7" s="5" t="s">
        <v>57</v>
      </c>
      <c r="G7" s="6" t="s">
        <v>40</v>
      </c>
      <c r="H7" s="5" t="s">
        <v>6282</v>
      </c>
      <c r="I7" s="5" t="s">
        <v>6283</v>
      </c>
      <c r="J7" s="6" t="s">
        <v>42</v>
      </c>
      <c r="K7" s="5" t="s">
        <v>64</v>
      </c>
      <c r="L7" s="5" t="s">
        <v>6301</v>
      </c>
      <c r="M7" s="6">
        <v>10411.0</v>
      </c>
    </row>
    <row r="8" ht="56.25" customHeight="1">
      <c r="A8" s="5" t="s">
        <v>6302</v>
      </c>
      <c r="B8" s="6" t="str">
        <f>IMAGE("https://storage.googleapis.com/acdb/posters/PosterNpcNmlCrd01.png")</f>
        <v/>
      </c>
      <c r="C8" s="6">
        <v>1000.0</v>
      </c>
      <c r="D8" s="6">
        <v>250.0</v>
      </c>
      <c r="E8" s="5" t="s">
        <v>83</v>
      </c>
      <c r="F8" s="5" t="s">
        <v>52</v>
      </c>
      <c r="G8" s="6" t="s">
        <v>40</v>
      </c>
      <c r="H8" s="5" t="s">
        <v>6282</v>
      </c>
      <c r="I8" s="5" t="s">
        <v>6283</v>
      </c>
      <c r="J8" s="6" t="s">
        <v>42</v>
      </c>
      <c r="K8" s="5" t="s">
        <v>64</v>
      </c>
      <c r="L8" s="5" t="s">
        <v>6305</v>
      </c>
      <c r="M8" s="6">
        <v>10655.0</v>
      </c>
    </row>
    <row r="9" ht="56.25" customHeight="1">
      <c r="A9" s="5" t="s">
        <v>6306</v>
      </c>
      <c r="B9" s="6" t="str">
        <f>IMAGE("https://storage.googleapis.com/acdb/posters/PosterNpcNmlPbr01.png")</f>
        <v/>
      </c>
      <c r="C9" s="6">
        <v>1000.0</v>
      </c>
      <c r="D9" s="6">
        <v>250.0</v>
      </c>
      <c r="E9" s="5" t="s">
        <v>52</v>
      </c>
      <c r="F9" s="5" t="s">
        <v>57</v>
      </c>
      <c r="G9" s="6" t="s">
        <v>40</v>
      </c>
      <c r="H9" s="5" t="s">
        <v>6282</v>
      </c>
      <c r="I9" s="5" t="s">
        <v>6283</v>
      </c>
      <c r="J9" s="6" t="s">
        <v>42</v>
      </c>
      <c r="K9" s="5" t="s">
        <v>64</v>
      </c>
      <c r="L9" s="5" t="s">
        <v>6308</v>
      </c>
      <c r="M9" s="6">
        <v>10687.0</v>
      </c>
    </row>
    <row r="10" ht="56.25" customHeight="1">
      <c r="A10" s="5" t="s">
        <v>6309</v>
      </c>
      <c r="B10" s="6" t="str">
        <f>IMAGE("https://storage.googleapis.com/acdb/posters/PosterNpcNmlAnt03.png")</f>
        <v/>
      </c>
      <c r="C10" s="6">
        <v>1000.0</v>
      </c>
      <c r="D10" s="6">
        <v>250.0</v>
      </c>
      <c r="E10" s="5" t="s">
        <v>114</v>
      </c>
      <c r="F10" s="5" t="s">
        <v>68</v>
      </c>
      <c r="G10" s="6" t="s">
        <v>40</v>
      </c>
      <c r="H10" s="5" t="s">
        <v>6282</v>
      </c>
      <c r="I10" s="5" t="s">
        <v>6283</v>
      </c>
      <c r="J10" s="6" t="s">
        <v>42</v>
      </c>
      <c r="K10" s="5" t="s">
        <v>64</v>
      </c>
      <c r="L10" s="5" t="s">
        <v>6312</v>
      </c>
      <c r="M10" s="6">
        <v>10800.0</v>
      </c>
    </row>
    <row r="11" ht="56.25" customHeight="1">
      <c r="A11" s="5" t="s">
        <v>6313</v>
      </c>
      <c r="B11" s="6" t="str">
        <f>IMAGE("https://storage.googleapis.com/acdb/posters/PosterNpcNmlBrd02.png")</f>
        <v/>
      </c>
      <c r="C11" s="6">
        <v>1000.0</v>
      </c>
      <c r="D11" s="6">
        <v>250.0</v>
      </c>
      <c r="E11" s="5" t="s">
        <v>39</v>
      </c>
      <c r="F11" s="5" t="s">
        <v>83</v>
      </c>
      <c r="G11" s="6" t="s">
        <v>40</v>
      </c>
      <c r="H11" s="5" t="s">
        <v>6282</v>
      </c>
      <c r="I11" s="5" t="s">
        <v>6283</v>
      </c>
      <c r="J11" s="6" t="s">
        <v>42</v>
      </c>
      <c r="K11" s="5" t="s">
        <v>64</v>
      </c>
      <c r="L11" s="5" t="s">
        <v>6314</v>
      </c>
      <c r="M11" s="6">
        <v>10782.0</v>
      </c>
    </row>
    <row r="12" ht="56.25" customHeight="1">
      <c r="A12" s="5" t="s">
        <v>6315</v>
      </c>
      <c r="B12" s="6" t="str">
        <f>IMAGE("https://storage.googleapis.com/acdb/posters/PosterNpcNmlBul00.png")</f>
        <v/>
      </c>
      <c r="C12" s="6">
        <v>1000.0</v>
      </c>
      <c r="D12" s="6">
        <v>250.0</v>
      </c>
      <c r="E12" s="5" t="s">
        <v>52</v>
      </c>
      <c r="F12" s="5" t="s">
        <v>142</v>
      </c>
      <c r="G12" s="6" t="s">
        <v>40</v>
      </c>
      <c r="H12" s="5" t="s">
        <v>6282</v>
      </c>
      <c r="I12" s="5" t="s">
        <v>6283</v>
      </c>
      <c r="J12" s="6" t="s">
        <v>42</v>
      </c>
      <c r="K12" s="5" t="s">
        <v>64</v>
      </c>
      <c r="L12" s="5" t="s">
        <v>6318</v>
      </c>
      <c r="M12" s="6">
        <v>10807.0</v>
      </c>
    </row>
    <row r="13" ht="56.25" customHeight="1">
      <c r="A13" s="5" t="s">
        <v>6320</v>
      </c>
      <c r="B13" s="6" t="str">
        <f>IMAGE("https://storage.googleapis.com/acdb/posters/PosterNpcNmlMus10.png")</f>
        <v/>
      </c>
      <c r="C13" s="6">
        <v>1000.0</v>
      </c>
      <c r="D13" s="6">
        <v>250.0</v>
      </c>
      <c r="E13" s="5" t="s">
        <v>96</v>
      </c>
      <c r="F13" s="5" t="s">
        <v>39</v>
      </c>
      <c r="G13" s="6" t="s">
        <v>40</v>
      </c>
      <c r="H13" s="5" t="s">
        <v>6282</v>
      </c>
      <c r="I13" s="5" t="s">
        <v>6283</v>
      </c>
      <c r="J13" s="6" t="s">
        <v>42</v>
      </c>
      <c r="K13" s="5" t="s">
        <v>64</v>
      </c>
      <c r="L13" s="5" t="s">
        <v>6321</v>
      </c>
      <c r="M13" s="6">
        <v>10413.0</v>
      </c>
    </row>
    <row r="14" ht="56.25" customHeight="1">
      <c r="A14" s="5" t="s">
        <v>6322</v>
      </c>
      <c r="B14" s="6" t="str">
        <f>IMAGE("https://storage.googleapis.com/acdb/posters/PosterNpcNmlCat19.png")</f>
        <v/>
      </c>
      <c r="C14" s="6">
        <v>1000.0</v>
      </c>
      <c r="D14" s="6">
        <v>250.0</v>
      </c>
      <c r="E14" s="5" t="s">
        <v>114</v>
      </c>
      <c r="F14" s="5" t="s">
        <v>39</v>
      </c>
      <c r="G14" s="6" t="s">
        <v>40</v>
      </c>
      <c r="H14" s="5" t="s">
        <v>6282</v>
      </c>
      <c r="I14" s="5" t="s">
        <v>6283</v>
      </c>
      <c r="J14" s="6" t="s">
        <v>42</v>
      </c>
      <c r="K14" s="5" t="s">
        <v>64</v>
      </c>
      <c r="L14" s="5" t="s">
        <v>6326</v>
      </c>
      <c r="M14" s="6">
        <v>10416.0</v>
      </c>
    </row>
    <row r="15" ht="56.25" customHeight="1">
      <c r="A15" s="5" t="s">
        <v>6328</v>
      </c>
      <c r="B15" s="6" t="str">
        <f>IMAGE("https://storage.googleapis.com/acdb/posters/PosterNpcNmlAnt08.png")</f>
        <v/>
      </c>
      <c r="C15" s="6">
        <v>1000.0</v>
      </c>
      <c r="D15" s="6">
        <v>250.0</v>
      </c>
      <c r="E15" s="5" t="s">
        <v>38</v>
      </c>
      <c r="F15" s="5" t="s">
        <v>69</v>
      </c>
      <c r="G15" s="6" t="s">
        <v>40</v>
      </c>
      <c r="H15" s="5" t="s">
        <v>6282</v>
      </c>
      <c r="I15" s="5" t="s">
        <v>6283</v>
      </c>
      <c r="J15" s="6" t="s">
        <v>42</v>
      </c>
      <c r="K15" s="5" t="s">
        <v>64</v>
      </c>
      <c r="L15" s="5" t="s">
        <v>6329</v>
      </c>
      <c r="M15" s="6">
        <v>10824.0</v>
      </c>
    </row>
    <row r="16" ht="56.25" customHeight="1">
      <c r="A16" s="5" t="s">
        <v>6330</v>
      </c>
      <c r="B16" s="6" t="str">
        <f>IMAGE("https://storage.googleapis.com/acdb/posters/PosterNpcNmlHrs09.png")</f>
        <v/>
      </c>
      <c r="C16" s="6">
        <v>1000.0</v>
      </c>
      <c r="D16" s="6">
        <v>250.0</v>
      </c>
      <c r="E16" s="5" t="s">
        <v>39</v>
      </c>
      <c r="F16" s="5" t="s">
        <v>106</v>
      </c>
      <c r="G16" s="6" t="s">
        <v>40</v>
      </c>
      <c r="H16" s="5" t="s">
        <v>6282</v>
      </c>
      <c r="I16" s="5" t="s">
        <v>6283</v>
      </c>
      <c r="J16" s="6" t="s">
        <v>42</v>
      </c>
      <c r="K16" s="5" t="s">
        <v>64</v>
      </c>
      <c r="L16" s="5" t="s">
        <v>6333</v>
      </c>
      <c r="M16" s="6">
        <v>10573.0</v>
      </c>
    </row>
    <row r="17" ht="56.25" customHeight="1">
      <c r="A17" s="5" t="s">
        <v>6334</v>
      </c>
      <c r="B17" s="6" t="str">
        <f>IMAGE("https://storage.googleapis.com/acdb/posters/PosterNpcNmlAnt01.png")</f>
        <v/>
      </c>
      <c r="C17" s="6">
        <v>1000.0</v>
      </c>
      <c r="D17" s="6">
        <v>250.0</v>
      </c>
      <c r="E17" s="5" t="s">
        <v>68</v>
      </c>
      <c r="F17" s="5" t="s">
        <v>114</v>
      </c>
      <c r="G17" s="6" t="s">
        <v>40</v>
      </c>
      <c r="H17" s="5" t="s">
        <v>6282</v>
      </c>
      <c r="I17" s="5" t="s">
        <v>6283</v>
      </c>
      <c r="J17" s="6" t="s">
        <v>42</v>
      </c>
      <c r="K17" s="5" t="s">
        <v>64</v>
      </c>
      <c r="L17" s="5" t="s">
        <v>6336</v>
      </c>
      <c r="M17" s="6">
        <v>10795.0</v>
      </c>
    </row>
    <row r="18" ht="56.25" customHeight="1">
      <c r="A18" s="5" t="s">
        <v>6337</v>
      </c>
      <c r="B18" s="6" t="str">
        <f>IMAGE("https://storage.googleapis.com/acdb/posters/PosterNpcNmlPbr00.png")</f>
        <v/>
      </c>
      <c r="C18" s="6">
        <v>1000.0</v>
      </c>
      <c r="D18" s="6">
        <v>250.0</v>
      </c>
      <c r="E18" s="5" t="s">
        <v>54</v>
      </c>
      <c r="F18" s="5" t="s">
        <v>57</v>
      </c>
      <c r="G18" s="6" t="s">
        <v>40</v>
      </c>
      <c r="H18" s="5" t="s">
        <v>6282</v>
      </c>
      <c r="I18" s="5" t="s">
        <v>6283</v>
      </c>
      <c r="J18" s="6" t="s">
        <v>42</v>
      </c>
      <c r="K18" s="5" t="s">
        <v>64</v>
      </c>
      <c r="L18" s="5" t="s">
        <v>6341</v>
      </c>
      <c r="M18" s="6">
        <v>10512.0</v>
      </c>
    </row>
    <row r="19" ht="56.25" customHeight="1">
      <c r="A19" s="5" t="s">
        <v>6342</v>
      </c>
      <c r="B19" s="6" t="str">
        <f>IMAGE("https://storage.googleapis.com/acdb/posters/PosterNpcNmlHam01.png")</f>
        <v/>
      </c>
      <c r="C19" s="6">
        <v>1000.0</v>
      </c>
      <c r="D19" s="6">
        <v>250.0</v>
      </c>
      <c r="E19" s="5" t="s">
        <v>52</v>
      </c>
      <c r="F19" s="5" t="s">
        <v>114</v>
      </c>
      <c r="G19" s="6" t="s">
        <v>40</v>
      </c>
      <c r="H19" s="5" t="s">
        <v>6282</v>
      </c>
      <c r="I19" s="5" t="s">
        <v>6283</v>
      </c>
      <c r="J19" s="6" t="s">
        <v>42</v>
      </c>
      <c r="K19" s="5" t="s">
        <v>64</v>
      </c>
      <c r="L19" s="5" t="s">
        <v>6345</v>
      </c>
      <c r="M19" s="6">
        <v>10565.0</v>
      </c>
    </row>
    <row r="20" ht="56.25" customHeight="1">
      <c r="A20" s="5" t="s">
        <v>6346</v>
      </c>
      <c r="B20" s="6" t="str">
        <f>IMAGE("https://storage.googleapis.com/acdb/posters/PosterNpcNmlKgr05.png")</f>
        <v/>
      </c>
      <c r="C20" s="6">
        <v>1000.0</v>
      </c>
      <c r="D20" s="6">
        <v>250.0</v>
      </c>
      <c r="E20" s="5" t="s">
        <v>57</v>
      </c>
      <c r="F20" s="5" t="s">
        <v>54</v>
      </c>
      <c r="G20" s="6" t="s">
        <v>40</v>
      </c>
      <c r="H20" s="5" t="s">
        <v>6282</v>
      </c>
      <c r="I20" s="5" t="s">
        <v>6283</v>
      </c>
      <c r="J20" s="6" t="s">
        <v>42</v>
      </c>
      <c r="K20" s="5" t="s">
        <v>64</v>
      </c>
      <c r="L20" s="5" t="s">
        <v>6348</v>
      </c>
      <c r="M20" s="6">
        <v>10493.0</v>
      </c>
    </row>
    <row r="21" ht="56.25" customHeight="1">
      <c r="A21" s="5" t="s">
        <v>6349</v>
      </c>
      <c r="B21" s="6" t="str">
        <f>IMAGE("https://storage.googleapis.com/acdb/posters/PosterNpcNmlWol12.png")</f>
        <v/>
      </c>
      <c r="C21" s="6">
        <v>1000.0</v>
      </c>
      <c r="D21" s="6">
        <v>250.0</v>
      </c>
      <c r="E21" s="5" t="s">
        <v>52</v>
      </c>
      <c r="F21" s="5" t="s">
        <v>114</v>
      </c>
      <c r="G21" s="6" t="s">
        <v>40</v>
      </c>
      <c r="H21" s="5" t="s">
        <v>6282</v>
      </c>
      <c r="I21" s="5" t="s">
        <v>6283</v>
      </c>
      <c r="J21" s="6" t="s">
        <v>42</v>
      </c>
      <c r="K21" s="5" t="s">
        <v>64</v>
      </c>
      <c r="L21" s="5" t="s">
        <v>6350</v>
      </c>
      <c r="M21" s="6">
        <v>10859.0</v>
      </c>
    </row>
    <row r="22" ht="56.25" customHeight="1">
      <c r="A22" s="5" t="s">
        <v>6352</v>
      </c>
      <c r="B22" s="6" t="str">
        <f>IMAGE("https://storage.googleapis.com/acdb/posters/PosterNpcNmlPgn00.png")</f>
        <v/>
      </c>
      <c r="C22" s="6">
        <v>1000.0</v>
      </c>
      <c r="D22" s="6">
        <v>250.0</v>
      </c>
      <c r="E22" s="5" t="s">
        <v>54</v>
      </c>
      <c r="F22" s="5" t="s">
        <v>52</v>
      </c>
      <c r="G22" s="6" t="s">
        <v>40</v>
      </c>
      <c r="H22" s="5" t="s">
        <v>6282</v>
      </c>
      <c r="I22" s="5" t="s">
        <v>6283</v>
      </c>
      <c r="J22" s="6" t="s">
        <v>42</v>
      </c>
      <c r="K22" s="5" t="s">
        <v>64</v>
      </c>
      <c r="L22" s="5" t="s">
        <v>6354</v>
      </c>
      <c r="M22" s="6">
        <v>10563.0</v>
      </c>
    </row>
    <row r="23" ht="56.25" customHeight="1">
      <c r="A23" s="5" t="s">
        <v>6355</v>
      </c>
      <c r="B23" s="6" t="str">
        <f>IMAGE("https://storage.googleapis.com/acdb/posters/PosterNpcNmlChn05.png")</f>
        <v/>
      </c>
      <c r="C23" s="6">
        <v>1000.0</v>
      </c>
      <c r="D23" s="6">
        <v>250.0</v>
      </c>
      <c r="E23" s="5" t="s">
        <v>38</v>
      </c>
      <c r="F23" s="5" t="s">
        <v>69</v>
      </c>
      <c r="G23" s="6" t="s">
        <v>40</v>
      </c>
      <c r="H23" s="5" t="s">
        <v>6282</v>
      </c>
      <c r="I23" s="5" t="s">
        <v>6283</v>
      </c>
      <c r="J23" s="6" t="s">
        <v>42</v>
      </c>
      <c r="K23" s="5" t="s">
        <v>64</v>
      </c>
      <c r="L23" s="5" t="s">
        <v>6358</v>
      </c>
      <c r="M23" s="6">
        <v>10467.0</v>
      </c>
    </row>
    <row r="24" ht="56.25" customHeight="1">
      <c r="A24" s="5" t="s">
        <v>6359</v>
      </c>
      <c r="B24" s="6" t="str">
        <f>IMAGE("https://storage.googleapis.com/acdb/posters/PosterNpcNmlPbr05.png")</f>
        <v/>
      </c>
      <c r="C24" s="6">
        <v>1000.0</v>
      </c>
      <c r="D24" s="6">
        <v>250.0</v>
      </c>
      <c r="E24" s="5" t="s">
        <v>95</v>
      </c>
      <c r="F24" s="5" t="s">
        <v>54</v>
      </c>
      <c r="G24" s="6" t="s">
        <v>40</v>
      </c>
      <c r="H24" s="5" t="s">
        <v>6282</v>
      </c>
      <c r="I24" s="5" t="s">
        <v>6283</v>
      </c>
      <c r="J24" s="6" t="s">
        <v>42</v>
      </c>
      <c r="K24" s="5" t="s">
        <v>64</v>
      </c>
      <c r="L24" s="5" t="s">
        <v>6363</v>
      </c>
      <c r="M24" s="6">
        <v>10370.0</v>
      </c>
    </row>
    <row r="25" ht="56.25" customHeight="1">
      <c r="A25" s="5" t="s">
        <v>6364</v>
      </c>
      <c r="B25" s="6" t="str">
        <f>IMAGE("https://storage.googleapis.com/acdb/posters/PosterNpcNmlElp06.png")</f>
        <v/>
      </c>
      <c r="C25" s="6">
        <v>1000.0</v>
      </c>
      <c r="D25" s="6">
        <v>250.0</v>
      </c>
      <c r="E25" s="5" t="s">
        <v>68</v>
      </c>
      <c r="F25" s="5" t="s">
        <v>52</v>
      </c>
      <c r="G25" s="6" t="s">
        <v>40</v>
      </c>
      <c r="H25" s="5" t="s">
        <v>6282</v>
      </c>
      <c r="I25" s="5" t="s">
        <v>6283</v>
      </c>
      <c r="J25" s="6" t="s">
        <v>42</v>
      </c>
      <c r="K25" s="5" t="s">
        <v>64</v>
      </c>
      <c r="L25" s="5" t="s">
        <v>6366</v>
      </c>
      <c r="M25" s="6">
        <v>10319.0</v>
      </c>
    </row>
    <row r="26" ht="56.25" customHeight="1">
      <c r="A26" s="5" t="s">
        <v>6367</v>
      </c>
      <c r="B26" s="6" t="str">
        <f>IMAGE("https://storage.googleapis.com/acdb/posters/PosterNpcNmlShp01.png")</f>
        <v/>
      </c>
      <c r="C26" s="6">
        <v>1000.0</v>
      </c>
      <c r="D26" s="6">
        <v>250.0</v>
      </c>
      <c r="E26" s="5" t="s">
        <v>39</v>
      </c>
      <c r="F26" s="5" t="s">
        <v>83</v>
      </c>
      <c r="G26" s="6" t="s">
        <v>40</v>
      </c>
      <c r="H26" s="5" t="s">
        <v>6282</v>
      </c>
      <c r="I26" s="5" t="s">
        <v>6283</v>
      </c>
      <c r="J26" s="6" t="s">
        <v>42</v>
      </c>
      <c r="K26" s="5" t="s">
        <v>64</v>
      </c>
      <c r="L26" s="5" t="s">
        <v>6370</v>
      </c>
      <c r="M26" s="6">
        <v>10508.0</v>
      </c>
    </row>
    <row r="27" ht="56.25" customHeight="1">
      <c r="A27" s="5" t="s">
        <v>6372</v>
      </c>
      <c r="B27" s="6" t="str">
        <f>IMAGE("https://storage.googleapis.com/acdb/posters/PosterNpcNmlDer01.png")</f>
        <v/>
      </c>
      <c r="C27" s="6">
        <v>1000.0</v>
      </c>
      <c r="D27" s="6">
        <v>250.0</v>
      </c>
      <c r="E27" s="5" t="s">
        <v>68</v>
      </c>
      <c r="F27" s="5" t="s">
        <v>96</v>
      </c>
      <c r="G27" s="6" t="s">
        <v>40</v>
      </c>
      <c r="H27" s="5" t="s">
        <v>6282</v>
      </c>
      <c r="I27" s="5" t="s">
        <v>6283</v>
      </c>
      <c r="J27" s="6" t="s">
        <v>42</v>
      </c>
      <c r="K27" s="5" t="s">
        <v>64</v>
      </c>
      <c r="L27" s="5" t="s">
        <v>6373</v>
      </c>
      <c r="M27" s="6">
        <v>10456.0</v>
      </c>
    </row>
    <row r="28" ht="56.25" customHeight="1">
      <c r="A28" s="5" t="s">
        <v>6374</v>
      </c>
      <c r="B28" s="6" t="str">
        <f>IMAGE("https://storage.googleapis.com/acdb/posters/PosterNpcNmlTig03.png")</f>
        <v/>
      </c>
      <c r="C28" s="6">
        <v>1000.0</v>
      </c>
      <c r="D28" s="6">
        <v>250.0</v>
      </c>
      <c r="E28" s="5" t="s">
        <v>39</v>
      </c>
      <c r="F28" s="5" t="s">
        <v>96</v>
      </c>
      <c r="G28" s="6" t="s">
        <v>40</v>
      </c>
      <c r="H28" s="5" t="s">
        <v>6282</v>
      </c>
      <c r="I28" s="5" t="s">
        <v>6283</v>
      </c>
      <c r="J28" s="6" t="s">
        <v>42</v>
      </c>
      <c r="K28" s="5" t="s">
        <v>64</v>
      </c>
      <c r="L28" s="5" t="s">
        <v>6376</v>
      </c>
      <c r="M28" s="6">
        <v>10672.0</v>
      </c>
    </row>
    <row r="29" ht="56.25" customHeight="1">
      <c r="A29" s="5" t="s">
        <v>6377</v>
      </c>
      <c r="B29" s="6" t="str">
        <f>IMAGE("https://storage.googleapis.com/acdb/posters/PosterNpcNmlCbr16.png")</f>
        <v/>
      </c>
      <c r="C29" s="6">
        <v>1000.0</v>
      </c>
      <c r="D29" s="6">
        <v>250.0</v>
      </c>
      <c r="E29" s="5" t="s">
        <v>95</v>
      </c>
      <c r="F29" s="5" t="s">
        <v>54</v>
      </c>
      <c r="G29" s="6" t="s">
        <v>40</v>
      </c>
      <c r="H29" s="5" t="s">
        <v>6282</v>
      </c>
      <c r="I29" s="5" t="s">
        <v>6283</v>
      </c>
      <c r="J29" s="6" t="s">
        <v>42</v>
      </c>
      <c r="K29" s="5" t="s">
        <v>64</v>
      </c>
      <c r="L29" s="5" t="s">
        <v>6379</v>
      </c>
      <c r="M29" s="6">
        <v>10583.0</v>
      </c>
    </row>
    <row r="30" ht="56.25" customHeight="1">
      <c r="A30" s="5" t="s">
        <v>6380</v>
      </c>
      <c r="B30" s="6" t="str">
        <f>IMAGE("https://storage.googleapis.com/acdb/posters/PosterNpcNmlDog10.png")</f>
        <v/>
      </c>
      <c r="C30" s="6">
        <v>1000.0</v>
      </c>
      <c r="D30" s="6">
        <v>250.0</v>
      </c>
      <c r="E30" s="5" t="s">
        <v>83</v>
      </c>
      <c r="F30" s="5" t="s">
        <v>39</v>
      </c>
      <c r="G30" s="6" t="s">
        <v>40</v>
      </c>
      <c r="H30" s="5" t="s">
        <v>6282</v>
      </c>
      <c r="I30" s="5" t="s">
        <v>6283</v>
      </c>
      <c r="J30" s="6" t="s">
        <v>42</v>
      </c>
      <c r="K30" s="5" t="s">
        <v>64</v>
      </c>
      <c r="L30" s="5" t="s">
        <v>6382</v>
      </c>
      <c r="M30" s="6">
        <v>10632.0</v>
      </c>
    </row>
    <row r="31" ht="56.25" customHeight="1">
      <c r="A31" s="5" t="s">
        <v>6383</v>
      </c>
      <c r="B31" s="6" t="str">
        <f>IMAGE("https://storage.googleapis.com/acdb/posters/PosterNpcNmlBea13.png")</f>
        <v/>
      </c>
      <c r="C31" s="6">
        <v>1000.0</v>
      </c>
      <c r="D31" s="6">
        <v>250.0</v>
      </c>
      <c r="E31" s="5" t="s">
        <v>83</v>
      </c>
      <c r="F31" s="5" t="s">
        <v>39</v>
      </c>
      <c r="G31" s="6" t="s">
        <v>40</v>
      </c>
      <c r="H31" s="5" t="s">
        <v>6282</v>
      </c>
      <c r="I31" s="5" t="s">
        <v>6283</v>
      </c>
      <c r="J31" s="6" t="s">
        <v>42</v>
      </c>
      <c r="K31" s="5" t="s">
        <v>64</v>
      </c>
      <c r="L31" s="5" t="s">
        <v>6386</v>
      </c>
      <c r="M31" s="6">
        <v>10788.0</v>
      </c>
    </row>
    <row r="32" ht="56.25" customHeight="1">
      <c r="A32" s="5" t="s">
        <v>6387</v>
      </c>
      <c r="B32" s="6" t="str">
        <f>IMAGE("https://storage.googleapis.com/acdb/posters/PosterNpcNmlDer07.png")</f>
        <v/>
      </c>
      <c r="C32" s="6">
        <v>1000.0</v>
      </c>
      <c r="D32" s="6">
        <v>250.0</v>
      </c>
      <c r="E32" s="5" t="s">
        <v>83</v>
      </c>
      <c r="F32" s="5" t="s">
        <v>39</v>
      </c>
      <c r="G32" s="6" t="s">
        <v>40</v>
      </c>
      <c r="H32" s="5" t="s">
        <v>6282</v>
      </c>
      <c r="I32" s="5" t="s">
        <v>6283</v>
      </c>
      <c r="J32" s="6" t="s">
        <v>42</v>
      </c>
      <c r="K32" s="5" t="s">
        <v>64</v>
      </c>
      <c r="L32" s="5" t="s">
        <v>6390</v>
      </c>
      <c r="M32" s="6">
        <v>10396.0</v>
      </c>
    </row>
    <row r="33" ht="56.25" customHeight="1">
      <c r="A33" s="5" t="s">
        <v>6391</v>
      </c>
      <c r="B33" s="6" t="str">
        <f>IMAGE("https://storage.googleapis.com/acdb/posters/PosterNpcNmlChn09.png")</f>
        <v/>
      </c>
      <c r="C33" s="6">
        <v>1000.0</v>
      </c>
      <c r="D33" s="6">
        <v>250.0</v>
      </c>
      <c r="E33" s="5" t="s">
        <v>106</v>
      </c>
      <c r="F33" s="5" t="s">
        <v>52</v>
      </c>
      <c r="G33" s="6" t="s">
        <v>40</v>
      </c>
      <c r="H33" s="5" t="s">
        <v>6282</v>
      </c>
      <c r="I33" s="5" t="s">
        <v>6283</v>
      </c>
      <c r="J33" s="6" t="s">
        <v>42</v>
      </c>
      <c r="K33" s="5" t="s">
        <v>64</v>
      </c>
      <c r="L33" s="5" t="s">
        <v>6393</v>
      </c>
      <c r="M33" s="6">
        <v>10580.0</v>
      </c>
    </row>
    <row r="34" ht="56.25" customHeight="1">
      <c r="A34" s="5" t="s">
        <v>6394</v>
      </c>
      <c r="B34" s="6" t="str">
        <f>IMAGE("https://storage.googleapis.com/acdb/posters/PosterNpcNmlMus02.png")</f>
        <v/>
      </c>
      <c r="C34" s="6">
        <v>1000.0</v>
      </c>
      <c r="D34" s="6">
        <v>250.0</v>
      </c>
      <c r="E34" s="5" t="s">
        <v>106</v>
      </c>
      <c r="F34" s="5" t="s">
        <v>57</v>
      </c>
      <c r="G34" s="6" t="s">
        <v>40</v>
      </c>
      <c r="H34" s="5" t="s">
        <v>6282</v>
      </c>
      <c r="I34" s="5" t="s">
        <v>6283</v>
      </c>
      <c r="J34" s="6" t="s">
        <v>42</v>
      </c>
      <c r="K34" s="5" t="s">
        <v>64</v>
      </c>
      <c r="L34" s="5" t="s">
        <v>6397</v>
      </c>
      <c r="M34" s="6">
        <v>10681.0</v>
      </c>
    </row>
    <row r="35" ht="56.25" customHeight="1">
      <c r="A35" s="5" t="s">
        <v>6399</v>
      </c>
      <c r="B35" s="6" t="str">
        <f>IMAGE("https://storage.googleapis.com/acdb/posters/PosterNpcNmlChn01.png")</f>
        <v/>
      </c>
      <c r="C35" s="6">
        <v>1000.0</v>
      </c>
      <c r="D35" s="6">
        <v>250.0</v>
      </c>
      <c r="E35" s="5" t="s">
        <v>52</v>
      </c>
      <c r="F35" s="5" t="s">
        <v>96</v>
      </c>
      <c r="G35" s="6" t="s">
        <v>40</v>
      </c>
      <c r="H35" s="5" t="s">
        <v>6282</v>
      </c>
      <c r="I35" s="5" t="s">
        <v>6283</v>
      </c>
      <c r="J35" s="6" t="s">
        <v>42</v>
      </c>
      <c r="K35" s="5" t="s">
        <v>64</v>
      </c>
      <c r="L35" s="5" t="s">
        <v>6402</v>
      </c>
      <c r="M35" s="6">
        <v>10400.0</v>
      </c>
    </row>
    <row r="36" ht="56.25" customHeight="1">
      <c r="A36" s="5" t="s">
        <v>6403</v>
      </c>
      <c r="B36" s="6" t="str">
        <f>IMAGE("https://storage.googleapis.com/acdb/posters/PosterNpcNmlDog16.png")</f>
        <v/>
      </c>
      <c r="C36" s="6">
        <v>1000.0</v>
      </c>
      <c r="D36" s="6">
        <v>250.0</v>
      </c>
      <c r="E36" s="5" t="s">
        <v>114</v>
      </c>
      <c r="F36" s="5" t="s">
        <v>96</v>
      </c>
      <c r="G36" s="6" t="s">
        <v>40</v>
      </c>
      <c r="H36" s="5" t="s">
        <v>6282</v>
      </c>
      <c r="I36" s="5" t="s">
        <v>6283</v>
      </c>
      <c r="J36" s="6" t="s">
        <v>42</v>
      </c>
      <c r="K36" s="5" t="s">
        <v>64</v>
      </c>
      <c r="L36" s="5" t="s">
        <v>6406</v>
      </c>
      <c r="M36" s="6">
        <v>10695.0</v>
      </c>
    </row>
    <row r="37" ht="56.25" customHeight="1">
      <c r="A37" s="5" t="s">
        <v>6407</v>
      </c>
      <c r="B37" s="6" t="str">
        <f>IMAGE("https://storage.googleapis.com/acdb/posters/PosterNpcNmlHip03.png")</f>
        <v/>
      </c>
      <c r="C37" s="6">
        <v>1000.0</v>
      </c>
      <c r="D37" s="6">
        <v>250.0</v>
      </c>
      <c r="E37" s="5" t="s">
        <v>69</v>
      </c>
      <c r="F37" s="5" t="s">
        <v>96</v>
      </c>
      <c r="G37" s="6" t="s">
        <v>40</v>
      </c>
      <c r="H37" s="5" t="s">
        <v>6282</v>
      </c>
      <c r="I37" s="5" t="s">
        <v>6283</v>
      </c>
      <c r="J37" s="6" t="s">
        <v>42</v>
      </c>
      <c r="K37" s="5" t="s">
        <v>64</v>
      </c>
      <c r="L37" s="5" t="s">
        <v>6410</v>
      </c>
      <c r="M37" s="6">
        <v>10322.0</v>
      </c>
    </row>
    <row r="38" ht="56.25" customHeight="1">
      <c r="A38" s="5" t="s">
        <v>6411</v>
      </c>
      <c r="B38" s="6" t="str">
        <f>IMAGE("https://storage.googleapis.com/acdb/posters/PosterNpcNmlMus15.png")</f>
        <v/>
      </c>
      <c r="C38" s="6">
        <v>1000.0</v>
      </c>
      <c r="D38" s="6">
        <v>250.0</v>
      </c>
      <c r="E38" s="5" t="s">
        <v>142</v>
      </c>
      <c r="F38" s="5" t="s">
        <v>68</v>
      </c>
      <c r="G38" s="6" t="s">
        <v>40</v>
      </c>
      <c r="H38" s="5" t="s">
        <v>6282</v>
      </c>
      <c r="I38" s="5" t="s">
        <v>6283</v>
      </c>
      <c r="J38" s="6" t="s">
        <v>42</v>
      </c>
      <c r="K38" s="5" t="s">
        <v>64</v>
      </c>
      <c r="L38" s="5" t="s">
        <v>6414</v>
      </c>
      <c r="M38" s="6">
        <v>10403.0</v>
      </c>
    </row>
    <row r="39" ht="56.25" customHeight="1">
      <c r="A39" s="5" t="s">
        <v>6415</v>
      </c>
      <c r="B39" s="6" t="str">
        <f>IMAGE("https://storage.googleapis.com/acdb/posters/PosterNpcNmlTig06.png")</f>
        <v/>
      </c>
      <c r="C39" s="6">
        <v>1000.0</v>
      </c>
      <c r="D39" s="6">
        <v>250.0</v>
      </c>
      <c r="E39" s="5" t="s">
        <v>83</v>
      </c>
      <c r="F39" s="5" t="s">
        <v>68</v>
      </c>
      <c r="G39" s="6" t="s">
        <v>40</v>
      </c>
      <c r="H39" s="5" t="s">
        <v>6282</v>
      </c>
      <c r="I39" s="5" t="s">
        <v>6283</v>
      </c>
      <c r="J39" s="6" t="s">
        <v>42</v>
      </c>
      <c r="K39" s="5" t="s">
        <v>64</v>
      </c>
      <c r="L39" s="5" t="s">
        <v>6417</v>
      </c>
      <c r="M39" s="6">
        <v>10393.0</v>
      </c>
    </row>
    <row r="40" ht="56.25" customHeight="1">
      <c r="A40" s="5" t="s">
        <v>6418</v>
      </c>
      <c r="B40" s="6" t="str">
        <f>IMAGE("https://storage.googleapis.com/acdb/posters/PosterNpcNmlHip04.png")</f>
        <v/>
      </c>
      <c r="C40" s="6">
        <v>1000.0</v>
      </c>
      <c r="D40" s="6">
        <v>250.0</v>
      </c>
      <c r="E40" s="5" t="s">
        <v>52</v>
      </c>
      <c r="F40" s="5" t="s">
        <v>54</v>
      </c>
      <c r="G40" s="6" t="s">
        <v>40</v>
      </c>
      <c r="H40" s="5" t="s">
        <v>6282</v>
      </c>
      <c r="I40" s="5" t="s">
        <v>6283</v>
      </c>
      <c r="J40" s="6" t="s">
        <v>42</v>
      </c>
      <c r="K40" s="5" t="s">
        <v>64</v>
      </c>
      <c r="L40" s="5" t="s">
        <v>6421</v>
      </c>
      <c r="M40" s="6">
        <v>10682.0</v>
      </c>
    </row>
    <row r="41" ht="56.25" customHeight="1">
      <c r="A41" s="5" t="s">
        <v>6422</v>
      </c>
      <c r="B41" s="6" t="str">
        <f>IMAGE("https://storage.googleapis.com/acdb/posters/PosterNpcNmlElp02.png")</f>
        <v/>
      </c>
      <c r="C41" s="6">
        <v>1000.0</v>
      </c>
      <c r="D41" s="6">
        <v>250.0</v>
      </c>
      <c r="E41" s="5" t="s">
        <v>96</v>
      </c>
      <c r="F41" s="5" t="s">
        <v>114</v>
      </c>
      <c r="G41" s="6" t="s">
        <v>40</v>
      </c>
      <c r="H41" s="5" t="s">
        <v>6282</v>
      </c>
      <c r="I41" s="5" t="s">
        <v>6283</v>
      </c>
      <c r="J41" s="6" t="s">
        <v>42</v>
      </c>
      <c r="K41" s="5" t="s">
        <v>64</v>
      </c>
      <c r="L41" s="5" t="s">
        <v>6426</v>
      </c>
      <c r="M41" s="6">
        <v>10426.0</v>
      </c>
    </row>
    <row r="42" ht="56.25" customHeight="1">
      <c r="A42" s="5" t="s">
        <v>6427</v>
      </c>
      <c r="B42" s="6" t="str">
        <f>IMAGE("https://storage.googleapis.com/acdb/posters/PosterNpcNmlDuk00.png")</f>
        <v/>
      </c>
      <c r="C42" s="6">
        <v>1000.0</v>
      </c>
      <c r="D42" s="6">
        <v>250.0</v>
      </c>
      <c r="E42" s="5" t="s">
        <v>39</v>
      </c>
      <c r="F42" s="5" t="s">
        <v>114</v>
      </c>
      <c r="G42" s="6" t="s">
        <v>40</v>
      </c>
      <c r="H42" s="5" t="s">
        <v>6282</v>
      </c>
      <c r="I42" s="5" t="s">
        <v>6283</v>
      </c>
      <c r="J42" s="6" t="s">
        <v>42</v>
      </c>
      <c r="K42" s="5" t="s">
        <v>64</v>
      </c>
      <c r="L42" s="5" t="s">
        <v>6430</v>
      </c>
      <c r="M42" s="6">
        <v>10653.0</v>
      </c>
    </row>
    <row r="43" ht="56.25" customHeight="1">
      <c r="A43" s="5" t="s">
        <v>6431</v>
      </c>
      <c r="B43" s="6" t="str">
        <f>IMAGE("https://storage.googleapis.com/acdb/posters/PosterNpcNmlGoa02.png")</f>
        <v/>
      </c>
      <c r="C43" s="6">
        <v>1000.0</v>
      </c>
      <c r="D43" s="6">
        <v>250.0</v>
      </c>
      <c r="E43" s="5" t="s">
        <v>39</v>
      </c>
      <c r="F43" s="5" t="s">
        <v>96</v>
      </c>
      <c r="G43" s="6" t="s">
        <v>40</v>
      </c>
      <c r="H43" s="5" t="s">
        <v>6282</v>
      </c>
      <c r="I43" s="5" t="s">
        <v>6283</v>
      </c>
      <c r="J43" s="6" t="s">
        <v>42</v>
      </c>
      <c r="K43" s="5" t="s">
        <v>64</v>
      </c>
      <c r="L43" s="5" t="s">
        <v>6434</v>
      </c>
      <c r="M43" s="6">
        <v>10620.0</v>
      </c>
    </row>
    <row r="44" ht="56.25" customHeight="1">
      <c r="A44" s="5" t="s">
        <v>6435</v>
      </c>
      <c r="B44" s="6" t="str">
        <f>IMAGE("https://storage.googleapis.com/acdb/posters/PosterNpcNmlDog03.png")</f>
        <v/>
      </c>
      <c r="C44" s="6">
        <v>1000.0</v>
      </c>
      <c r="D44" s="6">
        <v>250.0</v>
      </c>
      <c r="E44" s="5" t="s">
        <v>142</v>
      </c>
      <c r="F44" s="5" t="s">
        <v>106</v>
      </c>
      <c r="G44" s="6" t="s">
        <v>40</v>
      </c>
      <c r="H44" s="5" t="s">
        <v>6282</v>
      </c>
      <c r="I44" s="5" t="s">
        <v>6283</v>
      </c>
      <c r="J44" s="6" t="s">
        <v>42</v>
      </c>
      <c r="K44" s="5" t="s">
        <v>64</v>
      </c>
      <c r="L44" s="5" t="s">
        <v>6438</v>
      </c>
      <c r="M44" s="6">
        <v>10496.0</v>
      </c>
    </row>
    <row r="45" ht="56.25" customHeight="1">
      <c r="A45" s="5" t="s">
        <v>6439</v>
      </c>
      <c r="B45" s="6" t="str">
        <f>IMAGE("https://storage.googleapis.com/acdb/posters/PosterNpcNmlHip05.png")</f>
        <v/>
      </c>
      <c r="C45" s="6">
        <v>1000.0</v>
      </c>
      <c r="D45" s="6">
        <v>250.0</v>
      </c>
      <c r="E45" s="5" t="s">
        <v>69</v>
      </c>
      <c r="F45" s="5" t="s">
        <v>52</v>
      </c>
      <c r="G45" s="6" t="s">
        <v>40</v>
      </c>
      <c r="H45" s="5" t="s">
        <v>6282</v>
      </c>
      <c r="I45" s="5" t="s">
        <v>6283</v>
      </c>
      <c r="J45" s="6" t="s">
        <v>42</v>
      </c>
      <c r="K45" s="5" t="s">
        <v>64</v>
      </c>
      <c r="L45" s="5" t="s">
        <v>6442</v>
      </c>
      <c r="M45" s="6">
        <v>10622.0</v>
      </c>
    </row>
    <row r="46" ht="56.25" customHeight="1">
      <c r="A46" s="5" t="s">
        <v>6443</v>
      </c>
      <c r="B46" s="6" t="str">
        <f>IMAGE("https://storage.googleapis.com/acdb/posters/PosterNpcNmlSqu01.png")</f>
        <v/>
      </c>
      <c r="C46" s="6">
        <v>1000.0</v>
      </c>
      <c r="D46" s="6">
        <v>250.0</v>
      </c>
      <c r="E46" s="5" t="s">
        <v>54</v>
      </c>
      <c r="F46" s="5" t="s">
        <v>39</v>
      </c>
      <c r="G46" s="6" t="s">
        <v>40</v>
      </c>
      <c r="H46" s="5" t="s">
        <v>6282</v>
      </c>
      <c r="I46" s="5" t="s">
        <v>6283</v>
      </c>
      <c r="J46" s="6" t="s">
        <v>42</v>
      </c>
      <c r="K46" s="5" t="s">
        <v>64</v>
      </c>
      <c r="L46" s="5" t="s">
        <v>6446</v>
      </c>
      <c r="M46" s="6">
        <v>10369.0</v>
      </c>
    </row>
    <row r="47" ht="56.25" customHeight="1">
      <c r="A47" s="5" t="s">
        <v>6448</v>
      </c>
      <c r="B47" s="6" t="str">
        <f>IMAGE("https://storage.googleapis.com/acdb/posters/PosterNpcSpMka.png")</f>
        <v/>
      </c>
      <c r="C47" s="6">
        <v>1000.0</v>
      </c>
      <c r="D47" s="6">
        <v>250.0</v>
      </c>
      <c r="E47" s="5" t="s">
        <v>57</v>
      </c>
      <c r="F47" s="5" t="s">
        <v>83</v>
      </c>
      <c r="G47" s="6" t="s">
        <v>40</v>
      </c>
      <c r="H47" s="5" t="s">
        <v>6282</v>
      </c>
      <c r="I47" s="5" t="s">
        <v>6283</v>
      </c>
      <c r="J47" s="6" t="s">
        <v>42</v>
      </c>
      <c r="K47" s="5" t="s">
        <v>64</v>
      </c>
      <c r="L47" s="5" t="s">
        <v>6450</v>
      </c>
      <c r="M47" s="6">
        <v>10343.0</v>
      </c>
    </row>
    <row r="48" ht="56.25" customHeight="1">
      <c r="A48" s="5" t="s">
        <v>6451</v>
      </c>
      <c r="B48" s="6" t="str">
        <f>IMAGE("https://storage.googleapis.com/acdb/posters/PosterNpcNmlOst08.png")</f>
        <v/>
      </c>
      <c r="C48" s="6">
        <v>1000.0</v>
      </c>
      <c r="D48" s="6">
        <v>250.0</v>
      </c>
      <c r="E48" s="5" t="s">
        <v>57</v>
      </c>
      <c r="F48" s="5" t="s">
        <v>69</v>
      </c>
      <c r="G48" s="6" t="s">
        <v>40</v>
      </c>
      <c r="H48" s="5" t="s">
        <v>6282</v>
      </c>
      <c r="I48" s="5" t="s">
        <v>6283</v>
      </c>
      <c r="J48" s="6" t="s">
        <v>42</v>
      </c>
      <c r="K48" s="5" t="s">
        <v>64</v>
      </c>
      <c r="L48" s="5" t="s">
        <v>6454</v>
      </c>
      <c r="M48" s="6">
        <v>10478.0</v>
      </c>
    </row>
    <row r="49" ht="56.25" customHeight="1">
      <c r="A49" s="5" t="s">
        <v>6455</v>
      </c>
      <c r="B49" s="6" t="str">
        <f>IMAGE("https://storage.googleapis.com/acdb/posters/PosterNpcSpOwl.png")</f>
        <v/>
      </c>
      <c r="C49" s="6">
        <v>1000.0</v>
      </c>
      <c r="D49" s="6">
        <v>250.0</v>
      </c>
      <c r="E49" s="5" t="s">
        <v>39</v>
      </c>
      <c r="F49" s="5" t="s">
        <v>38</v>
      </c>
      <c r="G49" s="6" t="s">
        <v>40</v>
      </c>
      <c r="H49" s="5" t="s">
        <v>6282</v>
      </c>
      <c r="I49" s="5" t="s">
        <v>6283</v>
      </c>
      <c r="J49" s="6" t="s">
        <v>42</v>
      </c>
      <c r="K49" s="5" t="s">
        <v>64</v>
      </c>
      <c r="L49" s="5" t="s">
        <v>6458</v>
      </c>
      <c r="M49" s="6">
        <v>10324.0</v>
      </c>
    </row>
    <row r="50" ht="56.25" customHeight="1">
      <c r="A50" s="5" t="s">
        <v>6459</v>
      </c>
      <c r="B50" s="6" t="str">
        <f>IMAGE("https://storage.googleapis.com/acdb/posters/PosterNpcNmlCbr00.png")</f>
        <v/>
      </c>
      <c r="C50" s="6">
        <v>1000.0</v>
      </c>
      <c r="D50" s="6">
        <v>250.0</v>
      </c>
      <c r="E50" s="5" t="s">
        <v>83</v>
      </c>
      <c r="F50" s="5" t="s">
        <v>106</v>
      </c>
      <c r="G50" s="6" t="s">
        <v>40</v>
      </c>
      <c r="H50" s="5" t="s">
        <v>6282</v>
      </c>
      <c r="I50" s="5" t="s">
        <v>6283</v>
      </c>
      <c r="J50" s="6" t="s">
        <v>42</v>
      </c>
      <c r="K50" s="5" t="s">
        <v>64</v>
      </c>
      <c r="L50" s="5" t="s">
        <v>6461</v>
      </c>
      <c r="M50" s="6">
        <v>10652.0</v>
      </c>
    </row>
    <row r="51" ht="56.25" customHeight="1">
      <c r="A51" s="5" t="s">
        <v>6462</v>
      </c>
      <c r="B51" s="6" t="str">
        <f>IMAGE("https://storage.googleapis.com/acdb/posters/PosterNpcNmlCat00.png")</f>
        <v/>
      </c>
      <c r="C51" s="6">
        <v>1000.0</v>
      </c>
      <c r="D51" s="6">
        <v>250.0</v>
      </c>
      <c r="E51" s="5" t="s">
        <v>106</v>
      </c>
      <c r="F51" s="5" t="s">
        <v>83</v>
      </c>
      <c r="G51" s="6" t="s">
        <v>40</v>
      </c>
      <c r="H51" s="5" t="s">
        <v>6282</v>
      </c>
      <c r="I51" s="5" t="s">
        <v>6283</v>
      </c>
      <c r="J51" s="6" t="s">
        <v>42</v>
      </c>
      <c r="K51" s="5" t="s">
        <v>64</v>
      </c>
      <c r="L51" s="5" t="s">
        <v>6465</v>
      </c>
      <c r="M51" s="6">
        <v>10797.0</v>
      </c>
    </row>
    <row r="52" ht="56.25" customHeight="1">
      <c r="A52" s="5" t="s">
        <v>6466</v>
      </c>
      <c r="B52" s="6" t="str">
        <f>IMAGE("https://storage.googleapis.com/acdb/posters/PosterNpcNmlRbt17.png")</f>
        <v/>
      </c>
      <c r="C52" s="6">
        <v>1000.0</v>
      </c>
      <c r="D52" s="6">
        <v>250.0</v>
      </c>
      <c r="E52" s="5" t="s">
        <v>39</v>
      </c>
      <c r="F52" s="5" t="s">
        <v>52</v>
      </c>
      <c r="G52" s="6" t="s">
        <v>40</v>
      </c>
      <c r="H52" s="5" t="s">
        <v>6282</v>
      </c>
      <c r="I52" s="5" t="s">
        <v>6283</v>
      </c>
      <c r="J52" s="6" t="s">
        <v>42</v>
      </c>
      <c r="K52" s="5" t="s">
        <v>64</v>
      </c>
      <c r="L52" s="5" t="s">
        <v>6470</v>
      </c>
      <c r="M52" s="6">
        <v>10666.0</v>
      </c>
    </row>
    <row r="53" ht="56.25" customHeight="1">
      <c r="A53" s="5" t="s">
        <v>6471</v>
      </c>
      <c r="B53" s="6" t="str">
        <f>IMAGE("https://storage.googleapis.com/acdb/posters/PosterNpcNmlDog04.png")</f>
        <v/>
      </c>
      <c r="C53" s="6">
        <v>1000.0</v>
      </c>
      <c r="D53" s="6">
        <v>250.0</v>
      </c>
      <c r="E53" s="5" t="s">
        <v>38</v>
      </c>
      <c r="F53" s="5" t="s">
        <v>69</v>
      </c>
      <c r="G53" s="6" t="s">
        <v>40</v>
      </c>
      <c r="H53" s="5" t="s">
        <v>6282</v>
      </c>
      <c r="I53" s="5" t="s">
        <v>6283</v>
      </c>
      <c r="J53" s="6" t="s">
        <v>42</v>
      </c>
      <c r="K53" s="5" t="s">
        <v>64</v>
      </c>
      <c r="L53" s="5" t="s">
        <v>6473</v>
      </c>
      <c r="M53" s="6">
        <v>10548.0</v>
      </c>
    </row>
    <row r="54" ht="56.25" customHeight="1">
      <c r="A54" s="5" t="s">
        <v>6475</v>
      </c>
      <c r="B54" s="6" t="str">
        <f>IMAGE("https://storage.googleapis.com/acdb/posters/PosterNpcSpDgb.png")</f>
        <v/>
      </c>
      <c r="C54" s="6">
        <v>1000.0</v>
      </c>
      <c r="D54" s="6">
        <v>250.0</v>
      </c>
      <c r="E54" s="5" t="s">
        <v>142</v>
      </c>
      <c r="F54" s="5" t="s">
        <v>68</v>
      </c>
      <c r="G54" s="6" t="s">
        <v>40</v>
      </c>
      <c r="H54" s="5" t="s">
        <v>6282</v>
      </c>
      <c r="I54" s="5" t="s">
        <v>6283</v>
      </c>
      <c r="J54" s="6" t="s">
        <v>42</v>
      </c>
      <c r="K54" s="5" t="s">
        <v>64</v>
      </c>
      <c r="L54" s="5" t="s">
        <v>6478</v>
      </c>
      <c r="M54" s="6">
        <v>10336.0</v>
      </c>
    </row>
    <row r="55" ht="56.25" customHeight="1">
      <c r="A55" s="5" t="s">
        <v>6479</v>
      </c>
      <c r="B55" s="6" t="str">
        <f>IMAGE("https://storage.googleapis.com/acdb/posters/PosterNpcNmlPgn10.png")</f>
        <v/>
      </c>
      <c r="C55" s="6">
        <v>1000.0</v>
      </c>
      <c r="D55" s="6">
        <v>250.0</v>
      </c>
      <c r="E55" s="5" t="s">
        <v>54</v>
      </c>
      <c r="F55" s="5" t="s">
        <v>68</v>
      </c>
      <c r="G55" s="6" t="s">
        <v>40</v>
      </c>
      <c r="H55" s="5" t="s">
        <v>6282</v>
      </c>
      <c r="I55" s="5" t="s">
        <v>6283</v>
      </c>
      <c r="J55" s="6" t="s">
        <v>42</v>
      </c>
      <c r="K55" s="5" t="s">
        <v>64</v>
      </c>
      <c r="L55" s="5" t="s">
        <v>6483</v>
      </c>
      <c r="M55" s="6">
        <v>10506.0</v>
      </c>
    </row>
    <row r="56" ht="56.25" customHeight="1">
      <c r="A56" s="5" t="s">
        <v>6484</v>
      </c>
      <c r="B56" s="6" t="str">
        <f>IMAGE("https://storage.googleapis.com/acdb/posters/PosterNpcNmlGor02.png")</f>
        <v/>
      </c>
      <c r="C56" s="6">
        <v>1000.0</v>
      </c>
      <c r="D56" s="6">
        <v>250.0</v>
      </c>
      <c r="E56" s="5" t="s">
        <v>39</v>
      </c>
      <c r="F56" s="5" t="s">
        <v>57</v>
      </c>
      <c r="G56" s="6" t="s">
        <v>40</v>
      </c>
      <c r="H56" s="5" t="s">
        <v>6282</v>
      </c>
      <c r="I56" s="5" t="s">
        <v>6283</v>
      </c>
      <c r="J56" s="6" t="s">
        <v>42</v>
      </c>
      <c r="K56" s="5" t="s">
        <v>64</v>
      </c>
      <c r="L56" s="5" t="s">
        <v>6488</v>
      </c>
      <c r="M56" s="6">
        <v>10534.0</v>
      </c>
    </row>
    <row r="57" ht="56.25" customHeight="1">
      <c r="A57" s="5" t="s">
        <v>6489</v>
      </c>
      <c r="B57" s="6" t="str">
        <f>IMAGE("https://storage.googleapis.com/acdb/posters/PosterNpcNmlCrd02.png")</f>
        <v/>
      </c>
      <c r="C57" s="6">
        <v>1000.0</v>
      </c>
      <c r="D57" s="6">
        <v>250.0</v>
      </c>
      <c r="E57" s="5" t="s">
        <v>96</v>
      </c>
      <c r="F57" s="5" t="s">
        <v>68</v>
      </c>
      <c r="G57" s="6" t="s">
        <v>40</v>
      </c>
      <c r="H57" s="5" t="s">
        <v>6282</v>
      </c>
      <c r="I57" s="5" t="s">
        <v>6283</v>
      </c>
      <c r="J57" s="6" t="s">
        <v>42</v>
      </c>
      <c r="K57" s="5" t="s">
        <v>64</v>
      </c>
      <c r="L57" s="5" t="s">
        <v>6491</v>
      </c>
      <c r="M57" s="6">
        <v>10634.0</v>
      </c>
    </row>
    <row r="58" ht="56.25" customHeight="1">
      <c r="A58" s="5" t="s">
        <v>6493</v>
      </c>
      <c r="B58" s="6" t="str">
        <f>IMAGE("https://storage.googleapis.com/acdb/posters/PosterNpcNmlPig09.png")</f>
        <v/>
      </c>
      <c r="C58" s="6">
        <v>1000.0</v>
      </c>
      <c r="D58" s="6">
        <v>250.0</v>
      </c>
      <c r="E58" s="5" t="s">
        <v>68</v>
      </c>
      <c r="F58" s="5" t="s">
        <v>52</v>
      </c>
      <c r="G58" s="6" t="s">
        <v>40</v>
      </c>
      <c r="H58" s="5" t="s">
        <v>6282</v>
      </c>
      <c r="I58" s="5" t="s">
        <v>6283</v>
      </c>
      <c r="J58" s="6" t="s">
        <v>42</v>
      </c>
      <c r="K58" s="5" t="s">
        <v>64</v>
      </c>
      <c r="L58" s="5" t="s">
        <v>6495</v>
      </c>
      <c r="M58" s="6">
        <v>10613.0</v>
      </c>
    </row>
    <row r="59" ht="56.25" customHeight="1">
      <c r="A59" s="5" t="s">
        <v>6496</v>
      </c>
      <c r="B59" s="6" t="str">
        <f>IMAGE("https://storage.googleapis.com/acdb/posters/PosterNpcNmlGor05.png")</f>
        <v/>
      </c>
      <c r="C59" s="6">
        <v>1000.0</v>
      </c>
      <c r="D59" s="6">
        <v>250.0</v>
      </c>
      <c r="E59" s="5" t="s">
        <v>52</v>
      </c>
      <c r="F59" s="5" t="s">
        <v>68</v>
      </c>
      <c r="G59" s="6" t="s">
        <v>40</v>
      </c>
      <c r="H59" s="5" t="s">
        <v>6282</v>
      </c>
      <c r="I59" s="5" t="s">
        <v>6283</v>
      </c>
      <c r="J59" s="6" t="s">
        <v>42</v>
      </c>
      <c r="K59" s="5" t="s">
        <v>64</v>
      </c>
      <c r="L59" s="5" t="s">
        <v>6500</v>
      </c>
      <c r="M59" s="6">
        <v>10621.0</v>
      </c>
    </row>
    <row r="60" ht="56.25" customHeight="1">
      <c r="A60" s="5" t="s">
        <v>6501</v>
      </c>
      <c r="B60" s="6" t="str">
        <f>IMAGE("https://storage.googleapis.com/acdb/posters/PosterNpcNmlMus03.png")</f>
        <v/>
      </c>
      <c r="C60" s="6">
        <v>1000.0</v>
      </c>
      <c r="D60" s="6">
        <v>250.0</v>
      </c>
      <c r="E60" s="5" t="s">
        <v>96</v>
      </c>
      <c r="F60" s="5" t="s">
        <v>69</v>
      </c>
      <c r="G60" s="6" t="s">
        <v>40</v>
      </c>
      <c r="H60" s="5" t="s">
        <v>6282</v>
      </c>
      <c r="I60" s="5" t="s">
        <v>6283</v>
      </c>
      <c r="J60" s="6" t="s">
        <v>42</v>
      </c>
      <c r="K60" s="5" t="s">
        <v>64</v>
      </c>
      <c r="L60" s="5" t="s">
        <v>6505</v>
      </c>
      <c r="M60" s="6">
        <v>10486.0</v>
      </c>
    </row>
    <row r="61" ht="56.25" customHeight="1">
      <c r="A61" s="5" t="s">
        <v>6506</v>
      </c>
      <c r="B61" s="6" t="str">
        <f>IMAGE("https://storage.googleapis.com/acdb/posters/PosterNpcSpPge.png")</f>
        <v/>
      </c>
      <c r="C61" s="6">
        <v>1000.0</v>
      </c>
      <c r="D61" s="6">
        <v>250.0</v>
      </c>
      <c r="E61" s="5" t="s">
        <v>96</v>
      </c>
      <c r="F61" s="5" t="s">
        <v>54</v>
      </c>
      <c r="G61" s="6" t="s">
        <v>40</v>
      </c>
      <c r="H61" s="5" t="s">
        <v>6282</v>
      </c>
      <c r="I61" s="5" t="s">
        <v>6283</v>
      </c>
      <c r="J61" s="6" t="s">
        <v>42</v>
      </c>
      <c r="K61" s="5" t="s">
        <v>64</v>
      </c>
      <c r="L61" s="5" t="s">
        <v>6511</v>
      </c>
      <c r="M61" s="6">
        <v>10516.0</v>
      </c>
    </row>
    <row r="62" ht="56.25" customHeight="1">
      <c r="A62" s="5" t="s">
        <v>6512</v>
      </c>
      <c r="B62" s="6" t="str">
        <f>IMAGE("https://storage.googleapis.com/acdb/posters/PosterNpcNmlMus12.png")</f>
        <v/>
      </c>
      <c r="C62" s="6">
        <v>1000.0</v>
      </c>
      <c r="D62" s="6">
        <v>250.0</v>
      </c>
      <c r="E62" s="5" t="s">
        <v>83</v>
      </c>
      <c r="F62" s="5" t="s">
        <v>58</v>
      </c>
      <c r="G62" s="6" t="s">
        <v>40</v>
      </c>
      <c r="H62" s="5" t="s">
        <v>6282</v>
      </c>
      <c r="I62" s="5" t="s">
        <v>6283</v>
      </c>
      <c r="J62" s="6" t="s">
        <v>42</v>
      </c>
      <c r="K62" s="5" t="s">
        <v>64</v>
      </c>
      <c r="L62" s="5" t="s">
        <v>6515</v>
      </c>
      <c r="M62" s="6">
        <v>10378.0</v>
      </c>
    </row>
    <row r="63" ht="56.25" customHeight="1">
      <c r="A63" s="5" t="s">
        <v>6516</v>
      </c>
      <c r="B63" s="6" t="str">
        <f>IMAGE("https://storage.googleapis.com/acdb/posters/PosterNpcNmlChn12.png")</f>
        <v/>
      </c>
      <c r="C63" s="6">
        <v>1000.0</v>
      </c>
      <c r="D63" s="6">
        <v>250.0</v>
      </c>
      <c r="E63" s="5" t="s">
        <v>142</v>
      </c>
      <c r="F63" s="5" t="s">
        <v>54</v>
      </c>
      <c r="G63" s="6" t="s">
        <v>40</v>
      </c>
      <c r="H63" s="5" t="s">
        <v>6282</v>
      </c>
      <c r="I63" s="5" t="s">
        <v>6283</v>
      </c>
      <c r="J63" s="6" t="s">
        <v>42</v>
      </c>
      <c r="K63" s="5" t="s">
        <v>64</v>
      </c>
      <c r="L63" s="5" t="s">
        <v>6519</v>
      </c>
      <c r="M63" s="6">
        <v>10535.0</v>
      </c>
    </row>
    <row r="64" ht="56.25" customHeight="1">
      <c r="A64" s="5" t="s">
        <v>6520</v>
      </c>
      <c r="B64" s="6" t="str">
        <f>IMAGE("https://storage.googleapis.com/acdb/posters/PosterNpcNmlDer03.png")</f>
        <v/>
      </c>
      <c r="C64" s="6">
        <v>1000.0</v>
      </c>
      <c r="D64" s="6">
        <v>250.0</v>
      </c>
      <c r="E64" s="5" t="s">
        <v>95</v>
      </c>
      <c r="F64" s="5" t="s">
        <v>142</v>
      </c>
      <c r="G64" s="6" t="s">
        <v>40</v>
      </c>
      <c r="H64" s="5" t="s">
        <v>6282</v>
      </c>
      <c r="I64" s="5" t="s">
        <v>6283</v>
      </c>
      <c r="J64" s="6" t="s">
        <v>42</v>
      </c>
      <c r="K64" s="5" t="s">
        <v>64</v>
      </c>
      <c r="L64" s="5" t="s">
        <v>6523</v>
      </c>
      <c r="M64" s="6">
        <v>10594.0</v>
      </c>
    </row>
    <row r="65" ht="56.25" customHeight="1">
      <c r="A65" s="5" t="s">
        <v>6524</v>
      </c>
      <c r="B65" s="6" t="str">
        <f>IMAGE("https://storage.googleapis.com/acdb/posters/PosterNpcNmlHip02.png")</f>
        <v/>
      </c>
      <c r="C65" s="6">
        <v>1000.0</v>
      </c>
      <c r="D65" s="6">
        <v>250.0</v>
      </c>
      <c r="E65" s="5" t="s">
        <v>142</v>
      </c>
      <c r="F65" s="5" t="s">
        <v>106</v>
      </c>
      <c r="G65" s="6" t="s">
        <v>40</v>
      </c>
      <c r="H65" s="5" t="s">
        <v>6282</v>
      </c>
      <c r="I65" s="5" t="s">
        <v>6283</v>
      </c>
      <c r="J65" s="6" t="s">
        <v>42</v>
      </c>
      <c r="K65" s="5" t="s">
        <v>64</v>
      </c>
      <c r="L65" s="5" t="s">
        <v>6526</v>
      </c>
      <c r="M65" s="6">
        <v>10447.0</v>
      </c>
    </row>
    <row r="66" ht="56.25" customHeight="1">
      <c r="A66" s="5" t="s">
        <v>6528</v>
      </c>
      <c r="B66" s="6" t="str">
        <f>IMAGE("https://storage.googleapis.com/acdb/posters/PosterNpcNmlHrs00.png")</f>
        <v/>
      </c>
      <c r="C66" s="6">
        <v>1000.0</v>
      </c>
      <c r="D66" s="6">
        <v>250.0</v>
      </c>
      <c r="E66" s="5" t="s">
        <v>96</v>
      </c>
      <c r="F66" s="5" t="s">
        <v>39</v>
      </c>
      <c r="G66" s="6" t="s">
        <v>40</v>
      </c>
      <c r="H66" s="5" t="s">
        <v>6282</v>
      </c>
      <c r="I66" s="5" t="s">
        <v>6283</v>
      </c>
      <c r="J66" s="6" t="s">
        <v>42</v>
      </c>
      <c r="K66" s="5" t="s">
        <v>64</v>
      </c>
      <c r="L66" s="5" t="s">
        <v>6530</v>
      </c>
      <c r="M66" s="6">
        <v>10485.0</v>
      </c>
    </row>
    <row r="67" ht="56.25" customHeight="1">
      <c r="A67" s="5" t="s">
        <v>6531</v>
      </c>
      <c r="B67" s="6" t="str">
        <f>IMAGE("https://storage.googleapis.com/acdb/posters/PosterNpcNmlLon00.png")</f>
        <v/>
      </c>
      <c r="C67" s="6">
        <v>1000.0</v>
      </c>
      <c r="D67" s="6">
        <v>250.0</v>
      </c>
      <c r="E67" s="5" t="s">
        <v>39</v>
      </c>
      <c r="F67" s="5" t="s">
        <v>83</v>
      </c>
      <c r="G67" s="6" t="s">
        <v>40</v>
      </c>
      <c r="H67" s="5" t="s">
        <v>6282</v>
      </c>
      <c r="I67" s="5" t="s">
        <v>6283</v>
      </c>
      <c r="J67" s="6" t="s">
        <v>42</v>
      </c>
      <c r="K67" s="5" t="s">
        <v>64</v>
      </c>
      <c r="L67" s="5" t="s">
        <v>6534</v>
      </c>
      <c r="M67" s="6">
        <v>10398.0</v>
      </c>
    </row>
    <row r="68" ht="56.25" customHeight="1">
      <c r="A68" s="5" t="s">
        <v>6535</v>
      </c>
      <c r="B68" s="6" t="str">
        <f>IMAGE("https://storage.googleapis.com/acdb/posters/PosterNpcNmlRbt00.png")</f>
        <v/>
      </c>
      <c r="C68" s="6">
        <v>1000.0</v>
      </c>
      <c r="D68" s="6">
        <v>250.0</v>
      </c>
      <c r="E68" s="5" t="s">
        <v>52</v>
      </c>
      <c r="F68" s="5" t="s">
        <v>38</v>
      </c>
      <c r="G68" s="6" t="s">
        <v>40</v>
      </c>
      <c r="H68" s="5" t="s">
        <v>6282</v>
      </c>
      <c r="I68" s="5" t="s">
        <v>6283</v>
      </c>
      <c r="J68" s="6" t="s">
        <v>42</v>
      </c>
      <c r="K68" s="5" t="s">
        <v>64</v>
      </c>
      <c r="L68" s="5" t="s">
        <v>6538</v>
      </c>
      <c r="M68" s="6">
        <v>10316.0</v>
      </c>
    </row>
    <row r="69" ht="56.25" customHeight="1">
      <c r="A69" s="5" t="s">
        <v>6540</v>
      </c>
      <c r="B69" s="6" t="str">
        <f>IMAGE("https://storage.googleapis.com/acdb/posters/PosterNpcNmlDog01.png")</f>
        <v/>
      </c>
      <c r="C69" s="6">
        <v>1000.0</v>
      </c>
      <c r="D69" s="6">
        <v>250.0</v>
      </c>
      <c r="E69" s="5" t="s">
        <v>39</v>
      </c>
      <c r="F69" s="5" t="s">
        <v>96</v>
      </c>
      <c r="G69" s="6" t="s">
        <v>40</v>
      </c>
      <c r="H69" s="5" t="s">
        <v>6282</v>
      </c>
      <c r="I69" s="5" t="s">
        <v>6283</v>
      </c>
      <c r="J69" s="6" t="s">
        <v>42</v>
      </c>
      <c r="K69" s="5" t="s">
        <v>64</v>
      </c>
      <c r="L69" s="5" t="s">
        <v>6541</v>
      </c>
      <c r="M69" s="6">
        <v>10385.0</v>
      </c>
    </row>
    <row r="70" ht="56.25" customHeight="1">
      <c r="A70" s="5" t="s">
        <v>6542</v>
      </c>
      <c r="B70" s="6" t="str">
        <f>IMAGE("https://storage.googleapis.com/acdb/posters/PosterNpcNmlPbr03.png")</f>
        <v/>
      </c>
      <c r="C70" s="6">
        <v>1000.0</v>
      </c>
      <c r="D70" s="6">
        <v>250.0</v>
      </c>
      <c r="E70" s="5" t="s">
        <v>39</v>
      </c>
      <c r="F70" s="5" t="s">
        <v>83</v>
      </c>
      <c r="G70" s="6" t="s">
        <v>40</v>
      </c>
      <c r="H70" s="5" t="s">
        <v>6282</v>
      </c>
      <c r="I70" s="5" t="s">
        <v>6283</v>
      </c>
      <c r="J70" s="6" t="s">
        <v>42</v>
      </c>
      <c r="K70" s="5" t="s">
        <v>64</v>
      </c>
      <c r="L70" s="5" t="s">
        <v>6545</v>
      </c>
      <c r="M70" s="6">
        <v>10648.0</v>
      </c>
    </row>
    <row r="71" ht="56.25" customHeight="1">
      <c r="A71" s="5" t="s">
        <v>6546</v>
      </c>
      <c r="B71" s="6" t="str">
        <f>IMAGE("https://storage.googleapis.com/acdb/posters/PosterNpcNmlSqu11.png")</f>
        <v/>
      </c>
      <c r="C71" s="6">
        <v>1000.0</v>
      </c>
      <c r="D71" s="6">
        <v>250.0</v>
      </c>
      <c r="E71" s="5" t="s">
        <v>38</v>
      </c>
      <c r="F71" s="5" t="s">
        <v>52</v>
      </c>
      <c r="G71" s="6" t="s">
        <v>40</v>
      </c>
      <c r="H71" s="5" t="s">
        <v>6282</v>
      </c>
      <c r="I71" s="5" t="s">
        <v>6283</v>
      </c>
      <c r="J71" s="6" t="s">
        <v>42</v>
      </c>
      <c r="K71" s="5" t="s">
        <v>64</v>
      </c>
      <c r="L71" s="5" t="s">
        <v>6549</v>
      </c>
      <c r="M71" s="6">
        <v>10600.0</v>
      </c>
    </row>
    <row r="72" ht="56.25" customHeight="1">
      <c r="A72" s="5" t="s">
        <v>6550</v>
      </c>
      <c r="B72" s="6" t="str">
        <f>IMAGE("https://storage.googleapis.com/acdb/posters/PosterNpcNmlFlg03.png")</f>
        <v/>
      </c>
      <c r="C72" s="6">
        <v>1000.0</v>
      </c>
      <c r="D72" s="6">
        <v>250.0</v>
      </c>
      <c r="E72" s="5" t="s">
        <v>96</v>
      </c>
      <c r="F72" s="5" t="s">
        <v>39</v>
      </c>
      <c r="G72" s="6" t="s">
        <v>40</v>
      </c>
      <c r="H72" s="5" t="s">
        <v>6282</v>
      </c>
      <c r="I72" s="5" t="s">
        <v>6283</v>
      </c>
      <c r="J72" s="6" t="s">
        <v>42</v>
      </c>
      <c r="K72" s="5" t="s">
        <v>64</v>
      </c>
      <c r="L72" s="5" t="s">
        <v>6552</v>
      </c>
      <c r="M72" s="6">
        <v>10412.0</v>
      </c>
    </row>
    <row r="73" ht="56.25" customHeight="1">
      <c r="A73" s="5" t="s">
        <v>6553</v>
      </c>
      <c r="B73" s="6" t="str">
        <f>IMAGE("https://storage.googleapis.com/acdb/posters/PosterNpcNmlKal08.png")</f>
        <v/>
      </c>
      <c r="C73" s="6">
        <v>1000.0</v>
      </c>
      <c r="D73" s="6">
        <v>250.0</v>
      </c>
      <c r="E73" s="5" t="s">
        <v>142</v>
      </c>
      <c r="F73" s="5" t="s">
        <v>83</v>
      </c>
      <c r="G73" s="6" t="s">
        <v>40</v>
      </c>
      <c r="H73" s="5" t="s">
        <v>6282</v>
      </c>
      <c r="I73" s="5" t="s">
        <v>6283</v>
      </c>
      <c r="J73" s="6" t="s">
        <v>42</v>
      </c>
      <c r="K73" s="5" t="s">
        <v>64</v>
      </c>
      <c r="L73" s="5" t="s">
        <v>6556</v>
      </c>
      <c r="M73" s="6">
        <v>10451.0</v>
      </c>
    </row>
    <row r="74" ht="56.25" customHeight="1">
      <c r="A74" s="5" t="s">
        <v>6557</v>
      </c>
      <c r="B74" s="6" t="str">
        <f>IMAGE("https://storage.googleapis.com/acdb/posters/PosterNpcNmlMus08.png")</f>
        <v/>
      </c>
      <c r="C74" s="6">
        <v>1000.0</v>
      </c>
      <c r="D74" s="6">
        <v>250.0</v>
      </c>
      <c r="E74" s="5" t="s">
        <v>69</v>
      </c>
      <c r="F74" s="5" t="s">
        <v>114</v>
      </c>
      <c r="G74" s="6" t="s">
        <v>40</v>
      </c>
      <c r="H74" s="5" t="s">
        <v>6282</v>
      </c>
      <c r="I74" s="5" t="s">
        <v>6283</v>
      </c>
      <c r="J74" s="6" t="s">
        <v>42</v>
      </c>
      <c r="K74" s="5" t="s">
        <v>64</v>
      </c>
      <c r="L74" s="5" t="s">
        <v>6558</v>
      </c>
      <c r="M74" s="6">
        <v>10637.0</v>
      </c>
    </row>
    <row r="75" ht="56.25" customHeight="1">
      <c r="A75" s="5" t="s">
        <v>6559</v>
      </c>
      <c r="B75" s="6" t="str">
        <f>IMAGE("https://storage.googleapis.com/acdb/posters/PosterNpcNmlRbt16.png")</f>
        <v/>
      </c>
      <c r="C75" s="6">
        <v>1000.0</v>
      </c>
      <c r="D75" s="6">
        <v>250.0</v>
      </c>
      <c r="E75" s="5" t="s">
        <v>39</v>
      </c>
      <c r="F75" s="5" t="s">
        <v>96</v>
      </c>
      <c r="G75" s="6" t="s">
        <v>40</v>
      </c>
      <c r="H75" s="5" t="s">
        <v>6282</v>
      </c>
      <c r="I75" s="5" t="s">
        <v>6283</v>
      </c>
      <c r="J75" s="6" t="s">
        <v>42</v>
      </c>
      <c r="K75" s="5" t="s">
        <v>64</v>
      </c>
      <c r="L75" s="5" t="s">
        <v>6562</v>
      </c>
      <c r="M75" s="6">
        <v>10374.0</v>
      </c>
    </row>
    <row r="76" ht="56.25" customHeight="1">
      <c r="A76" s="5" t="s">
        <v>6564</v>
      </c>
      <c r="B76" s="6" t="str">
        <f>IMAGE("https://storage.googleapis.com/acdb/posters/PosterNpcNmlSqu06.png")</f>
        <v/>
      </c>
      <c r="C76" s="6">
        <v>1000.0</v>
      </c>
      <c r="D76" s="6">
        <v>250.0</v>
      </c>
      <c r="E76" s="5" t="s">
        <v>52</v>
      </c>
      <c r="F76" s="5" t="s">
        <v>68</v>
      </c>
      <c r="G76" s="6" t="s">
        <v>40</v>
      </c>
      <c r="H76" s="5" t="s">
        <v>6282</v>
      </c>
      <c r="I76" s="5" t="s">
        <v>6283</v>
      </c>
      <c r="J76" s="6" t="s">
        <v>42</v>
      </c>
      <c r="K76" s="5" t="s">
        <v>64</v>
      </c>
      <c r="L76" s="5" t="s">
        <v>6566</v>
      </c>
      <c r="M76" s="6">
        <v>10507.0</v>
      </c>
    </row>
    <row r="77" ht="56.25" customHeight="1">
      <c r="A77" s="5" t="s">
        <v>6567</v>
      </c>
      <c r="B77" s="6" t="str">
        <f>IMAGE("https://storage.googleapis.com/acdb/posters/PosterNpcNmlKgr02.png")</f>
        <v/>
      </c>
      <c r="C77" s="6">
        <v>1000.0</v>
      </c>
      <c r="D77" s="6">
        <v>250.0</v>
      </c>
      <c r="E77" s="5" t="s">
        <v>142</v>
      </c>
      <c r="F77" s="5" t="s">
        <v>52</v>
      </c>
      <c r="G77" s="6" t="s">
        <v>40</v>
      </c>
      <c r="H77" s="5" t="s">
        <v>6282</v>
      </c>
      <c r="I77" s="5" t="s">
        <v>6283</v>
      </c>
      <c r="J77" s="6" t="s">
        <v>42</v>
      </c>
      <c r="K77" s="5" t="s">
        <v>64</v>
      </c>
      <c r="L77" s="5" t="s">
        <v>6570</v>
      </c>
      <c r="M77" s="6">
        <v>10615.0</v>
      </c>
    </row>
    <row r="78" ht="56.25" customHeight="1">
      <c r="A78" s="5" t="s">
        <v>6571</v>
      </c>
      <c r="B78" s="6" t="str">
        <f>IMAGE("https://storage.googleapis.com/acdb/posters/PosterNpcNmlShp04.png")</f>
        <v/>
      </c>
      <c r="C78" s="6">
        <v>1000.0</v>
      </c>
      <c r="D78" s="6">
        <v>250.0</v>
      </c>
      <c r="E78" s="5" t="s">
        <v>57</v>
      </c>
      <c r="F78" s="5" t="s">
        <v>106</v>
      </c>
      <c r="G78" s="6" t="s">
        <v>40</v>
      </c>
      <c r="H78" s="5" t="s">
        <v>6282</v>
      </c>
      <c r="I78" s="5" t="s">
        <v>6283</v>
      </c>
      <c r="J78" s="6" t="s">
        <v>42</v>
      </c>
      <c r="K78" s="5" t="s">
        <v>64</v>
      </c>
      <c r="L78" s="5" t="s">
        <v>6575</v>
      </c>
      <c r="M78" s="6">
        <v>10640.0</v>
      </c>
    </row>
    <row r="79" ht="56.25" customHeight="1">
      <c r="A79" s="5" t="s">
        <v>6576</v>
      </c>
      <c r="B79" s="6" t="str">
        <f>IMAGE("https://storage.googleapis.com/acdb/posters/PosterNpcSpOws.png")</f>
        <v/>
      </c>
      <c r="C79" s="6">
        <v>1000.0</v>
      </c>
      <c r="D79" s="6">
        <v>250.0</v>
      </c>
      <c r="E79" s="5" t="s">
        <v>39</v>
      </c>
      <c r="F79" s="5" t="s">
        <v>68</v>
      </c>
      <c r="G79" s="6" t="s">
        <v>40</v>
      </c>
      <c r="H79" s="5" t="s">
        <v>6282</v>
      </c>
      <c r="I79" s="5" t="s">
        <v>6283</v>
      </c>
      <c r="J79" s="6" t="s">
        <v>42</v>
      </c>
      <c r="K79" s="5" t="s">
        <v>64</v>
      </c>
      <c r="L79" s="5" t="s">
        <v>6580</v>
      </c>
      <c r="M79" s="6">
        <v>10334.0</v>
      </c>
    </row>
    <row r="80" ht="56.25" customHeight="1">
      <c r="A80" s="5" t="s">
        <v>6581</v>
      </c>
      <c r="B80" s="6" t="str">
        <f>IMAGE("https://storage.googleapis.com/acdb/posters/PosterNpcNmlPbr09.png")</f>
        <v/>
      </c>
      <c r="C80" s="6">
        <v>1000.0</v>
      </c>
      <c r="D80" s="6">
        <v>250.0</v>
      </c>
      <c r="E80" s="5" t="s">
        <v>57</v>
      </c>
      <c r="F80" s="5" t="s">
        <v>96</v>
      </c>
      <c r="G80" s="6" t="s">
        <v>40</v>
      </c>
      <c r="H80" s="5" t="s">
        <v>6282</v>
      </c>
      <c r="I80" s="5" t="s">
        <v>6283</v>
      </c>
      <c r="J80" s="6" t="s">
        <v>42</v>
      </c>
      <c r="K80" s="5" t="s">
        <v>64</v>
      </c>
      <c r="L80" s="5" t="s">
        <v>6583</v>
      </c>
      <c r="M80" s="6">
        <v>10568.0</v>
      </c>
    </row>
    <row r="81" ht="56.25" customHeight="1">
      <c r="A81" s="5" t="s">
        <v>6585</v>
      </c>
      <c r="B81" s="6" t="str">
        <f>IMAGE("https://storage.googleapis.com/acdb/posters/PosterNpcNmlGor00.png")</f>
        <v/>
      </c>
      <c r="C81" s="6">
        <v>1000.0</v>
      </c>
      <c r="D81" s="6">
        <v>250.0</v>
      </c>
      <c r="E81" s="5" t="s">
        <v>38</v>
      </c>
      <c r="F81" s="5" t="s">
        <v>142</v>
      </c>
      <c r="G81" s="6" t="s">
        <v>40</v>
      </c>
      <c r="H81" s="5" t="s">
        <v>6282</v>
      </c>
      <c r="I81" s="5" t="s">
        <v>6283</v>
      </c>
      <c r="J81" s="6" t="s">
        <v>42</v>
      </c>
      <c r="K81" s="5" t="s">
        <v>64</v>
      </c>
      <c r="L81" s="5" t="s">
        <v>6589</v>
      </c>
      <c r="M81" s="6">
        <v>10373.0</v>
      </c>
    </row>
    <row r="82" ht="56.25" customHeight="1">
      <c r="A82" s="5" t="s">
        <v>6590</v>
      </c>
      <c r="B82" s="6" t="str">
        <f>IMAGE("https://storage.googleapis.com/acdb/posters/PosterNpcNmlMus18.png")</f>
        <v/>
      </c>
      <c r="C82" s="6">
        <v>1000.0</v>
      </c>
      <c r="D82" s="6">
        <v>250.0</v>
      </c>
      <c r="E82" s="5" t="s">
        <v>114</v>
      </c>
      <c r="F82" s="5" t="s">
        <v>68</v>
      </c>
      <c r="G82" s="6" t="s">
        <v>40</v>
      </c>
      <c r="H82" s="5" t="s">
        <v>6282</v>
      </c>
      <c r="I82" s="5" t="s">
        <v>6283</v>
      </c>
      <c r="J82" s="6" t="s">
        <v>42</v>
      </c>
      <c r="K82" s="5" t="s">
        <v>64</v>
      </c>
      <c r="L82" s="5" t="s">
        <v>6592</v>
      </c>
      <c r="M82" s="6">
        <v>10501.0</v>
      </c>
    </row>
    <row r="83" ht="56.25" customHeight="1">
      <c r="A83" s="5" t="s">
        <v>6593</v>
      </c>
      <c r="B83" s="6" t="str">
        <f>IMAGE("https://storage.googleapis.com/acdb/posters/PosterNpcNmlBea12.png")</f>
        <v/>
      </c>
      <c r="C83" s="6">
        <v>1000.0</v>
      </c>
      <c r="D83" s="6">
        <v>250.0</v>
      </c>
      <c r="E83" s="5" t="s">
        <v>96</v>
      </c>
      <c r="F83" s="5" t="s">
        <v>52</v>
      </c>
      <c r="G83" s="6" t="s">
        <v>40</v>
      </c>
      <c r="H83" s="5" t="s">
        <v>6282</v>
      </c>
      <c r="I83" s="5" t="s">
        <v>6283</v>
      </c>
      <c r="J83" s="6" t="s">
        <v>42</v>
      </c>
      <c r="K83" s="5" t="s">
        <v>64</v>
      </c>
      <c r="L83" s="5" t="s">
        <v>6596</v>
      </c>
      <c r="M83" s="6">
        <v>10778.0</v>
      </c>
    </row>
    <row r="84" ht="56.25" customHeight="1">
      <c r="A84" s="5" t="s">
        <v>6597</v>
      </c>
      <c r="B84" s="6" t="str">
        <f>IMAGE("https://storage.googleapis.com/acdb/posters/PosterNpcNmlCbr10.png")</f>
        <v/>
      </c>
      <c r="C84" s="6">
        <v>1000.0</v>
      </c>
      <c r="D84" s="6">
        <v>250.0</v>
      </c>
      <c r="E84" s="5" t="s">
        <v>52</v>
      </c>
      <c r="F84" s="5" t="s">
        <v>68</v>
      </c>
      <c r="G84" s="6" t="s">
        <v>40</v>
      </c>
      <c r="H84" s="5" t="s">
        <v>6282</v>
      </c>
      <c r="I84" s="5" t="s">
        <v>6283</v>
      </c>
      <c r="J84" s="6" t="s">
        <v>42</v>
      </c>
      <c r="K84" s="5" t="s">
        <v>64</v>
      </c>
      <c r="L84" s="5" t="s">
        <v>6600</v>
      </c>
      <c r="M84" s="6">
        <v>10570.0</v>
      </c>
    </row>
    <row r="85" ht="56.25" customHeight="1">
      <c r="A85" s="5" t="s">
        <v>6601</v>
      </c>
      <c r="B85" s="6" t="str">
        <f>IMAGE("https://storage.googleapis.com/acdb/posters/PosterNpcNmlDog17.png")</f>
        <v/>
      </c>
      <c r="C85" s="6">
        <v>1000.0</v>
      </c>
      <c r="D85" s="6">
        <v>250.0</v>
      </c>
      <c r="E85" s="5" t="s">
        <v>52</v>
      </c>
      <c r="F85" s="5" t="s">
        <v>54</v>
      </c>
      <c r="G85" s="6" t="s">
        <v>40</v>
      </c>
      <c r="H85" s="5" t="s">
        <v>6282</v>
      </c>
      <c r="I85" s="5" t="s">
        <v>6283</v>
      </c>
      <c r="J85" s="6" t="s">
        <v>42</v>
      </c>
      <c r="K85" s="5" t="s">
        <v>64</v>
      </c>
      <c r="L85" s="5" t="s">
        <v>6602</v>
      </c>
      <c r="M85" s="6">
        <v>10689.0</v>
      </c>
    </row>
    <row r="86" ht="56.25" customHeight="1">
      <c r="A86" s="5" t="s">
        <v>6603</v>
      </c>
      <c r="B86" s="6" t="str">
        <f>IMAGE("https://storage.googleapis.com/acdb/posters/PosterNpcNmlCbr15.png")</f>
        <v/>
      </c>
      <c r="C86" s="6">
        <v>1000.0</v>
      </c>
      <c r="D86" s="6">
        <v>250.0</v>
      </c>
      <c r="E86" s="5" t="s">
        <v>57</v>
      </c>
      <c r="F86" s="5" t="s">
        <v>114</v>
      </c>
      <c r="G86" s="6" t="s">
        <v>40</v>
      </c>
      <c r="H86" s="5" t="s">
        <v>6282</v>
      </c>
      <c r="I86" s="5" t="s">
        <v>6283</v>
      </c>
      <c r="J86" s="6" t="s">
        <v>42</v>
      </c>
      <c r="K86" s="5" t="s">
        <v>64</v>
      </c>
      <c r="L86" s="5" t="s">
        <v>6609</v>
      </c>
      <c r="M86" s="6">
        <v>10468.0</v>
      </c>
    </row>
    <row r="87" ht="56.25" customHeight="1">
      <c r="A87" s="5" t="s">
        <v>6610</v>
      </c>
      <c r="B87" s="6" t="str">
        <f>IMAGE("https://storage.googleapis.com/acdb/posters/PosterNpcNmlGoa00.png")</f>
        <v/>
      </c>
      <c r="C87" s="6">
        <v>1000.0</v>
      </c>
      <c r="D87" s="6">
        <v>250.0</v>
      </c>
      <c r="E87" s="5" t="s">
        <v>57</v>
      </c>
      <c r="F87" s="5" t="s">
        <v>52</v>
      </c>
      <c r="G87" s="6" t="s">
        <v>40</v>
      </c>
      <c r="H87" s="5" t="s">
        <v>6282</v>
      </c>
      <c r="I87" s="5" t="s">
        <v>6283</v>
      </c>
      <c r="J87" s="6" t="s">
        <v>42</v>
      </c>
      <c r="K87" s="5" t="s">
        <v>64</v>
      </c>
      <c r="L87" s="5" t="s">
        <v>6613</v>
      </c>
      <c r="M87" s="6">
        <v>10461.0</v>
      </c>
    </row>
    <row r="88" ht="56.25" customHeight="1">
      <c r="A88" s="5" t="s">
        <v>6614</v>
      </c>
      <c r="B88" s="6" t="str">
        <f>IMAGE("https://storage.googleapis.com/acdb/posters/PosterNpcNmlWol00.png")</f>
        <v/>
      </c>
      <c r="C88" s="6">
        <v>1000.0</v>
      </c>
      <c r="D88" s="6">
        <v>250.0</v>
      </c>
      <c r="E88" s="5" t="s">
        <v>142</v>
      </c>
      <c r="F88" s="5" t="s">
        <v>38</v>
      </c>
      <c r="G88" s="6" t="s">
        <v>40</v>
      </c>
      <c r="H88" s="5" t="s">
        <v>6282</v>
      </c>
      <c r="I88" s="5" t="s">
        <v>6283</v>
      </c>
      <c r="J88" s="6" t="s">
        <v>42</v>
      </c>
      <c r="K88" s="5" t="s">
        <v>64</v>
      </c>
      <c r="L88" s="5" t="s">
        <v>6617</v>
      </c>
      <c r="M88" s="6">
        <v>10315.0</v>
      </c>
    </row>
    <row r="89" ht="56.25" customHeight="1">
      <c r="A89" s="5" t="s">
        <v>6619</v>
      </c>
      <c r="B89" s="6" t="str">
        <f>IMAGE("https://storage.googleapis.com/acdb/posters/PosterNpcSpBev.png")</f>
        <v/>
      </c>
      <c r="C89" s="6">
        <v>1000.0</v>
      </c>
      <c r="D89" s="6">
        <v>250.0</v>
      </c>
      <c r="E89" s="5" t="s">
        <v>68</v>
      </c>
      <c r="F89" s="5" t="s">
        <v>38</v>
      </c>
      <c r="G89" s="6" t="s">
        <v>40</v>
      </c>
      <c r="H89" s="5" t="s">
        <v>6282</v>
      </c>
      <c r="I89" s="5" t="s">
        <v>6283</v>
      </c>
      <c r="J89" s="6" t="s">
        <v>42</v>
      </c>
      <c r="K89" s="5" t="s">
        <v>64</v>
      </c>
      <c r="L89" s="5" t="s">
        <v>6621</v>
      </c>
      <c r="M89" s="6">
        <v>10345.0</v>
      </c>
    </row>
    <row r="90" ht="56.25" customHeight="1">
      <c r="A90" s="5" t="s">
        <v>6622</v>
      </c>
      <c r="B90" s="6" t="str">
        <f>IMAGE("https://storage.googleapis.com/acdb/posters/PosterNpcNmlPig14.png")</f>
        <v/>
      </c>
      <c r="C90" s="6">
        <v>1000.0</v>
      </c>
      <c r="D90" s="6">
        <v>250.0</v>
      </c>
      <c r="E90" s="5" t="s">
        <v>38</v>
      </c>
      <c r="F90" s="5" t="s">
        <v>52</v>
      </c>
      <c r="G90" s="6" t="s">
        <v>40</v>
      </c>
      <c r="H90" s="5" t="s">
        <v>6282</v>
      </c>
      <c r="I90" s="5" t="s">
        <v>6283</v>
      </c>
      <c r="J90" s="6" t="s">
        <v>42</v>
      </c>
      <c r="K90" s="5" t="s">
        <v>64</v>
      </c>
      <c r="L90" s="5" t="s">
        <v>6628</v>
      </c>
      <c r="M90" s="6">
        <v>10414.0</v>
      </c>
    </row>
    <row r="91" ht="56.25" customHeight="1">
      <c r="A91" s="5" t="s">
        <v>6630</v>
      </c>
      <c r="B91" s="6" t="str">
        <f>IMAGE("https://storage.googleapis.com/acdb/posters/PosterNpcNmlBea03.png")</f>
        <v/>
      </c>
      <c r="C91" s="6">
        <v>1000.0</v>
      </c>
      <c r="D91" s="6">
        <v>250.0</v>
      </c>
      <c r="E91" s="5" t="s">
        <v>69</v>
      </c>
      <c r="F91" s="5" t="s">
        <v>54</v>
      </c>
      <c r="G91" s="6" t="s">
        <v>40</v>
      </c>
      <c r="H91" s="5" t="s">
        <v>6282</v>
      </c>
      <c r="I91" s="5" t="s">
        <v>6283</v>
      </c>
      <c r="J91" s="6" t="s">
        <v>42</v>
      </c>
      <c r="K91" s="5" t="s">
        <v>64</v>
      </c>
      <c r="L91" s="5" t="s">
        <v>6632</v>
      </c>
      <c r="M91" s="6">
        <v>10803.0</v>
      </c>
    </row>
    <row r="92" ht="56.25" customHeight="1">
      <c r="A92" s="5" t="s">
        <v>6633</v>
      </c>
      <c r="B92" s="6" t="str">
        <f>IMAGE("https://storage.googleapis.com/acdb/posters/PosterNpcNmlRbt13.png")</f>
        <v/>
      </c>
      <c r="C92" s="6">
        <v>1000.0</v>
      </c>
      <c r="D92" s="6">
        <v>250.0</v>
      </c>
      <c r="E92" s="5" t="s">
        <v>69</v>
      </c>
      <c r="F92" s="5" t="s">
        <v>106</v>
      </c>
      <c r="G92" s="6" t="s">
        <v>40</v>
      </c>
      <c r="H92" s="5" t="s">
        <v>6282</v>
      </c>
      <c r="I92" s="5" t="s">
        <v>6283</v>
      </c>
      <c r="J92" s="6" t="s">
        <v>42</v>
      </c>
      <c r="K92" s="5" t="s">
        <v>64</v>
      </c>
      <c r="L92" s="5" t="s">
        <v>6637</v>
      </c>
      <c r="M92" s="6">
        <v>10515.0</v>
      </c>
    </row>
    <row r="93" ht="56.25" customHeight="1">
      <c r="A93" s="5" t="s">
        <v>6638</v>
      </c>
      <c r="B93" s="6" t="str">
        <f>IMAGE("https://storage.googleapis.com/acdb/posters/PosterNpcNmlElp11.png")</f>
        <v/>
      </c>
      <c r="C93" s="6">
        <v>1000.0</v>
      </c>
      <c r="D93" s="6">
        <v>250.0</v>
      </c>
      <c r="E93" s="5" t="s">
        <v>83</v>
      </c>
      <c r="F93" s="5" t="s">
        <v>83</v>
      </c>
      <c r="G93" s="6" t="s">
        <v>40</v>
      </c>
      <c r="H93" s="5" t="s">
        <v>6282</v>
      </c>
      <c r="I93" s="5" t="s">
        <v>6283</v>
      </c>
      <c r="J93" s="6" t="s">
        <v>42</v>
      </c>
      <c r="K93" s="5" t="s">
        <v>64</v>
      </c>
      <c r="L93" s="5" t="s">
        <v>6641</v>
      </c>
      <c r="M93" s="6">
        <v>11124.0</v>
      </c>
    </row>
    <row r="94" ht="56.25" customHeight="1">
      <c r="A94" s="5" t="s">
        <v>6642</v>
      </c>
      <c r="B94" s="6" t="str">
        <f>IMAGE("https://storage.googleapis.com/acdb/posters/PosterNpcNmlRbt11.png")</f>
        <v/>
      </c>
      <c r="C94" s="6">
        <v>1000.0</v>
      </c>
      <c r="D94" s="6">
        <v>250.0</v>
      </c>
      <c r="E94" s="5" t="s">
        <v>39</v>
      </c>
      <c r="F94" s="5" t="s">
        <v>38</v>
      </c>
      <c r="G94" s="6" t="s">
        <v>40</v>
      </c>
      <c r="H94" s="5" t="s">
        <v>6282</v>
      </c>
      <c r="I94" s="5" t="s">
        <v>6283</v>
      </c>
      <c r="J94" s="6" t="s">
        <v>42</v>
      </c>
      <c r="K94" s="5" t="s">
        <v>64</v>
      </c>
      <c r="L94" s="5" t="s">
        <v>6644</v>
      </c>
      <c r="M94" s="6">
        <v>10628.0</v>
      </c>
    </row>
    <row r="95" ht="56.25" customHeight="1">
      <c r="A95" s="5" t="s">
        <v>6645</v>
      </c>
      <c r="B95" s="6" t="str">
        <f>IMAGE("https://storage.googleapis.com/acdb/posters/PosterNpcNmlTig05.png")</f>
        <v/>
      </c>
      <c r="C95" s="6">
        <v>1000.0</v>
      </c>
      <c r="D95" s="6">
        <v>250.0</v>
      </c>
      <c r="E95" s="5" t="s">
        <v>69</v>
      </c>
      <c r="F95" s="5" t="s">
        <v>57</v>
      </c>
      <c r="G95" s="6" t="s">
        <v>40</v>
      </c>
      <c r="H95" s="5" t="s">
        <v>6282</v>
      </c>
      <c r="I95" s="5" t="s">
        <v>6283</v>
      </c>
      <c r="J95" s="6" t="s">
        <v>42</v>
      </c>
      <c r="K95" s="5" t="s">
        <v>64</v>
      </c>
      <c r="L95" s="5" t="s">
        <v>6648</v>
      </c>
      <c r="M95" s="6">
        <v>10504.0</v>
      </c>
    </row>
    <row r="96" ht="56.25" customHeight="1">
      <c r="A96" s="5" t="s">
        <v>6649</v>
      </c>
      <c r="B96" s="6" t="str">
        <f>IMAGE("https://storage.googleapis.com/acdb/posters/PosterNpcNmlHam05.png")</f>
        <v/>
      </c>
      <c r="C96" s="6">
        <v>1000.0</v>
      </c>
      <c r="D96" s="6">
        <v>250.0</v>
      </c>
      <c r="E96" s="5" t="s">
        <v>39</v>
      </c>
      <c r="F96" s="5" t="s">
        <v>54</v>
      </c>
      <c r="G96" s="6" t="s">
        <v>40</v>
      </c>
      <c r="H96" s="5" t="s">
        <v>6282</v>
      </c>
      <c r="I96" s="5" t="s">
        <v>6283</v>
      </c>
      <c r="J96" s="6" t="s">
        <v>42</v>
      </c>
      <c r="K96" s="5" t="s">
        <v>64</v>
      </c>
      <c r="L96" s="5" t="s">
        <v>6653</v>
      </c>
      <c r="M96" s="6">
        <v>10317.0</v>
      </c>
    </row>
    <row r="97" ht="56.25" customHeight="1">
      <c r="A97" s="5" t="s">
        <v>6654</v>
      </c>
      <c r="B97" s="6" t="str">
        <f>IMAGE("https://storage.googleapis.com/acdb/posters/PosterNpcNmlHrs07.png")</f>
        <v/>
      </c>
      <c r="C97" s="6">
        <v>1000.0</v>
      </c>
      <c r="D97" s="6">
        <v>250.0</v>
      </c>
      <c r="E97" s="5" t="s">
        <v>106</v>
      </c>
      <c r="F97" s="5" t="s">
        <v>83</v>
      </c>
      <c r="G97" s="6" t="s">
        <v>40</v>
      </c>
      <c r="H97" s="5" t="s">
        <v>6282</v>
      </c>
      <c r="I97" s="5" t="s">
        <v>6283</v>
      </c>
      <c r="J97" s="6" t="s">
        <v>42</v>
      </c>
      <c r="K97" s="5" t="s">
        <v>64</v>
      </c>
      <c r="L97" s="5" t="s">
        <v>6657</v>
      </c>
      <c r="M97" s="6">
        <v>10649.0</v>
      </c>
    </row>
    <row r="98" ht="56.25" customHeight="1">
      <c r="A98" s="5" t="s">
        <v>6658</v>
      </c>
      <c r="B98" s="6" t="str">
        <f>IMAGE("https://storage.googleapis.com/acdb/posters/PosterNpcNmlHrs10.png")</f>
        <v/>
      </c>
      <c r="C98" s="6">
        <v>1000.0</v>
      </c>
      <c r="D98" s="6">
        <v>250.0</v>
      </c>
      <c r="E98" s="5" t="s">
        <v>114</v>
      </c>
      <c r="F98" s="5" t="s">
        <v>69</v>
      </c>
      <c r="G98" s="6" t="s">
        <v>40</v>
      </c>
      <c r="H98" s="5" t="s">
        <v>6282</v>
      </c>
      <c r="I98" s="5" t="s">
        <v>6283</v>
      </c>
      <c r="J98" s="6" t="s">
        <v>42</v>
      </c>
      <c r="K98" s="5" t="s">
        <v>64</v>
      </c>
      <c r="L98" s="5" t="s">
        <v>6660</v>
      </c>
      <c r="M98" s="6">
        <v>10680.0</v>
      </c>
    </row>
    <row r="99" ht="56.25" customHeight="1">
      <c r="A99" s="5" t="s">
        <v>6661</v>
      </c>
      <c r="B99" s="6" t="str">
        <f>IMAGE("https://storage.googleapis.com/acdb/posters/PosterNpcNmlBul07.png")</f>
        <v/>
      </c>
      <c r="C99" s="6">
        <v>1000.0</v>
      </c>
      <c r="D99" s="6">
        <v>250.0</v>
      </c>
      <c r="E99" s="5" t="s">
        <v>114</v>
      </c>
      <c r="F99" s="5" t="s">
        <v>68</v>
      </c>
      <c r="G99" s="6" t="s">
        <v>40</v>
      </c>
      <c r="H99" s="5" t="s">
        <v>6282</v>
      </c>
      <c r="I99" s="5" t="s">
        <v>6283</v>
      </c>
      <c r="J99" s="6" t="s">
        <v>42</v>
      </c>
      <c r="K99" s="5" t="s">
        <v>64</v>
      </c>
      <c r="L99" s="5" t="s">
        <v>6664</v>
      </c>
      <c r="M99" s="6">
        <v>10356.0</v>
      </c>
    </row>
    <row r="100" ht="56.25" customHeight="1">
      <c r="A100" s="5" t="s">
        <v>6665</v>
      </c>
      <c r="B100" s="6" t="str">
        <f>IMAGE("https://storage.googleapis.com/acdb/posters/PosterNpcNmlPig08.png")</f>
        <v/>
      </c>
      <c r="C100" s="6">
        <v>1000.0</v>
      </c>
      <c r="D100" s="6">
        <v>250.0</v>
      </c>
      <c r="E100" s="5" t="s">
        <v>96</v>
      </c>
      <c r="F100" s="5" t="s">
        <v>57</v>
      </c>
      <c r="G100" s="6" t="s">
        <v>40</v>
      </c>
      <c r="H100" s="5" t="s">
        <v>6282</v>
      </c>
      <c r="I100" s="5" t="s">
        <v>6283</v>
      </c>
      <c r="J100" s="6" t="s">
        <v>42</v>
      </c>
      <c r="K100" s="5" t="s">
        <v>64</v>
      </c>
      <c r="L100" s="5" t="s">
        <v>6668</v>
      </c>
      <c r="M100" s="6">
        <v>10686.0</v>
      </c>
    </row>
    <row r="101" ht="56.25" customHeight="1">
      <c r="A101" s="5" t="s">
        <v>6669</v>
      </c>
      <c r="B101" s="6" t="str">
        <f>IMAGE("https://storage.googleapis.com/acdb/posters/PosterNpcNmlRbt02.png")</f>
        <v/>
      </c>
      <c r="C101" s="6">
        <v>1000.0</v>
      </c>
      <c r="D101" s="6">
        <v>250.0</v>
      </c>
      <c r="E101" s="5" t="s">
        <v>38</v>
      </c>
      <c r="F101" s="5" t="s">
        <v>39</v>
      </c>
      <c r="G101" s="6" t="s">
        <v>40</v>
      </c>
      <c r="H101" s="5" t="s">
        <v>6282</v>
      </c>
      <c r="I101" s="5" t="s">
        <v>6283</v>
      </c>
      <c r="J101" s="6" t="s">
        <v>42</v>
      </c>
      <c r="K101" s="5" t="s">
        <v>64</v>
      </c>
      <c r="L101" s="5" t="s">
        <v>6672</v>
      </c>
      <c r="M101" s="6">
        <v>10379.0</v>
      </c>
    </row>
    <row r="102" ht="56.25" customHeight="1">
      <c r="A102" s="5" t="s">
        <v>6673</v>
      </c>
      <c r="B102" s="6" t="str">
        <f>IMAGE("https://storage.googleapis.com/acdb/posters/PosterNpcNmlRbt18.png")</f>
        <v/>
      </c>
      <c r="C102" s="6">
        <v>1000.0</v>
      </c>
      <c r="D102" s="6">
        <v>250.0</v>
      </c>
      <c r="E102" s="5" t="s">
        <v>54</v>
      </c>
      <c r="F102" s="5" t="s">
        <v>114</v>
      </c>
      <c r="G102" s="6" t="s">
        <v>40</v>
      </c>
      <c r="H102" s="5" t="s">
        <v>6282</v>
      </c>
      <c r="I102" s="5" t="s">
        <v>6283</v>
      </c>
      <c r="J102" s="6" t="s">
        <v>42</v>
      </c>
      <c r="K102" s="5" t="s">
        <v>64</v>
      </c>
      <c r="L102" s="5" t="s">
        <v>6677</v>
      </c>
      <c r="M102" s="6">
        <v>10326.0</v>
      </c>
    </row>
    <row r="103" ht="56.25" customHeight="1">
      <c r="A103" s="5" t="s">
        <v>6678</v>
      </c>
      <c r="B103" s="6" t="str">
        <f>IMAGE("https://storage.googleapis.com/acdb/posters/PosterNpcNmlHrs11.png")</f>
        <v/>
      </c>
      <c r="C103" s="6">
        <v>1000.0</v>
      </c>
      <c r="D103" s="6">
        <v>250.0</v>
      </c>
      <c r="E103" s="5" t="s">
        <v>57</v>
      </c>
      <c r="F103" s="5" t="s">
        <v>58</v>
      </c>
      <c r="G103" s="6" t="s">
        <v>40</v>
      </c>
      <c r="H103" s="5" t="s">
        <v>6282</v>
      </c>
      <c r="I103" s="5" t="s">
        <v>6283</v>
      </c>
      <c r="J103" s="6" t="s">
        <v>42</v>
      </c>
      <c r="K103" s="5" t="s">
        <v>64</v>
      </c>
      <c r="L103" s="5" t="s">
        <v>6681</v>
      </c>
      <c r="M103" s="6">
        <v>10452.0</v>
      </c>
    </row>
    <row r="104" ht="56.25" customHeight="1">
      <c r="A104" s="5" t="s">
        <v>6683</v>
      </c>
      <c r="B104" s="6" t="str">
        <f>IMAGE("https://storage.googleapis.com/acdb/posters/PosterNpcNmlDog08.png")</f>
        <v/>
      </c>
      <c r="C104" s="6">
        <v>1000.0</v>
      </c>
      <c r="D104" s="6">
        <v>250.0</v>
      </c>
      <c r="E104" s="5" t="s">
        <v>69</v>
      </c>
      <c r="F104" s="5" t="s">
        <v>106</v>
      </c>
      <c r="G104" s="6" t="s">
        <v>40</v>
      </c>
      <c r="H104" s="5" t="s">
        <v>6282</v>
      </c>
      <c r="I104" s="5" t="s">
        <v>6283</v>
      </c>
      <c r="J104" s="6" t="s">
        <v>42</v>
      </c>
      <c r="K104" s="5" t="s">
        <v>64</v>
      </c>
      <c r="L104" s="5" t="s">
        <v>6687</v>
      </c>
      <c r="M104" s="6">
        <v>10367.0</v>
      </c>
    </row>
    <row r="105" ht="56.25" customHeight="1">
      <c r="A105" s="5" t="s">
        <v>6689</v>
      </c>
      <c r="B105" s="6" t="str">
        <f>IMAGE("https://storage.googleapis.com/acdb/posters/PosterNpcSpDga.png")</f>
        <v/>
      </c>
      <c r="C105" s="6">
        <v>1000.0</v>
      </c>
      <c r="D105" s="6">
        <v>250.0</v>
      </c>
      <c r="E105" s="5" t="s">
        <v>142</v>
      </c>
      <c r="F105" s="5" t="s">
        <v>68</v>
      </c>
      <c r="G105" s="6" t="s">
        <v>40</v>
      </c>
      <c r="H105" s="5" t="s">
        <v>6282</v>
      </c>
      <c r="I105" s="5" t="s">
        <v>6283</v>
      </c>
      <c r="J105" s="6" t="s">
        <v>42</v>
      </c>
      <c r="K105" s="5" t="s">
        <v>64</v>
      </c>
      <c r="L105" s="5" t="s">
        <v>6692</v>
      </c>
      <c r="M105" s="6">
        <v>10335.0</v>
      </c>
    </row>
    <row r="106" ht="56.25" customHeight="1">
      <c r="A106" s="5" t="s">
        <v>6693</v>
      </c>
      <c r="B106" s="6" t="str">
        <f>IMAGE("https://storage.googleapis.com/acdb/posters/PosterNpcNmlFlg10.png")</f>
        <v/>
      </c>
      <c r="C106" s="6">
        <v>1000.0</v>
      </c>
      <c r="D106" s="6">
        <v>250.0</v>
      </c>
      <c r="E106" s="5" t="s">
        <v>142</v>
      </c>
      <c r="F106" s="5" t="s">
        <v>96</v>
      </c>
      <c r="G106" s="6" t="s">
        <v>40</v>
      </c>
      <c r="H106" s="5" t="s">
        <v>6282</v>
      </c>
      <c r="I106" s="5" t="s">
        <v>6283</v>
      </c>
      <c r="J106" s="6" t="s">
        <v>42</v>
      </c>
      <c r="K106" s="5" t="s">
        <v>64</v>
      </c>
      <c r="L106" s="5" t="s">
        <v>6696</v>
      </c>
      <c r="M106" s="6">
        <v>10448.0</v>
      </c>
    </row>
    <row r="107" ht="56.25" customHeight="1">
      <c r="A107" s="5" t="s">
        <v>6697</v>
      </c>
      <c r="B107" s="6" t="str">
        <f>IMAGE("https://storage.googleapis.com/acdb/posters/PosterNpcNmlPig05.png")</f>
        <v/>
      </c>
      <c r="C107" s="6">
        <v>1000.0</v>
      </c>
      <c r="D107" s="6">
        <v>250.0</v>
      </c>
      <c r="E107" s="5" t="s">
        <v>96</v>
      </c>
      <c r="F107" s="5" t="s">
        <v>54</v>
      </c>
      <c r="G107" s="6" t="s">
        <v>40</v>
      </c>
      <c r="H107" s="5" t="s">
        <v>6282</v>
      </c>
      <c r="I107" s="5" t="s">
        <v>6283</v>
      </c>
      <c r="J107" s="6" t="s">
        <v>42</v>
      </c>
      <c r="K107" s="5" t="s">
        <v>64</v>
      </c>
      <c r="L107" s="5" t="s">
        <v>6700</v>
      </c>
      <c r="M107" s="6">
        <v>10454.0</v>
      </c>
    </row>
    <row r="108" ht="56.25" customHeight="1">
      <c r="A108" s="5" t="s">
        <v>6701</v>
      </c>
      <c r="B108" s="6" t="str">
        <f>IMAGE("https://storage.googleapis.com/acdb/posters/PosterNpcNmlOst06.png")</f>
        <v/>
      </c>
      <c r="C108" s="6">
        <v>1000.0</v>
      </c>
      <c r="D108" s="6">
        <v>250.0</v>
      </c>
      <c r="E108" s="5" t="s">
        <v>57</v>
      </c>
      <c r="F108" s="5" t="s">
        <v>52</v>
      </c>
      <c r="G108" s="6" t="s">
        <v>40</v>
      </c>
      <c r="H108" s="5" t="s">
        <v>6282</v>
      </c>
      <c r="I108" s="5" t="s">
        <v>6283</v>
      </c>
      <c r="J108" s="6" t="s">
        <v>42</v>
      </c>
      <c r="K108" s="5" t="s">
        <v>64</v>
      </c>
      <c r="L108" s="5" t="s">
        <v>6704</v>
      </c>
      <c r="M108" s="6">
        <v>10597.0</v>
      </c>
    </row>
    <row r="109" ht="56.25" customHeight="1">
      <c r="A109" s="5" t="s">
        <v>6707</v>
      </c>
      <c r="B109" s="6" t="str">
        <f>IMAGE("https://storage.googleapis.com/acdb/posters/PosterNpcNmlFlg17.png")</f>
        <v/>
      </c>
      <c r="C109" s="6">
        <v>1000.0</v>
      </c>
      <c r="D109" s="6">
        <v>250.0</v>
      </c>
      <c r="E109" s="5" t="s">
        <v>142</v>
      </c>
      <c r="F109" s="5" t="s">
        <v>52</v>
      </c>
      <c r="G109" s="6" t="s">
        <v>40</v>
      </c>
      <c r="H109" s="5" t="s">
        <v>6282</v>
      </c>
      <c r="I109" s="5" t="s">
        <v>6283</v>
      </c>
      <c r="J109" s="6" t="s">
        <v>42</v>
      </c>
      <c r="K109" s="5" t="s">
        <v>64</v>
      </c>
      <c r="L109" s="5" t="s">
        <v>6709</v>
      </c>
      <c r="M109" s="6">
        <v>10536.0</v>
      </c>
    </row>
    <row r="110" ht="56.25" customHeight="1">
      <c r="A110" s="5" t="s">
        <v>6711</v>
      </c>
      <c r="B110" s="6" t="str">
        <f>IMAGE("https://storage.googleapis.com/acdb/posters/PosterNpcNmlPgn02.png")</f>
        <v/>
      </c>
      <c r="C110" s="6">
        <v>1000.0</v>
      </c>
      <c r="D110" s="6">
        <v>250.0</v>
      </c>
      <c r="E110" s="5" t="s">
        <v>54</v>
      </c>
      <c r="F110" s="5" t="s">
        <v>114</v>
      </c>
      <c r="G110" s="6" t="s">
        <v>40</v>
      </c>
      <c r="H110" s="5" t="s">
        <v>6282</v>
      </c>
      <c r="I110" s="5" t="s">
        <v>6283</v>
      </c>
      <c r="J110" s="6" t="s">
        <v>42</v>
      </c>
      <c r="K110" s="5" t="s">
        <v>64</v>
      </c>
      <c r="L110" s="5" t="s">
        <v>6715</v>
      </c>
      <c r="M110" s="6">
        <v>10503.0</v>
      </c>
    </row>
    <row r="111" ht="56.25" customHeight="1">
      <c r="A111" s="5" t="s">
        <v>6716</v>
      </c>
      <c r="B111" s="6" t="str">
        <f>IMAGE("https://storage.googleapis.com/acdb/posters/PosterNpcNmlShp08.png")</f>
        <v/>
      </c>
      <c r="C111" s="6">
        <v>1000.0</v>
      </c>
      <c r="D111" s="6">
        <v>250.0</v>
      </c>
      <c r="E111" s="5" t="s">
        <v>39</v>
      </c>
      <c r="F111" s="5" t="s">
        <v>114</v>
      </c>
      <c r="G111" s="6" t="s">
        <v>40</v>
      </c>
      <c r="H111" s="5" t="s">
        <v>6282</v>
      </c>
      <c r="I111" s="5" t="s">
        <v>6283</v>
      </c>
      <c r="J111" s="6" t="s">
        <v>42</v>
      </c>
      <c r="K111" s="5" t="s">
        <v>64</v>
      </c>
      <c r="L111" s="5" t="s">
        <v>6719</v>
      </c>
      <c r="M111" s="6">
        <v>10488.0</v>
      </c>
    </row>
    <row r="112" ht="56.25" customHeight="1">
      <c r="A112" s="5" t="s">
        <v>6720</v>
      </c>
      <c r="B112" s="6" t="str">
        <f>IMAGE("https://storage.googleapis.com/acdb/posters/PosterNpcNmlPig00.png")</f>
        <v/>
      </c>
      <c r="C112" s="6">
        <v>1000.0</v>
      </c>
      <c r="D112" s="6">
        <v>250.0</v>
      </c>
      <c r="E112" s="5" t="s">
        <v>69</v>
      </c>
      <c r="F112" s="5" t="s">
        <v>96</v>
      </c>
      <c r="G112" s="6" t="s">
        <v>40</v>
      </c>
      <c r="H112" s="5" t="s">
        <v>6282</v>
      </c>
      <c r="I112" s="5" t="s">
        <v>6283</v>
      </c>
      <c r="J112" s="6" t="s">
        <v>42</v>
      </c>
      <c r="K112" s="5" t="s">
        <v>64</v>
      </c>
      <c r="L112" s="5" t="s">
        <v>6723</v>
      </c>
      <c r="M112" s="6">
        <v>10505.0</v>
      </c>
    </row>
    <row r="113" ht="56.25" customHeight="1">
      <c r="A113" s="5" t="s">
        <v>6724</v>
      </c>
      <c r="B113" s="6" t="str">
        <f>IMAGE("https://storage.googleapis.com/acdb/posters/PosterNpcNmlBea02.png")</f>
        <v/>
      </c>
      <c r="C113" s="6">
        <v>1000.0</v>
      </c>
      <c r="D113" s="6">
        <v>250.0</v>
      </c>
      <c r="E113" s="5" t="s">
        <v>95</v>
      </c>
      <c r="F113" s="5" t="s">
        <v>39</v>
      </c>
      <c r="G113" s="6" t="s">
        <v>40</v>
      </c>
      <c r="H113" s="5" t="s">
        <v>6282</v>
      </c>
      <c r="I113" s="5" t="s">
        <v>6283</v>
      </c>
      <c r="J113" s="6" t="s">
        <v>42</v>
      </c>
      <c r="K113" s="5" t="s">
        <v>64</v>
      </c>
      <c r="L113" s="5" t="s">
        <v>6727</v>
      </c>
      <c r="M113" s="6">
        <v>10799.0</v>
      </c>
    </row>
    <row r="114" ht="56.25" customHeight="1">
      <c r="A114" s="5" t="s">
        <v>6728</v>
      </c>
      <c r="B114" s="6" t="str">
        <f>IMAGE("https://storage.googleapis.com/acdb/posters/PosterNpcNmlElp12.png")</f>
        <v/>
      </c>
      <c r="C114" s="6">
        <v>1000.0</v>
      </c>
      <c r="D114" s="6">
        <v>250.0</v>
      </c>
      <c r="E114" s="5" t="s">
        <v>52</v>
      </c>
      <c r="F114" s="5" t="s">
        <v>54</v>
      </c>
      <c r="G114" s="6" t="s">
        <v>40</v>
      </c>
      <c r="H114" s="5" t="s">
        <v>6282</v>
      </c>
      <c r="I114" s="5" t="s">
        <v>6283</v>
      </c>
      <c r="J114" s="6" t="s">
        <v>42</v>
      </c>
      <c r="K114" s="5" t="s">
        <v>64</v>
      </c>
      <c r="L114" s="5" t="s">
        <v>6729</v>
      </c>
      <c r="M114" s="6">
        <v>10862.0</v>
      </c>
    </row>
    <row r="115" ht="56.25" customHeight="1">
      <c r="A115" s="5" t="s">
        <v>6731</v>
      </c>
      <c r="B115" s="6" t="str">
        <f>IMAGE("https://storage.googleapis.com/acdb/posters/PosterNpcNmlAnt00.png")</f>
        <v/>
      </c>
      <c r="C115" s="6">
        <v>1000.0</v>
      </c>
      <c r="D115" s="6">
        <v>250.0</v>
      </c>
      <c r="E115" s="5" t="s">
        <v>142</v>
      </c>
      <c r="F115" s="5" t="s">
        <v>57</v>
      </c>
      <c r="G115" s="6" t="s">
        <v>40</v>
      </c>
      <c r="H115" s="5" t="s">
        <v>6282</v>
      </c>
      <c r="I115" s="5" t="s">
        <v>6283</v>
      </c>
      <c r="J115" s="6" t="s">
        <v>42</v>
      </c>
      <c r="K115" s="5" t="s">
        <v>64</v>
      </c>
      <c r="L115" s="5" t="s">
        <v>6733</v>
      </c>
      <c r="M115" s="6">
        <v>10323.0</v>
      </c>
    </row>
    <row r="116" ht="56.25" customHeight="1">
      <c r="A116" s="5" t="s">
        <v>6734</v>
      </c>
      <c r="B116" s="6" t="str">
        <f>IMAGE("https://storage.googleapis.com/acdb/posters/PosterNpcSpAlp.png")</f>
        <v/>
      </c>
      <c r="C116" s="6">
        <v>1000.0</v>
      </c>
      <c r="D116" s="6">
        <v>250.0</v>
      </c>
      <c r="E116" s="5" t="s">
        <v>83</v>
      </c>
      <c r="F116" s="5" t="s">
        <v>69</v>
      </c>
      <c r="G116" s="6" t="s">
        <v>40</v>
      </c>
      <c r="H116" s="5" t="s">
        <v>6282</v>
      </c>
      <c r="I116" s="5" t="s">
        <v>6283</v>
      </c>
      <c r="J116" s="6" t="s">
        <v>42</v>
      </c>
      <c r="K116" s="5" t="s">
        <v>64</v>
      </c>
      <c r="L116" s="5" t="s">
        <v>6737</v>
      </c>
      <c r="M116" s="6">
        <v>10435.0</v>
      </c>
    </row>
    <row r="117" ht="56.25" customHeight="1">
      <c r="A117" s="5" t="s">
        <v>6738</v>
      </c>
      <c r="B117" s="6" t="str">
        <f>IMAGE("https://storage.googleapis.com/acdb/posters/PosterNpcNmlDog07.png")</f>
        <v/>
      </c>
      <c r="C117" s="6">
        <v>1000.0</v>
      </c>
      <c r="D117" s="6">
        <v>250.0</v>
      </c>
      <c r="E117" s="5" t="s">
        <v>57</v>
      </c>
      <c r="F117" s="5" t="s">
        <v>38</v>
      </c>
      <c r="G117" s="6" t="s">
        <v>40</v>
      </c>
      <c r="H117" s="5" t="s">
        <v>6282</v>
      </c>
      <c r="I117" s="5" t="s">
        <v>6283</v>
      </c>
      <c r="J117" s="6" t="s">
        <v>42</v>
      </c>
      <c r="K117" s="5" t="s">
        <v>64</v>
      </c>
      <c r="L117" s="5" t="s">
        <v>6741</v>
      </c>
      <c r="M117" s="6">
        <v>10474.0</v>
      </c>
    </row>
    <row r="118" ht="56.25" customHeight="1">
      <c r="A118" s="5" t="s">
        <v>6743</v>
      </c>
      <c r="B118" s="6" t="str">
        <f>IMAGE("https://storage.googleapis.com/acdb/posters/PosterNpcNmlDuk04.png")</f>
        <v/>
      </c>
      <c r="C118" s="6">
        <v>1000.0</v>
      </c>
      <c r="D118" s="6">
        <v>250.0</v>
      </c>
      <c r="E118" s="5" t="s">
        <v>39</v>
      </c>
      <c r="F118" s="5" t="s">
        <v>38</v>
      </c>
      <c r="G118" s="6" t="s">
        <v>40</v>
      </c>
      <c r="H118" s="5" t="s">
        <v>6282</v>
      </c>
      <c r="I118" s="5" t="s">
        <v>6283</v>
      </c>
      <c r="J118" s="6" t="s">
        <v>42</v>
      </c>
      <c r="K118" s="5" t="s">
        <v>64</v>
      </c>
      <c r="L118" s="5" t="s">
        <v>6745</v>
      </c>
      <c r="M118" s="6">
        <v>10670.0</v>
      </c>
    </row>
    <row r="119" ht="56.25" customHeight="1">
      <c r="A119" s="5" t="s">
        <v>6746</v>
      </c>
      <c r="B119" s="6" t="str">
        <f>IMAGE("https://storage.googleapis.com/acdb/posters/PosterNpcNmlDer04.png")</f>
        <v/>
      </c>
      <c r="C119" s="6">
        <v>1000.0</v>
      </c>
      <c r="D119" s="6">
        <v>250.0</v>
      </c>
      <c r="E119" s="5" t="s">
        <v>38</v>
      </c>
      <c r="F119" s="5" t="s">
        <v>52</v>
      </c>
      <c r="G119" s="6" t="s">
        <v>40</v>
      </c>
      <c r="H119" s="5" t="s">
        <v>6282</v>
      </c>
      <c r="I119" s="5" t="s">
        <v>6283</v>
      </c>
      <c r="J119" s="6" t="s">
        <v>42</v>
      </c>
      <c r="K119" s="5" t="s">
        <v>64</v>
      </c>
      <c r="L119" s="5" t="s">
        <v>6748</v>
      </c>
      <c r="M119" s="6">
        <v>10459.0</v>
      </c>
    </row>
    <row r="120" ht="56.25" customHeight="1">
      <c r="A120" s="5" t="s">
        <v>6749</v>
      </c>
      <c r="B120" s="6" t="str">
        <f>IMAGE("https://storage.googleapis.com/acdb/posters/PosterNpcNmlCrd04.png")</f>
        <v/>
      </c>
      <c r="C120" s="6">
        <v>1000.0</v>
      </c>
      <c r="D120" s="6">
        <v>250.0</v>
      </c>
      <c r="E120" s="5" t="s">
        <v>54</v>
      </c>
      <c r="F120" s="5" t="s">
        <v>68</v>
      </c>
      <c r="G120" s="6" t="s">
        <v>40</v>
      </c>
      <c r="H120" s="5" t="s">
        <v>6282</v>
      </c>
      <c r="I120" s="5" t="s">
        <v>6283</v>
      </c>
      <c r="J120" s="6" t="s">
        <v>42</v>
      </c>
      <c r="K120" s="5" t="s">
        <v>64</v>
      </c>
      <c r="L120" s="5" t="s">
        <v>6751</v>
      </c>
      <c r="M120" s="6">
        <v>10444.0</v>
      </c>
    </row>
    <row r="121" ht="56.25" customHeight="1">
      <c r="A121" s="5" t="s">
        <v>6752</v>
      </c>
      <c r="B121" s="6" t="str">
        <f>IMAGE("https://storage.googleapis.com/acdb/posters/PosterNpcNmlMnk08.png")</f>
        <v/>
      </c>
      <c r="C121" s="6">
        <v>1000.0</v>
      </c>
      <c r="D121" s="6">
        <v>250.0</v>
      </c>
      <c r="E121" s="5" t="s">
        <v>38</v>
      </c>
      <c r="F121" s="5" t="s">
        <v>39</v>
      </c>
      <c r="G121" s="6" t="s">
        <v>40</v>
      </c>
      <c r="H121" s="5" t="s">
        <v>6282</v>
      </c>
      <c r="I121" s="5" t="s">
        <v>6283</v>
      </c>
      <c r="J121" s="6" t="s">
        <v>42</v>
      </c>
      <c r="K121" s="5" t="s">
        <v>64</v>
      </c>
      <c r="L121" s="5" t="s">
        <v>6754</v>
      </c>
      <c r="M121" s="6">
        <v>10654.0</v>
      </c>
    </row>
    <row r="122" ht="56.25" customHeight="1">
      <c r="A122" s="5" t="s">
        <v>6755</v>
      </c>
      <c r="B122" s="6" t="str">
        <f>IMAGE("https://storage.googleapis.com/acdb/posters/PosterNpcNmlDuk08.png")</f>
        <v/>
      </c>
      <c r="C122" s="6">
        <v>1000.0</v>
      </c>
      <c r="D122" s="6">
        <v>250.0</v>
      </c>
      <c r="E122" s="5" t="s">
        <v>68</v>
      </c>
      <c r="F122" s="5" t="s">
        <v>69</v>
      </c>
      <c r="G122" s="6" t="s">
        <v>40</v>
      </c>
      <c r="H122" s="5" t="s">
        <v>6282</v>
      </c>
      <c r="I122" s="5" t="s">
        <v>6283</v>
      </c>
      <c r="J122" s="6" t="s">
        <v>42</v>
      </c>
      <c r="K122" s="5" t="s">
        <v>64</v>
      </c>
      <c r="L122" s="5" t="s">
        <v>6758</v>
      </c>
      <c r="M122" s="6">
        <v>10513.0</v>
      </c>
    </row>
    <row r="123" ht="56.25" customHeight="1">
      <c r="A123" s="5" t="s">
        <v>6759</v>
      </c>
      <c r="B123" s="6" t="str">
        <f>IMAGE("https://storage.googleapis.com/acdb/posters/PosterNpcNmlDer08.png")</f>
        <v/>
      </c>
      <c r="C123" s="6">
        <v>1000.0</v>
      </c>
      <c r="D123" s="6">
        <v>250.0</v>
      </c>
      <c r="E123" s="5" t="s">
        <v>69</v>
      </c>
      <c r="F123" s="5" t="s">
        <v>106</v>
      </c>
      <c r="G123" s="6" t="s">
        <v>40</v>
      </c>
      <c r="H123" s="5" t="s">
        <v>6282</v>
      </c>
      <c r="I123" s="5" t="s">
        <v>6283</v>
      </c>
      <c r="J123" s="6" t="s">
        <v>42</v>
      </c>
      <c r="K123" s="5" t="s">
        <v>64</v>
      </c>
      <c r="L123" s="5" t="s">
        <v>6760</v>
      </c>
      <c r="M123" s="6">
        <v>10318.0</v>
      </c>
    </row>
    <row r="124" ht="56.25" customHeight="1">
      <c r="A124" s="5" t="s">
        <v>6761</v>
      </c>
      <c r="B124" s="6" t="str">
        <f>IMAGE("https://storage.googleapis.com/acdb/posters/PosterNpcSpSzo.png")</f>
        <v/>
      </c>
      <c r="C124" s="6">
        <v>1000.0</v>
      </c>
      <c r="D124" s="6">
        <v>250.0</v>
      </c>
      <c r="E124" s="5" t="s">
        <v>39</v>
      </c>
      <c r="F124" s="5" t="s">
        <v>52</v>
      </c>
      <c r="G124" s="6" t="s">
        <v>40</v>
      </c>
      <c r="H124" s="5" t="s">
        <v>6282</v>
      </c>
      <c r="I124" s="5" t="s">
        <v>6283</v>
      </c>
      <c r="J124" s="6" t="s">
        <v>42</v>
      </c>
      <c r="K124" s="5" t="s">
        <v>64</v>
      </c>
      <c r="L124" s="5" t="s">
        <v>6764</v>
      </c>
      <c r="M124" s="6">
        <v>10438.0</v>
      </c>
    </row>
    <row r="125" ht="56.25" customHeight="1">
      <c r="A125" s="5" t="s">
        <v>6765</v>
      </c>
      <c r="B125" s="6" t="str">
        <f>IMAGE("https://storage.googleapis.com/acdb/posters/PosterNpcNmlFlg18.png")</f>
        <v/>
      </c>
      <c r="C125" s="6">
        <v>1000.0</v>
      </c>
      <c r="D125" s="6">
        <v>250.0</v>
      </c>
      <c r="E125" s="5" t="s">
        <v>106</v>
      </c>
      <c r="F125" s="5" t="s">
        <v>114</v>
      </c>
      <c r="G125" s="6" t="s">
        <v>40</v>
      </c>
      <c r="H125" s="5" t="s">
        <v>6282</v>
      </c>
      <c r="I125" s="5" t="s">
        <v>6283</v>
      </c>
      <c r="J125" s="6" t="s">
        <v>42</v>
      </c>
      <c r="K125" s="5" t="s">
        <v>64</v>
      </c>
      <c r="L125" s="5" t="s">
        <v>6767</v>
      </c>
      <c r="M125" s="6">
        <v>10473.0</v>
      </c>
    </row>
    <row r="126" ht="56.25" customHeight="1">
      <c r="A126" s="5" t="s">
        <v>6768</v>
      </c>
      <c r="B126" s="6" t="str">
        <f>IMAGE("https://storage.googleapis.com/acdb/posters/PosterNpcNmlElp01.png")</f>
        <v/>
      </c>
      <c r="C126" s="6">
        <v>1000.0</v>
      </c>
      <c r="D126" s="6">
        <v>250.0</v>
      </c>
      <c r="E126" s="5" t="s">
        <v>95</v>
      </c>
      <c r="F126" s="5" t="s">
        <v>83</v>
      </c>
      <c r="G126" s="6" t="s">
        <v>40</v>
      </c>
      <c r="H126" s="5" t="s">
        <v>6282</v>
      </c>
      <c r="I126" s="5" t="s">
        <v>6283</v>
      </c>
      <c r="J126" s="6" t="s">
        <v>42</v>
      </c>
      <c r="K126" s="5" t="s">
        <v>64</v>
      </c>
      <c r="L126" s="5" t="s">
        <v>6770</v>
      </c>
      <c r="M126" s="6">
        <v>10532.0</v>
      </c>
    </row>
    <row r="127" ht="56.25" customHeight="1">
      <c r="A127" s="5" t="s">
        <v>6771</v>
      </c>
      <c r="B127" s="6" t="str">
        <f>IMAGE("https://storage.googleapis.com/acdb/posters/PosterNpcSpTkkB.png")</f>
        <v/>
      </c>
      <c r="C127" s="6">
        <v>1000.0</v>
      </c>
      <c r="D127" s="6">
        <v>250.0</v>
      </c>
      <c r="E127" s="5" t="s">
        <v>57</v>
      </c>
      <c r="F127" s="5" t="s">
        <v>54</v>
      </c>
      <c r="G127" s="6" t="s">
        <v>40</v>
      </c>
      <c r="H127" s="5" t="s">
        <v>6282</v>
      </c>
      <c r="I127" s="5" t="s">
        <v>6283</v>
      </c>
      <c r="J127" s="6" t="s">
        <v>42</v>
      </c>
      <c r="K127" s="5" t="s">
        <v>64</v>
      </c>
      <c r="L127" s="5" t="s">
        <v>6774</v>
      </c>
      <c r="M127" s="6">
        <v>10776.0</v>
      </c>
    </row>
    <row r="128" ht="56.25" customHeight="1">
      <c r="A128" s="5" t="s">
        <v>6775</v>
      </c>
      <c r="B128" s="6" t="str">
        <f>IMAGE("https://storage.googleapis.com/acdb/posters/PosterNpcNmlWol04.png")</f>
        <v/>
      </c>
      <c r="C128" s="6">
        <v>1000.0</v>
      </c>
      <c r="D128" s="6">
        <v>250.0</v>
      </c>
      <c r="E128" s="5" t="s">
        <v>96</v>
      </c>
      <c r="F128" s="5" t="s">
        <v>68</v>
      </c>
      <c r="G128" s="6" t="s">
        <v>40</v>
      </c>
      <c r="H128" s="5" t="s">
        <v>6282</v>
      </c>
      <c r="I128" s="5" t="s">
        <v>6283</v>
      </c>
      <c r="J128" s="6" t="s">
        <v>42</v>
      </c>
      <c r="K128" s="5" t="s">
        <v>64</v>
      </c>
      <c r="L128" s="5" t="s">
        <v>6778</v>
      </c>
      <c r="M128" s="6">
        <v>10647.0</v>
      </c>
    </row>
    <row r="129" ht="56.25" customHeight="1">
      <c r="A129" s="5" t="s">
        <v>6779</v>
      </c>
      <c r="B129" s="6" t="str">
        <f>IMAGE("https://storage.googleapis.com/acdb/posters/PosterNpcNmlRbt10.png")</f>
        <v/>
      </c>
      <c r="C129" s="6">
        <v>1000.0</v>
      </c>
      <c r="D129" s="6">
        <v>250.0</v>
      </c>
      <c r="E129" s="5" t="s">
        <v>68</v>
      </c>
      <c r="F129" s="5" t="s">
        <v>54</v>
      </c>
      <c r="G129" s="6" t="s">
        <v>40</v>
      </c>
      <c r="H129" s="5" t="s">
        <v>6282</v>
      </c>
      <c r="I129" s="5" t="s">
        <v>6283</v>
      </c>
      <c r="J129" s="6" t="s">
        <v>42</v>
      </c>
      <c r="K129" s="5" t="s">
        <v>64</v>
      </c>
      <c r="L129" s="5" t="s">
        <v>6781</v>
      </c>
      <c r="M129" s="6">
        <v>10576.0</v>
      </c>
    </row>
    <row r="130" ht="56.25" customHeight="1">
      <c r="A130" s="5" t="s">
        <v>6782</v>
      </c>
      <c r="B130" s="6" t="str">
        <f>IMAGE("https://storage.googleapis.com/acdb/posters/PosterNpcNmlShp15.png")</f>
        <v/>
      </c>
      <c r="C130" s="6">
        <v>1000.0</v>
      </c>
      <c r="D130" s="6">
        <v>250.0</v>
      </c>
      <c r="E130" s="5" t="s">
        <v>38</v>
      </c>
      <c r="F130" s="5" t="s">
        <v>58</v>
      </c>
      <c r="G130" s="6" t="s">
        <v>40</v>
      </c>
      <c r="H130" s="5" t="s">
        <v>6282</v>
      </c>
      <c r="I130" s="5" t="s">
        <v>6283</v>
      </c>
      <c r="J130" s="6" t="s">
        <v>42</v>
      </c>
      <c r="K130" s="5" t="s">
        <v>64</v>
      </c>
      <c r="L130" s="5" t="s">
        <v>6785</v>
      </c>
      <c r="M130" s="6">
        <v>10864.0</v>
      </c>
    </row>
    <row r="131" ht="56.25" customHeight="1">
      <c r="A131" s="5" t="s">
        <v>6786</v>
      </c>
      <c r="B131" s="6" t="str">
        <f>IMAGE("https://storage.googleapis.com/acdb/posters/PosterNpcSpMob.png")</f>
        <v/>
      </c>
      <c r="C131" s="6">
        <v>1000.0</v>
      </c>
      <c r="D131" s="6">
        <v>250.0</v>
      </c>
      <c r="E131" s="5" t="s">
        <v>39</v>
      </c>
      <c r="F131" s="5" t="s">
        <v>83</v>
      </c>
      <c r="G131" s="6" t="s">
        <v>40</v>
      </c>
      <c r="H131" s="5" t="s">
        <v>6282</v>
      </c>
      <c r="I131" s="5" t="s">
        <v>6283</v>
      </c>
      <c r="J131" s="6" t="s">
        <v>42</v>
      </c>
      <c r="K131" s="5" t="s">
        <v>64</v>
      </c>
      <c r="L131" s="5" t="s">
        <v>6787</v>
      </c>
      <c r="M131" s="6">
        <v>10342.0</v>
      </c>
    </row>
    <row r="132" ht="56.25" customHeight="1">
      <c r="A132" s="5" t="s">
        <v>6788</v>
      </c>
      <c r="B132" s="6" t="str">
        <f>IMAGE("https://storage.googleapis.com/acdb/posters/PosterNpcNmlMus00.png")</f>
        <v/>
      </c>
      <c r="C132" s="6">
        <v>1000.0</v>
      </c>
      <c r="D132" s="6">
        <v>250.0</v>
      </c>
      <c r="E132" s="5" t="s">
        <v>57</v>
      </c>
      <c r="F132" s="5" t="s">
        <v>96</v>
      </c>
      <c r="G132" s="6" t="s">
        <v>40</v>
      </c>
      <c r="H132" s="5" t="s">
        <v>6282</v>
      </c>
      <c r="I132" s="5" t="s">
        <v>6283</v>
      </c>
      <c r="J132" s="6" t="s">
        <v>42</v>
      </c>
      <c r="K132" s="5" t="s">
        <v>64</v>
      </c>
      <c r="L132" s="5" t="s">
        <v>6791</v>
      </c>
      <c r="M132" s="6">
        <v>10495.0</v>
      </c>
    </row>
    <row r="133" ht="56.25" customHeight="1">
      <c r="A133" s="5" t="s">
        <v>6792</v>
      </c>
      <c r="B133" s="6" t="str">
        <f>IMAGE("https://storage.googleapis.com/acdb/posters/PosterNpcNmlRbt01.png")</f>
        <v/>
      </c>
      <c r="C133" s="6">
        <v>1000.0</v>
      </c>
      <c r="D133" s="6">
        <v>250.0</v>
      </c>
      <c r="E133" s="5" t="s">
        <v>54</v>
      </c>
      <c r="F133" s="5" t="s">
        <v>57</v>
      </c>
      <c r="G133" s="6" t="s">
        <v>40</v>
      </c>
      <c r="H133" s="5" t="s">
        <v>6282</v>
      </c>
      <c r="I133" s="5" t="s">
        <v>6283</v>
      </c>
      <c r="J133" s="6" t="s">
        <v>42</v>
      </c>
      <c r="K133" s="5" t="s">
        <v>64</v>
      </c>
      <c r="L133" s="5" t="s">
        <v>6794</v>
      </c>
      <c r="M133" s="6">
        <v>10541.0</v>
      </c>
    </row>
    <row r="134" ht="56.25" customHeight="1">
      <c r="A134" s="5" t="s">
        <v>6795</v>
      </c>
      <c r="B134" s="6" t="str">
        <f>IMAGE("https://storage.googleapis.com/acdb/posters/PosterNpcNmlCrd08.png")</f>
        <v/>
      </c>
      <c r="C134" s="6">
        <v>1000.0</v>
      </c>
      <c r="D134" s="6">
        <v>250.0</v>
      </c>
      <c r="E134" s="5" t="s">
        <v>96</v>
      </c>
      <c r="F134" s="5" t="s">
        <v>114</v>
      </c>
      <c r="G134" s="6" t="s">
        <v>40</v>
      </c>
      <c r="H134" s="5" t="s">
        <v>6282</v>
      </c>
      <c r="I134" s="5" t="s">
        <v>6283</v>
      </c>
      <c r="J134" s="6" t="s">
        <v>42</v>
      </c>
      <c r="K134" s="5" t="s">
        <v>64</v>
      </c>
      <c r="L134" s="5" t="s">
        <v>6797</v>
      </c>
      <c r="M134" s="6">
        <v>10462.0</v>
      </c>
    </row>
    <row r="135" ht="56.25" customHeight="1">
      <c r="A135" s="5" t="s">
        <v>6798</v>
      </c>
      <c r="B135" s="6" t="str">
        <f>IMAGE("https://storage.googleapis.com/acdb/posters/PosterNpcNmlDuk09.png")</f>
        <v/>
      </c>
      <c r="C135" s="6">
        <v>1000.0</v>
      </c>
      <c r="D135" s="6">
        <v>250.0</v>
      </c>
      <c r="E135" s="5" t="s">
        <v>96</v>
      </c>
      <c r="F135" s="5" t="s">
        <v>39</v>
      </c>
      <c r="G135" s="6" t="s">
        <v>40</v>
      </c>
      <c r="H135" s="5" t="s">
        <v>6282</v>
      </c>
      <c r="I135" s="5" t="s">
        <v>6283</v>
      </c>
      <c r="J135" s="6" t="s">
        <v>42</v>
      </c>
      <c r="K135" s="5" t="s">
        <v>64</v>
      </c>
      <c r="L135" s="5" t="s">
        <v>6800</v>
      </c>
      <c r="M135" s="6">
        <v>10410.0</v>
      </c>
    </row>
    <row r="136" ht="56.25" customHeight="1">
      <c r="A136" s="5" t="s">
        <v>6801</v>
      </c>
      <c r="B136" s="6" t="str">
        <f>IMAGE("https://storage.googleapis.com/acdb/posters/PosterNpcNmlFlg04.png")</f>
        <v/>
      </c>
      <c r="C136" s="6">
        <v>1000.0</v>
      </c>
      <c r="D136" s="6">
        <v>250.0</v>
      </c>
      <c r="E136" s="5" t="s">
        <v>52</v>
      </c>
      <c r="F136" s="5" t="s">
        <v>96</v>
      </c>
      <c r="G136" s="6" t="s">
        <v>40</v>
      </c>
      <c r="H136" s="5" t="s">
        <v>6282</v>
      </c>
      <c r="I136" s="5" t="s">
        <v>6283</v>
      </c>
      <c r="J136" s="6" t="s">
        <v>42</v>
      </c>
      <c r="K136" s="5" t="s">
        <v>64</v>
      </c>
      <c r="L136" s="5" t="s">
        <v>6804</v>
      </c>
      <c r="M136" s="6">
        <v>10417.0</v>
      </c>
    </row>
    <row r="137" ht="56.25" customHeight="1">
      <c r="A137" s="5" t="s">
        <v>6805</v>
      </c>
      <c r="B137" s="6" t="str">
        <f>IMAGE("https://storage.googleapis.com/acdb/posters/PosterNpcNmlHrs06.png")</f>
        <v/>
      </c>
      <c r="C137" s="6">
        <v>1000.0</v>
      </c>
      <c r="D137" s="6">
        <v>250.0</v>
      </c>
      <c r="E137" s="5" t="s">
        <v>83</v>
      </c>
      <c r="F137" s="5" t="s">
        <v>54</v>
      </c>
      <c r="G137" s="6" t="s">
        <v>40</v>
      </c>
      <c r="H137" s="5" t="s">
        <v>6282</v>
      </c>
      <c r="I137" s="5" t="s">
        <v>6283</v>
      </c>
      <c r="J137" s="6" t="s">
        <v>42</v>
      </c>
      <c r="K137" s="5" t="s">
        <v>64</v>
      </c>
      <c r="L137" s="5" t="s">
        <v>6806</v>
      </c>
      <c r="M137" s="6">
        <v>10392.0</v>
      </c>
    </row>
    <row r="138" ht="56.25" customHeight="1">
      <c r="A138" s="5" t="s">
        <v>6808</v>
      </c>
      <c r="B138" s="6" t="str">
        <f>IMAGE("https://storage.googleapis.com/acdb/posters/PosterNpcNmlChn02.png")</f>
        <v/>
      </c>
      <c r="C138" s="6">
        <v>1000.0</v>
      </c>
      <c r="D138" s="6">
        <v>250.0</v>
      </c>
      <c r="E138" s="5" t="s">
        <v>114</v>
      </c>
      <c r="F138" s="5" t="s">
        <v>68</v>
      </c>
      <c r="G138" s="6" t="s">
        <v>40</v>
      </c>
      <c r="H138" s="5" t="s">
        <v>6282</v>
      </c>
      <c r="I138" s="5" t="s">
        <v>6283</v>
      </c>
      <c r="J138" s="6" t="s">
        <v>42</v>
      </c>
      <c r="K138" s="5" t="s">
        <v>64</v>
      </c>
      <c r="L138" s="5" t="s">
        <v>6810</v>
      </c>
      <c r="M138" s="6">
        <v>10366.0</v>
      </c>
    </row>
    <row r="139" ht="56.25" customHeight="1">
      <c r="A139" s="5" t="s">
        <v>6811</v>
      </c>
      <c r="B139" s="6" t="str">
        <f>IMAGE("https://storage.googleapis.com/acdb/posters/PosterNpcNmlMnk05.png")</f>
        <v/>
      </c>
      <c r="C139" s="6">
        <v>1000.0</v>
      </c>
      <c r="D139" s="6">
        <v>250.0</v>
      </c>
      <c r="E139" s="5" t="s">
        <v>38</v>
      </c>
      <c r="F139" s="5" t="s">
        <v>106</v>
      </c>
      <c r="G139" s="6" t="s">
        <v>40</v>
      </c>
      <c r="H139" s="5" t="s">
        <v>6282</v>
      </c>
      <c r="I139" s="5" t="s">
        <v>6283</v>
      </c>
      <c r="J139" s="6" t="s">
        <v>42</v>
      </c>
      <c r="K139" s="5" t="s">
        <v>64</v>
      </c>
      <c r="L139" s="5" t="s">
        <v>6814</v>
      </c>
      <c r="M139" s="6">
        <v>10558.0</v>
      </c>
    </row>
    <row r="140" ht="56.25" customHeight="1">
      <c r="A140" s="5" t="s">
        <v>6815</v>
      </c>
      <c r="B140" s="6" t="str">
        <f>IMAGE("https://storage.googleapis.com/acdb/posters/PosterNpcNmlElp07.png")</f>
        <v/>
      </c>
      <c r="C140" s="6">
        <v>1000.0</v>
      </c>
      <c r="D140" s="6">
        <v>250.0</v>
      </c>
      <c r="E140" s="5" t="s">
        <v>38</v>
      </c>
      <c r="F140" s="5" t="s">
        <v>52</v>
      </c>
      <c r="G140" s="6" t="s">
        <v>40</v>
      </c>
      <c r="H140" s="5" t="s">
        <v>6282</v>
      </c>
      <c r="I140" s="5" t="s">
        <v>6283</v>
      </c>
      <c r="J140" s="6" t="s">
        <v>42</v>
      </c>
      <c r="K140" s="5" t="s">
        <v>64</v>
      </c>
      <c r="L140" s="5" t="s">
        <v>6817</v>
      </c>
      <c r="M140" s="6">
        <v>10633.0</v>
      </c>
    </row>
    <row r="141" ht="56.25" customHeight="1">
      <c r="A141" s="5" t="s">
        <v>6819</v>
      </c>
      <c r="B141" s="6" t="str">
        <f>IMAGE("https://storage.googleapis.com/acdb/posters/PosterNpcNmlHrs03.png")</f>
        <v/>
      </c>
      <c r="C141" s="6">
        <v>1000.0</v>
      </c>
      <c r="D141" s="6">
        <v>250.0</v>
      </c>
      <c r="E141" s="5" t="s">
        <v>39</v>
      </c>
      <c r="F141" s="5" t="s">
        <v>96</v>
      </c>
      <c r="G141" s="6" t="s">
        <v>40</v>
      </c>
      <c r="H141" s="5" t="s">
        <v>6282</v>
      </c>
      <c r="I141" s="5" t="s">
        <v>6283</v>
      </c>
      <c r="J141" s="6" t="s">
        <v>42</v>
      </c>
      <c r="K141" s="5" t="s">
        <v>64</v>
      </c>
      <c r="L141" s="5" t="s">
        <v>6821</v>
      </c>
      <c r="M141" s="6">
        <v>10555.0</v>
      </c>
    </row>
    <row r="142" ht="56.25" customHeight="1">
      <c r="A142" s="5" t="s">
        <v>6822</v>
      </c>
      <c r="B142" s="6" t="str">
        <f>IMAGE("https://storage.googleapis.com/acdb/posters/PosterNpcNmlElp03.png")</f>
        <v/>
      </c>
      <c r="C142" s="6">
        <v>1000.0</v>
      </c>
      <c r="D142" s="6">
        <v>250.0</v>
      </c>
      <c r="E142" s="5" t="s">
        <v>114</v>
      </c>
      <c r="F142" s="5" t="s">
        <v>52</v>
      </c>
      <c r="G142" s="6" t="s">
        <v>40</v>
      </c>
      <c r="H142" s="5" t="s">
        <v>6282</v>
      </c>
      <c r="I142" s="5" t="s">
        <v>6283</v>
      </c>
      <c r="J142" s="6" t="s">
        <v>42</v>
      </c>
      <c r="K142" s="5" t="s">
        <v>64</v>
      </c>
      <c r="L142" s="5" t="s">
        <v>6824</v>
      </c>
      <c r="M142" s="6">
        <v>10464.0</v>
      </c>
    </row>
    <row r="143" ht="56.25" customHeight="1">
      <c r="A143" s="5" t="s">
        <v>6825</v>
      </c>
      <c r="B143" s="6" t="str">
        <f>IMAGE("https://storage.googleapis.com/acdb/posters/PosterNpcNmlLon01.png")</f>
        <v/>
      </c>
      <c r="C143" s="6">
        <v>1000.0</v>
      </c>
      <c r="D143" s="6">
        <v>250.0</v>
      </c>
      <c r="E143" s="5" t="s">
        <v>114</v>
      </c>
      <c r="F143" s="5" t="s">
        <v>52</v>
      </c>
      <c r="G143" s="6" t="s">
        <v>40</v>
      </c>
      <c r="H143" s="5" t="s">
        <v>6282</v>
      </c>
      <c r="I143" s="5" t="s">
        <v>6283</v>
      </c>
      <c r="J143" s="6" t="s">
        <v>42</v>
      </c>
      <c r="K143" s="5" t="s">
        <v>64</v>
      </c>
      <c r="L143" s="5" t="s">
        <v>6827</v>
      </c>
      <c r="M143" s="6">
        <v>10450.0</v>
      </c>
    </row>
    <row r="144" ht="56.25" customHeight="1">
      <c r="A144" s="5" t="s">
        <v>6828</v>
      </c>
      <c r="B144" s="6" t="str">
        <f>IMAGE("https://storage.googleapis.com/acdb/posters/PosterNpcNmlDer09.png")</f>
        <v/>
      </c>
      <c r="C144" s="6">
        <v>1000.0</v>
      </c>
      <c r="D144" s="6">
        <v>250.0</v>
      </c>
      <c r="E144" s="5" t="s">
        <v>39</v>
      </c>
      <c r="F144" s="5" t="s">
        <v>68</v>
      </c>
      <c r="G144" s="6" t="s">
        <v>40</v>
      </c>
      <c r="H144" s="5" t="s">
        <v>6282</v>
      </c>
      <c r="I144" s="5" t="s">
        <v>6283</v>
      </c>
      <c r="J144" s="6" t="s">
        <v>42</v>
      </c>
      <c r="K144" s="5" t="s">
        <v>64</v>
      </c>
      <c r="L144" s="5" t="s">
        <v>6830</v>
      </c>
      <c r="M144" s="6">
        <v>10540.0</v>
      </c>
    </row>
    <row r="145" ht="56.25" customHeight="1">
      <c r="A145" s="5" t="s">
        <v>6831</v>
      </c>
      <c r="B145" s="6" t="str">
        <f>IMAGE("https://storage.googleapis.com/acdb/posters/PosterNpcNmlKal10.png")</f>
        <v/>
      </c>
      <c r="C145" s="6">
        <v>1000.0</v>
      </c>
      <c r="D145" s="6">
        <v>250.0</v>
      </c>
      <c r="E145" s="5" t="s">
        <v>39</v>
      </c>
      <c r="F145" s="5" t="s">
        <v>54</v>
      </c>
      <c r="G145" s="6" t="s">
        <v>40</v>
      </c>
      <c r="H145" s="5" t="s">
        <v>6282</v>
      </c>
      <c r="I145" s="5" t="s">
        <v>6283</v>
      </c>
      <c r="J145" s="6" t="s">
        <v>42</v>
      </c>
      <c r="K145" s="5" t="s">
        <v>64</v>
      </c>
      <c r="L145" s="5" t="s">
        <v>6834</v>
      </c>
      <c r="M145" s="6">
        <v>10692.0</v>
      </c>
    </row>
    <row r="146" ht="56.25" customHeight="1">
      <c r="A146" s="5" t="s">
        <v>6835</v>
      </c>
      <c r="B146" s="6" t="str">
        <f>IMAGE("https://storage.googleapis.com/acdb/posters/PosterNpcNmlShp02.png")</f>
        <v/>
      </c>
      <c r="C146" s="6">
        <v>1000.0</v>
      </c>
      <c r="D146" s="6">
        <v>250.0</v>
      </c>
      <c r="E146" s="5" t="s">
        <v>54</v>
      </c>
      <c r="F146" s="5" t="s">
        <v>38</v>
      </c>
      <c r="G146" s="6" t="s">
        <v>40</v>
      </c>
      <c r="H146" s="5" t="s">
        <v>6282</v>
      </c>
      <c r="I146" s="5" t="s">
        <v>6283</v>
      </c>
      <c r="J146" s="6" t="s">
        <v>42</v>
      </c>
      <c r="K146" s="5" t="s">
        <v>64</v>
      </c>
      <c r="L146" s="5" t="s">
        <v>6836</v>
      </c>
      <c r="M146" s="6">
        <v>10693.0</v>
      </c>
    </row>
    <row r="147" ht="56.25" customHeight="1">
      <c r="A147" s="5" t="s">
        <v>6837</v>
      </c>
      <c r="B147" s="6" t="str">
        <f>IMAGE("https://storage.googleapis.com/acdb/posters/PosterNpcNmlWol06.png")</f>
        <v/>
      </c>
      <c r="C147" s="6">
        <v>1000.0</v>
      </c>
      <c r="D147" s="6">
        <v>250.0</v>
      </c>
      <c r="E147" s="5" t="s">
        <v>38</v>
      </c>
      <c r="F147" s="5" t="s">
        <v>83</v>
      </c>
      <c r="G147" s="6" t="s">
        <v>40</v>
      </c>
      <c r="H147" s="5" t="s">
        <v>6282</v>
      </c>
      <c r="I147" s="5" t="s">
        <v>6283</v>
      </c>
      <c r="J147" s="6" t="s">
        <v>42</v>
      </c>
      <c r="K147" s="5" t="s">
        <v>64</v>
      </c>
      <c r="L147" s="5" t="s">
        <v>6841</v>
      </c>
      <c r="M147" s="6">
        <v>10544.0</v>
      </c>
    </row>
    <row r="148" ht="56.25" customHeight="1">
      <c r="A148" s="5" t="s">
        <v>6842</v>
      </c>
      <c r="B148" s="6" t="str">
        <f>IMAGE("https://storage.googleapis.com/acdb/posters/PosterNpcNmlDer00.png")</f>
        <v/>
      </c>
      <c r="C148" s="6">
        <v>1000.0</v>
      </c>
      <c r="D148" s="6">
        <v>250.0</v>
      </c>
      <c r="E148" s="5" t="s">
        <v>39</v>
      </c>
      <c r="F148" s="5" t="s">
        <v>83</v>
      </c>
      <c r="G148" s="6" t="s">
        <v>40</v>
      </c>
      <c r="H148" s="5" t="s">
        <v>6282</v>
      </c>
      <c r="I148" s="5" t="s">
        <v>6283</v>
      </c>
      <c r="J148" s="6" t="s">
        <v>42</v>
      </c>
      <c r="K148" s="5" t="s">
        <v>64</v>
      </c>
      <c r="L148" s="5" t="s">
        <v>6844</v>
      </c>
      <c r="M148" s="6">
        <v>10530.0</v>
      </c>
    </row>
    <row r="149" ht="56.25" customHeight="1">
      <c r="A149" s="5" t="s">
        <v>6845</v>
      </c>
      <c r="B149" s="6" t="str">
        <f>IMAGE("https://storage.googleapis.com/acdb/posters/PosterNpcNmlCat17.png")</f>
        <v/>
      </c>
      <c r="C149" s="6">
        <v>1000.0</v>
      </c>
      <c r="D149" s="6">
        <v>250.0</v>
      </c>
      <c r="E149" s="5" t="s">
        <v>38</v>
      </c>
      <c r="F149" s="5" t="s">
        <v>96</v>
      </c>
      <c r="G149" s="6" t="s">
        <v>40</v>
      </c>
      <c r="H149" s="5" t="s">
        <v>6282</v>
      </c>
      <c r="I149" s="5" t="s">
        <v>6283</v>
      </c>
      <c r="J149" s="6" t="s">
        <v>42</v>
      </c>
      <c r="K149" s="5" t="s">
        <v>64</v>
      </c>
      <c r="L149" s="5" t="s">
        <v>6847</v>
      </c>
      <c r="M149" s="6">
        <v>10348.0</v>
      </c>
    </row>
    <row r="150" ht="56.25" customHeight="1">
      <c r="A150" s="5" t="s">
        <v>6848</v>
      </c>
      <c r="B150" s="6" t="str">
        <f>IMAGE("https://storage.googleapis.com/acdb/posters/PosterNpcNmlSqu02.png")</f>
        <v/>
      </c>
      <c r="C150" s="6">
        <v>1000.0</v>
      </c>
      <c r="D150" s="6">
        <v>250.0</v>
      </c>
      <c r="E150" s="5" t="s">
        <v>83</v>
      </c>
      <c r="F150" s="5" t="s">
        <v>68</v>
      </c>
      <c r="G150" s="6" t="s">
        <v>40</v>
      </c>
      <c r="H150" s="5" t="s">
        <v>6282</v>
      </c>
      <c r="I150" s="5" t="s">
        <v>6283</v>
      </c>
      <c r="J150" s="6" t="s">
        <v>42</v>
      </c>
      <c r="K150" s="5" t="s">
        <v>64</v>
      </c>
      <c r="L150" s="5" t="s">
        <v>6850</v>
      </c>
      <c r="M150" s="6">
        <v>10394.0</v>
      </c>
    </row>
    <row r="151" ht="56.25" customHeight="1">
      <c r="A151" s="5" t="s">
        <v>6851</v>
      </c>
      <c r="B151" s="6" t="str">
        <f>IMAGE("https://storage.googleapis.com/acdb/posters/PosterNpcNmlMnk06.png")</f>
        <v/>
      </c>
      <c r="C151" s="6">
        <v>1000.0</v>
      </c>
      <c r="D151" s="6">
        <v>250.0</v>
      </c>
      <c r="E151" s="5" t="s">
        <v>142</v>
      </c>
      <c r="F151" s="5" t="s">
        <v>68</v>
      </c>
      <c r="G151" s="6" t="s">
        <v>40</v>
      </c>
      <c r="H151" s="5" t="s">
        <v>6282</v>
      </c>
      <c r="I151" s="5" t="s">
        <v>6283</v>
      </c>
      <c r="J151" s="6" t="s">
        <v>42</v>
      </c>
      <c r="K151" s="5" t="s">
        <v>64</v>
      </c>
      <c r="L151" s="5" t="s">
        <v>6855</v>
      </c>
      <c r="M151" s="6">
        <v>10406.0</v>
      </c>
    </row>
    <row r="152" ht="56.25" customHeight="1">
      <c r="A152" s="5" t="s">
        <v>6856</v>
      </c>
      <c r="B152" s="6" t="str">
        <f>IMAGE("https://storage.googleapis.com/acdb/posters/PosterNpcNmlPgn13.png")</f>
        <v/>
      </c>
      <c r="C152" s="6">
        <v>1000.0</v>
      </c>
      <c r="D152" s="6">
        <v>250.0</v>
      </c>
      <c r="E152" s="5" t="s">
        <v>68</v>
      </c>
      <c r="F152" s="5" t="s">
        <v>52</v>
      </c>
      <c r="G152" s="6" t="s">
        <v>40</v>
      </c>
      <c r="H152" s="5" t="s">
        <v>6282</v>
      </c>
      <c r="I152" s="5" t="s">
        <v>6283</v>
      </c>
      <c r="J152" s="6" t="s">
        <v>42</v>
      </c>
      <c r="K152" s="5" t="s">
        <v>64</v>
      </c>
      <c r="L152" s="5" t="s">
        <v>6859</v>
      </c>
      <c r="M152" s="6">
        <v>10685.0</v>
      </c>
    </row>
    <row r="153" ht="56.25" customHeight="1">
      <c r="A153" s="5" t="s">
        <v>6860</v>
      </c>
      <c r="B153" s="6" t="str">
        <f>IMAGE("https://storage.googleapis.com/acdb/posters/PosterNpcNmlOst09.png")</f>
        <v/>
      </c>
      <c r="C153" s="6">
        <v>1000.0</v>
      </c>
      <c r="D153" s="6">
        <v>250.0</v>
      </c>
      <c r="E153" s="5" t="s">
        <v>69</v>
      </c>
      <c r="F153" s="5" t="s">
        <v>114</v>
      </c>
      <c r="G153" s="6" t="s">
        <v>40</v>
      </c>
      <c r="H153" s="5" t="s">
        <v>6282</v>
      </c>
      <c r="I153" s="5" t="s">
        <v>6283</v>
      </c>
      <c r="J153" s="6" t="s">
        <v>42</v>
      </c>
      <c r="K153" s="5" t="s">
        <v>64</v>
      </c>
      <c r="L153" s="5" t="s">
        <v>6861</v>
      </c>
      <c r="M153" s="6">
        <v>10490.0</v>
      </c>
    </row>
    <row r="154" ht="56.25" customHeight="1">
      <c r="A154" s="5" t="s">
        <v>6862</v>
      </c>
      <c r="B154" s="6" t="str">
        <f>IMAGE("https://storage.googleapis.com/acdb/posters/PosterNpcNmlHam06.png")</f>
        <v/>
      </c>
      <c r="C154" s="6">
        <v>1000.0</v>
      </c>
      <c r="D154" s="6">
        <v>250.0</v>
      </c>
      <c r="E154" s="5" t="s">
        <v>57</v>
      </c>
      <c r="F154" s="5" t="s">
        <v>52</v>
      </c>
      <c r="G154" s="6" t="s">
        <v>40</v>
      </c>
      <c r="H154" s="5" t="s">
        <v>6282</v>
      </c>
      <c r="I154" s="5" t="s">
        <v>6283</v>
      </c>
      <c r="J154" s="6" t="s">
        <v>42</v>
      </c>
      <c r="K154" s="5" t="s">
        <v>64</v>
      </c>
      <c r="L154" s="5" t="s">
        <v>6865</v>
      </c>
      <c r="M154" s="6">
        <v>10679.0</v>
      </c>
    </row>
    <row r="155" ht="56.25" customHeight="1">
      <c r="A155" s="5" t="s">
        <v>6866</v>
      </c>
      <c r="B155" s="6" t="str">
        <f>IMAGE("https://storage.googleapis.com/acdb/posters/PosterNpcNmlRbt12.png")</f>
        <v/>
      </c>
      <c r="C155" s="6">
        <v>1000.0</v>
      </c>
      <c r="D155" s="6">
        <v>250.0</v>
      </c>
      <c r="E155" s="5" t="s">
        <v>83</v>
      </c>
      <c r="F155" s="5" t="s">
        <v>106</v>
      </c>
      <c r="G155" s="6" t="s">
        <v>40</v>
      </c>
      <c r="H155" s="5" t="s">
        <v>6282</v>
      </c>
      <c r="I155" s="5" t="s">
        <v>6283</v>
      </c>
      <c r="J155" s="6" t="s">
        <v>42</v>
      </c>
      <c r="K155" s="5" t="s">
        <v>64</v>
      </c>
      <c r="L155" s="5" t="s">
        <v>6869</v>
      </c>
      <c r="M155" s="6">
        <v>10514.0</v>
      </c>
    </row>
    <row r="156" ht="56.25" customHeight="1">
      <c r="A156" s="5" t="s">
        <v>6870</v>
      </c>
      <c r="B156" s="6" t="str">
        <f>IMAGE("https://storage.googleapis.com/acdb/posters/PosterNpcNmlPbr06.png")</f>
        <v/>
      </c>
      <c r="C156" s="6">
        <v>1000.0</v>
      </c>
      <c r="D156" s="6">
        <v>250.0</v>
      </c>
      <c r="E156" s="5" t="s">
        <v>96</v>
      </c>
      <c r="F156" s="5" t="s">
        <v>114</v>
      </c>
      <c r="G156" s="6" t="s">
        <v>40</v>
      </c>
      <c r="H156" s="5" t="s">
        <v>6282</v>
      </c>
      <c r="I156" s="5" t="s">
        <v>6283</v>
      </c>
      <c r="J156" s="6" t="s">
        <v>42</v>
      </c>
      <c r="K156" s="5" t="s">
        <v>64</v>
      </c>
      <c r="L156" s="5" t="s">
        <v>6872</v>
      </c>
      <c r="M156" s="6">
        <v>10500.0</v>
      </c>
    </row>
    <row r="157" ht="56.25" customHeight="1">
      <c r="A157" s="5" t="s">
        <v>6873</v>
      </c>
      <c r="B157" s="6" t="str">
        <f>IMAGE("https://storage.googleapis.com/acdb/posters/PosterNpcSpTuk.png")</f>
        <v/>
      </c>
      <c r="C157" s="6">
        <v>1000.0</v>
      </c>
      <c r="D157" s="6">
        <v>250.0</v>
      </c>
      <c r="E157" s="5" t="s">
        <v>69</v>
      </c>
      <c r="F157" s="5" t="s">
        <v>106</v>
      </c>
      <c r="G157" s="6" t="s">
        <v>40</v>
      </c>
      <c r="H157" s="5" t="s">
        <v>6282</v>
      </c>
      <c r="I157" s="5" t="s">
        <v>6283</v>
      </c>
      <c r="J157" s="6" t="s">
        <v>42</v>
      </c>
      <c r="K157" s="5" t="s">
        <v>64</v>
      </c>
      <c r="L157" s="5" t="s">
        <v>6876</v>
      </c>
      <c r="M157" s="6">
        <v>10781.0</v>
      </c>
    </row>
    <row r="158" ht="56.25" customHeight="1">
      <c r="A158" s="5" t="s">
        <v>6877</v>
      </c>
      <c r="B158" s="6" t="str">
        <f>IMAGE("https://storage.googleapis.com/acdb/posters/PosterNpcNmlDuk07.png")</f>
        <v/>
      </c>
      <c r="C158" s="6">
        <v>1000.0</v>
      </c>
      <c r="D158" s="6">
        <v>250.0</v>
      </c>
      <c r="E158" s="5" t="s">
        <v>52</v>
      </c>
      <c r="F158" s="5" t="s">
        <v>114</v>
      </c>
      <c r="G158" s="6" t="s">
        <v>40</v>
      </c>
      <c r="H158" s="5" t="s">
        <v>6282</v>
      </c>
      <c r="I158" s="5" t="s">
        <v>6283</v>
      </c>
      <c r="J158" s="6" t="s">
        <v>42</v>
      </c>
      <c r="K158" s="5" t="s">
        <v>64</v>
      </c>
      <c r="L158" s="5" t="s">
        <v>6879</v>
      </c>
      <c r="M158" s="6">
        <v>10455.0</v>
      </c>
    </row>
    <row r="159" ht="56.25" customHeight="1">
      <c r="A159" s="5" t="s">
        <v>6880</v>
      </c>
      <c r="B159" s="6" t="str">
        <f>IMAGE("https://storage.googleapis.com/acdb/posters/PosterNpcNmlWol05.png")</f>
        <v/>
      </c>
      <c r="C159" s="6">
        <v>1000.0</v>
      </c>
      <c r="D159" s="6">
        <v>250.0</v>
      </c>
      <c r="E159" s="5" t="s">
        <v>69</v>
      </c>
      <c r="F159" s="5" t="s">
        <v>39</v>
      </c>
      <c r="G159" s="6" t="s">
        <v>40</v>
      </c>
      <c r="H159" s="5" t="s">
        <v>6282</v>
      </c>
      <c r="I159" s="5" t="s">
        <v>6283</v>
      </c>
      <c r="J159" s="6" t="s">
        <v>42</v>
      </c>
      <c r="K159" s="5" t="s">
        <v>64</v>
      </c>
      <c r="L159" s="5" t="s">
        <v>6882</v>
      </c>
      <c r="M159" s="6">
        <v>10424.0</v>
      </c>
    </row>
    <row r="160" ht="56.25" customHeight="1">
      <c r="A160" s="5" t="s">
        <v>6883</v>
      </c>
      <c r="B160" s="6" t="str">
        <f>IMAGE("https://storage.googleapis.com/acdb/posters/PosterNpcNmlPgn04.png")</f>
        <v/>
      </c>
      <c r="C160" s="6">
        <v>1000.0</v>
      </c>
      <c r="D160" s="6">
        <v>250.0</v>
      </c>
      <c r="E160" s="5" t="s">
        <v>68</v>
      </c>
      <c r="F160" s="5" t="s">
        <v>57</v>
      </c>
      <c r="G160" s="6" t="s">
        <v>40</v>
      </c>
      <c r="H160" s="5" t="s">
        <v>6282</v>
      </c>
      <c r="I160" s="5" t="s">
        <v>6283</v>
      </c>
      <c r="J160" s="6" t="s">
        <v>42</v>
      </c>
      <c r="K160" s="5" t="s">
        <v>64</v>
      </c>
      <c r="L160" s="5" t="s">
        <v>6885</v>
      </c>
      <c r="M160" s="6">
        <v>10457.0</v>
      </c>
    </row>
    <row r="161" ht="56.25" customHeight="1">
      <c r="A161" s="5" t="s">
        <v>6886</v>
      </c>
      <c r="B161" s="6" t="str">
        <f>IMAGE("https://storage.googleapis.com/acdb/posters/PosterNpcNmlShp11.png")</f>
        <v/>
      </c>
      <c r="C161" s="6">
        <v>1000.0</v>
      </c>
      <c r="D161" s="6">
        <v>250.0</v>
      </c>
      <c r="E161" s="5" t="s">
        <v>114</v>
      </c>
      <c r="F161" s="5" t="s">
        <v>52</v>
      </c>
      <c r="G161" s="6" t="s">
        <v>40</v>
      </c>
      <c r="H161" s="5" t="s">
        <v>6282</v>
      </c>
      <c r="I161" s="5" t="s">
        <v>6283</v>
      </c>
      <c r="J161" s="6" t="s">
        <v>42</v>
      </c>
      <c r="K161" s="5" t="s">
        <v>64</v>
      </c>
      <c r="L161" s="5" t="s">
        <v>6887</v>
      </c>
      <c r="M161" s="6">
        <v>10545.0</v>
      </c>
    </row>
    <row r="162" ht="56.25" customHeight="1">
      <c r="A162" s="5" t="s">
        <v>6889</v>
      </c>
      <c r="B162" s="6" t="str">
        <f>IMAGE("https://storage.googleapis.com/acdb/posters/PosterNpcNmlFlg02.png")</f>
        <v/>
      </c>
      <c r="C162" s="6">
        <v>1000.0</v>
      </c>
      <c r="D162" s="6">
        <v>250.0</v>
      </c>
      <c r="E162" s="5" t="s">
        <v>96</v>
      </c>
      <c r="F162" s="5" t="s">
        <v>96</v>
      </c>
      <c r="G162" s="6" t="s">
        <v>40</v>
      </c>
      <c r="H162" s="5" t="s">
        <v>6282</v>
      </c>
      <c r="I162" s="5" t="s">
        <v>6283</v>
      </c>
      <c r="J162" s="6" t="s">
        <v>42</v>
      </c>
      <c r="K162" s="5" t="s">
        <v>64</v>
      </c>
      <c r="L162" s="5" t="s">
        <v>6892</v>
      </c>
      <c r="M162" s="6">
        <v>10598.0</v>
      </c>
    </row>
    <row r="163" ht="56.25" customHeight="1">
      <c r="A163" s="5" t="s">
        <v>6893</v>
      </c>
      <c r="B163" s="6" t="str">
        <f>IMAGE("https://storage.googleapis.com/acdb/posters/PosterNpcNmlDer06.png")</f>
        <v/>
      </c>
      <c r="C163" s="6">
        <v>1000.0</v>
      </c>
      <c r="D163" s="6">
        <v>250.0</v>
      </c>
      <c r="E163" s="5" t="s">
        <v>106</v>
      </c>
      <c r="F163" s="5" t="s">
        <v>106</v>
      </c>
      <c r="G163" s="6" t="s">
        <v>40</v>
      </c>
      <c r="H163" s="5" t="s">
        <v>6282</v>
      </c>
      <c r="I163" s="5" t="s">
        <v>6283</v>
      </c>
      <c r="J163" s="6" t="s">
        <v>42</v>
      </c>
      <c r="K163" s="5" t="s">
        <v>64</v>
      </c>
      <c r="L163" s="5" t="s">
        <v>6895</v>
      </c>
      <c r="M163" s="6">
        <v>10352.0</v>
      </c>
    </row>
    <row r="164" ht="56.25" customHeight="1">
      <c r="A164" s="5" t="s">
        <v>6896</v>
      </c>
      <c r="B164" s="6" t="str">
        <f>IMAGE("https://storage.googleapis.com/acdb/posters/PosterNpcNmlRbt05.png")</f>
        <v/>
      </c>
      <c r="C164" s="6">
        <v>1000.0</v>
      </c>
      <c r="D164" s="6">
        <v>250.0</v>
      </c>
      <c r="E164" s="5" t="s">
        <v>57</v>
      </c>
      <c r="F164" s="5" t="s">
        <v>52</v>
      </c>
      <c r="G164" s="6" t="s">
        <v>40</v>
      </c>
      <c r="H164" s="5" t="s">
        <v>6282</v>
      </c>
      <c r="I164" s="5" t="s">
        <v>6283</v>
      </c>
      <c r="J164" s="6" t="s">
        <v>42</v>
      </c>
      <c r="K164" s="5" t="s">
        <v>64</v>
      </c>
      <c r="L164" s="5" t="s">
        <v>6898</v>
      </c>
      <c r="M164" s="6">
        <v>10386.0</v>
      </c>
    </row>
    <row r="165" ht="56.25" customHeight="1">
      <c r="A165" s="5" t="s">
        <v>6899</v>
      </c>
      <c r="B165" s="6" t="str">
        <f>IMAGE("https://storage.googleapis.com/acdb/posters/PosterNpcNmlPig13.png")</f>
        <v/>
      </c>
      <c r="C165" s="6">
        <v>1000.0</v>
      </c>
      <c r="D165" s="6">
        <v>250.0</v>
      </c>
      <c r="E165" s="5" t="s">
        <v>69</v>
      </c>
      <c r="F165" s="5" t="s">
        <v>83</v>
      </c>
      <c r="G165" s="6" t="s">
        <v>40</v>
      </c>
      <c r="H165" s="5" t="s">
        <v>6282</v>
      </c>
      <c r="I165" s="5" t="s">
        <v>6283</v>
      </c>
      <c r="J165" s="6" t="s">
        <v>42</v>
      </c>
      <c r="K165" s="5" t="s">
        <v>64</v>
      </c>
      <c r="L165" s="5" t="s">
        <v>6901</v>
      </c>
      <c r="M165" s="6">
        <v>10482.0</v>
      </c>
    </row>
    <row r="166" ht="56.25" customHeight="1">
      <c r="A166" s="5" t="s">
        <v>6902</v>
      </c>
      <c r="B166" s="6" t="str">
        <f>IMAGE("https://storage.googleapis.com/acdb/posters/PosterNpcNmlRbt04.png")</f>
        <v/>
      </c>
      <c r="C166" s="6">
        <v>1000.0</v>
      </c>
      <c r="D166" s="6">
        <v>250.0</v>
      </c>
      <c r="E166" s="5" t="s">
        <v>114</v>
      </c>
      <c r="F166" s="5" t="s">
        <v>54</v>
      </c>
      <c r="G166" s="6" t="s">
        <v>40</v>
      </c>
      <c r="H166" s="5" t="s">
        <v>6282</v>
      </c>
      <c r="I166" s="5" t="s">
        <v>6283</v>
      </c>
      <c r="J166" s="6" t="s">
        <v>42</v>
      </c>
      <c r="K166" s="5" t="s">
        <v>64</v>
      </c>
      <c r="L166" s="5" t="s">
        <v>6904</v>
      </c>
      <c r="M166" s="6">
        <v>10479.0</v>
      </c>
    </row>
    <row r="167" ht="56.25" customHeight="1">
      <c r="A167" s="5" t="s">
        <v>6905</v>
      </c>
      <c r="B167" s="6" t="str">
        <f>IMAGE("https://storage.googleapis.com/acdb/posters/PosterNpcNmlCrd07.png")</f>
        <v/>
      </c>
      <c r="C167" s="6">
        <v>1000.0</v>
      </c>
      <c r="D167" s="6">
        <v>250.0</v>
      </c>
      <c r="E167" s="5" t="s">
        <v>69</v>
      </c>
      <c r="F167" s="5" t="s">
        <v>69</v>
      </c>
      <c r="G167" s="6" t="s">
        <v>40</v>
      </c>
      <c r="H167" s="5" t="s">
        <v>6282</v>
      </c>
      <c r="I167" s="5" t="s">
        <v>6283</v>
      </c>
      <c r="J167" s="6" t="s">
        <v>42</v>
      </c>
      <c r="K167" s="5" t="s">
        <v>64</v>
      </c>
      <c r="L167" s="5" t="s">
        <v>6908</v>
      </c>
      <c r="M167" s="6">
        <v>10596.0</v>
      </c>
    </row>
    <row r="168" ht="56.25" customHeight="1">
      <c r="A168" s="5" t="s">
        <v>6909</v>
      </c>
      <c r="B168" s="6" t="str">
        <f>IMAGE("https://storage.googleapis.com/acdb/posters/PosterNpcNmlRbt08.png")</f>
        <v/>
      </c>
      <c r="C168" s="6">
        <v>1000.0</v>
      </c>
      <c r="D168" s="6">
        <v>250.0</v>
      </c>
      <c r="E168" s="5" t="s">
        <v>57</v>
      </c>
      <c r="F168" s="5" t="s">
        <v>39</v>
      </c>
      <c r="G168" s="6" t="s">
        <v>40</v>
      </c>
      <c r="H168" s="5" t="s">
        <v>6282</v>
      </c>
      <c r="I168" s="5" t="s">
        <v>6283</v>
      </c>
      <c r="J168" s="6" t="s">
        <v>42</v>
      </c>
      <c r="K168" s="5" t="s">
        <v>64</v>
      </c>
      <c r="L168" s="5" t="s">
        <v>6910</v>
      </c>
      <c r="M168" s="6">
        <v>10469.0</v>
      </c>
    </row>
    <row r="169" ht="56.25" customHeight="1">
      <c r="A169" s="5" t="s">
        <v>6911</v>
      </c>
      <c r="B169" s="6" t="str">
        <f>IMAGE("https://storage.googleapis.com/acdb/posters/PosterNpcNmlFlg16.png")</f>
        <v/>
      </c>
      <c r="C169" s="6">
        <v>1000.0</v>
      </c>
      <c r="D169" s="6">
        <v>250.0</v>
      </c>
      <c r="E169" s="5" t="s">
        <v>106</v>
      </c>
      <c r="F169" s="5" t="s">
        <v>54</v>
      </c>
      <c r="G169" s="6" t="s">
        <v>40</v>
      </c>
      <c r="H169" s="5" t="s">
        <v>6282</v>
      </c>
      <c r="I169" s="5" t="s">
        <v>6283</v>
      </c>
      <c r="J169" s="6" t="s">
        <v>42</v>
      </c>
      <c r="K169" s="5" t="s">
        <v>64</v>
      </c>
      <c r="L169" s="5" t="s">
        <v>6914</v>
      </c>
      <c r="M169" s="6">
        <v>10657.0</v>
      </c>
    </row>
    <row r="170" ht="56.25" customHeight="1">
      <c r="A170" s="5" t="s">
        <v>6915</v>
      </c>
      <c r="B170" s="6" t="str">
        <f>IMAGE("https://storage.googleapis.com/acdb/posters/PosterNpcNmlOst01.png")</f>
        <v/>
      </c>
      <c r="C170" s="6">
        <v>1000.0</v>
      </c>
      <c r="D170" s="6">
        <v>250.0</v>
      </c>
      <c r="E170" s="5" t="s">
        <v>54</v>
      </c>
      <c r="F170" s="5" t="s">
        <v>52</v>
      </c>
      <c r="G170" s="6" t="s">
        <v>40</v>
      </c>
      <c r="H170" s="5" t="s">
        <v>6282</v>
      </c>
      <c r="I170" s="5" t="s">
        <v>6283</v>
      </c>
      <c r="J170" s="6" t="s">
        <v>42</v>
      </c>
      <c r="K170" s="5" t="s">
        <v>64</v>
      </c>
      <c r="L170" s="5" t="s">
        <v>6917</v>
      </c>
      <c r="M170" s="6">
        <v>10422.0</v>
      </c>
    </row>
    <row r="171" ht="56.25" customHeight="1">
      <c r="A171" s="5" t="s">
        <v>6918</v>
      </c>
      <c r="B171" s="6" t="str">
        <f>IMAGE("https://storage.googleapis.com/acdb/posters/PosterNpcNmlDuk15.png")</f>
        <v/>
      </c>
      <c r="C171" s="6">
        <v>1000.0</v>
      </c>
      <c r="D171" s="6">
        <v>250.0</v>
      </c>
      <c r="E171" s="5" t="s">
        <v>106</v>
      </c>
      <c r="F171" s="5" t="s">
        <v>54</v>
      </c>
      <c r="G171" s="6" t="s">
        <v>40</v>
      </c>
      <c r="H171" s="5" t="s">
        <v>6282</v>
      </c>
      <c r="I171" s="5" t="s">
        <v>6283</v>
      </c>
      <c r="J171" s="6" t="s">
        <v>42</v>
      </c>
      <c r="K171" s="5" t="s">
        <v>64</v>
      </c>
      <c r="L171" s="5" t="s">
        <v>6920</v>
      </c>
      <c r="M171" s="6">
        <v>10586.0</v>
      </c>
    </row>
    <row r="172" ht="56.25" customHeight="1">
      <c r="A172" s="5" t="s">
        <v>6921</v>
      </c>
      <c r="B172" s="6" t="str">
        <f>IMAGE("https://storage.googleapis.com/acdb/posters/PosterNpcNmlDog00.png")</f>
        <v/>
      </c>
      <c r="C172" s="6">
        <v>1000.0</v>
      </c>
      <c r="D172" s="6">
        <v>250.0</v>
      </c>
      <c r="E172" s="5" t="s">
        <v>114</v>
      </c>
      <c r="F172" s="5" t="s">
        <v>39</v>
      </c>
      <c r="G172" s="6" t="s">
        <v>40</v>
      </c>
      <c r="H172" s="5" t="s">
        <v>6282</v>
      </c>
      <c r="I172" s="5" t="s">
        <v>6283</v>
      </c>
      <c r="J172" s="6" t="s">
        <v>42</v>
      </c>
      <c r="K172" s="5" t="s">
        <v>64</v>
      </c>
      <c r="L172" s="5" t="s">
        <v>6923</v>
      </c>
      <c r="M172" s="6">
        <v>10523.0</v>
      </c>
    </row>
    <row r="173" ht="56.25" customHeight="1">
      <c r="A173" s="5" t="s">
        <v>6924</v>
      </c>
      <c r="B173" s="6" t="str">
        <f>IMAGE("https://storage.googleapis.com/acdb/posters/PosterNpcNmlKal04.png")</f>
        <v/>
      </c>
      <c r="C173" s="6">
        <v>1000.0</v>
      </c>
      <c r="D173" s="6">
        <v>250.0</v>
      </c>
      <c r="E173" s="5" t="s">
        <v>95</v>
      </c>
      <c r="F173" s="5" t="s">
        <v>39</v>
      </c>
      <c r="G173" s="6" t="s">
        <v>40</v>
      </c>
      <c r="H173" s="5" t="s">
        <v>6282</v>
      </c>
      <c r="I173" s="5" t="s">
        <v>6283</v>
      </c>
      <c r="J173" s="6" t="s">
        <v>42</v>
      </c>
      <c r="K173" s="5" t="s">
        <v>64</v>
      </c>
      <c r="L173" s="5" t="s">
        <v>6926</v>
      </c>
      <c r="M173" s="6">
        <v>10643.0</v>
      </c>
    </row>
    <row r="174" ht="56.25" customHeight="1">
      <c r="A174" s="5" t="s">
        <v>6927</v>
      </c>
      <c r="B174" s="6" t="str">
        <f>IMAGE("https://storage.googleapis.com/acdb/posters/PosterNpcNmlChn00.png")</f>
        <v/>
      </c>
      <c r="C174" s="6">
        <v>1000.0</v>
      </c>
      <c r="D174" s="6">
        <v>250.0</v>
      </c>
      <c r="E174" s="5" t="s">
        <v>57</v>
      </c>
      <c r="F174" s="5" t="s">
        <v>96</v>
      </c>
      <c r="G174" s="6" t="s">
        <v>40</v>
      </c>
      <c r="H174" s="5" t="s">
        <v>6282</v>
      </c>
      <c r="I174" s="5" t="s">
        <v>6283</v>
      </c>
      <c r="J174" s="6" t="s">
        <v>42</v>
      </c>
      <c r="K174" s="5" t="s">
        <v>64</v>
      </c>
      <c r="L174" s="5" t="s">
        <v>6930</v>
      </c>
      <c r="M174" s="6">
        <v>10694.0</v>
      </c>
    </row>
    <row r="175" ht="56.25" customHeight="1">
      <c r="A175" s="5" t="s">
        <v>6931</v>
      </c>
      <c r="B175" s="6" t="str">
        <f>IMAGE("https://storage.googleapis.com/acdb/posters/PosterNpcSpGrf.png")</f>
        <v/>
      </c>
      <c r="C175" s="6">
        <v>1000.0</v>
      </c>
      <c r="D175" s="6">
        <v>250.0</v>
      </c>
      <c r="E175" s="5" t="s">
        <v>68</v>
      </c>
      <c r="F175" s="5" t="s">
        <v>96</v>
      </c>
      <c r="G175" s="6" t="s">
        <v>40</v>
      </c>
      <c r="H175" s="5" t="s">
        <v>6282</v>
      </c>
      <c r="I175" s="5" t="s">
        <v>6283</v>
      </c>
      <c r="J175" s="6" t="s">
        <v>42</v>
      </c>
      <c r="K175" s="5" t="s">
        <v>64</v>
      </c>
      <c r="L175" s="5" t="s">
        <v>6934</v>
      </c>
      <c r="M175" s="6">
        <v>10518.0</v>
      </c>
    </row>
    <row r="176" ht="56.25" customHeight="1">
      <c r="A176" s="5" t="s">
        <v>6935</v>
      </c>
      <c r="B176" s="6" t="str">
        <f>IMAGE("https://storage.googleapis.com/acdb/posters/PosterNpcNmlHam02.png")</f>
        <v/>
      </c>
      <c r="C176" s="6">
        <v>1000.0</v>
      </c>
      <c r="D176" s="6">
        <v>250.0</v>
      </c>
      <c r="E176" s="5" t="s">
        <v>114</v>
      </c>
      <c r="F176" s="5" t="s">
        <v>54</v>
      </c>
      <c r="G176" s="6" t="s">
        <v>40</v>
      </c>
      <c r="H176" s="5" t="s">
        <v>6282</v>
      </c>
      <c r="I176" s="5" t="s">
        <v>6283</v>
      </c>
      <c r="J176" s="6" t="s">
        <v>42</v>
      </c>
      <c r="K176" s="5" t="s">
        <v>64</v>
      </c>
      <c r="L176" s="5" t="s">
        <v>6937</v>
      </c>
      <c r="M176" s="6">
        <v>10529.0</v>
      </c>
    </row>
    <row r="177" ht="56.25" customHeight="1">
      <c r="A177" s="5" t="s">
        <v>6939</v>
      </c>
      <c r="B177" s="6" t="str">
        <f>IMAGE("https://storage.googleapis.com/acdb/posters/PosterNpcSpKpg.png")</f>
        <v/>
      </c>
      <c r="C177" s="6">
        <v>1000.0</v>
      </c>
      <c r="D177" s="6">
        <v>250.0</v>
      </c>
      <c r="E177" s="5" t="s">
        <v>96</v>
      </c>
      <c r="F177" s="5" t="s">
        <v>68</v>
      </c>
      <c r="G177" s="6" t="s">
        <v>40</v>
      </c>
      <c r="H177" s="5" t="s">
        <v>6282</v>
      </c>
      <c r="I177" s="5" t="s">
        <v>6283</v>
      </c>
      <c r="J177" s="6" t="s">
        <v>42</v>
      </c>
      <c r="K177" s="5" t="s">
        <v>64</v>
      </c>
      <c r="L177" s="5" t="s">
        <v>6941</v>
      </c>
      <c r="M177" s="6">
        <v>10436.0</v>
      </c>
    </row>
    <row r="178" ht="56.25" customHeight="1">
      <c r="A178" s="5" t="s">
        <v>6942</v>
      </c>
      <c r="B178" s="6" t="str">
        <f>IMAGE("https://storage.googleapis.com/acdb/posters/PosterNpcNmlMus16.png")</f>
        <v/>
      </c>
      <c r="C178" s="6">
        <v>1000.0</v>
      </c>
      <c r="D178" s="6">
        <v>250.0</v>
      </c>
      <c r="E178" s="5" t="s">
        <v>38</v>
      </c>
      <c r="F178" s="5" t="s">
        <v>54</v>
      </c>
      <c r="G178" s="6" t="s">
        <v>40</v>
      </c>
      <c r="H178" s="5" t="s">
        <v>6282</v>
      </c>
      <c r="I178" s="5" t="s">
        <v>6283</v>
      </c>
      <c r="J178" s="6" t="s">
        <v>42</v>
      </c>
      <c r="K178" s="5" t="s">
        <v>64</v>
      </c>
      <c r="L178" s="5" t="s">
        <v>6944</v>
      </c>
      <c r="M178" s="6">
        <v>10470.0</v>
      </c>
    </row>
    <row r="179" ht="56.25" customHeight="1">
      <c r="A179" s="5" t="s">
        <v>6946</v>
      </c>
      <c r="B179" s="6" t="str">
        <f>IMAGE("https://storage.googleapis.com/acdb/posters/PosterNpcNmlBea09.png")</f>
        <v/>
      </c>
      <c r="C179" s="6">
        <v>1000.0</v>
      </c>
      <c r="D179" s="6">
        <v>250.0</v>
      </c>
      <c r="E179" s="5" t="s">
        <v>54</v>
      </c>
      <c r="F179" s="5" t="s">
        <v>52</v>
      </c>
      <c r="G179" s="6" t="s">
        <v>40</v>
      </c>
      <c r="H179" s="5" t="s">
        <v>6282</v>
      </c>
      <c r="I179" s="5" t="s">
        <v>6283</v>
      </c>
      <c r="J179" s="6" t="s">
        <v>42</v>
      </c>
      <c r="K179" s="5" t="s">
        <v>64</v>
      </c>
      <c r="L179" s="5" t="s">
        <v>6947</v>
      </c>
      <c r="M179" s="6">
        <v>10806.0</v>
      </c>
    </row>
    <row r="180" ht="56.25" customHeight="1">
      <c r="A180" s="5" t="s">
        <v>6948</v>
      </c>
      <c r="B180" s="6" t="str">
        <f>IMAGE("https://storage.googleapis.com/acdb/posters/PosterNpcNmlBea06.png")</f>
        <v/>
      </c>
      <c r="C180" s="6">
        <v>1000.0</v>
      </c>
      <c r="D180" s="6">
        <v>250.0</v>
      </c>
      <c r="E180" s="5" t="s">
        <v>68</v>
      </c>
      <c r="F180" s="5" t="s">
        <v>54</v>
      </c>
      <c r="G180" s="6" t="s">
        <v>40</v>
      </c>
      <c r="H180" s="5" t="s">
        <v>6282</v>
      </c>
      <c r="I180" s="5" t="s">
        <v>6283</v>
      </c>
      <c r="J180" s="6" t="s">
        <v>42</v>
      </c>
      <c r="K180" s="5" t="s">
        <v>64</v>
      </c>
      <c r="L180" s="5" t="s">
        <v>6951</v>
      </c>
      <c r="M180" s="6">
        <v>10380.0</v>
      </c>
    </row>
    <row r="181" ht="56.25" customHeight="1">
      <c r="A181" s="5" t="s">
        <v>6952</v>
      </c>
      <c r="B181" s="6" t="str">
        <f>IMAGE("https://storage.googleapis.com/acdb/posters/PosterNpcNmlGoa04.png")</f>
        <v/>
      </c>
      <c r="C181" s="6">
        <v>1000.0</v>
      </c>
      <c r="D181" s="6">
        <v>250.0</v>
      </c>
      <c r="E181" s="5" t="s">
        <v>96</v>
      </c>
      <c r="F181" s="5" t="s">
        <v>54</v>
      </c>
      <c r="G181" s="6" t="s">
        <v>40</v>
      </c>
      <c r="H181" s="5" t="s">
        <v>6282</v>
      </c>
      <c r="I181" s="5" t="s">
        <v>6283</v>
      </c>
      <c r="J181" s="6" t="s">
        <v>42</v>
      </c>
      <c r="K181" s="5" t="s">
        <v>64</v>
      </c>
      <c r="L181" s="5" t="s">
        <v>6953</v>
      </c>
      <c r="M181" s="6">
        <v>10678.0</v>
      </c>
    </row>
    <row r="182" ht="56.25" customHeight="1">
      <c r="A182" s="5" t="s">
        <v>6954</v>
      </c>
      <c r="B182" s="6" t="str">
        <f>IMAGE("https://storage.googleapis.com/acdb/posters/PosterNpcSpGul.png")</f>
        <v/>
      </c>
      <c r="C182" s="6">
        <v>1000.0</v>
      </c>
      <c r="D182" s="6">
        <v>250.0</v>
      </c>
      <c r="E182" s="5" t="s">
        <v>57</v>
      </c>
      <c r="F182" s="5" t="s">
        <v>68</v>
      </c>
      <c r="G182" s="6" t="s">
        <v>40</v>
      </c>
      <c r="H182" s="5" t="s">
        <v>6282</v>
      </c>
      <c r="I182" s="5" t="s">
        <v>6283</v>
      </c>
      <c r="J182" s="6" t="s">
        <v>42</v>
      </c>
      <c r="K182" s="5" t="s">
        <v>64</v>
      </c>
      <c r="L182" s="5" t="s">
        <v>6957</v>
      </c>
      <c r="M182" s="6">
        <v>10521.0</v>
      </c>
    </row>
    <row r="183" ht="56.25" customHeight="1">
      <c r="A183" s="5" t="s">
        <v>6958</v>
      </c>
      <c r="B183" s="6" t="str">
        <f>IMAGE("https://storage.googleapis.com/acdb/posters/PosterNpcNmlPgn05.png")</f>
        <v/>
      </c>
      <c r="C183" s="6">
        <v>1000.0</v>
      </c>
      <c r="D183" s="6">
        <v>250.0</v>
      </c>
      <c r="E183" s="5" t="s">
        <v>106</v>
      </c>
      <c r="F183" s="5" t="s">
        <v>96</v>
      </c>
      <c r="G183" s="6" t="s">
        <v>40</v>
      </c>
      <c r="H183" s="5" t="s">
        <v>6282</v>
      </c>
      <c r="I183" s="5" t="s">
        <v>6283</v>
      </c>
      <c r="J183" s="6" t="s">
        <v>42</v>
      </c>
      <c r="K183" s="5" t="s">
        <v>64</v>
      </c>
      <c r="L183" s="5" t="s">
        <v>6959</v>
      </c>
      <c r="M183" s="6">
        <v>10355.0</v>
      </c>
    </row>
    <row r="184" ht="56.25" customHeight="1">
      <c r="A184" s="5" t="s">
        <v>6961</v>
      </c>
      <c r="B184" s="6" t="str">
        <f>IMAGE("https://storage.googleapis.com/acdb/posters/PosterNpcNmlHam00.png")</f>
        <v/>
      </c>
      <c r="C184" s="6">
        <v>1000.0</v>
      </c>
      <c r="D184" s="6">
        <v>250.0</v>
      </c>
      <c r="E184" s="5" t="s">
        <v>142</v>
      </c>
      <c r="F184" s="5" t="s">
        <v>83</v>
      </c>
      <c r="G184" s="6" t="s">
        <v>40</v>
      </c>
      <c r="H184" s="5" t="s">
        <v>6282</v>
      </c>
      <c r="I184" s="5" t="s">
        <v>6283</v>
      </c>
      <c r="J184" s="6" t="s">
        <v>42</v>
      </c>
      <c r="K184" s="5" t="s">
        <v>64</v>
      </c>
      <c r="L184" s="5" t="s">
        <v>6963</v>
      </c>
      <c r="M184" s="6">
        <v>10492.0</v>
      </c>
    </row>
    <row r="185" ht="56.25" customHeight="1">
      <c r="A185" s="5" t="s">
        <v>6964</v>
      </c>
      <c r="B185" s="6" t="str">
        <f>IMAGE("https://storage.googleapis.com/acdb/posters/PosterNpcNmlHam07.png")</f>
        <v/>
      </c>
      <c r="C185" s="6">
        <v>1000.0</v>
      </c>
      <c r="D185" s="6">
        <v>250.0</v>
      </c>
      <c r="E185" s="5" t="s">
        <v>54</v>
      </c>
      <c r="F185" s="5" t="s">
        <v>52</v>
      </c>
      <c r="G185" s="6" t="s">
        <v>40</v>
      </c>
      <c r="H185" s="5" t="s">
        <v>6282</v>
      </c>
      <c r="I185" s="5" t="s">
        <v>6283</v>
      </c>
      <c r="J185" s="6" t="s">
        <v>42</v>
      </c>
      <c r="K185" s="5" t="s">
        <v>64</v>
      </c>
      <c r="L185" s="5" t="s">
        <v>6966</v>
      </c>
      <c r="M185" s="6">
        <v>10423.0</v>
      </c>
    </row>
    <row r="186" ht="56.25" customHeight="1">
      <c r="A186" s="5" t="s">
        <v>6967</v>
      </c>
      <c r="B186" s="6" t="str">
        <f>IMAGE("https://storage.googleapis.com/acdb/posters/PosterNpcNmlGor10.png")</f>
        <v/>
      </c>
      <c r="C186" s="6">
        <v>1000.0</v>
      </c>
      <c r="D186" s="6">
        <v>250.0</v>
      </c>
      <c r="E186" s="5" t="s">
        <v>83</v>
      </c>
      <c r="F186" s="5" t="s">
        <v>68</v>
      </c>
      <c r="G186" s="6" t="s">
        <v>40</v>
      </c>
      <c r="H186" s="5" t="s">
        <v>6282</v>
      </c>
      <c r="I186" s="5" t="s">
        <v>6283</v>
      </c>
      <c r="J186" s="6" t="s">
        <v>42</v>
      </c>
      <c r="K186" s="5" t="s">
        <v>64</v>
      </c>
      <c r="L186" s="5" t="s">
        <v>6970</v>
      </c>
      <c r="M186" s="6">
        <v>10460.0</v>
      </c>
    </row>
    <row r="187" ht="56.25" customHeight="1">
      <c r="A187" s="5" t="s">
        <v>6971</v>
      </c>
      <c r="B187" s="6" t="str">
        <f>IMAGE("https://storage.googleapis.com/acdb/posters/PosterNpcSpPoo.png")</f>
        <v/>
      </c>
      <c r="C187" s="6">
        <v>1000.0</v>
      </c>
      <c r="D187" s="6">
        <v>250.0</v>
      </c>
      <c r="E187" s="5" t="s">
        <v>69</v>
      </c>
      <c r="F187" s="5" t="s">
        <v>38</v>
      </c>
      <c r="G187" s="6" t="s">
        <v>40</v>
      </c>
      <c r="H187" s="5" t="s">
        <v>6282</v>
      </c>
      <c r="I187" s="5" t="s">
        <v>6283</v>
      </c>
      <c r="J187" s="6" t="s">
        <v>42</v>
      </c>
      <c r="K187" s="5" t="s">
        <v>64</v>
      </c>
      <c r="L187" s="5" t="s">
        <v>6974</v>
      </c>
      <c r="M187" s="6">
        <v>10787.0</v>
      </c>
    </row>
    <row r="188" ht="56.25" customHeight="1">
      <c r="A188" s="5" t="s">
        <v>6975</v>
      </c>
      <c r="B188" s="6" t="str">
        <f>IMAGE("https://storage.googleapis.com/acdb/posters/PosterNpcNmlHip08.png")</f>
        <v/>
      </c>
      <c r="C188" s="6">
        <v>1000.0</v>
      </c>
      <c r="D188" s="6">
        <v>250.0</v>
      </c>
      <c r="E188" s="5" t="s">
        <v>114</v>
      </c>
      <c r="F188" s="5" t="s">
        <v>54</v>
      </c>
      <c r="G188" s="6" t="s">
        <v>40</v>
      </c>
      <c r="H188" s="5" t="s">
        <v>6282</v>
      </c>
      <c r="I188" s="5" t="s">
        <v>6283</v>
      </c>
      <c r="J188" s="6" t="s">
        <v>42</v>
      </c>
      <c r="K188" s="5" t="s">
        <v>64</v>
      </c>
      <c r="L188" s="5" t="s">
        <v>6976</v>
      </c>
      <c r="M188" s="6">
        <v>10353.0</v>
      </c>
    </row>
    <row r="189" ht="56.25" customHeight="1">
      <c r="A189" s="5" t="s">
        <v>6977</v>
      </c>
      <c r="B189" s="6" t="str">
        <f>IMAGE("https://storage.googleapis.com/acdb/posters/PosterNpcNmlSqu18.png")</f>
        <v/>
      </c>
      <c r="C189" s="6">
        <v>1000.0</v>
      </c>
      <c r="D189" s="6">
        <v>250.0</v>
      </c>
      <c r="E189" s="5" t="s">
        <v>142</v>
      </c>
      <c r="F189" s="5" t="s">
        <v>52</v>
      </c>
      <c r="G189" s="6" t="s">
        <v>40</v>
      </c>
      <c r="H189" s="5" t="s">
        <v>6282</v>
      </c>
      <c r="I189" s="5" t="s">
        <v>6283</v>
      </c>
      <c r="J189" s="6" t="s">
        <v>42</v>
      </c>
      <c r="K189" s="5" t="s">
        <v>64</v>
      </c>
      <c r="L189" s="5" t="s">
        <v>6980</v>
      </c>
      <c r="M189" s="6">
        <v>10466.0</v>
      </c>
    </row>
    <row r="190" ht="56.25" customHeight="1">
      <c r="A190" s="5" t="s">
        <v>6981</v>
      </c>
      <c r="B190" s="6" t="str">
        <f>IMAGE("https://storage.googleapis.com/acdb/posters/PosterNpcNmlGor11.png")</f>
        <v/>
      </c>
      <c r="C190" s="6">
        <v>1000.0</v>
      </c>
      <c r="D190" s="6">
        <v>250.0</v>
      </c>
      <c r="E190" s="5" t="s">
        <v>52</v>
      </c>
      <c r="F190" s="5" t="s">
        <v>58</v>
      </c>
      <c r="G190" s="6" t="s">
        <v>40</v>
      </c>
      <c r="H190" s="5" t="s">
        <v>6282</v>
      </c>
      <c r="I190" s="5" t="s">
        <v>6283</v>
      </c>
      <c r="J190" s="6" t="s">
        <v>42</v>
      </c>
      <c r="K190" s="5" t="s">
        <v>64</v>
      </c>
      <c r="L190" s="5" t="s">
        <v>6983</v>
      </c>
      <c r="M190" s="6">
        <v>11121.0</v>
      </c>
    </row>
    <row r="191" ht="56.25" customHeight="1">
      <c r="A191" s="5" t="s">
        <v>6984</v>
      </c>
      <c r="B191" s="6" t="str">
        <f>IMAGE("https://storage.googleapis.com/acdb/posters/PosterNpcNmlFlg19.png")</f>
        <v/>
      </c>
      <c r="C191" s="6">
        <v>1000.0</v>
      </c>
      <c r="D191" s="6">
        <v>250.0</v>
      </c>
      <c r="E191" s="5" t="s">
        <v>96</v>
      </c>
      <c r="F191" s="5" t="s">
        <v>38</v>
      </c>
      <c r="G191" s="6" t="s">
        <v>40</v>
      </c>
      <c r="H191" s="5" t="s">
        <v>6282</v>
      </c>
      <c r="I191" s="5" t="s">
        <v>6283</v>
      </c>
      <c r="J191" s="6" t="s">
        <v>42</v>
      </c>
      <c r="K191" s="5" t="s">
        <v>64</v>
      </c>
      <c r="L191" s="5" t="s">
        <v>6986</v>
      </c>
      <c r="M191" s="6">
        <v>10321.0</v>
      </c>
    </row>
    <row r="192" ht="56.25" customHeight="1">
      <c r="A192" s="5" t="s">
        <v>6987</v>
      </c>
      <c r="B192" s="6" t="str">
        <f>IMAGE("https://storage.googleapis.com/acdb/posters/PosterNpcNmlHip09.png")</f>
        <v/>
      </c>
      <c r="C192" s="6">
        <v>1000.0</v>
      </c>
      <c r="D192" s="6">
        <v>250.0</v>
      </c>
      <c r="E192" s="5" t="s">
        <v>114</v>
      </c>
      <c r="F192" s="5" t="s">
        <v>142</v>
      </c>
      <c r="G192" s="6" t="s">
        <v>40</v>
      </c>
      <c r="H192" s="5" t="s">
        <v>6282</v>
      </c>
      <c r="I192" s="5" t="s">
        <v>6283</v>
      </c>
      <c r="J192" s="6" t="s">
        <v>42</v>
      </c>
      <c r="K192" s="5" t="s">
        <v>64</v>
      </c>
      <c r="L192" s="5" t="s">
        <v>6988</v>
      </c>
      <c r="M192" s="6">
        <v>10588.0</v>
      </c>
    </row>
    <row r="193" ht="56.25" customHeight="1">
      <c r="A193" s="5" t="s">
        <v>6989</v>
      </c>
      <c r="B193" s="6" t="str">
        <f>IMAGE("https://storage.googleapis.com/acdb/posters/PosterNpcNmlRbt14.png")</f>
        <v/>
      </c>
      <c r="C193" s="6">
        <v>1000.0</v>
      </c>
      <c r="D193" s="6">
        <v>250.0</v>
      </c>
      <c r="E193" s="5" t="s">
        <v>83</v>
      </c>
      <c r="F193" s="5" t="s">
        <v>114</v>
      </c>
      <c r="G193" s="6" t="s">
        <v>40</v>
      </c>
      <c r="H193" s="5" t="s">
        <v>6282</v>
      </c>
      <c r="I193" s="5" t="s">
        <v>6283</v>
      </c>
      <c r="J193" s="6" t="s">
        <v>42</v>
      </c>
      <c r="K193" s="5" t="s">
        <v>64</v>
      </c>
      <c r="L193" s="5" t="s">
        <v>6992</v>
      </c>
      <c r="M193" s="6">
        <v>10604.0</v>
      </c>
    </row>
    <row r="194" ht="56.25" customHeight="1">
      <c r="A194" s="5" t="s">
        <v>6993</v>
      </c>
      <c r="B194" s="6" t="str">
        <f>IMAGE("https://storage.googleapis.com/acdb/posters/PosterNpcNmlPgn03.png")</f>
        <v/>
      </c>
      <c r="C194" s="6">
        <v>1000.0</v>
      </c>
      <c r="D194" s="6">
        <v>250.0</v>
      </c>
      <c r="E194" s="5" t="s">
        <v>54</v>
      </c>
      <c r="F194" s="5" t="s">
        <v>114</v>
      </c>
      <c r="G194" s="6" t="s">
        <v>40</v>
      </c>
      <c r="H194" s="5" t="s">
        <v>6282</v>
      </c>
      <c r="I194" s="5" t="s">
        <v>6283</v>
      </c>
      <c r="J194" s="6" t="s">
        <v>42</v>
      </c>
      <c r="K194" s="5" t="s">
        <v>64</v>
      </c>
      <c r="L194" s="5" t="s">
        <v>6994</v>
      </c>
      <c r="M194" s="6">
        <v>10408.0</v>
      </c>
    </row>
    <row r="195" ht="56.25" customHeight="1">
      <c r="A195" s="5" t="s">
        <v>6996</v>
      </c>
      <c r="B195" s="6" t="str">
        <f>IMAGE("https://storage.googleapis.com/acdb/posters/PosterNpcNmlRhn04.png")</f>
        <v/>
      </c>
      <c r="C195" s="6">
        <v>1000.0</v>
      </c>
      <c r="D195" s="6">
        <v>250.0</v>
      </c>
      <c r="E195" s="5" t="s">
        <v>68</v>
      </c>
      <c r="F195" s="5" t="s">
        <v>96</v>
      </c>
      <c r="G195" s="6" t="s">
        <v>40</v>
      </c>
      <c r="H195" s="5" t="s">
        <v>6282</v>
      </c>
      <c r="I195" s="5" t="s">
        <v>6283</v>
      </c>
      <c r="J195" s="6" t="s">
        <v>42</v>
      </c>
      <c r="K195" s="5" t="s">
        <v>64</v>
      </c>
      <c r="L195" s="5" t="s">
        <v>6998</v>
      </c>
      <c r="M195" s="6">
        <v>10608.0</v>
      </c>
    </row>
    <row r="196" ht="56.25" customHeight="1">
      <c r="A196" s="5" t="s">
        <v>6999</v>
      </c>
      <c r="B196" s="6" t="str">
        <f>IMAGE("https://storage.googleapis.com/acdb/posters/PosterNpcNmlFlg11.png")</f>
        <v/>
      </c>
      <c r="C196" s="6">
        <v>1000.0</v>
      </c>
      <c r="D196" s="6">
        <v>250.0</v>
      </c>
      <c r="E196" s="5" t="s">
        <v>95</v>
      </c>
      <c r="F196" s="5" t="s">
        <v>52</v>
      </c>
      <c r="G196" s="6" t="s">
        <v>40</v>
      </c>
      <c r="H196" s="5" t="s">
        <v>6282</v>
      </c>
      <c r="I196" s="5" t="s">
        <v>6283</v>
      </c>
      <c r="J196" s="6" t="s">
        <v>42</v>
      </c>
      <c r="K196" s="5" t="s">
        <v>64</v>
      </c>
      <c r="L196" s="5" t="s">
        <v>7000</v>
      </c>
      <c r="M196" s="6">
        <v>10611.0</v>
      </c>
    </row>
    <row r="197" ht="56.25" customHeight="1">
      <c r="A197" s="5" t="s">
        <v>7001</v>
      </c>
      <c r="B197" s="6" t="str">
        <f>IMAGE("https://storage.googleapis.com/acdb/posters/PosterNpcNmlPig03.png")</f>
        <v/>
      </c>
      <c r="C197" s="6">
        <v>1000.0</v>
      </c>
      <c r="D197" s="6">
        <v>250.0</v>
      </c>
      <c r="E197" s="5" t="s">
        <v>68</v>
      </c>
      <c r="F197" s="5" t="s">
        <v>96</v>
      </c>
      <c r="G197" s="6" t="s">
        <v>40</v>
      </c>
      <c r="H197" s="5" t="s">
        <v>6282</v>
      </c>
      <c r="I197" s="5" t="s">
        <v>6283</v>
      </c>
      <c r="J197" s="6" t="s">
        <v>42</v>
      </c>
      <c r="K197" s="5" t="s">
        <v>64</v>
      </c>
      <c r="L197" s="5" t="s">
        <v>7003</v>
      </c>
      <c r="M197" s="6">
        <v>10407.0</v>
      </c>
    </row>
    <row r="198" ht="56.25" customHeight="1">
      <c r="A198" s="5" t="s">
        <v>7004</v>
      </c>
      <c r="B198" s="6" t="str">
        <f>IMAGE("https://storage.googleapis.com/acdb/posters/PosterNpcNmlPgn11.png")</f>
        <v/>
      </c>
      <c r="C198" s="6">
        <v>1000.0</v>
      </c>
      <c r="D198" s="6">
        <v>250.0</v>
      </c>
      <c r="E198" s="5" t="s">
        <v>57</v>
      </c>
      <c r="F198" s="5" t="s">
        <v>52</v>
      </c>
      <c r="G198" s="6" t="s">
        <v>40</v>
      </c>
      <c r="H198" s="5" t="s">
        <v>6282</v>
      </c>
      <c r="I198" s="5" t="s">
        <v>6283</v>
      </c>
      <c r="J198" s="6" t="s">
        <v>42</v>
      </c>
      <c r="K198" s="5" t="s">
        <v>64</v>
      </c>
      <c r="L198" s="5" t="s">
        <v>7006</v>
      </c>
      <c r="M198" s="6">
        <v>10602.0</v>
      </c>
    </row>
    <row r="199" ht="56.25" customHeight="1">
      <c r="A199" s="5" t="s">
        <v>7007</v>
      </c>
      <c r="B199" s="6" t="str">
        <f>IMAGE("https://storage.googleapis.com/acdb/posters/PosterNpcNmlBea11.png")</f>
        <v/>
      </c>
      <c r="C199" s="6">
        <v>1000.0</v>
      </c>
      <c r="D199" s="6">
        <v>250.0</v>
      </c>
      <c r="E199" s="5" t="s">
        <v>39</v>
      </c>
      <c r="F199" s="5" t="s">
        <v>95</v>
      </c>
      <c r="G199" s="6" t="s">
        <v>40</v>
      </c>
      <c r="H199" s="5" t="s">
        <v>6282</v>
      </c>
      <c r="I199" s="5" t="s">
        <v>6283</v>
      </c>
      <c r="J199" s="6" t="s">
        <v>42</v>
      </c>
      <c r="K199" s="5" t="s">
        <v>64</v>
      </c>
      <c r="L199" s="5" t="s">
        <v>7009</v>
      </c>
      <c r="M199" s="6">
        <v>10650.0</v>
      </c>
    </row>
    <row r="200" ht="56.25" customHeight="1">
      <c r="A200" s="5" t="s">
        <v>7011</v>
      </c>
      <c r="B200" s="6" t="str">
        <f>IMAGE("https://storage.googleapis.com/acdb/posters/PosterNpcSpSza.png")</f>
        <v/>
      </c>
      <c r="C200" s="6">
        <v>1000.0</v>
      </c>
      <c r="D200" s="6">
        <v>250.0</v>
      </c>
      <c r="E200" s="5" t="s">
        <v>114</v>
      </c>
      <c r="F200" s="5" t="s">
        <v>96</v>
      </c>
      <c r="G200" s="6" t="s">
        <v>40</v>
      </c>
      <c r="H200" s="5" t="s">
        <v>6282</v>
      </c>
      <c r="I200" s="5" t="s">
        <v>6283</v>
      </c>
      <c r="J200" s="6" t="s">
        <v>42</v>
      </c>
      <c r="K200" s="5" t="s">
        <v>64</v>
      </c>
      <c r="L200" s="5" t="s">
        <v>7013</v>
      </c>
      <c r="M200" s="6">
        <v>10312.0</v>
      </c>
    </row>
    <row r="201" ht="56.25" customHeight="1">
      <c r="A201" s="5" t="s">
        <v>7014</v>
      </c>
      <c r="B201" s="6" t="str">
        <f>IMAGE("https://storage.googleapis.com/acdb/posters/PosterNpcSpPkn.png")</f>
        <v/>
      </c>
      <c r="C201" s="6">
        <v>1000.0</v>
      </c>
      <c r="D201" s="6">
        <v>250.0</v>
      </c>
      <c r="E201" s="5" t="s">
        <v>142</v>
      </c>
      <c r="F201" s="5" t="s">
        <v>54</v>
      </c>
      <c r="G201" s="6" t="s">
        <v>40</v>
      </c>
      <c r="H201" s="5" t="s">
        <v>6282</v>
      </c>
      <c r="I201" s="5" t="s">
        <v>6283</v>
      </c>
      <c r="J201" s="6" t="s">
        <v>42</v>
      </c>
      <c r="K201" s="5" t="s">
        <v>64</v>
      </c>
      <c r="L201" s="5" t="s">
        <v>7018</v>
      </c>
      <c r="M201" s="6">
        <v>10346.0</v>
      </c>
    </row>
    <row r="202" ht="56.25" customHeight="1">
      <c r="A202" s="5" t="s">
        <v>7019</v>
      </c>
      <c r="B202" s="6" t="str">
        <f>IMAGE("https://storage.googleapis.com/acdb/posters/PosterNpcNmlBrd16.png")</f>
        <v/>
      </c>
      <c r="C202" s="6">
        <v>1000.0</v>
      </c>
      <c r="D202" s="6">
        <v>250.0</v>
      </c>
      <c r="E202" s="5" t="s">
        <v>96</v>
      </c>
      <c r="F202" s="5" t="s">
        <v>69</v>
      </c>
      <c r="G202" s="6" t="s">
        <v>40</v>
      </c>
      <c r="H202" s="5" t="s">
        <v>6282</v>
      </c>
      <c r="I202" s="5" t="s">
        <v>6283</v>
      </c>
      <c r="J202" s="6" t="s">
        <v>42</v>
      </c>
      <c r="K202" s="5" t="s">
        <v>64</v>
      </c>
      <c r="L202" s="5" t="s">
        <v>7021</v>
      </c>
      <c r="M202" s="6">
        <v>10804.0</v>
      </c>
    </row>
    <row r="203" ht="56.25" customHeight="1">
      <c r="A203" s="5" t="s">
        <v>7022</v>
      </c>
      <c r="B203" s="6" t="str">
        <f>IMAGE("https://storage.googleapis.com/acdb/posters/PosterNpcNmlBrd11.png")</f>
        <v/>
      </c>
      <c r="C203" s="6">
        <v>1000.0</v>
      </c>
      <c r="D203" s="6">
        <v>250.0</v>
      </c>
      <c r="E203" s="5" t="s">
        <v>106</v>
      </c>
      <c r="F203" s="5" t="s">
        <v>54</v>
      </c>
      <c r="G203" s="6" t="s">
        <v>40</v>
      </c>
      <c r="H203" s="5" t="s">
        <v>6282</v>
      </c>
      <c r="I203" s="5" t="s">
        <v>6283</v>
      </c>
      <c r="J203" s="6" t="s">
        <v>42</v>
      </c>
      <c r="K203" s="5" t="s">
        <v>64</v>
      </c>
      <c r="L203" s="5" t="s">
        <v>7024</v>
      </c>
      <c r="M203" s="6">
        <v>10813.0</v>
      </c>
    </row>
    <row r="204" ht="56.25" customHeight="1">
      <c r="A204" s="5" t="s">
        <v>7025</v>
      </c>
      <c r="B204" s="6" t="str">
        <f>IMAGE("https://storage.googleapis.com/acdb/posters/PosterNpcNmlFlg13.png")</f>
        <v/>
      </c>
      <c r="C204" s="6">
        <v>1000.0</v>
      </c>
      <c r="D204" s="6">
        <v>250.0</v>
      </c>
      <c r="E204" s="5" t="s">
        <v>68</v>
      </c>
      <c r="F204" s="5" t="s">
        <v>96</v>
      </c>
      <c r="G204" s="6" t="s">
        <v>40</v>
      </c>
      <c r="H204" s="5" t="s">
        <v>6282</v>
      </c>
      <c r="I204" s="5" t="s">
        <v>6283</v>
      </c>
      <c r="J204" s="6" t="s">
        <v>42</v>
      </c>
      <c r="K204" s="5" t="s">
        <v>64</v>
      </c>
      <c r="L204" s="5" t="s">
        <v>7027</v>
      </c>
      <c r="M204" s="6">
        <v>10617.0</v>
      </c>
    </row>
    <row r="205" ht="56.25" customHeight="1">
      <c r="A205" s="5" t="s">
        <v>7028</v>
      </c>
      <c r="B205" s="6" t="str">
        <f>IMAGE("https://storage.googleapis.com/acdb/posters/PosterNpcNmlBrd00.png")</f>
        <v/>
      </c>
      <c r="C205" s="6">
        <v>1000.0</v>
      </c>
      <c r="D205" s="6">
        <v>250.0</v>
      </c>
      <c r="E205" s="5" t="s">
        <v>68</v>
      </c>
      <c r="F205" s="5" t="s">
        <v>142</v>
      </c>
      <c r="G205" s="6" t="s">
        <v>40</v>
      </c>
      <c r="H205" s="5" t="s">
        <v>6282</v>
      </c>
      <c r="I205" s="5" t="s">
        <v>6283</v>
      </c>
      <c r="J205" s="6" t="s">
        <v>42</v>
      </c>
      <c r="K205" s="5" t="s">
        <v>64</v>
      </c>
      <c r="L205" s="5" t="s">
        <v>7030</v>
      </c>
      <c r="M205" s="6">
        <v>10404.0</v>
      </c>
    </row>
    <row r="206" ht="56.25" customHeight="1">
      <c r="A206" s="5" t="s">
        <v>7032</v>
      </c>
      <c r="B206" s="6" t="str">
        <f>IMAGE("https://storage.googleapis.com/acdb/posters/PosterNpcNmlFlg07.png")</f>
        <v/>
      </c>
      <c r="C206" s="6">
        <v>1000.0</v>
      </c>
      <c r="D206" s="6">
        <v>250.0</v>
      </c>
      <c r="E206" s="5" t="s">
        <v>39</v>
      </c>
      <c r="F206" s="5" t="s">
        <v>58</v>
      </c>
      <c r="G206" s="6" t="s">
        <v>40</v>
      </c>
      <c r="H206" s="5" t="s">
        <v>6282</v>
      </c>
      <c r="I206" s="5" t="s">
        <v>6283</v>
      </c>
      <c r="J206" s="6" t="s">
        <v>42</v>
      </c>
      <c r="K206" s="5" t="s">
        <v>64</v>
      </c>
      <c r="L206" s="5" t="s">
        <v>7035</v>
      </c>
      <c r="M206" s="6">
        <v>10688.0</v>
      </c>
    </row>
    <row r="207" ht="56.25" customHeight="1">
      <c r="A207" s="5" t="s">
        <v>7036</v>
      </c>
      <c r="B207" s="6" t="str">
        <f>IMAGE("https://storage.googleapis.com/acdb/posters/PosterNpcSpRei.png")</f>
        <v/>
      </c>
      <c r="C207" s="6">
        <v>1000.0</v>
      </c>
      <c r="D207" s="6">
        <v>250.0</v>
      </c>
      <c r="E207" s="5" t="s">
        <v>96</v>
      </c>
      <c r="F207" s="5" t="s">
        <v>83</v>
      </c>
      <c r="G207" s="6" t="s">
        <v>40</v>
      </c>
      <c r="H207" s="5" t="s">
        <v>6282</v>
      </c>
      <c r="I207" s="5" t="s">
        <v>6283</v>
      </c>
      <c r="J207" s="6" t="s">
        <v>42</v>
      </c>
      <c r="K207" s="5" t="s">
        <v>64</v>
      </c>
      <c r="L207" s="5" t="s">
        <v>7039</v>
      </c>
      <c r="M207" s="6">
        <v>10439.0</v>
      </c>
    </row>
    <row r="208" ht="56.25" customHeight="1">
      <c r="A208" s="5" t="s">
        <v>7040</v>
      </c>
      <c r="B208" s="6" t="str">
        <f>IMAGE("https://storage.googleapis.com/acdb/posters/PosterNpcNmlBrd04.png")</f>
        <v/>
      </c>
      <c r="C208" s="6">
        <v>1000.0</v>
      </c>
      <c r="D208" s="6">
        <v>250.0</v>
      </c>
      <c r="E208" s="5" t="s">
        <v>39</v>
      </c>
      <c r="F208" s="5" t="s">
        <v>68</v>
      </c>
      <c r="G208" s="6" t="s">
        <v>40</v>
      </c>
      <c r="H208" s="5" t="s">
        <v>6282</v>
      </c>
      <c r="I208" s="5" t="s">
        <v>6283</v>
      </c>
      <c r="J208" s="6" t="s">
        <v>42</v>
      </c>
      <c r="K208" s="5" t="s">
        <v>64</v>
      </c>
      <c r="L208" s="5" t="s">
        <v>7042</v>
      </c>
      <c r="M208" s="6">
        <v>10818.0</v>
      </c>
    </row>
    <row r="209" ht="56.25" customHeight="1">
      <c r="A209" s="5" t="s">
        <v>7044</v>
      </c>
      <c r="B209" s="6" t="str">
        <f>IMAGE("https://storage.googleapis.com/acdb/posters/PosterNpcSpBoa.png")</f>
        <v/>
      </c>
      <c r="C209" s="6">
        <v>1000.0</v>
      </c>
      <c r="D209" s="6">
        <v>250.0</v>
      </c>
      <c r="E209" s="5" t="s">
        <v>114</v>
      </c>
      <c r="F209" s="5" t="s">
        <v>83</v>
      </c>
      <c r="G209" s="6" t="s">
        <v>40</v>
      </c>
      <c r="H209" s="5" t="s">
        <v>6282</v>
      </c>
      <c r="I209" s="5" t="s">
        <v>6283</v>
      </c>
      <c r="J209" s="6" t="s">
        <v>42</v>
      </c>
      <c r="K209" s="5" t="s">
        <v>64</v>
      </c>
      <c r="L209" s="5" t="s">
        <v>7045</v>
      </c>
      <c r="M209" s="6">
        <v>10430.0</v>
      </c>
    </row>
    <row r="210" ht="56.25" customHeight="1">
      <c r="A210" s="5" t="s">
        <v>7046</v>
      </c>
      <c r="B210" s="6" t="str">
        <f>IMAGE("https://storage.googleapis.com/acdb/posters/PosterNpcNmlDuk01.png")</f>
        <v/>
      </c>
      <c r="C210" s="6">
        <v>1000.0</v>
      </c>
      <c r="D210" s="6">
        <v>250.0</v>
      </c>
      <c r="E210" s="5" t="s">
        <v>69</v>
      </c>
      <c r="F210" s="5" t="s">
        <v>106</v>
      </c>
      <c r="G210" s="6" t="s">
        <v>40</v>
      </c>
      <c r="H210" s="5" t="s">
        <v>6282</v>
      </c>
      <c r="I210" s="5" t="s">
        <v>6283</v>
      </c>
      <c r="J210" s="6" t="s">
        <v>42</v>
      </c>
      <c r="K210" s="5" t="s">
        <v>64</v>
      </c>
      <c r="L210" s="5" t="s">
        <v>7050</v>
      </c>
      <c r="M210" s="6">
        <v>10483.0</v>
      </c>
    </row>
    <row r="211" ht="56.25" customHeight="1">
      <c r="A211" s="5" t="s">
        <v>7051</v>
      </c>
      <c r="B211" s="6" t="str">
        <f>IMAGE("https://storage.googleapis.com/acdb/posters/PosterNpcNmlCbr19.png")</f>
        <v/>
      </c>
      <c r="C211" s="6">
        <v>1000.0</v>
      </c>
      <c r="D211" s="6">
        <v>250.0</v>
      </c>
      <c r="E211" s="5" t="s">
        <v>68</v>
      </c>
      <c r="F211" s="5" t="s">
        <v>96</v>
      </c>
      <c r="G211" s="6" t="s">
        <v>40</v>
      </c>
      <c r="H211" s="5" t="s">
        <v>6282</v>
      </c>
      <c r="I211" s="5" t="s">
        <v>6283</v>
      </c>
      <c r="J211" s="6" t="s">
        <v>42</v>
      </c>
      <c r="K211" s="5" t="s">
        <v>64</v>
      </c>
      <c r="L211" s="5" t="s">
        <v>7054</v>
      </c>
      <c r="M211" s="6">
        <v>10858.0</v>
      </c>
    </row>
    <row r="212" ht="56.25" customHeight="1">
      <c r="A212" s="5" t="s">
        <v>7055</v>
      </c>
      <c r="B212" s="6" t="str">
        <f>IMAGE("https://storage.googleapis.com/acdb/posters/PosterNpcNmlOst05.png")</f>
        <v/>
      </c>
      <c r="C212" s="6">
        <v>1000.0</v>
      </c>
      <c r="D212" s="6">
        <v>250.0</v>
      </c>
      <c r="E212" s="5" t="s">
        <v>83</v>
      </c>
      <c r="F212" s="5" t="s">
        <v>52</v>
      </c>
      <c r="G212" s="6" t="s">
        <v>40</v>
      </c>
      <c r="H212" s="5" t="s">
        <v>6282</v>
      </c>
      <c r="I212" s="5" t="s">
        <v>6283</v>
      </c>
      <c r="J212" s="6" t="s">
        <v>42</v>
      </c>
      <c r="K212" s="5" t="s">
        <v>64</v>
      </c>
      <c r="L212" s="5" t="s">
        <v>7057</v>
      </c>
      <c r="M212" s="6">
        <v>10630.0</v>
      </c>
    </row>
    <row r="213" ht="56.25" customHeight="1">
      <c r="A213" s="5" t="s">
        <v>7059</v>
      </c>
      <c r="B213" s="6" t="str">
        <f>IMAGE("https://storage.googleapis.com/acdb/posters/PosterNpcNmlHrs13.png")</f>
        <v/>
      </c>
      <c r="C213" s="6">
        <v>1000.0</v>
      </c>
      <c r="D213" s="6">
        <v>250.0</v>
      </c>
      <c r="E213" s="5" t="s">
        <v>39</v>
      </c>
      <c r="F213" s="5" t="s">
        <v>52</v>
      </c>
      <c r="G213" s="6" t="s">
        <v>40</v>
      </c>
      <c r="H213" s="5" t="s">
        <v>6282</v>
      </c>
      <c r="I213" s="5" t="s">
        <v>6283</v>
      </c>
      <c r="J213" s="6" t="s">
        <v>42</v>
      </c>
      <c r="K213" s="5" t="s">
        <v>64</v>
      </c>
      <c r="L213" s="5" t="s">
        <v>7060</v>
      </c>
      <c r="M213" s="6">
        <v>10402.0</v>
      </c>
    </row>
    <row r="214" ht="56.25" customHeight="1">
      <c r="A214" s="5" t="s">
        <v>7062</v>
      </c>
      <c r="B214" s="6" t="str">
        <f>IMAGE("https://storage.googleapis.com/acdb/posters/PosterNpcNmlCbr13.png")</f>
        <v/>
      </c>
      <c r="C214" s="6">
        <v>1000.0</v>
      </c>
      <c r="D214" s="6">
        <v>250.0</v>
      </c>
      <c r="E214" s="5" t="s">
        <v>57</v>
      </c>
      <c r="F214" s="5" t="s">
        <v>54</v>
      </c>
      <c r="G214" s="6" t="s">
        <v>40</v>
      </c>
      <c r="H214" s="5" t="s">
        <v>6282</v>
      </c>
      <c r="I214" s="5" t="s">
        <v>6283</v>
      </c>
      <c r="J214" s="6" t="s">
        <v>42</v>
      </c>
      <c r="K214" s="5" t="s">
        <v>64</v>
      </c>
      <c r="L214" s="5" t="s">
        <v>7064</v>
      </c>
      <c r="M214" s="6">
        <v>10605.0</v>
      </c>
    </row>
    <row r="215" ht="56.25" customHeight="1">
      <c r="A215" s="5" t="s">
        <v>7065</v>
      </c>
      <c r="B215" s="6" t="str">
        <f>IMAGE("https://storage.googleapis.com/acdb/posters/PosterNpcSpTkkA.png")</f>
        <v/>
      </c>
      <c r="C215" s="6">
        <v>1000.0</v>
      </c>
      <c r="D215" s="6">
        <v>250.0</v>
      </c>
      <c r="E215" s="5" t="s">
        <v>57</v>
      </c>
      <c r="F215" s="5" t="s">
        <v>58</v>
      </c>
      <c r="G215" s="6" t="s">
        <v>40</v>
      </c>
      <c r="H215" s="5" t="s">
        <v>6282</v>
      </c>
      <c r="I215" s="5" t="s">
        <v>6283</v>
      </c>
      <c r="J215" s="6" t="s">
        <v>42</v>
      </c>
      <c r="K215" s="5" t="s">
        <v>64</v>
      </c>
      <c r="L215" s="5" t="s">
        <v>7067</v>
      </c>
      <c r="M215" s="6">
        <v>10331.0</v>
      </c>
    </row>
    <row r="216" ht="56.25" customHeight="1">
      <c r="A216" s="5" t="s">
        <v>7068</v>
      </c>
      <c r="B216" s="6" t="str">
        <f>IMAGE("https://storage.googleapis.com/acdb/posters/PosterNpcNmlCat09.png")</f>
        <v/>
      </c>
      <c r="C216" s="6">
        <v>1000.0</v>
      </c>
      <c r="D216" s="6">
        <v>250.0</v>
      </c>
      <c r="E216" s="5" t="s">
        <v>96</v>
      </c>
      <c r="F216" s="5" t="s">
        <v>68</v>
      </c>
      <c r="G216" s="6" t="s">
        <v>40</v>
      </c>
      <c r="H216" s="5" t="s">
        <v>6282</v>
      </c>
      <c r="I216" s="5" t="s">
        <v>6283</v>
      </c>
      <c r="J216" s="6" t="s">
        <v>42</v>
      </c>
      <c r="K216" s="5" t="s">
        <v>64</v>
      </c>
      <c r="L216" s="5" t="s">
        <v>7070</v>
      </c>
      <c r="M216" s="6">
        <v>10817.0</v>
      </c>
    </row>
    <row r="217" ht="56.25" customHeight="1">
      <c r="A217" s="5" t="s">
        <v>7071</v>
      </c>
      <c r="B217" s="6" t="str">
        <f>IMAGE("https://storage.googleapis.com/acdb/posters/PosterNpcSpKpp.png")</f>
        <v/>
      </c>
      <c r="C217" s="6">
        <v>1000.0</v>
      </c>
      <c r="D217" s="6">
        <v>250.0</v>
      </c>
      <c r="E217" s="5" t="s">
        <v>114</v>
      </c>
      <c r="F217" s="5" t="s">
        <v>83</v>
      </c>
      <c r="G217" s="6" t="s">
        <v>40</v>
      </c>
      <c r="H217" s="5" t="s">
        <v>6282</v>
      </c>
      <c r="I217" s="5" t="s">
        <v>6283</v>
      </c>
      <c r="J217" s="6" t="s">
        <v>42</v>
      </c>
      <c r="K217" s="5" t="s">
        <v>64</v>
      </c>
      <c r="L217" s="5" t="s">
        <v>7074</v>
      </c>
      <c r="M217" s="6">
        <v>10354.0</v>
      </c>
    </row>
    <row r="218" ht="56.25" customHeight="1">
      <c r="A218" s="5" t="s">
        <v>7076</v>
      </c>
      <c r="B218" s="6" t="str">
        <f>IMAGE("https://storage.googleapis.com/acdb/posters/PosterNpcSpLom.png")</f>
        <v/>
      </c>
      <c r="C218" s="6">
        <v>1000.0</v>
      </c>
      <c r="D218" s="6">
        <v>250.0</v>
      </c>
      <c r="E218" s="5" t="s">
        <v>54</v>
      </c>
      <c r="F218" s="5" t="s">
        <v>83</v>
      </c>
      <c r="G218" s="6" t="s">
        <v>40</v>
      </c>
      <c r="H218" s="5" t="s">
        <v>6282</v>
      </c>
      <c r="I218" s="5" t="s">
        <v>6283</v>
      </c>
      <c r="J218" s="6" t="s">
        <v>42</v>
      </c>
      <c r="K218" s="5" t="s">
        <v>64</v>
      </c>
      <c r="L218" s="5" t="s">
        <v>7079</v>
      </c>
      <c r="M218" s="6">
        <v>10337.0</v>
      </c>
    </row>
    <row r="219" ht="56.25" customHeight="1">
      <c r="A219" s="5" t="s">
        <v>7080</v>
      </c>
      <c r="B219" s="6" t="str">
        <f>IMAGE("https://storage.googleapis.com/acdb/posters/PosterNpcSpBpt.png")</f>
        <v/>
      </c>
      <c r="C219" s="6">
        <v>1000.0</v>
      </c>
      <c r="D219" s="6">
        <v>250.0</v>
      </c>
      <c r="E219" s="5" t="s">
        <v>39</v>
      </c>
      <c r="F219" s="5" t="s">
        <v>54</v>
      </c>
      <c r="G219" s="6" t="s">
        <v>40</v>
      </c>
      <c r="H219" s="5" t="s">
        <v>6282</v>
      </c>
      <c r="I219" s="5" t="s">
        <v>6283</v>
      </c>
      <c r="J219" s="6" t="s">
        <v>42</v>
      </c>
      <c r="K219" s="5" t="s">
        <v>64</v>
      </c>
      <c r="L219" s="5" t="s">
        <v>7082</v>
      </c>
      <c r="M219" s="6">
        <v>10517.0</v>
      </c>
    </row>
    <row r="220" ht="56.25" customHeight="1">
      <c r="A220" s="5" t="s">
        <v>7085</v>
      </c>
      <c r="B220" s="6" t="str">
        <f>IMAGE("https://storage.googleapis.com/acdb/posters/PosterNpcNmlCat21.png")</f>
        <v/>
      </c>
      <c r="C220" s="6">
        <v>1000.0</v>
      </c>
      <c r="D220" s="6">
        <v>250.0</v>
      </c>
      <c r="E220" s="5" t="s">
        <v>83</v>
      </c>
      <c r="F220" s="5" t="s">
        <v>114</v>
      </c>
      <c r="G220" s="6" t="s">
        <v>40</v>
      </c>
      <c r="H220" s="5" t="s">
        <v>6282</v>
      </c>
      <c r="I220" s="5" t="s">
        <v>6283</v>
      </c>
      <c r="J220" s="6" t="s">
        <v>42</v>
      </c>
      <c r="K220" s="5" t="s">
        <v>64</v>
      </c>
      <c r="L220" s="5" t="s">
        <v>7087</v>
      </c>
      <c r="M220" s="6">
        <v>10528.0</v>
      </c>
    </row>
    <row r="221" ht="56.25" customHeight="1">
      <c r="A221" s="5" t="s">
        <v>7088</v>
      </c>
      <c r="B221" s="6" t="str">
        <f>IMAGE("https://storage.googleapis.com/acdb/posters/PosterNpcNmlPbr08.png")</f>
        <v/>
      </c>
      <c r="C221" s="6">
        <v>1000.0</v>
      </c>
      <c r="D221" s="6">
        <v>250.0</v>
      </c>
      <c r="E221" s="5" t="s">
        <v>68</v>
      </c>
      <c r="F221" s="5" t="s">
        <v>54</v>
      </c>
      <c r="G221" s="6" t="s">
        <v>40</v>
      </c>
      <c r="H221" s="5" t="s">
        <v>6282</v>
      </c>
      <c r="I221" s="5" t="s">
        <v>6283</v>
      </c>
      <c r="J221" s="6" t="s">
        <v>42</v>
      </c>
      <c r="K221" s="5" t="s">
        <v>64</v>
      </c>
      <c r="L221" s="5" t="s">
        <v>7091</v>
      </c>
      <c r="M221" s="6">
        <v>10421.0</v>
      </c>
    </row>
    <row r="222" ht="56.25" customHeight="1">
      <c r="A222" s="5" t="s">
        <v>7092</v>
      </c>
      <c r="B222" s="6" t="str">
        <f>IMAGE("https://storage.googleapis.com/acdb/posters/PosterNpcNmlChn13.png")</f>
        <v/>
      </c>
      <c r="C222" s="6">
        <v>1000.0</v>
      </c>
      <c r="D222" s="6">
        <v>250.0</v>
      </c>
      <c r="E222" s="5" t="s">
        <v>96</v>
      </c>
      <c r="F222" s="5" t="s">
        <v>83</v>
      </c>
      <c r="G222" s="6" t="s">
        <v>40</v>
      </c>
      <c r="H222" s="5" t="s">
        <v>6282</v>
      </c>
      <c r="I222" s="5" t="s">
        <v>6283</v>
      </c>
      <c r="J222" s="6" t="s">
        <v>42</v>
      </c>
      <c r="K222" s="5" t="s">
        <v>64</v>
      </c>
      <c r="L222" s="5" t="s">
        <v>7094</v>
      </c>
      <c r="M222" s="6">
        <v>10445.0</v>
      </c>
    </row>
    <row r="223" ht="56.25" customHeight="1">
      <c r="A223" s="5" t="s">
        <v>7095</v>
      </c>
      <c r="B223" s="6" t="str">
        <f>IMAGE("https://storage.googleapis.com/acdb/posters/PosterNpcNmlRbt20.png")</f>
        <v/>
      </c>
      <c r="C223" s="6">
        <v>1000.0</v>
      </c>
      <c r="D223" s="6">
        <v>250.0</v>
      </c>
      <c r="E223" s="5" t="s">
        <v>52</v>
      </c>
      <c r="F223" s="5" t="s">
        <v>114</v>
      </c>
      <c r="G223" s="6" t="s">
        <v>40</v>
      </c>
      <c r="H223" s="5" t="s">
        <v>6282</v>
      </c>
      <c r="I223" s="5" t="s">
        <v>6283</v>
      </c>
      <c r="J223" s="6" t="s">
        <v>42</v>
      </c>
      <c r="K223" s="5" t="s">
        <v>64</v>
      </c>
      <c r="L223" s="5" t="s">
        <v>7097</v>
      </c>
      <c r="M223" s="6">
        <v>11126.0</v>
      </c>
    </row>
    <row r="224" ht="56.25" customHeight="1">
      <c r="A224" s="5" t="s">
        <v>7099</v>
      </c>
      <c r="B224" s="6" t="str">
        <f>IMAGE("https://storage.googleapis.com/acdb/posters/PosterNpcNmlDuk13.png")</f>
        <v/>
      </c>
      <c r="C224" s="6">
        <v>1000.0</v>
      </c>
      <c r="D224" s="6">
        <v>250.0</v>
      </c>
      <c r="E224" s="5" t="s">
        <v>39</v>
      </c>
      <c r="F224" s="5" t="s">
        <v>54</v>
      </c>
      <c r="G224" s="6" t="s">
        <v>40</v>
      </c>
      <c r="H224" s="5" t="s">
        <v>6282</v>
      </c>
      <c r="I224" s="5" t="s">
        <v>6283</v>
      </c>
      <c r="J224" s="6" t="s">
        <v>42</v>
      </c>
      <c r="K224" s="5" t="s">
        <v>64</v>
      </c>
      <c r="L224" s="5" t="s">
        <v>7100</v>
      </c>
      <c r="M224" s="6">
        <v>10616.0</v>
      </c>
    </row>
    <row r="225" ht="56.25" customHeight="1">
      <c r="A225" s="5" t="s">
        <v>7101</v>
      </c>
      <c r="B225" s="6" t="str">
        <f>IMAGE("https://storage.googleapis.com/acdb/posters/PosterNpcNmlPig15.png")</f>
        <v/>
      </c>
      <c r="C225" s="6">
        <v>1000.0</v>
      </c>
      <c r="D225" s="6">
        <v>250.0</v>
      </c>
      <c r="E225" s="5" t="s">
        <v>54</v>
      </c>
      <c r="F225" s="5" t="s">
        <v>38</v>
      </c>
      <c r="G225" s="6" t="s">
        <v>40</v>
      </c>
      <c r="H225" s="5" t="s">
        <v>6282</v>
      </c>
      <c r="I225" s="5" t="s">
        <v>6283</v>
      </c>
      <c r="J225" s="6" t="s">
        <v>42</v>
      </c>
      <c r="K225" s="5" t="s">
        <v>64</v>
      </c>
      <c r="L225" s="5" t="s">
        <v>7103</v>
      </c>
      <c r="M225" s="6">
        <v>10585.0</v>
      </c>
    </row>
    <row r="226" ht="56.25" customHeight="1">
      <c r="A226" s="5" t="s">
        <v>7104</v>
      </c>
      <c r="B226" s="6" t="str">
        <f>IMAGE("https://storage.googleapis.com/acdb/posters/PosterNpcSpSkk.png")</f>
        <v/>
      </c>
      <c r="C226" s="6">
        <v>1000.0</v>
      </c>
      <c r="D226" s="6">
        <v>250.0</v>
      </c>
      <c r="E226" s="5" t="s">
        <v>52</v>
      </c>
      <c r="F226" s="5" t="s">
        <v>114</v>
      </c>
      <c r="G226" s="6" t="s">
        <v>40</v>
      </c>
      <c r="H226" s="5" t="s">
        <v>6282</v>
      </c>
      <c r="I226" s="5" t="s">
        <v>6283</v>
      </c>
      <c r="J226" s="6" t="s">
        <v>42</v>
      </c>
      <c r="K226" s="5" t="s">
        <v>64</v>
      </c>
      <c r="L226" s="5" t="s">
        <v>7107</v>
      </c>
      <c r="M226" s="6">
        <v>10332.0</v>
      </c>
    </row>
    <row r="227" ht="56.25" customHeight="1">
      <c r="A227" s="5" t="s">
        <v>7108</v>
      </c>
      <c r="B227" s="6" t="str">
        <f>IMAGE("https://storage.googleapis.com/acdb/posters/PosterNpcNmlCat10.png")</f>
        <v/>
      </c>
      <c r="C227" s="6">
        <v>1000.0</v>
      </c>
      <c r="D227" s="6">
        <v>250.0</v>
      </c>
      <c r="E227" s="5" t="s">
        <v>106</v>
      </c>
      <c r="F227" s="5" t="s">
        <v>95</v>
      </c>
      <c r="G227" s="6" t="s">
        <v>40</v>
      </c>
      <c r="H227" s="5" t="s">
        <v>6282</v>
      </c>
      <c r="I227" s="5" t="s">
        <v>6283</v>
      </c>
      <c r="J227" s="6" t="s">
        <v>42</v>
      </c>
      <c r="K227" s="5" t="s">
        <v>64</v>
      </c>
      <c r="L227" s="5" t="s">
        <v>7110</v>
      </c>
      <c r="M227" s="6">
        <v>10779.0</v>
      </c>
    </row>
    <row r="228" ht="56.25" customHeight="1">
      <c r="A228" s="5" t="s">
        <v>7111</v>
      </c>
      <c r="B228" s="6" t="str">
        <f>IMAGE("https://storage.googleapis.com/acdb/posters/PosterNpcNmlGoa07.png")</f>
        <v/>
      </c>
      <c r="C228" s="6">
        <v>1000.0</v>
      </c>
      <c r="D228" s="6">
        <v>250.0</v>
      </c>
      <c r="E228" s="5" t="s">
        <v>58</v>
      </c>
      <c r="F228" s="5" t="s">
        <v>57</v>
      </c>
      <c r="G228" s="6" t="s">
        <v>40</v>
      </c>
      <c r="H228" s="5" t="s">
        <v>6282</v>
      </c>
      <c r="I228" s="5" t="s">
        <v>6283</v>
      </c>
      <c r="J228" s="6" t="s">
        <v>42</v>
      </c>
      <c r="K228" s="5" t="s">
        <v>64</v>
      </c>
      <c r="L228" s="5" t="s">
        <v>7115</v>
      </c>
      <c r="M228" s="6">
        <v>10364.0</v>
      </c>
    </row>
    <row r="229" ht="56.25" customHeight="1">
      <c r="A229" s="5" t="s">
        <v>7116</v>
      </c>
      <c r="B229" s="6" t="str">
        <f>IMAGE("https://storage.googleapis.com/acdb/posters/PosterNpcNmlShp14.png")</f>
        <v/>
      </c>
      <c r="C229" s="6">
        <v>1000.0</v>
      </c>
      <c r="D229" s="6">
        <v>250.0</v>
      </c>
      <c r="E229" s="5" t="s">
        <v>54</v>
      </c>
      <c r="F229" s="5" t="s">
        <v>96</v>
      </c>
      <c r="G229" s="6" t="s">
        <v>40</v>
      </c>
      <c r="H229" s="5" t="s">
        <v>6282</v>
      </c>
      <c r="I229" s="5" t="s">
        <v>6283</v>
      </c>
      <c r="J229" s="6" t="s">
        <v>42</v>
      </c>
      <c r="K229" s="5" t="s">
        <v>64</v>
      </c>
      <c r="L229" s="5" t="s">
        <v>7117</v>
      </c>
      <c r="M229" s="6">
        <v>11123.0</v>
      </c>
    </row>
    <row r="230" ht="56.25" customHeight="1">
      <c r="A230" s="5" t="s">
        <v>7118</v>
      </c>
      <c r="B230" s="6" t="str">
        <f>IMAGE("https://storage.googleapis.com/acdb/posters/PosterNpcNmlCat04.png")</f>
        <v/>
      </c>
      <c r="C230" s="6">
        <v>1000.0</v>
      </c>
      <c r="D230" s="6">
        <v>250.0</v>
      </c>
      <c r="E230" s="5" t="s">
        <v>96</v>
      </c>
      <c r="F230" s="5" t="s">
        <v>106</v>
      </c>
      <c r="G230" s="6" t="s">
        <v>40</v>
      </c>
      <c r="H230" s="5" t="s">
        <v>6282</v>
      </c>
      <c r="I230" s="5" t="s">
        <v>6283</v>
      </c>
      <c r="J230" s="6" t="s">
        <v>42</v>
      </c>
      <c r="K230" s="5" t="s">
        <v>64</v>
      </c>
      <c r="L230" s="5" t="s">
        <v>7120</v>
      </c>
      <c r="M230" s="6">
        <v>10816.0</v>
      </c>
    </row>
    <row r="231" ht="56.25" customHeight="1">
      <c r="A231" s="5" t="s">
        <v>7121</v>
      </c>
      <c r="B231" s="6" t="str">
        <f>IMAGE("https://storage.googleapis.com/acdb/posters/PosterNpcNmlKgr00.png")</f>
        <v/>
      </c>
      <c r="C231" s="6">
        <v>1000.0</v>
      </c>
      <c r="D231" s="6">
        <v>250.0</v>
      </c>
      <c r="E231" s="5" t="s">
        <v>38</v>
      </c>
      <c r="F231" s="5" t="s">
        <v>68</v>
      </c>
      <c r="G231" s="6" t="s">
        <v>40</v>
      </c>
      <c r="H231" s="5" t="s">
        <v>6282</v>
      </c>
      <c r="I231" s="5" t="s">
        <v>6283</v>
      </c>
      <c r="J231" s="6" t="s">
        <v>42</v>
      </c>
      <c r="K231" s="5" t="s">
        <v>64</v>
      </c>
      <c r="L231" s="5" t="s">
        <v>7122</v>
      </c>
      <c r="M231" s="6">
        <v>10357.0</v>
      </c>
    </row>
    <row r="232" ht="56.25" customHeight="1">
      <c r="A232" s="5" t="s">
        <v>7123</v>
      </c>
      <c r="B232" s="6" t="str">
        <f>IMAGE("https://storage.googleapis.com/acdb/posters/PosterNpcNmlCat14.png")</f>
        <v/>
      </c>
      <c r="C232" s="6">
        <v>1000.0</v>
      </c>
      <c r="D232" s="6">
        <v>250.0</v>
      </c>
      <c r="E232" s="5" t="s">
        <v>95</v>
      </c>
      <c r="F232" s="5" t="s">
        <v>52</v>
      </c>
      <c r="G232" s="6" t="s">
        <v>40</v>
      </c>
      <c r="H232" s="5" t="s">
        <v>6282</v>
      </c>
      <c r="I232" s="5" t="s">
        <v>6283</v>
      </c>
      <c r="J232" s="6" t="s">
        <v>42</v>
      </c>
      <c r="K232" s="5" t="s">
        <v>64</v>
      </c>
      <c r="L232" s="5" t="s">
        <v>7126</v>
      </c>
      <c r="M232" s="6">
        <v>10395.0</v>
      </c>
    </row>
    <row r="233" ht="56.25" customHeight="1">
      <c r="A233" s="5" t="s">
        <v>7127</v>
      </c>
      <c r="B233" s="6" t="str">
        <f>IMAGE("https://storage.googleapis.com/acdb/posters/PosterNpcNmlBea14.png")</f>
        <v/>
      </c>
      <c r="C233" s="6">
        <v>1000.0</v>
      </c>
      <c r="D233" s="6">
        <v>250.0</v>
      </c>
      <c r="E233" s="5" t="s">
        <v>114</v>
      </c>
      <c r="F233" s="5" t="s">
        <v>52</v>
      </c>
      <c r="G233" s="6" t="s">
        <v>40</v>
      </c>
      <c r="H233" s="5" t="s">
        <v>6282</v>
      </c>
      <c r="I233" s="5" t="s">
        <v>6283</v>
      </c>
      <c r="J233" s="6" t="s">
        <v>42</v>
      </c>
      <c r="K233" s="5" t="s">
        <v>64</v>
      </c>
      <c r="L233" s="5" t="s">
        <v>7128</v>
      </c>
      <c r="M233" s="6">
        <v>10790.0</v>
      </c>
    </row>
    <row r="234" ht="56.25" customHeight="1">
      <c r="A234" s="5" t="s">
        <v>7129</v>
      </c>
      <c r="B234" s="6" t="str">
        <f>IMAGE("https://storage.googleapis.com/acdb/posters/PosterNpcNmlChn11.png")</f>
        <v/>
      </c>
      <c r="C234" s="6">
        <v>1000.0</v>
      </c>
      <c r="D234" s="6">
        <v>250.0</v>
      </c>
      <c r="E234" s="5" t="s">
        <v>83</v>
      </c>
      <c r="F234" s="5" t="s">
        <v>39</v>
      </c>
      <c r="G234" s="6" t="s">
        <v>40</v>
      </c>
      <c r="H234" s="5" t="s">
        <v>6282</v>
      </c>
      <c r="I234" s="5" t="s">
        <v>6283</v>
      </c>
      <c r="J234" s="6" t="s">
        <v>42</v>
      </c>
      <c r="K234" s="5" t="s">
        <v>64</v>
      </c>
      <c r="L234" s="5" t="s">
        <v>7131</v>
      </c>
      <c r="M234" s="6">
        <v>10664.0</v>
      </c>
    </row>
    <row r="235" ht="56.25" customHeight="1">
      <c r="A235" s="5" t="s">
        <v>7132</v>
      </c>
      <c r="B235" s="6" t="str">
        <f>IMAGE("https://storage.googleapis.com/acdb/posters/PosterNpcNmlCbr04.png")</f>
        <v/>
      </c>
      <c r="C235" s="6">
        <v>1000.0</v>
      </c>
      <c r="D235" s="6">
        <v>250.0</v>
      </c>
      <c r="E235" s="5" t="s">
        <v>38</v>
      </c>
      <c r="F235" s="5" t="s">
        <v>54</v>
      </c>
      <c r="G235" s="6" t="s">
        <v>40</v>
      </c>
      <c r="H235" s="5" t="s">
        <v>6282</v>
      </c>
      <c r="I235" s="5" t="s">
        <v>6283</v>
      </c>
      <c r="J235" s="6" t="s">
        <v>42</v>
      </c>
      <c r="K235" s="5" t="s">
        <v>64</v>
      </c>
      <c r="L235" s="5" t="s">
        <v>7134</v>
      </c>
      <c r="M235" s="6">
        <v>10442.0</v>
      </c>
    </row>
    <row r="236" ht="56.25" customHeight="1">
      <c r="A236" s="5" t="s">
        <v>7135</v>
      </c>
      <c r="B236" s="6" t="str">
        <f>IMAGE("https://storage.googleapis.com/acdb/posters/PosterNpcNmlWol10.png")</f>
        <v/>
      </c>
      <c r="C236" s="6">
        <v>1000.0</v>
      </c>
      <c r="D236" s="6">
        <v>250.0</v>
      </c>
      <c r="E236" s="5" t="s">
        <v>106</v>
      </c>
      <c r="F236" s="5" t="s">
        <v>38</v>
      </c>
      <c r="G236" s="6" t="s">
        <v>40</v>
      </c>
      <c r="H236" s="5" t="s">
        <v>6282</v>
      </c>
      <c r="I236" s="5" t="s">
        <v>6283</v>
      </c>
      <c r="J236" s="6" t="s">
        <v>42</v>
      </c>
      <c r="K236" s="5" t="s">
        <v>64</v>
      </c>
      <c r="L236" s="5" t="s">
        <v>7138</v>
      </c>
      <c r="M236" s="6">
        <v>10579.0</v>
      </c>
    </row>
    <row r="237" ht="56.25" customHeight="1">
      <c r="A237" s="5" t="s">
        <v>7139</v>
      </c>
      <c r="B237" s="6" t="str">
        <f>IMAGE("https://storage.googleapis.com/acdb/posters/PosterNpcSpHgc.png")</f>
        <v/>
      </c>
      <c r="C237" s="6">
        <v>1000.0</v>
      </c>
      <c r="D237" s="6">
        <v>250.0</v>
      </c>
      <c r="E237" s="5" t="s">
        <v>38</v>
      </c>
      <c r="F237" s="5" t="s">
        <v>96</v>
      </c>
      <c r="G237" s="6" t="s">
        <v>40</v>
      </c>
      <c r="H237" s="5" t="s">
        <v>6282</v>
      </c>
      <c r="I237" s="5" t="s">
        <v>6283</v>
      </c>
      <c r="J237" s="6" t="s">
        <v>42</v>
      </c>
      <c r="K237" s="5" t="s">
        <v>64</v>
      </c>
      <c r="L237" s="5" t="s">
        <v>7142</v>
      </c>
      <c r="M237" s="6">
        <v>10333.0</v>
      </c>
    </row>
    <row r="238" ht="56.25" customHeight="1">
      <c r="A238" s="5" t="s">
        <v>7143</v>
      </c>
      <c r="B238" s="6" t="str">
        <f>IMAGE("https://storage.googleapis.com/acdb/posters/PosterNpcSpSlo.png")</f>
        <v/>
      </c>
      <c r="C238" s="6">
        <v>1000.0</v>
      </c>
      <c r="D238" s="6">
        <v>250.0</v>
      </c>
      <c r="E238" s="5" t="s">
        <v>96</v>
      </c>
      <c r="F238" s="5" t="s">
        <v>68</v>
      </c>
      <c r="G238" s="6" t="s">
        <v>40</v>
      </c>
      <c r="H238" s="5" t="s">
        <v>6282</v>
      </c>
      <c r="I238" s="5" t="s">
        <v>6283</v>
      </c>
      <c r="J238" s="6" t="s">
        <v>42</v>
      </c>
      <c r="K238" s="5" t="s">
        <v>64</v>
      </c>
      <c r="L238" s="5" t="s">
        <v>7144</v>
      </c>
      <c r="M238" s="6">
        <v>10433.0</v>
      </c>
    </row>
    <row r="239" ht="56.25" customHeight="1">
      <c r="A239" s="5" t="s">
        <v>7146</v>
      </c>
      <c r="B239" s="6" t="str">
        <f>IMAGE("https://storage.googleapis.com/acdb/posters/PosterNpcSpKps.png")</f>
        <v/>
      </c>
      <c r="C239" s="6">
        <v>1000.0</v>
      </c>
      <c r="D239" s="6">
        <v>250.0</v>
      </c>
      <c r="E239" s="5" t="s">
        <v>96</v>
      </c>
      <c r="F239" s="5" t="s">
        <v>68</v>
      </c>
      <c r="G239" s="6" t="s">
        <v>40</v>
      </c>
      <c r="H239" s="5" t="s">
        <v>6282</v>
      </c>
      <c r="I239" s="5" t="s">
        <v>6283</v>
      </c>
      <c r="J239" s="6" t="s">
        <v>42</v>
      </c>
      <c r="K239" s="5" t="s">
        <v>64</v>
      </c>
      <c r="L239" s="5" t="s">
        <v>7147</v>
      </c>
      <c r="M239" s="6">
        <v>10340.0</v>
      </c>
    </row>
    <row r="240" ht="56.25" customHeight="1">
      <c r="A240" s="5" t="s">
        <v>7148</v>
      </c>
      <c r="B240" s="6" t="str">
        <f>IMAGE("https://storage.googleapis.com/acdb/posters/PosterNpcSpKpm.png")</f>
        <v/>
      </c>
      <c r="C240" s="6">
        <v>1000.0</v>
      </c>
      <c r="D240" s="6">
        <v>250.0</v>
      </c>
      <c r="E240" s="5" t="s">
        <v>142</v>
      </c>
      <c r="F240" s="5" t="s">
        <v>54</v>
      </c>
      <c r="G240" s="6" t="s">
        <v>40</v>
      </c>
      <c r="H240" s="5" t="s">
        <v>6282</v>
      </c>
      <c r="I240" s="5" t="s">
        <v>6283</v>
      </c>
      <c r="J240" s="6" t="s">
        <v>42</v>
      </c>
      <c r="K240" s="5" t="s">
        <v>64</v>
      </c>
      <c r="L240" s="5" t="s">
        <v>7151</v>
      </c>
      <c r="M240" s="6">
        <v>10519.0</v>
      </c>
    </row>
    <row r="241" ht="56.25" customHeight="1">
      <c r="A241" s="5" t="s">
        <v>7152</v>
      </c>
      <c r="B241" s="6" t="str">
        <f>IMAGE("https://storage.googleapis.com/acdb/posters/PosterNpcNmlTig04.png")</f>
        <v/>
      </c>
      <c r="C241" s="6">
        <v>1000.0</v>
      </c>
      <c r="D241" s="6">
        <v>250.0</v>
      </c>
      <c r="E241" s="5" t="s">
        <v>96</v>
      </c>
      <c r="F241" s="5" t="s">
        <v>38</v>
      </c>
      <c r="G241" s="6" t="s">
        <v>40</v>
      </c>
      <c r="H241" s="5" t="s">
        <v>6282</v>
      </c>
      <c r="I241" s="5" t="s">
        <v>6283</v>
      </c>
      <c r="J241" s="6" t="s">
        <v>42</v>
      </c>
      <c r="K241" s="5" t="s">
        <v>64</v>
      </c>
      <c r="L241" s="5" t="s">
        <v>7154</v>
      </c>
      <c r="M241" s="6">
        <v>10560.0</v>
      </c>
    </row>
    <row r="242" ht="56.25" customHeight="1">
      <c r="A242" s="5" t="s">
        <v>7155</v>
      </c>
      <c r="B242" s="6" t="str">
        <f>IMAGE("https://storage.googleapis.com/acdb/posters/PosterNpcNmlLon04.png")</f>
        <v/>
      </c>
      <c r="C242" s="6">
        <v>1000.0</v>
      </c>
      <c r="D242" s="6">
        <v>250.0</v>
      </c>
      <c r="E242" s="5" t="s">
        <v>83</v>
      </c>
      <c r="F242" s="5" t="s">
        <v>57</v>
      </c>
      <c r="G242" s="6" t="s">
        <v>40</v>
      </c>
      <c r="H242" s="5" t="s">
        <v>6282</v>
      </c>
      <c r="I242" s="5" t="s">
        <v>6283</v>
      </c>
      <c r="J242" s="6" t="s">
        <v>42</v>
      </c>
      <c r="K242" s="5" t="s">
        <v>64</v>
      </c>
      <c r="L242" s="5" t="s">
        <v>7157</v>
      </c>
      <c r="M242" s="6">
        <v>10638.0</v>
      </c>
    </row>
    <row r="243" ht="56.25" customHeight="1">
      <c r="A243" s="5" t="s">
        <v>7158</v>
      </c>
      <c r="B243" s="6" t="str">
        <f>IMAGE("https://storage.googleapis.com/acdb/posters/PosterNpcNmlFlg00.png")</f>
        <v/>
      </c>
      <c r="C243" s="6">
        <v>1000.0</v>
      </c>
      <c r="D243" s="6">
        <v>250.0</v>
      </c>
      <c r="E243" s="5" t="s">
        <v>142</v>
      </c>
      <c r="F243" s="5" t="s">
        <v>38</v>
      </c>
      <c r="G243" s="6" t="s">
        <v>40</v>
      </c>
      <c r="H243" s="5" t="s">
        <v>6282</v>
      </c>
      <c r="I243" s="5" t="s">
        <v>6283</v>
      </c>
      <c r="J243" s="6" t="s">
        <v>42</v>
      </c>
      <c r="K243" s="5" t="s">
        <v>64</v>
      </c>
      <c r="L243" s="5" t="s">
        <v>7161</v>
      </c>
      <c r="M243" s="6">
        <v>10440.0</v>
      </c>
    </row>
    <row r="244" ht="56.25" customHeight="1">
      <c r="A244" s="5" t="s">
        <v>7162</v>
      </c>
      <c r="B244" s="6" t="str">
        <f>IMAGE("https://storage.googleapis.com/acdb/posters/PosterNpcNmlMus01.png")</f>
        <v/>
      </c>
      <c r="C244" s="6">
        <v>1000.0</v>
      </c>
      <c r="D244" s="6">
        <v>250.0</v>
      </c>
      <c r="E244" s="5" t="s">
        <v>39</v>
      </c>
      <c r="F244" s="5" t="s">
        <v>54</v>
      </c>
      <c r="G244" s="6" t="s">
        <v>40</v>
      </c>
      <c r="H244" s="5" t="s">
        <v>6282</v>
      </c>
      <c r="I244" s="5" t="s">
        <v>6283</v>
      </c>
      <c r="J244" s="6" t="s">
        <v>42</v>
      </c>
      <c r="K244" s="5" t="s">
        <v>64</v>
      </c>
      <c r="L244" s="5" t="s">
        <v>7163</v>
      </c>
      <c r="M244" s="6">
        <v>10669.0</v>
      </c>
    </row>
    <row r="245" ht="56.25" customHeight="1">
      <c r="A245" s="5" t="s">
        <v>7164</v>
      </c>
      <c r="B245" s="6" t="str">
        <f>IMAGE("https://storage.googleapis.com/acdb/posters/PosterNpcNmlLon08.png")</f>
        <v/>
      </c>
      <c r="C245" s="6">
        <v>1000.0</v>
      </c>
      <c r="D245" s="6">
        <v>250.0</v>
      </c>
      <c r="E245" s="5" t="s">
        <v>106</v>
      </c>
      <c r="F245" s="5" t="s">
        <v>95</v>
      </c>
      <c r="G245" s="6" t="s">
        <v>40</v>
      </c>
      <c r="H245" s="5" t="s">
        <v>6282</v>
      </c>
      <c r="I245" s="5" t="s">
        <v>6283</v>
      </c>
      <c r="J245" s="6" t="s">
        <v>42</v>
      </c>
      <c r="K245" s="5" t="s">
        <v>64</v>
      </c>
      <c r="L245" s="5" t="s">
        <v>7166</v>
      </c>
      <c r="M245" s="6">
        <v>10684.0</v>
      </c>
    </row>
    <row r="246" ht="56.25" customHeight="1">
      <c r="A246" s="5" t="s">
        <v>7167</v>
      </c>
      <c r="B246" s="6" t="str">
        <f>IMAGE("https://storage.googleapis.com/acdb/posters/PosterNpcNmlWol01.png")</f>
        <v/>
      </c>
      <c r="C246" s="6">
        <v>1000.0</v>
      </c>
      <c r="D246" s="6">
        <v>250.0</v>
      </c>
      <c r="E246" s="5" t="s">
        <v>83</v>
      </c>
      <c r="F246" s="5" t="s">
        <v>52</v>
      </c>
      <c r="G246" s="6" t="s">
        <v>40</v>
      </c>
      <c r="H246" s="5" t="s">
        <v>6282</v>
      </c>
      <c r="I246" s="5" t="s">
        <v>6283</v>
      </c>
      <c r="J246" s="6" t="s">
        <v>42</v>
      </c>
      <c r="K246" s="5" t="s">
        <v>64</v>
      </c>
      <c r="L246" s="5" t="s">
        <v>7170</v>
      </c>
      <c r="M246" s="6">
        <v>10587.0</v>
      </c>
    </row>
    <row r="247" ht="56.25" customHeight="1">
      <c r="A247" s="5" t="s">
        <v>7171</v>
      </c>
      <c r="B247" s="6" t="str">
        <f>IMAGE("https://storage.googleapis.com/acdb/posters/PosterNpcNmlCat18.png")</f>
        <v/>
      </c>
      <c r="C247" s="6">
        <v>1000.0</v>
      </c>
      <c r="D247" s="6">
        <v>250.0</v>
      </c>
      <c r="E247" s="5" t="s">
        <v>38</v>
      </c>
      <c r="F247" s="5" t="s">
        <v>52</v>
      </c>
      <c r="G247" s="6" t="s">
        <v>40</v>
      </c>
      <c r="H247" s="5" t="s">
        <v>6282</v>
      </c>
      <c r="I247" s="5" t="s">
        <v>6283</v>
      </c>
      <c r="J247" s="6" t="s">
        <v>42</v>
      </c>
      <c r="K247" s="5" t="s">
        <v>64</v>
      </c>
      <c r="L247" s="5" t="s">
        <v>7172</v>
      </c>
      <c r="M247" s="6">
        <v>10539.0</v>
      </c>
    </row>
    <row r="248" ht="56.25" customHeight="1">
      <c r="A248" s="5" t="s">
        <v>7173</v>
      </c>
      <c r="B248" s="6" t="str">
        <f>IMAGE("https://storage.googleapis.com/acdb/posters/PosterNpcNmlDer05.png")</f>
        <v/>
      </c>
      <c r="C248" s="6">
        <v>1000.0</v>
      </c>
      <c r="D248" s="6">
        <v>250.0</v>
      </c>
      <c r="E248" s="5" t="s">
        <v>69</v>
      </c>
      <c r="F248" s="5" t="s">
        <v>58</v>
      </c>
      <c r="G248" s="6" t="s">
        <v>40</v>
      </c>
      <c r="H248" s="5" t="s">
        <v>6282</v>
      </c>
      <c r="I248" s="5" t="s">
        <v>6283</v>
      </c>
      <c r="J248" s="6" t="s">
        <v>42</v>
      </c>
      <c r="K248" s="5" t="s">
        <v>64</v>
      </c>
      <c r="L248" s="5" t="s">
        <v>7176</v>
      </c>
      <c r="M248" s="6">
        <v>10606.0</v>
      </c>
    </row>
    <row r="249" ht="56.25" customHeight="1">
      <c r="A249" s="5" t="s">
        <v>7177</v>
      </c>
      <c r="B249" s="6" t="str">
        <f>IMAGE("https://storage.googleapis.com/acdb/posters/PosterNpcSpOtg.png")</f>
        <v/>
      </c>
      <c r="C249" s="6">
        <v>1000.0</v>
      </c>
      <c r="D249" s="6">
        <v>250.0</v>
      </c>
      <c r="E249" s="5" t="s">
        <v>39</v>
      </c>
      <c r="F249" s="5" t="s">
        <v>54</v>
      </c>
      <c r="G249" s="6" t="s">
        <v>40</v>
      </c>
      <c r="H249" s="5" t="s">
        <v>6282</v>
      </c>
      <c r="I249" s="5" t="s">
        <v>6283</v>
      </c>
      <c r="J249" s="6" t="s">
        <v>42</v>
      </c>
      <c r="K249" s="5" t="s">
        <v>64</v>
      </c>
      <c r="L249" s="5" t="s">
        <v>7178</v>
      </c>
      <c r="M249" s="6">
        <v>10773.0</v>
      </c>
    </row>
    <row r="250" ht="56.25" customHeight="1">
      <c r="A250" s="5" t="s">
        <v>7179</v>
      </c>
      <c r="B250" s="6" t="str">
        <f>IMAGE("https://storage.googleapis.com/acdb/posters/PosterNpcNmlGor04.png")</f>
        <v/>
      </c>
      <c r="C250" s="6">
        <v>1000.0</v>
      </c>
      <c r="D250" s="6">
        <v>250.0</v>
      </c>
      <c r="E250" s="5" t="s">
        <v>52</v>
      </c>
      <c r="F250" s="5" t="s">
        <v>54</v>
      </c>
      <c r="G250" s="6" t="s">
        <v>40</v>
      </c>
      <c r="H250" s="5" t="s">
        <v>6282</v>
      </c>
      <c r="I250" s="5" t="s">
        <v>6283</v>
      </c>
      <c r="J250" s="6" t="s">
        <v>42</v>
      </c>
      <c r="K250" s="5" t="s">
        <v>64</v>
      </c>
      <c r="L250" s="5" t="s">
        <v>7181</v>
      </c>
      <c r="M250" s="6">
        <v>10631.0</v>
      </c>
    </row>
    <row r="251" ht="56.25" customHeight="1">
      <c r="A251" s="5" t="s">
        <v>7183</v>
      </c>
      <c r="B251" s="6" t="str">
        <f>IMAGE("https://storage.googleapis.com/acdb/posters/PosterNpcNmlBrd15.png")</f>
        <v/>
      </c>
      <c r="C251" s="6">
        <v>1000.0</v>
      </c>
      <c r="D251" s="6">
        <v>250.0</v>
      </c>
      <c r="E251" s="5" t="s">
        <v>57</v>
      </c>
      <c r="F251" s="5" t="s">
        <v>54</v>
      </c>
      <c r="G251" s="6" t="s">
        <v>40</v>
      </c>
      <c r="H251" s="5" t="s">
        <v>6282</v>
      </c>
      <c r="I251" s="5" t="s">
        <v>6283</v>
      </c>
      <c r="J251" s="6" t="s">
        <v>42</v>
      </c>
      <c r="K251" s="5" t="s">
        <v>64</v>
      </c>
      <c r="L251" s="5" t="s">
        <v>7185</v>
      </c>
      <c r="M251" s="6">
        <v>10351.0</v>
      </c>
    </row>
    <row r="252" ht="56.25" customHeight="1">
      <c r="A252" s="5" t="s">
        <v>7186</v>
      </c>
      <c r="B252" s="6" t="str">
        <f>IMAGE("https://storage.googleapis.com/acdb/posters/PosterNpcNmlDog02.png")</f>
        <v/>
      </c>
      <c r="C252" s="6">
        <v>1000.0</v>
      </c>
      <c r="D252" s="6">
        <v>250.0</v>
      </c>
      <c r="E252" s="5" t="s">
        <v>57</v>
      </c>
      <c r="F252" s="5" t="s">
        <v>52</v>
      </c>
      <c r="G252" s="6" t="s">
        <v>40</v>
      </c>
      <c r="H252" s="5" t="s">
        <v>6282</v>
      </c>
      <c r="I252" s="5" t="s">
        <v>6283</v>
      </c>
      <c r="J252" s="6" t="s">
        <v>42</v>
      </c>
      <c r="K252" s="5" t="s">
        <v>64</v>
      </c>
      <c r="L252" s="5" t="s">
        <v>7188</v>
      </c>
      <c r="M252" s="6">
        <v>10591.0</v>
      </c>
    </row>
    <row r="253" ht="56.25" customHeight="1">
      <c r="A253" s="5" t="s">
        <v>7189</v>
      </c>
      <c r="B253" s="6" t="str">
        <f>IMAGE("https://storage.googleapis.com/acdb/posters/PosterNpcNmlPig04.png")</f>
        <v/>
      </c>
      <c r="C253" s="6">
        <v>1000.0</v>
      </c>
      <c r="D253" s="6">
        <v>250.0</v>
      </c>
      <c r="E253" s="5" t="s">
        <v>54</v>
      </c>
      <c r="F253" s="5" t="s">
        <v>106</v>
      </c>
      <c r="G253" s="6" t="s">
        <v>40</v>
      </c>
      <c r="H253" s="5" t="s">
        <v>6282</v>
      </c>
      <c r="I253" s="5" t="s">
        <v>6283</v>
      </c>
      <c r="J253" s="6" t="s">
        <v>42</v>
      </c>
      <c r="K253" s="5" t="s">
        <v>64</v>
      </c>
      <c r="L253" s="5" t="s">
        <v>7192</v>
      </c>
      <c r="M253" s="6">
        <v>10554.0</v>
      </c>
    </row>
    <row r="254" ht="56.25" customHeight="1">
      <c r="A254" s="5" t="s">
        <v>7193</v>
      </c>
      <c r="B254" s="6" t="str">
        <f>IMAGE("https://storage.googleapis.com/acdb/posters/PosterNpcSpTap.png")</f>
        <v/>
      </c>
      <c r="C254" s="6">
        <v>1000.0</v>
      </c>
      <c r="D254" s="6">
        <v>250.0</v>
      </c>
      <c r="E254" s="5" t="s">
        <v>58</v>
      </c>
      <c r="F254" s="5" t="s">
        <v>68</v>
      </c>
      <c r="G254" s="6" t="s">
        <v>40</v>
      </c>
      <c r="H254" s="5" t="s">
        <v>6282</v>
      </c>
      <c r="I254" s="5" t="s">
        <v>6283</v>
      </c>
      <c r="J254" s="6" t="s">
        <v>42</v>
      </c>
      <c r="K254" s="5" t="s">
        <v>64</v>
      </c>
      <c r="L254" s="5" t="s">
        <v>7196</v>
      </c>
      <c r="M254" s="6">
        <v>10491.0</v>
      </c>
    </row>
    <row r="255" ht="56.25" customHeight="1">
      <c r="A255" s="5" t="s">
        <v>7197</v>
      </c>
      <c r="B255" s="6" t="str">
        <f>IMAGE("https://storage.googleapis.com/acdb/posters/PosterNpcSpOtt.png")</f>
        <v/>
      </c>
      <c r="C255" s="6">
        <v>1000.0</v>
      </c>
      <c r="D255" s="6">
        <v>250.0</v>
      </c>
      <c r="E255" s="5" t="s">
        <v>96</v>
      </c>
      <c r="F255" s="5" t="s">
        <v>83</v>
      </c>
      <c r="G255" s="6" t="s">
        <v>40</v>
      </c>
      <c r="H255" s="5" t="s">
        <v>6282</v>
      </c>
      <c r="I255" s="5" t="s">
        <v>6283</v>
      </c>
      <c r="J255" s="6" t="s">
        <v>42</v>
      </c>
      <c r="K255" s="5" t="s">
        <v>64</v>
      </c>
      <c r="L255" s="5" t="s">
        <v>7199</v>
      </c>
      <c r="M255" s="6">
        <v>10794.0</v>
      </c>
    </row>
    <row r="256" ht="56.25" customHeight="1">
      <c r="A256" s="5" t="s">
        <v>7200</v>
      </c>
      <c r="B256" s="6" t="str">
        <f>IMAGE("https://storage.googleapis.com/acdb/posters/PosterNpcNmlKal09.png")</f>
        <v/>
      </c>
      <c r="C256" s="6">
        <v>1000.0</v>
      </c>
      <c r="D256" s="6">
        <v>250.0</v>
      </c>
      <c r="E256" s="5" t="s">
        <v>68</v>
      </c>
      <c r="F256" s="5" t="s">
        <v>114</v>
      </c>
      <c r="G256" s="6" t="s">
        <v>40</v>
      </c>
      <c r="H256" s="5" t="s">
        <v>6282</v>
      </c>
      <c r="I256" s="5" t="s">
        <v>6283</v>
      </c>
      <c r="J256" s="6" t="s">
        <v>42</v>
      </c>
      <c r="K256" s="5" t="s">
        <v>64</v>
      </c>
      <c r="L256" s="5" t="s">
        <v>7202</v>
      </c>
      <c r="M256" s="6">
        <v>10498.0</v>
      </c>
    </row>
    <row r="257" ht="56.25" customHeight="1">
      <c r="A257" s="5" t="s">
        <v>7204</v>
      </c>
      <c r="B257" s="6" t="str">
        <f>IMAGE("https://storage.googleapis.com/acdb/posters/PosterNpcSpHgh.png")</f>
        <v/>
      </c>
      <c r="C257" s="6">
        <v>1000.0</v>
      </c>
      <c r="D257" s="6">
        <v>250.0</v>
      </c>
      <c r="E257" s="5" t="s">
        <v>39</v>
      </c>
      <c r="F257" s="5" t="s">
        <v>68</v>
      </c>
      <c r="G257" s="6" t="s">
        <v>40</v>
      </c>
      <c r="H257" s="5" t="s">
        <v>6282</v>
      </c>
      <c r="I257" s="5" t="s">
        <v>6283</v>
      </c>
      <c r="J257" s="6" t="s">
        <v>42</v>
      </c>
      <c r="K257" s="5" t="s">
        <v>64</v>
      </c>
      <c r="L257" s="5" t="s">
        <v>7206</v>
      </c>
      <c r="M257" s="6">
        <v>10432.0</v>
      </c>
    </row>
    <row r="258" ht="56.25" customHeight="1">
      <c r="A258" s="5" t="s">
        <v>7207</v>
      </c>
      <c r="B258" s="6" t="str">
        <f>IMAGE("https://storage.googleapis.com/acdb/posters/PosterNpcNmlDog14.png")</f>
        <v/>
      </c>
      <c r="C258" s="6">
        <v>1000.0</v>
      </c>
      <c r="D258" s="6">
        <v>250.0</v>
      </c>
      <c r="E258" s="5" t="s">
        <v>39</v>
      </c>
      <c r="F258" s="5" t="s">
        <v>96</v>
      </c>
      <c r="G258" s="6" t="s">
        <v>40</v>
      </c>
      <c r="H258" s="5" t="s">
        <v>6282</v>
      </c>
      <c r="I258" s="5" t="s">
        <v>6283</v>
      </c>
      <c r="J258" s="6" t="s">
        <v>42</v>
      </c>
      <c r="K258" s="5" t="s">
        <v>64</v>
      </c>
      <c r="L258" s="5" t="s">
        <v>7210</v>
      </c>
      <c r="M258" s="6">
        <v>10463.0</v>
      </c>
    </row>
    <row r="259" ht="56.25" customHeight="1">
      <c r="A259" s="5" t="s">
        <v>7212</v>
      </c>
      <c r="B259" s="6" t="str">
        <f>IMAGE("https://storage.googleapis.com/acdb/posters/PosterNpcNmlDog09.png")</f>
        <v/>
      </c>
      <c r="C259" s="6">
        <v>1000.0</v>
      </c>
      <c r="D259" s="6">
        <v>250.0</v>
      </c>
      <c r="E259" s="5" t="s">
        <v>39</v>
      </c>
      <c r="F259" s="5" t="s">
        <v>114</v>
      </c>
      <c r="G259" s="6" t="s">
        <v>40</v>
      </c>
      <c r="H259" s="5" t="s">
        <v>6282</v>
      </c>
      <c r="I259" s="5" t="s">
        <v>6283</v>
      </c>
      <c r="J259" s="6" t="s">
        <v>42</v>
      </c>
      <c r="K259" s="5" t="s">
        <v>64</v>
      </c>
      <c r="L259" s="5" t="s">
        <v>7215</v>
      </c>
      <c r="M259" s="6">
        <v>10619.0</v>
      </c>
    </row>
    <row r="260" ht="56.25" customHeight="1">
      <c r="A260" s="5" t="s">
        <v>7216</v>
      </c>
      <c r="B260" s="6" t="str">
        <f>IMAGE("https://storage.googleapis.com/acdb/posters/PosterNpcNmlDuk03.png")</f>
        <v/>
      </c>
      <c r="C260" s="6">
        <v>1000.0</v>
      </c>
      <c r="D260" s="6">
        <v>250.0</v>
      </c>
      <c r="E260" s="5" t="s">
        <v>114</v>
      </c>
      <c r="F260" s="5" t="s">
        <v>69</v>
      </c>
      <c r="G260" s="6" t="s">
        <v>40</v>
      </c>
      <c r="H260" s="5" t="s">
        <v>6282</v>
      </c>
      <c r="I260" s="5" t="s">
        <v>6283</v>
      </c>
      <c r="J260" s="6" t="s">
        <v>42</v>
      </c>
      <c r="K260" s="5" t="s">
        <v>64</v>
      </c>
      <c r="L260" s="5" t="s">
        <v>7218</v>
      </c>
      <c r="M260" s="6">
        <v>10593.0</v>
      </c>
    </row>
    <row r="261" ht="56.25" customHeight="1">
      <c r="A261" s="5" t="s">
        <v>7220</v>
      </c>
      <c r="B261" s="6" t="str">
        <f>IMAGE("https://storage.googleapis.com/acdb/posters/PosterNpcNmlPig10.png")</f>
        <v/>
      </c>
      <c r="C261" s="6">
        <v>1000.0</v>
      </c>
      <c r="D261" s="6">
        <v>250.0</v>
      </c>
      <c r="E261" s="5" t="s">
        <v>106</v>
      </c>
      <c r="F261" s="5" t="s">
        <v>68</v>
      </c>
      <c r="G261" s="6" t="s">
        <v>40</v>
      </c>
      <c r="H261" s="5" t="s">
        <v>6282</v>
      </c>
      <c r="I261" s="5" t="s">
        <v>6283</v>
      </c>
      <c r="J261" s="6" t="s">
        <v>42</v>
      </c>
      <c r="K261" s="5" t="s">
        <v>64</v>
      </c>
      <c r="L261" s="5" t="s">
        <v>7222</v>
      </c>
      <c r="M261" s="6">
        <v>10623.0</v>
      </c>
    </row>
    <row r="262" ht="56.25" customHeight="1">
      <c r="A262" s="5" t="s">
        <v>7224</v>
      </c>
      <c r="B262" s="6" t="str">
        <f>IMAGE("https://storage.googleapis.com/acdb/posters/PosterNpcNmlDuk06.png")</f>
        <v/>
      </c>
      <c r="C262" s="6">
        <v>1000.0</v>
      </c>
      <c r="D262" s="6">
        <v>250.0</v>
      </c>
      <c r="E262" s="5" t="s">
        <v>39</v>
      </c>
      <c r="F262" s="5" t="s">
        <v>96</v>
      </c>
      <c r="G262" s="6" t="s">
        <v>40</v>
      </c>
      <c r="H262" s="5" t="s">
        <v>6282</v>
      </c>
      <c r="I262" s="5" t="s">
        <v>6283</v>
      </c>
      <c r="J262" s="6" t="s">
        <v>42</v>
      </c>
      <c r="K262" s="5" t="s">
        <v>64</v>
      </c>
      <c r="L262" s="5" t="s">
        <v>7226</v>
      </c>
      <c r="M262" s="6">
        <v>10526.0</v>
      </c>
    </row>
    <row r="263" ht="56.25" customHeight="1">
      <c r="A263" s="5" t="s">
        <v>7229</v>
      </c>
      <c r="B263" s="6" t="str">
        <f>IMAGE("https://storage.googleapis.com/acdb/posters/PosterNpcNmlCbr01.png")</f>
        <v/>
      </c>
      <c r="C263" s="6">
        <v>1000.0</v>
      </c>
      <c r="D263" s="6">
        <v>250.0</v>
      </c>
      <c r="E263" s="5" t="s">
        <v>57</v>
      </c>
      <c r="F263" s="5" t="s">
        <v>96</v>
      </c>
      <c r="G263" s="6" t="s">
        <v>40</v>
      </c>
      <c r="H263" s="5" t="s">
        <v>6282</v>
      </c>
      <c r="I263" s="5" t="s">
        <v>6283</v>
      </c>
      <c r="J263" s="6" t="s">
        <v>42</v>
      </c>
      <c r="K263" s="5" t="s">
        <v>64</v>
      </c>
      <c r="L263" s="5" t="s">
        <v>7230</v>
      </c>
      <c r="M263" s="6">
        <v>10510.0</v>
      </c>
    </row>
    <row r="264" ht="56.25" customHeight="1">
      <c r="A264" s="5" t="s">
        <v>7231</v>
      </c>
      <c r="B264" s="6" t="str">
        <f>IMAGE("https://storage.googleapis.com/acdb/posters/PosterNpcNmlDog15.png")</f>
        <v/>
      </c>
      <c r="C264" s="6">
        <v>1000.0</v>
      </c>
      <c r="D264" s="6">
        <v>250.0</v>
      </c>
      <c r="E264" s="5" t="s">
        <v>69</v>
      </c>
      <c r="F264" s="5" t="s">
        <v>38</v>
      </c>
      <c r="G264" s="6" t="s">
        <v>40</v>
      </c>
      <c r="H264" s="5" t="s">
        <v>6282</v>
      </c>
      <c r="I264" s="5" t="s">
        <v>6283</v>
      </c>
      <c r="J264" s="6" t="s">
        <v>42</v>
      </c>
      <c r="K264" s="5" t="s">
        <v>64</v>
      </c>
      <c r="L264" s="5" t="s">
        <v>7235</v>
      </c>
      <c r="M264" s="6">
        <v>10419.0</v>
      </c>
    </row>
    <row r="265" ht="56.25" customHeight="1">
      <c r="A265" s="5" t="s">
        <v>7236</v>
      </c>
      <c r="B265" s="6" t="str">
        <f>IMAGE("https://storage.googleapis.com/acdb/posters/PosterNpcNmlKgr10.png")</f>
        <v/>
      </c>
      <c r="C265" s="6">
        <v>1000.0</v>
      </c>
      <c r="D265" s="6">
        <v>250.0</v>
      </c>
      <c r="E265" s="5" t="s">
        <v>57</v>
      </c>
      <c r="F265" s="5" t="s">
        <v>69</v>
      </c>
      <c r="G265" s="6" t="s">
        <v>40</v>
      </c>
      <c r="H265" s="5" t="s">
        <v>6282</v>
      </c>
      <c r="I265" s="5" t="s">
        <v>6283</v>
      </c>
      <c r="J265" s="6" t="s">
        <v>42</v>
      </c>
      <c r="K265" s="5" t="s">
        <v>64</v>
      </c>
      <c r="L265" s="5" t="s">
        <v>7240</v>
      </c>
      <c r="M265" s="6">
        <v>10659.0</v>
      </c>
    </row>
    <row r="266" ht="56.25" customHeight="1">
      <c r="A266" s="5" t="s">
        <v>7242</v>
      </c>
      <c r="B266" s="6" t="str">
        <f>IMAGE("https://storage.googleapis.com/acdb/posters/PosterNpcNmlElp04.png")</f>
        <v/>
      </c>
      <c r="C266" s="6">
        <v>1000.0</v>
      </c>
      <c r="D266" s="6">
        <v>250.0</v>
      </c>
      <c r="E266" s="5" t="s">
        <v>69</v>
      </c>
      <c r="F266" s="5" t="s">
        <v>83</v>
      </c>
      <c r="G266" s="6" t="s">
        <v>40</v>
      </c>
      <c r="H266" s="5" t="s">
        <v>6282</v>
      </c>
      <c r="I266" s="5" t="s">
        <v>6283</v>
      </c>
      <c r="J266" s="6" t="s">
        <v>42</v>
      </c>
      <c r="K266" s="5" t="s">
        <v>64</v>
      </c>
      <c r="L266" s="5" t="s">
        <v>7245</v>
      </c>
      <c r="M266" s="6">
        <v>10589.0</v>
      </c>
    </row>
    <row r="267" ht="56.25" customHeight="1">
      <c r="A267" s="5" t="s">
        <v>7246</v>
      </c>
      <c r="B267" s="6" t="str">
        <f>IMAGE("https://storage.googleapis.com/acdb/posters/PosterNpcNmlOcp01.png")</f>
        <v/>
      </c>
      <c r="C267" s="6">
        <v>1000.0</v>
      </c>
      <c r="D267" s="6">
        <v>250.0</v>
      </c>
      <c r="E267" s="5" t="s">
        <v>38</v>
      </c>
      <c r="F267" s="5" t="s">
        <v>68</v>
      </c>
      <c r="G267" s="6" t="s">
        <v>40</v>
      </c>
      <c r="H267" s="5" t="s">
        <v>6282</v>
      </c>
      <c r="I267" s="5" t="s">
        <v>6283</v>
      </c>
      <c r="J267" s="6" t="s">
        <v>42</v>
      </c>
      <c r="K267" s="5" t="s">
        <v>64</v>
      </c>
      <c r="L267" s="5" t="s">
        <v>7250</v>
      </c>
      <c r="M267" s="6">
        <v>10453.0</v>
      </c>
    </row>
    <row r="268" ht="56.25" customHeight="1">
      <c r="A268" s="5" t="s">
        <v>7251</v>
      </c>
      <c r="B268" s="6" t="str">
        <f>IMAGE("https://storage.googleapis.com/acdb/posters/PosterNpcNmlSqu17.png")</f>
        <v/>
      </c>
      <c r="C268" s="6">
        <v>1000.0</v>
      </c>
      <c r="D268" s="6">
        <v>250.0</v>
      </c>
      <c r="E268" s="5" t="s">
        <v>54</v>
      </c>
      <c r="F268" s="5" t="s">
        <v>52</v>
      </c>
      <c r="G268" s="6" t="s">
        <v>40</v>
      </c>
      <c r="H268" s="5" t="s">
        <v>6282</v>
      </c>
      <c r="I268" s="5" t="s">
        <v>6283</v>
      </c>
      <c r="J268" s="6" t="s">
        <v>42</v>
      </c>
      <c r="K268" s="5" t="s">
        <v>64</v>
      </c>
      <c r="L268" s="5" t="s">
        <v>7255</v>
      </c>
      <c r="M268" s="6">
        <v>10480.0</v>
      </c>
    </row>
    <row r="269" ht="56.25" customHeight="1">
      <c r="A269" s="5" t="s">
        <v>7256</v>
      </c>
      <c r="B269" s="6" t="str">
        <f>IMAGE("https://storage.googleapis.com/acdb/posters/PosterNpcNmlKgr01.png")</f>
        <v/>
      </c>
      <c r="C269" s="6">
        <v>1000.0</v>
      </c>
      <c r="D269" s="6">
        <v>250.0</v>
      </c>
      <c r="E269" s="5" t="s">
        <v>106</v>
      </c>
      <c r="F269" s="5" t="s">
        <v>114</v>
      </c>
      <c r="G269" s="6" t="s">
        <v>40</v>
      </c>
      <c r="H269" s="5" t="s">
        <v>6282</v>
      </c>
      <c r="I269" s="5" t="s">
        <v>6283</v>
      </c>
      <c r="J269" s="6" t="s">
        <v>42</v>
      </c>
      <c r="K269" s="5" t="s">
        <v>64</v>
      </c>
      <c r="L269" s="5" t="s">
        <v>7259</v>
      </c>
      <c r="M269" s="6">
        <v>10391.0</v>
      </c>
    </row>
    <row r="270" ht="56.25" customHeight="1">
      <c r="A270" s="5" t="s">
        <v>7260</v>
      </c>
      <c r="B270" s="6" t="str">
        <f>IMAGE("https://storage.googleapis.com/acdb/posters/PosterNpcNmlBea15.png")</f>
        <v/>
      </c>
      <c r="C270" s="6">
        <v>1000.0</v>
      </c>
      <c r="D270" s="6">
        <v>250.0</v>
      </c>
      <c r="E270" s="5" t="s">
        <v>38</v>
      </c>
      <c r="F270" s="5" t="s">
        <v>96</v>
      </c>
      <c r="G270" s="6" t="s">
        <v>40</v>
      </c>
      <c r="H270" s="5" t="s">
        <v>6282</v>
      </c>
      <c r="I270" s="5" t="s">
        <v>6283</v>
      </c>
      <c r="J270" s="6" t="s">
        <v>42</v>
      </c>
      <c r="K270" s="5" t="s">
        <v>64</v>
      </c>
      <c r="L270" s="5" t="s">
        <v>7264</v>
      </c>
      <c r="M270" s="6">
        <v>10860.0</v>
      </c>
    </row>
    <row r="271" ht="56.25" customHeight="1">
      <c r="A271" s="5" t="s">
        <v>7265</v>
      </c>
      <c r="B271" s="6" t="str">
        <f>IMAGE("https://storage.googleapis.com/acdb/posters/PosterNpcNmlKal02.png")</f>
        <v/>
      </c>
      <c r="C271" s="6">
        <v>1000.0</v>
      </c>
      <c r="D271" s="6">
        <v>250.0</v>
      </c>
      <c r="E271" s="5" t="s">
        <v>69</v>
      </c>
      <c r="F271" s="5" t="s">
        <v>38</v>
      </c>
      <c r="G271" s="6" t="s">
        <v>40</v>
      </c>
      <c r="H271" s="5" t="s">
        <v>6282</v>
      </c>
      <c r="I271" s="5" t="s">
        <v>6283</v>
      </c>
      <c r="J271" s="6" t="s">
        <v>42</v>
      </c>
      <c r="K271" s="5" t="s">
        <v>64</v>
      </c>
      <c r="L271" s="5" t="s">
        <v>7268</v>
      </c>
      <c r="M271" s="6">
        <v>10547.0</v>
      </c>
    </row>
    <row r="272" ht="56.25" customHeight="1">
      <c r="A272" s="5" t="s">
        <v>7270</v>
      </c>
      <c r="B272" s="6" t="str">
        <f>IMAGE("https://storage.googleapis.com/acdb/posters/PosterNpcNmlRhn07.png")</f>
        <v/>
      </c>
      <c r="C272" s="6">
        <v>1000.0</v>
      </c>
      <c r="D272" s="6">
        <v>250.0</v>
      </c>
      <c r="E272" s="5" t="s">
        <v>38</v>
      </c>
      <c r="F272" s="5" t="s">
        <v>69</v>
      </c>
      <c r="G272" s="6" t="s">
        <v>40</v>
      </c>
      <c r="H272" s="5" t="s">
        <v>6282</v>
      </c>
      <c r="I272" s="5" t="s">
        <v>6283</v>
      </c>
      <c r="J272" s="6" t="s">
        <v>42</v>
      </c>
      <c r="K272" s="5" t="s">
        <v>64</v>
      </c>
      <c r="L272" s="5" t="s">
        <v>7272</v>
      </c>
      <c r="M272" s="6">
        <v>10502.0</v>
      </c>
    </row>
    <row r="273" ht="56.25" customHeight="1">
      <c r="A273" s="5" t="s">
        <v>7274</v>
      </c>
      <c r="B273" s="6" t="str">
        <f>IMAGE("https://storage.googleapis.com/acdb/posters/PosterNpcNmlCat16.png")</f>
        <v/>
      </c>
      <c r="C273" s="6">
        <v>1000.0</v>
      </c>
      <c r="D273" s="6">
        <v>250.0</v>
      </c>
      <c r="E273" s="5" t="s">
        <v>69</v>
      </c>
      <c r="F273" s="5" t="s">
        <v>96</v>
      </c>
      <c r="G273" s="6" t="s">
        <v>40</v>
      </c>
      <c r="H273" s="5" t="s">
        <v>6282</v>
      </c>
      <c r="I273" s="5" t="s">
        <v>6283</v>
      </c>
      <c r="J273" s="6" t="s">
        <v>42</v>
      </c>
      <c r="K273" s="5" t="s">
        <v>64</v>
      </c>
      <c r="L273" s="5" t="s">
        <v>7276</v>
      </c>
      <c r="M273" s="6">
        <v>10789.0</v>
      </c>
    </row>
    <row r="274" ht="56.25" customHeight="1">
      <c r="A274" s="5" t="s">
        <v>7277</v>
      </c>
      <c r="B274" s="6" t="str">
        <f>IMAGE("https://storage.googleapis.com/acdb/posters/PosterNpcNmlBrd08.png")</f>
        <v/>
      </c>
      <c r="C274" s="6">
        <v>1000.0</v>
      </c>
      <c r="D274" s="6">
        <v>250.0</v>
      </c>
      <c r="E274" s="5" t="s">
        <v>96</v>
      </c>
      <c r="F274" s="5" t="s">
        <v>69</v>
      </c>
      <c r="G274" s="6" t="s">
        <v>40</v>
      </c>
      <c r="H274" s="5" t="s">
        <v>6282</v>
      </c>
      <c r="I274" s="5" t="s">
        <v>6283</v>
      </c>
      <c r="J274" s="6" t="s">
        <v>42</v>
      </c>
      <c r="K274" s="5" t="s">
        <v>64</v>
      </c>
      <c r="L274" s="5" t="s">
        <v>7280</v>
      </c>
      <c r="M274" s="6">
        <v>10677.0</v>
      </c>
    </row>
    <row r="275" ht="56.25" customHeight="1">
      <c r="A275" s="5" t="s">
        <v>7281</v>
      </c>
      <c r="B275" s="6" t="str">
        <f>IMAGE("https://storage.googleapis.com/acdb/posters/PosterNpcNmlSqu09.png")</f>
        <v/>
      </c>
      <c r="C275" s="6">
        <v>1000.0</v>
      </c>
      <c r="D275" s="6">
        <v>250.0</v>
      </c>
      <c r="E275" s="5" t="s">
        <v>114</v>
      </c>
      <c r="F275" s="5" t="s">
        <v>69</v>
      </c>
      <c r="G275" s="6" t="s">
        <v>40</v>
      </c>
      <c r="H275" s="5" t="s">
        <v>6282</v>
      </c>
      <c r="I275" s="5" t="s">
        <v>6283</v>
      </c>
      <c r="J275" s="6" t="s">
        <v>42</v>
      </c>
      <c r="K275" s="5" t="s">
        <v>64</v>
      </c>
      <c r="L275" s="5" t="s">
        <v>7283</v>
      </c>
      <c r="M275" s="6">
        <v>10675.0</v>
      </c>
    </row>
    <row r="276" ht="56.25" customHeight="1">
      <c r="A276" s="5" t="s">
        <v>7284</v>
      </c>
      <c r="B276" s="6" t="str">
        <f>IMAGE("https://storage.googleapis.com/acdb/posters/PosterNpcNmlRbt19.png")</f>
        <v/>
      </c>
      <c r="C276" s="6">
        <v>1000.0</v>
      </c>
      <c r="D276" s="6">
        <v>250.0</v>
      </c>
      <c r="E276" s="5" t="s">
        <v>69</v>
      </c>
      <c r="F276" s="5" t="s">
        <v>83</v>
      </c>
      <c r="G276" s="6" t="s">
        <v>40</v>
      </c>
      <c r="H276" s="5" t="s">
        <v>6282</v>
      </c>
      <c r="I276" s="5" t="s">
        <v>6283</v>
      </c>
      <c r="J276" s="6" t="s">
        <v>42</v>
      </c>
      <c r="K276" s="5" t="s">
        <v>64</v>
      </c>
      <c r="L276" s="5" t="s">
        <v>7287</v>
      </c>
      <c r="M276" s="6">
        <v>10561.0</v>
      </c>
    </row>
    <row r="277" ht="56.25" customHeight="1">
      <c r="A277" s="5" t="s">
        <v>7288</v>
      </c>
      <c r="B277" s="6" t="str">
        <f>IMAGE("https://storage.googleapis.com/acdb/posters/PosterNpcNmlDuk12.png")</f>
        <v/>
      </c>
      <c r="C277" s="6">
        <v>1000.0</v>
      </c>
      <c r="D277" s="6">
        <v>250.0</v>
      </c>
      <c r="E277" s="5" t="s">
        <v>68</v>
      </c>
      <c r="F277" s="5" t="s">
        <v>52</v>
      </c>
      <c r="G277" s="6" t="s">
        <v>40</v>
      </c>
      <c r="H277" s="5" t="s">
        <v>6282</v>
      </c>
      <c r="I277" s="5" t="s">
        <v>6283</v>
      </c>
      <c r="J277" s="6" t="s">
        <v>42</v>
      </c>
      <c r="K277" s="5" t="s">
        <v>64</v>
      </c>
      <c r="L277" s="5" t="s">
        <v>7291</v>
      </c>
      <c r="M277" s="6">
        <v>10443.0</v>
      </c>
    </row>
    <row r="278" ht="56.25" customHeight="1">
      <c r="A278" s="5" t="s">
        <v>7292</v>
      </c>
      <c r="B278" s="6" t="str">
        <f>IMAGE("https://storage.googleapis.com/acdb/posters/PosterNpcNmlCat01.png")</f>
        <v/>
      </c>
      <c r="C278" s="6">
        <v>1000.0</v>
      </c>
      <c r="D278" s="6">
        <v>250.0</v>
      </c>
      <c r="E278" s="5" t="s">
        <v>68</v>
      </c>
      <c r="F278" s="5" t="s">
        <v>96</v>
      </c>
      <c r="G278" s="6" t="s">
        <v>40</v>
      </c>
      <c r="H278" s="5" t="s">
        <v>6282</v>
      </c>
      <c r="I278" s="5" t="s">
        <v>6283</v>
      </c>
      <c r="J278" s="6" t="s">
        <v>42</v>
      </c>
      <c r="K278" s="5" t="s">
        <v>64</v>
      </c>
      <c r="L278" s="5" t="s">
        <v>7296</v>
      </c>
      <c r="M278" s="6">
        <v>10784.0</v>
      </c>
    </row>
    <row r="279" ht="56.25" customHeight="1">
      <c r="A279" s="5" t="s">
        <v>7297</v>
      </c>
      <c r="B279" s="6" t="str">
        <f>IMAGE("https://storage.googleapis.com/acdb/posters/PosterNpcNmlCat08.png")</f>
        <v/>
      </c>
      <c r="C279" s="6">
        <v>1000.0</v>
      </c>
      <c r="D279" s="6">
        <v>250.0</v>
      </c>
      <c r="E279" s="5" t="s">
        <v>38</v>
      </c>
      <c r="F279" s="5" t="s">
        <v>83</v>
      </c>
      <c r="G279" s="6" t="s">
        <v>40</v>
      </c>
      <c r="H279" s="5" t="s">
        <v>6282</v>
      </c>
      <c r="I279" s="5" t="s">
        <v>6283</v>
      </c>
      <c r="J279" s="6" t="s">
        <v>42</v>
      </c>
      <c r="K279" s="5" t="s">
        <v>64</v>
      </c>
      <c r="L279" s="5" t="s">
        <v>7300</v>
      </c>
      <c r="M279" s="6">
        <v>10791.0</v>
      </c>
    </row>
    <row r="280" ht="56.25" customHeight="1">
      <c r="A280" s="5" t="s">
        <v>7301</v>
      </c>
      <c r="B280" s="6" t="str">
        <f>IMAGE("https://storage.googleapis.com/acdb/posters/PosterNpcNmlDuk16.png")</f>
        <v/>
      </c>
      <c r="C280" s="6">
        <v>1000.0</v>
      </c>
      <c r="D280" s="6">
        <v>250.0</v>
      </c>
      <c r="E280" s="5" t="s">
        <v>38</v>
      </c>
      <c r="F280" s="5" t="s">
        <v>52</v>
      </c>
      <c r="G280" s="6" t="s">
        <v>40</v>
      </c>
      <c r="H280" s="5" t="s">
        <v>6282</v>
      </c>
      <c r="I280" s="5" t="s">
        <v>6283</v>
      </c>
      <c r="J280" s="6" t="s">
        <v>42</v>
      </c>
      <c r="K280" s="5" t="s">
        <v>64</v>
      </c>
      <c r="L280" s="5" t="s">
        <v>7305</v>
      </c>
      <c r="M280" s="6">
        <v>10329.0</v>
      </c>
    </row>
    <row r="281" ht="56.25" customHeight="1">
      <c r="A281" s="5" t="s">
        <v>7306</v>
      </c>
      <c r="B281" s="6" t="str">
        <f>IMAGE("https://storage.googleapis.com/acdb/posters/PosterNpcNmlCat11.png")</f>
        <v/>
      </c>
      <c r="C281" s="6">
        <v>1000.0</v>
      </c>
      <c r="D281" s="6">
        <v>250.0</v>
      </c>
      <c r="E281" s="5" t="s">
        <v>95</v>
      </c>
      <c r="F281" s="5" t="s">
        <v>69</v>
      </c>
      <c r="G281" s="6" t="s">
        <v>40</v>
      </c>
      <c r="H281" s="5" t="s">
        <v>6282</v>
      </c>
      <c r="I281" s="5" t="s">
        <v>6283</v>
      </c>
      <c r="J281" s="6" t="s">
        <v>42</v>
      </c>
      <c r="K281" s="5" t="s">
        <v>64</v>
      </c>
      <c r="L281" s="5" t="s">
        <v>7310</v>
      </c>
      <c r="M281" s="6">
        <v>10820.0</v>
      </c>
    </row>
    <row r="282" ht="56.25" customHeight="1">
      <c r="A282" s="5" t="s">
        <v>7311</v>
      </c>
      <c r="B282" s="6" t="str">
        <f>IMAGE("https://storage.googleapis.com/acdb/posters/PosterNpcNmlMnk04.png")</f>
        <v/>
      </c>
      <c r="C282" s="6">
        <v>1000.0</v>
      </c>
      <c r="D282" s="6">
        <v>250.0</v>
      </c>
      <c r="E282" s="5" t="s">
        <v>95</v>
      </c>
      <c r="F282" s="5" t="s">
        <v>114</v>
      </c>
      <c r="G282" s="6" t="s">
        <v>40</v>
      </c>
      <c r="H282" s="5" t="s">
        <v>6282</v>
      </c>
      <c r="I282" s="5" t="s">
        <v>6283</v>
      </c>
      <c r="J282" s="6" t="s">
        <v>42</v>
      </c>
      <c r="K282" s="5" t="s">
        <v>64</v>
      </c>
      <c r="L282" s="5" t="s">
        <v>7314</v>
      </c>
      <c r="M282" s="6">
        <v>10494.0</v>
      </c>
    </row>
    <row r="283" ht="56.25" customHeight="1">
      <c r="A283" s="5" t="s">
        <v>7315</v>
      </c>
      <c r="B283" s="6" t="str">
        <f>IMAGE("https://storage.googleapis.com/acdb/posters/PosterNpcNmlMus14.png")</f>
        <v/>
      </c>
      <c r="C283" s="6">
        <v>1000.0</v>
      </c>
      <c r="D283" s="6">
        <v>250.0</v>
      </c>
      <c r="E283" s="5" t="s">
        <v>114</v>
      </c>
      <c r="F283" s="5" t="s">
        <v>39</v>
      </c>
      <c r="G283" s="6" t="s">
        <v>40</v>
      </c>
      <c r="H283" s="5" t="s">
        <v>6282</v>
      </c>
      <c r="I283" s="5" t="s">
        <v>6283</v>
      </c>
      <c r="J283" s="6" t="s">
        <v>42</v>
      </c>
      <c r="K283" s="5" t="s">
        <v>64</v>
      </c>
      <c r="L283" s="5" t="s">
        <v>7318</v>
      </c>
      <c r="M283" s="6">
        <v>10387.0</v>
      </c>
    </row>
    <row r="284" ht="56.25" customHeight="1">
      <c r="A284" s="5" t="s">
        <v>7319</v>
      </c>
      <c r="B284" s="6" t="str">
        <f>IMAGE("https://storage.googleapis.com/acdb/posters/PosterNpcNmlLon06.png")</f>
        <v/>
      </c>
      <c r="C284" s="6">
        <v>1000.0</v>
      </c>
      <c r="D284" s="6">
        <v>250.0</v>
      </c>
      <c r="E284" s="5" t="s">
        <v>106</v>
      </c>
      <c r="F284" s="5" t="s">
        <v>54</v>
      </c>
      <c r="G284" s="6" t="s">
        <v>40</v>
      </c>
      <c r="H284" s="5" t="s">
        <v>6282</v>
      </c>
      <c r="I284" s="5" t="s">
        <v>6283</v>
      </c>
      <c r="J284" s="6" t="s">
        <v>42</v>
      </c>
      <c r="K284" s="5" t="s">
        <v>64</v>
      </c>
      <c r="L284" s="5" t="s">
        <v>7321</v>
      </c>
      <c r="M284" s="6">
        <v>10525.0</v>
      </c>
    </row>
    <row r="285" ht="56.25" customHeight="1">
      <c r="A285" s="5" t="s">
        <v>7322</v>
      </c>
      <c r="B285" s="6" t="str">
        <f>IMAGE("https://storage.googleapis.com/acdb/posters/PosterNpcNmlShp12.png")</f>
        <v/>
      </c>
      <c r="C285" s="6">
        <v>1000.0</v>
      </c>
      <c r="D285" s="6">
        <v>250.0</v>
      </c>
      <c r="E285" s="5" t="s">
        <v>96</v>
      </c>
      <c r="F285" s="5" t="s">
        <v>39</v>
      </c>
      <c r="G285" s="6" t="s">
        <v>40</v>
      </c>
      <c r="H285" s="5" t="s">
        <v>6282</v>
      </c>
      <c r="I285" s="5" t="s">
        <v>6283</v>
      </c>
      <c r="J285" s="6" t="s">
        <v>42</v>
      </c>
      <c r="K285" s="5" t="s">
        <v>64</v>
      </c>
      <c r="L285" s="5" t="s">
        <v>7326</v>
      </c>
      <c r="M285" s="6">
        <v>10320.0</v>
      </c>
    </row>
    <row r="286" ht="56.25" customHeight="1">
      <c r="A286" s="5" t="s">
        <v>7327</v>
      </c>
      <c r="B286" s="6" t="str">
        <f>IMAGE("https://storage.googleapis.com/acdb/posters/PosterNpcNmlCbr07.png")</f>
        <v/>
      </c>
      <c r="C286" s="6">
        <v>1000.0</v>
      </c>
      <c r="D286" s="6">
        <v>250.0</v>
      </c>
      <c r="E286" s="5" t="s">
        <v>69</v>
      </c>
      <c r="F286" s="5" t="s">
        <v>69</v>
      </c>
      <c r="G286" s="6" t="s">
        <v>40</v>
      </c>
      <c r="H286" s="5" t="s">
        <v>6282</v>
      </c>
      <c r="I286" s="5" t="s">
        <v>6283</v>
      </c>
      <c r="J286" s="6" t="s">
        <v>42</v>
      </c>
      <c r="K286" s="5" t="s">
        <v>64</v>
      </c>
      <c r="L286" s="5" t="s">
        <v>7330</v>
      </c>
      <c r="M286" s="6">
        <v>10624.0</v>
      </c>
    </row>
    <row r="287" ht="56.25" customHeight="1">
      <c r="A287" s="5" t="s">
        <v>7332</v>
      </c>
      <c r="B287" s="6" t="str">
        <f>IMAGE("https://storage.googleapis.com/acdb/posters/PosterNpcNmlDer10.png")</f>
        <v/>
      </c>
      <c r="C287" s="6">
        <v>1000.0</v>
      </c>
      <c r="D287" s="6">
        <v>250.0</v>
      </c>
      <c r="E287" s="5" t="s">
        <v>54</v>
      </c>
      <c r="F287" s="5" t="s">
        <v>69</v>
      </c>
      <c r="G287" s="6" t="s">
        <v>40</v>
      </c>
      <c r="H287" s="5" t="s">
        <v>6282</v>
      </c>
      <c r="I287" s="5" t="s">
        <v>6283</v>
      </c>
      <c r="J287" s="6" t="s">
        <v>42</v>
      </c>
      <c r="K287" s="5" t="s">
        <v>64</v>
      </c>
      <c r="L287" s="5" t="s">
        <v>7335</v>
      </c>
      <c r="M287" s="6">
        <v>11125.0</v>
      </c>
    </row>
    <row r="288" ht="56.25" customHeight="1">
      <c r="A288" s="5" t="s">
        <v>7336</v>
      </c>
      <c r="B288" s="6" t="str">
        <f>IMAGE("https://storage.googleapis.com/acdb/posters/PosterNpcNmlGoa01.png")</f>
        <v/>
      </c>
      <c r="C288" s="6">
        <v>1000.0</v>
      </c>
      <c r="D288" s="6">
        <v>250.0</v>
      </c>
      <c r="E288" s="5" t="s">
        <v>69</v>
      </c>
      <c r="F288" s="5" t="s">
        <v>38</v>
      </c>
      <c r="G288" s="6" t="s">
        <v>40</v>
      </c>
      <c r="H288" s="5" t="s">
        <v>6282</v>
      </c>
      <c r="I288" s="5" t="s">
        <v>6283</v>
      </c>
      <c r="J288" s="6" t="s">
        <v>42</v>
      </c>
      <c r="K288" s="5" t="s">
        <v>64</v>
      </c>
      <c r="L288" s="5" t="s">
        <v>7338</v>
      </c>
      <c r="M288" s="6">
        <v>10397.0</v>
      </c>
    </row>
    <row r="289" ht="56.25" customHeight="1">
      <c r="A289" s="5" t="s">
        <v>7340</v>
      </c>
      <c r="B289" s="6" t="str">
        <f>IMAGE("https://storage.googleapis.com/acdb/posters/PosterNpcNmlMnk01.png")</f>
        <v/>
      </c>
      <c r="C289" s="6">
        <v>1000.0</v>
      </c>
      <c r="D289" s="6">
        <v>250.0</v>
      </c>
      <c r="E289" s="5" t="s">
        <v>68</v>
      </c>
      <c r="F289" s="5" t="s">
        <v>69</v>
      </c>
      <c r="G289" s="6" t="s">
        <v>40</v>
      </c>
      <c r="H289" s="5" t="s">
        <v>6282</v>
      </c>
      <c r="I289" s="5" t="s">
        <v>6283</v>
      </c>
      <c r="J289" s="6" t="s">
        <v>42</v>
      </c>
      <c r="K289" s="5" t="s">
        <v>64</v>
      </c>
      <c r="L289" s="5" t="s">
        <v>7342</v>
      </c>
      <c r="M289" s="6">
        <v>10371.0</v>
      </c>
    </row>
    <row r="290" ht="56.25" customHeight="1">
      <c r="A290" s="5" t="s">
        <v>7343</v>
      </c>
      <c r="B290" s="6" t="str">
        <f>IMAGE("https://storage.googleapis.com/acdb/posters/PosterNpcNmlCow07.png")</f>
        <v/>
      </c>
      <c r="C290" s="6">
        <v>1000.0</v>
      </c>
      <c r="D290" s="6">
        <v>250.0</v>
      </c>
      <c r="E290" s="5" t="s">
        <v>96</v>
      </c>
      <c r="F290" s="5" t="s">
        <v>96</v>
      </c>
      <c r="G290" s="6" t="s">
        <v>40</v>
      </c>
      <c r="H290" s="5" t="s">
        <v>6282</v>
      </c>
      <c r="I290" s="5" t="s">
        <v>6283</v>
      </c>
      <c r="J290" s="6" t="s">
        <v>42</v>
      </c>
      <c r="K290" s="5" t="s">
        <v>64</v>
      </c>
      <c r="L290" s="5" t="s">
        <v>7345</v>
      </c>
      <c r="M290" s="6">
        <v>10551.0</v>
      </c>
    </row>
    <row r="291" ht="56.25" customHeight="1">
      <c r="A291" s="5" t="s">
        <v>7346</v>
      </c>
      <c r="B291" s="6" t="str">
        <f>IMAGE("https://storage.googleapis.com/acdb/posters/PosterNpcSpChm.png")</f>
        <v/>
      </c>
      <c r="C291" s="6">
        <v>1000.0</v>
      </c>
      <c r="D291" s="6">
        <v>250.0</v>
      </c>
      <c r="E291" s="5" t="s">
        <v>96</v>
      </c>
      <c r="F291" s="5" t="s">
        <v>83</v>
      </c>
      <c r="G291" s="6" t="s">
        <v>40</v>
      </c>
      <c r="H291" s="5" t="s">
        <v>6282</v>
      </c>
      <c r="I291" s="5" t="s">
        <v>6283</v>
      </c>
      <c r="J291" s="6" t="s">
        <v>42</v>
      </c>
      <c r="K291" s="5" t="s">
        <v>64</v>
      </c>
      <c r="L291" s="5" t="s">
        <v>7349</v>
      </c>
      <c r="M291" s="6">
        <v>10344.0</v>
      </c>
    </row>
    <row r="292" ht="56.25" customHeight="1">
      <c r="A292" s="5" t="s">
        <v>7350</v>
      </c>
      <c r="B292" s="6" t="str">
        <f>IMAGE("https://storage.googleapis.com/acdb/posters/PosterNpcNmlBea05.png")</f>
        <v/>
      </c>
      <c r="C292" s="6">
        <v>1000.0</v>
      </c>
      <c r="D292" s="6">
        <v>250.0</v>
      </c>
      <c r="E292" s="5" t="s">
        <v>96</v>
      </c>
      <c r="F292" s="5" t="s">
        <v>69</v>
      </c>
      <c r="G292" s="6" t="s">
        <v>40</v>
      </c>
      <c r="H292" s="5" t="s">
        <v>6282</v>
      </c>
      <c r="I292" s="5" t="s">
        <v>6283</v>
      </c>
      <c r="J292" s="6" t="s">
        <v>42</v>
      </c>
      <c r="K292" s="5" t="s">
        <v>64</v>
      </c>
      <c r="L292" s="5" t="s">
        <v>7352</v>
      </c>
      <c r="M292" s="6">
        <v>10821.0</v>
      </c>
    </row>
    <row r="293" ht="56.25" customHeight="1">
      <c r="A293" s="5" t="s">
        <v>7354</v>
      </c>
      <c r="B293" s="6" t="str">
        <f>IMAGE("https://storage.googleapis.com/acdb/posters/PosterNpcNmlSqu04.png")</f>
        <v/>
      </c>
      <c r="C293" s="6">
        <v>1000.0</v>
      </c>
      <c r="D293" s="6">
        <v>250.0</v>
      </c>
      <c r="E293" s="5" t="s">
        <v>83</v>
      </c>
      <c r="F293" s="5" t="s">
        <v>69</v>
      </c>
      <c r="G293" s="6" t="s">
        <v>40</v>
      </c>
      <c r="H293" s="5" t="s">
        <v>6282</v>
      </c>
      <c r="I293" s="5" t="s">
        <v>6283</v>
      </c>
      <c r="J293" s="6" t="s">
        <v>42</v>
      </c>
      <c r="K293" s="5" t="s">
        <v>64</v>
      </c>
      <c r="L293" s="5" t="s">
        <v>7358</v>
      </c>
      <c r="M293" s="6">
        <v>10584.0</v>
      </c>
    </row>
    <row r="294" ht="56.25" customHeight="1">
      <c r="A294" s="5" t="s">
        <v>7359</v>
      </c>
      <c r="B294" s="6" t="str">
        <f>IMAGE("https://storage.googleapis.com/acdb/posters/PosterNpcNmlCow06.png")</f>
        <v/>
      </c>
      <c r="C294" s="6">
        <v>1000.0</v>
      </c>
      <c r="D294" s="6">
        <v>250.0</v>
      </c>
      <c r="E294" s="5" t="s">
        <v>39</v>
      </c>
      <c r="F294" s="5" t="s">
        <v>68</v>
      </c>
      <c r="G294" s="6" t="s">
        <v>40</v>
      </c>
      <c r="H294" s="5" t="s">
        <v>6282</v>
      </c>
      <c r="I294" s="5" t="s">
        <v>6283</v>
      </c>
      <c r="J294" s="6" t="s">
        <v>42</v>
      </c>
      <c r="K294" s="5" t="s">
        <v>64</v>
      </c>
      <c r="L294" s="5" t="s">
        <v>7361</v>
      </c>
      <c r="M294" s="6">
        <v>10642.0</v>
      </c>
    </row>
    <row r="295" ht="56.25" customHeight="1">
      <c r="A295" s="5" t="s">
        <v>7362</v>
      </c>
      <c r="B295" s="6" t="str">
        <f>IMAGE("https://storage.googleapis.com/acdb/posters/PosterNpcNmlRbt15.png")</f>
        <v/>
      </c>
      <c r="C295" s="6">
        <v>1000.0</v>
      </c>
      <c r="D295" s="6">
        <v>250.0</v>
      </c>
      <c r="E295" s="5" t="s">
        <v>52</v>
      </c>
      <c r="F295" s="5" t="s">
        <v>58</v>
      </c>
      <c r="G295" s="6" t="s">
        <v>40</v>
      </c>
      <c r="H295" s="5" t="s">
        <v>6282</v>
      </c>
      <c r="I295" s="5" t="s">
        <v>6283</v>
      </c>
      <c r="J295" s="6" t="s">
        <v>42</v>
      </c>
      <c r="K295" s="5" t="s">
        <v>64</v>
      </c>
      <c r="L295" s="5" t="s">
        <v>7365</v>
      </c>
      <c r="M295" s="6">
        <v>10595.0</v>
      </c>
    </row>
    <row r="296" ht="56.25" customHeight="1">
      <c r="A296" s="5" t="s">
        <v>7366</v>
      </c>
      <c r="B296" s="6" t="str">
        <f>IMAGE("https://storage.googleapis.com/acdb/posters/PosterNpcNmlOcp00.png")</f>
        <v/>
      </c>
      <c r="C296" s="6">
        <v>1000.0</v>
      </c>
      <c r="D296" s="6">
        <v>250.0</v>
      </c>
      <c r="E296" s="5" t="s">
        <v>39</v>
      </c>
      <c r="F296" s="5" t="s">
        <v>54</v>
      </c>
      <c r="G296" s="6" t="s">
        <v>40</v>
      </c>
      <c r="H296" s="5" t="s">
        <v>6282</v>
      </c>
      <c r="I296" s="5" t="s">
        <v>6283</v>
      </c>
      <c r="J296" s="6" t="s">
        <v>42</v>
      </c>
      <c r="K296" s="5" t="s">
        <v>64</v>
      </c>
      <c r="L296" s="5" t="s">
        <v>7368</v>
      </c>
      <c r="M296" s="6">
        <v>10662.0</v>
      </c>
    </row>
    <row r="297" ht="56.25" customHeight="1">
      <c r="A297" s="5" t="s">
        <v>7369</v>
      </c>
      <c r="B297" s="6" t="str">
        <f>IMAGE("https://storage.googleapis.com/acdb/posters/PosterNpcNmlAnt09.png")</f>
        <v/>
      </c>
      <c r="C297" s="6">
        <v>1000.0</v>
      </c>
      <c r="D297" s="6">
        <v>250.0</v>
      </c>
      <c r="E297" s="5" t="s">
        <v>95</v>
      </c>
      <c r="F297" s="5" t="s">
        <v>96</v>
      </c>
      <c r="G297" s="6" t="s">
        <v>40</v>
      </c>
      <c r="H297" s="5" t="s">
        <v>6282</v>
      </c>
      <c r="I297" s="5" t="s">
        <v>6283</v>
      </c>
      <c r="J297" s="6" t="s">
        <v>42</v>
      </c>
      <c r="K297" s="5" t="s">
        <v>64</v>
      </c>
      <c r="L297" s="5" t="s">
        <v>7372</v>
      </c>
      <c r="M297" s="6">
        <v>10801.0</v>
      </c>
    </row>
    <row r="298" ht="56.25" customHeight="1">
      <c r="A298" s="5" t="s">
        <v>7373</v>
      </c>
      <c r="B298" s="6" t="str">
        <f>IMAGE("https://storage.googleapis.com/acdb/posters/PosterNpcNmlCbr09.png")</f>
        <v/>
      </c>
      <c r="C298" s="6">
        <v>1000.0</v>
      </c>
      <c r="D298" s="6">
        <v>250.0</v>
      </c>
      <c r="E298" s="5" t="s">
        <v>57</v>
      </c>
      <c r="F298" s="5" t="s">
        <v>54</v>
      </c>
      <c r="G298" s="6" t="s">
        <v>40</v>
      </c>
      <c r="H298" s="5" t="s">
        <v>6282</v>
      </c>
      <c r="I298" s="5" t="s">
        <v>6283</v>
      </c>
      <c r="J298" s="6" t="s">
        <v>42</v>
      </c>
      <c r="K298" s="5" t="s">
        <v>64</v>
      </c>
      <c r="L298" s="5" t="s">
        <v>7376</v>
      </c>
      <c r="M298" s="6">
        <v>10646.0</v>
      </c>
    </row>
    <row r="299" ht="56.25" customHeight="1">
      <c r="A299" s="5" t="s">
        <v>7377</v>
      </c>
      <c r="B299" s="6" t="str">
        <f>IMAGE("https://storage.googleapis.com/acdb/posters/PosterNpcNmlCat03.png")</f>
        <v/>
      </c>
      <c r="C299" s="6">
        <v>1000.0</v>
      </c>
      <c r="D299" s="6">
        <v>250.0</v>
      </c>
      <c r="E299" s="5" t="s">
        <v>96</v>
      </c>
      <c r="F299" s="5" t="s">
        <v>39</v>
      </c>
      <c r="G299" s="6" t="s">
        <v>40</v>
      </c>
      <c r="H299" s="5" t="s">
        <v>6282</v>
      </c>
      <c r="I299" s="5" t="s">
        <v>6283</v>
      </c>
      <c r="J299" s="6" t="s">
        <v>42</v>
      </c>
      <c r="K299" s="5" t="s">
        <v>64</v>
      </c>
      <c r="L299" s="5" t="s">
        <v>7379</v>
      </c>
      <c r="M299" s="6">
        <v>10774.0</v>
      </c>
    </row>
    <row r="300" ht="56.25" customHeight="1">
      <c r="A300" s="5" t="s">
        <v>7380</v>
      </c>
      <c r="B300" s="6" t="str">
        <f>IMAGE("https://storage.googleapis.com/acdb/posters/PosterNpcNmlElp00.png")</f>
        <v/>
      </c>
      <c r="C300" s="6">
        <v>1000.0</v>
      </c>
      <c r="D300" s="6">
        <v>250.0</v>
      </c>
      <c r="E300" s="5" t="s">
        <v>38</v>
      </c>
      <c r="F300" s="5" t="s">
        <v>52</v>
      </c>
      <c r="G300" s="6" t="s">
        <v>40</v>
      </c>
      <c r="H300" s="5" t="s">
        <v>6282</v>
      </c>
      <c r="I300" s="5" t="s">
        <v>6283</v>
      </c>
      <c r="J300" s="6" t="s">
        <v>42</v>
      </c>
      <c r="K300" s="5" t="s">
        <v>64</v>
      </c>
      <c r="L300" s="5" t="s">
        <v>7383</v>
      </c>
      <c r="M300" s="6">
        <v>10667.0</v>
      </c>
    </row>
    <row r="301" ht="56.25" customHeight="1">
      <c r="A301" s="5" t="s">
        <v>7385</v>
      </c>
      <c r="B301" s="6" t="str">
        <f>IMAGE("https://storage.googleapis.com/acdb/posters/PosterNpcNmlKal05.png")</f>
        <v/>
      </c>
      <c r="C301" s="6">
        <v>1000.0</v>
      </c>
      <c r="D301" s="6">
        <v>250.0</v>
      </c>
      <c r="E301" s="5" t="s">
        <v>39</v>
      </c>
      <c r="F301" s="5" t="s">
        <v>114</v>
      </c>
      <c r="G301" s="6" t="s">
        <v>40</v>
      </c>
      <c r="H301" s="5" t="s">
        <v>6282</v>
      </c>
      <c r="I301" s="5" t="s">
        <v>6283</v>
      </c>
      <c r="J301" s="6" t="s">
        <v>42</v>
      </c>
      <c r="K301" s="5" t="s">
        <v>64</v>
      </c>
      <c r="L301" s="5" t="s">
        <v>7386</v>
      </c>
      <c r="M301" s="6">
        <v>10349.0</v>
      </c>
    </row>
    <row r="302" ht="56.25" customHeight="1">
      <c r="A302" s="5" t="s">
        <v>7387</v>
      </c>
      <c r="B302" s="6" t="str">
        <f>IMAGE("https://storage.googleapis.com/acdb/posters/PosterNpcNmlPig16.png")</f>
        <v/>
      </c>
      <c r="C302" s="6">
        <v>1000.0</v>
      </c>
      <c r="D302" s="6">
        <v>250.0</v>
      </c>
      <c r="E302" s="5" t="s">
        <v>96</v>
      </c>
      <c r="F302" s="5" t="s">
        <v>38</v>
      </c>
      <c r="G302" s="6" t="s">
        <v>40</v>
      </c>
      <c r="H302" s="5" t="s">
        <v>6282</v>
      </c>
      <c r="I302" s="5" t="s">
        <v>6283</v>
      </c>
      <c r="J302" s="6" t="s">
        <v>42</v>
      </c>
      <c r="K302" s="5" t="s">
        <v>64</v>
      </c>
      <c r="L302" s="5" t="s">
        <v>7390</v>
      </c>
      <c r="M302" s="6">
        <v>10314.0</v>
      </c>
    </row>
    <row r="303" ht="56.25" customHeight="1">
      <c r="A303" s="5" t="s">
        <v>7391</v>
      </c>
      <c r="B303" s="6" t="str">
        <f>IMAGE("https://storage.googleapis.com/acdb/posters/PosterNpcNmlAnt02.png")</f>
        <v/>
      </c>
      <c r="C303" s="6">
        <v>1000.0</v>
      </c>
      <c r="D303" s="6">
        <v>250.0</v>
      </c>
      <c r="E303" s="5" t="s">
        <v>69</v>
      </c>
      <c r="F303" s="5" t="s">
        <v>114</v>
      </c>
      <c r="G303" s="6" t="s">
        <v>40</v>
      </c>
      <c r="H303" s="5" t="s">
        <v>6282</v>
      </c>
      <c r="I303" s="5" t="s">
        <v>6283</v>
      </c>
      <c r="J303" s="6" t="s">
        <v>42</v>
      </c>
      <c r="K303" s="5" t="s">
        <v>64</v>
      </c>
      <c r="L303" s="5" t="s">
        <v>7393</v>
      </c>
      <c r="M303" s="6">
        <v>10420.0</v>
      </c>
    </row>
    <row r="304" ht="56.25" customHeight="1">
      <c r="A304" s="5" t="s">
        <v>7394</v>
      </c>
      <c r="B304" s="6" t="str">
        <f>IMAGE("https://storage.googleapis.com/acdb/posters/PosterNpcNmlElp05.png")</f>
        <v/>
      </c>
      <c r="C304" s="6">
        <v>1000.0</v>
      </c>
      <c r="D304" s="6">
        <v>250.0</v>
      </c>
      <c r="E304" s="5" t="s">
        <v>57</v>
      </c>
      <c r="F304" s="5" t="s">
        <v>83</v>
      </c>
      <c r="G304" s="6" t="s">
        <v>40</v>
      </c>
      <c r="H304" s="5" t="s">
        <v>6282</v>
      </c>
      <c r="I304" s="5" t="s">
        <v>6283</v>
      </c>
      <c r="J304" s="6" t="s">
        <v>42</v>
      </c>
      <c r="K304" s="5" t="s">
        <v>64</v>
      </c>
      <c r="L304" s="5" t="s">
        <v>7397</v>
      </c>
      <c r="M304" s="6">
        <v>10607.0</v>
      </c>
    </row>
    <row r="305" ht="56.25" customHeight="1">
      <c r="A305" s="5" t="s">
        <v>7398</v>
      </c>
      <c r="B305" s="6" t="str">
        <f>IMAGE("https://storage.googleapis.com/acdb/posters/PosterNpcNmlHrs12.png")</f>
        <v/>
      </c>
      <c r="C305" s="6">
        <v>1000.0</v>
      </c>
      <c r="D305" s="6">
        <v>250.0</v>
      </c>
      <c r="E305" s="5" t="s">
        <v>52</v>
      </c>
      <c r="F305" s="5" t="s">
        <v>83</v>
      </c>
      <c r="G305" s="6" t="s">
        <v>40</v>
      </c>
      <c r="H305" s="5" t="s">
        <v>6282</v>
      </c>
      <c r="I305" s="5" t="s">
        <v>6283</v>
      </c>
      <c r="J305" s="6" t="s">
        <v>42</v>
      </c>
      <c r="K305" s="5" t="s">
        <v>64</v>
      </c>
      <c r="L305" s="5" t="s">
        <v>7399</v>
      </c>
      <c r="M305" s="6">
        <v>10564.0</v>
      </c>
    </row>
    <row r="306" ht="56.25" customHeight="1">
      <c r="A306" s="5" t="s">
        <v>7401</v>
      </c>
      <c r="B306" s="6" t="str">
        <f>IMAGE("https://storage.googleapis.com/acdb/posters/PosterNpcSpSeo.png")</f>
        <v/>
      </c>
      <c r="C306" s="6">
        <v>1000.0</v>
      </c>
      <c r="D306" s="6">
        <v>250.0</v>
      </c>
      <c r="E306" s="5" t="s">
        <v>142</v>
      </c>
      <c r="F306" s="5" t="s">
        <v>38</v>
      </c>
      <c r="G306" s="6" t="s">
        <v>40</v>
      </c>
      <c r="H306" s="5" t="s">
        <v>6282</v>
      </c>
      <c r="I306" s="5" t="s">
        <v>6283</v>
      </c>
      <c r="J306" s="6" t="s">
        <v>42</v>
      </c>
      <c r="K306" s="5" t="s">
        <v>64</v>
      </c>
      <c r="L306" s="5" t="s">
        <v>7403</v>
      </c>
      <c r="M306" s="6">
        <v>10785.0</v>
      </c>
    </row>
    <row r="307" ht="56.25" customHeight="1">
      <c r="A307" s="5" t="s">
        <v>7404</v>
      </c>
      <c r="B307" s="6" t="str">
        <f>IMAGE("https://storage.googleapis.com/acdb/posters/PosterNpcNmlGoa08.png")</f>
        <v/>
      </c>
      <c r="C307" s="6">
        <v>1000.0</v>
      </c>
      <c r="D307" s="6">
        <v>250.0</v>
      </c>
      <c r="E307" s="5" t="s">
        <v>83</v>
      </c>
      <c r="F307" s="5" t="s">
        <v>52</v>
      </c>
      <c r="G307" s="6" t="s">
        <v>40</v>
      </c>
      <c r="H307" s="5" t="s">
        <v>6282</v>
      </c>
      <c r="I307" s="5" t="s">
        <v>6283</v>
      </c>
      <c r="J307" s="6" t="s">
        <v>42</v>
      </c>
      <c r="K307" s="5" t="s">
        <v>64</v>
      </c>
      <c r="L307" s="5" t="s">
        <v>7407</v>
      </c>
      <c r="M307" s="6">
        <v>10537.0</v>
      </c>
    </row>
    <row r="308" ht="56.25" customHeight="1">
      <c r="A308" s="5" t="s">
        <v>7409</v>
      </c>
      <c r="B308" s="6" t="str">
        <f>IMAGE("https://storage.googleapis.com/acdb/posters/PosterNpcNmlDuk02.png")</f>
        <v/>
      </c>
      <c r="C308" s="6">
        <v>1000.0</v>
      </c>
      <c r="D308" s="6">
        <v>250.0</v>
      </c>
      <c r="E308" s="5" t="s">
        <v>39</v>
      </c>
      <c r="F308" s="5" t="s">
        <v>83</v>
      </c>
      <c r="G308" s="6" t="s">
        <v>40</v>
      </c>
      <c r="H308" s="5" t="s">
        <v>6282</v>
      </c>
      <c r="I308" s="5" t="s">
        <v>6283</v>
      </c>
      <c r="J308" s="6" t="s">
        <v>42</v>
      </c>
      <c r="K308" s="5" t="s">
        <v>64</v>
      </c>
      <c r="L308" s="5" t="s">
        <v>7410</v>
      </c>
      <c r="M308" s="6">
        <v>10361.0</v>
      </c>
    </row>
    <row r="309" ht="56.25" customHeight="1">
      <c r="A309" s="5" t="s">
        <v>7411</v>
      </c>
      <c r="B309" s="6" t="str">
        <f>IMAGE("https://storage.googleapis.com/acdb/posters/PosterNpcNmlCow00.png")</f>
        <v/>
      </c>
      <c r="C309" s="6">
        <v>1000.0</v>
      </c>
      <c r="D309" s="6">
        <v>250.0</v>
      </c>
      <c r="E309" s="5" t="s">
        <v>38</v>
      </c>
      <c r="F309" s="5" t="s">
        <v>69</v>
      </c>
      <c r="G309" s="6" t="s">
        <v>40</v>
      </c>
      <c r="H309" s="5" t="s">
        <v>6282</v>
      </c>
      <c r="I309" s="5" t="s">
        <v>6283</v>
      </c>
      <c r="J309" s="6" t="s">
        <v>42</v>
      </c>
      <c r="K309" s="5" t="s">
        <v>64</v>
      </c>
      <c r="L309" s="5" t="s">
        <v>7414</v>
      </c>
      <c r="M309" s="6">
        <v>10656.0</v>
      </c>
    </row>
    <row r="310" ht="56.25" customHeight="1">
      <c r="A310" s="5" t="s">
        <v>7415</v>
      </c>
      <c r="B310" s="6" t="str">
        <f>IMAGE("https://storage.googleapis.com/acdb/posters/PosterNpcNmlBea10.png")</f>
        <v/>
      </c>
      <c r="C310" s="6">
        <v>1000.0</v>
      </c>
      <c r="D310" s="6">
        <v>250.0</v>
      </c>
      <c r="E310" s="5" t="s">
        <v>83</v>
      </c>
      <c r="F310" s="5" t="s">
        <v>69</v>
      </c>
      <c r="G310" s="6" t="s">
        <v>40</v>
      </c>
      <c r="H310" s="5" t="s">
        <v>6282</v>
      </c>
      <c r="I310" s="5" t="s">
        <v>6283</v>
      </c>
      <c r="J310" s="6" t="s">
        <v>42</v>
      </c>
      <c r="K310" s="5" t="s">
        <v>64</v>
      </c>
      <c r="L310" s="5" t="s">
        <v>7416</v>
      </c>
      <c r="M310" s="6">
        <v>10783.0</v>
      </c>
    </row>
    <row r="311" ht="56.25" customHeight="1">
      <c r="A311" s="5" t="s">
        <v>7417</v>
      </c>
      <c r="B311" s="6" t="str">
        <f>IMAGE("https://storage.googleapis.com/acdb/posters/PosterNpcSpPck.png")</f>
        <v/>
      </c>
      <c r="C311" s="6">
        <v>1000.0</v>
      </c>
      <c r="D311" s="6">
        <v>250.0</v>
      </c>
      <c r="E311" s="5" t="s">
        <v>69</v>
      </c>
      <c r="F311" s="5" t="s">
        <v>83</v>
      </c>
      <c r="G311" s="6" t="s">
        <v>40</v>
      </c>
      <c r="H311" s="5" t="s">
        <v>6282</v>
      </c>
      <c r="I311" s="5" t="s">
        <v>6283</v>
      </c>
      <c r="J311" s="6" t="s">
        <v>42</v>
      </c>
      <c r="K311" s="5" t="s">
        <v>64</v>
      </c>
      <c r="L311" s="5" t="s">
        <v>7420</v>
      </c>
      <c r="M311" s="6">
        <v>10520.0</v>
      </c>
    </row>
    <row r="312" ht="56.25" customHeight="1">
      <c r="A312" s="5" t="s">
        <v>7421</v>
      </c>
      <c r="B312" s="6" t="str">
        <f>IMAGE("https://storage.googleapis.com/acdb/posters/PosterNpcNmlHrs08.png")</f>
        <v/>
      </c>
      <c r="C312" s="6">
        <v>1000.0</v>
      </c>
      <c r="D312" s="6">
        <v>250.0</v>
      </c>
      <c r="E312" s="5" t="s">
        <v>69</v>
      </c>
      <c r="F312" s="5" t="s">
        <v>114</v>
      </c>
      <c r="G312" s="6" t="s">
        <v>40</v>
      </c>
      <c r="H312" s="5" t="s">
        <v>6282</v>
      </c>
      <c r="I312" s="5" t="s">
        <v>6283</v>
      </c>
      <c r="J312" s="6" t="s">
        <v>42</v>
      </c>
      <c r="K312" s="5" t="s">
        <v>64</v>
      </c>
      <c r="L312" s="5" t="s">
        <v>7424</v>
      </c>
      <c r="M312" s="6">
        <v>10531.0</v>
      </c>
    </row>
    <row r="313" ht="56.25" customHeight="1">
      <c r="A313" s="5" t="s">
        <v>7425</v>
      </c>
      <c r="B313" s="6" t="str">
        <f>IMAGE("https://storage.googleapis.com/acdb/posters/PosterNpcNmlSqu00.png")</f>
        <v/>
      </c>
      <c r="C313" s="6">
        <v>1000.0</v>
      </c>
      <c r="D313" s="6">
        <v>250.0</v>
      </c>
      <c r="E313" s="5" t="s">
        <v>39</v>
      </c>
      <c r="F313" s="5" t="s">
        <v>106</v>
      </c>
      <c r="G313" s="6" t="s">
        <v>40</v>
      </c>
      <c r="H313" s="5" t="s">
        <v>6282</v>
      </c>
      <c r="I313" s="5" t="s">
        <v>6283</v>
      </c>
      <c r="J313" s="6" t="s">
        <v>42</v>
      </c>
      <c r="K313" s="5" t="s">
        <v>64</v>
      </c>
      <c r="L313" s="5" t="s">
        <v>7426</v>
      </c>
      <c r="M313" s="6">
        <v>10325.0</v>
      </c>
    </row>
    <row r="314" ht="56.25" customHeight="1">
      <c r="A314" s="5" t="s">
        <v>7427</v>
      </c>
      <c r="B314" s="6" t="str">
        <f>IMAGE("https://storage.googleapis.com/acdb/posters/PosterNpcNmlSqu03.png")</f>
        <v/>
      </c>
      <c r="C314" s="6">
        <v>1000.0</v>
      </c>
      <c r="D314" s="6">
        <v>250.0</v>
      </c>
      <c r="E314" s="5" t="s">
        <v>39</v>
      </c>
      <c r="F314" s="5" t="s">
        <v>54</v>
      </c>
      <c r="G314" s="6" t="s">
        <v>40</v>
      </c>
      <c r="H314" s="5" t="s">
        <v>6282</v>
      </c>
      <c r="I314" s="5" t="s">
        <v>6283</v>
      </c>
      <c r="J314" s="6" t="s">
        <v>42</v>
      </c>
      <c r="K314" s="5" t="s">
        <v>64</v>
      </c>
      <c r="L314" s="5" t="s">
        <v>7430</v>
      </c>
      <c r="M314" s="6">
        <v>10409.0</v>
      </c>
    </row>
    <row r="315" ht="56.25" customHeight="1">
      <c r="A315" s="5" t="s">
        <v>7431</v>
      </c>
      <c r="B315" s="6" t="str">
        <f>IMAGE("https://storage.googleapis.com/acdb/posters/PosterNpcNmlBrd17.png")</f>
        <v/>
      </c>
      <c r="C315" s="6">
        <v>1000.0</v>
      </c>
      <c r="D315" s="6">
        <v>250.0</v>
      </c>
      <c r="E315" s="5" t="s">
        <v>54</v>
      </c>
      <c r="F315" s="5" t="s">
        <v>142</v>
      </c>
      <c r="G315" s="6" t="s">
        <v>40</v>
      </c>
      <c r="H315" s="5" t="s">
        <v>6282</v>
      </c>
      <c r="I315" s="5" t="s">
        <v>6283</v>
      </c>
      <c r="J315" s="6" t="s">
        <v>42</v>
      </c>
      <c r="K315" s="5" t="s">
        <v>64</v>
      </c>
      <c r="L315" s="5" t="s">
        <v>7433</v>
      </c>
      <c r="M315" s="6">
        <v>10372.0</v>
      </c>
    </row>
    <row r="316" ht="56.25" customHeight="1">
      <c r="A316" s="5" t="s">
        <v>7434</v>
      </c>
      <c r="B316" s="6" t="str">
        <f>IMAGE("https://storage.googleapis.com/acdb/posters/PosterNpcNmlGor01.png")</f>
        <v/>
      </c>
      <c r="C316" s="6">
        <v>1000.0</v>
      </c>
      <c r="D316" s="6">
        <v>250.0</v>
      </c>
      <c r="E316" s="5" t="s">
        <v>38</v>
      </c>
      <c r="F316" s="5" t="s">
        <v>52</v>
      </c>
      <c r="G316" s="6" t="s">
        <v>40</v>
      </c>
      <c r="H316" s="5" t="s">
        <v>6282</v>
      </c>
      <c r="I316" s="5" t="s">
        <v>6283</v>
      </c>
      <c r="J316" s="6" t="s">
        <v>42</v>
      </c>
      <c r="K316" s="5" t="s">
        <v>64</v>
      </c>
      <c r="L316" s="5" t="s">
        <v>7435</v>
      </c>
      <c r="M316" s="6">
        <v>10552.0</v>
      </c>
    </row>
    <row r="317" ht="56.25" customHeight="1">
      <c r="A317" s="5" t="s">
        <v>7436</v>
      </c>
      <c r="B317" s="6" t="str">
        <f>IMAGE("https://storage.googleapis.com/acdb/posters/PosterNpcNmlPig11.png")</f>
        <v/>
      </c>
      <c r="C317" s="6">
        <v>1000.0</v>
      </c>
      <c r="D317" s="6">
        <v>250.0</v>
      </c>
      <c r="E317" s="5" t="s">
        <v>38</v>
      </c>
      <c r="F317" s="5" t="s">
        <v>114</v>
      </c>
      <c r="G317" s="6" t="s">
        <v>40</v>
      </c>
      <c r="H317" s="5" t="s">
        <v>6282</v>
      </c>
      <c r="I317" s="5" t="s">
        <v>6283</v>
      </c>
      <c r="J317" s="6" t="s">
        <v>42</v>
      </c>
      <c r="K317" s="5" t="s">
        <v>64</v>
      </c>
      <c r="L317" s="5" t="s">
        <v>7439</v>
      </c>
      <c r="M317" s="6">
        <v>10571.0</v>
      </c>
    </row>
    <row r="318" ht="56.25" customHeight="1">
      <c r="A318" s="5" t="s">
        <v>7440</v>
      </c>
      <c r="B318" s="6" t="str">
        <f>IMAGE("https://storage.googleapis.com/acdb/posters/PosterNpcNmlCbr14.png")</f>
        <v/>
      </c>
      <c r="C318" s="6">
        <v>1000.0</v>
      </c>
      <c r="D318" s="6">
        <v>250.0</v>
      </c>
      <c r="E318" s="5" t="s">
        <v>57</v>
      </c>
      <c r="F318" s="5" t="s">
        <v>52</v>
      </c>
      <c r="G318" s="6" t="s">
        <v>40</v>
      </c>
      <c r="H318" s="5" t="s">
        <v>6282</v>
      </c>
      <c r="I318" s="5" t="s">
        <v>6283</v>
      </c>
      <c r="J318" s="6" t="s">
        <v>42</v>
      </c>
      <c r="K318" s="5" t="s">
        <v>64</v>
      </c>
      <c r="L318" s="5" t="s">
        <v>7441</v>
      </c>
      <c r="M318" s="6">
        <v>10390.0</v>
      </c>
    </row>
    <row r="319" ht="56.25" customHeight="1">
      <c r="A319" s="5" t="s">
        <v>7442</v>
      </c>
      <c r="B319" s="6" t="str">
        <f>IMAGE("https://storage.googleapis.com/acdb/posters/PosterNpcSpPlk.png")</f>
        <v/>
      </c>
      <c r="C319" s="6">
        <v>1000.0</v>
      </c>
      <c r="D319" s="6">
        <v>250.0</v>
      </c>
      <c r="E319" s="5" t="s">
        <v>69</v>
      </c>
      <c r="F319" s="5" t="s">
        <v>68</v>
      </c>
      <c r="G319" s="6" t="s">
        <v>40</v>
      </c>
      <c r="H319" s="5" t="s">
        <v>6282</v>
      </c>
      <c r="I319" s="5" t="s">
        <v>6283</v>
      </c>
      <c r="J319" s="6" t="s">
        <v>42</v>
      </c>
      <c r="K319" s="5" t="s">
        <v>64</v>
      </c>
      <c r="L319" s="5" t="s">
        <v>7444</v>
      </c>
      <c r="M319" s="6">
        <v>10429.0</v>
      </c>
    </row>
    <row r="320" ht="56.25" customHeight="1">
      <c r="A320" s="5" t="s">
        <v>7446</v>
      </c>
      <c r="B320" s="6" t="str">
        <f>IMAGE("https://storage.googleapis.com/acdb/posters/PosterNpcNmlMus17.png")</f>
        <v/>
      </c>
      <c r="C320" s="6">
        <v>1000.0</v>
      </c>
      <c r="D320" s="6">
        <v>250.0</v>
      </c>
      <c r="E320" s="5" t="s">
        <v>96</v>
      </c>
      <c r="F320" s="5" t="s">
        <v>52</v>
      </c>
      <c r="G320" s="6" t="s">
        <v>40</v>
      </c>
      <c r="H320" s="5" t="s">
        <v>6282</v>
      </c>
      <c r="I320" s="5" t="s">
        <v>6283</v>
      </c>
      <c r="J320" s="6" t="s">
        <v>42</v>
      </c>
      <c r="K320" s="5" t="s">
        <v>64</v>
      </c>
      <c r="L320" s="5" t="s">
        <v>7448</v>
      </c>
      <c r="M320" s="6">
        <v>10533.0</v>
      </c>
    </row>
    <row r="321" ht="56.25" customHeight="1">
      <c r="A321" s="5" t="s">
        <v>7449</v>
      </c>
      <c r="B321" s="6" t="str">
        <f>IMAGE("https://storage.googleapis.com/acdb/posters/PosterNpcSpPlo.png")</f>
        <v/>
      </c>
      <c r="C321" s="6">
        <v>1000.0</v>
      </c>
      <c r="D321" s="6">
        <v>250.0</v>
      </c>
      <c r="E321" s="5" t="s">
        <v>106</v>
      </c>
      <c r="F321" s="5" t="s">
        <v>39</v>
      </c>
      <c r="G321" s="6" t="s">
        <v>40</v>
      </c>
      <c r="H321" s="5" t="s">
        <v>6282</v>
      </c>
      <c r="I321" s="5" t="s">
        <v>6283</v>
      </c>
      <c r="J321" s="6" t="s">
        <v>42</v>
      </c>
      <c r="K321" s="5" t="s">
        <v>64</v>
      </c>
      <c r="L321" s="5" t="s">
        <v>7451</v>
      </c>
      <c r="M321" s="6">
        <v>10780.0</v>
      </c>
    </row>
    <row r="322" ht="56.25" customHeight="1">
      <c r="A322" s="5" t="s">
        <v>7452</v>
      </c>
      <c r="B322" s="6" t="str">
        <f>IMAGE("https://storage.googleapis.com/acdb/posters/PosterNpcNmlOst07.png")</f>
        <v/>
      </c>
      <c r="C322" s="6">
        <v>1000.0</v>
      </c>
      <c r="D322" s="6">
        <v>250.0</v>
      </c>
      <c r="E322" s="5" t="s">
        <v>38</v>
      </c>
      <c r="F322" s="5" t="s">
        <v>96</v>
      </c>
      <c r="G322" s="6" t="s">
        <v>40</v>
      </c>
      <c r="H322" s="5" t="s">
        <v>6282</v>
      </c>
      <c r="I322" s="5" t="s">
        <v>6283</v>
      </c>
      <c r="J322" s="6" t="s">
        <v>42</v>
      </c>
      <c r="K322" s="5" t="s">
        <v>64</v>
      </c>
      <c r="L322" s="5" t="s">
        <v>7455</v>
      </c>
      <c r="M322" s="6">
        <v>10673.0</v>
      </c>
    </row>
    <row r="323" ht="56.25" customHeight="1">
      <c r="A323" s="5" t="s">
        <v>7456</v>
      </c>
      <c r="B323" s="6" t="str">
        <f>IMAGE("https://storage.googleapis.com/acdb/posters/PosterNpcSpFsl.png")</f>
        <v/>
      </c>
      <c r="C323" s="6">
        <v>1000.0</v>
      </c>
      <c r="D323" s="6">
        <v>250.0</v>
      </c>
      <c r="E323" s="5" t="s">
        <v>52</v>
      </c>
      <c r="F323" s="5" t="s">
        <v>114</v>
      </c>
      <c r="G323" s="6" t="s">
        <v>40</v>
      </c>
      <c r="H323" s="5" t="s">
        <v>6282</v>
      </c>
      <c r="I323" s="5" t="s">
        <v>6283</v>
      </c>
      <c r="J323" s="6" t="s">
        <v>42</v>
      </c>
      <c r="K323" s="5" t="s">
        <v>64</v>
      </c>
      <c r="L323" s="5" t="s">
        <v>7458</v>
      </c>
      <c r="M323" s="6">
        <v>10796.0</v>
      </c>
    </row>
    <row r="324" ht="56.25" customHeight="1">
      <c r="A324" s="5" t="s">
        <v>7459</v>
      </c>
      <c r="B324" s="6" t="str">
        <f>IMAGE("https://storage.googleapis.com/acdb/posters/PosterNpcNmlOst10.png")</f>
        <v/>
      </c>
      <c r="C324" s="6">
        <v>1000.0</v>
      </c>
      <c r="D324" s="6">
        <v>250.0</v>
      </c>
      <c r="E324" s="5" t="s">
        <v>106</v>
      </c>
      <c r="F324" s="5" t="s">
        <v>52</v>
      </c>
      <c r="G324" s="6" t="s">
        <v>40</v>
      </c>
      <c r="H324" s="5" t="s">
        <v>6282</v>
      </c>
      <c r="I324" s="5" t="s">
        <v>6283</v>
      </c>
      <c r="J324" s="6" t="s">
        <v>42</v>
      </c>
      <c r="K324" s="5" t="s">
        <v>64</v>
      </c>
      <c r="L324" s="5" t="s">
        <v>7461</v>
      </c>
      <c r="M324" s="6">
        <v>10365.0</v>
      </c>
    </row>
    <row r="325" ht="56.25" customHeight="1">
      <c r="A325" s="5" t="s">
        <v>7462</v>
      </c>
      <c r="B325" s="6" t="str">
        <f>IMAGE("https://storage.googleapis.com/acdb/posters/PosterNpcSpPlm.png")</f>
        <v/>
      </c>
      <c r="C325" s="6">
        <v>1000.0</v>
      </c>
      <c r="D325" s="6">
        <v>250.0</v>
      </c>
      <c r="E325" s="5" t="s">
        <v>83</v>
      </c>
      <c r="F325" s="5" t="s">
        <v>38</v>
      </c>
      <c r="G325" s="6" t="s">
        <v>40</v>
      </c>
      <c r="H325" s="5" t="s">
        <v>6282</v>
      </c>
      <c r="I325" s="5" t="s">
        <v>6283</v>
      </c>
      <c r="J325" s="6" t="s">
        <v>42</v>
      </c>
      <c r="K325" s="5" t="s">
        <v>64</v>
      </c>
      <c r="L325" s="5" t="s">
        <v>7464</v>
      </c>
      <c r="M325" s="6">
        <v>10431.0</v>
      </c>
    </row>
    <row r="326" ht="56.25" customHeight="1">
      <c r="A326" s="5" t="s">
        <v>7465</v>
      </c>
      <c r="B326" s="6" t="str">
        <f>IMAGE("https://storage.googleapis.com/acdb/posters/PosterNpcNmlPbr02.png")</f>
        <v/>
      </c>
      <c r="C326" s="6">
        <v>1000.0</v>
      </c>
      <c r="D326" s="6">
        <v>250.0</v>
      </c>
      <c r="E326" s="5" t="s">
        <v>58</v>
      </c>
      <c r="F326" s="5" t="s">
        <v>38</v>
      </c>
      <c r="G326" s="6" t="s">
        <v>40</v>
      </c>
      <c r="H326" s="5" t="s">
        <v>6282</v>
      </c>
      <c r="I326" s="5" t="s">
        <v>6283</v>
      </c>
      <c r="J326" s="6" t="s">
        <v>42</v>
      </c>
      <c r="K326" s="5" t="s">
        <v>64</v>
      </c>
      <c r="L326" s="5" t="s">
        <v>7467</v>
      </c>
      <c r="M326" s="6">
        <v>10542.0</v>
      </c>
    </row>
    <row r="327" ht="56.25" customHeight="1">
      <c r="A327" s="5" t="s">
        <v>7468</v>
      </c>
      <c r="B327" s="6" t="str">
        <f>IMAGE("https://storage.googleapis.com/acdb/posters/PosterNpcNmlShp13.png")</f>
        <v/>
      </c>
      <c r="C327" s="6">
        <v>1000.0</v>
      </c>
      <c r="D327" s="6">
        <v>250.0</v>
      </c>
      <c r="E327" s="5" t="s">
        <v>69</v>
      </c>
      <c r="F327" s="5" t="s">
        <v>52</v>
      </c>
      <c r="G327" s="6" t="s">
        <v>40</v>
      </c>
      <c r="H327" s="5" t="s">
        <v>6282</v>
      </c>
      <c r="I327" s="5" t="s">
        <v>6283</v>
      </c>
      <c r="J327" s="6" t="s">
        <v>42</v>
      </c>
      <c r="K327" s="5" t="s">
        <v>64</v>
      </c>
      <c r="L327" s="5" t="s">
        <v>7470</v>
      </c>
      <c r="M327" s="6">
        <v>10562.0</v>
      </c>
    </row>
    <row r="328" ht="56.25" customHeight="1">
      <c r="A328" s="5" t="s">
        <v>7471</v>
      </c>
      <c r="B328" s="6" t="str">
        <f>IMAGE("https://storage.googleapis.com/acdb/posters/PosterNpcNmlBea01.png")</f>
        <v/>
      </c>
      <c r="C328" s="6">
        <v>1000.0</v>
      </c>
      <c r="D328" s="6">
        <v>250.0</v>
      </c>
      <c r="E328" s="5" t="s">
        <v>57</v>
      </c>
      <c r="F328" s="5" t="s">
        <v>96</v>
      </c>
      <c r="G328" s="6" t="s">
        <v>40</v>
      </c>
      <c r="H328" s="5" t="s">
        <v>6282</v>
      </c>
      <c r="I328" s="5" t="s">
        <v>6283</v>
      </c>
      <c r="J328" s="6" t="s">
        <v>42</v>
      </c>
      <c r="K328" s="5" t="s">
        <v>64</v>
      </c>
      <c r="L328" s="5" t="s">
        <v>7474</v>
      </c>
      <c r="M328" s="6">
        <v>10798.0</v>
      </c>
    </row>
    <row r="329" ht="56.25" customHeight="1">
      <c r="A329" s="5" t="s">
        <v>7476</v>
      </c>
      <c r="B329" s="6" t="str">
        <f>IMAGE("https://storage.googleapis.com/acdb/posters/PosterNpcNmlBrd05.png")</f>
        <v/>
      </c>
      <c r="C329" s="6">
        <v>1000.0</v>
      </c>
      <c r="D329" s="6">
        <v>250.0</v>
      </c>
      <c r="E329" s="5" t="s">
        <v>38</v>
      </c>
      <c r="F329" s="5" t="s">
        <v>52</v>
      </c>
      <c r="G329" s="6" t="s">
        <v>40</v>
      </c>
      <c r="H329" s="5" t="s">
        <v>6282</v>
      </c>
      <c r="I329" s="5" t="s">
        <v>6283</v>
      </c>
      <c r="J329" s="6" t="s">
        <v>42</v>
      </c>
      <c r="K329" s="5" t="s">
        <v>64</v>
      </c>
      <c r="L329" s="5" t="s">
        <v>7478</v>
      </c>
      <c r="M329" s="6">
        <v>10810.0</v>
      </c>
    </row>
    <row r="330" ht="56.25" customHeight="1">
      <c r="A330" s="5" t="s">
        <v>7479</v>
      </c>
      <c r="B330" s="6" t="str">
        <f>IMAGE("https://storage.googleapis.com/acdb/posters/PosterNpcNmlRbt06.png")</f>
        <v/>
      </c>
      <c r="C330" s="6">
        <v>1000.0</v>
      </c>
      <c r="D330" s="6">
        <v>250.0</v>
      </c>
      <c r="E330" s="5" t="s">
        <v>39</v>
      </c>
      <c r="F330" s="5" t="s">
        <v>83</v>
      </c>
      <c r="G330" s="6" t="s">
        <v>40</v>
      </c>
      <c r="H330" s="5" t="s">
        <v>6282</v>
      </c>
      <c r="I330" s="5" t="s">
        <v>6283</v>
      </c>
      <c r="J330" s="6" t="s">
        <v>42</v>
      </c>
      <c r="K330" s="5" t="s">
        <v>64</v>
      </c>
      <c r="L330" s="5" t="s">
        <v>7482</v>
      </c>
      <c r="M330" s="6">
        <v>10484.0</v>
      </c>
    </row>
    <row r="331" ht="56.25" customHeight="1">
      <c r="A331" s="5" t="s">
        <v>7483</v>
      </c>
      <c r="B331" s="6" t="str">
        <f>IMAGE("https://storage.googleapis.com/acdb/posters/PosterNpcNmlChn10.png")</f>
        <v/>
      </c>
      <c r="C331" s="6">
        <v>1000.0</v>
      </c>
      <c r="D331" s="6">
        <v>250.0</v>
      </c>
      <c r="E331" s="5" t="s">
        <v>57</v>
      </c>
      <c r="F331" s="5" t="s">
        <v>69</v>
      </c>
      <c r="G331" s="6" t="s">
        <v>40</v>
      </c>
      <c r="H331" s="5" t="s">
        <v>6282</v>
      </c>
      <c r="I331" s="5" t="s">
        <v>6283</v>
      </c>
      <c r="J331" s="6" t="s">
        <v>42</v>
      </c>
      <c r="K331" s="5" t="s">
        <v>64</v>
      </c>
      <c r="L331" s="5" t="s">
        <v>7484</v>
      </c>
      <c r="M331" s="6">
        <v>10626.0</v>
      </c>
    </row>
    <row r="332" ht="56.25" customHeight="1">
      <c r="A332" s="5" t="s">
        <v>7487</v>
      </c>
      <c r="B332" s="6" t="str">
        <f>IMAGE("https://storage.googleapis.com/acdb/posters/PosterNpcNmlDuk05.png")</f>
        <v/>
      </c>
      <c r="C332" s="6">
        <v>1000.0</v>
      </c>
      <c r="D332" s="6">
        <v>250.0</v>
      </c>
      <c r="E332" s="5" t="s">
        <v>114</v>
      </c>
      <c r="F332" s="5" t="s">
        <v>39</v>
      </c>
      <c r="G332" s="6" t="s">
        <v>40</v>
      </c>
      <c r="H332" s="5" t="s">
        <v>6282</v>
      </c>
      <c r="I332" s="5" t="s">
        <v>6283</v>
      </c>
      <c r="J332" s="6" t="s">
        <v>42</v>
      </c>
      <c r="K332" s="5" t="s">
        <v>64</v>
      </c>
      <c r="L332" s="5" t="s">
        <v>7489</v>
      </c>
      <c r="M332" s="6">
        <v>10577.0</v>
      </c>
    </row>
    <row r="333" ht="56.25" customHeight="1">
      <c r="A333" s="5" t="s">
        <v>7491</v>
      </c>
      <c r="B333" s="6" t="str">
        <f>IMAGE("https://storage.googleapis.com/acdb/posters/PosterNpcNmlCbr18.png")</f>
        <v/>
      </c>
      <c r="C333" s="6">
        <v>1000.0</v>
      </c>
      <c r="D333" s="6">
        <v>250.0</v>
      </c>
      <c r="E333" s="5" t="s">
        <v>68</v>
      </c>
      <c r="F333" s="5" t="s">
        <v>96</v>
      </c>
      <c r="G333" s="6" t="s">
        <v>40</v>
      </c>
      <c r="H333" s="5" t="s">
        <v>6282</v>
      </c>
      <c r="I333" s="5" t="s">
        <v>6283</v>
      </c>
      <c r="J333" s="6" t="s">
        <v>42</v>
      </c>
      <c r="K333" s="5" t="s">
        <v>64</v>
      </c>
      <c r="L333" s="5" t="s">
        <v>7494</v>
      </c>
      <c r="M333" s="6">
        <v>11122.0</v>
      </c>
    </row>
    <row r="334" ht="56.25" customHeight="1">
      <c r="A334" s="5" t="s">
        <v>7495</v>
      </c>
      <c r="B334" s="6" t="str">
        <f>IMAGE("https://storage.googleapis.com/acdb/posters/PosterNpcNmlCbr02.png")</f>
        <v/>
      </c>
      <c r="C334" s="6">
        <v>1000.0</v>
      </c>
      <c r="D334" s="6">
        <v>250.0</v>
      </c>
      <c r="E334" s="5" t="s">
        <v>52</v>
      </c>
      <c r="F334" s="5" t="s">
        <v>83</v>
      </c>
      <c r="G334" s="6" t="s">
        <v>40</v>
      </c>
      <c r="H334" s="5" t="s">
        <v>6282</v>
      </c>
      <c r="I334" s="5" t="s">
        <v>6283</v>
      </c>
      <c r="J334" s="6" t="s">
        <v>42</v>
      </c>
      <c r="K334" s="5" t="s">
        <v>64</v>
      </c>
      <c r="L334" s="5" t="s">
        <v>7498</v>
      </c>
      <c r="M334" s="6">
        <v>10347.0</v>
      </c>
    </row>
    <row r="335" ht="56.25" customHeight="1">
      <c r="A335" s="5" t="s">
        <v>7499</v>
      </c>
      <c r="B335" s="6" t="str">
        <f>IMAGE("https://storage.googleapis.com/acdb/posters/PosterNpcNmlSqu15.png")</f>
        <v/>
      </c>
      <c r="C335" s="6">
        <v>1000.0</v>
      </c>
      <c r="D335" s="6">
        <v>250.0</v>
      </c>
      <c r="E335" s="5" t="s">
        <v>38</v>
      </c>
      <c r="F335" s="5" t="s">
        <v>68</v>
      </c>
      <c r="G335" s="6" t="s">
        <v>40</v>
      </c>
      <c r="H335" s="5" t="s">
        <v>6282</v>
      </c>
      <c r="I335" s="5" t="s">
        <v>6283</v>
      </c>
      <c r="J335" s="6" t="s">
        <v>42</v>
      </c>
      <c r="K335" s="5" t="s">
        <v>64</v>
      </c>
      <c r="L335" s="5" t="s">
        <v>7502</v>
      </c>
      <c r="M335" s="6">
        <v>10668.0</v>
      </c>
    </row>
    <row r="336" ht="56.25" customHeight="1">
      <c r="A336" s="5" t="s">
        <v>7503</v>
      </c>
      <c r="B336" s="6" t="str">
        <f>IMAGE("https://storage.googleapis.com/acdb/posters/PosterNpcSpMnk.png")</f>
        <v/>
      </c>
      <c r="C336" s="6">
        <v>1000.0</v>
      </c>
      <c r="D336" s="6">
        <v>250.0</v>
      </c>
      <c r="E336" s="5" t="s">
        <v>57</v>
      </c>
      <c r="F336" s="5" t="s">
        <v>106</v>
      </c>
      <c r="G336" s="6" t="s">
        <v>40</v>
      </c>
      <c r="H336" s="5" t="s">
        <v>6282</v>
      </c>
      <c r="I336" s="5" t="s">
        <v>6283</v>
      </c>
      <c r="J336" s="6" t="s">
        <v>42</v>
      </c>
      <c r="K336" s="5" t="s">
        <v>64</v>
      </c>
      <c r="L336" s="5" t="s">
        <v>7505</v>
      </c>
      <c r="M336" s="6">
        <v>10339.0</v>
      </c>
    </row>
    <row r="337" ht="56.25" customHeight="1">
      <c r="A337" s="5" t="s">
        <v>7506</v>
      </c>
      <c r="B337" s="6" t="str">
        <f>IMAGE("https://storage.googleapis.com/acdb/posters/PosterNpcNmlDog05.png")</f>
        <v/>
      </c>
      <c r="C337" s="6">
        <v>1000.0</v>
      </c>
      <c r="D337" s="6">
        <v>250.0</v>
      </c>
      <c r="E337" s="5" t="s">
        <v>96</v>
      </c>
      <c r="F337" s="5" t="s">
        <v>83</v>
      </c>
      <c r="G337" s="6" t="s">
        <v>40</v>
      </c>
      <c r="H337" s="5" t="s">
        <v>6282</v>
      </c>
      <c r="I337" s="5" t="s">
        <v>6283</v>
      </c>
      <c r="J337" s="6" t="s">
        <v>42</v>
      </c>
      <c r="K337" s="5" t="s">
        <v>64</v>
      </c>
      <c r="L337" s="5" t="s">
        <v>7508</v>
      </c>
      <c r="M337" s="6">
        <v>10550.0</v>
      </c>
    </row>
    <row r="338" ht="56.25" customHeight="1">
      <c r="A338" s="5" t="s">
        <v>7509</v>
      </c>
      <c r="B338" s="6" t="str">
        <f>IMAGE("https://storage.googleapis.com/acdb/posters/PosterNpcNmlFlg12.png")</f>
        <v/>
      </c>
      <c r="C338" s="6">
        <v>1000.0</v>
      </c>
      <c r="D338" s="6">
        <v>250.0</v>
      </c>
      <c r="E338" s="5" t="s">
        <v>68</v>
      </c>
      <c r="F338" s="5" t="s">
        <v>57</v>
      </c>
      <c r="G338" s="6" t="s">
        <v>40</v>
      </c>
      <c r="H338" s="5" t="s">
        <v>6282</v>
      </c>
      <c r="I338" s="5" t="s">
        <v>6283</v>
      </c>
      <c r="J338" s="6" t="s">
        <v>42</v>
      </c>
      <c r="K338" s="5" t="s">
        <v>64</v>
      </c>
      <c r="L338" s="5" t="s">
        <v>7511</v>
      </c>
      <c r="M338" s="6">
        <v>10360.0</v>
      </c>
    </row>
    <row r="339" ht="56.25" customHeight="1">
      <c r="A339" s="5" t="s">
        <v>7512</v>
      </c>
      <c r="B339" s="6" t="str">
        <f>IMAGE("https://storage.googleapis.com/acdb/posters/PosterNpcNmlPgn06.png")</f>
        <v/>
      </c>
      <c r="C339" s="6">
        <v>1000.0</v>
      </c>
      <c r="D339" s="6">
        <v>250.0</v>
      </c>
      <c r="E339" s="5" t="s">
        <v>69</v>
      </c>
      <c r="F339" s="5" t="s">
        <v>96</v>
      </c>
      <c r="G339" s="6" t="s">
        <v>40</v>
      </c>
      <c r="H339" s="5" t="s">
        <v>6282</v>
      </c>
      <c r="I339" s="5" t="s">
        <v>6283</v>
      </c>
      <c r="J339" s="6" t="s">
        <v>42</v>
      </c>
      <c r="K339" s="5" t="s">
        <v>64</v>
      </c>
      <c r="L339" s="5" t="s">
        <v>7514</v>
      </c>
      <c r="M339" s="6">
        <v>10660.0</v>
      </c>
    </row>
    <row r="340" ht="56.25" customHeight="1">
      <c r="A340" s="5" t="s">
        <v>7515</v>
      </c>
      <c r="B340" s="6" t="str">
        <f>IMAGE("https://storage.googleapis.com/acdb/posters/PosterNpcNmlFlg06.png")</f>
        <v/>
      </c>
      <c r="C340" s="6">
        <v>1000.0</v>
      </c>
      <c r="D340" s="6">
        <v>250.0</v>
      </c>
      <c r="E340" s="5" t="s">
        <v>142</v>
      </c>
      <c r="F340" s="5" t="s">
        <v>96</v>
      </c>
      <c r="G340" s="6" t="s">
        <v>40</v>
      </c>
      <c r="H340" s="5" t="s">
        <v>6282</v>
      </c>
      <c r="I340" s="5" t="s">
        <v>6283</v>
      </c>
      <c r="J340" s="6" t="s">
        <v>42</v>
      </c>
      <c r="K340" s="5" t="s">
        <v>64</v>
      </c>
      <c r="L340" s="5" t="s">
        <v>7518</v>
      </c>
      <c r="M340" s="6">
        <v>10556.0</v>
      </c>
    </row>
    <row r="341" ht="56.25" customHeight="1">
      <c r="A341" s="5" t="s">
        <v>7519</v>
      </c>
      <c r="B341" s="6" t="str">
        <f>IMAGE("https://storage.googleapis.com/acdb/posters/PosterNpcNmlCbr03.png")</f>
        <v/>
      </c>
      <c r="C341" s="6">
        <v>1000.0</v>
      </c>
      <c r="D341" s="6">
        <v>250.0</v>
      </c>
      <c r="E341" s="5" t="s">
        <v>54</v>
      </c>
      <c r="F341" s="5" t="s">
        <v>57</v>
      </c>
      <c r="G341" s="6" t="s">
        <v>40</v>
      </c>
      <c r="H341" s="5" t="s">
        <v>6282</v>
      </c>
      <c r="I341" s="5" t="s">
        <v>6283</v>
      </c>
      <c r="J341" s="6" t="s">
        <v>42</v>
      </c>
      <c r="K341" s="5" t="s">
        <v>64</v>
      </c>
      <c r="L341" s="5" t="s">
        <v>7520</v>
      </c>
      <c r="M341" s="6">
        <v>10676.0</v>
      </c>
    </row>
    <row r="342" ht="56.25" customHeight="1">
      <c r="A342" s="5" t="s">
        <v>7521</v>
      </c>
      <c r="B342" s="6" t="str">
        <f>IMAGE("https://storage.googleapis.com/acdb/posters/PosterNpcNmlCat06.png")</f>
        <v/>
      </c>
      <c r="C342" s="6">
        <v>1000.0</v>
      </c>
      <c r="D342" s="6">
        <v>250.0</v>
      </c>
      <c r="E342" s="5" t="s">
        <v>38</v>
      </c>
      <c r="F342" s="5" t="s">
        <v>39</v>
      </c>
      <c r="G342" s="6" t="s">
        <v>40</v>
      </c>
      <c r="H342" s="5" t="s">
        <v>6282</v>
      </c>
      <c r="I342" s="5" t="s">
        <v>6283</v>
      </c>
      <c r="J342" s="6" t="s">
        <v>42</v>
      </c>
      <c r="K342" s="5" t="s">
        <v>64</v>
      </c>
      <c r="L342" s="5" t="s">
        <v>7524</v>
      </c>
      <c r="M342" s="6">
        <v>10819.0</v>
      </c>
    </row>
    <row r="343" ht="56.25" customHeight="1">
      <c r="A343" s="5" t="s">
        <v>7525</v>
      </c>
      <c r="B343" s="6" t="str">
        <f>IMAGE("https://storage.googleapis.com/acdb/posters/PosterNpcNmlCat07.png")</f>
        <v/>
      </c>
      <c r="C343" s="6">
        <v>1000.0</v>
      </c>
      <c r="D343" s="6">
        <v>250.0</v>
      </c>
      <c r="E343" s="5" t="s">
        <v>106</v>
      </c>
      <c r="F343" s="5" t="s">
        <v>38</v>
      </c>
      <c r="G343" s="6" t="s">
        <v>40</v>
      </c>
      <c r="H343" s="5" t="s">
        <v>6282</v>
      </c>
      <c r="I343" s="5" t="s">
        <v>6283</v>
      </c>
      <c r="J343" s="6" t="s">
        <v>42</v>
      </c>
      <c r="K343" s="5" t="s">
        <v>64</v>
      </c>
      <c r="L343" s="5" t="s">
        <v>7527</v>
      </c>
      <c r="M343" s="6">
        <v>10802.0</v>
      </c>
    </row>
    <row r="344" ht="56.25" customHeight="1">
      <c r="A344" s="5" t="s">
        <v>7528</v>
      </c>
      <c r="B344" s="6" t="str">
        <f>IMAGE("https://storage.googleapis.com/acdb/posters/PosterNpcNmlOst00.png")</f>
        <v/>
      </c>
      <c r="C344" s="6">
        <v>1000.0</v>
      </c>
      <c r="D344" s="6">
        <v>250.0</v>
      </c>
      <c r="E344" s="5" t="s">
        <v>96</v>
      </c>
      <c r="F344" s="5" t="s">
        <v>95</v>
      </c>
      <c r="G344" s="6" t="s">
        <v>40</v>
      </c>
      <c r="H344" s="5" t="s">
        <v>6282</v>
      </c>
      <c r="I344" s="5" t="s">
        <v>6283</v>
      </c>
      <c r="J344" s="6" t="s">
        <v>42</v>
      </c>
      <c r="K344" s="5" t="s">
        <v>64</v>
      </c>
      <c r="L344" s="5" t="s">
        <v>7531</v>
      </c>
      <c r="M344" s="6">
        <v>10543.0</v>
      </c>
    </row>
    <row r="345" ht="56.25" customHeight="1">
      <c r="A345" s="5" t="s">
        <v>7532</v>
      </c>
      <c r="B345" s="6" t="str">
        <f>IMAGE("https://storage.googleapis.com/acdb/posters/PosterNpcNmlDuk17.png")</f>
        <v/>
      </c>
      <c r="C345" s="6">
        <v>1000.0</v>
      </c>
      <c r="D345" s="6">
        <v>250.0</v>
      </c>
      <c r="E345" s="5" t="s">
        <v>54</v>
      </c>
      <c r="F345" s="5" t="s">
        <v>114</v>
      </c>
      <c r="G345" s="6" t="s">
        <v>40</v>
      </c>
      <c r="H345" s="5" t="s">
        <v>6282</v>
      </c>
      <c r="I345" s="5" t="s">
        <v>6283</v>
      </c>
      <c r="J345" s="6" t="s">
        <v>42</v>
      </c>
      <c r="K345" s="5" t="s">
        <v>64</v>
      </c>
      <c r="L345" s="5" t="s">
        <v>7535</v>
      </c>
      <c r="M345" s="6">
        <v>10658.0</v>
      </c>
    </row>
    <row r="346" ht="56.25" customHeight="1">
      <c r="A346" s="5" t="s">
        <v>7536</v>
      </c>
      <c r="B346" s="6" t="str">
        <f>IMAGE("https://storage.googleapis.com/acdb/posters/PosterNpcNmlFlg15.png")</f>
        <v/>
      </c>
      <c r="C346" s="6">
        <v>1000.0</v>
      </c>
      <c r="D346" s="6">
        <v>250.0</v>
      </c>
      <c r="E346" s="5" t="s">
        <v>52</v>
      </c>
      <c r="F346" s="5" t="s">
        <v>68</v>
      </c>
      <c r="G346" s="6" t="s">
        <v>40</v>
      </c>
      <c r="H346" s="5" t="s">
        <v>6282</v>
      </c>
      <c r="I346" s="5" t="s">
        <v>6283</v>
      </c>
      <c r="J346" s="6" t="s">
        <v>42</v>
      </c>
      <c r="K346" s="5" t="s">
        <v>64</v>
      </c>
      <c r="L346" s="5" t="s">
        <v>7537</v>
      </c>
      <c r="M346" s="6">
        <v>10629.0</v>
      </c>
    </row>
    <row r="347" ht="56.25" customHeight="1">
      <c r="A347" s="5" t="s">
        <v>7539</v>
      </c>
      <c r="B347" s="6" t="str">
        <f>IMAGE("https://storage.googleapis.com/acdb/posters/PosterNpcNmlPig02.png")</f>
        <v/>
      </c>
      <c r="C347" s="6">
        <v>1000.0</v>
      </c>
      <c r="D347" s="6">
        <v>250.0</v>
      </c>
      <c r="E347" s="5" t="s">
        <v>95</v>
      </c>
      <c r="F347" s="5" t="s">
        <v>38</v>
      </c>
      <c r="G347" s="6" t="s">
        <v>40</v>
      </c>
      <c r="H347" s="5" t="s">
        <v>6282</v>
      </c>
      <c r="I347" s="5" t="s">
        <v>6283</v>
      </c>
      <c r="J347" s="6" t="s">
        <v>42</v>
      </c>
      <c r="K347" s="5" t="s">
        <v>64</v>
      </c>
      <c r="L347" s="5" t="s">
        <v>7541</v>
      </c>
      <c r="M347" s="6">
        <v>10625.0</v>
      </c>
    </row>
    <row r="348" ht="56.25" customHeight="1">
      <c r="A348" s="5" t="s">
        <v>7542</v>
      </c>
      <c r="B348" s="6" t="str">
        <f>IMAGE("https://storage.googleapis.com/acdb/posters/PosterNpcNmlCat23.png")</f>
        <v/>
      </c>
      <c r="C348" s="6">
        <v>1000.0</v>
      </c>
      <c r="D348" s="6">
        <v>250.0</v>
      </c>
      <c r="E348" s="5" t="s">
        <v>142</v>
      </c>
      <c r="F348" s="5" t="s">
        <v>96</v>
      </c>
      <c r="G348" s="6" t="s">
        <v>40</v>
      </c>
      <c r="H348" s="5" t="s">
        <v>6282</v>
      </c>
      <c r="I348" s="5" t="s">
        <v>6283</v>
      </c>
      <c r="J348" s="6" t="s">
        <v>42</v>
      </c>
      <c r="K348" s="5" t="s">
        <v>64</v>
      </c>
      <c r="L348" s="5" t="s">
        <v>7543</v>
      </c>
      <c r="M348" s="6">
        <v>10861.0</v>
      </c>
    </row>
    <row r="349" ht="56.25" customHeight="1">
      <c r="A349" s="5" t="s">
        <v>7545</v>
      </c>
      <c r="B349" s="6" t="str">
        <f>IMAGE("https://storage.googleapis.com/acdb/posters/PosterNpcSpFox.png")</f>
        <v/>
      </c>
      <c r="C349" s="6">
        <v>1000.0</v>
      </c>
      <c r="D349" s="6">
        <v>250.0</v>
      </c>
      <c r="E349" s="5" t="s">
        <v>69</v>
      </c>
      <c r="F349" s="5" t="s">
        <v>52</v>
      </c>
      <c r="G349" s="6" t="s">
        <v>40</v>
      </c>
      <c r="H349" s="5" t="s">
        <v>6282</v>
      </c>
      <c r="I349" s="5" t="s">
        <v>6283</v>
      </c>
      <c r="J349" s="6" t="s">
        <v>42</v>
      </c>
      <c r="K349" s="5" t="s">
        <v>64</v>
      </c>
      <c r="L349" s="5" t="s">
        <v>7547</v>
      </c>
      <c r="M349" s="6">
        <v>10471.0</v>
      </c>
    </row>
    <row r="350" ht="56.25" customHeight="1">
      <c r="A350" s="5" t="s">
        <v>7548</v>
      </c>
      <c r="B350" s="6" t="str">
        <f>IMAGE("https://storage.googleapis.com/acdb/posters/PosterNpcSpAlw.png")</f>
        <v/>
      </c>
      <c r="C350" s="6">
        <v>1000.0</v>
      </c>
      <c r="D350" s="6">
        <v>250.0</v>
      </c>
      <c r="E350" s="5" t="s">
        <v>69</v>
      </c>
      <c r="F350" s="5" t="s">
        <v>57</v>
      </c>
      <c r="G350" s="6" t="s">
        <v>40</v>
      </c>
      <c r="H350" s="5" t="s">
        <v>6282</v>
      </c>
      <c r="I350" s="5" t="s">
        <v>6283</v>
      </c>
      <c r="J350" s="6" t="s">
        <v>42</v>
      </c>
      <c r="K350" s="5" t="s">
        <v>64</v>
      </c>
      <c r="L350" s="5" t="s">
        <v>7550</v>
      </c>
      <c r="M350" s="6">
        <v>10772.0</v>
      </c>
    </row>
    <row r="351" ht="56.25" customHeight="1">
      <c r="A351" s="5" t="s">
        <v>7551</v>
      </c>
      <c r="B351" s="6" t="str">
        <f>IMAGE("https://storage.googleapis.com/acdb/posters/PosterNpcNmlRhn08.png")</f>
        <v/>
      </c>
      <c r="C351" s="6">
        <v>1000.0</v>
      </c>
      <c r="D351" s="6">
        <v>250.0</v>
      </c>
      <c r="E351" s="5" t="s">
        <v>54</v>
      </c>
      <c r="F351" s="5" t="s">
        <v>68</v>
      </c>
      <c r="G351" s="6" t="s">
        <v>40</v>
      </c>
      <c r="H351" s="5" t="s">
        <v>6282</v>
      </c>
      <c r="I351" s="5" t="s">
        <v>6283</v>
      </c>
      <c r="J351" s="6" t="s">
        <v>42</v>
      </c>
      <c r="K351" s="5" t="s">
        <v>64</v>
      </c>
      <c r="L351" s="5" t="s">
        <v>7554</v>
      </c>
      <c r="M351" s="6">
        <v>10599.0</v>
      </c>
    </row>
    <row r="352" ht="56.25" customHeight="1">
      <c r="A352" s="5" t="s">
        <v>7555</v>
      </c>
      <c r="B352" s="6" t="str">
        <f>IMAGE("https://storage.googleapis.com/acdb/posters/PosterNpcNmlHrs16.png")</f>
        <v/>
      </c>
      <c r="C352" s="6">
        <v>1000.0</v>
      </c>
      <c r="D352" s="6">
        <v>250.0</v>
      </c>
      <c r="E352" s="5" t="s">
        <v>39</v>
      </c>
      <c r="F352" s="5" t="s">
        <v>83</v>
      </c>
      <c r="G352" s="6" t="s">
        <v>40</v>
      </c>
      <c r="H352" s="5" t="s">
        <v>6282</v>
      </c>
      <c r="I352" s="5" t="s">
        <v>6283</v>
      </c>
      <c r="J352" s="6" t="s">
        <v>42</v>
      </c>
      <c r="K352" s="5" t="s">
        <v>64</v>
      </c>
      <c r="L352" s="5" t="s">
        <v>7558</v>
      </c>
      <c r="M352" s="6">
        <v>10857.0</v>
      </c>
    </row>
    <row r="353" ht="56.25" customHeight="1">
      <c r="A353" s="5" t="s">
        <v>7559</v>
      </c>
      <c r="B353" s="6" t="str">
        <f>IMAGE("https://storage.googleapis.com/acdb/posters/PosterNpcSpMol.png")</f>
        <v/>
      </c>
      <c r="C353" s="6">
        <v>1000.0</v>
      </c>
      <c r="D353" s="6">
        <v>250.0</v>
      </c>
      <c r="E353" s="5" t="s">
        <v>39</v>
      </c>
      <c r="F353" s="5" t="s">
        <v>83</v>
      </c>
      <c r="G353" s="6" t="s">
        <v>40</v>
      </c>
      <c r="H353" s="5" t="s">
        <v>6282</v>
      </c>
      <c r="I353" s="5" t="s">
        <v>6283</v>
      </c>
      <c r="J353" s="6" t="s">
        <v>42</v>
      </c>
      <c r="K353" s="5" t="s">
        <v>64</v>
      </c>
      <c r="L353" s="5" t="s">
        <v>7560</v>
      </c>
      <c r="M353" s="6">
        <v>10313.0</v>
      </c>
    </row>
    <row r="354" ht="56.25" customHeight="1">
      <c r="A354" s="5" t="s">
        <v>7561</v>
      </c>
      <c r="B354" s="6" t="str">
        <f>IMAGE("https://storage.googleapis.com/acdb/posters/PosterNpcNmlLon02.png")</f>
        <v/>
      </c>
      <c r="C354" s="6">
        <v>1000.0</v>
      </c>
      <c r="D354" s="6">
        <v>250.0</v>
      </c>
      <c r="E354" s="5" t="s">
        <v>57</v>
      </c>
      <c r="F354" s="5" t="s">
        <v>106</v>
      </c>
      <c r="G354" s="6" t="s">
        <v>40</v>
      </c>
      <c r="H354" s="5" t="s">
        <v>6282</v>
      </c>
      <c r="I354" s="5" t="s">
        <v>6283</v>
      </c>
      <c r="J354" s="6" t="s">
        <v>42</v>
      </c>
      <c r="K354" s="5" t="s">
        <v>64</v>
      </c>
      <c r="L354" s="5" t="s">
        <v>7564</v>
      </c>
      <c r="M354" s="6">
        <v>10618.0</v>
      </c>
    </row>
    <row r="355" ht="56.25" customHeight="1">
      <c r="A355" s="5" t="s">
        <v>7565</v>
      </c>
      <c r="B355" s="6" t="str">
        <f>IMAGE("https://storage.googleapis.com/acdb/posters/PosterNpcNmlRhn01.png")</f>
        <v/>
      </c>
      <c r="C355" s="6">
        <v>1000.0</v>
      </c>
      <c r="D355" s="6">
        <v>250.0</v>
      </c>
      <c r="E355" s="5" t="s">
        <v>95</v>
      </c>
      <c r="F355" s="5" t="s">
        <v>114</v>
      </c>
      <c r="G355" s="6" t="s">
        <v>40</v>
      </c>
      <c r="H355" s="5" t="s">
        <v>6282</v>
      </c>
      <c r="I355" s="5" t="s">
        <v>6283</v>
      </c>
      <c r="J355" s="6" t="s">
        <v>42</v>
      </c>
      <c r="K355" s="5" t="s">
        <v>64</v>
      </c>
      <c r="L355" s="5" t="s">
        <v>7567</v>
      </c>
      <c r="M355" s="6">
        <v>10383.0</v>
      </c>
    </row>
    <row r="356" ht="56.25" customHeight="1">
      <c r="A356" s="5" t="s">
        <v>7569</v>
      </c>
      <c r="B356" s="6" t="str">
        <f>IMAGE("https://storage.googleapis.com/acdb/posters/PosterNpcNmlFlg01.png")</f>
        <v/>
      </c>
      <c r="C356" s="6">
        <v>1000.0</v>
      </c>
      <c r="D356" s="6">
        <v>250.0</v>
      </c>
      <c r="E356" s="5" t="s">
        <v>142</v>
      </c>
      <c r="F356" s="5" t="s">
        <v>68</v>
      </c>
      <c r="G356" s="6" t="s">
        <v>40</v>
      </c>
      <c r="H356" s="5" t="s">
        <v>6282</v>
      </c>
      <c r="I356" s="5" t="s">
        <v>6283</v>
      </c>
      <c r="J356" s="6" t="s">
        <v>42</v>
      </c>
      <c r="K356" s="5" t="s">
        <v>64</v>
      </c>
      <c r="L356" s="5" t="s">
        <v>7571</v>
      </c>
      <c r="M356" s="6">
        <v>10572.0</v>
      </c>
    </row>
    <row r="357" ht="56.25" customHeight="1">
      <c r="A357" s="5" t="s">
        <v>7572</v>
      </c>
      <c r="B357" s="6" t="str">
        <f>IMAGE("https://storage.googleapis.com/acdb/posters/PosterNpcNmlSqu10.png")</f>
        <v/>
      </c>
      <c r="C357" s="6">
        <v>1000.0</v>
      </c>
      <c r="D357" s="6">
        <v>250.0</v>
      </c>
      <c r="E357" s="5" t="s">
        <v>106</v>
      </c>
      <c r="F357" s="5" t="s">
        <v>68</v>
      </c>
      <c r="G357" s="6" t="s">
        <v>40</v>
      </c>
      <c r="H357" s="5" t="s">
        <v>6282</v>
      </c>
      <c r="I357" s="5" t="s">
        <v>6283</v>
      </c>
      <c r="J357" s="6" t="s">
        <v>42</v>
      </c>
      <c r="K357" s="5" t="s">
        <v>64</v>
      </c>
      <c r="L357" s="5" t="s">
        <v>7575</v>
      </c>
      <c r="M357" s="6">
        <v>10458.0</v>
      </c>
    </row>
    <row r="358" ht="56.25" customHeight="1">
      <c r="A358" s="5" t="s">
        <v>7576</v>
      </c>
      <c r="B358" s="6" t="str">
        <f>IMAGE("https://storage.googleapis.com/acdb/posters/PosterNpcNmlMus09.png")</f>
        <v/>
      </c>
      <c r="C358" s="6">
        <v>1000.0</v>
      </c>
      <c r="D358" s="6">
        <v>250.0</v>
      </c>
      <c r="E358" s="5" t="s">
        <v>68</v>
      </c>
      <c r="F358" s="5" t="s">
        <v>52</v>
      </c>
      <c r="G358" s="6" t="s">
        <v>40</v>
      </c>
      <c r="H358" s="5" t="s">
        <v>6282</v>
      </c>
      <c r="I358" s="5" t="s">
        <v>6283</v>
      </c>
      <c r="J358" s="6" t="s">
        <v>42</v>
      </c>
      <c r="K358" s="5" t="s">
        <v>64</v>
      </c>
      <c r="L358" s="5" t="s">
        <v>7578</v>
      </c>
      <c r="M358" s="6">
        <v>10581.0</v>
      </c>
    </row>
    <row r="359" ht="56.25" customHeight="1">
      <c r="A359" s="5" t="s">
        <v>7579</v>
      </c>
      <c r="B359" s="6" t="str">
        <f>IMAGE("https://storage.googleapis.com/acdb/posters/PosterNpcNmlPgn01.png")</f>
        <v/>
      </c>
      <c r="C359" s="6">
        <v>1000.0</v>
      </c>
      <c r="D359" s="6">
        <v>250.0</v>
      </c>
      <c r="E359" s="5" t="s">
        <v>68</v>
      </c>
      <c r="F359" s="5" t="s">
        <v>114</v>
      </c>
      <c r="G359" s="6" t="s">
        <v>40</v>
      </c>
      <c r="H359" s="5" t="s">
        <v>6282</v>
      </c>
      <c r="I359" s="5" t="s">
        <v>6283</v>
      </c>
      <c r="J359" s="6" t="s">
        <v>42</v>
      </c>
      <c r="K359" s="5" t="s">
        <v>64</v>
      </c>
      <c r="L359" s="5" t="s">
        <v>7581</v>
      </c>
      <c r="M359" s="6">
        <v>10328.0</v>
      </c>
    </row>
    <row r="360" ht="56.25" customHeight="1">
      <c r="A360" s="5" t="s">
        <v>7582</v>
      </c>
      <c r="B360" s="6" t="str">
        <f>IMAGE("https://storage.googleapis.com/acdb/posters/PosterNpcNmlBrd01.png")</f>
        <v/>
      </c>
      <c r="C360" s="6">
        <v>1000.0</v>
      </c>
      <c r="D360" s="6">
        <v>250.0</v>
      </c>
      <c r="E360" s="5" t="s">
        <v>96</v>
      </c>
      <c r="F360" s="5" t="s">
        <v>54</v>
      </c>
      <c r="G360" s="6" t="s">
        <v>40</v>
      </c>
      <c r="H360" s="5" t="s">
        <v>6282</v>
      </c>
      <c r="I360" s="5" t="s">
        <v>6283</v>
      </c>
      <c r="J360" s="6" t="s">
        <v>42</v>
      </c>
      <c r="K360" s="5" t="s">
        <v>64</v>
      </c>
      <c r="L360" s="5" t="s">
        <v>7584</v>
      </c>
      <c r="M360" s="6">
        <v>10809.0</v>
      </c>
    </row>
    <row r="361" ht="56.25" customHeight="1">
      <c r="A361" s="5" t="s">
        <v>7585</v>
      </c>
      <c r="B361" s="6" t="str">
        <f>IMAGE("https://storage.googleapis.com/acdb/posters/PosterNpcNmlHip00.png")</f>
        <v/>
      </c>
      <c r="C361" s="6">
        <v>1000.0</v>
      </c>
      <c r="D361" s="6">
        <v>250.0</v>
      </c>
      <c r="E361" s="5" t="s">
        <v>69</v>
      </c>
      <c r="F361" s="5" t="s">
        <v>83</v>
      </c>
      <c r="G361" s="6" t="s">
        <v>40</v>
      </c>
      <c r="H361" s="5" t="s">
        <v>6282</v>
      </c>
      <c r="I361" s="5" t="s">
        <v>6283</v>
      </c>
      <c r="J361" s="6" t="s">
        <v>42</v>
      </c>
      <c r="K361" s="5" t="s">
        <v>64</v>
      </c>
      <c r="L361" s="5" t="s">
        <v>7587</v>
      </c>
      <c r="M361" s="6">
        <v>10527.0</v>
      </c>
    </row>
    <row r="362" ht="56.25" customHeight="1">
      <c r="A362" s="5" t="s">
        <v>7589</v>
      </c>
      <c r="B362" s="6" t="str">
        <f>IMAGE("https://storage.googleapis.com/acdb/posters/PosterNpcNmlGor09.png")</f>
        <v/>
      </c>
      <c r="C362" s="6">
        <v>1000.0</v>
      </c>
      <c r="D362" s="6">
        <v>250.0</v>
      </c>
      <c r="E362" s="5" t="s">
        <v>106</v>
      </c>
      <c r="F362" s="5" t="s">
        <v>83</v>
      </c>
      <c r="G362" s="6" t="s">
        <v>40</v>
      </c>
      <c r="H362" s="5" t="s">
        <v>6282</v>
      </c>
      <c r="I362" s="5" t="s">
        <v>6283</v>
      </c>
      <c r="J362" s="6" t="s">
        <v>42</v>
      </c>
      <c r="K362" s="5" t="s">
        <v>64</v>
      </c>
      <c r="L362" s="5" t="s">
        <v>7590</v>
      </c>
      <c r="M362" s="6">
        <v>10427.0</v>
      </c>
    </row>
    <row r="363" ht="56.25" customHeight="1">
      <c r="A363" s="5" t="s">
        <v>7591</v>
      </c>
      <c r="B363" s="6" t="str">
        <f>IMAGE("https://storage.googleapis.com/acdb/posters/PosterNpcNmlMus05.png")</f>
        <v/>
      </c>
      <c r="C363" s="6">
        <v>1000.0</v>
      </c>
      <c r="D363" s="6">
        <v>250.0</v>
      </c>
      <c r="E363" s="5" t="s">
        <v>95</v>
      </c>
      <c r="F363" s="5" t="s">
        <v>54</v>
      </c>
      <c r="G363" s="6" t="s">
        <v>40</v>
      </c>
      <c r="H363" s="5" t="s">
        <v>6282</v>
      </c>
      <c r="I363" s="5" t="s">
        <v>6283</v>
      </c>
      <c r="J363" s="6" t="s">
        <v>42</v>
      </c>
      <c r="K363" s="5" t="s">
        <v>64</v>
      </c>
      <c r="L363" s="5" t="s">
        <v>7594</v>
      </c>
      <c r="M363" s="6">
        <v>10566.0</v>
      </c>
    </row>
    <row r="364" ht="56.25" customHeight="1">
      <c r="A364" s="5" t="s">
        <v>7595</v>
      </c>
      <c r="B364" s="6" t="str">
        <f>IMAGE("https://storage.googleapis.com/acdb/posters/PosterNpcNmlBul01.png")</f>
        <v/>
      </c>
      <c r="C364" s="6">
        <v>1000.0</v>
      </c>
      <c r="D364" s="6">
        <v>250.0</v>
      </c>
      <c r="E364" s="5" t="s">
        <v>83</v>
      </c>
      <c r="F364" s="5" t="s">
        <v>38</v>
      </c>
      <c r="G364" s="6" t="s">
        <v>40</v>
      </c>
      <c r="H364" s="5" t="s">
        <v>6282</v>
      </c>
      <c r="I364" s="5" t="s">
        <v>6283</v>
      </c>
      <c r="J364" s="6" t="s">
        <v>42</v>
      </c>
      <c r="K364" s="5" t="s">
        <v>64</v>
      </c>
      <c r="L364" s="5" t="s">
        <v>7598</v>
      </c>
      <c r="M364" s="6">
        <v>10446.0</v>
      </c>
    </row>
    <row r="365" ht="56.25" customHeight="1">
      <c r="A365" s="5" t="s">
        <v>7600</v>
      </c>
      <c r="B365" s="6" t="str">
        <f>IMAGE("https://storage.googleapis.com/acdb/posters/PosterNpcNmlHam03.png")</f>
        <v/>
      </c>
      <c r="C365" s="6">
        <v>1000.0</v>
      </c>
      <c r="D365" s="6">
        <v>250.0</v>
      </c>
      <c r="E365" s="5" t="s">
        <v>57</v>
      </c>
      <c r="F365" s="5" t="s">
        <v>68</v>
      </c>
      <c r="G365" s="6" t="s">
        <v>40</v>
      </c>
      <c r="H365" s="5" t="s">
        <v>6282</v>
      </c>
      <c r="I365" s="5" t="s">
        <v>6283</v>
      </c>
      <c r="J365" s="6" t="s">
        <v>42</v>
      </c>
      <c r="K365" s="5" t="s">
        <v>64</v>
      </c>
      <c r="L365" s="5" t="s">
        <v>7602</v>
      </c>
      <c r="M365" s="6">
        <v>10375.0</v>
      </c>
    </row>
    <row r="366" ht="56.25" customHeight="1">
      <c r="A366" s="5" t="s">
        <v>7603</v>
      </c>
      <c r="B366" s="6" t="str">
        <f>IMAGE("https://storage.googleapis.com/acdb/posters/PosterNpcNmlTig00.png")</f>
        <v/>
      </c>
      <c r="C366" s="6">
        <v>1000.0</v>
      </c>
      <c r="D366" s="6">
        <v>250.0</v>
      </c>
      <c r="E366" s="5" t="s">
        <v>83</v>
      </c>
      <c r="F366" s="5" t="s">
        <v>54</v>
      </c>
      <c r="G366" s="6" t="s">
        <v>40</v>
      </c>
      <c r="H366" s="5" t="s">
        <v>6282</v>
      </c>
      <c r="I366" s="5" t="s">
        <v>6283</v>
      </c>
      <c r="J366" s="6" t="s">
        <v>42</v>
      </c>
      <c r="K366" s="5" t="s">
        <v>64</v>
      </c>
      <c r="L366" s="5" t="s">
        <v>7606</v>
      </c>
      <c r="M366" s="6">
        <v>10509.0</v>
      </c>
    </row>
    <row r="367" ht="56.25" customHeight="1">
      <c r="A367" s="5" t="s">
        <v>7607</v>
      </c>
      <c r="B367" s="6" t="str">
        <f>IMAGE("https://storage.googleapis.com/acdb/posters/PosterNpcNmlKgr09.png")</f>
        <v/>
      </c>
      <c r="C367" s="6">
        <v>1000.0</v>
      </c>
      <c r="D367" s="6">
        <v>250.0</v>
      </c>
      <c r="E367" s="5" t="s">
        <v>142</v>
      </c>
      <c r="F367" s="5" t="s">
        <v>83</v>
      </c>
      <c r="G367" s="6" t="s">
        <v>40</v>
      </c>
      <c r="H367" s="5" t="s">
        <v>6282</v>
      </c>
      <c r="I367" s="5" t="s">
        <v>6283</v>
      </c>
      <c r="J367" s="6" t="s">
        <v>42</v>
      </c>
      <c r="K367" s="5" t="s">
        <v>64</v>
      </c>
      <c r="L367" s="5" t="s">
        <v>7609</v>
      </c>
      <c r="M367" s="6">
        <v>10487.0</v>
      </c>
    </row>
    <row r="368" ht="56.25" customHeight="1">
      <c r="A368" s="5" t="s">
        <v>7610</v>
      </c>
      <c r="B368" s="6" t="str">
        <f>IMAGE("https://storage.googleapis.com/acdb/posters/PosterNpcNmlLon07.png")</f>
        <v/>
      </c>
      <c r="C368" s="6">
        <v>1000.0</v>
      </c>
      <c r="D368" s="6">
        <v>250.0</v>
      </c>
      <c r="E368" s="5" t="s">
        <v>54</v>
      </c>
      <c r="F368" s="5" t="s">
        <v>95</v>
      </c>
      <c r="G368" s="6" t="s">
        <v>40</v>
      </c>
      <c r="H368" s="5" t="s">
        <v>6282</v>
      </c>
      <c r="I368" s="5" t="s">
        <v>6283</v>
      </c>
      <c r="J368" s="6" t="s">
        <v>42</v>
      </c>
      <c r="K368" s="5" t="s">
        <v>64</v>
      </c>
      <c r="L368" s="5" t="s">
        <v>7613</v>
      </c>
      <c r="M368" s="6">
        <v>10557.0</v>
      </c>
    </row>
    <row r="369" ht="56.25" customHeight="1">
      <c r="A369" s="5" t="s">
        <v>7614</v>
      </c>
      <c r="B369" s="6" t="str">
        <f>IMAGE("https://storage.googleapis.com/acdb/posters/PosterNpcNmlHrs04.png")</f>
        <v/>
      </c>
      <c r="C369" s="6">
        <v>1000.0</v>
      </c>
      <c r="D369" s="6">
        <v>250.0</v>
      </c>
      <c r="E369" s="5" t="s">
        <v>68</v>
      </c>
      <c r="F369" s="5" t="s">
        <v>69</v>
      </c>
      <c r="G369" s="6" t="s">
        <v>40</v>
      </c>
      <c r="H369" s="5" t="s">
        <v>6282</v>
      </c>
      <c r="I369" s="5" t="s">
        <v>6283</v>
      </c>
      <c r="J369" s="6" t="s">
        <v>42</v>
      </c>
      <c r="K369" s="5" t="s">
        <v>64</v>
      </c>
      <c r="L369" s="5" t="s">
        <v>7616</v>
      </c>
      <c r="M369" s="6">
        <v>10690.0</v>
      </c>
    </row>
    <row r="370" ht="56.25" customHeight="1">
      <c r="A370" s="5" t="s">
        <v>7617</v>
      </c>
      <c r="B370" s="6" t="str">
        <f>IMAGE("https://storage.googleapis.com/acdb/posters/PosterNpcNmlCat02.png")</f>
        <v/>
      </c>
      <c r="C370" s="6">
        <v>1000.0</v>
      </c>
      <c r="D370" s="6">
        <v>250.0</v>
      </c>
      <c r="E370" s="5" t="s">
        <v>68</v>
      </c>
      <c r="F370" s="5" t="s">
        <v>52</v>
      </c>
      <c r="G370" s="6" t="s">
        <v>40</v>
      </c>
      <c r="H370" s="5" t="s">
        <v>6282</v>
      </c>
      <c r="I370" s="5" t="s">
        <v>6283</v>
      </c>
      <c r="J370" s="6" t="s">
        <v>42</v>
      </c>
      <c r="K370" s="5" t="s">
        <v>64</v>
      </c>
      <c r="L370" s="5" t="s">
        <v>7619</v>
      </c>
      <c r="M370" s="6">
        <v>10805.0</v>
      </c>
    </row>
    <row r="371" ht="56.25" customHeight="1">
      <c r="A371" s="5" t="s">
        <v>7620</v>
      </c>
      <c r="B371" s="6" t="str">
        <f>IMAGE("https://storage.googleapis.com/acdb/posters/PosterNpcSpXct.png")</f>
        <v/>
      </c>
      <c r="C371" s="6">
        <v>1000.0</v>
      </c>
      <c r="D371" s="6">
        <v>250.0</v>
      </c>
      <c r="E371" s="5" t="s">
        <v>142</v>
      </c>
      <c r="F371" s="5" t="s">
        <v>83</v>
      </c>
      <c r="G371" s="6" t="s">
        <v>40</v>
      </c>
      <c r="H371" s="5" t="s">
        <v>6282</v>
      </c>
      <c r="I371" s="5" t="s">
        <v>6283</v>
      </c>
      <c r="J371" s="6" t="s">
        <v>42</v>
      </c>
      <c r="K371" s="5" t="s">
        <v>64</v>
      </c>
      <c r="L371" s="5" t="s">
        <v>7622</v>
      </c>
      <c r="M371" s="6">
        <v>10428.0</v>
      </c>
    </row>
    <row r="372" ht="56.25" customHeight="1">
      <c r="A372" s="5" t="s">
        <v>7623</v>
      </c>
      <c r="B372" s="6" t="str">
        <f>IMAGE("https://storage.googleapis.com/acdb/posters/PosterNpcNmlTig01.png")</f>
        <v/>
      </c>
      <c r="C372" s="6">
        <v>1000.0</v>
      </c>
      <c r="D372" s="6">
        <v>250.0</v>
      </c>
      <c r="E372" s="5" t="s">
        <v>57</v>
      </c>
      <c r="F372" s="5" t="s">
        <v>68</v>
      </c>
      <c r="G372" s="6" t="s">
        <v>40</v>
      </c>
      <c r="H372" s="5" t="s">
        <v>6282</v>
      </c>
      <c r="I372" s="5" t="s">
        <v>6283</v>
      </c>
      <c r="J372" s="6" t="s">
        <v>42</v>
      </c>
      <c r="K372" s="5" t="s">
        <v>64</v>
      </c>
      <c r="L372" s="5" t="s">
        <v>7624</v>
      </c>
      <c r="M372" s="6">
        <v>10592.0</v>
      </c>
    </row>
    <row r="373" ht="56.25" customHeight="1">
      <c r="A373" s="5" t="s">
        <v>7625</v>
      </c>
      <c r="B373" s="6" t="str">
        <f>IMAGE("https://storage.googleapis.com/acdb/posters/PosterNpcNmlRbt09.png")</f>
        <v/>
      </c>
      <c r="C373" s="6">
        <v>1000.0</v>
      </c>
      <c r="D373" s="6">
        <v>250.0</v>
      </c>
      <c r="E373" s="5" t="s">
        <v>39</v>
      </c>
      <c r="F373" s="5" t="s">
        <v>58</v>
      </c>
      <c r="G373" s="6" t="s">
        <v>40</v>
      </c>
      <c r="H373" s="5" t="s">
        <v>6282</v>
      </c>
      <c r="I373" s="5" t="s">
        <v>6283</v>
      </c>
      <c r="J373" s="6" t="s">
        <v>42</v>
      </c>
      <c r="K373" s="5" t="s">
        <v>64</v>
      </c>
      <c r="L373" s="5" t="s">
        <v>7628</v>
      </c>
      <c r="M373" s="6">
        <v>10399.0</v>
      </c>
    </row>
    <row r="374" ht="56.25" customHeight="1">
      <c r="A374" s="5" t="s">
        <v>7629</v>
      </c>
      <c r="B374" s="6" t="str">
        <f>IMAGE("https://storage.googleapis.com/acdb/posters/PosterNpcNmlCat20.png")</f>
        <v/>
      </c>
      <c r="C374" s="6">
        <v>1000.0</v>
      </c>
      <c r="D374" s="6">
        <v>250.0</v>
      </c>
      <c r="E374" s="5" t="s">
        <v>39</v>
      </c>
      <c r="F374" s="5" t="s">
        <v>96</v>
      </c>
      <c r="G374" s="6" t="s">
        <v>40</v>
      </c>
      <c r="H374" s="5" t="s">
        <v>6282</v>
      </c>
      <c r="I374" s="5" t="s">
        <v>6283</v>
      </c>
      <c r="J374" s="6" t="s">
        <v>42</v>
      </c>
      <c r="K374" s="5" t="s">
        <v>64</v>
      </c>
      <c r="L374" s="5" t="s">
        <v>7630</v>
      </c>
      <c r="M374" s="6">
        <v>10549.0</v>
      </c>
    </row>
    <row r="375" ht="56.25" customHeight="1">
      <c r="A375" s="5" t="s">
        <v>7632</v>
      </c>
      <c r="B375" s="6" t="str">
        <f>IMAGE("https://storage.googleapis.com/acdb/posters/PosterNpcSpHgs.png")</f>
        <v/>
      </c>
      <c r="C375" s="6">
        <v>1000.0</v>
      </c>
      <c r="D375" s="6">
        <v>250.0</v>
      </c>
      <c r="E375" s="5" t="s">
        <v>38</v>
      </c>
      <c r="F375" s="5" t="s">
        <v>83</v>
      </c>
      <c r="G375" s="6" t="s">
        <v>40</v>
      </c>
      <c r="H375" s="5" t="s">
        <v>6282</v>
      </c>
      <c r="I375" s="5" t="s">
        <v>6283</v>
      </c>
      <c r="J375" s="6" t="s">
        <v>42</v>
      </c>
      <c r="K375" s="5" t="s">
        <v>64</v>
      </c>
      <c r="L375" s="5" t="s">
        <v>7634</v>
      </c>
      <c r="M375" s="6">
        <v>10777.0</v>
      </c>
    </row>
    <row r="376" ht="56.25" customHeight="1">
      <c r="A376" s="5" t="s">
        <v>7635</v>
      </c>
      <c r="B376" s="6" t="str">
        <f>IMAGE("https://storage.googleapis.com/acdb/posters/PosterNpcSpCml.png")</f>
        <v/>
      </c>
      <c r="C376" s="6">
        <v>1000.0</v>
      </c>
      <c r="D376" s="6">
        <v>250.0</v>
      </c>
      <c r="E376" s="5" t="s">
        <v>142</v>
      </c>
      <c r="F376" s="5" t="s">
        <v>96</v>
      </c>
      <c r="G376" s="6" t="s">
        <v>40</v>
      </c>
      <c r="H376" s="5" t="s">
        <v>6282</v>
      </c>
      <c r="I376" s="5" t="s">
        <v>6283</v>
      </c>
      <c r="J376" s="6" t="s">
        <v>42</v>
      </c>
      <c r="K376" s="5" t="s">
        <v>64</v>
      </c>
      <c r="L376" s="5" t="s">
        <v>7638</v>
      </c>
      <c r="M376" s="6">
        <v>10481.0</v>
      </c>
    </row>
    <row r="377" ht="56.25" customHeight="1">
      <c r="A377" s="5" t="s">
        <v>7639</v>
      </c>
      <c r="B377" s="6" t="str">
        <f>IMAGE("https://storage.googleapis.com/acdb/posters/PosterNpcNmlSqu07.png")</f>
        <v/>
      </c>
      <c r="C377" s="6">
        <v>1000.0</v>
      </c>
      <c r="D377" s="6">
        <v>250.0</v>
      </c>
      <c r="E377" s="5" t="s">
        <v>95</v>
      </c>
      <c r="F377" s="5" t="s">
        <v>96</v>
      </c>
      <c r="G377" s="6" t="s">
        <v>40</v>
      </c>
      <c r="H377" s="5" t="s">
        <v>6282</v>
      </c>
      <c r="I377" s="5" t="s">
        <v>6283</v>
      </c>
      <c r="J377" s="6" t="s">
        <v>42</v>
      </c>
      <c r="K377" s="5" t="s">
        <v>64</v>
      </c>
      <c r="L377" s="5" t="s">
        <v>7640</v>
      </c>
      <c r="M377" s="6">
        <v>10575.0</v>
      </c>
    </row>
    <row r="378" ht="56.25" customHeight="1">
      <c r="A378" s="5" t="s">
        <v>7641</v>
      </c>
      <c r="B378" s="6" t="str">
        <f>IMAGE("https://storage.googleapis.com/acdb/posters/PosterNpcNmlMus04.png")</f>
        <v/>
      </c>
      <c r="C378" s="6">
        <v>1000.0</v>
      </c>
      <c r="D378" s="6">
        <v>250.0</v>
      </c>
      <c r="E378" s="5" t="s">
        <v>142</v>
      </c>
      <c r="F378" s="5" t="s">
        <v>68</v>
      </c>
      <c r="G378" s="6" t="s">
        <v>40</v>
      </c>
      <c r="H378" s="5" t="s">
        <v>6282</v>
      </c>
      <c r="I378" s="5" t="s">
        <v>6283</v>
      </c>
      <c r="J378" s="6" t="s">
        <v>42</v>
      </c>
      <c r="K378" s="5" t="s">
        <v>64</v>
      </c>
      <c r="L378" s="5" t="s">
        <v>7644</v>
      </c>
      <c r="M378" s="6">
        <v>10674.0</v>
      </c>
    </row>
    <row r="379" ht="56.25" customHeight="1">
      <c r="A379" s="5" t="s">
        <v>7645</v>
      </c>
      <c r="B379" s="6" t="str">
        <f>IMAGE("https://storage.googleapis.com/acdb/posters/PosterNpcNmlOst02.png")</f>
        <v/>
      </c>
      <c r="C379" s="6">
        <v>1000.0</v>
      </c>
      <c r="D379" s="6">
        <v>250.0</v>
      </c>
      <c r="E379" s="5" t="s">
        <v>57</v>
      </c>
      <c r="F379" s="5" t="s">
        <v>52</v>
      </c>
      <c r="G379" s="6" t="s">
        <v>40</v>
      </c>
      <c r="H379" s="5" t="s">
        <v>6282</v>
      </c>
      <c r="I379" s="5" t="s">
        <v>6283</v>
      </c>
      <c r="J379" s="6" t="s">
        <v>42</v>
      </c>
      <c r="K379" s="5" t="s">
        <v>64</v>
      </c>
      <c r="L379" s="5" t="s">
        <v>7646</v>
      </c>
      <c r="M379" s="6">
        <v>10627.0</v>
      </c>
    </row>
    <row r="380" ht="56.25" customHeight="1">
      <c r="A380" s="5" t="s">
        <v>7647</v>
      </c>
      <c r="B380" s="6" t="str">
        <f>IMAGE("https://storage.googleapis.com/acdb/posters/PosterNpcNmlHrs02.png")</f>
        <v/>
      </c>
      <c r="C380" s="6">
        <v>1000.0</v>
      </c>
      <c r="D380" s="6">
        <v>250.0</v>
      </c>
      <c r="E380" s="5" t="s">
        <v>96</v>
      </c>
      <c r="F380" s="5" t="s">
        <v>68</v>
      </c>
      <c r="G380" s="6" t="s">
        <v>40</v>
      </c>
      <c r="H380" s="5" t="s">
        <v>6282</v>
      </c>
      <c r="I380" s="5" t="s">
        <v>6283</v>
      </c>
      <c r="J380" s="6" t="s">
        <v>42</v>
      </c>
      <c r="K380" s="5" t="s">
        <v>64</v>
      </c>
      <c r="L380" s="5" t="s">
        <v>7649</v>
      </c>
      <c r="M380" s="6">
        <v>10363.0</v>
      </c>
    </row>
    <row r="381" ht="56.25" customHeight="1">
      <c r="A381" s="5" t="s">
        <v>7650</v>
      </c>
      <c r="B381" s="6" t="str">
        <f>IMAGE("https://storage.googleapis.com/acdb/posters/PosterNpcNmlDuk10.png")</f>
        <v/>
      </c>
      <c r="C381" s="6">
        <v>1000.0</v>
      </c>
      <c r="D381" s="6">
        <v>250.0</v>
      </c>
      <c r="E381" s="5" t="s">
        <v>95</v>
      </c>
      <c r="F381" s="5" t="s">
        <v>96</v>
      </c>
      <c r="G381" s="6" t="s">
        <v>40</v>
      </c>
      <c r="H381" s="5" t="s">
        <v>6282</v>
      </c>
      <c r="I381" s="5" t="s">
        <v>6283</v>
      </c>
      <c r="J381" s="6" t="s">
        <v>42</v>
      </c>
      <c r="K381" s="5" t="s">
        <v>64</v>
      </c>
      <c r="L381" s="5" t="s">
        <v>7653</v>
      </c>
      <c r="M381" s="6">
        <v>10376.0</v>
      </c>
    </row>
    <row r="382" ht="56.25" customHeight="1">
      <c r="A382" s="5" t="s">
        <v>7654</v>
      </c>
      <c r="B382" s="6" t="str">
        <f>IMAGE("https://storage.googleapis.com/acdb/posters/PosterNpcNmlMnk07.png")</f>
        <v/>
      </c>
      <c r="C382" s="6">
        <v>1000.0</v>
      </c>
      <c r="D382" s="6">
        <v>250.0</v>
      </c>
      <c r="E382" s="5" t="s">
        <v>114</v>
      </c>
      <c r="F382" s="5" t="s">
        <v>52</v>
      </c>
      <c r="G382" s="6" t="s">
        <v>40</v>
      </c>
      <c r="H382" s="5" t="s">
        <v>6282</v>
      </c>
      <c r="I382" s="5" t="s">
        <v>6283</v>
      </c>
      <c r="J382" s="6" t="s">
        <v>42</v>
      </c>
      <c r="K382" s="5" t="s">
        <v>64</v>
      </c>
      <c r="L382" s="5" t="s">
        <v>7656</v>
      </c>
      <c r="M382" s="6">
        <v>10661.0</v>
      </c>
    </row>
    <row r="383" ht="56.25" customHeight="1">
      <c r="A383" s="5" t="s">
        <v>7657</v>
      </c>
      <c r="B383" s="6" t="str">
        <f>IMAGE("https://storage.googleapis.com/acdb/posters/PosterNpcNmlSqu16.png")</f>
        <v/>
      </c>
      <c r="C383" s="6">
        <v>1000.0</v>
      </c>
      <c r="D383" s="6">
        <v>250.0</v>
      </c>
      <c r="E383" s="5" t="s">
        <v>39</v>
      </c>
      <c r="F383" s="5" t="s">
        <v>38</v>
      </c>
      <c r="G383" s="6" t="s">
        <v>40</v>
      </c>
      <c r="H383" s="5" t="s">
        <v>6282</v>
      </c>
      <c r="I383" s="5" t="s">
        <v>6283</v>
      </c>
      <c r="J383" s="6" t="s">
        <v>42</v>
      </c>
      <c r="K383" s="5" t="s">
        <v>64</v>
      </c>
      <c r="L383" s="5" t="s">
        <v>7659</v>
      </c>
      <c r="M383" s="6">
        <v>10645.0</v>
      </c>
    </row>
    <row r="384" ht="56.25" customHeight="1">
      <c r="A384" s="5" t="s">
        <v>7660</v>
      </c>
      <c r="B384" s="6" t="str">
        <f>IMAGE("https://storage.googleapis.com/acdb/posters/PosterNpcNmlDog18.png")</f>
        <v/>
      </c>
      <c r="C384" s="6">
        <v>1000.0</v>
      </c>
      <c r="D384" s="6">
        <v>250.0</v>
      </c>
      <c r="E384" s="5" t="s">
        <v>83</v>
      </c>
      <c r="F384" s="5" t="s">
        <v>69</v>
      </c>
      <c r="G384" s="6" t="s">
        <v>40</v>
      </c>
      <c r="H384" s="5" t="s">
        <v>6282</v>
      </c>
      <c r="I384" s="5" t="s">
        <v>6283</v>
      </c>
      <c r="J384" s="6" t="s">
        <v>42</v>
      </c>
      <c r="K384" s="5" t="s">
        <v>64</v>
      </c>
      <c r="L384" s="5" t="s">
        <v>7662</v>
      </c>
      <c r="M384" s="6">
        <v>10538.0</v>
      </c>
    </row>
    <row r="385" ht="56.25" customHeight="1">
      <c r="A385" s="5" t="s">
        <v>7663</v>
      </c>
      <c r="B385" s="6" t="str">
        <f>IMAGE("https://storage.googleapis.com/acdb/posters/PosterNpcNmlGoa09.png")</f>
        <v/>
      </c>
      <c r="C385" s="6">
        <v>1000.0</v>
      </c>
      <c r="D385" s="6">
        <v>250.0</v>
      </c>
      <c r="E385" s="5" t="s">
        <v>52</v>
      </c>
      <c r="F385" s="5" t="s">
        <v>58</v>
      </c>
      <c r="G385" s="6" t="s">
        <v>40</v>
      </c>
      <c r="H385" s="5" t="s">
        <v>6282</v>
      </c>
      <c r="I385" s="5" t="s">
        <v>6283</v>
      </c>
      <c r="J385" s="6" t="s">
        <v>42</v>
      </c>
      <c r="K385" s="5" t="s">
        <v>64</v>
      </c>
      <c r="L385" s="5" t="s">
        <v>7665</v>
      </c>
      <c r="M385" s="6">
        <v>10863.0</v>
      </c>
    </row>
    <row r="386" ht="56.25" customHeight="1">
      <c r="A386" s="5" t="s">
        <v>7667</v>
      </c>
      <c r="B386" s="6" t="str">
        <f>IMAGE("https://storage.googleapis.com/acdb/posters/PosterNpcSpUpa.png")</f>
        <v/>
      </c>
      <c r="C386" s="6">
        <v>1000.0</v>
      </c>
      <c r="D386" s="6">
        <v>250.0</v>
      </c>
      <c r="E386" s="5" t="s">
        <v>114</v>
      </c>
      <c r="F386" s="5" t="s">
        <v>52</v>
      </c>
      <c r="G386" s="6" t="s">
        <v>40</v>
      </c>
      <c r="H386" s="5" t="s">
        <v>6282</v>
      </c>
      <c r="I386" s="5" t="s">
        <v>6283</v>
      </c>
      <c r="J386" s="6" t="s">
        <v>42</v>
      </c>
      <c r="K386" s="5" t="s">
        <v>64</v>
      </c>
      <c r="L386" s="5" t="s">
        <v>7669</v>
      </c>
      <c r="M386" s="6">
        <v>10341.0</v>
      </c>
    </row>
    <row r="387" ht="56.25" customHeight="1">
      <c r="A387" s="5" t="s">
        <v>7670</v>
      </c>
      <c r="B387" s="6" t="str">
        <f>IMAGE("https://storage.googleapis.com/acdb/posters/PosterNpcNmlMnk02.png")</f>
        <v/>
      </c>
      <c r="C387" s="6">
        <v>1000.0</v>
      </c>
      <c r="D387" s="6">
        <v>250.0</v>
      </c>
      <c r="E387" s="5" t="s">
        <v>83</v>
      </c>
      <c r="F387" s="5" t="s">
        <v>52</v>
      </c>
      <c r="G387" s="6" t="s">
        <v>40</v>
      </c>
      <c r="H387" s="5" t="s">
        <v>6282</v>
      </c>
      <c r="I387" s="5" t="s">
        <v>6283</v>
      </c>
      <c r="J387" s="6" t="s">
        <v>42</v>
      </c>
      <c r="K387" s="5" t="s">
        <v>64</v>
      </c>
      <c r="L387" s="5" t="s">
        <v>7672</v>
      </c>
      <c r="M387" s="6">
        <v>10601.0</v>
      </c>
    </row>
    <row r="388" ht="56.25" customHeight="1">
      <c r="A388" s="5" t="s">
        <v>7673</v>
      </c>
      <c r="B388" s="6" t="str">
        <f>IMAGE("https://storage.googleapis.com/acdb/posters/PosterNpcNmlWol09.png")</f>
        <v/>
      </c>
      <c r="C388" s="6">
        <v>1000.0</v>
      </c>
      <c r="D388" s="6">
        <v>250.0</v>
      </c>
      <c r="E388" s="5" t="s">
        <v>142</v>
      </c>
      <c r="F388" s="5" t="s">
        <v>39</v>
      </c>
      <c r="G388" s="6" t="s">
        <v>40</v>
      </c>
      <c r="H388" s="5" t="s">
        <v>6282</v>
      </c>
      <c r="I388" s="5" t="s">
        <v>6283</v>
      </c>
      <c r="J388" s="6" t="s">
        <v>42</v>
      </c>
      <c r="K388" s="5" t="s">
        <v>64</v>
      </c>
      <c r="L388" s="5" t="s">
        <v>7675</v>
      </c>
      <c r="M388" s="6">
        <v>10489.0</v>
      </c>
    </row>
    <row r="389" ht="56.25" customHeight="1">
      <c r="A389" s="5" t="s">
        <v>7677</v>
      </c>
      <c r="B389" s="6" t="str">
        <f>IMAGE("https://storage.googleapis.com/acdb/posters/PosterNpcNmlCrd06.png")</f>
        <v/>
      </c>
      <c r="C389" s="6">
        <v>1000.0</v>
      </c>
      <c r="D389" s="6">
        <v>250.0</v>
      </c>
      <c r="E389" s="5" t="s">
        <v>69</v>
      </c>
      <c r="F389" s="5" t="s">
        <v>68</v>
      </c>
      <c r="G389" s="6" t="s">
        <v>40</v>
      </c>
      <c r="H389" s="5" t="s">
        <v>6282</v>
      </c>
      <c r="I389" s="5" t="s">
        <v>6283</v>
      </c>
      <c r="J389" s="6" t="s">
        <v>42</v>
      </c>
      <c r="K389" s="5" t="s">
        <v>64</v>
      </c>
      <c r="L389" s="5" t="s">
        <v>7678</v>
      </c>
      <c r="M389" s="6">
        <v>10368.0</v>
      </c>
    </row>
    <row r="390" ht="56.25" customHeight="1">
      <c r="A390" s="5" t="s">
        <v>7679</v>
      </c>
      <c r="B390" s="6" t="str">
        <f>IMAGE("https://storage.googleapis.com/acdb/posters/PosterNpcNmlRbt03.png")</f>
        <v/>
      </c>
      <c r="C390" s="6">
        <v>1000.0</v>
      </c>
      <c r="D390" s="6">
        <v>250.0</v>
      </c>
      <c r="E390" s="5" t="s">
        <v>69</v>
      </c>
      <c r="F390" s="5" t="s">
        <v>96</v>
      </c>
      <c r="G390" s="6" t="s">
        <v>40</v>
      </c>
      <c r="H390" s="5" t="s">
        <v>6282</v>
      </c>
      <c r="I390" s="5" t="s">
        <v>6283</v>
      </c>
      <c r="J390" s="6" t="s">
        <v>42</v>
      </c>
      <c r="K390" s="5" t="s">
        <v>64</v>
      </c>
      <c r="L390" s="5" t="s">
        <v>7682</v>
      </c>
      <c r="M390" s="6">
        <v>10671.0</v>
      </c>
    </row>
    <row r="391" ht="56.25" customHeight="1">
      <c r="A391" s="5" t="s">
        <v>7683</v>
      </c>
      <c r="B391" s="6" t="str">
        <f>IMAGE("https://storage.googleapis.com/acdb/posters/PosterNpcNmlAnt06.png")</f>
        <v/>
      </c>
      <c r="C391" s="6">
        <v>1000.0</v>
      </c>
      <c r="D391" s="6">
        <v>250.0</v>
      </c>
      <c r="E391" s="5" t="s">
        <v>142</v>
      </c>
      <c r="F391" s="5" t="s">
        <v>83</v>
      </c>
      <c r="G391" s="6" t="s">
        <v>40</v>
      </c>
      <c r="H391" s="5" t="s">
        <v>6282</v>
      </c>
      <c r="I391" s="5" t="s">
        <v>6283</v>
      </c>
      <c r="J391" s="6" t="s">
        <v>42</v>
      </c>
      <c r="K391" s="5" t="s">
        <v>64</v>
      </c>
      <c r="L391" s="5" t="s">
        <v>7684</v>
      </c>
      <c r="M391" s="6">
        <v>10815.0</v>
      </c>
    </row>
    <row r="392" ht="56.25" customHeight="1">
      <c r="A392" s="5" t="s">
        <v>7685</v>
      </c>
      <c r="B392" s="6" t="str">
        <f>IMAGE("https://storage.googleapis.com/acdb/posters/PosterNpcNmlHam04.png")</f>
        <v/>
      </c>
      <c r="C392" s="6">
        <v>1000.0</v>
      </c>
      <c r="D392" s="6">
        <v>250.0</v>
      </c>
      <c r="E392" s="5" t="s">
        <v>39</v>
      </c>
      <c r="F392" s="5" t="s">
        <v>68</v>
      </c>
      <c r="G392" s="6" t="s">
        <v>40</v>
      </c>
      <c r="H392" s="5" t="s">
        <v>6282</v>
      </c>
      <c r="I392" s="5" t="s">
        <v>6283</v>
      </c>
      <c r="J392" s="6" t="s">
        <v>42</v>
      </c>
      <c r="K392" s="5" t="s">
        <v>64</v>
      </c>
      <c r="L392" s="5" t="s">
        <v>7688</v>
      </c>
      <c r="M392" s="6">
        <v>10511.0</v>
      </c>
    </row>
    <row r="393" ht="56.25" customHeight="1">
      <c r="A393" s="5" t="s">
        <v>7689</v>
      </c>
      <c r="B393" s="6" t="str">
        <f>IMAGE("https://storage.googleapis.com/acdb/posters/PosterNpcNmlBrd18.png")</f>
        <v/>
      </c>
      <c r="C393" s="6">
        <v>1000.0</v>
      </c>
      <c r="D393" s="6">
        <v>250.0</v>
      </c>
      <c r="E393" s="5" t="s">
        <v>142</v>
      </c>
      <c r="F393" s="5" t="s">
        <v>54</v>
      </c>
      <c r="G393" s="6" t="s">
        <v>40</v>
      </c>
      <c r="H393" s="5" t="s">
        <v>6282</v>
      </c>
      <c r="I393" s="5" t="s">
        <v>6283</v>
      </c>
      <c r="J393" s="6" t="s">
        <v>42</v>
      </c>
      <c r="K393" s="5" t="s">
        <v>64</v>
      </c>
      <c r="L393" s="5" t="s">
        <v>7691</v>
      </c>
      <c r="M393" s="6">
        <v>10793.0</v>
      </c>
    </row>
    <row r="394" ht="56.25" customHeight="1">
      <c r="A394" s="5" t="s">
        <v>7692</v>
      </c>
      <c r="B394" s="6" t="str">
        <f>IMAGE("https://storage.googleapis.com/acdb/posters/PosterNpcNmlRhn02.png")</f>
        <v/>
      </c>
      <c r="C394" s="6">
        <v>1000.0</v>
      </c>
      <c r="D394" s="6">
        <v>250.0</v>
      </c>
      <c r="E394" s="5" t="s">
        <v>57</v>
      </c>
      <c r="F394" s="5" t="s">
        <v>69</v>
      </c>
      <c r="G394" s="6" t="s">
        <v>40</v>
      </c>
      <c r="H394" s="5" t="s">
        <v>6282</v>
      </c>
      <c r="I394" s="5" t="s">
        <v>6283</v>
      </c>
      <c r="J394" s="6" t="s">
        <v>42</v>
      </c>
      <c r="K394" s="5" t="s">
        <v>64</v>
      </c>
      <c r="L394" s="5" t="s">
        <v>7694</v>
      </c>
      <c r="M394" s="6">
        <v>10639.0</v>
      </c>
    </row>
    <row r="395" ht="56.25" customHeight="1">
      <c r="A395" s="5" t="s">
        <v>7695</v>
      </c>
      <c r="B395" s="6" t="str">
        <f>IMAGE("https://storage.googleapis.com/acdb/posters/PosterNpcNmlPgn14.png")</f>
        <v/>
      </c>
      <c r="C395" s="6">
        <v>1000.0</v>
      </c>
      <c r="D395" s="6">
        <v>250.0</v>
      </c>
      <c r="E395" s="5" t="s">
        <v>106</v>
      </c>
      <c r="F395" s="5" t="s">
        <v>39</v>
      </c>
      <c r="G395" s="6" t="s">
        <v>40</v>
      </c>
      <c r="H395" s="5" t="s">
        <v>6282</v>
      </c>
      <c r="I395" s="5" t="s">
        <v>6283</v>
      </c>
      <c r="J395" s="6" t="s">
        <v>42</v>
      </c>
      <c r="K395" s="5" t="s">
        <v>64</v>
      </c>
      <c r="L395" s="5" t="s">
        <v>7697</v>
      </c>
      <c r="M395" s="6">
        <v>10405.0</v>
      </c>
    </row>
    <row r="396" ht="56.25" customHeight="1">
      <c r="A396" s="5" t="s">
        <v>7698</v>
      </c>
      <c r="B396" s="6" t="str">
        <f>IMAGE("https://storage.googleapis.com/acdb/posters/PosterNpcNmlOst03.png")</f>
        <v/>
      </c>
      <c r="C396" s="6">
        <v>1000.0</v>
      </c>
      <c r="D396" s="6">
        <v>250.0</v>
      </c>
      <c r="E396" s="5" t="s">
        <v>69</v>
      </c>
      <c r="F396" s="5" t="s">
        <v>83</v>
      </c>
      <c r="G396" s="6" t="s">
        <v>40</v>
      </c>
      <c r="H396" s="5" t="s">
        <v>6282</v>
      </c>
      <c r="I396" s="5" t="s">
        <v>6283</v>
      </c>
      <c r="J396" s="6" t="s">
        <v>42</v>
      </c>
      <c r="K396" s="5" t="s">
        <v>64</v>
      </c>
      <c r="L396" s="5" t="s">
        <v>7700</v>
      </c>
      <c r="M396" s="6">
        <v>10644.0</v>
      </c>
    </row>
    <row r="397" ht="56.25" customHeight="1">
      <c r="A397" s="5" t="s">
        <v>7702</v>
      </c>
      <c r="B397" s="6" t="str">
        <f>IMAGE("https://storage.googleapis.com/acdb/posters/PosterNpcNmlSqu08.png")</f>
        <v/>
      </c>
      <c r="C397" s="6">
        <v>1000.0</v>
      </c>
      <c r="D397" s="6">
        <v>250.0</v>
      </c>
      <c r="E397" s="5" t="s">
        <v>95</v>
      </c>
      <c r="F397" s="5" t="s">
        <v>68</v>
      </c>
      <c r="G397" s="6" t="s">
        <v>40</v>
      </c>
      <c r="H397" s="5" t="s">
        <v>6282</v>
      </c>
      <c r="I397" s="5" t="s">
        <v>6283</v>
      </c>
      <c r="J397" s="6" t="s">
        <v>42</v>
      </c>
      <c r="K397" s="5" t="s">
        <v>64</v>
      </c>
      <c r="L397" s="5" t="s">
        <v>7703</v>
      </c>
      <c r="M397" s="6">
        <v>10567.0</v>
      </c>
    </row>
    <row r="398" ht="56.25" customHeight="1">
      <c r="A398" s="5" t="s">
        <v>7704</v>
      </c>
      <c r="B398" s="6" t="str">
        <f>IMAGE("https://storage.googleapis.com/acdb/posters/PosterNpcNmlShp03.png")</f>
        <v/>
      </c>
      <c r="C398" s="6">
        <v>1000.0</v>
      </c>
      <c r="D398" s="6">
        <v>250.0</v>
      </c>
      <c r="E398" s="5" t="s">
        <v>52</v>
      </c>
      <c r="F398" s="5" t="s">
        <v>95</v>
      </c>
      <c r="G398" s="6" t="s">
        <v>40</v>
      </c>
      <c r="H398" s="5" t="s">
        <v>6282</v>
      </c>
      <c r="I398" s="5" t="s">
        <v>6283</v>
      </c>
      <c r="J398" s="6" t="s">
        <v>42</v>
      </c>
      <c r="K398" s="5" t="s">
        <v>64</v>
      </c>
      <c r="L398" s="5" t="s">
        <v>7707</v>
      </c>
      <c r="M398" s="6">
        <v>10609.0</v>
      </c>
    </row>
    <row r="399" ht="56.25" customHeight="1">
      <c r="A399" s="5" t="s">
        <v>7708</v>
      </c>
      <c r="B399" s="6" t="str">
        <f>IMAGE("https://storage.googleapis.com/acdb/posters/PosterNpcNmlPbr07.png")</f>
        <v/>
      </c>
      <c r="C399" s="6">
        <v>1000.0</v>
      </c>
      <c r="D399" s="6">
        <v>250.0</v>
      </c>
      <c r="E399" s="5" t="s">
        <v>58</v>
      </c>
      <c r="F399" s="5" t="s">
        <v>83</v>
      </c>
      <c r="G399" s="6" t="s">
        <v>40</v>
      </c>
      <c r="H399" s="5" t="s">
        <v>6282</v>
      </c>
      <c r="I399" s="5" t="s">
        <v>6283</v>
      </c>
      <c r="J399" s="6" t="s">
        <v>42</v>
      </c>
      <c r="K399" s="5" t="s">
        <v>64</v>
      </c>
      <c r="L399" s="5" t="s">
        <v>7710</v>
      </c>
      <c r="M399" s="6">
        <v>10665.0</v>
      </c>
    </row>
    <row r="400" ht="56.25" customHeight="1">
      <c r="A400" s="5" t="s">
        <v>7711</v>
      </c>
      <c r="B400" s="6" t="str">
        <f>IMAGE("https://storage.googleapis.com/acdb/posters/PosterNpcNmlCat13.png")</f>
        <v/>
      </c>
      <c r="C400" s="6">
        <v>1000.0</v>
      </c>
      <c r="D400" s="6">
        <v>250.0</v>
      </c>
      <c r="E400" s="5" t="s">
        <v>68</v>
      </c>
      <c r="F400" s="5" t="s">
        <v>68</v>
      </c>
      <c r="G400" s="6" t="s">
        <v>40</v>
      </c>
      <c r="H400" s="5" t="s">
        <v>6282</v>
      </c>
      <c r="I400" s="5" t="s">
        <v>6283</v>
      </c>
      <c r="J400" s="6" t="s">
        <v>42</v>
      </c>
      <c r="K400" s="5" t="s">
        <v>64</v>
      </c>
      <c r="L400" s="5" t="s">
        <v>7713</v>
      </c>
      <c r="M400" s="6">
        <v>10475.0</v>
      </c>
    </row>
    <row r="401" ht="56.25" customHeight="1">
      <c r="A401" s="5" t="s">
        <v>7714</v>
      </c>
      <c r="B401" s="6" t="str">
        <f>IMAGE("https://storage.googleapis.com/acdb/posters/PosterNpcNmlCbr05.png")</f>
        <v/>
      </c>
      <c r="C401" s="6">
        <v>1000.0</v>
      </c>
      <c r="D401" s="6">
        <v>250.0</v>
      </c>
      <c r="E401" s="5" t="s">
        <v>106</v>
      </c>
      <c r="F401" s="5" t="s">
        <v>114</v>
      </c>
      <c r="G401" s="6" t="s">
        <v>40</v>
      </c>
      <c r="H401" s="5" t="s">
        <v>6282</v>
      </c>
      <c r="I401" s="5" t="s">
        <v>6283</v>
      </c>
      <c r="J401" s="6" t="s">
        <v>42</v>
      </c>
      <c r="K401" s="5" t="s">
        <v>64</v>
      </c>
      <c r="L401" s="5" t="s">
        <v>7719</v>
      </c>
      <c r="M401" s="6">
        <v>10524.0</v>
      </c>
    </row>
    <row r="402" ht="56.25" customHeight="1">
      <c r="A402" s="5" t="s">
        <v>7720</v>
      </c>
      <c r="B402" s="6" t="str">
        <f>IMAGE("https://storage.googleapis.com/acdb/posters/PosterNpcNmlBul03.png")</f>
        <v/>
      </c>
      <c r="C402" s="6">
        <v>1000.0</v>
      </c>
      <c r="D402" s="6">
        <v>250.0</v>
      </c>
      <c r="E402" s="5" t="s">
        <v>39</v>
      </c>
      <c r="F402" s="5" t="s">
        <v>106</v>
      </c>
      <c r="G402" s="6" t="s">
        <v>40</v>
      </c>
      <c r="H402" s="5" t="s">
        <v>6282</v>
      </c>
      <c r="I402" s="5" t="s">
        <v>6283</v>
      </c>
      <c r="J402" s="6" t="s">
        <v>42</v>
      </c>
      <c r="K402" s="5" t="s">
        <v>64</v>
      </c>
      <c r="L402" s="5" t="s">
        <v>7722</v>
      </c>
      <c r="M402" s="6">
        <v>10811.0</v>
      </c>
    </row>
    <row r="403" ht="56.25" customHeight="1">
      <c r="A403" s="5" t="s">
        <v>7723</v>
      </c>
      <c r="B403" s="6" t="str">
        <f>IMAGE("https://storage.googleapis.com/acdb/posters/PosterNpcNmlKal03.png")</f>
        <v/>
      </c>
      <c r="C403" s="6">
        <v>1000.0</v>
      </c>
      <c r="D403" s="6">
        <v>250.0</v>
      </c>
      <c r="E403" s="5" t="s">
        <v>106</v>
      </c>
      <c r="F403" s="5" t="s">
        <v>142</v>
      </c>
      <c r="G403" s="6" t="s">
        <v>40</v>
      </c>
      <c r="H403" s="5" t="s">
        <v>6282</v>
      </c>
      <c r="I403" s="5" t="s">
        <v>6283</v>
      </c>
      <c r="J403" s="6" t="s">
        <v>42</v>
      </c>
      <c r="K403" s="5" t="s">
        <v>64</v>
      </c>
      <c r="L403" s="5" t="s">
        <v>7725</v>
      </c>
      <c r="M403" s="6">
        <v>10582.0</v>
      </c>
    </row>
    <row r="404" ht="56.25" customHeight="1">
      <c r="A404" s="5" t="s">
        <v>7726</v>
      </c>
      <c r="B404" s="6" t="str">
        <f>IMAGE("https://storage.googleapis.com/acdb/posters/PosterNpcNmlSqu14.png")</f>
        <v/>
      </c>
      <c r="C404" s="6">
        <v>1000.0</v>
      </c>
      <c r="D404" s="6">
        <v>250.0</v>
      </c>
      <c r="E404" s="5" t="s">
        <v>95</v>
      </c>
      <c r="F404" s="5" t="s">
        <v>68</v>
      </c>
      <c r="G404" s="6" t="s">
        <v>40</v>
      </c>
      <c r="H404" s="5" t="s">
        <v>6282</v>
      </c>
      <c r="I404" s="5" t="s">
        <v>6283</v>
      </c>
      <c r="J404" s="6" t="s">
        <v>42</v>
      </c>
      <c r="K404" s="5" t="s">
        <v>64</v>
      </c>
      <c r="L404" s="5" t="s">
        <v>7727</v>
      </c>
      <c r="M404" s="6">
        <v>10612.0</v>
      </c>
    </row>
    <row r="405" ht="56.25" customHeight="1">
      <c r="A405" s="5" t="s">
        <v>7728</v>
      </c>
      <c r="B405" s="6" t="str">
        <f>IMAGE("https://storage.googleapis.com/acdb/posters/PosterNpcNmlKgr06.png")</f>
        <v/>
      </c>
      <c r="C405" s="6">
        <v>1000.0</v>
      </c>
      <c r="D405" s="6">
        <v>250.0</v>
      </c>
      <c r="E405" s="5" t="s">
        <v>142</v>
      </c>
      <c r="F405" s="5" t="s">
        <v>54</v>
      </c>
      <c r="G405" s="6" t="s">
        <v>40</v>
      </c>
      <c r="H405" s="5" t="s">
        <v>6282</v>
      </c>
      <c r="I405" s="5" t="s">
        <v>6283</v>
      </c>
      <c r="J405" s="6" t="s">
        <v>42</v>
      </c>
      <c r="K405" s="5" t="s">
        <v>64</v>
      </c>
      <c r="L405" s="5" t="s">
        <v>7731</v>
      </c>
      <c r="M405" s="6">
        <v>10574.0</v>
      </c>
    </row>
    <row r="406" ht="56.25" customHeight="1">
      <c r="A406" s="5" t="s">
        <v>7732</v>
      </c>
      <c r="B406" s="6" t="str">
        <f>IMAGE("https://storage.googleapis.com/acdb/posters/PosterNpcNmlBul05.png")</f>
        <v/>
      </c>
      <c r="C406" s="6">
        <v>1000.0</v>
      </c>
      <c r="D406" s="6">
        <v>250.0</v>
      </c>
      <c r="E406" s="5" t="s">
        <v>96</v>
      </c>
      <c r="F406" s="5" t="s">
        <v>68</v>
      </c>
      <c r="G406" s="6" t="s">
        <v>40</v>
      </c>
      <c r="H406" s="5" t="s">
        <v>6282</v>
      </c>
      <c r="I406" s="5" t="s">
        <v>6283</v>
      </c>
      <c r="J406" s="6" t="s">
        <v>42</v>
      </c>
      <c r="K406" s="5" t="s">
        <v>64</v>
      </c>
      <c r="L406" s="5" t="s">
        <v>7733</v>
      </c>
      <c r="M406" s="6">
        <v>10823.0</v>
      </c>
    </row>
    <row r="407" ht="56.25" customHeight="1">
      <c r="A407" s="5" t="s">
        <v>7734</v>
      </c>
      <c r="B407" s="6" t="str">
        <f>IMAGE("https://storage.googleapis.com/acdb/posters/PosterNpcNmlCat12.png")</f>
        <v/>
      </c>
      <c r="C407" s="6">
        <v>1000.0</v>
      </c>
      <c r="D407" s="6">
        <v>250.0</v>
      </c>
      <c r="E407" s="5" t="s">
        <v>114</v>
      </c>
      <c r="F407" s="5" t="s">
        <v>106</v>
      </c>
      <c r="G407" s="6" t="s">
        <v>40</v>
      </c>
      <c r="H407" s="5" t="s">
        <v>6282</v>
      </c>
      <c r="I407" s="5" t="s">
        <v>6283</v>
      </c>
      <c r="J407" s="6" t="s">
        <v>42</v>
      </c>
      <c r="K407" s="5" t="s">
        <v>64</v>
      </c>
      <c r="L407" s="5" t="s">
        <v>7736</v>
      </c>
      <c r="M407" s="6">
        <v>10441.0</v>
      </c>
    </row>
    <row r="408" ht="56.25" customHeight="1">
      <c r="A408" s="5" t="s">
        <v>7737</v>
      </c>
      <c r="B408" s="6" t="str">
        <f>IMAGE("https://storage.googleapis.com/acdb/posters/PosterNpcNmlFlg09.png")</f>
        <v/>
      </c>
      <c r="C408" s="6">
        <v>1000.0</v>
      </c>
      <c r="D408" s="6">
        <v>250.0</v>
      </c>
      <c r="E408" s="5" t="s">
        <v>114</v>
      </c>
      <c r="F408" s="5" t="s">
        <v>83</v>
      </c>
      <c r="G408" s="6" t="s">
        <v>40</v>
      </c>
      <c r="H408" s="5" t="s">
        <v>6282</v>
      </c>
      <c r="I408" s="5" t="s">
        <v>6283</v>
      </c>
      <c r="J408" s="6" t="s">
        <v>42</v>
      </c>
      <c r="K408" s="5" t="s">
        <v>64</v>
      </c>
      <c r="L408" s="5" t="s">
        <v>7739</v>
      </c>
      <c r="M408" s="6">
        <v>10641.0</v>
      </c>
    </row>
    <row r="409" ht="56.25" customHeight="1">
      <c r="A409" s="5" t="s">
        <v>7740</v>
      </c>
      <c r="B409" s="6" t="str">
        <f>IMAGE("https://storage.googleapis.com/acdb/posters/PosterNpcNmlMnk03.png")</f>
        <v/>
      </c>
      <c r="C409" s="6">
        <v>1000.0</v>
      </c>
      <c r="D409" s="6">
        <v>250.0</v>
      </c>
      <c r="E409" s="5" t="s">
        <v>142</v>
      </c>
      <c r="F409" s="5" t="s">
        <v>96</v>
      </c>
      <c r="G409" s="6" t="s">
        <v>40</v>
      </c>
      <c r="H409" s="5" t="s">
        <v>6282</v>
      </c>
      <c r="I409" s="5" t="s">
        <v>6283</v>
      </c>
      <c r="J409" s="6" t="s">
        <v>42</v>
      </c>
      <c r="K409" s="5" t="s">
        <v>64</v>
      </c>
      <c r="L409" s="5" t="s">
        <v>7742</v>
      </c>
      <c r="M409" s="6">
        <v>10476.0</v>
      </c>
    </row>
    <row r="410" ht="56.25" customHeight="1">
      <c r="A410" s="5" t="s">
        <v>7743</v>
      </c>
      <c r="B410" s="6" t="str">
        <f>IMAGE("https://storage.googleapis.com/acdb/posters/PosterNpcNmlCbr17.png")</f>
        <v/>
      </c>
      <c r="C410" s="6">
        <v>1000.0</v>
      </c>
      <c r="D410" s="6">
        <v>250.0</v>
      </c>
      <c r="E410" s="5" t="s">
        <v>95</v>
      </c>
      <c r="F410" s="5" t="s">
        <v>52</v>
      </c>
      <c r="G410" s="6" t="s">
        <v>40</v>
      </c>
      <c r="H410" s="5" t="s">
        <v>6282</v>
      </c>
      <c r="I410" s="5" t="s">
        <v>6283</v>
      </c>
      <c r="J410" s="6" t="s">
        <v>42</v>
      </c>
      <c r="K410" s="5" t="s">
        <v>64</v>
      </c>
      <c r="L410" s="5" t="s">
        <v>7745</v>
      </c>
      <c r="M410" s="6">
        <v>10553.0</v>
      </c>
    </row>
    <row r="411" ht="56.25" customHeight="1">
      <c r="A411" s="5" t="s">
        <v>7747</v>
      </c>
      <c r="B411" s="6" t="str">
        <f>IMAGE("https://storage.googleapis.com/acdb/posters/PosterNpcNmlCat05.png")</f>
        <v/>
      </c>
      <c r="C411" s="6">
        <v>1000.0</v>
      </c>
      <c r="D411" s="6">
        <v>250.0</v>
      </c>
      <c r="E411" s="5" t="s">
        <v>54</v>
      </c>
      <c r="F411" s="5" t="s">
        <v>39</v>
      </c>
      <c r="G411" s="6" t="s">
        <v>40</v>
      </c>
      <c r="H411" s="5" t="s">
        <v>6282</v>
      </c>
      <c r="I411" s="5" t="s">
        <v>6283</v>
      </c>
      <c r="J411" s="6" t="s">
        <v>42</v>
      </c>
      <c r="K411" s="5" t="s">
        <v>64</v>
      </c>
      <c r="L411" s="5" t="s">
        <v>7749</v>
      </c>
      <c r="M411" s="6">
        <v>10786.0</v>
      </c>
    </row>
    <row r="412" ht="56.25" customHeight="1">
      <c r="A412" s="5" t="s">
        <v>7750</v>
      </c>
      <c r="B412" s="6" t="str">
        <f>IMAGE("https://storage.googleapis.com/acdb/posters/PosterNpcNmlRhn00.png")</f>
        <v/>
      </c>
      <c r="C412" s="6">
        <v>1000.0</v>
      </c>
      <c r="D412" s="6">
        <v>250.0</v>
      </c>
      <c r="E412" s="5" t="s">
        <v>142</v>
      </c>
      <c r="F412" s="5" t="s">
        <v>58</v>
      </c>
      <c r="G412" s="6" t="s">
        <v>40</v>
      </c>
      <c r="H412" s="5" t="s">
        <v>6282</v>
      </c>
      <c r="I412" s="5" t="s">
        <v>6283</v>
      </c>
      <c r="J412" s="6" t="s">
        <v>42</v>
      </c>
      <c r="K412" s="5" t="s">
        <v>64</v>
      </c>
      <c r="L412" s="5" t="s">
        <v>7752</v>
      </c>
      <c r="M412" s="6">
        <v>10578.0</v>
      </c>
    </row>
    <row r="413" ht="56.25" customHeight="1">
      <c r="A413" s="5" t="s">
        <v>7753</v>
      </c>
      <c r="B413" s="6" t="str">
        <f>IMAGE("https://storage.googleapis.com/acdb/posters/PosterNpcNmlSqu13.png")</f>
        <v/>
      </c>
      <c r="C413" s="6">
        <v>1000.0</v>
      </c>
      <c r="D413" s="6">
        <v>250.0</v>
      </c>
      <c r="E413" s="5" t="s">
        <v>54</v>
      </c>
      <c r="F413" s="5" t="s">
        <v>95</v>
      </c>
      <c r="G413" s="6" t="s">
        <v>40</v>
      </c>
      <c r="H413" s="5" t="s">
        <v>6282</v>
      </c>
      <c r="I413" s="5" t="s">
        <v>6283</v>
      </c>
      <c r="J413" s="6" t="s">
        <v>42</v>
      </c>
      <c r="K413" s="5" t="s">
        <v>64</v>
      </c>
      <c r="L413" s="5" t="s">
        <v>7755</v>
      </c>
      <c r="M413" s="6">
        <v>10651.0</v>
      </c>
    </row>
    <row r="414" ht="56.25" customHeight="1">
      <c r="A414" s="5" t="s">
        <v>7756</v>
      </c>
      <c r="B414" s="6" t="str">
        <f>IMAGE("https://storage.googleapis.com/acdb/posters/PosterNpcNmlBea00.png")</f>
        <v/>
      </c>
      <c r="C414" s="6">
        <v>1000.0</v>
      </c>
      <c r="D414" s="6">
        <v>250.0</v>
      </c>
      <c r="E414" s="5" t="s">
        <v>57</v>
      </c>
      <c r="F414" s="5" t="s">
        <v>83</v>
      </c>
      <c r="G414" s="6" t="s">
        <v>40</v>
      </c>
      <c r="H414" s="5" t="s">
        <v>6282</v>
      </c>
      <c r="I414" s="5" t="s">
        <v>6283</v>
      </c>
      <c r="J414" s="6" t="s">
        <v>42</v>
      </c>
      <c r="K414" s="5" t="s">
        <v>64</v>
      </c>
      <c r="L414" s="5" t="s">
        <v>7757</v>
      </c>
      <c r="M414" s="6">
        <v>10775.0</v>
      </c>
    </row>
    <row r="415" ht="56.25" customHeight="1">
      <c r="A415" s="5" t="s">
        <v>7759</v>
      </c>
      <c r="B415" s="6" t="str">
        <f>IMAGE("https://storage.googleapis.com/acdb/posters/PosterNpcNmlPgn12.png")</f>
        <v/>
      </c>
      <c r="C415" s="6">
        <v>1000.0</v>
      </c>
      <c r="D415" s="6">
        <v>250.0</v>
      </c>
      <c r="E415" s="5" t="s">
        <v>57</v>
      </c>
      <c r="F415" s="5" t="s">
        <v>54</v>
      </c>
      <c r="G415" s="6" t="s">
        <v>40</v>
      </c>
      <c r="H415" s="5" t="s">
        <v>6282</v>
      </c>
      <c r="I415" s="5" t="s">
        <v>6283</v>
      </c>
      <c r="J415" s="6" t="s">
        <v>42</v>
      </c>
      <c r="K415" s="5" t="s">
        <v>64</v>
      </c>
      <c r="L415" s="5" t="s">
        <v>7760</v>
      </c>
      <c r="M415" s="6">
        <v>10546.0</v>
      </c>
    </row>
    <row r="416" ht="56.25" customHeight="1">
      <c r="A416" s="5" t="s">
        <v>7761</v>
      </c>
      <c r="B416" s="6" t="str">
        <f>IMAGE("https://storage.googleapis.com/acdb/posters/PosterNpcNmlElp10.png")</f>
        <v/>
      </c>
      <c r="C416" s="6">
        <v>1000.0</v>
      </c>
      <c r="D416" s="6">
        <v>250.0</v>
      </c>
      <c r="E416" s="5" t="s">
        <v>39</v>
      </c>
      <c r="F416" s="5" t="s">
        <v>68</v>
      </c>
      <c r="G416" s="6" t="s">
        <v>40</v>
      </c>
      <c r="H416" s="5" t="s">
        <v>6282</v>
      </c>
      <c r="I416" s="5" t="s">
        <v>6283</v>
      </c>
      <c r="J416" s="6" t="s">
        <v>42</v>
      </c>
      <c r="K416" s="5" t="s">
        <v>64</v>
      </c>
      <c r="L416" s="5" t="s">
        <v>7763</v>
      </c>
      <c r="M416" s="6">
        <v>10350.0</v>
      </c>
    </row>
    <row r="417" ht="56.25" customHeight="1">
      <c r="A417" s="5" t="s">
        <v>7764</v>
      </c>
      <c r="B417" s="6" t="str">
        <f>IMAGE("https://storage.googleapis.com/acdb/posters/PosterNpcNmlRbt07.png")</f>
        <v/>
      </c>
      <c r="C417" s="6">
        <v>1000.0</v>
      </c>
      <c r="D417" s="6">
        <v>250.0</v>
      </c>
      <c r="E417" s="5" t="s">
        <v>39</v>
      </c>
      <c r="F417" s="5" t="s">
        <v>96</v>
      </c>
      <c r="G417" s="6" t="s">
        <v>40</v>
      </c>
      <c r="H417" s="5" t="s">
        <v>6282</v>
      </c>
      <c r="I417" s="5" t="s">
        <v>6283</v>
      </c>
      <c r="J417" s="6" t="s">
        <v>42</v>
      </c>
      <c r="K417" s="5" t="s">
        <v>64</v>
      </c>
      <c r="L417" s="5" t="s">
        <v>7766</v>
      </c>
      <c r="M417" s="6">
        <v>10635.0</v>
      </c>
    </row>
    <row r="418" ht="56.25" customHeight="1">
      <c r="A418" s="5" t="s">
        <v>7767</v>
      </c>
      <c r="B418" s="6" t="str">
        <f>IMAGE("https://storage.googleapis.com/acdb/posters/PosterNpcNmlShp10.png")</f>
        <v/>
      </c>
      <c r="C418" s="6">
        <v>1000.0</v>
      </c>
      <c r="D418" s="6">
        <v>250.0</v>
      </c>
      <c r="E418" s="5" t="s">
        <v>57</v>
      </c>
      <c r="F418" s="5" t="s">
        <v>69</v>
      </c>
      <c r="G418" s="6" t="s">
        <v>40</v>
      </c>
      <c r="H418" s="5" t="s">
        <v>6282</v>
      </c>
      <c r="I418" s="5" t="s">
        <v>6283</v>
      </c>
      <c r="J418" s="6" t="s">
        <v>42</v>
      </c>
      <c r="K418" s="5" t="s">
        <v>64</v>
      </c>
      <c r="L418" s="5" t="s">
        <v>7768</v>
      </c>
      <c r="M418" s="6">
        <v>10388.0</v>
      </c>
    </row>
    <row r="419" ht="56.25" customHeight="1">
      <c r="A419" s="5" t="s">
        <v>7769</v>
      </c>
      <c r="B419" s="6" t="str">
        <f>IMAGE("https://storage.googleapis.com/acdb/posters/PosterNpcSpRcm.png")</f>
        <v/>
      </c>
      <c r="C419" s="6">
        <v>1000.0</v>
      </c>
      <c r="D419" s="6">
        <v>250.0</v>
      </c>
      <c r="E419" s="5" t="s">
        <v>39</v>
      </c>
      <c r="F419" s="5" t="s">
        <v>96</v>
      </c>
      <c r="G419" s="6" t="s">
        <v>40</v>
      </c>
      <c r="H419" s="5" t="s">
        <v>6282</v>
      </c>
      <c r="I419" s="5" t="s">
        <v>6283</v>
      </c>
      <c r="J419" s="6" t="s">
        <v>42</v>
      </c>
      <c r="K419" s="5" t="s">
        <v>64</v>
      </c>
      <c r="L419" s="5" t="s">
        <v>7772</v>
      </c>
      <c r="M419" s="6">
        <v>10437.0</v>
      </c>
    </row>
    <row r="420" ht="56.25" customHeight="1">
      <c r="A420" s="5" t="s">
        <v>7773</v>
      </c>
      <c r="B420" s="6" t="str">
        <f>IMAGE("https://storage.googleapis.com/acdb/posters/PosterNpcNmlCow01.png")</f>
        <v/>
      </c>
      <c r="C420" s="6">
        <v>1000.0</v>
      </c>
      <c r="D420" s="6">
        <v>250.0</v>
      </c>
      <c r="E420" s="5" t="s">
        <v>68</v>
      </c>
      <c r="F420" s="5" t="s">
        <v>54</v>
      </c>
      <c r="G420" s="6" t="s">
        <v>40</v>
      </c>
      <c r="H420" s="5" t="s">
        <v>6282</v>
      </c>
      <c r="I420" s="5" t="s">
        <v>6283</v>
      </c>
      <c r="J420" s="6" t="s">
        <v>42</v>
      </c>
      <c r="K420" s="5" t="s">
        <v>64</v>
      </c>
      <c r="L420" s="5" t="s">
        <v>7774</v>
      </c>
      <c r="M420" s="6">
        <v>10359.0</v>
      </c>
    </row>
    <row r="421" ht="56.25" customHeight="1">
      <c r="A421" s="5" t="s">
        <v>7775</v>
      </c>
      <c r="B421" s="6" t="str">
        <f>IMAGE("https://storage.googleapis.com/acdb/posters/PosterNpcSpRco.png")</f>
        <v/>
      </c>
      <c r="C421" s="6">
        <v>1000.0</v>
      </c>
      <c r="D421" s="6">
        <v>250.0</v>
      </c>
      <c r="E421" s="5" t="s">
        <v>39</v>
      </c>
      <c r="F421" s="5" t="s">
        <v>96</v>
      </c>
      <c r="G421" s="6" t="s">
        <v>40</v>
      </c>
      <c r="H421" s="5" t="s">
        <v>6282</v>
      </c>
      <c r="I421" s="5" t="s">
        <v>6283</v>
      </c>
      <c r="J421" s="6" t="s">
        <v>42</v>
      </c>
      <c r="K421" s="5" t="s">
        <v>64</v>
      </c>
      <c r="L421" s="5" t="s">
        <v>7778</v>
      </c>
      <c r="M421" s="6">
        <v>10384.0</v>
      </c>
    </row>
    <row r="422" ht="56.25" customHeight="1">
      <c r="A422" s="5" t="s">
        <v>7779</v>
      </c>
      <c r="B422" s="6" t="str">
        <f>IMAGE("https://storage.googleapis.com/acdb/posters/PosterNpcNmlCat15.png")</f>
        <v/>
      </c>
      <c r="C422" s="6">
        <v>1000.0</v>
      </c>
      <c r="D422" s="6">
        <v>250.0</v>
      </c>
      <c r="E422" s="5" t="s">
        <v>96</v>
      </c>
      <c r="F422" s="5" t="s">
        <v>68</v>
      </c>
      <c r="G422" s="6" t="s">
        <v>40</v>
      </c>
      <c r="H422" s="5" t="s">
        <v>6282</v>
      </c>
      <c r="I422" s="5" t="s">
        <v>6283</v>
      </c>
      <c r="J422" s="6" t="s">
        <v>42</v>
      </c>
      <c r="K422" s="5" t="s">
        <v>64</v>
      </c>
      <c r="L422" s="5" t="s">
        <v>7780</v>
      </c>
      <c r="M422" s="6">
        <v>10358.0</v>
      </c>
    </row>
    <row r="423" ht="56.25" customHeight="1">
      <c r="A423" s="5" t="s">
        <v>7783</v>
      </c>
      <c r="B423" s="6" t="str">
        <f>IMAGE("https://storage.googleapis.com/acdb/posters/PosterNpcSpRct.png")</f>
        <v/>
      </c>
      <c r="C423" s="6">
        <v>1000.0</v>
      </c>
      <c r="D423" s="6">
        <v>250.0</v>
      </c>
      <c r="E423" s="5" t="s">
        <v>69</v>
      </c>
      <c r="F423" s="5" t="s">
        <v>142</v>
      </c>
      <c r="G423" s="6" t="s">
        <v>40</v>
      </c>
      <c r="H423" s="5" t="s">
        <v>6282</v>
      </c>
      <c r="I423" s="5" t="s">
        <v>6283</v>
      </c>
      <c r="J423" s="6" t="s">
        <v>42</v>
      </c>
      <c r="K423" s="5" t="s">
        <v>64</v>
      </c>
      <c r="L423" s="5" t="s">
        <v>7784</v>
      </c>
      <c r="M423" s="6">
        <v>10338.0</v>
      </c>
    </row>
    <row r="424" ht="56.25" customHeight="1">
      <c r="A424" s="5" t="s">
        <v>7785</v>
      </c>
      <c r="B424" s="6" t="str">
        <f>IMAGE("https://storage.googleapis.com/acdb/posters/PosterNpcSpTtlA.png")</f>
        <v/>
      </c>
      <c r="C424" s="6">
        <v>1000.0</v>
      </c>
      <c r="D424" s="6">
        <v>250.0</v>
      </c>
      <c r="E424" s="5" t="s">
        <v>142</v>
      </c>
      <c r="F424" s="5" t="s">
        <v>114</v>
      </c>
      <c r="G424" s="6" t="s">
        <v>40</v>
      </c>
      <c r="H424" s="5" t="s">
        <v>6282</v>
      </c>
      <c r="I424" s="5" t="s">
        <v>6283</v>
      </c>
      <c r="J424" s="6" t="s">
        <v>42</v>
      </c>
      <c r="K424" s="5" t="s">
        <v>64</v>
      </c>
      <c r="L424" s="5" t="s">
        <v>7787</v>
      </c>
      <c r="M424" s="6">
        <v>10792.0</v>
      </c>
    </row>
    <row r="425" ht="56.25" customHeight="1">
      <c r="A425" s="5" t="s">
        <v>7788</v>
      </c>
      <c r="B425" s="6" t="str">
        <f>IMAGE("https://storage.googleapis.com/acdb/posters/PosterNpcNmlPig01.png")</f>
        <v/>
      </c>
      <c r="C425" s="6">
        <v>1000.0</v>
      </c>
      <c r="D425" s="6">
        <v>250.0</v>
      </c>
      <c r="E425" s="5" t="s">
        <v>57</v>
      </c>
      <c r="F425" s="5" t="s">
        <v>52</v>
      </c>
      <c r="G425" s="6" t="s">
        <v>40</v>
      </c>
      <c r="H425" s="5" t="s">
        <v>6282</v>
      </c>
      <c r="I425" s="5" t="s">
        <v>6283</v>
      </c>
      <c r="J425" s="6" t="s">
        <v>42</v>
      </c>
      <c r="K425" s="5" t="s">
        <v>64</v>
      </c>
      <c r="L425" s="5" t="s">
        <v>7790</v>
      </c>
      <c r="M425" s="6">
        <v>10691.0</v>
      </c>
    </row>
    <row r="426" ht="56.25" customHeight="1">
      <c r="A426" s="5" t="s">
        <v>7791</v>
      </c>
      <c r="B426" s="6" t="str">
        <f>IMAGE("https://storage.googleapis.com/acdb/posters/PosterNpcNmlElp09.png")</f>
        <v/>
      </c>
      <c r="C426" s="6">
        <v>1000.0</v>
      </c>
      <c r="D426" s="6">
        <v>250.0</v>
      </c>
      <c r="E426" s="5" t="s">
        <v>114</v>
      </c>
      <c r="F426" s="5" t="s">
        <v>83</v>
      </c>
      <c r="G426" s="6" t="s">
        <v>40</v>
      </c>
      <c r="H426" s="5" t="s">
        <v>6282</v>
      </c>
      <c r="I426" s="5" t="s">
        <v>6283</v>
      </c>
      <c r="J426" s="6" t="s">
        <v>42</v>
      </c>
      <c r="K426" s="5" t="s">
        <v>64</v>
      </c>
      <c r="L426" s="5" t="s">
        <v>7794</v>
      </c>
      <c r="M426" s="6">
        <v>10477.0</v>
      </c>
    </row>
    <row r="427" ht="56.25" customHeight="1">
      <c r="A427" s="5" t="s">
        <v>7795</v>
      </c>
      <c r="B427" s="6" t="str">
        <f>IMAGE("https://storage.googleapis.com/acdb/posters/PosterNpcNmlBea07.png")</f>
        <v/>
      </c>
      <c r="C427" s="6">
        <v>1000.0</v>
      </c>
      <c r="D427" s="6">
        <v>250.0</v>
      </c>
      <c r="E427" s="5" t="s">
        <v>142</v>
      </c>
      <c r="F427" s="5" t="s">
        <v>142</v>
      </c>
      <c r="G427" s="6" t="s">
        <v>40</v>
      </c>
      <c r="H427" s="5" t="s">
        <v>6282</v>
      </c>
      <c r="I427" s="5" t="s">
        <v>6283</v>
      </c>
      <c r="J427" s="6" t="s">
        <v>42</v>
      </c>
      <c r="K427" s="5" t="s">
        <v>64</v>
      </c>
      <c r="L427" s="5" t="s">
        <v>7798</v>
      </c>
      <c r="M427" s="6">
        <v>10822.0</v>
      </c>
    </row>
    <row r="428" ht="56.25" customHeight="1">
      <c r="A428" s="5" t="s">
        <v>7799</v>
      </c>
      <c r="B428" s="6" t="str">
        <f>IMAGE("https://storage.googleapis.com/acdb/posters/PosterNpcNmlBrd03.png")</f>
        <v/>
      </c>
      <c r="C428" s="6">
        <v>1000.0</v>
      </c>
      <c r="D428" s="6">
        <v>250.0</v>
      </c>
      <c r="E428" s="5" t="s">
        <v>69</v>
      </c>
      <c r="F428" s="5" t="s">
        <v>114</v>
      </c>
      <c r="G428" s="6" t="s">
        <v>40</v>
      </c>
      <c r="H428" s="5" t="s">
        <v>6282</v>
      </c>
      <c r="I428" s="5" t="s">
        <v>6283</v>
      </c>
      <c r="J428" s="6" t="s">
        <v>42</v>
      </c>
      <c r="K428" s="5" t="s">
        <v>64</v>
      </c>
      <c r="L428" s="5" t="s">
        <v>7800</v>
      </c>
      <c r="M428" s="6">
        <v>10808.0</v>
      </c>
    </row>
    <row r="429" ht="56.25" customHeight="1">
      <c r="A429" s="5" t="s">
        <v>7801</v>
      </c>
      <c r="B429" s="6" t="str">
        <f>IMAGE("https://storage.googleapis.com/acdb/posters/PosterNpcNmlTig02.png")</f>
        <v/>
      </c>
      <c r="C429" s="6">
        <v>1000.0</v>
      </c>
      <c r="D429" s="6">
        <v>250.0</v>
      </c>
      <c r="E429" s="5" t="s">
        <v>69</v>
      </c>
      <c r="F429" s="5" t="s">
        <v>39</v>
      </c>
      <c r="G429" s="6" t="s">
        <v>40</v>
      </c>
      <c r="H429" s="5" t="s">
        <v>6282</v>
      </c>
      <c r="I429" s="5" t="s">
        <v>6283</v>
      </c>
      <c r="J429" s="6" t="s">
        <v>42</v>
      </c>
      <c r="K429" s="5" t="s">
        <v>64</v>
      </c>
      <c r="L429" s="5" t="s">
        <v>7804</v>
      </c>
      <c r="M429" s="6">
        <v>10610.0</v>
      </c>
    </row>
    <row r="430" ht="56.25" customHeight="1">
      <c r="A430" s="5" t="s">
        <v>7805</v>
      </c>
      <c r="B430" s="6" t="str">
        <f>IMAGE("https://storage.googleapis.com/acdb/posters/PosterNpcNmlBea08.png")</f>
        <v/>
      </c>
      <c r="C430" s="6">
        <v>1000.0</v>
      </c>
      <c r="D430" s="6">
        <v>250.0</v>
      </c>
      <c r="E430" s="5" t="s">
        <v>57</v>
      </c>
      <c r="F430" s="5" t="s">
        <v>54</v>
      </c>
      <c r="G430" s="6" t="s">
        <v>40</v>
      </c>
      <c r="H430" s="5" t="s">
        <v>6282</v>
      </c>
      <c r="I430" s="5" t="s">
        <v>6283</v>
      </c>
      <c r="J430" s="6" t="s">
        <v>42</v>
      </c>
      <c r="K430" s="5" t="s">
        <v>64</v>
      </c>
      <c r="L430" s="5" t="s">
        <v>7806</v>
      </c>
      <c r="M430" s="6">
        <v>10812.0</v>
      </c>
    </row>
    <row r="431" ht="56.25" customHeight="1">
      <c r="A431" s="5" t="s">
        <v>7807</v>
      </c>
      <c r="B431" s="6" t="str">
        <f>IMAGE("https://storage.googleapis.com/acdb/posters/PosterNpcNmlGoa06.png")</f>
        <v/>
      </c>
      <c r="C431" s="6">
        <v>1000.0</v>
      </c>
      <c r="D431" s="6">
        <v>250.0</v>
      </c>
      <c r="E431" s="5" t="s">
        <v>39</v>
      </c>
      <c r="F431" s="5" t="s">
        <v>54</v>
      </c>
      <c r="G431" s="6" t="s">
        <v>40</v>
      </c>
      <c r="H431" s="5" t="s">
        <v>6282</v>
      </c>
      <c r="I431" s="5" t="s">
        <v>6283</v>
      </c>
      <c r="J431" s="6" t="s">
        <v>42</v>
      </c>
      <c r="K431" s="5" t="s">
        <v>64</v>
      </c>
      <c r="L431" s="5" t="s">
        <v>7808</v>
      </c>
      <c r="M431" s="6">
        <v>10449.0</v>
      </c>
    </row>
    <row r="432" ht="56.25" customHeight="1">
      <c r="A432" s="5" t="s">
        <v>7809</v>
      </c>
      <c r="B432" s="6" t="str">
        <f>IMAGE("https://storage.googleapis.com/acdb/posters/PosterNpcNmlShp00.png")</f>
        <v/>
      </c>
      <c r="C432" s="6">
        <v>1000.0</v>
      </c>
      <c r="D432" s="6">
        <v>250.0</v>
      </c>
      <c r="E432" s="5" t="s">
        <v>114</v>
      </c>
      <c r="F432" s="5" t="s">
        <v>96</v>
      </c>
      <c r="G432" s="6" t="s">
        <v>40</v>
      </c>
      <c r="H432" s="5" t="s">
        <v>6282</v>
      </c>
      <c r="I432" s="5" t="s">
        <v>6283</v>
      </c>
      <c r="J432" s="6" t="s">
        <v>42</v>
      </c>
      <c r="K432" s="5" t="s">
        <v>64</v>
      </c>
      <c r="L432" s="5" t="s">
        <v>7812</v>
      </c>
      <c r="M432" s="6">
        <v>10418.0</v>
      </c>
    </row>
    <row r="433" ht="56.25" customHeight="1">
      <c r="A433" s="5" t="s">
        <v>7813</v>
      </c>
      <c r="B433" s="6" t="str">
        <f>IMAGE("https://storage.googleapis.com/acdb/posters/PosterNpcNmlBul08.png")</f>
        <v/>
      </c>
      <c r="C433" s="6">
        <v>1000.0</v>
      </c>
      <c r="D433" s="6">
        <v>250.0</v>
      </c>
      <c r="E433" s="5" t="s">
        <v>52</v>
      </c>
      <c r="F433" s="5" t="s">
        <v>114</v>
      </c>
      <c r="G433" s="6" t="s">
        <v>40</v>
      </c>
      <c r="H433" s="5" t="s">
        <v>6282</v>
      </c>
      <c r="I433" s="5" t="s">
        <v>6283</v>
      </c>
      <c r="J433" s="6" t="s">
        <v>42</v>
      </c>
      <c r="K433" s="5" t="s">
        <v>64</v>
      </c>
      <c r="L433" s="5" t="s">
        <v>7814</v>
      </c>
      <c r="M433" s="6">
        <v>10415.0</v>
      </c>
    </row>
    <row r="434" ht="56.25" customHeight="1">
      <c r="A434" s="5" t="s">
        <v>7815</v>
      </c>
      <c r="B434" s="6" t="str">
        <f>IMAGE("https://storage.googleapis.com/acdb/posters/PosterNpcNmlHrs01.png")</f>
        <v/>
      </c>
      <c r="C434" s="6">
        <v>1000.0</v>
      </c>
      <c r="D434" s="6">
        <v>250.0</v>
      </c>
      <c r="E434" s="5" t="s">
        <v>69</v>
      </c>
      <c r="F434" s="5" t="s">
        <v>96</v>
      </c>
      <c r="G434" s="6" t="s">
        <v>40</v>
      </c>
      <c r="H434" s="5" t="s">
        <v>6282</v>
      </c>
      <c r="I434" s="5" t="s">
        <v>6283</v>
      </c>
      <c r="J434" s="6" t="s">
        <v>42</v>
      </c>
      <c r="K434" s="5" t="s">
        <v>64</v>
      </c>
      <c r="L434" s="5" t="s">
        <v>7817</v>
      </c>
      <c r="M434" s="6">
        <v>10497.0</v>
      </c>
    </row>
    <row r="435" ht="56.25" customHeight="1">
      <c r="A435" s="5" t="s">
        <v>7818</v>
      </c>
      <c r="B435" s="6" t="str">
        <f>IMAGE("https://storage.googleapis.com/acdb/posters/PosterVillager.png")</f>
        <v/>
      </c>
      <c r="C435" s="6">
        <v>1000.0</v>
      </c>
      <c r="D435" s="6">
        <v>250.0</v>
      </c>
      <c r="E435" s="5" t="s">
        <v>39</v>
      </c>
      <c r="F435" s="5" t="s">
        <v>38</v>
      </c>
      <c r="G435" s="6" t="s">
        <v>40</v>
      </c>
      <c r="H435" s="5" t="s">
        <v>6282</v>
      </c>
      <c r="I435" s="5" t="s">
        <v>6283</v>
      </c>
      <c r="J435" s="6" t="s">
        <v>42</v>
      </c>
      <c r="K435" s="5" t="s">
        <v>64</v>
      </c>
      <c r="L435" s="5" t="s">
        <v>7820</v>
      </c>
      <c r="M435" s="6">
        <v>10741.0</v>
      </c>
    </row>
    <row r="436" ht="56.25" customHeight="1">
      <c r="A436" s="5" t="s">
        <v>7821</v>
      </c>
      <c r="B436" s="6" t="str">
        <f>IMAGE("https://storage.googleapis.com/acdb/posters/PosterNpcNmlGor07.png")</f>
        <v/>
      </c>
      <c r="C436" s="6">
        <v>1000.0</v>
      </c>
      <c r="D436" s="6">
        <v>250.0</v>
      </c>
      <c r="E436" s="5" t="s">
        <v>69</v>
      </c>
      <c r="F436" s="5" t="s">
        <v>95</v>
      </c>
      <c r="G436" s="6" t="s">
        <v>40</v>
      </c>
      <c r="H436" s="5" t="s">
        <v>6282</v>
      </c>
      <c r="I436" s="5" t="s">
        <v>6283</v>
      </c>
      <c r="J436" s="6" t="s">
        <v>42</v>
      </c>
      <c r="K436" s="5" t="s">
        <v>64</v>
      </c>
      <c r="L436" s="5" t="s">
        <v>7824</v>
      </c>
      <c r="M436" s="6">
        <v>10499.0</v>
      </c>
    </row>
    <row r="437" ht="56.25" customHeight="1">
      <c r="A437" s="5" t="s">
        <v>7825</v>
      </c>
      <c r="B437" s="6" t="str">
        <f>IMAGE("https://storage.googleapis.com/acdb/posters/PosterNpcNmlWol08.png")</f>
        <v/>
      </c>
      <c r="C437" s="6">
        <v>1000.0</v>
      </c>
      <c r="D437" s="6">
        <v>250.0</v>
      </c>
      <c r="E437" s="5" t="s">
        <v>54</v>
      </c>
      <c r="F437" s="5" t="s">
        <v>68</v>
      </c>
      <c r="G437" s="6" t="s">
        <v>40</v>
      </c>
      <c r="H437" s="5" t="s">
        <v>6282</v>
      </c>
      <c r="I437" s="5" t="s">
        <v>6283</v>
      </c>
      <c r="J437" s="6" t="s">
        <v>42</v>
      </c>
      <c r="K437" s="5" t="s">
        <v>64</v>
      </c>
      <c r="L437" s="5" t="s">
        <v>7827</v>
      </c>
      <c r="M437" s="6">
        <v>10603.0</v>
      </c>
    </row>
    <row r="438" ht="56.25" customHeight="1">
      <c r="A438" s="5" t="s">
        <v>7829</v>
      </c>
      <c r="B438" s="6" t="str">
        <f>IMAGE("https://storage.googleapis.com/acdb/posters/PosterNpcNmlCbr06.png")</f>
        <v/>
      </c>
      <c r="C438" s="6">
        <v>1000.0</v>
      </c>
      <c r="D438" s="6">
        <v>250.0</v>
      </c>
      <c r="E438" s="5" t="s">
        <v>95</v>
      </c>
      <c r="F438" s="5" t="s">
        <v>96</v>
      </c>
      <c r="G438" s="6" t="s">
        <v>40</v>
      </c>
      <c r="H438" s="5" t="s">
        <v>6282</v>
      </c>
      <c r="I438" s="5" t="s">
        <v>6283</v>
      </c>
      <c r="J438" s="6" t="s">
        <v>42</v>
      </c>
      <c r="K438" s="5" t="s">
        <v>64</v>
      </c>
      <c r="L438" s="5" t="s">
        <v>7831</v>
      </c>
      <c r="M438" s="6">
        <v>10362.0</v>
      </c>
    </row>
    <row r="439" ht="56.25" customHeight="1">
      <c r="A439" s="5" t="s">
        <v>7832</v>
      </c>
      <c r="B439" s="6" t="str">
        <f>IMAGE("https://storage.googleapis.com/acdb/posters/PosterNpcNmlPgn09.png")</f>
        <v/>
      </c>
      <c r="C439" s="6">
        <v>1000.0</v>
      </c>
      <c r="D439" s="6">
        <v>250.0</v>
      </c>
      <c r="E439" s="5" t="s">
        <v>95</v>
      </c>
      <c r="F439" s="5" t="s">
        <v>39</v>
      </c>
      <c r="G439" s="6" t="s">
        <v>40</v>
      </c>
      <c r="H439" s="5" t="s">
        <v>6282</v>
      </c>
      <c r="I439" s="5" t="s">
        <v>6283</v>
      </c>
      <c r="J439" s="6" t="s">
        <v>42</v>
      </c>
      <c r="K439" s="5" t="s">
        <v>64</v>
      </c>
      <c r="L439" s="5" t="s">
        <v>7834</v>
      </c>
      <c r="M439" s="6">
        <v>10614.0</v>
      </c>
    </row>
    <row r="440" ht="56.25" customHeight="1">
      <c r="A440" s="5" t="s">
        <v>7836</v>
      </c>
      <c r="B440" s="6" t="str">
        <f>IMAGE("https://storage.googleapis.com/acdb/posters/PosterNpcNmlDog06.png")</f>
        <v/>
      </c>
      <c r="C440" s="6">
        <v>1000.0</v>
      </c>
      <c r="D440" s="6">
        <v>250.0</v>
      </c>
      <c r="E440" s="5" t="s">
        <v>142</v>
      </c>
      <c r="F440" s="5" t="s">
        <v>96</v>
      </c>
      <c r="G440" s="6" t="s">
        <v>40</v>
      </c>
      <c r="H440" s="5" t="s">
        <v>6282</v>
      </c>
      <c r="I440" s="5" t="s">
        <v>6283</v>
      </c>
      <c r="J440" s="6" t="s">
        <v>42</v>
      </c>
      <c r="K440" s="5" t="s">
        <v>64</v>
      </c>
      <c r="L440" s="5" t="s">
        <v>7839</v>
      </c>
      <c r="M440" s="6">
        <v>10330.0</v>
      </c>
    </row>
    <row r="441" ht="56.25" customHeight="1">
      <c r="A441" s="5" t="s">
        <v>7840</v>
      </c>
      <c r="B441" s="6" t="str">
        <f>IMAGE("https://storage.googleapis.com/acdb/posters/PosterNpcNmlKgr08.png")</f>
        <v/>
      </c>
      <c r="C441" s="6">
        <v>1000.0</v>
      </c>
      <c r="D441" s="6">
        <v>250.0</v>
      </c>
      <c r="E441" s="5" t="s">
        <v>69</v>
      </c>
      <c r="F441" s="5" t="s">
        <v>38</v>
      </c>
      <c r="G441" s="6" t="s">
        <v>40</v>
      </c>
      <c r="H441" s="5" t="s">
        <v>6282</v>
      </c>
      <c r="I441" s="5" t="s">
        <v>6283</v>
      </c>
      <c r="J441" s="6" t="s">
        <v>42</v>
      </c>
      <c r="K441" s="5" t="s">
        <v>64</v>
      </c>
      <c r="L441" s="5" t="s">
        <v>7842</v>
      </c>
      <c r="M441" s="6">
        <v>10559.0</v>
      </c>
    </row>
    <row r="442" ht="56.25" customHeight="1">
      <c r="A442" s="5" t="s">
        <v>7844</v>
      </c>
      <c r="B442" s="6" t="str">
        <f>IMAGE("https://storage.googleapis.com/acdb/posters/PosterNpcNmlFlg05.png")</f>
        <v/>
      </c>
      <c r="C442" s="6">
        <v>1000.0</v>
      </c>
      <c r="D442" s="6">
        <v>250.0</v>
      </c>
      <c r="E442" s="5" t="s">
        <v>83</v>
      </c>
      <c r="F442" s="5" t="s">
        <v>38</v>
      </c>
      <c r="G442" s="6" t="s">
        <v>40</v>
      </c>
      <c r="H442" s="5" t="s">
        <v>6282</v>
      </c>
      <c r="I442" s="5" t="s">
        <v>6283</v>
      </c>
      <c r="J442" s="6" t="s">
        <v>42</v>
      </c>
      <c r="K442" s="5" t="s">
        <v>64</v>
      </c>
      <c r="L442" s="5" t="s">
        <v>7846</v>
      </c>
      <c r="M442" s="6">
        <v>10465.0</v>
      </c>
    </row>
    <row r="443" ht="56.25" customHeight="1">
      <c r="A443" s="5" t="s">
        <v>7847</v>
      </c>
      <c r="B443" s="6" t="str">
        <f>IMAGE("https://storage.googleapis.com/acdb/posters/PosterNpcNmlDuk11.png")</f>
        <v/>
      </c>
      <c r="C443" s="6">
        <v>1000.0</v>
      </c>
      <c r="D443" s="6">
        <v>250.0</v>
      </c>
      <c r="E443" s="5" t="s">
        <v>52</v>
      </c>
      <c r="F443" s="5" t="s">
        <v>83</v>
      </c>
      <c r="G443" s="6" t="s">
        <v>40</v>
      </c>
      <c r="H443" s="5" t="s">
        <v>6282</v>
      </c>
      <c r="I443" s="5" t="s">
        <v>6283</v>
      </c>
      <c r="J443" s="6" t="s">
        <v>42</v>
      </c>
      <c r="K443" s="5" t="s">
        <v>64</v>
      </c>
      <c r="L443" s="5" t="s">
        <v>7848</v>
      </c>
      <c r="M443" s="6">
        <v>10636.0</v>
      </c>
    </row>
    <row r="444" ht="56.25" customHeight="1">
      <c r="A444" s="5" t="s">
        <v>7850</v>
      </c>
      <c r="B444" s="6" t="str">
        <f>IMAGE("https://storage.googleapis.com/acdb/posters/PosterNpcSpWrl.png")</f>
        <v/>
      </c>
      <c r="C444" s="6">
        <v>1000.0</v>
      </c>
      <c r="D444" s="6">
        <v>250.0</v>
      </c>
      <c r="E444" s="5" t="s">
        <v>83</v>
      </c>
      <c r="F444" s="5" t="s">
        <v>39</v>
      </c>
      <c r="G444" s="6" t="s">
        <v>40</v>
      </c>
      <c r="H444" s="5" t="s">
        <v>6282</v>
      </c>
      <c r="I444" s="5" t="s">
        <v>6283</v>
      </c>
      <c r="J444" s="6" t="s">
        <v>42</v>
      </c>
      <c r="K444" s="5" t="s">
        <v>64</v>
      </c>
      <c r="L444" s="5" t="s">
        <v>7854</v>
      </c>
      <c r="M444" s="6">
        <v>10434.0</v>
      </c>
    </row>
    <row r="445" ht="56.25" customHeight="1">
      <c r="A445" s="5" t="s">
        <v>7855</v>
      </c>
      <c r="B445" s="6" t="str">
        <f>IMAGE("https://storage.googleapis.com/acdb/posters/PosterNpcNmlShp09.png")</f>
        <v/>
      </c>
      <c r="C445" s="6">
        <v>1000.0</v>
      </c>
      <c r="D445" s="6">
        <v>250.0</v>
      </c>
      <c r="E445" s="5" t="s">
        <v>114</v>
      </c>
      <c r="F445" s="5" t="s">
        <v>69</v>
      </c>
      <c r="G445" s="6" t="s">
        <v>40</v>
      </c>
      <c r="H445" s="5" t="s">
        <v>6282</v>
      </c>
      <c r="I445" s="5" t="s">
        <v>6283</v>
      </c>
      <c r="J445" s="6" t="s">
        <v>42</v>
      </c>
      <c r="K445" s="5" t="s">
        <v>64</v>
      </c>
      <c r="L445" s="5" t="s">
        <v>7857</v>
      </c>
      <c r="M445" s="6">
        <v>10381.0</v>
      </c>
    </row>
    <row r="446" ht="56.25" customHeight="1">
      <c r="A446" s="5" t="s">
        <v>7858</v>
      </c>
      <c r="B446" s="6" t="str">
        <f>IMAGE("https://storage.googleapis.com/acdb/posters/PosterNpcNmlWol03.png")</f>
        <v/>
      </c>
      <c r="C446" s="6">
        <v>1000.0</v>
      </c>
      <c r="D446" s="6">
        <v>250.0</v>
      </c>
      <c r="E446" s="5" t="s">
        <v>38</v>
      </c>
      <c r="F446" s="5" t="s">
        <v>83</v>
      </c>
      <c r="G446" s="6" t="s">
        <v>40</v>
      </c>
      <c r="H446" s="5" t="s">
        <v>6282</v>
      </c>
      <c r="I446" s="5" t="s">
        <v>6283</v>
      </c>
      <c r="J446" s="6" t="s">
        <v>42</v>
      </c>
      <c r="K446" s="5" t="s">
        <v>64</v>
      </c>
      <c r="L446" s="5" t="s">
        <v>7860</v>
      </c>
      <c r="M446" s="6">
        <v>10377.0</v>
      </c>
    </row>
    <row r="447" ht="56.25" customHeight="1">
      <c r="A447" s="5" t="s">
        <v>7861</v>
      </c>
      <c r="B447" s="6" t="str">
        <f>IMAGE("https://storage.googleapis.com/acdb/posters/PosterNpcNmlShp07.png")</f>
        <v/>
      </c>
      <c r="C447" s="6">
        <v>1000.0</v>
      </c>
      <c r="D447" s="6">
        <v>250.0</v>
      </c>
      <c r="E447" s="5" t="s">
        <v>68</v>
      </c>
      <c r="F447" s="5" t="s">
        <v>39</v>
      </c>
      <c r="G447" s="6" t="s">
        <v>40</v>
      </c>
      <c r="H447" s="5" t="s">
        <v>6282</v>
      </c>
      <c r="I447" s="5" t="s">
        <v>6283</v>
      </c>
      <c r="J447" s="6" t="s">
        <v>42</v>
      </c>
      <c r="K447" s="5" t="s">
        <v>64</v>
      </c>
      <c r="L447" s="5" t="s">
        <v>7863</v>
      </c>
      <c r="M447" s="6">
        <v>10327.0</v>
      </c>
    </row>
    <row r="448" ht="56.25" customHeight="1">
      <c r="A448" s="5" t="s">
        <v>7864</v>
      </c>
      <c r="B448" s="6" t="str">
        <f>IMAGE("https://storage.googleapis.com/acdb/posters/PosterNpcNmlHrs05.png")</f>
        <v/>
      </c>
      <c r="C448" s="6">
        <v>1000.0</v>
      </c>
      <c r="D448" s="6">
        <v>250.0</v>
      </c>
      <c r="E448" s="5" t="s">
        <v>68</v>
      </c>
      <c r="F448" s="5" t="s">
        <v>96</v>
      </c>
      <c r="G448" s="6" t="s">
        <v>40</v>
      </c>
      <c r="H448" s="5" t="s">
        <v>6282</v>
      </c>
      <c r="I448" s="5" t="s">
        <v>6283</v>
      </c>
      <c r="J448" s="6" t="s">
        <v>42</v>
      </c>
      <c r="K448" s="5" t="s">
        <v>64</v>
      </c>
      <c r="L448" s="5" t="s">
        <v>7866</v>
      </c>
      <c r="M448" s="6">
        <v>10663.0</v>
      </c>
    </row>
    <row r="449" ht="56.25" customHeight="1">
      <c r="A449" s="5" t="s">
        <v>7867</v>
      </c>
      <c r="B449" s="6" t="str">
        <f>IMAGE("https://storage.googleapis.com/acdb/posters/PosterNpcNmlWol02.png")</f>
        <v/>
      </c>
      <c r="C449" s="6">
        <v>1000.0</v>
      </c>
      <c r="D449" s="6">
        <v>250.0</v>
      </c>
      <c r="E449" s="5" t="s">
        <v>54</v>
      </c>
      <c r="F449" s="5" t="s">
        <v>57</v>
      </c>
      <c r="G449" s="6" t="s">
        <v>40</v>
      </c>
      <c r="H449" s="5" t="s">
        <v>6282</v>
      </c>
      <c r="I449" s="5" t="s">
        <v>6283</v>
      </c>
      <c r="J449" s="6" t="s">
        <v>42</v>
      </c>
      <c r="K449" s="5" t="s">
        <v>64</v>
      </c>
      <c r="L449" s="5" t="s">
        <v>7869</v>
      </c>
      <c r="M449" s="6">
        <v>10472.0</v>
      </c>
    </row>
    <row r="450" ht="56.25" customHeight="1">
      <c r="A450" s="5" t="s">
        <v>7870</v>
      </c>
      <c r="B450" s="6" t="str">
        <f>IMAGE("https://storage.googleapis.com/acdb/posters/PosterNpcNmlKal00.png")</f>
        <v/>
      </c>
      <c r="C450" s="6">
        <v>1000.0</v>
      </c>
      <c r="D450" s="6">
        <v>250.0</v>
      </c>
      <c r="E450" s="5" t="s">
        <v>114</v>
      </c>
      <c r="F450" s="5" t="s">
        <v>69</v>
      </c>
      <c r="G450" s="6" t="s">
        <v>40</v>
      </c>
      <c r="H450" s="5" t="s">
        <v>6282</v>
      </c>
      <c r="I450" s="5" t="s">
        <v>6283</v>
      </c>
      <c r="J450" s="6" t="s">
        <v>42</v>
      </c>
      <c r="K450" s="5" t="s">
        <v>64</v>
      </c>
      <c r="L450" s="5" t="s">
        <v>7871</v>
      </c>
      <c r="M450" s="6">
        <v>10683.0</v>
      </c>
    </row>
    <row r="451" ht="56.25" customHeight="1">
      <c r="A451" s="5" t="s">
        <v>7872</v>
      </c>
      <c r="B451" s="6" t="str">
        <f>IMAGE("https://storage.googleapis.com/acdb/posters/PosterNpcNmlDer02.png")</f>
        <v/>
      </c>
      <c r="C451" s="6">
        <v>1000.0</v>
      </c>
      <c r="D451" s="6">
        <v>250.0</v>
      </c>
      <c r="E451" s="5" t="s">
        <v>38</v>
      </c>
      <c r="F451" s="5" t="s">
        <v>68</v>
      </c>
      <c r="G451" s="6" t="s">
        <v>40</v>
      </c>
      <c r="H451" s="5" t="s">
        <v>6282</v>
      </c>
      <c r="I451" s="5" t="s">
        <v>6283</v>
      </c>
      <c r="J451" s="6" t="s">
        <v>42</v>
      </c>
      <c r="K451" s="5" t="s">
        <v>64</v>
      </c>
      <c r="L451" s="5" t="s">
        <v>7875</v>
      </c>
      <c r="M451" s="6">
        <v>10389.0</v>
      </c>
    </row>
    <row r="452" ht="56.25" customHeight="1">
      <c r="A452" s="5" t="s">
        <v>7876</v>
      </c>
      <c r="B452" s="6" t="str">
        <f>IMAGE("https://storage.googleapis.com/acdb/posters/PosterNpcSpPyn.png")</f>
        <v/>
      </c>
      <c r="C452" s="6">
        <v>1000.0</v>
      </c>
      <c r="D452" s="6">
        <v>250.0</v>
      </c>
      <c r="E452" s="5" t="s">
        <v>114</v>
      </c>
      <c r="F452" s="5" t="s">
        <v>69</v>
      </c>
      <c r="G452" s="6" t="s">
        <v>40</v>
      </c>
      <c r="H452" s="5" t="s">
        <v>6282</v>
      </c>
      <c r="I452" s="5" t="s">
        <v>6283</v>
      </c>
      <c r="J452" s="6" t="s">
        <v>42</v>
      </c>
      <c r="K452" s="5" t="s">
        <v>64</v>
      </c>
      <c r="L452" s="5" t="s">
        <v>7878</v>
      </c>
      <c r="M452" s="6">
        <v>10522.0</v>
      </c>
    </row>
    <row r="453" ht="56.25" customHeight="1">
      <c r="A453" s="5" t="s">
        <v>7879</v>
      </c>
      <c r="B453" s="6" t="str">
        <f>IMAGE("https://storage.googleapis.com/acdb/posters/PosterNpcNmlOcp02.png")</f>
        <v/>
      </c>
      <c r="C453" s="6">
        <v>1000.0</v>
      </c>
      <c r="D453" s="6">
        <v>250.0</v>
      </c>
      <c r="E453" s="5" t="s">
        <v>38</v>
      </c>
      <c r="F453" s="5" t="s">
        <v>68</v>
      </c>
      <c r="G453" s="6" t="s">
        <v>40</v>
      </c>
      <c r="H453" s="5" t="s">
        <v>6282</v>
      </c>
      <c r="I453" s="5" t="s">
        <v>6283</v>
      </c>
      <c r="J453" s="6" t="s">
        <v>42</v>
      </c>
      <c r="K453" s="5" t="s">
        <v>64</v>
      </c>
      <c r="L453" s="5" t="s">
        <v>7881</v>
      </c>
      <c r="M453" s="6">
        <v>10569.0</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4" width="10.86"/>
    <col customWidth="1" min="5" max="5" width="4.43"/>
    <col customWidth="1" min="6" max="6" width="10.86"/>
    <col customWidth="1" min="7" max="7" width="5.14"/>
    <col customWidth="1" min="8" max="8" width="9.43"/>
    <col customWidth="1" min="9" max="10" width="5.86"/>
    <col customWidth="1" min="11" max="12" width="8.0"/>
    <col customWidth="1" min="13" max="13" width="5.14"/>
    <col customWidth="1" min="14" max="14" width="8.0"/>
    <col customWidth="1" min="15" max="15" width="12.29"/>
    <col customWidth="1" min="16" max="16" width="25.14"/>
    <col customWidth="1" min="17" max="17" width="8.0"/>
    <col customWidth="1" min="18" max="18" width="10.86"/>
    <col customWidth="1" min="19" max="20" width="8.0"/>
  </cols>
  <sheetData>
    <row r="1" ht="56.25" customHeight="1">
      <c r="A1" s="1" t="s">
        <v>0</v>
      </c>
      <c r="B1" s="2" t="s">
        <v>1</v>
      </c>
      <c r="C1" s="1" t="s">
        <v>2</v>
      </c>
      <c r="D1" s="1" t="s">
        <v>3</v>
      </c>
      <c r="E1" s="1" t="s">
        <v>6</v>
      </c>
      <c r="F1" s="1" t="s">
        <v>5358</v>
      </c>
      <c r="G1" s="2" t="s">
        <v>9</v>
      </c>
      <c r="H1" s="1" t="s">
        <v>7892</v>
      </c>
      <c r="I1" s="2" t="s">
        <v>10</v>
      </c>
      <c r="J1" s="22" t="s">
        <v>11</v>
      </c>
      <c r="K1" s="23" t="s">
        <v>12</v>
      </c>
      <c r="L1" s="23" t="s">
        <v>13</v>
      </c>
      <c r="M1" s="2" t="s">
        <v>14</v>
      </c>
      <c r="N1" s="1" t="s">
        <v>7895</v>
      </c>
      <c r="O1" s="1" t="s">
        <v>15</v>
      </c>
      <c r="P1" s="1" t="s">
        <v>16</v>
      </c>
      <c r="Q1" s="2" t="s">
        <v>17</v>
      </c>
      <c r="R1" s="1" t="s">
        <v>27</v>
      </c>
      <c r="S1" s="2" t="s">
        <v>28</v>
      </c>
      <c r="T1" s="2" t="s">
        <v>29</v>
      </c>
    </row>
    <row r="2" ht="56.25" customHeight="1">
      <c r="A2" s="5" t="s">
        <v>7896</v>
      </c>
      <c r="B2" s="6" t="str">
        <f>IMAGE("https://storage.googleapis.com/acdb/tools/ToolAxe.png")</f>
        <v/>
      </c>
      <c r="C2" s="5" t="s">
        <v>34</v>
      </c>
      <c r="D2" s="5" t="s">
        <v>34</v>
      </c>
      <c r="E2" s="5" t="s">
        <v>35</v>
      </c>
      <c r="F2" s="5" t="s">
        <v>36</v>
      </c>
      <c r="G2" s="6" t="s">
        <v>34</v>
      </c>
      <c r="H2" s="5">
        <v>100.0</v>
      </c>
      <c r="I2" s="6">
        <v>2500.0</v>
      </c>
      <c r="J2" s="24">
        <v>625.0</v>
      </c>
      <c r="K2" s="25" t="s">
        <v>44</v>
      </c>
      <c r="L2" s="25" t="s">
        <v>44</v>
      </c>
      <c r="M2" s="6" t="s">
        <v>40</v>
      </c>
      <c r="N2" s="5" t="s">
        <v>44</v>
      </c>
      <c r="O2" s="5" t="s">
        <v>7899</v>
      </c>
      <c r="P2" s="5"/>
      <c r="Q2" s="6" t="s">
        <v>42</v>
      </c>
      <c r="R2" s="5" t="s">
        <v>7901</v>
      </c>
      <c r="S2" s="6" t="s">
        <v>34</v>
      </c>
      <c r="T2" s="6">
        <v>2100.0</v>
      </c>
    </row>
    <row r="3" ht="56.25" customHeight="1">
      <c r="A3" s="5" t="s">
        <v>7902</v>
      </c>
      <c r="B3" s="6" t="str">
        <f>IMAGE("https://storage.googleapis.com/acdb/tools/ToolStickBamboo.png")</f>
        <v/>
      </c>
      <c r="C3" s="5" t="s">
        <v>34</v>
      </c>
      <c r="D3" s="5" t="s">
        <v>34</v>
      </c>
      <c r="E3" s="5" t="s">
        <v>35</v>
      </c>
      <c r="F3" s="5" t="s">
        <v>36</v>
      </c>
      <c r="G3" s="6" t="s">
        <v>34</v>
      </c>
      <c r="H3" s="5" t="s">
        <v>7903</v>
      </c>
      <c r="I3" s="6" t="s">
        <v>37</v>
      </c>
      <c r="J3" s="24">
        <v>3900.0</v>
      </c>
      <c r="K3" s="25" t="s">
        <v>44</v>
      </c>
      <c r="L3" s="25" t="s">
        <v>44</v>
      </c>
      <c r="M3" s="6" t="s">
        <v>40</v>
      </c>
      <c r="N3" s="5" t="s">
        <v>44</v>
      </c>
      <c r="O3" s="5" t="s">
        <v>41</v>
      </c>
      <c r="P3" s="5" t="s">
        <v>265</v>
      </c>
      <c r="Q3" s="6" t="s">
        <v>42</v>
      </c>
      <c r="R3" s="5" t="s">
        <v>7905</v>
      </c>
      <c r="S3" s="6" t="s">
        <v>34</v>
      </c>
      <c r="T3" s="6">
        <v>7590.0</v>
      </c>
    </row>
    <row r="4" ht="56.25" customHeight="1">
      <c r="A4" s="5" t="s">
        <v>7906</v>
      </c>
      <c r="B4" s="6" t="str">
        <f>IMAGE("https://storage.googleapis.com/acdb/tools/ToolStcikInsect.png")</f>
        <v/>
      </c>
      <c r="C4" s="5" t="s">
        <v>34</v>
      </c>
      <c r="D4" s="5" t="s">
        <v>34</v>
      </c>
      <c r="E4" s="5" t="s">
        <v>36</v>
      </c>
      <c r="F4" s="5" t="s">
        <v>36</v>
      </c>
      <c r="G4" s="6" t="s">
        <v>34</v>
      </c>
      <c r="H4" s="5" t="s">
        <v>7903</v>
      </c>
      <c r="I4" s="6" t="s">
        <v>37</v>
      </c>
      <c r="J4" s="24">
        <v>1500.0</v>
      </c>
      <c r="K4" s="25" t="s">
        <v>44</v>
      </c>
      <c r="L4" s="25" t="s">
        <v>44</v>
      </c>
      <c r="M4" s="6" t="s">
        <v>40</v>
      </c>
      <c r="N4" s="5" t="s">
        <v>44</v>
      </c>
      <c r="O4" s="5" t="s">
        <v>393</v>
      </c>
      <c r="P4" s="5"/>
      <c r="Q4" s="6" t="s">
        <v>42</v>
      </c>
      <c r="R4" s="5" t="s">
        <v>7910</v>
      </c>
      <c r="S4" s="6" t="s">
        <v>34</v>
      </c>
      <c r="T4" s="6">
        <v>8769.0</v>
      </c>
    </row>
    <row r="5" ht="56.25" customHeight="1">
      <c r="A5" s="5" t="s">
        <v>7911</v>
      </c>
      <c r="B5" s="6" t="str">
        <f>IMAGE("https://storage.googleapis.com/acdb/tools/ToolStickEgg.png")</f>
        <v/>
      </c>
      <c r="C5" s="5" t="s">
        <v>34</v>
      </c>
      <c r="D5" s="5" t="s">
        <v>34</v>
      </c>
      <c r="E5" s="5" t="s">
        <v>35</v>
      </c>
      <c r="F5" s="5" t="s">
        <v>36</v>
      </c>
      <c r="G5" s="6" t="s">
        <v>34</v>
      </c>
      <c r="H5" s="5" t="s">
        <v>7903</v>
      </c>
      <c r="I5" s="6" t="s">
        <v>37</v>
      </c>
      <c r="J5" s="24">
        <v>11100.0</v>
      </c>
      <c r="K5" s="25" t="s">
        <v>44</v>
      </c>
      <c r="L5" s="25" t="s">
        <v>44</v>
      </c>
      <c r="M5" s="6" t="s">
        <v>40</v>
      </c>
      <c r="N5" s="5" t="s">
        <v>44</v>
      </c>
      <c r="O5" s="5" t="s">
        <v>41</v>
      </c>
      <c r="P5" s="5" t="s">
        <v>7913</v>
      </c>
      <c r="Q5" s="6" t="s">
        <v>1410</v>
      </c>
      <c r="R5" s="5" t="s">
        <v>7914</v>
      </c>
      <c r="S5" s="6" t="s">
        <v>34</v>
      </c>
      <c r="T5" s="6">
        <v>12578.0</v>
      </c>
    </row>
    <row r="6" ht="56.25" customHeight="1">
      <c r="A6" s="5" t="s">
        <v>7915</v>
      </c>
      <c r="B6" s="6" t="str">
        <f>IMAGE("https://storage.googleapis.com/acdb/tools/ToolStickCherryblossom.png")</f>
        <v/>
      </c>
      <c r="C6" s="5" t="s">
        <v>34</v>
      </c>
      <c r="D6" s="5" t="s">
        <v>34</v>
      </c>
      <c r="E6" s="5" t="s">
        <v>35</v>
      </c>
      <c r="F6" s="5" t="s">
        <v>36</v>
      </c>
      <c r="G6" s="6" t="s">
        <v>34</v>
      </c>
      <c r="H6" s="5" t="s">
        <v>7903</v>
      </c>
      <c r="I6" s="6" t="s">
        <v>37</v>
      </c>
      <c r="J6" s="24">
        <v>2700.0</v>
      </c>
      <c r="K6" s="25" t="s">
        <v>44</v>
      </c>
      <c r="L6" s="25" t="s">
        <v>44</v>
      </c>
      <c r="M6" s="6" t="s">
        <v>40</v>
      </c>
      <c r="N6" s="5" t="s">
        <v>44</v>
      </c>
      <c r="O6" s="5" t="s">
        <v>41</v>
      </c>
      <c r="P6" s="5"/>
      <c r="Q6" s="6" t="s">
        <v>42</v>
      </c>
      <c r="R6" s="5" t="s">
        <v>7918</v>
      </c>
      <c r="S6" s="6" t="s">
        <v>34</v>
      </c>
      <c r="T6" s="6">
        <v>7589.0</v>
      </c>
    </row>
    <row r="7" ht="56.25" customHeight="1">
      <c r="A7" s="5" t="s">
        <v>7919</v>
      </c>
      <c r="B7" s="6" t="str">
        <f>IMAGE("https://storage.googleapis.com/acdb/tools/ToolFishingrodDuck_Remake_0_0.png")</f>
        <v/>
      </c>
      <c r="C7" s="5" t="s">
        <v>114</v>
      </c>
      <c r="D7" s="5" t="s">
        <v>135</v>
      </c>
      <c r="E7" s="5" t="s">
        <v>36</v>
      </c>
      <c r="F7" s="5" t="s">
        <v>35</v>
      </c>
      <c r="G7" s="6">
        <v>1.0</v>
      </c>
      <c r="H7" s="5">
        <v>30.0</v>
      </c>
      <c r="I7" s="6">
        <v>2500.0</v>
      </c>
      <c r="J7" s="24">
        <v>625.0</v>
      </c>
      <c r="K7" s="25" t="s">
        <v>44</v>
      </c>
      <c r="L7" s="25" t="s">
        <v>44</v>
      </c>
      <c r="M7" s="6" t="s">
        <v>40</v>
      </c>
      <c r="N7" s="5" t="s">
        <v>7921</v>
      </c>
      <c r="O7" s="5" t="s">
        <v>59</v>
      </c>
      <c r="P7" s="5" t="s">
        <v>7922</v>
      </c>
      <c r="Q7" s="6" t="s">
        <v>42</v>
      </c>
      <c r="R7" s="5" t="s">
        <v>7923</v>
      </c>
      <c r="S7" s="6" t="s">
        <v>50</v>
      </c>
      <c r="T7" s="6">
        <v>8472.0</v>
      </c>
    </row>
    <row r="8" ht="56.25" customHeight="1">
      <c r="A8" s="5" t="s">
        <v>7919</v>
      </c>
      <c r="B8" s="6" t="str">
        <f>IMAGE("https://storage.googleapis.com/acdb/tools/ToolFishingrodDuck_Remake_1_0.png")</f>
        <v/>
      </c>
      <c r="C8" s="5" t="s">
        <v>142</v>
      </c>
      <c r="D8" s="5" t="s">
        <v>135</v>
      </c>
      <c r="E8" s="5" t="s">
        <v>36</v>
      </c>
      <c r="F8" s="5" t="s">
        <v>35</v>
      </c>
      <c r="G8" s="6">
        <v>1.0</v>
      </c>
      <c r="H8" s="5">
        <v>30.0</v>
      </c>
      <c r="I8" s="6">
        <v>2500.0</v>
      </c>
      <c r="J8" s="24">
        <v>625.0</v>
      </c>
      <c r="K8" s="25" t="s">
        <v>44</v>
      </c>
      <c r="L8" s="25" t="s">
        <v>44</v>
      </c>
      <c r="M8" s="6" t="s">
        <v>40</v>
      </c>
      <c r="N8" s="5" t="s">
        <v>7921</v>
      </c>
      <c r="O8" s="5" t="s">
        <v>59</v>
      </c>
      <c r="P8" s="5" t="s">
        <v>7922</v>
      </c>
      <c r="Q8" s="6" t="s">
        <v>42</v>
      </c>
      <c r="R8" s="5" t="s">
        <v>7926</v>
      </c>
      <c r="S8" s="6" t="s">
        <v>56</v>
      </c>
      <c r="T8" s="6">
        <v>8472.0</v>
      </c>
    </row>
    <row r="9" ht="56.25" customHeight="1">
      <c r="A9" s="5" t="s">
        <v>7919</v>
      </c>
      <c r="B9" s="6" t="str">
        <f>IMAGE("https://storage.googleapis.com/acdb/tools/ToolFishingrodDuck_Remake_2_0.png")</f>
        <v/>
      </c>
      <c r="C9" s="5" t="s">
        <v>83</v>
      </c>
      <c r="D9" s="5" t="s">
        <v>135</v>
      </c>
      <c r="E9" s="5" t="s">
        <v>36</v>
      </c>
      <c r="F9" s="5" t="s">
        <v>35</v>
      </c>
      <c r="G9" s="6">
        <v>1.0</v>
      </c>
      <c r="H9" s="5">
        <v>30.0</v>
      </c>
      <c r="I9" s="6">
        <v>2500.0</v>
      </c>
      <c r="J9" s="24">
        <v>625.0</v>
      </c>
      <c r="K9" s="25" t="s">
        <v>44</v>
      </c>
      <c r="L9" s="25" t="s">
        <v>44</v>
      </c>
      <c r="M9" s="6" t="s">
        <v>40</v>
      </c>
      <c r="N9" s="5" t="s">
        <v>7921</v>
      </c>
      <c r="O9" s="5" t="s">
        <v>59</v>
      </c>
      <c r="P9" s="5" t="s">
        <v>7922</v>
      </c>
      <c r="Q9" s="6" t="s">
        <v>42</v>
      </c>
      <c r="R9" s="5" t="s">
        <v>7928</v>
      </c>
      <c r="S9" s="6" t="s">
        <v>67</v>
      </c>
      <c r="T9" s="6">
        <v>8472.0</v>
      </c>
    </row>
    <row r="10" ht="56.25" customHeight="1">
      <c r="A10" s="5" t="s">
        <v>7919</v>
      </c>
      <c r="B10" s="6" t="str">
        <f>IMAGE("https://storage.googleapis.com/acdb/tools/ToolFishingrodDuck_Remake_3_0.png")</f>
        <v/>
      </c>
      <c r="C10" s="5" t="s">
        <v>69</v>
      </c>
      <c r="D10" s="5" t="s">
        <v>135</v>
      </c>
      <c r="E10" s="5" t="s">
        <v>36</v>
      </c>
      <c r="F10" s="5" t="s">
        <v>35</v>
      </c>
      <c r="G10" s="6">
        <v>1.0</v>
      </c>
      <c r="H10" s="5">
        <v>30.0</v>
      </c>
      <c r="I10" s="6">
        <v>2500.0</v>
      </c>
      <c r="J10" s="24">
        <v>625.0</v>
      </c>
      <c r="K10" s="25" t="s">
        <v>44</v>
      </c>
      <c r="L10" s="25" t="s">
        <v>44</v>
      </c>
      <c r="M10" s="6" t="s">
        <v>40</v>
      </c>
      <c r="N10" s="5" t="s">
        <v>7921</v>
      </c>
      <c r="O10" s="5" t="s">
        <v>59</v>
      </c>
      <c r="P10" s="5" t="s">
        <v>7922</v>
      </c>
      <c r="Q10" s="6" t="s">
        <v>42</v>
      </c>
      <c r="R10" s="5" t="s">
        <v>7930</v>
      </c>
      <c r="S10" s="6" t="s">
        <v>71</v>
      </c>
      <c r="T10" s="6">
        <v>8472.0</v>
      </c>
    </row>
    <row r="11" ht="56.25" customHeight="1">
      <c r="A11" s="5" t="s">
        <v>7919</v>
      </c>
      <c r="B11" s="6" t="str">
        <f>IMAGE("https://storage.googleapis.com/acdb/tools/ToolFishingrodDuck_Remake_4_0.png")</f>
        <v/>
      </c>
      <c r="C11" s="5" t="s">
        <v>96</v>
      </c>
      <c r="D11" s="5" t="s">
        <v>135</v>
      </c>
      <c r="E11" s="5" t="s">
        <v>36</v>
      </c>
      <c r="F11" s="5" t="s">
        <v>35</v>
      </c>
      <c r="G11" s="6">
        <v>1.0</v>
      </c>
      <c r="H11" s="5">
        <v>30.0</v>
      </c>
      <c r="I11" s="6">
        <v>2500.0</v>
      </c>
      <c r="J11" s="24">
        <v>625.0</v>
      </c>
      <c r="K11" s="25" t="s">
        <v>44</v>
      </c>
      <c r="L11" s="25" t="s">
        <v>44</v>
      </c>
      <c r="M11" s="6" t="s">
        <v>40</v>
      </c>
      <c r="N11" s="5" t="s">
        <v>7921</v>
      </c>
      <c r="O11" s="5" t="s">
        <v>59</v>
      </c>
      <c r="P11" s="5" t="s">
        <v>7922</v>
      </c>
      <c r="Q11" s="6" t="s">
        <v>42</v>
      </c>
      <c r="R11" s="5" t="s">
        <v>7933</v>
      </c>
      <c r="S11" s="6" t="s">
        <v>75</v>
      </c>
      <c r="T11" s="6">
        <v>8472.0</v>
      </c>
    </row>
    <row r="12" ht="56.25" customHeight="1">
      <c r="A12" s="5" t="s">
        <v>7919</v>
      </c>
      <c r="B12" s="6" t="str">
        <f>IMAGE("https://storage.googleapis.com/acdb/tools/ToolFishingrodDuck_Remake_5_0.png")</f>
        <v/>
      </c>
      <c r="C12" s="5" t="s">
        <v>106</v>
      </c>
      <c r="D12" s="5" t="s">
        <v>135</v>
      </c>
      <c r="E12" s="5" t="s">
        <v>36</v>
      </c>
      <c r="F12" s="5" t="s">
        <v>35</v>
      </c>
      <c r="G12" s="6">
        <v>1.0</v>
      </c>
      <c r="H12" s="5">
        <v>30.0</v>
      </c>
      <c r="I12" s="6">
        <v>2500.0</v>
      </c>
      <c r="J12" s="24">
        <v>625.0</v>
      </c>
      <c r="K12" s="25" t="s">
        <v>44</v>
      </c>
      <c r="L12" s="25" t="s">
        <v>44</v>
      </c>
      <c r="M12" s="6" t="s">
        <v>40</v>
      </c>
      <c r="N12" s="5" t="s">
        <v>7921</v>
      </c>
      <c r="O12" s="5" t="s">
        <v>59</v>
      </c>
      <c r="P12" s="5" t="s">
        <v>7922</v>
      </c>
      <c r="Q12" s="6" t="s">
        <v>42</v>
      </c>
      <c r="R12" s="5" t="s">
        <v>7935</v>
      </c>
      <c r="S12" s="6" t="s">
        <v>79</v>
      </c>
      <c r="T12" s="6">
        <v>8472.0</v>
      </c>
    </row>
    <row r="13" ht="56.25" customHeight="1">
      <c r="A13" s="5" t="s">
        <v>7919</v>
      </c>
      <c r="B13" s="6" t="str">
        <f>IMAGE("https://storage.googleapis.com/acdb/tools/ToolFishingrodDuck_Remake_6_0.png")</f>
        <v/>
      </c>
      <c r="C13" s="5" t="s">
        <v>57</v>
      </c>
      <c r="D13" s="5" t="s">
        <v>135</v>
      </c>
      <c r="E13" s="5" t="s">
        <v>36</v>
      </c>
      <c r="F13" s="5" t="s">
        <v>35</v>
      </c>
      <c r="G13" s="6">
        <v>1.0</v>
      </c>
      <c r="H13" s="5">
        <v>30.0</v>
      </c>
      <c r="I13" s="6">
        <v>2500.0</v>
      </c>
      <c r="J13" s="24">
        <v>625.0</v>
      </c>
      <c r="K13" s="25" t="s">
        <v>44</v>
      </c>
      <c r="L13" s="25" t="s">
        <v>44</v>
      </c>
      <c r="M13" s="6" t="s">
        <v>40</v>
      </c>
      <c r="N13" s="5" t="s">
        <v>7921</v>
      </c>
      <c r="O13" s="5" t="s">
        <v>59</v>
      </c>
      <c r="P13" s="5" t="s">
        <v>7922</v>
      </c>
      <c r="Q13" s="6" t="s">
        <v>42</v>
      </c>
      <c r="R13" s="5" t="s">
        <v>7938</v>
      </c>
      <c r="S13" s="6" t="s">
        <v>86</v>
      </c>
      <c r="T13" s="6">
        <v>8472.0</v>
      </c>
    </row>
    <row r="14" ht="56.25" customHeight="1">
      <c r="A14" s="5" t="s">
        <v>7919</v>
      </c>
      <c r="B14" s="6" t="str">
        <f>IMAGE("https://storage.googleapis.com/acdb/tools/ToolFishingrodDuck_Remake_7_0.png")</f>
        <v/>
      </c>
      <c r="C14" s="5" t="s">
        <v>95</v>
      </c>
      <c r="D14" s="5" t="s">
        <v>135</v>
      </c>
      <c r="E14" s="5" t="s">
        <v>36</v>
      </c>
      <c r="F14" s="5" t="s">
        <v>35</v>
      </c>
      <c r="G14" s="6">
        <v>1.0</v>
      </c>
      <c r="H14" s="5">
        <v>30.0</v>
      </c>
      <c r="I14" s="6">
        <v>2500.0</v>
      </c>
      <c r="J14" s="24">
        <v>625.0</v>
      </c>
      <c r="K14" s="25" t="s">
        <v>44</v>
      </c>
      <c r="L14" s="25" t="s">
        <v>44</v>
      </c>
      <c r="M14" s="6" t="s">
        <v>40</v>
      </c>
      <c r="N14" s="5" t="s">
        <v>7921</v>
      </c>
      <c r="O14" s="5" t="s">
        <v>59</v>
      </c>
      <c r="P14" s="5" t="s">
        <v>7922</v>
      </c>
      <c r="Q14" s="6" t="s">
        <v>42</v>
      </c>
      <c r="R14" s="5" t="s">
        <v>7941</v>
      </c>
      <c r="S14" s="6" t="s">
        <v>208</v>
      </c>
      <c r="T14" s="6">
        <v>8472.0</v>
      </c>
    </row>
    <row r="15" ht="56.25" customHeight="1">
      <c r="A15" s="5" t="s">
        <v>7942</v>
      </c>
      <c r="B15" s="6" t="str">
        <f>IMAGE("https://storage.googleapis.com/acdb/tools/ToolNetPattern_Remake_0_0.png")</f>
        <v/>
      </c>
      <c r="C15" s="5" t="s">
        <v>7943</v>
      </c>
      <c r="D15" s="5" t="s">
        <v>135</v>
      </c>
      <c r="E15" s="5" t="s">
        <v>36</v>
      </c>
      <c r="F15" s="5" t="s">
        <v>35</v>
      </c>
      <c r="G15" s="6">
        <v>1.0</v>
      </c>
      <c r="H15" s="5">
        <v>30.0</v>
      </c>
      <c r="I15" s="6">
        <v>2500.0</v>
      </c>
      <c r="J15" s="24">
        <v>625.0</v>
      </c>
      <c r="K15" s="25" t="s">
        <v>44</v>
      </c>
      <c r="L15" s="25" t="s">
        <v>44</v>
      </c>
      <c r="M15" s="6" t="s">
        <v>40</v>
      </c>
      <c r="N15" s="5" t="s">
        <v>7921</v>
      </c>
      <c r="O15" s="5" t="s">
        <v>59</v>
      </c>
      <c r="P15" s="5" t="s">
        <v>7922</v>
      </c>
      <c r="Q15" s="6" t="s">
        <v>42</v>
      </c>
      <c r="R15" s="5" t="s">
        <v>7946</v>
      </c>
      <c r="S15" s="6" t="s">
        <v>50</v>
      </c>
      <c r="T15" s="6">
        <v>8177.0</v>
      </c>
    </row>
    <row r="16" ht="56.25" customHeight="1">
      <c r="A16" s="5" t="s">
        <v>7942</v>
      </c>
      <c r="B16" s="6" t="str">
        <f>IMAGE("https://storage.googleapis.com/acdb/tools/ToolNetPattern_Remake_1_0.png")</f>
        <v/>
      </c>
      <c r="C16" s="5" t="s">
        <v>7948</v>
      </c>
      <c r="D16" s="5" t="s">
        <v>135</v>
      </c>
      <c r="E16" s="5" t="s">
        <v>36</v>
      </c>
      <c r="F16" s="5" t="s">
        <v>35</v>
      </c>
      <c r="G16" s="6">
        <v>1.0</v>
      </c>
      <c r="H16" s="5">
        <v>30.0</v>
      </c>
      <c r="I16" s="6">
        <v>2500.0</v>
      </c>
      <c r="J16" s="24">
        <v>625.0</v>
      </c>
      <c r="K16" s="25" t="s">
        <v>44</v>
      </c>
      <c r="L16" s="25" t="s">
        <v>44</v>
      </c>
      <c r="M16" s="6" t="s">
        <v>40</v>
      </c>
      <c r="N16" s="5" t="s">
        <v>7921</v>
      </c>
      <c r="O16" s="5" t="s">
        <v>59</v>
      </c>
      <c r="P16" s="5" t="s">
        <v>7922</v>
      </c>
      <c r="Q16" s="6" t="s">
        <v>42</v>
      </c>
      <c r="R16" s="5" t="s">
        <v>7949</v>
      </c>
      <c r="S16" s="6" t="s">
        <v>56</v>
      </c>
      <c r="T16" s="6">
        <v>8177.0</v>
      </c>
    </row>
    <row r="17" ht="56.25" customHeight="1">
      <c r="A17" s="5" t="s">
        <v>7942</v>
      </c>
      <c r="B17" s="6" t="str">
        <f>IMAGE("https://storage.googleapis.com/acdb/tools/ToolNetPattern_Remake_2_0.png")</f>
        <v/>
      </c>
      <c r="C17" s="5" t="s">
        <v>7953</v>
      </c>
      <c r="D17" s="5" t="s">
        <v>135</v>
      </c>
      <c r="E17" s="5" t="s">
        <v>36</v>
      </c>
      <c r="F17" s="5" t="s">
        <v>35</v>
      </c>
      <c r="G17" s="6">
        <v>1.0</v>
      </c>
      <c r="H17" s="5">
        <v>30.0</v>
      </c>
      <c r="I17" s="6">
        <v>2500.0</v>
      </c>
      <c r="J17" s="24">
        <v>625.0</v>
      </c>
      <c r="K17" s="25" t="s">
        <v>44</v>
      </c>
      <c r="L17" s="25" t="s">
        <v>44</v>
      </c>
      <c r="M17" s="6" t="s">
        <v>40</v>
      </c>
      <c r="N17" s="5" t="s">
        <v>7921</v>
      </c>
      <c r="O17" s="5" t="s">
        <v>59</v>
      </c>
      <c r="P17" s="5" t="s">
        <v>7922</v>
      </c>
      <c r="Q17" s="6" t="s">
        <v>42</v>
      </c>
      <c r="R17" s="5" t="s">
        <v>7955</v>
      </c>
      <c r="S17" s="6" t="s">
        <v>67</v>
      </c>
      <c r="T17" s="6">
        <v>8177.0</v>
      </c>
    </row>
    <row r="18" ht="56.25" customHeight="1">
      <c r="A18" s="5" t="s">
        <v>7942</v>
      </c>
      <c r="B18" s="6" t="str">
        <f>IMAGE("https://storage.googleapis.com/acdb/tools/ToolNetPattern_Remake_3_0.png")</f>
        <v/>
      </c>
      <c r="C18" s="5" t="s">
        <v>7957</v>
      </c>
      <c r="D18" s="5" t="s">
        <v>135</v>
      </c>
      <c r="E18" s="5" t="s">
        <v>36</v>
      </c>
      <c r="F18" s="5" t="s">
        <v>35</v>
      </c>
      <c r="G18" s="6">
        <v>1.0</v>
      </c>
      <c r="H18" s="5">
        <v>30.0</v>
      </c>
      <c r="I18" s="6">
        <v>2500.0</v>
      </c>
      <c r="J18" s="24">
        <v>625.0</v>
      </c>
      <c r="K18" s="25" t="s">
        <v>44</v>
      </c>
      <c r="L18" s="25" t="s">
        <v>44</v>
      </c>
      <c r="M18" s="6" t="s">
        <v>40</v>
      </c>
      <c r="N18" s="5" t="s">
        <v>7921</v>
      </c>
      <c r="O18" s="5" t="s">
        <v>59</v>
      </c>
      <c r="P18" s="5" t="s">
        <v>7922</v>
      </c>
      <c r="Q18" s="6" t="s">
        <v>42</v>
      </c>
      <c r="R18" s="5" t="s">
        <v>7958</v>
      </c>
      <c r="S18" s="6" t="s">
        <v>71</v>
      </c>
      <c r="T18" s="6">
        <v>8177.0</v>
      </c>
    </row>
    <row r="19" ht="56.25" customHeight="1">
      <c r="A19" s="5" t="s">
        <v>7942</v>
      </c>
      <c r="B19" s="6" t="str">
        <f>IMAGE("https://storage.googleapis.com/acdb/tools/ToolNetPattern_Remake_4_0.png")</f>
        <v/>
      </c>
      <c r="C19" s="5" t="s">
        <v>7961</v>
      </c>
      <c r="D19" s="5" t="s">
        <v>135</v>
      </c>
      <c r="E19" s="5" t="s">
        <v>36</v>
      </c>
      <c r="F19" s="5" t="s">
        <v>35</v>
      </c>
      <c r="G19" s="6">
        <v>1.0</v>
      </c>
      <c r="H19" s="5">
        <v>30.0</v>
      </c>
      <c r="I19" s="6">
        <v>2500.0</v>
      </c>
      <c r="J19" s="24">
        <v>625.0</v>
      </c>
      <c r="K19" s="25" t="s">
        <v>44</v>
      </c>
      <c r="L19" s="25" t="s">
        <v>44</v>
      </c>
      <c r="M19" s="6" t="s">
        <v>40</v>
      </c>
      <c r="N19" s="5" t="s">
        <v>7921</v>
      </c>
      <c r="O19" s="5" t="s">
        <v>59</v>
      </c>
      <c r="P19" s="5" t="s">
        <v>7922</v>
      </c>
      <c r="Q19" s="6" t="s">
        <v>42</v>
      </c>
      <c r="R19" s="5" t="s">
        <v>7963</v>
      </c>
      <c r="S19" s="6" t="s">
        <v>75</v>
      </c>
      <c r="T19" s="6">
        <v>8177.0</v>
      </c>
    </row>
    <row r="20" ht="56.25" customHeight="1">
      <c r="A20" s="5" t="s">
        <v>7942</v>
      </c>
      <c r="B20" s="6" t="str">
        <f>IMAGE("https://storage.googleapis.com/acdb/tools/ToolNetPattern_Remake_5_0.png")</f>
        <v/>
      </c>
      <c r="C20" s="5" t="s">
        <v>7965</v>
      </c>
      <c r="D20" s="5" t="s">
        <v>135</v>
      </c>
      <c r="E20" s="5" t="s">
        <v>36</v>
      </c>
      <c r="F20" s="5" t="s">
        <v>35</v>
      </c>
      <c r="G20" s="6">
        <v>1.0</v>
      </c>
      <c r="H20" s="5">
        <v>30.0</v>
      </c>
      <c r="I20" s="6">
        <v>2500.0</v>
      </c>
      <c r="J20" s="24">
        <v>625.0</v>
      </c>
      <c r="K20" s="25" t="s">
        <v>44</v>
      </c>
      <c r="L20" s="25" t="s">
        <v>44</v>
      </c>
      <c r="M20" s="6" t="s">
        <v>40</v>
      </c>
      <c r="N20" s="5" t="s">
        <v>7921</v>
      </c>
      <c r="O20" s="5" t="s">
        <v>59</v>
      </c>
      <c r="P20" s="5" t="s">
        <v>7922</v>
      </c>
      <c r="Q20" s="6" t="s">
        <v>42</v>
      </c>
      <c r="R20" s="5" t="s">
        <v>7967</v>
      </c>
      <c r="S20" s="6" t="s">
        <v>79</v>
      </c>
      <c r="T20" s="6">
        <v>8177.0</v>
      </c>
    </row>
    <row r="21" ht="56.25" customHeight="1">
      <c r="A21" s="5" t="s">
        <v>7942</v>
      </c>
      <c r="B21" s="6" t="str">
        <f>IMAGE("https://storage.googleapis.com/acdb/tools/ToolNetPattern_Remake_6_0.png")</f>
        <v/>
      </c>
      <c r="C21" s="5" t="s">
        <v>407</v>
      </c>
      <c r="D21" s="5" t="s">
        <v>135</v>
      </c>
      <c r="E21" s="5" t="s">
        <v>36</v>
      </c>
      <c r="F21" s="5" t="s">
        <v>35</v>
      </c>
      <c r="G21" s="6">
        <v>1.0</v>
      </c>
      <c r="H21" s="5">
        <v>30.0</v>
      </c>
      <c r="I21" s="6">
        <v>2500.0</v>
      </c>
      <c r="J21" s="24">
        <v>625.0</v>
      </c>
      <c r="K21" s="25" t="s">
        <v>44</v>
      </c>
      <c r="L21" s="25" t="s">
        <v>44</v>
      </c>
      <c r="M21" s="6" t="s">
        <v>40</v>
      </c>
      <c r="N21" s="5" t="s">
        <v>7921</v>
      </c>
      <c r="O21" s="5" t="s">
        <v>59</v>
      </c>
      <c r="P21" s="5" t="s">
        <v>7922</v>
      </c>
      <c r="Q21" s="6" t="s">
        <v>42</v>
      </c>
      <c r="R21" s="5" t="s">
        <v>7971</v>
      </c>
      <c r="S21" s="6" t="s">
        <v>86</v>
      </c>
      <c r="T21" s="6">
        <v>8177.0</v>
      </c>
    </row>
    <row r="22" ht="56.25" customHeight="1">
      <c r="A22" s="5" t="s">
        <v>7942</v>
      </c>
      <c r="B22" s="6" t="str">
        <f>IMAGE("https://storage.googleapis.com/acdb/tools/ToolNetPattern_Remake_7_0.png")</f>
        <v/>
      </c>
      <c r="C22" s="5" t="s">
        <v>7972</v>
      </c>
      <c r="D22" s="5" t="s">
        <v>135</v>
      </c>
      <c r="E22" s="5" t="s">
        <v>36</v>
      </c>
      <c r="F22" s="5" t="s">
        <v>35</v>
      </c>
      <c r="G22" s="6">
        <v>1.0</v>
      </c>
      <c r="H22" s="5">
        <v>30.0</v>
      </c>
      <c r="I22" s="6">
        <v>2500.0</v>
      </c>
      <c r="J22" s="24">
        <v>625.0</v>
      </c>
      <c r="K22" s="25" t="s">
        <v>44</v>
      </c>
      <c r="L22" s="25" t="s">
        <v>44</v>
      </c>
      <c r="M22" s="6" t="s">
        <v>40</v>
      </c>
      <c r="N22" s="5" t="s">
        <v>7921</v>
      </c>
      <c r="O22" s="5" t="s">
        <v>59</v>
      </c>
      <c r="P22" s="5" t="s">
        <v>7922</v>
      </c>
      <c r="Q22" s="6" t="s">
        <v>42</v>
      </c>
      <c r="R22" s="5" t="s">
        <v>7973</v>
      </c>
      <c r="S22" s="6" t="s">
        <v>208</v>
      </c>
      <c r="T22" s="6">
        <v>8177.0</v>
      </c>
    </row>
    <row r="23" ht="56.25" customHeight="1">
      <c r="A23" s="5" t="s">
        <v>7974</v>
      </c>
      <c r="B23" s="6" t="str">
        <f>IMAGE("https://storage.googleapis.com/acdb/tools/ToolScoopColorful_Remake_0_0.png")</f>
        <v/>
      </c>
      <c r="C23" s="5" t="s">
        <v>114</v>
      </c>
      <c r="D23" s="5" t="s">
        <v>135</v>
      </c>
      <c r="E23" s="5" t="s">
        <v>36</v>
      </c>
      <c r="F23" s="5" t="s">
        <v>35</v>
      </c>
      <c r="G23" s="6">
        <v>1.0</v>
      </c>
      <c r="H23" s="5">
        <v>100.0</v>
      </c>
      <c r="I23" s="6">
        <v>2500.0</v>
      </c>
      <c r="J23" s="24">
        <v>625.0</v>
      </c>
      <c r="K23" s="25" t="s">
        <v>44</v>
      </c>
      <c r="L23" s="25" t="s">
        <v>44</v>
      </c>
      <c r="M23" s="6" t="s">
        <v>40</v>
      </c>
      <c r="N23" s="5" t="s">
        <v>7921</v>
      </c>
      <c r="O23" s="5" t="s">
        <v>59</v>
      </c>
      <c r="P23" s="5" t="s">
        <v>7922</v>
      </c>
      <c r="Q23" s="6" t="s">
        <v>42</v>
      </c>
      <c r="R23" s="5" t="s">
        <v>7977</v>
      </c>
      <c r="S23" s="6" t="s">
        <v>50</v>
      </c>
      <c r="T23" s="6">
        <v>8577.0</v>
      </c>
    </row>
    <row r="24" ht="56.25" customHeight="1">
      <c r="A24" s="5" t="s">
        <v>7974</v>
      </c>
      <c r="B24" s="6" t="str">
        <f>IMAGE("https://storage.googleapis.com/acdb/tools/ToolScoopColorful_Remake_1_0.png")</f>
        <v/>
      </c>
      <c r="C24" s="5" t="s">
        <v>52</v>
      </c>
      <c r="D24" s="5" t="s">
        <v>135</v>
      </c>
      <c r="E24" s="5" t="s">
        <v>36</v>
      </c>
      <c r="F24" s="5" t="s">
        <v>35</v>
      </c>
      <c r="G24" s="6">
        <v>1.0</v>
      </c>
      <c r="H24" s="5">
        <v>100.0</v>
      </c>
      <c r="I24" s="6">
        <v>2500.0</v>
      </c>
      <c r="J24" s="24">
        <v>625.0</v>
      </c>
      <c r="K24" s="25" t="s">
        <v>44</v>
      </c>
      <c r="L24" s="25" t="s">
        <v>44</v>
      </c>
      <c r="M24" s="6" t="s">
        <v>40</v>
      </c>
      <c r="N24" s="5" t="s">
        <v>7921</v>
      </c>
      <c r="O24" s="5" t="s">
        <v>59</v>
      </c>
      <c r="P24" s="5" t="s">
        <v>7922</v>
      </c>
      <c r="Q24" s="6" t="s">
        <v>42</v>
      </c>
      <c r="R24" s="5" t="s">
        <v>7979</v>
      </c>
      <c r="S24" s="6" t="s">
        <v>56</v>
      </c>
      <c r="T24" s="6">
        <v>8577.0</v>
      </c>
    </row>
    <row r="25" ht="56.25" customHeight="1">
      <c r="A25" s="5" t="s">
        <v>7974</v>
      </c>
      <c r="B25" s="6" t="str">
        <f>IMAGE("https://storage.googleapis.com/acdb/tools/ToolScoopColorful_Remake_2_0.png")</f>
        <v/>
      </c>
      <c r="C25" s="5" t="s">
        <v>68</v>
      </c>
      <c r="D25" s="5" t="s">
        <v>135</v>
      </c>
      <c r="E25" s="5" t="s">
        <v>36</v>
      </c>
      <c r="F25" s="5" t="s">
        <v>35</v>
      </c>
      <c r="G25" s="6">
        <v>1.0</v>
      </c>
      <c r="H25" s="5">
        <v>100.0</v>
      </c>
      <c r="I25" s="6">
        <v>2500.0</v>
      </c>
      <c r="J25" s="24">
        <v>625.0</v>
      </c>
      <c r="K25" s="25" t="s">
        <v>44</v>
      </c>
      <c r="L25" s="25" t="s">
        <v>44</v>
      </c>
      <c r="M25" s="6" t="s">
        <v>40</v>
      </c>
      <c r="N25" s="5" t="s">
        <v>7921</v>
      </c>
      <c r="O25" s="5" t="s">
        <v>59</v>
      </c>
      <c r="P25" s="5" t="s">
        <v>7922</v>
      </c>
      <c r="Q25" s="6" t="s">
        <v>42</v>
      </c>
      <c r="R25" s="5" t="s">
        <v>7981</v>
      </c>
      <c r="S25" s="6" t="s">
        <v>67</v>
      </c>
      <c r="T25" s="6">
        <v>8577.0</v>
      </c>
    </row>
    <row r="26" ht="56.25" customHeight="1">
      <c r="A26" s="5" t="s">
        <v>7974</v>
      </c>
      <c r="B26" s="6" t="str">
        <f>IMAGE("https://storage.googleapis.com/acdb/tools/ToolScoopColorful_Remake_3_0.png")</f>
        <v/>
      </c>
      <c r="C26" s="5" t="s">
        <v>69</v>
      </c>
      <c r="D26" s="5" t="s">
        <v>135</v>
      </c>
      <c r="E26" s="5" t="s">
        <v>36</v>
      </c>
      <c r="F26" s="5" t="s">
        <v>35</v>
      </c>
      <c r="G26" s="6">
        <v>1.0</v>
      </c>
      <c r="H26" s="5">
        <v>100.0</v>
      </c>
      <c r="I26" s="6">
        <v>2500.0</v>
      </c>
      <c r="J26" s="24">
        <v>625.0</v>
      </c>
      <c r="K26" s="25" t="s">
        <v>44</v>
      </c>
      <c r="L26" s="25" t="s">
        <v>44</v>
      </c>
      <c r="M26" s="6" t="s">
        <v>40</v>
      </c>
      <c r="N26" s="5" t="s">
        <v>7921</v>
      </c>
      <c r="O26" s="5" t="s">
        <v>59</v>
      </c>
      <c r="P26" s="5" t="s">
        <v>7922</v>
      </c>
      <c r="Q26" s="6" t="s">
        <v>42</v>
      </c>
      <c r="R26" s="5" t="s">
        <v>7984</v>
      </c>
      <c r="S26" s="6" t="s">
        <v>71</v>
      </c>
      <c r="T26" s="6">
        <v>8577.0</v>
      </c>
    </row>
    <row r="27" ht="56.25" customHeight="1">
      <c r="A27" s="5" t="s">
        <v>7974</v>
      </c>
      <c r="B27" s="6" t="str">
        <f>IMAGE("https://storage.googleapis.com/acdb/tools/ToolScoopColorful_Remake_4_0.png")</f>
        <v/>
      </c>
      <c r="C27" s="5" t="s">
        <v>96</v>
      </c>
      <c r="D27" s="5" t="s">
        <v>135</v>
      </c>
      <c r="E27" s="5" t="s">
        <v>36</v>
      </c>
      <c r="F27" s="5" t="s">
        <v>35</v>
      </c>
      <c r="G27" s="6">
        <v>1.0</v>
      </c>
      <c r="H27" s="5">
        <v>100.0</v>
      </c>
      <c r="I27" s="6">
        <v>2500.0</v>
      </c>
      <c r="J27" s="24">
        <v>625.0</v>
      </c>
      <c r="K27" s="25" t="s">
        <v>44</v>
      </c>
      <c r="L27" s="25" t="s">
        <v>44</v>
      </c>
      <c r="M27" s="6" t="s">
        <v>40</v>
      </c>
      <c r="N27" s="5" t="s">
        <v>7921</v>
      </c>
      <c r="O27" s="5" t="s">
        <v>59</v>
      </c>
      <c r="P27" s="5" t="s">
        <v>7922</v>
      </c>
      <c r="Q27" s="6" t="s">
        <v>42</v>
      </c>
      <c r="R27" s="5" t="s">
        <v>7987</v>
      </c>
      <c r="S27" s="6" t="s">
        <v>75</v>
      </c>
      <c r="T27" s="6">
        <v>8577.0</v>
      </c>
    </row>
    <row r="28" ht="56.25" customHeight="1">
      <c r="A28" s="5" t="s">
        <v>7974</v>
      </c>
      <c r="B28" s="6" t="str">
        <f>IMAGE("https://storage.googleapis.com/acdb/tools/ToolScoopColorful_Remake_5_0.png")</f>
        <v/>
      </c>
      <c r="C28" s="5" t="s">
        <v>106</v>
      </c>
      <c r="D28" s="5" t="s">
        <v>135</v>
      </c>
      <c r="E28" s="5" t="s">
        <v>36</v>
      </c>
      <c r="F28" s="5" t="s">
        <v>35</v>
      </c>
      <c r="G28" s="6">
        <v>1.0</v>
      </c>
      <c r="H28" s="5">
        <v>100.0</v>
      </c>
      <c r="I28" s="6">
        <v>2500.0</v>
      </c>
      <c r="J28" s="24">
        <v>625.0</v>
      </c>
      <c r="K28" s="25" t="s">
        <v>44</v>
      </c>
      <c r="L28" s="25" t="s">
        <v>44</v>
      </c>
      <c r="M28" s="6" t="s">
        <v>40</v>
      </c>
      <c r="N28" s="5" t="s">
        <v>7921</v>
      </c>
      <c r="O28" s="5" t="s">
        <v>59</v>
      </c>
      <c r="P28" s="5" t="s">
        <v>7922</v>
      </c>
      <c r="Q28" s="6" t="s">
        <v>42</v>
      </c>
      <c r="R28" s="5" t="s">
        <v>7989</v>
      </c>
      <c r="S28" s="6" t="s">
        <v>79</v>
      </c>
      <c r="T28" s="6">
        <v>8577.0</v>
      </c>
    </row>
    <row r="29" ht="56.25" customHeight="1">
      <c r="A29" s="5" t="s">
        <v>7974</v>
      </c>
      <c r="B29" s="6" t="str">
        <f>IMAGE("https://storage.googleapis.com/acdb/tools/ToolScoopColorful_Remake_6_0.png")</f>
        <v/>
      </c>
      <c r="C29" s="5" t="s">
        <v>57</v>
      </c>
      <c r="D29" s="5" t="s">
        <v>135</v>
      </c>
      <c r="E29" s="5" t="s">
        <v>36</v>
      </c>
      <c r="F29" s="5" t="s">
        <v>35</v>
      </c>
      <c r="G29" s="6">
        <v>1.0</v>
      </c>
      <c r="H29" s="5">
        <v>100.0</v>
      </c>
      <c r="I29" s="6">
        <v>2500.0</v>
      </c>
      <c r="J29" s="24">
        <v>625.0</v>
      </c>
      <c r="K29" s="25" t="s">
        <v>44</v>
      </c>
      <c r="L29" s="25" t="s">
        <v>44</v>
      </c>
      <c r="M29" s="6" t="s">
        <v>40</v>
      </c>
      <c r="N29" s="5" t="s">
        <v>7921</v>
      </c>
      <c r="O29" s="5" t="s">
        <v>59</v>
      </c>
      <c r="P29" s="5" t="s">
        <v>7922</v>
      </c>
      <c r="Q29" s="6" t="s">
        <v>42</v>
      </c>
      <c r="R29" s="5" t="s">
        <v>7992</v>
      </c>
      <c r="S29" s="6" t="s">
        <v>86</v>
      </c>
      <c r="T29" s="6">
        <v>8577.0</v>
      </c>
    </row>
    <row r="30" ht="56.25" customHeight="1">
      <c r="A30" s="5" t="s">
        <v>7974</v>
      </c>
      <c r="B30" s="6" t="str">
        <f>IMAGE("https://storage.googleapis.com/acdb/tools/ToolScoopColorful_Remake_7_0.png")</f>
        <v/>
      </c>
      <c r="C30" s="5" t="s">
        <v>54</v>
      </c>
      <c r="D30" s="5" t="s">
        <v>135</v>
      </c>
      <c r="E30" s="5" t="s">
        <v>36</v>
      </c>
      <c r="F30" s="5" t="s">
        <v>35</v>
      </c>
      <c r="G30" s="6">
        <v>1.0</v>
      </c>
      <c r="H30" s="5">
        <v>100.0</v>
      </c>
      <c r="I30" s="6">
        <v>2500.0</v>
      </c>
      <c r="J30" s="24">
        <v>625.0</v>
      </c>
      <c r="K30" s="25" t="s">
        <v>44</v>
      </c>
      <c r="L30" s="25" t="s">
        <v>44</v>
      </c>
      <c r="M30" s="6" t="s">
        <v>40</v>
      </c>
      <c r="N30" s="5" t="s">
        <v>7921</v>
      </c>
      <c r="O30" s="5" t="s">
        <v>59</v>
      </c>
      <c r="P30" s="5" t="s">
        <v>7922</v>
      </c>
      <c r="Q30" s="6" t="s">
        <v>42</v>
      </c>
      <c r="R30" s="5" t="s">
        <v>7993</v>
      </c>
      <c r="S30" s="6" t="s">
        <v>208</v>
      </c>
      <c r="T30" s="6">
        <v>8577.0</v>
      </c>
    </row>
    <row r="31" ht="56.25" customHeight="1">
      <c r="A31" s="5" t="s">
        <v>7995</v>
      </c>
      <c r="B31" s="6" t="str">
        <f>IMAGE("https://storage.googleapis.com/acdb/tools/ToolSlingshotColorful_Remake_0_0.png")</f>
        <v/>
      </c>
      <c r="C31" s="5" t="s">
        <v>114</v>
      </c>
      <c r="D31" s="5" t="s">
        <v>135</v>
      </c>
      <c r="E31" s="5" t="s">
        <v>36</v>
      </c>
      <c r="F31" s="5" t="s">
        <v>35</v>
      </c>
      <c r="G31" s="6">
        <v>1.0</v>
      </c>
      <c r="H31" s="5">
        <v>20.0</v>
      </c>
      <c r="I31" s="6">
        <v>2500.0</v>
      </c>
      <c r="J31" s="24">
        <v>625.0</v>
      </c>
      <c r="K31" s="25" t="s">
        <v>44</v>
      </c>
      <c r="L31" s="25" t="s">
        <v>44</v>
      </c>
      <c r="M31" s="6" t="s">
        <v>40</v>
      </c>
      <c r="N31" s="5" t="s">
        <v>7921</v>
      </c>
      <c r="O31" s="5" t="s">
        <v>59</v>
      </c>
      <c r="P31" s="5" t="s">
        <v>7922</v>
      </c>
      <c r="Q31" s="6" t="s">
        <v>42</v>
      </c>
      <c r="R31" s="5" t="s">
        <v>7997</v>
      </c>
      <c r="S31" s="6" t="s">
        <v>50</v>
      </c>
      <c r="T31" s="6">
        <v>8580.0</v>
      </c>
    </row>
    <row r="32" ht="56.25" customHeight="1">
      <c r="A32" s="5" t="s">
        <v>7995</v>
      </c>
      <c r="B32" s="6" t="str">
        <f>IMAGE("https://storage.googleapis.com/acdb/tools/ToolSlingshotColorful_Remake_1_0.png")</f>
        <v/>
      </c>
      <c r="C32" s="5" t="s">
        <v>52</v>
      </c>
      <c r="D32" s="5" t="s">
        <v>135</v>
      </c>
      <c r="E32" s="5" t="s">
        <v>36</v>
      </c>
      <c r="F32" s="5" t="s">
        <v>35</v>
      </c>
      <c r="G32" s="6">
        <v>1.0</v>
      </c>
      <c r="H32" s="5">
        <v>20.0</v>
      </c>
      <c r="I32" s="6">
        <v>2500.0</v>
      </c>
      <c r="J32" s="24">
        <v>625.0</v>
      </c>
      <c r="K32" s="25" t="s">
        <v>44</v>
      </c>
      <c r="L32" s="25" t="s">
        <v>44</v>
      </c>
      <c r="M32" s="6" t="s">
        <v>40</v>
      </c>
      <c r="N32" s="5" t="s">
        <v>7921</v>
      </c>
      <c r="O32" s="5" t="s">
        <v>59</v>
      </c>
      <c r="P32" s="5" t="s">
        <v>7922</v>
      </c>
      <c r="Q32" s="6" t="s">
        <v>42</v>
      </c>
      <c r="R32" s="5" t="s">
        <v>8002</v>
      </c>
      <c r="S32" s="6" t="s">
        <v>56</v>
      </c>
      <c r="T32" s="6">
        <v>8580.0</v>
      </c>
    </row>
    <row r="33" ht="56.25" customHeight="1">
      <c r="A33" s="5" t="s">
        <v>7995</v>
      </c>
      <c r="B33" s="6" t="str">
        <f>IMAGE("https://storage.googleapis.com/acdb/tools/ToolSlingshotColorful_Remake_2_0.png")</f>
        <v/>
      </c>
      <c r="C33" s="5" t="s">
        <v>68</v>
      </c>
      <c r="D33" s="5" t="s">
        <v>135</v>
      </c>
      <c r="E33" s="5" t="s">
        <v>36</v>
      </c>
      <c r="F33" s="5" t="s">
        <v>35</v>
      </c>
      <c r="G33" s="6">
        <v>1.0</v>
      </c>
      <c r="H33" s="5">
        <v>20.0</v>
      </c>
      <c r="I33" s="6">
        <v>2500.0</v>
      </c>
      <c r="J33" s="24">
        <v>625.0</v>
      </c>
      <c r="K33" s="25" t="s">
        <v>44</v>
      </c>
      <c r="L33" s="25" t="s">
        <v>44</v>
      </c>
      <c r="M33" s="6" t="s">
        <v>40</v>
      </c>
      <c r="N33" s="5" t="s">
        <v>7921</v>
      </c>
      <c r="O33" s="5" t="s">
        <v>59</v>
      </c>
      <c r="P33" s="5" t="s">
        <v>7922</v>
      </c>
      <c r="Q33" s="6" t="s">
        <v>42</v>
      </c>
      <c r="R33" s="5" t="s">
        <v>8005</v>
      </c>
      <c r="S33" s="6" t="s">
        <v>67</v>
      </c>
      <c r="T33" s="6">
        <v>8580.0</v>
      </c>
    </row>
    <row r="34" ht="56.25" customHeight="1">
      <c r="A34" s="5" t="s">
        <v>7995</v>
      </c>
      <c r="B34" s="6" t="str">
        <f>IMAGE("https://storage.googleapis.com/acdb/tools/ToolSlingshotColorful_Remake_3_0.png")</f>
        <v/>
      </c>
      <c r="C34" s="5" t="s">
        <v>69</v>
      </c>
      <c r="D34" s="5" t="s">
        <v>135</v>
      </c>
      <c r="E34" s="5" t="s">
        <v>36</v>
      </c>
      <c r="F34" s="5" t="s">
        <v>35</v>
      </c>
      <c r="G34" s="6">
        <v>1.0</v>
      </c>
      <c r="H34" s="5">
        <v>20.0</v>
      </c>
      <c r="I34" s="6">
        <v>2500.0</v>
      </c>
      <c r="J34" s="24">
        <v>625.0</v>
      </c>
      <c r="K34" s="25" t="s">
        <v>44</v>
      </c>
      <c r="L34" s="25" t="s">
        <v>44</v>
      </c>
      <c r="M34" s="6" t="s">
        <v>40</v>
      </c>
      <c r="N34" s="5" t="s">
        <v>7921</v>
      </c>
      <c r="O34" s="5" t="s">
        <v>59</v>
      </c>
      <c r="P34" s="5" t="s">
        <v>7922</v>
      </c>
      <c r="Q34" s="6" t="s">
        <v>42</v>
      </c>
      <c r="R34" s="5" t="s">
        <v>8008</v>
      </c>
      <c r="S34" s="6" t="s">
        <v>71</v>
      </c>
      <c r="T34" s="6">
        <v>8580.0</v>
      </c>
    </row>
    <row r="35" ht="56.25" customHeight="1">
      <c r="A35" s="5" t="s">
        <v>7995</v>
      </c>
      <c r="B35" s="6" t="str">
        <f>IMAGE("https://storage.googleapis.com/acdb/tools/ToolSlingshotColorful_Remake_4_0.png")</f>
        <v/>
      </c>
      <c r="C35" s="5" t="s">
        <v>96</v>
      </c>
      <c r="D35" s="5" t="s">
        <v>135</v>
      </c>
      <c r="E35" s="5" t="s">
        <v>36</v>
      </c>
      <c r="F35" s="5" t="s">
        <v>35</v>
      </c>
      <c r="G35" s="6">
        <v>1.0</v>
      </c>
      <c r="H35" s="5">
        <v>20.0</v>
      </c>
      <c r="I35" s="6">
        <v>2500.0</v>
      </c>
      <c r="J35" s="24">
        <v>625.0</v>
      </c>
      <c r="K35" s="25" t="s">
        <v>44</v>
      </c>
      <c r="L35" s="25" t="s">
        <v>44</v>
      </c>
      <c r="M35" s="6" t="s">
        <v>40</v>
      </c>
      <c r="N35" s="5" t="s">
        <v>7921</v>
      </c>
      <c r="O35" s="5" t="s">
        <v>59</v>
      </c>
      <c r="P35" s="5" t="s">
        <v>7922</v>
      </c>
      <c r="Q35" s="6" t="s">
        <v>42</v>
      </c>
      <c r="R35" s="5" t="s">
        <v>8011</v>
      </c>
      <c r="S35" s="6" t="s">
        <v>75</v>
      </c>
      <c r="T35" s="6">
        <v>8580.0</v>
      </c>
    </row>
    <row r="36" ht="56.25" customHeight="1">
      <c r="A36" s="5" t="s">
        <v>7995</v>
      </c>
      <c r="B36" s="6" t="str">
        <f>IMAGE("https://storage.googleapis.com/acdb/tools/ToolSlingshotColorful_Remake_5_0.png")</f>
        <v/>
      </c>
      <c r="C36" s="5" t="s">
        <v>106</v>
      </c>
      <c r="D36" s="5" t="s">
        <v>135</v>
      </c>
      <c r="E36" s="5" t="s">
        <v>36</v>
      </c>
      <c r="F36" s="5" t="s">
        <v>35</v>
      </c>
      <c r="G36" s="6">
        <v>1.0</v>
      </c>
      <c r="H36" s="5">
        <v>20.0</v>
      </c>
      <c r="I36" s="6">
        <v>2500.0</v>
      </c>
      <c r="J36" s="24">
        <v>625.0</v>
      </c>
      <c r="K36" s="25" t="s">
        <v>44</v>
      </c>
      <c r="L36" s="25" t="s">
        <v>44</v>
      </c>
      <c r="M36" s="6" t="s">
        <v>40</v>
      </c>
      <c r="N36" s="5" t="s">
        <v>7921</v>
      </c>
      <c r="O36" s="5" t="s">
        <v>59</v>
      </c>
      <c r="P36" s="5" t="s">
        <v>7922</v>
      </c>
      <c r="Q36" s="6" t="s">
        <v>42</v>
      </c>
      <c r="R36" s="5" t="s">
        <v>8013</v>
      </c>
      <c r="S36" s="6" t="s">
        <v>79</v>
      </c>
      <c r="T36" s="6">
        <v>8580.0</v>
      </c>
    </row>
    <row r="37" ht="56.25" customHeight="1">
      <c r="A37" s="5" t="s">
        <v>7995</v>
      </c>
      <c r="B37" s="6" t="str">
        <f>IMAGE("https://storage.googleapis.com/acdb/tools/ToolSlingshotColorful_Remake_6_0.png")</f>
        <v/>
      </c>
      <c r="C37" s="5" t="s">
        <v>57</v>
      </c>
      <c r="D37" s="5" t="s">
        <v>135</v>
      </c>
      <c r="E37" s="5" t="s">
        <v>36</v>
      </c>
      <c r="F37" s="5" t="s">
        <v>35</v>
      </c>
      <c r="G37" s="6">
        <v>1.0</v>
      </c>
      <c r="H37" s="5">
        <v>20.0</v>
      </c>
      <c r="I37" s="6">
        <v>2500.0</v>
      </c>
      <c r="J37" s="24">
        <v>625.0</v>
      </c>
      <c r="K37" s="25" t="s">
        <v>44</v>
      </c>
      <c r="L37" s="25" t="s">
        <v>44</v>
      </c>
      <c r="M37" s="6" t="s">
        <v>40</v>
      </c>
      <c r="N37" s="5" t="s">
        <v>7921</v>
      </c>
      <c r="O37" s="5" t="s">
        <v>59</v>
      </c>
      <c r="P37" s="5" t="s">
        <v>7922</v>
      </c>
      <c r="Q37" s="6" t="s">
        <v>42</v>
      </c>
      <c r="R37" s="5" t="s">
        <v>8016</v>
      </c>
      <c r="S37" s="6" t="s">
        <v>86</v>
      </c>
      <c r="T37" s="6">
        <v>8580.0</v>
      </c>
    </row>
    <row r="38" ht="56.25" customHeight="1">
      <c r="A38" s="5" t="s">
        <v>7995</v>
      </c>
      <c r="B38" s="6" t="str">
        <f>IMAGE("https://storage.googleapis.com/acdb/tools/ToolSlingshotColorful_Remake_7_0.png")</f>
        <v/>
      </c>
      <c r="C38" s="5" t="s">
        <v>54</v>
      </c>
      <c r="D38" s="5" t="s">
        <v>135</v>
      </c>
      <c r="E38" s="5" t="s">
        <v>36</v>
      </c>
      <c r="F38" s="5" t="s">
        <v>35</v>
      </c>
      <c r="G38" s="6">
        <v>1.0</v>
      </c>
      <c r="H38" s="5">
        <v>20.0</v>
      </c>
      <c r="I38" s="6">
        <v>2500.0</v>
      </c>
      <c r="J38" s="24">
        <v>625.0</v>
      </c>
      <c r="K38" s="25" t="s">
        <v>44</v>
      </c>
      <c r="L38" s="25" t="s">
        <v>44</v>
      </c>
      <c r="M38" s="6" t="s">
        <v>40</v>
      </c>
      <c r="N38" s="5" t="s">
        <v>7921</v>
      </c>
      <c r="O38" s="5" t="s">
        <v>59</v>
      </c>
      <c r="P38" s="5" t="s">
        <v>7922</v>
      </c>
      <c r="Q38" s="6" t="s">
        <v>42</v>
      </c>
      <c r="R38" s="5" t="s">
        <v>8019</v>
      </c>
      <c r="S38" s="6" t="s">
        <v>208</v>
      </c>
      <c r="T38" s="6">
        <v>8580.0</v>
      </c>
    </row>
    <row r="39" ht="56.25" customHeight="1">
      <c r="A39" s="5" t="s">
        <v>8020</v>
      </c>
      <c r="B39" s="6" t="str">
        <f>IMAGE("https://storage.googleapis.com/acdb/tools/ToolWateringColorful_Remake_0_0.png")</f>
        <v/>
      </c>
      <c r="C39" s="5" t="s">
        <v>114</v>
      </c>
      <c r="D39" s="5" t="s">
        <v>135</v>
      </c>
      <c r="E39" s="5" t="s">
        <v>36</v>
      </c>
      <c r="F39" s="5" t="s">
        <v>35</v>
      </c>
      <c r="G39" s="6">
        <v>1.0</v>
      </c>
      <c r="H39" s="5">
        <v>60.0</v>
      </c>
      <c r="I39" s="6">
        <v>2500.0</v>
      </c>
      <c r="J39" s="24">
        <v>625.0</v>
      </c>
      <c r="K39" s="25" t="s">
        <v>44</v>
      </c>
      <c r="L39" s="25" t="s">
        <v>44</v>
      </c>
      <c r="M39" s="6" t="s">
        <v>40</v>
      </c>
      <c r="N39" s="5" t="s">
        <v>7921</v>
      </c>
      <c r="O39" s="5" t="s">
        <v>59</v>
      </c>
      <c r="P39" s="5" t="s">
        <v>7922</v>
      </c>
      <c r="Q39" s="6" t="s">
        <v>42</v>
      </c>
      <c r="R39" s="5" t="s">
        <v>8024</v>
      </c>
      <c r="S39" s="6" t="s">
        <v>50</v>
      </c>
      <c r="T39" s="6">
        <v>8534.0</v>
      </c>
    </row>
    <row r="40" ht="56.25" customHeight="1">
      <c r="A40" s="5" t="s">
        <v>8020</v>
      </c>
      <c r="B40" s="6" t="str">
        <f>IMAGE("https://storage.googleapis.com/acdb/tools/ToolWateringColorful_Remake_1_0.png")</f>
        <v/>
      </c>
      <c r="C40" s="5" t="s">
        <v>52</v>
      </c>
      <c r="D40" s="5" t="s">
        <v>135</v>
      </c>
      <c r="E40" s="5" t="s">
        <v>36</v>
      </c>
      <c r="F40" s="5" t="s">
        <v>35</v>
      </c>
      <c r="G40" s="6">
        <v>1.0</v>
      </c>
      <c r="H40" s="5">
        <v>60.0</v>
      </c>
      <c r="I40" s="6">
        <v>2500.0</v>
      </c>
      <c r="J40" s="24">
        <v>625.0</v>
      </c>
      <c r="K40" s="25" t="s">
        <v>44</v>
      </c>
      <c r="L40" s="25" t="s">
        <v>44</v>
      </c>
      <c r="M40" s="6" t="s">
        <v>40</v>
      </c>
      <c r="N40" s="5" t="s">
        <v>7921</v>
      </c>
      <c r="O40" s="5" t="s">
        <v>59</v>
      </c>
      <c r="P40" s="5" t="s">
        <v>7922</v>
      </c>
      <c r="Q40" s="6" t="s">
        <v>42</v>
      </c>
      <c r="R40" s="5" t="s">
        <v>8026</v>
      </c>
      <c r="S40" s="6" t="s">
        <v>56</v>
      </c>
      <c r="T40" s="6">
        <v>8534.0</v>
      </c>
    </row>
    <row r="41" ht="56.25" customHeight="1">
      <c r="A41" s="5" t="s">
        <v>8020</v>
      </c>
      <c r="B41" s="6" t="str">
        <f>IMAGE("https://storage.googleapis.com/acdb/tools/ToolWateringColorful_Remake_2_0.png")</f>
        <v/>
      </c>
      <c r="C41" s="5" t="s">
        <v>68</v>
      </c>
      <c r="D41" s="5" t="s">
        <v>135</v>
      </c>
      <c r="E41" s="5" t="s">
        <v>36</v>
      </c>
      <c r="F41" s="5" t="s">
        <v>35</v>
      </c>
      <c r="G41" s="6">
        <v>1.0</v>
      </c>
      <c r="H41" s="5">
        <v>60.0</v>
      </c>
      <c r="I41" s="6">
        <v>2500.0</v>
      </c>
      <c r="J41" s="24">
        <v>625.0</v>
      </c>
      <c r="K41" s="25" t="s">
        <v>44</v>
      </c>
      <c r="L41" s="25" t="s">
        <v>44</v>
      </c>
      <c r="M41" s="6" t="s">
        <v>40</v>
      </c>
      <c r="N41" s="5" t="s">
        <v>7921</v>
      </c>
      <c r="O41" s="5" t="s">
        <v>59</v>
      </c>
      <c r="P41" s="5" t="s">
        <v>7922</v>
      </c>
      <c r="Q41" s="6" t="s">
        <v>42</v>
      </c>
      <c r="R41" s="5" t="s">
        <v>8029</v>
      </c>
      <c r="S41" s="6" t="s">
        <v>67</v>
      </c>
      <c r="T41" s="6">
        <v>8534.0</v>
      </c>
    </row>
    <row r="42" ht="56.25" customHeight="1">
      <c r="A42" s="5" t="s">
        <v>8020</v>
      </c>
      <c r="B42" s="6" t="str">
        <f>IMAGE("https://storage.googleapis.com/acdb/tools/ToolWateringColorful_Remake_3_0.png")</f>
        <v/>
      </c>
      <c r="C42" s="5" t="s">
        <v>69</v>
      </c>
      <c r="D42" s="5" t="s">
        <v>135</v>
      </c>
      <c r="E42" s="5" t="s">
        <v>36</v>
      </c>
      <c r="F42" s="5" t="s">
        <v>35</v>
      </c>
      <c r="G42" s="6">
        <v>1.0</v>
      </c>
      <c r="H42" s="5">
        <v>60.0</v>
      </c>
      <c r="I42" s="6">
        <v>2500.0</v>
      </c>
      <c r="J42" s="24">
        <v>625.0</v>
      </c>
      <c r="K42" s="25" t="s">
        <v>44</v>
      </c>
      <c r="L42" s="25" t="s">
        <v>44</v>
      </c>
      <c r="M42" s="6" t="s">
        <v>40</v>
      </c>
      <c r="N42" s="5" t="s">
        <v>7921</v>
      </c>
      <c r="O42" s="5" t="s">
        <v>59</v>
      </c>
      <c r="P42" s="5" t="s">
        <v>7922</v>
      </c>
      <c r="Q42" s="6" t="s">
        <v>42</v>
      </c>
      <c r="R42" s="5" t="s">
        <v>8033</v>
      </c>
      <c r="S42" s="6" t="s">
        <v>71</v>
      </c>
      <c r="T42" s="6">
        <v>8534.0</v>
      </c>
    </row>
    <row r="43" ht="56.25" customHeight="1">
      <c r="A43" s="5" t="s">
        <v>8020</v>
      </c>
      <c r="B43" s="6" t="str">
        <f>IMAGE("https://storage.googleapis.com/acdb/tools/ToolWateringColorful_Remake_4_0.png")</f>
        <v/>
      </c>
      <c r="C43" s="5" t="s">
        <v>96</v>
      </c>
      <c r="D43" s="5" t="s">
        <v>135</v>
      </c>
      <c r="E43" s="5" t="s">
        <v>36</v>
      </c>
      <c r="F43" s="5" t="s">
        <v>35</v>
      </c>
      <c r="G43" s="6">
        <v>1.0</v>
      </c>
      <c r="H43" s="5">
        <v>60.0</v>
      </c>
      <c r="I43" s="6">
        <v>2500.0</v>
      </c>
      <c r="J43" s="24">
        <v>625.0</v>
      </c>
      <c r="K43" s="25" t="s">
        <v>44</v>
      </c>
      <c r="L43" s="25" t="s">
        <v>44</v>
      </c>
      <c r="M43" s="6" t="s">
        <v>40</v>
      </c>
      <c r="N43" s="5" t="s">
        <v>7921</v>
      </c>
      <c r="O43" s="5" t="s">
        <v>59</v>
      </c>
      <c r="P43" s="5" t="s">
        <v>7922</v>
      </c>
      <c r="Q43" s="6" t="s">
        <v>42</v>
      </c>
      <c r="R43" s="5" t="s">
        <v>8036</v>
      </c>
      <c r="S43" s="6" t="s">
        <v>75</v>
      </c>
      <c r="T43" s="6">
        <v>8534.0</v>
      </c>
    </row>
    <row r="44" ht="56.25" customHeight="1">
      <c r="A44" s="5" t="s">
        <v>8020</v>
      </c>
      <c r="B44" s="6" t="str">
        <f>IMAGE("https://storage.googleapis.com/acdb/tools/ToolWateringColorful_Remake_5_0.png")</f>
        <v/>
      </c>
      <c r="C44" s="5" t="s">
        <v>106</v>
      </c>
      <c r="D44" s="5" t="s">
        <v>135</v>
      </c>
      <c r="E44" s="5" t="s">
        <v>36</v>
      </c>
      <c r="F44" s="5" t="s">
        <v>35</v>
      </c>
      <c r="G44" s="6">
        <v>1.0</v>
      </c>
      <c r="H44" s="5">
        <v>60.0</v>
      </c>
      <c r="I44" s="6">
        <v>2500.0</v>
      </c>
      <c r="J44" s="24">
        <v>625.0</v>
      </c>
      <c r="K44" s="25" t="s">
        <v>44</v>
      </c>
      <c r="L44" s="25" t="s">
        <v>44</v>
      </c>
      <c r="M44" s="6" t="s">
        <v>40</v>
      </c>
      <c r="N44" s="5" t="s">
        <v>7921</v>
      </c>
      <c r="O44" s="5" t="s">
        <v>59</v>
      </c>
      <c r="P44" s="5" t="s">
        <v>7922</v>
      </c>
      <c r="Q44" s="6" t="s">
        <v>42</v>
      </c>
      <c r="R44" s="5" t="s">
        <v>8039</v>
      </c>
      <c r="S44" s="6" t="s">
        <v>79</v>
      </c>
      <c r="T44" s="6">
        <v>8534.0</v>
      </c>
    </row>
    <row r="45" ht="56.25" customHeight="1">
      <c r="A45" s="5" t="s">
        <v>8020</v>
      </c>
      <c r="B45" s="6" t="str">
        <f>IMAGE("https://storage.googleapis.com/acdb/tools/ToolWateringColorful_Remake_6_0.png")</f>
        <v/>
      </c>
      <c r="C45" s="5" t="s">
        <v>57</v>
      </c>
      <c r="D45" s="5" t="s">
        <v>135</v>
      </c>
      <c r="E45" s="5" t="s">
        <v>36</v>
      </c>
      <c r="F45" s="5" t="s">
        <v>35</v>
      </c>
      <c r="G45" s="6">
        <v>1.0</v>
      </c>
      <c r="H45" s="5">
        <v>60.0</v>
      </c>
      <c r="I45" s="6">
        <v>2500.0</v>
      </c>
      <c r="J45" s="24">
        <v>625.0</v>
      </c>
      <c r="K45" s="25" t="s">
        <v>44</v>
      </c>
      <c r="L45" s="25" t="s">
        <v>44</v>
      </c>
      <c r="M45" s="6" t="s">
        <v>40</v>
      </c>
      <c r="N45" s="5" t="s">
        <v>7921</v>
      </c>
      <c r="O45" s="5" t="s">
        <v>59</v>
      </c>
      <c r="P45" s="5" t="s">
        <v>7922</v>
      </c>
      <c r="Q45" s="6" t="s">
        <v>42</v>
      </c>
      <c r="R45" s="5" t="s">
        <v>8042</v>
      </c>
      <c r="S45" s="6" t="s">
        <v>86</v>
      </c>
      <c r="T45" s="6">
        <v>8534.0</v>
      </c>
    </row>
    <row r="46" ht="56.25" customHeight="1">
      <c r="A46" s="5" t="s">
        <v>8020</v>
      </c>
      <c r="B46" s="6" t="str">
        <f>IMAGE("https://storage.googleapis.com/acdb/tools/ToolWateringColorful_Remake_7_0.png")</f>
        <v/>
      </c>
      <c r="C46" s="5" t="s">
        <v>54</v>
      </c>
      <c r="D46" s="5" t="s">
        <v>135</v>
      </c>
      <c r="E46" s="5" t="s">
        <v>36</v>
      </c>
      <c r="F46" s="5" t="s">
        <v>35</v>
      </c>
      <c r="G46" s="6">
        <v>1.0</v>
      </c>
      <c r="H46" s="5">
        <v>60.0</v>
      </c>
      <c r="I46" s="6">
        <v>2500.0</v>
      </c>
      <c r="J46" s="24">
        <v>625.0</v>
      </c>
      <c r="K46" s="25" t="s">
        <v>44</v>
      </c>
      <c r="L46" s="25" t="s">
        <v>44</v>
      </c>
      <c r="M46" s="6" t="s">
        <v>40</v>
      </c>
      <c r="N46" s="5" t="s">
        <v>7921</v>
      </c>
      <c r="O46" s="5" t="s">
        <v>59</v>
      </c>
      <c r="P46" s="5" t="s">
        <v>7922</v>
      </c>
      <c r="Q46" s="6" t="s">
        <v>42</v>
      </c>
      <c r="R46" s="5" t="s">
        <v>8044</v>
      </c>
      <c r="S46" s="6" t="s">
        <v>208</v>
      </c>
      <c r="T46" s="6">
        <v>8534.0</v>
      </c>
    </row>
    <row r="47" ht="56.25" customHeight="1">
      <c r="A47" s="5" t="s">
        <v>8046</v>
      </c>
      <c r="B47" s="6" t="str">
        <f>IMAGE("https://storage.googleapis.com/acdb/tools/ToolStickCosmos.png")</f>
        <v/>
      </c>
      <c r="C47" s="5" t="s">
        <v>34</v>
      </c>
      <c r="D47" s="5" t="s">
        <v>34</v>
      </c>
      <c r="E47" s="5" t="s">
        <v>35</v>
      </c>
      <c r="F47" s="5" t="s">
        <v>36</v>
      </c>
      <c r="G47" s="6" t="s">
        <v>34</v>
      </c>
      <c r="H47" s="5" t="s">
        <v>7903</v>
      </c>
      <c r="I47" s="6" t="s">
        <v>37</v>
      </c>
      <c r="J47" s="24">
        <v>1580.0</v>
      </c>
      <c r="K47" s="25" t="s">
        <v>44</v>
      </c>
      <c r="L47" s="25" t="s">
        <v>44</v>
      </c>
      <c r="M47" s="6" t="s">
        <v>40</v>
      </c>
      <c r="N47" s="5" t="s">
        <v>44</v>
      </c>
      <c r="O47" s="5" t="s">
        <v>41</v>
      </c>
      <c r="P47" s="5"/>
      <c r="Q47" s="6" t="s">
        <v>42</v>
      </c>
      <c r="R47" s="5" t="s">
        <v>8050</v>
      </c>
      <c r="S47" s="6" t="s">
        <v>34</v>
      </c>
      <c r="T47" s="6">
        <v>5092.0</v>
      </c>
    </row>
    <row r="48" ht="56.25" customHeight="1">
      <c r="A48" s="5" t="s">
        <v>8051</v>
      </c>
      <c r="B48" s="6" t="str">
        <f>IMAGE("https://storage.googleapis.com/acdb/tools/ToolWateringElephant_Remake_0_0.png")</f>
        <v/>
      </c>
      <c r="C48" s="5" t="s">
        <v>95</v>
      </c>
      <c r="D48" s="5" t="s">
        <v>135</v>
      </c>
      <c r="E48" s="5" t="s">
        <v>36</v>
      </c>
      <c r="F48" s="5" t="s">
        <v>35</v>
      </c>
      <c r="G48" s="6">
        <v>1.0</v>
      </c>
      <c r="H48" s="5">
        <v>60.0</v>
      </c>
      <c r="I48" s="6">
        <v>2500.0</v>
      </c>
      <c r="J48" s="24">
        <v>625.0</v>
      </c>
      <c r="K48" s="25" t="s">
        <v>44</v>
      </c>
      <c r="L48" s="25" t="s">
        <v>44</v>
      </c>
      <c r="M48" s="6" t="s">
        <v>40</v>
      </c>
      <c r="N48" s="5" t="s">
        <v>44</v>
      </c>
      <c r="O48" s="5" t="s">
        <v>59</v>
      </c>
      <c r="P48" s="5" t="s">
        <v>7922</v>
      </c>
      <c r="Q48" s="6" t="s">
        <v>42</v>
      </c>
      <c r="R48" s="5" t="s">
        <v>8054</v>
      </c>
      <c r="S48" s="6" t="s">
        <v>50</v>
      </c>
      <c r="T48" s="6">
        <v>8535.0</v>
      </c>
    </row>
    <row r="49" ht="56.25" customHeight="1">
      <c r="A49" s="5" t="s">
        <v>8051</v>
      </c>
      <c r="B49" s="6" t="str">
        <f>IMAGE("https://storage.googleapis.com/acdb/tools/ToolWateringElephant_Remake_1_0.png")</f>
        <v/>
      </c>
      <c r="C49" s="5" t="s">
        <v>96</v>
      </c>
      <c r="D49" s="5" t="s">
        <v>135</v>
      </c>
      <c r="E49" s="5" t="s">
        <v>36</v>
      </c>
      <c r="F49" s="5" t="s">
        <v>35</v>
      </c>
      <c r="G49" s="6">
        <v>1.0</v>
      </c>
      <c r="H49" s="5">
        <v>60.0</v>
      </c>
      <c r="I49" s="6">
        <v>2500.0</v>
      </c>
      <c r="J49" s="24">
        <v>625.0</v>
      </c>
      <c r="K49" s="25" t="s">
        <v>44</v>
      </c>
      <c r="L49" s="25" t="s">
        <v>44</v>
      </c>
      <c r="M49" s="6" t="s">
        <v>40</v>
      </c>
      <c r="N49" s="5" t="s">
        <v>44</v>
      </c>
      <c r="O49" s="5" t="s">
        <v>59</v>
      </c>
      <c r="P49" s="5" t="s">
        <v>7922</v>
      </c>
      <c r="Q49" s="6" t="s">
        <v>42</v>
      </c>
      <c r="R49" s="5" t="s">
        <v>8057</v>
      </c>
      <c r="S49" s="6" t="s">
        <v>56</v>
      </c>
      <c r="T49" s="6">
        <v>8535.0</v>
      </c>
    </row>
    <row r="50" ht="56.25" customHeight="1">
      <c r="A50" s="5" t="s">
        <v>8051</v>
      </c>
      <c r="B50" s="6" t="str">
        <f>IMAGE("https://storage.googleapis.com/acdb/tools/ToolWateringElephant_Remake_2_0.png")</f>
        <v/>
      </c>
      <c r="C50" s="5" t="s">
        <v>68</v>
      </c>
      <c r="D50" s="5" t="s">
        <v>135</v>
      </c>
      <c r="E50" s="5" t="s">
        <v>36</v>
      </c>
      <c r="F50" s="5" t="s">
        <v>35</v>
      </c>
      <c r="G50" s="6">
        <v>1.0</v>
      </c>
      <c r="H50" s="5">
        <v>60.0</v>
      </c>
      <c r="I50" s="6">
        <v>2500.0</v>
      </c>
      <c r="J50" s="24">
        <v>625.0</v>
      </c>
      <c r="K50" s="25" t="s">
        <v>44</v>
      </c>
      <c r="L50" s="25" t="s">
        <v>44</v>
      </c>
      <c r="M50" s="6" t="s">
        <v>40</v>
      </c>
      <c r="N50" s="5" t="s">
        <v>44</v>
      </c>
      <c r="O50" s="5" t="s">
        <v>59</v>
      </c>
      <c r="P50" s="5" t="s">
        <v>7922</v>
      </c>
      <c r="Q50" s="6" t="s">
        <v>42</v>
      </c>
      <c r="R50" s="5" t="s">
        <v>8061</v>
      </c>
      <c r="S50" s="6" t="s">
        <v>67</v>
      </c>
      <c r="T50" s="6">
        <v>8535.0</v>
      </c>
    </row>
    <row r="51" ht="56.25" customHeight="1">
      <c r="A51" s="5" t="s">
        <v>8051</v>
      </c>
      <c r="B51" s="6" t="str">
        <f>IMAGE("https://storage.googleapis.com/acdb/tools/ToolWateringElephant_Remake_3_0.png")</f>
        <v/>
      </c>
      <c r="C51" s="5" t="s">
        <v>69</v>
      </c>
      <c r="D51" s="5" t="s">
        <v>135</v>
      </c>
      <c r="E51" s="5" t="s">
        <v>36</v>
      </c>
      <c r="F51" s="5" t="s">
        <v>35</v>
      </c>
      <c r="G51" s="6">
        <v>1.0</v>
      </c>
      <c r="H51" s="5">
        <v>60.0</v>
      </c>
      <c r="I51" s="6">
        <v>2500.0</v>
      </c>
      <c r="J51" s="24">
        <v>625.0</v>
      </c>
      <c r="K51" s="25" t="s">
        <v>44</v>
      </c>
      <c r="L51" s="25" t="s">
        <v>44</v>
      </c>
      <c r="M51" s="6" t="s">
        <v>40</v>
      </c>
      <c r="N51" s="5" t="s">
        <v>44</v>
      </c>
      <c r="O51" s="5" t="s">
        <v>59</v>
      </c>
      <c r="P51" s="5" t="s">
        <v>7922</v>
      </c>
      <c r="Q51" s="6" t="s">
        <v>42</v>
      </c>
      <c r="R51" s="5" t="s">
        <v>8065</v>
      </c>
      <c r="S51" s="6" t="s">
        <v>71</v>
      </c>
      <c r="T51" s="6">
        <v>8535.0</v>
      </c>
    </row>
    <row r="52" ht="56.25" customHeight="1">
      <c r="A52" s="5" t="s">
        <v>8051</v>
      </c>
      <c r="B52" s="6" t="str">
        <f>IMAGE("https://storage.googleapis.com/acdb/tools/ToolWateringElephant_Remake_4_0.png")</f>
        <v/>
      </c>
      <c r="C52" s="5" t="s">
        <v>52</v>
      </c>
      <c r="D52" s="5" t="s">
        <v>135</v>
      </c>
      <c r="E52" s="5" t="s">
        <v>36</v>
      </c>
      <c r="F52" s="5" t="s">
        <v>35</v>
      </c>
      <c r="G52" s="6">
        <v>1.0</v>
      </c>
      <c r="H52" s="5">
        <v>60.0</v>
      </c>
      <c r="I52" s="6">
        <v>2500.0</v>
      </c>
      <c r="J52" s="24">
        <v>625.0</v>
      </c>
      <c r="K52" s="25" t="s">
        <v>44</v>
      </c>
      <c r="L52" s="25" t="s">
        <v>44</v>
      </c>
      <c r="M52" s="6" t="s">
        <v>40</v>
      </c>
      <c r="N52" s="5" t="s">
        <v>44</v>
      </c>
      <c r="O52" s="5" t="s">
        <v>59</v>
      </c>
      <c r="P52" s="5" t="s">
        <v>7922</v>
      </c>
      <c r="Q52" s="6" t="s">
        <v>42</v>
      </c>
      <c r="R52" s="5" t="s">
        <v>8066</v>
      </c>
      <c r="S52" s="6" t="s">
        <v>75</v>
      </c>
      <c r="T52" s="6">
        <v>8535.0</v>
      </c>
    </row>
    <row r="53" ht="56.25" customHeight="1">
      <c r="A53" s="5" t="s">
        <v>8051</v>
      </c>
      <c r="B53" s="6" t="str">
        <f>IMAGE("https://storage.googleapis.com/acdb/tools/ToolWateringElephant_Remake_5_0.png")</f>
        <v/>
      </c>
      <c r="C53" s="5" t="s">
        <v>114</v>
      </c>
      <c r="D53" s="5" t="s">
        <v>135</v>
      </c>
      <c r="E53" s="5" t="s">
        <v>36</v>
      </c>
      <c r="F53" s="5" t="s">
        <v>35</v>
      </c>
      <c r="G53" s="6">
        <v>1.0</v>
      </c>
      <c r="H53" s="5">
        <v>60.0</v>
      </c>
      <c r="I53" s="6">
        <v>2500.0</v>
      </c>
      <c r="J53" s="24">
        <v>625.0</v>
      </c>
      <c r="K53" s="25" t="s">
        <v>44</v>
      </c>
      <c r="L53" s="25" t="s">
        <v>44</v>
      </c>
      <c r="M53" s="6" t="s">
        <v>40</v>
      </c>
      <c r="N53" s="5" t="s">
        <v>44</v>
      </c>
      <c r="O53" s="5" t="s">
        <v>59</v>
      </c>
      <c r="P53" s="5" t="s">
        <v>7922</v>
      </c>
      <c r="Q53" s="6" t="s">
        <v>42</v>
      </c>
      <c r="R53" s="5" t="s">
        <v>8071</v>
      </c>
      <c r="S53" s="6" t="s">
        <v>79</v>
      </c>
      <c r="T53" s="6">
        <v>8535.0</v>
      </c>
    </row>
    <row r="54" ht="56.25" customHeight="1">
      <c r="A54" s="5" t="s">
        <v>8051</v>
      </c>
      <c r="B54" s="6" t="str">
        <f>IMAGE("https://storage.googleapis.com/acdb/tools/ToolWateringElephant_Remake_6_0.png")</f>
        <v/>
      </c>
      <c r="C54" s="5" t="s">
        <v>83</v>
      </c>
      <c r="D54" s="5" t="s">
        <v>135</v>
      </c>
      <c r="E54" s="5" t="s">
        <v>36</v>
      </c>
      <c r="F54" s="5" t="s">
        <v>35</v>
      </c>
      <c r="G54" s="6">
        <v>1.0</v>
      </c>
      <c r="H54" s="5">
        <v>60.0</v>
      </c>
      <c r="I54" s="6">
        <v>2500.0</v>
      </c>
      <c r="J54" s="24">
        <v>625.0</v>
      </c>
      <c r="K54" s="25" t="s">
        <v>44</v>
      </c>
      <c r="L54" s="25" t="s">
        <v>44</v>
      </c>
      <c r="M54" s="6" t="s">
        <v>40</v>
      </c>
      <c r="N54" s="5" t="s">
        <v>44</v>
      </c>
      <c r="O54" s="5" t="s">
        <v>59</v>
      </c>
      <c r="P54" s="5" t="s">
        <v>7922</v>
      </c>
      <c r="Q54" s="6" t="s">
        <v>42</v>
      </c>
      <c r="R54" s="5" t="s">
        <v>8076</v>
      </c>
      <c r="S54" s="6" t="s">
        <v>86</v>
      </c>
      <c r="T54" s="6">
        <v>8535.0</v>
      </c>
    </row>
    <row r="55" ht="56.25" customHeight="1">
      <c r="A55" s="5" t="s">
        <v>8051</v>
      </c>
      <c r="B55" s="6" t="str">
        <f>IMAGE("https://storage.googleapis.com/acdb/tools/ToolWateringElephant_Remake_7_0.png")</f>
        <v/>
      </c>
      <c r="C55" s="5" t="s">
        <v>54</v>
      </c>
      <c r="D55" s="5" t="s">
        <v>135</v>
      </c>
      <c r="E55" s="5" t="s">
        <v>36</v>
      </c>
      <c r="F55" s="5" t="s">
        <v>35</v>
      </c>
      <c r="G55" s="6">
        <v>1.0</v>
      </c>
      <c r="H55" s="5">
        <v>60.0</v>
      </c>
      <c r="I55" s="6">
        <v>2500.0</v>
      </c>
      <c r="J55" s="24">
        <v>625.0</v>
      </c>
      <c r="K55" s="25" t="s">
        <v>44</v>
      </c>
      <c r="L55" s="25" t="s">
        <v>44</v>
      </c>
      <c r="M55" s="6" t="s">
        <v>40</v>
      </c>
      <c r="N55" s="5" t="s">
        <v>44</v>
      </c>
      <c r="O55" s="5" t="s">
        <v>59</v>
      </c>
      <c r="P55" s="5" t="s">
        <v>7922</v>
      </c>
      <c r="Q55" s="6" t="s">
        <v>42</v>
      </c>
      <c r="R55" s="5" t="s">
        <v>8078</v>
      </c>
      <c r="S55" s="6" t="s">
        <v>208</v>
      </c>
      <c r="T55" s="6">
        <v>8535.0</v>
      </c>
    </row>
    <row r="56" ht="56.25" customHeight="1">
      <c r="A56" s="5" t="s">
        <v>8080</v>
      </c>
      <c r="B56" s="6" t="str">
        <f>IMAGE("https://storage.googleapis.com/acdb/tools/ToolFishingrodColorful_Remake_0_0.png")</f>
        <v/>
      </c>
      <c r="C56" s="5" t="s">
        <v>96</v>
      </c>
      <c r="D56" s="5" t="s">
        <v>135</v>
      </c>
      <c r="E56" s="5" t="s">
        <v>36</v>
      </c>
      <c r="F56" s="5" t="s">
        <v>35</v>
      </c>
      <c r="G56" s="6">
        <v>1.0</v>
      </c>
      <c r="H56" s="5">
        <v>30.0</v>
      </c>
      <c r="I56" s="6">
        <v>2500.0</v>
      </c>
      <c r="J56" s="24">
        <v>625.0</v>
      </c>
      <c r="K56" s="25" t="s">
        <v>44</v>
      </c>
      <c r="L56" s="25" t="s">
        <v>44</v>
      </c>
      <c r="M56" s="6" t="s">
        <v>40</v>
      </c>
      <c r="N56" s="5" t="s">
        <v>44</v>
      </c>
      <c r="O56" s="5" t="s">
        <v>59</v>
      </c>
      <c r="P56" s="5" t="s">
        <v>7922</v>
      </c>
      <c r="Q56" s="6" t="s">
        <v>42</v>
      </c>
      <c r="R56" s="5" t="s">
        <v>8082</v>
      </c>
      <c r="S56" s="6" t="s">
        <v>50</v>
      </c>
      <c r="T56" s="6">
        <v>8471.0</v>
      </c>
    </row>
    <row r="57" ht="56.25" customHeight="1">
      <c r="A57" s="5" t="s">
        <v>8080</v>
      </c>
      <c r="B57" s="6" t="str">
        <f>IMAGE("https://storage.googleapis.com/acdb/tools/ToolFishingrodColorful_Remake_1_0.png")</f>
        <v/>
      </c>
      <c r="C57" s="5" t="s">
        <v>114</v>
      </c>
      <c r="D57" s="5" t="s">
        <v>135</v>
      </c>
      <c r="E57" s="5" t="s">
        <v>36</v>
      </c>
      <c r="F57" s="5" t="s">
        <v>35</v>
      </c>
      <c r="G57" s="6">
        <v>1.0</v>
      </c>
      <c r="H57" s="5">
        <v>30.0</v>
      </c>
      <c r="I57" s="6">
        <v>2500.0</v>
      </c>
      <c r="J57" s="24">
        <v>625.0</v>
      </c>
      <c r="K57" s="25" t="s">
        <v>44</v>
      </c>
      <c r="L57" s="25" t="s">
        <v>44</v>
      </c>
      <c r="M57" s="6" t="s">
        <v>40</v>
      </c>
      <c r="N57" s="5" t="s">
        <v>44</v>
      </c>
      <c r="O57" s="5" t="s">
        <v>59</v>
      </c>
      <c r="P57" s="5" t="s">
        <v>7922</v>
      </c>
      <c r="Q57" s="6" t="s">
        <v>42</v>
      </c>
      <c r="R57" s="5" t="s">
        <v>8084</v>
      </c>
      <c r="S57" s="6" t="s">
        <v>56</v>
      </c>
      <c r="T57" s="6">
        <v>8471.0</v>
      </c>
    </row>
    <row r="58" ht="56.25" customHeight="1">
      <c r="A58" s="5" t="s">
        <v>8080</v>
      </c>
      <c r="B58" s="6" t="str">
        <f>IMAGE("https://storage.googleapis.com/acdb/tools/ToolFishingrodColorful_Remake_2_0.png")</f>
        <v/>
      </c>
      <c r="C58" s="5" t="s">
        <v>142</v>
      </c>
      <c r="D58" s="5" t="s">
        <v>135</v>
      </c>
      <c r="E58" s="5" t="s">
        <v>36</v>
      </c>
      <c r="F58" s="5" t="s">
        <v>35</v>
      </c>
      <c r="G58" s="6">
        <v>1.0</v>
      </c>
      <c r="H58" s="5">
        <v>30.0</v>
      </c>
      <c r="I58" s="6">
        <v>2500.0</v>
      </c>
      <c r="J58" s="24">
        <v>625.0</v>
      </c>
      <c r="K58" s="25" t="s">
        <v>44</v>
      </c>
      <c r="L58" s="25" t="s">
        <v>44</v>
      </c>
      <c r="M58" s="6" t="s">
        <v>40</v>
      </c>
      <c r="N58" s="5" t="s">
        <v>44</v>
      </c>
      <c r="O58" s="5" t="s">
        <v>59</v>
      </c>
      <c r="P58" s="5" t="s">
        <v>7922</v>
      </c>
      <c r="Q58" s="6" t="s">
        <v>42</v>
      </c>
      <c r="R58" s="5" t="s">
        <v>8086</v>
      </c>
      <c r="S58" s="6" t="s">
        <v>67</v>
      </c>
      <c r="T58" s="6">
        <v>8471.0</v>
      </c>
    </row>
    <row r="59" ht="56.25" customHeight="1">
      <c r="A59" s="5" t="s">
        <v>8080</v>
      </c>
      <c r="B59" s="6" t="str">
        <f>IMAGE("https://storage.googleapis.com/acdb/tools/ToolFishingrodColorful_Remake_3_0.png")</f>
        <v/>
      </c>
      <c r="C59" s="5" t="s">
        <v>83</v>
      </c>
      <c r="D59" s="5" t="s">
        <v>135</v>
      </c>
      <c r="E59" s="5" t="s">
        <v>36</v>
      </c>
      <c r="F59" s="5" t="s">
        <v>35</v>
      </c>
      <c r="G59" s="6">
        <v>1.0</v>
      </c>
      <c r="H59" s="5">
        <v>30.0</v>
      </c>
      <c r="I59" s="6">
        <v>2500.0</v>
      </c>
      <c r="J59" s="24">
        <v>625.0</v>
      </c>
      <c r="K59" s="25" t="s">
        <v>44</v>
      </c>
      <c r="L59" s="25" t="s">
        <v>44</v>
      </c>
      <c r="M59" s="6" t="s">
        <v>40</v>
      </c>
      <c r="N59" s="5" t="s">
        <v>44</v>
      </c>
      <c r="O59" s="5" t="s">
        <v>59</v>
      </c>
      <c r="P59" s="5" t="s">
        <v>7922</v>
      </c>
      <c r="Q59" s="6" t="s">
        <v>42</v>
      </c>
      <c r="R59" s="5" t="s">
        <v>8090</v>
      </c>
      <c r="S59" s="6" t="s">
        <v>71</v>
      </c>
      <c r="T59" s="6">
        <v>8471.0</v>
      </c>
    </row>
    <row r="60" ht="56.25" customHeight="1">
      <c r="A60" s="5" t="s">
        <v>8080</v>
      </c>
      <c r="B60" s="6" t="str">
        <f>IMAGE("https://storage.googleapis.com/acdb/tools/ToolFishingrodColorful_Remake_4_0.png")</f>
        <v/>
      </c>
      <c r="C60" s="5" t="s">
        <v>68</v>
      </c>
      <c r="D60" s="5" t="s">
        <v>135</v>
      </c>
      <c r="E60" s="5" t="s">
        <v>36</v>
      </c>
      <c r="F60" s="5" t="s">
        <v>35</v>
      </c>
      <c r="G60" s="6">
        <v>1.0</v>
      </c>
      <c r="H60" s="5">
        <v>30.0</v>
      </c>
      <c r="I60" s="6">
        <v>2500.0</v>
      </c>
      <c r="J60" s="24">
        <v>625.0</v>
      </c>
      <c r="K60" s="25" t="s">
        <v>44</v>
      </c>
      <c r="L60" s="25" t="s">
        <v>44</v>
      </c>
      <c r="M60" s="6" t="s">
        <v>40</v>
      </c>
      <c r="N60" s="5" t="s">
        <v>44</v>
      </c>
      <c r="O60" s="5" t="s">
        <v>59</v>
      </c>
      <c r="P60" s="5" t="s">
        <v>7922</v>
      </c>
      <c r="Q60" s="6" t="s">
        <v>42</v>
      </c>
      <c r="R60" s="5" t="s">
        <v>8095</v>
      </c>
      <c r="S60" s="6" t="s">
        <v>75</v>
      </c>
      <c r="T60" s="6">
        <v>8471.0</v>
      </c>
    </row>
    <row r="61" ht="56.25" customHeight="1">
      <c r="A61" s="5" t="s">
        <v>8080</v>
      </c>
      <c r="B61" s="6" t="str">
        <f>IMAGE("https://storage.googleapis.com/acdb/tools/ToolFishingrodColorful_Remake_5_0.png")</f>
        <v/>
      </c>
      <c r="C61" s="5" t="s">
        <v>106</v>
      </c>
      <c r="D61" s="5" t="s">
        <v>135</v>
      </c>
      <c r="E61" s="5" t="s">
        <v>36</v>
      </c>
      <c r="F61" s="5" t="s">
        <v>35</v>
      </c>
      <c r="G61" s="6">
        <v>1.0</v>
      </c>
      <c r="H61" s="5">
        <v>30.0</v>
      </c>
      <c r="I61" s="6">
        <v>2500.0</v>
      </c>
      <c r="J61" s="24">
        <v>625.0</v>
      </c>
      <c r="K61" s="25" t="s">
        <v>44</v>
      </c>
      <c r="L61" s="25" t="s">
        <v>44</v>
      </c>
      <c r="M61" s="6" t="s">
        <v>40</v>
      </c>
      <c r="N61" s="5" t="s">
        <v>44</v>
      </c>
      <c r="O61" s="5" t="s">
        <v>59</v>
      </c>
      <c r="P61" s="5" t="s">
        <v>7922</v>
      </c>
      <c r="Q61" s="6" t="s">
        <v>42</v>
      </c>
      <c r="R61" s="5" t="s">
        <v>8099</v>
      </c>
      <c r="S61" s="6" t="s">
        <v>79</v>
      </c>
      <c r="T61" s="6">
        <v>8471.0</v>
      </c>
    </row>
    <row r="62" ht="56.25" customHeight="1">
      <c r="A62" s="5" t="s">
        <v>8080</v>
      </c>
      <c r="B62" s="6" t="str">
        <f>IMAGE("https://storage.googleapis.com/acdb/tools/ToolFishingrodColorful_Remake_6_0.png")</f>
        <v/>
      </c>
      <c r="C62" s="5" t="s">
        <v>69</v>
      </c>
      <c r="D62" s="5" t="s">
        <v>135</v>
      </c>
      <c r="E62" s="5" t="s">
        <v>36</v>
      </c>
      <c r="F62" s="5" t="s">
        <v>35</v>
      </c>
      <c r="G62" s="6">
        <v>1.0</v>
      </c>
      <c r="H62" s="5">
        <v>30.0</v>
      </c>
      <c r="I62" s="6">
        <v>2500.0</v>
      </c>
      <c r="J62" s="24">
        <v>625.0</v>
      </c>
      <c r="K62" s="25" t="s">
        <v>44</v>
      </c>
      <c r="L62" s="25" t="s">
        <v>44</v>
      </c>
      <c r="M62" s="6" t="s">
        <v>40</v>
      </c>
      <c r="N62" s="5" t="s">
        <v>44</v>
      </c>
      <c r="O62" s="5" t="s">
        <v>59</v>
      </c>
      <c r="P62" s="5" t="s">
        <v>7922</v>
      </c>
      <c r="Q62" s="6" t="s">
        <v>42</v>
      </c>
      <c r="R62" s="5" t="s">
        <v>8102</v>
      </c>
      <c r="S62" s="6" t="s">
        <v>86</v>
      </c>
      <c r="T62" s="6">
        <v>8471.0</v>
      </c>
    </row>
    <row r="63" ht="56.25" customHeight="1">
      <c r="A63" s="5" t="s">
        <v>8080</v>
      </c>
      <c r="B63" s="6" t="str">
        <f>IMAGE("https://storage.googleapis.com/acdb/tools/ToolFishingrodColorful_Remake_7_0.png")</f>
        <v/>
      </c>
      <c r="C63" s="5" t="s">
        <v>52</v>
      </c>
      <c r="D63" s="5" t="s">
        <v>135</v>
      </c>
      <c r="E63" s="5" t="s">
        <v>36</v>
      </c>
      <c r="F63" s="5" t="s">
        <v>35</v>
      </c>
      <c r="G63" s="6">
        <v>1.0</v>
      </c>
      <c r="H63" s="5">
        <v>30.0</v>
      </c>
      <c r="I63" s="6">
        <v>2500.0</v>
      </c>
      <c r="J63" s="24">
        <v>625.0</v>
      </c>
      <c r="K63" s="25" t="s">
        <v>44</v>
      </c>
      <c r="L63" s="25" t="s">
        <v>44</v>
      </c>
      <c r="M63" s="6" t="s">
        <v>40</v>
      </c>
      <c r="N63" s="5" t="s">
        <v>44</v>
      </c>
      <c r="O63" s="5" t="s">
        <v>59</v>
      </c>
      <c r="P63" s="5" t="s">
        <v>7922</v>
      </c>
      <c r="Q63" s="6" t="s">
        <v>42</v>
      </c>
      <c r="R63" s="5" t="s">
        <v>8106</v>
      </c>
      <c r="S63" s="6" t="s">
        <v>208</v>
      </c>
      <c r="T63" s="6">
        <v>8471.0</v>
      </c>
    </row>
    <row r="64" ht="56.25" customHeight="1">
      <c r="A64" s="5" t="s">
        <v>8108</v>
      </c>
      <c r="B64" s="6" t="str">
        <f>IMAGE("https://storage.googleapis.com/acdb/tools/ToolStickFish.png")</f>
        <v/>
      </c>
      <c r="C64" s="5" t="s">
        <v>34</v>
      </c>
      <c r="D64" s="5" t="s">
        <v>34</v>
      </c>
      <c r="E64" s="5" t="s">
        <v>36</v>
      </c>
      <c r="F64" s="5" t="s">
        <v>36</v>
      </c>
      <c r="G64" s="6" t="s">
        <v>34</v>
      </c>
      <c r="H64" s="5" t="s">
        <v>7903</v>
      </c>
      <c r="I64" s="6" t="s">
        <v>37</v>
      </c>
      <c r="J64" s="24">
        <v>1500.0</v>
      </c>
      <c r="K64" s="25" t="s">
        <v>44</v>
      </c>
      <c r="L64" s="25" t="s">
        <v>44</v>
      </c>
      <c r="M64" s="6" t="s">
        <v>40</v>
      </c>
      <c r="N64" s="5" t="s">
        <v>44</v>
      </c>
      <c r="O64" s="5" t="s">
        <v>137</v>
      </c>
      <c r="P64" s="5"/>
      <c r="Q64" s="6" t="s">
        <v>42</v>
      </c>
      <c r="R64" s="5" t="s">
        <v>8109</v>
      </c>
      <c r="S64" s="6" t="s">
        <v>34</v>
      </c>
      <c r="T64" s="6">
        <v>8770.0</v>
      </c>
    </row>
    <row r="65" ht="56.25" customHeight="1">
      <c r="A65" s="5" t="s">
        <v>8111</v>
      </c>
      <c r="B65" s="6" t="str">
        <f>IMAGE("https://storage.googleapis.com/acdb/tools/ToolAngling_Remake_0_0.png")</f>
        <v/>
      </c>
      <c r="C65" s="5" t="s">
        <v>68</v>
      </c>
      <c r="D65" s="5" t="s">
        <v>135</v>
      </c>
      <c r="E65" s="5" t="s">
        <v>35</v>
      </c>
      <c r="F65" s="5" t="s">
        <v>35</v>
      </c>
      <c r="G65" s="6">
        <v>1.0</v>
      </c>
      <c r="H65" s="5">
        <v>30.0</v>
      </c>
      <c r="I65" s="6" t="s">
        <v>37</v>
      </c>
      <c r="J65" s="24">
        <v>600.0</v>
      </c>
      <c r="K65" s="25" t="s">
        <v>44</v>
      </c>
      <c r="L65" s="25" t="s">
        <v>44</v>
      </c>
      <c r="M65" s="6" t="s">
        <v>40</v>
      </c>
      <c r="N65" s="5" t="s">
        <v>44</v>
      </c>
      <c r="O65" s="5" t="s">
        <v>41</v>
      </c>
      <c r="P65" s="5"/>
      <c r="Q65" s="6" t="s">
        <v>42</v>
      </c>
      <c r="R65" s="5" t="s">
        <v>8114</v>
      </c>
      <c r="S65" s="6" t="s">
        <v>50</v>
      </c>
      <c r="T65" s="6">
        <v>2377.0</v>
      </c>
    </row>
    <row r="66" ht="56.25" customHeight="1">
      <c r="A66" s="5" t="s">
        <v>8111</v>
      </c>
      <c r="B66" s="6" t="str">
        <f>IMAGE("https://storage.googleapis.com/acdb/tools/ToolAngling_Remake_1_0.png")</f>
        <v/>
      </c>
      <c r="C66" s="5" t="s">
        <v>114</v>
      </c>
      <c r="D66" s="5" t="s">
        <v>135</v>
      </c>
      <c r="E66" s="5" t="s">
        <v>35</v>
      </c>
      <c r="F66" s="5" t="s">
        <v>35</v>
      </c>
      <c r="G66" s="6">
        <v>1.0</v>
      </c>
      <c r="H66" s="5">
        <v>30.0</v>
      </c>
      <c r="I66" s="6" t="s">
        <v>37</v>
      </c>
      <c r="J66" s="24">
        <v>600.0</v>
      </c>
      <c r="K66" s="25" t="s">
        <v>44</v>
      </c>
      <c r="L66" s="25" t="s">
        <v>44</v>
      </c>
      <c r="M66" s="6" t="s">
        <v>40</v>
      </c>
      <c r="N66" s="5" t="s">
        <v>44</v>
      </c>
      <c r="O66" s="5" t="s">
        <v>41</v>
      </c>
      <c r="P66" s="5"/>
      <c r="Q66" s="6" t="s">
        <v>42</v>
      </c>
      <c r="R66" s="5" t="s">
        <v>8116</v>
      </c>
      <c r="S66" s="6" t="s">
        <v>56</v>
      </c>
      <c r="T66" s="6">
        <v>2377.0</v>
      </c>
    </row>
    <row r="67" ht="56.25" customHeight="1">
      <c r="A67" s="5" t="s">
        <v>8111</v>
      </c>
      <c r="B67" s="6" t="str">
        <f>IMAGE("https://storage.googleapis.com/acdb/tools/ToolAngling_Remake_2_0.png")</f>
        <v/>
      </c>
      <c r="C67" s="5" t="s">
        <v>96</v>
      </c>
      <c r="D67" s="5" t="s">
        <v>135</v>
      </c>
      <c r="E67" s="5" t="s">
        <v>35</v>
      </c>
      <c r="F67" s="5" t="s">
        <v>35</v>
      </c>
      <c r="G67" s="6">
        <v>1.0</v>
      </c>
      <c r="H67" s="5">
        <v>30.0</v>
      </c>
      <c r="I67" s="6" t="s">
        <v>37</v>
      </c>
      <c r="J67" s="24">
        <v>600.0</v>
      </c>
      <c r="K67" s="25" t="s">
        <v>44</v>
      </c>
      <c r="L67" s="25" t="s">
        <v>44</v>
      </c>
      <c r="M67" s="6" t="s">
        <v>40</v>
      </c>
      <c r="N67" s="5" t="s">
        <v>44</v>
      </c>
      <c r="O67" s="5" t="s">
        <v>41</v>
      </c>
      <c r="P67" s="5"/>
      <c r="Q67" s="6" t="s">
        <v>42</v>
      </c>
      <c r="R67" s="5" t="s">
        <v>8119</v>
      </c>
      <c r="S67" s="6" t="s">
        <v>67</v>
      </c>
      <c r="T67" s="6">
        <v>2377.0</v>
      </c>
    </row>
    <row r="68" ht="56.25" customHeight="1">
      <c r="A68" s="5" t="s">
        <v>8111</v>
      </c>
      <c r="B68" s="6" t="str">
        <f>IMAGE("https://storage.googleapis.com/acdb/tools/ToolAngling_Remake_3_0.png")</f>
        <v/>
      </c>
      <c r="C68" s="5" t="s">
        <v>52</v>
      </c>
      <c r="D68" s="5" t="s">
        <v>135</v>
      </c>
      <c r="E68" s="5" t="s">
        <v>35</v>
      </c>
      <c r="F68" s="5" t="s">
        <v>35</v>
      </c>
      <c r="G68" s="6">
        <v>1.0</v>
      </c>
      <c r="H68" s="5">
        <v>30.0</v>
      </c>
      <c r="I68" s="6" t="s">
        <v>37</v>
      </c>
      <c r="J68" s="24">
        <v>600.0</v>
      </c>
      <c r="K68" s="25" t="s">
        <v>44</v>
      </c>
      <c r="L68" s="25" t="s">
        <v>44</v>
      </c>
      <c r="M68" s="6" t="s">
        <v>40</v>
      </c>
      <c r="N68" s="5" t="s">
        <v>44</v>
      </c>
      <c r="O68" s="5" t="s">
        <v>41</v>
      </c>
      <c r="P68" s="5"/>
      <c r="Q68" s="6" t="s">
        <v>42</v>
      </c>
      <c r="R68" s="5" t="s">
        <v>8121</v>
      </c>
      <c r="S68" s="6" t="s">
        <v>71</v>
      </c>
      <c r="T68" s="6">
        <v>2377.0</v>
      </c>
    </row>
    <row r="69" ht="56.25" customHeight="1">
      <c r="A69" s="5" t="s">
        <v>8111</v>
      </c>
      <c r="B69" s="6" t="str">
        <f>IMAGE("https://storage.googleapis.com/acdb/tools/ToolAngling_Remake_4_0.png")</f>
        <v/>
      </c>
      <c r="C69" s="5" t="s">
        <v>106</v>
      </c>
      <c r="D69" s="5" t="s">
        <v>135</v>
      </c>
      <c r="E69" s="5" t="s">
        <v>35</v>
      </c>
      <c r="F69" s="5" t="s">
        <v>35</v>
      </c>
      <c r="G69" s="6">
        <v>1.0</v>
      </c>
      <c r="H69" s="5">
        <v>30.0</v>
      </c>
      <c r="I69" s="6" t="s">
        <v>37</v>
      </c>
      <c r="J69" s="24">
        <v>600.0</v>
      </c>
      <c r="K69" s="25" t="s">
        <v>44</v>
      </c>
      <c r="L69" s="25" t="s">
        <v>44</v>
      </c>
      <c r="M69" s="6" t="s">
        <v>40</v>
      </c>
      <c r="N69" s="5" t="s">
        <v>44</v>
      </c>
      <c r="O69" s="5" t="s">
        <v>41</v>
      </c>
      <c r="P69" s="5"/>
      <c r="Q69" s="6" t="s">
        <v>42</v>
      </c>
      <c r="R69" s="5" t="s">
        <v>8124</v>
      </c>
      <c r="S69" s="6" t="s">
        <v>75</v>
      </c>
      <c r="T69" s="6">
        <v>2377.0</v>
      </c>
    </row>
    <row r="70" ht="56.25" customHeight="1">
      <c r="A70" s="5" t="s">
        <v>8111</v>
      </c>
      <c r="B70" s="6" t="str">
        <f>IMAGE("https://storage.googleapis.com/acdb/tools/ToolAngling_Remake_5_0.png")</f>
        <v/>
      </c>
      <c r="C70" s="5" t="s">
        <v>69</v>
      </c>
      <c r="D70" s="5" t="s">
        <v>135</v>
      </c>
      <c r="E70" s="5" t="s">
        <v>35</v>
      </c>
      <c r="F70" s="5" t="s">
        <v>35</v>
      </c>
      <c r="G70" s="6">
        <v>1.0</v>
      </c>
      <c r="H70" s="5">
        <v>30.0</v>
      </c>
      <c r="I70" s="6" t="s">
        <v>37</v>
      </c>
      <c r="J70" s="24">
        <v>600.0</v>
      </c>
      <c r="K70" s="25" t="s">
        <v>44</v>
      </c>
      <c r="L70" s="25" t="s">
        <v>44</v>
      </c>
      <c r="M70" s="6" t="s">
        <v>40</v>
      </c>
      <c r="N70" s="5" t="s">
        <v>44</v>
      </c>
      <c r="O70" s="5" t="s">
        <v>41</v>
      </c>
      <c r="P70" s="5"/>
      <c r="Q70" s="6" t="s">
        <v>42</v>
      </c>
      <c r="R70" s="5" t="s">
        <v>8127</v>
      </c>
      <c r="S70" s="6" t="s">
        <v>79</v>
      </c>
      <c r="T70" s="6">
        <v>2377.0</v>
      </c>
    </row>
    <row r="71" ht="56.25" customHeight="1">
      <c r="A71" s="5" t="s">
        <v>8111</v>
      </c>
      <c r="B71" s="6" t="str">
        <f>IMAGE("https://storage.googleapis.com/acdb/tools/ToolAngling_Remake_6_0.png")</f>
        <v/>
      </c>
      <c r="C71" s="5" t="s">
        <v>57</v>
      </c>
      <c r="D71" s="5" t="s">
        <v>135</v>
      </c>
      <c r="E71" s="5" t="s">
        <v>35</v>
      </c>
      <c r="F71" s="5" t="s">
        <v>35</v>
      </c>
      <c r="G71" s="6">
        <v>1.0</v>
      </c>
      <c r="H71" s="5">
        <v>30.0</v>
      </c>
      <c r="I71" s="6" t="s">
        <v>37</v>
      </c>
      <c r="J71" s="24">
        <v>600.0</v>
      </c>
      <c r="K71" s="25" t="s">
        <v>44</v>
      </c>
      <c r="L71" s="25" t="s">
        <v>44</v>
      </c>
      <c r="M71" s="6" t="s">
        <v>40</v>
      </c>
      <c r="N71" s="5" t="s">
        <v>44</v>
      </c>
      <c r="O71" s="5" t="s">
        <v>41</v>
      </c>
      <c r="P71" s="5"/>
      <c r="Q71" s="6" t="s">
        <v>42</v>
      </c>
      <c r="R71" s="5" t="s">
        <v>8131</v>
      </c>
      <c r="S71" s="6" t="s">
        <v>86</v>
      </c>
      <c r="T71" s="6">
        <v>2377.0</v>
      </c>
    </row>
    <row r="72" ht="56.25" customHeight="1">
      <c r="A72" s="5" t="s">
        <v>8111</v>
      </c>
      <c r="B72" s="6" t="str">
        <f>IMAGE("https://storage.googleapis.com/acdb/tools/ToolAngling_Remake_7_0.png")</f>
        <v/>
      </c>
      <c r="C72" s="5" t="s">
        <v>54</v>
      </c>
      <c r="D72" s="5" t="s">
        <v>135</v>
      </c>
      <c r="E72" s="5" t="s">
        <v>35</v>
      </c>
      <c r="F72" s="5" t="s">
        <v>35</v>
      </c>
      <c r="G72" s="6">
        <v>1.0</v>
      </c>
      <c r="H72" s="5">
        <v>30.0</v>
      </c>
      <c r="I72" s="6" t="s">
        <v>37</v>
      </c>
      <c r="J72" s="24">
        <v>600.0</v>
      </c>
      <c r="K72" s="25" t="s">
        <v>44</v>
      </c>
      <c r="L72" s="25" t="s">
        <v>44</v>
      </c>
      <c r="M72" s="6" t="s">
        <v>40</v>
      </c>
      <c r="N72" s="5" t="s">
        <v>44</v>
      </c>
      <c r="O72" s="5" t="s">
        <v>41</v>
      </c>
      <c r="P72" s="5"/>
      <c r="Q72" s="6" t="s">
        <v>42</v>
      </c>
      <c r="R72" s="5" t="s">
        <v>8134</v>
      </c>
      <c r="S72" s="6" t="s">
        <v>208</v>
      </c>
      <c r="T72" s="6">
        <v>2377.0</v>
      </c>
    </row>
    <row r="73" ht="56.25" customHeight="1">
      <c r="A73" s="5" t="s">
        <v>8135</v>
      </c>
      <c r="B73" s="6" t="str">
        <f>IMAGE("https://storage.googleapis.com/acdb/tools/ToolAxeStone.png")</f>
        <v/>
      </c>
      <c r="C73" s="5" t="s">
        <v>34</v>
      </c>
      <c r="D73" s="5" t="s">
        <v>34</v>
      </c>
      <c r="E73" s="5" t="s">
        <v>35</v>
      </c>
      <c r="F73" s="5" t="s">
        <v>36</v>
      </c>
      <c r="G73" s="6" t="s">
        <v>34</v>
      </c>
      <c r="H73" s="5">
        <v>40.0</v>
      </c>
      <c r="I73" s="6">
        <v>800.0</v>
      </c>
      <c r="J73" s="24">
        <v>200.0</v>
      </c>
      <c r="K73" s="25" t="s">
        <v>44</v>
      </c>
      <c r="L73" s="25" t="s">
        <v>44</v>
      </c>
      <c r="M73" s="6" t="s">
        <v>40</v>
      </c>
      <c r="N73" s="5" t="s">
        <v>44</v>
      </c>
      <c r="O73" s="5" t="s">
        <v>7899</v>
      </c>
      <c r="P73" s="5" t="s">
        <v>8137</v>
      </c>
      <c r="Q73" s="6" t="s">
        <v>42</v>
      </c>
      <c r="R73" s="5" t="s">
        <v>8138</v>
      </c>
      <c r="S73" s="6" t="s">
        <v>34</v>
      </c>
      <c r="T73" s="6">
        <v>3068.0</v>
      </c>
    </row>
    <row r="74" ht="56.25" customHeight="1">
      <c r="A74" s="5" t="s">
        <v>8139</v>
      </c>
      <c r="B74" s="6" t="str">
        <f>IMAGE("https://storage.googleapis.com/acdb/tools/ToolFishingrodWood.png")</f>
        <v/>
      </c>
      <c r="C74" s="5" t="s">
        <v>34</v>
      </c>
      <c r="D74" s="5" t="s">
        <v>34</v>
      </c>
      <c r="E74" s="5" t="s">
        <v>35</v>
      </c>
      <c r="F74" s="5" t="s">
        <v>36</v>
      </c>
      <c r="G74" s="6" t="s">
        <v>34</v>
      </c>
      <c r="H74" s="27" t="s">
        <v>8141</v>
      </c>
      <c r="I74" s="6" t="s">
        <v>37</v>
      </c>
      <c r="J74" s="24">
        <v>100.0</v>
      </c>
      <c r="K74" s="25" t="s">
        <v>44</v>
      </c>
      <c r="L74" s="25" t="s">
        <v>44</v>
      </c>
      <c r="M74" s="6" t="s">
        <v>40</v>
      </c>
      <c r="N74" s="5" t="s">
        <v>44</v>
      </c>
      <c r="O74" s="5" t="s">
        <v>7899</v>
      </c>
      <c r="P74" s="5" t="s">
        <v>554</v>
      </c>
      <c r="Q74" s="6" t="s">
        <v>42</v>
      </c>
      <c r="R74" s="5" t="s">
        <v>8143</v>
      </c>
      <c r="S74" s="6" t="s">
        <v>34</v>
      </c>
      <c r="T74" s="6">
        <v>3084.0</v>
      </c>
    </row>
    <row r="75" ht="56.25" customHeight="1">
      <c r="A75" s="5" t="s">
        <v>8144</v>
      </c>
      <c r="B75" s="6" t="str">
        <f>IMAGE("https://storage.googleapis.com/acdb/tools/ToolNet.png")</f>
        <v/>
      </c>
      <c r="C75" s="5" t="s">
        <v>34</v>
      </c>
      <c r="D75" s="5" t="s">
        <v>34</v>
      </c>
      <c r="E75" s="5" t="s">
        <v>35</v>
      </c>
      <c r="F75" s="5" t="s">
        <v>36</v>
      </c>
      <c r="G75" s="6" t="s">
        <v>34</v>
      </c>
      <c r="H75" s="5">
        <v>10.0</v>
      </c>
      <c r="I75" s="6" t="s">
        <v>37</v>
      </c>
      <c r="J75" s="24">
        <v>100.0</v>
      </c>
      <c r="K75" s="25" t="s">
        <v>44</v>
      </c>
      <c r="L75" s="25" t="s">
        <v>44</v>
      </c>
      <c r="M75" s="6" t="s">
        <v>40</v>
      </c>
      <c r="N75" s="5" t="s">
        <v>44</v>
      </c>
      <c r="O75" s="5" t="s">
        <v>7899</v>
      </c>
      <c r="P75" s="5" t="s">
        <v>554</v>
      </c>
      <c r="Q75" s="6" t="s">
        <v>42</v>
      </c>
      <c r="R75" s="5" t="s">
        <v>8147</v>
      </c>
      <c r="S75" s="6" t="s">
        <v>34</v>
      </c>
      <c r="T75" s="6">
        <v>2376.0</v>
      </c>
    </row>
    <row r="76" ht="56.25" customHeight="1">
      <c r="A76" s="5" t="s">
        <v>8148</v>
      </c>
      <c r="B76" s="6" t="str">
        <f>IMAGE("https://storage.googleapis.com/acdb/tools/ToolShovelWood.png")</f>
        <v/>
      </c>
      <c r="C76" s="5" t="s">
        <v>34</v>
      </c>
      <c r="D76" s="5" t="s">
        <v>34</v>
      </c>
      <c r="E76" s="5" t="s">
        <v>35</v>
      </c>
      <c r="F76" s="5" t="s">
        <v>36</v>
      </c>
      <c r="G76" s="6" t="s">
        <v>34</v>
      </c>
      <c r="H76" s="5">
        <v>40.0</v>
      </c>
      <c r="I76" s="6">
        <v>800.0</v>
      </c>
      <c r="J76" s="24">
        <v>200.0</v>
      </c>
      <c r="K76" s="25" t="s">
        <v>44</v>
      </c>
      <c r="L76" s="25" t="s">
        <v>44</v>
      </c>
      <c r="M76" s="6" t="s">
        <v>40</v>
      </c>
      <c r="N76" s="5" t="s">
        <v>44</v>
      </c>
      <c r="O76" s="5" t="s">
        <v>7899</v>
      </c>
      <c r="P76" s="5" t="s">
        <v>8150</v>
      </c>
      <c r="Q76" s="6" t="s">
        <v>42</v>
      </c>
      <c r="R76" s="5" t="s">
        <v>8152</v>
      </c>
      <c r="S76" s="6" t="s">
        <v>34</v>
      </c>
      <c r="T76" s="6">
        <v>3082.0</v>
      </c>
    </row>
    <row r="77" ht="56.25" customHeight="1">
      <c r="A77" s="5" t="s">
        <v>8153</v>
      </c>
      <c r="B77" s="6" t="str">
        <f>IMAGE("https://storage.googleapis.com/acdb/tools/ToolWateringWood.png")</f>
        <v/>
      </c>
      <c r="C77" s="5" t="s">
        <v>34</v>
      </c>
      <c r="D77" s="5" t="s">
        <v>34</v>
      </c>
      <c r="E77" s="5" t="s">
        <v>35</v>
      </c>
      <c r="F77" s="5" t="s">
        <v>36</v>
      </c>
      <c r="G77" s="6" t="s">
        <v>34</v>
      </c>
      <c r="H77" s="5">
        <v>20.0</v>
      </c>
      <c r="I77" s="6">
        <v>800.0</v>
      </c>
      <c r="J77" s="24">
        <v>200.0</v>
      </c>
      <c r="K77" s="25" t="s">
        <v>44</v>
      </c>
      <c r="L77" s="25" t="s">
        <v>44</v>
      </c>
      <c r="M77" s="6" t="s">
        <v>40</v>
      </c>
      <c r="N77" s="5" t="s">
        <v>44</v>
      </c>
      <c r="O77" s="5" t="s">
        <v>7899</v>
      </c>
      <c r="P77" s="5" t="s">
        <v>554</v>
      </c>
      <c r="Q77" s="6" t="s">
        <v>42</v>
      </c>
      <c r="R77" s="5" t="s">
        <v>8156</v>
      </c>
      <c r="S77" s="6" t="s">
        <v>34</v>
      </c>
      <c r="T77" s="6">
        <v>3083.0</v>
      </c>
    </row>
    <row r="78" ht="56.25" customHeight="1">
      <c r="A78" s="5" t="s">
        <v>8157</v>
      </c>
      <c r="B78" s="6" t="str">
        <f>IMAGE("https://storage.googleapis.com/acdb/tools/ToolAxeGold.png")</f>
        <v/>
      </c>
      <c r="C78" s="5" t="s">
        <v>34</v>
      </c>
      <c r="D78" s="5" t="s">
        <v>34</v>
      </c>
      <c r="E78" s="5" t="s">
        <v>35</v>
      </c>
      <c r="F78" s="5" t="s">
        <v>36</v>
      </c>
      <c r="G78" s="6" t="s">
        <v>34</v>
      </c>
      <c r="H78" s="5">
        <v>200.0</v>
      </c>
      <c r="I78" s="6" t="s">
        <v>37</v>
      </c>
      <c r="J78" s="24">
        <v>10655.0</v>
      </c>
      <c r="K78" s="25" t="s">
        <v>44</v>
      </c>
      <c r="L78" s="25" t="s">
        <v>44</v>
      </c>
      <c r="M78" s="6" t="s">
        <v>40</v>
      </c>
      <c r="N78" s="5" t="s">
        <v>44</v>
      </c>
      <c r="O78" s="5" t="s">
        <v>41</v>
      </c>
      <c r="P78" s="5"/>
      <c r="Q78" s="6" t="s">
        <v>42</v>
      </c>
      <c r="R78" s="5" t="s">
        <v>8161</v>
      </c>
      <c r="S78" s="6" t="s">
        <v>34</v>
      </c>
      <c r="T78" s="6">
        <v>9617.0</v>
      </c>
    </row>
    <row r="79" ht="56.25" customHeight="1">
      <c r="A79" s="5" t="s">
        <v>8162</v>
      </c>
      <c r="B79" s="6" t="str">
        <f>IMAGE("https://storage.googleapis.com/acdb/tools/ToolNetGold.png")</f>
        <v/>
      </c>
      <c r="C79" s="5" t="s">
        <v>34</v>
      </c>
      <c r="D79" s="5" t="s">
        <v>34</v>
      </c>
      <c r="E79" s="5" t="s">
        <v>35</v>
      </c>
      <c r="F79" s="5" t="s">
        <v>36</v>
      </c>
      <c r="G79" s="6" t="s">
        <v>34</v>
      </c>
      <c r="H79" s="5">
        <v>90.0</v>
      </c>
      <c r="I79" s="6" t="s">
        <v>37</v>
      </c>
      <c r="J79" s="24">
        <v>10400.0</v>
      </c>
      <c r="K79" s="25" t="s">
        <v>44</v>
      </c>
      <c r="L79" s="25" t="s">
        <v>44</v>
      </c>
      <c r="M79" s="6" t="s">
        <v>40</v>
      </c>
      <c r="N79" s="5" t="s">
        <v>44</v>
      </c>
      <c r="O79" s="5" t="s">
        <v>41</v>
      </c>
      <c r="P79" s="5"/>
      <c r="Q79" s="6" t="s">
        <v>42</v>
      </c>
      <c r="R79" s="5" t="s">
        <v>8166</v>
      </c>
      <c r="S79" s="6" t="s">
        <v>34</v>
      </c>
      <c r="T79" s="6">
        <v>8179.0</v>
      </c>
    </row>
    <row r="80" ht="56.25" customHeight="1">
      <c r="A80" s="5" t="s">
        <v>8168</v>
      </c>
      <c r="B80" s="6" t="str">
        <f>IMAGE("https://storage.googleapis.com/acdb/tools/ToolFishingrodGold.png")</f>
        <v/>
      </c>
      <c r="C80" s="5" t="s">
        <v>34</v>
      </c>
      <c r="D80" s="5" t="s">
        <v>34</v>
      </c>
      <c r="E80" s="5" t="s">
        <v>35</v>
      </c>
      <c r="F80" s="5" t="s">
        <v>36</v>
      </c>
      <c r="G80" s="6" t="s">
        <v>34</v>
      </c>
      <c r="H80" s="5">
        <v>90.0</v>
      </c>
      <c r="I80" s="6" t="s">
        <v>37</v>
      </c>
      <c r="J80" s="24">
        <v>10400.0</v>
      </c>
      <c r="K80" s="25" t="s">
        <v>44</v>
      </c>
      <c r="L80" s="25" t="s">
        <v>44</v>
      </c>
      <c r="M80" s="6" t="s">
        <v>40</v>
      </c>
      <c r="N80" s="5" t="s">
        <v>44</v>
      </c>
      <c r="O80" s="5" t="s">
        <v>41</v>
      </c>
      <c r="P80" s="5"/>
      <c r="Q80" s="6" t="s">
        <v>42</v>
      </c>
      <c r="R80" s="5" t="s">
        <v>8171</v>
      </c>
      <c r="S80" s="6" t="s">
        <v>34</v>
      </c>
      <c r="T80" s="6">
        <v>8660.0</v>
      </c>
    </row>
    <row r="81" ht="56.25" customHeight="1">
      <c r="A81" s="5" t="s">
        <v>8172</v>
      </c>
      <c r="B81" s="6" t="str">
        <f>IMAGE("https://storage.googleapis.com/acdb/tools/ToolScoopGold.png")</f>
        <v/>
      </c>
      <c r="C81" s="5" t="s">
        <v>34</v>
      </c>
      <c r="D81" s="5" t="s">
        <v>34</v>
      </c>
      <c r="E81" s="5" t="s">
        <v>35</v>
      </c>
      <c r="F81" s="5" t="s">
        <v>36</v>
      </c>
      <c r="G81" s="6" t="s">
        <v>34</v>
      </c>
      <c r="H81" s="5">
        <v>200.0</v>
      </c>
      <c r="I81" s="6" t="s">
        <v>37</v>
      </c>
      <c r="J81" s="24">
        <v>10675.0</v>
      </c>
      <c r="K81" s="25" t="s">
        <v>44</v>
      </c>
      <c r="L81" s="25" t="s">
        <v>44</v>
      </c>
      <c r="M81" s="6" t="s">
        <v>40</v>
      </c>
      <c r="N81" s="5" t="s">
        <v>44</v>
      </c>
      <c r="O81" s="5" t="s">
        <v>41</v>
      </c>
      <c r="P81" s="5"/>
      <c r="Q81" s="6" t="s">
        <v>42</v>
      </c>
      <c r="R81" s="5" t="s">
        <v>8175</v>
      </c>
      <c r="S81" s="6" t="s">
        <v>34</v>
      </c>
      <c r="T81" s="6">
        <v>8574.0</v>
      </c>
    </row>
    <row r="82" ht="56.25" customHeight="1">
      <c r="A82" s="5" t="s">
        <v>8176</v>
      </c>
      <c r="B82" s="6" t="str">
        <f>IMAGE("https://storage.googleapis.com/acdb/tools/ToolSlingshotGold.png")</f>
        <v/>
      </c>
      <c r="C82" s="5" t="s">
        <v>34</v>
      </c>
      <c r="D82" s="5" t="s">
        <v>34</v>
      </c>
      <c r="E82" s="5" t="s">
        <v>35</v>
      </c>
      <c r="F82" s="5" t="s">
        <v>36</v>
      </c>
      <c r="G82" s="6" t="s">
        <v>34</v>
      </c>
      <c r="H82" s="5">
        <v>60.0</v>
      </c>
      <c r="I82" s="6" t="s">
        <v>37</v>
      </c>
      <c r="J82" s="24">
        <v>10300.0</v>
      </c>
      <c r="K82" s="25" t="s">
        <v>44</v>
      </c>
      <c r="L82" s="25" t="s">
        <v>44</v>
      </c>
      <c r="M82" s="6" t="s">
        <v>40</v>
      </c>
      <c r="N82" s="5" t="s">
        <v>44</v>
      </c>
      <c r="O82" s="5" t="s">
        <v>41</v>
      </c>
      <c r="P82" s="5"/>
      <c r="Q82" s="6" t="s">
        <v>42</v>
      </c>
      <c r="R82" s="5" t="s">
        <v>8178</v>
      </c>
      <c r="S82" s="6" t="s">
        <v>34</v>
      </c>
      <c r="T82" s="6">
        <v>8578.0</v>
      </c>
    </row>
    <row r="83" ht="56.25" customHeight="1">
      <c r="A83" s="5" t="s">
        <v>8179</v>
      </c>
      <c r="B83" s="6" t="str">
        <f>IMAGE("https://storage.googleapis.com/acdb/tools/ToolStickGolden.png")</f>
        <v/>
      </c>
      <c r="C83" s="5" t="s">
        <v>34</v>
      </c>
      <c r="D83" s="5" t="s">
        <v>34</v>
      </c>
      <c r="E83" s="5" t="s">
        <v>35</v>
      </c>
      <c r="F83" s="5" t="s">
        <v>36</v>
      </c>
      <c r="G83" s="6" t="s">
        <v>34</v>
      </c>
      <c r="H83" s="5" t="s">
        <v>7903</v>
      </c>
      <c r="I83" s="6" t="s">
        <v>37</v>
      </c>
      <c r="J83" s="24">
        <v>20750.0</v>
      </c>
      <c r="K83" s="25" t="s">
        <v>44</v>
      </c>
      <c r="L83" s="25" t="s">
        <v>44</v>
      </c>
      <c r="M83" s="6" t="s">
        <v>40</v>
      </c>
      <c r="N83" s="5" t="s">
        <v>44</v>
      </c>
      <c r="O83" s="5" t="s">
        <v>41</v>
      </c>
      <c r="P83" s="5"/>
      <c r="Q83" s="6" t="s">
        <v>42</v>
      </c>
      <c r="R83" s="5" t="s">
        <v>8182</v>
      </c>
      <c r="S83" s="6" t="s">
        <v>34</v>
      </c>
      <c r="T83" s="6">
        <v>7591.0</v>
      </c>
    </row>
    <row r="84" ht="56.25" customHeight="1">
      <c r="A84" s="5" t="s">
        <v>8183</v>
      </c>
      <c r="B84" s="6" t="str">
        <f>IMAGE("https://storage.googleapis.com/acdb/tools/ToolWateringGold.png")</f>
        <v/>
      </c>
      <c r="C84" s="5" t="s">
        <v>34</v>
      </c>
      <c r="D84" s="5" t="s">
        <v>34</v>
      </c>
      <c r="E84" s="5" t="s">
        <v>35</v>
      </c>
      <c r="F84" s="5" t="s">
        <v>36</v>
      </c>
      <c r="G84" s="6" t="s">
        <v>34</v>
      </c>
      <c r="H84" s="5">
        <v>180.0</v>
      </c>
      <c r="I84" s="6" t="s">
        <v>37</v>
      </c>
      <c r="J84" s="24">
        <v>10675.0</v>
      </c>
      <c r="K84" s="25" t="s">
        <v>44</v>
      </c>
      <c r="L84" s="25" t="s">
        <v>44</v>
      </c>
      <c r="M84" s="6" t="s">
        <v>40</v>
      </c>
      <c r="N84" s="5" t="s">
        <v>44</v>
      </c>
      <c r="O84" s="5" t="s">
        <v>41</v>
      </c>
      <c r="P84" s="5"/>
      <c r="Q84" s="6" t="s">
        <v>42</v>
      </c>
      <c r="R84" s="5" t="s">
        <v>8185</v>
      </c>
      <c r="S84" s="6" t="s">
        <v>34</v>
      </c>
      <c r="T84" s="6">
        <v>8533.0</v>
      </c>
    </row>
    <row r="85" ht="56.25" customHeight="1">
      <c r="A85" s="5" t="s">
        <v>8186</v>
      </c>
      <c r="B85" s="6" t="str">
        <f>IMAGE("https://storage.googleapis.com/acdb/tools/ToolStickHyacinth.png")</f>
        <v/>
      </c>
      <c r="C85" s="5" t="s">
        <v>34</v>
      </c>
      <c r="D85" s="5" t="s">
        <v>34</v>
      </c>
      <c r="E85" s="5" t="s">
        <v>35</v>
      </c>
      <c r="F85" s="5" t="s">
        <v>36</v>
      </c>
      <c r="G85" s="6" t="s">
        <v>34</v>
      </c>
      <c r="H85" s="5" t="s">
        <v>7903</v>
      </c>
      <c r="I85" s="6" t="s">
        <v>37</v>
      </c>
      <c r="J85" s="24">
        <v>1660.0</v>
      </c>
      <c r="K85" s="25" t="s">
        <v>44</v>
      </c>
      <c r="L85" s="25" t="s">
        <v>44</v>
      </c>
      <c r="M85" s="6" t="s">
        <v>40</v>
      </c>
      <c r="N85" s="5" t="s">
        <v>44</v>
      </c>
      <c r="O85" s="5" t="s">
        <v>41</v>
      </c>
      <c r="P85" s="5"/>
      <c r="Q85" s="6" t="s">
        <v>42</v>
      </c>
      <c r="R85" s="5" t="s">
        <v>8191</v>
      </c>
      <c r="S85" s="6" t="s">
        <v>34</v>
      </c>
      <c r="T85" s="6">
        <v>5083.0</v>
      </c>
    </row>
    <row r="86" ht="56.25" customHeight="1">
      <c r="A86" s="5" t="s">
        <v>8192</v>
      </c>
      <c r="B86" s="6" t="str">
        <f>IMAGE("https://storage.googleapis.com/acdb/tools/ToolStickSnow.png")</f>
        <v/>
      </c>
      <c r="C86" s="5" t="s">
        <v>34</v>
      </c>
      <c r="D86" s="5" t="s">
        <v>34</v>
      </c>
      <c r="E86" s="5" t="s">
        <v>35</v>
      </c>
      <c r="F86" s="5" t="s">
        <v>36</v>
      </c>
      <c r="G86" s="6" t="s">
        <v>34</v>
      </c>
      <c r="H86" s="5" t="s">
        <v>7903</v>
      </c>
      <c r="I86" s="6" t="s">
        <v>37</v>
      </c>
      <c r="J86" s="24">
        <v>6500.0</v>
      </c>
      <c r="K86" s="25" t="s">
        <v>44</v>
      </c>
      <c r="L86" s="25" t="s">
        <v>44</v>
      </c>
      <c r="M86" s="6" t="s">
        <v>40</v>
      </c>
      <c r="N86" s="5" t="s">
        <v>44</v>
      </c>
      <c r="O86" s="5" t="s">
        <v>41</v>
      </c>
      <c r="P86" s="5"/>
      <c r="Q86" s="6" t="s">
        <v>42</v>
      </c>
      <c r="R86" s="5" t="s">
        <v>8194</v>
      </c>
      <c r="S86" s="6" t="s">
        <v>34</v>
      </c>
      <c r="T86" s="6">
        <v>7585.0</v>
      </c>
    </row>
    <row r="87" ht="56.25" customHeight="1">
      <c r="A87" s="5" t="s">
        <v>8195</v>
      </c>
      <c r="B87" s="6" t="str">
        <f>IMAGE("https://storage.googleapis.com/acdb/tools/ToolStickIron.png")</f>
        <v/>
      </c>
      <c r="C87" s="5" t="s">
        <v>34</v>
      </c>
      <c r="D87" s="5" t="s">
        <v>34</v>
      </c>
      <c r="E87" s="5" t="s">
        <v>35</v>
      </c>
      <c r="F87" s="5" t="s">
        <v>36</v>
      </c>
      <c r="G87" s="6" t="s">
        <v>34</v>
      </c>
      <c r="H87" s="5" t="s">
        <v>7903</v>
      </c>
      <c r="I87" s="6" t="s">
        <v>37</v>
      </c>
      <c r="J87" s="24">
        <v>3750.0</v>
      </c>
      <c r="K87" s="25" t="s">
        <v>44</v>
      </c>
      <c r="L87" s="25" t="s">
        <v>44</v>
      </c>
      <c r="M87" s="6" t="s">
        <v>40</v>
      </c>
      <c r="N87" s="5" t="s">
        <v>44</v>
      </c>
      <c r="O87" s="5" t="s">
        <v>41</v>
      </c>
      <c r="P87" s="5"/>
      <c r="Q87" s="6" t="s">
        <v>42</v>
      </c>
      <c r="R87" s="5" t="s">
        <v>8199</v>
      </c>
      <c r="S87" s="6" t="s">
        <v>34</v>
      </c>
      <c r="T87" s="6">
        <v>7592.0</v>
      </c>
    </row>
    <row r="88" ht="56.25" customHeight="1">
      <c r="A88" s="5" t="s">
        <v>8200</v>
      </c>
      <c r="B88" s="6" t="str">
        <f>IMAGE("https://storage.googleapis.com/acdb/tools/ToolLadder.png")</f>
        <v/>
      </c>
      <c r="C88" s="5" t="s">
        <v>34</v>
      </c>
      <c r="D88" s="5" t="s">
        <v>34</v>
      </c>
      <c r="E88" s="5" t="s">
        <v>35</v>
      </c>
      <c r="F88" s="5" t="s">
        <v>36</v>
      </c>
      <c r="G88" s="6" t="s">
        <v>34</v>
      </c>
      <c r="H88" s="5" t="s">
        <v>7903</v>
      </c>
      <c r="I88" s="6" t="s">
        <v>37</v>
      </c>
      <c r="J88" s="24">
        <v>1440.0</v>
      </c>
      <c r="K88" s="25" t="s">
        <v>44</v>
      </c>
      <c r="L88" s="25" t="s">
        <v>44</v>
      </c>
      <c r="M88" s="6" t="s">
        <v>40</v>
      </c>
      <c r="N88" s="5" t="s">
        <v>44</v>
      </c>
      <c r="O88" s="5" t="s">
        <v>41</v>
      </c>
      <c r="P88" s="5"/>
      <c r="Q88" s="6" t="s">
        <v>42</v>
      </c>
      <c r="R88" s="5" t="s">
        <v>8204</v>
      </c>
      <c r="S88" s="6" t="s">
        <v>34</v>
      </c>
      <c r="T88" s="6">
        <v>2615.0</v>
      </c>
    </row>
    <row r="89" ht="56.25" customHeight="1">
      <c r="A89" s="5" t="s">
        <v>8205</v>
      </c>
      <c r="B89" s="6" t="str">
        <f>IMAGE("https://storage.googleapis.com/acdb/tools/ToolSticklight.png")</f>
        <v/>
      </c>
      <c r="C89" s="5" t="s">
        <v>34</v>
      </c>
      <c r="D89" s="5" t="s">
        <v>34</v>
      </c>
      <c r="E89" s="5" t="s">
        <v>36</v>
      </c>
      <c r="F89" s="5" t="s">
        <v>36</v>
      </c>
      <c r="G89" s="6" t="s">
        <v>34</v>
      </c>
      <c r="H89" s="5" t="s">
        <v>7903</v>
      </c>
      <c r="I89" s="6">
        <v>1500.0</v>
      </c>
      <c r="J89" s="24">
        <v>375.0</v>
      </c>
      <c r="K89" s="25" t="s">
        <v>44</v>
      </c>
      <c r="L89" s="25" t="s">
        <v>44</v>
      </c>
      <c r="M89" s="6" t="s">
        <v>40</v>
      </c>
      <c r="N89" s="5" t="s">
        <v>44</v>
      </c>
      <c r="O89" s="5" t="s">
        <v>41</v>
      </c>
      <c r="P89" s="5"/>
      <c r="Q89" s="6" t="s">
        <v>42</v>
      </c>
      <c r="R89" s="5" t="s">
        <v>8208</v>
      </c>
      <c r="S89" s="6" t="s">
        <v>34</v>
      </c>
      <c r="T89" s="6">
        <v>5741.0</v>
      </c>
    </row>
    <row r="90" ht="56.25" customHeight="1">
      <c r="A90" s="5" t="s">
        <v>8209</v>
      </c>
      <c r="B90" s="6" t="str">
        <f>IMAGE("https://storage.googleapis.com/acdb/tools/ToolStickYuri.png")</f>
        <v/>
      </c>
      <c r="C90" s="5" t="s">
        <v>34</v>
      </c>
      <c r="D90" s="5" t="s">
        <v>34</v>
      </c>
      <c r="E90" s="5" t="s">
        <v>35</v>
      </c>
      <c r="F90" s="5" t="s">
        <v>36</v>
      </c>
      <c r="G90" s="6" t="s">
        <v>34</v>
      </c>
      <c r="H90" s="5" t="s">
        <v>7903</v>
      </c>
      <c r="I90" s="6" t="s">
        <v>37</v>
      </c>
      <c r="J90" s="24">
        <v>1580.0</v>
      </c>
      <c r="K90" s="25" t="s">
        <v>44</v>
      </c>
      <c r="L90" s="25" t="s">
        <v>44</v>
      </c>
      <c r="M90" s="6" t="s">
        <v>40</v>
      </c>
      <c r="N90" s="5" t="s">
        <v>44</v>
      </c>
      <c r="O90" s="5" t="s">
        <v>41</v>
      </c>
      <c r="P90" s="5"/>
      <c r="Q90" s="6" t="s">
        <v>42</v>
      </c>
      <c r="R90" s="5" t="s">
        <v>8211</v>
      </c>
      <c r="S90" s="6" t="s">
        <v>34</v>
      </c>
      <c r="T90" s="6">
        <v>5094.0</v>
      </c>
    </row>
    <row r="91" ht="56.25" customHeight="1">
      <c r="A91" s="5" t="s">
        <v>8213</v>
      </c>
      <c r="B91" s="6" t="str">
        <f>IMAGE("https://storage.googleapis.com/acdb/tools/ToolStickChrysanthemum.png")</f>
        <v/>
      </c>
      <c r="C91" s="5" t="s">
        <v>34</v>
      </c>
      <c r="D91" s="5" t="s">
        <v>34</v>
      </c>
      <c r="E91" s="5" t="s">
        <v>35</v>
      </c>
      <c r="F91" s="5" t="s">
        <v>36</v>
      </c>
      <c r="G91" s="6" t="s">
        <v>34</v>
      </c>
      <c r="H91" s="5" t="s">
        <v>7903</v>
      </c>
      <c r="I91" s="6" t="s">
        <v>37</v>
      </c>
      <c r="J91" s="24">
        <v>1580.0</v>
      </c>
      <c r="K91" s="25" t="s">
        <v>44</v>
      </c>
      <c r="L91" s="25" t="s">
        <v>44</v>
      </c>
      <c r="M91" s="6" t="s">
        <v>40</v>
      </c>
      <c r="N91" s="5" t="s">
        <v>44</v>
      </c>
      <c r="O91" s="5" t="s">
        <v>41</v>
      </c>
      <c r="P91" s="5"/>
      <c r="Q91" s="6" t="s">
        <v>42</v>
      </c>
      <c r="R91" s="5" t="s">
        <v>8215</v>
      </c>
      <c r="S91" s="6" t="s">
        <v>34</v>
      </c>
      <c r="T91" s="6">
        <v>5095.0</v>
      </c>
    </row>
    <row r="92" ht="56.25" customHeight="1">
      <c r="A92" s="5" t="s">
        <v>8216</v>
      </c>
      <c r="B92" s="6" t="str">
        <f>IMAGE("https://storage.googleapis.com/acdb/tools/ToolStickMushroom_Remake_0_0.png")</f>
        <v/>
      </c>
      <c r="C92" s="5" t="s">
        <v>8218</v>
      </c>
      <c r="D92" s="5" t="s">
        <v>8219</v>
      </c>
      <c r="E92" s="5" t="s">
        <v>35</v>
      </c>
      <c r="F92" s="5" t="s">
        <v>35</v>
      </c>
      <c r="G92" s="6">
        <v>1.0</v>
      </c>
      <c r="H92" s="5" t="s">
        <v>7903</v>
      </c>
      <c r="I92" s="6" t="s">
        <v>37</v>
      </c>
      <c r="J92" s="24">
        <v>3300.0</v>
      </c>
      <c r="K92" s="25" t="s">
        <v>44</v>
      </c>
      <c r="L92" s="25" t="s">
        <v>44</v>
      </c>
      <c r="M92" s="6" t="s">
        <v>40</v>
      </c>
      <c r="N92" s="5" t="s">
        <v>44</v>
      </c>
      <c r="O92" s="5" t="s">
        <v>41</v>
      </c>
      <c r="P92" s="5"/>
      <c r="Q92" s="6" t="s">
        <v>42</v>
      </c>
      <c r="R92" s="5" t="s">
        <v>8221</v>
      </c>
      <c r="S92" s="6" t="s">
        <v>50</v>
      </c>
      <c r="T92" s="6">
        <v>7588.0</v>
      </c>
    </row>
    <row r="93" ht="56.25" customHeight="1">
      <c r="A93" s="5" t="s">
        <v>8216</v>
      </c>
      <c r="B93" s="6" t="str">
        <f>IMAGE("https://storage.googleapis.com/acdb/tools/ToolStickMushroom_Remake_1_0.png")</f>
        <v/>
      </c>
      <c r="C93" s="5" t="s">
        <v>8223</v>
      </c>
      <c r="D93" s="5" t="s">
        <v>8219</v>
      </c>
      <c r="E93" s="5" t="s">
        <v>35</v>
      </c>
      <c r="F93" s="5" t="s">
        <v>35</v>
      </c>
      <c r="G93" s="6">
        <v>1.0</v>
      </c>
      <c r="H93" s="5" t="s">
        <v>7903</v>
      </c>
      <c r="I93" s="6" t="s">
        <v>37</v>
      </c>
      <c r="J93" s="24">
        <v>3300.0</v>
      </c>
      <c r="K93" s="25" t="s">
        <v>44</v>
      </c>
      <c r="L93" s="25" t="s">
        <v>44</v>
      </c>
      <c r="M93" s="6" t="s">
        <v>40</v>
      </c>
      <c r="N93" s="5" t="s">
        <v>44</v>
      </c>
      <c r="O93" s="5" t="s">
        <v>41</v>
      </c>
      <c r="P93" s="5"/>
      <c r="Q93" s="6" t="s">
        <v>42</v>
      </c>
      <c r="R93" s="5" t="s">
        <v>8226</v>
      </c>
      <c r="S93" s="6" t="s">
        <v>56</v>
      </c>
      <c r="T93" s="6">
        <v>7588.0</v>
      </c>
    </row>
    <row r="94" ht="56.25" customHeight="1">
      <c r="A94" s="5" t="s">
        <v>8216</v>
      </c>
      <c r="B94" s="6" t="str">
        <f>IMAGE("https://storage.googleapis.com/acdb/tools/ToolStickMushroom_Remake_2_0.png")</f>
        <v/>
      </c>
      <c r="C94" s="5" t="s">
        <v>8228</v>
      </c>
      <c r="D94" s="5" t="s">
        <v>8219</v>
      </c>
      <c r="E94" s="5" t="s">
        <v>35</v>
      </c>
      <c r="F94" s="5" t="s">
        <v>35</v>
      </c>
      <c r="G94" s="6">
        <v>1.0</v>
      </c>
      <c r="H94" s="5" t="s">
        <v>7903</v>
      </c>
      <c r="I94" s="6" t="s">
        <v>37</v>
      </c>
      <c r="J94" s="24">
        <v>3300.0</v>
      </c>
      <c r="K94" s="25" t="s">
        <v>44</v>
      </c>
      <c r="L94" s="25" t="s">
        <v>44</v>
      </c>
      <c r="M94" s="6" t="s">
        <v>40</v>
      </c>
      <c r="N94" s="5" t="s">
        <v>44</v>
      </c>
      <c r="O94" s="5" t="s">
        <v>41</v>
      </c>
      <c r="P94" s="5"/>
      <c r="Q94" s="6" t="s">
        <v>42</v>
      </c>
      <c r="R94" s="5" t="s">
        <v>8229</v>
      </c>
      <c r="S94" s="6" t="s">
        <v>67</v>
      </c>
      <c r="T94" s="6">
        <v>7588.0</v>
      </c>
    </row>
    <row r="95" ht="56.25" customHeight="1">
      <c r="A95" s="5" t="s">
        <v>8216</v>
      </c>
      <c r="B95" s="6" t="str">
        <f>IMAGE("https://storage.googleapis.com/acdb/tools/ToolStickMushroom_Remake_3_0.png")</f>
        <v/>
      </c>
      <c r="C95" s="5" t="s">
        <v>8231</v>
      </c>
      <c r="D95" s="5" t="s">
        <v>8219</v>
      </c>
      <c r="E95" s="5" t="s">
        <v>35</v>
      </c>
      <c r="F95" s="5" t="s">
        <v>35</v>
      </c>
      <c r="G95" s="6">
        <v>1.0</v>
      </c>
      <c r="H95" s="5" t="s">
        <v>7903</v>
      </c>
      <c r="I95" s="6" t="s">
        <v>37</v>
      </c>
      <c r="J95" s="24">
        <v>3300.0</v>
      </c>
      <c r="K95" s="25" t="s">
        <v>44</v>
      </c>
      <c r="L95" s="25" t="s">
        <v>44</v>
      </c>
      <c r="M95" s="6" t="s">
        <v>40</v>
      </c>
      <c r="N95" s="5" t="s">
        <v>44</v>
      </c>
      <c r="O95" s="5" t="s">
        <v>41</v>
      </c>
      <c r="P95" s="5"/>
      <c r="Q95" s="6" t="s">
        <v>42</v>
      </c>
      <c r="R95" s="5" t="s">
        <v>8232</v>
      </c>
      <c r="S95" s="6" t="s">
        <v>71</v>
      </c>
      <c r="T95" s="6">
        <v>7588.0</v>
      </c>
    </row>
    <row r="96" ht="56.25" customHeight="1">
      <c r="A96" s="5" t="s">
        <v>8216</v>
      </c>
      <c r="B96" s="6" t="str">
        <f>IMAGE("https://storage.googleapis.com/acdb/tools/ToolStickMushroom_Remake_4_0.png")</f>
        <v/>
      </c>
      <c r="C96" s="5" t="s">
        <v>8234</v>
      </c>
      <c r="D96" s="5" t="s">
        <v>8219</v>
      </c>
      <c r="E96" s="5" t="s">
        <v>35</v>
      </c>
      <c r="F96" s="5" t="s">
        <v>35</v>
      </c>
      <c r="G96" s="6">
        <v>1.0</v>
      </c>
      <c r="H96" s="5" t="s">
        <v>7903</v>
      </c>
      <c r="I96" s="6" t="s">
        <v>37</v>
      </c>
      <c r="J96" s="24">
        <v>3300.0</v>
      </c>
      <c r="K96" s="25" t="s">
        <v>44</v>
      </c>
      <c r="L96" s="25" t="s">
        <v>44</v>
      </c>
      <c r="M96" s="6" t="s">
        <v>40</v>
      </c>
      <c r="N96" s="5" t="s">
        <v>44</v>
      </c>
      <c r="O96" s="5" t="s">
        <v>41</v>
      </c>
      <c r="P96" s="5"/>
      <c r="Q96" s="6" t="s">
        <v>42</v>
      </c>
      <c r="R96" s="5" t="s">
        <v>8236</v>
      </c>
      <c r="S96" s="6" t="s">
        <v>75</v>
      </c>
      <c r="T96" s="6">
        <v>7588.0</v>
      </c>
    </row>
    <row r="97" ht="56.25" customHeight="1">
      <c r="A97" s="5" t="s">
        <v>8237</v>
      </c>
      <c r="B97" s="6" t="str">
        <f>IMAGE("https://storage.googleapis.com/acdb/tools/ToolNetNormal_Remake_0_0.png")</f>
        <v/>
      </c>
      <c r="C97" s="5" t="s">
        <v>52</v>
      </c>
      <c r="D97" s="5" t="s">
        <v>135</v>
      </c>
      <c r="E97" s="5" t="s">
        <v>35</v>
      </c>
      <c r="F97" s="5" t="s">
        <v>35</v>
      </c>
      <c r="G97" s="6">
        <v>1.0</v>
      </c>
      <c r="H97" s="5">
        <v>20.0</v>
      </c>
      <c r="I97" s="6">
        <v>900.0</v>
      </c>
      <c r="J97" s="24">
        <v>225.0</v>
      </c>
      <c r="K97" s="25" t="s">
        <v>44</v>
      </c>
      <c r="L97" s="25" t="s">
        <v>44</v>
      </c>
      <c r="M97" s="6" t="s">
        <v>40</v>
      </c>
      <c r="N97" s="5" t="s">
        <v>44</v>
      </c>
      <c r="O97" s="5" t="s">
        <v>7899</v>
      </c>
      <c r="P97" s="5" t="s">
        <v>554</v>
      </c>
      <c r="Q97" s="6" t="s">
        <v>42</v>
      </c>
      <c r="R97" s="5" t="s">
        <v>8239</v>
      </c>
      <c r="S97" s="6" t="s">
        <v>50</v>
      </c>
      <c r="T97" s="6">
        <v>5784.0</v>
      </c>
    </row>
    <row r="98" ht="56.25" customHeight="1">
      <c r="A98" s="5" t="s">
        <v>8237</v>
      </c>
      <c r="B98" s="6" t="str">
        <f>IMAGE("https://storage.googleapis.com/acdb/tools/ToolNetNormal_Remake_1_0.png")</f>
        <v/>
      </c>
      <c r="C98" s="5" t="s">
        <v>114</v>
      </c>
      <c r="D98" s="5" t="s">
        <v>135</v>
      </c>
      <c r="E98" s="5" t="s">
        <v>35</v>
      </c>
      <c r="F98" s="5" t="s">
        <v>35</v>
      </c>
      <c r="G98" s="6">
        <v>1.0</v>
      </c>
      <c r="H98" s="5">
        <v>20.0</v>
      </c>
      <c r="I98" s="6">
        <v>900.0</v>
      </c>
      <c r="J98" s="24">
        <v>225.0</v>
      </c>
      <c r="K98" s="25" t="s">
        <v>44</v>
      </c>
      <c r="L98" s="25" t="s">
        <v>44</v>
      </c>
      <c r="M98" s="6" t="s">
        <v>40</v>
      </c>
      <c r="N98" s="5" t="s">
        <v>44</v>
      </c>
      <c r="O98" s="5" t="s">
        <v>7899</v>
      </c>
      <c r="P98" s="5" t="s">
        <v>554</v>
      </c>
      <c r="Q98" s="6" t="s">
        <v>42</v>
      </c>
      <c r="R98" s="5" t="s">
        <v>8243</v>
      </c>
      <c r="S98" s="6" t="s">
        <v>56</v>
      </c>
      <c r="T98" s="6">
        <v>5784.0</v>
      </c>
    </row>
    <row r="99" ht="56.25" customHeight="1">
      <c r="A99" s="5" t="s">
        <v>8237</v>
      </c>
      <c r="B99" s="6" t="str">
        <f>IMAGE("https://storage.googleapis.com/acdb/tools/ToolNetNormal_Remake_2_0.png")</f>
        <v/>
      </c>
      <c r="C99" s="5" t="s">
        <v>96</v>
      </c>
      <c r="D99" s="5" t="s">
        <v>135</v>
      </c>
      <c r="E99" s="5" t="s">
        <v>35</v>
      </c>
      <c r="F99" s="5" t="s">
        <v>35</v>
      </c>
      <c r="G99" s="6">
        <v>1.0</v>
      </c>
      <c r="H99" s="5">
        <v>20.0</v>
      </c>
      <c r="I99" s="6">
        <v>900.0</v>
      </c>
      <c r="J99" s="24">
        <v>225.0</v>
      </c>
      <c r="K99" s="25" t="s">
        <v>44</v>
      </c>
      <c r="L99" s="25" t="s">
        <v>44</v>
      </c>
      <c r="M99" s="6" t="s">
        <v>40</v>
      </c>
      <c r="N99" s="5" t="s">
        <v>44</v>
      </c>
      <c r="O99" s="5" t="s">
        <v>7899</v>
      </c>
      <c r="P99" s="5" t="s">
        <v>554</v>
      </c>
      <c r="Q99" s="6" t="s">
        <v>42</v>
      </c>
      <c r="R99" s="5" t="s">
        <v>8244</v>
      </c>
      <c r="S99" s="6" t="s">
        <v>67</v>
      </c>
      <c r="T99" s="6">
        <v>5784.0</v>
      </c>
    </row>
    <row r="100" ht="56.25" customHeight="1">
      <c r="A100" s="5" t="s">
        <v>8237</v>
      </c>
      <c r="B100" s="6" t="str">
        <f>IMAGE("https://storage.googleapis.com/acdb/tools/ToolNetNormal_Remake_3_0.png")</f>
        <v/>
      </c>
      <c r="C100" s="5" t="s">
        <v>68</v>
      </c>
      <c r="D100" s="5" t="s">
        <v>135</v>
      </c>
      <c r="E100" s="5" t="s">
        <v>35</v>
      </c>
      <c r="F100" s="5" t="s">
        <v>35</v>
      </c>
      <c r="G100" s="6">
        <v>1.0</v>
      </c>
      <c r="H100" s="5">
        <v>20.0</v>
      </c>
      <c r="I100" s="6">
        <v>900.0</v>
      </c>
      <c r="J100" s="24">
        <v>225.0</v>
      </c>
      <c r="K100" s="25" t="s">
        <v>44</v>
      </c>
      <c r="L100" s="25" t="s">
        <v>44</v>
      </c>
      <c r="M100" s="6" t="s">
        <v>40</v>
      </c>
      <c r="N100" s="5" t="s">
        <v>44</v>
      </c>
      <c r="O100" s="5" t="s">
        <v>7899</v>
      </c>
      <c r="P100" s="5" t="s">
        <v>554</v>
      </c>
      <c r="Q100" s="6" t="s">
        <v>42</v>
      </c>
      <c r="R100" s="5" t="s">
        <v>8247</v>
      </c>
      <c r="S100" s="6" t="s">
        <v>71</v>
      </c>
      <c r="T100" s="6">
        <v>5784.0</v>
      </c>
    </row>
    <row r="101" ht="56.25" customHeight="1">
      <c r="A101" s="5" t="s">
        <v>8237</v>
      </c>
      <c r="B101" s="6" t="str">
        <f>IMAGE("https://storage.googleapis.com/acdb/tools/ToolNetNormal_Remake_4_0.png")</f>
        <v/>
      </c>
      <c r="C101" s="5" t="s">
        <v>106</v>
      </c>
      <c r="D101" s="5" t="s">
        <v>135</v>
      </c>
      <c r="E101" s="5" t="s">
        <v>35</v>
      </c>
      <c r="F101" s="5" t="s">
        <v>35</v>
      </c>
      <c r="G101" s="6">
        <v>1.0</v>
      </c>
      <c r="H101" s="5">
        <v>20.0</v>
      </c>
      <c r="I101" s="6">
        <v>900.0</v>
      </c>
      <c r="J101" s="24">
        <v>225.0</v>
      </c>
      <c r="K101" s="25" t="s">
        <v>44</v>
      </c>
      <c r="L101" s="25" t="s">
        <v>44</v>
      </c>
      <c r="M101" s="6" t="s">
        <v>40</v>
      </c>
      <c r="N101" s="5" t="s">
        <v>44</v>
      </c>
      <c r="O101" s="5" t="s">
        <v>7899</v>
      </c>
      <c r="P101" s="5" t="s">
        <v>554</v>
      </c>
      <c r="Q101" s="6" t="s">
        <v>42</v>
      </c>
      <c r="R101" s="5" t="s">
        <v>8249</v>
      </c>
      <c r="S101" s="6" t="s">
        <v>75</v>
      </c>
      <c r="T101" s="6">
        <v>5784.0</v>
      </c>
    </row>
    <row r="102" ht="56.25" customHeight="1">
      <c r="A102" s="5" t="s">
        <v>8237</v>
      </c>
      <c r="B102" s="6" t="str">
        <f>IMAGE("https://storage.googleapis.com/acdb/tools/ToolNetNormal_Remake_5_0.png")</f>
        <v/>
      </c>
      <c r="C102" s="5" t="s">
        <v>69</v>
      </c>
      <c r="D102" s="5" t="s">
        <v>135</v>
      </c>
      <c r="E102" s="5" t="s">
        <v>35</v>
      </c>
      <c r="F102" s="5" t="s">
        <v>35</v>
      </c>
      <c r="G102" s="6">
        <v>1.0</v>
      </c>
      <c r="H102" s="5">
        <v>20.0</v>
      </c>
      <c r="I102" s="6">
        <v>900.0</v>
      </c>
      <c r="J102" s="24">
        <v>225.0</v>
      </c>
      <c r="K102" s="25" t="s">
        <v>44</v>
      </c>
      <c r="L102" s="25" t="s">
        <v>44</v>
      </c>
      <c r="M102" s="6" t="s">
        <v>40</v>
      </c>
      <c r="N102" s="5" t="s">
        <v>44</v>
      </c>
      <c r="O102" s="5" t="s">
        <v>7899</v>
      </c>
      <c r="P102" s="5" t="s">
        <v>554</v>
      </c>
      <c r="Q102" s="6" t="s">
        <v>42</v>
      </c>
      <c r="R102" s="5" t="s">
        <v>8252</v>
      </c>
      <c r="S102" s="6" t="s">
        <v>79</v>
      </c>
      <c r="T102" s="6">
        <v>5784.0</v>
      </c>
    </row>
    <row r="103" ht="56.25" customHeight="1">
      <c r="A103" s="5" t="s">
        <v>8237</v>
      </c>
      <c r="B103" s="6" t="str">
        <f>IMAGE("https://storage.googleapis.com/acdb/tools/ToolNetNormal_Remake_6_0.png")</f>
        <v/>
      </c>
      <c r="C103" s="5" t="s">
        <v>57</v>
      </c>
      <c r="D103" s="5" t="s">
        <v>135</v>
      </c>
      <c r="E103" s="5" t="s">
        <v>35</v>
      </c>
      <c r="F103" s="5" t="s">
        <v>35</v>
      </c>
      <c r="G103" s="6">
        <v>1.0</v>
      </c>
      <c r="H103" s="5">
        <v>20.0</v>
      </c>
      <c r="I103" s="6">
        <v>900.0</v>
      </c>
      <c r="J103" s="24">
        <v>225.0</v>
      </c>
      <c r="K103" s="25" t="s">
        <v>44</v>
      </c>
      <c r="L103" s="25" t="s">
        <v>44</v>
      </c>
      <c r="M103" s="6" t="s">
        <v>40</v>
      </c>
      <c r="N103" s="5" t="s">
        <v>44</v>
      </c>
      <c r="O103" s="5" t="s">
        <v>7899</v>
      </c>
      <c r="P103" s="5" t="s">
        <v>554</v>
      </c>
      <c r="Q103" s="6" t="s">
        <v>42</v>
      </c>
      <c r="R103" s="5" t="s">
        <v>8256</v>
      </c>
      <c r="S103" s="6" t="s">
        <v>86</v>
      </c>
      <c r="T103" s="6">
        <v>5784.0</v>
      </c>
    </row>
    <row r="104" ht="56.25" customHeight="1">
      <c r="A104" s="5" t="s">
        <v>8237</v>
      </c>
      <c r="B104" s="6" t="str">
        <f>IMAGE("https://storage.googleapis.com/acdb/tools/ToolNetNormal_Remake_7_0.png")</f>
        <v/>
      </c>
      <c r="C104" s="5" t="s">
        <v>54</v>
      </c>
      <c r="D104" s="5" t="s">
        <v>135</v>
      </c>
      <c r="E104" s="5" t="s">
        <v>35</v>
      </c>
      <c r="F104" s="5" t="s">
        <v>35</v>
      </c>
      <c r="G104" s="6">
        <v>1.0</v>
      </c>
      <c r="H104" s="5">
        <v>20.0</v>
      </c>
      <c r="I104" s="6">
        <v>900.0</v>
      </c>
      <c r="J104" s="24">
        <v>225.0</v>
      </c>
      <c r="K104" s="25" t="s">
        <v>44</v>
      </c>
      <c r="L104" s="25" t="s">
        <v>44</v>
      </c>
      <c r="M104" s="6" t="s">
        <v>40</v>
      </c>
      <c r="N104" s="5" t="s">
        <v>44</v>
      </c>
      <c r="O104" s="5" t="s">
        <v>7899</v>
      </c>
      <c r="P104" s="5" t="s">
        <v>554</v>
      </c>
      <c r="Q104" s="6" t="s">
        <v>42</v>
      </c>
      <c r="R104" s="5" t="s">
        <v>8258</v>
      </c>
      <c r="S104" s="6" t="s">
        <v>208</v>
      </c>
      <c r="T104" s="6">
        <v>5784.0</v>
      </c>
    </row>
    <row r="105" ht="56.25" customHeight="1">
      <c r="A105" s="5" t="s">
        <v>8259</v>
      </c>
      <c r="B105" s="6" t="str">
        <f>IMAGE("https://storage.googleapis.com/acdb/tools/ToolFanNook0.png")</f>
        <v/>
      </c>
      <c r="C105" s="5" t="s">
        <v>34</v>
      </c>
      <c r="D105" s="5" t="s">
        <v>34</v>
      </c>
      <c r="E105" s="5" t="s">
        <v>36</v>
      </c>
      <c r="F105" s="5" t="s">
        <v>36</v>
      </c>
      <c r="G105" s="6" t="s">
        <v>34</v>
      </c>
      <c r="H105" s="5" t="s">
        <v>7903</v>
      </c>
      <c r="I105" s="6">
        <v>8000.0</v>
      </c>
      <c r="J105" s="24">
        <v>2000.0</v>
      </c>
      <c r="K105" s="25" t="s">
        <v>96</v>
      </c>
      <c r="L105" s="25" t="s">
        <v>57</v>
      </c>
      <c r="M105" s="6" t="s">
        <v>40</v>
      </c>
      <c r="N105" s="5" t="s">
        <v>44</v>
      </c>
      <c r="O105" s="5" t="s">
        <v>2140</v>
      </c>
      <c r="P105" s="5"/>
      <c r="Q105" s="6" t="s">
        <v>42</v>
      </c>
      <c r="R105" s="5" t="s">
        <v>8262</v>
      </c>
      <c r="S105" s="6" t="s">
        <v>34</v>
      </c>
      <c r="T105" s="6">
        <v>9762.0</v>
      </c>
    </row>
    <row r="106" ht="56.25" customHeight="1">
      <c r="A106" s="5" t="s">
        <v>8263</v>
      </c>
      <c r="B106" s="6" t="str">
        <f>IMAGE("https://storage.googleapis.com/acdb/tools/ToolOcarina.png")</f>
        <v/>
      </c>
      <c r="C106" s="5" t="s">
        <v>34</v>
      </c>
      <c r="D106" s="5" t="s">
        <v>34</v>
      </c>
      <c r="E106" s="5" t="s">
        <v>35</v>
      </c>
      <c r="F106" s="5" t="s">
        <v>36</v>
      </c>
      <c r="G106" s="6" t="s">
        <v>34</v>
      </c>
      <c r="H106" s="5" t="s">
        <v>7903</v>
      </c>
      <c r="I106" s="6" t="s">
        <v>37</v>
      </c>
      <c r="J106" s="24">
        <v>1000.0</v>
      </c>
      <c r="K106" s="25" t="s">
        <v>44</v>
      </c>
      <c r="L106" s="25" t="s">
        <v>44</v>
      </c>
      <c r="M106" s="6" t="s">
        <v>40</v>
      </c>
      <c r="N106" s="5" t="s">
        <v>44</v>
      </c>
      <c r="O106" s="5" t="s">
        <v>41</v>
      </c>
      <c r="P106" s="5"/>
      <c r="Q106" s="6" t="s">
        <v>42</v>
      </c>
      <c r="R106" s="5" t="s">
        <v>8266</v>
      </c>
      <c r="S106" s="6" t="s">
        <v>34</v>
      </c>
      <c r="T106" s="6">
        <v>5320.0</v>
      </c>
    </row>
    <row r="107" ht="56.25" customHeight="1">
      <c r="A107" s="5" t="s">
        <v>8267</v>
      </c>
      <c r="B107" s="6" t="str">
        <f>IMAGE("https://storage.googleapis.com/acdb/tools/ToolFishingrodOutdoor_Remake_0_0.png")</f>
        <v/>
      </c>
      <c r="C107" s="5" t="s">
        <v>2222</v>
      </c>
      <c r="D107" s="5" t="s">
        <v>135</v>
      </c>
      <c r="E107" s="5" t="s">
        <v>36</v>
      </c>
      <c r="F107" s="5" t="s">
        <v>35</v>
      </c>
      <c r="G107" s="6">
        <v>1.0</v>
      </c>
      <c r="H107" s="5">
        <v>30.0</v>
      </c>
      <c r="I107" s="6">
        <v>2500.0</v>
      </c>
      <c r="J107" s="24">
        <v>625.0</v>
      </c>
      <c r="K107" s="25" t="s">
        <v>44</v>
      </c>
      <c r="L107" s="25" t="s">
        <v>44</v>
      </c>
      <c r="M107" s="6" t="s">
        <v>40</v>
      </c>
      <c r="N107" s="5" t="s">
        <v>8269</v>
      </c>
      <c r="O107" s="5" t="s">
        <v>59</v>
      </c>
      <c r="P107" s="5" t="s">
        <v>7922</v>
      </c>
      <c r="Q107" s="6" t="s">
        <v>42</v>
      </c>
      <c r="R107" s="5" t="s">
        <v>8271</v>
      </c>
      <c r="S107" s="6" t="s">
        <v>50</v>
      </c>
      <c r="T107" s="6">
        <v>8473.0</v>
      </c>
    </row>
    <row r="108" ht="56.25" customHeight="1">
      <c r="A108" s="5" t="s">
        <v>8267</v>
      </c>
      <c r="B108" s="6" t="str">
        <f>IMAGE("https://storage.googleapis.com/acdb/tools/ToolFishingrodOutdoor_Remake_1_0.png")</f>
        <v/>
      </c>
      <c r="C108" s="5" t="s">
        <v>142</v>
      </c>
      <c r="D108" s="5" t="s">
        <v>135</v>
      </c>
      <c r="E108" s="5" t="s">
        <v>36</v>
      </c>
      <c r="F108" s="5" t="s">
        <v>35</v>
      </c>
      <c r="G108" s="6">
        <v>1.0</v>
      </c>
      <c r="H108" s="5">
        <v>30.0</v>
      </c>
      <c r="I108" s="6">
        <v>2500.0</v>
      </c>
      <c r="J108" s="24">
        <v>625.0</v>
      </c>
      <c r="K108" s="25" t="s">
        <v>44</v>
      </c>
      <c r="L108" s="25" t="s">
        <v>44</v>
      </c>
      <c r="M108" s="6" t="s">
        <v>40</v>
      </c>
      <c r="N108" s="5" t="s">
        <v>8269</v>
      </c>
      <c r="O108" s="5" t="s">
        <v>59</v>
      </c>
      <c r="P108" s="5" t="s">
        <v>7922</v>
      </c>
      <c r="Q108" s="6" t="s">
        <v>42</v>
      </c>
      <c r="R108" s="5" t="s">
        <v>8273</v>
      </c>
      <c r="S108" s="6" t="s">
        <v>56</v>
      </c>
      <c r="T108" s="6">
        <v>8473.0</v>
      </c>
    </row>
    <row r="109" ht="56.25" customHeight="1">
      <c r="A109" s="5" t="s">
        <v>8267</v>
      </c>
      <c r="B109" s="6" t="str">
        <f>IMAGE("https://storage.googleapis.com/acdb/tools/ToolFishingrodOutdoor_Remake_2_0.png")</f>
        <v/>
      </c>
      <c r="C109" s="5" t="s">
        <v>83</v>
      </c>
      <c r="D109" s="5" t="s">
        <v>135</v>
      </c>
      <c r="E109" s="5" t="s">
        <v>36</v>
      </c>
      <c r="F109" s="5" t="s">
        <v>35</v>
      </c>
      <c r="G109" s="6">
        <v>1.0</v>
      </c>
      <c r="H109" s="5">
        <v>30.0</v>
      </c>
      <c r="I109" s="6">
        <v>2500.0</v>
      </c>
      <c r="J109" s="24">
        <v>625.0</v>
      </c>
      <c r="K109" s="25" t="s">
        <v>44</v>
      </c>
      <c r="L109" s="25" t="s">
        <v>44</v>
      </c>
      <c r="M109" s="6" t="s">
        <v>40</v>
      </c>
      <c r="N109" s="5" t="s">
        <v>8269</v>
      </c>
      <c r="O109" s="5" t="s">
        <v>59</v>
      </c>
      <c r="P109" s="5" t="s">
        <v>7922</v>
      </c>
      <c r="Q109" s="6" t="s">
        <v>42</v>
      </c>
      <c r="R109" s="5" t="s">
        <v>8276</v>
      </c>
      <c r="S109" s="6" t="s">
        <v>67</v>
      </c>
      <c r="T109" s="6">
        <v>8473.0</v>
      </c>
    </row>
    <row r="110" ht="56.25" customHeight="1">
      <c r="A110" s="5" t="s">
        <v>8267</v>
      </c>
      <c r="B110" s="6" t="str">
        <f>IMAGE("https://storage.googleapis.com/acdb/tools/ToolFishingrodOutdoor_Remake_3_0.png")</f>
        <v/>
      </c>
      <c r="C110" s="5" t="s">
        <v>52</v>
      </c>
      <c r="D110" s="5" t="s">
        <v>135</v>
      </c>
      <c r="E110" s="5" t="s">
        <v>36</v>
      </c>
      <c r="F110" s="5" t="s">
        <v>35</v>
      </c>
      <c r="G110" s="6">
        <v>1.0</v>
      </c>
      <c r="H110" s="5">
        <v>30.0</v>
      </c>
      <c r="I110" s="6">
        <v>2500.0</v>
      </c>
      <c r="J110" s="24">
        <v>625.0</v>
      </c>
      <c r="K110" s="25" t="s">
        <v>44</v>
      </c>
      <c r="L110" s="25" t="s">
        <v>44</v>
      </c>
      <c r="M110" s="6" t="s">
        <v>40</v>
      </c>
      <c r="N110" s="5" t="s">
        <v>8269</v>
      </c>
      <c r="O110" s="5" t="s">
        <v>59</v>
      </c>
      <c r="P110" s="5" t="s">
        <v>7922</v>
      </c>
      <c r="Q110" s="6" t="s">
        <v>42</v>
      </c>
      <c r="R110" s="5" t="s">
        <v>8278</v>
      </c>
      <c r="S110" s="6" t="s">
        <v>71</v>
      </c>
      <c r="T110" s="6">
        <v>8473.0</v>
      </c>
    </row>
    <row r="111" ht="56.25" customHeight="1">
      <c r="A111" s="5" t="s">
        <v>8267</v>
      </c>
      <c r="B111" s="6" t="str">
        <f>IMAGE("https://storage.googleapis.com/acdb/tools/ToolFishingrodOutdoor_Remake_4_0.png")</f>
        <v/>
      </c>
      <c r="C111" s="5" t="s">
        <v>38</v>
      </c>
      <c r="D111" s="5" t="s">
        <v>135</v>
      </c>
      <c r="E111" s="5" t="s">
        <v>36</v>
      </c>
      <c r="F111" s="5" t="s">
        <v>35</v>
      </c>
      <c r="G111" s="6">
        <v>1.0</v>
      </c>
      <c r="H111" s="5">
        <v>30.0</v>
      </c>
      <c r="I111" s="6">
        <v>2500.0</v>
      </c>
      <c r="J111" s="24">
        <v>625.0</v>
      </c>
      <c r="K111" s="25" t="s">
        <v>44</v>
      </c>
      <c r="L111" s="25" t="s">
        <v>44</v>
      </c>
      <c r="M111" s="6" t="s">
        <v>40</v>
      </c>
      <c r="N111" s="5" t="s">
        <v>8269</v>
      </c>
      <c r="O111" s="5" t="s">
        <v>59</v>
      </c>
      <c r="P111" s="5" t="s">
        <v>7922</v>
      </c>
      <c r="Q111" s="6" t="s">
        <v>42</v>
      </c>
      <c r="R111" s="5" t="s">
        <v>8282</v>
      </c>
      <c r="S111" s="6" t="s">
        <v>75</v>
      </c>
      <c r="T111" s="6">
        <v>8473.0</v>
      </c>
    </row>
    <row r="112" ht="56.25" customHeight="1">
      <c r="A112" s="5" t="s">
        <v>8267</v>
      </c>
      <c r="B112" s="6" t="str">
        <f>IMAGE("https://storage.googleapis.com/acdb/tools/ToolFishingrodOutdoor_Remake_5_0.png")</f>
        <v/>
      </c>
      <c r="C112" s="5" t="s">
        <v>69</v>
      </c>
      <c r="D112" s="5" t="s">
        <v>135</v>
      </c>
      <c r="E112" s="5" t="s">
        <v>36</v>
      </c>
      <c r="F112" s="5" t="s">
        <v>35</v>
      </c>
      <c r="G112" s="6">
        <v>1.0</v>
      </c>
      <c r="H112" s="5">
        <v>30.0</v>
      </c>
      <c r="I112" s="6">
        <v>2500.0</v>
      </c>
      <c r="J112" s="24">
        <v>625.0</v>
      </c>
      <c r="K112" s="25" t="s">
        <v>44</v>
      </c>
      <c r="L112" s="25" t="s">
        <v>44</v>
      </c>
      <c r="M112" s="6" t="s">
        <v>40</v>
      </c>
      <c r="N112" s="5" t="s">
        <v>8269</v>
      </c>
      <c r="O112" s="5" t="s">
        <v>59</v>
      </c>
      <c r="P112" s="5" t="s">
        <v>7922</v>
      </c>
      <c r="Q112" s="6" t="s">
        <v>42</v>
      </c>
      <c r="R112" s="5" t="s">
        <v>8284</v>
      </c>
      <c r="S112" s="6" t="s">
        <v>79</v>
      </c>
      <c r="T112" s="6">
        <v>8473.0</v>
      </c>
    </row>
    <row r="113" ht="56.25" customHeight="1">
      <c r="A113" s="5" t="s">
        <v>8267</v>
      </c>
      <c r="B113" s="6" t="str">
        <f>IMAGE("https://storage.googleapis.com/acdb/tools/ToolFishingrodOutdoor_Remake_6_0.png")</f>
        <v/>
      </c>
      <c r="C113" s="5" t="s">
        <v>114</v>
      </c>
      <c r="D113" s="5" t="s">
        <v>135</v>
      </c>
      <c r="E113" s="5" t="s">
        <v>36</v>
      </c>
      <c r="F113" s="5" t="s">
        <v>35</v>
      </c>
      <c r="G113" s="6">
        <v>1.0</v>
      </c>
      <c r="H113" s="5">
        <v>30.0</v>
      </c>
      <c r="I113" s="6">
        <v>2500.0</v>
      </c>
      <c r="J113" s="24">
        <v>625.0</v>
      </c>
      <c r="K113" s="25" t="s">
        <v>44</v>
      </c>
      <c r="L113" s="25" t="s">
        <v>44</v>
      </c>
      <c r="M113" s="6" t="s">
        <v>40</v>
      </c>
      <c r="N113" s="5" t="s">
        <v>8269</v>
      </c>
      <c r="O113" s="5" t="s">
        <v>59</v>
      </c>
      <c r="P113" s="5" t="s">
        <v>7922</v>
      </c>
      <c r="Q113" s="6" t="s">
        <v>42</v>
      </c>
      <c r="R113" s="5" t="s">
        <v>8287</v>
      </c>
      <c r="S113" s="6" t="s">
        <v>86</v>
      </c>
      <c r="T113" s="6">
        <v>8473.0</v>
      </c>
    </row>
    <row r="114" ht="56.25" customHeight="1">
      <c r="A114" s="5" t="s">
        <v>8267</v>
      </c>
      <c r="B114" s="6" t="str">
        <f>IMAGE("https://storage.googleapis.com/acdb/tools/ToolFishingrodOutdoor_Remake_7_0.png")</f>
        <v/>
      </c>
      <c r="C114" s="5" t="s">
        <v>54</v>
      </c>
      <c r="D114" s="5" t="s">
        <v>135</v>
      </c>
      <c r="E114" s="5" t="s">
        <v>36</v>
      </c>
      <c r="F114" s="5" t="s">
        <v>35</v>
      </c>
      <c r="G114" s="6">
        <v>1.0</v>
      </c>
      <c r="H114" s="5">
        <v>30.0</v>
      </c>
      <c r="I114" s="6">
        <v>2500.0</v>
      </c>
      <c r="J114" s="24">
        <v>625.0</v>
      </c>
      <c r="K114" s="25" t="s">
        <v>44</v>
      </c>
      <c r="L114" s="25" t="s">
        <v>44</v>
      </c>
      <c r="M114" s="6" t="s">
        <v>40</v>
      </c>
      <c r="N114" s="5" t="s">
        <v>8269</v>
      </c>
      <c r="O114" s="5" t="s">
        <v>59</v>
      </c>
      <c r="P114" s="5" t="s">
        <v>7922</v>
      </c>
      <c r="Q114" s="6" t="s">
        <v>42</v>
      </c>
      <c r="R114" s="5" t="s">
        <v>8289</v>
      </c>
      <c r="S114" s="6" t="s">
        <v>208</v>
      </c>
      <c r="T114" s="6">
        <v>8473.0</v>
      </c>
    </row>
    <row r="115" ht="56.25" customHeight="1">
      <c r="A115" s="5" t="s">
        <v>8290</v>
      </c>
      <c r="B115" s="6" t="str">
        <f>IMAGE("https://storage.googleapis.com/acdb/tools/ToolNetOutdoor_Remake_0_0.png")</f>
        <v/>
      </c>
      <c r="C115" s="5" t="s">
        <v>2222</v>
      </c>
      <c r="D115" s="5" t="s">
        <v>135</v>
      </c>
      <c r="E115" s="5" t="s">
        <v>36</v>
      </c>
      <c r="F115" s="5" t="s">
        <v>35</v>
      </c>
      <c r="G115" s="6">
        <v>1.0</v>
      </c>
      <c r="H115" s="5">
        <v>30.0</v>
      </c>
      <c r="I115" s="6">
        <v>2500.0</v>
      </c>
      <c r="J115" s="24">
        <v>625.0</v>
      </c>
      <c r="K115" s="25" t="s">
        <v>44</v>
      </c>
      <c r="L115" s="25" t="s">
        <v>44</v>
      </c>
      <c r="M115" s="6" t="s">
        <v>40</v>
      </c>
      <c r="N115" s="5" t="s">
        <v>8269</v>
      </c>
      <c r="O115" s="5" t="s">
        <v>59</v>
      </c>
      <c r="P115" s="5" t="s">
        <v>7922</v>
      </c>
      <c r="Q115" s="6" t="s">
        <v>42</v>
      </c>
      <c r="R115" s="5" t="s">
        <v>8293</v>
      </c>
      <c r="S115" s="6" t="s">
        <v>50</v>
      </c>
      <c r="T115" s="6">
        <v>8178.0</v>
      </c>
    </row>
    <row r="116" ht="56.25" customHeight="1">
      <c r="A116" s="5" t="s">
        <v>8290</v>
      </c>
      <c r="B116" s="6" t="str">
        <f>IMAGE("https://storage.googleapis.com/acdb/tools/ToolNetOutdoor_Remake_1_0.png")</f>
        <v/>
      </c>
      <c r="C116" s="5" t="s">
        <v>142</v>
      </c>
      <c r="D116" s="5" t="s">
        <v>135</v>
      </c>
      <c r="E116" s="5" t="s">
        <v>36</v>
      </c>
      <c r="F116" s="5" t="s">
        <v>35</v>
      </c>
      <c r="G116" s="6">
        <v>1.0</v>
      </c>
      <c r="H116" s="5">
        <v>30.0</v>
      </c>
      <c r="I116" s="6">
        <v>2500.0</v>
      </c>
      <c r="J116" s="24">
        <v>625.0</v>
      </c>
      <c r="K116" s="25" t="s">
        <v>44</v>
      </c>
      <c r="L116" s="25" t="s">
        <v>44</v>
      </c>
      <c r="M116" s="6" t="s">
        <v>40</v>
      </c>
      <c r="N116" s="5" t="s">
        <v>8269</v>
      </c>
      <c r="O116" s="5" t="s">
        <v>59</v>
      </c>
      <c r="P116" s="5" t="s">
        <v>7922</v>
      </c>
      <c r="Q116" s="6" t="s">
        <v>42</v>
      </c>
      <c r="R116" s="5" t="s">
        <v>8296</v>
      </c>
      <c r="S116" s="6" t="s">
        <v>56</v>
      </c>
      <c r="T116" s="6">
        <v>8178.0</v>
      </c>
    </row>
    <row r="117" ht="56.25" customHeight="1">
      <c r="A117" s="5" t="s">
        <v>8290</v>
      </c>
      <c r="B117" s="6" t="str">
        <f>IMAGE("https://storage.googleapis.com/acdb/tools/ToolNetOutdoor_Remake_2_0.png")</f>
        <v/>
      </c>
      <c r="C117" s="5" t="s">
        <v>83</v>
      </c>
      <c r="D117" s="5" t="s">
        <v>135</v>
      </c>
      <c r="E117" s="5" t="s">
        <v>36</v>
      </c>
      <c r="F117" s="5" t="s">
        <v>35</v>
      </c>
      <c r="G117" s="6">
        <v>1.0</v>
      </c>
      <c r="H117" s="5">
        <v>30.0</v>
      </c>
      <c r="I117" s="6">
        <v>2500.0</v>
      </c>
      <c r="J117" s="24">
        <v>625.0</v>
      </c>
      <c r="K117" s="25" t="s">
        <v>44</v>
      </c>
      <c r="L117" s="25" t="s">
        <v>44</v>
      </c>
      <c r="M117" s="6" t="s">
        <v>40</v>
      </c>
      <c r="N117" s="5" t="s">
        <v>8269</v>
      </c>
      <c r="O117" s="5" t="s">
        <v>59</v>
      </c>
      <c r="P117" s="5" t="s">
        <v>7922</v>
      </c>
      <c r="Q117" s="6" t="s">
        <v>42</v>
      </c>
      <c r="R117" s="5" t="s">
        <v>8298</v>
      </c>
      <c r="S117" s="6" t="s">
        <v>67</v>
      </c>
      <c r="T117" s="6">
        <v>8178.0</v>
      </c>
    </row>
    <row r="118" ht="56.25" customHeight="1">
      <c r="A118" s="5" t="s">
        <v>8290</v>
      </c>
      <c r="B118" s="6" t="str">
        <f>IMAGE("https://storage.googleapis.com/acdb/tools/ToolNetOutdoor_Remake_3_0.png")</f>
        <v/>
      </c>
      <c r="C118" s="5" t="s">
        <v>52</v>
      </c>
      <c r="D118" s="5" t="s">
        <v>135</v>
      </c>
      <c r="E118" s="5" t="s">
        <v>36</v>
      </c>
      <c r="F118" s="5" t="s">
        <v>35</v>
      </c>
      <c r="G118" s="6">
        <v>1.0</v>
      </c>
      <c r="H118" s="5">
        <v>30.0</v>
      </c>
      <c r="I118" s="6">
        <v>2500.0</v>
      </c>
      <c r="J118" s="24">
        <v>625.0</v>
      </c>
      <c r="K118" s="25" t="s">
        <v>44</v>
      </c>
      <c r="L118" s="25" t="s">
        <v>44</v>
      </c>
      <c r="M118" s="6" t="s">
        <v>40</v>
      </c>
      <c r="N118" s="5" t="s">
        <v>8269</v>
      </c>
      <c r="O118" s="5" t="s">
        <v>59</v>
      </c>
      <c r="P118" s="5" t="s">
        <v>7922</v>
      </c>
      <c r="Q118" s="6" t="s">
        <v>42</v>
      </c>
      <c r="R118" s="5" t="s">
        <v>8300</v>
      </c>
      <c r="S118" s="6" t="s">
        <v>71</v>
      </c>
      <c r="T118" s="6">
        <v>8178.0</v>
      </c>
    </row>
    <row r="119" ht="56.25" customHeight="1">
      <c r="A119" s="5" t="s">
        <v>8290</v>
      </c>
      <c r="B119" s="6" t="str">
        <f>IMAGE("https://storage.googleapis.com/acdb/tools/ToolNetOutdoor_Remake_4_0.png")</f>
        <v/>
      </c>
      <c r="C119" s="5" t="s">
        <v>38</v>
      </c>
      <c r="D119" s="5" t="s">
        <v>135</v>
      </c>
      <c r="E119" s="5" t="s">
        <v>36</v>
      </c>
      <c r="F119" s="5" t="s">
        <v>35</v>
      </c>
      <c r="G119" s="6">
        <v>1.0</v>
      </c>
      <c r="H119" s="5">
        <v>30.0</v>
      </c>
      <c r="I119" s="6">
        <v>2500.0</v>
      </c>
      <c r="J119" s="24">
        <v>625.0</v>
      </c>
      <c r="K119" s="25" t="s">
        <v>44</v>
      </c>
      <c r="L119" s="25" t="s">
        <v>44</v>
      </c>
      <c r="M119" s="6" t="s">
        <v>40</v>
      </c>
      <c r="N119" s="5" t="s">
        <v>8269</v>
      </c>
      <c r="O119" s="5" t="s">
        <v>59</v>
      </c>
      <c r="P119" s="5" t="s">
        <v>7922</v>
      </c>
      <c r="Q119" s="6" t="s">
        <v>42</v>
      </c>
      <c r="R119" s="5" t="s">
        <v>8303</v>
      </c>
      <c r="S119" s="6" t="s">
        <v>75</v>
      </c>
      <c r="T119" s="6">
        <v>8178.0</v>
      </c>
    </row>
    <row r="120" ht="56.25" customHeight="1">
      <c r="A120" s="5" t="s">
        <v>8290</v>
      </c>
      <c r="B120" s="6" t="str">
        <f>IMAGE("https://storage.googleapis.com/acdb/tools/ToolNetOutdoor_Remake_5_0.png")</f>
        <v/>
      </c>
      <c r="C120" s="5" t="s">
        <v>69</v>
      </c>
      <c r="D120" s="5" t="s">
        <v>135</v>
      </c>
      <c r="E120" s="5" t="s">
        <v>36</v>
      </c>
      <c r="F120" s="5" t="s">
        <v>35</v>
      </c>
      <c r="G120" s="6">
        <v>1.0</v>
      </c>
      <c r="H120" s="5">
        <v>30.0</v>
      </c>
      <c r="I120" s="6">
        <v>2500.0</v>
      </c>
      <c r="J120" s="24">
        <v>625.0</v>
      </c>
      <c r="K120" s="25" t="s">
        <v>44</v>
      </c>
      <c r="L120" s="25" t="s">
        <v>44</v>
      </c>
      <c r="M120" s="6" t="s">
        <v>40</v>
      </c>
      <c r="N120" s="5" t="s">
        <v>8269</v>
      </c>
      <c r="O120" s="5" t="s">
        <v>59</v>
      </c>
      <c r="P120" s="5" t="s">
        <v>7922</v>
      </c>
      <c r="Q120" s="6" t="s">
        <v>42</v>
      </c>
      <c r="R120" s="5" t="s">
        <v>8305</v>
      </c>
      <c r="S120" s="6" t="s">
        <v>79</v>
      </c>
      <c r="T120" s="6">
        <v>8178.0</v>
      </c>
    </row>
    <row r="121" ht="56.25" customHeight="1">
      <c r="A121" s="5" t="s">
        <v>8290</v>
      </c>
      <c r="B121" s="6" t="str">
        <f>IMAGE("https://storage.googleapis.com/acdb/tools/ToolNetOutdoor_Remake_6_0.png")</f>
        <v/>
      </c>
      <c r="C121" s="5" t="s">
        <v>114</v>
      </c>
      <c r="D121" s="5" t="s">
        <v>135</v>
      </c>
      <c r="E121" s="5" t="s">
        <v>36</v>
      </c>
      <c r="F121" s="5" t="s">
        <v>35</v>
      </c>
      <c r="G121" s="6">
        <v>1.0</v>
      </c>
      <c r="H121" s="5">
        <v>30.0</v>
      </c>
      <c r="I121" s="6">
        <v>2500.0</v>
      </c>
      <c r="J121" s="24">
        <v>625.0</v>
      </c>
      <c r="K121" s="25" t="s">
        <v>44</v>
      </c>
      <c r="L121" s="25" t="s">
        <v>44</v>
      </c>
      <c r="M121" s="6" t="s">
        <v>40</v>
      </c>
      <c r="N121" s="5" t="s">
        <v>8269</v>
      </c>
      <c r="O121" s="5" t="s">
        <v>59</v>
      </c>
      <c r="P121" s="5" t="s">
        <v>7922</v>
      </c>
      <c r="Q121" s="6" t="s">
        <v>42</v>
      </c>
      <c r="R121" s="5" t="s">
        <v>8309</v>
      </c>
      <c r="S121" s="6" t="s">
        <v>86</v>
      </c>
      <c r="T121" s="6">
        <v>8178.0</v>
      </c>
    </row>
    <row r="122" ht="56.25" customHeight="1">
      <c r="A122" s="5" t="s">
        <v>8290</v>
      </c>
      <c r="B122" s="6" t="str">
        <f>IMAGE("https://storage.googleapis.com/acdb/tools/ToolNetOutdoor_Remake_7_0.png")</f>
        <v/>
      </c>
      <c r="C122" s="5" t="s">
        <v>54</v>
      </c>
      <c r="D122" s="5" t="s">
        <v>135</v>
      </c>
      <c r="E122" s="5" t="s">
        <v>36</v>
      </c>
      <c r="F122" s="5" t="s">
        <v>35</v>
      </c>
      <c r="G122" s="6">
        <v>1.0</v>
      </c>
      <c r="H122" s="5">
        <v>30.0</v>
      </c>
      <c r="I122" s="6">
        <v>2500.0</v>
      </c>
      <c r="J122" s="24">
        <v>625.0</v>
      </c>
      <c r="K122" s="25" t="s">
        <v>44</v>
      </c>
      <c r="L122" s="25" t="s">
        <v>44</v>
      </c>
      <c r="M122" s="6" t="s">
        <v>40</v>
      </c>
      <c r="N122" s="5" t="s">
        <v>8269</v>
      </c>
      <c r="O122" s="5" t="s">
        <v>59</v>
      </c>
      <c r="P122" s="5" t="s">
        <v>7922</v>
      </c>
      <c r="Q122" s="6" t="s">
        <v>42</v>
      </c>
      <c r="R122" s="5" t="s">
        <v>8310</v>
      </c>
      <c r="S122" s="6" t="s">
        <v>208</v>
      </c>
      <c r="T122" s="6">
        <v>8178.0</v>
      </c>
    </row>
    <row r="123" ht="56.25" customHeight="1">
      <c r="A123" s="5" t="s">
        <v>8312</v>
      </c>
      <c r="B123" s="6" t="str">
        <f>IMAGE("https://storage.googleapis.com/acdb/tools/ToolScoopOutdoor_Remake_0_0.png")</f>
        <v/>
      </c>
      <c r="C123" s="5" t="s">
        <v>2222</v>
      </c>
      <c r="D123" s="5" t="s">
        <v>135</v>
      </c>
      <c r="E123" s="5" t="s">
        <v>36</v>
      </c>
      <c r="F123" s="5" t="s">
        <v>35</v>
      </c>
      <c r="G123" s="6">
        <v>1.0</v>
      </c>
      <c r="H123" s="5">
        <v>100.0</v>
      </c>
      <c r="I123" s="6">
        <v>2500.0</v>
      </c>
      <c r="J123" s="24">
        <v>625.0</v>
      </c>
      <c r="K123" s="25" t="s">
        <v>44</v>
      </c>
      <c r="L123" s="25" t="s">
        <v>44</v>
      </c>
      <c r="M123" s="6" t="s">
        <v>40</v>
      </c>
      <c r="N123" s="5" t="s">
        <v>8269</v>
      </c>
      <c r="O123" s="5" t="s">
        <v>59</v>
      </c>
      <c r="P123" s="5" t="s">
        <v>7922</v>
      </c>
      <c r="Q123" s="6" t="s">
        <v>42</v>
      </c>
      <c r="R123" s="5" t="s">
        <v>8314</v>
      </c>
      <c r="S123" s="6" t="s">
        <v>50</v>
      </c>
      <c r="T123" s="6">
        <v>8575.0</v>
      </c>
    </row>
    <row r="124" ht="56.25" customHeight="1">
      <c r="A124" s="5" t="s">
        <v>8312</v>
      </c>
      <c r="B124" s="6" t="str">
        <f>IMAGE("https://storage.googleapis.com/acdb/tools/ToolScoopOutdoor_Remake_1_0.png")</f>
        <v/>
      </c>
      <c r="C124" s="5" t="s">
        <v>142</v>
      </c>
      <c r="D124" s="5" t="s">
        <v>135</v>
      </c>
      <c r="E124" s="5" t="s">
        <v>36</v>
      </c>
      <c r="F124" s="5" t="s">
        <v>35</v>
      </c>
      <c r="G124" s="6">
        <v>1.0</v>
      </c>
      <c r="H124" s="5">
        <v>100.0</v>
      </c>
      <c r="I124" s="6">
        <v>2500.0</v>
      </c>
      <c r="J124" s="24">
        <v>625.0</v>
      </c>
      <c r="K124" s="25" t="s">
        <v>44</v>
      </c>
      <c r="L124" s="25" t="s">
        <v>44</v>
      </c>
      <c r="M124" s="6" t="s">
        <v>40</v>
      </c>
      <c r="N124" s="5" t="s">
        <v>8269</v>
      </c>
      <c r="O124" s="5" t="s">
        <v>59</v>
      </c>
      <c r="P124" s="5" t="s">
        <v>7922</v>
      </c>
      <c r="Q124" s="6" t="s">
        <v>42</v>
      </c>
      <c r="R124" s="5" t="s">
        <v>8319</v>
      </c>
      <c r="S124" s="6" t="s">
        <v>56</v>
      </c>
      <c r="T124" s="6">
        <v>8575.0</v>
      </c>
    </row>
    <row r="125" ht="56.25" customHeight="1">
      <c r="A125" s="5" t="s">
        <v>8312</v>
      </c>
      <c r="B125" s="6" t="str">
        <f>IMAGE("https://storage.googleapis.com/acdb/tools/ToolScoopOutdoor_Remake_2_0.png")</f>
        <v/>
      </c>
      <c r="C125" s="5" t="s">
        <v>83</v>
      </c>
      <c r="D125" s="5" t="s">
        <v>135</v>
      </c>
      <c r="E125" s="5" t="s">
        <v>36</v>
      </c>
      <c r="F125" s="5" t="s">
        <v>35</v>
      </c>
      <c r="G125" s="6">
        <v>1.0</v>
      </c>
      <c r="H125" s="5">
        <v>100.0</v>
      </c>
      <c r="I125" s="6">
        <v>2500.0</v>
      </c>
      <c r="J125" s="24">
        <v>625.0</v>
      </c>
      <c r="K125" s="25" t="s">
        <v>44</v>
      </c>
      <c r="L125" s="25" t="s">
        <v>44</v>
      </c>
      <c r="M125" s="6" t="s">
        <v>40</v>
      </c>
      <c r="N125" s="5" t="s">
        <v>8269</v>
      </c>
      <c r="O125" s="5" t="s">
        <v>59</v>
      </c>
      <c r="P125" s="5" t="s">
        <v>7922</v>
      </c>
      <c r="Q125" s="6" t="s">
        <v>42</v>
      </c>
      <c r="R125" s="5" t="s">
        <v>8324</v>
      </c>
      <c r="S125" s="6" t="s">
        <v>67</v>
      </c>
      <c r="T125" s="6">
        <v>8575.0</v>
      </c>
    </row>
    <row r="126" ht="56.25" customHeight="1">
      <c r="A126" s="5" t="s">
        <v>8312</v>
      </c>
      <c r="B126" s="6" t="str">
        <f>IMAGE("https://storage.googleapis.com/acdb/tools/ToolScoopOutdoor_Remake_3_0.png")</f>
        <v/>
      </c>
      <c r="C126" s="5" t="s">
        <v>52</v>
      </c>
      <c r="D126" s="5" t="s">
        <v>135</v>
      </c>
      <c r="E126" s="5" t="s">
        <v>36</v>
      </c>
      <c r="F126" s="5" t="s">
        <v>35</v>
      </c>
      <c r="G126" s="6">
        <v>1.0</v>
      </c>
      <c r="H126" s="5">
        <v>100.0</v>
      </c>
      <c r="I126" s="6">
        <v>2500.0</v>
      </c>
      <c r="J126" s="24">
        <v>625.0</v>
      </c>
      <c r="K126" s="25" t="s">
        <v>44</v>
      </c>
      <c r="L126" s="25" t="s">
        <v>44</v>
      </c>
      <c r="M126" s="6" t="s">
        <v>40</v>
      </c>
      <c r="N126" s="5" t="s">
        <v>8269</v>
      </c>
      <c r="O126" s="5" t="s">
        <v>59</v>
      </c>
      <c r="P126" s="5" t="s">
        <v>7922</v>
      </c>
      <c r="Q126" s="6" t="s">
        <v>42</v>
      </c>
      <c r="R126" s="5" t="s">
        <v>8327</v>
      </c>
      <c r="S126" s="6" t="s">
        <v>71</v>
      </c>
      <c r="T126" s="6">
        <v>8575.0</v>
      </c>
    </row>
    <row r="127" ht="56.25" customHeight="1">
      <c r="A127" s="5" t="s">
        <v>8312</v>
      </c>
      <c r="B127" s="6" t="str">
        <f>IMAGE("https://storage.googleapis.com/acdb/tools/ToolScoopOutdoor_Remake_4_0.png")</f>
        <v/>
      </c>
      <c r="C127" s="5" t="s">
        <v>38</v>
      </c>
      <c r="D127" s="5" t="s">
        <v>135</v>
      </c>
      <c r="E127" s="5" t="s">
        <v>36</v>
      </c>
      <c r="F127" s="5" t="s">
        <v>35</v>
      </c>
      <c r="G127" s="6">
        <v>1.0</v>
      </c>
      <c r="H127" s="5">
        <v>100.0</v>
      </c>
      <c r="I127" s="6">
        <v>2500.0</v>
      </c>
      <c r="J127" s="24">
        <v>625.0</v>
      </c>
      <c r="K127" s="25" t="s">
        <v>44</v>
      </c>
      <c r="L127" s="25" t="s">
        <v>44</v>
      </c>
      <c r="M127" s="6" t="s">
        <v>40</v>
      </c>
      <c r="N127" s="5" t="s">
        <v>8269</v>
      </c>
      <c r="O127" s="5" t="s">
        <v>59</v>
      </c>
      <c r="P127" s="5" t="s">
        <v>7922</v>
      </c>
      <c r="Q127" s="6" t="s">
        <v>42</v>
      </c>
      <c r="R127" s="5" t="s">
        <v>8329</v>
      </c>
      <c r="S127" s="6" t="s">
        <v>75</v>
      </c>
      <c r="T127" s="6">
        <v>8575.0</v>
      </c>
    </row>
    <row r="128" ht="56.25" customHeight="1">
      <c r="A128" s="5" t="s">
        <v>8312</v>
      </c>
      <c r="B128" s="6" t="str">
        <f>IMAGE("https://storage.googleapis.com/acdb/tools/ToolScoopOutdoor_Remake_5_0.png")</f>
        <v/>
      </c>
      <c r="C128" s="5" t="s">
        <v>69</v>
      </c>
      <c r="D128" s="5" t="s">
        <v>135</v>
      </c>
      <c r="E128" s="5" t="s">
        <v>36</v>
      </c>
      <c r="F128" s="5" t="s">
        <v>35</v>
      </c>
      <c r="G128" s="6">
        <v>1.0</v>
      </c>
      <c r="H128" s="5">
        <v>100.0</v>
      </c>
      <c r="I128" s="6">
        <v>2500.0</v>
      </c>
      <c r="J128" s="24">
        <v>625.0</v>
      </c>
      <c r="K128" s="25" t="s">
        <v>44</v>
      </c>
      <c r="L128" s="25" t="s">
        <v>44</v>
      </c>
      <c r="M128" s="6" t="s">
        <v>40</v>
      </c>
      <c r="N128" s="5" t="s">
        <v>8269</v>
      </c>
      <c r="O128" s="5" t="s">
        <v>59</v>
      </c>
      <c r="P128" s="5" t="s">
        <v>7922</v>
      </c>
      <c r="Q128" s="6" t="s">
        <v>42</v>
      </c>
      <c r="R128" s="5" t="s">
        <v>8332</v>
      </c>
      <c r="S128" s="6" t="s">
        <v>79</v>
      </c>
      <c r="T128" s="6">
        <v>8575.0</v>
      </c>
    </row>
    <row r="129" ht="56.25" customHeight="1">
      <c r="A129" s="5" t="s">
        <v>8312</v>
      </c>
      <c r="B129" s="6" t="str">
        <f>IMAGE("https://storage.googleapis.com/acdb/tools/ToolScoopOutdoor_Remake_6_0.png")</f>
        <v/>
      </c>
      <c r="C129" s="5" t="s">
        <v>114</v>
      </c>
      <c r="D129" s="5" t="s">
        <v>135</v>
      </c>
      <c r="E129" s="5" t="s">
        <v>36</v>
      </c>
      <c r="F129" s="5" t="s">
        <v>35</v>
      </c>
      <c r="G129" s="6">
        <v>1.0</v>
      </c>
      <c r="H129" s="5">
        <v>100.0</v>
      </c>
      <c r="I129" s="6">
        <v>2500.0</v>
      </c>
      <c r="J129" s="24">
        <v>625.0</v>
      </c>
      <c r="K129" s="25" t="s">
        <v>44</v>
      </c>
      <c r="L129" s="25" t="s">
        <v>44</v>
      </c>
      <c r="M129" s="6" t="s">
        <v>40</v>
      </c>
      <c r="N129" s="5" t="s">
        <v>8269</v>
      </c>
      <c r="O129" s="5" t="s">
        <v>59</v>
      </c>
      <c r="P129" s="5" t="s">
        <v>7922</v>
      </c>
      <c r="Q129" s="6" t="s">
        <v>42</v>
      </c>
      <c r="R129" s="5" t="s">
        <v>8336</v>
      </c>
      <c r="S129" s="6" t="s">
        <v>86</v>
      </c>
      <c r="T129" s="6">
        <v>8575.0</v>
      </c>
    </row>
    <row r="130" ht="56.25" customHeight="1">
      <c r="A130" s="5" t="s">
        <v>8312</v>
      </c>
      <c r="B130" s="6" t="str">
        <f>IMAGE("https://storage.googleapis.com/acdb/tools/ToolScoopOutdoor_Remake_7_0.png")</f>
        <v/>
      </c>
      <c r="C130" s="5" t="s">
        <v>54</v>
      </c>
      <c r="D130" s="5" t="s">
        <v>135</v>
      </c>
      <c r="E130" s="5" t="s">
        <v>36</v>
      </c>
      <c r="F130" s="5" t="s">
        <v>35</v>
      </c>
      <c r="G130" s="6">
        <v>1.0</v>
      </c>
      <c r="H130" s="5">
        <v>100.0</v>
      </c>
      <c r="I130" s="6">
        <v>2500.0</v>
      </c>
      <c r="J130" s="24">
        <v>625.0</v>
      </c>
      <c r="K130" s="25" t="s">
        <v>44</v>
      </c>
      <c r="L130" s="25" t="s">
        <v>44</v>
      </c>
      <c r="M130" s="6" t="s">
        <v>40</v>
      </c>
      <c r="N130" s="5" t="s">
        <v>8269</v>
      </c>
      <c r="O130" s="5" t="s">
        <v>59</v>
      </c>
      <c r="P130" s="5" t="s">
        <v>7922</v>
      </c>
      <c r="Q130" s="6" t="s">
        <v>42</v>
      </c>
      <c r="R130" s="5" t="s">
        <v>8339</v>
      </c>
      <c r="S130" s="6" t="s">
        <v>208</v>
      </c>
      <c r="T130" s="6">
        <v>8575.0</v>
      </c>
    </row>
    <row r="131" ht="56.25" customHeight="1">
      <c r="A131" s="5" t="s">
        <v>8340</v>
      </c>
      <c r="B131" s="6" t="str">
        <f>IMAGE("https://storage.googleapis.com/acdb/tools/ToolSlingshotOutdoor_Remake_0_0.png")</f>
        <v/>
      </c>
      <c r="C131" s="5" t="s">
        <v>2222</v>
      </c>
      <c r="D131" s="5" t="s">
        <v>135</v>
      </c>
      <c r="E131" s="5" t="s">
        <v>36</v>
      </c>
      <c r="F131" s="5" t="s">
        <v>35</v>
      </c>
      <c r="G131" s="6">
        <v>1.0</v>
      </c>
      <c r="H131" s="5">
        <v>20.0</v>
      </c>
      <c r="I131" s="6">
        <v>2500.0</v>
      </c>
      <c r="J131" s="24">
        <v>625.0</v>
      </c>
      <c r="K131" s="25" t="s">
        <v>44</v>
      </c>
      <c r="L131" s="25" t="s">
        <v>44</v>
      </c>
      <c r="M131" s="6" t="s">
        <v>40</v>
      </c>
      <c r="N131" s="5" t="s">
        <v>8269</v>
      </c>
      <c r="O131" s="5" t="s">
        <v>59</v>
      </c>
      <c r="P131" s="5" t="s">
        <v>7922</v>
      </c>
      <c r="Q131" s="6" t="s">
        <v>42</v>
      </c>
      <c r="R131" s="5" t="s">
        <v>8343</v>
      </c>
      <c r="S131" s="6" t="s">
        <v>50</v>
      </c>
      <c r="T131" s="6">
        <v>8579.0</v>
      </c>
    </row>
    <row r="132" ht="56.25" customHeight="1">
      <c r="A132" s="5" t="s">
        <v>8340</v>
      </c>
      <c r="B132" s="6" t="str">
        <f>IMAGE("https://storage.googleapis.com/acdb/tools/ToolSlingshotOutdoor_Remake_1_0.png")</f>
        <v/>
      </c>
      <c r="C132" s="5" t="s">
        <v>142</v>
      </c>
      <c r="D132" s="5" t="s">
        <v>135</v>
      </c>
      <c r="E132" s="5" t="s">
        <v>36</v>
      </c>
      <c r="F132" s="5" t="s">
        <v>35</v>
      </c>
      <c r="G132" s="6">
        <v>1.0</v>
      </c>
      <c r="H132" s="5">
        <v>20.0</v>
      </c>
      <c r="I132" s="6">
        <v>2500.0</v>
      </c>
      <c r="J132" s="24">
        <v>625.0</v>
      </c>
      <c r="K132" s="25" t="s">
        <v>44</v>
      </c>
      <c r="L132" s="25" t="s">
        <v>44</v>
      </c>
      <c r="M132" s="6" t="s">
        <v>40</v>
      </c>
      <c r="N132" s="5" t="s">
        <v>8269</v>
      </c>
      <c r="O132" s="5" t="s">
        <v>59</v>
      </c>
      <c r="P132" s="5" t="s">
        <v>7922</v>
      </c>
      <c r="Q132" s="6" t="s">
        <v>42</v>
      </c>
      <c r="R132" s="5" t="s">
        <v>8346</v>
      </c>
      <c r="S132" s="6" t="s">
        <v>56</v>
      </c>
      <c r="T132" s="6">
        <v>8579.0</v>
      </c>
    </row>
    <row r="133" ht="56.25" customHeight="1">
      <c r="A133" s="5" t="s">
        <v>8340</v>
      </c>
      <c r="B133" s="6" t="str">
        <f>IMAGE("https://storage.googleapis.com/acdb/tools/ToolSlingshotOutdoor_Remake_2_0.png")</f>
        <v/>
      </c>
      <c r="C133" s="5" t="s">
        <v>83</v>
      </c>
      <c r="D133" s="5" t="s">
        <v>135</v>
      </c>
      <c r="E133" s="5" t="s">
        <v>36</v>
      </c>
      <c r="F133" s="5" t="s">
        <v>35</v>
      </c>
      <c r="G133" s="6">
        <v>1.0</v>
      </c>
      <c r="H133" s="5">
        <v>20.0</v>
      </c>
      <c r="I133" s="6">
        <v>2500.0</v>
      </c>
      <c r="J133" s="24">
        <v>625.0</v>
      </c>
      <c r="K133" s="25" t="s">
        <v>44</v>
      </c>
      <c r="L133" s="25" t="s">
        <v>44</v>
      </c>
      <c r="M133" s="6" t="s">
        <v>40</v>
      </c>
      <c r="N133" s="5" t="s">
        <v>8269</v>
      </c>
      <c r="O133" s="5" t="s">
        <v>59</v>
      </c>
      <c r="P133" s="5" t="s">
        <v>7922</v>
      </c>
      <c r="Q133" s="6" t="s">
        <v>42</v>
      </c>
      <c r="R133" s="5" t="s">
        <v>8350</v>
      </c>
      <c r="S133" s="6" t="s">
        <v>67</v>
      </c>
      <c r="T133" s="6">
        <v>8579.0</v>
      </c>
    </row>
    <row r="134" ht="56.25" customHeight="1">
      <c r="A134" s="5" t="s">
        <v>8340</v>
      </c>
      <c r="B134" s="6" t="str">
        <f>IMAGE("https://storage.googleapis.com/acdb/tools/ToolSlingshotOutdoor_Remake_3_0.png")</f>
        <v/>
      </c>
      <c r="C134" s="5" t="s">
        <v>52</v>
      </c>
      <c r="D134" s="5" t="s">
        <v>135</v>
      </c>
      <c r="E134" s="5" t="s">
        <v>36</v>
      </c>
      <c r="F134" s="5" t="s">
        <v>35</v>
      </c>
      <c r="G134" s="6">
        <v>1.0</v>
      </c>
      <c r="H134" s="5">
        <v>20.0</v>
      </c>
      <c r="I134" s="6">
        <v>2500.0</v>
      </c>
      <c r="J134" s="24">
        <v>625.0</v>
      </c>
      <c r="K134" s="25" t="s">
        <v>44</v>
      </c>
      <c r="L134" s="25" t="s">
        <v>44</v>
      </c>
      <c r="M134" s="6" t="s">
        <v>40</v>
      </c>
      <c r="N134" s="5" t="s">
        <v>8269</v>
      </c>
      <c r="O134" s="5" t="s">
        <v>59</v>
      </c>
      <c r="P134" s="5" t="s">
        <v>7922</v>
      </c>
      <c r="Q134" s="6" t="s">
        <v>42</v>
      </c>
      <c r="R134" s="5" t="s">
        <v>8354</v>
      </c>
      <c r="S134" s="6" t="s">
        <v>71</v>
      </c>
      <c r="T134" s="6">
        <v>8579.0</v>
      </c>
    </row>
    <row r="135" ht="56.25" customHeight="1">
      <c r="A135" s="5" t="s">
        <v>8340</v>
      </c>
      <c r="B135" s="6" t="str">
        <f>IMAGE("https://storage.googleapis.com/acdb/tools/ToolSlingshotOutdoor_Remake_4_0.png")</f>
        <v/>
      </c>
      <c r="C135" s="5" t="s">
        <v>38</v>
      </c>
      <c r="D135" s="5" t="s">
        <v>135</v>
      </c>
      <c r="E135" s="5" t="s">
        <v>36</v>
      </c>
      <c r="F135" s="5" t="s">
        <v>35</v>
      </c>
      <c r="G135" s="6">
        <v>1.0</v>
      </c>
      <c r="H135" s="5">
        <v>20.0</v>
      </c>
      <c r="I135" s="6">
        <v>2500.0</v>
      </c>
      <c r="J135" s="24">
        <v>625.0</v>
      </c>
      <c r="K135" s="25" t="s">
        <v>44</v>
      </c>
      <c r="L135" s="25" t="s">
        <v>44</v>
      </c>
      <c r="M135" s="6" t="s">
        <v>40</v>
      </c>
      <c r="N135" s="5" t="s">
        <v>8269</v>
      </c>
      <c r="O135" s="5" t="s">
        <v>59</v>
      </c>
      <c r="P135" s="5" t="s">
        <v>7922</v>
      </c>
      <c r="Q135" s="6" t="s">
        <v>42</v>
      </c>
      <c r="R135" s="5" t="s">
        <v>8358</v>
      </c>
      <c r="S135" s="6" t="s">
        <v>75</v>
      </c>
      <c r="T135" s="6">
        <v>8579.0</v>
      </c>
    </row>
    <row r="136" ht="56.25" customHeight="1">
      <c r="A136" s="5" t="s">
        <v>8340</v>
      </c>
      <c r="B136" s="6" t="str">
        <f>IMAGE("https://storage.googleapis.com/acdb/tools/ToolSlingshotOutdoor_Remake_5_0.png")</f>
        <v/>
      </c>
      <c r="C136" s="5" t="s">
        <v>69</v>
      </c>
      <c r="D136" s="5" t="s">
        <v>135</v>
      </c>
      <c r="E136" s="5" t="s">
        <v>36</v>
      </c>
      <c r="F136" s="5" t="s">
        <v>35</v>
      </c>
      <c r="G136" s="6">
        <v>1.0</v>
      </c>
      <c r="H136" s="5">
        <v>20.0</v>
      </c>
      <c r="I136" s="6">
        <v>2500.0</v>
      </c>
      <c r="J136" s="24">
        <v>625.0</v>
      </c>
      <c r="K136" s="25" t="s">
        <v>44</v>
      </c>
      <c r="L136" s="25" t="s">
        <v>44</v>
      </c>
      <c r="M136" s="6" t="s">
        <v>40</v>
      </c>
      <c r="N136" s="5" t="s">
        <v>8269</v>
      </c>
      <c r="O136" s="5" t="s">
        <v>59</v>
      </c>
      <c r="P136" s="5" t="s">
        <v>7922</v>
      </c>
      <c r="Q136" s="6" t="s">
        <v>42</v>
      </c>
      <c r="R136" s="5" t="s">
        <v>8362</v>
      </c>
      <c r="S136" s="6" t="s">
        <v>79</v>
      </c>
      <c r="T136" s="6">
        <v>8579.0</v>
      </c>
    </row>
    <row r="137" ht="56.25" customHeight="1">
      <c r="A137" s="5" t="s">
        <v>8340</v>
      </c>
      <c r="B137" s="6" t="str">
        <f>IMAGE("https://storage.googleapis.com/acdb/tools/ToolSlingshotOutdoor_Remake_6_0.png")</f>
        <v/>
      </c>
      <c r="C137" s="5" t="s">
        <v>114</v>
      </c>
      <c r="D137" s="5" t="s">
        <v>135</v>
      </c>
      <c r="E137" s="5" t="s">
        <v>36</v>
      </c>
      <c r="F137" s="5" t="s">
        <v>35</v>
      </c>
      <c r="G137" s="6">
        <v>1.0</v>
      </c>
      <c r="H137" s="5">
        <v>20.0</v>
      </c>
      <c r="I137" s="6">
        <v>2500.0</v>
      </c>
      <c r="J137" s="24">
        <v>625.0</v>
      </c>
      <c r="K137" s="25" t="s">
        <v>44</v>
      </c>
      <c r="L137" s="25" t="s">
        <v>44</v>
      </c>
      <c r="M137" s="6" t="s">
        <v>40</v>
      </c>
      <c r="N137" s="5" t="s">
        <v>8269</v>
      </c>
      <c r="O137" s="5" t="s">
        <v>59</v>
      </c>
      <c r="P137" s="5" t="s">
        <v>7922</v>
      </c>
      <c r="Q137" s="6" t="s">
        <v>42</v>
      </c>
      <c r="R137" s="5" t="s">
        <v>8365</v>
      </c>
      <c r="S137" s="6" t="s">
        <v>86</v>
      </c>
      <c r="T137" s="6">
        <v>8579.0</v>
      </c>
    </row>
    <row r="138" ht="56.25" customHeight="1">
      <c r="A138" s="5" t="s">
        <v>8340</v>
      </c>
      <c r="B138" s="6" t="str">
        <f>IMAGE("https://storage.googleapis.com/acdb/tools/ToolSlingshotOutdoor_Remake_7_0.png")</f>
        <v/>
      </c>
      <c r="C138" s="5" t="s">
        <v>54</v>
      </c>
      <c r="D138" s="5" t="s">
        <v>135</v>
      </c>
      <c r="E138" s="5" t="s">
        <v>36</v>
      </c>
      <c r="F138" s="5" t="s">
        <v>35</v>
      </c>
      <c r="G138" s="6">
        <v>1.0</v>
      </c>
      <c r="H138" s="5">
        <v>20.0</v>
      </c>
      <c r="I138" s="6">
        <v>2500.0</v>
      </c>
      <c r="J138" s="24">
        <v>625.0</v>
      </c>
      <c r="K138" s="25" t="s">
        <v>44</v>
      </c>
      <c r="L138" s="25" t="s">
        <v>44</v>
      </c>
      <c r="M138" s="6" t="s">
        <v>40</v>
      </c>
      <c r="N138" s="5" t="s">
        <v>8269</v>
      </c>
      <c r="O138" s="5" t="s">
        <v>59</v>
      </c>
      <c r="P138" s="5" t="s">
        <v>7922</v>
      </c>
      <c r="Q138" s="6" t="s">
        <v>42</v>
      </c>
      <c r="R138" s="5" t="s">
        <v>8369</v>
      </c>
      <c r="S138" s="6" t="s">
        <v>208</v>
      </c>
      <c r="T138" s="6">
        <v>8579.0</v>
      </c>
    </row>
    <row r="139" ht="56.25" customHeight="1">
      <c r="A139" s="5" t="s">
        <v>8370</v>
      </c>
      <c r="B139" s="6" t="str">
        <f>IMAGE("https://storage.googleapis.com/acdb/tools/ToolWateringOutdoor_Remake_0_0.png")</f>
        <v/>
      </c>
      <c r="C139" s="5" t="s">
        <v>2222</v>
      </c>
      <c r="D139" s="5" t="s">
        <v>135</v>
      </c>
      <c r="E139" s="5" t="s">
        <v>36</v>
      </c>
      <c r="F139" s="5" t="s">
        <v>35</v>
      </c>
      <c r="G139" s="6">
        <v>1.0</v>
      </c>
      <c r="H139" s="5">
        <v>60.0</v>
      </c>
      <c r="I139" s="6">
        <v>2500.0</v>
      </c>
      <c r="J139" s="24">
        <v>625.0</v>
      </c>
      <c r="K139" s="25" t="s">
        <v>44</v>
      </c>
      <c r="L139" s="25" t="s">
        <v>44</v>
      </c>
      <c r="M139" s="6" t="s">
        <v>40</v>
      </c>
      <c r="N139" s="5" t="s">
        <v>8269</v>
      </c>
      <c r="O139" s="5" t="s">
        <v>59</v>
      </c>
      <c r="P139" s="5" t="s">
        <v>7922</v>
      </c>
      <c r="Q139" s="6" t="s">
        <v>42</v>
      </c>
      <c r="R139" s="5" t="s">
        <v>8372</v>
      </c>
      <c r="S139" s="6" t="s">
        <v>50</v>
      </c>
      <c r="T139" s="6">
        <v>8536.0</v>
      </c>
    </row>
    <row r="140" ht="56.25" customHeight="1">
      <c r="A140" s="5" t="s">
        <v>8370</v>
      </c>
      <c r="B140" s="6" t="str">
        <f>IMAGE("https://storage.googleapis.com/acdb/tools/ToolWateringOutdoor_Remake_1_0.png")</f>
        <v/>
      </c>
      <c r="C140" s="5" t="s">
        <v>142</v>
      </c>
      <c r="D140" s="5" t="s">
        <v>135</v>
      </c>
      <c r="E140" s="5" t="s">
        <v>36</v>
      </c>
      <c r="F140" s="5" t="s">
        <v>35</v>
      </c>
      <c r="G140" s="6">
        <v>1.0</v>
      </c>
      <c r="H140" s="5">
        <v>60.0</v>
      </c>
      <c r="I140" s="6">
        <v>2500.0</v>
      </c>
      <c r="J140" s="24">
        <v>625.0</v>
      </c>
      <c r="K140" s="25" t="s">
        <v>44</v>
      </c>
      <c r="L140" s="25" t="s">
        <v>44</v>
      </c>
      <c r="M140" s="6" t="s">
        <v>40</v>
      </c>
      <c r="N140" s="5" t="s">
        <v>8269</v>
      </c>
      <c r="O140" s="5" t="s">
        <v>59</v>
      </c>
      <c r="P140" s="5" t="s">
        <v>7922</v>
      </c>
      <c r="Q140" s="6" t="s">
        <v>42</v>
      </c>
      <c r="R140" s="5" t="s">
        <v>8375</v>
      </c>
      <c r="S140" s="6" t="s">
        <v>56</v>
      </c>
      <c r="T140" s="6">
        <v>8536.0</v>
      </c>
    </row>
    <row r="141" ht="56.25" customHeight="1">
      <c r="A141" s="5" t="s">
        <v>8370</v>
      </c>
      <c r="B141" s="6" t="str">
        <f>IMAGE("https://storage.googleapis.com/acdb/tools/ToolWateringOutdoor_Remake_2_0.png")</f>
        <v/>
      </c>
      <c r="C141" s="5" t="s">
        <v>83</v>
      </c>
      <c r="D141" s="5" t="s">
        <v>135</v>
      </c>
      <c r="E141" s="5" t="s">
        <v>36</v>
      </c>
      <c r="F141" s="5" t="s">
        <v>35</v>
      </c>
      <c r="G141" s="6">
        <v>1.0</v>
      </c>
      <c r="H141" s="5">
        <v>60.0</v>
      </c>
      <c r="I141" s="6">
        <v>2500.0</v>
      </c>
      <c r="J141" s="24">
        <v>625.0</v>
      </c>
      <c r="K141" s="25" t="s">
        <v>44</v>
      </c>
      <c r="L141" s="25" t="s">
        <v>44</v>
      </c>
      <c r="M141" s="6" t="s">
        <v>40</v>
      </c>
      <c r="N141" s="5" t="s">
        <v>8269</v>
      </c>
      <c r="O141" s="5" t="s">
        <v>59</v>
      </c>
      <c r="P141" s="5" t="s">
        <v>7922</v>
      </c>
      <c r="Q141" s="6" t="s">
        <v>42</v>
      </c>
      <c r="R141" s="5" t="s">
        <v>8378</v>
      </c>
      <c r="S141" s="6" t="s">
        <v>67</v>
      </c>
      <c r="T141" s="6">
        <v>8536.0</v>
      </c>
    </row>
    <row r="142" ht="56.25" customHeight="1">
      <c r="A142" s="5" t="s">
        <v>8370</v>
      </c>
      <c r="B142" s="6" t="str">
        <f>IMAGE("https://storage.googleapis.com/acdb/tools/ToolWateringOutdoor_Remake_3_0.png")</f>
        <v/>
      </c>
      <c r="C142" s="5" t="s">
        <v>52</v>
      </c>
      <c r="D142" s="5" t="s">
        <v>135</v>
      </c>
      <c r="E142" s="5" t="s">
        <v>36</v>
      </c>
      <c r="F142" s="5" t="s">
        <v>35</v>
      </c>
      <c r="G142" s="6">
        <v>1.0</v>
      </c>
      <c r="H142" s="5">
        <v>60.0</v>
      </c>
      <c r="I142" s="6">
        <v>2500.0</v>
      </c>
      <c r="J142" s="24">
        <v>625.0</v>
      </c>
      <c r="K142" s="25" t="s">
        <v>44</v>
      </c>
      <c r="L142" s="25" t="s">
        <v>44</v>
      </c>
      <c r="M142" s="6" t="s">
        <v>40</v>
      </c>
      <c r="N142" s="5" t="s">
        <v>8269</v>
      </c>
      <c r="O142" s="5" t="s">
        <v>59</v>
      </c>
      <c r="P142" s="5" t="s">
        <v>7922</v>
      </c>
      <c r="Q142" s="6" t="s">
        <v>42</v>
      </c>
      <c r="R142" s="5" t="s">
        <v>8380</v>
      </c>
      <c r="S142" s="6" t="s">
        <v>71</v>
      </c>
      <c r="T142" s="6">
        <v>8536.0</v>
      </c>
    </row>
    <row r="143" ht="56.25" customHeight="1">
      <c r="A143" s="5" t="s">
        <v>8370</v>
      </c>
      <c r="B143" s="6" t="str">
        <f>IMAGE("https://storage.googleapis.com/acdb/tools/ToolWateringOutdoor_Remake_4_0.png")</f>
        <v/>
      </c>
      <c r="C143" s="5" t="s">
        <v>38</v>
      </c>
      <c r="D143" s="5" t="s">
        <v>135</v>
      </c>
      <c r="E143" s="5" t="s">
        <v>36</v>
      </c>
      <c r="F143" s="5" t="s">
        <v>35</v>
      </c>
      <c r="G143" s="6">
        <v>1.0</v>
      </c>
      <c r="H143" s="5">
        <v>60.0</v>
      </c>
      <c r="I143" s="6">
        <v>2500.0</v>
      </c>
      <c r="J143" s="24">
        <v>625.0</v>
      </c>
      <c r="K143" s="25" t="s">
        <v>44</v>
      </c>
      <c r="L143" s="25" t="s">
        <v>44</v>
      </c>
      <c r="M143" s="6" t="s">
        <v>40</v>
      </c>
      <c r="N143" s="5" t="s">
        <v>8269</v>
      </c>
      <c r="O143" s="5" t="s">
        <v>59</v>
      </c>
      <c r="P143" s="5" t="s">
        <v>7922</v>
      </c>
      <c r="Q143" s="6" t="s">
        <v>42</v>
      </c>
      <c r="R143" s="5" t="s">
        <v>8382</v>
      </c>
      <c r="S143" s="6" t="s">
        <v>75</v>
      </c>
      <c r="T143" s="6">
        <v>8536.0</v>
      </c>
    </row>
    <row r="144" ht="56.25" customHeight="1">
      <c r="A144" s="5" t="s">
        <v>8370</v>
      </c>
      <c r="B144" s="6" t="str">
        <f>IMAGE("https://storage.googleapis.com/acdb/tools/ToolWateringOutdoor_Remake_5_0.png")</f>
        <v/>
      </c>
      <c r="C144" s="5" t="s">
        <v>69</v>
      </c>
      <c r="D144" s="5" t="s">
        <v>135</v>
      </c>
      <c r="E144" s="5" t="s">
        <v>36</v>
      </c>
      <c r="F144" s="5" t="s">
        <v>35</v>
      </c>
      <c r="G144" s="6">
        <v>1.0</v>
      </c>
      <c r="H144" s="5">
        <v>60.0</v>
      </c>
      <c r="I144" s="6">
        <v>2500.0</v>
      </c>
      <c r="J144" s="24">
        <v>625.0</v>
      </c>
      <c r="K144" s="25" t="s">
        <v>44</v>
      </c>
      <c r="L144" s="25" t="s">
        <v>44</v>
      </c>
      <c r="M144" s="6" t="s">
        <v>40</v>
      </c>
      <c r="N144" s="5" t="s">
        <v>8269</v>
      </c>
      <c r="O144" s="5" t="s">
        <v>59</v>
      </c>
      <c r="P144" s="5" t="s">
        <v>7922</v>
      </c>
      <c r="Q144" s="6" t="s">
        <v>42</v>
      </c>
      <c r="R144" s="5" t="s">
        <v>8385</v>
      </c>
      <c r="S144" s="6" t="s">
        <v>79</v>
      </c>
      <c r="T144" s="6">
        <v>8536.0</v>
      </c>
    </row>
    <row r="145" ht="56.25" customHeight="1">
      <c r="A145" s="5" t="s">
        <v>8370</v>
      </c>
      <c r="B145" s="6" t="str">
        <f>IMAGE("https://storage.googleapis.com/acdb/tools/ToolWateringOutdoor_Remake_6_0.png")</f>
        <v/>
      </c>
      <c r="C145" s="5" t="s">
        <v>114</v>
      </c>
      <c r="D145" s="5" t="s">
        <v>135</v>
      </c>
      <c r="E145" s="5" t="s">
        <v>36</v>
      </c>
      <c r="F145" s="5" t="s">
        <v>35</v>
      </c>
      <c r="G145" s="6">
        <v>1.0</v>
      </c>
      <c r="H145" s="5">
        <v>60.0</v>
      </c>
      <c r="I145" s="6">
        <v>2500.0</v>
      </c>
      <c r="J145" s="24">
        <v>625.0</v>
      </c>
      <c r="K145" s="25" t="s">
        <v>44</v>
      </c>
      <c r="L145" s="25" t="s">
        <v>44</v>
      </c>
      <c r="M145" s="6" t="s">
        <v>40</v>
      </c>
      <c r="N145" s="5" t="s">
        <v>8269</v>
      </c>
      <c r="O145" s="5" t="s">
        <v>59</v>
      </c>
      <c r="P145" s="5" t="s">
        <v>7922</v>
      </c>
      <c r="Q145" s="6" t="s">
        <v>42</v>
      </c>
      <c r="R145" s="5" t="s">
        <v>8388</v>
      </c>
      <c r="S145" s="6" t="s">
        <v>86</v>
      </c>
      <c r="T145" s="6">
        <v>8536.0</v>
      </c>
    </row>
    <row r="146" ht="56.25" customHeight="1">
      <c r="A146" s="5" t="s">
        <v>8370</v>
      </c>
      <c r="B146" s="6" t="str">
        <f>IMAGE("https://storage.googleapis.com/acdb/tools/ToolWateringOutdoor_Remake_7_0.png")</f>
        <v/>
      </c>
      <c r="C146" s="5" t="s">
        <v>54</v>
      </c>
      <c r="D146" s="5" t="s">
        <v>135</v>
      </c>
      <c r="E146" s="5" t="s">
        <v>36</v>
      </c>
      <c r="F146" s="5" t="s">
        <v>35</v>
      </c>
      <c r="G146" s="6">
        <v>1.0</v>
      </c>
      <c r="H146" s="5">
        <v>60.0</v>
      </c>
      <c r="I146" s="6">
        <v>2500.0</v>
      </c>
      <c r="J146" s="24">
        <v>625.0</v>
      </c>
      <c r="K146" s="25" t="s">
        <v>44</v>
      </c>
      <c r="L146" s="25" t="s">
        <v>44</v>
      </c>
      <c r="M146" s="6" t="s">
        <v>40</v>
      </c>
      <c r="N146" s="5" t="s">
        <v>8269</v>
      </c>
      <c r="O146" s="5" t="s">
        <v>59</v>
      </c>
      <c r="P146" s="5" t="s">
        <v>7922</v>
      </c>
      <c r="Q146" s="6" t="s">
        <v>42</v>
      </c>
      <c r="R146" s="5" t="s">
        <v>8392</v>
      </c>
      <c r="S146" s="6" t="s">
        <v>208</v>
      </c>
      <c r="T146" s="6">
        <v>8536.0</v>
      </c>
    </row>
    <row r="147" ht="56.25" customHeight="1">
      <c r="A147" s="5" t="s">
        <v>8394</v>
      </c>
      <c r="B147" s="6" t="str">
        <f>IMAGE("https://storage.googleapis.com/acdb/tools/ToolPanpipe.png")</f>
        <v/>
      </c>
      <c r="C147" s="5" t="s">
        <v>34</v>
      </c>
      <c r="D147" s="5" t="s">
        <v>34</v>
      </c>
      <c r="E147" s="5" t="s">
        <v>35</v>
      </c>
      <c r="F147" s="5" t="s">
        <v>36</v>
      </c>
      <c r="G147" s="6" t="s">
        <v>34</v>
      </c>
      <c r="H147" s="5" t="s">
        <v>7903</v>
      </c>
      <c r="I147" s="6" t="s">
        <v>37</v>
      </c>
      <c r="J147" s="24">
        <v>2800.0</v>
      </c>
      <c r="K147" s="25" t="s">
        <v>44</v>
      </c>
      <c r="L147" s="25" t="s">
        <v>44</v>
      </c>
      <c r="M147" s="6" t="s">
        <v>40</v>
      </c>
      <c r="N147" s="5" t="s">
        <v>44</v>
      </c>
      <c r="O147" s="5" t="s">
        <v>41</v>
      </c>
      <c r="P147" s="5" t="s">
        <v>265</v>
      </c>
      <c r="Q147" s="6" t="s">
        <v>42</v>
      </c>
      <c r="R147" s="5" t="s">
        <v>8395</v>
      </c>
      <c r="S147" s="6" t="s">
        <v>34</v>
      </c>
      <c r="T147" s="6">
        <v>5517.0</v>
      </c>
    </row>
    <row r="148" ht="56.25" customHeight="1">
      <c r="A148" s="5" t="s">
        <v>8396</v>
      </c>
      <c r="B148" s="6" t="str">
        <f>IMAGE("https://storage.googleapis.com/acdb/tools/ToolStickPansy.png")</f>
        <v/>
      </c>
      <c r="C148" s="5" t="s">
        <v>34</v>
      </c>
      <c r="D148" s="5" t="s">
        <v>34</v>
      </c>
      <c r="E148" s="5" t="s">
        <v>35</v>
      </c>
      <c r="F148" s="5" t="s">
        <v>36</v>
      </c>
      <c r="G148" s="6" t="s">
        <v>34</v>
      </c>
      <c r="H148" s="5" t="s">
        <v>7903</v>
      </c>
      <c r="I148" s="6" t="s">
        <v>37</v>
      </c>
      <c r="J148" s="24">
        <v>1580.0</v>
      </c>
      <c r="K148" s="25" t="s">
        <v>44</v>
      </c>
      <c r="L148" s="25" t="s">
        <v>44</v>
      </c>
      <c r="M148" s="6" t="s">
        <v>40</v>
      </c>
      <c r="N148" s="5" t="s">
        <v>44</v>
      </c>
      <c r="O148" s="5" t="s">
        <v>41</v>
      </c>
      <c r="P148" s="5"/>
      <c r="Q148" s="6" t="s">
        <v>42</v>
      </c>
      <c r="R148" s="5" t="s">
        <v>8400</v>
      </c>
      <c r="S148" s="6" t="s">
        <v>34</v>
      </c>
      <c r="T148" s="6">
        <v>5091.0</v>
      </c>
    </row>
    <row r="149" ht="56.25" customHeight="1">
      <c r="A149" s="5" t="s">
        <v>8401</v>
      </c>
      <c r="B149" s="6" t="str">
        <f>IMAGE("https://storage.googleapis.com/acdb/tools/ToolCracker.png")</f>
        <v/>
      </c>
      <c r="C149" s="5" t="s">
        <v>34</v>
      </c>
      <c r="D149" s="5" t="s">
        <v>34</v>
      </c>
      <c r="E149" s="5" t="s">
        <v>36</v>
      </c>
      <c r="F149" s="5" t="s">
        <v>36</v>
      </c>
      <c r="G149" s="6" t="s">
        <v>34</v>
      </c>
      <c r="H149" s="5">
        <v>1.0</v>
      </c>
      <c r="I149" s="6">
        <v>100.0</v>
      </c>
      <c r="J149" s="24">
        <v>25.0</v>
      </c>
      <c r="K149" s="25" t="s">
        <v>44</v>
      </c>
      <c r="L149" s="25" t="s">
        <v>44</v>
      </c>
      <c r="M149" s="6" t="s">
        <v>40</v>
      </c>
      <c r="N149" s="5" t="s">
        <v>44</v>
      </c>
      <c r="O149" s="5" t="s">
        <v>59</v>
      </c>
      <c r="P149" s="5" t="s">
        <v>8403</v>
      </c>
      <c r="Q149" s="6" t="s">
        <v>42</v>
      </c>
      <c r="R149" s="5" t="s">
        <v>8404</v>
      </c>
      <c r="S149" s="6" t="s">
        <v>34</v>
      </c>
      <c r="T149" s="6">
        <v>2753.0</v>
      </c>
    </row>
    <row r="150" ht="56.25" customHeight="1">
      <c r="A150" s="5" t="s">
        <v>8405</v>
      </c>
      <c r="B150" s="6" t="str">
        <f>IMAGE("https://storage.googleapis.com/acdb/tools/ToolScoopPattern_Remake_0_0.png")</f>
        <v/>
      </c>
      <c r="C150" s="5" t="s">
        <v>83</v>
      </c>
      <c r="D150" s="5" t="s">
        <v>135</v>
      </c>
      <c r="E150" s="5" t="s">
        <v>36</v>
      </c>
      <c r="F150" s="5" t="s">
        <v>35</v>
      </c>
      <c r="G150" s="6">
        <v>1.0</v>
      </c>
      <c r="H150" s="5">
        <v>100.0</v>
      </c>
      <c r="I150" s="6">
        <v>2500.0</v>
      </c>
      <c r="J150" s="24">
        <v>625.0</v>
      </c>
      <c r="K150" s="25" t="s">
        <v>44</v>
      </c>
      <c r="L150" s="25" t="s">
        <v>44</v>
      </c>
      <c r="M150" s="6" t="s">
        <v>40</v>
      </c>
      <c r="N150" s="5" t="s">
        <v>44</v>
      </c>
      <c r="O150" s="5" t="s">
        <v>59</v>
      </c>
      <c r="P150" s="5" t="s">
        <v>7922</v>
      </c>
      <c r="Q150" s="6" t="s">
        <v>42</v>
      </c>
      <c r="R150" s="5" t="s">
        <v>8407</v>
      </c>
      <c r="S150" s="6" t="s">
        <v>50</v>
      </c>
      <c r="T150" s="6">
        <v>8576.0</v>
      </c>
    </row>
    <row r="151" ht="56.25" customHeight="1">
      <c r="A151" s="5" t="s">
        <v>8405</v>
      </c>
      <c r="B151" s="6" t="str">
        <f>IMAGE("https://storage.googleapis.com/acdb/tools/ToolScoopPattern_Remake_1_0.png")</f>
        <v/>
      </c>
      <c r="C151" s="5" t="s">
        <v>57</v>
      </c>
      <c r="D151" s="5" t="s">
        <v>135</v>
      </c>
      <c r="E151" s="5" t="s">
        <v>36</v>
      </c>
      <c r="F151" s="5" t="s">
        <v>35</v>
      </c>
      <c r="G151" s="6">
        <v>1.0</v>
      </c>
      <c r="H151" s="5">
        <v>100.0</v>
      </c>
      <c r="I151" s="6">
        <v>2500.0</v>
      </c>
      <c r="J151" s="24">
        <v>625.0</v>
      </c>
      <c r="K151" s="25" t="s">
        <v>44</v>
      </c>
      <c r="L151" s="25" t="s">
        <v>44</v>
      </c>
      <c r="M151" s="6" t="s">
        <v>40</v>
      </c>
      <c r="N151" s="5" t="s">
        <v>44</v>
      </c>
      <c r="O151" s="5" t="s">
        <v>59</v>
      </c>
      <c r="P151" s="5" t="s">
        <v>7922</v>
      </c>
      <c r="Q151" s="6" t="s">
        <v>42</v>
      </c>
      <c r="R151" s="5" t="s">
        <v>8409</v>
      </c>
      <c r="S151" s="6" t="s">
        <v>56</v>
      </c>
      <c r="T151" s="6">
        <v>8576.0</v>
      </c>
    </row>
    <row r="152" ht="56.25" customHeight="1">
      <c r="A152" s="5" t="s">
        <v>8405</v>
      </c>
      <c r="B152" s="6" t="str">
        <f>IMAGE("https://storage.googleapis.com/acdb/tools/ToolScoopPattern_Remake_2_0.png")</f>
        <v/>
      </c>
      <c r="C152" s="5" t="s">
        <v>114</v>
      </c>
      <c r="D152" s="5" t="s">
        <v>135</v>
      </c>
      <c r="E152" s="5" t="s">
        <v>36</v>
      </c>
      <c r="F152" s="5" t="s">
        <v>35</v>
      </c>
      <c r="G152" s="6">
        <v>1.0</v>
      </c>
      <c r="H152" s="5">
        <v>100.0</v>
      </c>
      <c r="I152" s="6">
        <v>2500.0</v>
      </c>
      <c r="J152" s="24">
        <v>625.0</v>
      </c>
      <c r="K152" s="25" t="s">
        <v>44</v>
      </c>
      <c r="L152" s="25" t="s">
        <v>44</v>
      </c>
      <c r="M152" s="6" t="s">
        <v>40</v>
      </c>
      <c r="N152" s="5" t="s">
        <v>44</v>
      </c>
      <c r="O152" s="5" t="s">
        <v>59</v>
      </c>
      <c r="P152" s="5" t="s">
        <v>7922</v>
      </c>
      <c r="Q152" s="6" t="s">
        <v>42</v>
      </c>
      <c r="R152" s="5" t="s">
        <v>8412</v>
      </c>
      <c r="S152" s="6" t="s">
        <v>67</v>
      </c>
      <c r="T152" s="6">
        <v>8576.0</v>
      </c>
    </row>
    <row r="153" ht="56.25" customHeight="1">
      <c r="A153" s="5" t="s">
        <v>8405</v>
      </c>
      <c r="B153" s="6" t="str">
        <f>IMAGE("https://storage.googleapis.com/acdb/tools/ToolScoopPattern_Remake_3_0.png")</f>
        <v/>
      </c>
      <c r="C153" s="5" t="s">
        <v>69</v>
      </c>
      <c r="D153" s="5" t="s">
        <v>135</v>
      </c>
      <c r="E153" s="5" t="s">
        <v>36</v>
      </c>
      <c r="F153" s="5" t="s">
        <v>35</v>
      </c>
      <c r="G153" s="6">
        <v>1.0</v>
      </c>
      <c r="H153" s="5">
        <v>100.0</v>
      </c>
      <c r="I153" s="6">
        <v>2500.0</v>
      </c>
      <c r="J153" s="24">
        <v>625.0</v>
      </c>
      <c r="K153" s="25" t="s">
        <v>44</v>
      </c>
      <c r="L153" s="25" t="s">
        <v>44</v>
      </c>
      <c r="M153" s="6" t="s">
        <v>40</v>
      </c>
      <c r="N153" s="5" t="s">
        <v>44</v>
      </c>
      <c r="O153" s="5" t="s">
        <v>59</v>
      </c>
      <c r="P153" s="5" t="s">
        <v>7922</v>
      </c>
      <c r="Q153" s="6" t="s">
        <v>42</v>
      </c>
      <c r="R153" s="5" t="s">
        <v>8413</v>
      </c>
      <c r="S153" s="6" t="s">
        <v>71</v>
      </c>
      <c r="T153" s="6">
        <v>8576.0</v>
      </c>
    </row>
    <row r="154" ht="56.25" customHeight="1">
      <c r="A154" s="5" t="s">
        <v>8405</v>
      </c>
      <c r="B154" s="6" t="str">
        <f>IMAGE("https://storage.googleapis.com/acdb/tools/ToolScoopPattern_Remake_4_0.png")</f>
        <v/>
      </c>
      <c r="C154" s="5" t="s">
        <v>96</v>
      </c>
      <c r="D154" s="5" t="s">
        <v>135</v>
      </c>
      <c r="E154" s="5" t="s">
        <v>36</v>
      </c>
      <c r="F154" s="5" t="s">
        <v>35</v>
      </c>
      <c r="G154" s="6">
        <v>1.0</v>
      </c>
      <c r="H154" s="5">
        <v>100.0</v>
      </c>
      <c r="I154" s="6">
        <v>2500.0</v>
      </c>
      <c r="J154" s="24">
        <v>625.0</v>
      </c>
      <c r="K154" s="25" t="s">
        <v>44</v>
      </c>
      <c r="L154" s="25" t="s">
        <v>44</v>
      </c>
      <c r="M154" s="6" t="s">
        <v>40</v>
      </c>
      <c r="N154" s="5" t="s">
        <v>44</v>
      </c>
      <c r="O154" s="5" t="s">
        <v>59</v>
      </c>
      <c r="P154" s="5" t="s">
        <v>7922</v>
      </c>
      <c r="Q154" s="6" t="s">
        <v>42</v>
      </c>
      <c r="R154" s="5" t="s">
        <v>8416</v>
      </c>
      <c r="S154" s="6" t="s">
        <v>75</v>
      </c>
      <c r="T154" s="6">
        <v>8576.0</v>
      </c>
    </row>
    <row r="155" ht="56.25" customHeight="1">
      <c r="A155" s="5" t="s">
        <v>8405</v>
      </c>
      <c r="B155" s="6" t="str">
        <f>IMAGE("https://storage.googleapis.com/acdb/tools/ToolScoopPattern_Remake_5_0.png")</f>
        <v/>
      </c>
      <c r="C155" s="5" t="s">
        <v>68</v>
      </c>
      <c r="D155" s="5" t="s">
        <v>135</v>
      </c>
      <c r="E155" s="5" t="s">
        <v>36</v>
      </c>
      <c r="F155" s="5" t="s">
        <v>35</v>
      </c>
      <c r="G155" s="6">
        <v>1.0</v>
      </c>
      <c r="H155" s="5">
        <v>100.0</v>
      </c>
      <c r="I155" s="6">
        <v>2500.0</v>
      </c>
      <c r="J155" s="24">
        <v>625.0</v>
      </c>
      <c r="K155" s="25" t="s">
        <v>44</v>
      </c>
      <c r="L155" s="25" t="s">
        <v>44</v>
      </c>
      <c r="M155" s="6" t="s">
        <v>40</v>
      </c>
      <c r="N155" s="5" t="s">
        <v>44</v>
      </c>
      <c r="O155" s="5" t="s">
        <v>59</v>
      </c>
      <c r="P155" s="5" t="s">
        <v>7922</v>
      </c>
      <c r="Q155" s="6" t="s">
        <v>42</v>
      </c>
      <c r="R155" s="5" t="s">
        <v>8418</v>
      </c>
      <c r="S155" s="6" t="s">
        <v>79</v>
      </c>
      <c r="T155" s="6">
        <v>8576.0</v>
      </c>
    </row>
    <row r="156" ht="56.25" customHeight="1">
      <c r="A156" s="5" t="s">
        <v>8405</v>
      </c>
      <c r="B156" s="6" t="str">
        <f>IMAGE("https://storage.googleapis.com/acdb/tools/ToolScoopPattern_Remake_6_0.png")</f>
        <v/>
      </c>
      <c r="C156" s="5" t="s">
        <v>106</v>
      </c>
      <c r="D156" s="5" t="s">
        <v>135</v>
      </c>
      <c r="E156" s="5" t="s">
        <v>36</v>
      </c>
      <c r="F156" s="5" t="s">
        <v>35</v>
      </c>
      <c r="G156" s="6">
        <v>1.0</v>
      </c>
      <c r="H156" s="5">
        <v>100.0</v>
      </c>
      <c r="I156" s="6">
        <v>2500.0</v>
      </c>
      <c r="J156" s="24">
        <v>625.0</v>
      </c>
      <c r="K156" s="25" t="s">
        <v>44</v>
      </c>
      <c r="L156" s="25" t="s">
        <v>44</v>
      </c>
      <c r="M156" s="6" t="s">
        <v>40</v>
      </c>
      <c r="N156" s="5" t="s">
        <v>44</v>
      </c>
      <c r="O156" s="5" t="s">
        <v>59</v>
      </c>
      <c r="P156" s="5" t="s">
        <v>7922</v>
      </c>
      <c r="Q156" s="6" t="s">
        <v>42</v>
      </c>
      <c r="R156" s="5" t="s">
        <v>8422</v>
      </c>
      <c r="S156" s="6" t="s">
        <v>86</v>
      </c>
      <c r="T156" s="6">
        <v>8576.0</v>
      </c>
    </row>
    <row r="157" ht="56.25" customHeight="1">
      <c r="A157" s="5" t="s">
        <v>8405</v>
      </c>
      <c r="B157" s="6" t="str">
        <f>IMAGE("https://storage.googleapis.com/acdb/tools/ToolScoopPattern_Remake_7_0.png")</f>
        <v/>
      </c>
      <c r="C157" s="5" t="s">
        <v>54</v>
      </c>
      <c r="D157" s="5" t="s">
        <v>135</v>
      </c>
      <c r="E157" s="5" t="s">
        <v>36</v>
      </c>
      <c r="F157" s="5" t="s">
        <v>35</v>
      </c>
      <c r="G157" s="6">
        <v>1.0</v>
      </c>
      <c r="H157" s="5">
        <v>100.0</v>
      </c>
      <c r="I157" s="6">
        <v>2500.0</v>
      </c>
      <c r="J157" s="24">
        <v>625.0</v>
      </c>
      <c r="K157" s="25" t="s">
        <v>44</v>
      </c>
      <c r="L157" s="25" t="s">
        <v>44</v>
      </c>
      <c r="M157" s="6" t="s">
        <v>40</v>
      </c>
      <c r="N157" s="5" t="s">
        <v>44</v>
      </c>
      <c r="O157" s="5" t="s">
        <v>59</v>
      </c>
      <c r="P157" s="5" t="s">
        <v>7922</v>
      </c>
      <c r="Q157" s="6" t="s">
        <v>42</v>
      </c>
      <c r="R157" s="5" t="s">
        <v>8424</v>
      </c>
      <c r="S157" s="6" t="s">
        <v>208</v>
      </c>
      <c r="T157" s="6">
        <v>8576.0</v>
      </c>
    </row>
    <row r="158" ht="56.25" customHeight="1">
      <c r="A158" s="5" t="s">
        <v>8425</v>
      </c>
      <c r="B158" s="6" t="str">
        <f>IMAGE("https://storage.googleapis.com/acdb/tools/ToolStickRose.png")</f>
        <v/>
      </c>
      <c r="C158" s="5" t="s">
        <v>34</v>
      </c>
      <c r="D158" s="5" t="s">
        <v>34</v>
      </c>
      <c r="E158" s="5" t="s">
        <v>35</v>
      </c>
      <c r="F158" s="5" t="s">
        <v>36</v>
      </c>
      <c r="G158" s="6" t="s">
        <v>34</v>
      </c>
      <c r="H158" s="5" t="s">
        <v>7903</v>
      </c>
      <c r="I158" s="6" t="s">
        <v>37</v>
      </c>
      <c r="J158" s="24">
        <v>1580.0</v>
      </c>
      <c r="K158" s="25" t="s">
        <v>44</v>
      </c>
      <c r="L158" s="25" t="s">
        <v>44</v>
      </c>
      <c r="M158" s="6" t="s">
        <v>40</v>
      </c>
      <c r="N158" s="5" t="s">
        <v>44</v>
      </c>
      <c r="O158" s="5" t="s">
        <v>41</v>
      </c>
      <c r="P158" s="5"/>
      <c r="Q158" s="6" t="s">
        <v>42</v>
      </c>
      <c r="R158" s="5" t="s">
        <v>8428</v>
      </c>
      <c r="S158" s="6" t="s">
        <v>34</v>
      </c>
      <c r="T158" s="6">
        <v>5093.0</v>
      </c>
    </row>
    <row r="159" ht="56.25" customHeight="1">
      <c r="A159" s="5" t="s">
        <v>8429</v>
      </c>
      <c r="B159" s="6" t="str">
        <f>IMAGE("https://storage.googleapis.com/acdb/tools/ToolStickShell.png")</f>
        <v/>
      </c>
      <c r="C159" s="5" t="s">
        <v>34</v>
      </c>
      <c r="D159" s="5" t="s">
        <v>34</v>
      </c>
      <c r="E159" s="5" t="s">
        <v>35</v>
      </c>
      <c r="F159" s="5" t="s">
        <v>36</v>
      </c>
      <c r="G159" s="6" t="s">
        <v>34</v>
      </c>
      <c r="H159" s="5" t="s">
        <v>7903</v>
      </c>
      <c r="I159" s="6" t="s">
        <v>37</v>
      </c>
      <c r="J159" s="24">
        <v>5100.0</v>
      </c>
      <c r="K159" s="25" t="s">
        <v>44</v>
      </c>
      <c r="L159" s="25" t="s">
        <v>44</v>
      </c>
      <c r="M159" s="6" t="s">
        <v>40</v>
      </c>
      <c r="N159" s="5" t="s">
        <v>44</v>
      </c>
      <c r="O159" s="5" t="s">
        <v>41</v>
      </c>
      <c r="P159" s="5"/>
      <c r="Q159" s="6" t="s">
        <v>42</v>
      </c>
      <c r="R159" s="5" t="s">
        <v>8431</v>
      </c>
      <c r="S159" s="6" t="s">
        <v>34</v>
      </c>
      <c r="T159" s="6">
        <v>7586.0</v>
      </c>
    </row>
    <row r="160" ht="56.25" customHeight="1">
      <c r="A160" s="5" t="s">
        <v>8432</v>
      </c>
      <c r="B160" s="6" t="str">
        <f>IMAGE("https://storage.googleapis.com/acdb/tools/ToolScoop_Remake_0_0.png")</f>
        <v/>
      </c>
      <c r="C160" s="5" t="s">
        <v>52</v>
      </c>
      <c r="D160" s="5" t="s">
        <v>135</v>
      </c>
      <c r="E160" s="5" t="s">
        <v>35</v>
      </c>
      <c r="F160" s="5" t="s">
        <v>35</v>
      </c>
      <c r="G160" s="6">
        <v>1.0</v>
      </c>
      <c r="H160" s="5">
        <v>100.0</v>
      </c>
      <c r="I160" s="6">
        <v>2400.0</v>
      </c>
      <c r="J160" s="24">
        <v>600.0</v>
      </c>
      <c r="K160" s="25" t="s">
        <v>44</v>
      </c>
      <c r="L160" s="25" t="s">
        <v>44</v>
      </c>
      <c r="M160" s="6" t="s">
        <v>40</v>
      </c>
      <c r="N160" s="5" t="s">
        <v>44</v>
      </c>
      <c r="O160" s="5" t="s">
        <v>41</v>
      </c>
      <c r="P160" s="5"/>
      <c r="Q160" s="6" t="s">
        <v>42</v>
      </c>
      <c r="R160" s="5" t="s">
        <v>8435</v>
      </c>
      <c r="S160" s="6" t="s">
        <v>50</v>
      </c>
      <c r="T160" s="6">
        <v>2099.0</v>
      </c>
    </row>
    <row r="161" ht="56.25" customHeight="1">
      <c r="A161" s="5" t="s">
        <v>8432</v>
      </c>
      <c r="B161" s="6" t="str">
        <f>IMAGE("https://storage.googleapis.com/acdb/tools/ToolScoop_Remake_1_0.png")</f>
        <v/>
      </c>
      <c r="C161" s="5" t="s">
        <v>114</v>
      </c>
      <c r="D161" s="5" t="s">
        <v>135</v>
      </c>
      <c r="E161" s="5" t="s">
        <v>35</v>
      </c>
      <c r="F161" s="5" t="s">
        <v>35</v>
      </c>
      <c r="G161" s="6">
        <v>1.0</v>
      </c>
      <c r="H161" s="5">
        <v>100.0</v>
      </c>
      <c r="I161" s="6">
        <v>2400.0</v>
      </c>
      <c r="J161" s="24">
        <v>600.0</v>
      </c>
      <c r="K161" s="25" t="s">
        <v>44</v>
      </c>
      <c r="L161" s="25" t="s">
        <v>44</v>
      </c>
      <c r="M161" s="6" t="s">
        <v>40</v>
      </c>
      <c r="N161" s="5" t="s">
        <v>44</v>
      </c>
      <c r="O161" s="5" t="s">
        <v>41</v>
      </c>
      <c r="P161" s="5"/>
      <c r="Q161" s="6" t="s">
        <v>42</v>
      </c>
      <c r="R161" s="5" t="s">
        <v>8437</v>
      </c>
      <c r="S161" s="6" t="s">
        <v>56</v>
      </c>
      <c r="T161" s="6">
        <v>2099.0</v>
      </c>
    </row>
    <row r="162" ht="56.25" customHeight="1">
      <c r="A162" s="5" t="s">
        <v>8432</v>
      </c>
      <c r="B162" s="6" t="str">
        <f>IMAGE("https://storage.googleapis.com/acdb/tools/ToolScoop_Remake_2_0.png")</f>
        <v/>
      </c>
      <c r="C162" s="5" t="s">
        <v>96</v>
      </c>
      <c r="D162" s="5" t="s">
        <v>135</v>
      </c>
      <c r="E162" s="5" t="s">
        <v>35</v>
      </c>
      <c r="F162" s="5" t="s">
        <v>35</v>
      </c>
      <c r="G162" s="6">
        <v>1.0</v>
      </c>
      <c r="H162" s="5">
        <v>100.0</v>
      </c>
      <c r="I162" s="6">
        <v>2400.0</v>
      </c>
      <c r="J162" s="24">
        <v>600.0</v>
      </c>
      <c r="K162" s="25" t="s">
        <v>44</v>
      </c>
      <c r="L162" s="25" t="s">
        <v>44</v>
      </c>
      <c r="M162" s="6" t="s">
        <v>40</v>
      </c>
      <c r="N162" s="5" t="s">
        <v>44</v>
      </c>
      <c r="O162" s="5" t="s">
        <v>41</v>
      </c>
      <c r="P162" s="5"/>
      <c r="Q162" s="6" t="s">
        <v>42</v>
      </c>
      <c r="R162" s="5" t="s">
        <v>8440</v>
      </c>
      <c r="S162" s="6" t="s">
        <v>67</v>
      </c>
      <c r="T162" s="6">
        <v>2099.0</v>
      </c>
    </row>
    <row r="163" ht="56.25" customHeight="1">
      <c r="A163" s="5" t="s">
        <v>8432</v>
      </c>
      <c r="B163" s="6" t="str">
        <f>IMAGE("https://storage.googleapis.com/acdb/tools/ToolScoop_Remake_3_0.png")</f>
        <v/>
      </c>
      <c r="C163" s="5" t="s">
        <v>68</v>
      </c>
      <c r="D163" s="5" t="s">
        <v>135</v>
      </c>
      <c r="E163" s="5" t="s">
        <v>35</v>
      </c>
      <c r="F163" s="5" t="s">
        <v>35</v>
      </c>
      <c r="G163" s="6">
        <v>1.0</v>
      </c>
      <c r="H163" s="5">
        <v>100.0</v>
      </c>
      <c r="I163" s="6">
        <v>2400.0</v>
      </c>
      <c r="J163" s="24">
        <v>600.0</v>
      </c>
      <c r="K163" s="25" t="s">
        <v>44</v>
      </c>
      <c r="L163" s="25" t="s">
        <v>44</v>
      </c>
      <c r="M163" s="6" t="s">
        <v>40</v>
      </c>
      <c r="N163" s="5" t="s">
        <v>44</v>
      </c>
      <c r="O163" s="5" t="s">
        <v>41</v>
      </c>
      <c r="P163" s="5"/>
      <c r="Q163" s="6" t="s">
        <v>42</v>
      </c>
      <c r="R163" s="5" t="s">
        <v>8442</v>
      </c>
      <c r="S163" s="6" t="s">
        <v>71</v>
      </c>
      <c r="T163" s="6">
        <v>2099.0</v>
      </c>
    </row>
    <row r="164" ht="56.25" customHeight="1">
      <c r="A164" s="5" t="s">
        <v>8432</v>
      </c>
      <c r="B164" s="6" t="str">
        <f>IMAGE("https://storage.googleapis.com/acdb/tools/ToolScoop_Remake_4_0.png")</f>
        <v/>
      </c>
      <c r="C164" s="5" t="s">
        <v>106</v>
      </c>
      <c r="D164" s="5" t="s">
        <v>135</v>
      </c>
      <c r="E164" s="5" t="s">
        <v>35</v>
      </c>
      <c r="F164" s="5" t="s">
        <v>35</v>
      </c>
      <c r="G164" s="6">
        <v>1.0</v>
      </c>
      <c r="H164" s="5">
        <v>100.0</v>
      </c>
      <c r="I164" s="6">
        <v>2400.0</v>
      </c>
      <c r="J164" s="24">
        <v>600.0</v>
      </c>
      <c r="K164" s="25" t="s">
        <v>44</v>
      </c>
      <c r="L164" s="25" t="s">
        <v>44</v>
      </c>
      <c r="M164" s="6" t="s">
        <v>40</v>
      </c>
      <c r="N164" s="5" t="s">
        <v>44</v>
      </c>
      <c r="O164" s="5" t="s">
        <v>41</v>
      </c>
      <c r="P164" s="5"/>
      <c r="Q164" s="6" t="s">
        <v>42</v>
      </c>
      <c r="R164" s="5" t="s">
        <v>8445</v>
      </c>
      <c r="S164" s="6" t="s">
        <v>75</v>
      </c>
      <c r="T164" s="6">
        <v>2099.0</v>
      </c>
    </row>
    <row r="165" ht="56.25" customHeight="1">
      <c r="A165" s="5" t="s">
        <v>8432</v>
      </c>
      <c r="B165" s="6" t="str">
        <f>IMAGE("https://storage.googleapis.com/acdb/tools/ToolScoop_Remake_5_0.png")</f>
        <v/>
      </c>
      <c r="C165" s="5" t="s">
        <v>69</v>
      </c>
      <c r="D165" s="5" t="s">
        <v>135</v>
      </c>
      <c r="E165" s="5" t="s">
        <v>35</v>
      </c>
      <c r="F165" s="5" t="s">
        <v>35</v>
      </c>
      <c r="G165" s="6">
        <v>1.0</v>
      </c>
      <c r="H165" s="5">
        <v>100.0</v>
      </c>
      <c r="I165" s="6">
        <v>2400.0</v>
      </c>
      <c r="J165" s="24">
        <v>600.0</v>
      </c>
      <c r="K165" s="25" t="s">
        <v>44</v>
      </c>
      <c r="L165" s="25" t="s">
        <v>44</v>
      </c>
      <c r="M165" s="6" t="s">
        <v>40</v>
      </c>
      <c r="N165" s="5" t="s">
        <v>44</v>
      </c>
      <c r="O165" s="5" t="s">
        <v>41</v>
      </c>
      <c r="P165" s="5"/>
      <c r="Q165" s="6" t="s">
        <v>42</v>
      </c>
      <c r="R165" s="5" t="s">
        <v>8448</v>
      </c>
      <c r="S165" s="6" t="s">
        <v>79</v>
      </c>
      <c r="T165" s="6">
        <v>2099.0</v>
      </c>
    </row>
    <row r="166" ht="56.25" customHeight="1">
      <c r="A166" s="5" t="s">
        <v>8432</v>
      </c>
      <c r="B166" s="6" t="str">
        <f>IMAGE("https://storage.googleapis.com/acdb/tools/ToolScoop_Remake_6_0.png")</f>
        <v/>
      </c>
      <c r="C166" s="5" t="s">
        <v>57</v>
      </c>
      <c r="D166" s="5" t="s">
        <v>135</v>
      </c>
      <c r="E166" s="5" t="s">
        <v>35</v>
      </c>
      <c r="F166" s="5" t="s">
        <v>35</v>
      </c>
      <c r="G166" s="6">
        <v>1.0</v>
      </c>
      <c r="H166" s="5">
        <v>100.0</v>
      </c>
      <c r="I166" s="6">
        <v>2400.0</v>
      </c>
      <c r="J166" s="24">
        <v>600.0</v>
      </c>
      <c r="K166" s="25" t="s">
        <v>44</v>
      </c>
      <c r="L166" s="25" t="s">
        <v>44</v>
      </c>
      <c r="M166" s="6" t="s">
        <v>40</v>
      </c>
      <c r="N166" s="5" t="s">
        <v>44</v>
      </c>
      <c r="O166" s="5" t="s">
        <v>41</v>
      </c>
      <c r="P166" s="5"/>
      <c r="Q166" s="6" t="s">
        <v>42</v>
      </c>
      <c r="R166" s="5" t="s">
        <v>8450</v>
      </c>
      <c r="S166" s="6" t="s">
        <v>86</v>
      </c>
      <c r="T166" s="6">
        <v>2099.0</v>
      </c>
    </row>
    <row r="167" ht="56.25" customHeight="1">
      <c r="A167" s="5" t="s">
        <v>8432</v>
      </c>
      <c r="B167" s="6" t="str">
        <f>IMAGE("https://storage.googleapis.com/acdb/tools/ToolScoop_Remake_7_0.png")</f>
        <v/>
      </c>
      <c r="C167" s="5" t="s">
        <v>54</v>
      </c>
      <c r="D167" s="5" t="s">
        <v>135</v>
      </c>
      <c r="E167" s="5" t="s">
        <v>35</v>
      </c>
      <c r="F167" s="5" t="s">
        <v>35</v>
      </c>
      <c r="G167" s="6">
        <v>1.0</v>
      </c>
      <c r="H167" s="5">
        <v>100.0</v>
      </c>
      <c r="I167" s="6">
        <v>2400.0</v>
      </c>
      <c r="J167" s="24">
        <v>600.0</v>
      </c>
      <c r="K167" s="25" t="s">
        <v>44</v>
      </c>
      <c r="L167" s="25" t="s">
        <v>44</v>
      </c>
      <c r="M167" s="6" t="s">
        <v>40</v>
      </c>
      <c r="N167" s="5" t="s">
        <v>44</v>
      </c>
      <c r="O167" s="5" t="s">
        <v>41</v>
      </c>
      <c r="P167" s="5"/>
      <c r="Q167" s="6" t="s">
        <v>42</v>
      </c>
      <c r="R167" s="5" t="s">
        <v>8452</v>
      </c>
      <c r="S167" s="6" t="s">
        <v>208</v>
      </c>
      <c r="T167" s="6">
        <v>2099.0</v>
      </c>
    </row>
    <row r="168" ht="56.25" customHeight="1">
      <c r="A168" s="5" t="s">
        <v>8453</v>
      </c>
      <c r="B168" s="6" t="str">
        <f>IMAGE("https://storage.googleapis.com/acdb/tools/ToolSlingshot_Remake_0_0.png")</f>
        <v/>
      </c>
      <c r="C168" s="5" t="s">
        <v>52</v>
      </c>
      <c r="D168" s="5" t="s">
        <v>135</v>
      </c>
      <c r="E168" s="5" t="s">
        <v>35</v>
      </c>
      <c r="F168" s="5" t="s">
        <v>35</v>
      </c>
      <c r="G168" s="6">
        <v>1.0</v>
      </c>
      <c r="H168" s="5">
        <v>20.0</v>
      </c>
      <c r="I168" s="6">
        <v>900.0</v>
      </c>
      <c r="J168" s="24">
        <v>225.0</v>
      </c>
      <c r="K168" s="25" t="s">
        <v>44</v>
      </c>
      <c r="L168" s="25" t="s">
        <v>44</v>
      </c>
      <c r="M168" s="6" t="s">
        <v>40</v>
      </c>
      <c r="N168" s="5" t="s">
        <v>44</v>
      </c>
      <c r="O168" s="5" t="s">
        <v>7899</v>
      </c>
      <c r="P168" s="5" t="s">
        <v>554</v>
      </c>
      <c r="Q168" s="6" t="s">
        <v>42</v>
      </c>
      <c r="R168" s="5" t="s">
        <v>8456</v>
      </c>
      <c r="S168" s="6" t="s">
        <v>50</v>
      </c>
      <c r="T168" s="6">
        <v>2822.0</v>
      </c>
    </row>
    <row r="169" ht="56.25" customHeight="1">
      <c r="A169" s="5" t="s">
        <v>8453</v>
      </c>
      <c r="B169" s="6" t="str">
        <f>IMAGE("https://storage.googleapis.com/acdb/tools/ToolSlingshot_Remake_1_0.png")</f>
        <v/>
      </c>
      <c r="C169" s="5" t="s">
        <v>114</v>
      </c>
      <c r="D169" s="5" t="s">
        <v>135</v>
      </c>
      <c r="E169" s="5" t="s">
        <v>35</v>
      </c>
      <c r="F169" s="5" t="s">
        <v>35</v>
      </c>
      <c r="G169" s="6">
        <v>1.0</v>
      </c>
      <c r="H169" s="5">
        <v>20.0</v>
      </c>
      <c r="I169" s="6">
        <v>900.0</v>
      </c>
      <c r="J169" s="24">
        <v>225.0</v>
      </c>
      <c r="K169" s="25" t="s">
        <v>44</v>
      </c>
      <c r="L169" s="25" t="s">
        <v>44</v>
      </c>
      <c r="M169" s="6" t="s">
        <v>40</v>
      </c>
      <c r="N169" s="5" t="s">
        <v>44</v>
      </c>
      <c r="O169" s="5" t="s">
        <v>7899</v>
      </c>
      <c r="P169" s="5" t="s">
        <v>554</v>
      </c>
      <c r="Q169" s="6" t="s">
        <v>42</v>
      </c>
      <c r="R169" s="5" t="s">
        <v>8459</v>
      </c>
      <c r="S169" s="6" t="s">
        <v>56</v>
      </c>
      <c r="T169" s="6">
        <v>2822.0</v>
      </c>
    </row>
    <row r="170" ht="56.25" customHeight="1">
      <c r="A170" s="5" t="s">
        <v>8453</v>
      </c>
      <c r="B170" s="6" t="str">
        <f>IMAGE("https://storage.googleapis.com/acdb/tools/ToolSlingshot_Remake_2_0.png")</f>
        <v/>
      </c>
      <c r="C170" s="5" t="s">
        <v>96</v>
      </c>
      <c r="D170" s="5" t="s">
        <v>135</v>
      </c>
      <c r="E170" s="5" t="s">
        <v>35</v>
      </c>
      <c r="F170" s="5" t="s">
        <v>35</v>
      </c>
      <c r="G170" s="6">
        <v>1.0</v>
      </c>
      <c r="H170" s="5">
        <v>20.0</v>
      </c>
      <c r="I170" s="6">
        <v>900.0</v>
      </c>
      <c r="J170" s="24">
        <v>225.0</v>
      </c>
      <c r="K170" s="25" t="s">
        <v>44</v>
      </c>
      <c r="L170" s="25" t="s">
        <v>44</v>
      </c>
      <c r="M170" s="6" t="s">
        <v>40</v>
      </c>
      <c r="N170" s="5" t="s">
        <v>44</v>
      </c>
      <c r="O170" s="5" t="s">
        <v>7899</v>
      </c>
      <c r="P170" s="5" t="s">
        <v>554</v>
      </c>
      <c r="Q170" s="6" t="s">
        <v>42</v>
      </c>
      <c r="R170" s="5" t="s">
        <v>8460</v>
      </c>
      <c r="S170" s="6" t="s">
        <v>67</v>
      </c>
      <c r="T170" s="6">
        <v>2822.0</v>
      </c>
    </row>
    <row r="171" ht="56.25" customHeight="1">
      <c r="A171" s="5" t="s">
        <v>8453</v>
      </c>
      <c r="B171" s="6" t="str">
        <f>IMAGE("https://storage.googleapis.com/acdb/tools/ToolSlingshot_Remake_3_0.png")</f>
        <v/>
      </c>
      <c r="C171" s="5" t="s">
        <v>68</v>
      </c>
      <c r="D171" s="5" t="s">
        <v>135</v>
      </c>
      <c r="E171" s="5" t="s">
        <v>35</v>
      </c>
      <c r="F171" s="5" t="s">
        <v>35</v>
      </c>
      <c r="G171" s="6">
        <v>1.0</v>
      </c>
      <c r="H171" s="5">
        <v>20.0</v>
      </c>
      <c r="I171" s="6">
        <v>900.0</v>
      </c>
      <c r="J171" s="24">
        <v>225.0</v>
      </c>
      <c r="K171" s="25" t="s">
        <v>44</v>
      </c>
      <c r="L171" s="25" t="s">
        <v>44</v>
      </c>
      <c r="M171" s="6" t="s">
        <v>40</v>
      </c>
      <c r="N171" s="5" t="s">
        <v>44</v>
      </c>
      <c r="O171" s="5" t="s">
        <v>7899</v>
      </c>
      <c r="P171" s="5" t="s">
        <v>554</v>
      </c>
      <c r="Q171" s="6" t="s">
        <v>42</v>
      </c>
      <c r="R171" s="5" t="s">
        <v>8463</v>
      </c>
      <c r="S171" s="6" t="s">
        <v>71</v>
      </c>
      <c r="T171" s="6">
        <v>2822.0</v>
      </c>
    </row>
    <row r="172" ht="56.25" customHeight="1">
      <c r="A172" s="5" t="s">
        <v>8453</v>
      </c>
      <c r="B172" s="6" t="str">
        <f>IMAGE("https://storage.googleapis.com/acdb/tools/ToolSlingshot_Remake_4_0.png")</f>
        <v/>
      </c>
      <c r="C172" s="5" t="s">
        <v>106</v>
      </c>
      <c r="D172" s="5" t="s">
        <v>135</v>
      </c>
      <c r="E172" s="5" t="s">
        <v>35</v>
      </c>
      <c r="F172" s="5" t="s">
        <v>35</v>
      </c>
      <c r="G172" s="6">
        <v>1.0</v>
      </c>
      <c r="H172" s="5">
        <v>20.0</v>
      </c>
      <c r="I172" s="6">
        <v>900.0</v>
      </c>
      <c r="J172" s="24">
        <v>225.0</v>
      </c>
      <c r="K172" s="25" t="s">
        <v>44</v>
      </c>
      <c r="L172" s="25" t="s">
        <v>44</v>
      </c>
      <c r="M172" s="6" t="s">
        <v>40</v>
      </c>
      <c r="N172" s="5" t="s">
        <v>44</v>
      </c>
      <c r="O172" s="5" t="s">
        <v>7899</v>
      </c>
      <c r="P172" s="5" t="s">
        <v>554</v>
      </c>
      <c r="Q172" s="6" t="s">
        <v>42</v>
      </c>
      <c r="R172" s="5" t="s">
        <v>8465</v>
      </c>
      <c r="S172" s="6" t="s">
        <v>75</v>
      </c>
      <c r="T172" s="6">
        <v>2822.0</v>
      </c>
    </row>
    <row r="173" ht="56.25" customHeight="1">
      <c r="A173" s="5" t="s">
        <v>8453</v>
      </c>
      <c r="B173" s="6" t="str">
        <f>IMAGE("https://storage.googleapis.com/acdb/tools/ToolSlingshot_Remake_5_0.png")</f>
        <v/>
      </c>
      <c r="C173" s="5" t="s">
        <v>69</v>
      </c>
      <c r="D173" s="5" t="s">
        <v>135</v>
      </c>
      <c r="E173" s="5" t="s">
        <v>35</v>
      </c>
      <c r="F173" s="5" t="s">
        <v>35</v>
      </c>
      <c r="G173" s="6">
        <v>1.0</v>
      </c>
      <c r="H173" s="5">
        <v>20.0</v>
      </c>
      <c r="I173" s="6">
        <v>900.0</v>
      </c>
      <c r="J173" s="24">
        <v>225.0</v>
      </c>
      <c r="K173" s="25" t="s">
        <v>44</v>
      </c>
      <c r="L173" s="25" t="s">
        <v>44</v>
      </c>
      <c r="M173" s="6" t="s">
        <v>40</v>
      </c>
      <c r="N173" s="5" t="s">
        <v>44</v>
      </c>
      <c r="O173" s="5" t="s">
        <v>7899</v>
      </c>
      <c r="P173" s="5" t="s">
        <v>554</v>
      </c>
      <c r="Q173" s="6" t="s">
        <v>42</v>
      </c>
      <c r="R173" s="5" t="s">
        <v>8468</v>
      </c>
      <c r="S173" s="6" t="s">
        <v>79</v>
      </c>
      <c r="T173" s="6">
        <v>2822.0</v>
      </c>
    </row>
    <row r="174" ht="56.25" customHeight="1">
      <c r="A174" s="5" t="s">
        <v>8453</v>
      </c>
      <c r="B174" s="6" t="str">
        <f>IMAGE("https://storage.googleapis.com/acdb/tools/ToolSlingshot_Remake_6_0.png")</f>
        <v/>
      </c>
      <c r="C174" s="5" t="s">
        <v>57</v>
      </c>
      <c r="D174" s="5" t="s">
        <v>135</v>
      </c>
      <c r="E174" s="5" t="s">
        <v>35</v>
      </c>
      <c r="F174" s="5" t="s">
        <v>35</v>
      </c>
      <c r="G174" s="6">
        <v>1.0</v>
      </c>
      <c r="H174" s="5">
        <v>20.0</v>
      </c>
      <c r="I174" s="6">
        <v>900.0</v>
      </c>
      <c r="J174" s="24">
        <v>225.0</v>
      </c>
      <c r="K174" s="25" t="s">
        <v>44</v>
      </c>
      <c r="L174" s="25" t="s">
        <v>44</v>
      </c>
      <c r="M174" s="6" t="s">
        <v>40</v>
      </c>
      <c r="N174" s="5" t="s">
        <v>44</v>
      </c>
      <c r="O174" s="5" t="s">
        <v>7899</v>
      </c>
      <c r="P174" s="5" t="s">
        <v>554</v>
      </c>
      <c r="Q174" s="6" t="s">
        <v>42</v>
      </c>
      <c r="R174" s="5" t="s">
        <v>8471</v>
      </c>
      <c r="S174" s="6" t="s">
        <v>86</v>
      </c>
      <c r="T174" s="6">
        <v>2822.0</v>
      </c>
    </row>
    <row r="175" ht="56.25" customHeight="1">
      <c r="A175" s="5" t="s">
        <v>8453</v>
      </c>
      <c r="B175" s="6" t="str">
        <f>IMAGE("https://storage.googleapis.com/acdb/tools/ToolSlingshot_Remake_7_0.png")</f>
        <v/>
      </c>
      <c r="C175" s="5" t="s">
        <v>95</v>
      </c>
      <c r="D175" s="5" t="s">
        <v>135</v>
      </c>
      <c r="E175" s="5" t="s">
        <v>35</v>
      </c>
      <c r="F175" s="5" t="s">
        <v>35</v>
      </c>
      <c r="G175" s="6">
        <v>1.0</v>
      </c>
      <c r="H175" s="5">
        <v>20.0</v>
      </c>
      <c r="I175" s="6">
        <v>900.0</v>
      </c>
      <c r="J175" s="24">
        <v>225.0</v>
      </c>
      <c r="K175" s="25" t="s">
        <v>44</v>
      </c>
      <c r="L175" s="25" t="s">
        <v>44</v>
      </c>
      <c r="M175" s="6" t="s">
        <v>40</v>
      </c>
      <c r="N175" s="5" t="s">
        <v>44</v>
      </c>
      <c r="O175" s="5" t="s">
        <v>7899</v>
      </c>
      <c r="P175" s="5" t="s">
        <v>554</v>
      </c>
      <c r="Q175" s="6" t="s">
        <v>42</v>
      </c>
      <c r="R175" s="5" t="s">
        <v>8475</v>
      </c>
      <c r="S175" s="6" t="s">
        <v>208</v>
      </c>
      <c r="T175" s="6">
        <v>2822.0</v>
      </c>
    </row>
    <row r="176" ht="56.25" customHeight="1">
      <c r="A176" s="5" t="s">
        <v>8476</v>
      </c>
      <c r="B176" s="6" t="str">
        <f>IMAGE("https://storage.googleapis.com/acdb/tools/ToolNetStar_Remake_0_0.png")</f>
        <v/>
      </c>
      <c r="C176" s="5" t="s">
        <v>114</v>
      </c>
      <c r="D176" s="5" t="s">
        <v>135</v>
      </c>
      <c r="E176" s="5" t="s">
        <v>36</v>
      </c>
      <c r="F176" s="5" t="s">
        <v>35</v>
      </c>
      <c r="G176" s="6">
        <v>1.0</v>
      </c>
      <c r="H176" s="5">
        <v>30.0</v>
      </c>
      <c r="I176" s="6">
        <v>2500.0</v>
      </c>
      <c r="J176" s="24">
        <v>625.0</v>
      </c>
      <c r="K176" s="25" t="s">
        <v>44</v>
      </c>
      <c r="L176" s="25" t="s">
        <v>44</v>
      </c>
      <c r="M176" s="6" t="s">
        <v>40</v>
      </c>
      <c r="N176" s="5" t="s">
        <v>44</v>
      </c>
      <c r="O176" s="5" t="s">
        <v>59</v>
      </c>
      <c r="P176" s="5" t="s">
        <v>7922</v>
      </c>
      <c r="Q176" s="6" t="s">
        <v>42</v>
      </c>
      <c r="R176" s="5" t="s">
        <v>8479</v>
      </c>
      <c r="S176" s="6" t="s">
        <v>50</v>
      </c>
      <c r="T176" s="6">
        <v>8176.0</v>
      </c>
    </row>
    <row r="177" ht="56.25" customHeight="1">
      <c r="A177" s="5" t="s">
        <v>8476</v>
      </c>
      <c r="B177" s="6" t="str">
        <f>IMAGE("https://storage.googleapis.com/acdb/tools/ToolNetStar_Remake_1_0.png")</f>
        <v/>
      </c>
      <c r="C177" s="5" t="s">
        <v>52</v>
      </c>
      <c r="D177" s="5" t="s">
        <v>135</v>
      </c>
      <c r="E177" s="5" t="s">
        <v>36</v>
      </c>
      <c r="F177" s="5" t="s">
        <v>35</v>
      </c>
      <c r="G177" s="6">
        <v>1.0</v>
      </c>
      <c r="H177" s="5">
        <v>30.0</v>
      </c>
      <c r="I177" s="6">
        <v>2500.0</v>
      </c>
      <c r="J177" s="24">
        <v>625.0</v>
      </c>
      <c r="K177" s="25" t="s">
        <v>44</v>
      </c>
      <c r="L177" s="25" t="s">
        <v>44</v>
      </c>
      <c r="M177" s="6" t="s">
        <v>40</v>
      </c>
      <c r="N177" s="5" t="s">
        <v>44</v>
      </c>
      <c r="O177" s="5" t="s">
        <v>59</v>
      </c>
      <c r="P177" s="5" t="s">
        <v>7922</v>
      </c>
      <c r="Q177" s="6" t="s">
        <v>42</v>
      </c>
      <c r="R177" s="5" t="s">
        <v>8482</v>
      </c>
      <c r="S177" s="6" t="s">
        <v>56</v>
      </c>
      <c r="T177" s="6">
        <v>8176.0</v>
      </c>
    </row>
    <row r="178" ht="56.25" customHeight="1">
      <c r="A178" s="5" t="s">
        <v>8476</v>
      </c>
      <c r="B178" s="6" t="str">
        <f>IMAGE("https://storage.googleapis.com/acdb/tools/ToolNetStar_Remake_2_0.png")</f>
        <v/>
      </c>
      <c r="C178" s="5" t="s">
        <v>68</v>
      </c>
      <c r="D178" s="5" t="s">
        <v>135</v>
      </c>
      <c r="E178" s="5" t="s">
        <v>36</v>
      </c>
      <c r="F178" s="5" t="s">
        <v>35</v>
      </c>
      <c r="G178" s="6">
        <v>1.0</v>
      </c>
      <c r="H178" s="5">
        <v>30.0</v>
      </c>
      <c r="I178" s="6">
        <v>2500.0</v>
      </c>
      <c r="J178" s="24">
        <v>625.0</v>
      </c>
      <c r="K178" s="25" t="s">
        <v>44</v>
      </c>
      <c r="L178" s="25" t="s">
        <v>44</v>
      </c>
      <c r="M178" s="6" t="s">
        <v>40</v>
      </c>
      <c r="N178" s="5" t="s">
        <v>44</v>
      </c>
      <c r="O178" s="5" t="s">
        <v>59</v>
      </c>
      <c r="P178" s="5" t="s">
        <v>7922</v>
      </c>
      <c r="Q178" s="6" t="s">
        <v>42</v>
      </c>
      <c r="R178" s="5" t="s">
        <v>8485</v>
      </c>
      <c r="S178" s="6" t="s">
        <v>67</v>
      </c>
      <c r="T178" s="6">
        <v>8176.0</v>
      </c>
    </row>
    <row r="179" ht="56.25" customHeight="1">
      <c r="A179" s="5" t="s">
        <v>8476</v>
      </c>
      <c r="B179" s="6" t="str">
        <f>IMAGE("https://storage.googleapis.com/acdb/tools/ToolNetStar_Remake_3_0.png")</f>
        <v/>
      </c>
      <c r="C179" s="5" t="s">
        <v>1857</v>
      </c>
      <c r="D179" s="5" t="s">
        <v>135</v>
      </c>
      <c r="E179" s="5" t="s">
        <v>36</v>
      </c>
      <c r="F179" s="5" t="s">
        <v>35</v>
      </c>
      <c r="G179" s="6">
        <v>1.0</v>
      </c>
      <c r="H179" s="5">
        <v>30.0</v>
      </c>
      <c r="I179" s="6">
        <v>2500.0</v>
      </c>
      <c r="J179" s="24">
        <v>625.0</v>
      </c>
      <c r="K179" s="25" t="s">
        <v>44</v>
      </c>
      <c r="L179" s="25" t="s">
        <v>44</v>
      </c>
      <c r="M179" s="6" t="s">
        <v>40</v>
      </c>
      <c r="N179" s="5" t="s">
        <v>44</v>
      </c>
      <c r="O179" s="5" t="s">
        <v>59</v>
      </c>
      <c r="P179" s="5" t="s">
        <v>7922</v>
      </c>
      <c r="Q179" s="6" t="s">
        <v>42</v>
      </c>
      <c r="R179" s="5" t="s">
        <v>8488</v>
      </c>
      <c r="S179" s="6" t="s">
        <v>71</v>
      </c>
      <c r="T179" s="6">
        <v>8176.0</v>
      </c>
    </row>
    <row r="180" ht="56.25" customHeight="1">
      <c r="A180" s="5" t="s">
        <v>8476</v>
      </c>
      <c r="B180" s="6" t="str">
        <f>IMAGE("https://storage.googleapis.com/acdb/tools/ToolNetStar_Remake_4_0.png")</f>
        <v/>
      </c>
      <c r="C180" s="5" t="s">
        <v>69</v>
      </c>
      <c r="D180" s="5" t="s">
        <v>135</v>
      </c>
      <c r="E180" s="5" t="s">
        <v>36</v>
      </c>
      <c r="F180" s="5" t="s">
        <v>35</v>
      </c>
      <c r="G180" s="6">
        <v>1.0</v>
      </c>
      <c r="H180" s="5">
        <v>30.0</v>
      </c>
      <c r="I180" s="6">
        <v>2500.0</v>
      </c>
      <c r="J180" s="24">
        <v>625.0</v>
      </c>
      <c r="K180" s="25" t="s">
        <v>44</v>
      </c>
      <c r="L180" s="25" t="s">
        <v>44</v>
      </c>
      <c r="M180" s="6" t="s">
        <v>40</v>
      </c>
      <c r="N180" s="5" t="s">
        <v>44</v>
      </c>
      <c r="O180" s="5" t="s">
        <v>59</v>
      </c>
      <c r="P180" s="5" t="s">
        <v>7922</v>
      </c>
      <c r="Q180" s="6" t="s">
        <v>42</v>
      </c>
      <c r="R180" s="5" t="s">
        <v>8490</v>
      </c>
      <c r="S180" s="6" t="s">
        <v>75</v>
      </c>
      <c r="T180" s="6">
        <v>8176.0</v>
      </c>
    </row>
    <row r="181" ht="56.25" customHeight="1">
      <c r="A181" s="5" t="s">
        <v>8476</v>
      </c>
      <c r="B181" s="6" t="str">
        <f>IMAGE("https://storage.googleapis.com/acdb/tools/ToolNetStar_Remake_5_0.png")</f>
        <v/>
      </c>
      <c r="C181" s="5" t="s">
        <v>106</v>
      </c>
      <c r="D181" s="5" t="s">
        <v>135</v>
      </c>
      <c r="E181" s="5" t="s">
        <v>36</v>
      </c>
      <c r="F181" s="5" t="s">
        <v>35</v>
      </c>
      <c r="G181" s="6">
        <v>1.0</v>
      </c>
      <c r="H181" s="5">
        <v>30.0</v>
      </c>
      <c r="I181" s="6">
        <v>2500.0</v>
      </c>
      <c r="J181" s="24">
        <v>625.0</v>
      </c>
      <c r="K181" s="25" t="s">
        <v>44</v>
      </c>
      <c r="L181" s="25" t="s">
        <v>44</v>
      </c>
      <c r="M181" s="6" t="s">
        <v>40</v>
      </c>
      <c r="N181" s="5" t="s">
        <v>44</v>
      </c>
      <c r="O181" s="5" t="s">
        <v>59</v>
      </c>
      <c r="P181" s="5" t="s">
        <v>7922</v>
      </c>
      <c r="Q181" s="6" t="s">
        <v>42</v>
      </c>
      <c r="R181" s="5" t="s">
        <v>8493</v>
      </c>
      <c r="S181" s="6" t="s">
        <v>79</v>
      </c>
      <c r="T181" s="6">
        <v>8176.0</v>
      </c>
    </row>
    <row r="182" ht="56.25" customHeight="1">
      <c r="A182" s="5" t="s">
        <v>8476</v>
      </c>
      <c r="B182" s="6" t="str">
        <f>IMAGE("https://storage.googleapis.com/acdb/tools/ToolNetStar_Remake_6_0.png")</f>
        <v/>
      </c>
      <c r="C182" s="5" t="s">
        <v>83</v>
      </c>
      <c r="D182" s="5" t="s">
        <v>135</v>
      </c>
      <c r="E182" s="5" t="s">
        <v>36</v>
      </c>
      <c r="F182" s="5" t="s">
        <v>35</v>
      </c>
      <c r="G182" s="6">
        <v>1.0</v>
      </c>
      <c r="H182" s="5">
        <v>30.0</v>
      </c>
      <c r="I182" s="6">
        <v>2500.0</v>
      </c>
      <c r="J182" s="24">
        <v>625.0</v>
      </c>
      <c r="K182" s="25" t="s">
        <v>44</v>
      </c>
      <c r="L182" s="25" t="s">
        <v>44</v>
      </c>
      <c r="M182" s="6" t="s">
        <v>40</v>
      </c>
      <c r="N182" s="5" t="s">
        <v>44</v>
      </c>
      <c r="O182" s="5" t="s">
        <v>59</v>
      </c>
      <c r="P182" s="5" t="s">
        <v>7922</v>
      </c>
      <c r="Q182" s="6" t="s">
        <v>42</v>
      </c>
      <c r="R182" s="5" t="s">
        <v>8495</v>
      </c>
      <c r="S182" s="6" t="s">
        <v>86</v>
      </c>
      <c r="T182" s="6">
        <v>8176.0</v>
      </c>
    </row>
    <row r="183" ht="56.25" customHeight="1">
      <c r="A183" s="5" t="s">
        <v>8476</v>
      </c>
      <c r="B183" s="6" t="str">
        <f>IMAGE("https://storage.googleapis.com/acdb/tools/ToolNetStar_Remake_7_0.png")</f>
        <v/>
      </c>
      <c r="C183" s="5" t="s">
        <v>96</v>
      </c>
      <c r="D183" s="5" t="s">
        <v>135</v>
      </c>
      <c r="E183" s="5" t="s">
        <v>36</v>
      </c>
      <c r="F183" s="5" t="s">
        <v>35</v>
      </c>
      <c r="G183" s="6">
        <v>1.0</v>
      </c>
      <c r="H183" s="5">
        <v>30.0</v>
      </c>
      <c r="I183" s="6">
        <v>2500.0</v>
      </c>
      <c r="J183" s="24">
        <v>625.0</v>
      </c>
      <c r="K183" s="25" t="s">
        <v>44</v>
      </c>
      <c r="L183" s="25" t="s">
        <v>44</v>
      </c>
      <c r="M183" s="6" t="s">
        <v>40</v>
      </c>
      <c r="N183" s="5" t="s">
        <v>44</v>
      </c>
      <c r="O183" s="5" t="s">
        <v>59</v>
      </c>
      <c r="P183" s="5" t="s">
        <v>7922</v>
      </c>
      <c r="Q183" s="6" t="s">
        <v>42</v>
      </c>
      <c r="R183" s="5" t="s">
        <v>8498</v>
      </c>
      <c r="S183" s="6" t="s">
        <v>208</v>
      </c>
      <c r="T183" s="6">
        <v>8176.0</v>
      </c>
    </row>
    <row r="184" ht="56.25" customHeight="1">
      <c r="A184" s="5" t="s">
        <v>8500</v>
      </c>
      <c r="B184" s="6" t="str">
        <f>IMAGE("https://storage.googleapis.com/acdb/tools/ToolChangeStick.png")</f>
        <v/>
      </c>
      <c r="C184" s="5" t="s">
        <v>34</v>
      </c>
      <c r="D184" s="5" t="s">
        <v>34</v>
      </c>
      <c r="E184" s="5" t="s">
        <v>35</v>
      </c>
      <c r="F184" s="5" t="s">
        <v>36</v>
      </c>
      <c r="G184" s="6" t="s">
        <v>34</v>
      </c>
      <c r="H184" s="5" t="s">
        <v>7903</v>
      </c>
      <c r="I184" s="6" t="s">
        <v>37</v>
      </c>
      <c r="J184" s="24">
        <v>6500.0</v>
      </c>
      <c r="K184" s="25" t="s">
        <v>44</v>
      </c>
      <c r="L184" s="25" t="s">
        <v>44</v>
      </c>
      <c r="M184" s="6" t="s">
        <v>40</v>
      </c>
      <c r="N184" s="5" t="s">
        <v>44</v>
      </c>
      <c r="O184" s="5" t="s">
        <v>41</v>
      </c>
      <c r="P184" s="5"/>
      <c r="Q184" s="6" t="s">
        <v>42</v>
      </c>
      <c r="R184" s="5" t="s">
        <v>8503</v>
      </c>
      <c r="S184" s="6" t="s">
        <v>34</v>
      </c>
      <c r="T184" s="6">
        <v>2544.0</v>
      </c>
    </row>
    <row r="185" ht="56.25" customHeight="1">
      <c r="A185" s="5" t="s">
        <v>8505</v>
      </c>
      <c r="B185" s="6" t="str">
        <f>IMAGE("https://storage.googleapis.com/acdb/tools/ToolAxeStoneNormal.png")</f>
        <v/>
      </c>
      <c r="C185" s="5" t="s">
        <v>34</v>
      </c>
      <c r="D185" s="5" t="s">
        <v>34</v>
      </c>
      <c r="E185" s="5" t="s">
        <v>35</v>
      </c>
      <c r="F185" s="5" t="s">
        <v>36</v>
      </c>
      <c r="G185" s="6" t="s">
        <v>34</v>
      </c>
      <c r="H185" s="5">
        <v>100.0</v>
      </c>
      <c r="I185" s="6" t="s">
        <v>37</v>
      </c>
      <c r="J185" s="24">
        <v>560.0</v>
      </c>
      <c r="K185" s="25" t="s">
        <v>44</v>
      </c>
      <c r="L185" s="25" t="s">
        <v>44</v>
      </c>
      <c r="M185" s="6" t="s">
        <v>40</v>
      </c>
      <c r="N185" s="5" t="s">
        <v>44</v>
      </c>
      <c r="O185" s="5" t="s">
        <v>41</v>
      </c>
      <c r="P185" s="5"/>
      <c r="Q185" s="6" t="s">
        <v>42</v>
      </c>
      <c r="R185" s="5" t="s">
        <v>8506</v>
      </c>
      <c r="S185" s="6" t="s">
        <v>34</v>
      </c>
      <c r="T185" s="6">
        <v>5856.0</v>
      </c>
    </row>
    <row r="186" ht="56.25" customHeight="1">
      <c r="A186" s="5" t="s">
        <v>8507</v>
      </c>
      <c r="B186" s="6" t="str">
        <f>IMAGE("https://storage.googleapis.com/acdb/tools/ToolTambourine.png")</f>
        <v/>
      </c>
      <c r="C186" s="5" t="s">
        <v>34</v>
      </c>
      <c r="D186" s="5" t="s">
        <v>34</v>
      </c>
      <c r="E186" s="5" t="s">
        <v>36</v>
      </c>
      <c r="F186" s="5" t="s">
        <v>36</v>
      </c>
      <c r="G186" s="6" t="s">
        <v>34</v>
      </c>
      <c r="H186" s="5" t="s">
        <v>7903</v>
      </c>
      <c r="I186" s="6">
        <v>1500.0</v>
      </c>
      <c r="J186" s="24">
        <v>375.0</v>
      </c>
      <c r="K186" s="25" t="s">
        <v>44</v>
      </c>
      <c r="L186" s="25" t="s">
        <v>44</v>
      </c>
      <c r="M186" s="6" t="s">
        <v>40</v>
      </c>
      <c r="N186" s="5" t="s">
        <v>44</v>
      </c>
      <c r="O186" s="5" t="s">
        <v>59</v>
      </c>
      <c r="P186" s="5" t="s">
        <v>60</v>
      </c>
      <c r="Q186" s="6" t="s">
        <v>42</v>
      </c>
      <c r="R186" s="5" t="s">
        <v>8510</v>
      </c>
      <c r="S186" s="6" t="s">
        <v>34</v>
      </c>
      <c r="T186" s="6">
        <v>5430.0</v>
      </c>
    </row>
    <row r="187" ht="56.25" customHeight="1">
      <c r="A187" s="5" t="s">
        <v>8511</v>
      </c>
      <c r="B187" s="6" t="str">
        <f>IMAGE("https://storage.googleapis.com/acdb/tools/ToolTimer.png")</f>
        <v/>
      </c>
      <c r="C187" s="5" t="s">
        <v>34</v>
      </c>
      <c r="D187" s="5" t="s">
        <v>34</v>
      </c>
      <c r="E187" s="5" t="s">
        <v>36</v>
      </c>
      <c r="F187" s="5" t="s">
        <v>36</v>
      </c>
      <c r="G187" s="6" t="s">
        <v>34</v>
      </c>
      <c r="H187" s="5" t="s">
        <v>7903</v>
      </c>
      <c r="I187" s="6">
        <v>840.0</v>
      </c>
      <c r="J187" s="24">
        <v>210.0</v>
      </c>
      <c r="K187" s="25" t="s">
        <v>44</v>
      </c>
      <c r="L187" s="25" t="s">
        <v>44</v>
      </c>
      <c r="M187" s="6" t="s">
        <v>40</v>
      </c>
      <c r="N187" s="5" t="s">
        <v>44</v>
      </c>
      <c r="O187" s="5" t="s">
        <v>59</v>
      </c>
      <c r="P187" s="5"/>
      <c r="Q187" s="6" t="s">
        <v>42</v>
      </c>
      <c r="R187" s="5" t="s">
        <v>8513</v>
      </c>
      <c r="S187" s="6" t="s">
        <v>34</v>
      </c>
      <c r="T187" s="6">
        <v>3331.0</v>
      </c>
    </row>
    <row r="188" ht="56.25" customHeight="1">
      <c r="A188" s="5" t="s">
        <v>8514</v>
      </c>
      <c r="B188" s="6" t="str">
        <f>IMAGE("https://storage.googleapis.com/acdb/tools/ToolStickTree.png")</f>
        <v/>
      </c>
      <c r="C188" s="5" t="s">
        <v>34</v>
      </c>
      <c r="D188" s="5" t="s">
        <v>34</v>
      </c>
      <c r="E188" s="5" t="s">
        <v>35</v>
      </c>
      <c r="F188" s="5" t="s">
        <v>36</v>
      </c>
      <c r="G188" s="6" t="s">
        <v>34</v>
      </c>
      <c r="H188" s="5" t="s">
        <v>7903</v>
      </c>
      <c r="I188" s="6" t="s">
        <v>37</v>
      </c>
      <c r="J188" s="24">
        <v>1550.0</v>
      </c>
      <c r="K188" s="25" t="s">
        <v>44</v>
      </c>
      <c r="L188" s="25" t="s">
        <v>44</v>
      </c>
      <c r="M188" s="6" t="s">
        <v>40</v>
      </c>
      <c r="N188" s="5" t="s">
        <v>44</v>
      </c>
      <c r="O188" s="5" t="s">
        <v>41</v>
      </c>
      <c r="P188" s="5"/>
      <c r="Q188" s="6" t="s">
        <v>42</v>
      </c>
      <c r="R188" s="5" t="s">
        <v>8517</v>
      </c>
      <c r="S188" s="6" t="s">
        <v>34</v>
      </c>
      <c r="T188" s="6">
        <v>7587.0</v>
      </c>
    </row>
    <row r="189" ht="56.25" customHeight="1">
      <c r="A189" s="5" t="s">
        <v>8518</v>
      </c>
      <c r="B189" s="6" t="str">
        <f>IMAGE("https://storage.googleapis.com/acdb/tools/ToolStickTulip.png")</f>
        <v/>
      </c>
      <c r="C189" s="5" t="s">
        <v>34</v>
      </c>
      <c r="D189" s="5" t="s">
        <v>34</v>
      </c>
      <c r="E189" s="5" t="s">
        <v>35</v>
      </c>
      <c r="F189" s="5" t="s">
        <v>36</v>
      </c>
      <c r="G189" s="6" t="s">
        <v>34</v>
      </c>
      <c r="H189" s="5" t="s">
        <v>7903</v>
      </c>
      <c r="I189" s="6" t="s">
        <v>37</v>
      </c>
      <c r="J189" s="24">
        <v>1580.0</v>
      </c>
      <c r="K189" s="25" t="s">
        <v>44</v>
      </c>
      <c r="L189" s="25" t="s">
        <v>44</v>
      </c>
      <c r="M189" s="6" t="s">
        <v>40</v>
      </c>
      <c r="N189" s="5" t="s">
        <v>44</v>
      </c>
      <c r="O189" s="5" t="s">
        <v>41</v>
      </c>
      <c r="P189" s="5"/>
      <c r="Q189" s="6" t="s">
        <v>42</v>
      </c>
      <c r="R189" s="5" t="s">
        <v>8521</v>
      </c>
      <c r="S189" s="6" t="s">
        <v>34</v>
      </c>
      <c r="T189" s="6">
        <v>5085.0</v>
      </c>
    </row>
    <row r="190" ht="56.25" customHeight="1">
      <c r="A190" s="5" t="s">
        <v>8523</v>
      </c>
      <c r="B190" s="6" t="str">
        <f>IMAGE("https://storage.googleapis.com/acdb/tools/LongWoodenStick.png")</f>
        <v/>
      </c>
      <c r="C190" s="5" t="s">
        <v>34</v>
      </c>
      <c r="D190" s="5" t="s">
        <v>34</v>
      </c>
      <c r="E190" s="5" t="s">
        <v>35</v>
      </c>
      <c r="F190" s="5" t="s">
        <v>36</v>
      </c>
      <c r="G190" s="6" t="s">
        <v>34</v>
      </c>
      <c r="H190" s="5" t="s">
        <v>7903</v>
      </c>
      <c r="I190" s="6" t="s">
        <v>37</v>
      </c>
      <c r="J190" s="24">
        <v>600.0</v>
      </c>
      <c r="K190" s="25" t="s">
        <v>44</v>
      </c>
      <c r="L190" s="25" t="s">
        <v>44</v>
      </c>
      <c r="M190" s="6" t="s">
        <v>40</v>
      </c>
      <c r="N190" s="5" t="s">
        <v>44</v>
      </c>
      <c r="O190" s="5" t="s">
        <v>41</v>
      </c>
      <c r="P190" s="5"/>
      <c r="Q190" s="6" t="s">
        <v>42</v>
      </c>
      <c r="R190" s="5" t="s">
        <v>8526</v>
      </c>
      <c r="S190" s="6" t="s">
        <v>34</v>
      </c>
      <c r="T190" s="6">
        <v>4703.0</v>
      </c>
    </row>
    <row r="191" ht="56.25" customHeight="1">
      <c r="A191" s="5" t="s">
        <v>8527</v>
      </c>
      <c r="B191" s="6" t="str">
        <f>IMAGE("https://storage.googleapis.com/acdb/tools/ToolStickWood.png")</f>
        <v/>
      </c>
      <c r="C191" s="5" t="s">
        <v>34</v>
      </c>
      <c r="D191" s="5" t="s">
        <v>34</v>
      </c>
      <c r="E191" s="5" t="s">
        <v>35</v>
      </c>
      <c r="F191" s="5" t="s">
        <v>36</v>
      </c>
      <c r="G191" s="6" t="s">
        <v>34</v>
      </c>
      <c r="H191" s="5" t="s">
        <v>7903</v>
      </c>
      <c r="I191" s="6" t="s">
        <v>37</v>
      </c>
      <c r="J191" s="24">
        <v>1000.0</v>
      </c>
      <c r="K191" s="25" t="s">
        <v>44</v>
      </c>
      <c r="L191" s="25" t="s">
        <v>44</v>
      </c>
      <c r="M191" s="6" t="s">
        <v>40</v>
      </c>
      <c r="N191" s="5" t="s">
        <v>44</v>
      </c>
      <c r="O191" s="5" t="s">
        <v>41</v>
      </c>
      <c r="P191" s="5"/>
      <c r="Q191" s="6" t="s">
        <v>42</v>
      </c>
      <c r="R191" s="5" t="s">
        <v>8532</v>
      </c>
      <c r="S191" s="6" t="s">
        <v>34</v>
      </c>
      <c r="T191" s="6">
        <v>7584.0</v>
      </c>
    </row>
    <row r="192" ht="56.25" customHeight="1">
      <c r="A192" s="5" t="s">
        <v>8533</v>
      </c>
      <c r="B192" s="6" t="str">
        <f>IMAGE("https://storage.googleapis.com/acdb/tools/ToolWatering_Remake_0_0.png")</f>
        <v/>
      </c>
      <c r="C192" s="5" t="s">
        <v>68</v>
      </c>
      <c r="D192" s="5" t="s">
        <v>135</v>
      </c>
      <c r="E192" s="5" t="s">
        <v>35</v>
      </c>
      <c r="F192" s="5" t="s">
        <v>35</v>
      </c>
      <c r="G192" s="6">
        <v>1.0</v>
      </c>
      <c r="H192" s="5">
        <v>60.0</v>
      </c>
      <c r="I192" s="6">
        <v>2400.0</v>
      </c>
      <c r="J192" s="24">
        <v>600.0</v>
      </c>
      <c r="K192" s="25" t="s">
        <v>44</v>
      </c>
      <c r="L192" s="25" t="s">
        <v>44</v>
      </c>
      <c r="M192" s="6" t="s">
        <v>40</v>
      </c>
      <c r="N192" s="5" t="s">
        <v>44</v>
      </c>
      <c r="O192" s="5" t="s">
        <v>41</v>
      </c>
      <c r="P192" s="5"/>
      <c r="Q192" s="6" t="s">
        <v>42</v>
      </c>
      <c r="R192" s="5" t="s">
        <v>8535</v>
      </c>
      <c r="S192" s="6" t="s">
        <v>50</v>
      </c>
      <c r="T192" s="6">
        <v>2379.0</v>
      </c>
    </row>
    <row r="193" ht="56.25" customHeight="1">
      <c r="A193" s="5" t="s">
        <v>8533</v>
      </c>
      <c r="B193" s="6" t="str">
        <f>IMAGE("https://storage.googleapis.com/acdb/tools/ToolWatering_Remake_1_0.png")</f>
        <v/>
      </c>
      <c r="C193" s="5" t="s">
        <v>142</v>
      </c>
      <c r="D193" s="5" t="s">
        <v>135</v>
      </c>
      <c r="E193" s="5" t="s">
        <v>35</v>
      </c>
      <c r="F193" s="5" t="s">
        <v>35</v>
      </c>
      <c r="G193" s="6">
        <v>1.0</v>
      </c>
      <c r="H193" s="5">
        <v>60.0</v>
      </c>
      <c r="I193" s="6">
        <v>2400.0</v>
      </c>
      <c r="J193" s="24">
        <v>600.0</v>
      </c>
      <c r="K193" s="25" t="s">
        <v>44</v>
      </c>
      <c r="L193" s="25" t="s">
        <v>44</v>
      </c>
      <c r="M193" s="6" t="s">
        <v>40</v>
      </c>
      <c r="N193" s="5" t="s">
        <v>44</v>
      </c>
      <c r="O193" s="5" t="s">
        <v>41</v>
      </c>
      <c r="P193" s="5"/>
      <c r="Q193" s="6" t="s">
        <v>42</v>
      </c>
      <c r="R193" s="5" t="s">
        <v>8538</v>
      </c>
      <c r="S193" s="6" t="s">
        <v>56</v>
      </c>
      <c r="T193" s="6">
        <v>2379.0</v>
      </c>
    </row>
    <row r="194" ht="56.25" customHeight="1">
      <c r="A194" s="5" t="s">
        <v>8533</v>
      </c>
      <c r="B194" s="6" t="str">
        <f>IMAGE("https://storage.googleapis.com/acdb/tools/ToolWatering_Remake_2_0.png")</f>
        <v/>
      </c>
      <c r="C194" s="5" t="s">
        <v>96</v>
      </c>
      <c r="D194" s="5" t="s">
        <v>135</v>
      </c>
      <c r="E194" s="5" t="s">
        <v>35</v>
      </c>
      <c r="F194" s="5" t="s">
        <v>35</v>
      </c>
      <c r="G194" s="6">
        <v>1.0</v>
      </c>
      <c r="H194" s="5">
        <v>60.0</v>
      </c>
      <c r="I194" s="6">
        <v>2400.0</v>
      </c>
      <c r="J194" s="24">
        <v>600.0</v>
      </c>
      <c r="K194" s="25" t="s">
        <v>44</v>
      </c>
      <c r="L194" s="25" t="s">
        <v>44</v>
      </c>
      <c r="M194" s="6" t="s">
        <v>40</v>
      </c>
      <c r="N194" s="5" t="s">
        <v>44</v>
      </c>
      <c r="O194" s="5" t="s">
        <v>41</v>
      </c>
      <c r="P194" s="5"/>
      <c r="Q194" s="6" t="s">
        <v>42</v>
      </c>
      <c r="R194" s="5" t="s">
        <v>8542</v>
      </c>
      <c r="S194" s="6" t="s">
        <v>67</v>
      </c>
      <c r="T194" s="6">
        <v>2379.0</v>
      </c>
    </row>
    <row r="195" ht="56.25" customHeight="1">
      <c r="A195" s="5" t="s">
        <v>8533</v>
      </c>
      <c r="B195" s="6" t="str">
        <f>IMAGE("https://storage.googleapis.com/acdb/tools/ToolWatering_Remake_3_0.png")</f>
        <v/>
      </c>
      <c r="C195" s="5" t="s">
        <v>52</v>
      </c>
      <c r="D195" s="5" t="s">
        <v>135</v>
      </c>
      <c r="E195" s="5" t="s">
        <v>35</v>
      </c>
      <c r="F195" s="5" t="s">
        <v>35</v>
      </c>
      <c r="G195" s="6">
        <v>1.0</v>
      </c>
      <c r="H195" s="5">
        <v>60.0</v>
      </c>
      <c r="I195" s="6">
        <v>2400.0</v>
      </c>
      <c r="J195" s="24">
        <v>600.0</v>
      </c>
      <c r="K195" s="25" t="s">
        <v>44</v>
      </c>
      <c r="L195" s="25" t="s">
        <v>44</v>
      </c>
      <c r="M195" s="6" t="s">
        <v>40</v>
      </c>
      <c r="N195" s="5" t="s">
        <v>44</v>
      </c>
      <c r="O195" s="5" t="s">
        <v>41</v>
      </c>
      <c r="P195" s="5"/>
      <c r="Q195" s="6" t="s">
        <v>42</v>
      </c>
      <c r="R195" s="5" t="s">
        <v>8546</v>
      </c>
      <c r="S195" s="6" t="s">
        <v>71</v>
      </c>
      <c r="T195" s="6">
        <v>2379.0</v>
      </c>
    </row>
    <row r="196" ht="56.25" customHeight="1">
      <c r="A196" s="5" t="s">
        <v>8533</v>
      </c>
      <c r="B196" s="6" t="str">
        <f>IMAGE("https://storage.googleapis.com/acdb/tools/ToolWatering_Remake_4_0.png")</f>
        <v/>
      </c>
      <c r="C196" s="5" t="s">
        <v>106</v>
      </c>
      <c r="D196" s="5" t="s">
        <v>135</v>
      </c>
      <c r="E196" s="5" t="s">
        <v>35</v>
      </c>
      <c r="F196" s="5" t="s">
        <v>35</v>
      </c>
      <c r="G196" s="6">
        <v>1.0</v>
      </c>
      <c r="H196" s="5">
        <v>60.0</v>
      </c>
      <c r="I196" s="6">
        <v>2400.0</v>
      </c>
      <c r="J196" s="24">
        <v>600.0</v>
      </c>
      <c r="K196" s="25" t="s">
        <v>44</v>
      </c>
      <c r="L196" s="25" t="s">
        <v>44</v>
      </c>
      <c r="M196" s="6" t="s">
        <v>40</v>
      </c>
      <c r="N196" s="5" t="s">
        <v>44</v>
      </c>
      <c r="O196" s="5" t="s">
        <v>41</v>
      </c>
      <c r="P196" s="5"/>
      <c r="Q196" s="6" t="s">
        <v>42</v>
      </c>
      <c r="R196" s="5" t="s">
        <v>8548</v>
      </c>
      <c r="S196" s="6" t="s">
        <v>75</v>
      </c>
      <c r="T196" s="6">
        <v>2379.0</v>
      </c>
    </row>
    <row r="197" ht="56.25" customHeight="1">
      <c r="A197" s="5" t="s">
        <v>8533</v>
      </c>
      <c r="B197" s="6" t="str">
        <f>IMAGE("https://storage.googleapis.com/acdb/tools/ToolWatering_Remake_6_0.png")</f>
        <v/>
      </c>
      <c r="C197" s="5" t="s">
        <v>57</v>
      </c>
      <c r="D197" s="5" t="s">
        <v>135</v>
      </c>
      <c r="E197" s="5" t="s">
        <v>35</v>
      </c>
      <c r="F197" s="5" t="s">
        <v>35</v>
      </c>
      <c r="G197" s="6">
        <v>1.0</v>
      </c>
      <c r="H197" s="5">
        <v>60.0</v>
      </c>
      <c r="I197" s="6">
        <v>2400.0</v>
      </c>
      <c r="J197" s="24">
        <v>600.0</v>
      </c>
      <c r="K197" s="25" t="s">
        <v>44</v>
      </c>
      <c r="L197" s="25" t="s">
        <v>44</v>
      </c>
      <c r="M197" s="6" t="s">
        <v>40</v>
      </c>
      <c r="N197" s="5" t="s">
        <v>44</v>
      </c>
      <c r="O197" s="5" t="s">
        <v>41</v>
      </c>
      <c r="P197" s="5"/>
      <c r="Q197" s="6" t="s">
        <v>42</v>
      </c>
      <c r="R197" s="5" t="s">
        <v>8553</v>
      </c>
      <c r="S197" s="6" t="s">
        <v>86</v>
      </c>
      <c r="T197" s="6">
        <v>2379.0</v>
      </c>
    </row>
    <row r="198" ht="56.25" customHeight="1">
      <c r="A198" s="5" t="s">
        <v>8533</v>
      </c>
      <c r="B198" s="6" t="str">
        <f>IMAGE("https://storage.googleapis.com/acdb/tools/ToolWatering_Remake_7_0.png")</f>
        <v/>
      </c>
      <c r="C198" s="5" t="s">
        <v>54</v>
      </c>
      <c r="D198" s="5" t="s">
        <v>135</v>
      </c>
      <c r="E198" s="5" t="s">
        <v>35</v>
      </c>
      <c r="F198" s="5" t="s">
        <v>35</v>
      </c>
      <c r="G198" s="6">
        <v>1.0</v>
      </c>
      <c r="H198" s="5">
        <v>60.0</v>
      </c>
      <c r="I198" s="6">
        <v>2400.0</v>
      </c>
      <c r="J198" s="24">
        <v>600.0</v>
      </c>
      <c r="K198" s="25" t="s">
        <v>44</v>
      </c>
      <c r="L198" s="25" t="s">
        <v>44</v>
      </c>
      <c r="M198" s="6" t="s">
        <v>40</v>
      </c>
      <c r="N198" s="5" t="s">
        <v>44</v>
      </c>
      <c r="O198" s="5" t="s">
        <v>41</v>
      </c>
      <c r="P198" s="5"/>
      <c r="Q198" s="6" t="s">
        <v>42</v>
      </c>
      <c r="R198" s="5" t="s">
        <v>8556</v>
      </c>
      <c r="S198" s="6" t="s">
        <v>208</v>
      </c>
      <c r="T198" s="6">
        <v>2379.0</v>
      </c>
    </row>
    <row r="199" ht="56.25" customHeight="1">
      <c r="A199" s="5" t="s">
        <v>8557</v>
      </c>
      <c r="B199" s="6" t="str">
        <f>IMAGE("https://storage.googleapis.com/acdb/tools/ToolStickAnemones.png")</f>
        <v/>
      </c>
      <c r="C199" s="5" t="s">
        <v>34</v>
      </c>
      <c r="D199" s="5" t="s">
        <v>34</v>
      </c>
      <c r="E199" s="5" t="s">
        <v>35</v>
      </c>
      <c r="F199" s="5" t="s">
        <v>36</v>
      </c>
      <c r="G199" s="6" t="s">
        <v>34</v>
      </c>
      <c r="H199" s="5" t="s">
        <v>7903</v>
      </c>
      <c r="I199" s="6" t="s">
        <v>37</v>
      </c>
      <c r="J199" s="24">
        <v>1580.0</v>
      </c>
      <c r="K199" s="25" t="s">
        <v>44</v>
      </c>
      <c r="L199" s="25" t="s">
        <v>44</v>
      </c>
      <c r="M199" s="6" t="s">
        <v>40</v>
      </c>
      <c r="N199" s="5" t="s">
        <v>44</v>
      </c>
      <c r="O199" s="5" t="s">
        <v>41</v>
      </c>
      <c r="P199" s="5"/>
      <c r="Q199" s="6" t="s">
        <v>42</v>
      </c>
      <c r="R199" s="5" t="s">
        <v>8561</v>
      </c>
      <c r="S199" s="6" t="s">
        <v>34</v>
      </c>
      <c r="T199" s="6">
        <v>5084.0</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3" width="10.86"/>
    <col customWidth="1" min="4" max="4" width="4.43"/>
    <col customWidth="1" min="5" max="6" width="5.86"/>
    <col customWidth="1" min="7" max="8" width="8.0"/>
    <col customWidth="1" min="9" max="9" width="5.14"/>
    <col customWidth="1" min="10" max="10" width="12.29"/>
    <col customWidth="1" min="11" max="11" width="25.14"/>
    <col customWidth="1" min="12" max="12" width="8.0"/>
    <col customWidth="1" min="13" max="13" width="9.43"/>
    <col customWidth="1" min="14" max="14" width="8.0"/>
    <col customWidth="1" min="15" max="15" width="10.86"/>
    <col customWidth="1" min="16" max="16" width="8.0"/>
  </cols>
  <sheetData>
    <row r="1" ht="26.25" customHeight="1">
      <c r="A1" s="1" t="s">
        <v>0</v>
      </c>
      <c r="B1" s="2" t="s">
        <v>1</v>
      </c>
      <c r="C1" s="1" t="s">
        <v>2</v>
      </c>
      <c r="D1" s="4" t="s">
        <v>6</v>
      </c>
      <c r="E1" s="2" t="s">
        <v>10</v>
      </c>
      <c r="F1" s="2" t="s">
        <v>11</v>
      </c>
      <c r="G1" s="1" t="s">
        <v>12</v>
      </c>
      <c r="H1" s="1" t="s">
        <v>13</v>
      </c>
      <c r="I1" s="2" t="s">
        <v>14</v>
      </c>
      <c r="J1" s="1" t="s">
        <v>15</v>
      </c>
      <c r="K1" s="1" t="s">
        <v>16</v>
      </c>
      <c r="L1" s="2" t="s">
        <v>17</v>
      </c>
      <c r="M1" s="1" t="s">
        <v>8575</v>
      </c>
      <c r="N1" s="1" t="s">
        <v>26</v>
      </c>
      <c r="O1" s="1" t="s">
        <v>27</v>
      </c>
      <c r="P1" s="2" t="s">
        <v>29</v>
      </c>
    </row>
    <row r="2" ht="56.25" customHeight="1">
      <c r="A2" s="5" t="s">
        <v>8577</v>
      </c>
      <c r="B2" s="6" t="str">
        <f>IMAGE("https://storage.googleapis.com/acdb/tops/TopsTexTopTshirtsHAce0.png")</f>
        <v/>
      </c>
      <c r="C2" s="5" t="s">
        <v>34</v>
      </c>
      <c r="D2" s="8" t="s">
        <v>36</v>
      </c>
      <c r="E2" s="6">
        <v>560.0</v>
      </c>
      <c r="F2" s="6">
        <v>140.0</v>
      </c>
      <c r="G2" s="5" t="s">
        <v>68</v>
      </c>
      <c r="H2" s="5" t="s">
        <v>57</v>
      </c>
      <c r="I2" s="6" t="s">
        <v>40</v>
      </c>
      <c r="J2" s="5" t="s">
        <v>8578</v>
      </c>
      <c r="K2" s="5"/>
      <c r="L2" s="6" t="s">
        <v>42</v>
      </c>
      <c r="M2" s="5" t="s">
        <v>995</v>
      </c>
      <c r="N2" s="5" t="s">
        <v>64</v>
      </c>
      <c r="O2" s="5" t="s">
        <v>8580</v>
      </c>
      <c r="P2" s="6">
        <v>8532.0</v>
      </c>
    </row>
    <row r="3" ht="56.25" customHeight="1">
      <c r="A3" s="5" t="s">
        <v>8581</v>
      </c>
      <c r="B3" s="6" t="str">
        <f>IMAGE("https://storage.googleapis.com/acdb/tops/TopsTexTopOuterLChemical1.png")</f>
        <v/>
      </c>
      <c r="C3" s="5" t="s">
        <v>54</v>
      </c>
      <c r="D3" s="8" t="s">
        <v>36</v>
      </c>
      <c r="E3" s="6">
        <v>1680.0</v>
      </c>
      <c r="F3" s="6">
        <v>420.0</v>
      </c>
      <c r="G3" s="5" t="s">
        <v>54</v>
      </c>
      <c r="H3" s="5" t="s">
        <v>54</v>
      </c>
      <c r="I3" s="6" t="s">
        <v>40</v>
      </c>
      <c r="J3" s="5" t="s">
        <v>8585</v>
      </c>
      <c r="K3" s="5" t="s">
        <v>8586</v>
      </c>
      <c r="L3" s="6" t="s">
        <v>42</v>
      </c>
      <c r="M3" s="5" t="s">
        <v>995</v>
      </c>
      <c r="N3" s="5" t="s">
        <v>64</v>
      </c>
      <c r="O3" s="5" t="s">
        <v>8587</v>
      </c>
      <c r="P3" s="6">
        <v>9538.0</v>
      </c>
    </row>
    <row r="4" ht="56.25" customHeight="1">
      <c r="A4" s="5" t="s">
        <v>8581</v>
      </c>
      <c r="B4" s="6" t="str">
        <f>IMAGE("https://storage.googleapis.com/acdb/tops/TopsTexTopOuterLChemical0.png")</f>
        <v/>
      </c>
      <c r="C4" s="5" t="s">
        <v>68</v>
      </c>
      <c r="D4" s="8" t="s">
        <v>36</v>
      </c>
      <c r="E4" s="6">
        <v>1680.0</v>
      </c>
      <c r="F4" s="6">
        <v>420.0</v>
      </c>
      <c r="G4" s="5" t="s">
        <v>68</v>
      </c>
      <c r="H4" s="5" t="s">
        <v>68</v>
      </c>
      <c r="I4" s="6" t="s">
        <v>40</v>
      </c>
      <c r="J4" s="5" t="s">
        <v>8585</v>
      </c>
      <c r="K4" s="5" t="s">
        <v>8586</v>
      </c>
      <c r="L4" s="6" t="s">
        <v>42</v>
      </c>
      <c r="M4" s="5" t="s">
        <v>995</v>
      </c>
      <c r="N4" s="5" t="s">
        <v>64</v>
      </c>
      <c r="O4" s="5" t="s">
        <v>8590</v>
      </c>
      <c r="P4" s="6">
        <v>5289.0</v>
      </c>
    </row>
    <row r="5" ht="56.25" customHeight="1">
      <c r="A5" s="5" t="s">
        <v>8591</v>
      </c>
      <c r="B5" s="6" t="str">
        <f>IMAGE("https://storage.googleapis.com/acdb/tops/TopsTexTopYshirtsLGakuranopen0.png")</f>
        <v/>
      </c>
      <c r="C5" s="5" t="s">
        <v>54</v>
      </c>
      <c r="D5" s="8" t="s">
        <v>36</v>
      </c>
      <c r="E5" s="6">
        <v>1050.0</v>
      </c>
      <c r="F5" s="6">
        <v>262.0</v>
      </c>
      <c r="G5" s="5" t="s">
        <v>54</v>
      </c>
      <c r="H5" s="5" t="s">
        <v>52</v>
      </c>
      <c r="I5" s="6" t="s">
        <v>40</v>
      </c>
      <c r="J5" s="5" t="s">
        <v>8585</v>
      </c>
      <c r="K5" s="5" t="s">
        <v>8586</v>
      </c>
      <c r="L5" s="6" t="s">
        <v>42</v>
      </c>
      <c r="M5" s="5" t="s">
        <v>1952</v>
      </c>
      <c r="N5" s="5" t="s">
        <v>64</v>
      </c>
      <c r="O5" s="5" t="s">
        <v>8594</v>
      </c>
      <c r="P5" s="6">
        <v>4366.0</v>
      </c>
    </row>
    <row r="6" ht="56.25" customHeight="1">
      <c r="A6" s="5" t="s">
        <v>8591</v>
      </c>
      <c r="B6" s="6" t="str">
        <f>IMAGE("https://storage.googleapis.com/acdb/tops/TopsTexTopYshirtsLGakuranopen1.png")</f>
        <v/>
      </c>
      <c r="C6" s="5" t="s">
        <v>4883</v>
      </c>
      <c r="D6" s="8" t="s">
        <v>36</v>
      </c>
      <c r="E6" s="6">
        <v>1050.0</v>
      </c>
      <c r="F6" s="6">
        <v>262.0</v>
      </c>
      <c r="G6" s="5" t="s">
        <v>52</v>
      </c>
      <c r="H6" s="5" t="s">
        <v>96</v>
      </c>
      <c r="I6" s="6" t="s">
        <v>40</v>
      </c>
      <c r="J6" s="5" t="s">
        <v>8585</v>
      </c>
      <c r="K6" s="5" t="s">
        <v>8586</v>
      </c>
      <c r="L6" s="6" t="s">
        <v>42</v>
      </c>
      <c r="M6" s="5" t="s">
        <v>1952</v>
      </c>
      <c r="N6" s="5" t="s">
        <v>64</v>
      </c>
      <c r="O6" s="5" t="s">
        <v>8598</v>
      </c>
      <c r="P6" s="6">
        <v>7554.0</v>
      </c>
    </row>
    <row r="7" ht="56.25" customHeight="1">
      <c r="A7" s="5" t="s">
        <v>8591</v>
      </c>
      <c r="B7" s="6" t="str">
        <f>IMAGE("https://storage.googleapis.com/acdb/tops/TopsTexTopYshirtsLGakuranopen2.png")</f>
        <v/>
      </c>
      <c r="C7" s="5" t="s">
        <v>96</v>
      </c>
      <c r="D7" s="8" t="s">
        <v>36</v>
      </c>
      <c r="E7" s="6">
        <v>1050.0</v>
      </c>
      <c r="F7" s="6">
        <v>262.0</v>
      </c>
      <c r="G7" s="5" t="s">
        <v>96</v>
      </c>
      <c r="H7" s="5" t="s">
        <v>114</v>
      </c>
      <c r="I7" s="6" t="s">
        <v>40</v>
      </c>
      <c r="J7" s="5" t="s">
        <v>8585</v>
      </c>
      <c r="K7" s="5" t="s">
        <v>8586</v>
      </c>
      <c r="L7" s="6" t="s">
        <v>42</v>
      </c>
      <c r="M7" s="5" t="s">
        <v>1952</v>
      </c>
      <c r="N7" s="5" t="s">
        <v>64</v>
      </c>
      <c r="O7" s="5" t="s">
        <v>8601</v>
      </c>
      <c r="P7" s="6">
        <v>7555.0</v>
      </c>
    </row>
    <row r="8" ht="56.25" customHeight="1">
      <c r="A8" s="5" t="s">
        <v>8591</v>
      </c>
      <c r="B8" s="6" t="str">
        <f>IMAGE("https://storage.googleapis.com/acdb/tops/TopsTexTopYshirtsLGakuranopen3.png")</f>
        <v/>
      </c>
      <c r="C8" s="5" t="s">
        <v>57</v>
      </c>
      <c r="D8" s="8" t="s">
        <v>36</v>
      </c>
      <c r="E8" s="6">
        <v>1050.0</v>
      </c>
      <c r="F8" s="6">
        <v>262.0</v>
      </c>
      <c r="G8" s="5" t="s">
        <v>57</v>
      </c>
      <c r="H8" s="5" t="s">
        <v>54</v>
      </c>
      <c r="I8" s="6" t="s">
        <v>40</v>
      </c>
      <c r="J8" s="5" t="s">
        <v>8585</v>
      </c>
      <c r="K8" s="5" t="s">
        <v>8586</v>
      </c>
      <c r="L8" s="6" t="s">
        <v>42</v>
      </c>
      <c r="M8" s="5" t="s">
        <v>1952</v>
      </c>
      <c r="N8" s="5" t="s">
        <v>64</v>
      </c>
      <c r="O8" s="5" t="s">
        <v>8604</v>
      </c>
      <c r="P8" s="6">
        <v>7556.0</v>
      </c>
    </row>
    <row r="9" ht="56.25" customHeight="1">
      <c r="A9" s="5" t="s">
        <v>8591</v>
      </c>
      <c r="B9" s="6" t="str">
        <f>IMAGE("https://storage.googleapis.com/acdb/tops/TopsTexTopYshirtsLGakuranopen4.png")</f>
        <v/>
      </c>
      <c r="C9" s="5" t="s">
        <v>106</v>
      </c>
      <c r="D9" s="8" t="s">
        <v>36</v>
      </c>
      <c r="E9" s="6">
        <v>1050.0</v>
      </c>
      <c r="F9" s="6">
        <v>262.0</v>
      </c>
      <c r="G9" s="5" t="s">
        <v>106</v>
      </c>
      <c r="H9" s="5" t="s">
        <v>68</v>
      </c>
      <c r="I9" s="6" t="s">
        <v>40</v>
      </c>
      <c r="J9" s="5" t="s">
        <v>8585</v>
      </c>
      <c r="K9" s="5" t="s">
        <v>8586</v>
      </c>
      <c r="L9" s="6" t="s">
        <v>42</v>
      </c>
      <c r="M9" s="5" t="s">
        <v>1952</v>
      </c>
      <c r="N9" s="5" t="s">
        <v>64</v>
      </c>
      <c r="O9" s="5" t="s">
        <v>8608</v>
      </c>
      <c r="P9" s="6">
        <v>7557.0</v>
      </c>
    </row>
    <row r="10" ht="56.25" customHeight="1">
      <c r="A10" s="5" t="s">
        <v>8591</v>
      </c>
      <c r="B10" s="6" t="str">
        <f>IMAGE("https://storage.googleapis.com/acdb/tops/TopsTexTopYshirtsLGakuranopen5.png")</f>
        <v/>
      </c>
      <c r="C10" s="5" t="s">
        <v>95</v>
      </c>
      <c r="D10" s="8" t="s">
        <v>36</v>
      </c>
      <c r="E10" s="6">
        <v>1050.0</v>
      </c>
      <c r="F10" s="6">
        <v>262.0</v>
      </c>
      <c r="G10" s="5" t="s">
        <v>95</v>
      </c>
      <c r="H10" s="5" t="s">
        <v>57</v>
      </c>
      <c r="I10" s="6" t="s">
        <v>40</v>
      </c>
      <c r="J10" s="5" t="s">
        <v>8585</v>
      </c>
      <c r="K10" s="5" t="s">
        <v>8586</v>
      </c>
      <c r="L10" s="6" t="s">
        <v>42</v>
      </c>
      <c r="M10" s="5" t="s">
        <v>1952</v>
      </c>
      <c r="N10" s="5" t="s">
        <v>64</v>
      </c>
      <c r="O10" s="5" t="s">
        <v>8612</v>
      </c>
      <c r="P10" s="6">
        <v>7558.0</v>
      </c>
    </row>
    <row r="11" ht="56.25" customHeight="1">
      <c r="A11" s="5" t="s">
        <v>8591</v>
      </c>
      <c r="B11" s="6" t="str">
        <f>IMAGE("https://storage.googleapis.com/acdb/tops/TopsTexTopYshirtsLGakuranopen6.png")</f>
        <v/>
      </c>
      <c r="C11" s="5" t="s">
        <v>68</v>
      </c>
      <c r="D11" s="8" t="s">
        <v>36</v>
      </c>
      <c r="E11" s="6">
        <v>1050.0</v>
      </c>
      <c r="F11" s="6">
        <v>262.0</v>
      </c>
      <c r="G11" s="5" t="s">
        <v>68</v>
      </c>
      <c r="H11" s="5" t="s">
        <v>106</v>
      </c>
      <c r="I11" s="6" t="s">
        <v>40</v>
      </c>
      <c r="J11" s="5" t="s">
        <v>8585</v>
      </c>
      <c r="K11" s="5" t="s">
        <v>8586</v>
      </c>
      <c r="L11" s="6" t="s">
        <v>42</v>
      </c>
      <c r="M11" s="5" t="s">
        <v>1952</v>
      </c>
      <c r="N11" s="5" t="s">
        <v>64</v>
      </c>
      <c r="O11" s="5" t="s">
        <v>8614</v>
      </c>
      <c r="P11" s="6">
        <v>7559.0</v>
      </c>
    </row>
    <row r="12" ht="56.25" customHeight="1">
      <c r="A12" s="5" t="s">
        <v>8615</v>
      </c>
      <c r="B12" s="6" t="str">
        <f>IMAGE("https://storage.googleapis.com/acdb/tops/TopsTexTopCoatLAnimal0.png")</f>
        <v/>
      </c>
      <c r="C12" s="5" t="s">
        <v>68</v>
      </c>
      <c r="D12" s="8" t="s">
        <v>36</v>
      </c>
      <c r="E12" s="6">
        <v>2320.0</v>
      </c>
      <c r="F12" s="6">
        <v>580.0</v>
      </c>
      <c r="G12" s="5" t="s">
        <v>68</v>
      </c>
      <c r="H12" s="5" t="s">
        <v>83</v>
      </c>
      <c r="I12" s="6" t="s">
        <v>40</v>
      </c>
      <c r="J12" s="5" t="s">
        <v>8585</v>
      </c>
      <c r="K12" s="5" t="s">
        <v>8586</v>
      </c>
      <c r="L12" s="6" t="s">
        <v>42</v>
      </c>
      <c r="M12" s="5" t="s">
        <v>1959</v>
      </c>
      <c r="N12" s="5" t="s">
        <v>64</v>
      </c>
      <c r="O12" s="5" t="s">
        <v>8619</v>
      </c>
      <c r="P12" s="6">
        <v>4465.0</v>
      </c>
    </row>
    <row r="13" ht="56.25" customHeight="1">
      <c r="A13" s="5" t="s">
        <v>8615</v>
      </c>
      <c r="B13" s="6" t="str">
        <f>IMAGE("https://storage.googleapis.com/acdb/tops/TopsTexTopCoatLAnimal1.png")</f>
        <v/>
      </c>
      <c r="C13" s="5" t="s">
        <v>96</v>
      </c>
      <c r="D13" s="8" t="s">
        <v>36</v>
      </c>
      <c r="E13" s="6">
        <v>2320.0</v>
      </c>
      <c r="F13" s="6">
        <v>580.0</v>
      </c>
      <c r="G13" s="5" t="s">
        <v>96</v>
      </c>
      <c r="H13" s="5" t="s">
        <v>96</v>
      </c>
      <c r="I13" s="6" t="s">
        <v>40</v>
      </c>
      <c r="J13" s="5" t="s">
        <v>8585</v>
      </c>
      <c r="K13" s="5" t="s">
        <v>8586</v>
      </c>
      <c r="L13" s="6" t="s">
        <v>42</v>
      </c>
      <c r="M13" s="5" t="s">
        <v>1959</v>
      </c>
      <c r="N13" s="5" t="s">
        <v>64</v>
      </c>
      <c r="O13" s="5" t="s">
        <v>8622</v>
      </c>
      <c r="P13" s="6">
        <v>8449.0</v>
      </c>
    </row>
    <row r="14" ht="56.25" customHeight="1">
      <c r="A14" s="5" t="s">
        <v>8615</v>
      </c>
      <c r="B14" s="6" t="str">
        <f>IMAGE("https://storage.googleapis.com/acdb/tops/TopsTexTopCoatLAnimal2.png")</f>
        <v/>
      </c>
      <c r="C14" s="5" t="s">
        <v>106</v>
      </c>
      <c r="D14" s="8" t="s">
        <v>36</v>
      </c>
      <c r="E14" s="6">
        <v>2320.0</v>
      </c>
      <c r="F14" s="6">
        <v>580.0</v>
      </c>
      <c r="G14" s="5" t="s">
        <v>106</v>
      </c>
      <c r="H14" s="5" t="s">
        <v>106</v>
      </c>
      <c r="I14" s="6" t="s">
        <v>40</v>
      </c>
      <c r="J14" s="5" t="s">
        <v>8585</v>
      </c>
      <c r="K14" s="5" t="s">
        <v>8586</v>
      </c>
      <c r="L14" s="6" t="s">
        <v>42</v>
      </c>
      <c r="M14" s="5" t="s">
        <v>1959</v>
      </c>
      <c r="N14" s="5" t="s">
        <v>64</v>
      </c>
      <c r="O14" s="5" t="s">
        <v>8624</v>
      </c>
      <c r="P14" s="6">
        <v>8450.0</v>
      </c>
    </row>
    <row r="15" ht="56.25" customHeight="1">
      <c r="A15" s="5" t="s">
        <v>8615</v>
      </c>
      <c r="B15" s="6" t="str">
        <f>IMAGE("https://storage.googleapis.com/acdb/tops/TopsTexTopCoatLAnimal3.png")</f>
        <v/>
      </c>
      <c r="C15" s="5" t="s">
        <v>69</v>
      </c>
      <c r="D15" s="8" t="s">
        <v>36</v>
      </c>
      <c r="E15" s="6">
        <v>2320.0</v>
      </c>
      <c r="F15" s="6">
        <v>580.0</v>
      </c>
      <c r="G15" s="5" t="s">
        <v>69</v>
      </c>
      <c r="H15" s="5" t="s">
        <v>69</v>
      </c>
      <c r="I15" s="6" t="s">
        <v>40</v>
      </c>
      <c r="J15" s="5" t="s">
        <v>8585</v>
      </c>
      <c r="K15" s="5" t="s">
        <v>8586</v>
      </c>
      <c r="L15" s="6" t="s">
        <v>42</v>
      </c>
      <c r="M15" s="5" t="s">
        <v>1959</v>
      </c>
      <c r="N15" s="5" t="s">
        <v>64</v>
      </c>
      <c r="O15" s="5" t="s">
        <v>8628</v>
      </c>
      <c r="P15" s="6">
        <v>8451.0</v>
      </c>
    </row>
    <row r="16" ht="56.25" customHeight="1">
      <c r="A16" s="5" t="s">
        <v>8629</v>
      </c>
      <c r="B16" s="6" t="str">
        <f>IMAGE("https://storage.googleapis.com/acdb/tops/TopsTexTopTshirtsHStripe0.png")</f>
        <v/>
      </c>
      <c r="C16" s="5" t="s">
        <v>8630</v>
      </c>
      <c r="D16" s="8" t="s">
        <v>36</v>
      </c>
      <c r="E16" s="6">
        <v>960.0</v>
      </c>
      <c r="F16" s="6">
        <v>240.0</v>
      </c>
      <c r="G16" s="5" t="s">
        <v>114</v>
      </c>
      <c r="H16" s="5" t="s">
        <v>54</v>
      </c>
      <c r="I16" s="6" t="s">
        <v>40</v>
      </c>
      <c r="J16" s="5" t="s">
        <v>8585</v>
      </c>
      <c r="K16" s="5" t="s">
        <v>8632</v>
      </c>
      <c r="L16" s="6" t="s">
        <v>42</v>
      </c>
      <c r="M16" s="5" t="s">
        <v>1952</v>
      </c>
      <c r="N16" s="5" t="s">
        <v>64</v>
      </c>
      <c r="O16" s="5" t="s">
        <v>8634</v>
      </c>
      <c r="P16" s="6">
        <v>8198.0</v>
      </c>
    </row>
    <row r="17" ht="56.25" customHeight="1">
      <c r="A17" s="5" t="s">
        <v>8629</v>
      </c>
      <c r="B17" s="6" t="str">
        <f>IMAGE("https://storage.googleapis.com/acdb/tops/TopsTexTopTshirtsHStripe1.png")</f>
        <v/>
      </c>
      <c r="C17" s="5" t="s">
        <v>8635</v>
      </c>
      <c r="D17" s="8" t="s">
        <v>36</v>
      </c>
      <c r="E17" s="6">
        <v>960.0</v>
      </c>
      <c r="F17" s="6">
        <v>240.0</v>
      </c>
      <c r="G17" s="5" t="s">
        <v>95</v>
      </c>
      <c r="H17" s="5" t="s">
        <v>54</v>
      </c>
      <c r="I17" s="6" t="s">
        <v>40</v>
      </c>
      <c r="J17" s="5" t="s">
        <v>8585</v>
      </c>
      <c r="K17" s="5" t="s">
        <v>8632</v>
      </c>
      <c r="L17" s="6" t="s">
        <v>42</v>
      </c>
      <c r="M17" s="5" t="s">
        <v>1952</v>
      </c>
      <c r="N17" s="5" t="s">
        <v>64</v>
      </c>
      <c r="O17" s="5" t="s">
        <v>8636</v>
      </c>
      <c r="P17" s="6">
        <v>12066.0</v>
      </c>
    </row>
    <row r="18" ht="56.25" customHeight="1">
      <c r="A18" s="5" t="s">
        <v>8638</v>
      </c>
      <c r="B18" s="6" t="str">
        <f>IMAGE("https://storage.googleapis.com/acdb/tops/TopsTexTopTshirtsHHellokr0.png")</f>
        <v/>
      </c>
      <c r="C18" s="5" t="s">
        <v>34</v>
      </c>
      <c r="D18" s="8" t="s">
        <v>36</v>
      </c>
      <c r="E18" s="6">
        <v>640.0</v>
      </c>
      <c r="F18" s="6">
        <v>160.0</v>
      </c>
      <c r="G18" s="5" t="s">
        <v>83</v>
      </c>
      <c r="H18" s="5" t="s">
        <v>57</v>
      </c>
      <c r="I18" s="6" t="s">
        <v>40</v>
      </c>
      <c r="J18" s="5" t="s">
        <v>8578</v>
      </c>
      <c r="K18" s="5"/>
      <c r="L18" s="6" t="s">
        <v>42</v>
      </c>
      <c r="M18" s="5" t="s">
        <v>995</v>
      </c>
      <c r="N18" s="5" t="s">
        <v>64</v>
      </c>
      <c r="O18" s="5" t="s">
        <v>8641</v>
      </c>
      <c r="P18" s="6">
        <v>12117.0</v>
      </c>
    </row>
    <row r="19" ht="56.25" customHeight="1">
      <c r="A19" s="5" t="s">
        <v>8643</v>
      </c>
      <c r="B19" s="6" t="str">
        <f>IMAGE("https://storage.googleapis.com/acdb/tops/TopsTexTopCoatLAnorak1.png")</f>
        <v/>
      </c>
      <c r="C19" s="5" t="s">
        <v>52</v>
      </c>
      <c r="D19" s="8" t="s">
        <v>36</v>
      </c>
      <c r="E19" s="6">
        <v>1400.0</v>
      </c>
      <c r="F19" s="6">
        <v>350.0</v>
      </c>
      <c r="G19" s="5" t="s">
        <v>52</v>
      </c>
      <c r="H19" s="5" t="s">
        <v>52</v>
      </c>
      <c r="I19" s="6" t="s">
        <v>40</v>
      </c>
      <c r="J19" s="5" t="s">
        <v>8585</v>
      </c>
      <c r="K19" s="5" t="s">
        <v>8632</v>
      </c>
      <c r="L19" s="6" t="s">
        <v>42</v>
      </c>
      <c r="M19" s="5" t="s">
        <v>995</v>
      </c>
      <c r="N19" s="5" t="s">
        <v>64</v>
      </c>
      <c r="O19" s="5" t="s">
        <v>8646</v>
      </c>
      <c r="P19" s="6">
        <v>9308.0</v>
      </c>
    </row>
    <row r="20" ht="56.25" customHeight="1">
      <c r="A20" s="5" t="s">
        <v>8643</v>
      </c>
      <c r="B20" s="6" t="str">
        <f>IMAGE("https://storage.googleapis.com/acdb/tops/TopsTexTopCoatLAnorak2.png")</f>
        <v/>
      </c>
      <c r="C20" s="5" t="s">
        <v>68</v>
      </c>
      <c r="D20" s="8" t="s">
        <v>36</v>
      </c>
      <c r="E20" s="6">
        <v>1400.0</v>
      </c>
      <c r="F20" s="6">
        <v>350.0</v>
      </c>
      <c r="G20" s="5" t="s">
        <v>68</v>
      </c>
      <c r="H20" s="5" t="s">
        <v>68</v>
      </c>
      <c r="I20" s="6" t="s">
        <v>40</v>
      </c>
      <c r="J20" s="5" t="s">
        <v>8585</v>
      </c>
      <c r="K20" s="5" t="s">
        <v>8632</v>
      </c>
      <c r="L20" s="6" t="s">
        <v>42</v>
      </c>
      <c r="M20" s="5" t="s">
        <v>995</v>
      </c>
      <c r="N20" s="5" t="s">
        <v>64</v>
      </c>
      <c r="O20" s="5" t="s">
        <v>8650</v>
      </c>
      <c r="P20" s="6">
        <v>9309.0</v>
      </c>
    </row>
    <row r="21" ht="56.25" customHeight="1">
      <c r="A21" s="5" t="s">
        <v>8643</v>
      </c>
      <c r="B21" s="6" t="str">
        <f>IMAGE("https://storage.googleapis.com/acdb/tops/TopsTexTopCoatLAnorak0.png")</f>
        <v/>
      </c>
      <c r="C21" s="5" t="s">
        <v>2408</v>
      </c>
      <c r="D21" s="8" t="s">
        <v>36</v>
      </c>
      <c r="E21" s="6">
        <v>1400.0</v>
      </c>
      <c r="F21" s="6">
        <v>350.0</v>
      </c>
      <c r="G21" s="5" t="s">
        <v>38</v>
      </c>
      <c r="H21" s="5" t="s">
        <v>38</v>
      </c>
      <c r="I21" s="6" t="s">
        <v>40</v>
      </c>
      <c r="J21" s="5" t="s">
        <v>8585</v>
      </c>
      <c r="K21" s="5" t="s">
        <v>8632</v>
      </c>
      <c r="L21" s="6" t="s">
        <v>42</v>
      </c>
      <c r="M21" s="5" t="s">
        <v>995</v>
      </c>
      <c r="N21" s="5" t="s">
        <v>64</v>
      </c>
      <c r="O21" s="5" t="s">
        <v>8654</v>
      </c>
      <c r="P21" s="6">
        <v>4793.0</v>
      </c>
    </row>
    <row r="22" ht="56.25" customHeight="1">
      <c r="A22" s="5" t="s">
        <v>8655</v>
      </c>
      <c r="B22" s="6" t="str">
        <f>IMAGE("https://storage.googleapis.com/acdb/tops/TopsTexTopCoatHApron1.png")</f>
        <v/>
      </c>
      <c r="C22" s="5" t="s">
        <v>96</v>
      </c>
      <c r="D22" s="8" t="s">
        <v>36</v>
      </c>
      <c r="E22" s="6">
        <v>840.0</v>
      </c>
      <c r="F22" s="6">
        <v>210.0</v>
      </c>
      <c r="G22" s="5" t="s">
        <v>96</v>
      </c>
      <c r="H22" s="5" t="s">
        <v>57</v>
      </c>
      <c r="I22" s="6" t="s">
        <v>40</v>
      </c>
      <c r="J22" s="5" t="s">
        <v>8585</v>
      </c>
      <c r="K22" s="5" t="s">
        <v>8586</v>
      </c>
      <c r="L22" s="6" t="s">
        <v>42</v>
      </c>
      <c r="M22" s="5" t="s">
        <v>995</v>
      </c>
      <c r="N22" s="5" t="s">
        <v>64</v>
      </c>
      <c r="O22" s="5" t="s">
        <v>8656</v>
      </c>
      <c r="P22" s="6">
        <v>9595.0</v>
      </c>
    </row>
    <row r="23" ht="56.25" customHeight="1">
      <c r="A23" s="5" t="s">
        <v>8655</v>
      </c>
      <c r="B23" s="6" t="str">
        <f>IMAGE("https://storage.googleapis.com/acdb/tops/TopsTexTopCoatHApron2.png")</f>
        <v/>
      </c>
      <c r="C23" s="5" t="s">
        <v>68</v>
      </c>
      <c r="D23" s="8" t="s">
        <v>36</v>
      </c>
      <c r="E23" s="6">
        <v>840.0</v>
      </c>
      <c r="F23" s="6">
        <v>210.0</v>
      </c>
      <c r="G23" s="5" t="s">
        <v>68</v>
      </c>
      <c r="H23" s="5" t="s">
        <v>57</v>
      </c>
      <c r="I23" s="6" t="s">
        <v>40</v>
      </c>
      <c r="J23" s="5" t="s">
        <v>8585</v>
      </c>
      <c r="K23" s="5" t="s">
        <v>8586</v>
      </c>
      <c r="L23" s="6" t="s">
        <v>42</v>
      </c>
      <c r="M23" s="5" t="s">
        <v>995</v>
      </c>
      <c r="N23" s="5" t="s">
        <v>64</v>
      </c>
      <c r="O23" s="5" t="s">
        <v>8659</v>
      </c>
      <c r="P23" s="6">
        <v>9596.0</v>
      </c>
    </row>
    <row r="24" ht="56.25" customHeight="1">
      <c r="A24" s="5" t="s">
        <v>8655</v>
      </c>
      <c r="B24" s="6" t="str">
        <f>IMAGE("https://storage.googleapis.com/acdb/tops/TopsTexTopCoatHApron3.png")</f>
        <v/>
      </c>
      <c r="C24" s="5" t="s">
        <v>69</v>
      </c>
      <c r="D24" s="8" t="s">
        <v>36</v>
      </c>
      <c r="E24" s="6">
        <v>840.0</v>
      </c>
      <c r="F24" s="6">
        <v>210.0</v>
      </c>
      <c r="G24" s="5" t="s">
        <v>69</v>
      </c>
      <c r="H24" s="5" t="s">
        <v>57</v>
      </c>
      <c r="I24" s="6" t="s">
        <v>40</v>
      </c>
      <c r="J24" s="5" t="s">
        <v>8585</v>
      </c>
      <c r="K24" s="5" t="s">
        <v>8586</v>
      </c>
      <c r="L24" s="6" t="s">
        <v>42</v>
      </c>
      <c r="M24" s="5" t="s">
        <v>995</v>
      </c>
      <c r="N24" s="5" t="s">
        <v>64</v>
      </c>
      <c r="O24" s="5" t="s">
        <v>8663</v>
      </c>
      <c r="P24" s="6">
        <v>9597.0</v>
      </c>
    </row>
    <row r="25" ht="56.25" customHeight="1">
      <c r="A25" s="5" t="s">
        <v>8655</v>
      </c>
      <c r="B25" s="6" t="str">
        <f>IMAGE("https://storage.googleapis.com/acdb/tops/TopsTexTopCoatHApron4.png")</f>
        <v/>
      </c>
      <c r="C25" s="5" t="s">
        <v>83</v>
      </c>
      <c r="D25" s="8" t="s">
        <v>36</v>
      </c>
      <c r="E25" s="6">
        <v>840.0</v>
      </c>
      <c r="F25" s="6">
        <v>210.0</v>
      </c>
      <c r="G25" s="5" t="s">
        <v>83</v>
      </c>
      <c r="H25" s="5" t="s">
        <v>57</v>
      </c>
      <c r="I25" s="6" t="s">
        <v>40</v>
      </c>
      <c r="J25" s="5" t="s">
        <v>8585</v>
      </c>
      <c r="K25" s="5" t="s">
        <v>8586</v>
      </c>
      <c r="L25" s="6" t="s">
        <v>42</v>
      </c>
      <c r="M25" s="5" t="s">
        <v>995</v>
      </c>
      <c r="N25" s="5" t="s">
        <v>64</v>
      </c>
      <c r="O25" s="5" t="s">
        <v>8665</v>
      </c>
      <c r="P25" s="6">
        <v>9598.0</v>
      </c>
    </row>
    <row r="26" ht="56.25" customHeight="1">
      <c r="A26" s="5" t="s">
        <v>8655</v>
      </c>
      <c r="B26" s="6" t="str">
        <f>IMAGE("https://storage.googleapis.com/acdb/tops/TopsTexTopCoatHApron5.png")</f>
        <v/>
      </c>
      <c r="C26" s="5" t="s">
        <v>106</v>
      </c>
      <c r="D26" s="8" t="s">
        <v>36</v>
      </c>
      <c r="E26" s="6">
        <v>840.0</v>
      </c>
      <c r="F26" s="6">
        <v>210.0</v>
      </c>
      <c r="G26" s="5" t="s">
        <v>106</v>
      </c>
      <c r="H26" s="5" t="s">
        <v>57</v>
      </c>
      <c r="I26" s="6" t="s">
        <v>40</v>
      </c>
      <c r="J26" s="5" t="s">
        <v>8585</v>
      </c>
      <c r="K26" s="5" t="s">
        <v>8586</v>
      </c>
      <c r="L26" s="6" t="s">
        <v>42</v>
      </c>
      <c r="M26" s="5" t="s">
        <v>995</v>
      </c>
      <c r="N26" s="5" t="s">
        <v>64</v>
      </c>
      <c r="O26" s="5" t="s">
        <v>8667</v>
      </c>
      <c r="P26" s="6">
        <v>9599.0</v>
      </c>
    </row>
    <row r="27" ht="56.25" customHeight="1">
      <c r="A27" s="5" t="s">
        <v>8655</v>
      </c>
      <c r="B27" s="6" t="str">
        <f>IMAGE("https://storage.googleapis.com/acdb/tops/TopsTexTopCoatHApron0.png")</f>
        <v/>
      </c>
      <c r="C27" s="5" t="s">
        <v>142</v>
      </c>
      <c r="D27" s="8" t="s">
        <v>36</v>
      </c>
      <c r="E27" s="6">
        <v>840.0</v>
      </c>
      <c r="F27" s="6">
        <v>210.0</v>
      </c>
      <c r="G27" s="5" t="s">
        <v>142</v>
      </c>
      <c r="H27" s="5" t="s">
        <v>57</v>
      </c>
      <c r="I27" s="6" t="s">
        <v>40</v>
      </c>
      <c r="J27" s="5" t="s">
        <v>8585</v>
      </c>
      <c r="K27" s="5" t="s">
        <v>8586</v>
      </c>
      <c r="L27" s="6" t="s">
        <v>42</v>
      </c>
      <c r="M27" s="5" t="s">
        <v>995</v>
      </c>
      <c r="N27" s="5" t="s">
        <v>64</v>
      </c>
      <c r="O27" s="5" t="s">
        <v>8669</v>
      </c>
      <c r="P27" s="6">
        <v>3228.0</v>
      </c>
    </row>
    <row r="28" ht="56.25" customHeight="1">
      <c r="A28" s="5" t="s">
        <v>8655</v>
      </c>
      <c r="B28" s="6" t="str">
        <f>IMAGE("https://storage.googleapis.com/acdb/tops/TopsTexTopCoatHApron6.png")</f>
        <v/>
      </c>
      <c r="C28" s="5" t="s">
        <v>95</v>
      </c>
      <c r="D28" s="8" t="s">
        <v>36</v>
      </c>
      <c r="E28" s="6">
        <v>840.0</v>
      </c>
      <c r="F28" s="6">
        <v>210.0</v>
      </c>
      <c r="G28" s="5" t="s">
        <v>95</v>
      </c>
      <c r="H28" s="5" t="s">
        <v>57</v>
      </c>
      <c r="I28" s="6" t="s">
        <v>40</v>
      </c>
      <c r="J28" s="5" t="s">
        <v>8585</v>
      </c>
      <c r="K28" s="5" t="s">
        <v>8586</v>
      </c>
      <c r="L28" s="6" t="s">
        <v>42</v>
      </c>
      <c r="M28" s="5" t="s">
        <v>995</v>
      </c>
      <c r="N28" s="5" t="s">
        <v>64</v>
      </c>
      <c r="O28" s="5" t="s">
        <v>8671</v>
      </c>
      <c r="P28" s="6">
        <v>9600.0</v>
      </c>
    </row>
    <row r="29" ht="56.25" customHeight="1">
      <c r="A29" s="5" t="s">
        <v>8655</v>
      </c>
      <c r="B29" s="6" t="str">
        <f>IMAGE("https://storage.googleapis.com/acdb/tops/TopsTexTopCoatHApron7.png")</f>
        <v/>
      </c>
      <c r="C29" s="5" t="s">
        <v>39</v>
      </c>
      <c r="D29" s="8" t="s">
        <v>36</v>
      </c>
      <c r="E29" s="6">
        <v>840.0</v>
      </c>
      <c r="F29" s="6">
        <v>210.0</v>
      </c>
      <c r="G29" s="5" t="s">
        <v>39</v>
      </c>
      <c r="H29" s="5" t="s">
        <v>57</v>
      </c>
      <c r="I29" s="6" t="s">
        <v>40</v>
      </c>
      <c r="J29" s="5" t="s">
        <v>8585</v>
      </c>
      <c r="K29" s="5" t="s">
        <v>8586</v>
      </c>
      <c r="L29" s="6" t="s">
        <v>42</v>
      </c>
      <c r="M29" s="5" t="s">
        <v>995</v>
      </c>
      <c r="N29" s="5" t="s">
        <v>64</v>
      </c>
      <c r="O29" s="5" t="s">
        <v>8674</v>
      </c>
      <c r="P29" s="6">
        <v>9601.0</v>
      </c>
    </row>
    <row r="30" ht="56.25" customHeight="1">
      <c r="A30" s="5" t="s">
        <v>8675</v>
      </c>
      <c r="B30" s="6" t="str">
        <f>IMAGE("https://storage.googleapis.com/acdb/tops/TopsTexTopOuterLArancardigan1.png")</f>
        <v/>
      </c>
      <c r="C30" s="5" t="s">
        <v>83</v>
      </c>
      <c r="D30" s="8" t="s">
        <v>36</v>
      </c>
      <c r="E30" s="6">
        <v>1300.0</v>
      </c>
      <c r="F30" s="6">
        <v>325.0</v>
      </c>
      <c r="G30" s="5" t="s">
        <v>83</v>
      </c>
      <c r="H30" s="5" t="s">
        <v>83</v>
      </c>
      <c r="I30" s="6" t="s">
        <v>40</v>
      </c>
      <c r="J30" s="5" t="s">
        <v>8585</v>
      </c>
      <c r="K30" s="5" t="s">
        <v>8632</v>
      </c>
      <c r="L30" s="6" t="s">
        <v>42</v>
      </c>
      <c r="M30" s="5" t="s">
        <v>995</v>
      </c>
      <c r="N30" s="5" t="s">
        <v>64</v>
      </c>
      <c r="O30" s="5" t="s">
        <v>8678</v>
      </c>
      <c r="P30" s="6">
        <v>7678.0</v>
      </c>
    </row>
    <row r="31" ht="56.25" customHeight="1">
      <c r="A31" s="5" t="s">
        <v>8675</v>
      </c>
      <c r="B31" s="6" t="str">
        <f>IMAGE("https://storage.googleapis.com/acdb/tops/TopsTexTopOuterLArancardigan2.png")</f>
        <v/>
      </c>
      <c r="C31" s="5" t="s">
        <v>69</v>
      </c>
      <c r="D31" s="8" t="s">
        <v>36</v>
      </c>
      <c r="E31" s="6">
        <v>1300.0</v>
      </c>
      <c r="F31" s="6">
        <v>325.0</v>
      </c>
      <c r="G31" s="5" t="s">
        <v>69</v>
      </c>
      <c r="H31" s="5" t="s">
        <v>69</v>
      </c>
      <c r="I31" s="6" t="s">
        <v>40</v>
      </c>
      <c r="J31" s="5" t="s">
        <v>8585</v>
      </c>
      <c r="K31" s="5" t="s">
        <v>8632</v>
      </c>
      <c r="L31" s="6" t="s">
        <v>42</v>
      </c>
      <c r="M31" s="5" t="s">
        <v>995</v>
      </c>
      <c r="N31" s="5" t="s">
        <v>64</v>
      </c>
      <c r="O31" s="5" t="s">
        <v>8681</v>
      </c>
      <c r="P31" s="6">
        <v>7679.0</v>
      </c>
    </row>
    <row r="32" ht="56.25" customHeight="1">
      <c r="A32" s="5" t="s">
        <v>8675</v>
      </c>
      <c r="B32" s="6" t="str">
        <f>IMAGE("https://storage.googleapis.com/acdb/tops/TopsTexTopOuterLArancardigan0.png")</f>
        <v/>
      </c>
      <c r="C32" s="5" t="s">
        <v>38</v>
      </c>
      <c r="D32" s="8" t="s">
        <v>36</v>
      </c>
      <c r="E32" s="6">
        <v>1300.0</v>
      </c>
      <c r="F32" s="6">
        <v>325.0</v>
      </c>
      <c r="G32" s="5" t="s">
        <v>38</v>
      </c>
      <c r="H32" s="5" t="s">
        <v>38</v>
      </c>
      <c r="I32" s="6" t="s">
        <v>40</v>
      </c>
      <c r="J32" s="5" t="s">
        <v>8585</v>
      </c>
      <c r="K32" s="5" t="s">
        <v>8632</v>
      </c>
      <c r="L32" s="6" t="s">
        <v>42</v>
      </c>
      <c r="M32" s="5" t="s">
        <v>995</v>
      </c>
      <c r="N32" s="5" t="s">
        <v>64</v>
      </c>
      <c r="O32" s="5" t="s">
        <v>8683</v>
      </c>
      <c r="P32" s="6">
        <v>3643.0</v>
      </c>
    </row>
    <row r="33" ht="56.25" customHeight="1">
      <c r="A33" s="5" t="s">
        <v>8675</v>
      </c>
      <c r="B33" s="6" t="str">
        <f>IMAGE("https://storage.googleapis.com/acdb/tops/TopsTexTopOuterLArancardigan3.png")</f>
        <v/>
      </c>
      <c r="C33" s="5" t="s">
        <v>114</v>
      </c>
      <c r="D33" s="8" t="s">
        <v>36</v>
      </c>
      <c r="E33" s="6">
        <v>1300.0</v>
      </c>
      <c r="F33" s="6">
        <v>325.0</v>
      </c>
      <c r="G33" s="5" t="s">
        <v>114</v>
      </c>
      <c r="H33" s="5" t="s">
        <v>114</v>
      </c>
      <c r="I33" s="6" t="s">
        <v>40</v>
      </c>
      <c r="J33" s="5" t="s">
        <v>8585</v>
      </c>
      <c r="K33" s="5" t="s">
        <v>8632</v>
      </c>
      <c r="L33" s="6" t="s">
        <v>42</v>
      </c>
      <c r="M33" s="5" t="s">
        <v>995</v>
      </c>
      <c r="N33" s="5" t="s">
        <v>64</v>
      </c>
      <c r="O33" s="5" t="s">
        <v>8685</v>
      </c>
      <c r="P33" s="6">
        <v>7680.0</v>
      </c>
    </row>
    <row r="34" ht="56.25" customHeight="1">
      <c r="A34" s="5" t="s">
        <v>8686</v>
      </c>
      <c r="B34" s="6" t="str">
        <f>IMAGE("https://storage.googleapis.com/acdb/tops/TopsTexTopOuterLAran1.png")</f>
        <v/>
      </c>
      <c r="C34" s="5" t="s">
        <v>57</v>
      </c>
      <c r="D34" s="8" t="s">
        <v>36</v>
      </c>
      <c r="E34" s="6">
        <v>1200.0</v>
      </c>
      <c r="F34" s="6">
        <v>300.0</v>
      </c>
      <c r="G34" s="5" t="s">
        <v>57</v>
      </c>
      <c r="H34" s="5" t="s">
        <v>57</v>
      </c>
      <c r="I34" s="6" t="s">
        <v>40</v>
      </c>
      <c r="J34" s="5" t="s">
        <v>8585</v>
      </c>
      <c r="K34" s="5" t="s">
        <v>8632</v>
      </c>
      <c r="L34" s="6" t="s">
        <v>42</v>
      </c>
      <c r="M34" s="5" t="s">
        <v>995</v>
      </c>
      <c r="N34" s="5" t="s">
        <v>64</v>
      </c>
      <c r="O34" s="5" t="s">
        <v>8689</v>
      </c>
      <c r="P34" s="6">
        <v>7672.0</v>
      </c>
    </row>
    <row r="35" ht="56.25" customHeight="1">
      <c r="A35" s="5" t="s">
        <v>8686</v>
      </c>
      <c r="B35" s="6" t="str">
        <f>IMAGE("https://storage.googleapis.com/acdb/tops/TopsTexTopOuterLAran2.png")</f>
        <v/>
      </c>
      <c r="C35" s="5" t="s">
        <v>95</v>
      </c>
      <c r="D35" s="8" t="s">
        <v>36</v>
      </c>
      <c r="E35" s="6">
        <v>1200.0</v>
      </c>
      <c r="F35" s="6">
        <v>300.0</v>
      </c>
      <c r="G35" s="5" t="s">
        <v>95</v>
      </c>
      <c r="H35" s="5" t="s">
        <v>95</v>
      </c>
      <c r="I35" s="6" t="s">
        <v>40</v>
      </c>
      <c r="J35" s="5" t="s">
        <v>8585</v>
      </c>
      <c r="K35" s="5" t="s">
        <v>8632</v>
      </c>
      <c r="L35" s="6" t="s">
        <v>42</v>
      </c>
      <c r="M35" s="5" t="s">
        <v>995</v>
      </c>
      <c r="N35" s="5" t="s">
        <v>64</v>
      </c>
      <c r="O35" s="5" t="s">
        <v>8691</v>
      </c>
      <c r="P35" s="6">
        <v>7673.0</v>
      </c>
    </row>
    <row r="36" ht="56.25" customHeight="1">
      <c r="A36" s="5" t="s">
        <v>8686</v>
      </c>
      <c r="B36" s="6" t="str">
        <f>IMAGE("https://storage.googleapis.com/acdb/tops/TopsTexTopOuterLAran3.png")</f>
        <v/>
      </c>
      <c r="C36" s="5" t="s">
        <v>96</v>
      </c>
      <c r="D36" s="8" t="s">
        <v>36</v>
      </c>
      <c r="E36" s="6">
        <v>1200.0</v>
      </c>
      <c r="F36" s="6">
        <v>300.0</v>
      </c>
      <c r="G36" s="5" t="s">
        <v>96</v>
      </c>
      <c r="H36" s="5" t="s">
        <v>96</v>
      </c>
      <c r="I36" s="6" t="s">
        <v>40</v>
      </c>
      <c r="J36" s="5" t="s">
        <v>8585</v>
      </c>
      <c r="K36" s="5" t="s">
        <v>8632</v>
      </c>
      <c r="L36" s="6" t="s">
        <v>42</v>
      </c>
      <c r="M36" s="5" t="s">
        <v>995</v>
      </c>
      <c r="N36" s="5" t="s">
        <v>64</v>
      </c>
      <c r="O36" s="5" t="s">
        <v>8694</v>
      </c>
      <c r="P36" s="6">
        <v>7674.0</v>
      </c>
    </row>
    <row r="37" ht="56.25" customHeight="1">
      <c r="A37" s="5" t="s">
        <v>8686</v>
      </c>
      <c r="B37" s="6" t="str">
        <f>IMAGE("https://storage.googleapis.com/acdb/tops/TopsTexTopOuterLAran4.png")</f>
        <v/>
      </c>
      <c r="C37" s="5" t="s">
        <v>54</v>
      </c>
      <c r="D37" s="8" t="s">
        <v>36</v>
      </c>
      <c r="E37" s="6">
        <v>1200.0</v>
      </c>
      <c r="F37" s="6">
        <v>300.0</v>
      </c>
      <c r="G37" s="5" t="s">
        <v>54</v>
      </c>
      <c r="H37" s="5" t="s">
        <v>54</v>
      </c>
      <c r="I37" s="6" t="s">
        <v>40</v>
      </c>
      <c r="J37" s="5" t="s">
        <v>8585</v>
      </c>
      <c r="K37" s="5" t="s">
        <v>8632</v>
      </c>
      <c r="L37" s="6" t="s">
        <v>42</v>
      </c>
      <c r="M37" s="5" t="s">
        <v>995</v>
      </c>
      <c r="N37" s="5" t="s">
        <v>64</v>
      </c>
      <c r="O37" s="5" t="s">
        <v>8696</v>
      </c>
      <c r="P37" s="6">
        <v>7675.0</v>
      </c>
    </row>
    <row r="38" ht="56.25" customHeight="1">
      <c r="A38" s="5" t="s">
        <v>8686</v>
      </c>
      <c r="B38" s="6" t="str">
        <f>IMAGE("https://storage.googleapis.com/acdb/tops/TopsTexTopOuterLAran5.png")</f>
        <v/>
      </c>
      <c r="C38" s="5" t="s">
        <v>142</v>
      </c>
      <c r="D38" s="8" t="s">
        <v>36</v>
      </c>
      <c r="E38" s="6">
        <v>1200.0</v>
      </c>
      <c r="F38" s="6">
        <v>300.0</v>
      </c>
      <c r="G38" s="5" t="s">
        <v>142</v>
      </c>
      <c r="H38" s="5" t="s">
        <v>142</v>
      </c>
      <c r="I38" s="6" t="s">
        <v>40</v>
      </c>
      <c r="J38" s="5" t="s">
        <v>8585</v>
      </c>
      <c r="K38" s="5" t="s">
        <v>8632</v>
      </c>
      <c r="L38" s="6" t="s">
        <v>42</v>
      </c>
      <c r="M38" s="5" t="s">
        <v>995</v>
      </c>
      <c r="N38" s="5" t="s">
        <v>64</v>
      </c>
      <c r="O38" s="5" t="s">
        <v>8699</v>
      </c>
      <c r="P38" s="6">
        <v>7676.0</v>
      </c>
    </row>
    <row r="39" ht="56.25" customHeight="1">
      <c r="A39" s="5" t="s">
        <v>8686</v>
      </c>
      <c r="B39" s="6" t="str">
        <f>IMAGE("https://storage.googleapis.com/acdb/tops/TopsTexTopOuterLAran6.png")</f>
        <v/>
      </c>
      <c r="C39" s="5" t="s">
        <v>68</v>
      </c>
      <c r="D39" s="8" t="s">
        <v>36</v>
      </c>
      <c r="E39" s="6">
        <v>1200.0</v>
      </c>
      <c r="F39" s="6">
        <v>300.0</v>
      </c>
      <c r="G39" s="5" t="s">
        <v>68</v>
      </c>
      <c r="H39" s="5" t="s">
        <v>68</v>
      </c>
      <c r="I39" s="6" t="s">
        <v>40</v>
      </c>
      <c r="J39" s="5" t="s">
        <v>8585</v>
      </c>
      <c r="K39" s="5" t="s">
        <v>8632</v>
      </c>
      <c r="L39" s="6" t="s">
        <v>42</v>
      </c>
      <c r="M39" s="5" t="s">
        <v>995</v>
      </c>
      <c r="N39" s="5" t="s">
        <v>64</v>
      </c>
      <c r="O39" s="5" t="s">
        <v>8702</v>
      </c>
      <c r="P39" s="6">
        <v>7677.0</v>
      </c>
    </row>
    <row r="40" ht="56.25" customHeight="1">
      <c r="A40" s="5" t="s">
        <v>8686</v>
      </c>
      <c r="B40" s="6" t="str">
        <f>IMAGE("https://storage.googleapis.com/acdb/tops/TopsTexTopOuterLAran0.png")</f>
        <v/>
      </c>
      <c r="C40" s="5" t="s">
        <v>52</v>
      </c>
      <c r="D40" s="8" t="s">
        <v>36</v>
      </c>
      <c r="E40" s="6">
        <v>1200.0</v>
      </c>
      <c r="F40" s="6">
        <v>300.0</v>
      </c>
      <c r="G40" s="5" t="s">
        <v>52</v>
      </c>
      <c r="H40" s="5" t="s">
        <v>52</v>
      </c>
      <c r="I40" s="6" t="s">
        <v>40</v>
      </c>
      <c r="J40" s="5" t="s">
        <v>8585</v>
      </c>
      <c r="K40" s="5" t="s">
        <v>8632</v>
      </c>
      <c r="L40" s="6" t="s">
        <v>42</v>
      </c>
      <c r="M40" s="5" t="s">
        <v>995</v>
      </c>
      <c r="N40" s="5" t="s">
        <v>64</v>
      </c>
      <c r="O40" s="5" t="s">
        <v>8705</v>
      </c>
      <c r="P40" s="6">
        <v>3633.0</v>
      </c>
    </row>
    <row r="41" ht="56.25" customHeight="1">
      <c r="A41" s="5" t="s">
        <v>8706</v>
      </c>
      <c r="B41" s="6" t="str">
        <f>IMAGE("https://storage.googleapis.com/acdb/tops/TopsTexTopOuterLArgyle1.png")</f>
        <v/>
      </c>
      <c r="C41" s="5" t="s">
        <v>95</v>
      </c>
      <c r="D41" s="8" t="s">
        <v>36</v>
      </c>
      <c r="E41" s="6">
        <v>1200.0</v>
      </c>
      <c r="F41" s="6">
        <v>300.0</v>
      </c>
      <c r="G41" s="5" t="s">
        <v>95</v>
      </c>
      <c r="H41" s="5" t="s">
        <v>106</v>
      </c>
      <c r="I41" s="6" t="s">
        <v>40</v>
      </c>
      <c r="J41" s="5" t="s">
        <v>8585</v>
      </c>
      <c r="K41" s="5" t="s">
        <v>8632</v>
      </c>
      <c r="L41" s="6" t="s">
        <v>42</v>
      </c>
      <c r="M41" s="5" t="s">
        <v>995</v>
      </c>
      <c r="N41" s="5" t="s">
        <v>64</v>
      </c>
      <c r="O41" s="5" t="s">
        <v>8708</v>
      </c>
      <c r="P41" s="6">
        <v>7742.0</v>
      </c>
    </row>
    <row r="42" ht="56.25" customHeight="1">
      <c r="A42" s="5" t="s">
        <v>8706</v>
      </c>
      <c r="B42" s="6" t="str">
        <f>IMAGE("https://storage.googleapis.com/acdb/tops/TopsTexTopOuterLArgyle2.png")</f>
        <v/>
      </c>
      <c r="C42" s="5" t="s">
        <v>8709</v>
      </c>
      <c r="D42" s="8" t="s">
        <v>36</v>
      </c>
      <c r="E42" s="6">
        <v>1200.0</v>
      </c>
      <c r="F42" s="6">
        <v>300.0</v>
      </c>
      <c r="G42" s="5" t="s">
        <v>114</v>
      </c>
      <c r="H42" s="5" t="s">
        <v>57</v>
      </c>
      <c r="I42" s="6" t="s">
        <v>40</v>
      </c>
      <c r="J42" s="5" t="s">
        <v>8585</v>
      </c>
      <c r="K42" s="5" t="s">
        <v>8632</v>
      </c>
      <c r="L42" s="6" t="s">
        <v>42</v>
      </c>
      <c r="M42" s="5" t="s">
        <v>995</v>
      </c>
      <c r="N42" s="5" t="s">
        <v>64</v>
      </c>
      <c r="O42" s="5" t="s">
        <v>8712</v>
      </c>
      <c r="P42" s="6">
        <v>7743.0</v>
      </c>
    </row>
    <row r="43" ht="56.25" customHeight="1">
      <c r="A43" s="5" t="s">
        <v>8706</v>
      </c>
      <c r="B43" s="6" t="str">
        <f>IMAGE("https://storage.googleapis.com/acdb/tops/TopsTexTopOuterLArgyle3.png")</f>
        <v/>
      </c>
      <c r="C43" s="5" t="s">
        <v>54</v>
      </c>
      <c r="D43" s="8" t="s">
        <v>36</v>
      </c>
      <c r="E43" s="6">
        <v>1200.0</v>
      </c>
      <c r="F43" s="6">
        <v>300.0</v>
      </c>
      <c r="G43" s="5" t="s">
        <v>54</v>
      </c>
      <c r="H43" s="5" t="s">
        <v>68</v>
      </c>
      <c r="I43" s="6" t="s">
        <v>40</v>
      </c>
      <c r="J43" s="5" t="s">
        <v>8585</v>
      </c>
      <c r="K43" s="5" t="s">
        <v>8632</v>
      </c>
      <c r="L43" s="6" t="s">
        <v>42</v>
      </c>
      <c r="M43" s="5" t="s">
        <v>995</v>
      </c>
      <c r="N43" s="5" t="s">
        <v>64</v>
      </c>
      <c r="O43" s="5" t="s">
        <v>8714</v>
      </c>
      <c r="P43" s="6">
        <v>7744.0</v>
      </c>
    </row>
    <row r="44" ht="56.25" customHeight="1">
      <c r="A44" s="5" t="s">
        <v>8706</v>
      </c>
      <c r="B44" s="6" t="str">
        <f>IMAGE("https://storage.googleapis.com/acdb/tops/TopsTexTopOuterLArgyle4.png")</f>
        <v/>
      </c>
      <c r="C44" s="5" t="s">
        <v>52</v>
      </c>
      <c r="D44" s="8" t="s">
        <v>36</v>
      </c>
      <c r="E44" s="6">
        <v>1200.0</v>
      </c>
      <c r="F44" s="6">
        <v>300.0</v>
      </c>
      <c r="G44" s="5" t="s">
        <v>52</v>
      </c>
      <c r="H44" s="5" t="s">
        <v>95</v>
      </c>
      <c r="I44" s="6" t="s">
        <v>40</v>
      </c>
      <c r="J44" s="5" t="s">
        <v>8585</v>
      </c>
      <c r="K44" s="5" t="s">
        <v>8632</v>
      </c>
      <c r="L44" s="6" t="s">
        <v>42</v>
      </c>
      <c r="M44" s="5" t="s">
        <v>995</v>
      </c>
      <c r="N44" s="5" t="s">
        <v>64</v>
      </c>
      <c r="O44" s="5" t="s">
        <v>8718</v>
      </c>
      <c r="P44" s="6">
        <v>7745.0</v>
      </c>
    </row>
    <row r="45" ht="56.25" customHeight="1">
      <c r="A45" s="5" t="s">
        <v>8706</v>
      </c>
      <c r="B45" s="6" t="str">
        <f>IMAGE("https://storage.googleapis.com/acdb/tops/TopsTexTopOuterLArgyle5.png")</f>
        <v/>
      </c>
      <c r="C45" s="5" t="s">
        <v>106</v>
      </c>
      <c r="D45" s="8" t="s">
        <v>36</v>
      </c>
      <c r="E45" s="6">
        <v>1200.0</v>
      </c>
      <c r="F45" s="6">
        <v>300.0</v>
      </c>
      <c r="G45" s="5" t="s">
        <v>106</v>
      </c>
      <c r="H45" s="5" t="s">
        <v>57</v>
      </c>
      <c r="I45" s="6" t="s">
        <v>40</v>
      </c>
      <c r="J45" s="5" t="s">
        <v>8585</v>
      </c>
      <c r="K45" s="5" t="s">
        <v>8632</v>
      </c>
      <c r="L45" s="6" t="s">
        <v>42</v>
      </c>
      <c r="M45" s="5" t="s">
        <v>995</v>
      </c>
      <c r="N45" s="5" t="s">
        <v>64</v>
      </c>
      <c r="O45" s="5" t="s">
        <v>8720</v>
      </c>
      <c r="P45" s="6">
        <v>7746.0</v>
      </c>
    </row>
    <row r="46" ht="56.25" customHeight="1">
      <c r="A46" s="5" t="s">
        <v>8706</v>
      </c>
      <c r="B46" s="6" t="str">
        <f>IMAGE("https://storage.googleapis.com/acdb/tops/TopsTexTopOuterLArgyle6.png")</f>
        <v/>
      </c>
      <c r="C46" s="5" t="s">
        <v>69</v>
      </c>
      <c r="D46" s="8" t="s">
        <v>36</v>
      </c>
      <c r="E46" s="6">
        <v>1200.0</v>
      </c>
      <c r="F46" s="6">
        <v>300.0</v>
      </c>
      <c r="G46" s="5" t="s">
        <v>69</v>
      </c>
      <c r="H46" s="5" t="s">
        <v>142</v>
      </c>
      <c r="I46" s="6" t="s">
        <v>40</v>
      </c>
      <c r="J46" s="5" t="s">
        <v>8585</v>
      </c>
      <c r="K46" s="5" t="s">
        <v>8632</v>
      </c>
      <c r="L46" s="6" t="s">
        <v>42</v>
      </c>
      <c r="M46" s="5" t="s">
        <v>995</v>
      </c>
      <c r="N46" s="5" t="s">
        <v>64</v>
      </c>
      <c r="O46" s="5" t="s">
        <v>8723</v>
      </c>
      <c r="P46" s="6">
        <v>7747.0</v>
      </c>
    </row>
    <row r="47" ht="56.25" customHeight="1">
      <c r="A47" s="5" t="s">
        <v>8706</v>
      </c>
      <c r="B47" s="6" t="str">
        <f>IMAGE("https://storage.googleapis.com/acdb/tops/TopsTexTopOuterLArgyle7.png")</f>
        <v/>
      </c>
      <c r="C47" s="5" t="s">
        <v>57</v>
      </c>
      <c r="D47" s="8" t="s">
        <v>36</v>
      </c>
      <c r="E47" s="6">
        <v>1200.0</v>
      </c>
      <c r="F47" s="6">
        <v>300.0</v>
      </c>
      <c r="G47" s="5" t="s">
        <v>57</v>
      </c>
      <c r="H47" s="5" t="s">
        <v>96</v>
      </c>
      <c r="I47" s="6" t="s">
        <v>40</v>
      </c>
      <c r="J47" s="5" t="s">
        <v>8585</v>
      </c>
      <c r="K47" s="5" t="s">
        <v>8632</v>
      </c>
      <c r="L47" s="6" t="s">
        <v>42</v>
      </c>
      <c r="M47" s="5" t="s">
        <v>995</v>
      </c>
      <c r="N47" s="5" t="s">
        <v>64</v>
      </c>
      <c r="O47" s="5" t="s">
        <v>8724</v>
      </c>
      <c r="P47" s="6">
        <v>7748.0</v>
      </c>
    </row>
    <row r="48" ht="56.25" customHeight="1">
      <c r="A48" s="5" t="s">
        <v>8706</v>
      </c>
      <c r="B48" s="6" t="str">
        <f>IMAGE("https://storage.googleapis.com/acdb/tops/TopsTexTopOuterLArgyle0.png")</f>
        <v/>
      </c>
      <c r="C48" s="5" t="s">
        <v>96</v>
      </c>
      <c r="D48" s="8" t="s">
        <v>36</v>
      </c>
      <c r="E48" s="6">
        <v>1200.0</v>
      </c>
      <c r="F48" s="6">
        <v>300.0</v>
      </c>
      <c r="G48" s="5" t="s">
        <v>96</v>
      </c>
      <c r="H48" s="5" t="s">
        <v>52</v>
      </c>
      <c r="I48" s="6" t="s">
        <v>40</v>
      </c>
      <c r="J48" s="5" t="s">
        <v>8585</v>
      </c>
      <c r="K48" s="5" t="s">
        <v>8632</v>
      </c>
      <c r="L48" s="6" t="s">
        <v>42</v>
      </c>
      <c r="M48" s="5" t="s">
        <v>995</v>
      </c>
      <c r="N48" s="5" t="s">
        <v>64</v>
      </c>
      <c r="O48" s="5" t="s">
        <v>8728</v>
      </c>
      <c r="P48" s="6">
        <v>3579.0</v>
      </c>
    </row>
    <row r="49" ht="56.25" customHeight="1">
      <c r="A49" s="5" t="s">
        <v>8730</v>
      </c>
      <c r="B49" s="6" t="str">
        <f>IMAGE("https://storage.googleapis.com/acdb/tops/TopsTexTopYshirtsLArgyle0.png")</f>
        <v/>
      </c>
      <c r="C49" s="5" t="s">
        <v>68</v>
      </c>
      <c r="D49" s="8" t="s">
        <v>36</v>
      </c>
      <c r="E49" s="6">
        <v>1440.0</v>
      </c>
      <c r="F49" s="6">
        <v>360.0</v>
      </c>
      <c r="G49" s="5" t="s">
        <v>68</v>
      </c>
      <c r="H49" s="5" t="s">
        <v>83</v>
      </c>
      <c r="I49" s="6" t="s">
        <v>40</v>
      </c>
      <c r="J49" s="5" t="s">
        <v>8585</v>
      </c>
      <c r="K49" s="5" t="s">
        <v>8632</v>
      </c>
      <c r="L49" s="6" t="s">
        <v>42</v>
      </c>
      <c r="M49" s="5" t="s">
        <v>995</v>
      </c>
      <c r="N49" s="5" t="s">
        <v>64</v>
      </c>
      <c r="O49" s="5" t="s">
        <v>8731</v>
      </c>
      <c r="P49" s="6">
        <v>3262.0</v>
      </c>
    </row>
    <row r="50" ht="56.25" customHeight="1">
      <c r="A50" s="5" t="s">
        <v>8730</v>
      </c>
      <c r="B50" s="6" t="str">
        <f>IMAGE("https://storage.googleapis.com/acdb/tops/TopsTexTopYshirtsLArgyle1.png")</f>
        <v/>
      </c>
      <c r="C50" s="5" t="s">
        <v>69</v>
      </c>
      <c r="D50" s="8" t="s">
        <v>36</v>
      </c>
      <c r="E50" s="6">
        <v>1440.0</v>
      </c>
      <c r="F50" s="6">
        <v>360.0</v>
      </c>
      <c r="G50" s="5" t="s">
        <v>69</v>
      </c>
      <c r="H50" s="5" t="s">
        <v>57</v>
      </c>
      <c r="I50" s="6" t="s">
        <v>40</v>
      </c>
      <c r="J50" s="5" t="s">
        <v>8585</v>
      </c>
      <c r="K50" s="5" t="s">
        <v>8632</v>
      </c>
      <c r="L50" s="6" t="s">
        <v>42</v>
      </c>
      <c r="M50" s="5" t="s">
        <v>995</v>
      </c>
      <c r="N50" s="5" t="s">
        <v>64</v>
      </c>
      <c r="O50" s="5" t="s">
        <v>8733</v>
      </c>
      <c r="P50" s="6">
        <v>8480.0</v>
      </c>
    </row>
    <row r="51" ht="56.25" customHeight="1">
      <c r="A51" s="5" t="s">
        <v>8730</v>
      </c>
      <c r="B51" s="6" t="str">
        <f>IMAGE("https://storage.googleapis.com/acdb/tops/TopsTexTopYshirtsLArgyle2.png")</f>
        <v/>
      </c>
      <c r="C51" s="5" t="s">
        <v>39</v>
      </c>
      <c r="D51" s="8" t="s">
        <v>36</v>
      </c>
      <c r="E51" s="6">
        <v>1440.0</v>
      </c>
      <c r="F51" s="6">
        <v>360.0</v>
      </c>
      <c r="G51" s="5" t="s">
        <v>39</v>
      </c>
      <c r="H51" s="5" t="s">
        <v>57</v>
      </c>
      <c r="I51" s="6" t="s">
        <v>40</v>
      </c>
      <c r="J51" s="5" t="s">
        <v>8585</v>
      </c>
      <c r="K51" s="5" t="s">
        <v>8632</v>
      </c>
      <c r="L51" s="6" t="s">
        <v>42</v>
      </c>
      <c r="M51" s="5" t="s">
        <v>995</v>
      </c>
      <c r="N51" s="5" t="s">
        <v>64</v>
      </c>
      <c r="O51" s="5" t="s">
        <v>8736</v>
      </c>
      <c r="P51" s="6">
        <v>8481.0</v>
      </c>
    </row>
    <row r="52" ht="56.25" customHeight="1">
      <c r="A52" s="5" t="s">
        <v>8730</v>
      </c>
      <c r="B52" s="6" t="str">
        <f>IMAGE("https://storage.googleapis.com/acdb/tops/TopsTexTopYshirtsLArgyle3.png")</f>
        <v/>
      </c>
      <c r="C52" s="5" t="s">
        <v>52</v>
      </c>
      <c r="D52" s="8" t="s">
        <v>36</v>
      </c>
      <c r="E52" s="6">
        <v>1440.0</v>
      </c>
      <c r="F52" s="6">
        <v>360.0</v>
      </c>
      <c r="G52" s="5" t="s">
        <v>52</v>
      </c>
      <c r="H52" s="5" t="s">
        <v>57</v>
      </c>
      <c r="I52" s="6" t="s">
        <v>40</v>
      </c>
      <c r="J52" s="5" t="s">
        <v>8585</v>
      </c>
      <c r="K52" s="5" t="s">
        <v>8632</v>
      </c>
      <c r="L52" s="6" t="s">
        <v>42</v>
      </c>
      <c r="M52" s="5" t="s">
        <v>995</v>
      </c>
      <c r="N52" s="5" t="s">
        <v>64</v>
      </c>
      <c r="O52" s="5" t="s">
        <v>8738</v>
      </c>
      <c r="P52" s="6">
        <v>8482.0</v>
      </c>
    </row>
    <row r="53" ht="56.25" customHeight="1">
      <c r="A53" s="5" t="s">
        <v>8730</v>
      </c>
      <c r="B53" s="6" t="str">
        <f>IMAGE("https://storage.googleapis.com/acdb/tops/TopsTexTopYshirtsLArgyle4.png")</f>
        <v/>
      </c>
      <c r="C53" s="5" t="s">
        <v>95</v>
      </c>
      <c r="D53" s="8" t="s">
        <v>36</v>
      </c>
      <c r="E53" s="6">
        <v>1440.0</v>
      </c>
      <c r="F53" s="6">
        <v>360.0</v>
      </c>
      <c r="G53" s="5" t="s">
        <v>95</v>
      </c>
      <c r="H53" s="5" t="s">
        <v>57</v>
      </c>
      <c r="I53" s="6" t="s">
        <v>40</v>
      </c>
      <c r="J53" s="5" t="s">
        <v>8585</v>
      </c>
      <c r="K53" s="5" t="s">
        <v>8632</v>
      </c>
      <c r="L53" s="6" t="s">
        <v>42</v>
      </c>
      <c r="M53" s="5" t="s">
        <v>995</v>
      </c>
      <c r="N53" s="5" t="s">
        <v>64</v>
      </c>
      <c r="O53" s="5" t="s">
        <v>8740</v>
      </c>
      <c r="P53" s="6">
        <v>8483.0</v>
      </c>
    </row>
    <row r="54" ht="56.25" customHeight="1">
      <c r="A54" s="5" t="s">
        <v>8730</v>
      </c>
      <c r="B54" s="6" t="str">
        <f>IMAGE("https://storage.googleapis.com/acdb/tops/TopsTexTopYshirtsLArgyle5.png")</f>
        <v/>
      </c>
      <c r="C54" s="5" t="s">
        <v>96</v>
      </c>
      <c r="D54" s="8" t="s">
        <v>36</v>
      </c>
      <c r="E54" s="6">
        <v>1440.0</v>
      </c>
      <c r="F54" s="6">
        <v>360.0</v>
      </c>
      <c r="G54" s="5" t="s">
        <v>96</v>
      </c>
      <c r="H54" s="5" t="s">
        <v>57</v>
      </c>
      <c r="I54" s="6" t="s">
        <v>40</v>
      </c>
      <c r="J54" s="5" t="s">
        <v>8585</v>
      </c>
      <c r="K54" s="5" t="s">
        <v>8632</v>
      </c>
      <c r="L54" s="6" t="s">
        <v>42</v>
      </c>
      <c r="M54" s="5" t="s">
        <v>995</v>
      </c>
      <c r="N54" s="5" t="s">
        <v>64</v>
      </c>
      <c r="O54" s="5" t="s">
        <v>8744</v>
      </c>
      <c r="P54" s="6">
        <v>8484.0</v>
      </c>
    </row>
    <row r="55" ht="56.25" customHeight="1">
      <c r="A55" s="5" t="s">
        <v>8745</v>
      </c>
      <c r="B55" s="6" t="str">
        <f>IMAGE("https://storage.googleapis.com/acdb/tops/TopsTexTopOuterLJersey1.png")</f>
        <v/>
      </c>
      <c r="C55" s="5" t="s">
        <v>96</v>
      </c>
      <c r="D55" s="8" t="s">
        <v>36</v>
      </c>
      <c r="E55" s="6">
        <v>960.0</v>
      </c>
      <c r="F55" s="6">
        <v>240.0</v>
      </c>
      <c r="G55" s="5" t="s">
        <v>96</v>
      </c>
      <c r="H55" s="5" t="s">
        <v>57</v>
      </c>
      <c r="I55" s="6" t="s">
        <v>40</v>
      </c>
      <c r="J55" s="5" t="s">
        <v>8585</v>
      </c>
      <c r="K55" s="5" t="s">
        <v>8632</v>
      </c>
      <c r="L55" s="6" t="s">
        <v>42</v>
      </c>
      <c r="M55" s="5" t="s">
        <v>8746</v>
      </c>
      <c r="N55" s="5" t="s">
        <v>64</v>
      </c>
      <c r="O55" s="5" t="s">
        <v>8748</v>
      </c>
      <c r="P55" s="6">
        <v>7198.0</v>
      </c>
    </row>
    <row r="56" ht="56.25" customHeight="1">
      <c r="A56" s="5" t="s">
        <v>8745</v>
      </c>
      <c r="B56" s="6" t="str">
        <f>IMAGE("https://storage.googleapis.com/acdb/tops/TopsTexTopOuterLJersey2.png")</f>
        <v/>
      </c>
      <c r="C56" s="5" t="s">
        <v>54</v>
      </c>
      <c r="D56" s="8" t="s">
        <v>36</v>
      </c>
      <c r="E56" s="6">
        <v>960.0</v>
      </c>
      <c r="F56" s="6">
        <v>240.0</v>
      </c>
      <c r="G56" s="5" t="s">
        <v>54</v>
      </c>
      <c r="H56" s="5" t="s">
        <v>57</v>
      </c>
      <c r="I56" s="6" t="s">
        <v>40</v>
      </c>
      <c r="J56" s="5" t="s">
        <v>8585</v>
      </c>
      <c r="K56" s="5" t="s">
        <v>8632</v>
      </c>
      <c r="L56" s="6" t="s">
        <v>42</v>
      </c>
      <c r="M56" s="5" t="s">
        <v>8746</v>
      </c>
      <c r="N56" s="5" t="s">
        <v>64</v>
      </c>
      <c r="O56" s="5" t="s">
        <v>8750</v>
      </c>
      <c r="P56" s="6">
        <v>7199.0</v>
      </c>
    </row>
    <row r="57" ht="56.25" customHeight="1">
      <c r="A57" s="5" t="s">
        <v>8745</v>
      </c>
      <c r="B57" s="6" t="str">
        <f>IMAGE("https://storage.googleapis.com/acdb/tops/TopsTexTopOuterLJersey0.png")</f>
        <v/>
      </c>
      <c r="C57" s="5" t="s">
        <v>52</v>
      </c>
      <c r="D57" s="8" t="s">
        <v>36</v>
      </c>
      <c r="E57" s="6">
        <v>960.0</v>
      </c>
      <c r="F57" s="6">
        <v>240.0</v>
      </c>
      <c r="G57" s="5" t="s">
        <v>52</v>
      </c>
      <c r="H57" s="5" t="s">
        <v>57</v>
      </c>
      <c r="I57" s="6" t="s">
        <v>40</v>
      </c>
      <c r="J57" s="5" t="s">
        <v>8585</v>
      </c>
      <c r="K57" s="5" t="s">
        <v>8632</v>
      </c>
      <c r="L57" s="6" t="s">
        <v>42</v>
      </c>
      <c r="M57" s="5" t="s">
        <v>8746</v>
      </c>
      <c r="N57" s="5" t="s">
        <v>64</v>
      </c>
      <c r="O57" s="5" t="s">
        <v>8753</v>
      </c>
      <c r="P57" s="6">
        <v>3244.0</v>
      </c>
    </row>
    <row r="58" ht="56.25" customHeight="1">
      <c r="A58" s="5" t="s">
        <v>8745</v>
      </c>
      <c r="B58" s="6" t="str">
        <f>IMAGE("https://storage.googleapis.com/acdb/tops/TopsTexTopOuterLJersey3.png")</f>
        <v/>
      </c>
      <c r="C58" s="5" t="s">
        <v>68</v>
      </c>
      <c r="D58" s="8" t="s">
        <v>36</v>
      </c>
      <c r="E58" s="6">
        <v>960.0</v>
      </c>
      <c r="F58" s="6">
        <v>240.0</v>
      </c>
      <c r="G58" s="5" t="s">
        <v>68</v>
      </c>
      <c r="H58" s="5" t="s">
        <v>57</v>
      </c>
      <c r="I58" s="6" t="s">
        <v>40</v>
      </c>
      <c r="J58" s="5" t="s">
        <v>8585</v>
      </c>
      <c r="K58" s="5" t="s">
        <v>8632</v>
      </c>
      <c r="L58" s="6" t="s">
        <v>42</v>
      </c>
      <c r="M58" s="5" t="s">
        <v>8746</v>
      </c>
      <c r="N58" s="5" t="s">
        <v>64</v>
      </c>
      <c r="O58" s="5" t="s">
        <v>8755</v>
      </c>
      <c r="P58" s="6">
        <v>7200.0</v>
      </c>
    </row>
    <row r="59" ht="56.25" customHeight="1">
      <c r="A59" s="5" t="s">
        <v>8745</v>
      </c>
      <c r="B59" s="6" t="str">
        <f>IMAGE("https://storage.googleapis.com/acdb/tops/TopsTexTopOuterLJersey4.png")</f>
        <v/>
      </c>
      <c r="C59" s="5" t="s">
        <v>4883</v>
      </c>
      <c r="D59" s="8" t="s">
        <v>36</v>
      </c>
      <c r="E59" s="6">
        <v>960.0</v>
      </c>
      <c r="F59" s="6">
        <v>240.0</v>
      </c>
      <c r="G59" s="5" t="s">
        <v>52</v>
      </c>
      <c r="H59" s="5" t="s">
        <v>57</v>
      </c>
      <c r="I59" s="6" t="s">
        <v>40</v>
      </c>
      <c r="J59" s="5" t="s">
        <v>8585</v>
      </c>
      <c r="K59" s="5" t="s">
        <v>8632</v>
      </c>
      <c r="L59" s="6" t="s">
        <v>42</v>
      </c>
      <c r="M59" s="5" t="s">
        <v>8746</v>
      </c>
      <c r="N59" s="5" t="s">
        <v>64</v>
      </c>
      <c r="O59" s="5" t="s">
        <v>8758</v>
      </c>
      <c r="P59" s="6">
        <v>7201.0</v>
      </c>
    </row>
    <row r="60" ht="56.25" customHeight="1">
      <c r="A60" s="5" t="s">
        <v>8745</v>
      </c>
      <c r="B60" s="6" t="str">
        <f>IMAGE("https://storage.googleapis.com/acdb/tops/TopsTexTopOuterLJersey5.png")</f>
        <v/>
      </c>
      <c r="C60" s="5" t="s">
        <v>1187</v>
      </c>
      <c r="D60" s="8" t="s">
        <v>36</v>
      </c>
      <c r="E60" s="6">
        <v>960.0</v>
      </c>
      <c r="F60" s="6">
        <v>240.0</v>
      </c>
      <c r="G60" s="5" t="s">
        <v>68</v>
      </c>
      <c r="H60" s="5" t="s">
        <v>57</v>
      </c>
      <c r="I60" s="6" t="s">
        <v>40</v>
      </c>
      <c r="J60" s="5" t="s">
        <v>8585</v>
      </c>
      <c r="K60" s="5" t="s">
        <v>8632</v>
      </c>
      <c r="L60" s="6" t="s">
        <v>42</v>
      </c>
      <c r="M60" s="5" t="s">
        <v>8746</v>
      </c>
      <c r="N60" s="5" t="s">
        <v>64</v>
      </c>
      <c r="O60" s="5" t="s">
        <v>8760</v>
      </c>
      <c r="P60" s="6">
        <v>7202.0</v>
      </c>
    </row>
    <row r="61" ht="56.25" customHeight="1">
      <c r="A61" s="5" t="s">
        <v>8761</v>
      </c>
      <c r="B61" s="6" t="str">
        <f>IMAGE("https://storage.googleapis.com/acdb/tops/TopsTexTopTshirtsLLoose1.png")</f>
        <v/>
      </c>
      <c r="C61" s="5" t="s">
        <v>54</v>
      </c>
      <c r="D61" s="8" t="s">
        <v>36</v>
      </c>
      <c r="E61" s="6" t="s">
        <v>37</v>
      </c>
      <c r="F61" s="6">
        <v>10.0</v>
      </c>
      <c r="G61" s="5" t="s">
        <v>54</v>
      </c>
      <c r="H61" s="5" t="s">
        <v>54</v>
      </c>
      <c r="I61" s="6" t="s">
        <v>40</v>
      </c>
      <c r="J61" s="5" t="s">
        <v>8763</v>
      </c>
      <c r="K61" s="5"/>
      <c r="L61" s="6" t="s">
        <v>42</v>
      </c>
      <c r="M61" s="5" t="s">
        <v>995</v>
      </c>
      <c r="N61" s="5" t="s">
        <v>48</v>
      </c>
      <c r="O61" s="5" t="s">
        <v>8765</v>
      </c>
      <c r="P61" s="6">
        <v>8554.0</v>
      </c>
    </row>
    <row r="62" ht="56.25" customHeight="1">
      <c r="A62" s="5" t="s">
        <v>8761</v>
      </c>
      <c r="B62" s="6" t="str">
        <f>IMAGE("https://storage.googleapis.com/acdb/tops/TopsTexTopTshirtsLLoose2.png")</f>
        <v/>
      </c>
      <c r="C62" s="5" t="s">
        <v>39</v>
      </c>
      <c r="D62" s="8" t="s">
        <v>36</v>
      </c>
      <c r="E62" s="6" t="s">
        <v>37</v>
      </c>
      <c r="F62" s="6">
        <v>10.0</v>
      </c>
      <c r="G62" s="5" t="s">
        <v>39</v>
      </c>
      <c r="H62" s="5" t="s">
        <v>39</v>
      </c>
      <c r="I62" s="6" t="s">
        <v>40</v>
      </c>
      <c r="J62" s="5" t="s">
        <v>8763</v>
      </c>
      <c r="K62" s="5"/>
      <c r="L62" s="6" t="s">
        <v>42</v>
      </c>
      <c r="M62" s="5" t="s">
        <v>995</v>
      </c>
      <c r="N62" s="5" t="s">
        <v>48</v>
      </c>
      <c r="O62" s="5" t="s">
        <v>8766</v>
      </c>
      <c r="P62" s="6">
        <v>8555.0</v>
      </c>
    </row>
    <row r="63" ht="56.25" customHeight="1">
      <c r="A63" s="5" t="s">
        <v>8761</v>
      </c>
      <c r="B63" s="6" t="str">
        <f>IMAGE("https://storage.googleapis.com/acdb/tops/TopsTexTopTshirtsLLoose0.png")</f>
        <v/>
      </c>
      <c r="C63" s="5" t="s">
        <v>95</v>
      </c>
      <c r="D63" s="8" t="s">
        <v>36</v>
      </c>
      <c r="E63" s="6" t="s">
        <v>37</v>
      </c>
      <c r="F63" s="6">
        <v>10.0</v>
      </c>
      <c r="G63" s="5" t="s">
        <v>95</v>
      </c>
      <c r="H63" s="5" t="s">
        <v>95</v>
      </c>
      <c r="I63" s="6" t="s">
        <v>40</v>
      </c>
      <c r="J63" s="5" t="s">
        <v>8763</v>
      </c>
      <c r="K63" s="5"/>
      <c r="L63" s="6" t="s">
        <v>42</v>
      </c>
      <c r="M63" s="5" t="s">
        <v>995</v>
      </c>
      <c r="N63" s="5" t="s">
        <v>48</v>
      </c>
      <c r="O63" s="5" t="s">
        <v>8769</v>
      </c>
      <c r="P63" s="6">
        <v>4710.0</v>
      </c>
    </row>
    <row r="64" ht="56.25" customHeight="1">
      <c r="A64" s="5" t="s">
        <v>8770</v>
      </c>
      <c r="B64" s="6" t="str">
        <f>IMAGE("https://storage.googleapis.com/acdb/tops/TopsTexTopTshirtsHBaseball1.png")</f>
        <v/>
      </c>
      <c r="C64" s="5" t="s">
        <v>52</v>
      </c>
      <c r="D64" s="8" t="s">
        <v>36</v>
      </c>
      <c r="E64" s="6">
        <v>1120.0</v>
      </c>
      <c r="F64" s="6">
        <v>280.0</v>
      </c>
      <c r="G64" s="5" t="s">
        <v>52</v>
      </c>
      <c r="H64" s="5" t="s">
        <v>54</v>
      </c>
      <c r="I64" s="6" t="s">
        <v>40</v>
      </c>
      <c r="J64" s="5" t="s">
        <v>8585</v>
      </c>
      <c r="K64" s="5" t="s">
        <v>8632</v>
      </c>
      <c r="L64" s="6" t="s">
        <v>42</v>
      </c>
      <c r="M64" s="5" t="s">
        <v>8746</v>
      </c>
      <c r="N64" s="5" t="s">
        <v>64</v>
      </c>
      <c r="O64" s="5" t="s">
        <v>8774</v>
      </c>
      <c r="P64" s="6">
        <v>9393.0</v>
      </c>
    </row>
    <row r="65" ht="56.25" customHeight="1">
      <c r="A65" s="5" t="s">
        <v>8770</v>
      </c>
      <c r="B65" s="6" t="str">
        <f>IMAGE("https://storage.googleapis.com/acdb/tops/TopsTexTopTshirtsHBaseball2.png")</f>
        <v/>
      </c>
      <c r="C65" s="5" t="s">
        <v>95</v>
      </c>
      <c r="D65" s="8" t="s">
        <v>36</v>
      </c>
      <c r="E65" s="6">
        <v>1120.0</v>
      </c>
      <c r="F65" s="6">
        <v>280.0</v>
      </c>
      <c r="G65" s="5" t="s">
        <v>95</v>
      </c>
      <c r="H65" s="5" t="s">
        <v>68</v>
      </c>
      <c r="I65" s="6" t="s">
        <v>40</v>
      </c>
      <c r="J65" s="5" t="s">
        <v>8585</v>
      </c>
      <c r="K65" s="5" t="s">
        <v>8632</v>
      </c>
      <c r="L65" s="6" t="s">
        <v>42</v>
      </c>
      <c r="M65" s="5" t="s">
        <v>8746</v>
      </c>
      <c r="N65" s="5" t="s">
        <v>64</v>
      </c>
      <c r="O65" s="5" t="s">
        <v>8776</v>
      </c>
      <c r="P65" s="6">
        <v>9394.0</v>
      </c>
    </row>
    <row r="66" ht="56.25" customHeight="1">
      <c r="A66" s="5" t="s">
        <v>8770</v>
      </c>
      <c r="B66" s="6" t="str">
        <f>IMAGE("https://storage.googleapis.com/acdb/tops/TopsTexTopTshirtsHBaseball3.png")</f>
        <v/>
      </c>
      <c r="C66" s="5" t="s">
        <v>54</v>
      </c>
      <c r="D66" s="8" t="s">
        <v>36</v>
      </c>
      <c r="E66" s="6">
        <v>1120.0</v>
      </c>
      <c r="F66" s="6">
        <v>280.0</v>
      </c>
      <c r="G66" s="5" t="s">
        <v>54</v>
      </c>
      <c r="H66" s="5" t="s">
        <v>57</v>
      </c>
      <c r="I66" s="6" t="s">
        <v>40</v>
      </c>
      <c r="J66" s="5" t="s">
        <v>8585</v>
      </c>
      <c r="K66" s="5" t="s">
        <v>8632</v>
      </c>
      <c r="L66" s="6" t="s">
        <v>42</v>
      </c>
      <c r="M66" s="5" t="s">
        <v>8746</v>
      </c>
      <c r="N66" s="5" t="s">
        <v>64</v>
      </c>
      <c r="O66" s="5" t="s">
        <v>8780</v>
      </c>
      <c r="P66" s="6">
        <v>9395.0</v>
      </c>
    </row>
    <row r="67" ht="56.25" customHeight="1">
      <c r="A67" s="5" t="s">
        <v>8770</v>
      </c>
      <c r="B67" s="6" t="str">
        <f>IMAGE("https://storage.googleapis.com/acdb/tops/TopsTexTopTshirtsHBaseball4.png")</f>
        <v/>
      </c>
      <c r="C67" s="5" t="s">
        <v>57</v>
      </c>
      <c r="D67" s="8" t="s">
        <v>36</v>
      </c>
      <c r="E67" s="6">
        <v>1120.0</v>
      </c>
      <c r="F67" s="6">
        <v>280.0</v>
      </c>
      <c r="G67" s="5" t="s">
        <v>57</v>
      </c>
      <c r="H67" s="5" t="s">
        <v>52</v>
      </c>
      <c r="I67" s="6" t="s">
        <v>40</v>
      </c>
      <c r="J67" s="5" t="s">
        <v>8585</v>
      </c>
      <c r="K67" s="5" t="s">
        <v>8632</v>
      </c>
      <c r="L67" s="6" t="s">
        <v>42</v>
      </c>
      <c r="M67" s="5" t="s">
        <v>8746</v>
      </c>
      <c r="N67" s="5" t="s">
        <v>64</v>
      </c>
      <c r="O67" s="5" t="s">
        <v>8782</v>
      </c>
      <c r="P67" s="6">
        <v>9396.0</v>
      </c>
    </row>
    <row r="68" ht="56.25" customHeight="1">
      <c r="A68" s="5" t="s">
        <v>8770</v>
      </c>
      <c r="B68" s="6" t="str">
        <f>IMAGE("https://storage.googleapis.com/acdb/tops/TopsTexTopTshirtsHBaseball5.png")</f>
        <v/>
      </c>
      <c r="C68" s="5" t="s">
        <v>114</v>
      </c>
      <c r="D68" s="8" t="s">
        <v>36</v>
      </c>
      <c r="E68" s="6">
        <v>1120.0</v>
      </c>
      <c r="F68" s="6">
        <v>280.0</v>
      </c>
      <c r="G68" s="5" t="s">
        <v>114</v>
      </c>
      <c r="H68" s="5" t="s">
        <v>54</v>
      </c>
      <c r="I68" s="6" t="s">
        <v>40</v>
      </c>
      <c r="J68" s="5" t="s">
        <v>8585</v>
      </c>
      <c r="K68" s="5" t="s">
        <v>8632</v>
      </c>
      <c r="L68" s="6" t="s">
        <v>42</v>
      </c>
      <c r="M68" s="5" t="s">
        <v>8746</v>
      </c>
      <c r="N68" s="5" t="s">
        <v>64</v>
      </c>
      <c r="O68" s="5" t="s">
        <v>8785</v>
      </c>
      <c r="P68" s="6">
        <v>9397.0</v>
      </c>
    </row>
    <row r="69" ht="56.25" customHeight="1">
      <c r="A69" s="5" t="s">
        <v>8770</v>
      </c>
      <c r="B69" s="6" t="str">
        <f>IMAGE("https://storage.googleapis.com/acdb/tops/TopsTexTopTshirtsHBaseball0.png")</f>
        <v/>
      </c>
      <c r="C69" s="5" t="s">
        <v>1187</v>
      </c>
      <c r="D69" s="8" t="s">
        <v>36</v>
      </c>
      <c r="E69" s="6">
        <v>1120.0</v>
      </c>
      <c r="F69" s="6">
        <v>280.0</v>
      </c>
      <c r="G69" s="5" t="s">
        <v>68</v>
      </c>
      <c r="H69" s="5" t="s">
        <v>57</v>
      </c>
      <c r="I69" s="6" t="s">
        <v>40</v>
      </c>
      <c r="J69" s="5" t="s">
        <v>8585</v>
      </c>
      <c r="K69" s="5" t="s">
        <v>8632</v>
      </c>
      <c r="L69" s="6" t="s">
        <v>42</v>
      </c>
      <c r="M69" s="5" t="s">
        <v>8746</v>
      </c>
      <c r="N69" s="5" t="s">
        <v>64</v>
      </c>
      <c r="O69" s="5" t="s">
        <v>8786</v>
      </c>
      <c r="P69" s="6">
        <v>4419.0</v>
      </c>
    </row>
    <row r="70" ht="56.25" customHeight="1">
      <c r="A70" s="5" t="s">
        <v>8788</v>
      </c>
      <c r="B70" s="6" t="str">
        <f>IMAGE("https://storage.googleapis.com/acdb/tops/TopsTexTopTshirtsNBasketballshirts0.png")</f>
        <v/>
      </c>
      <c r="C70" s="5" t="s">
        <v>106</v>
      </c>
      <c r="D70" s="8" t="s">
        <v>36</v>
      </c>
      <c r="E70" s="6">
        <v>1120.0</v>
      </c>
      <c r="F70" s="6">
        <v>280.0</v>
      </c>
      <c r="G70" s="5" t="s">
        <v>106</v>
      </c>
      <c r="H70" s="5" t="s">
        <v>114</v>
      </c>
      <c r="I70" s="6" t="s">
        <v>40</v>
      </c>
      <c r="J70" s="5" t="s">
        <v>8585</v>
      </c>
      <c r="K70" s="5" t="s">
        <v>8632</v>
      </c>
      <c r="L70" s="6" t="s">
        <v>42</v>
      </c>
      <c r="M70" s="5" t="s">
        <v>8746</v>
      </c>
      <c r="N70" s="5" t="s">
        <v>64</v>
      </c>
      <c r="O70" s="5" t="s">
        <v>8790</v>
      </c>
      <c r="P70" s="6">
        <v>2727.0</v>
      </c>
    </row>
    <row r="71" ht="56.25" customHeight="1">
      <c r="A71" s="5" t="s">
        <v>8788</v>
      </c>
      <c r="B71" s="6" t="str">
        <f>IMAGE("https://storage.googleapis.com/acdb/tops/TopsTexTopTshirtsNBasketballshirts3.png")</f>
        <v/>
      </c>
      <c r="C71" s="5" t="s">
        <v>142</v>
      </c>
      <c r="D71" s="8" t="s">
        <v>36</v>
      </c>
      <c r="E71" s="6">
        <v>1120.0</v>
      </c>
      <c r="F71" s="6">
        <v>280.0</v>
      </c>
      <c r="G71" s="5" t="s">
        <v>142</v>
      </c>
      <c r="H71" s="5" t="s">
        <v>68</v>
      </c>
      <c r="I71" s="6" t="s">
        <v>40</v>
      </c>
      <c r="J71" s="5" t="s">
        <v>8585</v>
      </c>
      <c r="K71" s="5" t="s">
        <v>8632</v>
      </c>
      <c r="L71" s="6" t="s">
        <v>42</v>
      </c>
      <c r="M71" s="5" t="s">
        <v>8746</v>
      </c>
      <c r="N71" s="5" t="s">
        <v>64</v>
      </c>
      <c r="O71" s="5" t="s">
        <v>8792</v>
      </c>
      <c r="P71" s="6">
        <v>8040.0</v>
      </c>
    </row>
    <row r="72" ht="56.25" customHeight="1">
      <c r="A72" s="5" t="s">
        <v>8788</v>
      </c>
      <c r="B72" s="6" t="str">
        <f>IMAGE("https://storage.googleapis.com/acdb/tops/TopsTexTopTshirtsNBasketballshirts4.png")</f>
        <v/>
      </c>
      <c r="C72" s="5" t="s">
        <v>68</v>
      </c>
      <c r="D72" s="8" t="s">
        <v>36</v>
      </c>
      <c r="E72" s="6">
        <v>1120.0</v>
      </c>
      <c r="F72" s="6">
        <v>280.0</v>
      </c>
      <c r="G72" s="5" t="s">
        <v>68</v>
      </c>
      <c r="H72" s="5" t="s">
        <v>52</v>
      </c>
      <c r="I72" s="6" t="s">
        <v>40</v>
      </c>
      <c r="J72" s="5" t="s">
        <v>8585</v>
      </c>
      <c r="K72" s="5" t="s">
        <v>8632</v>
      </c>
      <c r="L72" s="6" t="s">
        <v>42</v>
      </c>
      <c r="M72" s="5" t="s">
        <v>8746</v>
      </c>
      <c r="N72" s="5" t="s">
        <v>64</v>
      </c>
      <c r="O72" s="5" t="s">
        <v>8795</v>
      </c>
      <c r="P72" s="6">
        <v>8041.0</v>
      </c>
    </row>
    <row r="73" ht="56.25" customHeight="1">
      <c r="A73" s="5" t="s">
        <v>8788</v>
      </c>
      <c r="B73" s="6" t="str">
        <f>IMAGE("https://storage.googleapis.com/acdb/tops/TopsTexTopTshirtsNBasketballshirts5.png")</f>
        <v/>
      </c>
      <c r="C73" s="5" t="s">
        <v>114</v>
      </c>
      <c r="D73" s="8" t="s">
        <v>36</v>
      </c>
      <c r="E73" s="6">
        <v>1120.0</v>
      </c>
      <c r="F73" s="6">
        <v>280.0</v>
      </c>
      <c r="G73" s="5" t="s">
        <v>114</v>
      </c>
      <c r="H73" s="5" t="s">
        <v>96</v>
      </c>
      <c r="I73" s="6" t="s">
        <v>40</v>
      </c>
      <c r="J73" s="5" t="s">
        <v>8585</v>
      </c>
      <c r="K73" s="5" t="s">
        <v>8632</v>
      </c>
      <c r="L73" s="6" t="s">
        <v>42</v>
      </c>
      <c r="M73" s="5" t="s">
        <v>8746</v>
      </c>
      <c r="N73" s="5" t="s">
        <v>64</v>
      </c>
      <c r="O73" s="5" t="s">
        <v>8797</v>
      </c>
      <c r="P73" s="6">
        <v>8042.0</v>
      </c>
    </row>
    <row r="74" ht="56.25" customHeight="1">
      <c r="A74" s="5" t="s">
        <v>8788</v>
      </c>
      <c r="B74" s="6" t="str">
        <f>IMAGE("https://storage.googleapis.com/acdb/tops/TopsTexTopTshirtsNBasketballshirts6.png")</f>
        <v/>
      </c>
      <c r="C74" s="5" t="s">
        <v>83</v>
      </c>
      <c r="D74" s="8" t="s">
        <v>36</v>
      </c>
      <c r="E74" s="6">
        <v>1120.0</v>
      </c>
      <c r="F74" s="6">
        <v>280.0</v>
      </c>
      <c r="G74" s="5" t="s">
        <v>83</v>
      </c>
      <c r="H74" s="5" t="s">
        <v>68</v>
      </c>
      <c r="I74" s="6" t="s">
        <v>40</v>
      </c>
      <c r="J74" s="5" t="s">
        <v>8585</v>
      </c>
      <c r="K74" s="5" t="s">
        <v>8632</v>
      </c>
      <c r="L74" s="6" t="s">
        <v>42</v>
      </c>
      <c r="M74" s="5" t="s">
        <v>8746</v>
      </c>
      <c r="N74" s="5" t="s">
        <v>64</v>
      </c>
      <c r="O74" s="5" t="s">
        <v>8801</v>
      </c>
      <c r="P74" s="6">
        <v>8043.0</v>
      </c>
    </row>
    <row r="75" ht="56.25" customHeight="1">
      <c r="A75" s="5" t="s">
        <v>8788</v>
      </c>
      <c r="B75" s="6" t="str">
        <f>IMAGE("https://storage.googleapis.com/acdb/tops/TopsTexTopTshirtsNBasketballshirts7.png")</f>
        <v/>
      </c>
      <c r="C75" s="5" t="s">
        <v>54</v>
      </c>
      <c r="D75" s="8" t="s">
        <v>36</v>
      </c>
      <c r="E75" s="6">
        <v>1120.0</v>
      </c>
      <c r="F75" s="6">
        <v>280.0</v>
      </c>
      <c r="G75" s="5" t="s">
        <v>54</v>
      </c>
      <c r="H75" s="5" t="s">
        <v>52</v>
      </c>
      <c r="I75" s="6" t="s">
        <v>40</v>
      </c>
      <c r="J75" s="5" t="s">
        <v>8585</v>
      </c>
      <c r="K75" s="5" t="s">
        <v>8632</v>
      </c>
      <c r="L75" s="6" t="s">
        <v>42</v>
      </c>
      <c r="M75" s="5" t="s">
        <v>8746</v>
      </c>
      <c r="N75" s="5" t="s">
        <v>64</v>
      </c>
      <c r="O75" s="5" t="s">
        <v>8803</v>
      </c>
      <c r="P75" s="6">
        <v>8044.0</v>
      </c>
    </row>
    <row r="76" ht="56.25" customHeight="1">
      <c r="A76" s="5" t="s">
        <v>8788</v>
      </c>
      <c r="B76" s="6" t="str">
        <f>IMAGE("https://storage.googleapis.com/acdb/tops/TopsTexTopTshirtsNBasketballshirts1.png")</f>
        <v/>
      </c>
      <c r="C76" s="5" t="s">
        <v>52</v>
      </c>
      <c r="D76" s="8" t="s">
        <v>36</v>
      </c>
      <c r="E76" s="6">
        <v>1120.0</v>
      </c>
      <c r="F76" s="6">
        <v>280.0</v>
      </c>
      <c r="G76" s="5" t="s">
        <v>52</v>
      </c>
      <c r="H76" s="5" t="s">
        <v>54</v>
      </c>
      <c r="I76" s="6" t="s">
        <v>40</v>
      </c>
      <c r="J76" s="5" t="s">
        <v>8585</v>
      </c>
      <c r="K76" s="5" t="s">
        <v>8632</v>
      </c>
      <c r="L76" s="6" t="s">
        <v>42</v>
      </c>
      <c r="M76" s="5" t="s">
        <v>8746</v>
      </c>
      <c r="N76" s="5" t="s">
        <v>64</v>
      </c>
      <c r="O76" s="5" t="s">
        <v>8805</v>
      </c>
      <c r="P76" s="6">
        <v>8038.0</v>
      </c>
    </row>
    <row r="77" ht="56.25" customHeight="1">
      <c r="A77" s="5" t="s">
        <v>8788</v>
      </c>
      <c r="B77" s="6" t="str">
        <f>IMAGE("https://storage.googleapis.com/acdb/tops/TopsTexTopTshirtsNBasketballshirts2.png")</f>
        <v/>
      </c>
      <c r="C77" s="5" t="s">
        <v>96</v>
      </c>
      <c r="D77" s="8" t="s">
        <v>36</v>
      </c>
      <c r="E77" s="6">
        <v>1120.0</v>
      </c>
      <c r="F77" s="6">
        <v>280.0</v>
      </c>
      <c r="G77" s="5" t="s">
        <v>96</v>
      </c>
      <c r="H77" s="5" t="s">
        <v>142</v>
      </c>
      <c r="I77" s="6" t="s">
        <v>40</v>
      </c>
      <c r="J77" s="5" t="s">
        <v>8585</v>
      </c>
      <c r="K77" s="5" t="s">
        <v>8632</v>
      </c>
      <c r="L77" s="6" t="s">
        <v>42</v>
      </c>
      <c r="M77" s="5" t="s">
        <v>8746</v>
      </c>
      <c r="N77" s="5" t="s">
        <v>64</v>
      </c>
      <c r="O77" s="5" t="s">
        <v>8808</v>
      </c>
      <c r="P77" s="6">
        <v>8039.0</v>
      </c>
    </row>
    <row r="78" ht="56.25" customHeight="1">
      <c r="A78" s="5" t="s">
        <v>8809</v>
      </c>
      <c r="B78" s="6" t="str">
        <f>IMAGE("https://storage.googleapis.com/acdb/tops/TopsTexTopTshirtsHBear0.png")</f>
        <v/>
      </c>
      <c r="C78" s="5" t="s">
        <v>34</v>
      </c>
      <c r="D78" s="8" t="s">
        <v>36</v>
      </c>
      <c r="E78" s="6">
        <v>800.0</v>
      </c>
      <c r="F78" s="6">
        <v>200.0</v>
      </c>
      <c r="G78" s="5" t="s">
        <v>96</v>
      </c>
      <c r="H78" s="5" t="s">
        <v>39</v>
      </c>
      <c r="I78" s="6" t="s">
        <v>40</v>
      </c>
      <c r="J78" s="5" t="s">
        <v>8578</v>
      </c>
      <c r="K78" s="5"/>
      <c r="L78" s="6" t="s">
        <v>42</v>
      </c>
      <c r="M78" s="5" t="s">
        <v>8746</v>
      </c>
      <c r="N78" s="5" t="s">
        <v>64</v>
      </c>
      <c r="O78" s="5" t="s">
        <v>8811</v>
      </c>
      <c r="P78" s="6">
        <v>8196.0</v>
      </c>
    </row>
    <row r="79" ht="56.25" customHeight="1">
      <c r="A79" s="5" t="s">
        <v>8812</v>
      </c>
      <c r="B79" s="6" t="str">
        <f>IMAGE("https://storage.googleapis.com/acdb/tops/TopsTexTopTshirtsHStar0.png")</f>
        <v/>
      </c>
      <c r="C79" s="5" t="s">
        <v>34</v>
      </c>
      <c r="D79" s="8" t="s">
        <v>36</v>
      </c>
      <c r="E79" s="6">
        <v>560.0</v>
      </c>
      <c r="F79" s="6">
        <v>140.0</v>
      </c>
      <c r="G79" s="5" t="s">
        <v>68</v>
      </c>
      <c r="H79" s="5" t="s">
        <v>114</v>
      </c>
      <c r="I79" s="6" t="s">
        <v>40</v>
      </c>
      <c r="J79" s="5" t="s">
        <v>8578</v>
      </c>
      <c r="K79" s="5"/>
      <c r="L79" s="6" t="s">
        <v>42</v>
      </c>
      <c r="M79" s="5" t="s">
        <v>995</v>
      </c>
      <c r="N79" s="5" t="s">
        <v>64</v>
      </c>
      <c r="O79" s="5" t="s">
        <v>8814</v>
      </c>
      <c r="P79" s="6">
        <v>6822.0</v>
      </c>
    </row>
    <row r="80" ht="56.25" customHeight="1">
      <c r="A80" s="5" t="s">
        <v>8816</v>
      </c>
      <c r="B80" s="6" t="str">
        <f>IMAGE("https://storage.googleapis.com/acdb/tops/TopsTexTopYshirtsLRiders1.png")</f>
        <v/>
      </c>
      <c r="C80" s="5" t="s">
        <v>39</v>
      </c>
      <c r="D80" s="8" t="s">
        <v>36</v>
      </c>
      <c r="E80" s="6">
        <v>1750.0</v>
      </c>
      <c r="F80" s="6">
        <v>437.0</v>
      </c>
      <c r="G80" s="5" t="s">
        <v>39</v>
      </c>
      <c r="H80" s="5" t="s">
        <v>39</v>
      </c>
      <c r="I80" s="6" t="s">
        <v>40</v>
      </c>
      <c r="J80" s="5" t="s">
        <v>8585</v>
      </c>
      <c r="K80" s="5" t="s">
        <v>8586</v>
      </c>
      <c r="L80" s="6" t="s">
        <v>42</v>
      </c>
      <c r="M80" s="5" t="s">
        <v>1952</v>
      </c>
      <c r="N80" s="5" t="s">
        <v>64</v>
      </c>
      <c r="O80" s="5" t="s">
        <v>8818</v>
      </c>
      <c r="P80" s="6">
        <v>8559.0</v>
      </c>
    </row>
    <row r="81" ht="56.25" customHeight="1">
      <c r="A81" s="5" t="s">
        <v>8816</v>
      </c>
      <c r="B81" s="6" t="str">
        <f>IMAGE("https://storage.googleapis.com/acdb/tops/TopsTexTopYshirtsLRiders2.png")</f>
        <v/>
      </c>
      <c r="C81" s="5" t="s">
        <v>38</v>
      </c>
      <c r="D81" s="8" t="s">
        <v>36</v>
      </c>
      <c r="E81" s="6">
        <v>1750.0</v>
      </c>
      <c r="F81" s="6">
        <v>437.0</v>
      </c>
      <c r="G81" s="5" t="s">
        <v>38</v>
      </c>
      <c r="H81" s="5" t="s">
        <v>38</v>
      </c>
      <c r="I81" s="6" t="s">
        <v>40</v>
      </c>
      <c r="J81" s="5" t="s">
        <v>8585</v>
      </c>
      <c r="K81" s="5" t="s">
        <v>8586</v>
      </c>
      <c r="L81" s="6" t="s">
        <v>42</v>
      </c>
      <c r="M81" s="5" t="s">
        <v>1952</v>
      </c>
      <c r="N81" s="5" t="s">
        <v>64</v>
      </c>
      <c r="O81" s="5" t="s">
        <v>8819</v>
      </c>
      <c r="P81" s="6">
        <v>8560.0</v>
      </c>
    </row>
    <row r="82" ht="56.25" customHeight="1">
      <c r="A82" s="5" t="s">
        <v>8816</v>
      </c>
      <c r="B82" s="6" t="str">
        <f>IMAGE("https://storage.googleapis.com/acdb/tops/TopsTexTopYshirtsLRiders3.png")</f>
        <v/>
      </c>
      <c r="C82" s="5" t="s">
        <v>52</v>
      </c>
      <c r="D82" s="8" t="s">
        <v>36</v>
      </c>
      <c r="E82" s="6">
        <v>1750.0</v>
      </c>
      <c r="F82" s="6">
        <v>437.0</v>
      </c>
      <c r="G82" s="5" t="s">
        <v>52</v>
      </c>
      <c r="H82" s="5" t="s">
        <v>52</v>
      </c>
      <c r="I82" s="6" t="s">
        <v>40</v>
      </c>
      <c r="J82" s="5" t="s">
        <v>8585</v>
      </c>
      <c r="K82" s="5" t="s">
        <v>8586</v>
      </c>
      <c r="L82" s="6" t="s">
        <v>42</v>
      </c>
      <c r="M82" s="5" t="s">
        <v>1952</v>
      </c>
      <c r="N82" s="5" t="s">
        <v>64</v>
      </c>
      <c r="O82" s="5" t="s">
        <v>8822</v>
      </c>
      <c r="P82" s="6">
        <v>8561.0</v>
      </c>
    </row>
    <row r="83" ht="56.25" customHeight="1">
      <c r="A83" s="5" t="s">
        <v>8816</v>
      </c>
      <c r="B83" s="6" t="str">
        <f>IMAGE("https://storage.googleapis.com/acdb/tops/TopsTexTopYshirtsLRiders4.png")</f>
        <v/>
      </c>
      <c r="C83" s="5" t="s">
        <v>68</v>
      </c>
      <c r="D83" s="8" t="s">
        <v>36</v>
      </c>
      <c r="E83" s="6">
        <v>1750.0</v>
      </c>
      <c r="F83" s="6">
        <v>437.0</v>
      </c>
      <c r="G83" s="5" t="s">
        <v>68</v>
      </c>
      <c r="H83" s="5" t="s">
        <v>68</v>
      </c>
      <c r="I83" s="6" t="s">
        <v>40</v>
      </c>
      <c r="J83" s="5" t="s">
        <v>8585</v>
      </c>
      <c r="K83" s="5" t="s">
        <v>8586</v>
      </c>
      <c r="L83" s="6" t="s">
        <v>42</v>
      </c>
      <c r="M83" s="5" t="s">
        <v>1952</v>
      </c>
      <c r="N83" s="5" t="s">
        <v>64</v>
      </c>
      <c r="O83" s="5" t="s">
        <v>8824</v>
      </c>
      <c r="P83" s="6">
        <v>8562.0</v>
      </c>
    </row>
    <row r="84" ht="56.25" customHeight="1">
      <c r="A84" s="5" t="s">
        <v>8816</v>
      </c>
      <c r="B84" s="6" t="str">
        <f>IMAGE("https://storage.googleapis.com/acdb/tops/TopsTexTopYshirtsLRiders5.png")</f>
        <v/>
      </c>
      <c r="C84" s="5" t="s">
        <v>114</v>
      </c>
      <c r="D84" s="8" t="s">
        <v>36</v>
      </c>
      <c r="E84" s="6">
        <v>1750.0</v>
      </c>
      <c r="F84" s="6">
        <v>437.0</v>
      </c>
      <c r="G84" s="5" t="s">
        <v>114</v>
      </c>
      <c r="H84" s="5" t="s">
        <v>114</v>
      </c>
      <c r="I84" s="6" t="s">
        <v>40</v>
      </c>
      <c r="J84" s="5" t="s">
        <v>8585</v>
      </c>
      <c r="K84" s="5" t="s">
        <v>8586</v>
      </c>
      <c r="L84" s="6" t="s">
        <v>42</v>
      </c>
      <c r="M84" s="5" t="s">
        <v>1952</v>
      </c>
      <c r="N84" s="5" t="s">
        <v>64</v>
      </c>
      <c r="O84" s="5" t="s">
        <v>8827</v>
      </c>
      <c r="P84" s="6">
        <v>8563.0</v>
      </c>
    </row>
    <row r="85" ht="56.25" customHeight="1">
      <c r="A85" s="5" t="s">
        <v>8816</v>
      </c>
      <c r="B85" s="6" t="str">
        <f>IMAGE("https://storage.googleapis.com/acdb/tops/TopsTexTopYshirtsLRiders0.png")</f>
        <v/>
      </c>
      <c r="C85" s="5" t="s">
        <v>54</v>
      </c>
      <c r="D85" s="8" t="s">
        <v>36</v>
      </c>
      <c r="E85" s="6">
        <v>1750.0</v>
      </c>
      <c r="F85" s="6">
        <v>437.0</v>
      </c>
      <c r="G85" s="5" t="s">
        <v>54</v>
      </c>
      <c r="H85" s="5" t="s">
        <v>54</v>
      </c>
      <c r="I85" s="6" t="s">
        <v>40</v>
      </c>
      <c r="J85" s="5" t="s">
        <v>8585</v>
      </c>
      <c r="K85" s="5" t="s">
        <v>8586</v>
      </c>
      <c r="L85" s="6" t="s">
        <v>42</v>
      </c>
      <c r="M85" s="5" t="s">
        <v>1952</v>
      </c>
      <c r="N85" s="5" t="s">
        <v>64</v>
      </c>
      <c r="O85" s="5" t="s">
        <v>8828</v>
      </c>
      <c r="P85" s="6">
        <v>3198.0</v>
      </c>
    </row>
    <row r="86" ht="56.25" customHeight="1">
      <c r="A86" s="5" t="s">
        <v>8829</v>
      </c>
      <c r="B86" s="6" t="str">
        <f>IMAGE("https://storage.googleapis.com/acdb/tops/TopsTexTopTshirtsHFlower0.png")</f>
        <v/>
      </c>
      <c r="C86" s="5" t="s">
        <v>69</v>
      </c>
      <c r="D86" s="8" t="s">
        <v>36</v>
      </c>
      <c r="E86" s="6">
        <v>800.0</v>
      </c>
      <c r="F86" s="6">
        <v>200.0</v>
      </c>
      <c r="G86" s="5" t="s">
        <v>69</v>
      </c>
      <c r="H86" s="5" t="s">
        <v>57</v>
      </c>
      <c r="I86" s="6" t="s">
        <v>40</v>
      </c>
      <c r="J86" s="5" t="s">
        <v>8585</v>
      </c>
      <c r="K86" s="5" t="s">
        <v>8632</v>
      </c>
      <c r="L86" s="6" t="s">
        <v>42</v>
      </c>
      <c r="M86" s="5" t="s">
        <v>1959</v>
      </c>
      <c r="N86" s="5" t="s">
        <v>64</v>
      </c>
      <c r="O86" s="5" t="s">
        <v>8832</v>
      </c>
      <c r="P86" s="6">
        <v>8205.0</v>
      </c>
    </row>
    <row r="87" ht="56.25" customHeight="1">
      <c r="A87" s="5" t="s">
        <v>8829</v>
      </c>
      <c r="B87" s="6" t="str">
        <f>IMAGE("https://storage.googleapis.com/acdb/tops/TopsTexTopTshirtsHFlower1.png")</f>
        <v/>
      </c>
      <c r="C87" s="5" t="s">
        <v>68</v>
      </c>
      <c r="D87" s="8" t="s">
        <v>36</v>
      </c>
      <c r="E87" s="6">
        <v>800.0</v>
      </c>
      <c r="F87" s="6">
        <v>200.0</v>
      </c>
      <c r="G87" s="5" t="s">
        <v>83</v>
      </c>
      <c r="H87" s="5" t="s">
        <v>57</v>
      </c>
      <c r="I87" s="6" t="s">
        <v>40</v>
      </c>
      <c r="J87" s="5" t="s">
        <v>8585</v>
      </c>
      <c r="K87" s="5" t="s">
        <v>8632</v>
      </c>
      <c r="L87" s="6" t="s">
        <v>42</v>
      </c>
      <c r="M87" s="5" t="s">
        <v>1959</v>
      </c>
      <c r="N87" s="5" t="s">
        <v>64</v>
      </c>
      <c r="O87" s="5" t="s">
        <v>8836</v>
      </c>
      <c r="P87" s="6">
        <v>12099.0</v>
      </c>
    </row>
    <row r="88" ht="56.25" customHeight="1">
      <c r="A88" s="5" t="s">
        <v>8829</v>
      </c>
      <c r="B88" s="6" t="str">
        <f>IMAGE("https://storage.googleapis.com/acdb/tops/TopsTexTopTshirtsHFlower2.png")</f>
        <v/>
      </c>
      <c r="C88" s="5" t="s">
        <v>114</v>
      </c>
      <c r="D88" s="8" t="s">
        <v>36</v>
      </c>
      <c r="E88" s="6">
        <v>800.0</v>
      </c>
      <c r="F88" s="6">
        <v>200.0</v>
      </c>
      <c r="G88" s="5" t="s">
        <v>114</v>
      </c>
      <c r="H88" s="5" t="s">
        <v>57</v>
      </c>
      <c r="I88" s="6" t="s">
        <v>40</v>
      </c>
      <c r="J88" s="5" t="s">
        <v>8585</v>
      </c>
      <c r="K88" s="5" t="s">
        <v>8632</v>
      </c>
      <c r="L88" s="6" t="s">
        <v>42</v>
      </c>
      <c r="M88" s="5" t="s">
        <v>1959</v>
      </c>
      <c r="N88" s="5" t="s">
        <v>64</v>
      </c>
      <c r="O88" s="5" t="s">
        <v>8837</v>
      </c>
      <c r="P88" s="6">
        <v>12100.0</v>
      </c>
    </row>
    <row r="89" ht="56.25" customHeight="1">
      <c r="A89" s="5" t="s">
        <v>8829</v>
      </c>
      <c r="B89" s="6" t="str">
        <f>IMAGE("https://storage.googleapis.com/acdb/tops/TopsTexTopTshirtsHFlower3.png")</f>
        <v/>
      </c>
      <c r="C89" s="5" t="s">
        <v>96</v>
      </c>
      <c r="D89" s="8" t="s">
        <v>36</v>
      </c>
      <c r="E89" s="6">
        <v>800.0</v>
      </c>
      <c r="F89" s="6">
        <v>200.0</v>
      </c>
      <c r="G89" s="5" t="s">
        <v>96</v>
      </c>
      <c r="H89" s="5" t="s">
        <v>57</v>
      </c>
      <c r="I89" s="6" t="s">
        <v>40</v>
      </c>
      <c r="J89" s="5" t="s">
        <v>8585</v>
      </c>
      <c r="K89" s="5" t="s">
        <v>8632</v>
      </c>
      <c r="L89" s="6" t="s">
        <v>42</v>
      </c>
      <c r="M89" s="5" t="s">
        <v>1959</v>
      </c>
      <c r="N89" s="5" t="s">
        <v>64</v>
      </c>
      <c r="O89" s="5" t="s">
        <v>8840</v>
      </c>
      <c r="P89" s="6">
        <v>12101.0</v>
      </c>
    </row>
    <row r="90" ht="56.25" customHeight="1">
      <c r="A90" s="5" t="s">
        <v>8829</v>
      </c>
      <c r="B90" s="6" t="str">
        <f>IMAGE("https://storage.googleapis.com/acdb/tops/TopsTexTopTshirtsHFlower4.png")</f>
        <v/>
      </c>
      <c r="C90" s="5" t="s">
        <v>106</v>
      </c>
      <c r="D90" s="8" t="s">
        <v>36</v>
      </c>
      <c r="E90" s="6">
        <v>800.0</v>
      </c>
      <c r="F90" s="6">
        <v>200.0</v>
      </c>
      <c r="G90" s="5" t="s">
        <v>106</v>
      </c>
      <c r="H90" s="5" t="s">
        <v>57</v>
      </c>
      <c r="I90" s="6" t="s">
        <v>40</v>
      </c>
      <c r="J90" s="5" t="s">
        <v>8585</v>
      </c>
      <c r="K90" s="5" t="s">
        <v>8632</v>
      </c>
      <c r="L90" s="6" t="s">
        <v>42</v>
      </c>
      <c r="M90" s="5" t="s">
        <v>1959</v>
      </c>
      <c r="N90" s="5" t="s">
        <v>64</v>
      </c>
      <c r="O90" s="5" t="s">
        <v>8842</v>
      </c>
      <c r="P90" s="6">
        <v>12102.0</v>
      </c>
    </row>
    <row r="91" ht="56.25" customHeight="1">
      <c r="A91" s="5" t="s">
        <v>8843</v>
      </c>
      <c r="B91" s="6" t="str">
        <f>IMAGE("https://storage.googleapis.com/acdb/tops/TopsTexTopOuterLBlouson1.png")</f>
        <v/>
      </c>
      <c r="C91" s="5" t="s">
        <v>38</v>
      </c>
      <c r="D91" s="8" t="s">
        <v>36</v>
      </c>
      <c r="E91" s="6">
        <v>1680.0</v>
      </c>
      <c r="F91" s="6">
        <v>420.0</v>
      </c>
      <c r="G91" s="5" t="s">
        <v>38</v>
      </c>
      <c r="H91" s="5" t="s">
        <v>57</v>
      </c>
      <c r="I91" s="6" t="s">
        <v>40</v>
      </c>
      <c r="J91" s="5" t="s">
        <v>8585</v>
      </c>
      <c r="K91" s="5" t="s">
        <v>8632</v>
      </c>
      <c r="L91" s="6" t="s">
        <v>42</v>
      </c>
      <c r="M91" s="5" t="s">
        <v>1959</v>
      </c>
      <c r="N91" s="5" t="s">
        <v>64</v>
      </c>
      <c r="O91" s="5" t="s">
        <v>8846</v>
      </c>
      <c r="P91" s="6">
        <v>8005.0</v>
      </c>
    </row>
    <row r="92" ht="56.25" customHeight="1">
      <c r="A92" s="5" t="s">
        <v>8843</v>
      </c>
      <c r="B92" s="6" t="str">
        <f>IMAGE("https://storage.googleapis.com/acdb/tops/TopsTexTopOuterLBlouson2.png")</f>
        <v/>
      </c>
      <c r="C92" s="5" t="s">
        <v>68</v>
      </c>
      <c r="D92" s="8" t="s">
        <v>36</v>
      </c>
      <c r="E92" s="6">
        <v>1680.0</v>
      </c>
      <c r="F92" s="6">
        <v>420.0</v>
      </c>
      <c r="G92" s="5" t="s">
        <v>68</v>
      </c>
      <c r="H92" s="5" t="s">
        <v>57</v>
      </c>
      <c r="I92" s="6" t="s">
        <v>40</v>
      </c>
      <c r="J92" s="5" t="s">
        <v>8585</v>
      </c>
      <c r="K92" s="5" t="s">
        <v>8632</v>
      </c>
      <c r="L92" s="6" t="s">
        <v>42</v>
      </c>
      <c r="M92" s="5" t="s">
        <v>1959</v>
      </c>
      <c r="N92" s="5" t="s">
        <v>64</v>
      </c>
      <c r="O92" s="5" t="s">
        <v>8847</v>
      </c>
      <c r="P92" s="6">
        <v>8006.0</v>
      </c>
    </row>
    <row r="93" ht="56.25" customHeight="1">
      <c r="A93" s="5" t="s">
        <v>8843</v>
      </c>
      <c r="B93" s="6" t="str">
        <f>IMAGE("https://storage.googleapis.com/acdb/tops/TopsTexTopOuterLBlouson3.png")</f>
        <v/>
      </c>
      <c r="C93" s="5" t="s">
        <v>57</v>
      </c>
      <c r="D93" s="8" t="s">
        <v>36</v>
      </c>
      <c r="E93" s="6">
        <v>1680.0</v>
      </c>
      <c r="F93" s="6">
        <v>420.0</v>
      </c>
      <c r="G93" s="5" t="s">
        <v>57</v>
      </c>
      <c r="H93" s="5" t="s">
        <v>57</v>
      </c>
      <c r="I93" s="6" t="s">
        <v>40</v>
      </c>
      <c r="J93" s="5" t="s">
        <v>8585</v>
      </c>
      <c r="K93" s="5" t="s">
        <v>8632</v>
      </c>
      <c r="L93" s="6" t="s">
        <v>42</v>
      </c>
      <c r="M93" s="5" t="s">
        <v>1959</v>
      </c>
      <c r="N93" s="5" t="s">
        <v>64</v>
      </c>
      <c r="O93" s="5" t="s">
        <v>8850</v>
      </c>
      <c r="P93" s="6">
        <v>8007.0</v>
      </c>
    </row>
    <row r="94" ht="56.25" customHeight="1">
      <c r="A94" s="5" t="s">
        <v>8843</v>
      </c>
      <c r="B94" s="6" t="str">
        <f>IMAGE("https://storage.googleapis.com/acdb/tops/TopsTexTopOuterLBlouson0.png")</f>
        <v/>
      </c>
      <c r="C94" s="5" t="s">
        <v>106</v>
      </c>
      <c r="D94" s="8" t="s">
        <v>36</v>
      </c>
      <c r="E94" s="6">
        <v>1680.0</v>
      </c>
      <c r="F94" s="6">
        <v>420.0</v>
      </c>
      <c r="G94" s="5" t="s">
        <v>106</v>
      </c>
      <c r="H94" s="5" t="s">
        <v>57</v>
      </c>
      <c r="I94" s="6" t="s">
        <v>40</v>
      </c>
      <c r="J94" s="5" t="s">
        <v>8585</v>
      </c>
      <c r="K94" s="5" t="s">
        <v>8632</v>
      </c>
      <c r="L94" s="6" t="s">
        <v>42</v>
      </c>
      <c r="M94" s="5" t="s">
        <v>1959</v>
      </c>
      <c r="N94" s="5" t="s">
        <v>64</v>
      </c>
      <c r="O94" s="5" t="s">
        <v>8853</v>
      </c>
      <c r="P94" s="6">
        <v>4598.0</v>
      </c>
    </row>
    <row r="95" ht="56.25" customHeight="1">
      <c r="A95" s="5" t="s">
        <v>8854</v>
      </c>
      <c r="B95" s="6" t="str">
        <f>IMAGE("https://storage.googleapis.com/acdb/tops/TopsTexTopYshirtsLFleece0.png")</f>
        <v/>
      </c>
      <c r="C95" s="5" t="s">
        <v>57</v>
      </c>
      <c r="D95" s="8" t="s">
        <v>36</v>
      </c>
      <c r="E95" s="6">
        <v>1400.0</v>
      </c>
      <c r="F95" s="6">
        <v>350.0</v>
      </c>
      <c r="G95" s="5" t="s">
        <v>57</v>
      </c>
      <c r="H95" s="5" t="s">
        <v>68</v>
      </c>
      <c r="I95" s="6" t="s">
        <v>40</v>
      </c>
      <c r="J95" s="5" t="s">
        <v>8585</v>
      </c>
      <c r="K95" s="5" t="s">
        <v>8632</v>
      </c>
      <c r="L95" s="6" t="s">
        <v>42</v>
      </c>
      <c r="M95" s="5" t="s">
        <v>8746</v>
      </c>
      <c r="N95" s="5" t="s">
        <v>64</v>
      </c>
      <c r="O95" s="5" t="s">
        <v>8856</v>
      </c>
      <c r="P95" s="6">
        <v>3705.0</v>
      </c>
    </row>
    <row r="96" ht="56.25" customHeight="1">
      <c r="A96" s="5" t="s">
        <v>8854</v>
      </c>
      <c r="B96" s="6" t="str">
        <f>IMAGE("https://storage.googleapis.com/acdb/tops/TopsTexTopYshirtsLFleece6.png")</f>
        <v/>
      </c>
      <c r="C96" s="5" t="s">
        <v>114</v>
      </c>
      <c r="D96" s="8" t="s">
        <v>36</v>
      </c>
      <c r="E96" s="6">
        <v>1400.0</v>
      </c>
      <c r="F96" s="6">
        <v>350.0</v>
      </c>
      <c r="G96" s="5" t="s">
        <v>114</v>
      </c>
      <c r="H96" s="5" t="s">
        <v>68</v>
      </c>
      <c r="I96" s="6" t="s">
        <v>40</v>
      </c>
      <c r="J96" s="5" t="s">
        <v>8585</v>
      </c>
      <c r="K96" s="5" t="s">
        <v>8632</v>
      </c>
      <c r="L96" s="6" t="s">
        <v>42</v>
      </c>
      <c r="M96" s="5" t="s">
        <v>8746</v>
      </c>
      <c r="N96" s="5" t="s">
        <v>64</v>
      </c>
      <c r="O96" s="5" t="s">
        <v>8860</v>
      </c>
      <c r="P96" s="6">
        <v>8320.0</v>
      </c>
    </row>
    <row r="97" ht="56.25" customHeight="1">
      <c r="A97" s="5" t="s">
        <v>8854</v>
      </c>
      <c r="B97" s="6" t="str">
        <f>IMAGE("https://storage.googleapis.com/acdb/tops/TopsTexTopYshirtsLFleece7.png")</f>
        <v/>
      </c>
      <c r="C97" s="5" t="s">
        <v>1458</v>
      </c>
      <c r="D97" s="8" t="s">
        <v>36</v>
      </c>
      <c r="E97" s="6">
        <v>1400.0</v>
      </c>
      <c r="F97" s="6">
        <v>350.0</v>
      </c>
      <c r="G97" s="5" t="s">
        <v>96</v>
      </c>
      <c r="H97" s="5" t="s">
        <v>96</v>
      </c>
      <c r="I97" s="6" t="s">
        <v>40</v>
      </c>
      <c r="J97" s="5" t="s">
        <v>8585</v>
      </c>
      <c r="K97" s="5" t="s">
        <v>8632</v>
      </c>
      <c r="L97" s="6" t="s">
        <v>42</v>
      </c>
      <c r="M97" s="5" t="s">
        <v>8746</v>
      </c>
      <c r="N97" s="5" t="s">
        <v>64</v>
      </c>
      <c r="O97" s="5" t="s">
        <v>8862</v>
      </c>
      <c r="P97" s="6">
        <v>8321.0</v>
      </c>
    </row>
    <row r="98" ht="56.25" customHeight="1">
      <c r="A98" s="5" t="s">
        <v>8854</v>
      </c>
      <c r="B98" s="6" t="str">
        <f>IMAGE("https://storage.googleapis.com/acdb/tops/TopsTexTopYshirtsLFleece1.png")</f>
        <v/>
      </c>
      <c r="C98" s="5" t="s">
        <v>96</v>
      </c>
      <c r="D98" s="8" t="s">
        <v>36</v>
      </c>
      <c r="E98" s="6">
        <v>1400.0</v>
      </c>
      <c r="F98" s="6">
        <v>350.0</v>
      </c>
      <c r="G98" s="5" t="s">
        <v>96</v>
      </c>
      <c r="H98" s="5" t="s">
        <v>54</v>
      </c>
      <c r="I98" s="6" t="s">
        <v>40</v>
      </c>
      <c r="J98" s="5" t="s">
        <v>8585</v>
      </c>
      <c r="K98" s="5" t="s">
        <v>8632</v>
      </c>
      <c r="L98" s="6" t="s">
        <v>42</v>
      </c>
      <c r="M98" s="5" t="s">
        <v>8746</v>
      </c>
      <c r="N98" s="5" t="s">
        <v>64</v>
      </c>
      <c r="O98" s="5" t="s">
        <v>8865</v>
      </c>
      <c r="P98" s="6">
        <v>8315.0</v>
      </c>
    </row>
    <row r="99" ht="56.25" customHeight="1">
      <c r="A99" s="5" t="s">
        <v>8854</v>
      </c>
      <c r="B99" s="6" t="str">
        <f>IMAGE("https://storage.googleapis.com/acdb/tops/TopsTexTopYshirtsLFleece2.png")</f>
        <v/>
      </c>
      <c r="C99" s="5" t="s">
        <v>1187</v>
      </c>
      <c r="D99" s="8" t="s">
        <v>36</v>
      </c>
      <c r="E99" s="6">
        <v>1400.0</v>
      </c>
      <c r="F99" s="6">
        <v>350.0</v>
      </c>
      <c r="G99" s="5" t="s">
        <v>68</v>
      </c>
      <c r="H99" s="5" t="s">
        <v>54</v>
      </c>
      <c r="I99" s="6" t="s">
        <v>40</v>
      </c>
      <c r="J99" s="5" t="s">
        <v>8585</v>
      </c>
      <c r="K99" s="5" t="s">
        <v>8632</v>
      </c>
      <c r="L99" s="6" t="s">
        <v>42</v>
      </c>
      <c r="M99" s="5" t="s">
        <v>8746</v>
      </c>
      <c r="N99" s="5" t="s">
        <v>64</v>
      </c>
      <c r="O99" s="5" t="s">
        <v>8868</v>
      </c>
      <c r="P99" s="6">
        <v>8316.0</v>
      </c>
    </row>
    <row r="100" ht="56.25" customHeight="1">
      <c r="A100" s="5" t="s">
        <v>8854</v>
      </c>
      <c r="B100" s="6" t="str">
        <f>IMAGE("https://storage.googleapis.com/acdb/tops/TopsTexTopYshirtsLFleece3.png")</f>
        <v/>
      </c>
      <c r="C100" s="5" t="s">
        <v>38</v>
      </c>
      <c r="D100" s="8" t="s">
        <v>36</v>
      </c>
      <c r="E100" s="6">
        <v>1400.0</v>
      </c>
      <c r="F100" s="6">
        <v>350.0</v>
      </c>
      <c r="G100" s="5" t="s">
        <v>38</v>
      </c>
      <c r="H100" s="5" t="s">
        <v>142</v>
      </c>
      <c r="I100" s="6" t="s">
        <v>40</v>
      </c>
      <c r="J100" s="5" t="s">
        <v>8585</v>
      </c>
      <c r="K100" s="5" t="s">
        <v>8632</v>
      </c>
      <c r="L100" s="6" t="s">
        <v>42</v>
      </c>
      <c r="M100" s="5" t="s">
        <v>8746</v>
      </c>
      <c r="N100" s="5" t="s">
        <v>64</v>
      </c>
      <c r="O100" s="5" t="s">
        <v>8870</v>
      </c>
      <c r="P100" s="6">
        <v>8317.0</v>
      </c>
    </row>
    <row r="101" ht="56.25" customHeight="1">
      <c r="A101" s="5" t="s">
        <v>8854</v>
      </c>
      <c r="B101" s="6" t="str">
        <f>IMAGE("https://storage.googleapis.com/acdb/tops/TopsTexTopYshirtsLFleece4.png")</f>
        <v/>
      </c>
      <c r="C101" s="5" t="s">
        <v>68</v>
      </c>
      <c r="D101" s="8" t="s">
        <v>36</v>
      </c>
      <c r="E101" s="6">
        <v>1400.0</v>
      </c>
      <c r="F101" s="6">
        <v>350.0</v>
      </c>
      <c r="G101" s="5" t="s">
        <v>68</v>
      </c>
      <c r="H101" s="5" t="s">
        <v>54</v>
      </c>
      <c r="I101" s="6" t="s">
        <v>40</v>
      </c>
      <c r="J101" s="5" t="s">
        <v>8585</v>
      </c>
      <c r="K101" s="5" t="s">
        <v>8632</v>
      </c>
      <c r="L101" s="6" t="s">
        <v>42</v>
      </c>
      <c r="M101" s="5" t="s">
        <v>8746</v>
      </c>
      <c r="N101" s="5" t="s">
        <v>64</v>
      </c>
      <c r="O101" s="5" t="s">
        <v>8872</v>
      </c>
      <c r="P101" s="6">
        <v>8318.0</v>
      </c>
    </row>
    <row r="102" ht="56.25" customHeight="1">
      <c r="A102" s="5" t="s">
        <v>8854</v>
      </c>
      <c r="B102" s="6" t="str">
        <f>IMAGE("https://storage.googleapis.com/acdb/tops/TopsTexTopYshirtsLFleece5.png")</f>
        <v/>
      </c>
      <c r="C102" s="5" t="s">
        <v>69</v>
      </c>
      <c r="D102" s="8" t="s">
        <v>36</v>
      </c>
      <c r="E102" s="6">
        <v>1400.0</v>
      </c>
      <c r="F102" s="6">
        <v>350.0</v>
      </c>
      <c r="G102" s="5" t="s">
        <v>69</v>
      </c>
      <c r="H102" s="5" t="s">
        <v>68</v>
      </c>
      <c r="I102" s="6" t="s">
        <v>40</v>
      </c>
      <c r="J102" s="5" t="s">
        <v>8585</v>
      </c>
      <c r="K102" s="5" t="s">
        <v>8632</v>
      </c>
      <c r="L102" s="6" t="s">
        <v>42</v>
      </c>
      <c r="M102" s="5" t="s">
        <v>8746</v>
      </c>
      <c r="N102" s="5" t="s">
        <v>64</v>
      </c>
      <c r="O102" s="5" t="s">
        <v>8875</v>
      </c>
      <c r="P102" s="6">
        <v>8319.0</v>
      </c>
    </row>
    <row r="103" ht="56.25" customHeight="1">
      <c r="A103" s="5" t="s">
        <v>8877</v>
      </c>
      <c r="B103" s="6" t="str">
        <f>IMAGE("https://storage.googleapis.com/acdb/tops/TopsTexTopYshirtsHPolynesia0.png")</f>
        <v/>
      </c>
      <c r="C103" s="5" t="s">
        <v>1187</v>
      </c>
      <c r="D103" s="8" t="s">
        <v>36</v>
      </c>
      <c r="E103" s="6">
        <v>960.0</v>
      </c>
      <c r="F103" s="6">
        <v>240.0</v>
      </c>
      <c r="G103" s="5" t="s">
        <v>68</v>
      </c>
      <c r="H103" s="5" t="s">
        <v>52</v>
      </c>
      <c r="I103" s="6" t="s">
        <v>40</v>
      </c>
      <c r="J103" s="5" t="s">
        <v>8585</v>
      </c>
      <c r="K103" s="5" t="s">
        <v>8632</v>
      </c>
      <c r="L103" s="6" t="s">
        <v>42</v>
      </c>
      <c r="M103" s="5" t="s">
        <v>8746</v>
      </c>
      <c r="N103" s="5" t="s">
        <v>64</v>
      </c>
      <c r="O103" s="5" t="s">
        <v>8880</v>
      </c>
      <c r="P103" s="6">
        <v>8206.0</v>
      </c>
    </row>
    <row r="104" ht="56.25" customHeight="1">
      <c r="A104" s="5" t="s">
        <v>8877</v>
      </c>
      <c r="B104" s="6" t="str">
        <f>IMAGE("https://storage.googleapis.com/acdb/tops/TopsTexTopYshirtsHPolynesia1.png")</f>
        <v/>
      </c>
      <c r="C104" s="5" t="s">
        <v>69</v>
      </c>
      <c r="D104" s="8" t="s">
        <v>36</v>
      </c>
      <c r="E104" s="6">
        <v>960.0</v>
      </c>
      <c r="F104" s="6">
        <v>240.0</v>
      </c>
      <c r="G104" s="5" t="s">
        <v>69</v>
      </c>
      <c r="H104" s="5" t="s">
        <v>83</v>
      </c>
      <c r="I104" s="6" t="s">
        <v>40</v>
      </c>
      <c r="J104" s="5" t="s">
        <v>8585</v>
      </c>
      <c r="K104" s="5" t="s">
        <v>8632</v>
      </c>
      <c r="L104" s="6" t="s">
        <v>42</v>
      </c>
      <c r="M104" s="5" t="s">
        <v>8746</v>
      </c>
      <c r="N104" s="5" t="s">
        <v>64</v>
      </c>
      <c r="O104" s="5" t="s">
        <v>8884</v>
      </c>
      <c r="P104" s="6">
        <v>12098.0</v>
      </c>
    </row>
    <row r="105" ht="56.25" customHeight="1">
      <c r="A105" s="5" t="s">
        <v>8885</v>
      </c>
      <c r="B105" s="6" t="str">
        <f>IMAGE("https://storage.googleapis.com/acdb/tops/TopsTexTopOuterLMaone0.png")</f>
        <v/>
      </c>
      <c r="C105" s="5" t="s">
        <v>2222</v>
      </c>
      <c r="D105" s="8" t="s">
        <v>36</v>
      </c>
      <c r="E105" s="6">
        <v>1440.0</v>
      </c>
      <c r="F105" s="6">
        <v>360.0</v>
      </c>
      <c r="G105" s="5" t="s">
        <v>96</v>
      </c>
      <c r="H105" s="5" t="s">
        <v>96</v>
      </c>
      <c r="I105" s="6" t="s">
        <v>40</v>
      </c>
      <c r="J105" s="5" t="s">
        <v>8585</v>
      </c>
      <c r="K105" s="5" t="s">
        <v>8632</v>
      </c>
      <c r="L105" s="6" t="s">
        <v>42</v>
      </c>
      <c r="M105" s="5" t="s">
        <v>1952</v>
      </c>
      <c r="N105" s="5" t="s">
        <v>64</v>
      </c>
      <c r="O105" s="5" t="s">
        <v>8888</v>
      </c>
      <c r="P105" s="6">
        <v>4401.0</v>
      </c>
    </row>
    <row r="106" ht="56.25" customHeight="1">
      <c r="A106" s="5" t="s">
        <v>8885</v>
      </c>
      <c r="B106" s="6" t="str">
        <f>IMAGE("https://storage.googleapis.com/acdb/tops/TopsTexTopOuterLMaone1.png")</f>
        <v/>
      </c>
      <c r="C106" s="5" t="s">
        <v>54</v>
      </c>
      <c r="D106" s="8" t="s">
        <v>36</v>
      </c>
      <c r="E106" s="6">
        <v>1440.0</v>
      </c>
      <c r="F106" s="6">
        <v>360.0</v>
      </c>
      <c r="G106" s="5" t="s">
        <v>54</v>
      </c>
      <c r="H106" s="5" t="s">
        <v>54</v>
      </c>
      <c r="I106" s="6" t="s">
        <v>40</v>
      </c>
      <c r="J106" s="5" t="s">
        <v>8585</v>
      </c>
      <c r="K106" s="5" t="s">
        <v>8632</v>
      </c>
      <c r="L106" s="6" t="s">
        <v>42</v>
      </c>
      <c r="M106" s="5" t="s">
        <v>1952</v>
      </c>
      <c r="N106" s="5" t="s">
        <v>64</v>
      </c>
      <c r="O106" s="5" t="s">
        <v>8891</v>
      </c>
      <c r="P106" s="6">
        <v>8566.0</v>
      </c>
    </row>
    <row r="107" ht="56.25" customHeight="1">
      <c r="A107" s="5" t="s">
        <v>8885</v>
      </c>
      <c r="B107" s="6" t="str">
        <f>IMAGE("https://storage.googleapis.com/acdb/tops/TopsTexTopOuterLMaone2.png")</f>
        <v/>
      </c>
      <c r="C107" s="5" t="s">
        <v>68</v>
      </c>
      <c r="D107" s="8" t="s">
        <v>36</v>
      </c>
      <c r="E107" s="6">
        <v>1440.0</v>
      </c>
      <c r="F107" s="6">
        <v>360.0</v>
      </c>
      <c r="G107" s="5" t="s">
        <v>68</v>
      </c>
      <c r="H107" s="5" t="s">
        <v>68</v>
      </c>
      <c r="I107" s="6" t="s">
        <v>40</v>
      </c>
      <c r="J107" s="5" t="s">
        <v>8585</v>
      </c>
      <c r="K107" s="5" t="s">
        <v>8632</v>
      </c>
      <c r="L107" s="6" t="s">
        <v>42</v>
      </c>
      <c r="M107" s="5" t="s">
        <v>1952</v>
      </c>
      <c r="N107" s="5" t="s">
        <v>64</v>
      </c>
      <c r="O107" s="5" t="s">
        <v>8894</v>
      </c>
      <c r="P107" s="6">
        <v>8567.0</v>
      </c>
    </row>
    <row r="108" ht="56.25" customHeight="1">
      <c r="A108" s="5" t="s">
        <v>8885</v>
      </c>
      <c r="B108" s="6" t="str">
        <f>IMAGE("https://storage.googleapis.com/acdb/tops/TopsTexTopOuterLMaone3.png")</f>
        <v/>
      </c>
      <c r="C108" s="5" t="s">
        <v>39</v>
      </c>
      <c r="D108" s="8" t="s">
        <v>36</v>
      </c>
      <c r="E108" s="6">
        <v>1440.0</v>
      </c>
      <c r="F108" s="6">
        <v>360.0</v>
      </c>
      <c r="G108" s="5" t="s">
        <v>39</v>
      </c>
      <c r="H108" s="5" t="s">
        <v>39</v>
      </c>
      <c r="I108" s="6" t="s">
        <v>40</v>
      </c>
      <c r="J108" s="5" t="s">
        <v>8585</v>
      </c>
      <c r="K108" s="5" t="s">
        <v>8632</v>
      </c>
      <c r="L108" s="6" t="s">
        <v>42</v>
      </c>
      <c r="M108" s="5" t="s">
        <v>1952</v>
      </c>
      <c r="N108" s="5" t="s">
        <v>64</v>
      </c>
      <c r="O108" s="5" t="s">
        <v>8898</v>
      </c>
      <c r="P108" s="6">
        <v>8568.0</v>
      </c>
    </row>
    <row r="109" ht="56.25" customHeight="1">
      <c r="A109" s="5" t="s">
        <v>8899</v>
      </c>
      <c r="B109" s="6" t="str">
        <f>IMAGE("https://storage.googleapis.com/acdb/tops/TopsTexTopTshirtsHMeat0.png")</f>
        <v/>
      </c>
      <c r="C109" s="5" t="s">
        <v>34</v>
      </c>
      <c r="D109" s="8" t="s">
        <v>36</v>
      </c>
      <c r="E109" s="6">
        <v>640.0</v>
      </c>
      <c r="F109" s="6">
        <v>160.0</v>
      </c>
      <c r="G109" s="5" t="s">
        <v>114</v>
      </c>
      <c r="H109" s="5" t="s">
        <v>57</v>
      </c>
      <c r="I109" s="6" t="s">
        <v>40</v>
      </c>
      <c r="J109" s="5" t="s">
        <v>8585</v>
      </c>
      <c r="K109" s="5" t="s">
        <v>8632</v>
      </c>
      <c r="L109" s="6" t="s">
        <v>42</v>
      </c>
      <c r="M109" s="5" t="s">
        <v>995</v>
      </c>
      <c r="N109" s="5" t="s">
        <v>64</v>
      </c>
      <c r="O109" s="5" t="s">
        <v>8902</v>
      </c>
      <c r="P109" s="6">
        <v>8200.0</v>
      </c>
    </row>
    <row r="110" ht="56.25" customHeight="1">
      <c r="A110" s="5" t="s">
        <v>8903</v>
      </c>
      <c r="B110" s="6" t="str">
        <f>IMAGE("https://storage.googleapis.com/acdb/tops/TopsTexTopTshirtsHHellofr0.png")</f>
        <v/>
      </c>
      <c r="C110" s="5" t="s">
        <v>34</v>
      </c>
      <c r="D110" s="8" t="s">
        <v>36</v>
      </c>
      <c r="E110" s="6">
        <v>640.0</v>
      </c>
      <c r="F110" s="6">
        <v>160.0</v>
      </c>
      <c r="G110" s="5" t="s">
        <v>57</v>
      </c>
      <c r="H110" s="5" t="s">
        <v>52</v>
      </c>
      <c r="I110" s="6" t="s">
        <v>40</v>
      </c>
      <c r="J110" s="5" t="s">
        <v>8578</v>
      </c>
      <c r="K110" s="5"/>
      <c r="L110" s="6" t="s">
        <v>42</v>
      </c>
      <c r="M110" s="5" t="s">
        <v>995</v>
      </c>
      <c r="N110" s="5" t="s">
        <v>64</v>
      </c>
      <c r="O110" s="5" t="s">
        <v>8905</v>
      </c>
      <c r="P110" s="6">
        <v>12115.0</v>
      </c>
    </row>
    <row r="111" ht="56.25" customHeight="1">
      <c r="A111" s="5" t="s">
        <v>8906</v>
      </c>
      <c r="B111" s="6" t="str">
        <f>IMAGE("https://storage.googleapis.com/acdb/tops/TopsTexTopTshirtsHBotanical1.png")</f>
        <v/>
      </c>
      <c r="C111" s="5" t="s">
        <v>57</v>
      </c>
      <c r="D111" s="8" t="s">
        <v>36</v>
      </c>
      <c r="E111" s="6">
        <v>800.0</v>
      </c>
      <c r="F111" s="6">
        <v>200.0</v>
      </c>
      <c r="G111" s="5" t="s">
        <v>57</v>
      </c>
      <c r="H111" s="5" t="s">
        <v>52</v>
      </c>
      <c r="I111" s="6" t="s">
        <v>40</v>
      </c>
      <c r="J111" s="5" t="s">
        <v>8585</v>
      </c>
      <c r="K111" s="5" t="s">
        <v>8632</v>
      </c>
      <c r="L111" s="6" t="s">
        <v>42</v>
      </c>
      <c r="M111" s="5" t="s">
        <v>1952</v>
      </c>
      <c r="N111" s="5" t="s">
        <v>64</v>
      </c>
      <c r="O111" s="5" t="s">
        <v>8909</v>
      </c>
      <c r="P111" s="6">
        <v>11956.0</v>
      </c>
    </row>
    <row r="112" ht="56.25" customHeight="1">
      <c r="A112" s="5" t="s">
        <v>8906</v>
      </c>
      <c r="B112" s="6" t="str">
        <f>IMAGE("https://storage.googleapis.com/acdb/tops/TopsTexTopTshirtsHBotanical0.png")</f>
        <v/>
      </c>
      <c r="C112" s="5" t="s">
        <v>54</v>
      </c>
      <c r="D112" s="8" t="s">
        <v>36</v>
      </c>
      <c r="E112" s="6">
        <v>800.0</v>
      </c>
      <c r="F112" s="6">
        <v>200.0</v>
      </c>
      <c r="G112" s="5" t="s">
        <v>54</v>
      </c>
      <c r="H112" s="5" t="s">
        <v>52</v>
      </c>
      <c r="I112" s="6" t="s">
        <v>40</v>
      </c>
      <c r="J112" s="5" t="s">
        <v>8585</v>
      </c>
      <c r="K112" s="5" t="s">
        <v>8632</v>
      </c>
      <c r="L112" s="6" t="s">
        <v>42</v>
      </c>
      <c r="M112" s="5" t="s">
        <v>1952</v>
      </c>
      <c r="N112" s="5" t="s">
        <v>64</v>
      </c>
      <c r="O112" s="5" t="s">
        <v>8914</v>
      </c>
      <c r="P112" s="6">
        <v>9831.0</v>
      </c>
    </row>
    <row r="113" ht="56.25" customHeight="1">
      <c r="A113" s="5" t="s">
        <v>8915</v>
      </c>
      <c r="B113" s="6" t="str">
        <f>IMAGE("https://storage.googleapis.com/acdb/tops/TopsTexTopYshirtsHBowling4.png")</f>
        <v/>
      </c>
      <c r="C113" s="5" t="s">
        <v>38</v>
      </c>
      <c r="D113" s="8" t="s">
        <v>36</v>
      </c>
      <c r="E113" s="6">
        <v>1260.0</v>
      </c>
      <c r="F113" s="6">
        <v>315.0</v>
      </c>
      <c r="G113" s="5" t="s">
        <v>38</v>
      </c>
      <c r="H113" s="5" t="s">
        <v>54</v>
      </c>
      <c r="I113" s="6" t="s">
        <v>40</v>
      </c>
      <c r="J113" s="5" t="s">
        <v>8585</v>
      </c>
      <c r="K113" s="5" t="s">
        <v>8586</v>
      </c>
      <c r="L113" s="6" t="s">
        <v>42</v>
      </c>
      <c r="M113" s="5" t="s">
        <v>1952</v>
      </c>
      <c r="N113" s="5" t="s">
        <v>64</v>
      </c>
      <c r="O113" s="5" t="s">
        <v>8917</v>
      </c>
      <c r="P113" s="6">
        <v>9440.0</v>
      </c>
    </row>
    <row r="114" ht="56.25" customHeight="1">
      <c r="A114" s="5" t="s">
        <v>8915</v>
      </c>
      <c r="B114" s="6" t="str">
        <f>IMAGE("https://storage.googleapis.com/acdb/tops/TopsTexTopYshirtsHBowling5.png")</f>
        <v/>
      </c>
      <c r="C114" s="5" t="s">
        <v>96</v>
      </c>
      <c r="D114" s="8" t="s">
        <v>36</v>
      </c>
      <c r="E114" s="6">
        <v>1260.0</v>
      </c>
      <c r="F114" s="6">
        <v>315.0</v>
      </c>
      <c r="G114" s="5" t="s">
        <v>96</v>
      </c>
      <c r="H114" s="5" t="s">
        <v>54</v>
      </c>
      <c r="I114" s="6" t="s">
        <v>40</v>
      </c>
      <c r="J114" s="5" t="s">
        <v>8585</v>
      </c>
      <c r="K114" s="5" t="s">
        <v>8586</v>
      </c>
      <c r="L114" s="6" t="s">
        <v>42</v>
      </c>
      <c r="M114" s="5" t="s">
        <v>1952</v>
      </c>
      <c r="N114" s="5" t="s">
        <v>64</v>
      </c>
      <c r="O114" s="5" t="s">
        <v>8919</v>
      </c>
      <c r="P114" s="6">
        <v>9441.0</v>
      </c>
    </row>
    <row r="115" ht="56.25" customHeight="1">
      <c r="A115" s="5" t="s">
        <v>8915</v>
      </c>
      <c r="B115" s="6" t="str">
        <f>IMAGE("https://storage.googleapis.com/acdb/tops/TopsTexTopYshirtsHBowling6.png")</f>
        <v/>
      </c>
      <c r="C115" s="5" t="s">
        <v>83</v>
      </c>
      <c r="D115" s="8" t="s">
        <v>36</v>
      </c>
      <c r="E115" s="6">
        <v>1260.0</v>
      </c>
      <c r="F115" s="6">
        <v>315.0</v>
      </c>
      <c r="G115" s="5" t="s">
        <v>83</v>
      </c>
      <c r="H115" s="5" t="s">
        <v>54</v>
      </c>
      <c r="I115" s="6" t="s">
        <v>40</v>
      </c>
      <c r="J115" s="5" t="s">
        <v>8585</v>
      </c>
      <c r="K115" s="5" t="s">
        <v>8586</v>
      </c>
      <c r="L115" s="6" t="s">
        <v>42</v>
      </c>
      <c r="M115" s="5" t="s">
        <v>1952</v>
      </c>
      <c r="N115" s="5" t="s">
        <v>64</v>
      </c>
      <c r="O115" s="5" t="s">
        <v>8923</v>
      </c>
      <c r="P115" s="6">
        <v>9442.0</v>
      </c>
    </row>
    <row r="116" ht="56.25" customHeight="1">
      <c r="A116" s="5" t="s">
        <v>8915</v>
      </c>
      <c r="B116" s="6" t="str">
        <f>IMAGE("https://storage.googleapis.com/acdb/tops/TopsTexTopYshirtsHBowling7.png")</f>
        <v/>
      </c>
      <c r="C116" s="5" t="s">
        <v>106</v>
      </c>
      <c r="D116" s="8" t="s">
        <v>36</v>
      </c>
      <c r="E116" s="6">
        <v>1260.0</v>
      </c>
      <c r="F116" s="6">
        <v>315.0</v>
      </c>
      <c r="G116" s="5" t="s">
        <v>106</v>
      </c>
      <c r="H116" s="5" t="s">
        <v>54</v>
      </c>
      <c r="I116" s="6" t="s">
        <v>40</v>
      </c>
      <c r="J116" s="5" t="s">
        <v>8585</v>
      </c>
      <c r="K116" s="5" t="s">
        <v>8586</v>
      </c>
      <c r="L116" s="6" t="s">
        <v>42</v>
      </c>
      <c r="M116" s="5" t="s">
        <v>1952</v>
      </c>
      <c r="N116" s="5" t="s">
        <v>64</v>
      </c>
      <c r="O116" s="5" t="s">
        <v>8925</v>
      </c>
      <c r="P116" s="6">
        <v>9443.0</v>
      </c>
    </row>
    <row r="117" ht="56.25" customHeight="1">
      <c r="A117" s="5" t="s">
        <v>8915</v>
      </c>
      <c r="B117" s="6" t="str">
        <f>IMAGE("https://storage.googleapis.com/acdb/tops/TopsTexTopYshirtsHBowling1.png")</f>
        <v/>
      </c>
      <c r="C117" s="5" t="s">
        <v>68</v>
      </c>
      <c r="D117" s="8" t="s">
        <v>36</v>
      </c>
      <c r="E117" s="6">
        <v>1260.0</v>
      </c>
      <c r="F117" s="6">
        <v>315.0</v>
      </c>
      <c r="G117" s="5" t="s">
        <v>68</v>
      </c>
      <c r="H117" s="5" t="s">
        <v>54</v>
      </c>
      <c r="I117" s="6" t="s">
        <v>40</v>
      </c>
      <c r="J117" s="5" t="s">
        <v>8585</v>
      </c>
      <c r="K117" s="5" t="s">
        <v>8586</v>
      </c>
      <c r="L117" s="6" t="s">
        <v>42</v>
      </c>
      <c r="M117" s="5" t="s">
        <v>1952</v>
      </c>
      <c r="N117" s="5" t="s">
        <v>64</v>
      </c>
      <c r="O117" s="5" t="s">
        <v>8927</v>
      </c>
      <c r="P117" s="6">
        <v>9437.0</v>
      </c>
    </row>
    <row r="118" ht="56.25" customHeight="1">
      <c r="A118" s="5" t="s">
        <v>8915</v>
      </c>
      <c r="B118" s="6" t="str">
        <f>IMAGE("https://storage.googleapis.com/acdb/tops/TopsTexTopYshirtsHBowling2.png")</f>
        <v/>
      </c>
      <c r="C118" s="5" t="s">
        <v>114</v>
      </c>
      <c r="D118" s="8" t="s">
        <v>36</v>
      </c>
      <c r="E118" s="6">
        <v>1260.0</v>
      </c>
      <c r="F118" s="6">
        <v>315.0</v>
      </c>
      <c r="G118" s="5" t="s">
        <v>114</v>
      </c>
      <c r="H118" s="5" t="s">
        <v>54</v>
      </c>
      <c r="I118" s="6" t="s">
        <v>40</v>
      </c>
      <c r="J118" s="5" t="s">
        <v>8585</v>
      </c>
      <c r="K118" s="5" t="s">
        <v>8586</v>
      </c>
      <c r="L118" s="6" t="s">
        <v>42</v>
      </c>
      <c r="M118" s="5" t="s">
        <v>1952</v>
      </c>
      <c r="N118" s="5" t="s">
        <v>64</v>
      </c>
      <c r="O118" s="5" t="s">
        <v>8930</v>
      </c>
      <c r="P118" s="6">
        <v>9438.0</v>
      </c>
    </row>
    <row r="119" ht="56.25" customHeight="1">
      <c r="A119" s="5" t="s">
        <v>8915</v>
      </c>
      <c r="B119" s="6" t="str">
        <f>IMAGE("https://storage.googleapis.com/acdb/tops/TopsTexTopYshirtsHBowling3.png")</f>
        <v/>
      </c>
      <c r="C119" s="5" t="s">
        <v>142</v>
      </c>
      <c r="D119" s="8" t="s">
        <v>36</v>
      </c>
      <c r="E119" s="6">
        <v>1260.0</v>
      </c>
      <c r="F119" s="6">
        <v>315.0</v>
      </c>
      <c r="G119" s="5" t="s">
        <v>142</v>
      </c>
      <c r="H119" s="5" t="s">
        <v>54</v>
      </c>
      <c r="I119" s="6" t="s">
        <v>40</v>
      </c>
      <c r="J119" s="5" t="s">
        <v>8585</v>
      </c>
      <c r="K119" s="5" t="s">
        <v>8586</v>
      </c>
      <c r="L119" s="6" t="s">
        <v>42</v>
      </c>
      <c r="M119" s="5" t="s">
        <v>1952</v>
      </c>
      <c r="N119" s="5" t="s">
        <v>64</v>
      </c>
      <c r="O119" s="5" t="s">
        <v>8933</v>
      </c>
      <c r="P119" s="6">
        <v>9439.0</v>
      </c>
    </row>
    <row r="120" ht="56.25" customHeight="1">
      <c r="A120" s="5" t="s">
        <v>8915</v>
      </c>
      <c r="B120" s="6" t="str">
        <f>IMAGE("https://storage.googleapis.com/acdb/tops/TopsTexTopYshirtsHBowling0.png")</f>
        <v/>
      </c>
      <c r="C120" s="5" t="s">
        <v>52</v>
      </c>
      <c r="D120" s="8" t="s">
        <v>36</v>
      </c>
      <c r="E120" s="6">
        <v>1260.0</v>
      </c>
      <c r="F120" s="6">
        <v>315.0</v>
      </c>
      <c r="G120" s="5" t="s">
        <v>52</v>
      </c>
      <c r="H120" s="5" t="s">
        <v>54</v>
      </c>
      <c r="I120" s="6" t="s">
        <v>40</v>
      </c>
      <c r="J120" s="5" t="s">
        <v>8585</v>
      </c>
      <c r="K120" s="5" t="s">
        <v>8586</v>
      </c>
      <c r="L120" s="6" t="s">
        <v>42</v>
      </c>
      <c r="M120" s="5" t="s">
        <v>1952</v>
      </c>
      <c r="N120" s="5" t="s">
        <v>64</v>
      </c>
      <c r="O120" s="5" t="s">
        <v>8935</v>
      </c>
      <c r="P120" s="6">
        <v>3698.0</v>
      </c>
    </row>
    <row r="121" ht="56.25" customHeight="1">
      <c r="A121" s="5" t="s">
        <v>8936</v>
      </c>
      <c r="B121" s="6" t="str">
        <f>IMAGE("https://storage.googleapis.com/acdb/tops/TopsTexTopYshirtsHInsect0.png")</f>
        <v/>
      </c>
      <c r="C121" s="5" t="s">
        <v>34</v>
      </c>
      <c r="D121" s="8" t="s">
        <v>36</v>
      </c>
      <c r="E121" s="6" t="s">
        <v>37</v>
      </c>
      <c r="F121" s="6">
        <v>240.0</v>
      </c>
      <c r="G121" s="5" t="s">
        <v>54</v>
      </c>
      <c r="H121" s="5" t="s">
        <v>52</v>
      </c>
      <c r="I121" s="6" t="s">
        <v>40</v>
      </c>
      <c r="J121" s="5" t="s">
        <v>393</v>
      </c>
      <c r="K121" s="5"/>
      <c r="L121" s="6" t="s">
        <v>42</v>
      </c>
      <c r="M121" s="5" t="s">
        <v>1952</v>
      </c>
      <c r="N121" s="5" t="s">
        <v>48</v>
      </c>
      <c r="O121" s="5" t="s">
        <v>8939</v>
      </c>
      <c r="P121" s="6">
        <v>8764.0</v>
      </c>
    </row>
    <row r="122" ht="56.25" customHeight="1">
      <c r="A122" s="5" t="s">
        <v>8940</v>
      </c>
      <c r="B122" s="6" t="str">
        <f>IMAGE("https://storage.googleapis.com/acdb/tops/TopsTexTopOuterLBulldog0.png")</f>
        <v/>
      </c>
      <c r="C122" s="5" t="s">
        <v>54</v>
      </c>
      <c r="D122" s="8" t="s">
        <v>36</v>
      </c>
      <c r="E122" s="6">
        <v>1440.0</v>
      </c>
      <c r="F122" s="6">
        <v>360.0</v>
      </c>
      <c r="G122" s="5" t="s">
        <v>54</v>
      </c>
      <c r="H122" s="5" t="s">
        <v>57</v>
      </c>
      <c r="I122" s="6" t="s">
        <v>40</v>
      </c>
      <c r="J122" s="5" t="s">
        <v>8585</v>
      </c>
      <c r="K122" s="5" t="s">
        <v>8632</v>
      </c>
      <c r="L122" s="6" t="s">
        <v>42</v>
      </c>
      <c r="M122" s="5" t="s">
        <v>1952</v>
      </c>
      <c r="N122" s="5" t="s">
        <v>64</v>
      </c>
      <c r="O122" s="5" t="s">
        <v>8942</v>
      </c>
      <c r="P122" s="6">
        <v>5980.0</v>
      </c>
    </row>
    <row r="123" ht="56.25" customHeight="1">
      <c r="A123" s="5" t="s">
        <v>8940</v>
      </c>
      <c r="B123" s="6" t="str">
        <f>IMAGE("https://storage.googleapis.com/acdb/tops/TopsTexTopOuterLBulldog1.png")</f>
        <v/>
      </c>
      <c r="C123" s="5" t="s">
        <v>57</v>
      </c>
      <c r="D123" s="8" t="s">
        <v>36</v>
      </c>
      <c r="E123" s="6">
        <v>1440.0</v>
      </c>
      <c r="F123" s="6">
        <v>360.0</v>
      </c>
      <c r="G123" s="5" t="s">
        <v>57</v>
      </c>
      <c r="H123" s="5" t="s">
        <v>54</v>
      </c>
      <c r="I123" s="6" t="s">
        <v>40</v>
      </c>
      <c r="J123" s="5" t="s">
        <v>8585</v>
      </c>
      <c r="K123" s="5" t="s">
        <v>8632</v>
      </c>
      <c r="L123" s="6" t="s">
        <v>42</v>
      </c>
      <c r="M123" s="5" t="s">
        <v>1952</v>
      </c>
      <c r="N123" s="5" t="s">
        <v>64</v>
      </c>
      <c r="O123" s="5" t="s">
        <v>8944</v>
      </c>
      <c r="P123" s="6">
        <v>7998.0</v>
      </c>
    </row>
    <row r="124" ht="56.25" customHeight="1">
      <c r="A124" s="5" t="s">
        <v>8940</v>
      </c>
      <c r="B124" s="6" t="str">
        <f>IMAGE("https://storage.googleapis.com/acdb/tops/TopsTexTopOuterLBulldog2.png")</f>
        <v/>
      </c>
      <c r="C124" s="5" t="s">
        <v>52</v>
      </c>
      <c r="D124" s="8" t="s">
        <v>36</v>
      </c>
      <c r="E124" s="6">
        <v>1440.0</v>
      </c>
      <c r="F124" s="6">
        <v>360.0</v>
      </c>
      <c r="G124" s="5" t="s">
        <v>52</v>
      </c>
      <c r="H124" s="5" t="s">
        <v>54</v>
      </c>
      <c r="I124" s="6" t="s">
        <v>40</v>
      </c>
      <c r="J124" s="5" t="s">
        <v>8585</v>
      </c>
      <c r="K124" s="5" t="s">
        <v>8632</v>
      </c>
      <c r="L124" s="6" t="s">
        <v>42</v>
      </c>
      <c r="M124" s="5" t="s">
        <v>1952</v>
      </c>
      <c r="N124" s="5" t="s">
        <v>64</v>
      </c>
      <c r="O124" s="5" t="s">
        <v>8947</v>
      </c>
      <c r="P124" s="6">
        <v>7999.0</v>
      </c>
    </row>
    <row r="125" ht="56.25" customHeight="1">
      <c r="A125" s="5" t="s">
        <v>8948</v>
      </c>
      <c r="B125" s="6" t="str">
        <f>IMAGE("https://storage.googleapis.com/acdb/tops/TopsTexTopYshirtsLSuits2.png")</f>
        <v/>
      </c>
      <c r="C125" s="5" t="s">
        <v>68</v>
      </c>
      <c r="D125" s="8" t="s">
        <v>36</v>
      </c>
      <c r="E125" s="6">
        <v>1960.0</v>
      </c>
      <c r="F125" s="6">
        <v>490.0</v>
      </c>
      <c r="G125" s="5" t="s">
        <v>83</v>
      </c>
      <c r="H125" s="5" t="s">
        <v>83</v>
      </c>
      <c r="I125" s="6" t="s">
        <v>40</v>
      </c>
      <c r="J125" s="5" t="s">
        <v>8585</v>
      </c>
      <c r="K125" s="5" t="s">
        <v>8586</v>
      </c>
      <c r="L125" s="6" t="s">
        <v>42</v>
      </c>
      <c r="M125" s="5" t="s">
        <v>1952</v>
      </c>
      <c r="N125" s="5" t="s">
        <v>64</v>
      </c>
      <c r="O125" s="5" t="s">
        <v>8951</v>
      </c>
      <c r="P125" s="6">
        <v>8280.0</v>
      </c>
    </row>
    <row r="126" ht="56.25" customHeight="1">
      <c r="A126" s="5" t="s">
        <v>8948</v>
      </c>
      <c r="B126" s="6" t="str">
        <f>IMAGE("https://storage.googleapis.com/acdb/tops/TopsTexTopYshirtsLSuits3.png")</f>
        <v/>
      </c>
      <c r="C126" s="5" t="s">
        <v>4883</v>
      </c>
      <c r="D126" s="8" t="s">
        <v>36</v>
      </c>
      <c r="E126" s="6">
        <v>1960.0</v>
      </c>
      <c r="F126" s="6">
        <v>490.0</v>
      </c>
      <c r="G126" s="5" t="s">
        <v>52</v>
      </c>
      <c r="H126" s="5" t="s">
        <v>52</v>
      </c>
      <c r="I126" s="6" t="s">
        <v>40</v>
      </c>
      <c r="J126" s="5" t="s">
        <v>8585</v>
      </c>
      <c r="K126" s="5" t="s">
        <v>8586</v>
      </c>
      <c r="L126" s="6" t="s">
        <v>42</v>
      </c>
      <c r="M126" s="5" t="s">
        <v>1952</v>
      </c>
      <c r="N126" s="5" t="s">
        <v>64</v>
      </c>
      <c r="O126" s="5" t="s">
        <v>8957</v>
      </c>
      <c r="P126" s="6">
        <v>8281.0</v>
      </c>
    </row>
    <row r="127" ht="56.25" customHeight="1">
      <c r="A127" s="5" t="s">
        <v>8948</v>
      </c>
      <c r="B127" s="6" t="str">
        <f>IMAGE("https://storage.googleapis.com/acdb/tops/TopsTexTopYshirtsLSuits4.png")</f>
        <v/>
      </c>
      <c r="C127" s="5" t="s">
        <v>1187</v>
      </c>
      <c r="D127" s="8" t="s">
        <v>36</v>
      </c>
      <c r="E127" s="6">
        <v>1960.0</v>
      </c>
      <c r="F127" s="6">
        <v>490.0</v>
      </c>
      <c r="G127" s="5" t="s">
        <v>68</v>
      </c>
      <c r="H127" s="5" t="s">
        <v>52</v>
      </c>
      <c r="I127" s="6" t="s">
        <v>40</v>
      </c>
      <c r="J127" s="5" t="s">
        <v>8585</v>
      </c>
      <c r="K127" s="5" t="s">
        <v>8586</v>
      </c>
      <c r="L127" s="6" t="s">
        <v>42</v>
      </c>
      <c r="M127" s="5" t="s">
        <v>1952</v>
      </c>
      <c r="N127" s="5" t="s">
        <v>64</v>
      </c>
      <c r="O127" s="5" t="s">
        <v>8960</v>
      </c>
      <c r="P127" s="6">
        <v>8282.0</v>
      </c>
    </row>
    <row r="128" ht="56.25" customHeight="1">
      <c r="A128" s="5" t="s">
        <v>8948</v>
      </c>
      <c r="B128" s="6" t="str">
        <f>IMAGE("https://storage.googleapis.com/acdb/tops/TopsTexTopYshirtsLSuits1.png")</f>
        <v/>
      </c>
      <c r="C128" s="5" t="s">
        <v>95</v>
      </c>
      <c r="D128" s="8" t="s">
        <v>36</v>
      </c>
      <c r="E128" s="6">
        <v>1960.0</v>
      </c>
      <c r="F128" s="6">
        <v>490.0</v>
      </c>
      <c r="G128" s="5" t="s">
        <v>95</v>
      </c>
      <c r="H128" s="5" t="s">
        <v>69</v>
      </c>
      <c r="I128" s="6" t="s">
        <v>40</v>
      </c>
      <c r="J128" s="5" t="s">
        <v>8585</v>
      </c>
      <c r="K128" s="5" t="s">
        <v>8586</v>
      </c>
      <c r="L128" s="6" t="s">
        <v>42</v>
      </c>
      <c r="M128" s="5" t="s">
        <v>1952</v>
      </c>
      <c r="N128" s="5" t="s">
        <v>64</v>
      </c>
      <c r="O128" s="5" t="s">
        <v>8964</v>
      </c>
      <c r="P128" s="6">
        <v>8279.0</v>
      </c>
    </row>
    <row r="129" ht="56.25" customHeight="1">
      <c r="A129" s="5" t="s">
        <v>8948</v>
      </c>
      <c r="B129" s="6" t="str">
        <f>IMAGE("https://storage.googleapis.com/acdb/tops/TopsTexTopYshirtsLSuits0.png")</f>
        <v/>
      </c>
      <c r="C129" s="5" t="s">
        <v>54</v>
      </c>
      <c r="D129" s="8" t="s">
        <v>36</v>
      </c>
      <c r="E129" s="6">
        <v>1960.0</v>
      </c>
      <c r="F129" s="6">
        <v>490.0</v>
      </c>
      <c r="G129" s="5" t="s">
        <v>54</v>
      </c>
      <c r="H129" s="5" t="s">
        <v>68</v>
      </c>
      <c r="I129" s="6" t="s">
        <v>40</v>
      </c>
      <c r="J129" s="5" t="s">
        <v>8585</v>
      </c>
      <c r="K129" s="5" t="s">
        <v>8586</v>
      </c>
      <c r="L129" s="6" t="s">
        <v>42</v>
      </c>
      <c r="M129" s="5" t="s">
        <v>1952</v>
      </c>
      <c r="N129" s="5" t="s">
        <v>64</v>
      </c>
      <c r="O129" s="5" t="s">
        <v>8967</v>
      </c>
      <c r="P129" s="6">
        <v>4363.0</v>
      </c>
    </row>
    <row r="130" ht="56.25" customHeight="1">
      <c r="A130" s="5" t="s">
        <v>8968</v>
      </c>
      <c r="B130" s="6" t="str">
        <f>IMAGE("https://storage.googleapis.com/acdb/tops/TopsTexTopCoatLCafe1.png")</f>
        <v/>
      </c>
      <c r="C130" s="5" t="s">
        <v>96</v>
      </c>
      <c r="D130" s="8" t="s">
        <v>36</v>
      </c>
      <c r="E130" s="6">
        <v>1500.0</v>
      </c>
      <c r="F130" s="6">
        <v>375.0</v>
      </c>
      <c r="G130" s="5" t="s">
        <v>96</v>
      </c>
      <c r="H130" s="5" t="s">
        <v>57</v>
      </c>
      <c r="I130" s="6" t="s">
        <v>40</v>
      </c>
      <c r="J130" s="5" t="s">
        <v>8585</v>
      </c>
      <c r="K130" s="5" t="s">
        <v>8586</v>
      </c>
      <c r="L130" s="6" t="s">
        <v>42</v>
      </c>
      <c r="M130" s="5" t="s">
        <v>1059</v>
      </c>
      <c r="N130" s="5" t="s">
        <v>64</v>
      </c>
      <c r="O130" s="5" t="s">
        <v>8972</v>
      </c>
      <c r="P130" s="6">
        <v>8263.0</v>
      </c>
    </row>
    <row r="131" ht="56.25" customHeight="1">
      <c r="A131" s="5" t="s">
        <v>8968</v>
      </c>
      <c r="B131" s="6" t="str">
        <f>IMAGE("https://storage.googleapis.com/acdb/tops/TopsTexTopCoatLCafe2.png")</f>
        <v/>
      </c>
      <c r="C131" s="5" t="s">
        <v>52</v>
      </c>
      <c r="D131" s="8" t="s">
        <v>36</v>
      </c>
      <c r="E131" s="6">
        <v>1500.0</v>
      </c>
      <c r="F131" s="6">
        <v>375.0</v>
      </c>
      <c r="G131" s="5" t="s">
        <v>52</v>
      </c>
      <c r="H131" s="5" t="s">
        <v>57</v>
      </c>
      <c r="I131" s="6" t="s">
        <v>40</v>
      </c>
      <c r="J131" s="5" t="s">
        <v>8585</v>
      </c>
      <c r="K131" s="5" t="s">
        <v>8586</v>
      </c>
      <c r="L131" s="6" t="s">
        <v>42</v>
      </c>
      <c r="M131" s="5" t="s">
        <v>1059</v>
      </c>
      <c r="N131" s="5" t="s">
        <v>64</v>
      </c>
      <c r="O131" s="5" t="s">
        <v>8974</v>
      </c>
      <c r="P131" s="6">
        <v>8264.0</v>
      </c>
    </row>
    <row r="132" ht="56.25" customHeight="1">
      <c r="A132" s="5" t="s">
        <v>8968</v>
      </c>
      <c r="B132" s="6" t="str">
        <f>IMAGE("https://storage.googleapis.com/acdb/tops/TopsTexTopCoatLCafe3.png")</f>
        <v/>
      </c>
      <c r="C132" s="5" t="s">
        <v>39</v>
      </c>
      <c r="D132" s="8" t="s">
        <v>36</v>
      </c>
      <c r="E132" s="6">
        <v>1500.0</v>
      </c>
      <c r="F132" s="6">
        <v>375.0</v>
      </c>
      <c r="G132" s="5" t="s">
        <v>39</v>
      </c>
      <c r="H132" s="5" t="s">
        <v>57</v>
      </c>
      <c r="I132" s="6" t="s">
        <v>40</v>
      </c>
      <c r="J132" s="5" t="s">
        <v>8585</v>
      </c>
      <c r="K132" s="5" t="s">
        <v>8586</v>
      </c>
      <c r="L132" s="6" t="s">
        <v>42</v>
      </c>
      <c r="M132" s="5" t="s">
        <v>1059</v>
      </c>
      <c r="N132" s="5" t="s">
        <v>64</v>
      </c>
      <c r="O132" s="5" t="s">
        <v>8979</v>
      </c>
      <c r="P132" s="6">
        <v>8265.0</v>
      </c>
    </row>
    <row r="133" ht="56.25" customHeight="1">
      <c r="A133" s="5" t="s">
        <v>8968</v>
      </c>
      <c r="B133" s="6" t="str">
        <f>IMAGE("https://storage.googleapis.com/acdb/tops/TopsTexTopCoatLCafe0.png")</f>
        <v/>
      </c>
      <c r="C133" s="5" t="s">
        <v>54</v>
      </c>
      <c r="D133" s="8" t="s">
        <v>36</v>
      </c>
      <c r="E133" s="6">
        <v>1500.0</v>
      </c>
      <c r="F133" s="6">
        <v>375.0</v>
      </c>
      <c r="G133" s="5" t="s">
        <v>54</v>
      </c>
      <c r="H133" s="5" t="s">
        <v>57</v>
      </c>
      <c r="I133" s="6" t="s">
        <v>40</v>
      </c>
      <c r="J133" s="5" t="s">
        <v>8585</v>
      </c>
      <c r="K133" s="5" t="s">
        <v>8586</v>
      </c>
      <c r="L133" s="6" t="s">
        <v>42</v>
      </c>
      <c r="M133" s="5" t="s">
        <v>1059</v>
      </c>
      <c r="N133" s="5" t="s">
        <v>64</v>
      </c>
      <c r="O133" s="5" t="s">
        <v>8982</v>
      </c>
      <c r="P133" s="6">
        <v>3178.0</v>
      </c>
    </row>
    <row r="134" ht="56.25" customHeight="1">
      <c r="A134" s="5" t="s">
        <v>8983</v>
      </c>
      <c r="B134" s="6" t="str">
        <f>IMAGE("https://storage.googleapis.com/acdb/tops/TopsTexTopOuterLCamo0.png")</f>
        <v/>
      </c>
      <c r="C134" s="5" t="s">
        <v>96</v>
      </c>
      <c r="D134" s="8" t="s">
        <v>36</v>
      </c>
      <c r="E134" s="6">
        <v>1400.0</v>
      </c>
      <c r="F134" s="6">
        <v>350.0</v>
      </c>
      <c r="G134" s="5" t="s">
        <v>96</v>
      </c>
      <c r="H134" s="5" t="s">
        <v>38</v>
      </c>
      <c r="I134" s="6" t="s">
        <v>40</v>
      </c>
      <c r="J134" s="5" t="s">
        <v>8585</v>
      </c>
      <c r="K134" s="5" t="s">
        <v>8632</v>
      </c>
      <c r="L134" s="6" t="s">
        <v>42</v>
      </c>
      <c r="M134" s="5" t="s">
        <v>1952</v>
      </c>
      <c r="N134" s="5" t="s">
        <v>64</v>
      </c>
      <c r="O134" s="5" t="s">
        <v>8985</v>
      </c>
      <c r="P134" s="6">
        <v>4402.0</v>
      </c>
    </row>
    <row r="135" ht="56.25" customHeight="1">
      <c r="A135" s="5" t="s">
        <v>8983</v>
      </c>
      <c r="B135" s="6" t="str">
        <f>IMAGE("https://storage.googleapis.com/acdb/tops/TopsTexTopOuterLCamo1.png")</f>
        <v/>
      </c>
      <c r="C135" s="5" t="s">
        <v>95</v>
      </c>
      <c r="D135" s="8" t="s">
        <v>36</v>
      </c>
      <c r="E135" s="6">
        <v>1400.0</v>
      </c>
      <c r="F135" s="6">
        <v>350.0</v>
      </c>
      <c r="G135" s="5" t="s">
        <v>95</v>
      </c>
      <c r="H135" s="5" t="s">
        <v>54</v>
      </c>
      <c r="I135" s="6" t="s">
        <v>40</v>
      </c>
      <c r="J135" s="5" t="s">
        <v>8585</v>
      </c>
      <c r="K135" s="5" t="s">
        <v>8632</v>
      </c>
      <c r="L135" s="6" t="s">
        <v>42</v>
      </c>
      <c r="M135" s="5" t="s">
        <v>1952</v>
      </c>
      <c r="N135" s="5" t="s">
        <v>64</v>
      </c>
      <c r="O135" s="5" t="s">
        <v>8987</v>
      </c>
      <c r="P135" s="6">
        <v>8569.0</v>
      </c>
    </row>
    <row r="136" ht="56.25" customHeight="1">
      <c r="A136" s="5" t="s">
        <v>8983</v>
      </c>
      <c r="B136" s="6" t="str">
        <f>IMAGE("https://storage.googleapis.com/acdb/tops/TopsTexTopOuterLCamo2.png")</f>
        <v/>
      </c>
      <c r="C136" s="5" t="s">
        <v>106</v>
      </c>
      <c r="D136" s="8" t="s">
        <v>36</v>
      </c>
      <c r="E136" s="6">
        <v>1400.0</v>
      </c>
      <c r="F136" s="6">
        <v>350.0</v>
      </c>
      <c r="G136" s="5" t="s">
        <v>106</v>
      </c>
      <c r="H136" s="5" t="s">
        <v>96</v>
      </c>
      <c r="I136" s="6" t="s">
        <v>40</v>
      </c>
      <c r="J136" s="5" t="s">
        <v>8585</v>
      </c>
      <c r="K136" s="5" t="s">
        <v>8632</v>
      </c>
      <c r="L136" s="6" t="s">
        <v>42</v>
      </c>
      <c r="M136" s="5" t="s">
        <v>1952</v>
      </c>
      <c r="N136" s="5" t="s">
        <v>64</v>
      </c>
      <c r="O136" s="5" t="s">
        <v>8989</v>
      </c>
      <c r="P136" s="6">
        <v>8570.0</v>
      </c>
    </row>
    <row r="137" ht="56.25" customHeight="1">
      <c r="A137" s="5" t="s">
        <v>8991</v>
      </c>
      <c r="B137" s="6" t="str">
        <f>IMAGE("https://storage.googleapis.com/acdb/tops/TopsTexTopTshirtsHCamouflage0.png")</f>
        <v/>
      </c>
      <c r="C137" s="5" t="s">
        <v>39</v>
      </c>
      <c r="D137" s="8" t="s">
        <v>36</v>
      </c>
      <c r="E137" s="6">
        <v>960.0</v>
      </c>
      <c r="F137" s="6">
        <v>240.0</v>
      </c>
      <c r="G137" s="5" t="s">
        <v>39</v>
      </c>
      <c r="H137" s="5" t="s">
        <v>38</v>
      </c>
      <c r="I137" s="6" t="s">
        <v>40</v>
      </c>
      <c r="J137" s="5" t="s">
        <v>8585</v>
      </c>
      <c r="K137" s="5" t="s">
        <v>8632</v>
      </c>
      <c r="L137" s="6" t="s">
        <v>42</v>
      </c>
      <c r="M137" s="5" t="s">
        <v>1952</v>
      </c>
      <c r="N137" s="5" t="s">
        <v>64</v>
      </c>
      <c r="O137" s="5" t="s">
        <v>8992</v>
      </c>
      <c r="P137" s="6">
        <v>3257.0</v>
      </c>
    </row>
    <row r="138" ht="56.25" customHeight="1">
      <c r="A138" s="5" t="s">
        <v>8991</v>
      </c>
      <c r="B138" s="6" t="str">
        <f>IMAGE("https://storage.googleapis.com/acdb/tops/TopsTexTopTshirtsHCamouflage1.png")</f>
        <v/>
      </c>
      <c r="C138" s="5" t="s">
        <v>2222</v>
      </c>
      <c r="D138" s="8" t="s">
        <v>36</v>
      </c>
      <c r="E138" s="6">
        <v>960.0</v>
      </c>
      <c r="F138" s="6">
        <v>240.0</v>
      </c>
      <c r="G138" s="5" t="s">
        <v>96</v>
      </c>
      <c r="H138" s="5" t="s">
        <v>38</v>
      </c>
      <c r="I138" s="6" t="s">
        <v>40</v>
      </c>
      <c r="J138" s="5" t="s">
        <v>8585</v>
      </c>
      <c r="K138" s="5" t="s">
        <v>8632</v>
      </c>
      <c r="L138" s="6" t="s">
        <v>42</v>
      </c>
      <c r="M138" s="5" t="s">
        <v>1952</v>
      </c>
      <c r="N138" s="5" t="s">
        <v>64</v>
      </c>
      <c r="O138" s="5" t="s">
        <v>8995</v>
      </c>
      <c r="P138" s="6">
        <v>8420.0</v>
      </c>
    </row>
    <row r="139" ht="56.25" customHeight="1">
      <c r="A139" s="5" t="s">
        <v>8991</v>
      </c>
      <c r="B139" s="6" t="str">
        <f>IMAGE("https://storage.googleapis.com/acdb/tops/TopsTexTopTshirtsHCamouflage2.png")</f>
        <v/>
      </c>
      <c r="C139" s="5" t="s">
        <v>69</v>
      </c>
      <c r="D139" s="8" t="s">
        <v>36</v>
      </c>
      <c r="E139" s="6">
        <v>960.0</v>
      </c>
      <c r="F139" s="6">
        <v>240.0</v>
      </c>
      <c r="G139" s="5" t="s">
        <v>69</v>
      </c>
      <c r="H139" s="5" t="s">
        <v>39</v>
      </c>
      <c r="I139" s="6" t="s">
        <v>40</v>
      </c>
      <c r="J139" s="5" t="s">
        <v>8585</v>
      </c>
      <c r="K139" s="5" t="s">
        <v>8632</v>
      </c>
      <c r="L139" s="6" t="s">
        <v>42</v>
      </c>
      <c r="M139" s="5" t="s">
        <v>1952</v>
      </c>
      <c r="N139" s="5" t="s">
        <v>64</v>
      </c>
      <c r="O139" s="5" t="s">
        <v>8998</v>
      </c>
      <c r="P139" s="6">
        <v>8421.0</v>
      </c>
    </row>
    <row r="140" ht="56.25" customHeight="1">
      <c r="A140" s="5" t="s">
        <v>8991</v>
      </c>
      <c r="B140" s="6" t="str">
        <f>IMAGE("https://storage.googleapis.com/acdb/tops/TopsTexTopTshirtsHCamouflage3.png")</f>
        <v/>
      </c>
      <c r="C140" s="5" t="s">
        <v>95</v>
      </c>
      <c r="D140" s="8" t="s">
        <v>36</v>
      </c>
      <c r="E140" s="6">
        <v>960.0</v>
      </c>
      <c r="F140" s="6">
        <v>240.0</v>
      </c>
      <c r="G140" s="5" t="s">
        <v>95</v>
      </c>
      <c r="H140" s="5" t="s">
        <v>54</v>
      </c>
      <c r="I140" s="6" t="s">
        <v>40</v>
      </c>
      <c r="J140" s="5" t="s">
        <v>8585</v>
      </c>
      <c r="K140" s="5" t="s">
        <v>8632</v>
      </c>
      <c r="L140" s="6" t="s">
        <v>42</v>
      </c>
      <c r="M140" s="5" t="s">
        <v>1952</v>
      </c>
      <c r="N140" s="5" t="s">
        <v>64</v>
      </c>
      <c r="O140" s="5" t="s">
        <v>9001</v>
      </c>
      <c r="P140" s="6">
        <v>8422.0</v>
      </c>
    </row>
    <row r="141" ht="56.25" customHeight="1">
      <c r="A141" s="5" t="s">
        <v>8991</v>
      </c>
      <c r="B141" s="6" t="str">
        <f>IMAGE("https://storage.googleapis.com/acdb/tops/TopsTexTopTshirtsHCamouflage4.png")</f>
        <v/>
      </c>
      <c r="C141" s="5" t="s">
        <v>68</v>
      </c>
      <c r="D141" s="8" t="s">
        <v>36</v>
      </c>
      <c r="E141" s="6">
        <v>960.0</v>
      </c>
      <c r="F141" s="6">
        <v>240.0</v>
      </c>
      <c r="G141" s="5" t="s">
        <v>68</v>
      </c>
      <c r="H141" s="5" t="s">
        <v>68</v>
      </c>
      <c r="I141" s="6" t="s">
        <v>40</v>
      </c>
      <c r="J141" s="5" t="s">
        <v>8585</v>
      </c>
      <c r="K141" s="5" t="s">
        <v>8632</v>
      </c>
      <c r="L141" s="6" t="s">
        <v>42</v>
      </c>
      <c r="M141" s="5" t="s">
        <v>1952</v>
      </c>
      <c r="N141" s="5" t="s">
        <v>64</v>
      </c>
      <c r="O141" s="5" t="s">
        <v>9003</v>
      </c>
      <c r="P141" s="6">
        <v>8423.0</v>
      </c>
    </row>
    <row r="142" ht="56.25" customHeight="1">
      <c r="A142" s="5" t="s">
        <v>8991</v>
      </c>
      <c r="B142" s="6" t="str">
        <f>IMAGE("https://storage.googleapis.com/acdb/tops/TopsTexTopTshirtsHCamouflage5.png")</f>
        <v/>
      </c>
      <c r="C142" s="5" t="s">
        <v>106</v>
      </c>
      <c r="D142" s="8" t="s">
        <v>36</v>
      </c>
      <c r="E142" s="6">
        <v>960.0</v>
      </c>
      <c r="F142" s="6">
        <v>240.0</v>
      </c>
      <c r="G142" s="5" t="s">
        <v>106</v>
      </c>
      <c r="H142" s="5" t="s">
        <v>106</v>
      </c>
      <c r="I142" s="6" t="s">
        <v>40</v>
      </c>
      <c r="J142" s="5" t="s">
        <v>8585</v>
      </c>
      <c r="K142" s="5" t="s">
        <v>8632</v>
      </c>
      <c r="L142" s="6" t="s">
        <v>42</v>
      </c>
      <c r="M142" s="5" t="s">
        <v>1952</v>
      </c>
      <c r="N142" s="5" t="s">
        <v>64</v>
      </c>
      <c r="O142" s="5" t="s">
        <v>9006</v>
      </c>
      <c r="P142" s="6">
        <v>12352.0</v>
      </c>
    </row>
    <row r="143" ht="56.25" customHeight="1">
      <c r="A143" s="5" t="s">
        <v>8991</v>
      </c>
      <c r="B143" s="6" t="str">
        <f>IMAGE("https://storage.googleapis.com/acdb/tops/TopsTexTopTshirtsHCamouflage6.png")</f>
        <v/>
      </c>
      <c r="C143" s="5" t="s">
        <v>52</v>
      </c>
      <c r="D143" s="8" t="s">
        <v>36</v>
      </c>
      <c r="E143" s="6">
        <v>960.0</v>
      </c>
      <c r="F143" s="6">
        <v>240.0</v>
      </c>
      <c r="G143" s="5" t="s">
        <v>52</v>
      </c>
      <c r="H143" s="5" t="s">
        <v>38</v>
      </c>
      <c r="I143" s="6" t="s">
        <v>40</v>
      </c>
      <c r="J143" s="5" t="s">
        <v>8585</v>
      </c>
      <c r="K143" s="5" t="s">
        <v>8632</v>
      </c>
      <c r="L143" s="6" t="s">
        <v>42</v>
      </c>
      <c r="M143" s="5" t="s">
        <v>1952</v>
      </c>
      <c r="N143" s="5" t="s">
        <v>64</v>
      </c>
      <c r="O143" s="5" t="s">
        <v>9008</v>
      </c>
      <c r="P143" s="6">
        <v>12353.0</v>
      </c>
    </row>
    <row r="144" ht="56.25" customHeight="1">
      <c r="A144" s="18" t="s">
        <v>9009</v>
      </c>
      <c r="B144" s="6" t="str">
        <f>IMAGE("https://storage.googleapis.com/acdb/tops/TopsTexTopTshirtsHOkmotors0.png")</f>
        <v/>
      </c>
      <c r="C144" s="5" t="s">
        <v>34</v>
      </c>
      <c r="D144" s="8" t="s">
        <v>36</v>
      </c>
      <c r="E144" s="6">
        <v>840.0</v>
      </c>
      <c r="F144" s="6">
        <v>210.0</v>
      </c>
      <c r="G144" s="5" t="s">
        <v>96</v>
      </c>
      <c r="H144" s="5" t="s">
        <v>96</v>
      </c>
      <c r="I144" s="6" t="s">
        <v>40</v>
      </c>
      <c r="J144" s="5" t="s">
        <v>1234</v>
      </c>
      <c r="K144" s="5" t="s">
        <v>1235</v>
      </c>
      <c r="L144" s="6" t="s">
        <v>98</v>
      </c>
      <c r="M144" s="5" t="s">
        <v>995</v>
      </c>
      <c r="N144" s="5" t="s">
        <v>1237</v>
      </c>
      <c r="O144" s="8" t="s">
        <v>9013</v>
      </c>
      <c r="P144" s="6">
        <v>12426.0</v>
      </c>
    </row>
    <row r="145" ht="56.25" customHeight="1">
      <c r="A145" s="5" t="s">
        <v>9014</v>
      </c>
      <c r="B145" s="6" t="str">
        <f>IMAGE("https://storage.googleapis.com/acdb/tops/TopsTexTopYshirtsLCardiganyshirt0.png")</f>
        <v/>
      </c>
      <c r="C145" s="5" t="s">
        <v>114</v>
      </c>
      <c r="D145" s="8" t="s">
        <v>36</v>
      </c>
      <c r="E145" s="6">
        <v>840.0</v>
      </c>
      <c r="F145" s="6">
        <v>210.0</v>
      </c>
      <c r="G145" s="5" t="s">
        <v>114</v>
      </c>
      <c r="H145" s="5" t="s">
        <v>57</v>
      </c>
      <c r="I145" s="6" t="s">
        <v>40</v>
      </c>
      <c r="J145" s="5" t="s">
        <v>8585</v>
      </c>
      <c r="K145" s="5" t="s">
        <v>8632</v>
      </c>
      <c r="L145" s="6" t="s">
        <v>42</v>
      </c>
      <c r="M145" s="5" t="s">
        <v>995</v>
      </c>
      <c r="N145" s="5" t="s">
        <v>64</v>
      </c>
      <c r="O145" s="5" t="s">
        <v>9018</v>
      </c>
      <c r="P145" s="6">
        <v>3578.0</v>
      </c>
    </row>
    <row r="146" ht="56.25" customHeight="1">
      <c r="A146" s="5" t="s">
        <v>9014</v>
      </c>
      <c r="B146" s="6" t="str">
        <f>IMAGE("https://storage.googleapis.com/acdb/tops/TopsTexTopYshirtsLCardiganyshirt1.png")</f>
        <v/>
      </c>
      <c r="C146" s="5" t="s">
        <v>9021</v>
      </c>
      <c r="D146" s="8" t="s">
        <v>36</v>
      </c>
      <c r="E146" s="6">
        <v>840.0</v>
      </c>
      <c r="F146" s="6">
        <v>210.0</v>
      </c>
      <c r="G146" s="5" t="s">
        <v>96</v>
      </c>
      <c r="H146" s="5" t="s">
        <v>57</v>
      </c>
      <c r="I146" s="6" t="s">
        <v>40</v>
      </c>
      <c r="J146" s="5" t="s">
        <v>8585</v>
      </c>
      <c r="K146" s="5" t="s">
        <v>8632</v>
      </c>
      <c r="L146" s="6" t="s">
        <v>42</v>
      </c>
      <c r="M146" s="5" t="s">
        <v>995</v>
      </c>
      <c r="N146" s="5" t="s">
        <v>64</v>
      </c>
      <c r="O146" s="5" t="s">
        <v>9023</v>
      </c>
      <c r="P146" s="6">
        <v>8015.0</v>
      </c>
    </row>
    <row r="147" ht="56.25" customHeight="1">
      <c r="A147" s="5" t="s">
        <v>9014</v>
      </c>
      <c r="B147" s="6" t="str">
        <f>IMAGE("https://storage.googleapis.com/acdb/tops/TopsTexTopYshirtsLCardiganyshirt2.png")</f>
        <v/>
      </c>
      <c r="C147" s="5" t="s">
        <v>69</v>
      </c>
      <c r="D147" s="8" t="s">
        <v>36</v>
      </c>
      <c r="E147" s="6">
        <v>840.0</v>
      </c>
      <c r="F147" s="6">
        <v>210.0</v>
      </c>
      <c r="G147" s="5" t="s">
        <v>69</v>
      </c>
      <c r="H147" s="5" t="s">
        <v>57</v>
      </c>
      <c r="I147" s="6" t="s">
        <v>40</v>
      </c>
      <c r="J147" s="5" t="s">
        <v>8585</v>
      </c>
      <c r="K147" s="5" t="s">
        <v>8632</v>
      </c>
      <c r="L147" s="6" t="s">
        <v>42</v>
      </c>
      <c r="M147" s="5" t="s">
        <v>995</v>
      </c>
      <c r="N147" s="5" t="s">
        <v>64</v>
      </c>
      <c r="O147" s="5" t="s">
        <v>9025</v>
      </c>
      <c r="P147" s="6">
        <v>8016.0</v>
      </c>
    </row>
    <row r="148" ht="56.25" customHeight="1">
      <c r="A148" s="5" t="s">
        <v>9014</v>
      </c>
      <c r="B148" s="6" t="str">
        <f>IMAGE("https://storage.googleapis.com/acdb/tops/TopsTexTopYshirtsLCardiganyshirt3.png")</f>
        <v/>
      </c>
      <c r="C148" s="5" t="s">
        <v>68</v>
      </c>
      <c r="D148" s="8" t="s">
        <v>36</v>
      </c>
      <c r="E148" s="6">
        <v>840.0</v>
      </c>
      <c r="F148" s="6">
        <v>210.0</v>
      </c>
      <c r="G148" s="5" t="s">
        <v>68</v>
      </c>
      <c r="H148" s="5" t="s">
        <v>57</v>
      </c>
      <c r="I148" s="6" t="s">
        <v>40</v>
      </c>
      <c r="J148" s="5" t="s">
        <v>8585</v>
      </c>
      <c r="K148" s="5" t="s">
        <v>8632</v>
      </c>
      <c r="L148" s="6" t="s">
        <v>42</v>
      </c>
      <c r="M148" s="5" t="s">
        <v>995</v>
      </c>
      <c r="N148" s="5" t="s">
        <v>64</v>
      </c>
      <c r="O148" s="5" t="s">
        <v>9028</v>
      </c>
      <c r="P148" s="6">
        <v>8017.0</v>
      </c>
    </row>
    <row r="149" ht="56.25" customHeight="1">
      <c r="A149" s="5" t="s">
        <v>9014</v>
      </c>
      <c r="B149" s="6" t="str">
        <f>IMAGE("https://storage.googleapis.com/acdb/tops/TopsTexTopYshirtsLCardiganyshirt4.png")</f>
        <v/>
      </c>
      <c r="C149" s="5" t="s">
        <v>95</v>
      </c>
      <c r="D149" s="8" t="s">
        <v>36</v>
      </c>
      <c r="E149" s="6">
        <v>840.0</v>
      </c>
      <c r="F149" s="6">
        <v>210.0</v>
      </c>
      <c r="G149" s="5" t="s">
        <v>95</v>
      </c>
      <c r="H149" s="5" t="s">
        <v>57</v>
      </c>
      <c r="I149" s="6" t="s">
        <v>40</v>
      </c>
      <c r="J149" s="5" t="s">
        <v>8585</v>
      </c>
      <c r="K149" s="5" t="s">
        <v>8632</v>
      </c>
      <c r="L149" s="6" t="s">
        <v>42</v>
      </c>
      <c r="M149" s="5" t="s">
        <v>995</v>
      </c>
      <c r="N149" s="5" t="s">
        <v>64</v>
      </c>
      <c r="O149" s="5" t="s">
        <v>9033</v>
      </c>
      <c r="P149" s="6">
        <v>8018.0</v>
      </c>
    </row>
    <row r="150" ht="56.25" customHeight="1">
      <c r="A150" s="5" t="s">
        <v>9014</v>
      </c>
      <c r="B150" s="6" t="str">
        <f>IMAGE("https://storage.googleapis.com/acdb/tops/TopsTexTopYshirtsLCardiganyshirt5.png")</f>
        <v/>
      </c>
      <c r="C150" s="5" t="s">
        <v>54</v>
      </c>
      <c r="D150" s="8" t="s">
        <v>36</v>
      </c>
      <c r="E150" s="6">
        <v>840.0</v>
      </c>
      <c r="F150" s="6">
        <v>210.0</v>
      </c>
      <c r="G150" s="5" t="s">
        <v>54</v>
      </c>
      <c r="H150" s="5" t="s">
        <v>57</v>
      </c>
      <c r="I150" s="6" t="s">
        <v>40</v>
      </c>
      <c r="J150" s="5" t="s">
        <v>8585</v>
      </c>
      <c r="K150" s="5" t="s">
        <v>8632</v>
      </c>
      <c r="L150" s="6" t="s">
        <v>42</v>
      </c>
      <c r="M150" s="5" t="s">
        <v>995</v>
      </c>
      <c r="N150" s="5" t="s">
        <v>64</v>
      </c>
      <c r="O150" s="5" t="s">
        <v>9035</v>
      </c>
      <c r="P150" s="6">
        <v>8019.0</v>
      </c>
    </row>
    <row r="151" ht="56.25" customHeight="1">
      <c r="A151" s="5" t="s">
        <v>9036</v>
      </c>
      <c r="B151" s="6" t="str">
        <f>IMAGE("https://storage.googleapis.com/acdb/tops/TopsTexTopYshirtsLCareer0.png")</f>
        <v/>
      </c>
      <c r="C151" s="5" t="s">
        <v>95</v>
      </c>
      <c r="D151" s="8" t="s">
        <v>36</v>
      </c>
      <c r="E151" s="6">
        <v>1680.0</v>
      </c>
      <c r="F151" s="6">
        <v>420.0</v>
      </c>
      <c r="G151" s="5" t="s">
        <v>95</v>
      </c>
      <c r="H151" s="5" t="s">
        <v>57</v>
      </c>
      <c r="I151" s="6" t="s">
        <v>40</v>
      </c>
      <c r="J151" s="5" t="s">
        <v>8585</v>
      </c>
      <c r="K151" s="5" t="s">
        <v>8586</v>
      </c>
      <c r="L151" s="6" t="s">
        <v>42</v>
      </c>
      <c r="M151" s="5" t="s">
        <v>995</v>
      </c>
      <c r="N151" s="5" t="s">
        <v>64</v>
      </c>
      <c r="O151" s="5" t="s">
        <v>9039</v>
      </c>
      <c r="P151" s="6">
        <v>4503.0</v>
      </c>
    </row>
    <row r="152" ht="56.25" customHeight="1">
      <c r="A152" s="5" t="s">
        <v>9036</v>
      </c>
      <c r="B152" s="6" t="str">
        <f>IMAGE("https://storage.googleapis.com/acdb/tops/TopsTexTopYshirtsLCareer1.png")</f>
        <v/>
      </c>
      <c r="C152" s="5" t="s">
        <v>38</v>
      </c>
      <c r="D152" s="8" t="s">
        <v>36</v>
      </c>
      <c r="E152" s="6">
        <v>1680.0</v>
      </c>
      <c r="F152" s="6">
        <v>420.0</v>
      </c>
      <c r="G152" s="5" t="s">
        <v>38</v>
      </c>
      <c r="H152" s="5" t="s">
        <v>57</v>
      </c>
      <c r="I152" s="6" t="s">
        <v>40</v>
      </c>
      <c r="J152" s="5" t="s">
        <v>8585</v>
      </c>
      <c r="K152" s="5" t="s">
        <v>8586</v>
      </c>
      <c r="L152" s="6" t="s">
        <v>42</v>
      </c>
      <c r="M152" s="5" t="s">
        <v>995</v>
      </c>
      <c r="N152" s="5" t="s">
        <v>64</v>
      </c>
      <c r="O152" s="5" t="s">
        <v>9041</v>
      </c>
      <c r="P152" s="6">
        <v>7383.0</v>
      </c>
    </row>
    <row r="153" ht="56.25" customHeight="1">
      <c r="A153" s="5" t="s">
        <v>9036</v>
      </c>
      <c r="B153" s="6" t="str">
        <f>IMAGE("https://storage.googleapis.com/acdb/tops/TopsTexTopYshirtsLCareer2.png")</f>
        <v/>
      </c>
      <c r="C153" s="5" t="s">
        <v>4501</v>
      </c>
      <c r="D153" s="8" t="s">
        <v>36</v>
      </c>
      <c r="E153" s="6">
        <v>1680.0</v>
      </c>
      <c r="F153" s="6">
        <v>420.0</v>
      </c>
      <c r="G153" s="5" t="s">
        <v>69</v>
      </c>
      <c r="H153" s="5" t="s">
        <v>57</v>
      </c>
      <c r="I153" s="6" t="s">
        <v>40</v>
      </c>
      <c r="J153" s="5" t="s">
        <v>8585</v>
      </c>
      <c r="K153" s="5" t="s">
        <v>8586</v>
      </c>
      <c r="L153" s="6" t="s">
        <v>42</v>
      </c>
      <c r="M153" s="5" t="s">
        <v>995</v>
      </c>
      <c r="N153" s="5" t="s">
        <v>64</v>
      </c>
      <c r="O153" s="5" t="s">
        <v>9043</v>
      </c>
      <c r="P153" s="6">
        <v>7384.0</v>
      </c>
    </row>
    <row r="154" ht="56.25" customHeight="1">
      <c r="A154" s="5" t="s">
        <v>9036</v>
      </c>
      <c r="B154" s="6" t="str">
        <f>IMAGE("https://storage.googleapis.com/acdb/tops/TopsTexTopYshirtsLCareer3.png")</f>
        <v/>
      </c>
      <c r="C154" s="5" t="s">
        <v>83</v>
      </c>
      <c r="D154" s="8" t="s">
        <v>36</v>
      </c>
      <c r="E154" s="6">
        <v>1680.0</v>
      </c>
      <c r="F154" s="6">
        <v>420.0</v>
      </c>
      <c r="G154" s="5" t="s">
        <v>83</v>
      </c>
      <c r="H154" s="5" t="s">
        <v>57</v>
      </c>
      <c r="I154" s="6" t="s">
        <v>40</v>
      </c>
      <c r="J154" s="5" t="s">
        <v>8585</v>
      </c>
      <c r="K154" s="5" t="s">
        <v>8586</v>
      </c>
      <c r="L154" s="6" t="s">
        <v>42</v>
      </c>
      <c r="M154" s="5" t="s">
        <v>995</v>
      </c>
      <c r="N154" s="5" t="s">
        <v>64</v>
      </c>
      <c r="O154" s="5" t="s">
        <v>9047</v>
      </c>
      <c r="P154" s="6">
        <v>7385.0</v>
      </c>
    </row>
    <row r="155" ht="56.25" customHeight="1">
      <c r="A155" s="5" t="s">
        <v>9036</v>
      </c>
      <c r="B155" s="6" t="str">
        <f>IMAGE("https://storage.googleapis.com/acdb/tops/TopsTexTopYshirtsLCareer4.png")</f>
        <v/>
      </c>
      <c r="C155" s="5" t="s">
        <v>69</v>
      </c>
      <c r="D155" s="8" t="s">
        <v>36</v>
      </c>
      <c r="E155" s="6">
        <v>1680.0</v>
      </c>
      <c r="F155" s="6">
        <v>420.0</v>
      </c>
      <c r="G155" s="5" t="s">
        <v>69</v>
      </c>
      <c r="H155" s="5" t="s">
        <v>54</v>
      </c>
      <c r="I155" s="6" t="s">
        <v>40</v>
      </c>
      <c r="J155" s="5" t="s">
        <v>8585</v>
      </c>
      <c r="K155" s="5" t="s">
        <v>8586</v>
      </c>
      <c r="L155" s="6" t="s">
        <v>42</v>
      </c>
      <c r="M155" s="5" t="s">
        <v>995</v>
      </c>
      <c r="N155" s="5" t="s">
        <v>64</v>
      </c>
      <c r="O155" s="5" t="s">
        <v>9049</v>
      </c>
      <c r="P155" s="6">
        <v>7386.0</v>
      </c>
    </row>
    <row r="156" ht="56.25" customHeight="1">
      <c r="A156" s="5" t="s">
        <v>9036</v>
      </c>
      <c r="B156" s="6" t="str">
        <f>IMAGE("https://storage.googleapis.com/acdb/tops/TopsTexTopYshirtsLCareer5.png")</f>
        <v/>
      </c>
      <c r="C156" s="5" t="s">
        <v>96</v>
      </c>
      <c r="D156" s="8" t="s">
        <v>36</v>
      </c>
      <c r="E156" s="6">
        <v>1680.0</v>
      </c>
      <c r="F156" s="6">
        <v>420.0</v>
      </c>
      <c r="G156" s="5" t="s">
        <v>96</v>
      </c>
      <c r="H156" s="5" t="s">
        <v>54</v>
      </c>
      <c r="I156" s="6" t="s">
        <v>40</v>
      </c>
      <c r="J156" s="5" t="s">
        <v>8585</v>
      </c>
      <c r="K156" s="5" t="s">
        <v>8586</v>
      </c>
      <c r="L156" s="6" t="s">
        <v>42</v>
      </c>
      <c r="M156" s="5" t="s">
        <v>995</v>
      </c>
      <c r="N156" s="5" t="s">
        <v>64</v>
      </c>
      <c r="O156" s="5" t="s">
        <v>9053</v>
      </c>
      <c r="P156" s="6">
        <v>7387.0</v>
      </c>
    </row>
    <row r="157" ht="56.25" customHeight="1">
      <c r="A157" s="5" t="s">
        <v>9036</v>
      </c>
      <c r="B157" s="6" t="str">
        <f>IMAGE("https://storage.googleapis.com/acdb/tops/TopsTexTopYshirtsLCareer6.png")</f>
        <v/>
      </c>
      <c r="C157" s="5" t="s">
        <v>68</v>
      </c>
      <c r="D157" s="8" t="s">
        <v>36</v>
      </c>
      <c r="E157" s="6">
        <v>1680.0</v>
      </c>
      <c r="F157" s="6">
        <v>420.0</v>
      </c>
      <c r="G157" s="5" t="s">
        <v>68</v>
      </c>
      <c r="H157" s="5" t="s">
        <v>54</v>
      </c>
      <c r="I157" s="6" t="s">
        <v>40</v>
      </c>
      <c r="J157" s="5" t="s">
        <v>8585</v>
      </c>
      <c r="K157" s="5" t="s">
        <v>8586</v>
      </c>
      <c r="L157" s="6" t="s">
        <v>42</v>
      </c>
      <c r="M157" s="5" t="s">
        <v>995</v>
      </c>
      <c r="N157" s="5" t="s">
        <v>64</v>
      </c>
      <c r="O157" s="5" t="s">
        <v>9054</v>
      </c>
      <c r="P157" s="6">
        <v>7388.0</v>
      </c>
    </row>
    <row r="158" ht="56.25" customHeight="1">
      <c r="A158" s="5" t="s">
        <v>9036</v>
      </c>
      <c r="B158" s="6" t="str">
        <f>IMAGE("https://storage.googleapis.com/acdb/tops/TopsTexTopYshirtsLCareer7.png")</f>
        <v/>
      </c>
      <c r="C158" s="5" t="s">
        <v>52</v>
      </c>
      <c r="D158" s="8" t="s">
        <v>36</v>
      </c>
      <c r="E158" s="6">
        <v>1680.0</v>
      </c>
      <c r="F158" s="6">
        <v>420.0</v>
      </c>
      <c r="G158" s="5" t="s">
        <v>52</v>
      </c>
      <c r="H158" s="5" t="s">
        <v>54</v>
      </c>
      <c r="I158" s="6" t="s">
        <v>40</v>
      </c>
      <c r="J158" s="5" t="s">
        <v>8585</v>
      </c>
      <c r="K158" s="5" t="s">
        <v>8586</v>
      </c>
      <c r="L158" s="6" t="s">
        <v>42</v>
      </c>
      <c r="M158" s="5" t="s">
        <v>995</v>
      </c>
      <c r="N158" s="5" t="s">
        <v>64</v>
      </c>
      <c r="O158" s="5" t="s">
        <v>9057</v>
      </c>
      <c r="P158" s="6">
        <v>7389.0</v>
      </c>
    </row>
    <row r="159" ht="56.25" customHeight="1">
      <c r="A159" s="5" t="s">
        <v>9058</v>
      </c>
      <c r="B159" s="6" t="str">
        <f>IMAGE("https://storage.googleapis.com/acdb/tops/TopsTexTopCoatLGunknight2.png")</f>
        <v/>
      </c>
      <c r="C159" s="5" t="s">
        <v>96</v>
      </c>
      <c r="D159" s="8" t="s">
        <v>36</v>
      </c>
      <c r="E159" s="6">
        <v>2080.0</v>
      </c>
      <c r="F159" s="6">
        <v>520.0</v>
      </c>
      <c r="G159" s="5" t="s">
        <v>96</v>
      </c>
      <c r="H159" s="5" t="s">
        <v>114</v>
      </c>
      <c r="I159" s="6" t="s">
        <v>40</v>
      </c>
      <c r="J159" s="5" t="s">
        <v>8585</v>
      </c>
      <c r="K159" s="5" t="s">
        <v>8586</v>
      </c>
      <c r="L159" s="6" t="s">
        <v>42</v>
      </c>
      <c r="M159" s="5" t="s">
        <v>1059</v>
      </c>
      <c r="N159" s="5" t="s">
        <v>64</v>
      </c>
      <c r="O159" s="5" t="s">
        <v>9061</v>
      </c>
      <c r="P159" s="6">
        <v>8230.0</v>
      </c>
    </row>
    <row r="160" ht="56.25" customHeight="1">
      <c r="A160" s="5" t="s">
        <v>9058</v>
      </c>
      <c r="B160" s="6" t="str">
        <f>IMAGE("https://storage.googleapis.com/acdb/tops/TopsTexTopCoatLGunknight0.png")</f>
        <v/>
      </c>
      <c r="C160" s="5" t="s">
        <v>68</v>
      </c>
      <c r="D160" s="8" t="s">
        <v>36</v>
      </c>
      <c r="E160" s="6">
        <v>2080.0</v>
      </c>
      <c r="F160" s="6">
        <v>520.0</v>
      </c>
      <c r="G160" s="5" t="s">
        <v>68</v>
      </c>
      <c r="H160" s="5" t="s">
        <v>114</v>
      </c>
      <c r="I160" s="6" t="s">
        <v>40</v>
      </c>
      <c r="J160" s="5" t="s">
        <v>8585</v>
      </c>
      <c r="K160" s="5" t="s">
        <v>8586</v>
      </c>
      <c r="L160" s="6" t="s">
        <v>42</v>
      </c>
      <c r="M160" s="5" t="s">
        <v>1059</v>
      </c>
      <c r="N160" s="5" t="s">
        <v>64</v>
      </c>
      <c r="O160" s="5" t="s">
        <v>9064</v>
      </c>
      <c r="P160" s="6">
        <v>3233.0</v>
      </c>
    </row>
    <row r="161" ht="56.25" customHeight="1">
      <c r="A161" s="5" t="s">
        <v>9058</v>
      </c>
      <c r="B161" s="6" t="str">
        <f>IMAGE("https://storage.googleapis.com/acdb/tops/TopsTexTopCoatLGunknight1.png")</f>
        <v/>
      </c>
      <c r="C161" s="5" t="s">
        <v>52</v>
      </c>
      <c r="D161" s="8" t="s">
        <v>36</v>
      </c>
      <c r="E161" s="6">
        <v>2080.0</v>
      </c>
      <c r="F161" s="6">
        <v>520.0</v>
      </c>
      <c r="G161" s="5" t="s">
        <v>52</v>
      </c>
      <c r="H161" s="5" t="s">
        <v>114</v>
      </c>
      <c r="I161" s="6" t="s">
        <v>40</v>
      </c>
      <c r="J161" s="5" t="s">
        <v>8585</v>
      </c>
      <c r="K161" s="5" t="s">
        <v>8586</v>
      </c>
      <c r="L161" s="6" t="s">
        <v>42</v>
      </c>
      <c r="M161" s="5" t="s">
        <v>1059</v>
      </c>
      <c r="N161" s="5" t="s">
        <v>64</v>
      </c>
      <c r="O161" s="5" t="s">
        <v>9066</v>
      </c>
      <c r="P161" s="6">
        <v>8229.0</v>
      </c>
    </row>
    <row r="162" ht="56.25" customHeight="1">
      <c r="A162" s="5" t="s">
        <v>9067</v>
      </c>
      <c r="B162" s="6" t="str">
        <f>IMAGE("https://storage.googleapis.com/acdb/tops/TopsTexTopCoatLChestercheck0.png")</f>
        <v/>
      </c>
      <c r="C162" s="5" t="s">
        <v>39</v>
      </c>
      <c r="D162" s="8" t="s">
        <v>36</v>
      </c>
      <c r="E162" s="6">
        <v>2380.0</v>
      </c>
      <c r="F162" s="6">
        <v>595.0</v>
      </c>
      <c r="G162" s="5" t="s">
        <v>39</v>
      </c>
      <c r="H162" s="5" t="s">
        <v>38</v>
      </c>
      <c r="I162" s="6" t="s">
        <v>40</v>
      </c>
      <c r="J162" s="5" t="s">
        <v>8585</v>
      </c>
      <c r="K162" s="5" t="s">
        <v>8586</v>
      </c>
      <c r="L162" s="6" t="s">
        <v>42</v>
      </c>
      <c r="M162" s="5" t="s">
        <v>1059</v>
      </c>
      <c r="N162" s="5" t="s">
        <v>64</v>
      </c>
      <c r="O162" s="5" t="s">
        <v>9070</v>
      </c>
      <c r="P162" s="6">
        <v>3941.0</v>
      </c>
    </row>
    <row r="163" ht="56.25" customHeight="1">
      <c r="A163" s="5" t="s">
        <v>9067</v>
      </c>
      <c r="B163" s="6" t="str">
        <f>IMAGE("https://storage.googleapis.com/acdb/tops/TopsTexTopCoatLChestercheck1.png")</f>
        <v/>
      </c>
      <c r="C163" s="5" t="s">
        <v>96</v>
      </c>
      <c r="D163" s="8" t="s">
        <v>36</v>
      </c>
      <c r="E163" s="6">
        <v>2380.0</v>
      </c>
      <c r="F163" s="6">
        <v>595.0</v>
      </c>
      <c r="G163" s="5" t="s">
        <v>96</v>
      </c>
      <c r="H163" s="5" t="s">
        <v>57</v>
      </c>
      <c r="I163" s="6" t="s">
        <v>40</v>
      </c>
      <c r="J163" s="5" t="s">
        <v>8585</v>
      </c>
      <c r="K163" s="5" t="s">
        <v>8586</v>
      </c>
      <c r="L163" s="6" t="s">
        <v>42</v>
      </c>
      <c r="M163" s="5" t="s">
        <v>1059</v>
      </c>
      <c r="N163" s="5" t="s">
        <v>64</v>
      </c>
      <c r="O163" s="5" t="s">
        <v>9072</v>
      </c>
      <c r="P163" s="6">
        <v>8438.0</v>
      </c>
    </row>
    <row r="164" ht="56.25" customHeight="1">
      <c r="A164" s="5" t="s">
        <v>9067</v>
      </c>
      <c r="B164" s="6" t="str">
        <f>IMAGE("https://storage.googleapis.com/acdb/tops/TopsTexTopCoatLChestercheck2.png")</f>
        <v/>
      </c>
      <c r="C164" s="5" t="s">
        <v>68</v>
      </c>
      <c r="D164" s="8" t="s">
        <v>36</v>
      </c>
      <c r="E164" s="6">
        <v>2380.0</v>
      </c>
      <c r="F164" s="6">
        <v>595.0</v>
      </c>
      <c r="G164" s="5" t="s">
        <v>83</v>
      </c>
      <c r="H164" s="5" t="s">
        <v>54</v>
      </c>
      <c r="I164" s="6" t="s">
        <v>40</v>
      </c>
      <c r="J164" s="5" t="s">
        <v>8585</v>
      </c>
      <c r="K164" s="5" t="s">
        <v>8586</v>
      </c>
      <c r="L164" s="6" t="s">
        <v>42</v>
      </c>
      <c r="M164" s="5" t="s">
        <v>1059</v>
      </c>
      <c r="N164" s="5" t="s">
        <v>64</v>
      </c>
      <c r="O164" s="5" t="s">
        <v>9076</v>
      </c>
      <c r="P164" s="6">
        <v>8439.0</v>
      </c>
    </row>
    <row r="165" ht="56.25" customHeight="1">
      <c r="A165" s="5" t="s">
        <v>9067</v>
      </c>
      <c r="B165" s="6" t="str">
        <f>IMAGE("https://storage.googleapis.com/acdb/tops/TopsTexTopCoatLChestercheck3.png")</f>
        <v/>
      </c>
      <c r="C165" s="5" t="s">
        <v>95</v>
      </c>
      <c r="D165" s="8" t="s">
        <v>36</v>
      </c>
      <c r="E165" s="6">
        <v>2380.0</v>
      </c>
      <c r="F165" s="6">
        <v>595.0</v>
      </c>
      <c r="G165" s="5" t="s">
        <v>95</v>
      </c>
      <c r="H165" s="5" t="s">
        <v>68</v>
      </c>
      <c r="I165" s="6" t="s">
        <v>40</v>
      </c>
      <c r="J165" s="5" t="s">
        <v>8585</v>
      </c>
      <c r="K165" s="5" t="s">
        <v>8586</v>
      </c>
      <c r="L165" s="6" t="s">
        <v>42</v>
      </c>
      <c r="M165" s="5" t="s">
        <v>1059</v>
      </c>
      <c r="N165" s="5" t="s">
        <v>64</v>
      </c>
      <c r="O165" s="5" t="s">
        <v>9079</v>
      </c>
      <c r="P165" s="6">
        <v>8440.0</v>
      </c>
    </row>
    <row r="166" ht="56.25" customHeight="1">
      <c r="A166" s="5" t="s">
        <v>9080</v>
      </c>
      <c r="B166" s="6" t="str">
        <f>IMAGE("https://storage.googleapis.com/acdb/tops/TopsTexTopOuterLMuffler0.png")</f>
        <v/>
      </c>
      <c r="C166" s="5" t="s">
        <v>57</v>
      </c>
      <c r="D166" s="8" t="s">
        <v>36</v>
      </c>
      <c r="E166" s="6">
        <v>1440.0</v>
      </c>
      <c r="F166" s="6">
        <v>360.0</v>
      </c>
      <c r="G166" s="5" t="s">
        <v>57</v>
      </c>
      <c r="H166" s="5" t="s">
        <v>68</v>
      </c>
      <c r="I166" s="6" t="s">
        <v>40</v>
      </c>
      <c r="J166" s="5" t="s">
        <v>8585</v>
      </c>
      <c r="K166" s="5" t="s">
        <v>8632</v>
      </c>
      <c r="L166" s="6" t="s">
        <v>42</v>
      </c>
      <c r="M166" s="5" t="s">
        <v>995</v>
      </c>
      <c r="N166" s="5" t="s">
        <v>64</v>
      </c>
      <c r="O166" s="5" t="s">
        <v>9081</v>
      </c>
      <c r="P166" s="6">
        <v>4553.0</v>
      </c>
    </row>
    <row r="167" ht="56.25" customHeight="1">
      <c r="A167" s="5" t="s">
        <v>9080</v>
      </c>
      <c r="B167" s="6" t="str">
        <f>IMAGE("https://storage.googleapis.com/acdb/tops/TopsTexTopOuterLMuffler1.png")</f>
        <v/>
      </c>
      <c r="C167" s="5" t="s">
        <v>95</v>
      </c>
      <c r="D167" s="8" t="s">
        <v>36</v>
      </c>
      <c r="E167" s="6">
        <v>1440.0</v>
      </c>
      <c r="F167" s="6">
        <v>360.0</v>
      </c>
      <c r="G167" s="5" t="s">
        <v>95</v>
      </c>
      <c r="H167" s="5" t="s">
        <v>39</v>
      </c>
      <c r="I167" s="6" t="s">
        <v>40</v>
      </c>
      <c r="J167" s="5" t="s">
        <v>8585</v>
      </c>
      <c r="K167" s="5" t="s">
        <v>8632</v>
      </c>
      <c r="L167" s="6" t="s">
        <v>42</v>
      </c>
      <c r="M167" s="5" t="s">
        <v>995</v>
      </c>
      <c r="N167" s="5" t="s">
        <v>64</v>
      </c>
      <c r="O167" s="5" t="s">
        <v>9085</v>
      </c>
      <c r="P167" s="6">
        <v>8002.0</v>
      </c>
    </row>
    <row r="168" ht="56.25" customHeight="1">
      <c r="A168" s="5" t="s">
        <v>9080</v>
      </c>
      <c r="B168" s="6" t="str">
        <f>IMAGE("https://storage.googleapis.com/acdb/tops/TopsTexTopOuterLMuffler2.png")</f>
        <v/>
      </c>
      <c r="C168" s="5" t="s">
        <v>39</v>
      </c>
      <c r="D168" s="8" t="s">
        <v>36</v>
      </c>
      <c r="E168" s="6">
        <v>1440.0</v>
      </c>
      <c r="F168" s="6">
        <v>360.0</v>
      </c>
      <c r="G168" s="5" t="s">
        <v>39</v>
      </c>
      <c r="H168" s="5" t="s">
        <v>114</v>
      </c>
      <c r="I168" s="6" t="s">
        <v>40</v>
      </c>
      <c r="J168" s="5" t="s">
        <v>8585</v>
      </c>
      <c r="K168" s="5" t="s">
        <v>8632</v>
      </c>
      <c r="L168" s="6" t="s">
        <v>42</v>
      </c>
      <c r="M168" s="5" t="s">
        <v>995</v>
      </c>
      <c r="N168" s="5" t="s">
        <v>64</v>
      </c>
      <c r="O168" s="5" t="s">
        <v>9089</v>
      </c>
      <c r="P168" s="6">
        <v>8003.0</v>
      </c>
    </row>
    <row r="169" ht="56.25" customHeight="1">
      <c r="A169" s="5" t="s">
        <v>9080</v>
      </c>
      <c r="B169" s="6" t="str">
        <f>IMAGE("https://storage.googleapis.com/acdb/tops/TopsTexTopOuterLMuffler3.png")</f>
        <v/>
      </c>
      <c r="C169" s="5" t="s">
        <v>2408</v>
      </c>
      <c r="D169" s="8" t="s">
        <v>36</v>
      </c>
      <c r="E169" s="6">
        <v>1440.0</v>
      </c>
      <c r="F169" s="6">
        <v>360.0</v>
      </c>
      <c r="G169" s="5" t="s">
        <v>38</v>
      </c>
      <c r="H169" s="5" t="s">
        <v>52</v>
      </c>
      <c r="I169" s="6" t="s">
        <v>40</v>
      </c>
      <c r="J169" s="5" t="s">
        <v>8585</v>
      </c>
      <c r="K169" s="5" t="s">
        <v>8632</v>
      </c>
      <c r="L169" s="6" t="s">
        <v>42</v>
      </c>
      <c r="M169" s="5" t="s">
        <v>995</v>
      </c>
      <c r="N169" s="5" t="s">
        <v>64</v>
      </c>
      <c r="O169" s="5" t="s">
        <v>9091</v>
      </c>
      <c r="P169" s="6">
        <v>8004.0</v>
      </c>
    </row>
    <row r="170" ht="56.25" customHeight="1">
      <c r="A170" s="5" t="s">
        <v>9092</v>
      </c>
      <c r="B170" s="6" t="str">
        <f>IMAGE("https://storage.googleapis.com/acdb/tops/TopsTexTopCoatHCook0.png")</f>
        <v/>
      </c>
      <c r="C170" s="5" t="s">
        <v>52</v>
      </c>
      <c r="D170" s="8" t="s">
        <v>36</v>
      </c>
      <c r="E170" s="6">
        <v>1680.0</v>
      </c>
      <c r="F170" s="6">
        <v>420.0</v>
      </c>
      <c r="G170" s="5" t="s">
        <v>57</v>
      </c>
      <c r="H170" s="5" t="s">
        <v>52</v>
      </c>
      <c r="I170" s="6" t="s">
        <v>40</v>
      </c>
      <c r="J170" s="5" t="s">
        <v>8585</v>
      </c>
      <c r="K170" s="5" t="s">
        <v>8586</v>
      </c>
      <c r="L170" s="6" t="s">
        <v>42</v>
      </c>
      <c r="M170" s="5" t="s">
        <v>995</v>
      </c>
      <c r="N170" s="5" t="s">
        <v>64</v>
      </c>
      <c r="O170" s="5" t="s">
        <v>9095</v>
      </c>
      <c r="P170" s="6">
        <v>3177.0</v>
      </c>
    </row>
    <row r="171" ht="56.25" customHeight="1">
      <c r="A171" s="5" t="s">
        <v>9092</v>
      </c>
      <c r="B171" s="6" t="str">
        <f>IMAGE("https://storage.googleapis.com/acdb/tops/TopsTexTopCoatHCook3.png")</f>
        <v/>
      </c>
      <c r="C171" s="5" t="s">
        <v>114</v>
      </c>
      <c r="D171" s="8" t="s">
        <v>36</v>
      </c>
      <c r="E171" s="6">
        <v>1680.0</v>
      </c>
      <c r="F171" s="6">
        <v>420.0</v>
      </c>
      <c r="G171" s="5" t="s">
        <v>57</v>
      </c>
      <c r="H171" s="5" t="s">
        <v>114</v>
      </c>
      <c r="I171" s="6" t="s">
        <v>40</v>
      </c>
      <c r="J171" s="5" t="s">
        <v>8585</v>
      </c>
      <c r="K171" s="5" t="s">
        <v>8586</v>
      </c>
      <c r="L171" s="6" t="s">
        <v>42</v>
      </c>
      <c r="M171" s="5" t="s">
        <v>995</v>
      </c>
      <c r="N171" s="5" t="s">
        <v>64</v>
      </c>
      <c r="O171" s="5" t="s">
        <v>9098</v>
      </c>
      <c r="P171" s="6">
        <v>9590.0</v>
      </c>
    </row>
    <row r="172" ht="56.25" customHeight="1">
      <c r="A172" s="5" t="s">
        <v>9092</v>
      </c>
      <c r="B172" s="6" t="str">
        <f>IMAGE("https://storage.googleapis.com/acdb/tops/TopsTexTopCoatHCook4.png")</f>
        <v/>
      </c>
      <c r="C172" s="5" t="s">
        <v>142</v>
      </c>
      <c r="D172" s="8" t="s">
        <v>36</v>
      </c>
      <c r="E172" s="6">
        <v>1680.0</v>
      </c>
      <c r="F172" s="6">
        <v>420.0</v>
      </c>
      <c r="G172" s="5" t="s">
        <v>57</v>
      </c>
      <c r="H172" s="5" t="s">
        <v>142</v>
      </c>
      <c r="I172" s="6" t="s">
        <v>40</v>
      </c>
      <c r="J172" s="5" t="s">
        <v>8585</v>
      </c>
      <c r="K172" s="5" t="s">
        <v>8586</v>
      </c>
      <c r="L172" s="6" t="s">
        <v>42</v>
      </c>
      <c r="M172" s="5" t="s">
        <v>995</v>
      </c>
      <c r="N172" s="5" t="s">
        <v>64</v>
      </c>
      <c r="O172" s="5" t="s">
        <v>9101</v>
      </c>
      <c r="P172" s="6">
        <v>9591.0</v>
      </c>
    </row>
    <row r="173" ht="56.25" customHeight="1">
      <c r="A173" s="5" t="s">
        <v>9092</v>
      </c>
      <c r="B173" s="6" t="str">
        <f>IMAGE("https://storage.googleapis.com/acdb/tops/TopsTexTopCoatHCook5.png")</f>
        <v/>
      </c>
      <c r="C173" s="5" t="s">
        <v>39</v>
      </c>
      <c r="D173" s="8" t="s">
        <v>36</v>
      </c>
      <c r="E173" s="6">
        <v>1680.0</v>
      </c>
      <c r="F173" s="6">
        <v>420.0</v>
      </c>
      <c r="G173" s="5" t="s">
        <v>57</v>
      </c>
      <c r="H173" s="5" t="s">
        <v>39</v>
      </c>
      <c r="I173" s="6" t="s">
        <v>40</v>
      </c>
      <c r="J173" s="5" t="s">
        <v>8585</v>
      </c>
      <c r="K173" s="5" t="s">
        <v>8586</v>
      </c>
      <c r="L173" s="6" t="s">
        <v>42</v>
      </c>
      <c r="M173" s="5" t="s">
        <v>995</v>
      </c>
      <c r="N173" s="5" t="s">
        <v>64</v>
      </c>
      <c r="O173" s="5" t="s">
        <v>9102</v>
      </c>
      <c r="P173" s="6">
        <v>9592.0</v>
      </c>
    </row>
    <row r="174" ht="56.25" customHeight="1">
      <c r="A174" s="5" t="s">
        <v>9092</v>
      </c>
      <c r="B174" s="6" t="str">
        <f>IMAGE("https://storage.googleapis.com/acdb/tops/TopsTexTopCoatHCook6.png")</f>
        <v/>
      </c>
      <c r="C174" s="5" t="s">
        <v>54</v>
      </c>
      <c r="D174" s="8" t="s">
        <v>36</v>
      </c>
      <c r="E174" s="6">
        <v>1680.0</v>
      </c>
      <c r="F174" s="6">
        <v>420.0</v>
      </c>
      <c r="G174" s="5" t="s">
        <v>57</v>
      </c>
      <c r="H174" s="5" t="s">
        <v>54</v>
      </c>
      <c r="I174" s="6" t="s">
        <v>40</v>
      </c>
      <c r="J174" s="5" t="s">
        <v>8585</v>
      </c>
      <c r="K174" s="5" t="s">
        <v>8586</v>
      </c>
      <c r="L174" s="6" t="s">
        <v>42</v>
      </c>
      <c r="M174" s="5" t="s">
        <v>995</v>
      </c>
      <c r="N174" s="5" t="s">
        <v>64</v>
      </c>
      <c r="O174" s="5" t="s">
        <v>9105</v>
      </c>
      <c r="P174" s="6">
        <v>9593.0</v>
      </c>
    </row>
    <row r="175" ht="56.25" customHeight="1">
      <c r="A175" s="5" t="s">
        <v>9092</v>
      </c>
      <c r="B175" s="6" t="str">
        <f>IMAGE("https://storage.googleapis.com/acdb/tops/TopsTexTopCoatHCook1.png")</f>
        <v/>
      </c>
      <c r="C175" s="5" t="s">
        <v>68</v>
      </c>
      <c r="D175" s="8" t="s">
        <v>36</v>
      </c>
      <c r="E175" s="6">
        <v>1680.0</v>
      </c>
      <c r="F175" s="6">
        <v>420.0</v>
      </c>
      <c r="G175" s="5" t="s">
        <v>57</v>
      </c>
      <c r="H175" s="5" t="s">
        <v>68</v>
      </c>
      <c r="I175" s="6" t="s">
        <v>40</v>
      </c>
      <c r="J175" s="5" t="s">
        <v>8585</v>
      </c>
      <c r="K175" s="5" t="s">
        <v>8586</v>
      </c>
      <c r="L175" s="6" t="s">
        <v>42</v>
      </c>
      <c r="M175" s="5" t="s">
        <v>995</v>
      </c>
      <c r="N175" s="5" t="s">
        <v>64</v>
      </c>
      <c r="O175" s="5" t="s">
        <v>9108</v>
      </c>
      <c r="P175" s="6">
        <v>9588.0</v>
      </c>
    </row>
    <row r="176" ht="56.25" customHeight="1">
      <c r="A176" s="5" t="s">
        <v>9092</v>
      </c>
      <c r="B176" s="6" t="str">
        <f>IMAGE("https://storage.googleapis.com/acdb/tops/TopsTexTopCoatHCook2.png")</f>
        <v/>
      </c>
      <c r="C176" s="5" t="s">
        <v>96</v>
      </c>
      <c r="D176" s="8" t="s">
        <v>36</v>
      </c>
      <c r="E176" s="6">
        <v>1680.0</v>
      </c>
      <c r="F176" s="6">
        <v>420.0</v>
      </c>
      <c r="G176" s="5" t="s">
        <v>57</v>
      </c>
      <c r="H176" s="5" t="s">
        <v>96</v>
      </c>
      <c r="I176" s="6" t="s">
        <v>40</v>
      </c>
      <c r="J176" s="5" t="s">
        <v>8585</v>
      </c>
      <c r="K176" s="5" t="s">
        <v>8586</v>
      </c>
      <c r="L176" s="6" t="s">
        <v>42</v>
      </c>
      <c r="M176" s="5" t="s">
        <v>995</v>
      </c>
      <c r="N176" s="5" t="s">
        <v>64</v>
      </c>
      <c r="O176" s="5" t="s">
        <v>9110</v>
      </c>
      <c r="P176" s="6">
        <v>9589.0</v>
      </c>
    </row>
    <row r="177" ht="56.25" customHeight="1">
      <c r="A177" s="5" t="s">
        <v>9111</v>
      </c>
      <c r="B177" s="6" t="str">
        <f>IMAGE("https://storage.googleapis.com/acdb/tops/TopsTexTopCoatLChester0.png")</f>
        <v/>
      </c>
      <c r="C177" s="5" t="s">
        <v>2408</v>
      </c>
      <c r="D177" s="8" t="s">
        <v>36</v>
      </c>
      <c r="E177" s="6">
        <v>2320.0</v>
      </c>
      <c r="F177" s="6">
        <v>580.0</v>
      </c>
      <c r="G177" s="5" t="s">
        <v>38</v>
      </c>
      <c r="H177" s="5" t="s">
        <v>54</v>
      </c>
      <c r="I177" s="6" t="s">
        <v>40</v>
      </c>
      <c r="J177" s="5" t="s">
        <v>8585</v>
      </c>
      <c r="K177" s="5" t="s">
        <v>8586</v>
      </c>
      <c r="L177" s="6" t="s">
        <v>42</v>
      </c>
      <c r="M177" s="5" t="s">
        <v>1952</v>
      </c>
      <c r="N177" s="5" t="s">
        <v>64</v>
      </c>
      <c r="O177" s="5" t="s">
        <v>9114</v>
      </c>
      <c r="P177" s="6">
        <v>3939.0</v>
      </c>
    </row>
    <row r="178" ht="56.25" customHeight="1">
      <c r="A178" s="5" t="s">
        <v>9111</v>
      </c>
      <c r="B178" s="6" t="str">
        <f>IMAGE("https://storage.googleapis.com/acdb/tops/TopsTexTopCoatLChester1.png")</f>
        <v/>
      </c>
      <c r="C178" s="5" t="s">
        <v>39</v>
      </c>
      <c r="D178" s="8" t="s">
        <v>36</v>
      </c>
      <c r="E178" s="6">
        <v>2320.0</v>
      </c>
      <c r="F178" s="6">
        <v>580.0</v>
      </c>
      <c r="G178" s="5" t="s">
        <v>39</v>
      </c>
      <c r="H178" s="5" t="s">
        <v>52</v>
      </c>
      <c r="I178" s="6" t="s">
        <v>40</v>
      </c>
      <c r="J178" s="5" t="s">
        <v>8585</v>
      </c>
      <c r="K178" s="5" t="s">
        <v>8586</v>
      </c>
      <c r="L178" s="6" t="s">
        <v>42</v>
      </c>
      <c r="M178" s="5" t="s">
        <v>1952</v>
      </c>
      <c r="N178" s="5" t="s">
        <v>64</v>
      </c>
      <c r="O178" s="5" t="s">
        <v>9117</v>
      </c>
      <c r="P178" s="6">
        <v>8435.0</v>
      </c>
    </row>
    <row r="179" ht="56.25" customHeight="1">
      <c r="A179" s="5" t="s">
        <v>9111</v>
      </c>
      <c r="B179" s="6" t="str">
        <f>IMAGE("https://storage.googleapis.com/acdb/tops/TopsTexTopCoatLChester2.png")</f>
        <v/>
      </c>
      <c r="C179" s="5" t="s">
        <v>54</v>
      </c>
      <c r="D179" s="8" t="s">
        <v>36</v>
      </c>
      <c r="E179" s="6">
        <v>2320.0</v>
      </c>
      <c r="F179" s="6">
        <v>580.0</v>
      </c>
      <c r="G179" s="5" t="s">
        <v>54</v>
      </c>
      <c r="H179" s="5" t="s">
        <v>95</v>
      </c>
      <c r="I179" s="6" t="s">
        <v>40</v>
      </c>
      <c r="J179" s="5" t="s">
        <v>8585</v>
      </c>
      <c r="K179" s="5" t="s">
        <v>8586</v>
      </c>
      <c r="L179" s="6" t="s">
        <v>42</v>
      </c>
      <c r="M179" s="5" t="s">
        <v>1952</v>
      </c>
      <c r="N179" s="5" t="s">
        <v>64</v>
      </c>
      <c r="O179" s="5" t="s">
        <v>9120</v>
      </c>
      <c r="P179" s="6">
        <v>8436.0</v>
      </c>
    </row>
    <row r="180" ht="56.25" customHeight="1">
      <c r="A180" s="5" t="s">
        <v>9111</v>
      </c>
      <c r="B180" s="6" t="str">
        <f>IMAGE("https://storage.googleapis.com/acdb/tops/TopsTexTopCoatLChester3.png")</f>
        <v/>
      </c>
      <c r="C180" s="5" t="s">
        <v>95</v>
      </c>
      <c r="D180" s="8" t="s">
        <v>36</v>
      </c>
      <c r="E180" s="6">
        <v>2320.0</v>
      </c>
      <c r="F180" s="6">
        <v>580.0</v>
      </c>
      <c r="G180" s="5" t="s">
        <v>95</v>
      </c>
      <c r="H180" s="5" t="s">
        <v>96</v>
      </c>
      <c r="I180" s="6" t="s">
        <v>40</v>
      </c>
      <c r="J180" s="5" t="s">
        <v>8585</v>
      </c>
      <c r="K180" s="5" t="s">
        <v>8586</v>
      </c>
      <c r="L180" s="6" t="s">
        <v>42</v>
      </c>
      <c r="M180" s="5" t="s">
        <v>1952</v>
      </c>
      <c r="N180" s="5" t="s">
        <v>64</v>
      </c>
      <c r="O180" s="5" t="s">
        <v>9123</v>
      </c>
      <c r="P180" s="6">
        <v>8437.0</v>
      </c>
    </row>
    <row r="181" ht="56.25" customHeight="1">
      <c r="A181" s="5" t="s">
        <v>9125</v>
      </c>
      <c r="B181" s="6" t="str">
        <f>IMAGE("https://storage.googleapis.com/acdb/tops/TopsTexTopTshirtsHChickBlue.png")</f>
        <v/>
      </c>
      <c r="C181" s="5" t="s">
        <v>34</v>
      </c>
      <c r="D181" s="8" t="s">
        <v>36</v>
      </c>
      <c r="E181" s="6">
        <v>800.0</v>
      </c>
      <c r="F181" s="6">
        <v>200.0</v>
      </c>
      <c r="G181" s="5" t="s">
        <v>57</v>
      </c>
      <c r="H181" s="5" t="s">
        <v>83</v>
      </c>
      <c r="I181" s="6" t="s">
        <v>40</v>
      </c>
      <c r="J181" s="5" t="s">
        <v>8585</v>
      </c>
      <c r="K181" s="5" t="s">
        <v>8632</v>
      </c>
      <c r="L181" s="6" t="s">
        <v>42</v>
      </c>
      <c r="M181" s="5" t="s">
        <v>995</v>
      </c>
      <c r="N181" s="5" t="s">
        <v>64</v>
      </c>
      <c r="O181" s="5" t="s">
        <v>9127</v>
      </c>
      <c r="P181" s="6">
        <v>3259.0</v>
      </c>
    </row>
    <row r="182" ht="56.25" customHeight="1">
      <c r="A182" s="5" t="s">
        <v>9128</v>
      </c>
      <c r="B182" s="6" t="str">
        <f>IMAGE("https://storage.googleapis.com/acdb/tops/TopsTexTopYshirtsLChimayo1.png")</f>
        <v/>
      </c>
      <c r="C182" s="5" t="s">
        <v>52</v>
      </c>
      <c r="D182" s="8" t="s">
        <v>36</v>
      </c>
      <c r="E182" s="6">
        <v>1120.0</v>
      </c>
      <c r="F182" s="6">
        <v>280.0</v>
      </c>
      <c r="G182" s="5" t="s">
        <v>52</v>
      </c>
      <c r="H182" s="5" t="s">
        <v>96</v>
      </c>
      <c r="I182" s="6" t="s">
        <v>40</v>
      </c>
      <c r="J182" s="5" t="s">
        <v>8585</v>
      </c>
      <c r="K182" s="5" t="s">
        <v>8632</v>
      </c>
      <c r="L182" s="6" t="s">
        <v>42</v>
      </c>
      <c r="M182" s="5" t="s">
        <v>1059</v>
      </c>
      <c r="N182" s="5" t="s">
        <v>64</v>
      </c>
      <c r="O182" s="5" t="s">
        <v>9131</v>
      </c>
      <c r="P182" s="6">
        <v>9448.0</v>
      </c>
    </row>
    <row r="183" ht="56.25" customHeight="1">
      <c r="A183" s="5" t="s">
        <v>9128</v>
      </c>
      <c r="B183" s="6" t="str">
        <f>IMAGE("https://storage.googleapis.com/acdb/tops/TopsTexTopYshirtsLChimayo2.png")</f>
        <v/>
      </c>
      <c r="C183" s="5" t="s">
        <v>57</v>
      </c>
      <c r="D183" s="8" t="s">
        <v>36</v>
      </c>
      <c r="E183" s="6">
        <v>1120.0</v>
      </c>
      <c r="F183" s="6">
        <v>280.0</v>
      </c>
      <c r="G183" s="5" t="s">
        <v>57</v>
      </c>
      <c r="H183" s="5" t="s">
        <v>68</v>
      </c>
      <c r="I183" s="6" t="s">
        <v>40</v>
      </c>
      <c r="J183" s="5" t="s">
        <v>8585</v>
      </c>
      <c r="K183" s="5" t="s">
        <v>8632</v>
      </c>
      <c r="L183" s="6" t="s">
        <v>42</v>
      </c>
      <c r="M183" s="5" t="s">
        <v>1059</v>
      </c>
      <c r="N183" s="5" t="s">
        <v>64</v>
      </c>
      <c r="O183" s="5" t="s">
        <v>9133</v>
      </c>
      <c r="P183" s="6">
        <v>9449.0</v>
      </c>
    </row>
    <row r="184" ht="56.25" customHeight="1">
      <c r="A184" s="5" t="s">
        <v>9128</v>
      </c>
      <c r="B184" s="6" t="str">
        <f>IMAGE("https://storage.googleapis.com/acdb/tops/TopsTexTopYshirtsLChimayo0.png")</f>
        <v/>
      </c>
      <c r="C184" s="5" t="s">
        <v>1187</v>
      </c>
      <c r="D184" s="8" t="s">
        <v>36</v>
      </c>
      <c r="E184" s="6">
        <v>1120.0</v>
      </c>
      <c r="F184" s="6">
        <v>280.0</v>
      </c>
      <c r="G184" s="5" t="s">
        <v>68</v>
      </c>
      <c r="H184" s="5" t="s">
        <v>52</v>
      </c>
      <c r="I184" s="6" t="s">
        <v>40</v>
      </c>
      <c r="J184" s="5" t="s">
        <v>8585</v>
      </c>
      <c r="K184" s="5" t="s">
        <v>8632</v>
      </c>
      <c r="L184" s="6" t="s">
        <v>42</v>
      </c>
      <c r="M184" s="5" t="s">
        <v>1059</v>
      </c>
      <c r="N184" s="5" t="s">
        <v>64</v>
      </c>
      <c r="O184" s="5" t="s">
        <v>9136</v>
      </c>
      <c r="P184" s="6">
        <v>4507.0</v>
      </c>
    </row>
    <row r="185" ht="56.25" customHeight="1">
      <c r="A185" s="5" t="s">
        <v>9128</v>
      </c>
      <c r="B185" s="6" t="str">
        <f>IMAGE("https://storage.googleapis.com/acdb/tops/TopsTexTopYshirtsLChimayo3.png")</f>
        <v/>
      </c>
      <c r="C185" s="5" t="s">
        <v>83</v>
      </c>
      <c r="D185" s="8" t="s">
        <v>36</v>
      </c>
      <c r="E185" s="6">
        <v>1120.0</v>
      </c>
      <c r="F185" s="6">
        <v>280.0</v>
      </c>
      <c r="G185" s="5" t="s">
        <v>83</v>
      </c>
      <c r="H185" s="5" t="s">
        <v>95</v>
      </c>
      <c r="I185" s="6" t="s">
        <v>40</v>
      </c>
      <c r="J185" s="5" t="s">
        <v>8585</v>
      </c>
      <c r="K185" s="5" t="s">
        <v>8632</v>
      </c>
      <c r="L185" s="6" t="s">
        <v>42</v>
      </c>
      <c r="M185" s="5" t="s">
        <v>1059</v>
      </c>
      <c r="N185" s="5" t="s">
        <v>64</v>
      </c>
      <c r="O185" s="5" t="s">
        <v>9139</v>
      </c>
      <c r="P185" s="6">
        <v>9450.0</v>
      </c>
    </row>
    <row r="186" ht="56.25" customHeight="1">
      <c r="A186" s="5" t="s">
        <v>9140</v>
      </c>
      <c r="B186" s="6" t="str">
        <f>IMAGE("https://storage.googleapis.com/acdb/tops/TopsTexTopTshirtsHHelloit0.png")</f>
        <v/>
      </c>
      <c r="C186" s="5" t="s">
        <v>34</v>
      </c>
      <c r="D186" s="8" t="s">
        <v>36</v>
      </c>
      <c r="E186" s="6">
        <v>640.0</v>
      </c>
      <c r="F186" s="6">
        <v>160.0</v>
      </c>
      <c r="G186" s="5" t="s">
        <v>52</v>
      </c>
      <c r="H186" s="5" t="s">
        <v>57</v>
      </c>
      <c r="I186" s="6" t="s">
        <v>40</v>
      </c>
      <c r="J186" s="5" t="s">
        <v>8578</v>
      </c>
      <c r="K186" s="5"/>
      <c r="L186" s="6" t="s">
        <v>42</v>
      </c>
      <c r="M186" s="5" t="s">
        <v>995</v>
      </c>
      <c r="N186" s="5" t="s">
        <v>64</v>
      </c>
      <c r="O186" s="5" t="s">
        <v>9142</v>
      </c>
      <c r="P186" s="6">
        <v>12120.0</v>
      </c>
    </row>
    <row r="187" ht="56.25" customHeight="1">
      <c r="A187" s="5" t="s">
        <v>9143</v>
      </c>
      <c r="B187" s="6" t="str">
        <f>IMAGE("https://storage.googleapis.com/acdb/tops/TopsTexTopCoatLCoadigan0.png")</f>
        <v/>
      </c>
      <c r="C187" s="5" t="s">
        <v>106</v>
      </c>
      <c r="D187" s="8" t="s">
        <v>36</v>
      </c>
      <c r="E187" s="6">
        <v>2380.0</v>
      </c>
      <c r="F187" s="6">
        <v>595.0</v>
      </c>
      <c r="G187" s="5" t="s">
        <v>106</v>
      </c>
      <c r="H187" s="5" t="s">
        <v>57</v>
      </c>
      <c r="I187" s="6" t="s">
        <v>40</v>
      </c>
      <c r="J187" s="5" t="s">
        <v>8585</v>
      </c>
      <c r="K187" s="5" t="s">
        <v>8586</v>
      </c>
      <c r="L187" s="6" t="s">
        <v>42</v>
      </c>
      <c r="M187" s="5" t="s">
        <v>1059</v>
      </c>
      <c r="N187" s="5" t="s">
        <v>64</v>
      </c>
      <c r="O187" s="5" t="s">
        <v>9146</v>
      </c>
      <c r="P187" s="6">
        <v>4601.0</v>
      </c>
    </row>
    <row r="188" ht="56.25" customHeight="1">
      <c r="A188" s="5" t="s">
        <v>9143</v>
      </c>
      <c r="B188" s="6" t="str">
        <f>IMAGE("https://storage.googleapis.com/acdb/tops/TopsTexTopCoatLCoadigan1.png")</f>
        <v/>
      </c>
      <c r="C188" s="5" t="s">
        <v>69</v>
      </c>
      <c r="D188" s="8" t="s">
        <v>36</v>
      </c>
      <c r="E188" s="6">
        <v>2380.0</v>
      </c>
      <c r="F188" s="6">
        <v>595.0</v>
      </c>
      <c r="G188" s="5" t="s">
        <v>69</v>
      </c>
      <c r="H188" s="5" t="s">
        <v>57</v>
      </c>
      <c r="I188" s="6" t="s">
        <v>40</v>
      </c>
      <c r="J188" s="5" t="s">
        <v>8585</v>
      </c>
      <c r="K188" s="5" t="s">
        <v>8586</v>
      </c>
      <c r="L188" s="6" t="s">
        <v>42</v>
      </c>
      <c r="M188" s="5" t="s">
        <v>1059</v>
      </c>
      <c r="N188" s="5" t="s">
        <v>64</v>
      </c>
      <c r="O188" s="5" t="s">
        <v>9149</v>
      </c>
      <c r="P188" s="6">
        <v>8458.0</v>
      </c>
    </row>
    <row r="189" ht="56.25" customHeight="1">
      <c r="A189" s="5" t="s">
        <v>9143</v>
      </c>
      <c r="B189" s="6" t="str">
        <f>IMAGE("https://storage.googleapis.com/acdb/tops/TopsTexTopCoatLCoadigan2.png")</f>
        <v/>
      </c>
      <c r="C189" s="5" t="s">
        <v>83</v>
      </c>
      <c r="D189" s="8" t="s">
        <v>36</v>
      </c>
      <c r="E189" s="6">
        <v>2380.0</v>
      </c>
      <c r="F189" s="6">
        <v>595.0</v>
      </c>
      <c r="G189" s="5" t="s">
        <v>83</v>
      </c>
      <c r="H189" s="5" t="s">
        <v>57</v>
      </c>
      <c r="I189" s="6" t="s">
        <v>40</v>
      </c>
      <c r="J189" s="5" t="s">
        <v>8585</v>
      </c>
      <c r="K189" s="5" t="s">
        <v>8586</v>
      </c>
      <c r="L189" s="6" t="s">
        <v>42</v>
      </c>
      <c r="M189" s="5" t="s">
        <v>1059</v>
      </c>
      <c r="N189" s="5" t="s">
        <v>64</v>
      </c>
      <c r="O189" s="5" t="s">
        <v>9150</v>
      </c>
      <c r="P189" s="6">
        <v>8459.0</v>
      </c>
    </row>
    <row r="190" ht="56.25" customHeight="1">
      <c r="A190" s="5" t="s">
        <v>9143</v>
      </c>
      <c r="B190" s="6" t="str">
        <f>IMAGE("https://storage.googleapis.com/acdb/tops/TopsTexTopCoatLCoadigan3.png")</f>
        <v/>
      </c>
      <c r="C190" s="5" t="s">
        <v>95</v>
      </c>
      <c r="D190" s="8" t="s">
        <v>36</v>
      </c>
      <c r="E190" s="6">
        <v>2380.0</v>
      </c>
      <c r="F190" s="6">
        <v>595.0</v>
      </c>
      <c r="G190" s="5" t="s">
        <v>95</v>
      </c>
      <c r="H190" s="5" t="s">
        <v>57</v>
      </c>
      <c r="I190" s="6" t="s">
        <v>40</v>
      </c>
      <c r="J190" s="5" t="s">
        <v>8585</v>
      </c>
      <c r="K190" s="5" t="s">
        <v>8586</v>
      </c>
      <c r="L190" s="6" t="s">
        <v>42</v>
      </c>
      <c r="M190" s="5" t="s">
        <v>1059</v>
      </c>
      <c r="N190" s="5" t="s">
        <v>64</v>
      </c>
      <c r="O190" s="5" t="s">
        <v>9153</v>
      </c>
      <c r="P190" s="6">
        <v>8460.0</v>
      </c>
    </row>
    <row r="191" ht="56.25" customHeight="1">
      <c r="A191" s="5" t="s">
        <v>9143</v>
      </c>
      <c r="B191" s="6" t="str">
        <f>IMAGE("https://storage.googleapis.com/acdb/tops/TopsTexTopCoatLCoadigan4.png")</f>
        <v/>
      </c>
      <c r="C191" s="5" t="s">
        <v>96</v>
      </c>
      <c r="D191" s="8" t="s">
        <v>36</v>
      </c>
      <c r="E191" s="6">
        <v>2380.0</v>
      </c>
      <c r="F191" s="6">
        <v>595.0</v>
      </c>
      <c r="G191" s="5" t="s">
        <v>96</v>
      </c>
      <c r="H191" s="5" t="s">
        <v>57</v>
      </c>
      <c r="I191" s="6" t="s">
        <v>40</v>
      </c>
      <c r="J191" s="5" t="s">
        <v>8585</v>
      </c>
      <c r="K191" s="5" t="s">
        <v>8586</v>
      </c>
      <c r="L191" s="6" t="s">
        <v>42</v>
      </c>
      <c r="M191" s="5" t="s">
        <v>1059</v>
      </c>
      <c r="N191" s="5" t="s">
        <v>64</v>
      </c>
      <c r="O191" s="5" t="s">
        <v>9155</v>
      </c>
      <c r="P191" s="6">
        <v>8461.0</v>
      </c>
    </row>
    <row r="192" ht="56.25" customHeight="1">
      <c r="A192" s="5" t="s">
        <v>9156</v>
      </c>
      <c r="B192" s="6" t="str">
        <f>IMAGE("https://storage.googleapis.com/acdb/tops/TopsTexTopCoatLNocollar1.png")</f>
        <v/>
      </c>
      <c r="C192" s="5" t="s">
        <v>38</v>
      </c>
      <c r="D192" s="8" t="s">
        <v>36</v>
      </c>
      <c r="E192" s="6">
        <v>2000.0</v>
      </c>
      <c r="F192" s="6">
        <v>500.0</v>
      </c>
      <c r="G192" s="5" t="s">
        <v>38</v>
      </c>
      <c r="H192" s="5" t="s">
        <v>54</v>
      </c>
      <c r="I192" s="6" t="s">
        <v>40</v>
      </c>
      <c r="J192" s="5" t="s">
        <v>8585</v>
      </c>
      <c r="K192" s="5" t="s">
        <v>8632</v>
      </c>
      <c r="L192" s="6" t="s">
        <v>42</v>
      </c>
      <c r="M192" s="5" t="s">
        <v>995</v>
      </c>
      <c r="N192" s="5" t="s">
        <v>64</v>
      </c>
      <c r="O192" s="5" t="s">
        <v>9159</v>
      </c>
      <c r="P192" s="6">
        <v>8433.0</v>
      </c>
    </row>
    <row r="193" ht="56.25" customHeight="1">
      <c r="A193" s="5" t="s">
        <v>9156</v>
      </c>
      <c r="B193" s="6" t="str">
        <f>IMAGE("https://storage.googleapis.com/acdb/tops/TopsTexTopCoatLNocollar2.png")</f>
        <v/>
      </c>
      <c r="C193" s="5" t="s">
        <v>69</v>
      </c>
      <c r="D193" s="8" t="s">
        <v>36</v>
      </c>
      <c r="E193" s="6">
        <v>2000.0</v>
      </c>
      <c r="F193" s="6">
        <v>500.0</v>
      </c>
      <c r="G193" s="5" t="s">
        <v>69</v>
      </c>
      <c r="H193" s="5" t="s">
        <v>54</v>
      </c>
      <c r="I193" s="6" t="s">
        <v>40</v>
      </c>
      <c r="J193" s="5" t="s">
        <v>8585</v>
      </c>
      <c r="K193" s="5" t="s">
        <v>8632</v>
      </c>
      <c r="L193" s="6" t="s">
        <v>42</v>
      </c>
      <c r="M193" s="5" t="s">
        <v>995</v>
      </c>
      <c r="N193" s="5" t="s">
        <v>64</v>
      </c>
      <c r="O193" s="5" t="s">
        <v>9160</v>
      </c>
      <c r="P193" s="6">
        <v>8434.0</v>
      </c>
    </row>
    <row r="194" ht="56.25" customHeight="1">
      <c r="A194" s="5" t="s">
        <v>9156</v>
      </c>
      <c r="B194" s="6" t="str">
        <f>IMAGE("https://storage.googleapis.com/acdb/tops/TopsTexTopCoatLNocollar0.png")</f>
        <v/>
      </c>
      <c r="C194" s="5" t="s">
        <v>95</v>
      </c>
      <c r="D194" s="8" t="s">
        <v>36</v>
      </c>
      <c r="E194" s="6">
        <v>2000.0</v>
      </c>
      <c r="F194" s="6">
        <v>500.0</v>
      </c>
      <c r="G194" s="5" t="s">
        <v>95</v>
      </c>
      <c r="H194" s="5" t="s">
        <v>54</v>
      </c>
      <c r="I194" s="6" t="s">
        <v>40</v>
      </c>
      <c r="J194" s="5" t="s">
        <v>8585</v>
      </c>
      <c r="K194" s="5" t="s">
        <v>8632</v>
      </c>
      <c r="L194" s="6" t="s">
        <v>42</v>
      </c>
      <c r="M194" s="5" t="s">
        <v>995</v>
      </c>
      <c r="N194" s="5" t="s">
        <v>64</v>
      </c>
      <c r="O194" s="5" t="s">
        <v>9163</v>
      </c>
      <c r="P194" s="6">
        <v>3663.0</v>
      </c>
    </row>
    <row r="195" ht="56.25" customHeight="1">
      <c r="A195" s="5" t="s">
        <v>9164</v>
      </c>
      <c r="B195" s="6" t="str">
        <f>IMAGE("https://storage.googleapis.com/acdb/tops/TopsTexTopYshirtsLNocollar1.png")</f>
        <v/>
      </c>
      <c r="C195" s="5" t="s">
        <v>57</v>
      </c>
      <c r="D195" s="8" t="s">
        <v>36</v>
      </c>
      <c r="E195" s="6">
        <v>960.0</v>
      </c>
      <c r="F195" s="6">
        <v>240.0</v>
      </c>
      <c r="G195" s="5" t="s">
        <v>57</v>
      </c>
      <c r="H195" s="5" t="s">
        <v>57</v>
      </c>
      <c r="I195" s="6" t="s">
        <v>40</v>
      </c>
      <c r="J195" s="5" t="s">
        <v>8585</v>
      </c>
      <c r="K195" s="5" t="s">
        <v>8632</v>
      </c>
      <c r="L195" s="6" t="s">
        <v>42</v>
      </c>
      <c r="M195" s="5" t="s">
        <v>995</v>
      </c>
      <c r="N195" s="5" t="s">
        <v>64</v>
      </c>
      <c r="O195" s="5" t="s">
        <v>9165</v>
      </c>
      <c r="P195" s="6">
        <v>8510.0</v>
      </c>
    </row>
    <row r="196" ht="56.25" customHeight="1">
      <c r="A196" s="5" t="s">
        <v>9164</v>
      </c>
      <c r="B196" s="6" t="str">
        <f>IMAGE("https://storage.googleapis.com/acdb/tops/TopsTexTopYshirtsLNocollar0.png")</f>
        <v/>
      </c>
      <c r="C196" s="5" t="s">
        <v>54</v>
      </c>
      <c r="D196" s="8" t="s">
        <v>36</v>
      </c>
      <c r="E196" s="6">
        <v>960.0</v>
      </c>
      <c r="F196" s="6">
        <v>240.0</v>
      </c>
      <c r="G196" s="5" t="s">
        <v>54</v>
      </c>
      <c r="H196" s="5" t="s">
        <v>54</v>
      </c>
      <c r="I196" s="6" t="s">
        <v>40</v>
      </c>
      <c r="J196" s="5" t="s">
        <v>8585</v>
      </c>
      <c r="K196" s="5" t="s">
        <v>8632</v>
      </c>
      <c r="L196" s="6" t="s">
        <v>42</v>
      </c>
      <c r="M196" s="5" t="s">
        <v>995</v>
      </c>
      <c r="N196" s="5" t="s">
        <v>64</v>
      </c>
      <c r="O196" s="5" t="s">
        <v>9168</v>
      </c>
      <c r="P196" s="6">
        <v>3690.0</v>
      </c>
    </row>
    <row r="197" ht="56.25" customHeight="1">
      <c r="A197" s="5" t="s">
        <v>9169</v>
      </c>
      <c r="B197" s="6" t="str">
        <f>IMAGE("https://storage.googleapis.com/acdb/tops/TopsTexTopOuterLCollegecardigan0.png")</f>
        <v/>
      </c>
      <c r="C197" s="5" t="s">
        <v>1187</v>
      </c>
      <c r="D197" s="8" t="s">
        <v>36</v>
      </c>
      <c r="E197" s="6">
        <v>1200.0</v>
      </c>
      <c r="F197" s="6">
        <v>300.0</v>
      </c>
      <c r="G197" s="5" t="s">
        <v>68</v>
      </c>
      <c r="H197" s="5" t="s">
        <v>114</v>
      </c>
      <c r="I197" s="6" t="s">
        <v>40</v>
      </c>
      <c r="J197" s="5" t="s">
        <v>8585</v>
      </c>
      <c r="K197" s="5" t="s">
        <v>8632</v>
      </c>
      <c r="L197" s="6" t="s">
        <v>42</v>
      </c>
      <c r="M197" s="5" t="s">
        <v>995</v>
      </c>
      <c r="N197" s="5" t="s">
        <v>64</v>
      </c>
      <c r="O197" s="5" t="s">
        <v>9170</v>
      </c>
      <c r="P197" s="6">
        <v>4306.0</v>
      </c>
    </row>
    <row r="198" ht="56.25" customHeight="1">
      <c r="A198" s="5" t="s">
        <v>9169</v>
      </c>
      <c r="B198" s="6" t="str">
        <f>IMAGE("https://storage.googleapis.com/acdb/tops/TopsTexTopOuterLCollegecardigan1.png")</f>
        <v/>
      </c>
      <c r="C198" s="5" t="s">
        <v>52</v>
      </c>
      <c r="D198" s="8" t="s">
        <v>36</v>
      </c>
      <c r="E198" s="6">
        <v>1200.0</v>
      </c>
      <c r="F198" s="6">
        <v>300.0</v>
      </c>
      <c r="G198" s="5" t="s">
        <v>52</v>
      </c>
      <c r="H198" s="5" t="s">
        <v>142</v>
      </c>
      <c r="I198" s="6" t="s">
        <v>40</v>
      </c>
      <c r="J198" s="5" t="s">
        <v>8585</v>
      </c>
      <c r="K198" s="5" t="s">
        <v>8632</v>
      </c>
      <c r="L198" s="6" t="s">
        <v>42</v>
      </c>
      <c r="M198" s="5" t="s">
        <v>995</v>
      </c>
      <c r="N198" s="5" t="s">
        <v>64</v>
      </c>
      <c r="O198" s="5" t="s">
        <v>9173</v>
      </c>
      <c r="P198" s="6">
        <v>7752.0</v>
      </c>
    </row>
    <row r="199" ht="56.25" customHeight="1">
      <c r="A199" s="5" t="s">
        <v>9169</v>
      </c>
      <c r="B199" s="6" t="str">
        <f>IMAGE("https://storage.googleapis.com/acdb/tops/TopsTexTopOuterLCollegecardigan2.png")</f>
        <v/>
      </c>
      <c r="C199" s="5" t="s">
        <v>95</v>
      </c>
      <c r="D199" s="8" t="s">
        <v>36</v>
      </c>
      <c r="E199" s="6">
        <v>1200.0</v>
      </c>
      <c r="F199" s="6">
        <v>300.0</v>
      </c>
      <c r="G199" s="5" t="s">
        <v>95</v>
      </c>
      <c r="H199" s="5" t="s">
        <v>68</v>
      </c>
      <c r="I199" s="6" t="s">
        <v>40</v>
      </c>
      <c r="J199" s="5" t="s">
        <v>8585</v>
      </c>
      <c r="K199" s="5" t="s">
        <v>8632</v>
      </c>
      <c r="L199" s="6" t="s">
        <v>42</v>
      </c>
      <c r="M199" s="5" t="s">
        <v>995</v>
      </c>
      <c r="N199" s="5" t="s">
        <v>64</v>
      </c>
      <c r="O199" s="5" t="s">
        <v>9174</v>
      </c>
      <c r="P199" s="6">
        <v>7753.0</v>
      </c>
    </row>
    <row r="200" ht="56.25" customHeight="1">
      <c r="A200" s="5" t="s">
        <v>9169</v>
      </c>
      <c r="B200" s="6" t="str">
        <f>IMAGE("https://storage.googleapis.com/acdb/tops/TopsTexTopOuterLCollegecardigan3.png")</f>
        <v/>
      </c>
      <c r="C200" s="5" t="s">
        <v>142</v>
      </c>
      <c r="D200" s="8" t="s">
        <v>36</v>
      </c>
      <c r="E200" s="6">
        <v>1200.0</v>
      </c>
      <c r="F200" s="6">
        <v>300.0</v>
      </c>
      <c r="G200" s="5" t="s">
        <v>142</v>
      </c>
      <c r="H200" s="5" t="s">
        <v>68</v>
      </c>
      <c r="I200" s="6" t="s">
        <v>40</v>
      </c>
      <c r="J200" s="5" t="s">
        <v>8585</v>
      </c>
      <c r="K200" s="5" t="s">
        <v>8632</v>
      </c>
      <c r="L200" s="6" t="s">
        <v>42</v>
      </c>
      <c r="M200" s="5" t="s">
        <v>995</v>
      </c>
      <c r="N200" s="5" t="s">
        <v>64</v>
      </c>
      <c r="O200" s="5" t="s">
        <v>9177</v>
      </c>
      <c r="P200" s="6">
        <v>7754.0</v>
      </c>
    </row>
    <row r="201" ht="56.25" customHeight="1">
      <c r="A201" s="5" t="s">
        <v>9169</v>
      </c>
      <c r="B201" s="6" t="str">
        <f>IMAGE("https://storage.googleapis.com/acdb/tops/TopsTexTopOuterLCollegecardigan4.png")</f>
        <v/>
      </c>
      <c r="C201" s="5" t="s">
        <v>57</v>
      </c>
      <c r="D201" s="8" t="s">
        <v>36</v>
      </c>
      <c r="E201" s="6">
        <v>1200.0</v>
      </c>
      <c r="F201" s="6">
        <v>300.0</v>
      </c>
      <c r="G201" s="5" t="s">
        <v>57</v>
      </c>
      <c r="H201" s="5" t="s">
        <v>114</v>
      </c>
      <c r="I201" s="6" t="s">
        <v>40</v>
      </c>
      <c r="J201" s="5" t="s">
        <v>8585</v>
      </c>
      <c r="K201" s="5" t="s">
        <v>8632</v>
      </c>
      <c r="L201" s="6" t="s">
        <v>42</v>
      </c>
      <c r="M201" s="5" t="s">
        <v>995</v>
      </c>
      <c r="N201" s="5" t="s">
        <v>64</v>
      </c>
      <c r="O201" s="5" t="s">
        <v>9178</v>
      </c>
      <c r="P201" s="6">
        <v>7755.0</v>
      </c>
    </row>
    <row r="202" ht="56.25" customHeight="1">
      <c r="A202" s="5" t="s">
        <v>9179</v>
      </c>
      <c r="B202" s="6" t="str">
        <f>IMAGE("https://storage.googleapis.com/acdb/tops/TopsTexTopYshirtsLTwotone0.png")</f>
        <v/>
      </c>
      <c r="C202" s="5" t="s">
        <v>68</v>
      </c>
      <c r="D202" s="8" t="s">
        <v>36</v>
      </c>
      <c r="E202" s="6">
        <v>960.0</v>
      </c>
      <c r="F202" s="6">
        <v>240.0</v>
      </c>
      <c r="G202" s="5" t="s">
        <v>83</v>
      </c>
      <c r="H202" s="5" t="s">
        <v>68</v>
      </c>
      <c r="I202" s="6" t="s">
        <v>40</v>
      </c>
      <c r="J202" s="5" t="s">
        <v>8585</v>
      </c>
      <c r="K202" s="5" t="s">
        <v>8586</v>
      </c>
      <c r="L202" s="6" t="s">
        <v>42</v>
      </c>
      <c r="M202" s="5" t="s">
        <v>995</v>
      </c>
      <c r="N202" s="5" t="s">
        <v>64</v>
      </c>
      <c r="O202" s="5" t="s">
        <v>9182</v>
      </c>
      <c r="P202" s="6">
        <v>3316.0</v>
      </c>
    </row>
    <row r="203" ht="56.25" customHeight="1">
      <c r="A203" s="5" t="s">
        <v>9179</v>
      </c>
      <c r="B203" s="6" t="str">
        <f>IMAGE("https://storage.googleapis.com/acdb/tops/TopsTexTopYshirtsLTwotone2.png")</f>
        <v/>
      </c>
      <c r="C203" s="5" t="s">
        <v>96</v>
      </c>
      <c r="D203" s="8" t="s">
        <v>36</v>
      </c>
      <c r="E203" s="6">
        <v>960.0</v>
      </c>
      <c r="F203" s="6">
        <v>240.0</v>
      </c>
      <c r="G203" s="5" t="s">
        <v>96</v>
      </c>
      <c r="H203" s="5" t="s">
        <v>96</v>
      </c>
      <c r="I203" s="6" t="s">
        <v>40</v>
      </c>
      <c r="J203" s="5" t="s">
        <v>8585</v>
      </c>
      <c r="K203" s="5" t="s">
        <v>8586</v>
      </c>
      <c r="L203" s="6" t="s">
        <v>42</v>
      </c>
      <c r="M203" s="5" t="s">
        <v>995</v>
      </c>
      <c r="N203" s="5" t="s">
        <v>64</v>
      </c>
      <c r="O203" s="5" t="s">
        <v>9184</v>
      </c>
      <c r="P203" s="6">
        <v>8490.0</v>
      </c>
    </row>
    <row r="204" ht="56.25" customHeight="1">
      <c r="A204" s="5" t="s">
        <v>9179</v>
      </c>
      <c r="B204" s="6" t="str">
        <f>IMAGE("https://storage.googleapis.com/acdb/tops/TopsTexTopYshirtsLTwotone3.png")</f>
        <v/>
      </c>
      <c r="C204" s="5" t="s">
        <v>106</v>
      </c>
      <c r="D204" s="8" t="s">
        <v>36</v>
      </c>
      <c r="E204" s="6">
        <v>960.0</v>
      </c>
      <c r="F204" s="6">
        <v>240.0</v>
      </c>
      <c r="G204" s="5" t="s">
        <v>69</v>
      </c>
      <c r="H204" s="5" t="s">
        <v>106</v>
      </c>
      <c r="I204" s="6" t="s">
        <v>40</v>
      </c>
      <c r="J204" s="5" t="s">
        <v>8585</v>
      </c>
      <c r="K204" s="5" t="s">
        <v>8586</v>
      </c>
      <c r="L204" s="6" t="s">
        <v>42</v>
      </c>
      <c r="M204" s="5" t="s">
        <v>995</v>
      </c>
      <c r="N204" s="5" t="s">
        <v>64</v>
      </c>
      <c r="O204" s="5" t="s">
        <v>9186</v>
      </c>
      <c r="P204" s="6">
        <v>8491.0</v>
      </c>
    </row>
    <row r="205" ht="56.25" customHeight="1">
      <c r="A205" s="5" t="s">
        <v>9179</v>
      </c>
      <c r="B205" s="6" t="str">
        <f>IMAGE("https://storage.googleapis.com/acdb/tops/TopsTexTopYshirtsLTwotone4.png")</f>
        <v/>
      </c>
      <c r="C205" s="5" t="s">
        <v>114</v>
      </c>
      <c r="D205" s="8" t="s">
        <v>36</v>
      </c>
      <c r="E205" s="6">
        <v>960.0</v>
      </c>
      <c r="F205" s="6">
        <v>240.0</v>
      </c>
      <c r="G205" s="5" t="s">
        <v>114</v>
      </c>
      <c r="H205" s="5" t="s">
        <v>96</v>
      </c>
      <c r="I205" s="6" t="s">
        <v>40</v>
      </c>
      <c r="J205" s="5" t="s">
        <v>8585</v>
      </c>
      <c r="K205" s="5" t="s">
        <v>8586</v>
      </c>
      <c r="L205" s="6" t="s">
        <v>42</v>
      </c>
      <c r="M205" s="5" t="s">
        <v>995</v>
      </c>
      <c r="N205" s="5" t="s">
        <v>64</v>
      </c>
      <c r="O205" s="5" t="s">
        <v>9188</v>
      </c>
      <c r="P205" s="6">
        <v>8492.0</v>
      </c>
    </row>
    <row r="206" ht="56.25" customHeight="1">
      <c r="A206" s="5" t="s">
        <v>9179</v>
      </c>
      <c r="B206" s="6" t="str">
        <f>IMAGE("https://storage.googleapis.com/acdb/tops/TopsTexTopYshirtsLTwotone5.png")</f>
        <v/>
      </c>
      <c r="C206" s="5" t="s">
        <v>95</v>
      </c>
      <c r="D206" s="8" t="s">
        <v>36</v>
      </c>
      <c r="E206" s="6">
        <v>960.0</v>
      </c>
      <c r="F206" s="6">
        <v>240.0</v>
      </c>
      <c r="G206" s="5" t="s">
        <v>95</v>
      </c>
      <c r="H206" s="5" t="s">
        <v>54</v>
      </c>
      <c r="I206" s="6" t="s">
        <v>40</v>
      </c>
      <c r="J206" s="5" t="s">
        <v>8585</v>
      </c>
      <c r="K206" s="5" t="s">
        <v>8586</v>
      </c>
      <c r="L206" s="6" t="s">
        <v>42</v>
      </c>
      <c r="M206" s="5" t="s">
        <v>995</v>
      </c>
      <c r="N206" s="5" t="s">
        <v>64</v>
      </c>
      <c r="O206" s="5" t="s">
        <v>9191</v>
      </c>
      <c r="P206" s="6">
        <v>8493.0</v>
      </c>
    </row>
    <row r="207" ht="56.25" customHeight="1">
      <c r="A207" s="5" t="s">
        <v>9179</v>
      </c>
      <c r="B207" s="6" t="str">
        <f>IMAGE("https://storage.googleapis.com/acdb/tops/TopsTexTopYshirtsLTwotone1.png")</f>
        <v/>
      </c>
      <c r="C207" s="5" t="s">
        <v>52</v>
      </c>
      <c r="D207" s="8" t="s">
        <v>36</v>
      </c>
      <c r="E207" s="6">
        <v>960.0</v>
      </c>
      <c r="F207" s="6">
        <v>240.0</v>
      </c>
      <c r="G207" s="5" t="s">
        <v>52</v>
      </c>
      <c r="H207" s="5" t="s">
        <v>39</v>
      </c>
      <c r="I207" s="6" t="s">
        <v>40</v>
      </c>
      <c r="J207" s="5" t="s">
        <v>8585</v>
      </c>
      <c r="K207" s="5" t="s">
        <v>8586</v>
      </c>
      <c r="L207" s="6" t="s">
        <v>42</v>
      </c>
      <c r="M207" s="5" t="s">
        <v>995</v>
      </c>
      <c r="N207" s="5" t="s">
        <v>64</v>
      </c>
      <c r="O207" s="5" t="s">
        <v>9194</v>
      </c>
      <c r="P207" s="6">
        <v>8489.0</v>
      </c>
    </row>
    <row r="208" ht="56.25" customHeight="1">
      <c r="A208" s="5" t="s">
        <v>9195</v>
      </c>
      <c r="B208" s="6" t="str">
        <f>IMAGE("https://storage.googleapis.com/acdb/tops/TopsTexTopTshirtsLMulti2.png")</f>
        <v/>
      </c>
      <c r="C208" s="5" t="s">
        <v>9196</v>
      </c>
      <c r="D208" s="8" t="s">
        <v>36</v>
      </c>
      <c r="E208" s="6">
        <v>1200.0</v>
      </c>
      <c r="F208" s="6">
        <v>300.0</v>
      </c>
      <c r="G208" s="5" t="s">
        <v>57</v>
      </c>
      <c r="H208" s="5" t="s">
        <v>52</v>
      </c>
      <c r="I208" s="6" t="s">
        <v>40</v>
      </c>
      <c r="J208" s="5" t="s">
        <v>8585</v>
      </c>
      <c r="K208" s="5" t="s">
        <v>8632</v>
      </c>
      <c r="L208" s="6" t="s">
        <v>42</v>
      </c>
      <c r="M208" s="5" t="s">
        <v>1059</v>
      </c>
      <c r="N208" s="5" t="s">
        <v>64</v>
      </c>
      <c r="O208" s="5" t="s">
        <v>9198</v>
      </c>
      <c r="P208" s="6">
        <v>7640.0</v>
      </c>
    </row>
    <row r="209" ht="56.25" customHeight="1">
      <c r="A209" s="5" t="s">
        <v>9195</v>
      </c>
      <c r="B209" s="6" t="str">
        <f>IMAGE("https://storage.googleapis.com/acdb/tops/TopsTexTopTshirtsLMulti3.png")</f>
        <v/>
      </c>
      <c r="C209" s="5" t="s">
        <v>9199</v>
      </c>
      <c r="D209" s="8" t="s">
        <v>36</v>
      </c>
      <c r="E209" s="6">
        <v>1200.0</v>
      </c>
      <c r="F209" s="6">
        <v>300.0</v>
      </c>
      <c r="G209" s="5" t="s">
        <v>69</v>
      </c>
      <c r="H209" s="5" t="s">
        <v>54</v>
      </c>
      <c r="I209" s="6" t="s">
        <v>40</v>
      </c>
      <c r="J209" s="5" t="s">
        <v>8585</v>
      </c>
      <c r="K209" s="5" t="s">
        <v>8632</v>
      </c>
      <c r="L209" s="6" t="s">
        <v>42</v>
      </c>
      <c r="M209" s="5" t="s">
        <v>1059</v>
      </c>
      <c r="N209" s="5" t="s">
        <v>64</v>
      </c>
      <c r="O209" s="5" t="s">
        <v>9201</v>
      </c>
      <c r="P209" s="6">
        <v>7641.0</v>
      </c>
    </row>
    <row r="210" ht="56.25" customHeight="1">
      <c r="A210" s="5" t="s">
        <v>9195</v>
      </c>
      <c r="B210" s="6" t="str">
        <f>IMAGE("https://storage.googleapis.com/acdb/tops/TopsTexTopTshirtsLMulti4.png")</f>
        <v/>
      </c>
      <c r="C210" s="5" t="s">
        <v>9203</v>
      </c>
      <c r="D210" s="8" t="s">
        <v>36</v>
      </c>
      <c r="E210" s="6">
        <v>1200.0</v>
      </c>
      <c r="F210" s="6">
        <v>300.0</v>
      </c>
      <c r="G210" s="5" t="s">
        <v>39</v>
      </c>
      <c r="H210" s="5" t="s">
        <v>54</v>
      </c>
      <c r="I210" s="6" t="s">
        <v>40</v>
      </c>
      <c r="J210" s="5" t="s">
        <v>8585</v>
      </c>
      <c r="K210" s="5" t="s">
        <v>8632</v>
      </c>
      <c r="L210" s="6" t="s">
        <v>42</v>
      </c>
      <c r="M210" s="5" t="s">
        <v>1059</v>
      </c>
      <c r="N210" s="5" t="s">
        <v>64</v>
      </c>
      <c r="O210" s="5" t="s">
        <v>9205</v>
      </c>
      <c r="P210" s="6">
        <v>7642.0</v>
      </c>
    </row>
    <row r="211" ht="56.25" customHeight="1">
      <c r="A211" s="5" t="s">
        <v>9195</v>
      </c>
      <c r="B211" s="6" t="str">
        <f>IMAGE("https://storage.googleapis.com/acdb/tops/TopsTexTopTshirtsLMulti5.png")</f>
        <v/>
      </c>
      <c r="C211" s="5" t="s">
        <v>9207</v>
      </c>
      <c r="D211" s="8" t="s">
        <v>36</v>
      </c>
      <c r="E211" s="6">
        <v>1200.0</v>
      </c>
      <c r="F211" s="6">
        <v>300.0</v>
      </c>
      <c r="G211" s="5" t="s">
        <v>95</v>
      </c>
      <c r="H211" s="5" t="s">
        <v>83</v>
      </c>
      <c r="I211" s="6" t="s">
        <v>40</v>
      </c>
      <c r="J211" s="5" t="s">
        <v>8585</v>
      </c>
      <c r="K211" s="5" t="s">
        <v>8632</v>
      </c>
      <c r="L211" s="6" t="s">
        <v>42</v>
      </c>
      <c r="M211" s="5" t="s">
        <v>1059</v>
      </c>
      <c r="N211" s="5" t="s">
        <v>64</v>
      </c>
      <c r="O211" s="5" t="s">
        <v>9209</v>
      </c>
      <c r="P211" s="6">
        <v>7643.0</v>
      </c>
    </row>
    <row r="212" ht="56.25" customHeight="1">
      <c r="A212" s="5" t="s">
        <v>9195</v>
      </c>
      <c r="B212" s="6" t="str">
        <f>IMAGE("https://storage.googleapis.com/acdb/tops/TopsTexTopTshirtsLMulti1.png")</f>
        <v/>
      </c>
      <c r="C212" s="5" t="s">
        <v>9211</v>
      </c>
      <c r="D212" s="8" t="s">
        <v>36</v>
      </c>
      <c r="E212" s="6">
        <v>1200.0</v>
      </c>
      <c r="F212" s="6">
        <v>300.0</v>
      </c>
      <c r="G212" s="5" t="s">
        <v>57</v>
      </c>
      <c r="H212" s="5" t="s">
        <v>68</v>
      </c>
      <c r="I212" s="6" t="s">
        <v>40</v>
      </c>
      <c r="J212" s="5" t="s">
        <v>8585</v>
      </c>
      <c r="K212" s="5" t="s">
        <v>8632</v>
      </c>
      <c r="L212" s="6" t="s">
        <v>42</v>
      </c>
      <c r="M212" s="5" t="s">
        <v>1059</v>
      </c>
      <c r="N212" s="5" t="s">
        <v>64</v>
      </c>
      <c r="O212" s="5" t="s">
        <v>9212</v>
      </c>
      <c r="P212" s="6">
        <v>7639.0</v>
      </c>
    </row>
    <row r="213" ht="56.25" customHeight="1">
      <c r="A213" s="5" t="s">
        <v>9195</v>
      </c>
      <c r="B213" s="6" t="str">
        <f>IMAGE("https://storage.googleapis.com/acdb/tops/TopsTexTopTshirtsLMulti0.png")</f>
        <v/>
      </c>
      <c r="C213" s="5" t="s">
        <v>9214</v>
      </c>
      <c r="D213" s="8" t="s">
        <v>36</v>
      </c>
      <c r="E213" s="6">
        <v>1200.0</v>
      </c>
      <c r="F213" s="6">
        <v>300.0</v>
      </c>
      <c r="G213" s="5" t="s">
        <v>68</v>
      </c>
      <c r="H213" s="5" t="s">
        <v>52</v>
      </c>
      <c r="I213" s="6" t="s">
        <v>40</v>
      </c>
      <c r="J213" s="5" t="s">
        <v>8585</v>
      </c>
      <c r="K213" s="5" t="s">
        <v>8632</v>
      </c>
      <c r="L213" s="6" t="s">
        <v>42</v>
      </c>
      <c r="M213" s="5" t="s">
        <v>1059</v>
      </c>
      <c r="N213" s="5" t="s">
        <v>64</v>
      </c>
      <c r="O213" s="5" t="s">
        <v>9216</v>
      </c>
      <c r="P213" s="6">
        <v>4613.0</v>
      </c>
    </row>
    <row r="214" ht="56.25" customHeight="1">
      <c r="A214" s="5" t="s">
        <v>9217</v>
      </c>
      <c r="B214" s="6" t="str">
        <f>IMAGE("https://storage.googleapis.com/acdb/tops/TopsTexTopYshirtsLComedian0.png")</f>
        <v/>
      </c>
      <c r="C214" s="5" t="s">
        <v>142</v>
      </c>
      <c r="D214" s="8" t="s">
        <v>36</v>
      </c>
      <c r="E214" s="6">
        <v>2500.0</v>
      </c>
      <c r="F214" s="6">
        <v>625.0</v>
      </c>
      <c r="G214" s="5" t="s">
        <v>142</v>
      </c>
      <c r="H214" s="5" t="s">
        <v>96</v>
      </c>
      <c r="I214" s="6" t="s">
        <v>40</v>
      </c>
      <c r="J214" s="5" t="s">
        <v>8585</v>
      </c>
      <c r="K214" s="5" t="s">
        <v>8586</v>
      </c>
      <c r="L214" s="6" t="s">
        <v>42</v>
      </c>
      <c r="M214" s="5" t="s">
        <v>612</v>
      </c>
      <c r="N214" s="5" t="s">
        <v>64</v>
      </c>
      <c r="O214" s="5" t="s">
        <v>9219</v>
      </c>
      <c r="P214" s="6">
        <v>3197.0</v>
      </c>
    </row>
    <row r="215" ht="56.25" customHeight="1">
      <c r="A215" s="5" t="s">
        <v>9217</v>
      </c>
      <c r="B215" s="6" t="str">
        <f>IMAGE("https://storage.googleapis.com/acdb/tops/TopsTexTopYshirtsLComedian1.png")</f>
        <v/>
      </c>
      <c r="C215" s="5" t="s">
        <v>68</v>
      </c>
      <c r="D215" s="8" t="s">
        <v>36</v>
      </c>
      <c r="E215" s="6">
        <v>2500.0</v>
      </c>
      <c r="F215" s="6">
        <v>625.0</v>
      </c>
      <c r="G215" s="5" t="s">
        <v>68</v>
      </c>
      <c r="H215" s="5" t="s">
        <v>106</v>
      </c>
      <c r="I215" s="6" t="s">
        <v>40</v>
      </c>
      <c r="J215" s="5" t="s">
        <v>8585</v>
      </c>
      <c r="K215" s="5" t="s">
        <v>8586</v>
      </c>
      <c r="L215" s="6" t="s">
        <v>42</v>
      </c>
      <c r="M215" s="5" t="s">
        <v>612</v>
      </c>
      <c r="N215" s="5" t="s">
        <v>64</v>
      </c>
      <c r="O215" s="5" t="s">
        <v>9222</v>
      </c>
      <c r="P215" s="6">
        <v>8097.0</v>
      </c>
    </row>
    <row r="216" ht="56.25" customHeight="1">
      <c r="A216" s="5" t="s">
        <v>9217</v>
      </c>
      <c r="B216" s="6" t="str">
        <f>IMAGE("https://storage.googleapis.com/acdb/tops/TopsTexTopYshirtsLComedian2.png")</f>
        <v/>
      </c>
      <c r="C216" s="5" t="s">
        <v>52</v>
      </c>
      <c r="D216" s="8" t="s">
        <v>36</v>
      </c>
      <c r="E216" s="6">
        <v>2500.0</v>
      </c>
      <c r="F216" s="6">
        <v>625.0</v>
      </c>
      <c r="G216" s="5" t="s">
        <v>52</v>
      </c>
      <c r="H216" s="5" t="s">
        <v>142</v>
      </c>
      <c r="I216" s="6" t="s">
        <v>40</v>
      </c>
      <c r="J216" s="5" t="s">
        <v>8585</v>
      </c>
      <c r="K216" s="5" t="s">
        <v>8586</v>
      </c>
      <c r="L216" s="6" t="s">
        <v>42</v>
      </c>
      <c r="M216" s="5" t="s">
        <v>612</v>
      </c>
      <c r="N216" s="5" t="s">
        <v>64</v>
      </c>
      <c r="O216" s="5" t="s">
        <v>9224</v>
      </c>
      <c r="P216" s="6">
        <v>8098.0</v>
      </c>
    </row>
    <row r="217" ht="56.25" customHeight="1">
      <c r="A217" s="5" t="s">
        <v>9217</v>
      </c>
      <c r="B217" s="6" t="str">
        <f>IMAGE("https://storage.googleapis.com/acdb/tops/TopsTexTopYshirtsLComedian3.png")</f>
        <v/>
      </c>
      <c r="C217" s="5" t="s">
        <v>114</v>
      </c>
      <c r="D217" s="8" t="s">
        <v>36</v>
      </c>
      <c r="E217" s="6">
        <v>2500.0</v>
      </c>
      <c r="F217" s="6">
        <v>625.0</v>
      </c>
      <c r="G217" s="5" t="s">
        <v>114</v>
      </c>
      <c r="H217" s="5" t="s">
        <v>96</v>
      </c>
      <c r="I217" s="6" t="s">
        <v>40</v>
      </c>
      <c r="J217" s="5" t="s">
        <v>8585</v>
      </c>
      <c r="K217" s="5" t="s">
        <v>8586</v>
      </c>
      <c r="L217" s="6" t="s">
        <v>42</v>
      </c>
      <c r="M217" s="5" t="s">
        <v>612</v>
      </c>
      <c r="N217" s="5" t="s">
        <v>64</v>
      </c>
      <c r="O217" s="5" t="s">
        <v>9227</v>
      </c>
      <c r="P217" s="6">
        <v>8099.0</v>
      </c>
    </row>
    <row r="218" ht="56.25" customHeight="1">
      <c r="A218" s="5" t="s">
        <v>9217</v>
      </c>
      <c r="B218" s="6" t="str">
        <f>IMAGE("https://storage.googleapis.com/acdb/tops/TopsTexTopYshirtsLComedian4.png")</f>
        <v/>
      </c>
      <c r="C218" s="5" t="s">
        <v>96</v>
      </c>
      <c r="D218" s="8" t="s">
        <v>36</v>
      </c>
      <c r="E218" s="6">
        <v>2500.0</v>
      </c>
      <c r="F218" s="6">
        <v>625.0</v>
      </c>
      <c r="G218" s="5" t="s">
        <v>96</v>
      </c>
      <c r="H218" s="5" t="s">
        <v>83</v>
      </c>
      <c r="I218" s="6" t="s">
        <v>40</v>
      </c>
      <c r="J218" s="5" t="s">
        <v>8585</v>
      </c>
      <c r="K218" s="5" t="s">
        <v>8586</v>
      </c>
      <c r="L218" s="6" t="s">
        <v>42</v>
      </c>
      <c r="M218" s="5" t="s">
        <v>612</v>
      </c>
      <c r="N218" s="5" t="s">
        <v>64</v>
      </c>
      <c r="O218" s="5" t="s">
        <v>9230</v>
      </c>
      <c r="P218" s="6">
        <v>8100.0</v>
      </c>
    </row>
    <row r="219" ht="56.25" customHeight="1">
      <c r="A219" s="5" t="s">
        <v>9217</v>
      </c>
      <c r="B219" s="6" t="str">
        <f>IMAGE("https://storage.googleapis.com/acdb/tops/TopsTexTopYshirtsLComedian5.png")</f>
        <v/>
      </c>
      <c r="C219" s="5" t="s">
        <v>106</v>
      </c>
      <c r="D219" s="8" t="s">
        <v>36</v>
      </c>
      <c r="E219" s="6">
        <v>2500.0</v>
      </c>
      <c r="F219" s="6">
        <v>625.0</v>
      </c>
      <c r="G219" s="5" t="s">
        <v>106</v>
      </c>
      <c r="H219" s="5" t="s">
        <v>52</v>
      </c>
      <c r="I219" s="6" t="s">
        <v>40</v>
      </c>
      <c r="J219" s="5" t="s">
        <v>8585</v>
      </c>
      <c r="K219" s="5" t="s">
        <v>8586</v>
      </c>
      <c r="L219" s="6" t="s">
        <v>42</v>
      </c>
      <c r="M219" s="5" t="s">
        <v>612</v>
      </c>
      <c r="N219" s="5" t="s">
        <v>64</v>
      </c>
      <c r="O219" s="5" t="s">
        <v>9232</v>
      </c>
      <c r="P219" s="6">
        <v>8101.0</v>
      </c>
    </row>
    <row r="220" ht="56.25" customHeight="1">
      <c r="A220" s="5" t="s">
        <v>9217</v>
      </c>
      <c r="B220" s="6" t="str">
        <f>IMAGE("https://storage.googleapis.com/acdb/tops/TopsTexTopYshirtsLComedian6.png")</f>
        <v/>
      </c>
      <c r="C220" s="5" t="s">
        <v>819</v>
      </c>
      <c r="D220" s="8" t="s">
        <v>36</v>
      </c>
      <c r="E220" s="6">
        <v>2500.0</v>
      </c>
      <c r="F220" s="6">
        <v>625.0</v>
      </c>
      <c r="G220" s="5" t="s">
        <v>96</v>
      </c>
      <c r="H220" s="5" t="s">
        <v>68</v>
      </c>
      <c r="I220" s="6" t="s">
        <v>40</v>
      </c>
      <c r="J220" s="5" t="s">
        <v>8585</v>
      </c>
      <c r="K220" s="5" t="s">
        <v>8586</v>
      </c>
      <c r="L220" s="6" t="s">
        <v>42</v>
      </c>
      <c r="M220" s="5" t="s">
        <v>612</v>
      </c>
      <c r="N220" s="5" t="s">
        <v>64</v>
      </c>
      <c r="O220" s="5" t="s">
        <v>9234</v>
      </c>
      <c r="P220" s="6">
        <v>8102.0</v>
      </c>
    </row>
    <row r="221" ht="56.25" customHeight="1">
      <c r="A221" s="5" t="s">
        <v>9217</v>
      </c>
      <c r="B221" s="6" t="str">
        <f>IMAGE("https://storage.googleapis.com/acdb/tops/TopsTexTopYshirtsLComedian7.png")</f>
        <v/>
      </c>
      <c r="C221" s="5" t="s">
        <v>57</v>
      </c>
      <c r="D221" s="8" t="s">
        <v>36</v>
      </c>
      <c r="E221" s="6">
        <v>2500.0</v>
      </c>
      <c r="F221" s="6">
        <v>625.0</v>
      </c>
      <c r="G221" s="5" t="s">
        <v>57</v>
      </c>
      <c r="H221" s="5" t="s">
        <v>96</v>
      </c>
      <c r="I221" s="6" t="s">
        <v>40</v>
      </c>
      <c r="J221" s="5" t="s">
        <v>8585</v>
      </c>
      <c r="K221" s="5" t="s">
        <v>8586</v>
      </c>
      <c r="L221" s="6" t="s">
        <v>42</v>
      </c>
      <c r="M221" s="5" t="s">
        <v>612</v>
      </c>
      <c r="N221" s="5" t="s">
        <v>64</v>
      </c>
      <c r="O221" s="5" t="s">
        <v>9236</v>
      </c>
      <c r="P221" s="6">
        <v>8103.0</v>
      </c>
    </row>
    <row r="222" ht="56.25" customHeight="1">
      <c r="A222" s="5" t="s">
        <v>9237</v>
      </c>
      <c r="B222" s="6" t="str">
        <f>IMAGE("https://storage.googleapis.com/acdb/tops/TopsTexTopCoatLCoverall0.png")</f>
        <v/>
      </c>
      <c r="C222" s="5" t="s">
        <v>2222</v>
      </c>
      <c r="D222" s="8" t="s">
        <v>36</v>
      </c>
      <c r="E222" s="6">
        <v>1120.0</v>
      </c>
      <c r="F222" s="6">
        <v>280.0</v>
      </c>
      <c r="G222" s="5" t="s">
        <v>96</v>
      </c>
      <c r="H222" s="5" t="s">
        <v>142</v>
      </c>
      <c r="I222" s="6" t="s">
        <v>40</v>
      </c>
      <c r="J222" s="5" t="s">
        <v>8585</v>
      </c>
      <c r="K222" s="5" t="s">
        <v>8632</v>
      </c>
      <c r="L222" s="6" t="s">
        <v>42</v>
      </c>
      <c r="M222" s="5" t="s">
        <v>995</v>
      </c>
      <c r="N222" s="5" t="s">
        <v>64</v>
      </c>
      <c r="O222" s="5" t="s">
        <v>9239</v>
      </c>
      <c r="P222" s="6">
        <v>3680.0</v>
      </c>
    </row>
    <row r="223" ht="56.25" customHeight="1">
      <c r="A223" s="5" t="s">
        <v>9237</v>
      </c>
      <c r="B223" s="6" t="str">
        <f>IMAGE("https://storage.googleapis.com/acdb/tops/TopsTexTopCoatLCoverall3.png")</f>
        <v/>
      </c>
      <c r="C223" s="5" t="s">
        <v>52</v>
      </c>
      <c r="D223" s="8" t="s">
        <v>36</v>
      </c>
      <c r="E223" s="6">
        <v>1120.0</v>
      </c>
      <c r="F223" s="6">
        <v>280.0</v>
      </c>
      <c r="G223" s="5" t="s">
        <v>52</v>
      </c>
      <c r="H223" s="5" t="s">
        <v>39</v>
      </c>
      <c r="I223" s="6" t="s">
        <v>40</v>
      </c>
      <c r="J223" s="5" t="s">
        <v>8585</v>
      </c>
      <c r="K223" s="5" t="s">
        <v>8632</v>
      </c>
      <c r="L223" s="6" t="s">
        <v>42</v>
      </c>
      <c r="M223" s="5" t="s">
        <v>995</v>
      </c>
      <c r="N223" s="5" t="s">
        <v>64</v>
      </c>
      <c r="O223" s="5" t="s">
        <v>9241</v>
      </c>
      <c r="P223" s="6">
        <v>9290.0</v>
      </c>
    </row>
    <row r="224" ht="56.25" customHeight="1">
      <c r="A224" s="5" t="s">
        <v>9237</v>
      </c>
      <c r="B224" s="6" t="str">
        <f>IMAGE("https://storage.googleapis.com/acdb/tops/TopsTexTopCoatLCoverall1.png")</f>
        <v/>
      </c>
      <c r="C224" s="5" t="s">
        <v>1187</v>
      </c>
      <c r="D224" s="8" t="s">
        <v>36</v>
      </c>
      <c r="E224" s="6">
        <v>1120.0</v>
      </c>
      <c r="F224" s="6">
        <v>280.0</v>
      </c>
      <c r="G224" s="5" t="s">
        <v>68</v>
      </c>
      <c r="H224" s="5" t="s">
        <v>38</v>
      </c>
      <c r="I224" s="6" t="s">
        <v>40</v>
      </c>
      <c r="J224" s="5" t="s">
        <v>8585</v>
      </c>
      <c r="K224" s="5" t="s">
        <v>8632</v>
      </c>
      <c r="L224" s="6" t="s">
        <v>42</v>
      </c>
      <c r="M224" s="5" t="s">
        <v>995</v>
      </c>
      <c r="N224" s="5" t="s">
        <v>64</v>
      </c>
      <c r="O224" s="5" t="s">
        <v>9244</v>
      </c>
      <c r="P224" s="6">
        <v>9288.0</v>
      </c>
    </row>
    <row r="225" ht="56.25" customHeight="1">
      <c r="A225" s="5" t="s">
        <v>9237</v>
      </c>
      <c r="B225" s="6" t="str">
        <f>IMAGE("https://storage.googleapis.com/acdb/tops/TopsTexTopCoatLCoverall2.png")</f>
        <v/>
      </c>
      <c r="C225" s="5" t="s">
        <v>38</v>
      </c>
      <c r="D225" s="8" t="s">
        <v>36</v>
      </c>
      <c r="E225" s="6">
        <v>1120.0</v>
      </c>
      <c r="F225" s="6">
        <v>280.0</v>
      </c>
      <c r="G225" s="5" t="s">
        <v>38</v>
      </c>
      <c r="H225" s="5" t="s">
        <v>39</v>
      </c>
      <c r="I225" s="6" t="s">
        <v>40</v>
      </c>
      <c r="J225" s="5" t="s">
        <v>8585</v>
      </c>
      <c r="K225" s="5" t="s">
        <v>8632</v>
      </c>
      <c r="L225" s="6" t="s">
        <v>42</v>
      </c>
      <c r="M225" s="5" t="s">
        <v>995</v>
      </c>
      <c r="N225" s="5" t="s">
        <v>64</v>
      </c>
      <c r="O225" s="5" t="s">
        <v>9246</v>
      </c>
      <c r="P225" s="6">
        <v>9289.0</v>
      </c>
    </row>
    <row r="226" ht="56.25" customHeight="1">
      <c r="A226" s="5" t="s">
        <v>9247</v>
      </c>
      <c r="B226" s="6" t="str">
        <f>IMAGE("https://storage.googleapis.com/acdb/tops/TopsTexTopYshirtsLCowboy0.png")</f>
        <v/>
      </c>
      <c r="C226" s="5" t="s">
        <v>57</v>
      </c>
      <c r="D226" s="8" t="s">
        <v>36</v>
      </c>
      <c r="E226" s="6">
        <v>2100.0</v>
      </c>
      <c r="F226" s="6">
        <v>525.0</v>
      </c>
      <c r="G226" s="5" t="s">
        <v>38</v>
      </c>
      <c r="H226" s="5" t="s">
        <v>68</v>
      </c>
      <c r="I226" s="6" t="s">
        <v>40</v>
      </c>
      <c r="J226" s="5" t="s">
        <v>8585</v>
      </c>
      <c r="K226" s="5" t="s">
        <v>8586</v>
      </c>
      <c r="L226" s="6" t="s">
        <v>42</v>
      </c>
      <c r="M226" s="5" t="s">
        <v>995</v>
      </c>
      <c r="N226" s="5" t="s">
        <v>64</v>
      </c>
      <c r="O226" s="5" t="s">
        <v>9249</v>
      </c>
      <c r="P226" s="6">
        <v>4576.0</v>
      </c>
    </row>
    <row r="227" ht="56.25" customHeight="1">
      <c r="A227" s="5" t="s">
        <v>9247</v>
      </c>
      <c r="B227" s="6" t="str">
        <f>IMAGE("https://storage.googleapis.com/acdb/tops/TopsTexTopYshirtsLCowboy1.png")</f>
        <v/>
      </c>
      <c r="C227" s="5" t="s">
        <v>52</v>
      </c>
      <c r="D227" s="8" t="s">
        <v>36</v>
      </c>
      <c r="E227" s="6">
        <v>2100.0</v>
      </c>
      <c r="F227" s="6">
        <v>525.0</v>
      </c>
      <c r="G227" s="5" t="s">
        <v>52</v>
      </c>
      <c r="H227" s="5" t="s">
        <v>39</v>
      </c>
      <c r="I227" s="6" t="s">
        <v>40</v>
      </c>
      <c r="J227" s="5" t="s">
        <v>8585</v>
      </c>
      <c r="K227" s="5" t="s">
        <v>8586</v>
      </c>
      <c r="L227" s="6" t="s">
        <v>42</v>
      </c>
      <c r="M227" s="5" t="s">
        <v>995</v>
      </c>
      <c r="N227" s="5" t="s">
        <v>64</v>
      </c>
      <c r="O227" s="5" t="s">
        <v>9251</v>
      </c>
      <c r="P227" s="6">
        <v>9451.0</v>
      </c>
    </row>
    <row r="228" ht="56.25" customHeight="1">
      <c r="A228" s="5" t="s">
        <v>9247</v>
      </c>
      <c r="B228" s="6" t="str">
        <f>IMAGE("https://storage.googleapis.com/acdb/tops/TopsTexTopYshirtsLCowboy2.png")</f>
        <v/>
      </c>
      <c r="C228" s="5" t="s">
        <v>68</v>
      </c>
      <c r="D228" s="8" t="s">
        <v>36</v>
      </c>
      <c r="E228" s="6">
        <v>2100.0</v>
      </c>
      <c r="F228" s="6">
        <v>525.0</v>
      </c>
      <c r="G228" s="5" t="s">
        <v>68</v>
      </c>
      <c r="H228" s="5" t="s">
        <v>54</v>
      </c>
      <c r="I228" s="6" t="s">
        <v>40</v>
      </c>
      <c r="J228" s="5" t="s">
        <v>8585</v>
      </c>
      <c r="K228" s="5" t="s">
        <v>8586</v>
      </c>
      <c r="L228" s="6" t="s">
        <v>42</v>
      </c>
      <c r="M228" s="5" t="s">
        <v>995</v>
      </c>
      <c r="N228" s="5" t="s">
        <v>64</v>
      </c>
      <c r="O228" s="5" t="s">
        <v>9253</v>
      </c>
      <c r="P228" s="6">
        <v>9452.0</v>
      </c>
    </row>
    <row r="229" ht="56.25" customHeight="1">
      <c r="A229" s="5" t="s">
        <v>9247</v>
      </c>
      <c r="B229" s="6" t="str">
        <f>IMAGE("https://storage.googleapis.com/acdb/tops/TopsTexTopYshirtsLCowboy3.png")</f>
        <v/>
      </c>
      <c r="C229" s="5" t="s">
        <v>83</v>
      </c>
      <c r="D229" s="8" t="s">
        <v>36</v>
      </c>
      <c r="E229" s="6">
        <v>2100.0</v>
      </c>
      <c r="F229" s="6">
        <v>525.0</v>
      </c>
      <c r="G229" s="5" t="s">
        <v>83</v>
      </c>
      <c r="H229" s="5" t="s">
        <v>96</v>
      </c>
      <c r="I229" s="6" t="s">
        <v>40</v>
      </c>
      <c r="J229" s="5" t="s">
        <v>8585</v>
      </c>
      <c r="K229" s="5" t="s">
        <v>8586</v>
      </c>
      <c r="L229" s="6" t="s">
        <v>42</v>
      </c>
      <c r="M229" s="5" t="s">
        <v>995</v>
      </c>
      <c r="N229" s="5" t="s">
        <v>64</v>
      </c>
      <c r="O229" s="5" t="s">
        <v>9256</v>
      </c>
      <c r="P229" s="6">
        <v>9453.0</v>
      </c>
    </row>
    <row r="230" ht="56.25" customHeight="1">
      <c r="A230" s="5" t="s">
        <v>9247</v>
      </c>
      <c r="B230" s="6" t="str">
        <f>IMAGE("https://storage.googleapis.com/acdb/tops/TopsTexTopYshirtsLCowboy4.png")</f>
        <v/>
      </c>
      <c r="C230" s="5" t="s">
        <v>39</v>
      </c>
      <c r="D230" s="8" t="s">
        <v>36</v>
      </c>
      <c r="E230" s="6">
        <v>2100.0</v>
      </c>
      <c r="F230" s="6">
        <v>525.0</v>
      </c>
      <c r="G230" s="5" t="s">
        <v>142</v>
      </c>
      <c r="H230" s="5" t="s">
        <v>39</v>
      </c>
      <c r="I230" s="6" t="s">
        <v>40</v>
      </c>
      <c r="J230" s="5" t="s">
        <v>8585</v>
      </c>
      <c r="K230" s="5" t="s">
        <v>8586</v>
      </c>
      <c r="L230" s="6" t="s">
        <v>42</v>
      </c>
      <c r="M230" s="5" t="s">
        <v>995</v>
      </c>
      <c r="N230" s="5" t="s">
        <v>64</v>
      </c>
      <c r="O230" s="5" t="s">
        <v>9258</v>
      </c>
      <c r="P230" s="6">
        <v>9454.0</v>
      </c>
    </row>
    <row r="231" ht="56.25" customHeight="1">
      <c r="A231" s="5" t="s">
        <v>9259</v>
      </c>
      <c r="B231" s="6" t="str">
        <f>IMAGE("https://storage.googleapis.com/acdb/tops/TopsTexTopTshirtsHCycle1.png")</f>
        <v/>
      </c>
      <c r="C231" s="5" t="s">
        <v>9260</v>
      </c>
      <c r="D231" s="8" t="s">
        <v>36</v>
      </c>
      <c r="E231" s="6">
        <v>1200.0</v>
      </c>
      <c r="F231" s="6">
        <v>300.0</v>
      </c>
      <c r="G231" s="5" t="s">
        <v>68</v>
      </c>
      <c r="H231" s="5" t="s">
        <v>54</v>
      </c>
      <c r="I231" s="6" t="s">
        <v>40</v>
      </c>
      <c r="J231" s="5" t="s">
        <v>8585</v>
      </c>
      <c r="K231" s="5" t="s">
        <v>8586</v>
      </c>
      <c r="L231" s="6" t="s">
        <v>42</v>
      </c>
      <c r="M231" s="5" t="s">
        <v>8746</v>
      </c>
      <c r="N231" s="5" t="s">
        <v>64</v>
      </c>
      <c r="O231" s="5" t="s">
        <v>9262</v>
      </c>
      <c r="P231" s="6">
        <v>9386.0</v>
      </c>
    </row>
    <row r="232" ht="56.25" customHeight="1">
      <c r="A232" s="5" t="s">
        <v>9259</v>
      </c>
      <c r="B232" s="6" t="str">
        <f>IMAGE("https://storage.googleapis.com/acdb/tops/TopsTexTopTshirtsHCycle2.png")</f>
        <v/>
      </c>
      <c r="C232" s="5" t="s">
        <v>2093</v>
      </c>
      <c r="D232" s="8" t="s">
        <v>36</v>
      </c>
      <c r="E232" s="6">
        <v>1200.0</v>
      </c>
      <c r="F232" s="6">
        <v>300.0</v>
      </c>
      <c r="G232" s="5" t="s">
        <v>52</v>
      </c>
      <c r="H232" s="5" t="s">
        <v>54</v>
      </c>
      <c r="I232" s="6" t="s">
        <v>40</v>
      </c>
      <c r="J232" s="5" t="s">
        <v>8585</v>
      </c>
      <c r="K232" s="5" t="s">
        <v>8586</v>
      </c>
      <c r="L232" s="6" t="s">
        <v>42</v>
      </c>
      <c r="M232" s="5" t="s">
        <v>8746</v>
      </c>
      <c r="N232" s="5" t="s">
        <v>64</v>
      </c>
      <c r="O232" s="5" t="s">
        <v>9264</v>
      </c>
      <c r="P232" s="6">
        <v>9387.0</v>
      </c>
    </row>
    <row r="233" ht="56.25" customHeight="1">
      <c r="A233" s="5" t="s">
        <v>9259</v>
      </c>
      <c r="B233" s="6" t="str">
        <f>IMAGE("https://storage.googleapis.com/acdb/tops/TopsTexTopTshirtsHCycle3.png")</f>
        <v/>
      </c>
      <c r="C233" s="5" t="s">
        <v>9265</v>
      </c>
      <c r="D233" s="8" t="s">
        <v>36</v>
      </c>
      <c r="E233" s="6">
        <v>1200.0</v>
      </c>
      <c r="F233" s="6">
        <v>300.0</v>
      </c>
      <c r="G233" s="5" t="s">
        <v>54</v>
      </c>
      <c r="H233" s="5" t="s">
        <v>114</v>
      </c>
      <c r="I233" s="6" t="s">
        <v>40</v>
      </c>
      <c r="J233" s="5" t="s">
        <v>8585</v>
      </c>
      <c r="K233" s="5" t="s">
        <v>8586</v>
      </c>
      <c r="L233" s="6" t="s">
        <v>42</v>
      </c>
      <c r="M233" s="5" t="s">
        <v>8746</v>
      </c>
      <c r="N233" s="5" t="s">
        <v>64</v>
      </c>
      <c r="O233" s="5" t="s">
        <v>9267</v>
      </c>
      <c r="P233" s="6">
        <v>9388.0</v>
      </c>
    </row>
    <row r="234" ht="56.25" customHeight="1">
      <c r="A234" s="5" t="s">
        <v>9259</v>
      </c>
      <c r="B234" s="6" t="str">
        <f>IMAGE("https://storage.googleapis.com/acdb/tops/TopsTexTopTshirtsHCycle4.png")</f>
        <v/>
      </c>
      <c r="C234" s="5" t="s">
        <v>9268</v>
      </c>
      <c r="D234" s="8" t="s">
        <v>36</v>
      </c>
      <c r="E234" s="6">
        <v>1200.0</v>
      </c>
      <c r="F234" s="6">
        <v>300.0</v>
      </c>
      <c r="G234" s="5" t="s">
        <v>96</v>
      </c>
      <c r="H234" s="5" t="s">
        <v>52</v>
      </c>
      <c r="I234" s="6" t="s">
        <v>40</v>
      </c>
      <c r="J234" s="5" t="s">
        <v>8585</v>
      </c>
      <c r="K234" s="5" t="s">
        <v>8586</v>
      </c>
      <c r="L234" s="6" t="s">
        <v>42</v>
      </c>
      <c r="M234" s="5" t="s">
        <v>8746</v>
      </c>
      <c r="N234" s="5" t="s">
        <v>64</v>
      </c>
      <c r="O234" s="5" t="s">
        <v>9270</v>
      </c>
      <c r="P234" s="6">
        <v>9389.0</v>
      </c>
    </row>
    <row r="235" ht="56.25" customHeight="1">
      <c r="A235" s="5" t="s">
        <v>9259</v>
      </c>
      <c r="B235" s="6" t="str">
        <f>IMAGE("https://storage.googleapis.com/acdb/tops/TopsTexTopTshirtsHCycle0.png")</f>
        <v/>
      </c>
      <c r="C235" s="5" t="s">
        <v>9272</v>
      </c>
      <c r="D235" s="8" t="s">
        <v>36</v>
      </c>
      <c r="E235" s="6">
        <v>1200.0</v>
      </c>
      <c r="F235" s="6">
        <v>300.0</v>
      </c>
      <c r="G235" s="5" t="s">
        <v>57</v>
      </c>
      <c r="H235" s="5" t="s">
        <v>68</v>
      </c>
      <c r="I235" s="6" t="s">
        <v>40</v>
      </c>
      <c r="J235" s="5" t="s">
        <v>8585</v>
      </c>
      <c r="K235" s="5" t="s">
        <v>8586</v>
      </c>
      <c r="L235" s="6" t="s">
        <v>42</v>
      </c>
      <c r="M235" s="5" t="s">
        <v>8746</v>
      </c>
      <c r="N235" s="5" t="s">
        <v>64</v>
      </c>
      <c r="O235" s="5" t="s">
        <v>9273</v>
      </c>
      <c r="P235" s="6">
        <v>3258.0</v>
      </c>
    </row>
    <row r="236" ht="56.25" customHeight="1">
      <c r="A236" s="5" t="s">
        <v>9259</v>
      </c>
      <c r="B236" s="6" t="str">
        <f>IMAGE("https://storage.googleapis.com/acdb/tops/TopsTexTopTshirtsHCycle5.png")</f>
        <v/>
      </c>
      <c r="C236" s="5" t="s">
        <v>9274</v>
      </c>
      <c r="D236" s="8" t="s">
        <v>36</v>
      </c>
      <c r="E236" s="6">
        <v>1200.0</v>
      </c>
      <c r="F236" s="6">
        <v>300.0</v>
      </c>
      <c r="G236" s="5" t="s">
        <v>142</v>
      </c>
      <c r="H236" s="5" t="s">
        <v>95</v>
      </c>
      <c r="I236" s="6" t="s">
        <v>40</v>
      </c>
      <c r="J236" s="5" t="s">
        <v>8585</v>
      </c>
      <c r="K236" s="5" t="s">
        <v>8586</v>
      </c>
      <c r="L236" s="6" t="s">
        <v>42</v>
      </c>
      <c r="M236" s="5" t="s">
        <v>8746</v>
      </c>
      <c r="N236" s="5" t="s">
        <v>64</v>
      </c>
      <c r="O236" s="5" t="s">
        <v>9275</v>
      </c>
      <c r="P236" s="6">
        <v>9390.0</v>
      </c>
    </row>
    <row r="237" ht="56.25" customHeight="1">
      <c r="A237" s="5" t="s">
        <v>9259</v>
      </c>
      <c r="B237" s="6" t="str">
        <f>IMAGE("https://storage.googleapis.com/acdb/tops/TopsTexTopTshirtsHCycle6.png")</f>
        <v/>
      </c>
      <c r="C237" s="5" t="s">
        <v>9277</v>
      </c>
      <c r="D237" s="8" t="s">
        <v>36</v>
      </c>
      <c r="E237" s="6">
        <v>1200.0</v>
      </c>
      <c r="F237" s="6">
        <v>300.0</v>
      </c>
      <c r="G237" s="5" t="s">
        <v>83</v>
      </c>
      <c r="H237" s="5" t="s">
        <v>106</v>
      </c>
      <c r="I237" s="6" t="s">
        <v>40</v>
      </c>
      <c r="J237" s="5" t="s">
        <v>8585</v>
      </c>
      <c r="K237" s="5" t="s">
        <v>8586</v>
      </c>
      <c r="L237" s="6" t="s">
        <v>42</v>
      </c>
      <c r="M237" s="5" t="s">
        <v>8746</v>
      </c>
      <c r="N237" s="5" t="s">
        <v>64</v>
      </c>
      <c r="O237" s="5" t="s">
        <v>9279</v>
      </c>
      <c r="P237" s="6">
        <v>9391.0</v>
      </c>
    </row>
    <row r="238" ht="56.25" customHeight="1">
      <c r="A238" s="5" t="s">
        <v>9259</v>
      </c>
      <c r="B238" s="6" t="str">
        <f>IMAGE("https://storage.googleapis.com/acdb/tops/TopsTexTopTshirtsHCycle7.png")</f>
        <v/>
      </c>
      <c r="C238" s="5" t="s">
        <v>7965</v>
      </c>
      <c r="D238" s="8" t="s">
        <v>36</v>
      </c>
      <c r="E238" s="6">
        <v>1200.0</v>
      </c>
      <c r="F238" s="6">
        <v>300.0</v>
      </c>
      <c r="G238" s="5" t="s">
        <v>69</v>
      </c>
      <c r="H238" s="5" t="s">
        <v>106</v>
      </c>
      <c r="I238" s="6" t="s">
        <v>40</v>
      </c>
      <c r="J238" s="5" t="s">
        <v>8585</v>
      </c>
      <c r="K238" s="5" t="s">
        <v>8586</v>
      </c>
      <c r="L238" s="6" t="s">
        <v>42</v>
      </c>
      <c r="M238" s="5" t="s">
        <v>8746</v>
      </c>
      <c r="N238" s="5" t="s">
        <v>64</v>
      </c>
      <c r="O238" s="5" t="s">
        <v>9282</v>
      </c>
      <c r="P238" s="6">
        <v>9392.0</v>
      </c>
    </row>
    <row r="239" ht="56.25" customHeight="1">
      <c r="A239" s="5" t="s">
        <v>9283</v>
      </c>
      <c r="B239" s="6" t="str">
        <f>IMAGE("https://storage.googleapis.com/acdb/tops/TopsTexTopCoatHDal0.png")</f>
        <v/>
      </c>
      <c r="C239" s="5" t="s">
        <v>34</v>
      </c>
      <c r="D239" s="8" t="s">
        <v>36</v>
      </c>
      <c r="E239" s="6" t="s">
        <v>37</v>
      </c>
      <c r="F239" s="6">
        <v>1010.0</v>
      </c>
      <c r="G239" s="5" t="s">
        <v>68</v>
      </c>
      <c r="H239" s="5" t="s">
        <v>57</v>
      </c>
      <c r="I239" s="6" t="s">
        <v>40</v>
      </c>
      <c r="J239" s="5" t="s">
        <v>1263</v>
      </c>
      <c r="K239" s="5" t="s">
        <v>1264</v>
      </c>
      <c r="L239" s="6" t="s">
        <v>42</v>
      </c>
      <c r="M239" s="5" t="s">
        <v>995</v>
      </c>
      <c r="N239" s="5" t="s">
        <v>48</v>
      </c>
      <c r="O239" s="5" t="s">
        <v>9286</v>
      </c>
      <c r="P239" s="6">
        <v>12126.0</v>
      </c>
    </row>
    <row r="240" ht="56.25" customHeight="1">
      <c r="A240" s="5" t="s">
        <v>9287</v>
      </c>
      <c r="B240" s="6" t="str">
        <f>IMAGE("https://storage.googleapis.com/acdb/tops/TopsTexTopOuterLDal0.png")</f>
        <v/>
      </c>
      <c r="C240" s="5" t="s">
        <v>34</v>
      </c>
      <c r="D240" s="8" t="s">
        <v>36</v>
      </c>
      <c r="E240" s="6" t="s">
        <v>37</v>
      </c>
      <c r="F240" s="6">
        <v>1010.0</v>
      </c>
      <c r="G240" s="5" t="s">
        <v>96</v>
      </c>
      <c r="H240" s="5" t="s">
        <v>96</v>
      </c>
      <c r="I240" s="6" t="s">
        <v>40</v>
      </c>
      <c r="J240" s="5" t="s">
        <v>1263</v>
      </c>
      <c r="K240" s="5" t="s">
        <v>1264</v>
      </c>
      <c r="L240" s="6" t="s">
        <v>42</v>
      </c>
      <c r="M240" s="5" t="s">
        <v>1952</v>
      </c>
      <c r="N240" s="5" t="s">
        <v>48</v>
      </c>
      <c r="O240" s="5" t="s">
        <v>9290</v>
      </c>
      <c r="P240" s="6">
        <v>12127.0</v>
      </c>
    </row>
    <row r="241" ht="56.25" customHeight="1">
      <c r="A241" s="5" t="s">
        <v>9291</v>
      </c>
      <c r="B241" s="6" t="str">
        <f>IMAGE("https://storage.googleapis.com/acdb/tops/TopsTexTopTshirtsHDal0.png")</f>
        <v/>
      </c>
      <c r="C241" s="5" t="s">
        <v>34</v>
      </c>
      <c r="D241" s="8" t="s">
        <v>36</v>
      </c>
      <c r="E241" s="6" t="s">
        <v>37</v>
      </c>
      <c r="F241" s="6">
        <v>1010.0</v>
      </c>
      <c r="G241" s="5" t="s">
        <v>68</v>
      </c>
      <c r="H241" s="5" t="s">
        <v>57</v>
      </c>
      <c r="I241" s="6" t="s">
        <v>40</v>
      </c>
      <c r="J241" s="5" t="s">
        <v>1263</v>
      </c>
      <c r="K241" s="5" t="s">
        <v>1264</v>
      </c>
      <c r="L241" s="6" t="s">
        <v>42</v>
      </c>
      <c r="M241" s="5" t="s">
        <v>995</v>
      </c>
      <c r="N241" s="5" t="s">
        <v>48</v>
      </c>
      <c r="O241" s="5" t="s">
        <v>9293</v>
      </c>
      <c r="P241" s="6">
        <v>12125.0</v>
      </c>
    </row>
    <row r="242" ht="56.25" customHeight="1">
      <c r="A242" s="5" t="s">
        <v>9294</v>
      </c>
      <c r="B242" s="6" t="str">
        <f>IMAGE("https://storage.googleapis.com/acdb/tops/TopsTexTopYshirtsLCool1.png")</f>
        <v/>
      </c>
      <c r="C242" s="5" t="s">
        <v>57</v>
      </c>
      <c r="D242" s="8" t="s">
        <v>36</v>
      </c>
      <c r="E242" s="6">
        <v>1680.0</v>
      </c>
      <c r="F242" s="6">
        <v>420.0</v>
      </c>
      <c r="G242" s="5" t="s">
        <v>57</v>
      </c>
      <c r="H242" s="5" t="s">
        <v>114</v>
      </c>
      <c r="I242" s="6" t="s">
        <v>40</v>
      </c>
      <c r="J242" s="5" t="s">
        <v>8585</v>
      </c>
      <c r="K242" s="5" t="s">
        <v>8632</v>
      </c>
      <c r="L242" s="6" t="s">
        <v>42</v>
      </c>
      <c r="M242" s="5" t="s">
        <v>8746</v>
      </c>
      <c r="N242" s="5" t="s">
        <v>64</v>
      </c>
      <c r="O242" s="5" t="s">
        <v>9295</v>
      </c>
      <c r="P242" s="6">
        <v>7617.0</v>
      </c>
    </row>
    <row r="243" ht="56.25" customHeight="1">
      <c r="A243" s="5" t="s">
        <v>9294</v>
      </c>
      <c r="B243" s="6" t="str">
        <f>IMAGE("https://storage.googleapis.com/acdb/tops/TopsTexTopYshirtsLCool2.png")</f>
        <v/>
      </c>
      <c r="C243" s="5" t="s">
        <v>106</v>
      </c>
      <c r="D243" s="8" t="s">
        <v>36</v>
      </c>
      <c r="E243" s="6">
        <v>1680.0</v>
      </c>
      <c r="F243" s="6">
        <v>420.0</v>
      </c>
      <c r="G243" s="5" t="s">
        <v>106</v>
      </c>
      <c r="H243" s="5" t="s">
        <v>114</v>
      </c>
      <c r="I243" s="6" t="s">
        <v>40</v>
      </c>
      <c r="J243" s="5" t="s">
        <v>8585</v>
      </c>
      <c r="K243" s="5" t="s">
        <v>8632</v>
      </c>
      <c r="L243" s="6" t="s">
        <v>42</v>
      </c>
      <c r="M243" s="5" t="s">
        <v>8746</v>
      </c>
      <c r="N243" s="5" t="s">
        <v>64</v>
      </c>
      <c r="O243" s="5" t="s">
        <v>9298</v>
      </c>
      <c r="P243" s="6">
        <v>7618.0</v>
      </c>
    </row>
    <row r="244" ht="56.25" customHeight="1">
      <c r="A244" s="5" t="s">
        <v>9294</v>
      </c>
      <c r="B244" s="6" t="str">
        <f>IMAGE("https://storage.googleapis.com/acdb/tops/TopsTexTopYshirtsLCool3.png")</f>
        <v/>
      </c>
      <c r="C244" s="5" t="s">
        <v>52</v>
      </c>
      <c r="D244" s="8" t="s">
        <v>36</v>
      </c>
      <c r="E244" s="6">
        <v>1680.0</v>
      </c>
      <c r="F244" s="6">
        <v>420.0</v>
      </c>
      <c r="G244" s="5" t="s">
        <v>52</v>
      </c>
      <c r="H244" s="5" t="s">
        <v>114</v>
      </c>
      <c r="I244" s="6" t="s">
        <v>40</v>
      </c>
      <c r="J244" s="5" t="s">
        <v>8585</v>
      </c>
      <c r="K244" s="5" t="s">
        <v>8632</v>
      </c>
      <c r="L244" s="6" t="s">
        <v>42</v>
      </c>
      <c r="M244" s="5" t="s">
        <v>8746</v>
      </c>
      <c r="N244" s="5" t="s">
        <v>64</v>
      </c>
      <c r="O244" s="5" t="s">
        <v>9300</v>
      </c>
      <c r="P244" s="6">
        <v>7619.0</v>
      </c>
    </row>
    <row r="245" ht="56.25" customHeight="1">
      <c r="A245" s="5" t="s">
        <v>9294</v>
      </c>
      <c r="B245" s="6" t="str">
        <f>IMAGE("https://storage.googleapis.com/acdb/tops/TopsTexTopYshirtsLCool0.png")</f>
        <v/>
      </c>
      <c r="C245" s="5" t="s">
        <v>54</v>
      </c>
      <c r="D245" s="8" t="s">
        <v>36</v>
      </c>
      <c r="E245" s="6">
        <v>1680.0</v>
      </c>
      <c r="F245" s="6">
        <v>420.0</v>
      </c>
      <c r="G245" s="5" t="s">
        <v>54</v>
      </c>
      <c r="H245" s="5" t="s">
        <v>114</v>
      </c>
      <c r="I245" s="6" t="s">
        <v>40</v>
      </c>
      <c r="J245" s="5" t="s">
        <v>8585</v>
      </c>
      <c r="K245" s="5" t="s">
        <v>8632</v>
      </c>
      <c r="L245" s="6" t="s">
        <v>42</v>
      </c>
      <c r="M245" s="5" t="s">
        <v>8746</v>
      </c>
      <c r="N245" s="5" t="s">
        <v>64</v>
      </c>
      <c r="O245" s="5" t="s">
        <v>9301</v>
      </c>
      <c r="P245" s="6">
        <v>5317.0</v>
      </c>
    </row>
    <row r="246" ht="56.25" customHeight="1">
      <c r="A246" s="5" t="s">
        <v>9302</v>
      </c>
      <c r="B246" s="6" t="str">
        <f>IMAGE("https://storage.googleapis.com/acdb/tops/TopsTexTopTshirtsNDanger0.png")</f>
        <v/>
      </c>
      <c r="C246" s="5" t="s">
        <v>34</v>
      </c>
      <c r="D246" s="8" t="s">
        <v>36</v>
      </c>
      <c r="E246" s="6">
        <v>640.0</v>
      </c>
      <c r="F246" s="6">
        <v>160.0</v>
      </c>
      <c r="G246" s="5" t="s">
        <v>114</v>
      </c>
      <c r="H246" s="5" t="s">
        <v>54</v>
      </c>
      <c r="I246" s="6" t="s">
        <v>40</v>
      </c>
      <c r="J246" s="5" t="s">
        <v>8578</v>
      </c>
      <c r="K246" s="5"/>
      <c r="L246" s="6" t="s">
        <v>42</v>
      </c>
      <c r="M246" s="5" t="s">
        <v>8746</v>
      </c>
      <c r="N246" s="5" t="s">
        <v>64</v>
      </c>
      <c r="O246" s="5" t="s">
        <v>9305</v>
      </c>
      <c r="P246" s="6">
        <v>8192.0</v>
      </c>
    </row>
    <row r="247" ht="56.25" customHeight="1">
      <c r="A247" s="5" t="s">
        <v>9306</v>
      </c>
      <c r="B247" s="6" t="str">
        <f>IMAGE("https://storage.googleapis.com/acdb/tops/TopsTexTopYshirtsLDenim2.png")</f>
        <v/>
      </c>
      <c r="C247" s="5" t="s">
        <v>1187</v>
      </c>
      <c r="D247" s="8" t="s">
        <v>36</v>
      </c>
      <c r="E247" s="6">
        <v>1400.0</v>
      </c>
      <c r="F247" s="6">
        <v>350.0</v>
      </c>
      <c r="G247" s="5" t="s">
        <v>68</v>
      </c>
      <c r="H247" s="5" t="s">
        <v>68</v>
      </c>
      <c r="I247" s="6" t="s">
        <v>40</v>
      </c>
      <c r="J247" s="5" t="s">
        <v>8585</v>
      </c>
      <c r="K247" s="5" t="s">
        <v>8632</v>
      </c>
      <c r="L247" s="6" t="s">
        <v>42</v>
      </c>
      <c r="M247" s="5" t="s">
        <v>995</v>
      </c>
      <c r="N247" s="5" t="s">
        <v>64</v>
      </c>
      <c r="O247" s="5" t="s">
        <v>9308</v>
      </c>
      <c r="P247" s="6">
        <v>11420.0</v>
      </c>
    </row>
    <row r="248" ht="56.25" customHeight="1">
      <c r="A248" s="5" t="s">
        <v>9306</v>
      </c>
      <c r="B248" s="6" t="str">
        <f>IMAGE("https://storage.googleapis.com/acdb/tops/TopsTexTopYshirtsLDenim3.png")</f>
        <v/>
      </c>
      <c r="C248" s="5" t="s">
        <v>54</v>
      </c>
      <c r="D248" s="8" t="s">
        <v>36</v>
      </c>
      <c r="E248" s="6">
        <v>1400.0</v>
      </c>
      <c r="F248" s="6">
        <v>350.0</v>
      </c>
      <c r="G248" s="5" t="s">
        <v>54</v>
      </c>
      <c r="H248" s="5" t="s">
        <v>54</v>
      </c>
      <c r="I248" s="6" t="s">
        <v>40</v>
      </c>
      <c r="J248" s="5" t="s">
        <v>8585</v>
      </c>
      <c r="K248" s="5" t="s">
        <v>8632</v>
      </c>
      <c r="L248" s="6" t="s">
        <v>42</v>
      </c>
      <c r="M248" s="5" t="s">
        <v>995</v>
      </c>
      <c r="N248" s="5" t="s">
        <v>64</v>
      </c>
      <c r="O248" s="5" t="s">
        <v>9309</v>
      </c>
      <c r="P248" s="6">
        <v>11421.0</v>
      </c>
    </row>
    <row r="249" ht="56.25" customHeight="1">
      <c r="A249" s="5" t="s">
        <v>9306</v>
      </c>
      <c r="B249" s="6" t="str">
        <f>IMAGE("https://storage.googleapis.com/acdb/tops/TopsTexTopYshirtsLDenim4.png")</f>
        <v/>
      </c>
      <c r="C249" s="5" t="s">
        <v>57</v>
      </c>
      <c r="D249" s="8" t="s">
        <v>36</v>
      </c>
      <c r="E249" s="6">
        <v>1400.0</v>
      </c>
      <c r="F249" s="6">
        <v>350.0</v>
      </c>
      <c r="G249" s="5" t="s">
        <v>57</v>
      </c>
      <c r="H249" s="5" t="s">
        <v>57</v>
      </c>
      <c r="I249" s="6" t="s">
        <v>40</v>
      </c>
      <c r="J249" s="5" t="s">
        <v>8585</v>
      </c>
      <c r="K249" s="5" t="s">
        <v>8632</v>
      </c>
      <c r="L249" s="6" t="s">
        <v>42</v>
      </c>
      <c r="M249" s="5" t="s">
        <v>995</v>
      </c>
      <c r="N249" s="5" t="s">
        <v>64</v>
      </c>
      <c r="O249" s="5" t="s">
        <v>9312</v>
      </c>
      <c r="P249" s="6">
        <v>11422.0</v>
      </c>
    </row>
    <row r="250" ht="56.25" customHeight="1">
      <c r="A250" s="5" t="s">
        <v>9306</v>
      </c>
      <c r="B250" s="6" t="str">
        <f>IMAGE("https://storage.googleapis.com/acdb/tops/TopsTexTopYshirtsLDenim1.png")</f>
        <v/>
      </c>
      <c r="C250" s="5" t="s">
        <v>83</v>
      </c>
      <c r="D250" s="8" t="s">
        <v>36</v>
      </c>
      <c r="E250" s="6">
        <v>1400.0</v>
      </c>
      <c r="F250" s="6">
        <v>350.0</v>
      </c>
      <c r="G250" s="5" t="s">
        <v>83</v>
      </c>
      <c r="H250" s="5" t="s">
        <v>83</v>
      </c>
      <c r="I250" s="6" t="s">
        <v>40</v>
      </c>
      <c r="J250" s="5" t="s">
        <v>8585</v>
      </c>
      <c r="K250" s="5" t="s">
        <v>8632</v>
      </c>
      <c r="L250" s="6" t="s">
        <v>42</v>
      </c>
      <c r="M250" s="5" t="s">
        <v>995</v>
      </c>
      <c r="N250" s="5" t="s">
        <v>64</v>
      </c>
      <c r="O250" s="5" t="s">
        <v>9315</v>
      </c>
      <c r="P250" s="6">
        <v>11419.0</v>
      </c>
    </row>
    <row r="251" ht="56.25" customHeight="1">
      <c r="A251" s="5" t="s">
        <v>9306</v>
      </c>
      <c r="B251" s="6" t="str">
        <f>IMAGE("https://storage.googleapis.com/acdb/tops/TopsTexTopYshirtsLDenim0.png")</f>
        <v/>
      </c>
      <c r="C251" s="5" t="s">
        <v>68</v>
      </c>
      <c r="D251" s="8" t="s">
        <v>36</v>
      </c>
      <c r="E251" s="6">
        <v>1400.0</v>
      </c>
      <c r="F251" s="6">
        <v>350.0</v>
      </c>
      <c r="G251" s="5" t="s">
        <v>68</v>
      </c>
      <c r="H251" s="5" t="s">
        <v>68</v>
      </c>
      <c r="I251" s="6" t="s">
        <v>40</v>
      </c>
      <c r="J251" s="5" t="s">
        <v>8585</v>
      </c>
      <c r="K251" s="5" t="s">
        <v>8632</v>
      </c>
      <c r="L251" s="6" t="s">
        <v>42</v>
      </c>
      <c r="M251" s="5" t="s">
        <v>995</v>
      </c>
      <c r="N251" s="5" t="s">
        <v>64</v>
      </c>
      <c r="O251" s="5" t="s">
        <v>9318</v>
      </c>
      <c r="P251" s="6">
        <v>3209.0</v>
      </c>
    </row>
    <row r="252" ht="56.25" customHeight="1">
      <c r="A252" s="5" t="s">
        <v>9319</v>
      </c>
      <c r="B252" s="6" t="str">
        <f>IMAGE("https://storage.googleapis.com/acdb/tops/TopsTexTopYshirtsNDenim1.png")</f>
        <v/>
      </c>
      <c r="C252" s="5" t="s">
        <v>68</v>
      </c>
      <c r="D252" s="8" t="s">
        <v>36</v>
      </c>
      <c r="E252" s="6">
        <v>1120.0</v>
      </c>
      <c r="F252" s="6">
        <v>280.0</v>
      </c>
      <c r="G252" s="5" t="s">
        <v>68</v>
      </c>
      <c r="H252" s="5" t="s">
        <v>57</v>
      </c>
      <c r="I252" s="6" t="s">
        <v>40</v>
      </c>
      <c r="J252" s="5" t="s">
        <v>8585</v>
      </c>
      <c r="K252" s="5" t="s">
        <v>8632</v>
      </c>
      <c r="L252" s="6" t="s">
        <v>42</v>
      </c>
      <c r="M252" s="5" t="s">
        <v>8746</v>
      </c>
      <c r="N252" s="5" t="s">
        <v>64</v>
      </c>
      <c r="O252" s="5" t="s">
        <v>9321</v>
      </c>
      <c r="P252" s="6">
        <v>11423.0</v>
      </c>
    </row>
    <row r="253" ht="56.25" customHeight="1">
      <c r="A253" s="5" t="s">
        <v>9319</v>
      </c>
      <c r="B253" s="6" t="str">
        <f>IMAGE("https://storage.googleapis.com/acdb/tops/TopsTexTopYshirtsNDenim2.png")</f>
        <v/>
      </c>
      <c r="C253" s="5" t="s">
        <v>1187</v>
      </c>
      <c r="D253" s="8" t="s">
        <v>36</v>
      </c>
      <c r="E253" s="6">
        <v>1120.0</v>
      </c>
      <c r="F253" s="6">
        <v>280.0</v>
      </c>
      <c r="G253" s="5" t="s">
        <v>68</v>
      </c>
      <c r="H253" s="5" t="s">
        <v>57</v>
      </c>
      <c r="I253" s="6" t="s">
        <v>40</v>
      </c>
      <c r="J253" s="5" t="s">
        <v>8585</v>
      </c>
      <c r="K253" s="5" t="s">
        <v>8632</v>
      </c>
      <c r="L253" s="6" t="s">
        <v>42</v>
      </c>
      <c r="M253" s="5" t="s">
        <v>8746</v>
      </c>
      <c r="N253" s="5" t="s">
        <v>64</v>
      </c>
      <c r="O253" s="5" t="s">
        <v>9323</v>
      </c>
      <c r="P253" s="6">
        <v>11424.0</v>
      </c>
    </row>
    <row r="254" ht="56.25" customHeight="1">
      <c r="A254" s="5" t="s">
        <v>9319</v>
      </c>
      <c r="B254" s="6" t="str">
        <f>IMAGE("https://storage.googleapis.com/acdb/tops/TopsTexTopYshirtsNDenim0.png")</f>
        <v/>
      </c>
      <c r="C254" s="5" t="s">
        <v>9326</v>
      </c>
      <c r="D254" s="8" t="s">
        <v>36</v>
      </c>
      <c r="E254" s="6">
        <v>1120.0</v>
      </c>
      <c r="F254" s="6">
        <v>280.0</v>
      </c>
      <c r="G254" s="5" t="s">
        <v>83</v>
      </c>
      <c r="H254" s="5" t="s">
        <v>57</v>
      </c>
      <c r="I254" s="6" t="s">
        <v>40</v>
      </c>
      <c r="J254" s="5" t="s">
        <v>8585</v>
      </c>
      <c r="K254" s="5" t="s">
        <v>8632</v>
      </c>
      <c r="L254" s="6" t="s">
        <v>42</v>
      </c>
      <c r="M254" s="5" t="s">
        <v>8746</v>
      </c>
      <c r="N254" s="5" t="s">
        <v>64</v>
      </c>
      <c r="O254" s="5" t="s">
        <v>9328</v>
      </c>
      <c r="P254" s="6">
        <v>3227.0</v>
      </c>
    </row>
    <row r="255" ht="56.25" customHeight="1">
      <c r="A255" s="5" t="s">
        <v>9319</v>
      </c>
      <c r="B255" s="6" t="str">
        <f>IMAGE("https://storage.googleapis.com/acdb/tops/TopsTexTopYshirtsNDenim3.png")</f>
        <v/>
      </c>
      <c r="C255" s="5" t="s">
        <v>54</v>
      </c>
      <c r="D255" s="8" t="s">
        <v>36</v>
      </c>
      <c r="E255" s="6">
        <v>1120.0</v>
      </c>
      <c r="F255" s="6">
        <v>280.0</v>
      </c>
      <c r="G255" s="5" t="s">
        <v>54</v>
      </c>
      <c r="H255" s="5" t="s">
        <v>57</v>
      </c>
      <c r="I255" s="6" t="s">
        <v>40</v>
      </c>
      <c r="J255" s="5" t="s">
        <v>8585</v>
      </c>
      <c r="K255" s="5" t="s">
        <v>8632</v>
      </c>
      <c r="L255" s="6" t="s">
        <v>42</v>
      </c>
      <c r="M255" s="5" t="s">
        <v>8746</v>
      </c>
      <c r="N255" s="5" t="s">
        <v>64</v>
      </c>
      <c r="O255" s="5" t="s">
        <v>9332</v>
      </c>
      <c r="P255" s="6">
        <v>11425.0</v>
      </c>
    </row>
    <row r="256" ht="56.25" customHeight="1">
      <c r="A256" s="5" t="s">
        <v>9319</v>
      </c>
      <c r="B256" s="6" t="str">
        <f>IMAGE("https://storage.googleapis.com/acdb/tops/TopsTexTopYshirtsNDenim4.png")</f>
        <v/>
      </c>
      <c r="C256" s="5" t="s">
        <v>57</v>
      </c>
      <c r="D256" s="8" t="s">
        <v>36</v>
      </c>
      <c r="E256" s="6">
        <v>1120.0</v>
      </c>
      <c r="F256" s="6">
        <v>280.0</v>
      </c>
      <c r="G256" s="5" t="s">
        <v>57</v>
      </c>
      <c r="H256" s="5" t="s">
        <v>57</v>
      </c>
      <c r="I256" s="6" t="s">
        <v>40</v>
      </c>
      <c r="J256" s="5" t="s">
        <v>8585</v>
      </c>
      <c r="K256" s="5" t="s">
        <v>8632</v>
      </c>
      <c r="L256" s="6" t="s">
        <v>42</v>
      </c>
      <c r="M256" s="5" t="s">
        <v>8746</v>
      </c>
      <c r="N256" s="5" t="s">
        <v>64</v>
      </c>
      <c r="O256" s="5" t="s">
        <v>9334</v>
      </c>
      <c r="P256" s="6">
        <v>11426.0</v>
      </c>
    </row>
    <row r="257" ht="56.25" customHeight="1">
      <c r="A257" s="5" t="s">
        <v>9335</v>
      </c>
      <c r="B257" s="6" t="str">
        <f>IMAGE("https://storage.googleapis.com/acdb/tops/TopsTexTopCoatLDetective0.png")</f>
        <v/>
      </c>
      <c r="C257" s="5" t="s">
        <v>39</v>
      </c>
      <c r="D257" s="8" t="s">
        <v>36</v>
      </c>
      <c r="E257" s="6">
        <v>2500.0</v>
      </c>
      <c r="F257" s="6">
        <v>625.0</v>
      </c>
      <c r="G257" s="5" t="s">
        <v>39</v>
      </c>
      <c r="H257" s="5" t="s">
        <v>39</v>
      </c>
      <c r="I257" s="6" t="s">
        <v>40</v>
      </c>
      <c r="J257" s="5" t="s">
        <v>8585</v>
      </c>
      <c r="K257" s="5" t="s">
        <v>8586</v>
      </c>
      <c r="L257" s="6" t="s">
        <v>42</v>
      </c>
      <c r="M257" s="5" t="s">
        <v>1059</v>
      </c>
      <c r="N257" s="5" t="s">
        <v>64</v>
      </c>
      <c r="O257" s="5" t="s">
        <v>9338</v>
      </c>
      <c r="P257" s="6">
        <v>4681.0</v>
      </c>
    </row>
    <row r="258" ht="56.25" customHeight="1">
      <c r="A258" s="5" t="s">
        <v>9335</v>
      </c>
      <c r="B258" s="6" t="str">
        <f>IMAGE("https://storage.googleapis.com/acdb/tops/TopsTexTopCoatLDetective1.png")</f>
        <v/>
      </c>
      <c r="C258" s="5" t="s">
        <v>95</v>
      </c>
      <c r="D258" s="8" t="s">
        <v>36</v>
      </c>
      <c r="E258" s="6">
        <v>2500.0</v>
      </c>
      <c r="F258" s="6">
        <v>625.0</v>
      </c>
      <c r="G258" s="5" t="s">
        <v>95</v>
      </c>
      <c r="H258" s="5" t="s">
        <v>95</v>
      </c>
      <c r="I258" s="6" t="s">
        <v>40</v>
      </c>
      <c r="J258" s="5" t="s">
        <v>8585</v>
      </c>
      <c r="K258" s="5" t="s">
        <v>8586</v>
      </c>
      <c r="L258" s="6" t="s">
        <v>42</v>
      </c>
      <c r="M258" s="5" t="s">
        <v>1059</v>
      </c>
      <c r="N258" s="5" t="s">
        <v>64</v>
      </c>
      <c r="O258" s="5" t="s">
        <v>9339</v>
      </c>
      <c r="P258" s="6">
        <v>9231.0</v>
      </c>
    </row>
    <row r="259" ht="56.25" customHeight="1">
      <c r="A259" s="5" t="s">
        <v>9335</v>
      </c>
      <c r="B259" s="6" t="str">
        <f>IMAGE("https://storage.googleapis.com/acdb/tops/TopsTexTopCoatLDetective2.png")</f>
        <v/>
      </c>
      <c r="C259" s="5" t="s">
        <v>38</v>
      </c>
      <c r="D259" s="8" t="s">
        <v>36</v>
      </c>
      <c r="E259" s="6">
        <v>2500.0</v>
      </c>
      <c r="F259" s="6">
        <v>625.0</v>
      </c>
      <c r="G259" s="5" t="s">
        <v>38</v>
      </c>
      <c r="H259" s="5" t="s">
        <v>38</v>
      </c>
      <c r="I259" s="6" t="s">
        <v>40</v>
      </c>
      <c r="J259" s="5" t="s">
        <v>8585</v>
      </c>
      <c r="K259" s="5" t="s">
        <v>8586</v>
      </c>
      <c r="L259" s="6" t="s">
        <v>42</v>
      </c>
      <c r="M259" s="5" t="s">
        <v>1059</v>
      </c>
      <c r="N259" s="5" t="s">
        <v>64</v>
      </c>
      <c r="O259" s="5" t="s">
        <v>9342</v>
      </c>
      <c r="P259" s="6">
        <v>9232.0</v>
      </c>
    </row>
    <row r="260" ht="56.25" customHeight="1">
      <c r="A260" s="5" t="s">
        <v>9343</v>
      </c>
      <c r="B260" s="6" t="str">
        <f>IMAGE("https://storage.googleapis.com/acdb/tops/TopsTexTopCoatLDiner1.png")</f>
        <v/>
      </c>
      <c r="C260" s="5" t="s">
        <v>52</v>
      </c>
      <c r="D260" s="8" t="s">
        <v>36</v>
      </c>
      <c r="E260" s="6">
        <v>840.0</v>
      </c>
      <c r="F260" s="6">
        <v>210.0</v>
      </c>
      <c r="G260" s="5" t="s">
        <v>52</v>
      </c>
      <c r="H260" s="5" t="s">
        <v>57</v>
      </c>
      <c r="I260" s="6" t="s">
        <v>40</v>
      </c>
      <c r="J260" s="5" t="s">
        <v>8585</v>
      </c>
      <c r="K260" s="5" t="s">
        <v>8586</v>
      </c>
      <c r="L260" s="6" t="s">
        <v>42</v>
      </c>
      <c r="M260" s="5" t="s">
        <v>8746</v>
      </c>
      <c r="N260" s="5" t="s">
        <v>64</v>
      </c>
      <c r="O260" s="5" t="s">
        <v>9344</v>
      </c>
      <c r="P260" s="6">
        <v>12086.0</v>
      </c>
    </row>
    <row r="261" ht="56.25" customHeight="1">
      <c r="A261" s="5" t="s">
        <v>9343</v>
      </c>
      <c r="B261" s="6" t="str">
        <f>IMAGE("https://storage.googleapis.com/acdb/tops/TopsTexTopCoatLDiner2.png")</f>
        <v/>
      </c>
      <c r="C261" s="5" t="s">
        <v>68</v>
      </c>
      <c r="D261" s="8" t="s">
        <v>36</v>
      </c>
      <c r="E261" s="6">
        <v>840.0</v>
      </c>
      <c r="F261" s="6">
        <v>210.0</v>
      </c>
      <c r="G261" s="5" t="s">
        <v>68</v>
      </c>
      <c r="H261" s="5" t="s">
        <v>57</v>
      </c>
      <c r="I261" s="6" t="s">
        <v>40</v>
      </c>
      <c r="J261" s="5" t="s">
        <v>8585</v>
      </c>
      <c r="K261" s="5" t="s">
        <v>8586</v>
      </c>
      <c r="L261" s="6" t="s">
        <v>42</v>
      </c>
      <c r="M261" s="5" t="s">
        <v>8746</v>
      </c>
      <c r="N261" s="5" t="s">
        <v>64</v>
      </c>
      <c r="O261" s="5" t="s">
        <v>9348</v>
      </c>
      <c r="P261" s="6">
        <v>12087.0</v>
      </c>
    </row>
    <row r="262" ht="56.25" customHeight="1">
      <c r="A262" s="5" t="s">
        <v>9343</v>
      </c>
      <c r="B262" s="6" t="str">
        <f>IMAGE("https://storage.googleapis.com/acdb/tops/TopsTexTopCoatLDiner3.png")</f>
        <v/>
      </c>
      <c r="C262" s="5" t="s">
        <v>114</v>
      </c>
      <c r="D262" s="8" t="s">
        <v>36</v>
      </c>
      <c r="E262" s="6">
        <v>840.0</v>
      </c>
      <c r="F262" s="6">
        <v>210.0</v>
      </c>
      <c r="G262" s="5" t="s">
        <v>114</v>
      </c>
      <c r="H262" s="5" t="s">
        <v>57</v>
      </c>
      <c r="I262" s="6" t="s">
        <v>40</v>
      </c>
      <c r="J262" s="5" t="s">
        <v>8585</v>
      </c>
      <c r="K262" s="5" t="s">
        <v>8586</v>
      </c>
      <c r="L262" s="6" t="s">
        <v>42</v>
      </c>
      <c r="M262" s="5" t="s">
        <v>8746</v>
      </c>
      <c r="N262" s="5" t="s">
        <v>64</v>
      </c>
      <c r="O262" s="5" t="s">
        <v>9351</v>
      </c>
      <c r="P262" s="6">
        <v>12088.0</v>
      </c>
    </row>
    <row r="263" ht="56.25" customHeight="1">
      <c r="A263" s="5" t="s">
        <v>9343</v>
      </c>
      <c r="B263" s="6" t="str">
        <f>IMAGE("https://storage.googleapis.com/acdb/tops/TopsTexTopCoatLDiner4.png")</f>
        <v/>
      </c>
      <c r="C263" s="5" t="s">
        <v>819</v>
      </c>
      <c r="D263" s="8" t="s">
        <v>36</v>
      </c>
      <c r="E263" s="6">
        <v>840.0</v>
      </c>
      <c r="F263" s="6">
        <v>210.0</v>
      </c>
      <c r="G263" s="5" t="s">
        <v>96</v>
      </c>
      <c r="H263" s="5" t="s">
        <v>57</v>
      </c>
      <c r="I263" s="6" t="s">
        <v>40</v>
      </c>
      <c r="J263" s="5" t="s">
        <v>8585</v>
      </c>
      <c r="K263" s="5" t="s">
        <v>8586</v>
      </c>
      <c r="L263" s="6" t="s">
        <v>42</v>
      </c>
      <c r="M263" s="5" t="s">
        <v>8746</v>
      </c>
      <c r="N263" s="5" t="s">
        <v>64</v>
      </c>
      <c r="O263" s="5" t="s">
        <v>9352</v>
      </c>
      <c r="P263" s="6">
        <v>12089.0</v>
      </c>
    </row>
    <row r="264" ht="56.25" customHeight="1">
      <c r="A264" s="5" t="s">
        <v>9343</v>
      </c>
      <c r="B264" s="6" t="str">
        <f>IMAGE("https://storage.googleapis.com/acdb/tops/TopsTexTopCoatLDiner0.png")</f>
        <v/>
      </c>
      <c r="C264" s="5" t="s">
        <v>69</v>
      </c>
      <c r="D264" s="8" t="s">
        <v>36</v>
      </c>
      <c r="E264" s="6">
        <v>840.0</v>
      </c>
      <c r="F264" s="6">
        <v>210.0</v>
      </c>
      <c r="G264" s="5" t="s">
        <v>69</v>
      </c>
      <c r="H264" s="5" t="s">
        <v>57</v>
      </c>
      <c r="I264" s="6" t="s">
        <v>40</v>
      </c>
      <c r="J264" s="5" t="s">
        <v>8585</v>
      </c>
      <c r="K264" s="5" t="s">
        <v>8586</v>
      </c>
      <c r="L264" s="6" t="s">
        <v>42</v>
      </c>
      <c r="M264" s="5" t="s">
        <v>8746</v>
      </c>
      <c r="N264" s="5" t="s">
        <v>64</v>
      </c>
      <c r="O264" s="5" t="s">
        <v>9355</v>
      </c>
      <c r="P264" s="6">
        <v>9815.0</v>
      </c>
    </row>
    <row r="265" ht="56.25" customHeight="1">
      <c r="A265" s="5" t="s">
        <v>9343</v>
      </c>
      <c r="B265" s="6" t="str">
        <f>IMAGE("https://storage.googleapis.com/acdb/tops/TopsTexTopCoatLDiner5.png")</f>
        <v/>
      </c>
      <c r="C265" s="5" t="s">
        <v>307</v>
      </c>
      <c r="D265" s="8" t="s">
        <v>36</v>
      </c>
      <c r="E265" s="6">
        <v>840.0</v>
      </c>
      <c r="F265" s="6">
        <v>210.0</v>
      </c>
      <c r="G265" s="5" t="s">
        <v>38</v>
      </c>
      <c r="H265" s="5" t="s">
        <v>57</v>
      </c>
      <c r="I265" s="6" t="s">
        <v>40</v>
      </c>
      <c r="J265" s="5" t="s">
        <v>8585</v>
      </c>
      <c r="K265" s="5" t="s">
        <v>8586</v>
      </c>
      <c r="L265" s="6" t="s">
        <v>42</v>
      </c>
      <c r="M265" s="5" t="s">
        <v>8746</v>
      </c>
      <c r="N265" s="5" t="s">
        <v>64</v>
      </c>
      <c r="O265" s="5" t="s">
        <v>9356</v>
      </c>
      <c r="P265" s="6">
        <v>12090.0</v>
      </c>
    </row>
    <row r="266" ht="56.25" customHeight="1">
      <c r="A266" s="5" t="s">
        <v>9343</v>
      </c>
      <c r="B266" s="6" t="str">
        <f>IMAGE("https://storage.googleapis.com/acdb/tops/TopsTexTopCoatLDiner6.png")</f>
        <v/>
      </c>
      <c r="C266" s="5" t="s">
        <v>54</v>
      </c>
      <c r="D266" s="8" t="s">
        <v>36</v>
      </c>
      <c r="E266" s="6">
        <v>840.0</v>
      </c>
      <c r="F266" s="6">
        <v>210.0</v>
      </c>
      <c r="G266" s="5" t="s">
        <v>54</v>
      </c>
      <c r="H266" s="5" t="s">
        <v>57</v>
      </c>
      <c r="I266" s="6" t="s">
        <v>40</v>
      </c>
      <c r="J266" s="5" t="s">
        <v>8585</v>
      </c>
      <c r="K266" s="5" t="s">
        <v>8586</v>
      </c>
      <c r="L266" s="6" t="s">
        <v>42</v>
      </c>
      <c r="M266" s="5" t="s">
        <v>8746</v>
      </c>
      <c r="N266" s="5" t="s">
        <v>64</v>
      </c>
      <c r="O266" s="5" t="s">
        <v>9359</v>
      </c>
      <c r="P266" s="6">
        <v>12091.0</v>
      </c>
    </row>
    <row r="267" ht="56.25" customHeight="1">
      <c r="A267" s="5" t="s">
        <v>9360</v>
      </c>
      <c r="B267" s="6" t="str">
        <f>IMAGE("https://storage.googleapis.com/acdb/tops/TopsTexTopCoatLWhitecoat0.png")</f>
        <v/>
      </c>
      <c r="C267" s="5" t="s">
        <v>9361</v>
      </c>
      <c r="D267" s="8" t="s">
        <v>36</v>
      </c>
      <c r="E267" s="6">
        <v>2160.0</v>
      </c>
      <c r="F267" s="6">
        <v>540.0</v>
      </c>
      <c r="G267" s="5" t="s">
        <v>57</v>
      </c>
      <c r="H267" s="5" t="s">
        <v>52</v>
      </c>
      <c r="I267" s="6" t="s">
        <v>40</v>
      </c>
      <c r="J267" s="5" t="s">
        <v>8585</v>
      </c>
      <c r="K267" s="5" t="s">
        <v>8586</v>
      </c>
      <c r="L267" s="6" t="s">
        <v>42</v>
      </c>
      <c r="M267" s="5" t="s">
        <v>995</v>
      </c>
      <c r="N267" s="5" t="s">
        <v>64</v>
      </c>
      <c r="O267" s="5" t="s">
        <v>9362</v>
      </c>
      <c r="P267" s="6">
        <v>3174.0</v>
      </c>
    </row>
    <row r="268" ht="56.25" customHeight="1">
      <c r="A268" s="5" t="s">
        <v>9360</v>
      </c>
      <c r="B268" s="6" t="str">
        <f>IMAGE("https://storage.googleapis.com/acdb/tops/TopsTexTopCoatLWhitecoat1.png")</f>
        <v/>
      </c>
      <c r="C268" s="5" t="s">
        <v>9365</v>
      </c>
      <c r="D268" s="8" t="s">
        <v>36</v>
      </c>
      <c r="E268" s="6">
        <v>2160.0</v>
      </c>
      <c r="F268" s="6">
        <v>540.0</v>
      </c>
      <c r="G268" s="5" t="s">
        <v>57</v>
      </c>
      <c r="H268" s="5" t="s">
        <v>54</v>
      </c>
      <c r="I268" s="6" t="s">
        <v>40</v>
      </c>
      <c r="J268" s="5" t="s">
        <v>8585</v>
      </c>
      <c r="K268" s="5" t="s">
        <v>8586</v>
      </c>
      <c r="L268" s="6" t="s">
        <v>42</v>
      </c>
      <c r="M268" s="5" t="s">
        <v>995</v>
      </c>
      <c r="N268" s="5" t="s">
        <v>64</v>
      </c>
      <c r="O268" s="5" t="s">
        <v>9366</v>
      </c>
      <c r="P268" s="6">
        <v>7794.0</v>
      </c>
    </row>
    <row r="269" ht="56.25" customHeight="1">
      <c r="A269" s="5" t="s">
        <v>9367</v>
      </c>
      <c r="B269" s="6" t="str">
        <f>IMAGE("https://storage.googleapis.com/acdb/tops/TopsTexTopPuffHDolly0.png")</f>
        <v/>
      </c>
      <c r="C269" s="5" t="s">
        <v>69</v>
      </c>
      <c r="D269" s="8" t="s">
        <v>36</v>
      </c>
      <c r="E269" s="6">
        <v>960.0</v>
      </c>
      <c r="F269" s="6">
        <v>240.0</v>
      </c>
      <c r="G269" s="5" t="s">
        <v>69</v>
      </c>
      <c r="H269" s="5" t="s">
        <v>69</v>
      </c>
      <c r="I269" s="6" t="s">
        <v>40</v>
      </c>
      <c r="J269" s="5" t="s">
        <v>8585</v>
      </c>
      <c r="K269" s="5" t="s">
        <v>8632</v>
      </c>
      <c r="L269" s="6" t="s">
        <v>42</v>
      </c>
      <c r="M269" s="5" t="s">
        <v>1959</v>
      </c>
      <c r="N269" s="5" t="s">
        <v>64</v>
      </c>
      <c r="O269" s="5" t="s">
        <v>9368</v>
      </c>
      <c r="P269" s="6">
        <v>9828.0</v>
      </c>
    </row>
    <row r="270" ht="56.25" customHeight="1">
      <c r="A270" s="5" t="s">
        <v>9367</v>
      </c>
      <c r="B270" s="6" t="str">
        <f>IMAGE("https://storage.googleapis.com/acdb/tops/TopsTexTopPuffHDolly1.png")</f>
        <v/>
      </c>
      <c r="C270" s="5" t="s">
        <v>68</v>
      </c>
      <c r="D270" s="8" t="s">
        <v>36</v>
      </c>
      <c r="E270" s="6">
        <v>960.0</v>
      </c>
      <c r="F270" s="6">
        <v>240.0</v>
      </c>
      <c r="G270" s="5" t="s">
        <v>83</v>
      </c>
      <c r="H270" s="5" t="s">
        <v>68</v>
      </c>
      <c r="I270" s="6" t="s">
        <v>40</v>
      </c>
      <c r="J270" s="5" t="s">
        <v>8585</v>
      </c>
      <c r="K270" s="5" t="s">
        <v>8632</v>
      </c>
      <c r="L270" s="6" t="s">
        <v>42</v>
      </c>
      <c r="M270" s="5" t="s">
        <v>1959</v>
      </c>
      <c r="N270" s="5" t="s">
        <v>64</v>
      </c>
      <c r="O270" s="5" t="s">
        <v>9371</v>
      </c>
      <c r="P270" s="6">
        <v>11952.0</v>
      </c>
    </row>
    <row r="271" ht="56.25" customHeight="1">
      <c r="A271" s="5" t="s">
        <v>9367</v>
      </c>
      <c r="B271" s="6" t="str">
        <f>IMAGE("https://storage.googleapis.com/acdb/tops/TopsTexTopPuffHDolly2.png")</f>
        <v/>
      </c>
      <c r="C271" s="5" t="s">
        <v>114</v>
      </c>
      <c r="D271" s="8" t="s">
        <v>36</v>
      </c>
      <c r="E271" s="6">
        <v>960.0</v>
      </c>
      <c r="F271" s="6">
        <v>240.0</v>
      </c>
      <c r="G271" s="5" t="s">
        <v>114</v>
      </c>
      <c r="H271" s="5" t="s">
        <v>142</v>
      </c>
      <c r="I271" s="6" t="s">
        <v>40</v>
      </c>
      <c r="J271" s="5" t="s">
        <v>8585</v>
      </c>
      <c r="K271" s="5" t="s">
        <v>8632</v>
      </c>
      <c r="L271" s="6" t="s">
        <v>42</v>
      </c>
      <c r="M271" s="5" t="s">
        <v>1959</v>
      </c>
      <c r="N271" s="5" t="s">
        <v>64</v>
      </c>
      <c r="O271" s="5" t="s">
        <v>9373</v>
      </c>
      <c r="P271" s="6">
        <v>11953.0</v>
      </c>
    </row>
    <row r="272" ht="56.25" customHeight="1">
      <c r="A272" s="5" t="s">
        <v>9367</v>
      </c>
      <c r="B272" s="6" t="str">
        <f>IMAGE("https://storage.googleapis.com/acdb/tops/TopsTexTopPuffHDolly3.png")</f>
        <v/>
      </c>
      <c r="C272" s="5" t="s">
        <v>106</v>
      </c>
      <c r="D272" s="8" t="s">
        <v>36</v>
      </c>
      <c r="E272" s="6">
        <v>960.0</v>
      </c>
      <c r="F272" s="6">
        <v>240.0</v>
      </c>
      <c r="G272" s="5" t="s">
        <v>106</v>
      </c>
      <c r="H272" s="5" t="s">
        <v>69</v>
      </c>
      <c r="I272" s="6" t="s">
        <v>40</v>
      </c>
      <c r="J272" s="5" t="s">
        <v>8585</v>
      </c>
      <c r="K272" s="5" t="s">
        <v>8632</v>
      </c>
      <c r="L272" s="6" t="s">
        <v>42</v>
      </c>
      <c r="M272" s="5" t="s">
        <v>1959</v>
      </c>
      <c r="N272" s="5" t="s">
        <v>64</v>
      </c>
      <c r="O272" s="5" t="s">
        <v>9375</v>
      </c>
      <c r="P272" s="6">
        <v>11954.0</v>
      </c>
    </row>
    <row r="273" ht="56.25" customHeight="1">
      <c r="A273" s="5" t="s">
        <v>9376</v>
      </c>
      <c r="B273" s="6" t="str">
        <f>IMAGE("https://storage.googleapis.com/acdb/tops/TopsTexTopCoatLRaindot1.png")</f>
        <v/>
      </c>
      <c r="C273" s="5" t="s">
        <v>69</v>
      </c>
      <c r="D273" s="8" t="s">
        <v>36</v>
      </c>
      <c r="E273" s="6">
        <v>1600.0</v>
      </c>
      <c r="F273" s="6">
        <v>400.0</v>
      </c>
      <c r="G273" s="5" t="s">
        <v>69</v>
      </c>
      <c r="H273" s="5" t="s">
        <v>142</v>
      </c>
      <c r="I273" s="6" t="s">
        <v>40</v>
      </c>
      <c r="J273" s="5" t="s">
        <v>8585</v>
      </c>
      <c r="K273" s="5" t="s">
        <v>8632</v>
      </c>
      <c r="L273" s="6" t="s">
        <v>42</v>
      </c>
      <c r="M273" s="5" t="s">
        <v>1959</v>
      </c>
      <c r="N273" s="5" t="s">
        <v>64</v>
      </c>
      <c r="O273" s="5" t="s">
        <v>9378</v>
      </c>
      <c r="P273" s="6">
        <v>11922.0</v>
      </c>
    </row>
    <row r="274" ht="56.25" customHeight="1">
      <c r="A274" s="5" t="s">
        <v>9376</v>
      </c>
      <c r="B274" s="6" t="str">
        <f>IMAGE("https://storage.googleapis.com/acdb/tops/TopsTexTopCoatLRaindot2.png")</f>
        <v/>
      </c>
      <c r="C274" s="5" t="s">
        <v>96</v>
      </c>
      <c r="D274" s="8" t="s">
        <v>36</v>
      </c>
      <c r="E274" s="6">
        <v>1600.0</v>
      </c>
      <c r="F274" s="6">
        <v>400.0</v>
      </c>
      <c r="G274" s="5" t="s">
        <v>96</v>
      </c>
      <c r="H274" s="5" t="s">
        <v>114</v>
      </c>
      <c r="I274" s="6" t="s">
        <v>40</v>
      </c>
      <c r="J274" s="5" t="s">
        <v>8585</v>
      </c>
      <c r="K274" s="5" t="s">
        <v>8632</v>
      </c>
      <c r="L274" s="6" t="s">
        <v>42</v>
      </c>
      <c r="M274" s="5" t="s">
        <v>1959</v>
      </c>
      <c r="N274" s="5" t="s">
        <v>64</v>
      </c>
      <c r="O274" s="5" t="s">
        <v>9380</v>
      </c>
      <c r="P274" s="6">
        <v>11923.0</v>
      </c>
    </row>
    <row r="275" ht="56.25" customHeight="1">
      <c r="A275" s="5" t="s">
        <v>9376</v>
      </c>
      <c r="B275" s="6" t="str">
        <f>IMAGE("https://storage.googleapis.com/acdb/tops/TopsTexTopCoatLRaindot3.png")</f>
        <v/>
      </c>
      <c r="C275" s="5" t="s">
        <v>68</v>
      </c>
      <c r="D275" s="8" t="s">
        <v>36</v>
      </c>
      <c r="E275" s="6">
        <v>1600.0</v>
      </c>
      <c r="F275" s="6">
        <v>400.0</v>
      </c>
      <c r="G275" s="5" t="s">
        <v>68</v>
      </c>
      <c r="H275" s="5" t="s">
        <v>96</v>
      </c>
      <c r="I275" s="6" t="s">
        <v>40</v>
      </c>
      <c r="J275" s="5" t="s">
        <v>8585</v>
      </c>
      <c r="K275" s="5" t="s">
        <v>8632</v>
      </c>
      <c r="L275" s="6" t="s">
        <v>42</v>
      </c>
      <c r="M275" s="5" t="s">
        <v>1959</v>
      </c>
      <c r="N275" s="5" t="s">
        <v>64</v>
      </c>
      <c r="O275" s="5" t="s">
        <v>9382</v>
      </c>
      <c r="P275" s="6">
        <v>11924.0</v>
      </c>
    </row>
    <row r="276" ht="56.25" customHeight="1">
      <c r="A276" s="5" t="s">
        <v>9376</v>
      </c>
      <c r="B276" s="6" t="str">
        <f>IMAGE("https://storage.googleapis.com/acdb/tops/TopsTexTopCoatLRaindot4.png")</f>
        <v/>
      </c>
      <c r="C276" s="5" t="s">
        <v>1174</v>
      </c>
      <c r="D276" s="8" t="s">
        <v>36</v>
      </c>
      <c r="E276" s="6">
        <v>1600.0</v>
      </c>
      <c r="F276" s="6">
        <v>400.0</v>
      </c>
      <c r="G276" s="5" t="s">
        <v>83</v>
      </c>
      <c r="H276" s="5" t="s">
        <v>114</v>
      </c>
      <c r="I276" s="6" t="s">
        <v>40</v>
      </c>
      <c r="J276" s="5" t="s">
        <v>8585</v>
      </c>
      <c r="K276" s="5" t="s">
        <v>8632</v>
      </c>
      <c r="L276" s="6" t="s">
        <v>42</v>
      </c>
      <c r="M276" s="5" t="s">
        <v>1959</v>
      </c>
      <c r="N276" s="5" t="s">
        <v>64</v>
      </c>
      <c r="O276" s="5" t="s">
        <v>9385</v>
      </c>
      <c r="P276" s="6">
        <v>11925.0</v>
      </c>
    </row>
    <row r="277" ht="56.25" customHeight="1">
      <c r="A277" s="5" t="s">
        <v>9376</v>
      </c>
      <c r="B277" s="6" t="str">
        <f>IMAGE("https://storage.googleapis.com/acdb/tops/TopsTexTopCoatLRaindot5.png")</f>
        <v/>
      </c>
      <c r="C277" s="5" t="s">
        <v>95</v>
      </c>
      <c r="D277" s="8" t="s">
        <v>36</v>
      </c>
      <c r="E277" s="6">
        <v>1600.0</v>
      </c>
      <c r="F277" s="6">
        <v>400.0</v>
      </c>
      <c r="G277" s="5" t="s">
        <v>95</v>
      </c>
      <c r="H277" s="5" t="s">
        <v>114</v>
      </c>
      <c r="I277" s="6" t="s">
        <v>40</v>
      </c>
      <c r="J277" s="5" t="s">
        <v>8585</v>
      </c>
      <c r="K277" s="5" t="s">
        <v>8632</v>
      </c>
      <c r="L277" s="6" t="s">
        <v>42</v>
      </c>
      <c r="M277" s="5" t="s">
        <v>1959</v>
      </c>
      <c r="N277" s="5" t="s">
        <v>64</v>
      </c>
      <c r="O277" s="5" t="s">
        <v>9387</v>
      </c>
      <c r="P277" s="6">
        <v>11926.0</v>
      </c>
    </row>
    <row r="278" ht="56.25" customHeight="1">
      <c r="A278" s="5" t="s">
        <v>9376</v>
      </c>
      <c r="B278" s="6" t="str">
        <f>IMAGE("https://storage.googleapis.com/acdb/tops/TopsTexTopCoatLRaindot0.png")</f>
        <v/>
      </c>
      <c r="C278" s="5" t="s">
        <v>83</v>
      </c>
      <c r="D278" s="8" t="s">
        <v>36</v>
      </c>
      <c r="E278" s="6">
        <v>1600.0</v>
      </c>
      <c r="F278" s="6">
        <v>400.0</v>
      </c>
      <c r="G278" s="5" t="s">
        <v>83</v>
      </c>
      <c r="H278" s="5" t="s">
        <v>69</v>
      </c>
      <c r="I278" s="6" t="s">
        <v>40</v>
      </c>
      <c r="J278" s="5" t="s">
        <v>8585</v>
      </c>
      <c r="K278" s="5" t="s">
        <v>8632</v>
      </c>
      <c r="L278" s="6" t="s">
        <v>42</v>
      </c>
      <c r="M278" s="5" t="s">
        <v>1959</v>
      </c>
      <c r="N278" s="5" t="s">
        <v>64</v>
      </c>
      <c r="O278" s="5" t="s">
        <v>9390</v>
      </c>
      <c r="P278" s="6">
        <v>9775.0</v>
      </c>
    </row>
    <row r="279" ht="56.25" customHeight="1">
      <c r="A279" s="5" t="s">
        <v>9391</v>
      </c>
      <c r="B279" s="6" t="str">
        <f>IMAGE("https://storage.googleapis.com/acdb/tops/TopsTexTopYshirtsLDoublet1.png")</f>
        <v/>
      </c>
      <c r="C279" s="5" t="s">
        <v>68</v>
      </c>
      <c r="D279" s="8" t="s">
        <v>36</v>
      </c>
      <c r="E279" s="6">
        <v>1520.0</v>
      </c>
      <c r="F279" s="6">
        <v>380.0</v>
      </c>
      <c r="G279" s="5" t="s">
        <v>68</v>
      </c>
      <c r="H279" s="5" t="s">
        <v>57</v>
      </c>
      <c r="I279" s="6" t="s">
        <v>40</v>
      </c>
      <c r="J279" s="5" t="s">
        <v>8585</v>
      </c>
      <c r="K279" s="5" t="s">
        <v>8586</v>
      </c>
      <c r="L279" s="6" t="s">
        <v>42</v>
      </c>
      <c r="M279" s="5" t="s">
        <v>995</v>
      </c>
      <c r="N279" s="5" t="s">
        <v>64</v>
      </c>
      <c r="O279" s="5" t="s">
        <v>9392</v>
      </c>
      <c r="P279" s="6">
        <v>8285.0</v>
      </c>
    </row>
    <row r="280" ht="56.25" customHeight="1">
      <c r="A280" s="5" t="s">
        <v>9391</v>
      </c>
      <c r="B280" s="6" t="str">
        <f>IMAGE("https://storage.googleapis.com/acdb/tops/TopsTexTopYshirtsLDoublet2.png")</f>
        <v/>
      </c>
      <c r="C280" s="5" t="s">
        <v>96</v>
      </c>
      <c r="D280" s="8" t="s">
        <v>36</v>
      </c>
      <c r="E280" s="6">
        <v>1520.0</v>
      </c>
      <c r="F280" s="6">
        <v>380.0</v>
      </c>
      <c r="G280" s="5" t="s">
        <v>96</v>
      </c>
      <c r="H280" s="5" t="s">
        <v>57</v>
      </c>
      <c r="I280" s="6" t="s">
        <v>40</v>
      </c>
      <c r="J280" s="5" t="s">
        <v>8585</v>
      </c>
      <c r="K280" s="5" t="s">
        <v>8586</v>
      </c>
      <c r="L280" s="6" t="s">
        <v>42</v>
      </c>
      <c r="M280" s="5" t="s">
        <v>995</v>
      </c>
      <c r="N280" s="5" t="s">
        <v>64</v>
      </c>
      <c r="O280" s="5" t="s">
        <v>9394</v>
      </c>
      <c r="P280" s="6">
        <v>8286.0</v>
      </c>
    </row>
    <row r="281" ht="56.25" customHeight="1">
      <c r="A281" s="5" t="s">
        <v>9391</v>
      </c>
      <c r="B281" s="6" t="str">
        <f>IMAGE("https://storage.googleapis.com/acdb/tops/TopsTexTopYshirtsLDoublet3.png")</f>
        <v/>
      </c>
      <c r="C281" s="5" t="s">
        <v>52</v>
      </c>
      <c r="D281" s="8" t="s">
        <v>36</v>
      </c>
      <c r="E281" s="6">
        <v>1520.0</v>
      </c>
      <c r="F281" s="6">
        <v>380.0</v>
      </c>
      <c r="G281" s="5" t="s">
        <v>52</v>
      </c>
      <c r="H281" s="5" t="s">
        <v>57</v>
      </c>
      <c r="I281" s="6" t="s">
        <v>40</v>
      </c>
      <c r="J281" s="5" t="s">
        <v>8585</v>
      </c>
      <c r="K281" s="5" t="s">
        <v>8586</v>
      </c>
      <c r="L281" s="6" t="s">
        <v>42</v>
      </c>
      <c r="M281" s="5" t="s">
        <v>995</v>
      </c>
      <c r="N281" s="5" t="s">
        <v>64</v>
      </c>
      <c r="O281" s="5" t="s">
        <v>9396</v>
      </c>
      <c r="P281" s="6">
        <v>8287.0</v>
      </c>
    </row>
    <row r="282" ht="56.25" customHeight="1">
      <c r="A282" s="5" t="s">
        <v>9391</v>
      </c>
      <c r="B282" s="6" t="str">
        <f>IMAGE("https://storage.googleapis.com/acdb/tops/TopsTexTopYshirtsLDoublet0.png")</f>
        <v/>
      </c>
      <c r="C282" s="5" t="s">
        <v>54</v>
      </c>
      <c r="D282" s="8" t="s">
        <v>36</v>
      </c>
      <c r="E282" s="6">
        <v>1520.0</v>
      </c>
      <c r="F282" s="6">
        <v>380.0</v>
      </c>
      <c r="G282" s="5" t="s">
        <v>54</v>
      </c>
      <c r="H282" s="5" t="s">
        <v>57</v>
      </c>
      <c r="I282" s="6" t="s">
        <v>40</v>
      </c>
      <c r="J282" s="5" t="s">
        <v>8585</v>
      </c>
      <c r="K282" s="5" t="s">
        <v>8586</v>
      </c>
      <c r="L282" s="6" t="s">
        <v>42</v>
      </c>
      <c r="M282" s="5" t="s">
        <v>995</v>
      </c>
      <c r="N282" s="5" t="s">
        <v>64</v>
      </c>
      <c r="O282" s="5" t="s">
        <v>9398</v>
      </c>
      <c r="P282" s="6">
        <v>6029.0</v>
      </c>
    </row>
    <row r="283" ht="56.25" customHeight="1">
      <c r="A283" s="5" t="s">
        <v>9400</v>
      </c>
      <c r="B283" s="6" t="str">
        <f>IMAGE("https://storage.googleapis.com/acdb/tops/TopsTexTopOuterLDownjacket0.png")</f>
        <v/>
      </c>
      <c r="C283" s="5" t="s">
        <v>68</v>
      </c>
      <c r="D283" s="8" t="s">
        <v>36</v>
      </c>
      <c r="E283" s="6">
        <v>1120.0</v>
      </c>
      <c r="F283" s="6">
        <v>280.0</v>
      </c>
      <c r="G283" s="5" t="s">
        <v>68</v>
      </c>
      <c r="H283" s="5" t="s">
        <v>68</v>
      </c>
      <c r="I283" s="6" t="s">
        <v>40</v>
      </c>
      <c r="J283" s="5" t="s">
        <v>8585</v>
      </c>
      <c r="K283" s="5" t="s">
        <v>8632</v>
      </c>
      <c r="L283" s="6" t="s">
        <v>42</v>
      </c>
      <c r="M283" s="5" t="s">
        <v>8746</v>
      </c>
      <c r="N283" s="5" t="s">
        <v>64</v>
      </c>
      <c r="O283" s="5" t="s">
        <v>9401</v>
      </c>
      <c r="P283" s="6">
        <v>2778.0</v>
      </c>
    </row>
    <row r="284" ht="56.25" customHeight="1">
      <c r="A284" s="5" t="s">
        <v>9400</v>
      </c>
      <c r="B284" s="6" t="str">
        <f>IMAGE("https://storage.googleapis.com/acdb/tops/TopsTexTopOuterLDownjacket3.png")</f>
        <v/>
      </c>
      <c r="C284" s="5" t="s">
        <v>57</v>
      </c>
      <c r="D284" s="8" t="s">
        <v>36</v>
      </c>
      <c r="E284" s="6">
        <v>1120.0</v>
      </c>
      <c r="F284" s="6">
        <v>280.0</v>
      </c>
      <c r="G284" s="5" t="s">
        <v>57</v>
      </c>
      <c r="H284" s="5" t="s">
        <v>57</v>
      </c>
      <c r="I284" s="6" t="s">
        <v>40</v>
      </c>
      <c r="J284" s="5" t="s">
        <v>8585</v>
      </c>
      <c r="K284" s="5" t="s">
        <v>8632</v>
      </c>
      <c r="L284" s="6" t="s">
        <v>42</v>
      </c>
      <c r="M284" s="5" t="s">
        <v>8746</v>
      </c>
      <c r="N284" s="5" t="s">
        <v>64</v>
      </c>
      <c r="O284" s="5" t="s">
        <v>9404</v>
      </c>
      <c r="P284" s="6">
        <v>8310.0</v>
      </c>
    </row>
    <row r="285" ht="56.25" customHeight="1">
      <c r="A285" s="5" t="s">
        <v>9400</v>
      </c>
      <c r="B285" s="6" t="str">
        <f>IMAGE("https://storage.googleapis.com/acdb/tops/TopsTexTopOuterLDownjacket4.png")</f>
        <v/>
      </c>
      <c r="C285" s="5" t="s">
        <v>96</v>
      </c>
      <c r="D285" s="8" t="s">
        <v>36</v>
      </c>
      <c r="E285" s="6">
        <v>1120.0</v>
      </c>
      <c r="F285" s="6">
        <v>280.0</v>
      </c>
      <c r="G285" s="5" t="s">
        <v>96</v>
      </c>
      <c r="H285" s="5" t="s">
        <v>96</v>
      </c>
      <c r="I285" s="6" t="s">
        <v>40</v>
      </c>
      <c r="J285" s="5" t="s">
        <v>8585</v>
      </c>
      <c r="K285" s="5" t="s">
        <v>8632</v>
      </c>
      <c r="L285" s="6" t="s">
        <v>42</v>
      </c>
      <c r="M285" s="5" t="s">
        <v>8746</v>
      </c>
      <c r="N285" s="5" t="s">
        <v>64</v>
      </c>
      <c r="O285" s="5" t="s">
        <v>9405</v>
      </c>
      <c r="P285" s="6">
        <v>8311.0</v>
      </c>
    </row>
    <row r="286" ht="56.25" customHeight="1">
      <c r="A286" s="5" t="s">
        <v>9400</v>
      </c>
      <c r="B286" s="6" t="str">
        <f>IMAGE("https://storage.googleapis.com/acdb/tops/TopsTexTopOuterLDownjacket5.png")</f>
        <v/>
      </c>
      <c r="C286" s="5" t="s">
        <v>114</v>
      </c>
      <c r="D286" s="8" t="s">
        <v>36</v>
      </c>
      <c r="E286" s="6">
        <v>1120.0</v>
      </c>
      <c r="F286" s="6">
        <v>280.0</v>
      </c>
      <c r="G286" s="5" t="s">
        <v>114</v>
      </c>
      <c r="H286" s="5" t="s">
        <v>114</v>
      </c>
      <c r="I286" s="6" t="s">
        <v>40</v>
      </c>
      <c r="J286" s="5" t="s">
        <v>8585</v>
      </c>
      <c r="K286" s="5" t="s">
        <v>8632</v>
      </c>
      <c r="L286" s="6" t="s">
        <v>42</v>
      </c>
      <c r="M286" s="5" t="s">
        <v>8746</v>
      </c>
      <c r="N286" s="5" t="s">
        <v>64</v>
      </c>
      <c r="O286" s="5" t="s">
        <v>9408</v>
      </c>
      <c r="P286" s="6">
        <v>8312.0</v>
      </c>
    </row>
    <row r="287" ht="56.25" customHeight="1">
      <c r="A287" s="5" t="s">
        <v>9400</v>
      </c>
      <c r="B287" s="6" t="str">
        <f>IMAGE("https://storage.googleapis.com/acdb/tops/TopsTexTopOuterLDownjacket6.png")</f>
        <v/>
      </c>
      <c r="C287" s="5" t="s">
        <v>142</v>
      </c>
      <c r="D287" s="8" t="s">
        <v>36</v>
      </c>
      <c r="E287" s="6">
        <v>1120.0</v>
      </c>
      <c r="F287" s="6">
        <v>280.0</v>
      </c>
      <c r="G287" s="5" t="s">
        <v>142</v>
      </c>
      <c r="H287" s="5" t="s">
        <v>142</v>
      </c>
      <c r="I287" s="6" t="s">
        <v>40</v>
      </c>
      <c r="J287" s="5" t="s">
        <v>8585</v>
      </c>
      <c r="K287" s="5" t="s">
        <v>8632</v>
      </c>
      <c r="L287" s="6" t="s">
        <v>42</v>
      </c>
      <c r="M287" s="5" t="s">
        <v>8746</v>
      </c>
      <c r="N287" s="5" t="s">
        <v>64</v>
      </c>
      <c r="O287" s="5" t="s">
        <v>9410</v>
      </c>
      <c r="P287" s="6">
        <v>8313.0</v>
      </c>
    </row>
    <row r="288" ht="56.25" customHeight="1">
      <c r="A288" s="5" t="s">
        <v>9400</v>
      </c>
      <c r="B288" s="6" t="str">
        <f>IMAGE("https://storage.googleapis.com/acdb/tops/TopsTexTopOuterLDownjacket7.png")</f>
        <v/>
      </c>
      <c r="C288" s="5" t="s">
        <v>1458</v>
      </c>
      <c r="D288" s="8" t="s">
        <v>36</v>
      </c>
      <c r="E288" s="6">
        <v>1120.0</v>
      </c>
      <c r="F288" s="6">
        <v>280.0</v>
      </c>
      <c r="G288" s="5" t="s">
        <v>96</v>
      </c>
      <c r="H288" s="5" t="s">
        <v>96</v>
      </c>
      <c r="I288" s="6" t="s">
        <v>40</v>
      </c>
      <c r="J288" s="5" t="s">
        <v>8585</v>
      </c>
      <c r="K288" s="5" t="s">
        <v>8632</v>
      </c>
      <c r="L288" s="6" t="s">
        <v>42</v>
      </c>
      <c r="M288" s="5" t="s">
        <v>8746</v>
      </c>
      <c r="N288" s="5" t="s">
        <v>64</v>
      </c>
      <c r="O288" s="5" t="s">
        <v>9412</v>
      </c>
      <c r="P288" s="6">
        <v>8314.0</v>
      </c>
    </row>
    <row r="289" ht="56.25" customHeight="1">
      <c r="A289" s="5" t="s">
        <v>9400</v>
      </c>
      <c r="B289" s="6" t="str">
        <f>IMAGE("https://storage.googleapis.com/acdb/tops/TopsTexTopOuterLDownjacket1.png")</f>
        <v/>
      </c>
      <c r="C289" s="5" t="s">
        <v>54</v>
      </c>
      <c r="D289" s="8" t="s">
        <v>36</v>
      </c>
      <c r="E289" s="6">
        <v>1120.0</v>
      </c>
      <c r="F289" s="6">
        <v>280.0</v>
      </c>
      <c r="G289" s="5" t="s">
        <v>54</v>
      </c>
      <c r="H289" s="5" t="s">
        <v>54</v>
      </c>
      <c r="I289" s="6" t="s">
        <v>40</v>
      </c>
      <c r="J289" s="5" t="s">
        <v>8585</v>
      </c>
      <c r="K289" s="5" t="s">
        <v>8632</v>
      </c>
      <c r="L289" s="6" t="s">
        <v>42</v>
      </c>
      <c r="M289" s="5" t="s">
        <v>8746</v>
      </c>
      <c r="N289" s="5" t="s">
        <v>64</v>
      </c>
      <c r="O289" s="5" t="s">
        <v>9414</v>
      </c>
      <c r="P289" s="6">
        <v>8308.0</v>
      </c>
    </row>
    <row r="290" ht="56.25" customHeight="1">
      <c r="A290" s="5" t="s">
        <v>9400</v>
      </c>
      <c r="B290" s="6" t="str">
        <f>IMAGE("https://storage.googleapis.com/acdb/tops/TopsTexTopOuterLDownjacket2.png")</f>
        <v/>
      </c>
      <c r="C290" s="5" t="s">
        <v>52</v>
      </c>
      <c r="D290" s="8" t="s">
        <v>36</v>
      </c>
      <c r="E290" s="6">
        <v>1120.0</v>
      </c>
      <c r="F290" s="6">
        <v>280.0</v>
      </c>
      <c r="G290" s="5" t="s">
        <v>52</v>
      </c>
      <c r="H290" s="5" t="s">
        <v>52</v>
      </c>
      <c r="I290" s="6" t="s">
        <v>40</v>
      </c>
      <c r="J290" s="5" t="s">
        <v>8585</v>
      </c>
      <c r="K290" s="5" t="s">
        <v>8632</v>
      </c>
      <c r="L290" s="6" t="s">
        <v>42</v>
      </c>
      <c r="M290" s="5" t="s">
        <v>8746</v>
      </c>
      <c r="N290" s="5" t="s">
        <v>64</v>
      </c>
      <c r="O290" s="5" t="s">
        <v>9416</v>
      </c>
      <c r="P290" s="6">
        <v>8309.0</v>
      </c>
    </row>
    <row r="291" ht="56.25" customHeight="1">
      <c r="A291" s="5" t="s">
        <v>9417</v>
      </c>
      <c r="B291" s="6" t="str">
        <f>IMAGE("https://storage.googleapis.com/acdb/tops/TopsTexTopOuterLSkidown0.png")</f>
        <v/>
      </c>
      <c r="C291" s="5" t="s">
        <v>7948</v>
      </c>
      <c r="D291" s="8" t="s">
        <v>36</v>
      </c>
      <c r="E291" s="6">
        <v>1680.0</v>
      </c>
      <c r="F291" s="6">
        <v>420.0</v>
      </c>
      <c r="G291" s="5" t="s">
        <v>52</v>
      </c>
      <c r="H291" s="5" t="s">
        <v>114</v>
      </c>
      <c r="I291" s="6" t="s">
        <v>40</v>
      </c>
      <c r="J291" s="5" t="s">
        <v>8585</v>
      </c>
      <c r="K291" s="5" t="s">
        <v>8586</v>
      </c>
      <c r="L291" s="6" t="s">
        <v>42</v>
      </c>
      <c r="M291" s="5" t="s">
        <v>8746</v>
      </c>
      <c r="N291" s="5" t="s">
        <v>64</v>
      </c>
      <c r="O291" s="5" t="s">
        <v>9418</v>
      </c>
      <c r="P291" s="6">
        <v>4735.0</v>
      </c>
    </row>
    <row r="292" ht="56.25" customHeight="1">
      <c r="A292" s="5" t="s">
        <v>9417</v>
      </c>
      <c r="B292" s="6" t="str">
        <f>IMAGE("https://storage.googleapis.com/acdb/tops/TopsTexTopOuterLSkidown1.png")</f>
        <v/>
      </c>
      <c r="C292" s="5" t="s">
        <v>9420</v>
      </c>
      <c r="D292" s="8" t="s">
        <v>36</v>
      </c>
      <c r="E292" s="6">
        <v>1680.0</v>
      </c>
      <c r="F292" s="6">
        <v>420.0</v>
      </c>
      <c r="G292" s="5" t="s">
        <v>68</v>
      </c>
      <c r="H292" s="5" t="s">
        <v>96</v>
      </c>
      <c r="I292" s="6" t="s">
        <v>40</v>
      </c>
      <c r="J292" s="5" t="s">
        <v>8585</v>
      </c>
      <c r="K292" s="5" t="s">
        <v>8586</v>
      </c>
      <c r="L292" s="6" t="s">
        <v>42</v>
      </c>
      <c r="M292" s="5" t="s">
        <v>8746</v>
      </c>
      <c r="N292" s="5" t="s">
        <v>64</v>
      </c>
      <c r="O292" s="5" t="s">
        <v>9421</v>
      </c>
      <c r="P292" s="6">
        <v>8334.0</v>
      </c>
    </row>
    <row r="293" ht="56.25" customHeight="1">
      <c r="A293" s="5" t="s">
        <v>9417</v>
      </c>
      <c r="B293" s="6" t="str">
        <f>IMAGE("https://storage.googleapis.com/acdb/tops/TopsTexTopOuterLSkidown2.png")</f>
        <v/>
      </c>
      <c r="C293" s="5" t="s">
        <v>9423</v>
      </c>
      <c r="D293" s="8" t="s">
        <v>36</v>
      </c>
      <c r="E293" s="6">
        <v>1680.0</v>
      </c>
      <c r="F293" s="6">
        <v>420.0</v>
      </c>
      <c r="G293" s="5" t="s">
        <v>68</v>
      </c>
      <c r="H293" s="5" t="s">
        <v>83</v>
      </c>
      <c r="I293" s="6" t="s">
        <v>40</v>
      </c>
      <c r="J293" s="5" t="s">
        <v>8585</v>
      </c>
      <c r="K293" s="5" t="s">
        <v>8586</v>
      </c>
      <c r="L293" s="6" t="s">
        <v>42</v>
      </c>
      <c r="M293" s="5" t="s">
        <v>8746</v>
      </c>
      <c r="N293" s="5" t="s">
        <v>64</v>
      </c>
      <c r="O293" s="5" t="s">
        <v>9426</v>
      </c>
      <c r="P293" s="6">
        <v>8335.0</v>
      </c>
    </row>
    <row r="294" ht="56.25" customHeight="1">
      <c r="A294" s="5" t="s">
        <v>9417</v>
      </c>
      <c r="B294" s="6" t="str">
        <f>IMAGE("https://storage.googleapis.com/acdb/tops/TopsTexTopOuterLSkidown3.png")</f>
        <v/>
      </c>
      <c r="C294" s="5" t="s">
        <v>9427</v>
      </c>
      <c r="D294" s="8" t="s">
        <v>36</v>
      </c>
      <c r="E294" s="6">
        <v>1680.0</v>
      </c>
      <c r="F294" s="6">
        <v>420.0</v>
      </c>
      <c r="G294" s="5" t="s">
        <v>68</v>
      </c>
      <c r="H294" s="5" t="s">
        <v>52</v>
      </c>
      <c r="I294" s="6" t="s">
        <v>40</v>
      </c>
      <c r="J294" s="5" t="s">
        <v>8585</v>
      </c>
      <c r="K294" s="5" t="s">
        <v>8586</v>
      </c>
      <c r="L294" s="6" t="s">
        <v>42</v>
      </c>
      <c r="M294" s="5" t="s">
        <v>8746</v>
      </c>
      <c r="N294" s="5" t="s">
        <v>64</v>
      </c>
      <c r="O294" s="5" t="s">
        <v>9428</v>
      </c>
      <c r="P294" s="6">
        <v>8336.0</v>
      </c>
    </row>
    <row r="295" ht="56.25" customHeight="1">
      <c r="A295" s="5" t="s">
        <v>9429</v>
      </c>
      <c r="B295" s="6" t="str">
        <f>IMAGE("https://storage.googleapis.com/acdb/tops/TopsTexTopOuterLSukajandragonBlack.png")</f>
        <v/>
      </c>
      <c r="C295" s="5" t="s">
        <v>34</v>
      </c>
      <c r="D295" s="8" t="s">
        <v>36</v>
      </c>
      <c r="E295" s="6">
        <v>2000.0</v>
      </c>
      <c r="F295" s="6">
        <v>500.0</v>
      </c>
      <c r="G295" s="5" t="s">
        <v>54</v>
      </c>
      <c r="H295" s="5" t="s">
        <v>114</v>
      </c>
      <c r="I295" s="6" t="s">
        <v>40</v>
      </c>
      <c r="J295" s="5" t="s">
        <v>8585</v>
      </c>
      <c r="K295" s="5" t="s">
        <v>8586</v>
      </c>
      <c r="L295" s="6" t="s">
        <v>42</v>
      </c>
      <c r="M295" s="5" t="s">
        <v>8746</v>
      </c>
      <c r="N295" s="5" t="s">
        <v>64</v>
      </c>
      <c r="O295" s="5" t="s">
        <v>9432</v>
      </c>
      <c r="P295" s="6">
        <v>3256.0</v>
      </c>
    </row>
    <row r="296" ht="56.25" customHeight="1">
      <c r="A296" s="5" t="s">
        <v>9433</v>
      </c>
      <c r="B296" s="6" t="str">
        <f>IMAGE("https://storage.googleapis.com/acdb/tops/TopsTexTopOuterLYumekawa0.png")</f>
        <v/>
      </c>
      <c r="C296" s="5" t="s">
        <v>69</v>
      </c>
      <c r="D296" s="8" t="s">
        <v>36</v>
      </c>
      <c r="E296" s="6">
        <v>1440.0</v>
      </c>
      <c r="F296" s="6">
        <v>360.0</v>
      </c>
      <c r="G296" s="5" t="s">
        <v>69</v>
      </c>
      <c r="H296" s="5" t="s">
        <v>83</v>
      </c>
      <c r="I296" s="6" t="s">
        <v>40</v>
      </c>
      <c r="J296" s="5" t="s">
        <v>8585</v>
      </c>
      <c r="K296" s="5" t="s">
        <v>8632</v>
      </c>
      <c r="L296" s="6" t="s">
        <v>42</v>
      </c>
      <c r="M296" s="5" t="s">
        <v>1959</v>
      </c>
      <c r="N296" s="5" t="s">
        <v>64</v>
      </c>
      <c r="O296" s="5" t="s">
        <v>9434</v>
      </c>
      <c r="P296" s="6">
        <v>3635.0</v>
      </c>
    </row>
    <row r="297" ht="56.25" customHeight="1">
      <c r="A297" s="5" t="s">
        <v>9433</v>
      </c>
      <c r="B297" s="6" t="str">
        <f>IMAGE("https://storage.googleapis.com/acdb/tops/TopsTexTopOuterLYumekawa1.png")</f>
        <v/>
      </c>
      <c r="C297" s="5" t="s">
        <v>68</v>
      </c>
      <c r="D297" s="8" t="s">
        <v>36</v>
      </c>
      <c r="E297" s="6">
        <v>1440.0</v>
      </c>
      <c r="F297" s="6">
        <v>360.0</v>
      </c>
      <c r="G297" s="5" t="s">
        <v>68</v>
      </c>
      <c r="H297" s="5" t="s">
        <v>106</v>
      </c>
      <c r="I297" s="6" t="s">
        <v>40</v>
      </c>
      <c r="J297" s="5" t="s">
        <v>8585</v>
      </c>
      <c r="K297" s="5" t="s">
        <v>8632</v>
      </c>
      <c r="L297" s="6" t="s">
        <v>42</v>
      </c>
      <c r="M297" s="5" t="s">
        <v>1959</v>
      </c>
      <c r="N297" s="5" t="s">
        <v>64</v>
      </c>
      <c r="O297" s="5" t="s">
        <v>9437</v>
      </c>
      <c r="P297" s="6">
        <v>8001.0</v>
      </c>
    </row>
    <row r="298" ht="56.25" customHeight="1">
      <c r="A298" s="5" t="s">
        <v>9438</v>
      </c>
      <c r="B298" s="6" t="str">
        <f>IMAGE("https://storage.googleapis.com/acdb/tops/TopsTexTopYshirtsLStandard1.png")</f>
        <v/>
      </c>
      <c r="C298" s="5" t="s">
        <v>95</v>
      </c>
      <c r="D298" s="8" t="s">
        <v>36</v>
      </c>
      <c r="E298" s="6">
        <v>560.0</v>
      </c>
      <c r="F298" s="6">
        <v>140.0</v>
      </c>
      <c r="G298" s="5" t="s">
        <v>95</v>
      </c>
      <c r="H298" s="5" t="s">
        <v>95</v>
      </c>
      <c r="I298" s="6" t="s">
        <v>40</v>
      </c>
      <c r="J298" s="5" t="s">
        <v>8585</v>
      </c>
      <c r="K298" s="5" t="s">
        <v>8632</v>
      </c>
      <c r="L298" s="6" t="s">
        <v>42</v>
      </c>
      <c r="M298" s="5" t="s">
        <v>995</v>
      </c>
      <c r="N298" s="5" t="s">
        <v>64</v>
      </c>
      <c r="O298" s="5" t="s">
        <v>9441</v>
      </c>
      <c r="P298" s="6">
        <v>8337.0</v>
      </c>
    </row>
    <row r="299" ht="56.25" customHeight="1">
      <c r="A299" s="5" t="s">
        <v>9438</v>
      </c>
      <c r="B299" s="6" t="str">
        <f>IMAGE("https://storage.googleapis.com/acdb/tops/TopsTexTopYshirtsLStandard2.png")</f>
        <v/>
      </c>
      <c r="C299" s="5" t="s">
        <v>9021</v>
      </c>
      <c r="D299" s="8" t="s">
        <v>36</v>
      </c>
      <c r="E299" s="6">
        <v>560.0</v>
      </c>
      <c r="F299" s="6">
        <v>140.0</v>
      </c>
      <c r="G299" s="5" t="s">
        <v>96</v>
      </c>
      <c r="H299" s="5" t="s">
        <v>96</v>
      </c>
      <c r="I299" s="6" t="s">
        <v>40</v>
      </c>
      <c r="J299" s="5" t="s">
        <v>8585</v>
      </c>
      <c r="K299" s="5" t="s">
        <v>8632</v>
      </c>
      <c r="L299" s="6" t="s">
        <v>42</v>
      </c>
      <c r="M299" s="5" t="s">
        <v>995</v>
      </c>
      <c r="N299" s="5" t="s">
        <v>64</v>
      </c>
      <c r="O299" s="5" t="s">
        <v>9443</v>
      </c>
      <c r="P299" s="6">
        <v>8338.0</v>
      </c>
    </row>
    <row r="300" ht="56.25" customHeight="1">
      <c r="A300" s="5" t="s">
        <v>9438</v>
      </c>
      <c r="B300" s="6" t="str">
        <f>IMAGE("https://storage.googleapis.com/acdb/tops/TopsTexTopYshirtsLStandard3.png")</f>
        <v/>
      </c>
      <c r="C300" s="5" t="s">
        <v>69</v>
      </c>
      <c r="D300" s="8" t="s">
        <v>36</v>
      </c>
      <c r="E300" s="6">
        <v>560.0</v>
      </c>
      <c r="F300" s="6">
        <v>140.0</v>
      </c>
      <c r="G300" s="5" t="s">
        <v>69</v>
      </c>
      <c r="H300" s="5" t="s">
        <v>69</v>
      </c>
      <c r="I300" s="6" t="s">
        <v>40</v>
      </c>
      <c r="J300" s="5" t="s">
        <v>8585</v>
      </c>
      <c r="K300" s="5" t="s">
        <v>8632</v>
      </c>
      <c r="L300" s="6" t="s">
        <v>42</v>
      </c>
      <c r="M300" s="5" t="s">
        <v>995</v>
      </c>
      <c r="N300" s="5" t="s">
        <v>64</v>
      </c>
      <c r="O300" s="5" t="s">
        <v>9446</v>
      </c>
      <c r="P300" s="6">
        <v>8339.0</v>
      </c>
    </row>
    <row r="301" ht="56.25" customHeight="1">
      <c r="A301" s="5" t="s">
        <v>9438</v>
      </c>
      <c r="B301" s="6" t="str">
        <f>IMAGE("https://storage.googleapis.com/acdb/tops/TopsTexTopYshirtsLStandard0.png")</f>
        <v/>
      </c>
      <c r="C301" s="5" t="s">
        <v>57</v>
      </c>
      <c r="D301" s="8" t="s">
        <v>36</v>
      </c>
      <c r="E301" s="6">
        <v>560.0</v>
      </c>
      <c r="F301" s="6">
        <v>140.0</v>
      </c>
      <c r="G301" s="5" t="s">
        <v>57</v>
      </c>
      <c r="H301" s="5" t="s">
        <v>57</v>
      </c>
      <c r="I301" s="6" t="s">
        <v>40</v>
      </c>
      <c r="J301" s="5" t="s">
        <v>8585</v>
      </c>
      <c r="K301" s="5" t="s">
        <v>8632</v>
      </c>
      <c r="L301" s="6" t="s">
        <v>42</v>
      </c>
      <c r="M301" s="5" t="s">
        <v>995</v>
      </c>
      <c r="N301" s="5" t="s">
        <v>64</v>
      </c>
      <c r="O301" s="5" t="s">
        <v>9448</v>
      </c>
      <c r="P301" s="6">
        <v>2823.0</v>
      </c>
    </row>
    <row r="302" ht="56.25" customHeight="1">
      <c r="A302" s="5" t="s">
        <v>9438</v>
      </c>
      <c r="B302" s="6" t="str">
        <f>IMAGE("https://storage.googleapis.com/acdb/tops/TopsTexTopYshirtsLStandard4.png")</f>
        <v/>
      </c>
      <c r="C302" s="5" t="s">
        <v>68</v>
      </c>
      <c r="D302" s="8" t="s">
        <v>36</v>
      </c>
      <c r="E302" s="6">
        <v>560.0</v>
      </c>
      <c r="F302" s="6">
        <v>140.0</v>
      </c>
      <c r="G302" s="5" t="s">
        <v>68</v>
      </c>
      <c r="H302" s="5" t="s">
        <v>68</v>
      </c>
      <c r="I302" s="6" t="s">
        <v>40</v>
      </c>
      <c r="J302" s="5" t="s">
        <v>8585</v>
      </c>
      <c r="K302" s="5" t="s">
        <v>8632</v>
      </c>
      <c r="L302" s="6" t="s">
        <v>42</v>
      </c>
      <c r="M302" s="5" t="s">
        <v>995</v>
      </c>
      <c r="N302" s="5" t="s">
        <v>64</v>
      </c>
      <c r="O302" s="5" t="s">
        <v>9449</v>
      </c>
      <c r="P302" s="6">
        <v>8340.0</v>
      </c>
    </row>
    <row r="303" ht="56.25" customHeight="1">
      <c r="A303" s="5" t="s">
        <v>9451</v>
      </c>
      <c r="B303" s="6" t="str">
        <f>IMAGE("https://storage.googleapis.com/acdb/tops/TopsTexTopTshirtsLEarphone1.png")</f>
        <v/>
      </c>
      <c r="C303" s="5" t="s">
        <v>96</v>
      </c>
      <c r="D303" s="8" t="s">
        <v>36</v>
      </c>
      <c r="E303" s="6">
        <v>1400.0</v>
      </c>
      <c r="F303" s="6">
        <v>350.0</v>
      </c>
      <c r="G303" s="5" t="s">
        <v>96</v>
      </c>
      <c r="H303" s="5" t="s">
        <v>54</v>
      </c>
      <c r="I303" s="6" t="s">
        <v>40</v>
      </c>
      <c r="J303" s="5" t="s">
        <v>8585</v>
      </c>
      <c r="K303" s="5" t="s">
        <v>8586</v>
      </c>
      <c r="L303" s="6" t="s">
        <v>42</v>
      </c>
      <c r="M303" s="5" t="s">
        <v>1952</v>
      </c>
      <c r="N303" s="5" t="s">
        <v>64</v>
      </c>
      <c r="O303" s="5" t="s">
        <v>9453</v>
      </c>
      <c r="P303" s="6">
        <v>8407.0</v>
      </c>
    </row>
    <row r="304" ht="56.25" customHeight="1">
      <c r="A304" s="5" t="s">
        <v>9451</v>
      </c>
      <c r="B304" s="6" t="str">
        <f>IMAGE("https://storage.googleapis.com/acdb/tops/TopsTexTopTshirtsLEarphone2.png")</f>
        <v/>
      </c>
      <c r="C304" s="5" t="s">
        <v>68</v>
      </c>
      <c r="D304" s="8" t="s">
        <v>36</v>
      </c>
      <c r="E304" s="6">
        <v>1400.0</v>
      </c>
      <c r="F304" s="6">
        <v>350.0</v>
      </c>
      <c r="G304" s="5" t="s">
        <v>68</v>
      </c>
      <c r="H304" s="5" t="s">
        <v>54</v>
      </c>
      <c r="I304" s="6" t="s">
        <v>40</v>
      </c>
      <c r="J304" s="5" t="s">
        <v>8585</v>
      </c>
      <c r="K304" s="5" t="s">
        <v>8586</v>
      </c>
      <c r="L304" s="6" t="s">
        <v>42</v>
      </c>
      <c r="M304" s="5" t="s">
        <v>1952</v>
      </c>
      <c r="N304" s="5" t="s">
        <v>64</v>
      </c>
      <c r="O304" s="5" t="s">
        <v>9455</v>
      </c>
      <c r="P304" s="6">
        <v>8408.0</v>
      </c>
    </row>
    <row r="305" ht="56.25" customHeight="1">
      <c r="A305" s="5" t="s">
        <v>9451</v>
      </c>
      <c r="B305" s="6" t="str">
        <f>IMAGE("https://storage.googleapis.com/acdb/tops/TopsTexTopTshirtsLEarphone3.png")</f>
        <v/>
      </c>
      <c r="C305" s="5" t="s">
        <v>114</v>
      </c>
      <c r="D305" s="8" t="s">
        <v>36</v>
      </c>
      <c r="E305" s="6">
        <v>1400.0</v>
      </c>
      <c r="F305" s="6">
        <v>350.0</v>
      </c>
      <c r="G305" s="5" t="s">
        <v>114</v>
      </c>
      <c r="H305" s="5" t="s">
        <v>54</v>
      </c>
      <c r="I305" s="6" t="s">
        <v>40</v>
      </c>
      <c r="J305" s="5" t="s">
        <v>8585</v>
      </c>
      <c r="K305" s="5" t="s">
        <v>8586</v>
      </c>
      <c r="L305" s="6" t="s">
        <v>42</v>
      </c>
      <c r="M305" s="5" t="s">
        <v>1952</v>
      </c>
      <c r="N305" s="5" t="s">
        <v>64</v>
      </c>
      <c r="O305" s="5" t="s">
        <v>9457</v>
      </c>
      <c r="P305" s="6">
        <v>8409.0</v>
      </c>
    </row>
    <row r="306" ht="56.25" customHeight="1">
      <c r="A306" s="5" t="s">
        <v>9451</v>
      </c>
      <c r="B306" s="6" t="str">
        <f>IMAGE("https://storage.googleapis.com/acdb/tops/TopsTexTopTshirtsLEarphone0.png")</f>
        <v/>
      </c>
      <c r="C306" s="5" t="s">
        <v>39</v>
      </c>
      <c r="D306" s="8" t="s">
        <v>36</v>
      </c>
      <c r="E306" s="6">
        <v>1400.0</v>
      </c>
      <c r="F306" s="6">
        <v>350.0</v>
      </c>
      <c r="G306" s="5" t="s">
        <v>39</v>
      </c>
      <c r="H306" s="5" t="s">
        <v>54</v>
      </c>
      <c r="I306" s="6" t="s">
        <v>40</v>
      </c>
      <c r="J306" s="5" t="s">
        <v>8585</v>
      </c>
      <c r="K306" s="5" t="s">
        <v>8586</v>
      </c>
      <c r="L306" s="6" t="s">
        <v>42</v>
      </c>
      <c r="M306" s="5" t="s">
        <v>1952</v>
      </c>
      <c r="N306" s="5" t="s">
        <v>64</v>
      </c>
      <c r="O306" s="5" t="s">
        <v>9459</v>
      </c>
      <c r="P306" s="6">
        <v>4610.0</v>
      </c>
    </row>
    <row r="307" ht="56.25" customHeight="1">
      <c r="A307" s="5" t="s">
        <v>9460</v>
      </c>
      <c r="B307" s="6" t="str">
        <f>IMAGE("https://storage.googleapis.com/acdb/tops/TopsTexTopTshirtsHNumberball8.png")</f>
        <v/>
      </c>
      <c r="C307" s="5" t="s">
        <v>34</v>
      </c>
      <c r="D307" s="8" t="s">
        <v>36</v>
      </c>
      <c r="E307" s="6">
        <v>560.0</v>
      </c>
      <c r="F307" s="6">
        <v>140.0</v>
      </c>
      <c r="G307" s="5" t="s">
        <v>54</v>
      </c>
      <c r="H307" s="5" t="s">
        <v>57</v>
      </c>
      <c r="I307" s="6" t="s">
        <v>40</v>
      </c>
      <c r="J307" s="5" t="s">
        <v>8578</v>
      </c>
      <c r="K307" s="5"/>
      <c r="L307" s="6" t="s">
        <v>42</v>
      </c>
      <c r="M307" s="5" t="s">
        <v>8746</v>
      </c>
      <c r="N307" s="5" t="s">
        <v>64</v>
      </c>
      <c r="O307" s="5" t="s">
        <v>9463</v>
      </c>
      <c r="P307" s="6">
        <v>3325.0</v>
      </c>
    </row>
    <row r="308" ht="56.25" customHeight="1">
      <c r="A308" s="5" t="s">
        <v>9464</v>
      </c>
      <c r="B308" s="6" t="str">
        <f>IMAGE("https://storage.googleapis.com/acdb/tops/TopsTexTopYshirtsLBlazer2.png")</f>
        <v/>
      </c>
      <c r="C308" s="5" t="s">
        <v>38</v>
      </c>
      <c r="D308" s="8" t="s">
        <v>36</v>
      </c>
      <c r="E308" s="6">
        <v>1960.0</v>
      </c>
      <c r="F308" s="6">
        <v>490.0</v>
      </c>
      <c r="G308" s="5" t="s">
        <v>39</v>
      </c>
      <c r="H308" s="5" t="s">
        <v>96</v>
      </c>
      <c r="I308" s="6" t="s">
        <v>40</v>
      </c>
      <c r="J308" s="5" t="s">
        <v>8585</v>
      </c>
      <c r="K308" s="5" t="s">
        <v>8586</v>
      </c>
      <c r="L308" s="6" t="s">
        <v>42</v>
      </c>
      <c r="M308" s="5" t="s">
        <v>1059</v>
      </c>
      <c r="N308" s="5" t="s">
        <v>64</v>
      </c>
      <c r="O308" s="5" t="s">
        <v>9467</v>
      </c>
      <c r="P308" s="6">
        <v>8110.0</v>
      </c>
    </row>
    <row r="309" ht="56.25" customHeight="1">
      <c r="A309" s="5" t="s">
        <v>9464</v>
      </c>
      <c r="B309" s="6" t="str">
        <f>IMAGE("https://storage.googleapis.com/acdb/tops/TopsTexTopYshirtsLBlazer3.png")</f>
        <v/>
      </c>
      <c r="C309" s="5" t="s">
        <v>4883</v>
      </c>
      <c r="D309" s="8" t="s">
        <v>36</v>
      </c>
      <c r="E309" s="6">
        <v>1960.0</v>
      </c>
      <c r="F309" s="6">
        <v>490.0</v>
      </c>
      <c r="G309" s="5" t="s">
        <v>52</v>
      </c>
      <c r="H309" s="5" t="s">
        <v>69</v>
      </c>
      <c r="I309" s="6" t="s">
        <v>40</v>
      </c>
      <c r="J309" s="5" t="s">
        <v>8585</v>
      </c>
      <c r="K309" s="5" t="s">
        <v>8586</v>
      </c>
      <c r="L309" s="6" t="s">
        <v>42</v>
      </c>
      <c r="M309" s="5" t="s">
        <v>1059</v>
      </c>
      <c r="N309" s="5" t="s">
        <v>64</v>
      </c>
      <c r="O309" s="5" t="s">
        <v>9469</v>
      </c>
      <c r="P309" s="6">
        <v>8111.0</v>
      </c>
    </row>
    <row r="310" ht="56.25" customHeight="1">
      <c r="A310" s="5" t="s">
        <v>9464</v>
      </c>
      <c r="B310" s="6" t="str">
        <f>IMAGE("https://storage.googleapis.com/acdb/tops/TopsTexTopYshirtsLBlazer1.png")</f>
        <v/>
      </c>
      <c r="C310" s="5" t="s">
        <v>1187</v>
      </c>
      <c r="D310" s="8" t="s">
        <v>36</v>
      </c>
      <c r="E310" s="6">
        <v>1960.0</v>
      </c>
      <c r="F310" s="6">
        <v>490.0</v>
      </c>
      <c r="G310" s="5" t="s">
        <v>68</v>
      </c>
      <c r="H310" s="5" t="s">
        <v>68</v>
      </c>
      <c r="I310" s="6" t="s">
        <v>40</v>
      </c>
      <c r="J310" s="5" t="s">
        <v>8585</v>
      </c>
      <c r="K310" s="5" t="s">
        <v>8586</v>
      </c>
      <c r="L310" s="6" t="s">
        <v>42</v>
      </c>
      <c r="M310" s="5" t="s">
        <v>1059</v>
      </c>
      <c r="N310" s="5" t="s">
        <v>64</v>
      </c>
      <c r="O310" s="5" t="s">
        <v>9472</v>
      </c>
      <c r="P310" s="6">
        <v>8109.0</v>
      </c>
    </row>
    <row r="311" ht="56.25" customHeight="1">
      <c r="A311" s="5" t="s">
        <v>9464</v>
      </c>
      <c r="B311" s="6" t="str">
        <f>IMAGE("https://storage.googleapis.com/acdb/tops/TopsTexTopYshirtsLBlazer0.png")</f>
        <v/>
      </c>
      <c r="C311" s="5" t="s">
        <v>96</v>
      </c>
      <c r="D311" s="8" t="s">
        <v>36</v>
      </c>
      <c r="E311" s="6">
        <v>1960.0</v>
      </c>
      <c r="F311" s="6">
        <v>490.0</v>
      </c>
      <c r="G311" s="5" t="s">
        <v>96</v>
      </c>
      <c r="H311" s="5" t="s">
        <v>52</v>
      </c>
      <c r="I311" s="6" t="s">
        <v>40</v>
      </c>
      <c r="J311" s="5" t="s">
        <v>8585</v>
      </c>
      <c r="K311" s="5" t="s">
        <v>8586</v>
      </c>
      <c r="L311" s="6" t="s">
        <v>42</v>
      </c>
      <c r="M311" s="5" t="s">
        <v>1059</v>
      </c>
      <c r="N311" s="5" t="s">
        <v>64</v>
      </c>
      <c r="O311" s="5" t="s">
        <v>9473</v>
      </c>
      <c r="P311" s="6">
        <v>3269.0</v>
      </c>
    </row>
    <row r="312" ht="56.25" customHeight="1">
      <c r="A312" s="5" t="s">
        <v>9474</v>
      </c>
      <c r="B312" s="6" t="str">
        <f>IMAGE("https://storage.googleapis.com/acdb/tops/TopsTexTopTshirtsNEmbroidery0.png")</f>
        <v/>
      </c>
      <c r="C312" s="5" t="s">
        <v>52</v>
      </c>
      <c r="D312" s="8" t="s">
        <v>36</v>
      </c>
      <c r="E312" s="6">
        <v>960.0</v>
      </c>
      <c r="F312" s="6">
        <v>240.0</v>
      </c>
      <c r="G312" s="5" t="s">
        <v>52</v>
      </c>
      <c r="H312" s="5" t="s">
        <v>57</v>
      </c>
      <c r="I312" s="6" t="s">
        <v>40</v>
      </c>
      <c r="J312" s="5" t="s">
        <v>8585</v>
      </c>
      <c r="K312" s="5" t="s">
        <v>8632</v>
      </c>
      <c r="L312" s="6" t="s">
        <v>42</v>
      </c>
      <c r="M312" s="5" t="s">
        <v>1959</v>
      </c>
      <c r="N312" s="5" t="s">
        <v>64</v>
      </c>
      <c r="O312" s="5" t="s">
        <v>9477</v>
      </c>
      <c r="P312" s="6">
        <v>5441.0</v>
      </c>
    </row>
    <row r="313" ht="56.25" customHeight="1">
      <c r="A313" s="5" t="s">
        <v>9474</v>
      </c>
      <c r="B313" s="6" t="str">
        <f>IMAGE("https://storage.googleapis.com/acdb/tops/TopsTexTopTshirtsNEmbroidery1.png")</f>
        <v/>
      </c>
      <c r="C313" s="5" t="s">
        <v>106</v>
      </c>
      <c r="D313" s="8" t="s">
        <v>36</v>
      </c>
      <c r="E313" s="6">
        <v>960.0</v>
      </c>
      <c r="F313" s="6">
        <v>240.0</v>
      </c>
      <c r="G313" s="5" t="s">
        <v>106</v>
      </c>
      <c r="H313" s="5" t="s">
        <v>57</v>
      </c>
      <c r="I313" s="6" t="s">
        <v>40</v>
      </c>
      <c r="J313" s="5" t="s">
        <v>8585</v>
      </c>
      <c r="K313" s="5" t="s">
        <v>8632</v>
      </c>
      <c r="L313" s="6" t="s">
        <v>42</v>
      </c>
      <c r="M313" s="5" t="s">
        <v>1959</v>
      </c>
      <c r="N313" s="5" t="s">
        <v>64</v>
      </c>
      <c r="O313" s="5" t="s">
        <v>9479</v>
      </c>
      <c r="P313" s="6">
        <v>8090.0</v>
      </c>
    </row>
    <row r="314" ht="56.25" customHeight="1">
      <c r="A314" s="5" t="s">
        <v>9474</v>
      </c>
      <c r="B314" s="6" t="str">
        <f>IMAGE("https://storage.googleapis.com/acdb/tops/TopsTexTopTshirtsNEmbroidery2.png")</f>
        <v/>
      </c>
      <c r="C314" s="5" t="s">
        <v>68</v>
      </c>
      <c r="D314" s="8" t="s">
        <v>36</v>
      </c>
      <c r="E314" s="6">
        <v>960.0</v>
      </c>
      <c r="F314" s="6">
        <v>240.0</v>
      </c>
      <c r="G314" s="5" t="s">
        <v>68</v>
      </c>
      <c r="H314" s="5" t="s">
        <v>57</v>
      </c>
      <c r="I314" s="6" t="s">
        <v>40</v>
      </c>
      <c r="J314" s="5" t="s">
        <v>8585</v>
      </c>
      <c r="K314" s="5" t="s">
        <v>8632</v>
      </c>
      <c r="L314" s="6" t="s">
        <v>42</v>
      </c>
      <c r="M314" s="5" t="s">
        <v>1959</v>
      </c>
      <c r="N314" s="5" t="s">
        <v>64</v>
      </c>
      <c r="O314" s="5" t="s">
        <v>9481</v>
      </c>
      <c r="P314" s="6">
        <v>8091.0</v>
      </c>
    </row>
    <row r="315" ht="56.25" customHeight="1">
      <c r="A315" s="5" t="s">
        <v>9474</v>
      </c>
      <c r="B315" s="6" t="str">
        <f>IMAGE("https://storage.googleapis.com/acdb/tops/TopsTexTopTshirtsNEmbroidery3.png")</f>
        <v/>
      </c>
      <c r="C315" s="5" t="s">
        <v>69</v>
      </c>
      <c r="D315" s="8" t="s">
        <v>36</v>
      </c>
      <c r="E315" s="6">
        <v>960.0</v>
      </c>
      <c r="F315" s="6">
        <v>240.0</v>
      </c>
      <c r="G315" s="5" t="s">
        <v>69</v>
      </c>
      <c r="H315" s="5" t="s">
        <v>57</v>
      </c>
      <c r="I315" s="6" t="s">
        <v>40</v>
      </c>
      <c r="J315" s="5" t="s">
        <v>8585</v>
      </c>
      <c r="K315" s="5" t="s">
        <v>8632</v>
      </c>
      <c r="L315" s="6" t="s">
        <v>42</v>
      </c>
      <c r="M315" s="5" t="s">
        <v>1959</v>
      </c>
      <c r="N315" s="5" t="s">
        <v>64</v>
      </c>
      <c r="O315" s="5" t="s">
        <v>9484</v>
      </c>
      <c r="P315" s="6">
        <v>8092.0</v>
      </c>
    </row>
    <row r="316" ht="56.25" customHeight="1">
      <c r="A316" s="5" t="s">
        <v>9474</v>
      </c>
      <c r="B316" s="6" t="str">
        <f>IMAGE("https://storage.googleapis.com/acdb/tops/TopsTexTopTshirtsNEmbroidery4.png")</f>
        <v/>
      </c>
      <c r="C316" s="5" t="s">
        <v>96</v>
      </c>
      <c r="D316" s="8" t="s">
        <v>36</v>
      </c>
      <c r="E316" s="6">
        <v>960.0</v>
      </c>
      <c r="F316" s="6">
        <v>240.0</v>
      </c>
      <c r="G316" s="5" t="s">
        <v>96</v>
      </c>
      <c r="H316" s="5" t="s">
        <v>57</v>
      </c>
      <c r="I316" s="6" t="s">
        <v>40</v>
      </c>
      <c r="J316" s="5" t="s">
        <v>8585</v>
      </c>
      <c r="K316" s="5" t="s">
        <v>8632</v>
      </c>
      <c r="L316" s="6" t="s">
        <v>42</v>
      </c>
      <c r="M316" s="5" t="s">
        <v>1959</v>
      </c>
      <c r="N316" s="5" t="s">
        <v>64</v>
      </c>
      <c r="O316" s="5" t="s">
        <v>9486</v>
      </c>
      <c r="P316" s="6">
        <v>8093.0</v>
      </c>
    </row>
    <row r="317" ht="56.25" customHeight="1">
      <c r="A317" s="5" t="s">
        <v>9474</v>
      </c>
      <c r="B317" s="6" t="str">
        <f>IMAGE("https://storage.googleapis.com/acdb/tops/TopsTexTopTshirtsNEmbroidery5.png")</f>
        <v/>
      </c>
      <c r="C317" s="5" t="s">
        <v>38</v>
      </c>
      <c r="D317" s="8" t="s">
        <v>36</v>
      </c>
      <c r="E317" s="6">
        <v>960.0</v>
      </c>
      <c r="F317" s="6">
        <v>240.0</v>
      </c>
      <c r="G317" s="5" t="s">
        <v>142</v>
      </c>
      <c r="H317" s="5" t="s">
        <v>57</v>
      </c>
      <c r="I317" s="6" t="s">
        <v>40</v>
      </c>
      <c r="J317" s="5" t="s">
        <v>8585</v>
      </c>
      <c r="K317" s="5" t="s">
        <v>8632</v>
      </c>
      <c r="L317" s="6" t="s">
        <v>42</v>
      </c>
      <c r="M317" s="5" t="s">
        <v>1959</v>
      </c>
      <c r="N317" s="5" t="s">
        <v>64</v>
      </c>
      <c r="O317" s="5" t="s">
        <v>9488</v>
      </c>
      <c r="P317" s="6">
        <v>8094.0</v>
      </c>
    </row>
    <row r="318" ht="56.25" customHeight="1">
      <c r="A318" s="5" t="s">
        <v>9474</v>
      </c>
      <c r="B318" s="6" t="str">
        <f>IMAGE("https://storage.googleapis.com/acdb/tops/TopsTexTopTshirtsNEmbroidery6.png")</f>
        <v/>
      </c>
      <c r="C318" s="5" t="s">
        <v>1187</v>
      </c>
      <c r="D318" s="8" t="s">
        <v>36</v>
      </c>
      <c r="E318" s="6">
        <v>960.0</v>
      </c>
      <c r="F318" s="6">
        <v>240.0</v>
      </c>
      <c r="G318" s="5" t="s">
        <v>68</v>
      </c>
      <c r="H318" s="5" t="s">
        <v>57</v>
      </c>
      <c r="I318" s="6" t="s">
        <v>40</v>
      </c>
      <c r="J318" s="5" t="s">
        <v>8585</v>
      </c>
      <c r="K318" s="5" t="s">
        <v>8632</v>
      </c>
      <c r="L318" s="6" t="s">
        <v>42</v>
      </c>
      <c r="M318" s="5" t="s">
        <v>1959</v>
      </c>
      <c r="N318" s="5" t="s">
        <v>64</v>
      </c>
      <c r="O318" s="5" t="s">
        <v>9490</v>
      </c>
      <c r="P318" s="6">
        <v>8095.0</v>
      </c>
    </row>
    <row r="319" ht="56.25" customHeight="1">
      <c r="A319" s="5" t="s">
        <v>9491</v>
      </c>
      <c r="B319" s="6" t="str">
        <f>IMAGE("https://storage.googleapis.com/acdb/tops/TopsTexTopYshirtsLKids0.png")</f>
        <v/>
      </c>
      <c r="C319" s="5" t="s">
        <v>114</v>
      </c>
      <c r="D319" s="8" t="s">
        <v>36</v>
      </c>
      <c r="E319" s="6">
        <v>960.0</v>
      </c>
      <c r="F319" s="6">
        <v>240.0</v>
      </c>
      <c r="G319" s="5" t="s">
        <v>114</v>
      </c>
      <c r="H319" s="5" t="s">
        <v>83</v>
      </c>
      <c r="I319" s="6" t="s">
        <v>40</v>
      </c>
      <c r="J319" s="5" t="s">
        <v>8585</v>
      </c>
      <c r="K319" s="5" t="s">
        <v>8632</v>
      </c>
      <c r="L319" s="6" t="s">
        <v>42</v>
      </c>
      <c r="M319" s="5" t="s">
        <v>995</v>
      </c>
      <c r="N319" s="5" t="s">
        <v>64</v>
      </c>
      <c r="O319" s="5" t="s">
        <v>9492</v>
      </c>
      <c r="P319" s="6">
        <v>5262.0</v>
      </c>
    </row>
    <row r="320" ht="56.25" customHeight="1">
      <c r="A320" s="5" t="s">
        <v>9491</v>
      </c>
      <c r="B320" s="6" t="str">
        <f>IMAGE("https://storage.googleapis.com/acdb/tops/TopsTexTopYshirtsLKids1.png")</f>
        <v/>
      </c>
      <c r="C320" s="5" t="s">
        <v>83</v>
      </c>
      <c r="D320" s="8" t="s">
        <v>36</v>
      </c>
      <c r="E320" s="6">
        <v>960.0</v>
      </c>
      <c r="F320" s="6">
        <v>240.0</v>
      </c>
      <c r="G320" s="5" t="s">
        <v>83</v>
      </c>
      <c r="H320" s="5" t="s">
        <v>69</v>
      </c>
      <c r="I320" s="6" t="s">
        <v>40</v>
      </c>
      <c r="J320" s="5" t="s">
        <v>8585</v>
      </c>
      <c r="K320" s="5" t="s">
        <v>8632</v>
      </c>
      <c r="L320" s="6" t="s">
        <v>42</v>
      </c>
      <c r="M320" s="5" t="s">
        <v>995</v>
      </c>
      <c r="N320" s="5" t="s">
        <v>64</v>
      </c>
      <c r="O320" s="5" t="s">
        <v>9496</v>
      </c>
      <c r="P320" s="6">
        <v>7636.0</v>
      </c>
    </row>
    <row r="321" ht="56.25" customHeight="1">
      <c r="A321" s="5" t="s">
        <v>9491</v>
      </c>
      <c r="B321" s="6" t="str">
        <f>IMAGE("https://storage.googleapis.com/acdb/tops/TopsTexTopYshirtsLKids2.png")</f>
        <v/>
      </c>
      <c r="C321" s="5" t="s">
        <v>106</v>
      </c>
      <c r="D321" s="8" t="s">
        <v>36</v>
      </c>
      <c r="E321" s="6">
        <v>960.0</v>
      </c>
      <c r="F321" s="6">
        <v>240.0</v>
      </c>
      <c r="G321" s="5" t="s">
        <v>106</v>
      </c>
      <c r="H321" s="5" t="s">
        <v>96</v>
      </c>
      <c r="I321" s="6" t="s">
        <v>40</v>
      </c>
      <c r="J321" s="5" t="s">
        <v>8585</v>
      </c>
      <c r="K321" s="5" t="s">
        <v>8632</v>
      </c>
      <c r="L321" s="6" t="s">
        <v>42</v>
      </c>
      <c r="M321" s="5" t="s">
        <v>995</v>
      </c>
      <c r="N321" s="5" t="s">
        <v>64</v>
      </c>
      <c r="O321" s="5" t="s">
        <v>9497</v>
      </c>
      <c r="P321" s="6">
        <v>7637.0</v>
      </c>
    </row>
    <row r="322" ht="56.25" customHeight="1">
      <c r="A322" s="5" t="s">
        <v>9491</v>
      </c>
      <c r="B322" s="6" t="str">
        <f>IMAGE("https://storage.googleapis.com/acdb/tops/TopsTexTopYshirtsLKids3.png")</f>
        <v/>
      </c>
      <c r="C322" s="5" t="s">
        <v>69</v>
      </c>
      <c r="D322" s="8" t="s">
        <v>36</v>
      </c>
      <c r="E322" s="6">
        <v>960.0</v>
      </c>
      <c r="F322" s="6">
        <v>240.0</v>
      </c>
      <c r="G322" s="5" t="s">
        <v>69</v>
      </c>
      <c r="H322" s="5" t="s">
        <v>114</v>
      </c>
      <c r="I322" s="6" t="s">
        <v>40</v>
      </c>
      <c r="J322" s="5" t="s">
        <v>8585</v>
      </c>
      <c r="K322" s="5" t="s">
        <v>8632</v>
      </c>
      <c r="L322" s="6" t="s">
        <v>42</v>
      </c>
      <c r="M322" s="5" t="s">
        <v>995</v>
      </c>
      <c r="N322" s="5" t="s">
        <v>64</v>
      </c>
      <c r="O322" s="5" t="s">
        <v>9501</v>
      </c>
      <c r="P322" s="6">
        <v>7638.0</v>
      </c>
    </row>
    <row r="323" ht="56.25" customHeight="1">
      <c r="A323" s="5" t="s">
        <v>9502</v>
      </c>
      <c r="B323" s="6" t="str">
        <f>IMAGE("https://storage.googleapis.com/acdb/tops/TopsTexTopYshirtsHExplorer1.png")</f>
        <v/>
      </c>
      <c r="C323" s="5" t="s">
        <v>2222</v>
      </c>
      <c r="D323" s="8" t="s">
        <v>36</v>
      </c>
      <c r="E323" s="6">
        <v>1120.0</v>
      </c>
      <c r="F323" s="6">
        <v>280.0</v>
      </c>
      <c r="G323" s="5" t="s">
        <v>96</v>
      </c>
      <c r="H323" s="5" t="s">
        <v>52</v>
      </c>
      <c r="I323" s="6" t="s">
        <v>40</v>
      </c>
      <c r="J323" s="5" t="s">
        <v>8585</v>
      </c>
      <c r="K323" s="5" t="s">
        <v>8632</v>
      </c>
      <c r="L323" s="6" t="s">
        <v>42</v>
      </c>
      <c r="M323" s="5" t="s">
        <v>8746</v>
      </c>
      <c r="N323" s="5" t="s">
        <v>64</v>
      </c>
      <c r="O323" s="5" t="s">
        <v>9503</v>
      </c>
      <c r="P323" s="6">
        <v>9431.0</v>
      </c>
    </row>
    <row r="324" ht="56.25" customHeight="1">
      <c r="A324" s="5" t="s">
        <v>9502</v>
      </c>
      <c r="B324" s="6" t="str">
        <f>IMAGE("https://storage.googleapis.com/acdb/tops/TopsTexTopYshirtsHExplorer2.png")</f>
        <v/>
      </c>
      <c r="C324" s="5" t="s">
        <v>38</v>
      </c>
      <c r="D324" s="8" t="s">
        <v>36</v>
      </c>
      <c r="E324" s="6">
        <v>1120.0</v>
      </c>
      <c r="F324" s="6">
        <v>280.0</v>
      </c>
      <c r="G324" s="5" t="s">
        <v>95</v>
      </c>
      <c r="H324" s="5" t="s">
        <v>96</v>
      </c>
      <c r="I324" s="6" t="s">
        <v>40</v>
      </c>
      <c r="J324" s="5" t="s">
        <v>8585</v>
      </c>
      <c r="K324" s="5" t="s">
        <v>8632</v>
      </c>
      <c r="L324" s="6" t="s">
        <v>42</v>
      </c>
      <c r="M324" s="5" t="s">
        <v>8746</v>
      </c>
      <c r="N324" s="5" t="s">
        <v>64</v>
      </c>
      <c r="O324" s="5" t="s">
        <v>9505</v>
      </c>
      <c r="P324" s="6">
        <v>9432.0</v>
      </c>
    </row>
    <row r="325" ht="56.25" customHeight="1">
      <c r="A325" s="5" t="s">
        <v>9502</v>
      </c>
      <c r="B325" s="6" t="str">
        <f>IMAGE("https://storage.googleapis.com/acdb/tops/TopsTexTopYshirtsHExplorer3.png")</f>
        <v/>
      </c>
      <c r="C325" s="5" t="s">
        <v>68</v>
      </c>
      <c r="D325" s="8" t="s">
        <v>36</v>
      </c>
      <c r="E325" s="6">
        <v>1120.0</v>
      </c>
      <c r="F325" s="6">
        <v>280.0</v>
      </c>
      <c r="G325" s="5" t="s">
        <v>68</v>
      </c>
      <c r="H325" s="5" t="s">
        <v>114</v>
      </c>
      <c r="I325" s="6" t="s">
        <v>40</v>
      </c>
      <c r="J325" s="5" t="s">
        <v>8585</v>
      </c>
      <c r="K325" s="5" t="s">
        <v>8632</v>
      </c>
      <c r="L325" s="6" t="s">
        <v>42</v>
      </c>
      <c r="M325" s="5" t="s">
        <v>8746</v>
      </c>
      <c r="N325" s="5" t="s">
        <v>64</v>
      </c>
      <c r="O325" s="5" t="s">
        <v>9508</v>
      </c>
      <c r="P325" s="6">
        <v>9433.0</v>
      </c>
    </row>
    <row r="326" ht="56.25" customHeight="1">
      <c r="A326" s="5" t="s">
        <v>9502</v>
      </c>
      <c r="B326" s="6" t="str">
        <f>IMAGE("https://storage.googleapis.com/acdb/tops/TopsTexTopYshirtsHExplorer0.png")</f>
        <v/>
      </c>
      <c r="C326" s="5" t="s">
        <v>2408</v>
      </c>
      <c r="D326" s="8" t="s">
        <v>36</v>
      </c>
      <c r="E326" s="6">
        <v>1120.0</v>
      </c>
      <c r="F326" s="6">
        <v>280.0</v>
      </c>
      <c r="G326" s="5" t="s">
        <v>38</v>
      </c>
      <c r="H326" s="5" t="s">
        <v>142</v>
      </c>
      <c r="I326" s="6" t="s">
        <v>40</v>
      </c>
      <c r="J326" s="5" t="s">
        <v>8585</v>
      </c>
      <c r="K326" s="5" t="s">
        <v>8632</v>
      </c>
      <c r="L326" s="6" t="s">
        <v>42</v>
      </c>
      <c r="M326" s="5" t="s">
        <v>8746</v>
      </c>
      <c r="N326" s="5" t="s">
        <v>64</v>
      </c>
      <c r="O326" s="5" t="s">
        <v>9510</v>
      </c>
      <c r="P326" s="6">
        <v>3264.0</v>
      </c>
    </row>
    <row r="327" ht="56.25" customHeight="1">
      <c r="A327" s="5" t="s">
        <v>9512</v>
      </c>
      <c r="B327" s="6" t="str">
        <f>IMAGE("https://storage.googleapis.com/acdb/tops/TopsTexTopOuterLMohair1.png")</f>
        <v/>
      </c>
      <c r="C327" s="5" t="s">
        <v>57</v>
      </c>
      <c r="D327" s="8" t="s">
        <v>36</v>
      </c>
      <c r="E327" s="6">
        <v>1200.0</v>
      </c>
      <c r="F327" s="6">
        <v>300.0</v>
      </c>
      <c r="G327" s="5" t="s">
        <v>57</v>
      </c>
      <c r="H327" s="5" t="s">
        <v>54</v>
      </c>
      <c r="I327" s="6" t="s">
        <v>40</v>
      </c>
      <c r="J327" s="5" t="s">
        <v>8585</v>
      </c>
      <c r="K327" s="5" t="s">
        <v>8632</v>
      </c>
      <c r="L327" s="6" t="s">
        <v>42</v>
      </c>
      <c r="M327" s="5" t="s">
        <v>1952</v>
      </c>
      <c r="N327" s="5" t="s">
        <v>64</v>
      </c>
      <c r="O327" s="5" t="s">
        <v>9513</v>
      </c>
      <c r="P327" s="6">
        <v>7648.0</v>
      </c>
    </row>
    <row r="328" ht="56.25" customHeight="1">
      <c r="A328" s="5" t="s">
        <v>9512</v>
      </c>
      <c r="B328" s="6" t="str">
        <f>IMAGE("https://storage.googleapis.com/acdb/tops/TopsTexTopOuterLMohair0.png")</f>
        <v/>
      </c>
      <c r="C328" s="5" t="s">
        <v>52</v>
      </c>
      <c r="D328" s="8" t="s">
        <v>36</v>
      </c>
      <c r="E328" s="6">
        <v>1200.0</v>
      </c>
      <c r="F328" s="6">
        <v>300.0</v>
      </c>
      <c r="G328" s="5" t="s">
        <v>52</v>
      </c>
      <c r="H328" s="5" t="s">
        <v>54</v>
      </c>
      <c r="I328" s="6" t="s">
        <v>40</v>
      </c>
      <c r="J328" s="5" t="s">
        <v>8585</v>
      </c>
      <c r="K328" s="5" t="s">
        <v>8632</v>
      </c>
      <c r="L328" s="6" t="s">
        <v>42</v>
      </c>
      <c r="M328" s="5" t="s">
        <v>1952</v>
      </c>
      <c r="N328" s="5" t="s">
        <v>64</v>
      </c>
      <c r="O328" s="5" t="s">
        <v>9516</v>
      </c>
      <c r="P328" s="6">
        <v>4417.0</v>
      </c>
    </row>
    <row r="329" ht="56.25" customHeight="1">
      <c r="A329" s="5" t="s">
        <v>9517</v>
      </c>
      <c r="B329" s="6" t="str">
        <f>IMAGE("https://storage.googleapis.com/acdb/tops/TopsTexTopCoatLMouton2.png")</f>
        <v/>
      </c>
      <c r="C329" s="5" t="s">
        <v>96</v>
      </c>
      <c r="D329" s="8" t="s">
        <v>36</v>
      </c>
      <c r="E329" s="6">
        <v>1680.0</v>
      </c>
      <c r="F329" s="6">
        <v>420.0</v>
      </c>
      <c r="G329" s="5" t="s">
        <v>96</v>
      </c>
      <c r="H329" s="5" t="s">
        <v>57</v>
      </c>
      <c r="I329" s="6" t="s">
        <v>40</v>
      </c>
      <c r="J329" s="5" t="s">
        <v>8585</v>
      </c>
      <c r="K329" s="5" t="s">
        <v>8632</v>
      </c>
      <c r="L329" s="6" t="s">
        <v>42</v>
      </c>
      <c r="M329" s="5" t="s">
        <v>1059</v>
      </c>
      <c r="N329" s="5" t="s">
        <v>64</v>
      </c>
      <c r="O329" s="5" t="s">
        <v>9518</v>
      </c>
      <c r="P329" s="6">
        <v>9223.0</v>
      </c>
    </row>
    <row r="330" ht="56.25" customHeight="1">
      <c r="A330" s="5" t="s">
        <v>9517</v>
      </c>
      <c r="B330" s="6" t="str">
        <f>IMAGE("https://storage.googleapis.com/acdb/tops/TopsTexTopCoatLMouton3.png")</f>
        <v/>
      </c>
      <c r="C330" s="5" t="s">
        <v>54</v>
      </c>
      <c r="D330" s="8" t="s">
        <v>36</v>
      </c>
      <c r="E330" s="6">
        <v>1680.0</v>
      </c>
      <c r="F330" s="6">
        <v>420.0</v>
      </c>
      <c r="G330" s="5" t="s">
        <v>54</v>
      </c>
      <c r="H330" s="5" t="s">
        <v>57</v>
      </c>
      <c r="I330" s="6" t="s">
        <v>40</v>
      </c>
      <c r="J330" s="5" t="s">
        <v>8585</v>
      </c>
      <c r="K330" s="5" t="s">
        <v>8632</v>
      </c>
      <c r="L330" s="6" t="s">
        <v>42</v>
      </c>
      <c r="M330" s="5" t="s">
        <v>1059</v>
      </c>
      <c r="N330" s="5" t="s">
        <v>64</v>
      </c>
      <c r="O330" s="5" t="s">
        <v>9522</v>
      </c>
      <c r="P330" s="6">
        <v>9224.0</v>
      </c>
    </row>
    <row r="331" ht="56.25" customHeight="1">
      <c r="A331" s="5" t="s">
        <v>9517</v>
      </c>
      <c r="B331" s="6" t="str">
        <f>IMAGE("https://storage.googleapis.com/acdb/tops/TopsTexTopCoatLMouton4.png")</f>
        <v/>
      </c>
      <c r="C331" s="5" t="s">
        <v>95</v>
      </c>
      <c r="D331" s="8" t="s">
        <v>36</v>
      </c>
      <c r="E331" s="6">
        <v>1680.0</v>
      </c>
      <c r="F331" s="6">
        <v>420.0</v>
      </c>
      <c r="G331" s="5" t="s">
        <v>95</v>
      </c>
      <c r="H331" s="5" t="s">
        <v>57</v>
      </c>
      <c r="I331" s="6" t="s">
        <v>40</v>
      </c>
      <c r="J331" s="5" t="s">
        <v>8585</v>
      </c>
      <c r="K331" s="5" t="s">
        <v>8632</v>
      </c>
      <c r="L331" s="6" t="s">
        <v>42</v>
      </c>
      <c r="M331" s="5" t="s">
        <v>1059</v>
      </c>
      <c r="N331" s="5" t="s">
        <v>64</v>
      </c>
      <c r="O331" s="5" t="s">
        <v>9523</v>
      </c>
      <c r="P331" s="6">
        <v>9225.0</v>
      </c>
    </row>
    <row r="332" ht="56.25" customHeight="1">
      <c r="A332" s="5" t="s">
        <v>9517</v>
      </c>
      <c r="B332" s="6" t="str">
        <f>IMAGE("https://storage.googleapis.com/acdb/tops/TopsTexTopCoatLMouton0.png")</f>
        <v/>
      </c>
      <c r="C332" s="5" t="s">
        <v>38</v>
      </c>
      <c r="D332" s="8" t="s">
        <v>36</v>
      </c>
      <c r="E332" s="6">
        <v>1680.0</v>
      </c>
      <c r="F332" s="6">
        <v>420.0</v>
      </c>
      <c r="G332" s="5" t="s">
        <v>38</v>
      </c>
      <c r="H332" s="5" t="s">
        <v>57</v>
      </c>
      <c r="I332" s="6" t="s">
        <v>40</v>
      </c>
      <c r="J332" s="5" t="s">
        <v>8585</v>
      </c>
      <c r="K332" s="5" t="s">
        <v>8632</v>
      </c>
      <c r="L332" s="6" t="s">
        <v>42</v>
      </c>
      <c r="M332" s="5" t="s">
        <v>1059</v>
      </c>
      <c r="N332" s="5" t="s">
        <v>64</v>
      </c>
      <c r="O332" s="5" t="s">
        <v>9525</v>
      </c>
      <c r="P332" s="6">
        <v>3222.0</v>
      </c>
    </row>
    <row r="333" ht="56.25" customHeight="1">
      <c r="A333" s="5" t="s">
        <v>9517</v>
      </c>
      <c r="B333" s="6" t="str">
        <f>IMAGE("https://storage.googleapis.com/acdb/tops/TopsTexTopCoatLMouton1.png")</f>
        <v/>
      </c>
      <c r="C333" s="5" t="s">
        <v>69</v>
      </c>
      <c r="D333" s="8" t="s">
        <v>36</v>
      </c>
      <c r="E333" s="6">
        <v>1680.0</v>
      </c>
      <c r="F333" s="6">
        <v>420.0</v>
      </c>
      <c r="G333" s="5" t="s">
        <v>69</v>
      </c>
      <c r="H333" s="5" t="s">
        <v>57</v>
      </c>
      <c r="I333" s="6" t="s">
        <v>40</v>
      </c>
      <c r="J333" s="5" t="s">
        <v>8585</v>
      </c>
      <c r="K333" s="5" t="s">
        <v>8632</v>
      </c>
      <c r="L333" s="6" t="s">
        <v>42</v>
      </c>
      <c r="M333" s="5" t="s">
        <v>1059</v>
      </c>
      <c r="N333" s="5" t="s">
        <v>64</v>
      </c>
      <c r="O333" s="5" t="s">
        <v>9527</v>
      </c>
      <c r="P333" s="6">
        <v>9222.0</v>
      </c>
    </row>
    <row r="334" ht="56.25" customHeight="1">
      <c r="A334" s="5" t="s">
        <v>9528</v>
      </c>
      <c r="B334" s="6" t="str">
        <f>IMAGE("https://storage.googleapis.com/acdb/tops/TopsTexTopYshirtsLFischerhemdBlue.png")</f>
        <v/>
      </c>
      <c r="C334" s="5" t="s">
        <v>34</v>
      </c>
      <c r="D334" s="8" t="s">
        <v>36</v>
      </c>
      <c r="E334" s="6">
        <v>1800.0</v>
      </c>
      <c r="F334" s="6">
        <v>450.0</v>
      </c>
      <c r="G334" s="5" t="s">
        <v>68</v>
      </c>
      <c r="H334" s="5" t="s">
        <v>52</v>
      </c>
      <c r="I334" s="6" t="s">
        <v>40</v>
      </c>
      <c r="J334" s="5" t="s">
        <v>8585</v>
      </c>
      <c r="K334" s="5" t="s">
        <v>8632</v>
      </c>
      <c r="L334" s="6" t="s">
        <v>42</v>
      </c>
      <c r="M334" s="5" t="s">
        <v>995</v>
      </c>
      <c r="N334" s="5" t="s">
        <v>64</v>
      </c>
      <c r="O334" s="5" t="s">
        <v>9530</v>
      </c>
      <c r="P334" s="6">
        <v>5658.0</v>
      </c>
    </row>
    <row r="335" ht="56.25" customHeight="1">
      <c r="A335" s="5" t="s">
        <v>9531</v>
      </c>
      <c r="B335" s="6" t="str">
        <f>IMAGE("https://storage.googleapis.com/acdb/tops/TopsTexTopTshirtsHFish0.png")</f>
        <v/>
      </c>
      <c r="C335" s="5" t="s">
        <v>34</v>
      </c>
      <c r="D335" s="8" t="s">
        <v>36</v>
      </c>
      <c r="E335" s="6" t="s">
        <v>37</v>
      </c>
      <c r="F335" s="6">
        <v>160.0</v>
      </c>
      <c r="G335" s="5" t="s">
        <v>38</v>
      </c>
      <c r="H335" s="5" t="s">
        <v>114</v>
      </c>
      <c r="I335" s="6" t="s">
        <v>40</v>
      </c>
      <c r="J335" s="5" t="s">
        <v>137</v>
      </c>
      <c r="K335" s="5"/>
      <c r="L335" s="6" t="s">
        <v>42</v>
      </c>
      <c r="M335" s="5" t="s">
        <v>995</v>
      </c>
      <c r="N335" s="5" t="s">
        <v>48</v>
      </c>
      <c r="O335" s="5" t="s">
        <v>9534</v>
      </c>
      <c r="P335" s="6">
        <v>8765.0</v>
      </c>
    </row>
    <row r="336" ht="56.25" customHeight="1">
      <c r="A336" s="5" t="s">
        <v>9535</v>
      </c>
      <c r="B336" s="6" t="str">
        <f>IMAGE("https://storage.googleapis.com/acdb/tops/TopsTexTopTshirtsHFishing1.png")</f>
        <v/>
      </c>
      <c r="C336" s="5" t="s">
        <v>68</v>
      </c>
      <c r="D336" s="8" t="s">
        <v>36</v>
      </c>
      <c r="E336" s="6">
        <v>1440.0</v>
      </c>
      <c r="F336" s="6">
        <v>360.0</v>
      </c>
      <c r="G336" s="5" t="s">
        <v>68</v>
      </c>
      <c r="H336" s="5" t="s">
        <v>57</v>
      </c>
      <c r="I336" s="6" t="s">
        <v>40</v>
      </c>
      <c r="J336" s="5" t="s">
        <v>8585</v>
      </c>
      <c r="K336" s="5" t="s">
        <v>8632</v>
      </c>
      <c r="L336" s="6" t="s">
        <v>42</v>
      </c>
      <c r="M336" s="5" t="s">
        <v>8746</v>
      </c>
      <c r="N336" s="5" t="s">
        <v>64</v>
      </c>
      <c r="O336" s="5" t="s">
        <v>9539</v>
      </c>
      <c r="P336" s="6">
        <v>8617.0</v>
      </c>
    </row>
    <row r="337" ht="56.25" customHeight="1">
      <c r="A337" s="5" t="s">
        <v>9535</v>
      </c>
      <c r="B337" s="6" t="str">
        <f>IMAGE("https://storage.googleapis.com/acdb/tops/TopsTexTopTshirtsHFishing2.png")</f>
        <v/>
      </c>
      <c r="C337" s="5" t="s">
        <v>142</v>
      </c>
      <c r="D337" s="8" t="s">
        <v>36</v>
      </c>
      <c r="E337" s="6">
        <v>1440.0</v>
      </c>
      <c r="F337" s="6">
        <v>360.0</v>
      </c>
      <c r="G337" s="5" t="s">
        <v>142</v>
      </c>
      <c r="H337" s="5" t="s">
        <v>57</v>
      </c>
      <c r="I337" s="6" t="s">
        <v>40</v>
      </c>
      <c r="J337" s="5" t="s">
        <v>8585</v>
      </c>
      <c r="K337" s="5" t="s">
        <v>8632</v>
      </c>
      <c r="L337" s="6" t="s">
        <v>42</v>
      </c>
      <c r="M337" s="5" t="s">
        <v>8746</v>
      </c>
      <c r="N337" s="5" t="s">
        <v>64</v>
      </c>
      <c r="O337" s="5" t="s">
        <v>9541</v>
      </c>
      <c r="P337" s="6">
        <v>8618.0</v>
      </c>
    </row>
    <row r="338" ht="56.25" customHeight="1">
      <c r="A338" s="5" t="s">
        <v>9535</v>
      </c>
      <c r="B338" s="6" t="str">
        <f>IMAGE("https://storage.googleapis.com/acdb/tops/TopsTexTopTshirtsHFishing3.png")</f>
        <v/>
      </c>
      <c r="C338" s="5" t="s">
        <v>106</v>
      </c>
      <c r="D338" s="8" t="s">
        <v>36</v>
      </c>
      <c r="E338" s="6">
        <v>1440.0</v>
      </c>
      <c r="F338" s="6">
        <v>360.0</v>
      </c>
      <c r="G338" s="5" t="s">
        <v>106</v>
      </c>
      <c r="H338" s="5" t="s">
        <v>57</v>
      </c>
      <c r="I338" s="6" t="s">
        <v>40</v>
      </c>
      <c r="J338" s="5" t="s">
        <v>8585</v>
      </c>
      <c r="K338" s="5" t="s">
        <v>8632</v>
      </c>
      <c r="L338" s="6" t="s">
        <v>42</v>
      </c>
      <c r="M338" s="5" t="s">
        <v>8746</v>
      </c>
      <c r="N338" s="5" t="s">
        <v>64</v>
      </c>
      <c r="O338" s="5" t="s">
        <v>9543</v>
      </c>
      <c r="P338" s="6">
        <v>8619.0</v>
      </c>
    </row>
    <row r="339" ht="56.25" customHeight="1">
      <c r="A339" s="5" t="s">
        <v>9535</v>
      </c>
      <c r="B339" s="6" t="str">
        <f>IMAGE("https://storage.googleapis.com/acdb/tops/TopsTexTopTshirtsHFishing0.png")</f>
        <v/>
      </c>
      <c r="C339" s="5" t="s">
        <v>52</v>
      </c>
      <c r="D339" s="8" t="s">
        <v>36</v>
      </c>
      <c r="E339" s="6">
        <v>1440.0</v>
      </c>
      <c r="F339" s="6">
        <v>360.0</v>
      </c>
      <c r="G339" s="5" t="s">
        <v>52</v>
      </c>
      <c r="H339" s="5" t="s">
        <v>57</v>
      </c>
      <c r="I339" s="6" t="s">
        <v>40</v>
      </c>
      <c r="J339" s="5" t="s">
        <v>8585</v>
      </c>
      <c r="K339" s="5" t="s">
        <v>8632</v>
      </c>
      <c r="L339" s="6" t="s">
        <v>42</v>
      </c>
      <c r="M339" s="5" t="s">
        <v>8746</v>
      </c>
      <c r="N339" s="5" t="s">
        <v>64</v>
      </c>
      <c r="O339" s="5" t="s">
        <v>9545</v>
      </c>
      <c r="P339" s="6">
        <v>3219.0</v>
      </c>
    </row>
    <row r="340" ht="56.25" customHeight="1">
      <c r="A340" s="5" t="s">
        <v>9535</v>
      </c>
      <c r="B340" s="6" t="str">
        <f>IMAGE("https://storage.googleapis.com/acdb/tops/TopsTexTopTshirtsHFishing4.png")</f>
        <v/>
      </c>
      <c r="C340" s="5" t="s">
        <v>54</v>
      </c>
      <c r="D340" s="8" t="s">
        <v>36</v>
      </c>
      <c r="E340" s="6">
        <v>1440.0</v>
      </c>
      <c r="F340" s="6">
        <v>360.0</v>
      </c>
      <c r="G340" s="5" t="s">
        <v>54</v>
      </c>
      <c r="H340" s="5" t="s">
        <v>57</v>
      </c>
      <c r="I340" s="6" t="s">
        <v>40</v>
      </c>
      <c r="J340" s="5" t="s">
        <v>8585</v>
      </c>
      <c r="K340" s="5" t="s">
        <v>8632</v>
      </c>
      <c r="L340" s="6" t="s">
        <v>42</v>
      </c>
      <c r="M340" s="5" t="s">
        <v>8746</v>
      </c>
      <c r="N340" s="5" t="s">
        <v>64</v>
      </c>
      <c r="O340" s="5" t="s">
        <v>9548</v>
      </c>
      <c r="P340" s="6">
        <v>8620.0</v>
      </c>
    </row>
    <row r="341" ht="56.25" customHeight="1">
      <c r="A341" s="5" t="s">
        <v>9535</v>
      </c>
      <c r="B341" s="6" t="str">
        <f>IMAGE("https://storage.googleapis.com/acdb/tops/TopsTexTopTshirtsHFishing5.png")</f>
        <v/>
      </c>
      <c r="C341" s="5" t="s">
        <v>69</v>
      </c>
      <c r="D341" s="8" t="s">
        <v>36</v>
      </c>
      <c r="E341" s="6">
        <v>1440.0</v>
      </c>
      <c r="F341" s="6">
        <v>360.0</v>
      </c>
      <c r="G341" s="5" t="s">
        <v>69</v>
      </c>
      <c r="H341" s="5" t="s">
        <v>57</v>
      </c>
      <c r="I341" s="6" t="s">
        <v>40</v>
      </c>
      <c r="J341" s="5" t="s">
        <v>8585</v>
      </c>
      <c r="K341" s="5" t="s">
        <v>8632</v>
      </c>
      <c r="L341" s="6" t="s">
        <v>42</v>
      </c>
      <c r="M341" s="5" t="s">
        <v>8746</v>
      </c>
      <c r="N341" s="5" t="s">
        <v>64</v>
      </c>
      <c r="O341" s="5" t="s">
        <v>9550</v>
      </c>
      <c r="P341" s="6">
        <v>8621.0</v>
      </c>
    </row>
    <row r="342" ht="56.25" customHeight="1">
      <c r="A342" s="5" t="s">
        <v>9535</v>
      </c>
      <c r="B342" s="6" t="str">
        <f>IMAGE("https://storage.googleapis.com/acdb/tops/TopsTexTopTshirtsHFishing6.png")</f>
        <v/>
      </c>
      <c r="C342" s="5" t="s">
        <v>96</v>
      </c>
      <c r="D342" s="8" t="s">
        <v>36</v>
      </c>
      <c r="E342" s="6">
        <v>1440.0</v>
      </c>
      <c r="F342" s="6">
        <v>360.0</v>
      </c>
      <c r="G342" s="5" t="s">
        <v>96</v>
      </c>
      <c r="H342" s="5" t="s">
        <v>57</v>
      </c>
      <c r="I342" s="6" t="s">
        <v>40</v>
      </c>
      <c r="J342" s="5" t="s">
        <v>8585</v>
      </c>
      <c r="K342" s="5" t="s">
        <v>8632</v>
      </c>
      <c r="L342" s="6" t="s">
        <v>42</v>
      </c>
      <c r="M342" s="5" t="s">
        <v>8746</v>
      </c>
      <c r="N342" s="5" t="s">
        <v>64</v>
      </c>
      <c r="O342" s="5" t="s">
        <v>9553</v>
      </c>
      <c r="P342" s="6">
        <v>8622.0</v>
      </c>
    </row>
    <row r="343" ht="56.25" customHeight="1">
      <c r="A343" s="5" t="s">
        <v>9535</v>
      </c>
      <c r="B343" s="6" t="str">
        <f>IMAGE("https://storage.googleapis.com/acdb/tops/TopsTexTopTshirtsHFishing7.png")</f>
        <v/>
      </c>
      <c r="C343" s="5" t="s">
        <v>2222</v>
      </c>
      <c r="D343" s="8" t="s">
        <v>36</v>
      </c>
      <c r="E343" s="6">
        <v>1440.0</v>
      </c>
      <c r="F343" s="6">
        <v>360.0</v>
      </c>
      <c r="G343" s="5" t="s">
        <v>96</v>
      </c>
      <c r="H343" s="5" t="s">
        <v>57</v>
      </c>
      <c r="I343" s="6" t="s">
        <v>40</v>
      </c>
      <c r="J343" s="5" t="s">
        <v>8585</v>
      </c>
      <c r="K343" s="5" t="s">
        <v>8632</v>
      </c>
      <c r="L343" s="6" t="s">
        <v>42</v>
      </c>
      <c r="M343" s="5" t="s">
        <v>8746</v>
      </c>
      <c r="N343" s="5" t="s">
        <v>64</v>
      </c>
      <c r="O343" s="5" t="s">
        <v>9555</v>
      </c>
      <c r="P343" s="6">
        <v>8623.0</v>
      </c>
    </row>
    <row r="344" ht="56.25" customHeight="1">
      <c r="A344" s="5" t="s">
        <v>9556</v>
      </c>
      <c r="B344" s="6" t="str">
        <f>IMAGE("https://storage.googleapis.com/acdb/tops/TopsTexTopTshirtsNFitness0.png")</f>
        <v/>
      </c>
      <c r="C344" s="5" t="s">
        <v>9021</v>
      </c>
      <c r="D344" s="8" t="s">
        <v>36</v>
      </c>
      <c r="E344" s="6">
        <v>800.0</v>
      </c>
      <c r="F344" s="6">
        <v>200.0</v>
      </c>
      <c r="G344" s="5" t="s">
        <v>96</v>
      </c>
      <c r="H344" s="5" t="s">
        <v>54</v>
      </c>
      <c r="I344" s="6" t="s">
        <v>40</v>
      </c>
      <c r="J344" s="5" t="s">
        <v>8585</v>
      </c>
      <c r="K344" s="5" t="s">
        <v>8632</v>
      </c>
      <c r="L344" s="6" t="s">
        <v>42</v>
      </c>
      <c r="M344" s="5" t="s">
        <v>8746</v>
      </c>
      <c r="N344" s="5" t="s">
        <v>64</v>
      </c>
      <c r="O344" s="5" t="s">
        <v>9558</v>
      </c>
      <c r="P344" s="6">
        <v>4205.0</v>
      </c>
    </row>
    <row r="345" ht="56.25" customHeight="1">
      <c r="A345" s="5" t="s">
        <v>9556</v>
      </c>
      <c r="B345" s="6" t="str">
        <f>IMAGE("https://storage.googleapis.com/acdb/tops/TopsTexTopTshirtsNFitness6.png")</f>
        <v/>
      </c>
      <c r="C345" s="5" t="s">
        <v>52</v>
      </c>
      <c r="D345" s="8" t="s">
        <v>36</v>
      </c>
      <c r="E345" s="6">
        <v>800.0</v>
      </c>
      <c r="F345" s="6">
        <v>200.0</v>
      </c>
      <c r="G345" s="5" t="s">
        <v>52</v>
      </c>
      <c r="H345" s="5" t="s">
        <v>54</v>
      </c>
      <c r="I345" s="6" t="s">
        <v>40</v>
      </c>
      <c r="J345" s="5" t="s">
        <v>8585</v>
      </c>
      <c r="K345" s="5" t="s">
        <v>8632</v>
      </c>
      <c r="L345" s="6" t="s">
        <v>42</v>
      </c>
      <c r="M345" s="5" t="s">
        <v>8746</v>
      </c>
      <c r="N345" s="5" t="s">
        <v>64</v>
      </c>
      <c r="O345" s="5" t="s">
        <v>9561</v>
      </c>
      <c r="P345" s="6">
        <v>8050.0</v>
      </c>
    </row>
    <row r="346" ht="56.25" customHeight="1">
      <c r="A346" s="5" t="s">
        <v>9556</v>
      </c>
      <c r="B346" s="6" t="str">
        <f>IMAGE("https://storage.googleapis.com/acdb/tops/TopsTexTopTshirtsNFitness7.png")</f>
        <v/>
      </c>
      <c r="C346" s="5" t="s">
        <v>106</v>
      </c>
      <c r="D346" s="8" t="s">
        <v>36</v>
      </c>
      <c r="E346" s="6">
        <v>800.0</v>
      </c>
      <c r="F346" s="6">
        <v>200.0</v>
      </c>
      <c r="G346" s="5" t="s">
        <v>106</v>
      </c>
      <c r="H346" s="5" t="s">
        <v>54</v>
      </c>
      <c r="I346" s="6" t="s">
        <v>40</v>
      </c>
      <c r="J346" s="5" t="s">
        <v>8585</v>
      </c>
      <c r="K346" s="5" t="s">
        <v>8632</v>
      </c>
      <c r="L346" s="6" t="s">
        <v>42</v>
      </c>
      <c r="M346" s="5" t="s">
        <v>8746</v>
      </c>
      <c r="N346" s="5" t="s">
        <v>64</v>
      </c>
      <c r="O346" s="5" t="s">
        <v>9564</v>
      </c>
      <c r="P346" s="6">
        <v>8051.0</v>
      </c>
    </row>
    <row r="347" ht="56.25" customHeight="1">
      <c r="A347" s="5" t="s">
        <v>9556</v>
      </c>
      <c r="B347" s="6" t="str">
        <f>IMAGE("https://storage.googleapis.com/acdb/tops/TopsTexTopTshirtsNFitness1.png")</f>
        <v/>
      </c>
      <c r="C347" s="5" t="s">
        <v>69</v>
      </c>
      <c r="D347" s="8" t="s">
        <v>36</v>
      </c>
      <c r="E347" s="6">
        <v>800.0</v>
      </c>
      <c r="F347" s="6">
        <v>200.0</v>
      </c>
      <c r="G347" s="5" t="s">
        <v>69</v>
      </c>
      <c r="H347" s="5" t="s">
        <v>54</v>
      </c>
      <c r="I347" s="6" t="s">
        <v>40</v>
      </c>
      <c r="J347" s="5" t="s">
        <v>8585</v>
      </c>
      <c r="K347" s="5" t="s">
        <v>8632</v>
      </c>
      <c r="L347" s="6" t="s">
        <v>42</v>
      </c>
      <c r="M347" s="5" t="s">
        <v>8746</v>
      </c>
      <c r="N347" s="5" t="s">
        <v>64</v>
      </c>
      <c r="O347" s="5" t="s">
        <v>9566</v>
      </c>
      <c r="P347" s="6">
        <v>8045.0</v>
      </c>
    </row>
    <row r="348" ht="56.25" customHeight="1">
      <c r="A348" s="5" t="s">
        <v>9556</v>
      </c>
      <c r="B348" s="6" t="str">
        <f>IMAGE("https://storage.googleapis.com/acdb/tops/TopsTexTopTshirtsNFitness2.png")</f>
        <v/>
      </c>
      <c r="C348" s="5" t="s">
        <v>83</v>
      </c>
      <c r="D348" s="8" t="s">
        <v>36</v>
      </c>
      <c r="E348" s="6">
        <v>800.0</v>
      </c>
      <c r="F348" s="6">
        <v>200.0</v>
      </c>
      <c r="G348" s="5" t="s">
        <v>83</v>
      </c>
      <c r="H348" s="5" t="s">
        <v>54</v>
      </c>
      <c r="I348" s="6" t="s">
        <v>40</v>
      </c>
      <c r="J348" s="5" t="s">
        <v>8585</v>
      </c>
      <c r="K348" s="5" t="s">
        <v>8632</v>
      </c>
      <c r="L348" s="6" t="s">
        <v>42</v>
      </c>
      <c r="M348" s="5" t="s">
        <v>8746</v>
      </c>
      <c r="N348" s="5" t="s">
        <v>64</v>
      </c>
      <c r="O348" s="5" t="s">
        <v>9569</v>
      </c>
      <c r="P348" s="6">
        <v>8046.0</v>
      </c>
    </row>
    <row r="349" ht="56.25" customHeight="1">
      <c r="A349" s="5" t="s">
        <v>9556</v>
      </c>
      <c r="B349" s="6" t="str">
        <f>IMAGE("https://storage.googleapis.com/acdb/tops/TopsTexTopTshirtsNFitness3.png")</f>
        <v/>
      </c>
      <c r="C349" s="5" t="s">
        <v>142</v>
      </c>
      <c r="D349" s="8" t="s">
        <v>36</v>
      </c>
      <c r="E349" s="6">
        <v>800.0</v>
      </c>
      <c r="F349" s="6">
        <v>200.0</v>
      </c>
      <c r="G349" s="5" t="s">
        <v>142</v>
      </c>
      <c r="H349" s="5" t="s">
        <v>54</v>
      </c>
      <c r="I349" s="6" t="s">
        <v>40</v>
      </c>
      <c r="J349" s="5" t="s">
        <v>8585</v>
      </c>
      <c r="K349" s="5" t="s">
        <v>8632</v>
      </c>
      <c r="L349" s="6" t="s">
        <v>42</v>
      </c>
      <c r="M349" s="5" t="s">
        <v>8746</v>
      </c>
      <c r="N349" s="5" t="s">
        <v>64</v>
      </c>
      <c r="O349" s="5" t="s">
        <v>9571</v>
      </c>
      <c r="P349" s="6">
        <v>8047.0</v>
      </c>
    </row>
    <row r="350" ht="56.25" customHeight="1">
      <c r="A350" s="5" t="s">
        <v>9556</v>
      </c>
      <c r="B350" s="6" t="str">
        <f>IMAGE("https://storage.googleapis.com/acdb/tops/TopsTexTopTshirtsNFitness4.png")</f>
        <v/>
      </c>
      <c r="C350" s="5" t="s">
        <v>54</v>
      </c>
      <c r="D350" s="8" t="s">
        <v>36</v>
      </c>
      <c r="E350" s="6">
        <v>800.0</v>
      </c>
      <c r="F350" s="6">
        <v>200.0</v>
      </c>
      <c r="G350" s="5" t="s">
        <v>54</v>
      </c>
      <c r="H350" s="5" t="s">
        <v>54</v>
      </c>
      <c r="I350" s="6" t="s">
        <v>40</v>
      </c>
      <c r="J350" s="5" t="s">
        <v>8585</v>
      </c>
      <c r="K350" s="5" t="s">
        <v>8632</v>
      </c>
      <c r="L350" s="6" t="s">
        <v>42</v>
      </c>
      <c r="M350" s="5" t="s">
        <v>8746</v>
      </c>
      <c r="N350" s="5" t="s">
        <v>64</v>
      </c>
      <c r="O350" s="5" t="s">
        <v>9573</v>
      </c>
      <c r="P350" s="6">
        <v>8048.0</v>
      </c>
    </row>
    <row r="351" ht="56.25" customHeight="1">
      <c r="A351" s="5" t="s">
        <v>9556</v>
      </c>
      <c r="B351" s="6" t="str">
        <f>IMAGE("https://storage.googleapis.com/acdb/tops/TopsTexTopTshirtsNFitness5.png")</f>
        <v/>
      </c>
      <c r="C351" s="5" t="s">
        <v>114</v>
      </c>
      <c r="D351" s="8" t="s">
        <v>36</v>
      </c>
      <c r="E351" s="6">
        <v>800.0</v>
      </c>
      <c r="F351" s="6">
        <v>200.0</v>
      </c>
      <c r="G351" s="5" t="s">
        <v>114</v>
      </c>
      <c r="H351" s="5" t="s">
        <v>54</v>
      </c>
      <c r="I351" s="6" t="s">
        <v>40</v>
      </c>
      <c r="J351" s="5" t="s">
        <v>8585</v>
      </c>
      <c r="K351" s="5" t="s">
        <v>8632</v>
      </c>
      <c r="L351" s="6" t="s">
        <v>42</v>
      </c>
      <c r="M351" s="5" t="s">
        <v>8746</v>
      </c>
      <c r="N351" s="5" t="s">
        <v>64</v>
      </c>
      <c r="O351" s="5" t="s">
        <v>9575</v>
      </c>
      <c r="P351" s="6">
        <v>8049.0</v>
      </c>
    </row>
    <row r="352" ht="56.25" customHeight="1">
      <c r="A352" s="5" t="s">
        <v>9576</v>
      </c>
      <c r="B352" s="6" t="str">
        <f>IMAGE("https://storage.googleapis.com/acdb/tops/TopsTexTopTshirtsHNumberball5.png")</f>
        <v/>
      </c>
      <c r="C352" s="5" t="s">
        <v>34</v>
      </c>
      <c r="D352" s="8" t="s">
        <v>36</v>
      </c>
      <c r="E352" s="6">
        <v>560.0</v>
      </c>
      <c r="F352" s="6">
        <v>140.0</v>
      </c>
      <c r="G352" s="5" t="s">
        <v>142</v>
      </c>
      <c r="H352" s="5" t="s">
        <v>57</v>
      </c>
      <c r="I352" s="6" t="s">
        <v>40</v>
      </c>
      <c r="J352" s="5" t="s">
        <v>8578</v>
      </c>
      <c r="K352" s="5"/>
      <c r="L352" s="6" t="s">
        <v>42</v>
      </c>
      <c r="M352" s="5" t="s">
        <v>8746</v>
      </c>
      <c r="N352" s="5" t="s">
        <v>64</v>
      </c>
      <c r="O352" s="5" t="s">
        <v>9579</v>
      </c>
      <c r="P352" s="6">
        <v>3322.0</v>
      </c>
    </row>
    <row r="353" ht="56.25" customHeight="1">
      <c r="A353" s="5" t="s">
        <v>9580</v>
      </c>
      <c r="B353" s="6" t="str">
        <f>IMAGE("https://storage.googleapis.com/acdb/tops/TopsTexTopTshirtsHFire0.png")</f>
        <v/>
      </c>
      <c r="C353" s="5" t="s">
        <v>34</v>
      </c>
      <c r="D353" s="8" t="s">
        <v>36</v>
      </c>
      <c r="E353" s="6">
        <v>800.0</v>
      </c>
      <c r="F353" s="6">
        <v>200.0</v>
      </c>
      <c r="G353" s="5" t="s">
        <v>52</v>
      </c>
      <c r="H353" s="5" t="s">
        <v>54</v>
      </c>
      <c r="I353" s="6" t="s">
        <v>40</v>
      </c>
      <c r="J353" s="5" t="s">
        <v>8585</v>
      </c>
      <c r="K353" s="5" t="s">
        <v>8632</v>
      </c>
      <c r="L353" s="6" t="s">
        <v>42</v>
      </c>
      <c r="M353" s="5" t="s">
        <v>8746</v>
      </c>
      <c r="N353" s="5" t="s">
        <v>64</v>
      </c>
      <c r="O353" s="5" t="s">
        <v>9582</v>
      </c>
      <c r="P353" s="6">
        <v>9536.0</v>
      </c>
    </row>
    <row r="354" ht="56.25" customHeight="1">
      <c r="A354" s="5" t="s">
        <v>9583</v>
      </c>
      <c r="B354" s="6" t="str">
        <f>IMAGE("https://storage.googleapis.com/acdb/tops/TopsTexTopYshirtsLFlannel0.png")</f>
        <v/>
      </c>
      <c r="C354" s="5" t="s">
        <v>52</v>
      </c>
      <c r="D354" s="8" t="s">
        <v>36</v>
      </c>
      <c r="E354" s="6">
        <v>1200.0</v>
      </c>
      <c r="F354" s="6">
        <v>300.0</v>
      </c>
      <c r="G354" s="5" t="s">
        <v>52</v>
      </c>
      <c r="H354" s="5" t="s">
        <v>54</v>
      </c>
      <c r="I354" s="6" t="s">
        <v>40</v>
      </c>
      <c r="J354" s="5" t="s">
        <v>8585</v>
      </c>
      <c r="K354" s="5" t="s">
        <v>8632</v>
      </c>
      <c r="L354" s="6" t="s">
        <v>42</v>
      </c>
      <c r="M354" s="5" t="s">
        <v>995</v>
      </c>
      <c r="N354" s="5" t="s">
        <v>64</v>
      </c>
      <c r="O354" s="5" t="s">
        <v>9586</v>
      </c>
      <c r="P354" s="6">
        <v>3225.0</v>
      </c>
    </row>
    <row r="355" ht="56.25" customHeight="1">
      <c r="A355" s="5" t="s">
        <v>9583</v>
      </c>
      <c r="B355" s="6" t="str">
        <f>IMAGE("https://storage.googleapis.com/acdb/tops/TopsTexTopYshirtsLFlannel1.png")</f>
        <v/>
      </c>
      <c r="C355" s="5" t="s">
        <v>96</v>
      </c>
      <c r="D355" s="8" t="s">
        <v>36</v>
      </c>
      <c r="E355" s="6">
        <v>1200.0</v>
      </c>
      <c r="F355" s="6">
        <v>300.0</v>
      </c>
      <c r="G355" s="5" t="s">
        <v>96</v>
      </c>
      <c r="H355" s="5" t="s">
        <v>54</v>
      </c>
      <c r="I355" s="6" t="s">
        <v>40</v>
      </c>
      <c r="J355" s="5" t="s">
        <v>8585</v>
      </c>
      <c r="K355" s="5" t="s">
        <v>8632</v>
      </c>
      <c r="L355" s="6" t="s">
        <v>42</v>
      </c>
      <c r="M355" s="5" t="s">
        <v>995</v>
      </c>
      <c r="N355" s="5" t="s">
        <v>64</v>
      </c>
      <c r="O355" s="5" t="s">
        <v>9588</v>
      </c>
      <c r="P355" s="6">
        <v>8945.0</v>
      </c>
    </row>
    <row r="356" ht="56.25" customHeight="1">
      <c r="A356" s="5" t="s">
        <v>9583</v>
      </c>
      <c r="B356" s="6" t="str">
        <f>IMAGE("https://storage.googleapis.com/acdb/tops/TopsTexTopYshirtsLFlannel2.png")</f>
        <v/>
      </c>
      <c r="C356" s="5" t="s">
        <v>68</v>
      </c>
      <c r="D356" s="8" t="s">
        <v>36</v>
      </c>
      <c r="E356" s="6">
        <v>1200.0</v>
      </c>
      <c r="F356" s="6">
        <v>300.0</v>
      </c>
      <c r="G356" s="5" t="s">
        <v>68</v>
      </c>
      <c r="H356" s="5" t="s">
        <v>54</v>
      </c>
      <c r="I356" s="6" t="s">
        <v>40</v>
      </c>
      <c r="J356" s="5" t="s">
        <v>8585</v>
      </c>
      <c r="K356" s="5" t="s">
        <v>8632</v>
      </c>
      <c r="L356" s="6" t="s">
        <v>42</v>
      </c>
      <c r="M356" s="5" t="s">
        <v>995</v>
      </c>
      <c r="N356" s="5" t="s">
        <v>64</v>
      </c>
      <c r="O356" s="5" t="s">
        <v>9589</v>
      </c>
      <c r="P356" s="6">
        <v>8946.0</v>
      </c>
    </row>
    <row r="357" ht="56.25" customHeight="1">
      <c r="A357" s="5" t="s">
        <v>9583</v>
      </c>
      <c r="B357" s="6" t="str">
        <f>IMAGE("https://storage.googleapis.com/acdb/tops/TopsTexTopYshirtsLFlannel3.png")</f>
        <v/>
      </c>
      <c r="C357" s="5" t="s">
        <v>38</v>
      </c>
      <c r="D357" s="8" t="s">
        <v>36</v>
      </c>
      <c r="E357" s="6">
        <v>1200.0</v>
      </c>
      <c r="F357" s="6">
        <v>300.0</v>
      </c>
      <c r="G357" s="5" t="s">
        <v>38</v>
      </c>
      <c r="H357" s="5" t="s">
        <v>54</v>
      </c>
      <c r="I357" s="6" t="s">
        <v>40</v>
      </c>
      <c r="J357" s="5" t="s">
        <v>8585</v>
      </c>
      <c r="K357" s="5" t="s">
        <v>8632</v>
      </c>
      <c r="L357" s="6" t="s">
        <v>42</v>
      </c>
      <c r="M357" s="5" t="s">
        <v>995</v>
      </c>
      <c r="N357" s="5" t="s">
        <v>64</v>
      </c>
      <c r="O357" s="5" t="s">
        <v>9593</v>
      </c>
      <c r="P357" s="6">
        <v>8947.0</v>
      </c>
    </row>
    <row r="358" ht="56.25" customHeight="1">
      <c r="A358" s="5" t="s">
        <v>9583</v>
      </c>
      <c r="B358" s="6" t="str">
        <f>IMAGE("https://storage.googleapis.com/acdb/tops/TopsTexTopYshirtsLFlannel4.png")</f>
        <v/>
      </c>
      <c r="C358" s="5" t="s">
        <v>106</v>
      </c>
      <c r="D358" s="8" t="s">
        <v>36</v>
      </c>
      <c r="E358" s="6">
        <v>1200.0</v>
      </c>
      <c r="F358" s="6">
        <v>300.0</v>
      </c>
      <c r="G358" s="5" t="s">
        <v>106</v>
      </c>
      <c r="H358" s="5" t="s">
        <v>54</v>
      </c>
      <c r="I358" s="6" t="s">
        <v>40</v>
      </c>
      <c r="J358" s="5" t="s">
        <v>8585</v>
      </c>
      <c r="K358" s="5" t="s">
        <v>8632</v>
      </c>
      <c r="L358" s="6" t="s">
        <v>42</v>
      </c>
      <c r="M358" s="5" t="s">
        <v>995</v>
      </c>
      <c r="N358" s="5" t="s">
        <v>64</v>
      </c>
      <c r="O358" s="5" t="s">
        <v>9595</v>
      </c>
      <c r="P358" s="6">
        <v>8948.0</v>
      </c>
    </row>
    <row r="359" ht="56.25" customHeight="1">
      <c r="A359" s="5" t="s">
        <v>9596</v>
      </c>
      <c r="B359" s="6" t="str">
        <f>IMAGE("https://storage.googleapis.com/acdb/tops/TopsTexTopOuterLPsychedelic1.png")</f>
        <v/>
      </c>
      <c r="C359" s="5" t="s">
        <v>68</v>
      </c>
      <c r="D359" s="8" t="s">
        <v>36</v>
      </c>
      <c r="E359" s="6">
        <v>1200.0</v>
      </c>
      <c r="F359" s="6">
        <v>300.0</v>
      </c>
      <c r="G359" s="5" t="s">
        <v>68</v>
      </c>
      <c r="H359" s="5" t="s">
        <v>58</v>
      </c>
      <c r="I359" s="6" t="s">
        <v>40</v>
      </c>
      <c r="J359" s="5" t="s">
        <v>8585</v>
      </c>
      <c r="K359" s="5" t="s">
        <v>8586</v>
      </c>
      <c r="L359" s="6" t="s">
        <v>42</v>
      </c>
      <c r="M359" s="5" t="s">
        <v>612</v>
      </c>
      <c r="N359" s="5" t="s">
        <v>64</v>
      </c>
      <c r="O359" s="5" t="s">
        <v>9598</v>
      </c>
      <c r="P359" s="6">
        <v>7857.0</v>
      </c>
    </row>
    <row r="360" ht="56.25" customHeight="1">
      <c r="A360" s="5" t="s">
        <v>9596</v>
      </c>
      <c r="B360" s="6" t="str">
        <f>IMAGE("https://storage.googleapis.com/acdb/tops/TopsTexTopOuterLPsychedelic0.png")</f>
        <v/>
      </c>
      <c r="C360" s="5" t="s">
        <v>52</v>
      </c>
      <c r="D360" s="8" t="s">
        <v>36</v>
      </c>
      <c r="E360" s="6">
        <v>1200.0</v>
      </c>
      <c r="F360" s="6">
        <v>300.0</v>
      </c>
      <c r="G360" s="5" t="s">
        <v>52</v>
      </c>
      <c r="H360" s="5" t="s">
        <v>58</v>
      </c>
      <c r="I360" s="6" t="s">
        <v>40</v>
      </c>
      <c r="J360" s="5" t="s">
        <v>8585</v>
      </c>
      <c r="K360" s="5" t="s">
        <v>8586</v>
      </c>
      <c r="L360" s="6" t="s">
        <v>42</v>
      </c>
      <c r="M360" s="5" t="s">
        <v>612</v>
      </c>
      <c r="N360" s="5" t="s">
        <v>64</v>
      </c>
      <c r="O360" s="5" t="s">
        <v>9600</v>
      </c>
      <c r="P360" s="6">
        <v>5685.0</v>
      </c>
    </row>
    <row r="361" ht="56.25" customHeight="1">
      <c r="A361" s="5" t="s">
        <v>9601</v>
      </c>
      <c r="B361" s="6" t="str">
        <f>IMAGE("https://storage.googleapis.com/acdb/tops/TopsTexTopYshirtsLJacketgaudy1.png")</f>
        <v/>
      </c>
      <c r="C361" s="5" t="s">
        <v>54</v>
      </c>
      <c r="D361" s="8" t="s">
        <v>36</v>
      </c>
      <c r="E361" s="6">
        <v>1960.0</v>
      </c>
      <c r="F361" s="6">
        <v>490.0</v>
      </c>
      <c r="G361" s="5" t="s">
        <v>54</v>
      </c>
      <c r="H361" s="5" t="s">
        <v>114</v>
      </c>
      <c r="I361" s="6" t="s">
        <v>40</v>
      </c>
      <c r="J361" s="5" t="s">
        <v>8585</v>
      </c>
      <c r="K361" s="5" t="s">
        <v>8586</v>
      </c>
      <c r="L361" s="6" t="s">
        <v>42</v>
      </c>
      <c r="M361" s="5" t="s">
        <v>612</v>
      </c>
      <c r="N361" s="5" t="s">
        <v>64</v>
      </c>
      <c r="O361" s="5" t="s">
        <v>9603</v>
      </c>
      <c r="P361" s="6">
        <v>8104.0</v>
      </c>
    </row>
    <row r="362" ht="56.25" customHeight="1">
      <c r="A362" s="5" t="s">
        <v>9601</v>
      </c>
      <c r="B362" s="6" t="str">
        <f>IMAGE("https://storage.googleapis.com/acdb/tops/TopsTexTopYshirtsLJacketgaudy2.png")</f>
        <v/>
      </c>
      <c r="C362" s="5" t="s">
        <v>106</v>
      </c>
      <c r="D362" s="8" t="s">
        <v>36</v>
      </c>
      <c r="E362" s="6">
        <v>1960.0</v>
      </c>
      <c r="F362" s="6">
        <v>490.0</v>
      </c>
      <c r="G362" s="5" t="s">
        <v>106</v>
      </c>
      <c r="H362" s="5" t="s">
        <v>68</v>
      </c>
      <c r="I362" s="6" t="s">
        <v>40</v>
      </c>
      <c r="J362" s="5" t="s">
        <v>8585</v>
      </c>
      <c r="K362" s="5" t="s">
        <v>8586</v>
      </c>
      <c r="L362" s="6" t="s">
        <v>42</v>
      </c>
      <c r="M362" s="5" t="s">
        <v>612</v>
      </c>
      <c r="N362" s="5" t="s">
        <v>64</v>
      </c>
      <c r="O362" s="5" t="s">
        <v>9604</v>
      </c>
      <c r="P362" s="6">
        <v>8105.0</v>
      </c>
    </row>
    <row r="363" ht="56.25" customHeight="1">
      <c r="A363" s="5" t="s">
        <v>9601</v>
      </c>
      <c r="B363" s="6" t="str">
        <f>IMAGE("https://storage.googleapis.com/acdb/tops/TopsTexTopYshirtsLJacketgaudy3.png")</f>
        <v/>
      </c>
      <c r="C363" s="5" t="s">
        <v>4883</v>
      </c>
      <c r="D363" s="8" t="s">
        <v>36</v>
      </c>
      <c r="E363" s="6">
        <v>1960.0</v>
      </c>
      <c r="F363" s="6">
        <v>490.0</v>
      </c>
      <c r="G363" s="5" t="s">
        <v>52</v>
      </c>
      <c r="H363" s="5" t="s">
        <v>54</v>
      </c>
      <c r="I363" s="6" t="s">
        <v>40</v>
      </c>
      <c r="J363" s="5" t="s">
        <v>8585</v>
      </c>
      <c r="K363" s="5" t="s">
        <v>8586</v>
      </c>
      <c r="L363" s="6" t="s">
        <v>42</v>
      </c>
      <c r="M363" s="5" t="s">
        <v>612</v>
      </c>
      <c r="N363" s="5" t="s">
        <v>64</v>
      </c>
      <c r="O363" s="5" t="s">
        <v>9607</v>
      </c>
      <c r="P363" s="6">
        <v>8106.0</v>
      </c>
    </row>
    <row r="364" ht="56.25" customHeight="1">
      <c r="A364" s="5" t="s">
        <v>9601</v>
      </c>
      <c r="B364" s="6" t="str">
        <f>IMAGE("https://storage.googleapis.com/acdb/tops/TopsTexTopYshirtsLJacketgaudy4.png")</f>
        <v/>
      </c>
      <c r="C364" s="5" t="s">
        <v>819</v>
      </c>
      <c r="D364" s="8" t="s">
        <v>36</v>
      </c>
      <c r="E364" s="6">
        <v>1960.0</v>
      </c>
      <c r="F364" s="6">
        <v>490.0</v>
      </c>
      <c r="G364" s="5" t="s">
        <v>96</v>
      </c>
      <c r="H364" s="5" t="s">
        <v>96</v>
      </c>
      <c r="I364" s="6" t="s">
        <v>40</v>
      </c>
      <c r="J364" s="5" t="s">
        <v>8585</v>
      </c>
      <c r="K364" s="5" t="s">
        <v>8586</v>
      </c>
      <c r="L364" s="6" t="s">
        <v>42</v>
      </c>
      <c r="M364" s="5" t="s">
        <v>612</v>
      </c>
      <c r="N364" s="5" t="s">
        <v>64</v>
      </c>
      <c r="O364" s="5" t="s">
        <v>9608</v>
      </c>
      <c r="P364" s="6">
        <v>8107.0</v>
      </c>
    </row>
    <row r="365" ht="56.25" customHeight="1">
      <c r="A365" s="5" t="s">
        <v>9601</v>
      </c>
      <c r="B365" s="6" t="str">
        <f>IMAGE("https://storage.googleapis.com/acdb/tops/TopsTexTopYshirtsLJacketgaudy5.png")</f>
        <v/>
      </c>
      <c r="C365" s="5" t="s">
        <v>114</v>
      </c>
      <c r="D365" s="8" t="s">
        <v>36</v>
      </c>
      <c r="E365" s="6">
        <v>1960.0</v>
      </c>
      <c r="F365" s="6">
        <v>490.0</v>
      </c>
      <c r="G365" s="5" t="s">
        <v>114</v>
      </c>
      <c r="H365" s="5" t="s">
        <v>106</v>
      </c>
      <c r="I365" s="6" t="s">
        <v>40</v>
      </c>
      <c r="J365" s="5" t="s">
        <v>8585</v>
      </c>
      <c r="K365" s="5" t="s">
        <v>8586</v>
      </c>
      <c r="L365" s="6" t="s">
        <v>42</v>
      </c>
      <c r="M365" s="5" t="s">
        <v>612</v>
      </c>
      <c r="N365" s="5" t="s">
        <v>64</v>
      </c>
      <c r="O365" s="5" t="s">
        <v>9610</v>
      </c>
      <c r="P365" s="6">
        <v>8108.0</v>
      </c>
    </row>
    <row r="366" ht="56.25" customHeight="1">
      <c r="A366" s="5" t="s">
        <v>9601</v>
      </c>
      <c r="B366" s="6" t="str">
        <f>IMAGE("https://storage.googleapis.com/acdb/tops/TopsTexTopYshirtsLJacketgaudy0.png")</f>
        <v/>
      </c>
      <c r="C366" s="5" t="s">
        <v>57</v>
      </c>
      <c r="D366" s="8" t="s">
        <v>36</v>
      </c>
      <c r="E366" s="6">
        <v>1960.0</v>
      </c>
      <c r="F366" s="6">
        <v>490.0</v>
      </c>
      <c r="G366" s="5" t="s">
        <v>57</v>
      </c>
      <c r="H366" s="5" t="s">
        <v>52</v>
      </c>
      <c r="I366" s="6" t="s">
        <v>40</v>
      </c>
      <c r="J366" s="5" t="s">
        <v>8585</v>
      </c>
      <c r="K366" s="5" t="s">
        <v>8586</v>
      </c>
      <c r="L366" s="6" t="s">
        <v>42</v>
      </c>
      <c r="M366" s="5" t="s">
        <v>612</v>
      </c>
      <c r="N366" s="5" t="s">
        <v>64</v>
      </c>
      <c r="O366" s="5" t="s">
        <v>9613</v>
      </c>
      <c r="P366" s="6">
        <v>3265.0</v>
      </c>
    </row>
    <row r="367" ht="56.25" customHeight="1">
      <c r="A367" s="5" t="s">
        <v>9614</v>
      </c>
      <c r="B367" s="6" t="str">
        <f>IMAGE("https://storage.googleapis.com/acdb/tops/TopsTexTopOuterLFlight0.png")</f>
        <v/>
      </c>
      <c r="C367" s="5" t="s">
        <v>39</v>
      </c>
      <c r="D367" s="8" t="s">
        <v>36</v>
      </c>
      <c r="E367" s="6">
        <v>1680.0</v>
      </c>
      <c r="F367" s="6">
        <v>420.0</v>
      </c>
      <c r="G367" s="5" t="s">
        <v>39</v>
      </c>
      <c r="H367" s="5" t="s">
        <v>38</v>
      </c>
      <c r="I367" s="6" t="s">
        <v>40</v>
      </c>
      <c r="J367" s="5" t="s">
        <v>8585</v>
      </c>
      <c r="K367" s="5" t="s">
        <v>8586</v>
      </c>
      <c r="L367" s="6" t="s">
        <v>42</v>
      </c>
      <c r="M367" s="5" t="s">
        <v>1952</v>
      </c>
      <c r="N367" s="5" t="s">
        <v>64</v>
      </c>
      <c r="O367" s="5" t="s">
        <v>9617</v>
      </c>
      <c r="P367" s="6">
        <v>4207.0</v>
      </c>
    </row>
    <row r="368" ht="56.25" customHeight="1">
      <c r="A368" s="5" t="s">
        <v>9614</v>
      </c>
      <c r="B368" s="6" t="str">
        <f>IMAGE("https://storage.googleapis.com/acdb/tops/TopsTexTopOuterLFlight1.png")</f>
        <v/>
      </c>
      <c r="C368" s="5" t="s">
        <v>54</v>
      </c>
      <c r="D368" s="8" t="s">
        <v>36</v>
      </c>
      <c r="E368" s="6">
        <v>1680.0</v>
      </c>
      <c r="F368" s="6">
        <v>420.0</v>
      </c>
      <c r="G368" s="5" t="s">
        <v>54</v>
      </c>
      <c r="H368" s="5" t="s">
        <v>95</v>
      </c>
      <c r="I368" s="6" t="s">
        <v>40</v>
      </c>
      <c r="J368" s="5" t="s">
        <v>8585</v>
      </c>
      <c r="K368" s="5" t="s">
        <v>8586</v>
      </c>
      <c r="L368" s="6" t="s">
        <v>42</v>
      </c>
      <c r="M368" s="5" t="s">
        <v>1952</v>
      </c>
      <c r="N368" s="5" t="s">
        <v>64</v>
      </c>
      <c r="O368" s="5" t="s">
        <v>9619</v>
      </c>
      <c r="P368" s="6">
        <v>8564.0</v>
      </c>
    </row>
    <row r="369" ht="56.25" customHeight="1">
      <c r="A369" s="5" t="s">
        <v>9614</v>
      </c>
      <c r="B369" s="6" t="str">
        <f>IMAGE("https://storage.googleapis.com/acdb/tops/TopsTexTopOuterLFlight2.png")</f>
        <v/>
      </c>
      <c r="C369" s="5" t="s">
        <v>2222</v>
      </c>
      <c r="D369" s="8" t="s">
        <v>36</v>
      </c>
      <c r="E369" s="6">
        <v>1680.0</v>
      </c>
      <c r="F369" s="6">
        <v>420.0</v>
      </c>
      <c r="G369" s="5" t="s">
        <v>96</v>
      </c>
      <c r="H369" s="5" t="s">
        <v>142</v>
      </c>
      <c r="I369" s="6" t="s">
        <v>40</v>
      </c>
      <c r="J369" s="5" t="s">
        <v>8585</v>
      </c>
      <c r="K369" s="5" t="s">
        <v>8586</v>
      </c>
      <c r="L369" s="6" t="s">
        <v>42</v>
      </c>
      <c r="M369" s="5" t="s">
        <v>1952</v>
      </c>
      <c r="N369" s="5" t="s">
        <v>64</v>
      </c>
      <c r="O369" s="5" t="s">
        <v>9622</v>
      </c>
      <c r="P369" s="6">
        <v>8565.0</v>
      </c>
    </row>
    <row r="370" ht="56.25" customHeight="1">
      <c r="A370" s="5" t="s">
        <v>9623</v>
      </c>
      <c r="B370" s="6" t="str">
        <f>IMAGE("https://storage.googleapis.com/acdb/tops/TopsTexTopOuterLFlowerknit1.png")</f>
        <v/>
      </c>
      <c r="C370" s="5" t="s">
        <v>96</v>
      </c>
      <c r="D370" s="8" t="s">
        <v>36</v>
      </c>
      <c r="E370" s="6">
        <v>1200.0</v>
      </c>
      <c r="F370" s="6">
        <v>300.0</v>
      </c>
      <c r="G370" s="5" t="s">
        <v>96</v>
      </c>
      <c r="H370" s="5" t="s">
        <v>142</v>
      </c>
      <c r="I370" s="6" t="s">
        <v>40</v>
      </c>
      <c r="J370" s="5" t="s">
        <v>8585</v>
      </c>
      <c r="K370" s="5" t="s">
        <v>8632</v>
      </c>
      <c r="L370" s="6" t="s">
        <v>42</v>
      </c>
      <c r="M370" s="5" t="s">
        <v>1959</v>
      </c>
      <c r="N370" s="5" t="s">
        <v>64</v>
      </c>
      <c r="O370" s="5" t="s">
        <v>9625</v>
      </c>
      <c r="P370" s="6">
        <v>7842.0</v>
      </c>
    </row>
    <row r="371" ht="56.25" customHeight="1">
      <c r="A371" s="5" t="s">
        <v>9623</v>
      </c>
      <c r="B371" s="6" t="str">
        <f>IMAGE("https://storage.googleapis.com/acdb/tops/TopsTexTopOuterLFlowerknit2.png")</f>
        <v/>
      </c>
      <c r="C371" s="5" t="s">
        <v>57</v>
      </c>
      <c r="D371" s="8" t="s">
        <v>36</v>
      </c>
      <c r="E371" s="6">
        <v>1200.0</v>
      </c>
      <c r="F371" s="6">
        <v>300.0</v>
      </c>
      <c r="G371" s="5" t="s">
        <v>57</v>
      </c>
      <c r="H371" s="5" t="s">
        <v>52</v>
      </c>
      <c r="I371" s="6" t="s">
        <v>40</v>
      </c>
      <c r="J371" s="5" t="s">
        <v>8585</v>
      </c>
      <c r="K371" s="5" t="s">
        <v>8632</v>
      </c>
      <c r="L371" s="6" t="s">
        <v>42</v>
      </c>
      <c r="M371" s="5" t="s">
        <v>1959</v>
      </c>
      <c r="N371" s="5" t="s">
        <v>64</v>
      </c>
      <c r="O371" s="5" t="s">
        <v>9628</v>
      </c>
      <c r="P371" s="6">
        <v>7843.0</v>
      </c>
    </row>
    <row r="372" ht="56.25" customHeight="1">
      <c r="A372" s="5" t="s">
        <v>9623</v>
      </c>
      <c r="B372" s="6" t="str">
        <f>IMAGE("https://storage.googleapis.com/acdb/tops/TopsTexTopOuterLFlowerknit3.png")</f>
        <v/>
      </c>
      <c r="C372" s="5" t="s">
        <v>114</v>
      </c>
      <c r="D372" s="8" t="s">
        <v>36</v>
      </c>
      <c r="E372" s="6">
        <v>1200.0</v>
      </c>
      <c r="F372" s="6">
        <v>300.0</v>
      </c>
      <c r="G372" s="5" t="s">
        <v>114</v>
      </c>
      <c r="H372" s="5" t="s">
        <v>52</v>
      </c>
      <c r="I372" s="6" t="s">
        <v>40</v>
      </c>
      <c r="J372" s="5" t="s">
        <v>8585</v>
      </c>
      <c r="K372" s="5" t="s">
        <v>8632</v>
      </c>
      <c r="L372" s="6" t="s">
        <v>42</v>
      </c>
      <c r="M372" s="5" t="s">
        <v>1959</v>
      </c>
      <c r="N372" s="5" t="s">
        <v>64</v>
      </c>
      <c r="O372" s="5" t="s">
        <v>9629</v>
      </c>
      <c r="P372" s="6">
        <v>7844.0</v>
      </c>
    </row>
    <row r="373" ht="56.25" customHeight="1">
      <c r="A373" s="5" t="s">
        <v>9623</v>
      </c>
      <c r="B373" s="6" t="str">
        <f>IMAGE("https://storage.googleapis.com/acdb/tops/TopsTexTopOuterLFlowerknit0.png")</f>
        <v/>
      </c>
      <c r="C373" s="5" t="s">
        <v>52</v>
      </c>
      <c r="D373" s="8" t="s">
        <v>36</v>
      </c>
      <c r="E373" s="6">
        <v>1200.0</v>
      </c>
      <c r="F373" s="6">
        <v>300.0</v>
      </c>
      <c r="G373" s="5" t="s">
        <v>52</v>
      </c>
      <c r="H373" s="5" t="s">
        <v>57</v>
      </c>
      <c r="I373" s="6" t="s">
        <v>40</v>
      </c>
      <c r="J373" s="5" t="s">
        <v>8585</v>
      </c>
      <c r="K373" s="5" t="s">
        <v>8632</v>
      </c>
      <c r="L373" s="6" t="s">
        <v>42</v>
      </c>
      <c r="M373" s="5" t="s">
        <v>1959</v>
      </c>
      <c r="N373" s="5" t="s">
        <v>64</v>
      </c>
      <c r="O373" s="5" t="s">
        <v>9632</v>
      </c>
      <c r="P373" s="6">
        <v>3597.0</v>
      </c>
    </row>
    <row r="374" ht="56.25" customHeight="1">
      <c r="A374" s="5" t="s">
        <v>9633</v>
      </c>
      <c r="B374" s="6" t="str">
        <f>IMAGE("https://storage.googleapis.com/acdb/tops/TopsTexTopOuterLNative1.png")</f>
        <v/>
      </c>
      <c r="C374" s="5" t="s">
        <v>39</v>
      </c>
      <c r="D374" s="8" t="s">
        <v>36</v>
      </c>
      <c r="E374" s="6">
        <v>1300.0</v>
      </c>
      <c r="F374" s="6">
        <v>325.0</v>
      </c>
      <c r="G374" s="5" t="s">
        <v>39</v>
      </c>
      <c r="H374" s="5" t="s">
        <v>114</v>
      </c>
      <c r="I374" s="6" t="s">
        <v>40</v>
      </c>
      <c r="J374" s="5" t="s">
        <v>8585</v>
      </c>
      <c r="K374" s="5" t="s">
        <v>8632</v>
      </c>
      <c r="L374" s="6" t="s">
        <v>42</v>
      </c>
      <c r="M374" s="5" t="s">
        <v>995</v>
      </c>
      <c r="N374" s="5" t="s">
        <v>64</v>
      </c>
      <c r="O374" s="5" t="s">
        <v>9634</v>
      </c>
      <c r="P374" s="6">
        <v>7848.0</v>
      </c>
    </row>
    <row r="375" ht="56.25" customHeight="1">
      <c r="A375" s="5" t="s">
        <v>9633</v>
      </c>
      <c r="B375" s="6" t="str">
        <f>IMAGE("https://storage.googleapis.com/acdb/tops/TopsTexTopOuterLNative0.png")</f>
        <v/>
      </c>
      <c r="C375" s="5" t="s">
        <v>52</v>
      </c>
      <c r="D375" s="8" t="s">
        <v>36</v>
      </c>
      <c r="E375" s="6">
        <v>1300.0</v>
      </c>
      <c r="F375" s="6">
        <v>325.0</v>
      </c>
      <c r="G375" s="5" t="s">
        <v>52</v>
      </c>
      <c r="H375" s="5" t="s">
        <v>38</v>
      </c>
      <c r="I375" s="6" t="s">
        <v>40</v>
      </c>
      <c r="J375" s="5" t="s">
        <v>8585</v>
      </c>
      <c r="K375" s="5" t="s">
        <v>8632</v>
      </c>
      <c r="L375" s="6" t="s">
        <v>42</v>
      </c>
      <c r="M375" s="5" t="s">
        <v>995</v>
      </c>
      <c r="N375" s="5" t="s">
        <v>64</v>
      </c>
      <c r="O375" s="5" t="s">
        <v>9637</v>
      </c>
      <c r="P375" s="6">
        <v>4446.0</v>
      </c>
    </row>
    <row r="376" ht="56.25" customHeight="1">
      <c r="A376" s="5" t="s">
        <v>9633</v>
      </c>
      <c r="B376" s="6" t="str">
        <f>IMAGE("https://storage.googleapis.com/acdb/tops/TopsTexTopOuterLNative2.png")</f>
        <v/>
      </c>
      <c r="C376" s="5" t="s">
        <v>68</v>
      </c>
      <c r="D376" s="8" t="s">
        <v>36</v>
      </c>
      <c r="E376" s="6">
        <v>1300.0</v>
      </c>
      <c r="F376" s="6">
        <v>325.0</v>
      </c>
      <c r="G376" s="5" t="s">
        <v>83</v>
      </c>
      <c r="H376" s="5" t="s">
        <v>95</v>
      </c>
      <c r="I376" s="6" t="s">
        <v>40</v>
      </c>
      <c r="J376" s="5" t="s">
        <v>8585</v>
      </c>
      <c r="K376" s="5" t="s">
        <v>8632</v>
      </c>
      <c r="L376" s="6" t="s">
        <v>42</v>
      </c>
      <c r="M376" s="5" t="s">
        <v>995</v>
      </c>
      <c r="N376" s="5" t="s">
        <v>64</v>
      </c>
      <c r="O376" s="5" t="s">
        <v>9639</v>
      </c>
      <c r="P376" s="6">
        <v>7849.0</v>
      </c>
    </row>
    <row r="377" ht="56.25" customHeight="1">
      <c r="A377" s="5" t="s">
        <v>9640</v>
      </c>
      <c r="B377" s="6" t="str">
        <f>IMAGE("https://storage.googleapis.com/acdb/tops/TopsTexTopTshirtsHAmericanfootball0.png")</f>
        <v/>
      </c>
      <c r="C377" s="5" t="s">
        <v>96</v>
      </c>
      <c r="D377" s="8" t="s">
        <v>36</v>
      </c>
      <c r="E377" s="6">
        <v>1120.0</v>
      </c>
      <c r="F377" s="6">
        <v>280.0</v>
      </c>
      <c r="G377" s="5" t="s">
        <v>96</v>
      </c>
      <c r="H377" s="5" t="s">
        <v>57</v>
      </c>
      <c r="I377" s="6" t="s">
        <v>40</v>
      </c>
      <c r="J377" s="5" t="s">
        <v>8585</v>
      </c>
      <c r="K377" s="5" t="s">
        <v>8586</v>
      </c>
      <c r="L377" s="6" t="s">
        <v>42</v>
      </c>
      <c r="M377" s="5" t="s">
        <v>8746</v>
      </c>
      <c r="N377" s="5" t="s">
        <v>64</v>
      </c>
      <c r="O377" s="5" t="s">
        <v>9642</v>
      </c>
      <c r="P377" s="6">
        <v>4447.0</v>
      </c>
    </row>
    <row r="378" ht="56.25" customHeight="1">
      <c r="A378" s="5" t="s">
        <v>9640</v>
      </c>
      <c r="B378" s="6" t="str">
        <f>IMAGE("https://storage.googleapis.com/acdb/tops/TopsTexTopTshirtsHAmericanfootball1.png")</f>
        <v/>
      </c>
      <c r="C378" s="5" t="s">
        <v>57</v>
      </c>
      <c r="D378" s="8" t="s">
        <v>36</v>
      </c>
      <c r="E378" s="6">
        <v>1120.0</v>
      </c>
      <c r="F378" s="6">
        <v>280.0</v>
      </c>
      <c r="G378" s="5" t="s">
        <v>57</v>
      </c>
      <c r="H378" s="5" t="s">
        <v>54</v>
      </c>
      <c r="I378" s="6" t="s">
        <v>40</v>
      </c>
      <c r="J378" s="5" t="s">
        <v>8585</v>
      </c>
      <c r="K378" s="5" t="s">
        <v>8586</v>
      </c>
      <c r="L378" s="6" t="s">
        <v>42</v>
      </c>
      <c r="M378" s="5" t="s">
        <v>8746</v>
      </c>
      <c r="N378" s="5" t="s">
        <v>64</v>
      </c>
      <c r="O378" s="5" t="s">
        <v>9644</v>
      </c>
      <c r="P378" s="6">
        <v>9398.0</v>
      </c>
    </row>
    <row r="379" ht="56.25" customHeight="1">
      <c r="A379" s="5" t="s">
        <v>9640</v>
      </c>
      <c r="B379" s="6" t="str">
        <f>IMAGE("https://storage.googleapis.com/acdb/tops/TopsTexTopTshirtsHAmericanfootball2.png")</f>
        <v/>
      </c>
      <c r="C379" s="5" t="s">
        <v>114</v>
      </c>
      <c r="D379" s="8" t="s">
        <v>36</v>
      </c>
      <c r="E379" s="6">
        <v>1120.0</v>
      </c>
      <c r="F379" s="6">
        <v>280.0</v>
      </c>
      <c r="G379" s="5" t="s">
        <v>114</v>
      </c>
      <c r="H379" s="5" t="s">
        <v>54</v>
      </c>
      <c r="I379" s="6" t="s">
        <v>40</v>
      </c>
      <c r="J379" s="5" t="s">
        <v>8585</v>
      </c>
      <c r="K379" s="5" t="s">
        <v>8586</v>
      </c>
      <c r="L379" s="6" t="s">
        <v>42</v>
      </c>
      <c r="M379" s="5" t="s">
        <v>8746</v>
      </c>
      <c r="N379" s="5" t="s">
        <v>64</v>
      </c>
      <c r="O379" s="5" t="s">
        <v>9647</v>
      </c>
      <c r="P379" s="6">
        <v>9399.0</v>
      </c>
    </row>
    <row r="380" ht="56.25" customHeight="1">
      <c r="A380" s="5" t="s">
        <v>9640</v>
      </c>
      <c r="B380" s="6" t="str">
        <f>IMAGE("https://storage.googleapis.com/acdb/tops/TopsTexTopTshirtsHAmericanfootball3.png")</f>
        <v/>
      </c>
      <c r="C380" s="5" t="s">
        <v>4883</v>
      </c>
      <c r="D380" s="8" t="s">
        <v>36</v>
      </c>
      <c r="E380" s="6">
        <v>1120.0</v>
      </c>
      <c r="F380" s="6">
        <v>280.0</v>
      </c>
      <c r="G380" s="5" t="s">
        <v>52</v>
      </c>
      <c r="H380" s="5" t="s">
        <v>57</v>
      </c>
      <c r="I380" s="6" t="s">
        <v>40</v>
      </c>
      <c r="J380" s="5" t="s">
        <v>8585</v>
      </c>
      <c r="K380" s="5" t="s">
        <v>8586</v>
      </c>
      <c r="L380" s="6" t="s">
        <v>42</v>
      </c>
      <c r="M380" s="5" t="s">
        <v>8746</v>
      </c>
      <c r="N380" s="5" t="s">
        <v>64</v>
      </c>
      <c r="O380" s="5" t="s">
        <v>9650</v>
      </c>
      <c r="P380" s="6">
        <v>9400.0</v>
      </c>
    </row>
    <row r="381" ht="56.25" customHeight="1">
      <c r="A381" s="5" t="s">
        <v>9640</v>
      </c>
      <c r="B381" s="6" t="str">
        <f>IMAGE("https://storage.googleapis.com/acdb/tops/TopsTexTopTshirtsHAmericanfootball4.png")</f>
        <v/>
      </c>
      <c r="C381" s="5" t="s">
        <v>68</v>
      </c>
      <c r="D381" s="8" t="s">
        <v>36</v>
      </c>
      <c r="E381" s="6">
        <v>1120.0</v>
      </c>
      <c r="F381" s="6">
        <v>280.0</v>
      </c>
      <c r="G381" s="5" t="s">
        <v>68</v>
      </c>
      <c r="H381" s="5" t="s">
        <v>57</v>
      </c>
      <c r="I381" s="6" t="s">
        <v>40</v>
      </c>
      <c r="J381" s="5" t="s">
        <v>8585</v>
      </c>
      <c r="K381" s="5" t="s">
        <v>8586</v>
      </c>
      <c r="L381" s="6" t="s">
        <v>42</v>
      </c>
      <c r="M381" s="5" t="s">
        <v>8746</v>
      </c>
      <c r="N381" s="5" t="s">
        <v>64</v>
      </c>
      <c r="O381" s="5" t="s">
        <v>9651</v>
      </c>
      <c r="P381" s="6">
        <v>9401.0</v>
      </c>
    </row>
    <row r="382" ht="56.25" customHeight="1">
      <c r="A382" s="5" t="s">
        <v>9640</v>
      </c>
      <c r="B382" s="6" t="str">
        <f>IMAGE("https://storage.googleapis.com/acdb/tops/TopsTexTopTshirtsHAmericanfootball5.png")</f>
        <v/>
      </c>
      <c r="C382" s="5" t="s">
        <v>1174</v>
      </c>
      <c r="D382" s="8" t="s">
        <v>36</v>
      </c>
      <c r="E382" s="6">
        <v>1120.0</v>
      </c>
      <c r="F382" s="6">
        <v>280.0</v>
      </c>
      <c r="G382" s="5" t="s">
        <v>96</v>
      </c>
      <c r="H382" s="5" t="s">
        <v>54</v>
      </c>
      <c r="I382" s="6" t="s">
        <v>40</v>
      </c>
      <c r="J382" s="5" t="s">
        <v>8585</v>
      </c>
      <c r="K382" s="5" t="s">
        <v>8586</v>
      </c>
      <c r="L382" s="6" t="s">
        <v>42</v>
      </c>
      <c r="M382" s="5" t="s">
        <v>8746</v>
      </c>
      <c r="N382" s="5" t="s">
        <v>64</v>
      </c>
      <c r="O382" s="5" t="s">
        <v>9654</v>
      </c>
      <c r="P382" s="6">
        <v>9402.0</v>
      </c>
    </row>
    <row r="383" ht="56.25" customHeight="1">
      <c r="A383" s="5" t="s">
        <v>9640</v>
      </c>
      <c r="B383" s="6" t="str">
        <f>IMAGE("https://storage.googleapis.com/acdb/tops/TopsTexTopTshirtsHAmericanfootball6.png")</f>
        <v/>
      </c>
      <c r="C383" s="5" t="s">
        <v>52</v>
      </c>
      <c r="D383" s="8" t="s">
        <v>36</v>
      </c>
      <c r="E383" s="6">
        <v>1120.0</v>
      </c>
      <c r="F383" s="6">
        <v>280.0</v>
      </c>
      <c r="G383" s="5" t="s">
        <v>142</v>
      </c>
      <c r="H383" s="5" t="s">
        <v>54</v>
      </c>
      <c r="I383" s="6" t="s">
        <v>40</v>
      </c>
      <c r="J383" s="5" t="s">
        <v>8585</v>
      </c>
      <c r="K383" s="5" t="s">
        <v>8586</v>
      </c>
      <c r="L383" s="6" t="s">
        <v>42</v>
      </c>
      <c r="M383" s="5" t="s">
        <v>8746</v>
      </c>
      <c r="N383" s="5" t="s">
        <v>64</v>
      </c>
      <c r="O383" s="5" t="s">
        <v>9655</v>
      </c>
      <c r="P383" s="6">
        <v>9403.0</v>
      </c>
    </row>
    <row r="384" ht="56.25" customHeight="1">
      <c r="A384" s="5" t="s">
        <v>9640</v>
      </c>
      <c r="B384" s="6" t="str">
        <f>IMAGE("https://storage.googleapis.com/acdb/tops/TopsTexTopTshirtsHAmericanfootball7.png")</f>
        <v/>
      </c>
      <c r="C384" s="5" t="s">
        <v>54</v>
      </c>
      <c r="D384" s="8" t="s">
        <v>36</v>
      </c>
      <c r="E384" s="6">
        <v>1120.0</v>
      </c>
      <c r="F384" s="6">
        <v>280.0</v>
      </c>
      <c r="G384" s="5" t="s">
        <v>54</v>
      </c>
      <c r="H384" s="5" t="s">
        <v>57</v>
      </c>
      <c r="I384" s="6" t="s">
        <v>40</v>
      </c>
      <c r="J384" s="5" t="s">
        <v>8585</v>
      </c>
      <c r="K384" s="5" t="s">
        <v>8586</v>
      </c>
      <c r="L384" s="6" t="s">
        <v>42</v>
      </c>
      <c r="M384" s="5" t="s">
        <v>8746</v>
      </c>
      <c r="N384" s="5" t="s">
        <v>64</v>
      </c>
      <c r="O384" s="5" t="s">
        <v>9657</v>
      </c>
      <c r="P384" s="6">
        <v>9404.0</v>
      </c>
    </row>
    <row r="385" ht="56.25" customHeight="1">
      <c r="A385" s="5" t="s">
        <v>9658</v>
      </c>
      <c r="B385" s="6" t="str">
        <f>IMAGE("https://storage.googleapis.com/acdb/tops/TopsTexTopTshirtsHNumberball4.png")</f>
        <v/>
      </c>
      <c r="C385" s="5" t="s">
        <v>106</v>
      </c>
      <c r="D385" s="8" t="s">
        <v>36</v>
      </c>
      <c r="E385" s="6">
        <v>560.0</v>
      </c>
      <c r="F385" s="6">
        <v>140.0</v>
      </c>
      <c r="G385" s="5" t="s">
        <v>106</v>
      </c>
      <c r="H385" s="5" t="s">
        <v>57</v>
      </c>
      <c r="I385" s="6" t="s">
        <v>40</v>
      </c>
      <c r="J385" s="5" t="s">
        <v>8578</v>
      </c>
      <c r="K385" s="5"/>
      <c r="L385" s="6" t="s">
        <v>42</v>
      </c>
      <c r="M385" s="5" t="s">
        <v>8746</v>
      </c>
      <c r="N385" s="5" t="s">
        <v>64</v>
      </c>
      <c r="O385" s="5" t="s">
        <v>9660</v>
      </c>
      <c r="P385" s="6">
        <v>3321.0</v>
      </c>
    </row>
    <row r="386" ht="56.25" customHeight="1">
      <c r="A386" s="5" t="s">
        <v>9661</v>
      </c>
      <c r="B386" s="6" t="str">
        <f>IMAGE("https://storage.googleapis.com/acdb/tops/TopsTexTopTshirtsHFrog0.png")</f>
        <v/>
      </c>
      <c r="C386" s="5" t="s">
        <v>34</v>
      </c>
      <c r="D386" s="8" t="s">
        <v>36</v>
      </c>
      <c r="E386" s="6">
        <v>640.0</v>
      </c>
      <c r="F386" s="6">
        <v>160.0</v>
      </c>
      <c r="G386" s="5" t="s">
        <v>38</v>
      </c>
      <c r="H386" s="5" t="s">
        <v>96</v>
      </c>
      <c r="I386" s="6" t="s">
        <v>40</v>
      </c>
      <c r="J386" s="5" t="s">
        <v>8578</v>
      </c>
      <c r="K386" s="5"/>
      <c r="L386" s="6" t="s">
        <v>42</v>
      </c>
      <c r="M386" s="5" t="s">
        <v>8746</v>
      </c>
      <c r="N386" s="5" t="s">
        <v>64</v>
      </c>
      <c r="O386" s="5" t="s">
        <v>9663</v>
      </c>
      <c r="P386" s="6">
        <v>8195.0</v>
      </c>
    </row>
    <row r="387" ht="56.25" customHeight="1">
      <c r="A387" s="5" t="s">
        <v>9664</v>
      </c>
      <c r="B387" s="6" t="str">
        <f>IMAGE("https://storage.googleapis.com/acdb/tops/TopsTexTopYshirtsHKnot1.png")</f>
        <v/>
      </c>
      <c r="C387" s="5" t="s">
        <v>69</v>
      </c>
      <c r="D387" s="8" t="s">
        <v>36</v>
      </c>
      <c r="E387" s="6">
        <v>800.0</v>
      </c>
      <c r="F387" s="6">
        <v>200.0</v>
      </c>
      <c r="G387" s="5" t="s">
        <v>69</v>
      </c>
      <c r="H387" s="5" t="s">
        <v>69</v>
      </c>
      <c r="I387" s="6" t="s">
        <v>40</v>
      </c>
      <c r="J387" s="5" t="s">
        <v>8585</v>
      </c>
      <c r="K387" s="5" t="s">
        <v>8632</v>
      </c>
      <c r="L387" s="6" t="s">
        <v>42</v>
      </c>
      <c r="M387" s="5" t="s">
        <v>8746</v>
      </c>
      <c r="N387" s="5" t="s">
        <v>64</v>
      </c>
      <c r="O387" s="5" t="s">
        <v>9667</v>
      </c>
      <c r="P387" s="6">
        <v>8506.0</v>
      </c>
    </row>
    <row r="388" ht="56.25" customHeight="1">
      <c r="A388" s="5" t="s">
        <v>9664</v>
      </c>
      <c r="B388" s="6" t="str">
        <f>IMAGE("https://storage.googleapis.com/acdb/tops/TopsTexTopYshirtsHKnot2.png")</f>
        <v/>
      </c>
      <c r="C388" s="5" t="s">
        <v>114</v>
      </c>
      <c r="D388" s="8" t="s">
        <v>36</v>
      </c>
      <c r="E388" s="6">
        <v>800.0</v>
      </c>
      <c r="F388" s="6">
        <v>200.0</v>
      </c>
      <c r="G388" s="5" t="s">
        <v>114</v>
      </c>
      <c r="H388" s="5" t="s">
        <v>114</v>
      </c>
      <c r="I388" s="6" t="s">
        <v>40</v>
      </c>
      <c r="J388" s="5" t="s">
        <v>8585</v>
      </c>
      <c r="K388" s="5" t="s">
        <v>8632</v>
      </c>
      <c r="L388" s="6" t="s">
        <v>42</v>
      </c>
      <c r="M388" s="5" t="s">
        <v>8746</v>
      </c>
      <c r="N388" s="5" t="s">
        <v>64</v>
      </c>
      <c r="O388" s="5" t="s">
        <v>9668</v>
      </c>
      <c r="P388" s="6">
        <v>8507.0</v>
      </c>
    </row>
    <row r="389" ht="56.25" customHeight="1">
      <c r="A389" s="5" t="s">
        <v>9664</v>
      </c>
      <c r="B389" s="6" t="str">
        <f>IMAGE("https://storage.googleapis.com/acdb/tops/TopsTexTopYshirtsHKnot3.png")</f>
        <v/>
      </c>
      <c r="C389" s="5" t="s">
        <v>95</v>
      </c>
      <c r="D389" s="8" t="s">
        <v>36</v>
      </c>
      <c r="E389" s="6">
        <v>800.0</v>
      </c>
      <c r="F389" s="6">
        <v>200.0</v>
      </c>
      <c r="G389" s="5" t="s">
        <v>95</v>
      </c>
      <c r="H389" s="5" t="s">
        <v>95</v>
      </c>
      <c r="I389" s="6" t="s">
        <v>40</v>
      </c>
      <c r="J389" s="5" t="s">
        <v>8585</v>
      </c>
      <c r="K389" s="5" t="s">
        <v>8632</v>
      </c>
      <c r="L389" s="6" t="s">
        <v>42</v>
      </c>
      <c r="M389" s="5" t="s">
        <v>8746</v>
      </c>
      <c r="N389" s="5" t="s">
        <v>64</v>
      </c>
      <c r="O389" s="5" t="s">
        <v>9670</v>
      </c>
      <c r="P389" s="6">
        <v>8508.0</v>
      </c>
    </row>
    <row r="390" ht="56.25" customHeight="1">
      <c r="A390" s="5" t="s">
        <v>9664</v>
      </c>
      <c r="B390" s="6" t="str">
        <f>IMAGE("https://storage.googleapis.com/acdb/tops/TopsTexTopYshirtsHKnot0.png")</f>
        <v/>
      </c>
      <c r="C390" s="5" t="s">
        <v>68</v>
      </c>
      <c r="D390" s="8" t="s">
        <v>36</v>
      </c>
      <c r="E390" s="6">
        <v>800.0</v>
      </c>
      <c r="F390" s="6">
        <v>200.0</v>
      </c>
      <c r="G390" s="5" t="s">
        <v>68</v>
      </c>
      <c r="H390" s="5" t="s">
        <v>68</v>
      </c>
      <c r="I390" s="6" t="s">
        <v>40</v>
      </c>
      <c r="J390" s="5" t="s">
        <v>8585</v>
      </c>
      <c r="K390" s="5" t="s">
        <v>8632</v>
      </c>
      <c r="L390" s="6" t="s">
        <v>42</v>
      </c>
      <c r="M390" s="5" t="s">
        <v>8746</v>
      </c>
      <c r="N390" s="5" t="s">
        <v>64</v>
      </c>
      <c r="O390" s="5" t="s">
        <v>9674</v>
      </c>
      <c r="P390" s="6">
        <v>4567.0</v>
      </c>
    </row>
    <row r="391" ht="56.25" customHeight="1">
      <c r="A391" s="5" t="s">
        <v>9675</v>
      </c>
      <c r="B391" s="6" t="str">
        <f>IMAGE("https://storage.googleapis.com/acdb/tops/TopsTexTopTshirtsHKnot0.png")</f>
        <v/>
      </c>
      <c r="C391" s="5" t="s">
        <v>54</v>
      </c>
      <c r="D391" s="8" t="s">
        <v>36</v>
      </c>
      <c r="E391" s="6">
        <v>640.0</v>
      </c>
      <c r="F391" s="6">
        <v>160.0</v>
      </c>
      <c r="G391" s="5" t="s">
        <v>54</v>
      </c>
      <c r="H391" s="5" t="s">
        <v>54</v>
      </c>
      <c r="I391" s="6" t="s">
        <v>40</v>
      </c>
      <c r="J391" s="5" t="s">
        <v>8585</v>
      </c>
      <c r="K391" s="5" t="s">
        <v>8632</v>
      </c>
      <c r="L391" s="6" t="s">
        <v>42</v>
      </c>
      <c r="M391" s="5" t="s">
        <v>8746</v>
      </c>
      <c r="N391" s="5" t="s">
        <v>64</v>
      </c>
      <c r="O391" s="5" t="s">
        <v>9679</v>
      </c>
      <c r="P391" s="6">
        <v>4320.0</v>
      </c>
    </row>
    <row r="392" ht="56.25" customHeight="1">
      <c r="A392" s="5" t="s">
        <v>9675</v>
      </c>
      <c r="B392" s="6" t="str">
        <f>IMAGE("https://storage.googleapis.com/acdb/tops/TopsTexTopTshirtsHKnot1.png")</f>
        <v/>
      </c>
      <c r="C392" s="5" t="s">
        <v>57</v>
      </c>
      <c r="D392" s="8" t="s">
        <v>36</v>
      </c>
      <c r="E392" s="6">
        <v>640.0</v>
      </c>
      <c r="F392" s="6">
        <v>160.0</v>
      </c>
      <c r="G392" s="5" t="s">
        <v>57</v>
      </c>
      <c r="H392" s="5" t="s">
        <v>57</v>
      </c>
      <c r="I392" s="6" t="s">
        <v>40</v>
      </c>
      <c r="J392" s="5" t="s">
        <v>8585</v>
      </c>
      <c r="K392" s="5" t="s">
        <v>8632</v>
      </c>
      <c r="L392" s="6" t="s">
        <v>42</v>
      </c>
      <c r="M392" s="5" t="s">
        <v>8746</v>
      </c>
      <c r="N392" s="5" t="s">
        <v>64</v>
      </c>
      <c r="O392" s="5" t="s">
        <v>9681</v>
      </c>
      <c r="P392" s="6">
        <v>8356.0</v>
      </c>
    </row>
    <row r="393" ht="56.25" customHeight="1">
      <c r="A393" s="5" t="s">
        <v>9675</v>
      </c>
      <c r="B393" s="6" t="str">
        <f>IMAGE("https://storage.googleapis.com/acdb/tops/TopsTexTopTshirtsHKnot2.png")</f>
        <v/>
      </c>
      <c r="C393" s="5" t="s">
        <v>52</v>
      </c>
      <c r="D393" s="8" t="s">
        <v>36</v>
      </c>
      <c r="E393" s="6">
        <v>640.0</v>
      </c>
      <c r="F393" s="6">
        <v>160.0</v>
      </c>
      <c r="G393" s="5" t="s">
        <v>52</v>
      </c>
      <c r="H393" s="5" t="s">
        <v>52</v>
      </c>
      <c r="I393" s="6" t="s">
        <v>40</v>
      </c>
      <c r="J393" s="5" t="s">
        <v>8585</v>
      </c>
      <c r="K393" s="5" t="s">
        <v>8632</v>
      </c>
      <c r="L393" s="6" t="s">
        <v>42</v>
      </c>
      <c r="M393" s="5" t="s">
        <v>8746</v>
      </c>
      <c r="N393" s="5" t="s">
        <v>64</v>
      </c>
      <c r="O393" s="5" t="s">
        <v>9684</v>
      </c>
      <c r="P393" s="6">
        <v>8357.0</v>
      </c>
    </row>
    <row r="394" ht="56.25" customHeight="1">
      <c r="A394" s="5" t="s">
        <v>9675</v>
      </c>
      <c r="B394" s="6" t="str">
        <f>IMAGE("https://storage.googleapis.com/acdb/tops/TopsTexTopTshirtsHKnot3.png")</f>
        <v/>
      </c>
      <c r="C394" s="5" t="s">
        <v>1458</v>
      </c>
      <c r="D394" s="8" t="s">
        <v>36</v>
      </c>
      <c r="E394" s="6">
        <v>640.0</v>
      </c>
      <c r="F394" s="6">
        <v>160.0</v>
      </c>
      <c r="G394" s="5" t="s">
        <v>114</v>
      </c>
      <c r="H394" s="5" t="s">
        <v>114</v>
      </c>
      <c r="I394" s="6" t="s">
        <v>40</v>
      </c>
      <c r="J394" s="5" t="s">
        <v>8585</v>
      </c>
      <c r="K394" s="5" t="s">
        <v>8632</v>
      </c>
      <c r="L394" s="6" t="s">
        <v>42</v>
      </c>
      <c r="M394" s="5" t="s">
        <v>8746</v>
      </c>
      <c r="N394" s="5" t="s">
        <v>64</v>
      </c>
      <c r="O394" s="5" t="s">
        <v>9685</v>
      </c>
      <c r="P394" s="6">
        <v>8358.0</v>
      </c>
    </row>
    <row r="395" ht="56.25" customHeight="1">
      <c r="A395" s="5" t="s">
        <v>9686</v>
      </c>
      <c r="B395" s="6" t="str">
        <f>IMAGE("https://storage.googleapis.com/acdb/tops/TopsTexTopYshirtsLBoavest0.png")</f>
        <v/>
      </c>
      <c r="C395" s="5" t="s">
        <v>1187</v>
      </c>
      <c r="D395" s="8" t="s">
        <v>36</v>
      </c>
      <c r="E395" s="6">
        <v>1300.0</v>
      </c>
      <c r="F395" s="6">
        <v>325.0</v>
      </c>
      <c r="G395" s="5" t="s">
        <v>68</v>
      </c>
      <c r="H395" s="5" t="s">
        <v>68</v>
      </c>
      <c r="I395" s="6" t="s">
        <v>40</v>
      </c>
      <c r="J395" s="5" t="s">
        <v>8585</v>
      </c>
      <c r="K395" s="5" t="s">
        <v>8632</v>
      </c>
      <c r="L395" s="6" t="s">
        <v>42</v>
      </c>
      <c r="M395" s="5" t="s">
        <v>995</v>
      </c>
      <c r="N395" s="5" t="s">
        <v>64</v>
      </c>
      <c r="O395" s="5" t="s">
        <v>9688</v>
      </c>
      <c r="P395" s="6">
        <v>4212.0</v>
      </c>
    </row>
    <row r="396" ht="56.25" customHeight="1">
      <c r="A396" s="5" t="s">
        <v>9686</v>
      </c>
      <c r="B396" s="6" t="str">
        <f>IMAGE("https://storage.googleapis.com/acdb/tops/TopsTexTopYshirtsLBoavest1.png")</f>
        <v/>
      </c>
      <c r="C396" s="5" t="s">
        <v>38</v>
      </c>
      <c r="D396" s="8" t="s">
        <v>36</v>
      </c>
      <c r="E396" s="6">
        <v>1300.0</v>
      </c>
      <c r="F396" s="6">
        <v>325.0</v>
      </c>
      <c r="G396" s="5" t="s">
        <v>38</v>
      </c>
      <c r="H396" s="5" t="s">
        <v>38</v>
      </c>
      <c r="I396" s="6" t="s">
        <v>40</v>
      </c>
      <c r="J396" s="5" t="s">
        <v>8585</v>
      </c>
      <c r="K396" s="5" t="s">
        <v>8632</v>
      </c>
      <c r="L396" s="6" t="s">
        <v>42</v>
      </c>
      <c r="M396" s="5" t="s">
        <v>995</v>
      </c>
      <c r="N396" s="5" t="s">
        <v>64</v>
      </c>
      <c r="O396" s="5" t="s">
        <v>9692</v>
      </c>
      <c r="P396" s="6">
        <v>8514.0</v>
      </c>
    </row>
    <row r="397" ht="56.25" customHeight="1">
      <c r="A397" s="5" t="s">
        <v>9686</v>
      </c>
      <c r="B397" s="6" t="str">
        <f>IMAGE("https://storage.googleapis.com/acdb/tops/TopsTexTopYshirtsLBoavest2.png")</f>
        <v/>
      </c>
      <c r="C397" s="5" t="s">
        <v>39</v>
      </c>
      <c r="D397" s="8" t="s">
        <v>36</v>
      </c>
      <c r="E397" s="6">
        <v>1300.0</v>
      </c>
      <c r="F397" s="6">
        <v>325.0</v>
      </c>
      <c r="G397" s="5" t="s">
        <v>39</v>
      </c>
      <c r="H397" s="5" t="s">
        <v>39</v>
      </c>
      <c r="I397" s="6" t="s">
        <v>40</v>
      </c>
      <c r="J397" s="5" t="s">
        <v>8585</v>
      </c>
      <c r="K397" s="5" t="s">
        <v>8632</v>
      </c>
      <c r="L397" s="6" t="s">
        <v>42</v>
      </c>
      <c r="M397" s="5" t="s">
        <v>995</v>
      </c>
      <c r="N397" s="5" t="s">
        <v>64</v>
      </c>
      <c r="O397" s="5" t="s">
        <v>9693</v>
      </c>
      <c r="P397" s="6">
        <v>8515.0</v>
      </c>
    </row>
    <row r="398" ht="56.25" customHeight="1">
      <c r="A398" s="5" t="s">
        <v>9686</v>
      </c>
      <c r="B398" s="6" t="str">
        <f>IMAGE("https://storage.googleapis.com/acdb/tops/TopsTexTopYshirtsLBoavest3.png")</f>
        <v/>
      </c>
      <c r="C398" s="5" t="s">
        <v>96</v>
      </c>
      <c r="D398" s="8" t="s">
        <v>36</v>
      </c>
      <c r="E398" s="6">
        <v>1300.0</v>
      </c>
      <c r="F398" s="6">
        <v>325.0</v>
      </c>
      <c r="G398" s="5" t="s">
        <v>96</v>
      </c>
      <c r="H398" s="5" t="s">
        <v>96</v>
      </c>
      <c r="I398" s="6" t="s">
        <v>40</v>
      </c>
      <c r="J398" s="5" t="s">
        <v>8585</v>
      </c>
      <c r="K398" s="5" t="s">
        <v>8632</v>
      </c>
      <c r="L398" s="6" t="s">
        <v>42</v>
      </c>
      <c r="M398" s="5" t="s">
        <v>995</v>
      </c>
      <c r="N398" s="5" t="s">
        <v>64</v>
      </c>
      <c r="O398" s="5" t="s">
        <v>9695</v>
      </c>
      <c r="P398" s="6">
        <v>8516.0</v>
      </c>
    </row>
    <row r="399" ht="56.25" customHeight="1">
      <c r="A399" s="5" t="s">
        <v>9686</v>
      </c>
      <c r="B399" s="6" t="str">
        <f>IMAGE("https://storage.googleapis.com/acdb/tops/TopsTexTopYshirtsLBoavest4.png")</f>
        <v/>
      </c>
      <c r="C399" s="5" t="s">
        <v>52</v>
      </c>
      <c r="D399" s="8" t="s">
        <v>36</v>
      </c>
      <c r="E399" s="6">
        <v>1300.0</v>
      </c>
      <c r="F399" s="6">
        <v>325.0</v>
      </c>
      <c r="G399" s="5" t="s">
        <v>52</v>
      </c>
      <c r="H399" s="5" t="s">
        <v>95</v>
      </c>
      <c r="I399" s="6" t="s">
        <v>40</v>
      </c>
      <c r="J399" s="5" t="s">
        <v>8585</v>
      </c>
      <c r="K399" s="5" t="s">
        <v>8632</v>
      </c>
      <c r="L399" s="6" t="s">
        <v>42</v>
      </c>
      <c r="M399" s="5" t="s">
        <v>995</v>
      </c>
      <c r="N399" s="5" t="s">
        <v>64</v>
      </c>
      <c r="O399" s="5" t="s">
        <v>9699</v>
      </c>
      <c r="P399" s="6">
        <v>8517.0</v>
      </c>
    </row>
    <row r="400" ht="56.25" customHeight="1">
      <c r="A400" s="5" t="s">
        <v>9701</v>
      </c>
      <c r="B400" s="6" t="str">
        <f>IMAGE("https://storage.googleapis.com/acdb/tops/TopsTexTopTshirtsNCamisoleprint0.png")</f>
        <v/>
      </c>
      <c r="C400" s="5" t="s">
        <v>69</v>
      </c>
      <c r="D400" s="8" t="s">
        <v>36</v>
      </c>
      <c r="E400" s="6">
        <v>1120.0</v>
      </c>
      <c r="F400" s="6">
        <v>280.0</v>
      </c>
      <c r="G400" s="5" t="s">
        <v>69</v>
      </c>
      <c r="H400" s="5" t="s">
        <v>69</v>
      </c>
      <c r="I400" s="6" t="s">
        <v>40</v>
      </c>
      <c r="J400" s="5" t="s">
        <v>8585</v>
      </c>
      <c r="K400" s="5" t="s">
        <v>8632</v>
      </c>
      <c r="L400" s="6" t="s">
        <v>42</v>
      </c>
      <c r="M400" s="5" t="s">
        <v>1959</v>
      </c>
      <c r="N400" s="5" t="s">
        <v>64</v>
      </c>
      <c r="O400" s="5" t="s">
        <v>9704</v>
      </c>
      <c r="P400" s="6">
        <v>3203.0</v>
      </c>
    </row>
    <row r="401" ht="56.25" customHeight="1">
      <c r="A401" s="5" t="s">
        <v>9701</v>
      </c>
      <c r="B401" s="6" t="str">
        <f>IMAGE("https://storage.googleapis.com/acdb/tops/TopsTexTopTshirtsNCamisoleprint1.png")</f>
        <v/>
      </c>
      <c r="C401" s="5" t="s">
        <v>68</v>
      </c>
      <c r="D401" s="8" t="s">
        <v>36</v>
      </c>
      <c r="E401" s="6">
        <v>1120.0</v>
      </c>
      <c r="F401" s="6">
        <v>280.0</v>
      </c>
      <c r="G401" s="5" t="s">
        <v>68</v>
      </c>
      <c r="H401" s="5" t="s">
        <v>106</v>
      </c>
      <c r="I401" s="6" t="s">
        <v>40</v>
      </c>
      <c r="J401" s="5" t="s">
        <v>8585</v>
      </c>
      <c r="K401" s="5" t="s">
        <v>8632</v>
      </c>
      <c r="L401" s="6" t="s">
        <v>42</v>
      </c>
      <c r="M401" s="5" t="s">
        <v>1959</v>
      </c>
      <c r="N401" s="5" t="s">
        <v>64</v>
      </c>
      <c r="O401" s="5" t="s">
        <v>9707</v>
      </c>
      <c r="P401" s="6">
        <v>8075.0</v>
      </c>
    </row>
    <row r="402" ht="56.25" customHeight="1">
      <c r="A402" s="5" t="s">
        <v>9701</v>
      </c>
      <c r="B402" s="6" t="str">
        <f>IMAGE("https://storage.googleapis.com/acdb/tops/TopsTexTopTshirtsNCamisoleprint2.png")</f>
        <v/>
      </c>
      <c r="C402" s="5" t="s">
        <v>142</v>
      </c>
      <c r="D402" s="8" t="s">
        <v>36</v>
      </c>
      <c r="E402" s="6">
        <v>1120.0</v>
      </c>
      <c r="F402" s="6">
        <v>280.0</v>
      </c>
      <c r="G402" s="5" t="s">
        <v>142</v>
      </c>
      <c r="H402" s="5" t="s">
        <v>142</v>
      </c>
      <c r="I402" s="6" t="s">
        <v>40</v>
      </c>
      <c r="J402" s="5" t="s">
        <v>8585</v>
      </c>
      <c r="K402" s="5" t="s">
        <v>8632</v>
      </c>
      <c r="L402" s="6" t="s">
        <v>42</v>
      </c>
      <c r="M402" s="5" t="s">
        <v>1959</v>
      </c>
      <c r="N402" s="5" t="s">
        <v>64</v>
      </c>
      <c r="O402" s="5" t="s">
        <v>9710</v>
      </c>
      <c r="P402" s="6">
        <v>8076.0</v>
      </c>
    </row>
    <row r="403" ht="56.25" customHeight="1">
      <c r="A403" s="5" t="s">
        <v>9701</v>
      </c>
      <c r="B403" s="6" t="str">
        <f>IMAGE("https://storage.googleapis.com/acdb/tops/TopsTexTopTshirtsNCamisoleprint3.png")</f>
        <v/>
      </c>
      <c r="C403" s="5" t="s">
        <v>96</v>
      </c>
      <c r="D403" s="8" t="s">
        <v>36</v>
      </c>
      <c r="E403" s="6">
        <v>1120.0</v>
      </c>
      <c r="F403" s="6">
        <v>280.0</v>
      </c>
      <c r="G403" s="5" t="s">
        <v>96</v>
      </c>
      <c r="H403" s="5" t="s">
        <v>96</v>
      </c>
      <c r="I403" s="6" t="s">
        <v>40</v>
      </c>
      <c r="J403" s="5" t="s">
        <v>8585</v>
      </c>
      <c r="K403" s="5" t="s">
        <v>8632</v>
      </c>
      <c r="L403" s="6" t="s">
        <v>42</v>
      </c>
      <c r="M403" s="5" t="s">
        <v>1959</v>
      </c>
      <c r="N403" s="5" t="s">
        <v>64</v>
      </c>
      <c r="O403" s="5" t="s">
        <v>9712</v>
      </c>
      <c r="P403" s="6">
        <v>8077.0</v>
      </c>
    </row>
    <row r="404" ht="56.25" customHeight="1">
      <c r="A404" s="5" t="s">
        <v>9713</v>
      </c>
      <c r="B404" s="6" t="str">
        <f>IMAGE("https://storage.googleapis.com/acdb/tops/TopsTexTopTshirtsHGillet1.png")</f>
        <v/>
      </c>
      <c r="C404" s="5" t="s">
        <v>68</v>
      </c>
      <c r="D404" s="8" t="s">
        <v>36</v>
      </c>
      <c r="E404" s="6">
        <v>1120.0</v>
      </c>
      <c r="F404" s="6">
        <v>280.0</v>
      </c>
      <c r="G404" s="5" t="s">
        <v>68</v>
      </c>
      <c r="H404" s="5" t="s">
        <v>57</v>
      </c>
      <c r="I404" s="6" t="s">
        <v>40</v>
      </c>
      <c r="J404" s="5" t="s">
        <v>8585</v>
      </c>
      <c r="K404" s="5" t="s">
        <v>8586</v>
      </c>
      <c r="L404" s="6" t="s">
        <v>42</v>
      </c>
      <c r="M404" s="5" t="s">
        <v>1952</v>
      </c>
      <c r="N404" s="5" t="s">
        <v>64</v>
      </c>
      <c r="O404" s="5" t="s">
        <v>9716</v>
      </c>
      <c r="P404" s="6">
        <v>8400.0</v>
      </c>
    </row>
    <row r="405" ht="56.25" customHeight="1">
      <c r="A405" s="5" t="s">
        <v>9713</v>
      </c>
      <c r="B405" s="6" t="str">
        <f>IMAGE("https://storage.googleapis.com/acdb/tops/TopsTexTopTshirtsHGillet2.png")</f>
        <v/>
      </c>
      <c r="C405" s="5" t="s">
        <v>52</v>
      </c>
      <c r="D405" s="8" t="s">
        <v>36</v>
      </c>
      <c r="E405" s="6">
        <v>1120.0</v>
      </c>
      <c r="F405" s="6">
        <v>280.0</v>
      </c>
      <c r="G405" s="5" t="s">
        <v>52</v>
      </c>
      <c r="H405" s="5" t="s">
        <v>54</v>
      </c>
      <c r="I405" s="6" t="s">
        <v>40</v>
      </c>
      <c r="J405" s="5" t="s">
        <v>8585</v>
      </c>
      <c r="K405" s="5" t="s">
        <v>8586</v>
      </c>
      <c r="L405" s="6" t="s">
        <v>42</v>
      </c>
      <c r="M405" s="5" t="s">
        <v>1952</v>
      </c>
      <c r="N405" s="5" t="s">
        <v>64</v>
      </c>
      <c r="O405" s="5" t="s">
        <v>9719</v>
      </c>
      <c r="P405" s="6">
        <v>8401.0</v>
      </c>
    </row>
    <row r="406" ht="56.25" customHeight="1">
      <c r="A406" s="5" t="s">
        <v>9713</v>
      </c>
      <c r="B406" s="6" t="str">
        <f>IMAGE("https://storage.googleapis.com/acdb/tops/TopsTexTopTshirtsHGillet3.png")</f>
        <v/>
      </c>
      <c r="C406" s="5" t="s">
        <v>95</v>
      </c>
      <c r="D406" s="8" t="s">
        <v>36</v>
      </c>
      <c r="E406" s="6">
        <v>1120.0</v>
      </c>
      <c r="F406" s="6">
        <v>280.0</v>
      </c>
      <c r="G406" s="5" t="s">
        <v>95</v>
      </c>
      <c r="H406" s="5" t="s">
        <v>54</v>
      </c>
      <c r="I406" s="6" t="s">
        <v>40</v>
      </c>
      <c r="J406" s="5" t="s">
        <v>8585</v>
      </c>
      <c r="K406" s="5" t="s">
        <v>8586</v>
      </c>
      <c r="L406" s="6" t="s">
        <v>42</v>
      </c>
      <c r="M406" s="5" t="s">
        <v>1952</v>
      </c>
      <c r="N406" s="5" t="s">
        <v>64</v>
      </c>
      <c r="O406" s="5" t="s">
        <v>9722</v>
      </c>
      <c r="P406" s="6">
        <v>8402.0</v>
      </c>
    </row>
    <row r="407" ht="56.25" customHeight="1">
      <c r="A407" s="5" t="s">
        <v>9713</v>
      </c>
      <c r="B407" s="6" t="str">
        <f>IMAGE("https://storage.googleapis.com/acdb/tops/TopsTexTopTshirtsHGillet0.png")</f>
        <v/>
      </c>
      <c r="C407" s="5" t="s">
        <v>54</v>
      </c>
      <c r="D407" s="8" t="s">
        <v>36</v>
      </c>
      <c r="E407" s="6">
        <v>1120.0</v>
      </c>
      <c r="F407" s="6">
        <v>280.0</v>
      </c>
      <c r="G407" s="5" t="s">
        <v>54</v>
      </c>
      <c r="H407" s="5" t="s">
        <v>57</v>
      </c>
      <c r="I407" s="6" t="s">
        <v>40</v>
      </c>
      <c r="J407" s="5" t="s">
        <v>8585</v>
      </c>
      <c r="K407" s="5" t="s">
        <v>8586</v>
      </c>
      <c r="L407" s="6" t="s">
        <v>42</v>
      </c>
      <c r="M407" s="5" t="s">
        <v>1952</v>
      </c>
      <c r="N407" s="5" t="s">
        <v>64</v>
      </c>
      <c r="O407" s="5" t="s">
        <v>9725</v>
      </c>
      <c r="P407" s="6">
        <v>3676.0</v>
      </c>
    </row>
    <row r="408" ht="56.25" customHeight="1">
      <c r="A408" s="5" t="s">
        <v>9726</v>
      </c>
      <c r="B408" s="6" t="str">
        <f>IMAGE("https://storage.googleapis.com/acdb/tops/TopsTexTopYshirtsLGingham0.png")</f>
        <v/>
      </c>
      <c r="C408" s="5" t="s">
        <v>52</v>
      </c>
      <c r="D408" s="8" t="s">
        <v>36</v>
      </c>
      <c r="E408" s="6">
        <v>960.0</v>
      </c>
      <c r="F408" s="6">
        <v>240.0</v>
      </c>
      <c r="G408" s="5" t="s">
        <v>52</v>
      </c>
      <c r="H408" s="5" t="s">
        <v>57</v>
      </c>
      <c r="I408" s="6" t="s">
        <v>40</v>
      </c>
      <c r="J408" s="5" t="s">
        <v>8585</v>
      </c>
      <c r="K408" s="5" t="s">
        <v>8586</v>
      </c>
      <c r="L408" s="6" t="s">
        <v>42</v>
      </c>
      <c r="M408" s="5" t="s">
        <v>995</v>
      </c>
      <c r="N408" s="5" t="s">
        <v>64</v>
      </c>
      <c r="O408" s="5" t="s">
        <v>9731</v>
      </c>
      <c r="P408" s="6">
        <v>6811.0</v>
      </c>
    </row>
    <row r="409" ht="56.25" customHeight="1">
      <c r="A409" s="5" t="s">
        <v>9726</v>
      </c>
      <c r="B409" s="6" t="str">
        <f>IMAGE("https://storage.googleapis.com/acdb/tops/TopsTexTopYshirtsLGingham1.png")</f>
        <v/>
      </c>
      <c r="C409" s="5" t="s">
        <v>96</v>
      </c>
      <c r="D409" s="8" t="s">
        <v>36</v>
      </c>
      <c r="E409" s="6">
        <v>960.0</v>
      </c>
      <c r="F409" s="6">
        <v>240.0</v>
      </c>
      <c r="G409" s="5" t="s">
        <v>96</v>
      </c>
      <c r="H409" s="5" t="s">
        <v>57</v>
      </c>
      <c r="I409" s="6" t="s">
        <v>40</v>
      </c>
      <c r="J409" s="5" t="s">
        <v>8585</v>
      </c>
      <c r="K409" s="5" t="s">
        <v>8586</v>
      </c>
      <c r="L409" s="6" t="s">
        <v>42</v>
      </c>
      <c r="M409" s="5" t="s">
        <v>995</v>
      </c>
      <c r="N409" s="5" t="s">
        <v>64</v>
      </c>
      <c r="O409" s="5" t="s">
        <v>9734</v>
      </c>
      <c r="P409" s="6">
        <v>8971.0</v>
      </c>
    </row>
    <row r="410" ht="56.25" customHeight="1">
      <c r="A410" s="5" t="s">
        <v>9726</v>
      </c>
      <c r="B410" s="6" t="str">
        <f>IMAGE("https://storage.googleapis.com/acdb/tops/TopsTexTopYshirtsLGingham2.png")</f>
        <v/>
      </c>
      <c r="C410" s="5" t="s">
        <v>68</v>
      </c>
      <c r="D410" s="8" t="s">
        <v>36</v>
      </c>
      <c r="E410" s="6">
        <v>960.0</v>
      </c>
      <c r="F410" s="6">
        <v>240.0</v>
      </c>
      <c r="G410" s="5" t="s">
        <v>68</v>
      </c>
      <c r="H410" s="5" t="s">
        <v>57</v>
      </c>
      <c r="I410" s="6" t="s">
        <v>40</v>
      </c>
      <c r="J410" s="5" t="s">
        <v>8585</v>
      </c>
      <c r="K410" s="5" t="s">
        <v>8586</v>
      </c>
      <c r="L410" s="6" t="s">
        <v>42</v>
      </c>
      <c r="M410" s="5" t="s">
        <v>995</v>
      </c>
      <c r="N410" s="5" t="s">
        <v>64</v>
      </c>
      <c r="O410" s="5" t="s">
        <v>9736</v>
      </c>
      <c r="P410" s="6">
        <v>8972.0</v>
      </c>
    </row>
    <row r="411" ht="56.25" customHeight="1">
      <c r="A411" s="5" t="s">
        <v>9726</v>
      </c>
      <c r="B411" s="6" t="str">
        <f>IMAGE("https://storage.googleapis.com/acdb/tops/TopsTexTopYshirtsLGingham3.png")</f>
        <v/>
      </c>
      <c r="C411" s="5" t="s">
        <v>95</v>
      </c>
      <c r="D411" s="8" t="s">
        <v>36</v>
      </c>
      <c r="E411" s="6">
        <v>960.0</v>
      </c>
      <c r="F411" s="6">
        <v>240.0</v>
      </c>
      <c r="G411" s="5" t="s">
        <v>54</v>
      </c>
      <c r="H411" s="5" t="s">
        <v>57</v>
      </c>
      <c r="I411" s="6" t="s">
        <v>40</v>
      </c>
      <c r="J411" s="5" t="s">
        <v>8585</v>
      </c>
      <c r="K411" s="5" t="s">
        <v>8586</v>
      </c>
      <c r="L411" s="6" t="s">
        <v>42</v>
      </c>
      <c r="M411" s="5" t="s">
        <v>995</v>
      </c>
      <c r="N411" s="5" t="s">
        <v>64</v>
      </c>
      <c r="O411" s="5" t="s">
        <v>9739</v>
      </c>
      <c r="P411" s="6">
        <v>8973.0</v>
      </c>
    </row>
    <row r="412" ht="56.25" customHeight="1">
      <c r="A412" s="5" t="s">
        <v>9726</v>
      </c>
      <c r="B412" s="6" t="str">
        <f>IMAGE("https://storage.googleapis.com/acdb/tops/TopsTexTopYshirtsLGingham4.png")</f>
        <v/>
      </c>
      <c r="C412" s="5" t="s">
        <v>142</v>
      </c>
      <c r="D412" s="8" t="s">
        <v>36</v>
      </c>
      <c r="E412" s="6">
        <v>960.0</v>
      </c>
      <c r="F412" s="6">
        <v>240.0</v>
      </c>
      <c r="G412" s="5" t="s">
        <v>142</v>
      </c>
      <c r="H412" s="5" t="s">
        <v>57</v>
      </c>
      <c r="I412" s="6" t="s">
        <v>40</v>
      </c>
      <c r="J412" s="5" t="s">
        <v>8585</v>
      </c>
      <c r="K412" s="5" t="s">
        <v>8586</v>
      </c>
      <c r="L412" s="6" t="s">
        <v>42</v>
      </c>
      <c r="M412" s="5" t="s">
        <v>995</v>
      </c>
      <c r="N412" s="5" t="s">
        <v>64</v>
      </c>
      <c r="O412" s="5" t="s">
        <v>9742</v>
      </c>
      <c r="P412" s="6">
        <v>8974.0</v>
      </c>
    </row>
    <row r="413" ht="56.25" customHeight="1">
      <c r="A413" s="5" t="s">
        <v>9726</v>
      </c>
      <c r="B413" s="6" t="str">
        <f>IMAGE("https://storage.googleapis.com/acdb/tops/TopsTexTopYshirtsLGingham5.png")</f>
        <v/>
      </c>
      <c r="C413" s="5" t="s">
        <v>69</v>
      </c>
      <c r="D413" s="8" t="s">
        <v>36</v>
      </c>
      <c r="E413" s="6">
        <v>960.0</v>
      </c>
      <c r="F413" s="6">
        <v>240.0</v>
      </c>
      <c r="G413" s="5" t="s">
        <v>69</v>
      </c>
      <c r="H413" s="5" t="s">
        <v>57</v>
      </c>
      <c r="I413" s="6" t="s">
        <v>40</v>
      </c>
      <c r="J413" s="5" t="s">
        <v>8585</v>
      </c>
      <c r="K413" s="5" t="s">
        <v>8586</v>
      </c>
      <c r="L413" s="6" t="s">
        <v>42</v>
      </c>
      <c r="M413" s="5" t="s">
        <v>995</v>
      </c>
      <c r="N413" s="5" t="s">
        <v>64</v>
      </c>
      <c r="O413" s="5" t="s">
        <v>9744</v>
      </c>
      <c r="P413" s="6">
        <v>8975.0</v>
      </c>
    </row>
    <row r="414" ht="56.25" customHeight="1">
      <c r="A414" s="5" t="s">
        <v>9726</v>
      </c>
      <c r="B414" s="6" t="str">
        <f>IMAGE("https://storage.googleapis.com/acdb/tops/TopsTexTopYshirtsLGingham6.png")</f>
        <v/>
      </c>
      <c r="C414" s="5" t="s">
        <v>106</v>
      </c>
      <c r="D414" s="8" t="s">
        <v>36</v>
      </c>
      <c r="E414" s="6">
        <v>960.0</v>
      </c>
      <c r="F414" s="6">
        <v>240.0</v>
      </c>
      <c r="G414" s="5" t="s">
        <v>106</v>
      </c>
      <c r="H414" s="5" t="s">
        <v>57</v>
      </c>
      <c r="I414" s="6" t="s">
        <v>40</v>
      </c>
      <c r="J414" s="5" t="s">
        <v>8585</v>
      </c>
      <c r="K414" s="5" t="s">
        <v>8586</v>
      </c>
      <c r="L414" s="6" t="s">
        <v>42</v>
      </c>
      <c r="M414" s="5" t="s">
        <v>995</v>
      </c>
      <c r="N414" s="5" t="s">
        <v>64</v>
      </c>
      <c r="O414" s="5" t="s">
        <v>9747</v>
      </c>
      <c r="P414" s="6">
        <v>8976.0</v>
      </c>
    </row>
    <row r="415" ht="56.25" customHeight="1">
      <c r="A415" s="5" t="s">
        <v>9726</v>
      </c>
      <c r="B415" s="6" t="str">
        <f>IMAGE("https://storage.googleapis.com/acdb/tops/TopsTexTopYshirtsLGingham7.png")</f>
        <v/>
      </c>
      <c r="C415" s="5" t="s">
        <v>83</v>
      </c>
      <c r="D415" s="8" t="s">
        <v>36</v>
      </c>
      <c r="E415" s="6">
        <v>960.0</v>
      </c>
      <c r="F415" s="6">
        <v>240.0</v>
      </c>
      <c r="G415" s="5" t="s">
        <v>83</v>
      </c>
      <c r="H415" s="5" t="s">
        <v>57</v>
      </c>
      <c r="I415" s="6" t="s">
        <v>40</v>
      </c>
      <c r="J415" s="5" t="s">
        <v>8585</v>
      </c>
      <c r="K415" s="5" t="s">
        <v>8586</v>
      </c>
      <c r="L415" s="6" t="s">
        <v>42</v>
      </c>
      <c r="M415" s="5" t="s">
        <v>995</v>
      </c>
      <c r="N415" s="5" t="s">
        <v>64</v>
      </c>
      <c r="O415" s="5" t="s">
        <v>9752</v>
      </c>
      <c r="P415" s="6">
        <v>8977.0</v>
      </c>
    </row>
    <row r="416" ht="56.25" customHeight="1">
      <c r="A416" s="5" t="s">
        <v>9753</v>
      </c>
      <c r="B416" s="6" t="str">
        <f>IMAGE("https://storage.googleapis.com/acdb/tops/TopsTexTopTshirtsHGoldprint1.png")</f>
        <v/>
      </c>
      <c r="C416" s="5" t="s">
        <v>57</v>
      </c>
      <c r="D416" s="8" t="s">
        <v>36</v>
      </c>
      <c r="E416" s="6">
        <v>1120.0</v>
      </c>
      <c r="F416" s="6">
        <v>280.0</v>
      </c>
      <c r="G416" s="5" t="s">
        <v>57</v>
      </c>
      <c r="H416" s="5" t="s">
        <v>114</v>
      </c>
      <c r="I416" s="6" t="s">
        <v>40</v>
      </c>
      <c r="J416" s="5" t="s">
        <v>8585</v>
      </c>
      <c r="K416" s="5" t="s">
        <v>8632</v>
      </c>
      <c r="L416" s="6" t="s">
        <v>42</v>
      </c>
      <c r="M416" s="5" t="s">
        <v>1952</v>
      </c>
      <c r="N416" s="5" t="s">
        <v>64</v>
      </c>
      <c r="O416" s="5" t="s">
        <v>9755</v>
      </c>
      <c r="P416" s="6">
        <v>8429.0</v>
      </c>
    </row>
    <row r="417" ht="56.25" customHeight="1">
      <c r="A417" s="5" t="s">
        <v>9753</v>
      </c>
      <c r="B417" s="6" t="str">
        <f>IMAGE("https://storage.googleapis.com/acdb/tops/TopsTexTopTshirtsHGoldprint0.png")</f>
        <v/>
      </c>
      <c r="C417" s="5" t="s">
        <v>54</v>
      </c>
      <c r="D417" s="8" t="s">
        <v>36</v>
      </c>
      <c r="E417" s="6">
        <v>1120.0</v>
      </c>
      <c r="F417" s="6">
        <v>280.0</v>
      </c>
      <c r="G417" s="5" t="s">
        <v>54</v>
      </c>
      <c r="H417" s="5" t="s">
        <v>114</v>
      </c>
      <c r="I417" s="6" t="s">
        <v>40</v>
      </c>
      <c r="J417" s="5" t="s">
        <v>8585</v>
      </c>
      <c r="K417" s="5" t="s">
        <v>8632</v>
      </c>
      <c r="L417" s="6" t="s">
        <v>42</v>
      </c>
      <c r="M417" s="5" t="s">
        <v>1952</v>
      </c>
      <c r="N417" s="5" t="s">
        <v>64</v>
      </c>
      <c r="O417" s="5" t="s">
        <v>9758</v>
      </c>
      <c r="P417" s="6">
        <v>4327.0</v>
      </c>
    </row>
    <row r="418" ht="56.25" customHeight="1">
      <c r="A418" s="5" t="s">
        <v>9759</v>
      </c>
      <c r="B418" s="6" t="str">
        <f>IMAGE("https://storage.googleapis.com/acdb/tops/TopsTexTopCoatLGowncoat1.png")</f>
        <v/>
      </c>
      <c r="C418" s="5" t="s">
        <v>54</v>
      </c>
      <c r="D418" s="8" t="s">
        <v>36</v>
      </c>
      <c r="E418" s="6">
        <v>2000.0</v>
      </c>
      <c r="F418" s="6">
        <v>500.0</v>
      </c>
      <c r="G418" s="5" t="s">
        <v>54</v>
      </c>
      <c r="H418" s="5" t="s">
        <v>54</v>
      </c>
      <c r="I418" s="6" t="s">
        <v>40</v>
      </c>
      <c r="J418" s="5" t="s">
        <v>8585</v>
      </c>
      <c r="K418" s="5" t="s">
        <v>8586</v>
      </c>
      <c r="L418" s="6" t="s">
        <v>42</v>
      </c>
      <c r="M418" s="5" t="s">
        <v>1059</v>
      </c>
      <c r="N418" s="5" t="s">
        <v>64</v>
      </c>
      <c r="O418" s="5" t="s">
        <v>9762</v>
      </c>
      <c r="P418" s="6">
        <v>9226.0</v>
      </c>
    </row>
    <row r="419" ht="56.25" customHeight="1">
      <c r="A419" s="5" t="s">
        <v>9759</v>
      </c>
      <c r="B419" s="6" t="str">
        <f>IMAGE("https://storage.googleapis.com/acdb/tops/TopsTexTopCoatLGowncoat2.png")</f>
        <v/>
      </c>
      <c r="C419" s="5" t="s">
        <v>68</v>
      </c>
      <c r="D419" s="8" t="s">
        <v>36</v>
      </c>
      <c r="E419" s="6">
        <v>2000.0</v>
      </c>
      <c r="F419" s="6">
        <v>500.0</v>
      </c>
      <c r="G419" s="5" t="s">
        <v>83</v>
      </c>
      <c r="H419" s="5" t="s">
        <v>68</v>
      </c>
      <c r="I419" s="6" t="s">
        <v>40</v>
      </c>
      <c r="J419" s="5" t="s">
        <v>8585</v>
      </c>
      <c r="K419" s="5" t="s">
        <v>8586</v>
      </c>
      <c r="L419" s="6" t="s">
        <v>42</v>
      </c>
      <c r="M419" s="5" t="s">
        <v>1059</v>
      </c>
      <c r="N419" s="5" t="s">
        <v>64</v>
      </c>
      <c r="O419" s="5" t="s">
        <v>9765</v>
      </c>
      <c r="P419" s="6">
        <v>9227.0</v>
      </c>
    </row>
    <row r="420" ht="56.25" customHeight="1">
      <c r="A420" s="5" t="s">
        <v>9759</v>
      </c>
      <c r="B420" s="6" t="str">
        <f>IMAGE("https://storage.googleapis.com/acdb/tops/TopsTexTopCoatLGowncoat3.png")</f>
        <v/>
      </c>
      <c r="C420" s="5" t="s">
        <v>52</v>
      </c>
      <c r="D420" s="8" t="s">
        <v>36</v>
      </c>
      <c r="E420" s="6">
        <v>2000.0</v>
      </c>
      <c r="F420" s="6">
        <v>500.0</v>
      </c>
      <c r="G420" s="5" t="s">
        <v>52</v>
      </c>
      <c r="H420" s="5" t="s">
        <v>39</v>
      </c>
      <c r="I420" s="6" t="s">
        <v>40</v>
      </c>
      <c r="J420" s="5" t="s">
        <v>8585</v>
      </c>
      <c r="K420" s="5" t="s">
        <v>8586</v>
      </c>
      <c r="L420" s="6" t="s">
        <v>42</v>
      </c>
      <c r="M420" s="5" t="s">
        <v>1059</v>
      </c>
      <c r="N420" s="5" t="s">
        <v>64</v>
      </c>
      <c r="O420" s="5" t="s">
        <v>9768</v>
      </c>
      <c r="P420" s="6">
        <v>9228.0</v>
      </c>
    </row>
    <row r="421" ht="56.25" customHeight="1">
      <c r="A421" s="5" t="s">
        <v>9759</v>
      </c>
      <c r="B421" s="6" t="str">
        <f>IMAGE("https://storage.googleapis.com/acdb/tops/TopsTexTopCoatLGowncoat0.png")</f>
        <v/>
      </c>
      <c r="C421" s="5" t="s">
        <v>39</v>
      </c>
      <c r="D421" s="8" t="s">
        <v>36</v>
      </c>
      <c r="E421" s="6">
        <v>2000.0</v>
      </c>
      <c r="F421" s="6">
        <v>500.0</v>
      </c>
      <c r="G421" s="5" t="s">
        <v>39</v>
      </c>
      <c r="H421" s="5" t="s">
        <v>39</v>
      </c>
      <c r="I421" s="6" t="s">
        <v>40</v>
      </c>
      <c r="J421" s="5" t="s">
        <v>8585</v>
      </c>
      <c r="K421" s="5" t="s">
        <v>8586</v>
      </c>
      <c r="L421" s="6" t="s">
        <v>42</v>
      </c>
      <c r="M421" s="5" t="s">
        <v>1059</v>
      </c>
      <c r="N421" s="5" t="s">
        <v>64</v>
      </c>
      <c r="O421" s="5" t="s">
        <v>9773</v>
      </c>
      <c r="P421" s="6">
        <v>4286.0</v>
      </c>
    </row>
    <row r="422" ht="56.25" customHeight="1">
      <c r="A422" s="5" t="s">
        <v>9774</v>
      </c>
      <c r="B422" s="6" t="str">
        <f>IMAGE("https://storage.googleapis.com/acdb/tops/TopsTexTopCoatLAcademicdress1.png")</f>
        <v/>
      </c>
      <c r="C422" s="5" t="s">
        <v>96</v>
      </c>
      <c r="D422" s="8" t="s">
        <v>36</v>
      </c>
      <c r="E422" s="6">
        <v>3360.0</v>
      </c>
      <c r="F422" s="6">
        <v>840.0</v>
      </c>
      <c r="G422" s="5" t="s">
        <v>54</v>
      </c>
      <c r="H422" s="5" t="s">
        <v>96</v>
      </c>
      <c r="I422" s="6" t="s">
        <v>40</v>
      </c>
      <c r="J422" s="5" t="s">
        <v>8585</v>
      </c>
      <c r="K422" s="5" t="s">
        <v>8586</v>
      </c>
      <c r="L422" s="6" t="s">
        <v>42</v>
      </c>
      <c r="M422" s="5" t="s">
        <v>995</v>
      </c>
      <c r="N422" s="5" t="s">
        <v>64</v>
      </c>
      <c r="O422" s="5" t="s">
        <v>9778</v>
      </c>
      <c r="P422" s="6">
        <v>8681.0</v>
      </c>
    </row>
    <row r="423" ht="56.25" customHeight="1">
      <c r="A423" s="5" t="s">
        <v>9774</v>
      </c>
      <c r="B423" s="6" t="str">
        <f>IMAGE("https://storage.googleapis.com/acdb/tops/TopsTexTopCoatLAcademicdress2.png")</f>
        <v/>
      </c>
      <c r="C423" s="5" t="s">
        <v>68</v>
      </c>
      <c r="D423" s="8" t="s">
        <v>36</v>
      </c>
      <c r="E423" s="6">
        <v>3360.0</v>
      </c>
      <c r="F423" s="6">
        <v>840.0</v>
      </c>
      <c r="G423" s="5" t="s">
        <v>54</v>
      </c>
      <c r="H423" s="5" t="s">
        <v>68</v>
      </c>
      <c r="I423" s="6" t="s">
        <v>40</v>
      </c>
      <c r="J423" s="5" t="s">
        <v>8585</v>
      </c>
      <c r="K423" s="5" t="s">
        <v>8586</v>
      </c>
      <c r="L423" s="6" t="s">
        <v>42</v>
      </c>
      <c r="M423" s="5" t="s">
        <v>995</v>
      </c>
      <c r="N423" s="5" t="s">
        <v>64</v>
      </c>
      <c r="O423" s="5" t="s">
        <v>9780</v>
      </c>
      <c r="P423" s="6">
        <v>8682.0</v>
      </c>
    </row>
    <row r="424" ht="56.25" customHeight="1">
      <c r="A424" s="5" t="s">
        <v>9774</v>
      </c>
      <c r="B424" s="6" t="str">
        <f>IMAGE("https://storage.googleapis.com/acdb/tops/TopsTexTopCoatLAcademicdress3.png")</f>
        <v/>
      </c>
      <c r="C424" s="5" t="s">
        <v>114</v>
      </c>
      <c r="D424" s="8" t="s">
        <v>36</v>
      </c>
      <c r="E424" s="6">
        <v>3360.0</v>
      </c>
      <c r="F424" s="6">
        <v>840.0</v>
      </c>
      <c r="G424" s="5" t="s">
        <v>54</v>
      </c>
      <c r="H424" s="5" t="s">
        <v>114</v>
      </c>
      <c r="I424" s="6" t="s">
        <v>40</v>
      </c>
      <c r="J424" s="5" t="s">
        <v>8585</v>
      </c>
      <c r="K424" s="5" t="s">
        <v>8586</v>
      </c>
      <c r="L424" s="6" t="s">
        <v>42</v>
      </c>
      <c r="M424" s="5" t="s">
        <v>995</v>
      </c>
      <c r="N424" s="5" t="s">
        <v>64</v>
      </c>
      <c r="O424" s="5" t="s">
        <v>9783</v>
      </c>
      <c r="P424" s="6">
        <v>8683.0</v>
      </c>
    </row>
    <row r="425" ht="56.25" customHeight="1">
      <c r="A425" s="5" t="s">
        <v>9774</v>
      </c>
      <c r="B425" s="6" t="str">
        <f>IMAGE("https://storage.googleapis.com/acdb/tops/TopsTexTopCoatLAcademicdress0.png")</f>
        <v/>
      </c>
      <c r="C425" s="5" t="s">
        <v>52</v>
      </c>
      <c r="D425" s="8" t="s">
        <v>36</v>
      </c>
      <c r="E425" s="6">
        <v>3360.0</v>
      </c>
      <c r="F425" s="6">
        <v>840.0</v>
      </c>
      <c r="G425" s="5" t="s">
        <v>54</v>
      </c>
      <c r="H425" s="5" t="s">
        <v>52</v>
      </c>
      <c r="I425" s="6" t="s">
        <v>40</v>
      </c>
      <c r="J425" s="5" t="s">
        <v>8585</v>
      </c>
      <c r="K425" s="5" t="s">
        <v>8586</v>
      </c>
      <c r="L425" s="6" t="s">
        <v>42</v>
      </c>
      <c r="M425" s="5" t="s">
        <v>995</v>
      </c>
      <c r="N425" s="5" t="s">
        <v>64</v>
      </c>
      <c r="O425" s="5" t="s">
        <v>9787</v>
      </c>
      <c r="P425" s="6">
        <v>3140.0</v>
      </c>
    </row>
    <row r="426" ht="56.25" customHeight="1">
      <c r="A426" s="5" t="s">
        <v>9788</v>
      </c>
      <c r="B426" s="6" t="str">
        <f>IMAGE("https://storage.googleapis.com/acdb/tops/TopsTexTopYshirtsLPsychedelic0.png")</f>
        <v/>
      </c>
      <c r="C426" s="5" t="s">
        <v>142</v>
      </c>
      <c r="D426" s="8" t="s">
        <v>36</v>
      </c>
      <c r="E426" s="6">
        <v>1440.0</v>
      </c>
      <c r="F426" s="6">
        <v>360.0</v>
      </c>
      <c r="G426" s="5" t="s">
        <v>142</v>
      </c>
      <c r="H426" s="5" t="s">
        <v>142</v>
      </c>
      <c r="I426" s="6" t="s">
        <v>40</v>
      </c>
      <c r="J426" s="5" t="s">
        <v>8585</v>
      </c>
      <c r="K426" s="5" t="s">
        <v>8632</v>
      </c>
      <c r="L426" s="6" t="s">
        <v>42</v>
      </c>
      <c r="M426" s="5" t="s">
        <v>1952</v>
      </c>
      <c r="N426" s="5" t="s">
        <v>64</v>
      </c>
      <c r="O426" s="5" t="s">
        <v>9790</v>
      </c>
      <c r="P426" s="6">
        <v>9832.0</v>
      </c>
    </row>
    <row r="427" ht="56.25" customHeight="1">
      <c r="A427" s="5" t="s">
        <v>9788</v>
      </c>
      <c r="B427" s="6" t="str">
        <f>IMAGE("https://storage.googleapis.com/acdb/tops/TopsTexTopYshirtsLPsychedelic1.png")</f>
        <v/>
      </c>
      <c r="C427" s="5" t="s">
        <v>96</v>
      </c>
      <c r="D427" s="8" t="s">
        <v>36</v>
      </c>
      <c r="E427" s="6">
        <v>1440.0</v>
      </c>
      <c r="F427" s="6">
        <v>360.0</v>
      </c>
      <c r="G427" s="5" t="s">
        <v>96</v>
      </c>
      <c r="H427" s="5" t="s">
        <v>96</v>
      </c>
      <c r="I427" s="6" t="s">
        <v>40</v>
      </c>
      <c r="J427" s="5" t="s">
        <v>8585</v>
      </c>
      <c r="K427" s="5" t="s">
        <v>8632</v>
      </c>
      <c r="L427" s="6" t="s">
        <v>42</v>
      </c>
      <c r="M427" s="5" t="s">
        <v>1952</v>
      </c>
      <c r="N427" s="5" t="s">
        <v>64</v>
      </c>
      <c r="O427" s="5" t="s">
        <v>9792</v>
      </c>
      <c r="P427" s="6">
        <v>11957.0</v>
      </c>
    </row>
    <row r="428" ht="56.25" customHeight="1">
      <c r="A428" s="5" t="s">
        <v>9788</v>
      </c>
      <c r="B428" s="6" t="str">
        <f>IMAGE("https://storage.googleapis.com/acdb/tops/TopsTexTopYshirtsLPsychedelic2.png")</f>
        <v/>
      </c>
      <c r="C428" s="5" t="s">
        <v>52</v>
      </c>
      <c r="D428" s="8" t="s">
        <v>36</v>
      </c>
      <c r="E428" s="6">
        <v>1440.0</v>
      </c>
      <c r="F428" s="6">
        <v>360.0</v>
      </c>
      <c r="G428" s="5" t="s">
        <v>52</v>
      </c>
      <c r="H428" s="5" t="s">
        <v>52</v>
      </c>
      <c r="I428" s="6" t="s">
        <v>40</v>
      </c>
      <c r="J428" s="5" t="s">
        <v>8585</v>
      </c>
      <c r="K428" s="5" t="s">
        <v>8632</v>
      </c>
      <c r="L428" s="6" t="s">
        <v>42</v>
      </c>
      <c r="M428" s="5" t="s">
        <v>1952</v>
      </c>
      <c r="N428" s="5" t="s">
        <v>64</v>
      </c>
      <c r="O428" s="5" t="s">
        <v>9794</v>
      </c>
      <c r="P428" s="6">
        <v>11958.0</v>
      </c>
    </row>
    <row r="429" ht="56.25" customHeight="1">
      <c r="A429" s="5" t="s">
        <v>9795</v>
      </c>
      <c r="B429" s="6" t="str">
        <f>IMAGE("https://storage.googleapis.com/acdb/tops/TopsTexTopCoatLHippie0.png")</f>
        <v/>
      </c>
      <c r="C429" s="5" t="s">
        <v>142</v>
      </c>
      <c r="D429" s="8" t="s">
        <v>36</v>
      </c>
      <c r="E429" s="6">
        <v>1680.0</v>
      </c>
      <c r="F429" s="6">
        <v>420.0</v>
      </c>
      <c r="G429" s="5" t="s">
        <v>142</v>
      </c>
      <c r="H429" s="5" t="s">
        <v>38</v>
      </c>
      <c r="I429" s="6" t="s">
        <v>40</v>
      </c>
      <c r="J429" s="5" t="s">
        <v>8585</v>
      </c>
      <c r="K429" s="5" t="s">
        <v>8632</v>
      </c>
      <c r="L429" s="6" t="s">
        <v>42</v>
      </c>
      <c r="M429" s="5" t="s">
        <v>8746</v>
      </c>
      <c r="N429" s="5" t="s">
        <v>64</v>
      </c>
      <c r="O429" s="5" t="s">
        <v>9798</v>
      </c>
      <c r="P429" s="6">
        <v>4488.0</v>
      </c>
    </row>
    <row r="430" ht="56.25" customHeight="1">
      <c r="A430" s="5" t="s">
        <v>9795</v>
      </c>
      <c r="B430" s="6" t="str">
        <f>IMAGE("https://storage.googleapis.com/acdb/tops/TopsTexTopCoatLHippie2.png")</f>
        <v/>
      </c>
      <c r="C430" s="5" t="s">
        <v>2408</v>
      </c>
      <c r="D430" s="8" t="s">
        <v>36</v>
      </c>
      <c r="E430" s="6">
        <v>1680.0</v>
      </c>
      <c r="F430" s="6">
        <v>420.0</v>
      </c>
      <c r="G430" s="5" t="s">
        <v>38</v>
      </c>
      <c r="H430" s="5" t="s">
        <v>69</v>
      </c>
      <c r="I430" s="6" t="s">
        <v>40</v>
      </c>
      <c r="J430" s="5" t="s">
        <v>8585</v>
      </c>
      <c r="K430" s="5" t="s">
        <v>8632</v>
      </c>
      <c r="L430" s="6" t="s">
        <v>42</v>
      </c>
      <c r="M430" s="5" t="s">
        <v>8746</v>
      </c>
      <c r="N430" s="5" t="s">
        <v>64</v>
      </c>
      <c r="O430" s="5" t="s">
        <v>9801</v>
      </c>
      <c r="P430" s="6">
        <v>9230.0</v>
      </c>
    </row>
    <row r="431" ht="56.25" customHeight="1">
      <c r="A431" s="5" t="s">
        <v>9795</v>
      </c>
      <c r="B431" s="6" t="str">
        <f>IMAGE("https://storage.googleapis.com/acdb/tops/TopsTexTopCoatLHippie1.png")</f>
        <v/>
      </c>
      <c r="C431" s="5" t="s">
        <v>39</v>
      </c>
      <c r="D431" s="8" t="s">
        <v>36</v>
      </c>
      <c r="E431" s="6">
        <v>1680.0</v>
      </c>
      <c r="F431" s="6">
        <v>420.0</v>
      </c>
      <c r="G431" s="5" t="s">
        <v>39</v>
      </c>
      <c r="H431" s="5" t="s">
        <v>68</v>
      </c>
      <c r="I431" s="6" t="s">
        <v>40</v>
      </c>
      <c r="J431" s="5" t="s">
        <v>8585</v>
      </c>
      <c r="K431" s="5" t="s">
        <v>8632</v>
      </c>
      <c r="L431" s="6" t="s">
        <v>42</v>
      </c>
      <c r="M431" s="5" t="s">
        <v>8746</v>
      </c>
      <c r="N431" s="5" t="s">
        <v>64</v>
      </c>
      <c r="O431" s="5" t="s">
        <v>9802</v>
      </c>
      <c r="P431" s="6">
        <v>9229.0</v>
      </c>
    </row>
    <row r="432" ht="56.25" customHeight="1">
      <c r="A432" s="5" t="s">
        <v>9803</v>
      </c>
      <c r="B432" s="6" t="str">
        <f>IMAGE("https://storage.googleapis.com/acdb/tops/TopsTexTopYshirtsHCuba1.png")</f>
        <v/>
      </c>
      <c r="C432" s="5" t="s">
        <v>52</v>
      </c>
      <c r="D432" s="8" t="s">
        <v>36</v>
      </c>
      <c r="E432" s="6">
        <v>1120.0</v>
      </c>
      <c r="F432" s="6">
        <v>280.0</v>
      </c>
      <c r="G432" s="5" t="s">
        <v>52</v>
      </c>
      <c r="H432" s="5" t="s">
        <v>52</v>
      </c>
      <c r="I432" s="6" t="s">
        <v>40</v>
      </c>
      <c r="J432" s="5" t="s">
        <v>8585</v>
      </c>
      <c r="K432" s="5" t="s">
        <v>8632</v>
      </c>
      <c r="L432" s="6" t="s">
        <v>42</v>
      </c>
      <c r="M432" s="5" t="s">
        <v>1952</v>
      </c>
      <c r="N432" s="5" t="s">
        <v>64</v>
      </c>
      <c r="O432" s="5" t="s">
        <v>9806</v>
      </c>
      <c r="P432" s="6">
        <v>9434.0</v>
      </c>
    </row>
    <row r="433" ht="56.25" customHeight="1">
      <c r="A433" s="5" t="s">
        <v>9803</v>
      </c>
      <c r="B433" s="6" t="str">
        <f>IMAGE("https://storage.googleapis.com/acdb/tops/TopsTexTopYshirtsHCuba2.png")</f>
        <v/>
      </c>
      <c r="C433" s="5" t="s">
        <v>39</v>
      </c>
      <c r="D433" s="8" t="s">
        <v>36</v>
      </c>
      <c r="E433" s="6">
        <v>1120.0</v>
      </c>
      <c r="F433" s="6">
        <v>280.0</v>
      </c>
      <c r="G433" s="5" t="s">
        <v>39</v>
      </c>
      <c r="H433" s="5" t="s">
        <v>39</v>
      </c>
      <c r="I433" s="6" t="s">
        <v>40</v>
      </c>
      <c r="J433" s="5" t="s">
        <v>8585</v>
      </c>
      <c r="K433" s="5" t="s">
        <v>8632</v>
      </c>
      <c r="L433" s="6" t="s">
        <v>42</v>
      </c>
      <c r="M433" s="5" t="s">
        <v>1952</v>
      </c>
      <c r="N433" s="5" t="s">
        <v>64</v>
      </c>
      <c r="O433" s="5" t="s">
        <v>9809</v>
      </c>
      <c r="P433" s="6">
        <v>9435.0</v>
      </c>
    </row>
    <row r="434" ht="56.25" customHeight="1">
      <c r="A434" s="5" t="s">
        <v>9803</v>
      </c>
      <c r="B434" s="6" t="str">
        <f>IMAGE("https://storage.googleapis.com/acdb/tops/TopsTexTopYshirtsHCuba3.png")</f>
        <v/>
      </c>
      <c r="C434" s="5" t="s">
        <v>68</v>
      </c>
      <c r="D434" s="8" t="s">
        <v>36</v>
      </c>
      <c r="E434" s="6">
        <v>1120.0</v>
      </c>
      <c r="F434" s="6">
        <v>280.0</v>
      </c>
      <c r="G434" s="5" t="s">
        <v>68</v>
      </c>
      <c r="H434" s="5" t="s">
        <v>68</v>
      </c>
      <c r="I434" s="6" t="s">
        <v>40</v>
      </c>
      <c r="J434" s="5" t="s">
        <v>8585</v>
      </c>
      <c r="K434" s="5" t="s">
        <v>8632</v>
      </c>
      <c r="L434" s="6" t="s">
        <v>42</v>
      </c>
      <c r="M434" s="5" t="s">
        <v>1952</v>
      </c>
      <c r="N434" s="5" t="s">
        <v>64</v>
      </c>
      <c r="O434" s="5" t="s">
        <v>9811</v>
      </c>
      <c r="P434" s="6">
        <v>9436.0</v>
      </c>
    </row>
    <row r="435" ht="56.25" customHeight="1">
      <c r="A435" s="5" t="s">
        <v>9803</v>
      </c>
      <c r="B435" s="6" t="str">
        <f>IMAGE("https://storage.googleapis.com/acdb/tops/TopsTexTopYshirtsHCuba0.png")</f>
        <v/>
      </c>
      <c r="C435" s="5" t="s">
        <v>96</v>
      </c>
      <c r="D435" s="8" t="s">
        <v>36</v>
      </c>
      <c r="E435" s="6">
        <v>1120.0</v>
      </c>
      <c r="F435" s="6">
        <v>280.0</v>
      </c>
      <c r="G435" s="5" t="s">
        <v>96</v>
      </c>
      <c r="H435" s="5" t="s">
        <v>96</v>
      </c>
      <c r="I435" s="6" t="s">
        <v>40</v>
      </c>
      <c r="J435" s="5" t="s">
        <v>8585</v>
      </c>
      <c r="K435" s="5" t="s">
        <v>8632</v>
      </c>
      <c r="L435" s="6" t="s">
        <v>42</v>
      </c>
      <c r="M435" s="5" t="s">
        <v>1952</v>
      </c>
      <c r="N435" s="5" t="s">
        <v>64</v>
      </c>
      <c r="O435" s="5" t="s">
        <v>9813</v>
      </c>
      <c r="P435" s="6">
        <v>3687.0</v>
      </c>
    </row>
    <row r="436" ht="56.25" customHeight="1">
      <c r="A436" s="5" t="s">
        <v>9814</v>
      </c>
      <c r="B436" s="6" t="str">
        <f>IMAGE("https://storage.googleapis.com/acdb/tops/TopsTexTopYshirtsLGuide0.png")</f>
        <v/>
      </c>
      <c r="C436" s="5" t="s">
        <v>96</v>
      </c>
      <c r="D436" s="8" t="s">
        <v>36</v>
      </c>
      <c r="E436" s="6">
        <v>800.0</v>
      </c>
      <c r="F436" s="6">
        <v>200.0</v>
      </c>
      <c r="G436" s="5" t="s">
        <v>57</v>
      </c>
      <c r="H436" s="5" t="s">
        <v>96</v>
      </c>
      <c r="I436" s="6" t="s">
        <v>40</v>
      </c>
      <c r="J436" s="5" t="s">
        <v>8585</v>
      </c>
      <c r="K436" s="5" t="s">
        <v>8586</v>
      </c>
      <c r="L436" s="6" t="s">
        <v>42</v>
      </c>
      <c r="M436" s="5" t="s">
        <v>995</v>
      </c>
      <c r="N436" s="5" t="s">
        <v>64</v>
      </c>
      <c r="O436" s="5" t="s">
        <v>9816</v>
      </c>
      <c r="P436" s="6">
        <v>5926.0</v>
      </c>
    </row>
    <row r="437" ht="56.25" customHeight="1">
      <c r="A437" s="5" t="s">
        <v>9814</v>
      </c>
      <c r="B437" s="6" t="str">
        <f>IMAGE("https://storage.googleapis.com/acdb/tops/TopsTexTopYshirtsLGuide1.png")</f>
        <v/>
      </c>
      <c r="C437" s="5" t="s">
        <v>52</v>
      </c>
      <c r="D437" s="8" t="s">
        <v>36</v>
      </c>
      <c r="E437" s="6">
        <v>800.0</v>
      </c>
      <c r="F437" s="6">
        <v>200.0</v>
      </c>
      <c r="G437" s="5" t="s">
        <v>57</v>
      </c>
      <c r="H437" s="5" t="s">
        <v>52</v>
      </c>
      <c r="I437" s="6" t="s">
        <v>40</v>
      </c>
      <c r="J437" s="5" t="s">
        <v>8585</v>
      </c>
      <c r="K437" s="5" t="s">
        <v>8586</v>
      </c>
      <c r="L437" s="6" t="s">
        <v>42</v>
      </c>
      <c r="M437" s="5" t="s">
        <v>995</v>
      </c>
      <c r="N437" s="5" t="s">
        <v>64</v>
      </c>
      <c r="O437" s="5" t="s">
        <v>9817</v>
      </c>
      <c r="P437" s="6">
        <v>8530.0</v>
      </c>
    </row>
    <row r="438" ht="56.25" customHeight="1">
      <c r="A438" s="5" t="s">
        <v>9814</v>
      </c>
      <c r="B438" s="6" t="str">
        <f>IMAGE("https://storage.googleapis.com/acdb/tops/TopsTexTopYshirtsLGuide2.png")</f>
        <v/>
      </c>
      <c r="C438" s="5" t="s">
        <v>114</v>
      </c>
      <c r="D438" s="8" t="s">
        <v>36</v>
      </c>
      <c r="E438" s="6">
        <v>800.0</v>
      </c>
      <c r="F438" s="6">
        <v>200.0</v>
      </c>
      <c r="G438" s="5" t="s">
        <v>57</v>
      </c>
      <c r="H438" s="5" t="s">
        <v>114</v>
      </c>
      <c r="I438" s="6" t="s">
        <v>40</v>
      </c>
      <c r="J438" s="5" t="s">
        <v>8585</v>
      </c>
      <c r="K438" s="5" t="s">
        <v>8586</v>
      </c>
      <c r="L438" s="6" t="s">
        <v>42</v>
      </c>
      <c r="M438" s="5" t="s">
        <v>995</v>
      </c>
      <c r="N438" s="5" t="s">
        <v>64</v>
      </c>
      <c r="O438" s="5" t="s">
        <v>9821</v>
      </c>
      <c r="P438" s="6">
        <v>8531.0</v>
      </c>
    </row>
    <row r="439" ht="56.25" customHeight="1">
      <c r="A439" s="5" t="s">
        <v>9822</v>
      </c>
      <c r="B439" s="6" t="str">
        <f>IMAGE("https://storage.googleapis.com/acdb/tops/TopsTexTopTshirtsHGym1.png")</f>
        <v/>
      </c>
      <c r="C439" s="5" t="s">
        <v>68</v>
      </c>
      <c r="D439" s="8" t="s">
        <v>36</v>
      </c>
      <c r="E439" s="6">
        <v>640.0</v>
      </c>
      <c r="F439" s="6">
        <v>160.0</v>
      </c>
      <c r="G439" s="5" t="s">
        <v>57</v>
      </c>
      <c r="H439" s="5" t="s">
        <v>68</v>
      </c>
      <c r="I439" s="6" t="s">
        <v>40</v>
      </c>
      <c r="J439" s="5" t="s">
        <v>8585</v>
      </c>
      <c r="K439" s="5" t="s">
        <v>8632</v>
      </c>
      <c r="L439" s="6" t="s">
        <v>42</v>
      </c>
      <c r="M439" s="5" t="s">
        <v>8746</v>
      </c>
      <c r="N439" s="5" t="s">
        <v>64</v>
      </c>
      <c r="O439" s="5" t="s">
        <v>9824</v>
      </c>
      <c r="P439" s="6">
        <v>10915.0</v>
      </c>
    </row>
    <row r="440" ht="56.25" customHeight="1">
      <c r="A440" s="5" t="s">
        <v>9822</v>
      </c>
      <c r="B440" s="6" t="str">
        <f>IMAGE("https://storage.googleapis.com/acdb/tops/TopsTexTopTshirtsHGym2.png")</f>
        <v/>
      </c>
      <c r="C440" s="5" t="s">
        <v>96</v>
      </c>
      <c r="D440" s="8" t="s">
        <v>36</v>
      </c>
      <c r="E440" s="6">
        <v>640.0</v>
      </c>
      <c r="F440" s="6">
        <v>160.0</v>
      </c>
      <c r="G440" s="5" t="s">
        <v>57</v>
      </c>
      <c r="H440" s="5" t="s">
        <v>96</v>
      </c>
      <c r="I440" s="6" t="s">
        <v>40</v>
      </c>
      <c r="J440" s="5" t="s">
        <v>8585</v>
      </c>
      <c r="K440" s="5" t="s">
        <v>8632</v>
      </c>
      <c r="L440" s="6" t="s">
        <v>42</v>
      </c>
      <c r="M440" s="5" t="s">
        <v>8746</v>
      </c>
      <c r="N440" s="5" t="s">
        <v>64</v>
      </c>
      <c r="O440" s="5" t="s">
        <v>9826</v>
      </c>
      <c r="P440" s="6">
        <v>10916.0</v>
      </c>
    </row>
    <row r="441" ht="56.25" customHeight="1">
      <c r="A441" s="5" t="s">
        <v>9822</v>
      </c>
      <c r="B441" s="6" t="str">
        <f>IMAGE("https://storage.googleapis.com/acdb/tops/TopsTexTopTshirtsHGym3.png")</f>
        <v/>
      </c>
      <c r="C441" s="5" t="s">
        <v>54</v>
      </c>
      <c r="D441" s="8" t="s">
        <v>36</v>
      </c>
      <c r="E441" s="6">
        <v>640.0</v>
      </c>
      <c r="F441" s="6">
        <v>160.0</v>
      </c>
      <c r="G441" s="5" t="s">
        <v>57</v>
      </c>
      <c r="H441" s="5" t="s">
        <v>54</v>
      </c>
      <c r="I441" s="6" t="s">
        <v>40</v>
      </c>
      <c r="J441" s="5" t="s">
        <v>8585</v>
      </c>
      <c r="K441" s="5" t="s">
        <v>8632</v>
      </c>
      <c r="L441" s="6" t="s">
        <v>42</v>
      </c>
      <c r="M441" s="5" t="s">
        <v>8746</v>
      </c>
      <c r="N441" s="5" t="s">
        <v>64</v>
      </c>
      <c r="O441" s="5" t="s">
        <v>9829</v>
      </c>
      <c r="P441" s="6">
        <v>10917.0</v>
      </c>
    </row>
    <row r="442" ht="56.25" customHeight="1">
      <c r="A442" s="5" t="s">
        <v>9822</v>
      </c>
      <c r="B442" s="6" t="str">
        <f>IMAGE("https://storage.googleapis.com/acdb/tops/TopsTexTopTshirtsHGym0.png")</f>
        <v/>
      </c>
      <c r="C442" s="5" t="s">
        <v>52</v>
      </c>
      <c r="D442" s="8" t="s">
        <v>36</v>
      </c>
      <c r="E442" s="6">
        <v>640.0</v>
      </c>
      <c r="F442" s="6">
        <v>160.0</v>
      </c>
      <c r="G442" s="5" t="s">
        <v>57</v>
      </c>
      <c r="H442" s="5" t="s">
        <v>52</v>
      </c>
      <c r="I442" s="6" t="s">
        <v>40</v>
      </c>
      <c r="J442" s="5" t="s">
        <v>8585</v>
      </c>
      <c r="K442" s="5" t="s">
        <v>8632</v>
      </c>
      <c r="L442" s="6" t="s">
        <v>42</v>
      </c>
      <c r="M442" s="5" t="s">
        <v>8746</v>
      </c>
      <c r="N442" s="5" t="s">
        <v>64</v>
      </c>
      <c r="O442" s="5" t="s">
        <v>9832</v>
      </c>
      <c r="P442" s="6">
        <v>3179.0</v>
      </c>
    </row>
    <row r="443" ht="56.25" customHeight="1">
      <c r="A443" s="5" t="s">
        <v>9834</v>
      </c>
      <c r="B443" s="6" t="str">
        <f>IMAGE("https://storage.googleapis.com/acdb/tops/TopsTexTopTshirtsHHelloge0.png")</f>
        <v/>
      </c>
      <c r="C443" s="5" t="s">
        <v>34</v>
      </c>
      <c r="D443" s="8" t="s">
        <v>36</v>
      </c>
      <c r="E443" s="6">
        <v>640.0</v>
      </c>
      <c r="F443" s="6">
        <v>160.0</v>
      </c>
      <c r="G443" s="5" t="s">
        <v>54</v>
      </c>
      <c r="H443" s="5" t="s">
        <v>142</v>
      </c>
      <c r="I443" s="6" t="s">
        <v>40</v>
      </c>
      <c r="J443" s="5" t="s">
        <v>8578</v>
      </c>
      <c r="K443" s="5"/>
      <c r="L443" s="6" t="s">
        <v>42</v>
      </c>
      <c r="M443" s="5" t="s">
        <v>995</v>
      </c>
      <c r="N443" s="5" t="s">
        <v>64</v>
      </c>
      <c r="O443" s="5" t="s">
        <v>9838</v>
      </c>
      <c r="P443" s="6">
        <v>12119.0</v>
      </c>
    </row>
    <row r="444" ht="56.25" customHeight="1">
      <c r="A444" s="5" t="s">
        <v>9839</v>
      </c>
      <c r="B444" s="6" t="str">
        <f>IMAGE("https://storage.googleapis.com/acdb/tops/TopsTexTopOuterNKnit2.png")</f>
        <v/>
      </c>
      <c r="C444" s="5" t="s">
        <v>54</v>
      </c>
      <c r="D444" s="8" t="s">
        <v>36</v>
      </c>
      <c r="E444" s="6">
        <v>840.0</v>
      </c>
      <c r="F444" s="6">
        <v>210.0</v>
      </c>
      <c r="G444" s="5" t="s">
        <v>54</v>
      </c>
      <c r="H444" s="5" t="s">
        <v>54</v>
      </c>
      <c r="I444" s="6" t="s">
        <v>40</v>
      </c>
      <c r="J444" s="5" t="s">
        <v>8585</v>
      </c>
      <c r="K444" s="5" t="s">
        <v>8632</v>
      </c>
      <c r="L444" s="6" t="s">
        <v>42</v>
      </c>
      <c r="M444" s="5" t="s">
        <v>1059</v>
      </c>
      <c r="N444" s="5" t="s">
        <v>64</v>
      </c>
      <c r="O444" s="5" t="s">
        <v>9843</v>
      </c>
      <c r="P444" s="6">
        <v>11790.0</v>
      </c>
    </row>
    <row r="445" ht="56.25" customHeight="1">
      <c r="A445" s="5" t="s">
        <v>9839</v>
      </c>
      <c r="B445" s="6" t="str">
        <f>IMAGE("https://storage.googleapis.com/acdb/tops/TopsTexTopOuterNKnit3.png")</f>
        <v/>
      </c>
      <c r="C445" s="5" t="s">
        <v>68</v>
      </c>
      <c r="D445" s="8" t="s">
        <v>36</v>
      </c>
      <c r="E445" s="6">
        <v>840.0</v>
      </c>
      <c r="F445" s="6">
        <v>210.0</v>
      </c>
      <c r="G445" s="5" t="s">
        <v>68</v>
      </c>
      <c r="H445" s="5" t="s">
        <v>68</v>
      </c>
      <c r="I445" s="6" t="s">
        <v>40</v>
      </c>
      <c r="J445" s="5" t="s">
        <v>8585</v>
      </c>
      <c r="K445" s="5" t="s">
        <v>8632</v>
      </c>
      <c r="L445" s="6" t="s">
        <v>42</v>
      </c>
      <c r="M445" s="5" t="s">
        <v>1059</v>
      </c>
      <c r="N445" s="5" t="s">
        <v>64</v>
      </c>
      <c r="O445" s="5" t="s">
        <v>9845</v>
      </c>
      <c r="P445" s="6">
        <v>11791.0</v>
      </c>
    </row>
    <row r="446" ht="56.25" customHeight="1">
      <c r="A446" s="5" t="s">
        <v>9839</v>
      </c>
      <c r="B446" s="6" t="str">
        <f>IMAGE("https://storage.googleapis.com/acdb/tops/TopsTexTopOuterNKnit4.png")</f>
        <v/>
      </c>
      <c r="C446" s="5" t="s">
        <v>96</v>
      </c>
      <c r="D446" s="8" t="s">
        <v>36</v>
      </c>
      <c r="E446" s="6">
        <v>840.0</v>
      </c>
      <c r="F446" s="6">
        <v>210.0</v>
      </c>
      <c r="G446" s="5" t="s">
        <v>96</v>
      </c>
      <c r="H446" s="5" t="s">
        <v>96</v>
      </c>
      <c r="I446" s="6" t="s">
        <v>40</v>
      </c>
      <c r="J446" s="5" t="s">
        <v>8585</v>
      </c>
      <c r="K446" s="5" t="s">
        <v>8632</v>
      </c>
      <c r="L446" s="6" t="s">
        <v>42</v>
      </c>
      <c r="M446" s="5" t="s">
        <v>1059</v>
      </c>
      <c r="N446" s="5" t="s">
        <v>64</v>
      </c>
      <c r="O446" s="5" t="s">
        <v>9848</v>
      </c>
      <c r="P446" s="6">
        <v>11792.0</v>
      </c>
    </row>
    <row r="447" ht="56.25" customHeight="1">
      <c r="A447" s="5" t="s">
        <v>9839</v>
      </c>
      <c r="B447" s="6" t="str">
        <f>IMAGE("https://storage.googleapis.com/acdb/tops/TopsTexTopOuterNKnit5.png")</f>
        <v/>
      </c>
      <c r="C447" s="5" t="s">
        <v>52</v>
      </c>
      <c r="D447" s="8" t="s">
        <v>36</v>
      </c>
      <c r="E447" s="6">
        <v>840.0</v>
      </c>
      <c r="F447" s="6">
        <v>210.0</v>
      </c>
      <c r="G447" s="5" t="s">
        <v>52</v>
      </c>
      <c r="H447" s="5" t="s">
        <v>52</v>
      </c>
      <c r="I447" s="6" t="s">
        <v>40</v>
      </c>
      <c r="J447" s="5" t="s">
        <v>8585</v>
      </c>
      <c r="K447" s="5" t="s">
        <v>8632</v>
      </c>
      <c r="L447" s="6" t="s">
        <v>42</v>
      </c>
      <c r="M447" s="5" t="s">
        <v>1059</v>
      </c>
      <c r="N447" s="5" t="s">
        <v>64</v>
      </c>
      <c r="O447" s="5" t="s">
        <v>9851</v>
      </c>
      <c r="P447" s="6">
        <v>11793.0</v>
      </c>
    </row>
    <row r="448" ht="56.25" customHeight="1">
      <c r="A448" s="5" t="s">
        <v>9839</v>
      </c>
      <c r="B448" s="6" t="str">
        <f>IMAGE("https://storage.googleapis.com/acdb/tops/TopsTexTopOuterNKnit0.png")</f>
        <v/>
      </c>
      <c r="C448" s="5" t="s">
        <v>2408</v>
      </c>
      <c r="D448" s="8" t="s">
        <v>36</v>
      </c>
      <c r="E448" s="6">
        <v>840.0</v>
      </c>
      <c r="F448" s="6">
        <v>210.0</v>
      </c>
      <c r="G448" s="5" t="s">
        <v>142</v>
      </c>
      <c r="H448" s="5" t="s">
        <v>142</v>
      </c>
      <c r="I448" s="6" t="s">
        <v>40</v>
      </c>
      <c r="J448" s="5" t="s">
        <v>8585</v>
      </c>
      <c r="K448" s="5" t="s">
        <v>8632</v>
      </c>
      <c r="L448" s="6" t="s">
        <v>42</v>
      </c>
      <c r="M448" s="5" t="s">
        <v>1059</v>
      </c>
      <c r="N448" s="5" t="s">
        <v>64</v>
      </c>
      <c r="O448" s="5" t="s">
        <v>9854</v>
      </c>
      <c r="P448" s="6">
        <v>2746.0</v>
      </c>
    </row>
    <row r="449" ht="56.25" customHeight="1">
      <c r="A449" s="5" t="s">
        <v>9839</v>
      </c>
      <c r="B449" s="6" t="str">
        <f>IMAGE("https://storage.googleapis.com/acdb/tops/TopsTexTopOuterNKnit1.png")</f>
        <v/>
      </c>
      <c r="C449" s="5" t="s">
        <v>57</v>
      </c>
      <c r="D449" s="8" t="s">
        <v>36</v>
      </c>
      <c r="E449" s="6">
        <v>840.0</v>
      </c>
      <c r="F449" s="6">
        <v>210.0</v>
      </c>
      <c r="G449" s="5" t="s">
        <v>57</v>
      </c>
      <c r="H449" s="5" t="s">
        <v>57</v>
      </c>
      <c r="I449" s="6" t="s">
        <v>40</v>
      </c>
      <c r="J449" s="5" t="s">
        <v>8585</v>
      </c>
      <c r="K449" s="5" t="s">
        <v>8632</v>
      </c>
      <c r="L449" s="6" t="s">
        <v>42</v>
      </c>
      <c r="M449" s="5" t="s">
        <v>1059</v>
      </c>
      <c r="N449" s="5" t="s">
        <v>64</v>
      </c>
      <c r="O449" s="5" t="s">
        <v>9857</v>
      </c>
      <c r="P449" s="6">
        <v>11789.0</v>
      </c>
    </row>
    <row r="450" ht="56.25" customHeight="1">
      <c r="A450" s="5" t="s">
        <v>9858</v>
      </c>
      <c r="B450" s="6" t="str">
        <f>IMAGE("https://storage.googleapis.com/acdb/tops/TopsTexTopCoatLHanten0.png")</f>
        <v/>
      </c>
      <c r="C450" s="5" t="s">
        <v>2431</v>
      </c>
      <c r="D450" s="8" t="s">
        <v>36</v>
      </c>
      <c r="E450" s="6">
        <v>1120.0</v>
      </c>
      <c r="F450" s="6">
        <v>280.0</v>
      </c>
      <c r="G450" s="5" t="s">
        <v>68</v>
      </c>
      <c r="H450" s="5" t="s">
        <v>38</v>
      </c>
      <c r="I450" s="6" t="s">
        <v>40</v>
      </c>
      <c r="J450" s="5" t="s">
        <v>8585</v>
      </c>
      <c r="K450" s="5" t="s">
        <v>8632</v>
      </c>
      <c r="L450" s="6" t="s">
        <v>42</v>
      </c>
      <c r="M450" s="5" t="s">
        <v>995</v>
      </c>
      <c r="N450" s="5" t="s">
        <v>64</v>
      </c>
      <c r="O450" s="5" t="s">
        <v>9861</v>
      </c>
      <c r="P450" s="6">
        <v>3164.0</v>
      </c>
    </row>
    <row r="451" ht="56.25" customHeight="1">
      <c r="A451" s="5" t="s">
        <v>9858</v>
      </c>
      <c r="B451" s="6" t="str">
        <f>IMAGE("https://storage.googleapis.com/acdb/tops/TopsTexTopCoatLHanten1.png")</f>
        <v/>
      </c>
      <c r="C451" s="5" t="s">
        <v>96</v>
      </c>
      <c r="D451" s="8" t="s">
        <v>36</v>
      </c>
      <c r="E451" s="6">
        <v>1120.0</v>
      </c>
      <c r="F451" s="6">
        <v>280.0</v>
      </c>
      <c r="G451" s="5" t="s">
        <v>96</v>
      </c>
      <c r="H451" s="5" t="s">
        <v>38</v>
      </c>
      <c r="I451" s="6" t="s">
        <v>40</v>
      </c>
      <c r="J451" s="5" t="s">
        <v>8585</v>
      </c>
      <c r="K451" s="5" t="s">
        <v>8632</v>
      </c>
      <c r="L451" s="6" t="s">
        <v>42</v>
      </c>
      <c r="M451" s="5" t="s">
        <v>995</v>
      </c>
      <c r="N451" s="5" t="s">
        <v>64</v>
      </c>
      <c r="O451" s="5" t="s">
        <v>9863</v>
      </c>
      <c r="P451" s="6">
        <v>9197.0</v>
      </c>
    </row>
    <row r="452" ht="56.25" customHeight="1">
      <c r="A452" s="5" t="s">
        <v>9858</v>
      </c>
      <c r="B452" s="6" t="str">
        <f>IMAGE("https://storage.googleapis.com/acdb/tops/TopsTexTopCoatLHanten2.png")</f>
        <v/>
      </c>
      <c r="C452" s="5" t="s">
        <v>39</v>
      </c>
      <c r="D452" s="8" t="s">
        <v>36</v>
      </c>
      <c r="E452" s="6">
        <v>1120.0</v>
      </c>
      <c r="F452" s="6">
        <v>280.0</v>
      </c>
      <c r="G452" s="5" t="s">
        <v>39</v>
      </c>
      <c r="H452" s="5" t="s">
        <v>38</v>
      </c>
      <c r="I452" s="6" t="s">
        <v>40</v>
      </c>
      <c r="J452" s="5" t="s">
        <v>8585</v>
      </c>
      <c r="K452" s="5" t="s">
        <v>8632</v>
      </c>
      <c r="L452" s="6" t="s">
        <v>42</v>
      </c>
      <c r="M452" s="5" t="s">
        <v>995</v>
      </c>
      <c r="N452" s="5" t="s">
        <v>64</v>
      </c>
      <c r="O452" s="5" t="s">
        <v>9866</v>
      </c>
      <c r="P452" s="6">
        <v>9198.0</v>
      </c>
    </row>
    <row r="453" ht="56.25" customHeight="1">
      <c r="A453" s="5" t="s">
        <v>9858</v>
      </c>
      <c r="B453" s="6" t="str">
        <f>IMAGE("https://storage.googleapis.com/acdb/tops/TopsTexTopCoatLHanten3.png")</f>
        <v/>
      </c>
      <c r="C453" s="5" t="s">
        <v>106</v>
      </c>
      <c r="D453" s="8" t="s">
        <v>36</v>
      </c>
      <c r="E453" s="6">
        <v>1120.0</v>
      </c>
      <c r="F453" s="6">
        <v>280.0</v>
      </c>
      <c r="G453" s="5" t="s">
        <v>106</v>
      </c>
      <c r="H453" s="5" t="s">
        <v>38</v>
      </c>
      <c r="I453" s="6" t="s">
        <v>40</v>
      </c>
      <c r="J453" s="5" t="s">
        <v>8585</v>
      </c>
      <c r="K453" s="5" t="s">
        <v>8632</v>
      </c>
      <c r="L453" s="6" t="s">
        <v>42</v>
      </c>
      <c r="M453" s="5" t="s">
        <v>995</v>
      </c>
      <c r="N453" s="5" t="s">
        <v>64</v>
      </c>
      <c r="O453" s="5" t="s">
        <v>9868</v>
      </c>
      <c r="P453" s="6">
        <v>9199.0</v>
      </c>
    </row>
    <row r="454" ht="56.25" customHeight="1">
      <c r="A454" s="5" t="s">
        <v>9869</v>
      </c>
      <c r="B454" s="6" t="str">
        <f>IMAGE("https://storage.googleapis.com/acdb/tops/TopsTexTopYshirtsHHappi0.png")</f>
        <v/>
      </c>
      <c r="C454" s="5" t="s">
        <v>68</v>
      </c>
      <c r="D454" s="8" t="s">
        <v>36</v>
      </c>
      <c r="E454" s="6">
        <v>960.0</v>
      </c>
      <c r="F454" s="6">
        <v>240.0</v>
      </c>
      <c r="G454" s="5" t="s">
        <v>68</v>
      </c>
      <c r="H454" s="5" t="s">
        <v>57</v>
      </c>
      <c r="I454" s="6" t="s">
        <v>40</v>
      </c>
      <c r="J454" s="5" t="s">
        <v>8585</v>
      </c>
      <c r="K454" s="5" t="s">
        <v>8586</v>
      </c>
      <c r="L454" s="6" t="s">
        <v>42</v>
      </c>
      <c r="M454" s="5" t="s">
        <v>8746</v>
      </c>
      <c r="N454" s="5" t="s">
        <v>64</v>
      </c>
      <c r="O454" s="5" t="s">
        <v>9872</v>
      </c>
      <c r="P454" s="6">
        <v>3254.0</v>
      </c>
    </row>
    <row r="455" ht="56.25" customHeight="1">
      <c r="A455" s="5" t="s">
        <v>9869</v>
      </c>
      <c r="B455" s="6" t="str">
        <f>IMAGE("https://storage.googleapis.com/acdb/tops/TopsTexTopYshirtsHHappi1.png")</f>
        <v/>
      </c>
      <c r="C455" s="5" t="s">
        <v>52</v>
      </c>
      <c r="D455" s="8" t="s">
        <v>36</v>
      </c>
      <c r="E455" s="6">
        <v>960.0</v>
      </c>
      <c r="F455" s="6">
        <v>240.0</v>
      </c>
      <c r="G455" s="5" t="s">
        <v>52</v>
      </c>
      <c r="H455" s="5" t="s">
        <v>57</v>
      </c>
      <c r="I455" s="6" t="s">
        <v>40</v>
      </c>
      <c r="J455" s="5" t="s">
        <v>8585</v>
      </c>
      <c r="K455" s="5" t="s">
        <v>8586</v>
      </c>
      <c r="L455" s="6" t="s">
        <v>42</v>
      </c>
      <c r="M455" s="5" t="s">
        <v>8746</v>
      </c>
      <c r="N455" s="5" t="s">
        <v>64</v>
      </c>
      <c r="O455" s="5" t="s">
        <v>9875</v>
      </c>
      <c r="P455" s="6">
        <v>9200.0</v>
      </c>
    </row>
    <row r="456" ht="56.25" customHeight="1">
      <c r="A456" s="5" t="s">
        <v>9869</v>
      </c>
      <c r="B456" s="6" t="str">
        <f>IMAGE("https://storage.googleapis.com/acdb/tops/TopsTexTopYshirtsHHappi2.png")</f>
        <v/>
      </c>
      <c r="C456" s="5" t="s">
        <v>54</v>
      </c>
      <c r="D456" s="8" t="s">
        <v>36</v>
      </c>
      <c r="E456" s="6">
        <v>960.0</v>
      </c>
      <c r="F456" s="6">
        <v>240.0</v>
      </c>
      <c r="G456" s="5" t="s">
        <v>95</v>
      </c>
      <c r="H456" s="5" t="s">
        <v>57</v>
      </c>
      <c r="I456" s="6" t="s">
        <v>40</v>
      </c>
      <c r="J456" s="5" t="s">
        <v>8585</v>
      </c>
      <c r="K456" s="5" t="s">
        <v>8586</v>
      </c>
      <c r="L456" s="6" t="s">
        <v>42</v>
      </c>
      <c r="M456" s="5" t="s">
        <v>8746</v>
      </c>
      <c r="N456" s="5" t="s">
        <v>64</v>
      </c>
      <c r="O456" s="5" t="s">
        <v>9877</v>
      </c>
      <c r="P456" s="6">
        <v>9201.0</v>
      </c>
    </row>
    <row r="457" ht="56.25" customHeight="1">
      <c r="A457" s="5" t="s">
        <v>9869</v>
      </c>
      <c r="B457" s="6" t="str">
        <f>IMAGE("https://storage.googleapis.com/acdb/tops/TopsTexTopYshirtsHHappi3.png")</f>
        <v/>
      </c>
      <c r="C457" s="5" t="s">
        <v>96</v>
      </c>
      <c r="D457" s="8" t="s">
        <v>36</v>
      </c>
      <c r="E457" s="6">
        <v>960.0</v>
      </c>
      <c r="F457" s="6">
        <v>240.0</v>
      </c>
      <c r="G457" s="5" t="s">
        <v>96</v>
      </c>
      <c r="H457" s="5" t="s">
        <v>57</v>
      </c>
      <c r="I457" s="6" t="s">
        <v>40</v>
      </c>
      <c r="J457" s="5" t="s">
        <v>8585</v>
      </c>
      <c r="K457" s="5" t="s">
        <v>8586</v>
      </c>
      <c r="L457" s="6" t="s">
        <v>42</v>
      </c>
      <c r="M457" s="5" t="s">
        <v>8746</v>
      </c>
      <c r="N457" s="5" t="s">
        <v>64</v>
      </c>
      <c r="O457" s="5" t="s">
        <v>9881</v>
      </c>
      <c r="P457" s="6">
        <v>9202.0</v>
      </c>
    </row>
    <row r="458" ht="56.25" customHeight="1">
      <c r="A458" s="5" t="s">
        <v>9869</v>
      </c>
      <c r="B458" s="6" t="str">
        <f>IMAGE("https://storage.googleapis.com/acdb/tops/TopsTexTopYshirtsHHappi4.png")</f>
        <v/>
      </c>
      <c r="C458" s="5" t="s">
        <v>106</v>
      </c>
      <c r="D458" s="8" t="s">
        <v>36</v>
      </c>
      <c r="E458" s="6">
        <v>960.0</v>
      </c>
      <c r="F458" s="6">
        <v>240.0</v>
      </c>
      <c r="G458" s="5" t="s">
        <v>106</v>
      </c>
      <c r="H458" s="5" t="s">
        <v>57</v>
      </c>
      <c r="I458" s="6" t="s">
        <v>40</v>
      </c>
      <c r="J458" s="5" t="s">
        <v>8585</v>
      </c>
      <c r="K458" s="5" t="s">
        <v>8586</v>
      </c>
      <c r="L458" s="6" t="s">
        <v>42</v>
      </c>
      <c r="M458" s="5" t="s">
        <v>8746</v>
      </c>
      <c r="N458" s="5" t="s">
        <v>64</v>
      </c>
      <c r="O458" s="5" t="s">
        <v>9883</v>
      </c>
      <c r="P458" s="6">
        <v>9203.0</v>
      </c>
    </row>
    <row r="459" ht="56.25" customHeight="1">
      <c r="A459" s="5" t="s">
        <v>9884</v>
      </c>
      <c r="B459" s="6" t="str">
        <f>IMAGE("https://storage.googleapis.com/acdb/tops/TopsTexTopOuterLSukajanhawkRed.png")</f>
        <v/>
      </c>
      <c r="C459" s="5" t="s">
        <v>34</v>
      </c>
      <c r="D459" s="8" t="s">
        <v>36</v>
      </c>
      <c r="E459" s="6">
        <v>1750.0</v>
      </c>
      <c r="F459" s="6">
        <v>437.0</v>
      </c>
      <c r="G459" s="5" t="s">
        <v>52</v>
      </c>
      <c r="H459" s="5" t="s">
        <v>57</v>
      </c>
      <c r="I459" s="6" t="s">
        <v>40</v>
      </c>
      <c r="J459" s="5" t="s">
        <v>8585</v>
      </c>
      <c r="K459" s="5" t="s">
        <v>8586</v>
      </c>
      <c r="L459" s="6" t="s">
        <v>42</v>
      </c>
      <c r="M459" s="5" t="s">
        <v>8746</v>
      </c>
      <c r="N459" s="5" t="s">
        <v>64</v>
      </c>
      <c r="O459" s="5" t="s">
        <v>9886</v>
      </c>
      <c r="P459" s="6">
        <v>4343.0</v>
      </c>
    </row>
    <row r="460" ht="56.25" customHeight="1">
      <c r="A460" s="5" t="s">
        <v>9888</v>
      </c>
      <c r="B460" s="6" t="str">
        <f>IMAGE("https://storage.googleapis.com/acdb/tops/TopsTexTopCoatLHeartapron1.png")</f>
        <v/>
      </c>
      <c r="C460" s="5" t="s">
        <v>68</v>
      </c>
      <c r="D460" s="8" t="s">
        <v>36</v>
      </c>
      <c r="E460" s="6">
        <v>1000.0</v>
      </c>
      <c r="F460" s="6">
        <v>250.0</v>
      </c>
      <c r="G460" s="5" t="s">
        <v>83</v>
      </c>
      <c r="H460" s="5" t="s">
        <v>57</v>
      </c>
      <c r="I460" s="6" t="s">
        <v>40</v>
      </c>
      <c r="J460" s="5" t="s">
        <v>8585</v>
      </c>
      <c r="K460" s="5" t="s">
        <v>8632</v>
      </c>
      <c r="L460" s="6" t="s">
        <v>42</v>
      </c>
      <c r="M460" s="5" t="s">
        <v>1959</v>
      </c>
      <c r="N460" s="5" t="s">
        <v>64</v>
      </c>
      <c r="O460" s="5" t="s">
        <v>9891</v>
      </c>
      <c r="P460" s="6">
        <v>9602.0</v>
      </c>
    </row>
    <row r="461" ht="56.25" customHeight="1">
      <c r="A461" s="5" t="s">
        <v>9888</v>
      </c>
      <c r="B461" s="6" t="str">
        <f>IMAGE("https://storage.googleapis.com/acdb/tops/TopsTexTopCoatLHeartapron2.png")</f>
        <v/>
      </c>
      <c r="C461" s="5" t="s">
        <v>52</v>
      </c>
      <c r="D461" s="8" t="s">
        <v>36</v>
      </c>
      <c r="E461" s="6">
        <v>1000.0</v>
      </c>
      <c r="F461" s="6">
        <v>250.0</v>
      </c>
      <c r="G461" s="5" t="s">
        <v>52</v>
      </c>
      <c r="H461" s="5" t="s">
        <v>57</v>
      </c>
      <c r="I461" s="6" t="s">
        <v>40</v>
      </c>
      <c r="J461" s="5" t="s">
        <v>8585</v>
      </c>
      <c r="K461" s="5" t="s">
        <v>8632</v>
      </c>
      <c r="L461" s="6" t="s">
        <v>42</v>
      </c>
      <c r="M461" s="5" t="s">
        <v>1959</v>
      </c>
      <c r="N461" s="5" t="s">
        <v>64</v>
      </c>
      <c r="O461" s="5" t="s">
        <v>9894</v>
      </c>
      <c r="P461" s="6">
        <v>9603.0</v>
      </c>
    </row>
    <row r="462" ht="56.25" customHeight="1">
      <c r="A462" s="5" t="s">
        <v>9888</v>
      </c>
      <c r="B462" s="6" t="str">
        <f>IMAGE("https://storage.googleapis.com/acdb/tops/TopsTexTopCoatLHeartapron3.png")</f>
        <v/>
      </c>
      <c r="C462" s="5" t="s">
        <v>106</v>
      </c>
      <c r="D462" s="8" t="s">
        <v>36</v>
      </c>
      <c r="E462" s="6">
        <v>1000.0</v>
      </c>
      <c r="F462" s="6">
        <v>250.0</v>
      </c>
      <c r="G462" s="5" t="s">
        <v>106</v>
      </c>
      <c r="H462" s="5" t="s">
        <v>57</v>
      </c>
      <c r="I462" s="6" t="s">
        <v>40</v>
      </c>
      <c r="J462" s="5" t="s">
        <v>8585</v>
      </c>
      <c r="K462" s="5" t="s">
        <v>8632</v>
      </c>
      <c r="L462" s="6" t="s">
        <v>42</v>
      </c>
      <c r="M462" s="5" t="s">
        <v>1959</v>
      </c>
      <c r="N462" s="5" t="s">
        <v>64</v>
      </c>
      <c r="O462" s="5" t="s">
        <v>9897</v>
      </c>
      <c r="P462" s="6">
        <v>9604.0</v>
      </c>
    </row>
    <row r="463" ht="56.25" customHeight="1">
      <c r="A463" s="5" t="s">
        <v>9888</v>
      </c>
      <c r="B463" s="6" t="str">
        <f>IMAGE("https://storage.googleapis.com/acdb/tops/TopsTexTopCoatLHeartapron4.png")</f>
        <v/>
      </c>
      <c r="C463" s="5" t="s">
        <v>96</v>
      </c>
      <c r="D463" s="8" t="s">
        <v>36</v>
      </c>
      <c r="E463" s="6">
        <v>1000.0</v>
      </c>
      <c r="F463" s="6">
        <v>250.0</v>
      </c>
      <c r="G463" s="5" t="s">
        <v>96</v>
      </c>
      <c r="H463" s="5" t="s">
        <v>57</v>
      </c>
      <c r="I463" s="6" t="s">
        <v>40</v>
      </c>
      <c r="J463" s="5" t="s">
        <v>8585</v>
      </c>
      <c r="K463" s="5" t="s">
        <v>8632</v>
      </c>
      <c r="L463" s="6" t="s">
        <v>42</v>
      </c>
      <c r="M463" s="5" t="s">
        <v>1959</v>
      </c>
      <c r="N463" s="5" t="s">
        <v>64</v>
      </c>
      <c r="O463" s="5" t="s">
        <v>9901</v>
      </c>
      <c r="P463" s="6">
        <v>9605.0</v>
      </c>
    </row>
    <row r="464" ht="56.25" customHeight="1">
      <c r="A464" s="5" t="s">
        <v>9888</v>
      </c>
      <c r="B464" s="6" t="str">
        <f>IMAGE("https://storage.googleapis.com/acdb/tops/TopsTexTopCoatLHeartapron0.png")</f>
        <v/>
      </c>
      <c r="C464" s="5" t="s">
        <v>69</v>
      </c>
      <c r="D464" s="8" t="s">
        <v>36</v>
      </c>
      <c r="E464" s="6">
        <v>1000.0</v>
      </c>
      <c r="F464" s="6">
        <v>250.0</v>
      </c>
      <c r="G464" s="5" t="s">
        <v>69</v>
      </c>
      <c r="H464" s="5" t="s">
        <v>57</v>
      </c>
      <c r="I464" s="6" t="s">
        <v>40</v>
      </c>
      <c r="J464" s="5" t="s">
        <v>8585</v>
      </c>
      <c r="K464" s="5" t="s">
        <v>8632</v>
      </c>
      <c r="L464" s="6" t="s">
        <v>42</v>
      </c>
      <c r="M464" s="5" t="s">
        <v>1959</v>
      </c>
      <c r="N464" s="5" t="s">
        <v>64</v>
      </c>
      <c r="O464" s="5" t="s">
        <v>9902</v>
      </c>
      <c r="P464" s="6">
        <v>4429.0</v>
      </c>
    </row>
    <row r="465" ht="56.25" customHeight="1">
      <c r="A465" s="5" t="s">
        <v>9904</v>
      </c>
      <c r="B465" s="6" t="str">
        <f>IMAGE("https://storage.googleapis.com/acdb/tops/TopsTexTopOuterLHeart1.png")</f>
        <v/>
      </c>
      <c r="C465" s="5" t="s">
        <v>52</v>
      </c>
      <c r="D465" s="8" t="s">
        <v>36</v>
      </c>
      <c r="E465" s="6">
        <v>1000.0</v>
      </c>
      <c r="F465" s="6">
        <v>250.0</v>
      </c>
      <c r="G465" s="5" t="s">
        <v>52</v>
      </c>
      <c r="H465" s="5" t="s">
        <v>57</v>
      </c>
      <c r="I465" s="6" t="s">
        <v>40</v>
      </c>
      <c r="J465" s="5" t="s">
        <v>8585</v>
      </c>
      <c r="K465" s="5" t="s">
        <v>8632</v>
      </c>
      <c r="L465" s="6" t="s">
        <v>42</v>
      </c>
      <c r="M465" s="5" t="s">
        <v>1959</v>
      </c>
      <c r="N465" s="5" t="s">
        <v>64</v>
      </c>
      <c r="O465" s="5" t="s">
        <v>9907</v>
      </c>
      <c r="P465" s="6">
        <v>8299.0</v>
      </c>
    </row>
    <row r="466" ht="56.25" customHeight="1">
      <c r="A466" s="5" t="s">
        <v>9904</v>
      </c>
      <c r="B466" s="6" t="str">
        <f>IMAGE("https://storage.googleapis.com/acdb/tops/TopsTexTopOuterLHeart0.png")</f>
        <v/>
      </c>
      <c r="C466" s="5" t="s">
        <v>69</v>
      </c>
      <c r="D466" s="8" t="s">
        <v>36</v>
      </c>
      <c r="E466" s="6">
        <v>1000.0</v>
      </c>
      <c r="F466" s="6">
        <v>250.0</v>
      </c>
      <c r="G466" s="5" t="s">
        <v>69</v>
      </c>
      <c r="H466" s="5" t="s">
        <v>52</v>
      </c>
      <c r="I466" s="6" t="s">
        <v>40</v>
      </c>
      <c r="J466" s="5" t="s">
        <v>8585</v>
      </c>
      <c r="K466" s="5" t="s">
        <v>8632</v>
      </c>
      <c r="L466" s="6" t="s">
        <v>42</v>
      </c>
      <c r="M466" s="5" t="s">
        <v>1959</v>
      </c>
      <c r="N466" s="5" t="s">
        <v>64</v>
      </c>
      <c r="O466" s="5" t="s">
        <v>9908</v>
      </c>
      <c r="P466" s="6">
        <v>8193.0</v>
      </c>
    </row>
    <row r="467" ht="56.25" customHeight="1">
      <c r="A467" s="5" t="s">
        <v>9910</v>
      </c>
      <c r="B467" s="6" t="str">
        <f>IMAGE("https://storage.googleapis.com/acdb/tops/TopsTexTopYshirtsLWork0.png")</f>
        <v/>
      </c>
      <c r="C467" s="5" t="s">
        <v>9911</v>
      </c>
      <c r="D467" s="8" t="s">
        <v>36</v>
      </c>
      <c r="E467" s="6">
        <v>1000.0</v>
      </c>
      <c r="F467" s="6">
        <v>250.0</v>
      </c>
      <c r="G467" s="5" t="s">
        <v>142</v>
      </c>
      <c r="H467" s="5" t="s">
        <v>142</v>
      </c>
      <c r="I467" s="6" t="s">
        <v>40</v>
      </c>
      <c r="J467" s="5" t="s">
        <v>8585</v>
      </c>
      <c r="K467" s="5" t="s">
        <v>8632</v>
      </c>
      <c r="L467" s="6" t="s">
        <v>42</v>
      </c>
      <c r="M467" s="5" t="s">
        <v>8746</v>
      </c>
      <c r="N467" s="5" t="s">
        <v>64</v>
      </c>
      <c r="O467" s="5" t="s">
        <v>9912</v>
      </c>
      <c r="P467" s="6">
        <v>3694.0</v>
      </c>
    </row>
    <row r="468" ht="56.25" customHeight="1">
      <c r="A468" s="5" t="s">
        <v>9910</v>
      </c>
      <c r="B468" s="6" t="str">
        <f>IMAGE("https://storage.googleapis.com/acdb/tops/TopsTexTopYshirtsLWork1.png")</f>
        <v/>
      </c>
      <c r="C468" s="5" t="s">
        <v>96</v>
      </c>
      <c r="D468" s="8" t="s">
        <v>36</v>
      </c>
      <c r="E468" s="6">
        <v>1000.0</v>
      </c>
      <c r="F468" s="6">
        <v>250.0</v>
      </c>
      <c r="G468" s="5" t="s">
        <v>96</v>
      </c>
      <c r="H468" s="5" t="s">
        <v>96</v>
      </c>
      <c r="I468" s="6" t="s">
        <v>40</v>
      </c>
      <c r="J468" s="5" t="s">
        <v>8585</v>
      </c>
      <c r="K468" s="5" t="s">
        <v>8632</v>
      </c>
      <c r="L468" s="6" t="s">
        <v>42</v>
      </c>
      <c r="M468" s="5" t="s">
        <v>8746</v>
      </c>
      <c r="N468" s="5" t="s">
        <v>64</v>
      </c>
      <c r="O468" s="5" t="s">
        <v>9915</v>
      </c>
      <c r="P468" s="6">
        <v>8511.0</v>
      </c>
    </row>
    <row r="469" ht="56.25" customHeight="1">
      <c r="A469" s="5" t="s">
        <v>9910</v>
      </c>
      <c r="B469" s="6" t="str">
        <f>IMAGE("https://storage.googleapis.com/acdb/tops/TopsTexTopYshirtsLWork2.png")</f>
        <v/>
      </c>
      <c r="C469" s="5" t="s">
        <v>68</v>
      </c>
      <c r="D469" s="8" t="s">
        <v>36</v>
      </c>
      <c r="E469" s="6">
        <v>1000.0</v>
      </c>
      <c r="F469" s="6">
        <v>250.0</v>
      </c>
      <c r="G469" s="5" t="s">
        <v>68</v>
      </c>
      <c r="H469" s="5" t="s">
        <v>68</v>
      </c>
      <c r="I469" s="6" t="s">
        <v>40</v>
      </c>
      <c r="J469" s="5" t="s">
        <v>8585</v>
      </c>
      <c r="K469" s="5" t="s">
        <v>8632</v>
      </c>
      <c r="L469" s="6" t="s">
        <v>42</v>
      </c>
      <c r="M469" s="5" t="s">
        <v>8746</v>
      </c>
      <c r="N469" s="5" t="s">
        <v>64</v>
      </c>
      <c r="O469" s="5" t="s">
        <v>9918</v>
      </c>
      <c r="P469" s="6">
        <v>8512.0</v>
      </c>
    </row>
    <row r="470" ht="56.25" customHeight="1">
      <c r="A470" s="5" t="s">
        <v>9910</v>
      </c>
      <c r="B470" s="6" t="str">
        <f>IMAGE("https://storage.googleapis.com/acdb/tops/TopsTexTopYshirtsLWork3.png")</f>
        <v/>
      </c>
      <c r="C470" s="5" t="s">
        <v>52</v>
      </c>
      <c r="D470" s="8" t="s">
        <v>36</v>
      </c>
      <c r="E470" s="6">
        <v>1000.0</v>
      </c>
      <c r="F470" s="6">
        <v>250.0</v>
      </c>
      <c r="G470" s="5" t="s">
        <v>52</v>
      </c>
      <c r="H470" s="5" t="s">
        <v>52</v>
      </c>
      <c r="I470" s="6" t="s">
        <v>40</v>
      </c>
      <c r="J470" s="5" t="s">
        <v>8585</v>
      </c>
      <c r="K470" s="5" t="s">
        <v>8632</v>
      </c>
      <c r="L470" s="6" t="s">
        <v>42</v>
      </c>
      <c r="M470" s="5" t="s">
        <v>8746</v>
      </c>
      <c r="N470" s="5" t="s">
        <v>64</v>
      </c>
      <c r="O470" s="5" t="s">
        <v>9920</v>
      </c>
      <c r="P470" s="6">
        <v>8513.0</v>
      </c>
    </row>
    <row r="471" ht="56.25" customHeight="1">
      <c r="A471" s="5" t="s">
        <v>9921</v>
      </c>
      <c r="B471" s="6" t="str">
        <f>IMAGE("https://storage.googleapis.com/acdb/tops/TopsTexTopTshirtsHHelloen0.png")</f>
        <v/>
      </c>
      <c r="C471" s="5" t="s">
        <v>34</v>
      </c>
      <c r="D471" s="8" t="s">
        <v>36</v>
      </c>
      <c r="E471" s="6">
        <v>640.0</v>
      </c>
      <c r="F471" s="6">
        <v>160.0</v>
      </c>
      <c r="G471" s="5" t="s">
        <v>54</v>
      </c>
      <c r="H471" s="5" t="s">
        <v>57</v>
      </c>
      <c r="I471" s="6" t="s">
        <v>40</v>
      </c>
      <c r="J471" s="5" t="s">
        <v>8578</v>
      </c>
      <c r="K471" s="5"/>
      <c r="L471" s="6" t="s">
        <v>42</v>
      </c>
      <c r="M471" s="5" t="s">
        <v>995</v>
      </c>
      <c r="N471" s="5" t="s">
        <v>64</v>
      </c>
      <c r="O471" s="5" t="s">
        <v>9924</v>
      </c>
      <c r="P471" s="6">
        <v>12116.0</v>
      </c>
    </row>
    <row r="472" ht="56.25" customHeight="1">
      <c r="A472" s="5" t="s">
        <v>9925</v>
      </c>
      <c r="B472" s="6" t="str">
        <f>IMAGE("https://storage.googleapis.com/acdb/tops/TopsTexTopTshirtsLHenley1.png")</f>
        <v/>
      </c>
      <c r="C472" s="5" t="s">
        <v>8709</v>
      </c>
      <c r="D472" s="8" t="s">
        <v>36</v>
      </c>
      <c r="E472" s="6">
        <v>960.0</v>
      </c>
      <c r="F472" s="6">
        <v>240.0</v>
      </c>
      <c r="G472" s="5" t="s">
        <v>114</v>
      </c>
      <c r="H472" s="5" t="s">
        <v>114</v>
      </c>
      <c r="I472" s="6" t="s">
        <v>40</v>
      </c>
      <c r="J472" s="5" t="s">
        <v>8585</v>
      </c>
      <c r="K472" s="5" t="s">
        <v>8632</v>
      </c>
      <c r="L472" s="6" t="s">
        <v>42</v>
      </c>
      <c r="M472" s="5" t="s">
        <v>995</v>
      </c>
      <c r="N472" s="5" t="s">
        <v>64</v>
      </c>
      <c r="O472" s="5" t="s">
        <v>9926</v>
      </c>
      <c r="P472" s="6">
        <v>8544.0</v>
      </c>
    </row>
    <row r="473" ht="56.25" customHeight="1">
      <c r="A473" s="5" t="s">
        <v>9925</v>
      </c>
      <c r="B473" s="6" t="str">
        <f>IMAGE("https://storage.googleapis.com/acdb/tops/TopsTexTopTshirtsLHenley2.png")</f>
        <v/>
      </c>
      <c r="C473" s="5" t="s">
        <v>83</v>
      </c>
      <c r="D473" s="8" t="s">
        <v>36</v>
      </c>
      <c r="E473" s="6">
        <v>960.0</v>
      </c>
      <c r="F473" s="6">
        <v>240.0</v>
      </c>
      <c r="G473" s="5" t="s">
        <v>83</v>
      </c>
      <c r="H473" s="5" t="s">
        <v>83</v>
      </c>
      <c r="I473" s="6" t="s">
        <v>40</v>
      </c>
      <c r="J473" s="5" t="s">
        <v>8585</v>
      </c>
      <c r="K473" s="5" t="s">
        <v>8632</v>
      </c>
      <c r="L473" s="6" t="s">
        <v>42</v>
      </c>
      <c r="M473" s="5" t="s">
        <v>995</v>
      </c>
      <c r="N473" s="5" t="s">
        <v>64</v>
      </c>
      <c r="O473" s="5" t="s">
        <v>9928</v>
      </c>
      <c r="P473" s="6">
        <v>8545.0</v>
      </c>
    </row>
    <row r="474" ht="56.25" customHeight="1">
      <c r="A474" s="5" t="s">
        <v>9925</v>
      </c>
      <c r="B474" s="6" t="str">
        <f>IMAGE("https://storage.googleapis.com/acdb/tops/TopsTexTopTshirtsLHenley3.png")</f>
        <v/>
      </c>
      <c r="C474" s="5" t="s">
        <v>106</v>
      </c>
      <c r="D474" s="8" t="s">
        <v>36</v>
      </c>
      <c r="E474" s="6">
        <v>960.0</v>
      </c>
      <c r="F474" s="6">
        <v>240.0</v>
      </c>
      <c r="G474" s="5" t="s">
        <v>106</v>
      </c>
      <c r="H474" s="5" t="s">
        <v>106</v>
      </c>
      <c r="I474" s="6" t="s">
        <v>40</v>
      </c>
      <c r="J474" s="5" t="s">
        <v>8585</v>
      </c>
      <c r="K474" s="5" t="s">
        <v>8632</v>
      </c>
      <c r="L474" s="6" t="s">
        <v>42</v>
      </c>
      <c r="M474" s="5" t="s">
        <v>995</v>
      </c>
      <c r="N474" s="5" t="s">
        <v>64</v>
      </c>
      <c r="O474" s="5" t="s">
        <v>9932</v>
      </c>
      <c r="P474" s="6">
        <v>8546.0</v>
      </c>
    </row>
    <row r="475" ht="56.25" customHeight="1">
      <c r="A475" s="5" t="s">
        <v>9925</v>
      </c>
      <c r="B475" s="6" t="str">
        <f>IMAGE("https://storage.googleapis.com/acdb/tops/TopsTexTopTshirtsLHenley0.png")</f>
        <v/>
      </c>
      <c r="C475" s="5" t="s">
        <v>96</v>
      </c>
      <c r="D475" s="8" t="s">
        <v>36</v>
      </c>
      <c r="E475" s="6">
        <v>960.0</v>
      </c>
      <c r="F475" s="6">
        <v>240.0</v>
      </c>
      <c r="G475" s="5" t="s">
        <v>96</v>
      </c>
      <c r="H475" s="5" t="s">
        <v>96</v>
      </c>
      <c r="I475" s="6" t="s">
        <v>40</v>
      </c>
      <c r="J475" s="5" t="s">
        <v>8585</v>
      </c>
      <c r="K475" s="5" t="s">
        <v>8632</v>
      </c>
      <c r="L475" s="6" t="s">
        <v>42</v>
      </c>
      <c r="M475" s="5" t="s">
        <v>995</v>
      </c>
      <c r="N475" s="5" t="s">
        <v>64</v>
      </c>
      <c r="O475" s="5" t="s">
        <v>9934</v>
      </c>
      <c r="P475" s="6">
        <v>3674.0</v>
      </c>
    </row>
    <row r="476" ht="56.25" customHeight="1">
      <c r="A476" s="5" t="s">
        <v>9935</v>
      </c>
      <c r="B476" s="6" t="str">
        <f>IMAGE("https://storage.googleapis.com/acdb/tops/TopsTexTopTshirtsHHellotw0.png")</f>
        <v/>
      </c>
      <c r="C476" s="5" t="s">
        <v>34</v>
      </c>
      <c r="D476" s="8" t="s">
        <v>36</v>
      </c>
      <c r="E476" s="6">
        <v>640.0</v>
      </c>
      <c r="F476" s="6">
        <v>160.0</v>
      </c>
      <c r="G476" s="5" t="s">
        <v>38</v>
      </c>
      <c r="H476" s="5" t="s">
        <v>39</v>
      </c>
      <c r="I476" s="6" t="s">
        <v>40</v>
      </c>
      <c r="J476" s="5" t="s">
        <v>8578</v>
      </c>
      <c r="K476" s="5"/>
      <c r="L476" s="6" t="s">
        <v>42</v>
      </c>
      <c r="M476" s="5" t="s">
        <v>995</v>
      </c>
      <c r="N476" s="5" t="s">
        <v>64</v>
      </c>
      <c r="O476" s="5" t="s">
        <v>9938</v>
      </c>
      <c r="P476" s="6">
        <v>12123.0</v>
      </c>
    </row>
    <row r="477" ht="56.25" customHeight="1">
      <c r="A477" s="5" t="s">
        <v>9939</v>
      </c>
      <c r="B477" s="6" t="str">
        <f>IMAGE("https://storage.googleapis.com/acdb/tops/TopsTexTopCoatHWaistshirt0.png")</f>
        <v/>
      </c>
      <c r="C477" s="5" t="s">
        <v>114</v>
      </c>
      <c r="D477" s="8" t="s">
        <v>36</v>
      </c>
      <c r="E477" s="6">
        <v>1200.0</v>
      </c>
      <c r="F477" s="6">
        <v>300.0</v>
      </c>
      <c r="G477" s="5" t="s">
        <v>57</v>
      </c>
      <c r="H477" s="5" t="s">
        <v>114</v>
      </c>
      <c r="I477" s="6" t="s">
        <v>40</v>
      </c>
      <c r="J477" s="5" t="s">
        <v>8585</v>
      </c>
      <c r="K477" s="5" t="s">
        <v>8632</v>
      </c>
      <c r="L477" s="6" t="s">
        <v>42</v>
      </c>
      <c r="M477" s="5" t="s">
        <v>995</v>
      </c>
      <c r="N477" s="5" t="s">
        <v>64</v>
      </c>
      <c r="O477" s="5" t="s">
        <v>9941</v>
      </c>
      <c r="P477" s="6">
        <v>4558.0</v>
      </c>
    </row>
    <row r="478" ht="56.25" customHeight="1">
      <c r="A478" s="5" t="s">
        <v>9939</v>
      </c>
      <c r="B478" s="6" t="str">
        <f>IMAGE("https://storage.googleapis.com/acdb/tops/TopsTexTopCoatHWaistshirt1.png")</f>
        <v/>
      </c>
      <c r="C478" s="5" t="s">
        <v>68</v>
      </c>
      <c r="D478" s="8" t="s">
        <v>36</v>
      </c>
      <c r="E478" s="6">
        <v>1200.0</v>
      </c>
      <c r="F478" s="6">
        <v>300.0</v>
      </c>
      <c r="G478" s="5" t="s">
        <v>95</v>
      </c>
      <c r="H478" s="5" t="s">
        <v>68</v>
      </c>
      <c r="I478" s="6" t="s">
        <v>40</v>
      </c>
      <c r="J478" s="5" t="s">
        <v>8585</v>
      </c>
      <c r="K478" s="5" t="s">
        <v>8632</v>
      </c>
      <c r="L478" s="6" t="s">
        <v>42</v>
      </c>
      <c r="M478" s="5" t="s">
        <v>995</v>
      </c>
      <c r="N478" s="5" t="s">
        <v>64</v>
      </c>
      <c r="O478" s="5" t="s">
        <v>9942</v>
      </c>
      <c r="P478" s="6">
        <v>8405.0</v>
      </c>
    </row>
    <row r="479" ht="56.25" customHeight="1">
      <c r="A479" s="5" t="s">
        <v>9939</v>
      </c>
      <c r="B479" s="6" t="str">
        <f>IMAGE("https://storage.googleapis.com/acdb/tops/TopsTexTopCoatHWaistshirt2.png")</f>
        <v/>
      </c>
      <c r="C479" s="5" t="s">
        <v>52</v>
      </c>
      <c r="D479" s="8" t="s">
        <v>36</v>
      </c>
      <c r="E479" s="6">
        <v>1200.0</v>
      </c>
      <c r="F479" s="6">
        <v>300.0</v>
      </c>
      <c r="G479" s="5" t="s">
        <v>54</v>
      </c>
      <c r="H479" s="5" t="s">
        <v>52</v>
      </c>
      <c r="I479" s="6" t="s">
        <v>40</v>
      </c>
      <c r="J479" s="5" t="s">
        <v>8585</v>
      </c>
      <c r="K479" s="5" t="s">
        <v>8632</v>
      </c>
      <c r="L479" s="6" t="s">
        <v>42</v>
      </c>
      <c r="M479" s="5" t="s">
        <v>995</v>
      </c>
      <c r="N479" s="5" t="s">
        <v>64</v>
      </c>
      <c r="O479" s="5" t="s">
        <v>9946</v>
      </c>
      <c r="P479" s="6">
        <v>8406.0</v>
      </c>
    </row>
    <row r="480" ht="56.25" customHeight="1">
      <c r="A480" s="5" t="s">
        <v>9947</v>
      </c>
      <c r="B480" s="6" t="str">
        <f>IMAGE("https://storage.googleapis.com/acdb/tops/TopsTexTopTshirtsHHelloNr0.png")</f>
        <v/>
      </c>
      <c r="C480" s="5" t="s">
        <v>34</v>
      </c>
      <c r="D480" s="8" t="s">
        <v>36</v>
      </c>
      <c r="E480" s="6">
        <v>640.0</v>
      </c>
      <c r="F480" s="6">
        <v>160.0</v>
      </c>
      <c r="G480" s="5" t="s">
        <v>68</v>
      </c>
      <c r="H480" s="5" t="s">
        <v>114</v>
      </c>
      <c r="I480" s="6" t="s">
        <v>40</v>
      </c>
      <c r="J480" s="5" t="s">
        <v>8578</v>
      </c>
      <c r="K480" s="5"/>
      <c r="L480" s="6" t="s">
        <v>42</v>
      </c>
      <c r="M480" s="5" t="s">
        <v>995</v>
      </c>
      <c r="N480" s="5" t="s">
        <v>64</v>
      </c>
      <c r="O480" s="5" t="s">
        <v>9949</v>
      </c>
      <c r="P480" s="6">
        <v>12124.0</v>
      </c>
    </row>
    <row r="481" ht="56.25" customHeight="1">
      <c r="A481" s="5" t="s">
        <v>9951</v>
      </c>
      <c r="B481" s="6" t="str">
        <f>IMAGE("https://storage.googleapis.com/acdb/tops/TopsTexTopTshirtsHHellosp0.png")</f>
        <v/>
      </c>
      <c r="C481" s="5" t="s">
        <v>34</v>
      </c>
      <c r="D481" s="8" t="s">
        <v>36</v>
      </c>
      <c r="E481" s="6">
        <v>560.0</v>
      </c>
      <c r="F481" s="6">
        <v>140.0</v>
      </c>
      <c r="G481" s="5" t="s">
        <v>114</v>
      </c>
      <c r="H481" s="5" t="s">
        <v>142</v>
      </c>
      <c r="I481" s="6" t="s">
        <v>40</v>
      </c>
      <c r="J481" s="5" t="s">
        <v>8578</v>
      </c>
      <c r="K481" s="5"/>
      <c r="L481" s="6" t="s">
        <v>42</v>
      </c>
      <c r="M481" s="5" t="s">
        <v>995</v>
      </c>
      <c r="N481" s="5" t="s">
        <v>64</v>
      </c>
      <c r="O481" s="5" t="s">
        <v>9952</v>
      </c>
      <c r="P481" s="6">
        <v>12121.0</v>
      </c>
    </row>
    <row r="482" ht="56.25" customHeight="1">
      <c r="A482" s="5" t="s">
        <v>9954</v>
      </c>
      <c r="B482" s="6" t="str">
        <f>IMAGE("https://storage.googleapis.com/acdb/tops/TopsTexTopOuterLChristmas0.png")</f>
        <v/>
      </c>
      <c r="C482" s="5" t="s">
        <v>96</v>
      </c>
      <c r="D482" s="8" t="s">
        <v>36</v>
      </c>
      <c r="E482" s="6">
        <v>1800.0</v>
      </c>
      <c r="F482" s="6">
        <v>450.0</v>
      </c>
      <c r="G482" s="5" t="s">
        <v>96</v>
      </c>
      <c r="H482" s="5" t="s">
        <v>52</v>
      </c>
      <c r="I482" s="6" t="s">
        <v>40</v>
      </c>
      <c r="J482" s="5" t="s">
        <v>8585</v>
      </c>
      <c r="K482" s="5" t="s">
        <v>8632</v>
      </c>
      <c r="L482" s="6" t="s">
        <v>42</v>
      </c>
      <c r="M482" s="5" t="s">
        <v>1959</v>
      </c>
      <c r="N482" s="5" t="s">
        <v>64</v>
      </c>
      <c r="O482" s="5" t="s">
        <v>9956</v>
      </c>
      <c r="P482" s="6">
        <v>5382.0</v>
      </c>
    </row>
    <row r="483" ht="56.25" customHeight="1">
      <c r="A483" s="5" t="s">
        <v>9954</v>
      </c>
      <c r="B483" s="6" t="str">
        <f>IMAGE("https://storage.googleapis.com/acdb/tops/TopsTexTopOuterLChristmas1.png")</f>
        <v/>
      </c>
      <c r="C483" s="5" t="s">
        <v>52</v>
      </c>
      <c r="D483" s="8" t="s">
        <v>36</v>
      </c>
      <c r="E483" s="6">
        <v>1800.0</v>
      </c>
      <c r="F483" s="6">
        <v>450.0</v>
      </c>
      <c r="G483" s="5" t="s">
        <v>52</v>
      </c>
      <c r="H483" s="5" t="s">
        <v>38</v>
      </c>
      <c r="I483" s="6" t="s">
        <v>40</v>
      </c>
      <c r="J483" s="5" t="s">
        <v>8585</v>
      </c>
      <c r="K483" s="5" t="s">
        <v>8632</v>
      </c>
      <c r="L483" s="6" t="s">
        <v>42</v>
      </c>
      <c r="M483" s="5" t="s">
        <v>1959</v>
      </c>
      <c r="N483" s="5" t="s">
        <v>64</v>
      </c>
      <c r="O483" s="5" t="s">
        <v>9958</v>
      </c>
      <c r="P483" s="6">
        <v>7846.0</v>
      </c>
    </row>
    <row r="484" ht="56.25" customHeight="1">
      <c r="A484" s="5" t="s">
        <v>9954</v>
      </c>
      <c r="B484" s="6" t="str">
        <f>IMAGE("https://storage.googleapis.com/acdb/tops/TopsTexTopOuterLChristmas2.png")</f>
        <v/>
      </c>
      <c r="C484" s="5" t="s">
        <v>68</v>
      </c>
      <c r="D484" s="8" t="s">
        <v>36</v>
      </c>
      <c r="E484" s="6">
        <v>1800.0</v>
      </c>
      <c r="F484" s="6">
        <v>450.0</v>
      </c>
      <c r="G484" s="5" t="s">
        <v>68</v>
      </c>
      <c r="H484" s="5" t="s">
        <v>57</v>
      </c>
      <c r="I484" s="6" t="s">
        <v>40</v>
      </c>
      <c r="J484" s="5" t="s">
        <v>8585</v>
      </c>
      <c r="K484" s="5" t="s">
        <v>8632</v>
      </c>
      <c r="L484" s="6" t="s">
        <v>42</v>
      </c>
      <c r="M484" s="5" t="s">
        <v>1959</v>
      </c>
      <c r="N484" s="5" t="s">
        <v>64</v>
      </c>
      <c r="O484" s="5" t="s">
        <v>9961</v>
      </c>
      <c r="P484" s="6">
        <v>7847.0</v>
      </c>
    </row>
    <row r="485" ht="56.25" customHeight="1">
      <c r="A485" s="5" t="s">
        <v>9962</v>
      </c>
      <c r="B485" s="6" t="str">
        <f>IMAGE("https://storage.googleapis.com/acdb/tops/TopsTexTopTshirtsNHula1.png")</f>
        <v/>
      </c>
      <c r="C485" s="5" t="s">
        <v>142</v>
      </c>
      <c r="D485" s="8" t="s">
        <v>36</v>
      </c>
      <c r="E485" s="6">
        <v>1200.0</v>
      </c>
      <c r="F485" s="6">
        <v>300.0</v>
      </c>
      <c r="G485" s="5" t="s">
        <v>142</v>
      </c>
      <c r="H485" s="5" t="s">
        <v>69</v>
      </c>
      <c r="I485" s="6" t="s">
        <v>40</v>
      </c>
      <c r="J485" s="5" t="s">
        <v>8585</v>
      </c>
      <c r="K485" s="5" t="s">
        <v>8586</v>
      </c>
      <c r="L485" s="6" t="s">
        <v>42</v>
      </c>
      <c r="M485" s="5" t="s">
        <v>8746</v>
      </c>
      <c r="N485" s="5" t="s">
        <v>64</v>
      </c>
      <c r="O485" s="5" t="s">
        <v>9964</v>
      </c>
      <c r="P485" s="6">
        <v>9444.0</v>
      </c>
    </row>
    <row r="486" ht="56.25" customHeight="1">
      <c r="A486" s="5" t="s">
        <v>9962</v>
      </c>
      <c r="B486" s="6" t="str">
        <f>IMAGE("https://storage.googleapis.com/acdb/tops/TopsTexTopTshirtsNHula2.png")</f>
        <v/>
      </c>
      <c r="C486" s="5" t="s">
        <v>38</v>
      </c>
      <c r="D486" s="8" t="s">
        <v>36</v>
      </c>
      <c r="E486" s="6">
        <v>1200.0</v>
      </c>
      <c r="F486" s="6">
        <v>300.0</v>
      </c>
      <c r="G486" s="5" t="s">
        <v>38</v>
      </c>
      <c r="H486" s="5" t="s">
        <v>52</v>
      </c>
      <c r="I486" s="6" t="s">
        <v>40</v>
      </c>
      <c r="J486" s="5" t="s">
        <v>8585</v>
      </c>
      <c r="K486" s="5" t="s">
        <v>8586</v>
      </c>
      <c r="L486" s="6" t="s">
        <v>42</v>
      </c>
      <c r="M486" s="5" t="s">
        <v>8746</v>
      </c>
      <c r="N486" s="5" t="s">
        <v>64</v>
      </c>
      <c r="O486" s="5" t="s">
        <v>9967</v>
      </c>
      <c r="P486" s="6">
        <v>9445.0</v>
      </c>
    </row>
    <row r="487" ht="56.25" customHeight="1">
      <c r="A487" s="5" t="s">
        <v>9962</v>
      </c>
      <c r="B487" s="6" t="str">
        <f>IMAGE("https://storage.googleapis.com/acdb/tops/TopsTexTopTshirtsNHula3.png")</f>
        <v/>
      </c>
      <c r="C487" s="5" t="s">
        <v>106</v>
      </c>
      <c r="D487" s="8" t="s">
        <v>36</v>
      </c>
      <c r="E487" s="6">
        <v>1200.0</v>
      </c>
      <c r="F487" s="6">
        <v>300.0</v>
      </c>
      <c r="G487" s="5" t="s">
        <v>106</v>
      </c>
      <c r="H487" s="5" t="s">
        <v>57</v>
      </c>
      <c r="I487" s="6" t="s">
        <v>40</v>
      </c>
      <c r="J487" s="5" t="s">
        <v>8585</v>
      </c>
      <c r="K487" s="5" t="s">
        <v>8586</v>
      </c>
      <c r="L487" s="6" t="s">
        <v>42</v>
      </c>
      <c r="M487" s="5" t="s">
        <v>8746</v>
      </c>
      <c r="N487" s="5" t="s">
        <v>64</v>
      </c>
      <c r="O487" s="5" t="s">
        <v>9969</v>
      </c>
      <c r="P487" s="6">
        <v>9446.0</v>
      </c>
    </row>
    <row r="488" ht="56.25" customHeight="1">
      <c r="A488" s="5" t="s">
        <v>9962</v>
      </c>
      <c r="B488" s="6" t="str">
        <f>IMAGE("https://storage.googleapis.com/acdb/tops/TopsTexTopTshirtsNHula4.png")</f>
        <v/>
      </c>
      <c r="C488" s="5" t="s">
        <v>96</v>
      </c>
      <c r="D488" s="8" t="s">
        <v>36</v>
      </c>
      <c r="E488" s="6">
        <v>1200.0</v>
      </c>
      <c r="F488" s="6">
        <v>300.0</v>
      </c>
      <c r="G488" s="5" t="s">
        <v>96</v>
      </c>
      <c r="H488" s="5" t="s">
        <v>57</v>
      </c>
      <c r="I488" s="6" t="s">
        <v>40</v>
      </c>
      <c r="J488" s="5" t="s">
        <v>8585</v>
      </c>
      <c r="K488" s="5" t="s">
        <v>8586</v>
      </c>
      <c r="L488" s="6" t="s">
        <v>42</v>
      </c>
      <c r="M488" s="5" t="s">
        <v>8746</v>
      </c>
      <c r="N488" s="5" t="s">
        <v>64</v>
      </c>
      <c r="O488" s="5" t="s">
        <v>9972</v>
      </c>
      <c r="P488" s="6">
        <v>9447.0</v>
      </c>
    </row>
    <row r="489" ht="56.25" customHeight="1">
      <c r="A489" s="5" t="s">
        <v>9962</v>
      </c>
      <c r="B489" s="6" t="str">
        <f>IMAGE("https://storage.googleapis.com/acdb/tops/TopsTexTopTshirtsNHula0.png")</f>
        <v/>
      </c>
      <c r="C489" s="5" t="s">
        <v>52</v>
      </c>
      <c r="D489" s="8" t="s">
        <v>36</v>
      </c>
      <c r="E489" s="6">
        <v>1200.0</v>
      </c>
      <c r="F489" s="6">
        <v>300.0</v>
      </c>
      <c r="G489" s="5" t="s">
        <v>52</v>
      </c>
      <c r="H489" s="5" t="s">
        <v>57</v>
      </c>
      <c r="I489" s="6" t="s">
        <v>40</v>
      </c>
      <c r="J489" s="5" t="s">
        <v>8585</v>
      </c>
      <c r="K489" s="5" t="s">
        <v>8586</v>
      </c>
      <c r="L489" s="6" t="s">
        <v>42</v>
      </c>
      <c r="M489" s="5" t="s">
        <v>8746</v>
      </c>
      <c r="N489" s="5" t="s">
        <v>64</v>
      </c>
      <c r="O489" s="5" t="s">
        <v>9975</v>
      </c>
      <c r="P489" s="6">
        <v>4486.0</v>
      </c>
    </row>
    <row r="490" ht="56.25" customHeight="1">
      <c r="A490" s="5" t="s">
        <v>9976</v>
      </c>
      <c r="B490" s="6" t="str">
        <f>IMAGE("https://storage.googleapis.com/acdb/tops/TopsTexTopTshirtsLQuiet2.png")</f>
        <v/>
      </c>
      <c r="C490" s="5" t="s">
        <v>96</v>
      </c>
      <c r="D490" s="8" t="s">
        <v>36</v>
      </c>
      <c r="E490" s="6">
        <v>1150.0</v>
      </c>
      <c r="F490" s="6">
        <v>287.0</v>
      </c>
      <c r="G490" s="5" t="s">
        <v>96</v>
      </c>
      <c r="H490" s="5" t="s">
        <v>54</v>
      </c>
      <c r="I490" s="6" t="s">
        <v>40</v>
      </c>
      <c r="J490" s="5" t="s">
        <v>8585</v>
      </c>
      <c r="K490" s="5" t="s">
        <v>8632</v>
      </c>
      <c r="L490" s="6" t="s">
        <v>42</v>
      </c>
      <c r="M490" s="5" t="s">
        <v>995</v>
      </c>
      <c r="N490" s="5" t="s">
        <v>64</v>
      </c>
      <c r="O490" s="5" t="s">
        <v>9981</v>
      </c>
      <c r="P490" s="6">
        <v>9037.0</v>
      </c>
    </row>
    <row r="491" ht="56.25" customHeight="1">
      <c r="A491" s="5" t="s">
        <v>9976</v>
      </c>
      <c r="B491" s="6" t="str">
        <f>IMAGE("https://storage.googleapis.com/acdb/tops/TopsTexTopTshirtsLQuiet3.png")</f>
        <v/>
      </c>
      <c r="C491" s="5" t="s">
        <v>68</v>
      </c>
      <c r="D491" s="8" t="s">
        <v>36</v>
      </c>
      <c r="E491" s="6">
        <v>1150.0</v>
      </c>
      <c r="F491" s="6">
        <v>287.0</v>
      </c>
      <c r="G491" s="5" t="s">
        <v>68</v>
      </c>
      <c r="H491" s="5" t="s">
        <v>54</v>
      </c>
      <c r="I491" s="6" t="s">
        <v>40</v>
      </c>
      <c r="J491" s="5" t="s">
        <v>8585</v>
      </c>
      <c r="K491" s="5" t="s">
        <v>8632</v>
      </c>
      <c r="L491" s="6" t="s">
        <v>42</v>
      </c>
      <c r="M491" s="5" t="s">
        <v>995</v>
      </c>
      <c r="N491" s="5" t="s">
        <v>64</v>
      </c>
      <c r="O491" s="5" t="s">
        <v>9983</v>
      </c>
      <c r="P491" s="6">
        <v>9038.0</v>
      </c>
    </row>
    <row r="492" ht="56.25" customHeight="1">
      <c r="A492" s="5" t="s">
        <v>9976</v>
      </c>
      <c r="B492" s="6" t="str">
        <f>IMAGE("https://storage.googleapis.com/acdb/tops/TopsTexTopTshirtsLQuiet0.png")</f>
        <v/>
      </c>
      <c r="C492" s="5" t="s">
        <v>106</v>
      </c>
      <c r="D492" s="8" t="s">
        <v>36</v>
      </c>
      <c r="E492" s="6">
        <v>1150.0</v>
      </c>
      <c r="F492" s="6">
        <v>287.0</v>
      </c>
      <c r="G492" s="5" t="s">
        <v>106</v>
      </c>
      <c r="H492" s="5" t="s">
        <v>54</v>
      </c>
      <c r="I492" s="6" t="s">
        <v>40</v>
      </c>
      <c r="J492" s="5" t="s">
        <v>8585</v>
      </c>
      <c r="K492" s="5" t="s">
        <v>8632</v>
      </c>
      <c r="L492" s="6" t="s">
        <v>42</v>
      </c>
      <c r="M492" s="5" t="s">
        <v>995</v>
      </c>
      <c r="N492" s="5" t="s">
        <v>64</v>
      </c>
      <c r="O492" s="5" t="s">
        <v>9986</v>
      </c>
      <c r="P492" s="6">
        <v>4792.0</v>
      </c>
    </row>
    <row r="493" ht="56.25" customHeight="1">
      <c r="A493" s="5" t="s">
        <v>9976</v>
      </c>
      <c r="B493" s="6" t="str">
        <f>IMAGE("https://storage.googleapis.com/acdb/tops/TopsTexTopTshirtsLQuiet1.png")</f>
        <v/>
      </c>
      <c r="C493" s="5" t="s">
        <v>39</v>
      </c>
      <c r="D493" s="8" t="s">
        <v>36</v>
      </c>
      <c r="E493" s="6">
        <v>1150.0</v>
      </c>
      <c r="F493" s="6">
        <v>287.0</v>
      </c>
      <c r="G493" s="5" t="s">
        <v>38</v>
      </c>
      <c r="H493" s="5" t="s">
        <v>54</v>
      </c>
      <c r="I493" s="6" t="s">
        <v>40</v>
      </c>
      <c r="J493" s="5" t="s">
        <v>8585</v>
      </c>
      <c r="K493" s="5" t="s">
        <v>8632</v>
      </c>
      <c r="L493" s="6" t="s">
        <v>42</v>
      </c>
      <c r="M493" s="5" t="s">
        <v>995</v>
      </c>
      <c r="N493" s="5" t="s">
        <v>64</v>
      </c>
      <c r="O493" s="5" t="s">
        <v>9988</v>
      </c>
      <c r="P493" s="6">
        <v>9036.0</v>
      </c>
    </row>
    <row r="494" ht="56.25" customHeight="1">
      <c r="A494" s="5" t="s">
        <v>9989</v>
      </c>
      <c r="B494" s="6" t="str">
        <f>IMAGE("https://storage.googleapis.com/acdb/tops/TopsTexTopTshirtsHKanji1.png")</f>
        <v/>
      </c>
      <c r="C494" s="5" t="s">
        <v>69</v>
      </c>
      <c r="D494" s="8" t="s">
        <v>36</v>
      </c>
      <c r="E494" s="6">
        <v>640.0</v>
      </c>
      <c r="F494" s="6">
        <v>160.0</v>
      </c>
      <c r="G494" s="5" t="s">
        <v>69</v>
      </c>
      <c r="H494" s="5" t="s">
        <v>69</v>
      </c>
      <c r="I494" s="6" t="s">
        <v>40</v>
      </c>
      <c r="J494" s="5" t="s">
        <v>8585</v>
      </c>
      <c r="K494" s="5" t="s">
        <v>8632</v>
      </c>
      <c r="L494" s="6" t="s">
        <v>42</v>
      </c>
      <c r="M494" s="5" t="s">
        <v>8746</v>
      </c>
      <c r="N494" s="5" t="s">
        <v>64</v>
      </c>
      <c r="O494" s="5" t="s">
        <v>9992</v>
      </c>
      <c r="P494" s="6">
        <v>8424.0</v>
      </c>
    </row>
    <row r="495" ht="56.25" customHeight="1">
      <c r="A495" s="5" t="s">
        <v>9989</v>
      </c>
      <c r="B495" s="6" t="str">
        <f>IMAGE("https://storage.googleapis.com/acdb/tops/TopsTexTopTshirtsHKanji2.png")</f>
        <v/>
      </c>
      <c r="C495" s="5" t="s">
        <v>68</v>
      </c>
      <c r="D495" s="8" t="s">
        <v>36</v>
      </c>
      <c r="E495" s="6">
        <v>640.0</v>
      </c>
      <c r="F495" s="6">
        <v>160.0</v>
      </c>
      <c r="G495" s="5" t="s">
        <v>68</v>
      </c>
      <c r="H495" s="5" t="s">
        <v>68</v>
      </c>
      <c r="I495" s="6" t="s">
        <v>40</v>
      </c>
      <c r="J495" s="5" t="s">
        <v>8585</v>
      </c>
      <c r="K495" s="5" t="s">
        <v>8632</v>
      </c>
      <c r="L495" s="6" t="s">
        <v>42</v>
      </c>
      <c r="M495" s="5" t="s">
        <v>8746</v>
      </c>
      <c r="N495" s="5" t="s">
        <v>64</v>
      </c>
      <c r="O495" s="5" t="s">
        <v>9995</v>
      </c>
      <c r="P495" s="6">
        <v>8425.0</v>
      </c>
    </row>
    <row r="496" ht="56.25" customHeight="1">
      <c r="A496" s="5" t="s">
        <v>9989</v>
      </c>
      <c r="B496" s="6" t="str">
        <f>IMAGE("https://storage.googleapis.com/acdb/tops/TopsTexTopTshirtsHKanji3.png")</f>
        <v/>
      </c>
      <c r="C496" s="5" t="s">
        <v>54</v>
      </c>
      <c r="D496" s="8" t="s">
        <v>36</v>
      </c>
      <c r="E496" s="6">
        <v>640.0</v>
      </c>
      <c r="F496" s="6">
        <v>160.0</v>
      </c>
      <c r="G496" s="5" t="s">
        <v>57</v>
      </c>
      <c r="H496" s="5" t="s">
        <v>54</v>
      </c>
      <c r="I496" s="6" t="s">
        <v>40</v>
      </c>
      <c r="J496" s="5" t="s">
        <v>8585</v>
      </c>
      <c r="K496" s="5" t="s">
        <v>8632</v>
      </c>
      <c r="L496" s="6" t="s">
        <v>42</v>
      </c>
      <c r="M496" s="5" t="s">
        <v>8746</v>
      </c>
      <c r="N496" s="5" t="s">
        <v>64</v>
      </c>
      <c r="O496" s="5" t="s">
        <v>9998</v>
      </c>
      <c r="P496" s="6">
        <v>8426.0</v>
      </c>
    </row>
    <row r="497" ht="56.25" customHeight="1">
      <c r="A497" s="5" t="s">
        <v>9989</v>
      </c>
      <c r="B497" s="6" t="str">
        <f>IMAGE("https://storage.googleapis.com/acdb/tops/TopsTexTopTshirtsHKanji0.png")</f>
        <v/>
      </c>
      <c r="C497" s="5" t="s">
        <v>96</v>
      </c>
      <c r="D497" s="8" t="s">
        <v>36</v>
      </c>
      <c r="E497" s="6">
        <v>640.0</v>
      </c>
      <c r="F497" s="6">
        <v>160.0</v>
      </c>
      <c r="G497" s="5" t="s">
        <v>96</v>
      </c>
      <c r="H497" s="5" t="s">
        <v>96</v>
      </c>
      <c r="I497" s="6" t="s">
        <v>40</v>
      </c>
      <c r="J497" s="5" t="s">
        <v>8585</v>
      </c>
      <c r="K497" s="5" t="s">
        <v>8632</v>
      </c>
      <c r="L497" s="6" t="s">
        <v>42</v>
      </c>
      <c r="M497" s="5" t="s">
        <v>8746</v>
      </c>
      <c r="N497" s="5" t="s">
        <v>64</v>
      </c>
      <c r="O497" s="5" t="s">
        <v>10001</v>
      </c>
      <c r="P497" s="6">
        <v>3575.0</v>
      </c>
    </row>
    <row r="498" ht="56.25" customHeight="1">
      <c r="A498" s="5" t="s">
        <v>10002</v>
      </c>
      <c r="B498" s="6" t="str">
        <f>IMAGE("https://storage.googleapis.com/acdb/tops/TopsTexTopTshirtsLSmock0.png")</f>
        <v/>
      </c>
      <c r="C498" s="5" t="s">
        <v>10003</v>
      </c>
      <c r="D498" s="8" t="s">
        <v>36</v>
      </c>
      <c r="E498" s="6">
        <v>1500.0</v>
      </c>
      <c r="F498" s="6">
        <v>375.0</v>
      </c>
      <c r="G498" s="5" t="s">
        <v>83</v>
      </c>
      <c r="H498" s="5" t="s">
        <v>52</v>
      </c>
      <c r="I498" s="6" t="s">
        <v>40</v>
      </c>
      <c r="J498" s="5" t="s">
        <v>8585</v>
      </c>
      <c r="K498" s="5" t="s">
        <v>8586</v>
      </c>
      <c r="L498" s="6" t="s">
        <v>42</v>
      </c>
      <c r="M498" s="5" t="s">
        <v>1959</v>
      </c>
      <c r="N498" s="5" t="s">
        <v>64</v>
      </c>
      <c r="O498" s="5" t="s">
        <v>10005</v>
      </c>
      <c r="P498" s="6">
        <v>3057.0</v>
      </c>
    </row>
    <row r="499" ht="56.25" customHeight="1">
      <c r="A499" s="5" t="s">
        <v>10002</v>
      </c>
      <c r="B499" s="6" t="str">
        <f>IMAGE("https://storage.googleapis.com/acdb/tops/TopsTexTopTshirtsLSmock1.png")</f>
        <v/>
      </c>
      <c r="C499" s="5" t="s">
        <v>10007</v>
      </c>
      <c r="D499" s="8" t="s">
        <v>36</v>
      </c>
      <c r="E499" s="6">
        <v>1500.0</v>
      </c>
      <c r="F499" s="6">
        <v>375.0</v>
      </c>
      <c r="G499" s="5" t="s">
        <v>83</v>
      </c>
      <c r="H499" s="5" t="s">
        <v>114</v>
      </c>
      <c r="I499" s="6" t="s">
        <v>40</v>
      </c>
      <c r="J499" s="5" t="s">
        <v>8585</v>
      </c>
      <c r="K499" s="5" t="s">
        <v>8586</v>
      </c>
      <c r="L499" s="6" t="s">
        <v>42</v>
      </c>
      <c r="M499" s="5" t="s">
        <v>1959</v>
      </c>
      <c r="N499" s="5" t="s">
        <v>64</v>
      </c>
      <c r="O499" s="5" t="s">
        <v>10009</v>
      </c>
      <c r="P499" s="6">
        <v>10897.0</v>
      </c>
    </row>
    <row r="500" ht="56.25" customHeight="1">
      <c r="A500" s="5" t="s">
        <v>10002</v>
      </c>
      <c r="B500" s="6" t="str">
        <f>IMAGE("https://storage.googleapis.com/acdb/tops/TopsTexTopTshirtsLSmock2.png")</f>
        <v/>
      </c>
      <c r="C500" s="5" t="s">
        <v>10010</v>
      </c>
      <c r="D500" s="8" t="s">
        <v>36</v>
      </c>
      <c r="E500" s="6">
        <v>1500.0</v>
      </c>
      <c r="F500" s="6">
        <v>375.0</v>
      </c>
      <c r="G500" s="5" t="s">
        <v>83</v>
      </c>
      <c r="H500" s="5" t="s">
        <v>69</v>
      </c>
      <c r="I500" s="6" t="s">
        <v>40</v>
      </c>
      <c r="J500" s="5" t="s">
        <v>8585</v>
      </c>
      <c r="K500" s="5" t="s">
        <v>8586</v>
      </c>
      <c r="L500" s="6" t="s">
        <v>42</v>
      </c>
      <c r="M500" s="5" t="s">
        <v>1959</v>
      </c>
      <c r="N500" s="5" t="s">
        <v>64</v>
      </c>
      <c r="O500" s="5" t="s">
        <v>10013</v>
      </c>
      <c r="P500" s="6">
        <v>10898.0</v>
      </c>
    </row>
    <row r="501" ht="56.25" customHeight="1">
      <c r="A501" s="5" t="s">
        <v>10002</v>
      </c>
      <c r="B501" s="6" t="str">
        <f>IMAGE("https://storage.googleapis.com/acdb/tops/TopsTexTopTshirtsLSmock3.png")</f>
        <v/>
      </c>
      <c r="C501" s="5" t="s">
        <v>10014</v>
      </c>
      <c r="D501" s="8" t="s">
        <v>36</v>
      </c>
      <c r="E501" s="6">
        <v>1500.0</v>
      </c>
      <c r="F501" s="6">
        <v>375.0</v>
      </c>
      <c r="G501" s="5" t="s">
        <v>83</v>
      </c>
      <c r="H501" s="5" t="s">
        <v>96</v>
      </c>
      <c r="I501" s="6" t="s">
        <v>40</v>
      </c>
      <c r="J501" s="5" t="s">
        <v>8585</v>
      </c>
      <c r="K501" s="5" t="s">
        <v>8586</v>
      </c>
      <c r="L501" s="6" t="s">
        <v>42</v>
      </c>
      <c r="M501" s="5" t="s">
        <v>1959</v>
      </c>
      <c r="N501" s="5" t="s">
        <v>64</v>
      </c>
      <c r="O501" s="5" t="s">
        <v>10016</v>
      </c>
      <c r="P501" s="6">
        <v>10899.0</v>
      </c>
    </row>
    <row r="502" ht="56.25" customHeight="1">
      <c r="A502" s="5" t="s">
        <v>10019</v>
      </c>
      <c r="B502" s="6" t="str">
        <f>IMAGE("https://storage.googleapis.com/acdb/tops/TopsTexTopTshirtsHHellojp0.png")</f>
        <v/>
      </c>
      <c r="C502" s="5" t="s">
        <v>34</v>
      </c>
      <c r="D502" s="8" t="s">
        <v>36</v>
      </c>
      <c r="E502" s="6">
        <v>640.0</v>
      </c>
      <c r="F502" s="6">
        <v>160.0</v>
      </c>
      <c r="G502" s="5" t="s">
        <v>96</v>
      </c>
      <c r="H502" s="5" t="s">
        <v>96</v>
      </c>
      <c r="I502" s="6" t="s">
        <v>40</v>
      </c>
      <c r="J502" s="5" t="s">
        <v>8578</v>
      </c>
      <c r="K502" s="5"/>
      <c r="L502" s="6" t="s">
        <v>42</v>
      </c>
      <c r="M502" s="5" t="s">
        <v>995</v>
      </c>
      <c r="N502" s="5" t="s">
        <v>64</v>
      </c>
      <c r="O502" s="5" t="s">
        <v>10020</v>
      </c>
      <c r="P502" s="6">
        <v>12114.0</v>
      </c>
    </row>
    <row r="503" ht="56.25" customHeight="1">
      <c r="A503" s="5" t="s">
        <v>10021</v>
      </c>
      <c r="B503" s="6" t="str">
        <f>IMAGE("https://storage.googleapis.com/acdb/tops/TopsTexTopTshirtsHKungfu0.png")</f>
        <v/>
      </c>
      <c r="C503" s="5" t="s">
        <v>1187</v>
      </c>
      <c r="D503" s="8" t="s">
        <v>36</v>
      </c>
      <c r="E503" s="6">
        <v>1800.0</v>
      </c>
      <c r="F503" s="6">
        <v>450.0</v>
      </c>
      <c r="G503" s="5" t="s">
        <v>68</v>
      </c>
      <c r="H503" s="5" t="s">
        <v>68</v>
      </c>
      <c r="I503" s="6" t="s">
        <v>40</v>
      </c>
      <c r="J503" s="5" t="s">
        <v>8585</v>
      </c>
      <c r="K503" s="5" t="s">
        <v>8586</v>
      </c>
      <c r="L503" s="6" t="s">
        <v>42</v>
      </c>
      <c r="M503" s="5" t="s">
        <v>8746</v>
      </c>
      <c r="N503" s="5" t="s">
        <v>64</v>
      </c>
      <c r="O503" s="5" t="s">
        <v>10026</v>
      </c>
      <c r="P503" s="6">
        <v>2781.0</v>
      </c>
    </row>
    <row r="504" ht="56.25" customHeight="1">
      <c r="A504" s="5" t="s">
        <v>10021</v>
      </c>
      <c r="B504" s="6" t="str">
        <f>IMAGE("https://storage.googleapis.com/acdb/tops/TopsTexTopTshirtsHKungfu1.png")</f>
        <v/>
      </c>
      <c r="C504" s="5" t="s">
        <v>57</v>
      </c>
      <c r="D504" s="8" t="s">
        <v>36</v>
      </c>
      <c r="E504" s="6">
        <v>1800.0</v>
      </c>
      <c r="F504" s="6">
        <v>450.0</v>
      </c>
      <c r="G504" s="5" t="s">
        <v>57</v>
      </c>
      <c r="H504" s="5" t="s">
        <v>95</v>
      </c>
      <c r="I504" s="6" t="s">
        <v>40</v>
      </c>
      <c r="J504" s="5" t="s">
        <v>8585</v>
      </c>
      <c r="K504" s="5" t="s">
        <v>8586</v>
      </c>
      <c r="L504" s="6" t="s">
        <v>42</v>
      </c>
      <c r="M504" s="5" t="s">
        <v>8746</v>
      </c>
      <c r="N504" s="5" t="s">
        <v>64</v>
      </c>
      <c r="O504" s="5" t="s">
        <v>10030</v>
      </c>
      <c r="P504" s="6">
        <v>9131.0</v>
      </c>
    </row>
    <row r="505" ht="56.25" customHeight="1">
      <c r="A505" s="5" t="s">
        <v>10021</v>
      </c>
      <c r="B505" s="6" t="str">
        <f>IMAGE("https://storage.googleapis.com/acdb/tops/TopsTexTopTshirtsHKungfu2.png")</f>
        <v/>
      </c>
      <c r="C505" s="5" t="s">
        <v>83</v>
      </c>
      <c r="D505" s="8" t="s">
        <v>36</v>
      </c>
      <c r="E505" s="6">
        <v>1800.0</v>
      </c>
      <c r="F505" s="6">
        <v>450.0</v>
      </c>
      <c r="G505" s="5" t="s">
        <v>83</v>
      </c>
      <c r="H505" s="5" t="s">
        <v>57</v>
      </c>
      <c r="I505" s="6" t="s">
        <v>40</v>
      </c>
      <c r="J505" s="5" t="s">
        <v>8585</v>
      </c>
      <c r="K505" s="5" t="s">
        <v>8586</v>
      </c>
      <c r="L505" s="6" t="s">
        <v>42</v>
      </c>
      <c r="M505" s="5" t="s">
        <v>8746</v>
      </c>
      <c r="N505" s="5" t="s">
        <v>64</v>
      </c>
      <c r="O505" s="5" t="s">
        <v>10033</v>
      </c>
      <c r="P505" s="6">
        <v>9132.0</v>
      </c>
    </row>
    <row r="506" ht="56.25" customHeight="1">
      <c r="A506" s="5" t="s">
        <v>10021</v>
      </c>
      <c r="B506" s="6" t="str">
        <f>IMAGE("https://storage.googleapis.com/acdb/tops/TopsTexTopTshirtsHKungfu3.png")</f>
        <v/>
      </c>
      <c r="C506" s="5" t="s">
        <v>114</v>
      </c>
      <c r="D506" s="8" t="s">
        <v>36</v>
      </c>
      <c r="E506" s="6">
        <v>1800.0</v>
      </c>
      <c r="F506" s="6">
        <v>450.0</v>
      </c>
      <c r="G506" s="5" t="s">
        <v>114</v>
      </c>
      <c r="H506" s="5" t="s">
        <v>57</v>
      </c>
      <c r="I506" s="6" t="s">
        <v>40</v>
      </c>
      <c r="J506" s="5" t="s">
        <v>8585</v>
      </c>
      <c r="K506" s="5" t="s">
        <v>8586</v>
      </c>
      <c r="L506" s="6" t="s">
        <v>42</v>
      </c>
      <c r="M506" s="5" t="s">
        <v>8746</v>
      </c>
      <c r="N506" s="5" t="s">
        <v>64</v>
      </c>
      <c r="O506" s="5" t="s">
        <v>10036</v>
      </c>
      <c r="P506" s="6">
        <v>9133.0</v>
      </c>
    </row>
    <row r="507" ht="56.25" customHeight="1">
      <c r="A507" s="5" t="s">
        <v>10021</v>
      </c>
      <c r="B507" s="6" t="str">
        <f>IMAGE("https://storage.googleapis.com/acdb/tops/TopsTexTopTshirtsHKungfu4.png")</f>
        <v/>
      </c>
      <c r="C507" s="5" t="s">
        <v>96</v>
      </c>
      <c r="D507" s="8" t="s">
        <v>36</v>
      </c>
      <c r="E507" s="6">
        <v>1800.0</v>
      </c>
      <c r="F507" s="6">
        <v>450.0</v>
      </c>
      <c r="G507" s="5" t="s">
        <v>96</v>
      </c>
      <c r="H507" s="5" t="s">
        <v>57</v>
      </c>
      <c r="I507" s="6" t="s">
        <v>40</v>
      </c>
      <c r="J507" s="5" t="s">
        <v>8585</v>
      </c>
      <c r="K507" s="5" t="s">
        <v>8586</v>
      </c>
      <c r="L507" s="6" t="s">
        <v>42</v>
      </c>
      <c r="M507" s="5" t="s">
        <v>8746</v>
      </c>
      <c r="N507" s="5" t="s">
        <v>64</v>
      </c>
      <c r="O507" s="5" t="s">
        <v>10039</v>
      </c>
      <c r="P507" s="6">
        <v>9134.0</v>
      </c>
    </row>
    <row r="508" ht="56.25" customHeight="1">
      <c r="A508" s="5" t="s">
        <v>10040</v>
      </c>
      <c r="B508" s="6" t="str">
        <f>IMAGE("https://storage.googleapis.com/acdb/tops/TopsTexTopCoatLKuruta1.png")</f>
        <v/>
      </c>
      <c r="C508" s="5" t="s">
        <v>95</v>
      </c>
      <c r="D508" s="8" t="s">
        <v>36</v>
      </c>
      <c r="E508" s="6">
        <v>1200.0</v>
      </c>
      <c r="F508" s="6">
        <v>300.0</v>
      </c>
      <c r="G508" s="5" t="s">
        <v>95</v>
      </c>
      <c r="H508" s="5" t="s">
        <v>95</v>
      </c>
      <c r="I508" s="6" t="s">
        <v>40</v>
      </c>
      <c r="J508" s="5" t="s">
        <v>8585</v>
      </c>
      <c r="K508" s="5" t="s">
        <v>8586</v>
      </c>
      <c r="L508" s="6" t="s">
        <v>42</v>
      </c>
      <c r="M508" s="5" t="s">
        <v>995</v>
      </c>
      <c r="N508" s="5" t="s">
        <v>64</v>
      </c>
      <c r="O508" s="5" t="s">
        <v>10043</v>
      </c>
      <c r="P508" s="6">
        <v>7581.0</v>
      </c>
    </row>
    <row r="509" ht="56.25" customHeight="1">
      <c r="A509" s="5" t="s">
        <v>10040</v>
      </c>
      <c r="B509" s="6" t="str">
        <f>IMAGE("https://storage.googleapis.com/acdb/tops/TopsTexTopCoatLKuruta2.png")</f>
        <v/>
      </c>
      <c r="C509" s="5" t="s">
        <v>68</v>
      </c>
      <c r="D509" s="8" t="s">
        <v>36</v>
      </c>
      <c r="E509" s="6">
        <v>1200.0</v>
      </c>
      <c r="F509" s="6">
        <v>300.0</v>
      </c>
      <c r="G509" s="5" t="s">
        <v>83</v>
      </c>
      <c r="H509" s="5" t="s">
        <v>83</v>
      </c>
      <c r="I509" s="6" t="s">
        <v>40</v>
      </c>
      <c r="J509" s="5" t="s">
        <v>8585</v>
      </c>
      <c r="K509" s="5" t="s">
        <v>8586</v>
      </c>
      <c r="L509" s="6" t="s">
        <v>42</v>
      </c>
      <c r="M509" s="5" t="s">
        <v>995</v>
      </c>
      <c r="N509" s="5" t="s">
        <v>64</v>
      </c>
      <c r="O509" s="5" t="s">
        <v>10047</v>
      </c>
      <c r="P509" s="6">
        <v>7582.0</v>
      </c>
    </row>
    <row r="510" ht="56.25" customHeight="1">
      <c r="A510" s="5" t="s">
        <v>10040</v>
      </c>
      <c r="B510" s="6" t="str">
        <f>IMAGE("https://storage.googleapis.com/acdb/tops/TopsTexTopCoatLKuruta3.png")</f>
        <v/>
      </c>
      <c r="C510" s="5" t="s">
        <v>38</v>
      </c>
      <c r="D510" s="8" t="s">
        <v>36</v>
      </c>
      <c r="E510" s="6">
        <v>1200.0</v>
      </c>
      <c r="F510" s="6">
        <v>300.0</v>
      </c>
      <c r="G510" s="5" t="s">
        <v>38</v>
      </c>
      <c r="H510" s="5" t="s">
        <v>38</v>
      </c>
      <c r="I510" s="6" t="s">
        <v>40</v>
      </c>
      <c r="J510" s="5" t="s">
        <v>8585</v>
      </c>
      <c r="K510" s="5" t="s">
        <v>8586</v>
      </c>
      <c r="L510" s="6" t="s">
        <v>42</v>
      </c>
      <c r="M510" s="5" t="s">
        <v>995</v>
      </c>
      <c r="N510" s="5" t="s">
        <v>64</v>
      </c>
      <c r="O510" s="5" t="s">
        <v>10050</v>
      </c>
      <c r="P510" s="6">
        <v>7583.0</v>
      </c>
    </row>
    <row r="511" ht="56.25" customHeight="1">
      <c r="A511" s="5" t="s">
        <v>10040</v>
      </c>
      <c r="B511" s="6" t="str">
        <f>IMAGE("https://storage.googleapis.com/acdb/tops/TopsTexTopCoatLKuruta0.png")</f>
        <v/>
      </c>
      <c r="C511" s="5" t="s">
        <v>96</v>
      </c>
      <c r="D511" s="8" t="s">
        <v>36</v>
      </c>
      <c r="E511" s="6">
        <v>1200.0</v>
      </c>
      <c r="F511" s="6">
        <v>300.0</v>
      </c>
      <c r="G511" s="5" t="s">
        <v>96</v>
      </c>
      <c r="H511" s="5" t="s">
        <v>96</v>
      </c>
      <c r="I511" s="6" t="s">
        <v>40</v>
      </c>
      <c r="J511" s="5" t="s">
        <v>8585</v>
      </c>
      <c r="K511" s="5" t="s">
        <v>8586</v>
      </c>
      <c r="L511" s="6" t="s">
        <v>42</v>
      </c>
      <c r="M511" s="5" t="s">
        <v>995</v>
      </c>
      <c r="N511" s="5" t="s">
        <v>64</v>
      </c>
      <c r="O511" s="5" t="s">
        <v>10053</v>
      </c>
      <c r="P511" s="6">
        <v>4519.0</v>
      </c>
    </row>
    <row r="512" ht="56.25" customHeight="1">
      <c r="A512" s="5" t="s">
        <v>10054</v>
      </c>
      <c r="B512" s="6" t="str">
        <f>IMAGE("https://storage.googleapis.com/acdb/tops/TopsTexTopCoatLKate0.png")</f>
        <v/>
      </c>
      <c r="C512" s="5" t="s">
        <v>10055</v>
      </c>
      <c r="D512" s="8" t="s">
        <v>36</v>
      </c>
      <c r="E512" s="6">
        <v>3900.0</v>
      </c>
      <c r="F512" s="6">
        <v>975.0</v>
      </c>
      <c r="G512" s="5" t="s">
        <v>106</v>
      </c>
      <c r="H512" s="5" t="s">
        <v>54</v>
      </c>
      <c r="I512" s="6" t="s">
        <v>40</v>
      </c>
      <c r="J512" s="5" t="s">
        <v>10058</v>
      </c>
      <c r="K512" s="5"/>
      <c r="L512" s="6" t="s">
        <v>42</v>
      </c>
      <c r="M512" s="5" t="s">
        <v>612</v>
      </c>
      <c r="N512" s="5" t="s">
        <v>64</v>
      </c>
      <c r="O512" s="5" t="s">
        <v>10060</v>
      </c>
      <c r="P512" s="6">
        <v>9876.0</v>
      </c>
    </row>
    <row r="513" ht="56.25" customHeight="1">
      <c r="A513" s="5" t="s">
        <v>10054</v>
      </c>
      <c r="B513" s="6" t="str">
        <f>IMAGE("https://storage.googleapis.com/acdb/tops/TopsTexTopCoatLKate1.png")</f>
        <v/>
      </c>
      <c r="C513" s="5" t="s">
        <v>10061</v>
      </c>
      <c r="D513" s="8" t="s">
        <v>36</v>
      </c>
      <c r="E513" s="6">
        <v>3900.0</v>
      </c>
      <c r="F513" s="6">
        <v>975.0</v>
      </c>
      <c r="G513" s="5" t="s">
        <v>54</v>
      </c>
      <c r="H513" s="5" t="s">
        <v>54</v>
      </c>
      <c r="I513" s="6" t="s">
        <v>40</v>
      </c>
      <c r="J513" s="5" t="s">
        <v>10058</v>
      </c>
      <c r="K513" s="5"/>
      <c r="L513" s="6" t="s">
        <v>42</v>
      </c>
      <c r="M513" s="5" t="s">
        <v>612</v>
      </c>
      <c r="N513" s="5" t="s">
        <v>64</v>
      </c>
      <c r="O513" s="5" t="s">
        <v>10064</v>
      </c>
      <c r="P513" s="6">
        <v>11721.0</v>
      </c>
    </row>
    <row r="514" ht="56.25" customHeight="1">
      <c r="A514" s="5" t="s">
        <v>10054</v>
      </c>
      <c r="B514" s="6" t="str">
        <f>IMAGE("https://storage.googleapis.com/acdb/tops/TopsTexTopCoatLKate2.png")</f>
        <v/>
      </c>
      <c r="C514" s="5" t="s">
        <v>10065</v>
      </c>
      <c r="D514" s="8" t="s">
        <v>36</v>
      </c>
      <c r="E514" s="6">
        <v>3900.0</v>
      </c>
      <c r="F514" s="6">
        <v>975.0</v>
      </c>
      <c r="G514" s="5" t="s">
        <v>52</v>
      </c>
      <c r="H514" s="5" t="s">
        <v>54</v>
      </c>
      <c r="I514" s="6" t="s">
        <v>40</v>
      </c>
      <c r="J514" s="5" t="s">
        <v>10058</v>
      </c>
      <c r="K514" s="5"/>
      <c r="L514" s="6" t="s">
        <v>42</v>
      </c>
      <c r="M514" s="5" t="s">
        <v>612</v>
      </c>
      <c r="N514" s="5" t="s">
        <v>64</v>
      </c>
      <c r="O514" s="5" t="s">
        <v>10067</v>
      </c>
      <c r="P514" s="6">
        <v>11722.0</v>
      </c>
    </row>
    <row r="515" ht="56.25" customHeight="1">
      <c r="A515" s="5" t="s">
        <v>10054</v>
      </c>
      <c r="B515" s="6" t="str">
        <f>IMAGE("https://storage.googleapis.com/acdb/tops/TopsTexTopCoatLKate3.png")</f>
        <v/>
      </c>
      <c r="C515" s="5" t="s">
        <v>10069</v>
      </c>
      <c r="D515" s="8" t="s">
        <v>36</v>
      </c>
      <c r="E515" s="6">
        <v>3900.0</v>
      </c>
      <c r="F515" s="6">
        <v>975.0</v>
      </c>
      <c r="G515" s="5" t="s">
        <v>68</v>
      </c>
      <c r="H515" s="5" t="s">
        <v>54</v>
      </c>
      <c r="I515" s="6" t="s">
        <v>40</v>
      </c>
      <c r="J515" s="5" t="s">
        <v>10058</v>
      </c>
      <c r="K515" s="5"/>
      <c r="L515" s="6" t="s">
        <v>42</v>
      </c>
      <c r="M515" s="5" t="s">
        <v>612</v>
      </c>
      <c r="N515" s="5" t="s">
        <v>64</v>
      </c>
      <c r="O515" s="5" t="s">
        <v>10071</v>
      </c>
      <c r="P515" s="6">
        <v>11723.0</v>
      </c>
    </row>
    <row r="516" ht="56.25" customHeight="1">
      <c r="A516" s="5" t="s">
        <v>10054</v>
      </c>
      <c r="B516" s="6" t="str">
        <f>IMAGE("https://storage.googleapis.com/acdb/tops/TopsTexTopCoatLKate4.png")</f>
        <v/>
      </c>
      <c r="C516" s="5" t="s">
        <v>4665</v>
      </c>
      <c r="D516" s="8" t="s">
        <v>36</v>
      </c>
      <c r="E516" s="6">
        <v>3900.0</v>
      </c>
      <c r="F516" s="6">
        <v>975.0</v>
      </c>
      <c r="G516" s="5" t="s">
        <v>114</v>
      </c>
      <c r="H516" s="5" t="s">
        <v>54</v>
      </c>
      <c r="I516" s="6" t="s">
        <v>40</v>
      </c>
      <c r="J516" s="5" t="s">
        <v>10058</v>
      </c>
      <c r="K516" s="5"/>
      <c r="L516" s="6" t="s">
        <v>42</v>
      </c>
      <c r="M516" s="5" t="s">
        <v>612</v>
      </c>
      <c r="N516" s="5" t="s">
        <v>64</v>
      </c>
      <c r="O516" s="5" t="s">
        <v>10074</v>
      </c>
      <c r="P516" s="6">
        <v>11724.0</v>
      </c>
    </row>
    <row r="517" ht="56.25" customHeight="1">
      <c r="A517" s="5" t="s">
        <v>10054</v>
      </c>
      <c r="B517" s="6" t="str">
        <f>IMAGE("https://storage.googleapis.com/acdb/tops/TopsTexTopCoatLKate5.png")</f>
        <v/>
      </c>
      <c r="C517" s="5" t="s">
        <v>10075</v>
      </c>
      <c r="D517" s="8" t="s">
        <v>36</v>
      </c>
      <c r="E517" s="6">
        <v>3900.0</v>
      </c>
      <c r="F517" s="6">
        <v>975.0</v>
      </c>
      <c r="G517" s="5" t="s">
        <v>69</v>
      </c>
      <c r="H517" s="5" t="s">
        <v>54</v>
      </c>
      <c r="I517" s="6" t="s">
        <v>40</v>
      </c>
      <c r="J517" s="5" t="s">
        <v>10058</v>
      </c>
      <c r="K517" s="5"/>
      <c r="L517" s="6" t="s">
        <v>42</v>
      </c>
      <c r="M517" s="5" t="s">
        <v>612</v>
      </c>
      <c r="N517" s="5" t="s">
        <v>64</v>
      </c>
      <c r="O517" s="5" t="s">
        <v>10078</v>
      </c>
      <c r="P517" s="6">
        <v>11725.0</v>
      </c>
    </row>
    <row r="518" ht="56.25" customHeight="1">
      <c r="A518" s="5" t="s">
        <v>10079</v>
      </c>
      <c r="B518" s="6" t="str">
        <f>IMAGE("https://storage.googleapis.com/acdb/tops/TopsTexTopTshirtsHKate0.png")</f>
        <v/>
      </c>
      <c r="C518" s="5" t="s">
        <v>10055</v>
      </c>
      <c r="D518" s="8" t="s">
        <v>36</v>
      </c>
      <c r="E518" s="6">
        <v>2270.0</v>
      </c>
      <c r="F518" s="6">
        <v>567.0</v>
      </c>
      <c r="G518" s="5" t="s">
        <v>106</v>
      </c>
      <c r="H518" s="5" t="s">
        <v>106</v>
      </c>
      <c r="I518" s="6" t="s">
        <v>40</v>
      </c>
      <c r="J518" s="5" t="s">
        <v>10058</v>
      </c>
      <c r="K518" s="5"/>
      <c r="L518" s="6" t="s">
        <v>42</v>
      </c>
      <c r="M518" s="5" t="s">
        <v>1952</v>
      </c>
      <c r="N518" s="5" t="s">
        <v>64</v>
      </c>
      <c r="O518" s="5" t="s">
        <v>10081</v>
      </c>
      <c r="P518" s="6">
        <v>9875.0</v>
      </c>
    </row>
    <row r="519" ht="56.25" customHeight="1">
      <c r="A519" s="5" t="s">
        <v>10079</v>
      </c>
      <c r="B519" s="6" t="str">
        <f>IMAGE("https://storage.googleapis.com/acdb/tops/TopsTexTopTshirtsHKate1.png")</f>
        <v/>
      </c>
      <c r="C519" s="5" t="s">
        <v>10061</v>
      </c>
      <c r="D519" s="8" t="s">
        <v>36</v>
      </c>
      <c r="E519" s="6">
        <v>2270.0</v>
      </c>
      <c r="F519" s="6">
        <v>567.0</v>
      </c>
      <c r="G519" s="5" t="s">
        <v>54</v>
      </c>
      <c r="H519" s="5" t="s">
        <v>54</v>
      </c>
      <c r="I519" s="6" t="s">
        <v>40</v>
      </c>
      <c r="J519" s="5" t="s">
        <v>10058</v>
      </c>
      <c r="K519" s="5"/>
      <c r="L519" s="6" t="s">
        <v>42</v>
      </c>
      <c r="M519" s="5" t="s">
        <v>1952</v>
      </c>
      <c r="N519" s="5" t="s">
        <v>64</v>
      </c>
      <c r="O519" s="5" t="s">
        <v>10084</v>
      </c>
      <c r="P519" s="6">
        <v>11716.0</v>
      </c>
    </row>
    <row r="520" ht="56.25" customHeight="1">
      <c r="A520" s="5" t="s">
        <v>10079</v>
      </c>
      <c r="B520" s="6" t="str">
        <f>IMAGE("https://storage.googleapis.com/acdb/tops/TopsTexTopTshirtsHKate2.png")</f>
        <v/>
      </c>
      <c r="C520" s="5" t="s">
        <v>10065</v>
      </c>
      <c r="D520" s="8" t="s">
        <v>36</v>
      </c>
      <c r="E520" s="6">
        <v>2270.0</v>
      </c>
      <c r="F520" s="6">
        <v>567.0</v>
      </c>
      <c r="G520" s="5" t="s">
        <v>52</v>
      </c>
      <c r="H520" s="5" t="s">
        <v>52</v>
      </c>
      <c r="I520" s="6" t="s">
        <v>40</v>
      </c>
      <c r="J520" s="5" t="s">
        <v>10058</v>
      </c>
      <c r="K520" s="5"/>
      <c r="L520" s="6" t="s">
        <v>42</v>
      </c>
      <c r="M520" s="5" t="s">
        <v>1952</v>
      </c>
      <c r="N520" s="5" t="s">
        <v>64</v>
      </c>
      <c r="O520" s="5" t="s">
        <v>10088</v>
      </c>
      <c r="P520" s="6">
        <v>11717.0</v>
      </c>
    </row>
    <row r="521" ht="56.25" customHeight="1">
      <c r="A521" s="5" t="s">
        <v>10079</v>
      </c>
      <c r="B521" s="6" t="str">
        <f>IMAGE("https://storage.googleapis.com/acdb/tops/TopsTexTopTshirtsHKate3.png")</f>
        <v/>
      </c>
      <c r="C521" s="5" t="s">
        <v>10069</v>
      </c>
      <c r="D521" s="8" t="s">
        <v>36</v>
      </c>
      <c r="E521" s="6">
        <v>2270.0</v>
      </c>
      <c r="F521" s="6">
        <v>567.0</v>
      </c>
      <c r="G521" s="5" t="s">
        <v>68</v>
      </c>
      <c r="H521" s="5" t="s">
        <v>68</v>
      </c>
      <c r="I521" s="6" t="s">
        <v>40</v>
      </c>
      <c r="J521" s="5" t="s">
        <v>10058</v>
      </c>
      <c r="K521" s="5"/>
      <c r="L521" s="6" t="s">
        <v>42</v>
      </c>
      <c r="M521" s="5" t="s">
        <v>1952</v>
      </c>
      <c r="N521" s="5" t="s">
        <v>64</v>
      </c>
      <c r="O521" s="5" t="s">
        <v>10092</v>
      </c>
      <c r="P521" s="6">
        <v>11718.0</v>
      </c>
    </row>
    <row r="522" ht="56.25" customHeight="1">
      <c r="A522" s="5" t="s">
        <v>10079</v>
      </c>
      <c r="B522" s="6" t="str">
        <f>IMAGE("https://storage.googleapis.com/acdb/tops/TopsTexTopTshirtsHKate4.png")</f>
        <v/>
      </c>
      <c r="C522" s="5" t="s">
        <v>4665</v>
      </c>
      <c r="D522" s="8" t="s">
        <v>36</v>
      </c>
      <c r="E522" s="6">
        <v>2270.0</v>
      </c>
      <c r="F522" s="6">
        <v>567.0</v>
      </c>
      <c r="G522" s="5" t="s">
        <v>114</v>
      </c>
      <c r="H522" s="5" t="s">
        <v>114</v>
      </c>
      <c r="I522" s="6" t="s">
        <v>40</v>
      </c>
      <c r="J522" s="5" t="s">
        <v>10058</v>
      </c>
      <c r="K522" s="5"/>
      <c r="L522" s="6" t="s">
        <v>42</v>
      </c>
      <c r="M522" s="5" t="s">
        <v>1952</v>
      </c>
      <c r="N522" s="5" t="s">
        <v>64</v>
      </c>
      <c r="O522" s="5" t="s">
        <v>10095</v>
      </c>
      <c r="P522" s="6">
        <v>11719.0</v>
      </c>
    </row>
    <row r="523" ht="56.25" customHeight="1">
      <c r="A523" s="5" t="s">
        <v>10079</v>
      </c>
      <c r="B523" s="6" t="str">
        <f>IMAGE("https://storage.googleapis.com/acdb/tops/TopsTexTopTshirtsHKate5.png")</f>
        <v/>
      </c>
      <c r="C523" s="5" t="s">
        <v>10075</v>
      </c>
      <c r="D523" s="8" t="s">
        <v>36</v>
      </c>
      <c r="E523" s="6">
        <v>2270.0</v>
      </c>
      <c r="F523" s="6">
        <v>567.0</v>
      </c>
      <c r="G523" s="5" t="s">
        <v>69</v>
      </c>
      <c r="H523" s="5" t="s">
        <v>69</v>
      </c>
      <c r="I523" s="6" t="s">
        <v>40</v>
      </c>
      <c r="J523" s="5" t="s">
        <v>10058</v>
      </c>
      <c r="K523" s="5"/>
      <c r="L523" s="6" t="s">
        <v>42</v>
      </c>
      <c r="M523" s="5" t="s">
        <v>1952</v>
      </c>
      <c r="N523" s="5" t="s">
        <v>64</v>
      </c>
      <c r="O523" s="5" t="s">
        <v>10099</v>
      </c>
      <c r="P523" s="6">
        <v>11720.0</v>
      </c>
    </row>
    <row r="524" ht="56.25" customHeight="1">
      <c r="A524" s="5" t="s">
        <v>10100</v>
      </c>
      <c r="B524" s="6" t="str">
        <f>IMAGE("https://storage.googleapis.com/acdb/tops/TopsTexTopTshirtsHLace1.png")</f>
        <v/>
      </c>
      <c r="C524" s="5" t="s">
        <v>38</v>
      </c>
      <c r="D524" s="8" t="s">
        <v>36</v>
      </c>
      <c r="E524" s="6">
        <v>850.0</v>
      </c>
      <c r="F524" s="6">
        <v>212.0</v>
      </c>
      <c r="G524" s="5" t="s">
        <v>38</v>
      </c>
      <c r="H524" s="5" t="s">
        <v>38</v>
      </c>
      <c r="I524" s="6" t="s">
        <v>40</v>
      </c>
      <c r="J524" s="5" t="s">
        <v>8585</v>
      </c>
      <c r="K524" s="5" t="s">
        <v>8632</v>
      </c>
      <c r="L524" s="6" t="s">
        <v>42</v>
      </c>
      <c r="M524" s="5" t="s">
        <v>1059</v>
      </c>
      <c r="N524" s="5" t="s">
        <v>64</v>
      </c>
      <c r="O524" s="5" t="s">
        <v>10103</v>
      </c>
      <c r="P524" s="6">
        <v>8581.0</v>
      </c>
    </row>
    <row r="525" ht="56.25" customHeight="1">
      <c r="A525" s="5" t="s">
        <v>10100</v>
      </c>
      <c r="B525" s="6" t="str">
        <f>IMAGE("https://storage.googleapis.com/acdb/tops/TopsTexTopTshirtsHLace0.png")</f>
        <v/>
      </c>
      <c r="C525" s="5" t="s">
        <v>54</v>
      </c>
      <c r="D525" s="8" t="s">
        <v>36</v>
      </c>
      <c r="E525" s="6">
        <v>850.0</v>
      </c>
      <c r="F525" s="6">
        <v>212.0</v>
      </c>
      <c r="G525" s="5" t="s">
        <v>54</v>
      </c>
      <c r="H525" s="5" t="s">
        <v>54</v>
      </c>
      <c r="I525" s="6" t="s">
        <v>40</v>
      </c>
      <c r="J525" s="5" t="s">
        <v>8585</v>
      </c>
      <c r="K525" s="5" t="s">
        <v>8632</v>
      </c>
      <c r="L525" s="6" t="s">
        <v>42</v>
      </c>
      <c r="M525" s="5" t="s">
        <v>1059</v>
      </c>
      <c r="N525" s="5" t="s">
        <v>64</v>
      </c>
      <c r="O525" s="5" t="s">
        <v>10107</v>
      </c>
      <c r="P525" s="6">
        <v>3811.0</v>
      </c>
    </row>
    <row r="526" ht="56.25" customHeight="1">
      <c r="A526" s="5" t="s">
        <v>10108</v>
      </c>
      <c r="B526" s="6" t="str">
        <f>IMAGE("https://storage.googleapis.com/acdb/tops/TopsTexTopTshirtsNCamisolelace3.png")</f>
        <v/>
      </c>
      <c r="C526" s="5" t="s">
        <v>96</v>
      </c>
      <c r="D526" s="8" t="s">
        <v>36</v>
      </c>
      <c r="E526" s="6">
        <v>850.0</v>
      </c>
      <c r="F526" s="6">
        <v>212.0</v>
      </c>
      <c r="G526" s="5" t="s">
        <v>96</v>
      </c>
      <c r="H526" s="5" t="s">
        <v>96</v>
      </c>
      <c r="I526" s="6" t="s">
        <v>40</v>
      </c>
      <c r="J526" s="5" t="s">
        <v>8585</v>
      </c>
      <c r="K526" s="5" t="s">
        <v>8632</v>
      </c>
      <c r="L526" s="6" t="s">
        <v>42</v>
      </c>
      <c r="M526" s="5" t="s">
        <v>1959</v>
      </c>
      <c r="N526" s="5" t="s">
        <v>64</v>
      </c>
      <c r="O526" s="5" t="s">
        <v>10112</v>
      </c>
      <c r="P526" s="6">
        <v>8080.0</v>
      </c>
    </row>
    <row r="527" ht="56.25" customHeight="1">
      <c r="A527" s="5" t="s">
        <v>10108</v>
      </c>
      <c r="B527" s="6" t="str">
        <f>IMAGE("https://storage.googleapis.com/acdb/tops/TopsTexTopTshirtsNCamisolelace4.png")</f>
        <v/>
      </c>
      <c r="C527" s="5" t="s">
        <v>106</v>
      </c>
      <c r="D527" s="8" t="s">
        <v>36</v>
      </c>
      <c r="E527" s="6">
        <v>850.0</v>
      </c>
      <c r="F527" s="6">
        <v>212.0</v>
      </c>
      <c r="G527" s="5" t="s">
        <v>106</v>
      </c>
      <c r="H527" s="5" t="s">
        <v>106</v>
      </c>
      <c r="I527" s="6" t="s">
        <v>40</v>
      </c>
      <c r="J527" s="5" t="s">
        <v>8585</v>
      </c>
      <c r="K527" s="5" t="s">
        <v>8632</v>
      </c>
      <c r="L527" s="6" t="s">
        <v>42</v>
      </c>
      <c r="M527" s="5" t="s">
        <v>1959</v>
      </c>
      <c r="N527" s="5" t="s">
        <v>64</v>
      </c>
      <c r="O527" s="5" t="s">
        <v>10116</v>
      </c>
      <c r="P527" s="6">
        <v>8081.0</v>
      </c>
    </row>
    <row r="528" ht="56.25" customHeight="1">
      <c r="A528" s="5" t="s">
        <v>10108</v>
      </c>
      <c r="B528" s="6" t="str">
        <f>IMAGE("https://storage.googleapis.com/acdb/tops/TopsTexTopTshirtsNCamisolelace0.png")</f>
        <v/>
      </c>
      <c r="C528" s="5" t="s">
        <v>57</v>
      </c>
      <c r="D528" s="8" t="s">
        <v>36</v>
      </c>
      <c r="E528" s="6">
        <v>850.0</v>
      </c>
      <c r="F528" s="6">
        <v>212.0</v>
      </c>
      <c r="G528" s="5" t="s">
        <v>57</v>
      </c>
      <c r="H528" s="5" t="s">
        <v>57</v>
      </c>
      <c r="I528" s="6" t="s">
        <v>40</v>
      </c>
      <c r="J528" s="5" t="s">
        <v>8585</v>
      </c>
      <c r="K528" s="5" t="s">
        <v>8632</v>
      </c>
      <c r="L528" s="6" t="s">
        <v>42</v>
      </c>
      <c r="M528" s="5" t="s">
        <v>1959</v>
      </c>
      <c r="N528" s="5" t="s">
        <v>64</v>
      </c>
      <c r="O528" s="5" t="s">
        <v>10122</v>
      </c>
      <c r="P528" s="6">
        <v>3239.0</v>
      </c>
    </row>
    <row r="529" ht="56.25" customHeight="1">
      <c r="A529" s="5" t="s">
        <v>10108</v>
      </c>
      <c r="B529" s="6" t="str">
        <f>IMAGE("https://storage.googleapis.com/acdb/tops/TopsTexTopTshirtsNCamisolelace1.png")</f>
        <v/>
      </c>
      <c r="C529" s="5" t="s">
        <v>69</v>
      </c>
      <c r="D529" s="8" t="s">
        <v>36</v>
      </c>
      <c r="E529" s="6">
        <v>850.0</v>
      </c>
      <c r="F529" s="6">
        <v>212.0</v>
      </c>
      <c r="G529" s="5" t="s">
        <v>69</v>
      </c>
      <c r="H529" s="5" t="s">
        <v>69</v>
      </c>
      <c r="I529" s="6" t="s">
        <v>40</v>
      </c>
      <c r="J529" s="5" t="s">
        <v>8585</v>
      </c>
      <c r="K529" s="5" t="s">
        <v>8632</v>
      </c>
      <c r="L529" s="6" t="s">
        <v>42</v>
      </c>
      <c r="M529" s="5" t="s">
        <v>1959</v>
      </c>
      <c r="N529" s="5" t="s">
        <v>64</v>
      </c>
      <c r="O529" s="5" t="s">
        <v>10129</v>
      </c>
      <c r="P529" s="6">
        <v>8078.0</v>
      </c>
    </row>
    <row r="530" ht="56.25" customHeight="1">
      <c r="A530" s="5" t="s">
        <v>10108</v>
      </c>
      <c r="B530" s="6" t="str">
        <f>IMAGE("https://storage.googleapis.com/acdb/tops/TopsTexTopTshirtsNCamisolelace2.png")</f>
        <v/>
      </c>
      <c r="C530" s="5" t="s">
        <v>114</v>
      </c>
      <c r="D530" s="8" t="s">
        <v>36</v>
      </c>
      <c r="E530" s="6">
        <v>850.0</v>
      </c>
      <c r="F530" s="6">
        <v>212.0</v>
      </c>
      <c r="G530" s="5" t="s">
        <v>114</v>
      </c>
      <c r="H530" s="5" t="s">
        <v>114</v>
      </c>
      <c r="I530" s="6" t="s">
        <v>40</v>
      </c>
      <c r="J530" s="5" t="s">
        <v>8585</v>
      </c>
      <c r="K530" s="5" t="s">
        <v>8632</v>
      </c>
      <c r="L530" s="6" t="s">
        <v>42</v>
      </c>
      <c r="M530" s="5" t="s">
        <v>1959</v>
      </c>
      <c r="N530" s="5" t="s">
        <v>64</v>
      </c>
      <c r="O530" s="5" t="s">
        <v>10132</v>
      </c>
      <c r="P530" s="6">
        <v>8079.0</v>
      </c>
    </row>
    <row r="531" ht="56.25" customHeight="1">
      <c r="A531" s="5" t="s">
        <v>10133</v>
      </c>
      <c r="B531" s="6" t="str">
        <f>IMAGE("https://storage.googleapis.com/acdb/tops/TopsTexTopTshirtsLLayeredtshirts2.png")</f>
        <v/>
      </c>
      <c r="C531" s="5" t="s">
        <v>96</v>
      </c>
      <c r="D531" s="8" t="s">
        <v>36</v>
      </c>
      <c r="E531" s="6">
        <v>800.0</v>
      </c>
      <c r="F531" s="6">
        <v>200.0</v>
      </c>
      <c r="G531" s="5" t="s">
        <v>96</v>
      </c>
      <c r="H531" s="5" t="s">
        <v>57</v>
      </c>
      <c r="I531" s="6" t="s">
        <v>40</v>
      </c>
      <c r="J531" s="5" t="s">
        <v>8585</v>
      </c>
      <c r="K531" s="5" t="s">
        <v>8632</v>
      </c>
      <c r="L531" s="6" t="s">
        <v>42</v>
      </c>
      <c r="M531" s="5" t="s">
        <v>995</v>
      </c>
      <c r="N531" s="5" t="s">
        <v>64</v>
      </c>
      <c r="O531" s="5" t="s">
        <v>10137</v>
      </c>
      <c r="P531" s="6">
        <v>8550.0</v>
      </c>
    </row>
    <row r="532" ht="56.25" customHeight="1">
      <c r="A532" s="5" t="s">
        <v>10133</v>
      </c>
      <c r="B532" s="6" t="str">
        <f>IMAGE("https://storage.googleapis.com/acdb/tops/TopsTexTopTshirtsLLayeredtshirts3.png")</f>
        <v/>
      </c>
      <c r="C532" s="5" t="s">
        <v>142</v>
      </c>
      <c r="D532" s="8" t="s">
        <v>36</v>
      </c>
      <c r="E532" s="6">
        <v>800.0</v>
      </c>
      <c r="F532" s="6">
        <v>200.0</v>
      </c>
      <c r="G532" s="5" t="s">
        <v>142</v>
      </c>
      <c r="H532" s="5" t="s">
        <v>57</v>
      </c>
      <c r="I532" s="6" t="s">
        <v>40</v>
      </c>
      <c r="J532" s="5" t="s">
        <v>8585</v>
      </c>
      <c r="K532" s="5" t="s">
        <v>8632</v>
      </c>
      <c r="L532" s="6" t="s">
        <v>42</v>
      </c>
      <c r="M532" s="5" t="s">
        <v>995</v>
      </c>
      <c r="N532" s="5" t="s">
        <v>64</v>
      </c>
      <c r="O532" s="5" t="s">
        <v>10141</v>
      </c>
      <c r="P532" s="6">
        <v>8551.0</v>
      </c>
    </row>
    <row r="533" ht="56.25" customHeight="1">
      <c r="A533" s="5" t="s">
        <v>10133</v>
      </c>
      <c r="B533" s="6" t="str">
        <f>IMAGE("https://storage.googleapis.com/acdb/tops/TopsTexTopTshirtsLLayeredtshirts1.png")</f>
        <v/>
      </c>
      <c r="C533" s="5" t="s">
        <v>57</v>
      </c>
      <c r="D533" s="8" t="s">
        <v>36</v>
      </c>
      <c r="E533" s="6">
        <v>800.0</v>
      </c>
      <c r="F533" s="6">
        <v>200.0</v>
      </c>
      <c r="G533" s="5" t="s">
        <v>57</v>
      </c>
      <c r="H533" s="5" t="s">
        <v>54</v>
      </c>
      <c r="I533" s="6" t="s">
        <v>40</v>
      </c>
      <c r="J533" s="5" t="s">
        <v>8585</v>
      </c>
      <c r="K533" s="5" t="s">
        <v>8632</v>
      </c>
      <c r="L533" s="6" t="s">
        <v>42</v>
      </c>
      <c r="M533" s="5" t="s">
        <v>995</v>
      </c>
      <c r="N533" s="5" t="s">
        <v>64</v>
      </c>
      <c r="O533" s="5" t="s">
        <v>10144</v>
      </c>
      <c r="P533" s="6">
        <v>8549.0</v>
      </c>
    </row>
    <row r="534" ht="56.25" customHeight="1">
      <c r="A534" s="5" t="s">
        <v>10133</v>
      </c>
      <c r="B534" s="6" t="str">
        <f>IMAGE("https://storage.googleapis.com/acdb/tops/TopsTexTopTshirtsLLayeredtshirts0.png")</f>
        <v/>
      </c>
      <c r="C534" s="5" t="s">
        <v>1187</v>
      </c>
      <c r="D534" s="8" t="s">
        <v>36</v>
      </c>
      <c r="E534" s="6">
        <v>800.0</v>
      </c>
      <c r="F534" s="6">
        <v>200.0</v>
      </c>
      <c r="G534" s="5" t="s">
        <v>68</v>
      </c>
      <c r="H534" s="5" t="s">
        <v>54</v>
      </c>
      <c r="I534" s="6" t="s">
        <v>40</v>
      </c>
      <c r="J534" s="5" t="s">
        <v>8585</v>
      </c>
      <c r="K534" s="5" t="s">
        <v>8632</v>
      </c>
      <c r="L534" s="6" t="s">
        <v>42</v>
      </c>
      <c r="M534" s="5" t="s">
        <v>995</v>
      </c>
      <c r="N534" s="5" t="s">
        <v>64</v>
      </c>
      <c r="O534" s="5" t="s">
        <v>10148</v>
      </c>
      <c r="P534" s="6">
        <v>3804.0</v>
      </c>
    </row>
    <row r="535" ht="56.25" customHeight="1">
      <c r="A535" s="5" t="s">
        <v>10149</v>
      </c>
      <c r="B535" s="6" t="str">
        <f>IMAGE("https://storage.googleapis.com/acdb/tops/TopsTexTopTshirtsNCamisole3.png")</f>
        <v/>
      </c>
      <c r="C535" s="5" t="s">
        <v>68</v>
      </c>
      <c r="D535" s="8" t="s">
        <v>36</v>
      </c>
      <c r="E535" s="6">
        <v>800.0</v>
      </c>
      <c r="F535" s="6">
        <v>200.0</v>
      </c>
      <c r="G535" s="5" t="s">
        <v>68</v>
      </c>
      <c r="H535" s="5" t="s">
        <v>68</v>
      </c>
      <c r="I535" s="6" t="s">
        <v>40</v>
      </c>
      <c r="J535" s="5" t="s">
        <v>8585</v>
      </c>
      <c r="K535" s="5" t="s">
        <v>8632</v>
      </c>
      <c r="L535" s="6" t="s">
        <v>42</v>
      </c>
      <c r="M535" s="5" t="s">
        <v>1959</v>
      </c>
      <c r="N535" s="5" t="s">
        <v>64</v>
      </c>
      <c r="O535" s="5" t="s">
        <v>10153</v>
      </c>
      <c r="P535" s="6">
        <v>8070.0</v>
      </c>
    </row>
    <row r="536" ht="56.25" customHeight="1">
      <c r="A536" s="5" t="s">
        <v>10149</v>
      </c>
      <c r="B536" s="6" t="str">
        <f>IMAGE("https://storage.googleapis.com/acdb/tops/TopsTexTopTshirtsNCamisole4.png")</f>
        <v/>
      </c>
      <c r="C536" s="5" t="s">
        <v>96</v>
      </c>
      <c r="D536" s="8" t="s">
        <v>36</v>
      </c>
      <c r="E536" s="6">
        <v>800.0</v>
      </c>
      <c r="F536" s="6">
        <v>200.0</v>
      </c>
      <c r="G536" s="5" t="s">
        <v>96</v>
      </c>
      <c r="H536" s="5" t="s">
        <v>96</v>
      </c>
      <c r="I536" s="6" t="s">
        <v>40</v>
      </c>
      <c r="J536" s="5" t="s">
        <v>8585</v>
      </c>
      <c r="K536" s="5" t="s">
        <v>8632</v>
      </c>
      <c r="L536" s="6" t="s">
        <v>42</v>
      </c>
      <c r="M536" s="5" t="s">
        <v>1959</v>
      </c>
      <c r="N536" s="5" t="s">
        <v>64</v>
      </c>
      <c r="O536" s="5" t="s">
        <v>10156</v>
      </c>
      <c r="P536" s="6">
        <v>8071.0</v>
      </c>
    </row>
    <row r="537" ht="56.25" customHeight="1">
      <c r="A537" s="5" t="s">
        <v>10149</v>
      </c>
      <c r="B537" s="6" t="str">
        <f>IMAGE("https://storage.googleapis.com/acdb/tops/TopsTexTopTshirtsNCamisole5.png")</f>
        <v/>
      </c>
      <c r="C537" s="5" t="s">
        <v>83</v>
      </c>
      <c r="D537" s="8" t="s">
        <v>36</v>
      </c>
      <c r="E537" s="6">
        <v>800.0</v>
      </c>
      <c r="F537" s="6">
        <v>200.0</v>
      </c>
      <c r="G537" s="5" t="s">
        <v>83</v>
      </c>
      <c r="H537" s="5" t="s">
        <v>83</v>
      </c>
      <c r="I537" s="6" t="s">
        <v>40</v>
      </c>
      <c r="J537" s="5" t="s">
        <v>8585</v>
      </c>
      <c r="K537" s="5" t="s">
        <v>8632</v>
      </c>
      <c r="L537" s="6" t="s">
        <v>42</v>
      </c>
      <c r="M537" s="5" t="s">
        <v>1959</v>
      </c>
      <c r="N537" s="5" t="s">
        <v>64</v>
      </c>
      <c r="O537" s="5" t="s">
        <v>10158</v>
      </c>
      <c r="P537" s="6">
        <v>8072.0</v>
      </c>
    </row>
    <row r="538" ht="56.25" customHeight="1">
      <c r="A538" s="5" t="s">
        <v>10149</v>
      </c>
      <c r="B538" s="6" t="str">
        <f>IMAGE("https://storage.googleapis.com/acdb/tops/TopsTexTopTshirtsNCamisole6.png")</f>
        <v/>
      </c>
      <c r="C538" s="5" t="s">
        <v>52</v>
      </c>
      <c r="D538" s="8" t="s">
        <v>36</v>
      </c>
      <c r="E538" s="6">
        <v>800.0</v>
      </c>
      <c r="F538" s="6">
        <v>200.0</v>
      </c>
      <c r="G538" s="5" t="s">
        <v>52</v>
      </c>
      <c r="H538" s="5" t="s">
        <v>52</v>
      </c>
      <c r="I538" s="6" t="s">
        <v>40</v>
      </c>
      <c r="J538" s="5" t="s">
        <v>8585</v>
      </c>
      <c r="K538" s="5" t="s">
        <v>8632</v>
      </c>
      <c r="L538" s="6" t="s">
        <v>42</v>
      </c>
      <c r="M538" s="5" t="s">
        <v>1959</v>
      </c>
      <c r="N538" s="5" t="s">
        <v>64</v>
      </c>
      <c r="O538" s="5" t="s">
        <v>10161</v>
      </c>
      <c r="P538" s="6">
        <v>8073.0</v>
      </c>
    </row>
    <row r="539" ht="56.25" customHeight="1">
      <c r="A539" s="5" t="s">
        <v>10149</v>
      </c>
      <c r="B539" s="6" t="str">
        <f>IMAGE("https://storage.googleapis.com/acdb/tops/TopsTexTopTshirtsNCamisole7.png")</f>
        <v/>
      </c>
      <c r="C539" s="5" t="s">
        <v>106</v>
      </c>
      <c r="D539" s="8" t="s">
        <v>36</v>
      </c>
      <c r="E539" s="6">
        <v>800.0</v>
      </c>
      <c r="F539" s="6">
        <v>200.0</v>
      </c>
      <c r="G539" s="5" t="s">
        <v>106</v>
      </c>
      <c r="H539" s="5" t="s">
        <v>106</v>
      </c>
      <c r="I539" s="6" t="s">
        <v>40</v>
      </c>
      <c r="J539" s="5" t="s">
        <v>8585</v>
      </c>
      <c r="K539" s="5" t="s">
        <v>8632</v>
      </c>
      <c r="L539" s="6" t="s">
        <v>42</v>
      </c>
      <c r="M539" s="5" t="s">
        <v>1959</v>
      </c>
      <c r="N539" s="5" t="s">
        <v>64</v>
      </c>
      <c r="O539" s="5" t="s">
        <v>10166</v>
      </c>
      <c r="P539" s="6">
        <v>8074.0</v>
      </c>
    </row>
    <row r="540" ht="56.25" customHeight="1">
      <c r="A540" s="5" t="s">
        <v>10149</v>
      </c>
      <c r="B540" s="6" t="str">
        <f>IMAGE("https://storage.googleapis.com/acdb/tops/TopsTexTopTshirtsNCamisole0.png")</f>
        <v/>
      </c>
      <c r="C540" s="5" t="s">
        <v>114</v>
      </c>
      <c r="D540" s="8" t="s">
        <v>36</v>
      </c>
      <c r="E540" s="6">
        <v>800.0</v>
      </c>
      <c r="F540" s="6">
        <v>200.0</v>
      </c>
      <c r="G540" s="5" t="s">
        <v>114</v>
      </c>
      <c r="H540" s="5" t="s">
        <v>114</v>
      </c>
      <c r="I540" s="6" t="s">
        <v>40</v>
      </c>
      <c r="J540" s="5" t="s">
        <v>8585</v>
      </c>
      <c r="K540" s="5" t="s">
        <v>8632</v>
      </c>
      <c r="L540" s="6" t="s">
        <v>42</v>
      </c>
      <c r="M540" s="5" t="s">
        <v>1959</v>
      </c>
      <c r="N540" s="5" t="s">
        <v>64</v>
      </c>
      <c r="O540" s="5" t="s">
        <v>10169</v>
      </c>
      <c r="P540" s="6">
        <v>2670.0</v>
      </c>
    </row>
    <row r="541" ht="56.25" customHeight="1">
      <c r="A541" s="5" t="s">
        <v>10149</v>
      </c>
      <c r="B541" s="6" t="str">
        <f>IMAGE("https://storage.googleapis.com/acdb/tops/TopsTexTopTshirtsNCamisole1.png")</f>
        <v/>
      </c>
      <c r="C541" s="5" t="s">
        <v>69</v>
      </c>
      <c r="D541" s="8" t="s">
        <v>36</v>
      </c>
      <c r="E541" s="6">
        <v>800.0</v>
      </c>
      <c r="F541" s="6">
        <v>200.0</v>
      </c>
      <c r="G541" s="5" t="s">
        <v>69</v>
      </c>
      <c r="H541" s="5" t="s">
        <v>69</v>
      </c>
      <c r="I541" s="6" t="s">
        <v>40</v>
      </c>
      <c r="J541" s="5" t="s">
        <v>8585</v>
      </c>
      <c r="K541" s="5" t="s">
        <v>8632</v>
      </c>
      <c r="L541" s="6" t="s">
        <v>42</v>
      </c>
      <c r="M541" s="5" t="s">
        <v>1959</v>
      </c>
      <c r="N541" s="5" t="s">
        <v>64</v>
      </c>
      <c r="O541" s="5" t="s">
        <v>10172</v>
      </c>
      <c r="P541" s="6">
        <v>8068.0</v>
      </c>
    </row>
    <row r="542" ht="56.25" customHeight="1">
      <c r="A542" s="5" t="s">
        <v>10149</v>
      </c>
      <c r="B542" s="6" t="str">
        <f>IMAGE("https://storage.googleapis.com/acdb/tops/TopsTexTopTshirtsNCamisole2.png")</f>
        <v/>
      </c>
      <c r="C542" s="5" t="s">
        <v>142</v>
      </c>
      <c r="D542" s="8" t="s">
        <v>36</v>
      </c>
      <c r="E542" s="6">
        <v>800.0</v>
      </c>
      <c r="F542" s="6">
        <v>200.0</v>
      </c>
      <c r="G542" s="5" t="s">
        <v>142</v>
      </c>
      <c r="H542" s="5" t="s">
        <v>142</v>
      </c>
      <c r="I542" s="6" t="s">
        <v>40</v>
      </c>
      <c r="J542" s="5" t="s">
        <v>8585</v>
      </c>
      <c r="K542" s="5" t="s">
        <v>8632</v>
      </c>
      <c r="L542" s="6" t="s">
        <v>42</v>
      </c>
      <c r="M542" s="5" t="s">
        <v>1959</v>
      </c>
      <c r="N542" s="5" t="s">
        <v>64</v>
      </c>
      <c r="O542" s="5" t="s">
        <v>10174</v>
      </c>
      <c r="P542" s="6">
        <v>8069.0</v>
      </c>
    </row>
    <row r="543" ht="56.25" customHeight="1">
      <c r="A543" s="5" t="s">
        <v>10175</v>
      </c>
      <c r="B543" s="6" t="str">
        <f>IMAGE("https://storage.googleapis.com/acdb/tops/TopsTexTopTshirtsHLeopard1.png")</f>
        <v/>
      </c>
      <c r="C543" s="5" t="s">
        <v>69</v>
      </c>
      <c r="D543" s="8" t="s">
        <v>36</v>
      </c>
      <c r="E543" s="6">
        <v>800.0</v>
      </c>
      <c r="F543" s="6">
        <v>200.0</v>
      </c>
      <c r="G543" s="5" t="s">
        <v>69</v>
      </c>
      <c r="H543" s="5" t="s">
        <v>54</v>
      </c>
      <c r="I543" s="6" t="s">
        <v>40</v>
      </c>
      <c r="J543" s="5" t="s">
        <v>8585</v>
      </c>
      <c r="K543" s="5" t="s">
        <v>8632</v>
      </c>
      <c r="L543" s="6" t="s">
        <v>42</v>
      </c>
      <c r="M543" s="5" t="s">
        <v>1952</v>
      </c>
      <c r="N543" s="5" t="s">
        <v>64</v>
      </c>
      <c r="O543" s="5" t="s">
        <v>10178</v>
      </c>
      <c r="P543" s="6">
        <v>8302.0</v>
      </c>
    </row>
    <row r="544" ht="56.25" customHeight="1">
      <c r="A544" s="5" t="s">
        <v>10175</v>
      </c>
      <c r="B544" s="6" t="str">
        <f>IMAGE("https://storage.googleapis.com/acdb/tops/TopsTexTopTshirtsHLeopard2.png")</f>
        <v/>
      </c>
      <c r="C544" s="5" t="s">
        <v>96</v>
      </c>
      <c r="D544" s="8" t="s">
        <v>36</v>
      </c>
      <c r="E544" s="6">
        <v>800.0</v>
      </c>
      <c r="F544" s="6">
        <v>200.0</v>
      </c>
      <c r="G544" s="5" t="s">
        <v>96</v>
      </c>
      <c r="H544" s="5" t="s">
        <v>54</v>
      </c>
      <c r="I544" s="6" t="s">
        <v>40</v>
      </c>
      <c r="J544" s="5" t="s">
        <v>8585</v>
      </c>
      <c r="K544" s="5" t="s">
        <v>8632</v>
      </c>
      <c r="L544" s="6" t="s">
        <v>42</v>
      </c>
      <c r="M544" s="5" t="s">
        <v>1952</v>
      </c>
      <c r="N544" s="5" t="s">
        <v>64</v>
      </c>
      <c r="O544" s="5" t="s">
        <v>10182</v>
      </c>
      <c r="P544" s="6">
        <v>8303.0</v>
      </c>
    </row>
    <row r="545" ht="56.25" customHeight="1">
      <c r="A545" s="5" t="s">
        <v>10175</v>
      </c>
      <c r="B545" s="6" t="str">
        <f>IMAGE("https://storage.googleapis.com/acdb/tops/TopsTexTopTshirtsHLeopard3.png")</f>
        <v/>
      </c>
      <c r="C545" s="5" t="s">
        <v>95</v>
      </c>
      <c r="D545" s="8" t="s">
        <v>36</v>
      </c>
      <c r="E545" s="6">
        <v>800.0</v>
      </c>
      <c r="F545" s="6">
        <v>200.0</v>
      </c>
      <c r="G545" s="5" t="s">
        <v>95</v>
      </c>
      <c r="H545" s="5" t="s">
        <v>54</v>
      </c>
      <c r="I545" s="6" t="s">
        <v>40</v>
      </c>
      <c r="J545" s="5" t="s">
        <v>8585</v>
      </c>
      <c r="K545" s="5" t="s">
        <v>8632</v>
      </c>
      <c r="L545" s="6" t="s">
        <v>42</v>
      </c>
      <c r="M545" s="5" t="s">
        <v>1952</v>
      </c>
      <c r="N545" s="5" t="s">
        <v>64</v>
      </c>
      <c r="O545" s="5" t="s">
        <v>10185</v>
      </c>
      <c r="P545" s="6">
        <v>8304.0</v>
      </c>
    </row>
    <row r="546" ht="56.25" customHeight="1">
      <c r="A546" s="5" t="s">
        <v>10175</v>
      </c>
      <c r="B546" s="6" t="str">
        <f>IMAGE("https://storage.googleapis.com/acdb/tops/TopsTexTopTshirtsHLeopard0.png")</f>
        <v/>
      </c>
      <c r="C546" s="5" t="s">
        <v>114</v>
      </c>
      <c r="D546" s="8" t="s">
        <v>36</v>
      </c>
      <c r="E546" s="6">
        <v>800.0</v>
      </c>
      <c r="F546" s="6">
        <v>200.0</v>
      </c>
      <c r="G546" s="5" t="s">
        <v>114</v>
      </c>
      <c r="H546" s="5" t="s">
        <v>54</v>
      </c>
      <c r="I546" s="6" t="s">
        <v>40</v>
      </c>
      <c r="J546" s="5" t="s">
        <v>8585</v>
      </c>
      <c r="K546" s="5" t="s">
        <v>8632</v>
      </c>
      <c r="L546" s="6" t="s">
        <v>42</v>
      </c>
      <c r="M546" s="5" t="s">
        <v>1952</v>
      </c>
      <c r="N546" s="5" t="s">
        <v>64</v>
      </c>
      <c r="O546" s="5" t="s">
        <v>10187</v>
      </c>
      <c r="P546" s="6">
        <v>8199.0</v>
      </c>
    </row>
    <row r="547" ht="56.25" customHeight="1">
      <c r="A547" s="5" t="s">
        <v>10188</v>
      </c>
      <c r="B547" s="6" t="str">
        <f>IMAGE("https://storage.googleapis.com/acdb/tops/TopsTexTopOuterLStajan1.png")</f>
        <v/>
      </c>
      <c r="C547" s="5" t="s">
        <v>52</v>
      </c>
      <c r="D547" s="8" t="s">
        <v>36</v>
      </c>
      <c r="E547" s="6">
        <v>1080.0</v>
      </c>
      <c r="F547" s="6">
        <v>270.0</v>
      </c>
      <c r="G547" s="5" t="s">
        <v>52</v>
      </c>
      <c r="H547" s="5" t="s">
        <v>57</v>
      </c>
      <c r="I547" s="6" t="s">
        <v>40</v>
      </c>
      <c r="J547" s="5" t="s">
        <v>8585</v>
      </c>
      <c r="K547" s="5" t="s">
        <v>8632</v>
      </c>
      <c r="L547" s="6" t="s">
        <v>42</v>
      </c>
      <c r="M547" s="5" t="s">
        <v>8746</v>
      </c>
      <c r="N547" s="5" t="s">
        <v>64</v>
      </c>
      <c r="O547" s="5" t="s">
        <v>10192</v>
      </c>
      <c r="P547" s="6">
        <v>8305.0</v>
      </c>
    </row>
    <row r="548" ht="56.25" customHeight="1">
      <c r="A548" s="5" t="s">
        <v>10188</v>
      </c>
      <c r="B548" s="6" t="str">
        <f>IMAGE("https://storage.googleapis.com/acdb/tops/TopsTexTopOuterLStajan2.png")</f>
        <v/>
      </c>
      <c r="C548" s="5" t="s">
        <v>96</v>
      </c>
      <c r="D548" s="8" t="s">
        <v>36</v>
      </c>
      <c r="E548" s="6">
        <v>1080.0</v>
      </c>
      <c r="F548" s="6">
        <v>270.0</v>
      </c>
      <c r="G548" s="5" t="s">
        <v>96</v>
      </c>
      <c r="H548" s="5" t="s">
        <v>57</v>
      </c>
      <c r="I548" s="6" t="s">
        <v>40</v>
      </c>
      <c r="J548" s="5" t="s">
        <v>8585</v>
      </c>
      <c r="K548" s="5" t="s">
        <v>8632</v>
      </c>
      <c r="L548" s="6" t="s">
        <v>42</v>
      </c>
      <c r="M548" s="5" t="s">
        <v>8746</v>
      </c>
      <c r="N548" s="5" t="s">
        <v>64</v>
      </c>
      <c r="O548" s="5" t="s">
        <v>10196</v>
      </c>
      <c r="P548" s="6">
        <v>8306.0</v>
      </c>
    </row>
    <row r="549" ht="56.25" customHeight="1">
      <c r="A549" s="5" t="s">
        <v>10188</v>
      </c>
      <c r="B549" s="6" t="str">
        <f>IMAGE("https://storage.googleapis.com/acdb/tops/TopsTexTopOuterLStajan3.png")</f>
        <v/>
      </c>
      <c r="C549" s="5" t="s">
        <v>38</v>
      </c>
      <c r="D549" s="8" t="s">
        <v>36</v>
      </c>
      <c r="E549" s="6">
        <v>1080.0</v>
      </c>
      <c r="F549" s="6">
        <v>270.0</v>
      </c>
      <c r="G549" s="5" t="s">
        <v>38</v>
      </c>
      <c r="H549" s="5" t="s">
        <v>57</v>
      </c>
      <c r="I549" s="6" t="s">
        <v>40</v>
      </c>
      <c r="J549" s="5" t="s">
        <v>8585</v>
      </c>
      <c r="K549" s="5" t="s">
        <v>8632</v>
      </c>
      <c r="L549" s="6" t="s">
        <v>42</v>
      </c>
      <c r="M549" s="5" t="s">
        <v>8746</v>
      </c>
      <c r="N549" s="5" t="s">
        <v>64</v>
      </c>
      <c r="O549" s="5" t="s">
        <v>10199</v>
      </c>
      <c r="P549" s="6">
        <v>8307.0</v>
      </c>
    </row>
    <row r="550" ht="56.25" customHeight="1">
      <c r="A550" s="5" t="s">
        <v>10188</v>
      </c>
      <c r="B550" s="6" t="str">
        <f>IMAGE("https://storage.googleapis.com/acdb/tops/TopsTexTopOuterLStajan0.png")</f>
        <v/>
      </c>
      <c r="C550" s="5" t="s">
        <v>68</v>
      </c>
      <c r="D550" s="8" t="s">
        <v>36</v>
      </c>
      <c r="E550" s="6">
        <v>1080.0</v>
      </c>
      <c r="F550" s="6">
        <v>270.0</v>
      </c>
      <c r="G550" s="5" t="s">
        <v>68</v>
      </c>
      <c r="H550" s="5" t="s">
        <v>57</v>
      </c>
      <c r="I550" s="6" t="s">
        <v>40</v>
      </c>
      <c r="J550" s="5" t="s">
        <v>8585</v>
      </c>
      <c r="K550" s="5" t="s">
        <v>8632</v>
      </c>
      <c r="L550" s="6" t="s">
        <v>42</v>
      </c>
      <c r="M550" s="5" t="s">
        <v>8746</v>
      </c>
      <c r="N550" s="5" t="s">
        <v>64</v>
      </c>
      <c r="O550" s="5" t="s">
        <v>10201</v>
      </c>
      <c r="P550" s="6">
        <v>2401.0</v>
      </c>
    </row>
    <row r="551" ht="56.25" customHeight="1">
      <c r="A551" s="5" t="s">
        <v>10202</v>
      </c>
      <c r="B551" s="6" t="str">
        <f>IMAGE("https://storage.googleapis.com/acdb/tops/TopsTexTopYshirtsHMadras0.png")</f>
        <v/>
      </c>
      <c r="C551" s="5" t="s">
        <v>96</v>
      </c>
      <c r="D551" s="8" t="s">
        <v>36</v>
      </c>
      <c r="E551" s="6">
        <v>1120.0</v>
      </c>
      <c r="F551" s="6">
        <v>280.0</v>
      </c>
      <c r="G551" s="5" t="s">
        <v>96</v>
      </c>
      <c r="H551" s="5" t="s">
        <v>142</v>
      </c>
      <c r="I551" s="6" t="s">
        <v>40</v>
      </c>
      <c r="J551" s="5" t="s">
        <v>8585</v>
      </c>
      <c r="K551" s="5" t="s">
        <v>8632</v>
      </c>
      <c r="L551" s="6" t="s">
        <v>42</v>
      </c>
      <c r="M551" s="5" t="s">
        <v>8746</v>
      </c>
      <c r="N551" s="5" t="s">
        <v>64</v>
      </c>
      <c r="O551" s="5" t="s">
        <v>10206</v>
      </c>
      <c r="P551" s="6">
        <v>4615.0</v>
      </c>
    </row>
    <row r="552" ht="56.25" customHeight="1">
      <c r="A552" s="5" t="s">
        <v>10202</v>
      </c>
      <c r="B552" s="6" t="str">
        <f>IMAGE("https://storage.googleapis.com/acdb/tops/TopsTexTopYshirtsHMadras1.png")</f>
        <v/>
      </c>
      <c r="C552" s="5" t="s">
        <v>68</v>
      </c>
      <c r="D552" s="8" t="s">
        <v>36</v>
      </c>
      <c r="E552" s="6">
        <v>1120.0</v>
      </c>
      <c r="F552" s="6">
        <v>280.0</v>
      </c>
      <c r="G552" s="5" t="s">
        <v>68</v>
      </c>
      <c r="H552" s="5" t="s">
        <v>142</v>
      </c>
      <c r="I552" s="6" t="s">
        <v>40</v>
      </c>
      <c r="J552" s="5" t="s">
        <v>8585</v>
      </c>
      <c r="K552" s="5" t="s">
        <v>8632</v>
      </c>
      <c r="L552" s="6" t="s">
        <v>42</v>
      </c>
      <c r="M552" s="5" t="s">
        <v>8746</v>
      </c>
      <c r="N552" s="5" t="s">
        <v>64</v>
      </c>
      <c r="O552" s="5" t="s">
        <v>10208</v>
      </c>
      <c r="P552" s="6">
        <v>8963.0</v>
      </c>
    </row>
    <row r="553" ht="56.25" customHeight="1">
      <c r="A553" s="5" t="s">
        <v>10202</v>
      </c>
      <c r="B553" s="6" t="str">
        <f>IMAGE("https://storage.googleapis.com/acdb/tops/TopsTexTopYshirtsHMadras2.png")</f>
        <v/>
      </c>
      <c r="C553" s="5" t="s">
        <v>52</v>
      </c>
      <c r="D553" s="8" t="s">
        <v>36</v>
      </c>
      <c r="E553" s="6">
        <v>1120.0</v>
      </c>
      <c r="F553" s="6">
        <v>280.0</v>
      </c>
      <c r="G553" s="5" t="s">
        <v>52</v>
      </c>
      <c r="H553" s="5" t="s">
        <v>96</v>
      </c>
      <c r="I553" s="6" t="s">
        <v>40</v>
      </c>
      <c r="J553" s="5" t="s">
        <v>8585</v>
      </c>
      <c r="K553" s="5" t="s">
        <v>8632</v>
      </c>
      <c r="L553" s="6" t="s">
        <v>42</v>
      </c>
      <c r="M553" s="5" t="s">
        <v>8746</v>
      </c>
      <c r="N553" s="5" t="s">
        <v>64</v>
      </c>
      <c r="O553" s="5" t="s">
        <v>10210</v>
      </c>
      <c r="P553" s="6">
        <v>8964.0</v>
      </c>
    </row>
    <row r="554" ht="56.25" customHeight="1">
      <c r="A554" s="5" t="s">
        <v>10202</v>
      </c>
      <c r="B554" s="6" t="str">
        <f>IMAGE("https://storage.googleapis.com/acdb/tops/TopsTexTopYshirtsHMadras3.png")</f>
        <v/>
      </c>
      <c r="C554" s="5" t="s">
        <v>106</v>
      </c>
      <c r="D554" s="8" t="s">
        <v>36</v>
      </c>
      <c r="E554" s="6">
        <v>1120.0</v>
      </c>
      <c r="F554" s="6">
        <v>280.0</v>
      </c>
      <c r="G554" s="5" t="s">
        <v>106</v>
      </c>
      <c r="H554" s="5" t="s">
        <v>114</v>
      </c>
      <c r="I554" s="6" t="s">
        <v>40</v>
      </c>
      <c r="J554" s="5" t="s">
        <v>8585</v>
      </c>
      <c r="K554" s="5" t="s">
        <v>8632</v>
      </c>
      <c r="L554" s="6" t="s">
        <v>42</v>
      </c>
      <c r="M554" s="5" t="s">
        <v>8746</v>
      </c>
      <c r="N554" s="5" t="s">
        <v>64</v>
      </c>
      <c r="O554" s="5" t="s">
        <v>10212</v>
      </c>
      <c r="P554" s="6">
        <v>8965.0</v>
      </c>
    </row>
    <row r="555" ht="56.25" customHeight="1">
      <c r="A555" s="5" t="s">
        <v>10202</v>
      </c>
      <c r="B555" s="6" t="str">
        <f>IMAGE("https://storage.googleapis.com/acdb/tops/TopsTexTopYshirtsHMadras4.png")</f>
        <v/>
      </c>
      <c r="C555" s="5" t="s">
        <v>69</v>
      </c>
      <c r="D555" s="8" t="s">
        <v>36</v>
      </c>
      <c r="E555" s="6">
        <v>1120.0</v>
      </c>
      <c r="F555" s="6">
        <v>280.0</v>
      </c>
      <c r="G555" s="5" t="s">
        <v>69</v>
      </c>
      <c r="H555" s="5" t="s">
        <v>83</v>
      </c>
      <c r="I555" s="6" t="s">
        <v>40</v>
      </c>
      <c r="J555" s="5" t="s">
        <v>8585</v>
      </c>
      <c r="K555" s="5" t="s">
        <v>8632</v>
      </c>
      <c r="L555" s="6" t="s">
        <v>42</v>
      </c>
      <c r="M555" s="5" t="s">
        <v>8746</v>
      </c>
      <c r="N555" s="5" t="s">
        <v>64</v>
      </c>
      <c r="O555" s="5" t="s">
        <v>10215</v>
      </c>
      <c r="P555" s="6">
        <v>8966.0</v>
      </c>
    </row>
    <row r="556" ht="56.25" customHeight="1">
      <c r="A556" s="5" t="s">
        <v>10202</v>
      </c>
      <c r="B556" s="6" t="str">
        <f>IMAGE("https://storage.googleapis.com/acdb/tops/TopsTexTopYshirtsHMadras5.png")</f>
        <v/>
      </c>
      <c r="C556" s="5" t="s">
        <v>95</v>
      </c>
      <c r="D556" s="8" t="s">
        <v>36</v>
      </c>
      <c r="E556" s="6">
        <v>1120.0</v>
      </c>
      <c r="F556" s="6">
        <v>280.0</v>
      </c>
      <c r="G556" s="5" t="s">
        <v>95</v>
      </c>
      <c r="H556" s="5" t="s">
        <v>142</v>
      </c>
      <c r="I556" s="6" t="s">
        <v>40</v>
      </c>
      <c r="J556" s="5" t="s">
        <v>8585</v>
      </c>
      <c r="K556" s="5" t="s">
        <v>8632</v>
      </c>
      <c r="L556" s="6" t="s">
        <v>42</v>
      </c>
      <c r="M556" s="5" t="s">
        <v>8746</v>
      </c>
      <c r="N556" s="5" t="s">
        <v>64</v>
      </c>
      <c r="O556" s="5" t="s">
        <v>10216</v>
      </c>
      <c r="P556" s="6">
        <v>8967.0</v>
      </c>
    </row>
    <row r="557" ht="56.25" customHeight="1">
      <c r="A557" s="5" t="s">
        <v>10217</v>
      </c>
      <c r="B557" s="6" t="str">
        <f>IMAGE("https://storage.googleapis.com/acdb/tops/TopsTexTopTshirtsHMarbledot0.png")</f>
        <v/>
      </c>
      <c r="C557" s="5" t="s">
        <v>54</v>
      </c>
      <c r="D557" s="8" t="s">
        <v>36</v>
      </c>
      <c r="E557" s="6">
        <v>640.0</v>
      </c>
      <c r="F557" s="6">
        <v>160.0</v>
      </c>
      <c r="G557" s="5" t="s">
        <v>54</v>
      </c>
      <c r="H557" s="5" t="s">
        <v>58</v>
      </c>
      <c r="I557" s="6" t="s">
        <v>40</v>
      </c>
      <c r="J557" s="5" t="s">
        <v>8585</v>
      </c>
      <c r="K557" s="5" t="s">
        <v>8632</v>
      </c>
      <c r="L557" s="6" t="s">
        <v>42</v>
      </c>
      <c r="M557" s="5" t="s">
        <v>8746</v>
      </c>
      <c r="N557" s="5" t="s">
        <v>64</v>
      </c>
      <c r="O557" s="5" t="s">
        <v>10220</v>
      </c>
      <c r="P557" s="6">
        <v>8202.0</v>
      </c>
    </row>
    <row r="558" ht="56.25" customHeight="1">
      <c r="A558" s="5" t="s">
        <v>10217</v>
      </c>
      <c r="B558" s="6" t="str">
        <f>IMAGE("https://storage.googleapis.com/acdb/tops/TopsTexTopTshirtsHMarbledot1.png")</f>
        <v/>
      </c>
      <c r="C558" s="5" t="s">
        <v>57</v>
      </c>
      <c r="D558" s="8" t="s">
        <v>36</v>
      </c>
      <c r="E558" s="6">
        <v>640.0</v>
      </c>
      <c r="F558" s="6">
        <v>160.0</v>
      </c>
      <c r="G558" s="5" t="s">
        <v>57</v>
      </c>
      <c r="H558" s="5" t="s">
        <v>58</v>
      </c>
      <c r="I558" s="6" t="s">
        <v>40</v>
      </c>
      <c r="J558" s="5" t="s">
        <v>8585</v>
      </c>
      <c r="K558" s="5" t="s">
        <v>8632</v>
      </c>
      <c r="L558" s="6" t="s">
        <v>42</v>
      </c>
      <c r="M558" s="5" t="s">
        <v>8746</v>
      </c>
      <c r="N558" s="5" t="s">
        <v>64</v>
      </c>
      <c r="O558" s="5" t="s">
        <v>10223</v>
      </c>
      <c r="P558" s="6">
        <v>8296.0</v>
      </c>
    </row>
    <row r="559" ht="56.25" customHeight="1">
      <c r="A559" s="5" t="s">
        <v>10224</v>
      </c>
      <c r="B559" s="6" t="str">
        <f>IMAGE("https://storage.googleapis.com/acdb/tops/TopsTexTopTshirtsHMeme1.png")</f>
        <v/>
      </c>
      <c r="C559" s="5" t="s">
        <v>68</v>
      </c>
      <c r="D559" s="8" t="s">
        <v>36</v>
      </c>
      <c r="E559" s="6">
        <v>960.0</v>
      </c>
      <c r="F559" s="6">
        <v>240.0</v>
      </c>
      <c r="G559" s="5" t="s">
        <v>68</v>
      </c>
      <c r="H559" s="5" t="s">
        <v>96</v>
      </c>
      <c r="I559" s="6" t="s">
        <v>40</v>
      </c>
      <c r="J559" s="5" t="s">
        <v>8585</v>
      </c>
      <c r="K559" s="5" t="s">
        <v>8586</v>
      </c>
      <c r="L559" s="6" t="s">
        <v>42</v>
      </c>
      <c r="M559" s="5" t="s">
        <v>1952</v>
      </c>
      <c r="N559" s="5" t="s">
        <v>64</v>
      </c>
      <c r="O559" s="5" t="s">
        <v>10228</v>
      </c>
      <c r="P559" s="6">
        <v>8430.0</v>
      </c>
    </row>
    <row r="560" ht="56.25" customHeight="1">
      <c r="A560" s="5" t="s">
        <v>10224</v>
      </c>
      <c r="B560" s="6" t="str">
        <f>IMAGE("https://storage.googleapis.com/acdb/tops/TopsTexTopTshirtsHMeme2.png")</f>
        <v/>
      </c>
      <c r="C560" s="5" t="s">
        <v>96</v>
      </c>
      <c r="D560" s="8" t="s">
        <v>36</v>
      </c>
      <c r="E560" s="6">
        <v>960.0</v>
      </c>
      <c r="F560" s="6">
        <v>240.0</v>
      </c>
      <c r="G560" s="5" t="s">
        <v>96</v>
      </c>
      <c r="H560" s="5" t="s">
        <v>54</v>
      </c>
      <c r="I560" s="6" t="s">
        <v>40</v>
      </c>
      <c r="J560" s="5" t="s">
        <v>8585</v>
      </c>
      <c r="K560" s="5" t="s">
        <v>8586</v>
      </c>
      <c r="L560" s="6" t="s">
        <v>42</v>
      </c>
      <c r="M560" s="5" t="s">
        <v>1952</v>
      </c>
      <c r="N560" s="5" t="s">
        <v>64</v>
      </c>
      <c r="O560" s="5" t="s">
        <v>10230</v>
      </c>
      <c r="P560" s="6">
        <v>8431.0</v>
      </c>
    </row>
    <row r="561" ht="56.25" customHeight="1">
      <c r="A561" s="5" t="s">
        <v>10224</v>
      </c>
      <c r="B561" s="6" t="str">
        <f>IMAGE("https://storage.googleapis.com/acdb/tops/TopsTexTopTshirtsHMeme0.png")</f>
        <v/>
      </c>
      <c r="C561" s="5" t="s">
        <v>106</v>
      </c>
      <c r="D561" s="8" t="s">
        <v>36</v>
      </c>
      <c r="E561" s="6">
        <v>960.0</v>
      </c>
      <c r="F561" s="6">
        <v>240.0</v>
      </c>
      <c r="G561" s="5" t="s">
        <v>106</v>
      </c>
      <c r="H561" s="5" t="s">
        <v>96</v>
      </c>
      <c r="I561" s="6" t="s">
        <v>40</v>
      </c>
      <c r="J561" s="5" t="s">
        <v>8585</v>
      </c>
      <c r="K561" s="5" t="s">
        <v>8586</v>
      </c>
      <c r="L561" s="6" t="s">
        <v>42</v>
      </c>
      <c r="M561" s="5" t="s">
        <v>1952</v>
      </c>
      <c r="N561" s="5" t="s">
        <v>64</v>
      </c>
      <c r="O561" s="5" t="s">
        <v>10233</v>
      </c>
      <c r="P561" s="6">
        <v>4717.0</v>
      </c>
    </row>
    <row r="562" ht="56.25" customHeight="1">
      <c r="A562" s="5" t="s">
        <v>10224</v>
      </c>
      <c r="B562" s="6" t="str">
        <f>IMAGE("https://storage.googleapis.com/acdb/tops/TopsTexTopTshirtsHMeme3.png")</f>
        <v/>
      </c>
      <c r="C562" s="5" t="s">
        <v>52</v>
      </c>
      <c r="D562" s="8" t="s">
        <v>36</v>
      </c>
      <c r="E562" s="6">
        <v>960.0</v>
      </c>
      <c r="F562" s="6">
        <v>240.0</v>
      </c>
      <c r="G562" s="5" t="s">
        <v>52</v>
      </c>
      <c r="H562" s="5" t="s">
        <v>69</v>
      </c>
      <c r="I562" s="6" t="s">
        <v>40</v>
      </c>
      <c r="J562" s="5" t="s">
        <v>8585</v>
      </c>
      <c r="K562" s="5" t="s">
        <v>8586</v>
      </c>
      <c r="L562" s="6" t="s">
        <v>42</v>
      </c>
      <c r="M562" s="5" t="s">
        <v>1952</v>
      </c>
      <c r="N562" s="5" t="s">
        <v>64</v>
      </c>
      <c r="O562" s="5" t="s">
        <v>10236</v>
      </c>
      <c r="P562" s="6">
        <v>8432.0</v>
      </c>
    </row>
    <row r="563" ht="56.25" customHeight="1">
      <c r="A563" s="5" t="s">
        <v>10237</v>
      </c>
      <c r="B563" s="6" t="str">
        <f>IMAGE("https://storage.googleapis.com/acdb/tops/TopsTexTopCoatLInfantry0.png")</f>
        <v/>
      </c>
      <c r="C563" s="5" t="s">
        <v>52</v>
      </c>
      <c r="D563" s="8" t="s">
        <v>36</v>
      </c>
      <c r="E563" s="6">
        <v>3360.0</v>
      </c>
      <c r="F563" s="6">
        <v>840.0</v>
      </c>
      <c r="G563" s="5" t="s">
        <v>52</v>
      </c>
      <c r="H563" s="5" t="s">
        <v>54</v>
      </c>
      <c r="I563" s="6" t="s">
        <v>40</v>
      </c>
      <c r="J563" s="5" t="s">
        <v>8585</v>
      </c>
      <c r="K563" s="5" t="s">
        <v>8586</v>
      </c>
      <c r="L563" s="6" t="s">
        <v>42</v>
      </c>
      <c r="M563" s="5" t="s">
        <v>1059</v>
      </c>
      <c r="N563" s="5" t="s">
        <v>64</v>
      </c>
      <c r="O563" s="5" t="s">
        <v>10238</v>
      </c>
      <c r="P563" s="6">
        <v>3231.0</v>
      </c>
    </row>
    <row r="564" ht="56.25" customHeight="1">
      <c r="A564" s="5" t="s">
        <v>10237</v>
      </c>
      <c r="B564" s="6" t="str">
        <f>IMAGE("https://storage.googleapis.com/acdb/tops/TopsTexTopCoatLInfantry1.png")</f>
        <v/>
      </c>
      <c r="C564" s="5" t="s">
        <v>68</v>
      </c>
      <c r="D564" s="8" t="s">
        <v>36</v>
      </c>
      <c r="E564" s="6">
        <v>3360.0</v>
      </c>
      <c r="F564" s="6">
        <v>840.0</v>
      </c>
      <c r="G564" s="5" t="s">
        <v>68</v>
      </c>
      <c r="H564" s="5" t="s">
        <v>54</v>
      </c>
      <c r="I564" s="6" t="s">
        <v>40</v>
      </c>
      <c r="J564" s="5" t="s">
        <v>8585</v>
      </c>
      <c r="K564" s="5" t="s">
        <v>8586</v>
      </c>
      <c r="L564" s="6" t="s">
        <v>42</v>
      </c>
      <c r="M564" s="5" t="s">
        <v>1059</v>
      </c>
      <c r="N564" s="5" t="s">
        <v>64</v>
      </c>
      <c r="O564" s="5" t="s">
        <v>10241</v>
      </c>
      <c r="P564" s="6">
        <v>7449.0</v>
      </c>
    </row>
    <row r="565" ht="56.25" customHeight="1">
      <c r="A565" s="5" t="s">
        <v>10237</v>
      </c>
      <c r="B565" s="6" t="str">
        <f>IMAGE("https://storage.googleapis.com/acdb/tops/TopsTexTopCoatLInfantry2.png")</f>
        <v/>
      </c>
      <c r="C565" s="5" t="s">
        <v>96</v>
      </c>
      <c r="D565" s="8" t="s">
        <v>36</v>
      </c>
      <c r="E565" s="6">
        <v>3360.0</v>
      </c>
      <c r="F565" s="6">
        <v>840.0</v>
      </c>
      <c r="G565" s="5" t="s">
        <v>96</v>
      </c>
      <c r="H565" s="5" t="s">
        <v>54</v>
      </c>
      <c r="I565" s="6" t="s">
        <v>40</v>
      </c>
      <c r="J565" s="5" t="s">
        <v>8585</v>
      </c>
      <c r="K565" s="5" t="s">
        <v>8586</v>
      </c>
      <c r="L565" s="6" t="s">
        <v>42</v>
      </c>
      <c r="M565" s="5" t="s">
        <v>1059</v>
      </c>
      <c r="N565" s="5" t="s">
        <v>64</v>
      </c>
      <c r="O565" s="5" t="s">
        <v>10244</v>
      </c>
      <c r="P565" s="6">
        <v>7450.0</v>
      </c>
    </row>
    <row r="566" ht="56.25" customHeight="1">
      <c r="A566" s="5" t="s">
        <v>10237</v>
      </c>
      <c r="B566" s="6" t="str">
        <f>IMAGE("https://storage.googleapis.com/acdb/tops/TopsTexTopCoatLInfantry3.png")</f>
        <v/>
      </c>
      <c r="C566" s="5" t="s">
        <v>57</v>
      </c>
      <c r="D566" s="8" t="s">
        <v>36</v>
      </c>
      <c r="E566" s="6">
        <v>3360.0</v>
      </c>
      <c r="F566" s="6">
        <v>840.0</v>
      </c>
      <c r="G566" s="5" t="s">
        <v>57</v>
      </c>
      <c r="H566" s="5" t="s">
        <v>54</v>
      </c>
      <c r="I566" s="6" t="s">
        <v>40</v>
      </c>
      <c r="J566" s="5" t="s">
        <v>8585</v>
      </c>
      <c r="K566" s="5" t="s">
        <v>8586</v>
      </c>
      <c r="L566" s="6" t="s">
        <v>42</v>
      </c>
      <c r="M566" s="5" t="s">
        <v>1059</v>
      </c>
      <c r="N566" s="5" t="s">
        <v>64</v>
      </c>
      <c r="O566" s="5" t="s">
        <v>10247</v>
      </c>
      <c r="P566" s="6">
        <v>7451.0</v>
      </c>
    </row>
    <row r="567" ht="56.25" customHeight="1">
      <c r="A567" s="5" t="s">
        <v>10249</v>
      </c>
      <c r="B567" s="6" t="str">
        <f>IMAGE("https://storage.googleapis.com/acdb/tops/TopsTexTopTshirtsHHaze0.png")</f>
        <v/>
      </c>
      <c r="C567" s="5" t="s">
        <v>34</v>
      </c>
      <c r="D567" s="8" t="s">
        <v>36</v>
      </c>
      <c r="E567" s="6">
        <v>640.0</v>
      </c>
      <c r="F567" s="6">
        <v>160.0</v>
      </c>
      <c r="G567" s="5" t="s">
        <v>96</v>
      </c>
      <c r="H567" s="5" t="s">
        <v>114</v>
      </c>
      <c r="I567" s="6" t="s">
        <v>40</v>
      </c>
      <c r="J567" s="5" t="s">
        <v>8578</v>
      </c>
      <c r="K567" s="5"/>
      <c r="L567" s="6" t="s">
        <v>42</v>
      </c>
      <c r="M567" s="5" t="s">
        <v>1059</v>
      </c>
      <c r="N567" s="5" t="s">
        <v>64</v>
      </c>
      <c r="O567" s="5" t="s">
        <v>10252</v>
      </c>
      <c r="P567" s="6">
        <v>8201.0</v>
      </c>
    </row>
    <row r="568" ht="56.25" customHeight="1">
      <c r="A568" s="5" t="s">
        <v>10253</v>
      </c>
      <c r="B568" s="6" t="str">
        <f>IMAGE("https://storage.googleapis.com/acdb/tops/TopsTexTopCoatLMod1.png")</f>
        <v/>
      </c>
      <c r="C568" s="5" t="s">
        <v>39</v>
      </c>
      <c r="D568" s="8" t="s">
        <v>36</v>
      </c>
      <c r="E568" s="6">
        <v>1680.0</v>
      </c>
      <c r="F568" s="6">
        <v>420.0</v>
      </c>
      <c r="G568" s="5" t="s">
        <v>39</v>
      </c>
      <c r="H568" s="5" t="s">
        <v>39</v>
      </c>
      <c r="I568" s="6" t="s">
        <v>40</v>
      </c>
      <c r="J568" s="5" t="s">
        <v>8585</v>
      </c>
      <c r="K568" s="5" t="s">
        <v>8632</v>
      </c>
      <c r="L568" s="6" t="s">
        <v>42</v>
      </c>
      <c r="M568" s="5" t="s">
        <v>995</v>
      </c>
      <c r="N568" s="5" t="s">
        <v>64</v>
      </c>
      <c r="O568" s="5" t="s">
        <v>10255</v>
      </c>
      <c r="P568" s="6">
        <v>9303.0</v>
      </c>
    </row>
    <row r="569" ht="56.25" customHeight="1">
      <c r="A569" s="5" t="s">
        <v>10253</v>
      </c>
      <c r="B569" s="6" t="str">
        <f>IMAGE("https://storage.googleapis.com/acdb/tops/TopsTexTopCoatLMod0.png")</f>
        <v/>
      </c>
      <c r="C569" s="5" t="s">
        <v>96</v>
      </c>
      <c r="D569" s="8" t="s">
        <v>36</v>
      </c>
      <c r="E569" s="6">
        <v>1680.0</v>
      </c>
      <c r="F569" s="6">
        <v>420.0</v>
      </c>
      <c r="G569" s="5" t="s">
        <v>96</v>
      </c>
      <c r="H569" s="5" t="s">
        <v>96</v>
      </c>
      <c r="I569" s="6" t="s">
        <v>40</v>
      </c>
      <c r="J569" s="5" t="s">
        <v>8585</v>
      </c>
      <c r="K569" s="5" t="s">
        <v>8632</v>
      </c>
      <c r="L569" s="6" t="s">
        <v>42</v>
      </c>
      <c r="M569" s="5" t="s">
        <v>995</v>
      </c>
      <c r="N569" s="5" t="s">
        <v>64</v>
      </c>
      <c r="O569" s="5" t="s">
        <v>10258</v>
      </c>
      <c r="P569" s="6">
        <v>4422.0</v>
      </c>
    </row>
    <row r="570" ht="56.25" customHeight="1">
      <c r="A570" s="5" t="s">
        <v>10259</v>
      </c>
      <c r="B570" s="6" t="str">
        <f>IMAGE("https://storage.googleapis.com/acdb/tops/TopsTexTopOuterLMother1.png")</f>
        <v/>
      </c>
      <c r="C570" s="5" t="s">
        <v>1726</v>
      </c>
      <c r="D570" s="8" t="s">
        <v>36</v>
      </c>
      <c r="E570" s="6" t="s">
        <v>37</v>
      </c>
      <c r="F570" s="6">
        <v>88.0</v>
      </c>
      <c r="G570" s="5" t="s">
        <v>38</v>
      </c>
      <c r="H570" s="5" t="s">
        <v>58</v>
      </c>
      <c r="I570" s="6" t="s">
        <v>40</v>
      </c>
      <c r="J570" s="5" t="s">
        <v>1684</v>
      </c>
      <c r="K570" s="5"/>
      <c r="L570" s="6" t="s">
        <v>42</v>
      </c>
      <c r="M570" s="5" t="s">
        <v>1959</v>
      </c>
      <c r="N570" s="5" t="s">
        <v>48</v>
      </c>
      <c r="O570" s="5" t="s">
        <v>10261</v>
      </c>
      <c r="P570" s="6">
        <v>9614.0</v>
      </c>
    </row>
    <row r="571" ht="56.25" customHeight="1">
      <c r="A571" s="5" t="s">
        <v>10259</v>
      </c>
      <c r="B571" s="6" t="str">
        <f>IMAGE("https://storage.googleapis.com/acdb/tops/TopsTexTopOuterLMother2.png")</f>
        <v/>
      </c>
      <c r="C571" s="5" t="s">
        <v>348</v>
      </c>
      <c r="D571" s="8" t="s">
        <v>36</v>
      </c>
      <c r="E571" s="6" t="s">
        <v>37</v>
      </c>
      <c r="F571" s="6">
        <v>88.0</v>
      </c>
      <c r="G571" s="5" t="s">
        <v>96</v>
      </c>
      <c r="H571" s="5" t="s">
        <v>58</v>
      </c>
      <c r="I571" s="6" t="s">
        <v>40</v>
      </c>
      <c r="J571" s="5" t="s">
        <v>1684</v>
      </c>
      <c r="K571" s="5"/>
      <c r="L571" s="6" t="s">
        <v>42</v>
      </c>
      <c r="M571" s="5" t="s">
        <v>1959</v>
      </c>
      <c r="N571" s="5" t="s">
        <v>48</v>
      </c>
      <c r="O571" s="5" t="s">
        <v>10264</v>
      </c>
      <c r="P571" s="6">
        <v>12141.0</v>
      </c>
    </row>
    <row r="572" ht="56.25" customHeight="1">
      <c r="A572" s="5" t="s">
        <v>10259</v>
      </c>
      <c r="B572" s="6" t="str">
        <f>IMAGE("https://storage.googleapis.com/acdb/tops/TopsTexTopOuterLMother3.png")</f>
        <v/>
      </c>
      <c r="C572" s="5" t="s">
        <v>330</v>
      </c>
      <c r="D572" s="8" t="s">
        <v>36</v>
      </c>
      <c r="E572" s="6" t="s">
        <v>37</v>
      </c>
      <c r="F572" s="6">
        <v>88.0</v>
      </c>
      <c r="G572" s="5" t="s">
        <v>114</v>
      </c>
      <c r="H572" s="5" t="s">
        <v>96</v>
      </c>
      <c r="I572" s="6" t="s">
        <v>40</v>
      </c>
      <c r="J572" s="5" t="s">
        <v>1684</v>
      </c>
      <c r="K572" s="5"/>
      <c r="L572" s="6" t="s">
        <v>42</v>
      </c>
      <c r="M572" s="5" t="s">
        <v>1959</v>
      </c>
      <c r="N572" s="5" t="s">
        <v>48</v>
      </c>
      <c r="O572" s="5" t="s">
        <v>10267</v>
      </c>
      <c r="P572" s="6">
        <v>12142.0</v>
      </c>
    </row>
    <row r="573" ht="56.25" customHeight="1">
      <c r="A573" s="5" t="s">
        <v>10259</v>
      </c>
      <c r="B573" s="6" t="str">
        <f>IMAGE("https://storage.googleapis.com/acdb/tops/TopsTexTopOuterLMother4.png")</f>
        <v/>
      </c>
      <c r="C573" s="5" t="s">
        <v>10268</v>
      </c>
      <c r="D573" s="8" t="s">
        <v>36</v>
      </c>
      <c r="E573" s="6" t="s">
        <v>37</v>
      </c>
      <c r="F573" s="6">
        <v>88.0</v>
      </c>
      <c r="G573" s="5" t="s">
        <v>68</v>
      </c>
      <c r="H573" s="5" t="s">
        <v>39</v>
      </c>
      <c r="I573" s="6" t="s">
        <v>40</v>
      </c>
      <c r="J573" s="5" t="s">
        <v>1684</v>
      </c>
      <c r="K573" s="5"/>
      <c r="L573" s="6" t="s">
        <v>42</v>
      </c>
      <c r="M573" s="5" t="s">
        <v>1959</v>
      </c>
      <c r="N573" s="5" t="s">
        <v>48</v>
      </c>
      <c r="O573" s="5" t="s">
        <v>10270</v>
      </c>
      <c r="P573" s="6">
        <v>12143.0</v>
      </c>
    </row>
    <row r="574" ht="56.25" customHeight="1">
      <c r="A574" s="5" t="s">
        <v>10259</v>
      </c>
      <c r="B574" s="6" t="str">
        <f>IMAGE("https://storage.googleapis.com/acdb/tops/TopsTexTopOuterLMother0.png")</f>
        <v/>
      </c>
      <c r="C574" s="5" t="s">
        <v>10272</v>
      </c>
      <c r="D574" s="8" t="s">
        <v>36</v>
      </c>
      <c r="E574" s="6" t="s">
        <v>37</v>
      </c>
      <c r="F574" s="6">
        <v>88.0</v>
      </c>
      <c r="G574" s="5" t="s">
        <v>142</v>
      </c>
      <c r="H574" s="5" t="s">
        <v>83</v>
      </c>
      <c r="I574" s="6" t="s">
        <v>40</v>
      </c>
      <c r="J574" s="5" t="s">
        <v>1684</v>
      </c>
      <c r="K574" s="5"/>
      <c r="L574" s="6" t="s">
        <v>42</v>
      </c>
      <c r="M574" s="5" t="s">
        <v>1959</v>
      </c>
      <c r="N574" s="5" t="s">
        <v>48</v>
      </c>
      <c r="O574" s="5" t="s">
        <v>10275</v>
      </c>
      <c r="P574" s="6">
        <v>8762.0</v>
      </c>
    </row>
    <row r="575" ht="56.25" customHeight="1">
      <c r="A575" s="5" t="s">
        <v>10259</v>
      </c>
      <c r="B575" s="6" t="str">
        <f>IMAGE("https://storage.googleapis.com/acdb/tops/TopsTexTopOuterLMother5.png")</f>
        <v/>
      </c>
      <c r="C575" s="5" t="s">
        <v>10276</v>
      </c>
      <c r="D575" s="8" t="s">
        <v>36</v>
      </c>
      <c r="E575" s="6" t="s">
        <v>37</v>
      </c>
      <c r="F575" s="6">
        <v>88.0</v>
      </c>
      <c r="G575" s="5" t="s">
        <v>68</v>
      </c>
      <c r="H575" s="5" t="s">
        <v>38</v>
      </c>
      <c r="I575" s="6" t="s">
        <v>40</v>
      </c>
      <c r="J575" s="5" t="s">
        <v>1684</v>
      </c>
      <c r="K575" s="5"/>
      <c r="L575" s="6" t="s">
        <v>42</v>
      </c>
      <c r="M575" s="5" t="s">
        <v>1959</v>
      </c>
      <c r="N575" s="5" t="s">
        <v>48</v>
      </c>
      <c r="O575" s="5" t="s">
        <v>10278</v>
      </c>
      <c r="P575" s="6">
        <v>12144.0</v>
      </c>
    </row>
    <row r="576" ht="56.25" customHeight="1">
      <c r="A576" s="5" t="s">
        <v>10259</v>
      </c>
      <c r="B576" s="6" t="str">
        <f>IMAGE("https://storage.googleapis.com/acdb/tops/TopsTexTopOuterLMother6.png")</f>
        <v/>
      </c>
      <c r="C576" s="5" t="s">
        <v>3539</v>
      </c>
      <c r="D576" s="8" t="s">
        <v>36</v>
      </c>
      <c r="E576" s="6" t="s">
        <v>37</v>
      </c>
      <c r="F576" s="6">
        <v>88.0</v>
      </c>
      <c r="G576" s="5" t="s">
        <v>52</v>
      </c>
      <c r="H576" s="5" t="s">
        <v>58</v>
      </c>
      <c r="I576" s="6" t="s">
        <v>40</v>
      </c>
      <c r="J576" s="5" t="s">
        <v>1684</v>
      </c>
      <c r="K576" s="5"/>
      <c r="L576" s="6" t="s">
        <v>42</v>
      </c>
      <c r="M576" s="5" t="s">
        <v>1959</v>
      </c>
      <c r="N576" s="5" t="s">
        <v>48</v>
      </c>
      <c r="O576" s="5" t="s">
        <v>10281</v>
      </c>
      <c r="P576" s="6">
        <v>12145.0</v>
      </c>
    </row>
    <row r="577" ht="56.25" customHeight="1">
      <c r="A577" s="5" t="s">
        <v>10259</v>
      </c>
      <c r="B577" s="6" t="str">
        <f>IMAGE("https://storage.googleapis.com/acdb/tops/TopsTexTopOuterLMother7.png")</f>
        <v/>
      </c>
      <c r="C577" s="5" t="s">
        <v>10282</v>
      </c>
      <c r="D577" s="8" t="s">
        <v>36</v>
      </c>
      <c r="E577" s="6" t="s">
        <v>37</v>
      </c>
      <c r="F577" s="6">
        <v>88.0</v>
      </c>
      <c r="G577" s="5" t="s">
        <v>69</v>
      </c>
      <c r="H577" s="5" t="s">
        <v>114</v>
      </c>
      <c r="I577" s="6" t="s">
        <v>40</v>
      </c>
      <c r="J577" s="5" t="s">
        <v>1684</v>
      </c>
      <c r="K577" s="5"/>
      <c r="L577" s="6" t="s">
        <v>42</v>
      </c>
      <c r="M577" s="5" t="s">
        <v>1959</v>
      </c>
      <c r="N577" s="5" t="s">
        <v>48</v>
      </c>
      <c r="O577" s="5" t="s">
        <v>10283</v>
      </c>
      <c r="P577" s="6">
        <v>12146.0</v>
      </c>
    </row>
    <row r="578" ht="56.25" customHeight="1">
      <c r="A578" s="5" t="s">
        <v>10285</v>
      </c>
      <c r="B578" s="6" t="str">
        <f>IMAGE("https://storage.googleapis.com/acdb/tops/TopsTexTopCoatLMother6.png")</f>
        <v/>
      </c>
      <c r="C578" s="5" t="s">
        <v>10287</v>
      </c>
      <c r="D578" s="8" t="s">
        <v>36</v>
      </c>
      <c r="E578" s="6" t="s">
        <v>37</v>
      </c>
      <c r="F578" s="6">
        <v>88.0</v>
      </c>
      <c r="G578" s="5" t="s">
        <v>96</v>
      </c>
      <c r="H578" s="5" t="s">
        <v>57</v>
      </c>
      <c r="I578" s="6" t="s">
        <v>40</v>
      </c>
      <c r="J578" s="5" t="s">
        <v>1684</v>
      </c>
      <c r="K578" s="5"/>
      <c r="L578" s="6" t="s">
        <v>42</v>
      </c>
      <c r="M578" s="5" t="s">
        <v>1959</v>
      </c>
      <c r="N578" s="5" t="s">
        <v>48</v>
      </c>
      <c r="O578" s="5" t="s">
        <v>10288</v>
      </c>
      <c r="P578" s="6">
        <v>12159.0</v>
      </c>
    </row>
    <row r="579" ht="56.25" customHeight="1">
      <c r="A579" s="5" t="s">
        <v>10285</v>
      </c>
      <c r="B579" s="6" t="str">
        <f>IMAGE("https://storage.googleapis.com/acdb/tops/TopsTexTopCoatLMother0.png")</f>
        <v/>
      </c>
      <c r="C579" s="5" t="s">
        <v>10272</v>
      </c>
      <c r="D579" s="8" t="s">
        <v>36</v>
      </c>
      <c r="E579" s="6" t="s">
        <v>37</v>
      </c>
      <c r="F579" s="6">
        <v>88.0</v>
      </c>
      <c r="G579" s="5" t="s">
        <v>142</v>
      </c>
      <c r="H579" s="5" t="s">
        <v>114</v>
      </c>
      <c r="I579" s="6" t="s">
        <v>40</v>
      </c>
      <c r="J579" s="5" t="s">
        <v>1684</v>
      </c>
      <c r="K579" s="5"/>
      <c r="L579" s="6" t="s">
        <v>42</v>
      </c>
      <c r="M579" s="5" t="s">
        <v>1959</v>
      </c>
      <c r="N579" s="5" t="s">
        <v>48</v>
      </c>
      <c r="O579" s="5" t="s">
        <v>10292</v>
      </c>
      <c r="P579" s="6">
        <v>8763.0</v>
      </c>
    </row>
    <row r="580" ht="56.25" customHeight="1">
      <c r="A580" s="5" t="s">
        <v>10285</v>
      </c>
      <c r="B580" s="6" t="str">
        <f>IMAGE("https://storage.googleapis.com/acdb/tops/TopsTexTopCoatLMother2.png")</f>
        <v/>
      </c>
      <c r="C580" s="5" t="s">
        <v>10294</v>
      </c>
      <c r="D580" s="8" t="s">
        <v>36</v>
      </c>
      <c r="E580" s="6" t="s">
        <v>37</v>
      </c>
      <c r="F580" s="6">
        <v>88.0</v>
      </c>
      <c r="G580" s="5" t="s">
        <v>96</v>
      </c>
      <c r="H580" s="5" t="s">
        <v>57</v>
      </c>
      <c r="I580" s="6" t="s">
        <v>40</v>
      </c>
      <c r="J580" s="5" t="s">
        <v>1684</v>
      </c>
      <c r="K580" s="5"/>
      <c r="L580" s="6" t="s">
        <v>42</v>
      </c>
      <c r="M580" s="5" t="s">
        <v>1959</v>
      </c>
      <c r="N580" s="5" t="s">
        <v>48</v>
      </c>
      <c r="O580" s="5" t="s">
        <v>10295</v>
      </c>
      <c r="P580" s="6">
        <v>12147.0</v>
      </c>
    </row>
    <row r="581" ht="56.25" customHeight="1">
      <c r="A581" s="5" t="s">
        <v>10285</v>
      </c>
      <c r="B581" s="6" t="str">
        <f>IMAGE("https://storage.googleapis.com/acdb/tops/TopsTexTopCoatLMother7.png")</f>
        <v/>
      </c>
      <c r="C581" s="5" t="s">
        <v>10299</v>
      </c>
      <c r="D581" s="8" t="s">
        <v>36</v>
      </c>
      <c r="E581" s="6" t="s">
        <v>37</v>
      </c>
      <c r="F581" s="6">
        <v>88.0</v>
      </c>
      <c r="G581" s="5" t="s">
        <v>68</v>
      </c>
      <c r="H581" s="5" t="s">
        <v>57</v>
      </c>
      <c r="I581" s="6" t="s">
        <v>40</v>
      </c>
      <c r="J581" s="5" t="s">
        <v>1684</v>
      </c>
      <c r="K581" s="5"/>
      <c r="L581" s="6" t="s">
        <v>42</v>
      </c>
      <c r="M581" s="5" t="s">
        <v>1959</v>
      </c>
      <c r="N581" s="5" t="s">
        <v>48</v>
      </c>
      <c r="O581" s="5" t="s">
        <v>10300</v>
      </c>
      <c r="P581" s="6">
        <v>12160.0</v>
      </c>
    </row>
    <row r="582" ht="56.25" customHeight="1">
      <c r="A582" s="5" t="s">
        <v>10285</v>
      </c>
      <c r="B582" s="6" t="str">
        <f>IMAGE("https://storage.googleapis.com/acdb/tops/TopsTexTopCoatLMother1.png")</f>
        <v/>
      </c>
      <c r="C582" s="5" t="s">
        <v>1726</v>
      </c>
      <c r="D582" s="8" t="s">
        <v>36</v>
      </c>
      <c r="E582" s="6" t="s">
        <v>37</v>
      </c>
      <c r="F582" s="6">
        <v>88.0</v>
      </c>
      <c r="G582" s="5" t="s">
        <v>95</v>
      </c>
      <c r="H582" s="5" t="s">
        <v>57</v>
      </c>
      <c r="I582" s="6" t="s">
        <v>40</v>
      </c>
      <c r="J582" s="5" t="s">
        <v>1684</v>
      </c>
      <c r="K582" s="5"/>
      <c r="L582" s="6" t="s">
        <v>42</v>
      </c>
      <c r="M582" s="5" t="s">
        <v>1959</v>
      </c>
      <c r="N582" s="5" t="s">
        <v>48</v>
      </c>
      <c r="O582" s="5" t="s">
        <v>10302</v>
      </c>
      <c r="P582" s="6">
        <v>9615.0</v>
      </c>
    </row>
    <row r="583" ht="56.25" customHeight="1">
      <c r="A583" s="5" t="s">
        <v>10285</v>
      </c>
      <c r="B583" s="6" t="str">
        <f>IMAGE("https://storage.googleapis.com/acdb/tops/TopsTexTopCoatLMother3.png")</f>
        <v/>
      </c>
      <c r="C583" s="5" t="s">
        <v>3539</v>
      </c>
      <c r="D583" s="8" t="s">
        <v>36</v>
      </c>
      <c r="E583" s="6" t="s">
        <v>37</v>
      </c>
      <c r="F583" s="6">
        <v>88.0</v>
      </c>
      <c r="G583" s="5" t="s">
        <v>58</v>
      </c>
      <c r="H583" s="5" t="s">
        <v>57</v>
      </c>
      <c r="I583" s="6" t="s">
        <v>40</v>
      </c>
      <c r="J583" s="5" t="s">
        <v>1684</v>
      </c>
      <c r="K583" s="5"/>
      <c r="L583" s="6" t="s">
        <v>42</v>
      </c>
      <c r="M583" s="5" t="s">
        <v>1959</v>
      </c>
      <c r="N583" s="5" t="s">
        <v>48</v>
      </c>
      <c r="O583" s="5" t="s">
        <v>10305</v>
      </c>
      <c r="P583" s="6">
        <v>12156.0</v>
      </c>
    </row>
    <row r="584" ht="56.25" customHeight="1">
      <c r="A584" s="5" t="s">
        <v>10285</v>
      </c>
      <c r="B584" s="6" t="str">
        <f>IMAGE("https://storage.googleapis.com/acdb/tops/TopsTexTopCoatLMother4.png")</f>
        <v/>
      </c>
      <c r="C584" s="5" t="s">
        <v>1006</v>
      </c>
      <c r="D584" s="8" t="s">
        <v>36</v>
      </c>
      <c r="E584" s="6" t="s">
        <v>37</v>
      </c>
      <c r="F584" s="6">
        <v>88.0</v>
      </c>
      <c r="G584" s="5" t="s">
        <v>69</v>
      </c>
      <c r="H584" s="5" t="s">
        <v>57</v>
      </c>
      <c r="I584" s="6" t="s">
        <v>40</v>
      </c>
      <c r="J584" s="5" t="s">
        <v>1684</v>
      </c>
      <c r="K584" s="5"/>
      <c r="L584" s="6" t="s">
        <v>42</v>
      </c>
      <c r="M584" s="5" t="s">
        <v>1959</v>
      </c>
      <c r="N584" s="5" t="s">
        <v>48</v>
      </c>
      <c r="O584" s="5" t="s">
        <v>10307</v>
      </c>
      <c r="P584" s="6">
        <v>12157.0</v>
      </c>
    </row>
    <row r="585" ht="56.25" customHeight="1">
      <c r="A585" s="5" t="s">
        <v>10285</v>
      </c>
      <c r="B585" s="6" t="str">
        <f>IMAGE("https://storage.googleapis.com/acdb/tops/TopsTexTopCoatLMother5.png")</f>
        <v/>
      </c>
      <c r="C585" s="5" t="s">
        <v>3400</v>
      </c>
      <c r="D585" s="8" t="s">
        <v>36</v>
      </c>
      <c r="E585" s="6" t="s">
        <v>37</v>
      </c>
      <c r="F585" s="6">
        <v>88.0</v>
      </c>
      <c r="G585" s="5" t="s">
        <v>68</v>
      </c>
      <c r="H585" s="5" t="s">
        <v>95</v>
      </c>
      <c r="I585" s="6" t="s">
        <v>40</v>
      </c>
      <c r="J585" s="5" t="s">
        <v>1684</v>
      </c>
      <c r="K585" s="5"/>
      <c r="L585" s="6" t="s">
        <v>42</v>
      </c>
      <c r="M585" s="5" t="s">
        <v>1959</v>
      </c>
      <c r="N585" s="5" t="s">
        <v>48</v>
      </c>
      <c r="O585" s="5" t="s">
        <v>10309</v>
      </c>
      <c r="P585" s="6">
        <v>12158.0</v>
      </c>
    </row>
    <row r="586" ht="56.25" customHeight="1">
      <c r="A586" s="5" t="s">
        <v>10311</v>
      </c>
      <c r="B586" s="6" t="str">
        <f>IMAGE("https://storage.googleapis.com/acdb/tops/TopsTexTopCoatLMorningcoatBlack.png")</f>
        <v/>
      </c>
      <c r="C586" s="5" t="s">
        <v>34</v>
      </c>
      <c r="D586" s="8" t="s">
        <v>36</v>
      </c>
      <c r="E586" s="6">
        <v>2500.0</v>
      </c>
      <c r="F586" s="6">
        <v>625.0</v>
      </c>
      <c r="G586" s="5" t="s">
        <v>54</v>
      </c>
      <c r="H586" s="5" t="s">
        <v>95</v>
      </c>
      <c r="I586" s="6" t="s">
        <v>40</v>
      </c>
      <c r="J586" s="5" t="s">
        <v>8585</v>
      </c>
      <c r="K586" s="5" t="s">
        <v>8586</v>
      </c>
      <c r="L586" s="6" t="s">
        <v>42</v>
      </c>
      <c r="M586" s="5" t="s">
        <v>1059</v>
      </c>
      <c r="N586" s="5" t="s">
        <v>64</v>
      </c>
      <c r="O586" s="5" t="s">
        <v>10313</v>
      </c>
      <c r="P586" s="6">
        <v>3401.0</v>
      </c>
    </row>
    <row r="587" ht="56.25" customHeight="1">
      <c r="A587" s="5" t="s">
        <v>10314</v>
      </c>
      <c r="B587" s="6" t="str">
        <f>IMAGE("https://storage.googleapis.com/acdb/tops/TopsTexTopYshirtsLMountain1.png")</f>
        <v/>
      </c>
      <c r="C587" s="5" t="s">
        <v>68</v>
      </c>
      <c r="D587" s="8" t="s">
        <v>36</v>
      </c>
      <c r="E587" s="6">
        <v>1400.0</v>
      </c>
      <c r="F587" s="6">
        <v>350.0</v>
      </c>
      <c r="G587" s="5" t="s">
        <v>68</v>
      </c>
      <c r="H587" s="5" t="s">
        <v>68</v>
      </c>
      <c r="I587" s="6" t="s">
        <v>40</v>
      </c>
      <c r="J587" s="5" t="s">
        <v>8585</v>
      </c>
      <c r="K587" s="5" t="s">
        <v>8632</v>
      </c>
      <c r="L587" s="6" t="s">
        <v>42</v>
      </c>
      <c r="M587" s="5" t="s">
        <v>8746</v>
      </c>
      <c r="N587" s="5" t="s">
        <v>64</v>
      </c>
      <c r="O587" s="5" t="s">
        <v>10316</v>
      </c>
      <c r="P587" s="6">
        <v>4155.0</v>
      </c>
    </row>
    <row r="588" ht="56.25" customHeight="1">
      <c r="A588" s="5" t="s">
        <v>10314</v>
      </c>
      <c r="B588" s="6" t="str">
        <f>IMAGE("https://storage.googleapis.com/acdb/tops/TopsTexTopYshirtsLMountain0.png")</f>
        <v/>
      </c>
      <c r="C588" s="5" t="s">
        <v>52</v>
      </c>
      <c r="D588" s="8" t="s">
        <v>36</v>
      </c>
      <c r="E588" s="6">
        <v>1400.0</v>
      </c>
      <c r="F588" s="6">
        <v>350.0</v>
      </c>
      <c r="G588" s="5" t="s">
        <v>52</v>
      </c>
      <c r="H588" s="5" t="s">
        <v>52</v>
      </c>
      <c r="I588" s="6" t="s">
        <v>40</v>
      </c>
      <c r="J588" s="5" t="s">
        <v>8585</v>
      </c>
      <c r="K588" s="5" t="s">
        <v>8632</v>
      </c>
      <c r="L588" s="6" t="s">
        <v>42</v>
      </c>
      <c r="M588" s="5" t="s">
        <v>8746</v>
      </c>
      <c r="N588" s="5" t="s">
        <v>64</v>
      </c>
      <c r="O588" s="5" t="s">
        <v>10319</v>
      </c>
      <c r="P588" s="6">
        <v>3255.0</v>
      </c>
    </row>
    <row r="589" ht="56.25" customHeight="1">
      <c r="A589" s="5" t="s">
        <v>10314</v>
      </c>
      <c r="B589" s="6" t="str">
        <f>IMAGE("https://storage.googleapis.com/acdb/tops/TopsTexTopYshirtsLMountain2.png")</f>
        <v/>
      </c>
      <c r="C589" s="5" t="s">
        <v>96</v>
      </c>
      <c r="D589" s="8" t="s">
        <v>36</v>
      </c>
      <c r="E589" s="6">
        <v>1400.0</v>
      </c>
      <c r="F589" s="6">
        <v>350.0</v>
      </c>
      <c r="G589" s="5" t="s">
        <v>96</v>
      </c>
      <c r="H589" s="5" t="s">
        <v>96</v>
      </c>
      <c r="I589" s="6" t="s">
        <v>40</v>
      </c>
      <c r="J589" s="5" t="s">
        <v>8585</v>
      </c>
      <c r="K589" s="5" t="s">
        <v>8632</v>
      </c>
      <c r="L589" s="6" t="s">
        <v>42</v>
      </c>
      <c r="M589" s="5" t="s">
        <v>8746</v>
      </c>
      <c r="N589" s="5" t="s">
        <v>64</v>
      </c>
      <c r="O589" s="5" t="s">
        <v>10322</v>
      </c>
      <c r="P589" s="6">
        <v>4156.0</v>
      </c>
    </row>
    <row r="590" ht="56.25" customHeight="1">
      <c r="A590" s="5" t="s">
        <v>10314</v>
      </c>
      <c r="B590" s="6" t="str">
        <f>IMAGE("https://storage.googleapis.com/acdb/tops/TopsTexTopYshirtsLMountain3.png")</f>
        <v/>
      </c>
      <c r="C590" s="5" t="s">
        <v>54</v>
      </c>
      <c r="D590" s="8" t="s">
        <v>36</v>
      </c>
      <c r="E590" s="6">
        <v>1400.0</v>
      </c>
      <c r="F590" s="6">
        <v>350.0</v>
      </c>
      <c r="G590" s="5" t="s">
        <v>54</v>
      </c>
      <c r="H590" s="5" t="s">
        <v>54</v>
      </c>
      <c r="I590" s="6" t="s">
        <v>40</v>
      </c>
      <c r="J590" s="5" t="s">
        <v>8585</v>
      </c>
      <c r="K590" s="5" t="s">
        <v>8632</v>
      </c>
      <c r="L590" s="6" t="s">
        <v>42</v>
      </c>
      <c r="M590" s="5" t="s">
        <v>8746</v>
      </c>
      <c r="N590" s="5" t="s">
        <v>64</v>
      </c>
      <c r="O590" s="5" t="s">
        <v>10323</v>
      </c>
      <c r="P590" s="6">
        <v>4157.0</v>
      </c>
    </row>
    <row r="591" ht="56.25" customHeight="1">
      <c r="A591" s="5" t="s">
        <v>10324</v>
      </c>
      <c r="B591" s="6" t="str">
        <f>IMAGE("https://storage.googleapis.com/acdb/tops/TopsTexTopYshirtsLMultivest1.png")</f>
        <v/>
      </c>
      <c r="C591" s="5" t="s">
        <v>95</v>
      </c>
      <c r="D591" s="8" t="s">
        <v>36</v>
      </c>
      <c r="E591" s="6">
        <v>1680.0</v>
      </c>
      <c r="F591" s="6">
        <v>420.0</v>
      </c>
      <c r="G591" s="5" t="s">
        <v>95</v>
      </c>
      <c r="H591" s="5" t="s">
        <v>83</v>
      </c>
      <c r="I591" s="6" t="s">
        <v>40</v>
      </c>
      <c r="J591" s="5" t="s">
        <v>8585</v>
      </c>
      <c r="K591" s="5" t="s">
        <v>8586</v>
      </c>
      <c r="L591" s="6" t="s">
        <v>42</v>
      </c>
      <c r="M591" s="5" t="s">
        <v>995</v>
      </c>
      <c r="N591" s="5" t="s">
        <v>64</v>
      </c>
      <c r="O591" s="5" t="s">
        <v>10328</v>
      </c>
      <c r="P591" s="6">
        <v>8633.0</v>
      </c>
    </row>
    <row r="592" ht="56.25" customHeight="1">
      <c r="A592" s="5" t="s">
        <v>10324</v>
      </c>
      <c r="B592" s="6" t="str">
        <f>IMAGE("https://storage.googleapis.com/acdb/tops/TopsTexTopYshirtsLMultivest2.png")</f>
        <v/>
      </c>
      <c r="C592" s="5" t="s">
        <v>2222</v>
      </c>
      <c r="D592" s="8" t="s">
        <v>36</v>
      </c>
      <c r="E592" s="6">
        <v>1680.0</v>
      </c>
      <c r="F592" s="6">
        <v>420.0</v>
      </c>
      <c r="G592" s="5" t="s">
        <v>96</v>
      </c>
      <c r="H592" s="5" t="s">
        <v>38</v>
      </c>
      <c r="I592" s="6" t="s">
        <v>40</v>
      </c>
      <c r="J592" s="5" t="s">
        <v>8585</v>
      </c>
      <c r="K592" s="5" t="s">
        <v>8586</v>
      </c>
      <c r="L592" s="6" t="s">
        <v>42</v>
      </c>
      <c r="M592" s="5" t="s">
        <v>995</v>
      </c>
      <c r="N592" s="5" t="s">
        <v>64</v>
      </c>
      <c r="O592" s="5" t="s">
        <v>10330</v>
      </c>
      <c r="P592" s="6">
        <v>8634.0</v>
      </c>
    </row>
    <row r="593" ht="56.25" customHeight="1">
      <c r="A593" s="5" t="s">
        <v>10324</v>
      </c>
      <c r="B593" s="6" t="str">
        <f>IMAGE("https://storage.googleapis.com/acdb/tops/TopsTexTopYshirtsLMultivest0.png")</f>
        <v/>
      </c>
      <c r="C593" s="5" t="s">
        <v>38</v>
      </c>
      <c r="D593" s="8" t="s">
        <v>36</v>
      </c>
      <c r="E593" s="6">
        <v>1680.0</v>
      </c>
      <c r="F593" s="6">
        <v>420.0</v>
      </c>
      <c r="G593" s="5" t="s">
        <v>38</v>
      </c>
      <c r="H593" s="5" t="s">
        <v>95</v>
      </c>
      <c r="I593" s="6" t="s">
        <v>40</v>
      </c>
      <c r="J593" s="5" t="s">
        <v>8585</v>
      </c>
      <c r="K593" s="5" t="s">
        <v>8586</v>
      </c>
      <c r="L593" s="6" t="s">
        <v>42</v>
      </c>
      <c r="M593" s="5" t="s">
        <v>995</v>
      </c>
      <c r="N593" s="5" t="s">
        <v>64</v>
      </c>
      <c r="O593" s="5" t="s">
        <v>10333</v>
      </c>
      <c r="P593" s="6">
        <v>4798.0</v>
      </c>
    </row>
    <row r="594" ht="56.25" customHeight="1">
      <c r="A594" s="5" t="s">
        <v>10334</v>
      </c>
      <c r="B594" s="6" t="str">
        <f>IMAGE("https://storage.googleapis.com/acdb/tops/TopsTexTopTshirtsNMuscle1.png")</f>
        <v/>
      </c>
      <c r="C594" s="5" t="s">
        <v>114</v>
      </c>
      <c r="D594" s="8" t="s">
        <v>36</v>
      </c>
      <c r="E594" s="6">
        <v>640.0</v>
      </c>
      <c r="F594" s="6">
        <v>160.0</v>
      </c>
      <c r="G594" s="5" t="s">
        <v>114</v>
      </c>
      <c r="H594" s="5" t="s">
        <v>54</v>
      </c>
      <c r="I594" s="6" t="s">
        <v>40</v>
      </c>
      <c r="J594" s="5" t="s">
        <v>8585</v>
      </c>
      <c r="K594" s="5" t="s">
        <v>8632</v>
      </c>
      <c r="L594" s="6" t="s">
        <v>42</v>
      </c>
      <c r="M594" s="5" t="s">
        <v>8746</v>
      </c>
      <c r="N594" s="5" t="s">
        <v>64</v>
      </c>
      <c r="O594" s="5" t="s">
        <v>10337</v>
      </c>
      <c r="P594" s="6">
        <v>8052.0</v>
      </c>
    </row>
    <row r="595" ht="56.25" customHeight="1">
      <c r="A595" s="5" t="s">
        <v>10334</v>
      </c>
      <c r="B595" s="6" t="str">
        <f>IMAGE("https://storage.googleapis.com/acdb/tops/TopsTexTopTshirtsNMuscle2.png")</f>
        <v/>
      </c>
      <c r="C595" s="5" t="s">
        <v>106</v>
      </c>
      <c r="D595" s="8" t="s">
        <v>36</v>
      </c>
      <c r="E595" s="6">
        <v>640.0</v>
      </c>
      <c r="F595" s="6">
        <v>160.0</v>
      </c>
      <c r="G595" s="5" t="s">
        <v>106</v>
      </c>
      <c r="H595" s="5" t="s">
        <v>114</v>
      </c>
      <c r="I595" s="6" t="s">
        <v>40</v>
      </c>
      <c r="J595" s="5" t="s">
        <v>8585</v>
      </c>
      <c r="K595" s="5" t="s">
        <v>8632</v>
      </c>
      <c r="L595" s="6" t="s">
        <v>42</v>
      </c>
      <c r="M595" s="5" t="s">
        <v>8746</v>
      </c>
      <c r="N595" s="5" t="s">
        <v>64</v>
      </c>
      <c r="O595" s="5" t="s">
        <v>10338</v>
      </c>
      <c r="P595" s="6">
        <v>8053.0</v>
      </c>
    </row>
    <row r="596" ht="56.25" customHeight="1">
      <c r="A596" s="5" t="s">
        <v>10334</v>
      </c>
      <c r="B596" s="6" t="str">
        <f>IMAGE("https://storage.googleapis.com/acdb/tops/TopsTexTopTshirtsNMuscle3.png")</f>
        <v/>
      </c>
      <c r="C596" s="5" t="s">
        <v>69</v>
      </c>
      <c r="D596" s="8" t="s">
        <v>36</v>
      </c>
      <c r="E596" s="6">
        <v>640.0</v>
      </c>
      <c r="F596" s="6">
        <v>160.0</v>
      </c>
      <c r="G596" s="5" t="s">
        <v>69</v>
      </c>
      <c r="H596" s="5" t="s">
        <v>57</v>
      </c>
      <c r="I596" s="6" t="s">
        <v>40</v>
      </c>
      <c r="J596" s="5" t="s">
        <v>8585</v>
      </c>
      <c r="K596" s="5" t="s">
        <v>8632</v>
      </c>
      <c r="L596" s="6" t="s">
        <v>42</v>
      </c>
      <c r="M596" s="5" t="s">
        <v>8746</v>
      </c>
      <c r="N596" s="5" t="s">
        <v>64</v>
      </c>
      <c r="O596" s="5" t="s">
        <v>10341</v>
      </c>
      <c r="P596" s="6">
        <v>8054.0</v>
      </c>
    </row>
    <row r="597" ht="56.25" customHeight="1">
      <c r="A597" s="5" t="s">
        <v>10334</v>
      </c>
      <c r="B597" s="6" t="str">
        <f>IMAGE("https://storage.googleapis.com/acdb/tops/TopsTexTopTshirtsNMuscle4.png")</f>
        <v/>
      </c>
      <c r="C597" s="5" t="s">
        <v>54</v>
      </c>
      <c r="D597" s="8" t="s">
        <v>36</v>
      </c>
      <c r="E597" s="6">
        <v>640.0</v>
      </c>
      <c r="F597" s="6">
        <v>160.0</v>
      </c>
      <c r="G597" s="5" t="s">
        <v>54</v>
      </c>
      <c r="H597" s="5" t="s">
        <v>142</v>
      </c>
      <c r="I597" s="6" t="s">
        <v>40</v>
      </c>
      <c r="J597" s="5" t="s">
        <v>8585</v>
      </c>
      <c r="K597" s="5" t="s">
        <v>8632</v>
      </c>
      <c r="L597" s="6" t="s">
        <v>42</v>
      </c>
      <c r="M597" s="5" t="s">
        <v>8746</v>
      </c>
      <c r="N597" s="5" t="s">
        <v>64</v>
      </c>
      <c r="O597" s="5" t="s">
        <v>10342</v>
      </c>
      <c r="P597" s="6">
        <v>8055.0</v>
      </c>
    </row>
    <row r="598" ht="56.25" customHeight="1">
      <c r="A598" s="5" t="s">
        <v>10334</v>
      </c>
      <c r="B598" s="6" t="str">
        <f>IMAGE("https://storage.googleapis.com/acdb/tops/TopsTexTopTshirtsNMuscle5.png")</f>
        <v/>
      </c>
      <c r="C598" s="5" t="s">
        <v>52</v>
      </c>
      <c r="D598" s="8" t="s">
        <v>36</v>
      </c>
      <c r="E598" s="6">
        <v>640.0</v>
      </c>
      <c r="F598" s="6">
        <v>160.0</v>
      </c>
      <c r="G598" s="5" t="s">
        <v>52</v>
      </c>
      <c r="H598" s="5" t="s">
        <v>54</v>
      </c>
      <c r="I598" s="6" t="s">
        <v>40</v>
      </c>
      <c r="J598" s="5" t="s">
        <v>8585</v>
      </c>
      <c r="K598" s="5" t="s">
        <v>8632</v>
      </c>
      <c r="L598" s="6" t="s">
        <v>42</v>
      </c>
      <c r="M598" s="5" t="s">
        <v>8746</v>
      </c>
      <c r="N598" s="5" t="s">
        <v>64</v>
      </c>
      <c r="O598" s="5" t="s">
        <v>10345</v>
      </c>
      <c r="P598" s="6">
        <v>8056.0</v>
      </c>
    </row>
    <row r="599" ht="56.25" customHeight="1">
      <c r="A599" s="5" t="s">
        <v>10334</v>
      </c>
      <c r="B599" s="6" t="str">
        <f>IMAGE("https://storage.googleapis.com/acdb/tops/TopsTexTopTshirtsNMuscle6.png")</f>
        <v/>
      </c>
      <c r="C599" s="5" t="s">
        <v>96</v>
      </c>
      <c r="D599" s="8" t="s">
        <v>36</v>
      </c>
      <c r="E599" s="6">
        <v>640.0</v>
      </c>
      <c r="F599" s="6">
        <v>160.0</v>
      </c>
      <c r="G599" s="5" t="s">
        <v>96</v>
      </c>
      <c r="H599" s="5" t="s">
        <v>54</v>
      </c>
      <c r="I599" s="6" t="s">
        <v>40</v>
      </c>
      <c r="J599" s="5" t="s">
        <v>8585</v>
      </c>
      <c r="K599" s="5" t="s">
        <v>8632</v>
      </c>
      <c r="L599" s="6" t="s">
        <v>42</v>
      </c>
      <c r="M599" s="5" t="s">
        <v>8746</v>
      </c>
      <c r="N599" s="5" t="s">
        <v>64</v>
      </c>
      <c r="O599" s="5" t="s">
        <v>10347</v>
      </c>
      <c r="P599" s="6">
        <v>8057.0</v>
      </c>
    </row>
    <row r="600" ht="56.25" customHeight="1">
      <c r="A600" s="5" t="s">
        <v>10334</v>
      </c>
      <c r="B600" s="6" t="str">
        <f>IMAGE("https://storage.googleapis.com/acdb/tops/TopsTexTopTshirtsNMuscle7.png")</f>
        <v/>
      </c>
      <c r="C600" s="5" t="s">
        <v>68</v>
      </c>
      <c r="D600" s="8" t="s">
        <v>36</v>
      </c>
      <c r="E600" s="6">
        <v>640.0</v>
      </c>
      <c r="F600" s="6">
        <v>160.0</v>
      </c>
      <c r="G600" s="5" t="s">
        <v>68</v>
      </c>
      <c r="H600" s="5" t="s">
        <v>57</v>
      </c>
      <c r="I600" s="6" t="s">
        <v>40</v>
      </c>
      <c r="J600" s="5" t="s">
        <v>8585</v>
      </c>
      <c r="K600" s="5" t="s">
        <v>8632</v>
      </c>
      <c r="L600" s="6" t="s">
        <v>42</v>
      </c>
      <c r="M600" s="5" t="s">
        <v>8746</v>
      </c>
      <c r="N600" s="5" t="s">
        <v>64</v>
      </c>
      <c r="O600" s="5" t="s">
        <v>10349</v>
      </c>
      <c r="P600" s="6">
        <v>8058.0</v>
      </c>
    </row>
    <row r="601" ht="56.25" customHeight="1">
      <c r="A601" s="5" t="s">
        <v>10334</v>
      </c>
      <c r="B601" s="6" t="str">
        <f>IMAGE("https://storage.googleapis.com/acdb/tops/TopsTexTopTshirtsNMuscle0.png")</f>
        <v/>
      </c>
      <c r="C601" s="5" t="s">
        <v>95</v>
      </c>
      <c r="D601" s="8" t="s">
        <v>36</v>
      </c>
      <c r="E601" s="6">
        <v>640.0</v>
      </c>
      <c r="F601" s="6">
        <v>160.0</v>
      </c>
      <c r="G601" s="5" t="s">
        <v>95</v>
      </c>
      <c r="H601" s="5" t="s">
        <v>114</v>
      </c>
      <c r="I601" s="6" t="s">
        <v>40</v>
      </c>
      <c r="J601" s="5" t="s">
        <v>8585</v>
      </c>
      <c r="K601" s="5" t="s">
        <v>8632</v>
      </c>
      <c r="L601" s="6" t="s">
        <v>42</v>
      </c>
      <c r="M601" s="5" t="s">
        <v>8746</v>
      </c>
      <c r="N601" s="5" t="s">
        <v>64</v>
      </c>
      <c r="O601" s="5" t="s">
        <v>10351</v>
      </c>
      <c r="P601" s="6">
        <v>4267.0</v>
      </c>
    </row>
    <row r="602" ht="56.25" customHeight="1">
      <c r="A602" s="5" t="s">
        <v>10352</v>
      </c>
      <c r="B602" s="6" t="str">
        <f>IMAGE("https://storage.googleapis.com/acdb/tops/TopsTexTopTshirtsLLive1.png")</f>
        <v/>
      </c>
      <c r="C602" s="5" t="s">
        <v>52</v>
      </c>
      <c r="D602" s="8" t="s">
        <v>36</v>
      </c>
      <c r="E602" s="6">
        <v>1200.0</v>
      </c>
      <c r="F602" s="6">
        <v>300.0</v>
      </c>
      <c r="G602" s="5" t="s">
        <v>52</v>
      </c>
      <c r="H602" s="5" t="s">
        <v>68</v>
      </c>
      <c r="I602" s="6" t="s">
        <v>40</v>
      </c>
      <c r="J602" s="5" t="s">
        <v>8585</v>
      </c>
      <c r="K602" s="5" t="s">
        <v>8586</v>
      </c>
      <c r="L602" s="6" t="s">
        <v>42</v>
      </c>
      <c r="M602" s="5" t="s">
        <v>8746</v>
      </c>
      <c r="N602" s="5" t="s">
        <v>64</v>
      </c>
      <c r="O602" s="5" t="s">
        <v>10354</v>
      </c>
      <c r="P602" s="6">
        <v>8410.0</v>
      </c>
    </row>
    <row r="603" ht="56.25" customHeight="1">
      <c r="A603" s="5" t="s">
        <v>10352</v>
      </c>
      <c r="B603" s="6" t="str">
        <f>IMAGE("https://storage.googleapis.com/acdb/tops/TopsTexTopTshirtsLLive2.png")</f>
        <v/>
      </c>
      <c r="C603" s="5" t="s">
        <v>106</v>
      </c>
      <c r="D603" s="8" t="s">
        <v>36</v>
      </c>
      <c r="E603" s="6">
        <v>1200.0</v>
      </c>
      <c r="F603" s="6">
        <v>300.0</v>
      </c>
      <c r="G603" s="5" t="s">
        <v>106</v>
      </c>
      <c r="H603" s="5" t="s">
        <v>69</v>
      </c>
      <c r="I603" s="6" t="s">
        <v>40</v>
      </c>
      <c r="J603" s="5" t="s">
        <v>8585</v>
      </c>
      <c r="K603" s="5" t="s">
        <v>8586</v>
      </c>
      <c r="L603" s="6" t="s">
        <v>42</v>
      </c>
      <c r="M603" s="5" t="s">
        <v>8746</v>
      </c>
      <c r="N603" s="5" t="s">
        <v>64</v>
      </c>
      <c r="O603" s="5" t="s">
        <v>10356</v>
      </c>
      <c r="P603" s="6">
        <v>8411.0</v>
      </c>
    </row>
    <row r="604" ht="56.25" customHeight="1">
      <c r="A604" s="5" t="s">
        <v>10352</v>
      </c>
      <c r="B604" s="6" t="str">
        <f>IMAGE("https://storage.googleapis.com/acdb/tops/TopsTexTopTshirtsLLive3.png")</f>
        <v/>
      </c>
      <c r="C604" s="5" t="s">
        <v>83</v>
      </c>
      <c r="D604" s="8" t="s">
        <v>36</v>
      </c>
      <c r="E604" s="6">
        <v>1200.0</v>
      </c>
      <c r="F604" s="6">
        <v>300.0</v>
      </c>
      <c r="G604" s="5" t="s">
        <v>83</v>
      </c>
      <c r="H604" s="5" t="s">
        <v>96</v>
      </c>
      <c r="I604" s="6" t="s">
        <v>40</v>
      </c>
      <c r="J604" s="5" t="s">
        <v>8585</v>
      </c>
      <c r="K604" s="5" t="s">
        <v>8586</v>
      </c>
      <c r="L604" s="6" t="s">
        <v>42</v>
      </c>
      <c r="M604" s="5" t="s">
        <v>8746</v>
      </c>
      <c r="N604" s="5" t="s">
        <v>64</v>
      </c>
      <c r="O604" s="5" t="s">
        <v>10359</v>
      </c>
      <c r="P604" s="6">
        <v>8412.0</v>
      </c>
    </row>
    <row r="605" ht="56.25" customHeight="1">
      <c r="A605" s="5" t="s">
        <v>10352</v>
      </c>
      <c r="B605" s="6" t="str">
        <f>IMAGE("https://storage.googleapis.com/acdb/tops/TopsTexTopTshirtsLLive0.png")</f>
        <v/>
      </c>
      <c r="C605" s="5" t="s">
        <v>54</v>
      </c>
      <c r="D605" s="8" t="s">
        <v>36</v>
      </c>
      <c r="E605" s="6">
        <v>1200.0</v>
      </c>
      <c r="F605" s="6">
        <v>300.0</v>
      </c>
      <c r="G605" s="5" t="s">
        <v>54</v>
      </c>
      <c r="H605" s="5" t="s">
        <v>114</v>
      </c>
      <c r="I605" s="6" t="s">
        <v>40</v>
      </c>
      <c r="J605" s="5" t="s">
        <v>8585</v>
      </c>
      <c r="K605" s="5" t="s">
        <v>8586</v>
      </c>
      <c r="L605" s="6" t="s">
        <v>42</v>
      </c>
      <c r="M605" s="5" t="s">
        <v>8746</v>
      </c>
      <c r="N605" s="5" t="s">
        <v>64</v>
      </c>
      <c r="O605" s="5" t="s">
        <v>10362</v>
      </c>
      <c r="P605" s="6">
        <v>5290.0</v>
      </c>
    </row>
    <row r="606" ht="56.25" customHeight="1">
      <c r="A606" s="5" t="s">
        <v>10363</v>
      </c>
      <c r="B606" s="6" t="str">
        <f>IMAGE("https://storage.googleapis.com/acdb/tops/TopsTexTopTshirtsHMvp0.png")</f>
        <v/>
      </c>
      <c r="C606" s="5" t="s">
        <v>34</v>
      </c>
      <c r="D606" s="8" t="s">
        <v>36</v>
      </c>
      <c r="E606" s="6">
        <v>640.0</v>
      </c>
      <c r="F606" s="6">
        <v>160.0</v>
      </c>
      <c r="G606" s="5" t="s">
        <v>57</v>
      </c>
      <c r="H606" s="5" t="s">
        <v>68</v>
      </c>
      <c r="I606" s="6" t="s">
        <v>40</v>
      </c>
      <c r="J606" s="5" t="s">
        <v>8578</v>
      </c>
      <c r="K606" s="5"/>
      <c r="L606" s="6" t="s">
        <v>42</v>
      </c>
      <c r="M606" s="5" t="s">
        <v>995</v>
      </c>
      <c r="N606" s="5" t="s">
        <v>64</v>
      </c>
      <c r="O606" s="5" t="s">
        <v>10366</v>
      </c>
      <c r="P606" s="6">
        <v>6835.0</v>
      </c>
    </row>
    <row r="607" ht="56.25" customHeight="1">
      <c r="A607" s="5" t="s">
        <v>10367</v>
      </c>
      <c r="B607" s="6" t="str">
        <f>IMAGE("https://storage.googleapis.com/acdb/tops/TopsTexTopTshirtsHHelloch0.png")</f>
        <v/>
      </c>
      <c r="C607" s="5" t="s">
        <v>34</v>
      </c>
      <c r="D607" s="8" t="s">
        <v>36</v>
      </c>
      <c r="E607" s="6">
        <v>640.0</v>
      </c>
      <c r="F607" s="6">
        <v>160.0</v>
      </c>
      <c r="G607" s="5" t="s">
        <v>69</v>
      </c>
      <c r="H607" s="5" t="s">
        <v>57</v>
      </c>
      <c r="I607" s="6" t="s">
        <v>40</v>
      </c>
      <c r="J607" s="5" t="s">
        <v>8578</v>
      </c>
      <c r="K607" s="5"/>
      <c r="L607" s="6" t="s">
        <v>42</v>
      </c>
      <c r="M607" s="5" t="s">
        <v>995</v>
      </c>
      <c r="N607" s="5" t="s">
        <v>64</v>
      </c>
      <c r="O607" s="5" t="s">
        <v>10368</v>
      </c>
      <c r="P607" s="6">
        <v>12118.0</v>
      </c>
    </row>
    <row r="608" ht="56.25" customHeight="1">
      <c r="A608" s="5" t="s">
        <v>10369</v>
      </c>
      <c r="B608" s="6" t="str">
        <f>IMAGE("https://storage.googleapis.com/acdb/tops/TopsTexTopTshirtsHNumberball9.png")</f>
        <v/>
      </c>
      <c r="C608" s="5" t="s">
        <v>34</v>
      </c>
      <c r="D608" s="8" t="s">
        <v>36</v>
      </c>
      <c r="E608" s="6">
        <v>560.0</v>
      </c>
      <c r="F608" s="6">
        <v>140.0</v>
      </c>
      <c r="G608" s="5" t="s">
        <v>142</v>
      </c>
      <c r="H608" s="5" t="s">
        <v>57</v>
      </c>
      <c r="I608" s="6" t="s">
        <v>40</v>
      </c>
      <c r="J608" s="5" t="s">
        <v>8578</v>
      </c>
      <c r="K608" s="5"/>
      <c r="L608" s="6" t="s">
        <v>42</v>
      </c>
      <c r="M608" s="5" t="s">
        <v>8746</v>
      </c>
      <c r="N608" s="5" t="s">
        <v>64</v>
      </c>
      <c r="O608" s="5" t="s">
        <v>10372</v>
      </c>
      <c r="P608" s="6">
        <v>3326.0</v>
      </c>
    </row>
    <row r="609" ht="56.25" customHeight="1">
      <c r="A609" s="5" t="s">
        <v>10373</v>
      </c>
      <c r="B609" s="6" t="str">
        <f>IMAGE("https://storage.googleapis.com/acdb/tops/TopsTexTopTshirtsHOne0.png")</f>
        <v/>
      </c>
      <c r="C609" s="5" t="s">
        <v>34</v>
      </c>
      <c r="D609" s="8" t="s">
        <v>36</v>
      </c>
      <c r="E609" s="6">
        <v>560.0</v>
      </c>
      <c r="F609" s="6">
        <v>140.0</v>
      </c>
      <c r="G609" s="5" t="s">
        <v>52</v>
      </c>
      <c r="H609" s="5" t="s">
        <v>83</v>
      </c>
      <c r="I609" s="6" t="s">
        <v>40</v>
      </c>
      <c r="J609" s="5" t="s">
        <v>8578</v>
      </c>
      <c r="K609" s="5"/>
      <c r="L609" s="6" t="s">
        <v>42</v>
      </c>
      <c r="M609" s="5" t="s">
        <v>995</v>
      </c>
      <c r="N609" s="5" t="s">
        <v>64</v>
      </c>
      <c r="O609" s="5" t="s">
        <v>10376</v>
      </c>
      <c r="P609" s="6">
        <v>6888.0</v>
      </c>
    </row>
    <row r="610" ht="56.25" customHeight="1">
      <c r="A610" s="5" t="s">
        <v>10377</v>
      </c>
      <c r="B610" s="6" t="str">
        <f>IMAGE("https://storage.googleapis.com/acdb/tops/TopsTexTopTshirtsHTwo0.png")</f>
        <v/>
      </c>
      <c r="C610" s="5" t="s">
        <v>34</v>
      </c>
      <c r="D610" s="8" t="s">
        <v>36</v>
      </c>
      <c r="E610" s="6">
        <v>560.0</v>
      </c>
      <c r="F610" s="6">
        <v>140.0</v>
      </c>
      <c r="G610" s="5" t="s">
        <v>68</v>
      </c>
      <c r="H610" s="5" t="s">
        <v>52</v>
      </c>
      <c r="I610" s="6" t="s">
        <v>40</v>
      </c>
      <c r="J610" s="5" t="s">
        <v>8578</v>
      </c>
      <c r="K610" s="5"/>
      <c r="L610" s="6" t="s">
        <v>42</v>
      </c>
      <c r="M610" s="5" t="s">
        <v>995</v>
      </c>
      <c r="N610" s="5" t="s">
        <v>64</v>
      </c>
      <c r="O610" s="5" t="s">
        <v>10379</v>
      </c>
      <c r="P610" s="6">
        <v>12036.0</v>
      </c>
    </row>
    <row r="611" ht="56.25" customHeight="1">
      <c r="A611" s="5" t="s">
        <v>10380</v>
      </c>
      <c r="B611" s="6" t="str">
        <f>IMAGE("https://storage.googleapis.com/acdb/tops/TopsTexTopTshirtsHThree0.png")</f>
        <v/>
      </c>
      <c r="C611" s="5" t="s">
        <v>34</v>
      </c>
      <c r="D611" s="8" t="s">
        <v>36</v>
      </c>
      <c r="E611" s="6">
        <v>560.0</v>
      </c>
      <c r="F611" s="6">
        <v>140.0</v>
      </c>
      <c r="G611" s="5" t="s">
        <v>96</v>
      </c>
      <c r="H611" s="5" t="s">
        <v>142</v>
      </c>
      <c r="I611" s="6" t="s">
        <v>40</v>
      </c>
      <c r="J611" s="5" t="s">
        <v>8578</v>
      </c>
      <c r="K611" s="5"/>
      <c r="L611" s="6" t="s">
        <v>42</v>
      </c>
      <c r="M611" s="5" t="s">
        <v>995</v>
      </c>
      <c r="N611" s="5" t="s">
        <v>64</v>
      </c>
      <c r="O611" s="5" t="s">
        <v>10383</v>
      </c>
      <c r="P611" s="6">
        <v>12037.0</v>
      </c>
    </row>
    <row r="612" ht="56.25" customHeight="1">
      <c r="A612" s="5" t="s">
        <v>10385</v>
      </c>
      <c r="B612" s="6" t="str">
        <f>IMAGE("https://storage.googleapis.com/acdb/tops/TopsTexTopTshirtsHFour0.png")</f>
        <v/>
      </c>
      <c r="C612" s="5" t="s">
        <v>34</v>
      </c>
      <c r="D612" s="8" t="s">
        <v>36</v>
      </c>
      <c r="E612" s="6">
        <v>560.0</v>
      </c>
      <c r="F612" s="6">
        <v>140.0</v>
      </c>
      <c r="G612" s="5" t="s">
        <v>69</v>
      </c>
      <c r="H612" s="5" t="s">
        <v>52</v>
      </c>
      <c r="I612" s="6" t="s">
        <v>40</v>
      </c>
      <c r="J612" s="5" t="s">
        <v>8578</v>
      </c>
      <c r="K612" s="5"/>
      <c r="L612" s="6" t="s">
        <v>42</v>
      </c>
      <c r="M612" s="5" t="s">
        <v>995</v>
      </c>
      <c r="N612" s="5" t="s">
        <v>64</v>
      </c>
      <c r="O612" s="5" t="s">
        <v>10388</v>
      </c>
      <c r="P612" s="6">
        <v>12038.0</v>
      </c>
    </row>
    <row r="613" ht="56.25" customHeight="1">
      <c r="A613" s="5" t="s">
        <v>10389</v>
      </c>
      <c r="B613" s="6" t="str">
        <f>IMAGE("https://storage.googleapis.com/acdb/tops/TopsTexTopCoatLNoble2.png")</f>
        <v/>
      </c>
      <c r="C613" s="5" t="s">
        <v>57</v>
      </c>
      <c r="D613" s="8" t="s">
        <v>36</v>
      </c>
      <c r="E613" s="6">
        <v>4800.0</v>
      </c>
      <c r="F613" s="6">
        <v>1200.0</v>
      </c>
      <c r="G613" s="5" t="s">
        <v>57</v>
      </c>
      <c r="H613" s="5" t="s">
        <v>114</v>
      </c>
      <c r="I613" s="6" t="s">
        <v>40</v>
      </c>
      <c r="J613" s="5" t="s">
        <v>8585</v>
      </c>
      <c r="K613" s="5" t="s">
        <v>8586</v>
      </c>
      <c r="L613" s="6" t="s">
        <v>42</v>
      </c>
      <c r="M613" s="5" t="s">
        <v>612</v>
      </c>
      <c r="N613" s="5" t="s">
        <v>64</v>
      </c>
      <c r="O613" s="5" t="s">
        <v>10392</v>
      </c>
      <c r="P613" s="6">
        <v>7420.0</v>
      </c>
    </row>
    <row r="614" ht="56.25" customHeight="1">
      <c r="A614" s="5" t="s">
        <v>10389</v>
      </c>
      <c r="B614" s="6" t="str">
        <f>IMAGE("https://storage.googleapis.com/acdb/tops/TopsTexTopCoatLNoble3.png")</f>
        <v/>
      </c>
      <c r="C614" s="5" t="s">
        <v>68</v>
      </c>
      <c r="D614" s="8" t="s">
        <v>36</v>
      </c>
      <c r="E614" s="6">
        <v>4800.0</v>
      </c>
      <c r="F614" s="6">
        <v>1200.0</v>
      </c>
      <c r="G614" s="5" t="s">
        <v>68</v>
      </c>
      <c r="H614" s="5" t="s">
        <v>114</v>
      </c>
      <c r="I614" s="6" t="s">
        <v>40</v>
      </c>
      <c r="J614" s="5" t="s">
        <v>8585</v>
      </c>
      <c r="K614" s="5" t="s">
        <v>8586</v>
      </c>
      <c r="L614" s="6" t="s">
        <v>42</v>
      </c>
      <c r="M614" s="5" t="s">
        <v>612</v>
      </c>
      <c r="N614" s="5" t="s">
        <v>64</v>
      </c>
      <c r="O614" s="5" t="s">
        <v>10396</v>
      </c>
      <c r="P614" s="6">
        <v>7421.0</v>
      </c>
    </row>
    <row r="615" ht="56.25" customHeight="1">
      <c r="A615" s="5" t="s">
        <v>10389</v>
      </c>
      <c r="B615" s="6" t="str">
        <f>IMAGE("https://storage.googleapis.com/acdb/tops/TopsTexTopCoatLNoble4.png")</f>
        <v/>
      </c>
      <c r="C615" s="5" t="s">
        <v>54</v>
      </c>
      <c r="D615" s="8" t="s">
        <v>36</v>
      </c>
      <c r="E615" s="6">
        <v>4800.0</v>
      </c>
      <c r="F615" s="6">
        <v>1200.0</v>
      </c>
      <c r="G615" s="5" t="s">
        <v>54</v>
      </c>
      <c r="H615" s="5" t="s">
        <v>114</v>
      </c>
      <c r="I615" s="6" t="s">
        <v>40</v>
      </c>
      <c r="J615" s="5" t="s">
        <v>8585</v>
      </c>
      <c r="K615" s="5" t="s">
        <v>8586</v>
      </c>
      <c r="L615" s="6" t="s">
        <v>42</v>
      </c>
      <c r="M615" s="5" t="s">
        <v>612</v>
      </c>
      <c r="N615" s="5" t="s">
        <v>64</v>
      </c>
      <c r="O615" s="5" t="s">
        <v>10399</v>
      </c>
      <c r="P615" s="6">
        <v>7422.0</v>
      </c>
    </row>
    <row r="616" ht="56.25" customHeight="1">
      <c r="A616" s="5" t="s">
        <v>10389</v>
      </c>
      <c r="B616" s="6" t="str">
        <f>IMAGE("https://storage.googleapis.com/acdb/tops/TopsTexTopCoatLNoble5.png")</f>
        <v/>
      </c>
      <c r="C616" s="5" t="s">
        <v>106</v>
      </c>
      <c r="D616" s="8" t="s">
        <v>36</v>
      </c>
      <c r="E616" s="6">
        <v>4800.0</v>
      </c>
      <c r="F616" s="6">
        <v>1200.0</v>
      </c>
      <c r="G616" s="5" t="s">
        <v>106</v>
      </c>
      <c r="H616" s="5" t="s">
        <v>114</v>
      </c>
      <c r="I616" s="6" t="s">
        <v>40</v>
      </c>
      <c r="J616" s="5" t="s">
        <v>8585</v>
      </c>
      <c r="K616" s="5" t="s">
        <v>8586</v>
      </c>
      <c r="L616" s="6" t="s">
        <v>42</v>
      </c>
      <c r="M616" s="5" t="s">
        <v>612</v>
      </c>
      <c r="N616" s="5" t="s">
        <v>64</v>
      </c>
      <c r="O616" s="5" t="s">
        <v>10402</v>
      </c>
      <c r="P616" s="6">
        <v>7423.0</v>
      </c>
    </row>
    <row r="617" ht="56.25" customHeight="1">
      <c r="A617" s="5" t="s">
        <v>10389</v>
      </c>
      <c r="B617" s="6" t="str">
        <f>IMAGE("https://storage.googleapis.com/acdb/tops/TopsTexTopCoatLNoble6.png")</f>
        <v/>
      </c>
      <c r="C617" s="5" t="s">
        <v>114</v>
      </c>
      <c r="D617" s="8" t="s">
        <v>36</v>
      </c>
      <c r="E617" s="6">
        <v>4800.0</v>
      </c>
      <c r="F617" s="6">
        <v>1200.0</v>
      </c>
      <c r="G617" s="5" t="s">
        <v>114</v>
      </c>
      <c r="H617" s="5" t="s">
        <v>114</v>
      </c>
      <c r="I617" s="6" t="s">
        <v>40</v>
      </c>
      <c r="J617" s="5" t="s">
        <v>8585</v>
      </c>
      <c r="K617" s="5" t="s">
        <v>8586</v>
      </c>
      <c r="L617" s="6" t="s">
        <v>42</v>
      </c>
      <c r="M617" s="5" t="s">
        <v>612</v>
      </c>
      <c r="N617" s="5" t="s">
        <v>64</v>
      </c>
      <c r="O617" s="5" t="s">
        <v>10403</v>
      </c>
      <c r="P617" s="6">
        <v>7424.0</v>
      </c>
    </row>
    <row r="618" ht="56.25" customHeight="1">
      <c r="A618" s="5" t="s">
        <v>10389</v>
      </c>
      <c r="B618" s="6" t="str">
        <f>IMAGE("https://storage.googleapis.com/acdb/tops/TopsTexTopCoatLNoble7.png")</f>
        <v/>
      </c>
      <c r="C618" s="5" t="s">
        <v>52</v>
      </c>
      <c r="D618" s="8" t="s">
        <v>36</v>
      </c>
      <c r="E618" s="6">
        <v>4800.0</v>
      </c>
      <c r="F618" s="6">
        <v>1200.0</v>
      </c>
      <c r="G618" s="5" t="s">
        <v>52</v>
      </c>
      <c r="H618" s="5" t="s">
        <v>114</v>
      </c>
      <c r="I618" s="6" t="s">
        <v>40</v>
      </c>
      <c r="J618" s="5" t="s">
        <v>8585</v>
      </c>
      <c r="K618" s="5" t="s">
        <v>8586</v>
      </c>
      <c r="L618" s="6" t="s">
        <v>42</v>
      </c>
      <c r="M618" s="5" t="s">
        <v>612</v>
      </c>
      <c r="N618" s="5" t="s">
        <v>64</v>
      </c>
      <c r="O618" s="5" t="s">
        <v>10407</v>
      </c>
      <c r="P618" s="6">
        <v>7425.0</v>
      </c>
    </row>
    <row r="619" ht="56.25" customHeight="1">
      <c r="A619" s="5" t="s">
        <v>10389</v>
      </c>
      <c r="B619" s="6" t="str">
        <f>IMAGE("https://storage.googleapis.com/acdb/tops/TopsTexTopCoatLNoble0.png")</f>
        <v/>
      </c>
      <c r="C619" s="5" t="s">
        <v>96</v>
      </c>
      <c r="D619" s="8" t="s">
        <v>36</v>
      </c>
      <c r="E619" s="6">
        <v>4800.0</v>
      </c>
      <c r="F619" s="6">
        <v>1200.0</v>
      </c>
      <c r="G619" s="5" t="s">
        <v>96</v>
      </c>
      <c r="H619" s="5" t="s">
        <v>114</v>
      </c>
      <c r="I619" s="6" t="s">
        <v>40</v>
      </c>
      <c r="J619" s="5" t="s">
        <v>8585</v>
      </c>
      <c r="K619" s="5" t="s">
        <v>8586</v>
      </c>
      <c r="L619" s="6" t="s">
        <v>42</v>
      </c>
      <c r="M619" s="5" t="s">
        <v>612</v>
      </c>
      <c r="N619" s="5" t="s">
        <v>64</v>
      </c>
      <c r="O619" s="5" t="s">
        <v>10408</v>
      </c>
      <c r="P619" s="6">
        <v>3171.0</v>
      </c>
    </row>
    <row r="620" ht="56.25" customHeight="1">
      <c r="A620" s="5" t="s">
        <v>10389</v>
      </c>
      <c r="B620" s="6" t="str">
        <f>IMAGE("https://storage.googleapis.com/acdb/tops/TopsTexTopCoatLNoble1.png")</f>
        <v/>
      </c>
      <c r="C620" s="5" t="s">
        <v>10410</v>
      </c>
      <c r="D620" s="8" t="s">
        <v>36</v>
      </c>
      <c r="E620" s="6">
        <v>4800.0</v>
      </c>
      <c r="F620" s="6">
        <v>1200.0</v>
      </c>
      <c r="G620" s="5" t="s">
        <v>69</v>
      </c>
      <c r="H620" s="5" t="s">
        <v>114</v>
      </c>
      <c r="I620" s="6" t="s">
        <v>40</v>
      </c>
      <c r="J620" s="5" t="s">
        <v>8585</v>
      </c>
      <c r="K620" s="5" t="s">
        <v>8586</v>
      </c>
      <c r="L620" s="6" t="s">
        <v>42</v>
      </c>
      <c r="M620" s="5" t="s">
        <v>612</v>
      </c>
      <c r="N620" s="5" t="s">
        <v>64</v>
      </c>
      <c r="O620" s="5" t="s">
        <v>10412</v>
      </c>
      <c r="P620" s="6">
        <v>7419.0</v>
      </c>
    </row>
    <row r="621" ht="56.25" customHeight="1">
      <c r="A621" s="5" t="s">
        <v>10413</v>
      </c>
      <c r="B621" s="6" t="str">
        <f>IMAGE("https://storage.googleapis.com/acdb/tops/TopsTexTopTshirtsHRco.png")</f>
        <v/>
      </c>
      <c r="C621" s="5" t="s">
        <v>34</v>
      </c>
      <c r="D621" s="8" t="s">
        <v>36</v>
      </c>
      <c r="E621" s="6" t="s">
        <v>37</v>
      </c>
      <c r="F621" s="6">
        <v>3000.0</v>
      </c>
      <c r="G621" s="5" t="s">
        <v>57</v>
      </c>
      <c r="H621" s="5" t="s">
        <v>96</v>
      </c>
      <c r="I621" s="6" t="s">
        <v>40</v>
      </c>
      <c r="J621" s="5" t="s">
        <v>2140</v>
      </c>
      <c r="K621" s="5"/>
      <c r="L621" s="6" t="s">
        <v>42</v>
      </c>
      <c r="M621" s="5" t="s">
        <v>995</v>
      </c>
      <c r="N621" s="5" t="s">
        <v>48</v>
      </c>
      <c r="O621" s="5" t="s">
        <v>10416</v>
      </c>
      <c r="P621" s="6">
        <v>5626.0</v>
      </c>
    </row>
    <row r="622" ht="56.25" customHeight="1">
      <c r="A622" s="5" t="s">
        <v>10417</v>
      </c>
      <c r="B622" s="6" t="str">
        <f>IMAGE("https://storage.googleapis.com/acdb/tops/TopsTexTopOuterLRco.png")</f>
        <v/>
      </c>
      <c r="C622" s="5" t="s">
        <v>34</v>
      </c>
      <c r="D622" s="8" t="s">
        <v>36</v>
      </c>
      <c r="E622" s="6" t="s">
        <v>37</v>
      </c>
      <c r="F622" s="6">
        <v>4000.0</v>
      </c>
      <c r="G622" s="5" t="s">
        <v>96</v>
      </c>
      <c r="H622" s="5" t="s">
        <v>96</v>
      </c>
      <c r="I622" s="6" t="s">
        <v>40</v>
      </c>
      <c r="J622" s="5" t="s">
        <v>2140</v>
      </c>
      <c r="K622" s="5"/>
      <c r="L622" s="6" t="s">
        <v>42</v>
      </c>
      <c r="M622" s="5" t="s">
        <v>995</v>
      </c>
      <c r="N622" s="5" t="s">
        <v>48</v>
      </c>
      <c r="O622" s="5" t="s">
        <v>10420</v>
      </c>
      <c r="P622" s="6">
        <v>5625.0</v>
      </c>
    </row>
    <row r="623" ht="56.25" customHeight="1">
      <c r="A623" s="5" t="s">
        <v>10421</v>
      </c>
      <c r="B623" s="6" t="str">
        <f>IMAGE("https://storage.googleapis.com/acdb/tops/TopsTexTopTshirtsHNook0.png")</f>
        <v/>
      </c>
      <c r="C623" s="5" t="s">
        <v>34</v>
      </c>
      <c r="D623" s="8" t="s">
        <v>36</v>
      </c>
      <c r="E623" s="6" t="s">
        <v>37</v>
      </c>
      <c r="F623" s="6">
        <v>3000.0</v>
      </c>
      <c r="G623" s="5" t="s">
        <v>114</v>
      </c>
      <c r="H623" s="5" t="s">
        <v>96</v>
      </c>
      <c r="I623" s="6" t="s">
        <v>40</v>
      </c>
      <c r="J623" s="5" t="s">
        <v>2140</v>
      </c>
      <c r="K623" s="5"/>
      <c r="L623" s="6" t="s">
        <v>42</v>
      </c>
      <c r="M623" s="5" t="s">
        <v>995</v>
      </c>
      <c r="N623" s="5" t="s">
        <v>48</v>
      </c>
      <c r="O623" s="5" t="s">
        <v>10425</v>
      </c>
      <c r="P623" s="6">
        <v>9760.0</v>
      </c>
    </row>
    <row r="624" ht="56.25" customHeight="1">
      <c r="A624" s="5" t="s">
        <v>10426</v>
      </c>
      <c r="B624" s="6" t="str">
        <f>IMAGE("https://storage.googleapis.com/acdb/tops/TopsTexTopYshirtsHNurse1.png")</f>
        <v/>
      </c>
      <c r="C624" s="5" t="s">
        <v>57</v>
      </c>
      <c r="D624" s="8" t="s">
        <v>36</v>
      </c>
      <c r="E624" s="6">
        <v>1500.0</v>
      </c>
      <c r="F624" s="6">
        <v>375.0</v>
      </c>
      <c r="G624" s="5" t="s">
        <v>57</v>
      </c>
      <c r="H624" s="5" t="s">
        <v>57</v>
      </c>
      <c r="I624" s="6" t="s">
        <v>40</v>
      </c>
      <c r="J624" s="5" t="s">
        <v>8585</v>
      </c>
      <c r="K624" s="5" t="s">
        <v>8586</v>
      </c>
      <c r="L624" s="6" t="s">
        <v>42</v>
      </c>
      <c r="M624" s="5" t="s">
        <v>995</v>
      </c>
      <c r="N624" s="5" t="s">
        <v>64</v>
      </c>
      <c r="O624" s="5" t="s">
        <v>10429</v>
      </c>
      <c r="P624" s="6">
        <v>7790.0</v>
      </c>
    </row>
    <row r="625" ht="56.25" customHeight="1">
      <c r="A625" s="5" t="s">
        <v>10426</v>
      </c>
      <c r="B625" s="6" t="str">
        <f>IMAGE("https://storage.googleapis.com/acdb/tops/TopsTexTopYshirtsHNurse2.png")</f>
        <v/>
      </c>
      <c r="C625" s="5" t="s">
        <v>69</v>
      </c>
      <c r="D625" s="8" t="s">
        <v>36</v>
      </c>
      <c r="E625" s="6">
        <v>1500.0</v>
      </c>
      <c r="F625" s="6">
        <v>375.0</v>
      </c>
      <c r="G625" s="5" t="s">
        <v>69</v>
      </c>
      <c r="H625" s="5" t="s">
        <v>69</v>
      </c>
      <c r="I625" s="6" t="s">
        <v>40</v>
      </c>
      <c r="J625" s="5" t="s">
        <v>8585</v>
      </c>
      <c r="K625" s="5" t="s">
        <v>8586</v>
      </c>
      <c r="L625" s="6" t="s">
        <v>42</v>
      </c>
      <c r="M625" s="5" t="s">
        <v>995</v>
      </c>
      <c r="N625" s="5" t="s">
        <v>64</v>
      </c>
      <c r="O625" s="5" t="s">
        <v>10433</v>
      </c>
      <c r="P625" s="6">
        <v>7791.0</v>
      </c>
    </row>
    <row r="626" ht="56.25" customHeight="1">
      <c r="A626" s="5" t="s">
        <v>10426</v>
      </c>
      <c r="B626" s="6" t="str">
        <f>IMAGE("https://storage.googleapis.com/acdb/tops/TopsTexTopYshirtsHNurse0.png")</f>
        <v/>
      </c>
      <c r="C626" s="5" t="s">
        <v>68</v>
      </c>
      <c r="D626" s="8" t="s">
        <v>36</v>
      </c>
      <c r="E626" s="6">
        <v>1500.0</v>
      </c>
      <c r="F626" s="6">
        <v>375.0</v>
      </c>
      <c r="G626" s="5" t="s">
        <v>83</v>
      </c>
      <c r="H626" s="5" t="s">
        <v>83</v>
      </c>
      <c r="I626" s="6" t="s">
        <v>40</v>
      </c>
      <c r="J626" s="5" t="s">
        <v>8585</v>
      </c>
      <c r="K626" s="5" t="s">
        <v>8586</v>
      </c>
      <c r="L626" s="6" t="s">
        <v>42</v>
      </c>
      <c r="M626" s="5" t="s">
        <v>995</v>
      </c>
      <c r="N626" s="5" t="s">
        <v>64</v>
      </c>
      <c r="O626" s="5" t="s">
        <v>10437</v>
      </c>
      <c r="P626" s="6">
        <v>3350.0</v>
      </c>
    </row>
    <row r="627" ht="56.25" customHeight="1">
      <c r="A627" s="5" t="s">
        <v>10438</v>
      </c>
      <c r="B627" s="6" t="str">
        <f>IMAGE("https://storage.googleapis.com/acdb/tops/TopsTexTopYshirtsLCoach1.png")</f>
        <v/>
      </c>
      <c r="C627" s="5" t="s">
        <v>96</v>
      </c>
      <c r="D627" s="8" t="s">
        <v>36</v>
      </c>
      <c r="E627" s="6">
        <v>1120.0</v>
      </c>
      <c r="F627" s="6">
        <v>280.0</v>
      </c>
      <c r="G627" s="5" t="s">
        <v>96</v>
      </c>
      <c r="H627" s="5" t="s">
        <v>96</v>
      </c>
      <c r="I627" s="6" t="s">
        <v>40</v>
      </c>
      <c r="J627" s="5" t="s">
        <v>8585</v>
      </c>
      <c r="K627" s="5" t="s">
        <v>8632</v>
      </c>
      <c r="L627" s="6" t="s">
        <v>42</v>
      </c>
      <c r="M627" s="5" t="s">
        <v>1952</v>
      </c>
      <c r="N627" s="5" t="s">
        <v>64</v>
      </c>
      <c r="O627" s="5" t="s">
        <v>10442</v>
      </c>
      <c r="P627" s="6">
        <v>8518.0</v>
      </c>
    </row>
    <row r="628" ht="56.25" customHeight="1">
      <c r="A628" s="5" t="s">
        <v>10438</v>
      </c>
      <c r="B628" s="6" t="str">
        <f>IMAGE("https://storage.googleapis.com/acdb/tops/TopsTexTopYshirtsLCoach2.png")</f>
        <v/>
      </c>
      <c r="C628" s="5" t="s">
        <v>68</v>
      </c>
      <c r="D628" s="8" t="s">
        <v>36</v>
      </c>
      <c r="E628" s="6">
        <v>1120.0</v>
      </c>
      <c r="F628" s="6">
        <v>280.0</v>
      </c>
      <c r="G628" s="5" t="s">
        <v>68</v>
      </c>
      <c r="H628" s="5" t="s">
        <v>68</v>
      </c>
      <c r="I628" s="6" t="s">
        <v>40</v>
      </c>
      <c r="J628" s="5" t="s">
        <v>8585</v>
      </c>
      <c r="K628" s="5" t="s">
        <v>8632</v>
      </c>
      <c r="L628" s="6" t="s">
        <v>42</v>
      </c>
      <c r="M628" s="5" t="s">
        <v>1952</v>
      </c>
      <c r="N628" s="5" t="s">
        <v>64</v>
      </c>
      <c r="O628" s="5" t="s">
        <v>10445</v>
      </c>
      <c r="P628" s="6">
        <v>8519.0</v>
      </c>
    </row>
    <row r="629" ht="56.25" customHeight="1">
      <c r="A629" s="5" t="s">
        <v>10438</v>
      </c>
      <c r="B629" s="6" t="str">
        <f>IMAGE("https://storage.googleapis.com/acdb/tops/TopsTexTopYshirtsLCoach0.png")</f>
        <v/>
      </c>
      <c r="C629" s="5" t="s">
        <v>54</v>
      </c>
      <c r="D629" s="8" t="s">
        <v>36</v>
      </c>
      <c r="E629" s="6">
        <v>1120.0</v>
      </c>
      <c r="F629" s="6">
        <v>280.0</v>
      </c>
      <c r="G629" s="5" t="s">
        <v>54</v>
      </c>
      <c r="H629" s="5" t="s">
        <v>54</v>
      </c>
      <c r="I629" s="6" t="s">
        <v>40</v>
      </c>
      <c r="J629" s="5" t="s">
        <v>8585</v>
      </c>
      <c r="K629" s="5" t="s">
        <v>8632</v>
      </c>
      <c r="L629" s="6" t="s">
        <v>42</v>
      </c>
      <c r="M629" s="5" t="s">
        <v>1952</v>
      </c>
      <c r="N629" s="5" t="s">
        <v>64</v>
      </c>
      <c r="O629" s="5" t="s">
        <v>10448</v>
      </c>
      <c r="P629" s="6">
        <v>4285.0</v>
      </c>
    </row>
    <row r="630" ht="56.25" customHeight="1">
      <c r="A630" s="5" t="s">
        <v>10438</v>
      </c>
      <c r="B630" s="6" t="str">
        <f>IMAGE("https://storage.googleapis.com/acdb/tops/TopsTexTopYshirtsLCoach3.png")</f>
        <v/>
      </c>
      <c r="C630" s="5" t="s">
        <v>52</v>
      </c>
      <c r="D630" s="8" t="s">
        <v>36</v>
      </c>
      <c r="E630" s="6">
        <v>1120.0</v>
      </c>
      <c r="F630" s="6">
        <v>280.0</v>
      </c>
      <c r="G630" s="5" t="s">
        <v>52</v>
      </c>
      <c r="H630" s="5" t="s">
        <v>52</v>
      </c>
      <c r="I630" s="6" t="s">
        <v>40</v>
      </c>
      <c r="J630" s="5" t="s">
        <v>8585</v>
      </c>
      <c r="K630" s="5" t="s">
        <v>8632</v>
      </c>
      <c r="L630" s="6" t="s">
        <v>42</v>
      </c>
      <c r="M630" s="5" t="s">
        <v>1952</v>
      </c>
      <c r="N630" s="5" t="s">
        <v>64</v>
      </c>
      <c r="O630" s="5" t="s">
        <v>10451</v>
      </c>
      <c r="P630" s="6">
        <v>8520.0</v>
      </c>
    </row>
    <row r="631" ht="56.25" customHeight="1">
      <c r="A631" s="5" t="s">
        <v>10452</v>
      </c>
      <c r="B631" s="6" t="str">
        <f>IMAGE("https://storage.googleapis.com/acdb/tops/TopsTexTopCoatLOilskin1.png")</f>
        <v/>
      </c>
      <c r="C631" s="5" t="s">
        <v>52</v>
      </c>
      <c r="D631" s="8" t="s">
        <v>36</v>
      </c>
      <c r="E631" s="6">
        <v>1400.0</v>
      </c>
      <c r="F631" s="6">
        <v>350.0</v>
      </c>
      <c r="G631" s="5" t="s">
        <v>52</v>
      </c>
      <c r="H631" s="5" t="s">
        <v>114</v>
      </c>
      <c r="I631" s="6" t="s">
        <v>40</v>
      </c>
      <c r="J631" s="5" t="s">
        <v>8585</v>
      </c>
      <c r="K631" s="5" t="s">
        <v>8632</v>
      </c>
      <c r="L631" s="6" t="s">
        <v>42</v>
      </c>
      <c r="M631" s="5" t="s">
        <v>8746</v>
      </c>
      <c r="N631" s="5" t="s">
        <v>64</v>
      </c>
      <c r="O631" s="5" t="s">
        <v>10456</v>
      </c>
      <c r="P631" s="6">
        <v>9233.0</v>
      </c>
    </row>
    <row r="632" ht="56.25" customHeight="1">
      <c r="A632" s="5" t="s">
        <v>10452</v>
      </c>
      <c r="B632" s="6" t="str">
        <f>IMAGE("https://storage.googleapis.com/acdb/tops/TopsTexTopCoatLOilskin2.png")</f>
        <v/>
      </c>
      <c r="C632" s="5" t="s">
        <v>95</v>
      </c>
      <c r="D632" s="8" t="s">
        <v>36</v>
      </c>
      <c r="E632" s="6">
        <v>1400.0</v>
      </c>
      <c r="F632" s="6">
        <v>350.0</v>
      </c>
      <c r="G632" s="5" t="s">
        <v>95</v>
      </c>
      <c r="H632" s="5" t="s">
        <v>95</v>
      </c>
      <c r="I632" s="6" t="s">
        <v>40</v>
      </c>
      <c r="J632" s="5" t="s">
        <v>8585</v>
      </c>
      <c r="K632" s="5" t="s">
        <v>8632</v>
      </c>
      <c r="L632" s="6" t="s">
        <v>42</v>
      </c>
      <c r="M632" s="5" t="s">
        <v>8746</v>
      </c>
      <c r="N632" s="5" t="s">
        <v>64</v>
      </c>
      <c r="O632" s="5" t="s">
        <v>10458</v>
      </c>
      <c r="P632" s="6">
        <v>9234.0</v>
      </c>
    </row>
    <row r="633" ht="56.25" customHeight="1">
      <c r="A633" s="5" t="s">
        <v>10452</v>
      </c>
      <c r="B633" s="6" t="str">
        <f>IMAGE("https://storage.googleapis.com/acdb/tops/TopsTexTopCoatLOilskin0.png")</f>
        <v/>
      </c>
      <c r="C633" s="5" t="s">
        <v>114</v>
      </c>
      <c r="D633" s="8" t="s">
        <v>36</v>
      </c>
      <c r="E633" s="6">
        <v>1400.0</v>
      </c>
      <c r="F633" s="6">
        <v>350.0</v>
      </c>
      <c r="G633" s="5" t="s">
        <v>114</v>
      </c>
      <c r="H633" s="5" t="s">
        <v>114</v>
      </c>
      <c r="I633" s="6" t="s">
        <v>40</v>
      </c>
      <c r="J633" s="5" t="s">
        <v>8585</v>
      </c>
      <c r="K633" s="5" t="s">
        <v>8632</v>
      </c>
      <c r="L633" s="6" t="s">
        <v>42</v>
      </c>
      <c r="M633" s="5" t="s">
        <v>8746</v>
      </c>
      <c r="N633" s="5" t="s">
        <v>64</v>
      </c>
      <c r="O633" s="5" t="s">
        <v>10462</v>
      </c>
      <c r="P633" s="6">
        <v>5855.0</v>
      </c>
    </row>
    <row r="634" ht="56.25" customHeight="1">
      <c r="A634" s="5" t="s">
        <v>10464</v>
      </c>
      <c r="B634" s="6" t="str">
        <f>IMAGE("https://storage.googleapis.com/acdb/tops/TopsTexTopYshirtsHOkmotors0.png")</f>
        <v/>
      </c>
      <c r="C634" s="5" t="s">
        <v>34</v>
      </c>
      <c r="D634" s="8" t="s">
        <v>36</v>
      </c>
      <c r="E634" s="6">
        <v>1500.0</v>
      </c>
      <c r="F634" s="6">
        <v>375.0</v>
      </c>
      <c r="G634" s="5" t="s">
        <v>57</v>
      </c>
      <c r="H634" s="5" t="s">
        <v>68</v>
      </c>
      <c r="I634" s="6" t="s">
        <v>40</v>
      </c>
      <c r="J634" s="5" t="s">
        <v>1234</v>
      </c>
      <c r="K634" s="5" t="s">
        <v>1235</v>
      </c>
      <c r="L634" s="6" t="s">
        <v>98</v>
      </c>
      <c r="M634" s="5" t="s">
        <v>995</v>
      </c>
      <c r="N634" s="5" t="s">
        <v>1237</v>
      </c>
      <c r="O634" s="8" t="s">
        <v>10466</v>
      </c>
      <c r="P634" s="19">
        <v>12425.0</v>
      </c>
    </row>
    <row r="635" ht="56.25" customHeight="1">
      <c r="A635" s="5" t="s">
        <v>10467</v>
      </c>
      <c r="B635" s="6" t="str">
        <f>IMAGE("https://storage.googleapis.com/acdb/tops/TopsTexTopOuterLRepresent1.png")</f>
        <v/>
      </c>
      <c r="C635" s="5" t="s">
        <v>96</v>
      </c>
      <c r="D635" s="8" t="s">
        <v>36</v>
      </c>
      <c r="E635" s="6">
        <v>1800.0</v>
      </c>
      <c r="F635" s="6">
        <v>450.0</v>
      </c>
      <c r="G635" s="5" t="s">
        <v>54</v>
      </c>
      <c r="H635" s="5" t="s">
        <v>96</v>
      </c>
      <c r="I635" s="6" t="s">
        <v>40</v>
      </c>
      <c r="J635" s="5" t="s">
        <v>8585</v>
      </c>
      <c r="K635" s="5" t="s">
        <v>8586</v>
      </c>
      <c r="L635" s="6" t="s">
        <v>42</v>
      </c>
      <c r="M635" s="5" t="s">
        <v>612</v>
      </c>
      <c r="N635" s="5" t="s">
        <v>64</v>
      </c>
      <c r="O635" s="5" t="s">
        <v>10469</v>
      </c>
      <c r="P635" s="6">
        <v>7620.0</v>
      </c>
    </row>
    <row r="636" ht="56.25" customHeight="1">
      <c r="A636" s="5" t="s">
        <v>10467</v>
      </c>
      <c r="B636" s="6" t="str">
        <f>IMAGE("https://storage.googleapis.com/acdb/tops/TopsTexTopOuterLRepresent0.png")</f>
        <v/>
      </c>
      <c r="C636" s="5" t="s">
        <v>52</v>
      </c>
      <c r="D636" s="8" t="s">
        <v>36</v>
      </c>
      <c r="E636" s="6">
        <v>1800.0</v>
      </c>
      <c r="F636" s="6">
        <v>450.0</v>
      </c>
      <c r="G636" s="5" t="s">
        <v>54</v>
      </c>
      <c r="H636" s="5" t="s">
        <v>52</v>
      </c>
      <c r="I636" s="6" t="s">
        <v>40</v>
      </c>
      <c r="J636" s="5" t="s">
        <v>8585</v>
      </c>
      <c r="K636" s="5" t="s">
        <v>8586</v>
      </c>
      <c r="L636" s="6" t="s">
        <v>42</v>
      </c>
      <c r="M636" s="5" t="s">
        <v>612</v>
      </c>
      <c r="N636" s="5" t="s">
        <v>64</v>
      </c>
      <c r="O636" s="5" t="s">
        <v>10473</v>
      </c>
      <c r="P636" s="6">
        <v>5292.0</v>
      </c>
    </row>
    <row r="637" ht="56.25" customHeight="1">
      <c r="A637" s="5" t="s">
        <v>10467</v>
      </c>
      <c r="B637" s="6" t="str">
        <f>IMAGE("https://storage.googleapis.com/acdb/tops/TopsTexTopOuterLRepresent2.png")</f>
        <v/>
      </c>
      <c r="C637" s="5" t="s">
        <v>106</v>
      </c>
      <c r="D637" s="8" t="s">
        <v>36</v>
      </c>
      <c r="E637" s="6">
        <v>1800.0</v>
      </c>
      <c r="F637" s="6">
        <v>450.0</v>
      </c>
      <c r="G637" s="5" t="s">
        <v>54</v>
      </c>
      <c r="H637" s="5" t="s">
        <v>106</v>
      </c>
      <c r="I637" s="6" t="s">
        <v>40</v>
      </c>
      <c r="J637" s="5" t="s">
        <v>8585</v>
      </c>
      <c r="K637" s="5" t="s">
        <v>8586</v>
      </c>
      <c r="L637" s="6" t="s">
        <v>42</v>
      </c>
      <c r="M637" s="5" t="s">
        <v>612</v>
      </c>
      <c r="N637" s="5" t="s">
        <v>64</v>
      </c>
      <c r="O637" s="5" t="s">
        <v>10476</v>
      </c>
      <c r="P637" s="6">
        <v>7621.0</v>
      </c>
    </row>
    <row r="638" ht="56.25" customHeight="1">
      <c r="A638" s="5" t="s">
        <v>10478</v>
      </c>
      <c r="B638" s="6" t="str">
        <f>IMAGE("https://storage.googleapis.com/acdb/tops/TopsTexTopTshirtsHNumberball1.png")</f>
        <v/>
      </c>
      <c r="C638" s="5" t="s">
        <v>34</v>
      </c>
      <c r="D638" s="8" t="s">
        <v>36</v>
      </c>
      <c r="E638" s="6">
        <v>560.0</v>
      </c>
      <c r="F638" s="6">
        <v>140.0</v>
      </c>
      <c r="G638" s="5" t="s">
        <v>114</v>
      </c>
      <c r="H638" s="5" t="s">
        <v>57</v>
      </c>
      <c r="I638" s="6" t="s">
        <v>40</v>
      </c>
      <c r="J638" s="5" t="s">
        <v>8578</v>
      </c>
      <c r="K638" s="5"/>
      <c r="L638" s="6" t="s">
        <v>42</v>
      </c>
      <c r="M638" s="5" t="s">
        <v>8746</v>
      </c>
      <c r="N638" s="5" t="s">
        <v>64</v>
      </c>
      <c r="O638" s="5" t="s">
        <v>10481</v>
      </c>
      <c r="P638" s="6">
        <v>3320.0</v>
      </c>
    </row>
    <row r="639" ht="56.25" customHeight="1">
      <c r="A639" s="5" t="s">
        <v>10483</v>
      </c>
      <c r="B639" s="6" t="str">
        <f>IMAGE("https://storage.googleapis.com/acdb/tops/TopsTexTopYshirtsLOpencollar0.png")</f>
        <v/>
      </c>
      <c r="C639" s="5" t="s">
        <v>10486</v>
      </c>
      <c r="D639" s="8" t="s">
        <v>36</v>
      </c>
      <c r="E639" s="6">
        <v>960.0</v>
      </c>
      <c r="F639" s="6">
        <v>240.0</v>
      </c>
      <c r="G639" s="5" t="s">
        <v>52</v>
      </c>
      <c r="H639" s="5" t="s">
        <v>52</v>
      </c>
      <c r="I639" s="6" t="s">
        <v>40</v>
      </c>
      <c r="J639" s="5" t="s">
        <v>8585</v>
      </c>
      <c r="K639" s="5" t="s">
        <v>8632</v>
      </c>
      <c r="L639" s="6" t="s">
        <v>42</v>
      </c>
      <c r="M639" s="5" t="s">
        <v>995</v>
      </c>
      <c r="N639" s="5" t="s">
        <v>64</v>
      </c>
      <c r="O639" s="5" t="s">
        <v>10487</v>
      </c>
      <c r="P639" s="6">
        <v>4715.0</v>
      </c>
    </row>
    <row r="640" ht="56.25" customHeight="1">
      <c r="A640" s="5" t="s">
        <v>10483</v>
      </c>
      <c r="B640" s="6" t="str">
        <f>IMAGE("https://storage.googleapis.com/acdb/tops/TopsTexTopYshirtsLOpencollar1.png")</f>
        <v/>
      </c>
      <c r="C640" s="5" t="s">
        <v>68</v>
      </c>
      <c r="D640" s="8" t="s">
        <v>36</v>
      </c>
      <c r="E640" s="6">
        <v>960.0</v>
      </c>
      <c r="F640" s="6">
        <v>240.0</v>
      </c>
      <c r="G640" s="5" t="s">
        <v>83</v>
      </c>
      <c r="H640" s="5" t="s">
        <v>83</v>
      </c>
      <c r="I640" s="6" t="s">
        <v>40</v>
      </c>
      <c r="J640" s="5" t="s">
        <v>8585</v>
      </c>
      <c r="K640" s="5" t="s">
        <v>8632</v>
      </c>
      <c r="L640" s="6" t="s">
        <v>42</v>
      </c>
      <c r="M640" s="5" t="s">
        <v>995</v>
      </c>
      <c r="N640" s="5" t="s">
        <v>64</v>
      </c>
      <c r="O640" s="5" t="s">
        <v>10492</v>
      </c>
      <c r="P640" s="6">
        <v>8521.0</v>
      </c>
    </row>
    <row r="641" ht="56.25" customHeight="1">
      <c r="A641" s="5" t="s">
        <v>10483</v>
      </c>
      <c r="B641" s="6" t="str">
        <f>IMAGE("https://storage.googleapis.com/acdb/tops/TopsTexTopYshirtsLOpencollar2.png")</f>
        <v/>
      </c>
      <c r="C641" s="5" t="s">
        <v>96</v>
      </c>
      <c r="D641" s="8" t="s">
        <v>36</v>
      </c>
      <c r="E641" s="6">
        <v>960.0</v>
      </c>
      <c r="F641" s="6">
        <v>240.0</v>
      </c>
      <c r="G641" s="5" t="s">
        <v>96</v>
      </c>
      <c r="H641" s="5" t="s">
        <v>96</v>
      </c>
      <c r="I641" s="6" t="s">
        <v>40</v>
      </c>
      <c r="J641" s="5" t="s">
        <v>8585</v>
      </c>
      <c r="K641" s="5" t="s">
        <v>8632</v>
      </c>
      <c r="L641" s="6" t="s">
        <v>42</v>
      </c>
      <c r="M641" s="5" t="s">
        <v>995</v>
      </c>
      <c r="N641" s="5" t="s">
        <v>64</v>
      </c>
      <c r="O641" s="5" t="s">
        <v>10494</v>
      </c>
      <c r="P641" s="6">
        <v>8522.0</v>
      </c>
    </row>
    <row r="642" ht="56.25" customHeight="1">
      <c r="A642" s="5" t="s">
        <v>10483</v>
      </c>
      <c r="B642" s="6" t="str">
        <f>IMAGE("https://storage.googleapis.com/acdb/tops/TopsTexTopYshirtsLOpencollar3.png")</f>
        <v/>
      </c>
      <c r="C642" s="5" t="s">
        <v>38</v>
      </c>
      <c r="D642" s="8" t="s">
        <v>36</v>
      </c>
      <c r="E642" s="6">
        <v>960.0</v>
      </c>
      <c r="F642" s="6">
        <v>240.0</v>
      </c>
      <c r="G642" s="5" t="s">
        <v>38</v>
      </c>
      <c r="H642" s="5" t="s">
        <v>38</v>
      </c>
      <c r="I642" s="6" t="s">
        <v>40</v>
      </c>
      <c r="J642" s="5" t="s">
        <v>8585</v>
      </c>
      <c r="K642" s="5" t="s">
        <v>8632</v>
      </c>
      <c r="L642" s="6" t="s">
        <v>42</v>
      </c>
      <c r="M642" s="5" t="s">
        <v>995</v>
      </c>
      <c r="N642" s="5" t="s">
        <v>64</v>
      </c>
      <c r="O642" s="5" t="s">
        <v>10497</v>
      </c>
      <c r="P642" s="6">
        <v>8523.0</v>
      </c>
    </row>
    <row r="643" ht="56.25" customHeight="1">
      <c r="A643" s="5" t="s">
        <v>10498</v>
      </c>
      <c r="B643" s="6" t="str">
        <f>IMAGE("https://storage.googleapis.com/acdb/tops/TopsTexTopYshirtsHBigstole1.png")</f>
        <v/>
      </c>
      <c r="C643" s="5" t="s">
        <v>69</v>
      </c>
      <c r="D643" s="8" t="s">
        <v>36</v>
      </c>
      <c r="E643" s="6">
        <v>1120.0</v>
      </c>
      <c r="F643" s="6">
        <v>280.0</v>
      </c>
      <c r="G643" s="5" t="s">
        <v>69</v>
      </c>
      <c r="H643" s="5" t="s">
        <v>95</v>
      </c>
      <c r="I643" s="6" t="s">
        <v>40</v>
      </c>
      <c r="J643" s="5" t="s">
        <v>8585</v>
      </c>
      <c r="K643" s="5" t="s">
        <v>8632</v>
      </c>
      <c r="L643" s="6" t="s">
        <v>42</v>
      </c>
      <c r="M643" s="5" t="s">
        <v>1952</v>
      </c>
      <c r="N643" s="5" t="s">
        <v>64</v>
      </c>
      <c r="O643" s="5" t="s">
        <v>10499</v>
      </c>
      <c r="P643" s="6">
        <v>8427.0</v>
      </c>
    </row>
    <row r="644" ht="56.25" customHeight="1">
      <c r="A644" s="5" t="s">
        <v>10498</v>
      </c>
      <c r="B644" s="6" t="str">
        <f>IMAGE("https://storage.googleapis.com/acdb/tops/TopsTexTopYshirtsHBigstole2.png")</f>
        <v/>
      </c>
      <c r="C644" s="5" t="s">
        <v>95</v>
      </c>
      <c r="D644" s="8" t="s">
        <v>36</v>
      </c>
      <c r="E644" s="6">
        <v>1120.0</v>
      </c>
      <c r="F644" s="6">
        <v>280.0</v>
      </c>
      <c r="G644" s="5" t="s">
        <v>95</v>
      </c>
      <c r="H644" s="5" t="s">
        <v>54</v>
      </c>
      <c r="I644" s="6" t="s">
        <v>40</v>
      </c>
      <c r="J644" s="5" t="s">
        <v>8585</v>
      </c>
      <c r="K644" s="5" t="s">
        <v>8632</v>
      </c>
      <c r="L644" s="6" t="s">
        <v>42</v>
      </c>
      <c r="M644" s="5" t="s">
        <v>1952</v>
      </c>
      <c r="N644" s="5" t="s">
        <v>64</v>
      </c>
      <c r="O644" s="5" t="s">
        <v>10501</v>
      </c>
      <c r="P644" s="6">
        <v>8428.0</v>
      </c>
    </row>
    <row r="645" ht="56.25" customHeight="1">
      <c r="A645" s="5" t="s">
        <v>10498</v>
      </c>
      <c r="B645" s="6" t="str">
        <f>IMAGE("https://storage.googleapis.com/acdb/tops/TopsTexTopYshirtsHBigstole0.png")</f>
        <v/>
      </c>
      <c r="C645" s="5" t="s">
        <v>39</v>
      </c>
      <c r="D645" s="8" t="s">
        <v>36</v>
      </c>
      <c r="E645" s="6">
        <v>1120.0</v>
      </c>
      <c r="F645" s="6">
        <v>280.0</v>
      </c>
      <c r="G645" s="5" t="s">
        <v>39</v>
      </c>
      <c r="H645" s="5" t="s">
        <v>39</v>
      </c>
      <c r="I645" s="6" t="s">
        <v>40</v>
      </c>
      <c r="J645" s="5" t="s">
        <v>8585</v>
      </c>
      <c r="K645" s="5" t="s">
        <v>8632</v>
      </c>
      <c r="L645" s="6" t="s">
        <v>42</v>
      </c>
      <c r="M645" s="5" t="s">
        <v>1952</v>
      </c>
      <c r="N645" s="5" t="s">
        <v>64</v>
      </c>
      <c r="O645" s="5" t="s">
        <v>10503</v>
      </c>
      <c r="P645" s="6">
        <v>4154.0</v>
      </c>
    </row>
    <row r="646" ht="56.25" customHeight="1">
      <c r="A646" s="5" t="s">
        <v>10504</v>
      </c>
      <c r="B646" s="6" t="str">
        <f>IMAGE("https://storage.googleapis.com/acdb/tops/TopsTexTopCoatLInparker0.png")</f>
        <v/>
      </c>
      <c r="C646" s="5" t="s">
        <v>1187</v>
      </c>
      <c r="D646" s="8" t="s">
        <v>36</v>
      </c>
      <c r="E646" s="6">
        <v>2320.0</v>
      </c>
      <c r="F646" s="6">
        <v>580.0</v>
      </c>
      <c r="G646" s="5" t="s">
        <v>68</v>
      </c>
      <c r="H646" s="5" t="s">
        <v>95</v>
      </c>
      <c r="I646" s="6" t="s">
        <v>40</v>
      </c>
      <c r="J646" s="5" t="s">
        <v>8585</v>
      </c>
      <c r="K646" s="5" t="s">
        <v>8586</v>
      </c>
      <c r="L646" s="6" t="s">
        <v>42</v>
      </c>
      <c r="M646" s="5" t="s">
        <v>1952</v>
      </c>
      <c r="N646" s="5" t="s">
        <v>64</v>
      </c>
      <c r="O646" s="5" t="s">
        <v>10506</v>
      </c>
      <c r="P646" s="6">
        <v>4420.0</v>
      </c>
    </row>
    <row r="647" ht="56.25" customHeight="1">
      <c r="A647" s="5" t="s">
        <v>10504</v>
      </c>
      <c r="B647" s="6" t="str">
        <f>IMAGE("https://storage.googleapis.com/acdb/tops/TopsTexTopCoatLInparker1.png")</f>
        <v/>
      </c>
      <c r="C647" s="5" t="s">
        <v>68</v>
      </c>
      <c r="D647" s="8" t="s">
        <v>36</v>
      </c>
      <c r="E647" s="6">
        <v>2320.0</v>
      </c>
      <c r="F647" s="6">
        <v>580.0</v>
      </c>
      <c r="G647" s="5" t="s">
        <v>83</v>
      </c>
      <c r="H647" s="5" t="s">
        <v>95</v>
      </c>
      <c r="I647" s="6" t="s">
        <v>40</v>
      </c>
      <c r="J647" s="5" t="s">
        <v>8585</v>
      </c>
      <c r="K647" s="5" t="s">
        <v>8586</v>
      </c>
      <c r="L647" s="6" t="s">
        <v>42</v>
      </c>
      <c r="M647" s="5" t="s">
        <v>1952</v>
      </c>
      <c r="N647" s="5" t="s">
        <v>64</v>
      </c>
      <c r="O647" s="5" t="s">
        <v>10509</v>
      </c>
      <c r="P647" s="6">
        <v>8444.0</v>
      </c>
    </row>
    <row r="648" ht="56.25" customHeight="1">
      <c r="A648" s="5" t="s">
        <v>10504</v>
      </c>
      <c r="B648" s="6" t="str">
        <f>IMAGE("https://storage.googleapis.com/acdb/tops/TopsTexTopCoatLInparker2.png")</f>
        <v/>
      </c>
      <c r="C648" s="5" t="s">
        <v>54</v>
      </c>
      <c r="D648" s="8" t="s">
        <v>36</v>
      </c>
      <c r="E648" s="6">
        <v>2320.0</v>
      </c>
      <c r="F648" s="6">
        <v>580.0</v>
      </c>
      <c r="G648" s="5" t="s">
        <v>54</v>
      </c>
      <c r="H648" s="5" t="s">
        <v>57</v>
      </c>
      <c r="I648" s="6" t="s">
        <v>40</v>
      </c>
      <c r="J648" s="5" t="s">
        <v>8585</v>
      </c>
      <c r="K648" s="5" t="s">
        <v>8586</v>
      </c>
      <c r="L648" s="6" t="s">
        <v>42</v>
      </c>
      <c r="M648" s="5" t="s">
        <v>1952</v>
      </c>
      <c r="N648" s="5" t="s">
        <v>64</v>
      </c>
      <c r="O648" s="5" t="s">
        <v>10511</v>
      </c>
      <c r="P648" s="6">
        <v>8445.0</v>
      </c>
    </row>
    <row r="649" ht="56.25" customHeight="1">
      <c r="A649" s="5" t="s">
        <v>10504</v>
      </c>
      <c r="B649" s="6" t="str">
        <f>IMAGE("https://storage.googleapis.com/acdb/tops/TopsTexTopCoatLInparker3.png")</f>
        <v/>
      </c>
      <c r="C649" s="5" t="s">
        <v>96</v>
      </c>
      <c r="D649" s="8" t="s">
        <v>36</v>
      </c>
      <c r="E649" s="6">
        <v>2320.0</v>
      </c>
      <c r="F649" s="6">
        <v>580.0</v>
      </c>
      <c r="G649" s="5" t="s">
        <v>96</v>
      </c>
      <c r="H649" s="5" t="s">
        <v>54</v>
      </c>
      <c r="I649" s="6" t="s">
        <v>40</v>
      </c>
      <c r="J649" s="5" t="s">
        <v>8585</v>
      </c>
      <c r="K649" s="5" t="s">
        <v>8586</v>
      </c>
      <c r="L649" s="6" t="s">
        <v>42</v>
      </c>
      <c r="M649" s="5" t="s">
        <v>1952</v>
      </c>
      <c r="N649" s="5" t="s">
        <v>64</v>
      </c>
      <c r="O649" s="5" t="s">
        <v>10512</v>
      </c>
      <c r="P649" s="6">
        <v>8446.0</v>
      </c>
    </row>
    <row r="650" ht="56.25" customHeight="1">
      <c r="A650" s="5" t="s">
        <v>10504</v>
      </c>
      <c r="B650" s="6" t="str">
        <f>IMAGE("https://storage.googleapis.com/acdb/tops/TopsTexTopCoatLInparker4.png")</f>
        <v/>
      </c>
      <c r="C650" s="5" t="s">
        <v>95</v>
      </c>
      <c r="D650" s="8" t="s">
        <v>36</v>
      </c>
      <c r="E650" s="6">
        <v>2320.0</v>
      </c>
      <c r="F650" s="6">
        <v>580.0</v>
      </c>
      <c r="G650" s="5" t="s">
        <v>95</v>
      </c>
      <c r="H650" s="5" t="s">
        <v>54</v>
      </c>
      <c r="I650" s="6" t="s">
        <v>40</v>
      </c>
      <c r="J650" s="5" t="s">
        <v>8585</v>
      </c>
      <c r="K650" s="5" t="s">
        <v>8586</v>
      </c>
      <c r="L650" s="6" t="s">
        <v>42</v>
      </c>
      <c r="M650" s="5" t="s">
        <v>1952</v>
      </c>
      <c r="N650" s="5" t="s">
        <v>64</v>
      </c>
      <c r="O650" s="5" t="s">
        <v>10516</v>
      </c>
      <c r="P650" s="6">
        <v>8447.0</v>
      </c>
    </row>
    <row r="651" ht="56.25" customHeight="1">
      <c r="A651" s="5" t="s">
        <v>10504</v>
      </c>
      <c r="B651" s="6" t="str">
        <f>IMAGE("https://storage.googleapis.com/acdb/tops/TopsTexTopCoatLInparker5.png")</f>
        <v/>
      </c>
      <c r="C651" s="5" t="s">
        <v>114</v>
      </c>
      <c r="D651" s="8" t="s">
        <v>36</v>
      </c>
      <c r="E651" s="6">
        <v>2320.0</v>
      </c>
      <c r="F651" s="6">
        <v>580.0</v>
      </c>
      <c r="G651" s="5" t="s">
        <v>114</v>
      </c>
      <c r="H651" s="5" t="s">
        <v>54</v>
      </c>
      <c r="I651" s="6" t="s">
        <v>40</v>
      </c>
      <c r="J651" s="5" t="s">
        <v>8585</v>
      </c>
      <c r="K651" s="5" t="s">
        <v>8586</v>
      </c>
      <c r="L651" s="6" t="s">
        <v>42</v>
      </c>
      <c r="M651" s="5" t="s">
        <v>1952</v>
      </c>
      <c r="N651" s="5" t="s">
        <v>64</v>
      </c>
      <c r="O651" s="5" t="s">
        <v>10518</v>
      </c>
      <c r="P651" s="6">
        <v>8448.0</v>
      </c>
    </row>
    <row r="652" ht="56.25" customHeight="1">
      <c r="A652" s="5" t="s">
        <v>10519</v>
      </c>
      <c r="B652" s="6" t="str">
        <f>IMAGE("https://storage.googleapis.com/acdb/tops/TopsTexTopCoatLPatchwork0.png")</f>
        <v/>
      </c>
      <c r="C652" s="5" t="s">
        <v>39</v>
      </c>
      <c r="D652" s="8" t="s">
        <v>36</v>
      </c>
      <c r="E652" s="6">
        <v>2380.0</v>
      </c>
      <c r="F652" s="6">
        <v>595.0</v>
      </c>
      <c r="G652" s="5" t="s">
        <v>39</v>
      </c>
      <c r="H652" s="5" t="s">
        <v>142</v>
      </c>
      <c r="I652" s="6" t="s">
        <v>40</v>
      </c>
      <c r="J652" s="5" t="s">
        <v>8585</v>
      </c>
      <c r="K652" s="5" t="s">
        <v>8586</v>
      </c>
      <c r="L652" s="6" t="s">
        <v>42</v>
      </c>
      <c r="M652" s="5" t="s">
        <v>1959</v>
      </c>
      <c r="N652" s="5" t="s">
        <v>64</v>
      </c>
      <c r="O652" s="5" t="s">
        <v>10523</v>
      </c>
      <c r="P652" s="6">
        <v>4605.0</v>
      </c>
    </row>
    <row r="653" ht="56.25" customHeight="1">
      <c r="A653" s="5" t="s">
        <v>10519</v>
      </c>
      <c r="B653" s="6" t="str">
        <f>IMAGE("https://storage.googleapis.com/acdb/tops/TopsTexTopCoatLPatchwork1.png")</f>
        <v/>
      </c>
      <c r="C653" s="5" t="s">
        <v>96</v>
      </c>
      <c r="D653" s="8" t="s">
        <v>36</v>
      </c>
      <c r="E653" s="6">
        <v>2380.0</v>
      </c>
      <c r="F653" s="6">
        <v>595.0</v>
      </c>
      <c r="G653" s="5" t="s">
        <v>96</v>
      </c>
      <c r="H653" s="5" t="s">
        <v>54</v>
      </c>
      <c r="I653" s="6" t="s">
        <v>40</v>
      </c>
      <c r="J653" s="5" t="s">
        <v>8585</v>
      </c>
      <c r="K653" s="5" t="s">
        <v>8586</v>
      </c>
      <c r="L653" s="6" t="s">
        <v>42</v>
      </c>
      <c r="M653" s="5" t="s">
        <v>1959</v>
      </c>
      <c r="N653" s="5" t="s">
        <v>64</v>
      </c>
      <c r="O653" s="5" t="s">
        <v>10526</v>
      </c>
      <c r="P653" s="6">
        <v>8462.0</v>
      </c>
    </row>
    <row r="654" ht="56.25" customHeight="1">
      <c r="A654" s="5" t="s">
        <v>10519</v>
      </c>
      <c r="B654" s="6" t="str">
        <f>IMAGE("https://storage.googleapis.com/acdb/tops/TopsTexTopCoatLPatchwork2.png")</f>
        <v/>
      </c>
      <c r="C654" s="5" t="s">
        <v>95</v>
      </c>
      <c r="D654" s="8" t="s">
        <v>36</v>
      </c>
      <c r="E654" s="6">
        <v>2380.0</v>
      </c>
      <c r="F654" s="6">
        <v>595.0</v>
      </c>
      <c r="G654" s="5" t="s">
        <v>95</v>
      </c>
      <c r="H654" s="5" t="s">
        <v>54</v>
      </c>
      <c r="I654" s="6" t="s">
        <v>40</v>
      </c>
      <c r="J654" s="5" t="s">
        <v>8585</v>
      </c>
      <c r="K654" s="5" t="s">
        <v>8586</v>
      </c>
      <c r="L654" s="6" t="s">
        <v>42</v>
      </c>
      <c r="M654" s="5" t="s">
        <v>1959</v>
      </c>
      <c r="N654" s="5" t="s">
        <v>64</v>
      </c>
      <c r="O654" s="5" t="s">
        <v>10529</v>
      </c>
      <c r="P654" s="6">
        <v>8463.0</v>
      </c>
    </row>
    <row r="655" ht="56.25" customHeight="1">
      <c r="A655" s="5" t="s">
        <v>10530</v>
      </c>
      <c r="B655" s="6" t="str">
        <f>IMAGE("https://storage.googleapis.com/acdb/tops/TopsTexTopCoatLDuffleRed.png")</f>
        <v/>
      </c>
      <c r="C655" s="5" t="s">
        <v>52</v>
      </c>
      <c r="D655" s="8" t="s">
        <v>36</v>
      </c>
      <c r="E655" s="6">
        <v>1960.0</v>
      </c>
      <c r="F655" s="6">
        <v>490.0</v>
      </c>
      <c r="G655" s="5" t="s">
        <v>52</v>
      </c>
      <c r="H655" s="5" t="s">
        <v>52</v>
      </c>
      <c r="I655" s="6" t="s">
        <v>40</v>
      </c>
      <c r="J655" s="5" t="s">
        <v>8585</v>
      </c>
      <c r="K655" s="5" t="s">
        <v>8586</v>
      </c>
      <c r="L655" s="6" t="s">
        <v>42</v>
      </c>
      <c r="M655" s="5" t="s">
        <v>995</v>
      </c>
      <c r="N655" s="5" t="s">
        <v>64</v>
      </c>
      <c r="O655" s="5" t="s">
        <v>10534</v>
      </c>
      <c r="P655" s="6">
        <v>4172.0</v>
      </c>
    </row>
    <row r="656" ht="56.25" customHeight="1">
      <c r="A656" s="5" t="s">
        <v>10530</v>
      </c>
      <c r="B656" s="6" t="str">
        <f>IMAGE("https://storage.googleapis.com/acdb/tops/TopsTexTopCoatLDuffleBeige.png")</f>
        <v/>
      </c>
      <c r="C656" s="5" t="s">
        <v>38</v>
      </c>
      <c r="D656" s="8" t="s">
        <v>36</v>
      </c>
      <c r="E656" s="6">
        <v>1960.0</v>
      </c>
      <c r="F656" s="6">
        <v>490.0</v>
      </c>
      <c r="G656" s="5" t="s">
        <v>38</v>
      </c>
      <c r="H656" s="5" t="s">
        <v>38</v>
      </c>
      <c r="I656" s="6" t="s">
        <v>40</v>
      </c>
      <c r="J656" s="5" t="s">
        <v>8585</v>
      </c>
      <c r="K656" s="5" t="s">
        <v>8586</v>
      </c>
      <c r="L656" s="6" t="s">
        <v>42</v>
      </c>
      <c r="M656" s="5" t="s">
        <v>995</v>
      </c>
      <c r="N656" s="5" t="s">
        <v>64</v>
      </c>
      <c r="O656" s="5" t="s">
        <v>10539</v>
      </c>
      <c r="P656" s="6">
        <v>4173.0</v>
      </c>
    </row>
    <row r="657" ht="56.25" customHeight="1">
      <c r="A657" s="5" t="s">
        <v>10530</v>
      </c>
      <c r="B657" s="6" t="str">
        <f>IMAGE("https://storage.googleapis.com/acdb/tops/TopsTexTopCoatLDuffleGray.png")</f>
        <v/>
      </c>
      <c r="C657" s="5" t="s">
        <v>95</v>
      </c>
      <c r="D657" s="8" t="s">
        <v>36</v>
      </c>
      <c r="E657" s="6">
        <v>1960.0</v>
      </c>
      <c r="F657" s="6">
        <v>490.0</v>
      </c>
      <c r="G657" s="5" t="s">
        <v>95</v>
      </c>
      <c r="H657" s="5" t="s">
        <v>95</v>
      </c>
      <c r="I657" s="6" t="s">
        <v>40</v>
      </c>
      <c r="J657" s="5" t="s">
        <v>8585</v>
      </c>
      <c r="K657" s="5" t="s">
        <v>8586</v>
      </c>
      <c r="L657" s="6" t="s">
        <v>42</v>
      </c>
      <c r="M657" s="5" t="s">
        <v>995</v>
      </c>
      <c r="N657" s="5" t="s">
        <v>64</v>
      </c>
      <c r="O657" s="5" t="s">
        <v>10541</v>
      </c>
      <c r="P657" s="6">
        <v>4174.0</v>
      </c>
    </row>
    <row r="658" ht="56.25" customHeight="1">
      <c r="A658" s="5" t="s">
        <v>10530</v>
      </c>
      <c r="B658" s="6" t="str">
        <f>IMAGE("https://storage.googleapis.com/acdb/tops/TopsTexTopCoatLDuffleNavy.png")</f>
        <v/>
      </c>
      <c r="C658" s="5" t="s">
        <v>1187</v>
      </c>
      <c r="D658" s="8" t="s">
        <v>36</v>
      </c>
      <c r="E658" s="6">
        <v>1960.0</v>
      </c>
      <c r="F658" s="6">
        <v>490.0</v>
      </c>
      <c r="G658" s="5" t="s">
        <v>68</v>
      </c>
      <c r="H658" s="5" t="s">
        <v>68</v>
      </c>
      <c r="I658" s="6" t="s">
        <v>40</v>
      </c>
      <c r="J658" s="5" t="s">
        <v>8585</v>
      </c>
      <c r="K658" s="5" t="s">
        <v>8586</v>
      </c>
      <c r="L658" s="6" t="s">
        <v>42</v>
      </c>
      <c r="M658" s="5" t="s">
        <v>995</v>
      </c>
      <c r="N658" s="5" t="s">
        <v>64</v>
      </c>
      <c r="O658" s="5" t="s">
        <v>10545</v>
      </c>
      <c r="P658" s="6">
        <v>2782.0</v>
      </c>
    </row>
    <row r="659" ht="56.25" customHeight="1">
      <c r="A659" s="5" t="s">
        <v>10546</v>
      </c>
      <c r="B659" s="6" t="str">
        <f>IMAGE("https://storage.googleapis.com/acdb/tops/TopsTexTopTshirtsLPeasant1.png")</f>
        <v/>
      </c>
      <c r="C659" s="5" t="s">
        <v>54</v>
      </c>
      <c r="D659" s="8" t="s">
        <v>36</v>
      </c>
      <c r="E659" s="6">
        <v>1680.0</v>
      </c>
      <c r="F659" s="6">
        <v>420.0</v>
      </c>
      <c r="G659" s="5" t="s">
        <v>54</v>
      </c>
      <c r="H659" s="5" t="s">
        <v>57</v>
      </c>
      <c r="I659" s="6" t="s">
        <v>40</v>
      </c>
      <c r="J659" s="5" t="s">
        <v>8585</v>
      </c>
      <c r="K659" s="5" t="s">
        <v>8632</v>
      </c>
      <c r="L659" s="6" t="s">
        <v>42</v>
      </c>
      <c r="M659" s="5" t="s">
        <v>1059</v>
      </c>
      <c r="N659" s="5" t="s">
        <v>64</v>
      </c>
      <c r="O659" s="5" t="s">
        <v>10550</v>
      </c>
      <c r="P659" s="6">
        <v>8582.0</v>
      </c>
    </row>
    <row r="660" ht="56.25" customHeight="1">
      <c r="A660" s="5" t="s">
        <v>10546</v>
      </c>
      <c r="B660" s="6" t="str">
        <f>IMAGE("https://storage.googleapis.com/acdb/tops/TopsTexTopTshirtsLPeasant2.png")</f>
        <v/>
      </c>
      <c r="C660" s="5" t="s">
        <v>38</v>
      </c>
      <c r="D660" s="8" t="s">
        <v>36</v>
      </c>
      <c r="E660" s="6">
        <v>1680.0</v>
      </c>
      <c r="F660" s="6">
        <v>420.0</v>
      </c>
      <c r="G660" s="5" t="s">
        <v>38</v>
      </c>
      <c r="H660" s="5" t="s">
        <v>96</v>
      </c>
      <c r="I660" s="6" t="s">
        <v>40</v>
      </c>
      <c r="J660" s="5" t="s">
        <v>8585</v>
      </c>
      <c r="K660" s="5" t="s">
        <v>8632</v>
      </c>
      <c r="L660" s="6" t="s">
        <v>42</v>
      </c>
      <c r="M660" s="5" t="s">
        <v>1059</v>
      </c>
      <c r="N660" s="5" t="s">
        <v>64</v>
      </c>
      <c r="O660" s="5" t="s">
        <v>10553</v>
      </c>
      <c r="P660" s="6">
        <v>8583.0</v>
      </c>
    </row>
    <row r="661" ht="56.25" customHeight="1">
      <c r="A661" s="5" t="s">
        <v>10546</v>
      </c>
      <c r="B661" s="6" t="str">
        <f>IMAGE("https://storage.googleapis.com/acdb/tops/TopsTexTopTshirtsLPeasant3.png")</f>
        <v/>
      </c>
      <c r="C661" s="5" t="s">
        <v>69</v>
      </c>
      <c r="D661" s="8" t="s">
        <v>36</v>
      </c>
      <c r="E661" s="6">
        <v>1680.0</v>
      </c>
      <c r="F661" s="6">
        <v>420.0</v>
      </c>
      <c r="G661" s="5" t="s">
        <v>69</v>
      </c>
      <c r="H661" s="5" t="s">
        <v>142</v>
      </c>
      <c r="I661" s="6" t="s">
        <v>40</v>
      </c>
      <c r="J661" s="5" t="s">
        <v>8585</v>
      </c>
      <c r="K661" s="5" t="s">
        <v>8632</v>
      </c>
      <c r="L661" s="6" t="s">
        <v>42</v>
      </c>
      <c r="M661" s="5" t="s">
        <v>1059</v>
      </c>
      <c r="N661" s="5" t="s">
        <v>64</v>
      </c>
      <c r="O661" s="5" t="s">
        <v>10558</v>
      </c>
      <c r="P661" s="6">
        <v>8584.0</v>
      </c>
    </row>
    <row r="662" ht="56.25" customHeight="1">
      <c r="A662" s="5" t="s">
        <v>10546</v>
      </c>
      <c r="B662" s="6" t="str">
        <f>IMAGE("https://storage.googleapis.com/acdb/tops/TopsTexTopTshirtsLPeasant4.png")</f>
        <v/>
      </c>
      <c r="C662" s="5" t="s">
        <v>106</v>
      </c>
      <c r="D662" s="8" t="s">
        <v>36</v>
      </c>
      <c r="E662" s="6">
        <v>1680.0</v>
      </c>
      <c r="F662" s="6">
        <v>420.0</v>
      </c>
      <c r="G662" s="5" t="s">
        <v>106</v>
      </c>
      <c r="H662" s="5" t="s">
        <v>69</v>
      </c>
      <c r="I662" s="6" t="s">
        <v>40</v>
      </c>
      <c r="J662" s="5" t="s">
        <v>8585</v>
      </c>
      <c r="K662" s="5" t="s">
        <v>8632</v>
      </c>
      <c r="L662" s="6" t="s">
        <v>42</v>
      </c>
      <c r="M662" s="5" t="s">
        <v>1059</v>
      </c>
      <c r="N662" s="5" t="s">
        <v>64</v>
      </c>
      <c r="O662" s="5" t="s">
        <v>10561</v>
      </c>
      <c r="P662" s="6">
        <v>8585.0</v>
      </c>
    </row>
    <row r="663" ht="56.25" customHeight="1">
      <c r="A663" s="5" t="s">
        <v>10546</v>
      </c>
      <c r="B663" s="6" t="str">
        <f>IMAGE("https://storage.googleapis.com/acdb/tops/TopsTexTopTshirtsLPeasant0.png")</f>
        <v/>
      </c>
      <c r="C663" s="5" t="s">
        <v>57</v>
      </c>
      <c r="D663" s="8" t="s">
        <v>36</v>
      </c>
      <c r="E663" s="6">
        <v>1680.0</v>
      </c>
      <c r="F663" s="6">
        <v>420.0</v>
      </c>
      <c r="G663" s="5" t="s">
        <v>57</v>
      </c>
      <c r="H663" s="5" t="s">
        <v>68</v>
      </c>
      <c r="I663" s="6" t="s">
        <v>40</v>
      </c>
      <c r="J663" s="5" t="s">
        <v>8585</v>
      </c>
      <c r="K663" s="5" t="s">
        <v>8632</v>
      </c>
      <c r="L663" s="6" t="s">
        <v>42</v>
      </c>
      <c r="M663" s="5" t="s">
        <v>1059</v>
      </c>
      <c r="N663" s="5" t="s">
        <v>64</v>
      </c>
      <c r="O663" s="5" t="s">
        <v>10563</v>
      </c>
      <c r="P663" s="6">
        <v>4247.0</v>
      </c>
    </row>
    <row r="664" ht="56.25" customHeight="1">
      <c r="A664" s="5" t="s">
        <v>10564</v>
      </c>
      <c r="B664" s="6" t="str">
        <f>IMAGE("https://storage.googleapis.com/acdb/tops/TopsTexTopYshirtsHAloha6.png")</f>
        <v/>
      </c>
      <c r="C664" s="5" t="s">
        <v>142</v>
      </c>
      <c r="D664" s="8" t="s">
        <v>36</v>
      </c>
      <c r="E664" s="6">
        <v>960.0</v>
      </c>
      <c r="F664" s="6">
        <v>240.0</v>
      </c>
      <c r="G664" s="5" t="s">
        <v>142</v>
      </c>
      <c r="H664" s="5" t="s">
        <v>114</v>
      </c>
      <c r="I664" s="6" t="s">
        <v>40</v>
      </c>
      <c r="J664" s="5" t="s">
        <v>8585</v>
      </c>
      <c r="K664" s="5" t="s">
        <v>8632</v>
      </c>
      <c r="L664" s="6" t="s">
        <v>42</v>
      </c>
      <c r="M664" s="5" t="s">
        <v>8746</v>
      </c>
      <c r="N664" s="5" t="s">
        <v>64</v>
      </c>
      <c r="O664" s="5" t="s">
        <v>10566</v>
      </c>
      <c r="P664" s="6">
        <v>9774.0</v>
      </c>
    </row>
    <row r="665" ht="56.25" customHeight="1">
      <c r="A665" s="5" t="s">
        <v>10564</v>
      </c>
      <c r="B665" s="6" t="str">
        <f>IMAGE("https://storage.googleapis.com/acdb/tops/TopsTexTopYshirtsHAloha1.png")</f>
        <v/>
      </c>
      <c r="C665" s="5" t="s">
        <v>52</v>
      </c>
      <c r="D665" s="8" t="s">
        <v>36</v>
      </c>
      <c r="E665" s="6">
        <v>960.0</v>
      </c>
      <c r="F665" s="6">
        <v>240.0</v>
      </c>
      <c r="G665" s="5" t="s">
        <v>52</v>
      </c>
      <c r="H665" s="5" t="s">
        <v>114</v>
      </c>
      <c r="I665" s="6" t="s">
        <v>40</v>
      </c>
      <c r="J665" s="5" t="s">
        <v>8585</v>
      </c>
      <c r="K665" s="5" t="s">
        <v>8632</v>
      </c>
      <c r="L665" s="6" t="s">
        <v>42</v>
      </c>
      <c r="M665" s="5" t="s">
        <v>8746</v>
      </c>
      <c r="N665" s="5" t="s">
        <v>64</v>
      </c>
      <c r="O665" s="5" t="s">
        <v>10569</v>
      </c>
      <c r="P665" s="6">
        <v>6819.0</v>
      </c>
    </row>
    <row r="666" ht="56.25" customHeight="1">
      <c r="A666" s="5" t="s">
        <v>10564</v>
      </c>
      <c r="B666" s="6" t="str">
        <f>IMAGE("https://storage.googleapis.com/acdb/tops/TopsTexTopYshirtsHAloha2.png")</f>
        <v/>
      </c>
      <c r="C666" s="5" t="s">
        <v>114</v>
      </c>
      <c r="D666" s="8" t="s">
        <v>36</v>
      </c>
      <c r="E666" s="6">
        <v>960.0</v>
      </c>
      <c r="F666" s="6">
        <v>240.0</v>
      </c>
      <c r="G666" s="5" t="s">
        <v>114</v>
      </c>
      <c r="H666" s="5" t="s">
        <v>83</v>
      </c>
      <c r="I666" s="6" t="s">
        <v>40</v>
      </c>
      <c r="J666" s="5" t="s">
        <v>8585</v>
      </c>
      <c r="K666" s="5" t="s">
        <v>8632</v>
      </c>
      <c r="L666" s="6" t="s">
        <v>42</v>
      </c>
      <c r="M666" s="5" t="s">
        <v>8746</v>
      </c>
      <c r="N666" s="5" t="s">
        <v>64</v>
      </c>
      <c r="O666" s="5" t="s">
        <v>10570</v>
      </c>
      <c r="P666" s="6">
        <v>6820.0</v>
      </c>
    </row>
    <row r="667" ht="56.25" customHeight="1">
      <c r="A667" s="5" t="s">
        <v>10564</v>
      </c>
      <c r="B667" s="6" t="str">
        <f>IMAGE("https://storage.googleapis.com/acdb/tops/TopsTexTopYshirtsHAloha3.png")</f>
        <v/>
      </c>
      <c r="C667" s="5" t="s">
        <v>96</v>
      </c>
      <c r="D667" s="8" t="s">
        <v>36</v>
      </c>
      <c r="E667" s="6">
        <v>960.0</v>
      </c>
      <c r="F667" s="6">
        <v>240.0</v>
      </c>
      <c r="G667" s="5" t="s">
        <v>96</v>
      </c>
      <c r="H667" s="5" t="s">
        <v>114</v>
      </c>
      <c r="I667" s="6" t="s">
        <v>40</v>
      </c>
      <c r="J667" s="5" t="s">
        <v>8585</v>
      </c>
      <c r="K667" s="5" t="s">
        <v>8632</v>
      </c>
      <c r="L667" s="6" t="s">
        <v>42</v>
      </c>
      <c r="M667" s="5" t="s">
        <v>8746</v>
      </c>
      <c r="N667" s="5" t="s">
        <v>64</v>
      </c>
      <c r="O667" s="5" t="s">
        <v>10572</v>
      </c>
      <c r="P667" s="6">
        <v>6821.0</v>
      </c>
    </row>
    <row r="668" ht="56.25" customHeight="1">
      <c r="A668" s="5" t="s">
        <v>10564</v>
      </c>
      <c r="B668" s="6" t="str">
        <f>IMAGE("https://storage.googleapis.com/acdb/tops/TopsTexTopYshirtsHAloha0.png")</f>
        <v/>
      </c>
      <c r="C668" s="5" t="s">
        <v>68</v>
      </c>
      <c r="D668" s="8" t="s">
        <v>36</v>
      </c>
      <c r="E668" s="6">
        <v>960.0</v>
      </c>
      <c r="F668" s="6">
        <v>240.0</v>
      </c>
      <c r="G668" s="5" t="s">
        <v>68</v>
      </c>
      <c r="H668" s="5" t="s">
        <v>83</v>
      </c>
      <c r="I668" s="6" t="s">
        <v>40</v>
      </c>
      <c r="J668" s="5" t="s">
        <v>8585</v>
      </c>
      <c r="K668" s="5" t="s">
        <v>8632</v>
      </c>
      <c r="L668" s="6" t="s">
        <v>42</v>
      </c>
      <c r="M668" s="5" t="s">
        <v>8746</v>
      </c>
      <c r="N668" s="5" t="s">
        <v>64</v>
      </c>
      <c r="O668" s="5" t="s">
        <v>10575</v>
      </c>
      <c r="P668" s="6">
        <v>3237.0</v>
      </c>
    </row>
    <row r="669" ht="56.25" customHeight="1">
      <c r="A669" s="5" t="s">
        <v>10564</v>
      </c>
      <c r="B669" s="6" t="str">
        <f>IMAGE("https://storage.googleapis.com/acdb/tops/TopsTexTopYshirtsHAloha4.png")</f>
        <v/>
      </c>
      <c r="C669" s="5" t="s">
        <v>106</v>
      </c>
      <c r="D669" s="8" t="s">
        <v>36</v>
      </c>
      <c r="E669" s="6">
        <v>960.0</v>
      </c>
      <c r="F669" s="6">
        <v>240.0</v>
      </c>
      <c r="G669" s="5" t="s">
        <v>106</v>
      </c>
      <c r="H669" s="5" t="s">
        <v>83</v>
      </c>
      <c r="I669" s="6" t="s">
        <v>40</v>
      </c>
      <c r="J669" s="5" t="s">
        <v>8585</v>
      </c>
      <c r="K669" s="5" t="s">
        <v>8632</v>
      </c>
      <c r="L669" s="6" t="s">
        <v>42</v>
      </c>
      <c r="M669" s="5" t="s">
        <v>8746</v>
      </c>
      <c r="N669" s="5" t="s">
        <v>64</v>
      </c>
      <c r="O669" s="5" t="s">
        <v>10579</v>
      </c>
      <c r="P669" s="6">
        <v>9772.0</v>
      </c>
    </row>
    <row r="670" ht="56.25" customHeight="1">
      <c r="A670" s="5" t="s">
        <v>10564</v>
      </c>
      <c r="B670" s="6" t="str">
        <f>IMAGE("https://storage.googleapis.com/acdb/tops/TopsTexTopYshirtsHAloha5.png")</f>
        <v/>
      </c>
      <c r="C670" s="5" t="s">
        <v>69</v>
      </c>
      <c r="D670" s="8" t="s">
        <v>36</v>
      </c>
      <c r="E670" s="6">
        <v>960.0</v>
      </c>
      <c r="F670" s="6">
        <v>240.0</v>
      </c>
      <c r="G670" s="5" t="s">
        <v>69</v>
      </c>
      <c r="H670" s="5" t="s">
        <v>142</v>
      </c>
      <c r="I670" s="6" t="s">
        <v>40</v>
      </c>
      <c r="J670" s="5" t="s">
        <v>8585</v>
      </c>
      <c r="K670" s="5" t="s">
        <v>8632</v>
      </c>
      <c r="L670" s="6" t="s">
        <v>42</v>
      </c>
      <c r="M670" s="5" t="s">
        <v>8746</v>
      </c>
      <c r="N670" s="5" t="s">
        <v>64</v>
      </c>
      <c r="O670" s="5" t="s">
        <v>10581</v>
      </c>
      <c r="P670" s="6">
        <v>9773.0</v>
      </c>
    </row>
    <row r="671" ht="56.25" customHeight="1">
      <c r="A671" s="5" t="s">
        <v>10582</v>
      </c>
      <c r="B671" s="6" t="str">
        <f>IMAGE("https://storage.googleapis.com/acdb/tops/TopsTexTopPuffHPlaid0.png")</f>
        <v/>
      </c>
      <c r="C671" s="5" t="s">
        <v>10584</v>
      </c>
      <c r="D671" s="8" t="s">
        <v>36</v>
      </c>
      <c r="E671" s="6">
        <v>1200.0</v>
      </c>
      <c r="F671" s="6">
        <v>300.0</v>
      </c>
      <c r="G671" s="5" t="s">
        <v>83</v>
      </c>
      <c r="H671" s="5" t="s">
        <v>52</v>
      </c>
      <c r="I671" s="6" t="s">
        <v>40</v>
      </c>
      <c r="J671" s="5" t="s">
        <v>8585</v>
      </c>
      <c r="K671" s="5" t="s">
        <v>8632</v>
      </c>
      <c r="L671" s="6" t="s">
        <v>42</v>
      </c>
      <c r="M671" s="5" t="s">
        <v>1959</v>
      </c>
      <c r="N671" s="5" t="s">
        <v>64</v>
      </c>
      <c r="O671" s="5" t="s">
        <v>10585</v>
      </c>
      <c r="P671" s="6">
        <v>9827.0</v>
      </c>
    </row>
    <row r="672" ht="56.25" customHeight="1">
      <c r="A672" s="5" t="s">
        <v>10582</v>
      </c>
      <c r="B672" s="6" t="str">
        <f>IMAGE("https://storage.googleapis.com/acdb/tops/TopsTexTopPuffHPlaid1.png")</f>
        <v/>
      </c>
      <c r="C672" s="5" t="s">
        <v>10587</v>
      </c>
      <c r="D672" s="8" t="s">
        <v>36</v>
      </c>
      <c r="E672" s="6">
        <v>1200.0</v>
      </c>
      <c r="F672" s="6">
        <v>300.0</v>
      </c>
      <c r="G672" s="5" t="s">
        <v>142</v>
      </c>
      <c r="H672" s="5" t="s">
        <v>83</v>
      </c>
      <c r="I672" s="6" t="s">
        <v>40</v>
      </c>
      <c r="J672" s="5" t="s">
        <v>8585</v>
      </c>
      <c r="K672" s="5" t="s">
        <v>8632</v>
      </c>
      <c r="L672" s="6" t="s">
        <v>42</v>
      </c>
      <c r="M672" s="5" t="s">
        <v>1959</v>
      </c>
      <c r="N672" s="5" t="s">
        <v>64</v>
      </c>
      <c r="O672" s="5" t="s">
        <v>10588</v>
      </c>
      <c r="P672" s="6">
        <v>12083.0</v>
      </c>
    </row>
    <row r="673" ht="56.25" customHeight="1">
      <c r="A673" s="5" t="s">
        <v>10582</v>
      </c>
      <c r="B673" s="6" t="str">
        <f>IMAGE("https://storage.googleapis.com/acdb/tops/TopsTexTopPuffHPlaid2.png")</f>
        <v/>
      </c>
      <c r="C673" s="5" t="s">
        <v>10591</v>
      </c>
      <c r="D673" s="8" t="s">
        <v>36</v>
      </c>
      <c r="E673" s="6">
        <v>1200.0</v>
      </c>
      <c r="F673" s="6">
        <v>300.0</v>
      </c>
      <c r="G673" s="5" t="s">
        <v>106</v>
      </c>
      <c r="H673" s="5" t="s">
        <v>68</v>
      </c>
      <c r="I673" s="6" t="s">
        <v>40</v>
      </c>
      <c r="J673" s="5" t="s">
        <v>8585</v>
      </c>
      <c r="K673" s="5" t="s">
        <v>8632</v>
      </c>
      <c r="L673" s="6" t="s">
        <v>42</v>
      </c>
      <c r="M673" s="5" t="s">
        <v>1959</v>
      </c>
      <c r="N673" s="5" t="s">
        <v>64</v>
      </c>
      <c r="O673" s="5" t="s">
        <v>10592</v>
      </c>
      <c r="P673" s="6">
        <v>12084.0</v>
      </c>
    </row>
    <row r="674" ht="56.25" customHeight="1">
      <c r="A674" s="5" t="s">
        <v>10582</v>
      </c>
      <c r="B674" s="6" t="str">
        <f>IMAGE("https://storage.googleapis.com/acdb/tops/TopsTexTopPuffHPlaid3.png")</f>
        <v/>
      </c>
      <c r="C674" s="5" t="s">
        <v>10594</v>
      </c>
      <c r="D674" s="8" t="s">
        <v>36</v>
      </c>
      <c r="E674" s="6">
        <v>1200.0</v>
      </c>
      <c r="F674" s="6">
        <v>300.0</v>
      </c>
      <c r="G674" s="5" t="s">
        <v>96</v>
      </c>
      <c r="H674" s="5" t="s">
        <v>39</v>
      </c>
      <c r="I674" s="6" t="s">
        <v>40</v>
      </c>
      <c r="J674" s="5" t="s">
        <v>8585</v>
      </c>
      <c r="K674" s="5" t="s">
        <v>8632</v>
      </c>
      <c r="L674" s="6" t="s">
        <v>42</v>
      </c>
      <c r="M674" s="5" t="s">
        <v>1959</v>
      </c>
      <c r="N674" s="5" t="s">
        <v>64</v>
      </c>
      <c r="O674" s="5" t="s">
        <v>10596</v>
      </c>
      <c r="P674" s="6">
        <v>12085.0</v>
      </c>
    </row>
    <row r="675" ht="56.25" customHeight="1">
      <c r="A675" s="5" t="s">
        <v>10598</v>
      </c>
      <c r="B675" s="6" t="str">
        <f>IMAGE("https://storage.googleapis.com/acdb/tops/TopsTexTopCoatLLeathertrench1.png")</f>
        <v/>
      </c>
      <c r="C675" s="5" t="s">
        <v>106</v>
      </c>
      <c r="D675" s="8" t="s">
        <v>36</v>
      </c>
      <c r="E675" s="6">
        <v>1680.0</v>
      </c>
      <c r="F675" s="6">
        <v>420.0</v>
      </c>
      <c r="G675" s="5" t="s">
        <v>106</v>
      </c>
      <c r="H675" s="5" t="s">
        <v>54</v>
      </c>
      <c r="I675" s="6" t="s">
        <v>40</v>
      </c>
      <c r="J675" s="5" t="s">
        <v>8585</v>
      </c>
      <c r="K675" s="5" t="s">
        <v>8586</v>
      </c>
      <c r="L675" s="6" t="s">
        <v>42</v>
      </c>
      <c r="M675" s="5" t="s">
        <v>1059</v>
      </c>
      <c r="N675" s="5" t="s">
        <v>64</v>
      </c>
      <c r="O675" s="5" t="s">
        <v>10600</v>
      </c>
      <c r="P675" s="6">
        <v>9304.0</v>
      </c>
    </row>
    <row r="676" ht="56.25" customHeight="1">
      <c r="A676" s="5" t="s">
        <v>10598</v>
      </c>
      <c r="B676" s="6" t="str">
        <f>IMAGE("https://storage.googleapis.com/acdb/tops/TopsTexTopCoatLLeathertrench2.png")</f>
        <v/>
      </c>
      <c r="C676" s="5" t="s">
        <v>39</v>
      </c>
      <c r="D676" s="8" t="s">
        <v>36</v>
      </c>
      <c r="E676" s="6">
        <v>1680.0</v>
      </c>
      <c r="F676" s="6">
        <v>420.0</v>
      </c>
      <c r="G676" s="5" t="s">
        <v>39</v>
      </c>
      <c r="H676" s="5" t="s">
        <v>54</v>
      </c>
      <c r="I676" s="6" t="s">
        <v>40</v>
      </c>
      <c r="J676" s="5" t="s">
        <v>8585</v>
      </c>
      <c r="K676" s="5" t="s">
        <v>8586</v>
      </c>
      <c r="L676" s="6" t="s">
        <v>42</v>
      </c>
      <c r="M676" s="5" t="s">
        <v>1059</v>
      </c>
      <c r="N676" s="5" t="s">
        <v>64</v>
      </c>
      <c r="O676" s="5" t="s">
        <v>10602</v>
      </c>
      <c r="P676" s="6">
        <v>9305.0</v>
      </c>
    </row>
    <row r="677" ht="56.25" customHeight="1">
      <c r="A677" s="5" t="s">
        <v>10598</v>
      </c>
      <c r="B677" s="6" t="str">
        <f>IMAGE("https://storage.googleapis.com/acdb/tops/TopsTexTopCoatLLeathertrench0.png")</f>
        <v/>
      </c>
      <c r="C677" s="5" t="s">
        <v>54</v>
      </c>
      <c r="D677" s="8" t="s">
        <v>36</v>
      </c>
      <c r="E677" s="6">
        <v>1680.0</v>
      </c>
      <c r="F677" s="6">
        <v>420.0</v>
      </c>
      <c r="G677" s="5" t="s">
        <v>54</v>
      </c>
      <c r="H677" s="5" t="s">
        <v>54</v>
      </c>
      <c r="I677" s="6" t="s">
        <v>40</v>
      </c>
      <c r="J677" s="5" t="s">
        <v>8585</v>
      </c>
      <c r="K677" s="5" t="s">
        <v>8586</v>
      </c>
      <c r="L677" s="6" t="s">
        <v>42</v>
      </c>
      <c r="M677" s="5" t="s">
        <v>1059</v>
      </c>
      <c r="N677" s="5" t="s">
        <v>64</v>
      </c>
      <c r="O677" s="5" t="s">
        <v>10604</v>
      </c>
      <c r="P677" s="6">
        <v>4565.0</v>
      </c>
    </row>
    <row r="678" ht="56.25" customHeight="1">
      <c r="A678" s="5" t="s">
        <v>10605</v>
      </c>
      <c r="B678" s="6" t="str">
        <f>IMAGE("https://storage.googleapis.com/acdb/tops/TopsTexTopTshirtsLChidori1.png")</f>
        <v/>
      </c>
      <c r="C678" s="5" t="s">
        <v>54</v>
      </c>
      <c r="D678" s="8" t="s">
        <v>36</v>
      </c>
      <c r="E678" s="6">
        <v>1440.0</v>
      </c>
      <c r="F678" s="6">
        <v>360.0</v>
      </c>
      <c r="G678" s="5" t="s">
        <v>54</v>
      </c>
      <c r="H678" s="5" t="s">
        <v>38</v>
      </c>
      <c r="I678" s="6" t="s">
        <v>40</v>
      </c>
      <c r="J678" s="5" t="s">
        <v>8585</v>
      </c>
      <c r="K678" s="5" t="s">
        <v>8632</v>
      </c>
      <c r="L678" s="6" t="s">
        <v>42</v>
      </c>
      <c r="M678" s="5" t="s">
        <v>1959</v>
      </c>
      <c r="N678" s="5" t="s">
        <v>64</v>
      </c>
      <c r="O678" s="5" t="s">
        <v>10608</v>
      </c>
      <c r="P678" s="6">
        <v>8020.0</v>
      </c>
    </row>
    <row r="679" ht="56.25" customHeight="1">
      <c r="A679" s="5" t="s">
        <v>10605</v>
      </c>
      <c r="B679" s="6" t="str">
        <f>IMAGE("https://storage.googleapis.com/acdb/tops/TopsTexTopTshirtsLChidori2.png")</f>
        <v/>
      </c>
      <c r="C679" s="5" t="s">
        <v>96</v>
      </c>
      <c r="D679" s="8" t="s">
        <v>36</v>
      </c>
      <c r="E679" s="6">
        <v>1440.0</v>
      </c>
      <c r="F679" s="6">
        <v>360.0</v>
      </c>
      <c r="G679" s="5" t="s">
        <v>96</v>
      </c>
      <c r="H679" s="5" t="s">
        <v>38</v>
      </c>
      <c r="I679" s="6" t="s">
        <v>40</v>
      </c>
      <c r="J679" s="5" t="s">
        <v>8585</v>
      </c>
      <c r="K679" s="5" t="s">
        <v>8632</v>
      </c>
      <c r="L679" s="6" t="s">
        <v>42</v>
      </c>
      <c r="M679" s="5" t="s">
        <v>1959</v>
      </c>
      <c r="N679" s="5" t="s">
        <v>64</v>
      </c>
      <c r="O679" s="5" t="s">
        <v>10610</v>
      </c>
      <c r="P679" s="6">
        <v>8021.0</v>
      </c>
    </row>
    <row r="680" ht="56.25" customHeight="1">
      <c r="A680" s="5" t="s">
        <v>10605</v>
      </c>
      <c r="B680" s="6" t="str">
        <f>IMAGE("https://storage.googleapis.com/acdb/tops/TopsTexTopTshirtsLChidori0.png")</f>
        <v/>
      </c>
      <c r="C680" s="5" t="s">
        <v>52</v>
      </c>
      <c r="D680" s="8" t="s">
        <v>36</v>
      </c>
      <c r="E680" s="6">
        <v>1440.0</v>
      </c>
      <c r="F680" s="6">
        <v>360.0</v>
      </c>
      <c r="G680" s="5" t="s">
        <v>52</v>
      </c>
      <c r="H680" s="5" t="s">
        <v>38</v>
      </c>
      <c r="I680" s="6" t="s">
        <v>40</v>
      </c>
      <c r="J680" s="5" t="s">
        <v>8585</v>
      </c>
      <c r="K680" s="5" t="s">
        <v>8632</v>
      </c>
      <c r="L680" s="6" t="s">
        <v>42</v>
      </c>
      <c r="M680" s="5" t="s">
        <v>1959</v>
      </c>
      <c r="N680" s="5" t="s">
        <v>64</v>
      </c>
      <c r="O680" s="5" t="s">
        <v>10613</v>
      </c>
      <c r="P680" s="6">
        <v>4289.0</v>
      </c>
    </row>
    <row r="681" ht="56.25" customHeight="1">
      <c r="A681" s="5" t="s">
        <v>10614</v>
      </c>
      <c r="B681" s="6" t="str">
        <f>IMAGE("https://storage.googleapis.com/acdb/tops/TopsTexTopCoatLDoll2.png")</f>
        <v/>
      </c>
      <c r="C681" s="5" t="s">
        <v>95</v>
      </c>
      <c r="D681" s="8" t="s">
        <v>36</v>
      </c>
      <c r="E681" s="6">
        <v>1960.0</v>
      </c>
      <c r="F681" s="6">
        <v>490.0</v>
      </c>
      <c r="G681" s="5" t="s">
        <v>39</v>
      </c>
      <c r="H681" s="5" t="s">
        <v>95</v>
      </c>
      <c r="I681" s="6" t="s">
        <v>40</v>
      </c>
      <c r="J681" s="5" t="s">
        <v>8585</v>
      </c>
      <c r="K681" s="5" t="s">
        <v>8586</v>
      </c>
      <c r="L681" s="6" t="s">
        <v>42</v>
      </c>
      <c r="M681" s="5" t="s">
        <v>1959</v>
      </c>
      <c r="N681" s="5" t="s">
        <v>64</v>
      </c>
      <c r="O681" s="5" t="s">
        <v>10616</v>
      </c>
      <c r="P681" s="6">
        <v>12035.0</v>
      </c>
    </row>
    <row r="682" ht="56.25" customHeight="1">
      <c r="A682" s="5" t="s">
        <v>10614</v>
      </c>
      <c r="B682" s="6" t="str">
        <f>IMAGE("https://storage.googleapis.com/acdb/tops/TopsTexTopCoatLDoll0.png")</f>
        <v/>
      </c>
      <c r="C682" s="5" t="s">
        <v>142</v>
      </c>
      <c r="D682" s="8" t="s">
        <v>36</v>
      </c>
      <c r="E682" s="6">
        <v>1960.0</v>
      </c>
      <c r="F682" s="6">
        <v>490.0</v>
      </c>
      <c r="G682" s="5" t="s">
        <v>83</v>
      </c>
      <c r="H682" s="5" t="s">
        <v>142</v>
      </c>
      <c r="I682" s="6" t="s">
        <v>40</v>
      </c>
      <c r="J682" s="5" t="s">
        <v>8585</v>
      </c>
      <c r="K682" s="5" t="s">
        <v>8586</v>
      </c>
      <c r="L682" s="6" t="s">
        <v>42</v>
      </c>
      <c r="M682" s="5" t="s">
        <v>1959</v>
      </c>
      <c r="N682" s="5" t="s">
        <v>64</v>
      </c>
      <c r="O682" s="5" t="s">
        <v>10619</v>
      </c>
      <c r="P682" s="6">
        <v>10909.0</v>
      </c>
    </row>
    <row r="683" ht="56.25" customHeight="1">
      <c r="A683" s="5" t="s">
        <v>10614</v>
      </c>
      <c r="B683" s="6" t="str">
        <f>IMAGE("https://storage.googleapis.com/acdb/tops/TopsTexTopCoatLDoll1.png")</f>
        <v/>
      </c>
      <c r="C683" s="5" t="s">
        <v>69</v>
      </c>
      <c r="D683" s="8" t="s">
        <v>36</v>
      </c>
      <c r="E683" s="6">
        <v>1960.0</v>
      </c>
      <c r="F683" s="6">
        <v>490.0</v>
      </c>
      <c r="G683" s="5" t="s">
        <v>54</v>
      </c>
      <c r="H683" s="5" t="s">
        <v>69</v>
      </c>
      <c r="I683" s="6" t="s">
        <v>40</v>
      </c>
      <c r="J683" s="5" t="s">
        <v>8585</v>
      </c>
      <c r="K683" s="5" t="s">
        <v>8586</v>
      </c>
      <c r="L683" s="6" t="s">
        <v>42</v>
      </c>
      <c r="M683" s="5" t="s">
        <v>1959</v>
      </c>
      <c r="N683" s="5" t="s">
        <v>64</v>
      </c>
      <c r="O683" s="5" t="s">
        <v>10623</v>
      </c>
      <c r="P683" s="6">
        <v>12020.0</v>
      </c>
    </row>
    <row r="684" ht="56.25" customHeight="1">
      <c r="A684" s="5" t="s">
        <v>10624</v>
      </c>
      <c r="B684" s="6" t="str">
        <f>IMAGE("https://storage.googleapis.com/acdb/tops/TopsTexTopTshirtsHPocketshirts1.png")</f>
        <v/>
      </c>
      <c r="C684" s="5" t="s">
        <v>54</v>
      </c>
      <c r="D684" s="8" t="s">
        <v>36</v>
      </c>
      <c r="E684" s="6">
        <v>560.0</v>
      </c>
      <c r="F684" s="6">
        <v>140.0</v>
      </c>
      <c r="G684" s="5" t="s">
        <v>54</v>
      </c>
      <c r="H684" s="5" t="s">
        <v>54</v>
      </c>
      <c r="I684" s="6" t="s">
        <v>40</v>
      </c>
      <c r="J684" s="5" t="s">
        <v>8585</v>
      </c>
      <c r="K684" s="5" t="s">
        <v>8632</v>
      </c>
      <c r="L684" s="6" t="s">
        <v>42</v>
      </c>
      <c r="M684" s="5" t="s">
        <v>995</v>
      </c>
      <c r="N684" s="5" t="s">
        <v>64</v>
      </c>
      <c r="O684" s="5" t="s">
        <v>10626</v>
      </c>
      <c r="P684" s="6">
        <v>8349.0</v>
      </c>
    </row>
    <row r="685" ht="56.25" customHeight="1">
      <c r="A685" s="5" t="s">
        <v>10624</v>
      </c>
      <c r="B685" s="6" t="str">
        <f>IMAGE("https://storage.googleapis.com/acdb/tops/TopsTexTopTshirtsHPocketshirts2.png")</f>
        <v/>
      </c>
      <c r="C685" s="5" t="s">
        <v>106</v>
      </c>
      <c r="D685" s="8" t="s">
        <v>36</v>
      </c>
      <c r="E685" s="6">
        <v>560.0</v>
      </c>
      <c r="F685" s="6">
        <v>140.0</v>
      </c>
      <c r="G685" s="5" t="s">
        <v>106</v>
      </c>
      <c r="H685" s="5" t="s">
        <v>106</v>
      </c>
      <c r="I685" s="6" t="s">
        <v>40</v>
      </c>
      <c r="J685" s="5" t="s">
        <v>8585</v>
      </c>
      <c r="K685" s="5" t="s">
        <v>8632</v>
      </c>
      <c r="L685" s="6" t="s">
        <v>42</v>
      </c>
      <c r="M685" s="5" t="s">
        <v>995</v>
      </c>
      <c r="N685" s="5" t="s">
        <v>64</v>
      </c>
      <c r="O685" s="5" t="s">
        <v>10629</v>
      </c>
      <c r="P685" s="6">
        <v>8350.0</v>
      </c>
    </row>
    <row r="686" ht="56.25" customHeight="1">
      <c r="A686" s="5" t="s">
        <v>10624</v>
      </c>
      <c r="B686" s="6" t="str">
        <f>IMAGE("https://storage.googleapis.com/acdb/tops/TopsTexTopTshirtsHPocketshirts3.png")</f>
        <v/>
      </c>
      <c r="C686" s="5" t="s">
        <v>83</v>
      </c>
      <c r="D686" s="8" t="s">
        <v>36</v>
      </c>
      <c r="E686" s="6">
        <v>560.0</v>
      </c>
      <c r="F686" s="6">
        <v>140.0</v>
      </c>
      <c r="G686" s="5" t="s">
        <v>83</v>
      </c>
      <c r="H686" s="5" t="s">
        <v>83</v>
      </c>
      <c r="I686" s="6" t="s">
        <v>40</v>
      </c>
      <c r="J686" s="5" t="s">
        <v>8585</v>
      </c>
      <c r="K686" s="5" t="s">
        <v>8632</v>
      </c>
      <c r="L686" s="6" t="s">
        <v>42</v>
      </c>
      <c r="M686" s="5" t="s">
        <v>995</v>
      </c>
      <c r="N686" s="5" t="s">
        <v>64</v>
      </c>
      <c r="O686" s="5" t="s">
        <v>10632</v>
      </c>
      <c r="P686" s="6">
        <v>8351.0</v>
      </c>
    </row>
    <row r="687" ht="56.25" customHeight="1">
      <c r="A687" s="5" t="s">
        <v>10624</v>
      </c>
      <c r="B687" s="6" t="str">
        <f>IMAGE("https://storage.googleapis.com/acdb/tops/TopsTexTopTshirtsHPocketshirts4.png")</f>
        <v/>
      </c>
      <c r="C687" s="5" t="s">
        <v>52</v>
      </c>
      <c r="D687" s="8" t="s">
        <v>36</v>
      </c>
      <c r="E687" s="6">
        <v>560.0</v>
      </c>
      <c r="F687" s="6">
        <v>140.0</v>
      </c>
      <c r="G687" s="5" t="s">
        <v>39</v>
      </c>
      <c r="H687" s="5" t="s">
        <v>39</v>
      </c>
      <c r="I687" s="6" t="s">
        <v>40</v>
      </c>
      <c r="J687" s="5" t="s">
        <v>8585</v>
      </c>
      <c r="K687" s="5" t="s">
        <v>8632</v>
      </c>
      <c r="L687" s="6" t="s">
        <v>42</v>
      </c>
      <c r="M687" s="5" t="s">
        <v>995</v>
      </c>
      <c r="N687" s="5" t="s">
        <v>64</v>
      </c>
      <c r="O687" s="5" t="s">
        <v>10634</v>
      </c>
      <c r="P687" s="6">
        <v>8352.0</v>
      </c>
    </row>
    <row r="688" ht="56.25" customHeight="1">
      <c r="A688" s="5" t="s">
        <v>10624</v>
      </c>
      <c r="B688" s="6" t="str">
        <f>IMAGE("https://storage.googleapis.com/acdb/tops/TopsTexTopTshirtsHPocketshirts5.png")</f>
        <v/>
      </c>
      <c r="C688" s="5" t="s">
        <v>114</v>
      </c>
      <c r="D688" s="8" t="s">
        <v>36</v>
      </c>
      <c r="E688" s="6">
        <v>560.0</v>
      </c>
      <c r="F688" s="6">
        <v>140.0</v>
      </c>
      <c r="G688" s="5" t="s">
        <v>142</v>
      </c>
      <c r="H688" s="5" t="s">
        <v>142</v>
      </c>
      <c r="I688" s="6" t="s">
        <v>40</v>
      </c>
      <c r="J688" s="5" t="s">
        <v>8585</v>
      </c>
      <c r="K688" s="5" t="s">
        <v>8632</v>
      </c>
      <c r="L688" s="6" t="s">
        <v>42</v>
      </c>
      <c r="M688" s="5" t="s">
        <v>995</v>
      </c>
      <c r="N688" s="5" t="s">
        <v>64</v>
      </c>
      <c r="O688" s="5" t="s">
        <v>10637</v>
      </c>
      <c r="P688" s="6">
        <v>8353.0</v>
      </c>
    </row>
    <row r="689" ht="56.25" customHeight="1">
      <c r="A689" s="5" t="s">
        <v>10624</v>
      </c>
      <c r="B689" s="6" t="str">
        <f>IMAGE("https://storage.googleapis.com/acdb/tops/TopsTexTopTshirtsHPocketshirts6.png")</f>
        <v/>
      </c>
      <c r="C689" s="5" t="s">
        <v>69</v>
      </c>
      <c r="D689" s="8" t="s">
        <v>36</v>
      </c>
      <c r="E689" s="6">
        <v>560.0</v>
      </c>
      <c r="F689" s="6">
        <v>140.0</v>
      </c>
      <c r="G689" s="5" t="s">
        <v>52</v>
      </c>
      <c r="H689" s="5" t="s">
        <v>52</v>
      </c>
      <c r="I689" s="6" t="s">
        <v>40</v>
      </c>
      <c r="J689" s="5" t="s">
        <v>8585</v>
      </c>
      <c r="K689" s="5" t="s">
        <v>8632</v>
      </c>
      <c r="L689" s="6" t="s">
        <v>42</v>
      </c>
      <c r="M689" s="5" t="s">
        <v>995</v>
      </c>
      <c r="N689" s="5" t="s">
        <v>64</v>
      </c>
      <c r="O689" s="5" t="s">
        <v>10639</v>
      </c>
      <c r="P689" s="6">
        <v>8354.0</v>
      </c>
    </row>
    <row r="690" ht="56.25" customHeight="1">
      <c r="A690" s="5" t="s">
        <v>10624</v>
      </c>
      <c r="B690" s="6" t="str">
        <f>IMAGE("https://storage.googleapis.com/acdb/tops/TopsTexTopTshirtsHPocketshirts7.png")</f>
        <v/>
      </c>
      <c r="C690" s="5" t="s">
        <v>96</v>
      </c>
      <c r="D690" s="8" t="s">
        <v>36</v>
      </c>
      <c r="E690" s="6">
        <v>560.0</v>
      </c>
      <c r="F690" s="6">
        <v>140.0</v>
      </c>
      <c r="G690" s="5" t="s">
        <v>96</v>
      </c>
      <c r="H690" s="5" t="s">
        <v>96</v>
      </c>
      <c r="I690" s="6" t="s">
        <v>40</v>
      </c>
      <c r="J690" s="5" t="s">
        <v>8585</v>
      </c>
      <c r="K690" s="5" t="s">
        <v>8632</v>
      </c>
      <c r="L690" s="6" t="s">
        <v>42</v>
      </c>
      <c r="M690" s="5" t="s">
        <v>995</v>
      </c>
      <c r="N690" s="5" t="s">
        <v>64</v>
      </c>
      <c r="O690" s="5" t="s">
        <v>10642</v>
      </c>
      <c r="P690" s="6">
        <v>8355.0</v>
      </c>
    </row>
    <row r="691" ht="56.25" customHeight="1">
      <c r="A691" s="5" t="s">
        <v>10624</v>
      </c>
      <c r="B691" s="6" t="str">
        <f>IMAGE("https://storage.googleapis.com/acdb/tops/TopsTexTopTshirtsHPocketshirts0.png")</f>
        <v/>
      </c>
      <c r="C691" s="5" t="s">
        <v>57</v>
      </c>
      <c r="D691" s="8" t="s">
        <v>36</v>
      </c>
      <c r="E691" s="6">
        <v>560.0</v>
      </c>
      <c r="F691" s="6">
        <v>140.0</v>
      </c>
      <c r="G691" s="5" t="s">
        <v>57</v>
      </c>
      <c r="H691" s="5" t="s">
        <v>57</v>
      </c>
      <c r="I691" s="6" t="s">
        <v>40</v>
      </c>
      <c r="J691" s="5" t="s">
        <v>8585</v>
      </c>
      <c r="K691" s="5" t="s">
        <v>8632</v>
      </c>
      <c r="L691" s="6" t="s">
        <v>42</v>
      </c>
      <c r="M691" s="5" t="s">
        <v>995</v>
      </c>
      <c r="N691" s="5" t="s">
        <v>64</v>
      </c>
      <c r="O691" s="5" t="s">
        <v>10644</v>
      </c>
      <c r="P691" s="6">
        <v>4291.0</v>
      </c>
    </row>
    <row r="692" ht="56.25" customHeight="1">
      <c r="A692" s="5" t="s">
        <v>10645</v>
      </c>
      <c r="B692" s="6" t="str">
        <f>IMAGE("https://storage.googleapis.com/acdb/tops/TopsTexTopYshirtsHPolo1.png")</f>
        <v/>
      </c>
      <c r="C692" s="5" t="s">
        <v>69</v>
      </c>
      <c r="D692" s="8" t="s">
        <v>36</v>
      </c>
      <c r="E692" s="6">
        <v>720.0</v>
      </c>
      <c r="F692" s="6">
        <v>180.0</v>
      </c>
      <c r="G692" s="5" t="s">
        <v>69</v>
      </c>
      <c r="H692" s="5" t="s">
        <v>69</v>
      </c>
      <c r="I692" s="6" t="s">
        <v>40</v>
      </c>
      <c r="J692" s="5" t="s">
        <v>8585</v>
      </c>
      <c r="K692" s="5" t="s">
        <v>8632</v>
      </c>
      <c r="L692" s="6" t="s">
        <v>42</v>
      </c>
      <c r="M692" s="5" t="s">
        <v>995</v>
      </c>
      <c r="N692" s="5" t="s">
        <v>64</v>
      </c>
      <c r="O692" s="5" t="s">
        <v>10647</v>
      </c>
      <c r="P692" s="6">
        <v>8537.0</v>
      </c>
    </row>
    <row r="693" ht="56.25" customHeight="1">
      <c r="A693" s="5" t="s">
        <v>10645</v>
      </c>
      <c r="B693" s="6" t="str">
        <f>IMAGE("https://storage.googleapis.com/acdb/tops/TopsTexTopYshirtsHPolo2.png")</f>
        <v/>
      </c>
      <c r="C693" s="5" t="s">
        <v>52</v>
      </c>
      <c r="D693" s="8" t="s">
        <v>36</v>
      </c>
      <c r="E693" s="6">
        <v>720.0</v>
      </c>
      <c r="F693" s="6">
        <v>180.0</v>
      </c>
      <c r="G693" s="5" t="s">
        <v>52</v>
      </c>
      <c r="H693" s="5" t="s">
        <v>52</v>
      </c>
      <c r="I693" s="6" t="s">
        <v>40</v>
      </c>
      <c r="J693" s="5" t="s">
        <v>8585</v>
      </c>
      <c r="K693" s="5" t="s">
        <v>8632</v>
      </c>
      <c r="L693" s="6" t="s">
        <v>42</v>
      </c>
      <c r="M693" s="5" t="s">
        <v>995</v>
      </c>
      <c r="N693" s="5" t="s">
        <v>64</v>
      </c>
      <c r="O693" s="5" t="s">
        <v>10650</v>
      </c>
      <c r="P693" s="6">
        <v>8538.0</v>
      </c>
    </row>
    <row r="694" ht="56.25" customHeight="1">
      <c r="A694" s="5" t="s">
        <v>10645</v>
      </c>
      <c r="B694" s="6" t="str">
        <f>IMAGE("https://storage.googleapis.com/acdb/tops/TopsTexTopYshirtsHPolo3.png")</f>
        <v/>
      </c>
      <c r="C694" s="5" t="s">
        <v>142</v>
      </c>
      <c r="D694" s="8" t="s">
        <v>36</v>
      </c>
      <c r="E694" s="6">
        <v>720.0</v>
      </c>
      <c r="F694" s="6">
        <v>180.0</v>
      </c>
      <c r="G694" s="5" t="s">
        <v>142</v>
      </c>
      <c r="H694" s="5" t="s">
        <v>142</v>
      </c>
      <c r="I694" s="6" t="s">
        <v>40</v>
      </c>
      <c r="J694" s="5" t="s">
        <v>8585</v>
      </c>
      <c r="K694" s="5" t="s">
        <v>8632</v>
      </c>
      <c r="L694" s="6" t="s">
        <v>42</v>
      </c>
      <c r="M694" s="5" t="s">
        <v>995</v>
      </c>
      <c r="N694" s="5" t="s">
        <v>64</v>
      </c>
      <c r="O694" s="5" t="s">
        <v>10652</v>
      </c>
      <c r="P694" s="6">
        <v>8539.0</v>
      </c>
    </row>
    <row r="695" ht="56.25" customHeight="1">
      <c r="A695" s="5" t="s">
        <v>10645</v>
      </c>
      <c r="B695" s="6" t="str">
        <f>IMAGE("https://storage.googleapis.com/acdb/tops/TopsTexTopYshirtsHPolo0.png")</f>
        <v/>
      </c>
      <c r="C695" s="5" t="s">
        <v>1187</v>
      </c>
      <c r="D695" s="8" t="s">
        <v>36</v>
      </c>
      <c r="E695" s="6">
        <v>720.0</v>
      </c>
      <c r="F695" s="6">
        <v>180.0</v>
      </c>
      <c r="G695" s="5" t="s">
        <v>68</v>
      </c>
      <c r="H695" s="5" t="s">
        <v>68</v>
      </c>
      <c r="I695" s="6" t="s">
        <v>40</v>
      </c>
      <c r="J695" s="5" t="s">
        <v>8585</v>
      </c>
      <c r="K695" s="5" t="s">
        <v>8632</v>
      </c>
      <c r="L695" s="6" t="s">
        <v>42</v>
      </c>
      <c r="M695" s="5" t="s">
        <v>995</v>
      </c>
      <c r="N695" s="5" t="s">
        <v>64</v>
      </c>
      <c r="O695" s="5" t="s">
        <v>10655</v>
      </c>
      <c r="P695" s="6">
        <v>3172.0</v>
      </c>
    </row>
    <row r="696" ht="56.25" customHeight="1">
      <c r="A696" s="5" t="s">
        <v>10645</v>
      </c>
      <c r="B696" s="6" t="str">
        <f>IMAGE("https://storage.googleapis.com/acdb/tops/TopsTexTopYshirtsHPolo4.png")</f>
        <v/>
      </c>
      <c r="C696" s="5" t="s">
        <v>96</v>
      </c>
      <c r="D696" s="8" t="s">
        <v>36</v>
      </c>
      <c r="E696" s="6">
        <v>720.0</v>
      </c>
      <c r="F696" s="6">
        <v>180.0</v>
      </c>
      <c r="G696" s="5" t="s">
        <v>96</v>
      </c>
      <c r="H696" s="5" t="s">
        <v>96</v>
      </c>
      <c r="I696" s="6" t="s">
        <v>40</v>
      </c>
      <c r="J696" s="5" t="s">
        <v>8585</v>
      </c>
      <c r="K696" s="5" t="s">
        <v>8632</v>
      </c>
      <c r="L696" s="6" t="s">
        <v>42</v>
      </c>
      <c r="M696" s="5" t="s">
        <v>995</v>
      </c>
      <c r="N696" s="5" t="s">
        <v>64</v>
      </c>
      <c r="O696" s="5" t="s">
        <v>10657</v>
      </c>
      <c r="P696" s="6">
        <v>8540.0</v>
      </c>
    </row>
    <row r="697" ht="56.25" customHeight="1">
      <c r="A697" s="5" t="s">
        <v>10645</v>
      </c>
      <c r="B697" s="6" t="str">
        <f>IMAGE("https://storage.googleapis.com/acdb/tops/TopsTexTopYshirtsHPolo5.png")</f>
        <v/>
      </c>
      <c r="C697" s="5" t="s">
        <v>186</v>
      </c>
      <c r="D697" s="8" t="s">
        <v>36</v>
      </c>
      <c r="E697" s="6">
        <v>720.0</v>
      </c>
      <c r="F697" s="6">
        <v>180.0</v>
      </c>
      <c r="G697" s="5" t="s">
        <v>114</v>
      </c>
      <c r="H697" s="5" t="s">
        <v>114</v>
      </c>
      <c r="I697" s="6" t="s">
        <v>40</v>
      </c>
      <c r="J697" s="5" t="s">
        <v>8585</v>
      </c>
      <c r="K697" s="5" t="s">
        <v>8632</v>
      </c>
      <c r="L697" s="6" t="s">
        <v>42</v>
      </c>
      <c r="M697" s="5" t="s">
        <v>995</v>
      </c>
      <c r="N697" s="5" t="s">
        <v>64</v>
      </c>
      <c r="O697" s="5" t="s">
        <v>10659</v>
      </c>
      <c r="P697" s="6">
        <v>8541.0</v>
      </c>
    </row>
    <row r="698" ht="56.25" customHeight="1">
      <c r="A698" s="5" t="s">
        <v>10645</v>
      </c>
      <c r="B698" s="6" t="str">
        <f>IMAGE("https://storage.googleapis.com/acdb/tops/TopsTexTopYshirtsHPolo6.png")</f>
        <v/>
      </c>
      <c r="C698" s="5" t="s">
        <v>57</v>
      </c>
      <c r="D698" s="8" t="s">
        <v>36</v>
      </c>
      <c r="E698" s="6">
        <v>720.0</v>
      </c>
      <c r="F698" s="6">
        <v>180.0</v>
      </c>
      <c r="G698" s="5" t="s">
        <v>57</v>
      </c>
      <c r="H698" s="5" t="s">
        <v>57</v>
      </c>
      <c r="I698" s="6" t="s">
        <v>40</v>
      </c>
      <c r="J698" s="5" t="s">
        <v>8585</v>
      </c>
      <c r="K698" s="5" t="s">
        <v>8632</v>
      </c>
      <c r="L698" s="6" t="s">
        <v>42</v>
      </c>
      <c r="M698" s="5" t="s">
        <v>995</v>
      </c>
      <c r="N698" s="5" t="s">
        <v>64</v>
      </c>
      <c r="O698" s="5" t="s">
        <v>10662</v>
      </c>
      <c r="P698" s="6">
        <v>8542.0</v>
      </c>
    </row>
    <row r="699" ht="56.25" customHeight="1">
      <c r="A699" s="5" t="s">
        <v>10645</v>
      </c>
      <c r="B699" s="6" t="str">
        <f>IMAGE("https://storage.googleapis.com/acdb/tops/TopsTexTopYshirtsHPolo7.png")</f>
        <v/>
      </c>
      <c r="C699" s="5" t="s">
        <v>54</v>
      </c>
      <c r="D699" s="8" t="s">
        <v>36</v>
      </c>
      <c r="E699" s="6">
        <v>720.0</v>
      </c>
      <c r="F699" s="6">
        <v>180.0</v>
      </c>
      <c r="G699" s="5" t="s">
        <v>54</v>
      </c>
      <c r="H699" s="5" t="s">
        <v>54</v>
      </c>
      <c r="I699" s="6" t="s">
        <v>40</v>
      </c>
      <c r="J699" s="5" t="s">
        <v>8585</v>
      </c>
      <c r="K699" s="5" t="s">
        <v>8632</v>
      </c>
      <c r="L699" s="6" t="s">
        <v>42</v>
      </c>
      <c r="M699" s="5" t="s">
        <v>995</v>
      </c>
      <c r="N699" s="5" t="s">
        <v>64</v>
      </c>
      <c r="O699" s="5" t="s">
        <v>10665</v>
      </c>
      <c r="P699" s="6">
        <v>8543.0</v>
      </c>
    </row>
    <row r="700" ht="56.25" customHeight="1">
      <c r="A700" s="5" t="s">
        <v>10666</v>
      </c>
      <c r="B700" s="6" t="str">
        <f>IMAGE("https://storage.googleapis.com/acdb/tops/TopsTexTopOuterLBobble1.png")</f>
        <v/>
      </c>
      <c r="C700" s="5" t="s">
        <v>57</v>
      </c>
      <c r="D700" s="8" t="s">
        <v>36</v>
      </c>
      <c r="E700" s="6">
        <v>1440.0</v>
      </c>
      <c r="F700" s="6">
        <v>360.0</v>
      </c>
      <c r="G700" s="5" t="s">
        <v>57</v>
      </c>
      <c r="H700" s="5" t="s">
        <v>57</v>
      </c>
      <c r="I700" s="6" t="s">
        <v>40</v>
      </c>
      <c r="J700" s="5" t="s">
        <v>8585</v>
      </c>
      <c r="K700" s="5" t="s">
        <v>8586</v>
      </c>
      <c r="L700" s="6" t="s">
        <v>42</v>
      </c>
      <c r="M700" s="5" t="s">
        <v>1959</v>
      </c>
      <c r="N700" s="5" t="s">
        <v>64</v>
      </c>
      <c r="O700" s="5" t="s">
        <v>10668</v>
      </c>
      <c r="P700" s="6">
        <v>8008.0</v>
      </c>
    </row>
    <row r="701" ht="56.25" customHeight="1">
      <c r="A701" s="5" t="s">
        <v>10666</v>
      </c>
      <c r="B701" s="6" t="str">
        <f>IMAGE("https://storage.googleapis.com/acdb/tops/TopsTexTopOuterLBobble2.png")</f>
        <v/>
      </c>
      <c r="C701" s="5" t="s">
        <v>68</v>
      </c>
      <c r="D701" s="8" t="s">
        <v>36</v>
      </c>
      <c r="E701" s="6">
        <v>1440.0</v>
      </c>
      <c r="F701" s="6">
        <v>360.0</v>
      </c>
      <c r="G701" s="5" t="s">
        <v>83</v>
      </c>
      <c r="H701" s="5" t="s">
        <v>57</v>
      </c>
      <c r="I701" s="6" t="s">
        <v>40</v>
      </c>
      <c r="J701" s="5" t="s">
        <v>8585</v>
      </c>
      <c r="K701" s="5" t="s">
        <v>8586</v>
      </c>
      <c r="L701" s="6" t="s">
        <v>42</v>
      </c>
      <c r="M701" s="5" t="s">
        <v>1959</v>
      </c>
      <c r="N701" s="5" t="s">
        <v>64</v>
      </c>
      <c r="O701" s="5" t="s">
        <v>10672</v>
      </c>
      <c r="P701" s="6">
        <v>8009.0</v>
      </c>
    </row>
    <row r="702" ht="56.25" customHeight="1">
      <c r="A702" s="5" t="s">
        <v>10666</v>
      </c>
      <c r="B702" s="6" t="str">
        <f>IMAGE("https://storage.googleapis.com/acdb/tops/TopsTexTopOuterLBobble0.png")</f>
        <v/>
      </c>
      <c r="C702" s="5" t="s">
        <v>69</v>
      </c>
      <c r="D702" s="8" t="s">
        <v>36</v>
      </c>
      <c r="E702" s="6">
        <v>1440.0</v>
      </c>
      <c r="F702" s="6">
        <v>360.0</v>
      </c>
      <c r="G702" s="5" t="s">
        <v>69</v>
      </c>
      <c r="H702" s="5" t="s">
        <v>57</v>
      </c>
      <c r="I702" s="6" t="s">
        <v>40</v>
      </c>
      <c r="J702" s="5" t="s">
        <v>8585</v>
      </c>
      <c r="K702" s="5" t="s">
        <v>8586</v>
      </c>
      <c r="L702" s="6" t="s">
        <v>42</v>
      </c>
      <c r="M702" s="5" t="s">
        <v>1959</v>
      </c>
      <c r="N702" s="5" t="s">
        <v>64</v>
      </c>
      <c r="O702" s="5" t="s">
        <v>10673</v>
      </c>
      <c r="P702" s="6">
        <v>4766.0</v>
      </c>
    </row>
    <row r="703" ht="56.25" customHeight="1">
      <c r="A703" s="5" t="s">
        <v>10674</v>
      </c>
      <c r="B703" s="6" t="str">
        <f>IMAGE("https://storage.googleapis.com/acdb/tops/TopsTexTopCoatLPompom0.png")</f>
        <v/>
      </c>
      <c r="C703" s="5" t="s">
        <v>52</v>
      </c>
      <c r="D703" s="8" t="s">
        <v>36</v>
      </c>
      <c r="E703" s="6">
        <v>2320.0</v>
      </c>
      <c r="F703" s="6">
        <v>580.0</v>
      </c>
      <c r="G703" s="5" t="s">
        <v>52</v>
      </c>
      <c r="H703" s="5" t="s">
        <v>57</v>
      </c>
      <c r="I703" s="6" t="s">
        <v>40</v>
      </c>
      <c r="J703" s="5" t="s">
        <v>8585</v>
      </c>
      <c r="K703" s="5" t="s">
        <v>8586</v>
      </c>
      <c r="L703" s="6" t="s">
        <v>42</v>
      </c>
      <c r="M703" s="5" t="s">
        <v>1959</v>
      </c>
      <c r="N703" s="5" t="s">
        <v>64</v>
      </c>
      <c r="O703" s="5" t="s">
        <v>10676</v>
      </c>
      <c r="P703" s="6">
        <v>4368.0</v>
      </c>
    </row>
    <row r="704" ht="56.25" customHeight="1">
      <c r="A704" s="5" t="s">
        <v>10674</v>
      </c>
      <c r="B704" s="6" t="str">
        <f>IMAGE("https://storage.googleapis.com/acdb/tops/TopsTexTopCoatLPompom1.png")</f>
        <v/>
      </c>
      <c r="C704" s="5" t="s">
        <v>114</v>
      </c>
      <c r="D704" s="8" t="s">
        <v>36</v>
      </c>
      <c r="E704" s="6">
        <v>2320.0</v>
      </c>
      <c r="F704" s="6">
        <v>580.0</v>
      </c>
      <c r="G704" s="5" t="s">
        <v>114</v>
      </c>
      <c r="H704" s="5" t="s">
        <v>57</v>
      </c>
      <c r="I704" s="6" t="s">
        <v>40</v>
      </c>
      <c r="J704" s="5" t="s">
        <v>8585</v>
      </c>
      <c r="K704" s="5" t="s">
        <v>8586</v>
      </c>
      <c r="L704" s="6" t="s">
        <v>42</v>
      </c>
      <c r="M704" s="5" t="s">
        <v>1959</v>
      </c>
      <c r="N704" s="5" t="s">
        <v>64</v>
      </c>
      <c r="O704" s="5" t="s">
        <v>10680</v>
      </c>
      <c r="P704" s="6">
        <v>8474.0</v>
      </c>
    </row>
    <row r="705" ht="56.25" customHeight="1">
      <c r="A705" s="5" t="s">
        <v>10674</v>
      </c>
      <c r="B705" s="6" t="str">
        <f>IMAGE("https://storage.googleapis.com/acdb/tops/TopsTexTopCoatLPompom2.png")</f>
        <v/>
      </c>
      <c r="C705" s="5" t="s">
        <v>69</v>
      </c>
      <c r="D705" s="8" t="s">
        <v>36</v>
      </c>
      <c r="E705" s="6">
        <v>2320.0</v>
      </c>
      <c r="F705" s="6">
        <v>580.0</v>
      </c>
      <c r="G705" s="5" t="s">
        <v>69</v>
      </c>
      <c r="H705" s="5" t="s">
        <v>57</v>
      </c>
      <c r="I705" s="6" t="s">
        <v>40</v>
      </c>
      <c r="J705" s="5" t="s">
        <v>8585</v>
      </c>
      <c r="K705" s="5" t="s">
        <v>8586</v>
      </c>
      <c r="L705" s="6" t="s">
        <v>42</v>
      </c>
      <c r="M705" s="5" t="s">
        <v>1959</v>
      </c>
      <c r="N705" s="5" t="s">
        <v>64</v>
      </c>
      <c r="O705" s="5" t="s">
        <v>10682</v>
      </c>
      <c r="P705" s="6">
        <v>8475.0</v>
      </c>
    </row>
    <row r="706" ht="56.25" customHeight="1">
      <c r="A706" s="5" t="s">
        <v>10674</v>
      </c>
      <c r="B706" s="6" t="str">
        <f>IMAGE("https://storage.googleapis.com/acdb/tops/TopsTexTopCoatLPompom3.png")</f>
        <v/>
      </c>
      <c r="C706" s="5" t="s">
        <v>1187</v>
      </c>
      <c r="D706" s="8" t="s">
        <v>36</v>
      </c>
      <c r="E706" s="6">
        <v>2320.0</v>
      </c>
      <c r="F706" s="6">
        <v>580.0</v>
      </c>
      <c r="G706" s="5" t="s">
        <v>68</v>
      </c>
      <c r="H706" s="5" t="s">
        <v>54</v>
      </c>
      <c r="I706" s="6" t="s">
        <v>40</v>
      </c>
      <c r="J706" s="5" t="s">
        <v>8585</v>
      </c>
      <c r="K706" s="5" t="s">
        <v>8586</v>
      </c>
      <c r="L706" s="6" t="s">
        <v>42</v>
      </c>
      <c r="M706" s="5" t="s">
        <v>1959</v>
      </c>
      <c r="N706" s="5" t="s">
        <v>64</v>
      </c>
      <c r="O706" s="5" t="s">
        <v>10684</v>
      </c>
      <c r="P706" s="6">
        <v>8476.0</v>
      </c>
    </row>
    <row r="707" ht="56.25" customHeight="1">
      <c r="A707" s="5" t="s">
        <v>10685</v>
      </c>
      <c r="B707" s="6" t="str">
        <f>IMAGE("https://storage.googleapis.com/acdb/tops/TopsTexTopCoatLPoncho0.png")</f>
        <v/>
      </c>
      <c r="C707" s="5" t="s">
        <v>106</v>
      </c>
      <c r="D707" s="8" t="s">
        <v>36</v>
      </c>
      <c r="E707" s="6">
        <v>1500.0</v>
      </c>
      <c r="F707" s="6">
        <v>375.0</v>
      </c>
      <c r="G707" s="5" t="s">
        <v>106</v>
      </c>
      <c r="H707" s="5" t="s">
        <v>52</v>
      </c>
      <c r="I707" s="6" t="s">
        <v>40</v>
      </c>
      <c r="J707" s="5" t="s">
        <v>8585</v>
      </c>
      <c r="K707" s="5" t="s">
        <v>8632</v>
      </c>
      <c r="L707" s="6" t="s">
        <v>42</v>
      </c>
      <c r="M707" s="5" t="s">
        <v>1059</v>
      </c>
      <c r="N707" s="5" t="s">
        <v>64</v>
      </c>
      <c r="O707" s="5" t="s">
        <v>10688</v>
      </c>
      <c r="P707" s="6">
        <v>4661.0</v>
      </c>
    </row>
    <row r="708" ht="56.25" customHeight="1">
      <c r="A708" s="5" t="s">
        <v>10685</v>
      </c>
      <c r="B708" s="6" t="str">
        <f>IMAGE("https://storage.googleapis.com/acdb/tops/TopsTexTopCoatLPoncho1.png")</f>
        <v/>
      </c>
      <c r="C708" s="5" t="s">
        <v>10689</v>
      </c>
      <c r="D708" s="8" t="s">
        <v>36</v>
      </c>
      <c r="E708" s="6">
        <v>1500.0</v>
      </c>
      <c r="F708" s="6">
        <v>375.0</v>
      </c>
      <c r="G708" s="5" t="s">
        <v>68</v>
      </c>
      <c r="H708" s="5" t="s">
        <v>106</v>
      </c>
      <c r="I708" s="6" t="s">
        <v>40</v>
      </c>
      <c r="J708" s="5" t="s">
        <v>8585</v>
      </c>
      <c r="K708" s="5" t="s">
        <v>8632</v>
      </c>
      <c r="L708" s="6" t="s">
        <v>42</v>
      </c>
      <c r="M708" s="5" t="s">
        <v>1059</v>
      </c>
      <c r="N708" s="5" t="s">
        <v>64</v>
      </c>
      <c r="O708" s="5" t="s">
        <v>10691</v>
      </c>
      <c r="P708" s="6">
        <v>7858.0</v>
      </c>
    </row>
    <row r="709" ht="56.25" customHeight="1">
      <c r="A709" s="5" t="s">
        <v>10685</v>
      </c>
      <c r="B709" s="6" t="str">
        <f>IMAGE("https://storage.googleapis.com/acdb/tops/TopsTexTopCoatLPoncho2.png")</f>
        <v/>
      </c>
      <c r="C709" s="5" t="s">
        <v>142</v>
      </c>
      <c r="D709" s="8" t="s">
        <v>36</v>
      </c>
      <c r="E709" s="6">
        <v>1500.0</v>
      </c>
      <c r="F709" s="6">
        <v>375.0</v>
      </c>
      <c r="G709" s="5" t="s">
        <v>142</v>
      </c>
      <c r="H709" s="5" t="s">
        <v>39</v>
      </c>
      <c r="I709" s="6" t="s">
        <v>40</v>
      </c>
      <c r="J709" s="5" t="s">
        <v>8585</v>
      </c>
      <c r="K709" s="5" t="s">
        <v>8632</v>
      </c>
      <c r="L709" s="6" t="s">
        <v>42</v>
      </c>
      <c r="M709" s="5" t="s">
        <v>1059</v>
      </c>
      <c r="N709" s="5" t="s">
        <v>64</v>
      </c>
      <c r="O709" s="5" t="s">
        <v>10694</v>
      </c>
      <c r="P709" s="6">
        <v>7859.0</v>
      </c>
    </row>
    <row r="710" ht="56.25" customHeight="1">
      <c r="A710" s="5" t="s">
        <v>10685</v>
      </c>
      <c r="B710" s="6" t="str">
        <f>IMAGE("https://storage.googleapis.com/acdb/tops/TopsTexTopCoatLPoncho3.png")</f>
        <v/>
      </c>
      <c r="C710" s="5" t="s">
        <v>68</v>
      </c>
      <c r="D710" s="8" t="s">
        <v>36</v>
      </c>
      <c r="E710" s="6">
        <v>1500.0</v>
      </c>
      <c r="F710" s="6">
        <v>375.0</v>
      </c>
      <c r="G710" s="5" t="s">
        <v>68</v>
      </c>
      <c r="H710" s="5" t="s">
        <v>96</v>
      </c>
      <c r="I710" s="6" t="s">
        <v>40</v>
      </c>
      <c r="J710" s="5" t="s">
        <v>8585</v>
      </c>
      <c r="K710" s="5" t="s">
        <v>8632</v>
      </c>
      <c r="L710" s="6" t="s">
        <v>42</v>
      </c>
      <c r="M710" s="5" t="s">
        <v>1059</v>
      </c>
      <c r="N710" s="5" t="s">
        <v>64</v>
      </c>
      <c r="O710" s="5" t="s">
        <v>10696</v>
      </c>
      <c r="P710" s="6">
        <v>7860.0</v>
      </c>
    </row>
    <row r="711" ht="56.25" customHeight="1">
      <c r="A711" s="5" t="s">
        <v>10685</v>
      </c>
      <c r="B711" s="6" t="str">
        <f>IMAGE("https://storage.googleapis.com/acdb/tops/TopsTexTopCoatLPoncho4.png")</f>
        <v/>
      </c>
      <c r="C711" s="5" t="s">
        <v>95</v>
      </c>
      <c r="D711" s="8" t="s">
        <v>36</v>
      </c>
      <c r="E711" s="6">
        <v>1500.0</v>
      </c>
      <c r="F711" s="6">
        <v>375.0</v>
      </c>
      <c r="G711" s="5" t="s">
        <v>95</v>
      </c>
      <c r="H711" s="5" t="s">
        <v>57</v>
      </c>
      <c r="I711" s="6" t="s">
        <v>40</v>
      </c>
      <c r="J711" s="5" t="s">
        <v>8585</v>
      </c>
      <c r="K711" s="5" t="s">
        <v>8632</v>
      </c>
      <c r="L711" s="6" t="s">
        <v>42</v>
      </c>
      <c r="M711" s="5" t="s">
        <v>1059</v>
      </c>
      <c r="N711" s="5" t="s">
        <v>64</v>
      </c>
      <c r="O711" s="5" t="s">
        <v>10698</v>
      </c>
      <c r="P711" s="6">
        <v>7861.0</v>
      </c>
    </row>
    <row r="712" ht="56.25" customHeight="1">
      <c r="A712" s="5" t="s">
        <v>10699</v>
      </c>
      <c r="B712" s="6" t="str">
        <f>IMAGE("https://storage.googleapis.com/acdb/tops/TopsTexTopCoatLPrince0.png")</f>
        <v/>
      </c>
      <c r="C712" s="5" t="s">
        <v>68</v>
      </c>
      <c r="D712" s="8" t="s">
        <v>36</v>
      </c>
      <c r="E712" s="6">
        <v>4800.0</v>
      </c>
      <c r="F712" s="6">
        <v>1200.0</v>
      </c>
      <c r="G712" s="5" t="s">
        <v>68</v>
      </c>
      <c r="H712" s="5" t="s">
        <v>52</v>
      </c>
      <c r="I712" s="6" t="s">
        <v>40</v>
      </c>
      <c r="J712" s="5" t="s">
        <v>8585</v>
      </c>
      <c r="K712" s="5" t="s">
        <v>8586</v>
      </c>
      <c r="L712" s="6" t="s">
        <v>42</v>
      </c>
      <c r="M712" s="5" t="s">
        <v>1059</v>
      </c>
      <c r="N712" s="5" t="s">
        <v>64</v>
      </c>
      <c r="O712" s="5" t="s">
        <v>10701</v>
      </c>
      <c r="P712" s="6">
        <v>4433.0</v>
      </c>
    </row>
    <row r="713" ht="56.25" customHeight="1">
      <c r="A713" s="5" t="s">
        <v>10699</v>
      </c>
      <c r="B713" s="6" t="str">
        <f>IMAGE("https://storage.googleapis.com/acdb/tops/TopsTexTopCoatLPrince1.png")</f>
        <v/>
      </c>
      <c r="C713" s="5" t="s">
        <v>38</v>
      </c>
      <c r="D713" s="8" t="s">
        <v>36</v>
      </c>
      <c r="E713" s="6">
        <v>4800.0</v>
      </c>
      <c r="F713" s="6">
        <v>1200.0</v>
      </c>
      <c r="G713" s="5" t="s">
        <v>38</v>
      </c>
      <c r="H713" s="5" t="s">
        <v>52</v>
      </c>
      <c r="I713" s="6" t="s">
        <v>40</v>
      </c>
      <c r="J713" s="5" t="s">
        <v>8585</v>
      </c>
      <c r="K713" s="5" t="s">
        <v>8586</v>
      </c>
      <c r="L713" s="6" t="s">
        <v>42</v>
      </c>
      <c r="M713" s="5" t="s">
        <v>1059</v>
      </c>
      <c r="N713" s="5" t="s">
        <v>64</v>
      </c>
      <c r="O713" s="5" t="s">
        <v>10704</v>
      </c>
      <c r="P713" s="6">
        <v>8242.0</v>
      </c>
    </row>
    <row r="714" ht="56.25" customHeight="1">
      <c r="A714" s="5" t="s">
        <v>10699</v>
      </c>
      <c r="B714" s="6" t="str">
        <f>IMAGE("https://storage.googleapis.com/acdb/tops/TopsTexTopCoatLPrince2.png")</f>
        <v/>
      </c>
      <c r="C714" s="5" t="s">
        <v>96</v>
      </c>
      <c r="D714" s="8" t="s">
        <v>36</v>
      </c>
      <c r="E714" s="6">
        <v>4800.0</v>
      </c>
      <c r="F714" s="6">
        <v>1200.0</v>
      </c>
      <c r="G714" s="5" t="s">
        <v>96</v>
      </c>
      <c r="H714" s="5" t="s">
        <v>52</v>
      </c>
      <c r="I714" s="6" t="s">
        <v>40</v>
      </c>
      <c r="J714" s="5" t="s">
        <v>8585</v>
      </c>
      <c r="K714" s="5" t="s">
        <v>8586</v>
      </c>
      <c r="L714" s="6" t="s">
        <v>42</v>
      </c>
      <c r="M714" s="5" t="s">
        <v>1059</v>
      </c>
      <c r="N714" s="5" t="s">
        <v>64</v>
      </c>
      <c r="O714" s="5" t="s">
        <v>10706</v>
      </c>
      <c r="P714" s="6">
        <v>8243.0</v>
      </c>
    </row>
    <row r="715" ht="56.25" customHeight="1">
      <c r="A715" s="5" t="s">
        <v>10699</v>
      </c>
      <c r="B715" s="6" t="str">
        <f>IMAGE("https://storage.googleapis.com/acdb/tops/TopsTexTopCoatLPrince3.png")</f>
        <v/>
      </c>
      <c r="C715" s="5" t="s">
        <v>52</v>
      </c>
      <c r="D715" s="8" t="s">
        <v>36</v>
      </c>
      <c r="E715" s="6">
        <v>4800.0</v>
      </c>
      <c r="F715" s="6">
        <v>1200.0</v>
      </c>
      <c r="G715" s="5" t="s">
        <v>52</v>
      </c>
      <c r="H715" s="5" t="s">
        <v>52</v>
      </c>
      <c r="I715" s="6" t="s">
        <v>40</v>
      </c>
      <c r="J715" s="5" t="s">
        <v>8585</v>
      </c>
      <c r="K715" s="5" t="s">
        <v>8586</v>
      </c>
      <c r="L715" s="6" t="s">
        <v>42</v>
      </c>
      <c r="M715" s="5" t="s">
        <v>1059</v>
      </c>
      <c r="N715" s="5" t="s">
        <v>64</v>
      </c>
      <c r="O715" s="5" t="s">
        <v>10709</v>
      </c>
      <c r="P715" s="6">
        <v>8244.0</v>
      </c>
    </row>
    <row r="716" ht="56.25" customHeight="1">
      <c r="A716" s="5" t="s">
        <v>10699</v>
      </c>
      <c r="B716" s="6" t="str">
        <f>IMAGE("https://storage.googleapis.com/acdb/tops/TopsTexTopCoatLPrince4.png")</f>
        <v/>
      </c>
      <c r="C716" s="5" t="s">
        <v>106</v>
      </c>
      <c r="D716" s="8" t="s">
        <v>36</v>
      </c>
      <c r="E716" s="6">
        <v>4800.0</v>
      </c>
      <c r="F716" s="6">
        <v>1200.0</v>
      </c>
      <c r="G716" s="5" t="s">
        <v>106</v>
      </c>
      <c r="H716" s="5" t="s">
        <v>52</v>
      </c>
      <c r="I716" s="6" t="s">
        <v>40</v>
      </c>
      <c r="J716" s="5" t="s">
        <v>8585</v>
      </c>
      <c r="K716" s="5" t="s">
        <v>8586</v>
      </c>
      <c r="L716" s="6" t="s">
        <v>42</v>
      </c>
      <c r="M716" s="5" t="s">
        <v>1059</v>
      </c>
      <c r="N716" s="5" t="s">
        <v>64</v>
      </c>
      <c r="O716" s="5" t="s">
        <v>10711</v>
      </c>
      <c r="P716" s="6">
        <v>8245.0</v>
      </c>
    </row>
    <row r="717" ht="56.25" customHeight="1">
      <c r="A717" s="5" t="s">
        <v>10712</v>
      </c>
      <c r="B717" s="6" t="str">
        <f>IMAGE("https://storage.googleapis.com/acdb/tops/TopsTexTopOuterLFleece1.png")</f>
        <v/>
      </c>
      <c r="C717" s="5" t="s">
        <v>68</v>
      </c>
      <c r="D717" s="8" t="s">
        <v>36</v>
      </c>
      <c r="E717" s="6">
        <v>1260.0</v>
      </c>
      <c r="F717" s="6">
        <v>315.0</v>
      </c>
      <c r="G717" s="5" t="s">
        <v>68</v>
      </c>
      <c r="H717" s="5" t="s">
        <v>106</v>
      </c>
      <c r="I717" s="6" t="s">
        <v>40</v>
      </c>
      <c r="J717" s="5" t="s">
        <v>8585</v>
      </c>
      <c r="K717" s="5" t="s">
        <v>8632</v>
      </c>
      <c r="L717" s="6" t="s">
        <v>42</v>
      </c>
      <c r="M717" s="5" t="s">
        <v>8746</v>
      </c>
      <c r="N717" s="5" t="s">
        <v>64</v>
      </c>
      <c r="O717" s="5" t="s">
        <v>10716</v>
      </c>
      <c r="P717" s="6">
        <v>7850.0</v>
      </c>
    </row>
    <row r="718" ht="56.25" customHeight="1">
      <c r="A718" s="5" t="s">
        <v>10712</v>
      </c>
      <c r="B718" s="6" t="str">
        <f>IMAGE("https://storage.googleapis.com/acdb/tops/TopsTexTopOuterLFleece2.png")</f>
        <v/>
      </c>
      <c r="C718" s="5" t="s">
        <v>39</v>
      </c>
      <c r="D718" s="8" t="s">
        <v>36</v>
      </c>
      <c r="E718" s="6">
        <v>1260.0</v>
      </c>
      <c r="F718" s="6">
        <v>315.0</v>
      </c>
      <c r="G718" s="5" t="s">
        <v>38</v>
      </c>
      <c r="H718" s="5" t="s">
        <v>142</v>
      </c>
      <c r="I718" s="6" t="s">
        <v>40</v>
      </c>
      <c r="J718" s="5" t="s">
        <v>8585</v>
      </c>
      <c r="K718" s="5" t="s">
        <v>8632</v>
      </c>
      <c r="L718" s="6" t="s">
        <v>42</v>
      </c>
      <c r="M718" s="5" t="s">
        <v>8746</v>
      </c>
      <c r="N718" s="5" t="s">
        <v>64</v>
      </c>
      <c r="O718" s="5" t="s">
        <v>10718</v>
      </c>
      <c r="P718" s="6">
        <v>7851.0</v>
      </c>
    </row>
    <row r="719" ht="56.25" customHeight="1">
      <c r="A719" s="5" t="s">
        <v>10712</v>
      </c>
      <c r="B719" s="6" t="str">
        <f>IMAGE("https://storage.googleapis.com/acdb/tops/TopsTexTopOuterLFleece3.png")</f>
        <v/>
      </c>
      <c r="C719" s="5" t="s">
        <v>106</v>
      </c>
      <c r="D719" s="8" t="s">
        <v>36</v>
      </c>
      <c r="E719" s="6">
        <v>1260.0</v>
      </c>
      <c r="F719" s="6">
        <v>315.0</v>
      </c>
      <c r="G719" s="5" t="s">
        <v>106</v>
      </c>
      <c r="H719" s="5" t="s">
        <v>69</v>
      </c>
      <c r="I719" s="6" t="s">
        <v>40</v>
      </c>
      <c r="J719" s="5" t="s">
        <v>8585</v>
      </c>
      <c r="K719" s="5" t="s">
        <v>8632</v>
      </c>
      <c r="L719" s="6" t="s">
        <v>42</v>
      </c>
      <c r="M719" s="5" t="s">
        <v>8746</v>
      </c>
      <c r="N719" s="5" t="s">
        <v>64</v>
      </c>
      <c r="O719" s="5" t="s">
        <v>10720</v>
      </c>
      <c r="P719" s="6">
        <v>7852.0</v>
      </c>
    </row>
    <row r="720" ht="56.25" customHeight="1">
      <c r="A720" s="5" t="s">
        <v>10712</v>
      </c>
      <c r="B720" s="6" t="str">
        <f>IMAGE("https://storage.googleapis.com/acdb/tops/TopsTexTopOuterLFleece4.png")</f>
        <v/>
      </c>
      <c r="C720" s="5" t="s">
        <v>96</v>
      </c>
      <c r="D720" s="8" t="s">
        <v>36</v>
      </c>
      <c r="E720" s="6">
        <v>1260.0</v>
      </c>
      <c r="F720" s="6">
        <v>315.0</v>
      </c>
      <c r="G720" s="5" t="s">
        <v>96</v>
      </c>
      <c r="H720" s="5" t="s">
        <v>142</v>
      </c>
      <c r="I720" s="6" t="s">
        <v>40</v>
      </c>
      <c r="J720" s="5" t="s">
        <v>8585</v>
      </c>
      <c r="K720" s="5" t="s">
        <v>8632</v>
      </c>
      <c r="L720" s="6" t="s">
        <v>42</v>
      </c>
      <c r="M720" s="5" t="s">
        <v>8746</v>
      </c>
      <c r="N720" s="5" t="s">
        <v>64</v>
      </c>
      <c r="O720" s="5" t="s">
        <v>10723</v>
      </c>
      <c r="P720" s="6">
        <v>7853.0</v>
      </c>
    </row>
    <row r="721" ht="56.25" customHeight="1">
      <c r="A721" s="5" t="s">
        <v>10712</v>
      </c>
      <c r="B721" s="6" t="str">
        <f>IMAGE("https://storage.googleapis.com/acdb/tops/TopsTexTopOuterLFleece0.png")</f>
        <v/>
      </c>
      <c r="C721" s="5" t="s">
        <v>9852</v>
      </c>
      <c r="D721" s="8" t="s">
        <v>36</v>
      </c>
      <c r="E721" s="6">
        <v>1260.0</v>
      </c>
      <c r="F721" s="6">
        <v>315.0</v>
      </c>
      <c r="G721" s="5" t="s">
        <v>96</v>
      </c>
      <c r="H721" s="5" t="s">
        <v>106</v>
      </c>
      <c r="I721" s="6" t="s">
        <v>40</v>
      </c>
      <c r="J721" s="5" t="s">
        <v>8585</v>
      </c>
      <c r="K721" s="5" t="s">
        <v>8632</v>
      </c>
      <c r="L721" s="6" t="s">
        <v>42</v>
      </c>
      <c r="M721" s="5" t="s">
        <v>8746</v>
      </c>
      <c r="N721" s="5" t="s">
        <v>64</v>
      </c>
      <c r="O721" s="5" t="s">
        <v>10726</v>
      </c>
      <c r="P721" s="6">
        <v>4680.0</v>
      </c>
    </row>
    <row r="722" ht="56.25" customHeight="1">
      <c r="A722" s="5" t="s">
        <v>10727</v>
      </c>
      <c r="B722" s="6" t="str">
        <f>IMAGE("https://storage.googleapis.com/acdb/tops/TopsTexTopTshirtsLLayeredlogoa1.png")</f>
        <v/>
      </c>
      <c r="C722" s="5" t="s">
        <v>114</v>
      </c>
      <c r="D722" s="8" t="s">
        <v>36</v>
      </c>
      <c r="E722" s="6">
        <v>560.0</v>
      </c>
      <c r="F722" s="6">
        <v>140.0</v>
      </c>
      <c r="G722" s="5" t="s">
        <v>114</v>
      </c>
      <c r="H722" s="5" t="s">
        <v>57</v>
      </c>
      <c r="I722" s="6" t="s">
        <v>40</v>
      </c>
      <c r="J722" s="5" t="s">
        <v>8585</v>
      </c>
      <c r="K722" s="5" t="s">
        <v>8632</v>
      </c>
      <c r="L722" s="6" t="s">
        <v>42</v>
      </c>
      <c r="M722" s="5" t="s">
        <v>995</v>
      </c>
      <c r="N722" s="5" t="s">
        <v>64</v>
      </c>
      <c r="O722" s="5" t="s">
        <v>10728</v>
      </c>
      <c r="P722" s="6">
        <v>12161.0</v>
      </c>
    </row>
    <row r="723" ht="56.25" customHeight="1">
      <c r="A723" s="5" t="s">
        <v>10727</v>
      </c>
      <c r="B723" s="6" t="str">
        <f>IMAGE("https://storage.googleapis.com/acdb/tops/TopsTexTopTshirtsLLayeredlogoa2.png")</f>
        <v/>
      </c>
      <c r="C723" s="5" t="s">
        <v>57</v>
      </c>
      <c r="D723" s="8" t="s">
        <v>36</v>
      </c>
      <c r="E723" s="6">
        <v>560.0</v>
      </c>
      <c r="F723" s="6">
        <v>140.0</v>
      </c>
      <c r="G723" s="5" t="s">
        <v>57</v>
      </c>
      <c r="H723" s="5" t="s">
        <v>54</v>
      </c>
      <c r="I723" s="6" t="s">
        <v>40</v>
      </c>
      <c r="J723" s="5" t="s">
        <v>8585</v>
      </c>
      <c r="K723" s="5" t="s">
        <v>8632</v>
      </c>
      <c r="L723" s="6" t="s">
        <v>42</v>
      </c>
      <c r="M723" s="5" t="s">
        <v>995</v>
      </c>
      <c r="N723" s="5" t="s">
        <v>64</v>
      </c>
      <c r="O723" s="5" t="s">
        <v>10732</v>
      </c>
      <c r="P723" s="6">
        <v>12162.0</v>
      </c>
    </row>
    <row r="724" ht="56.25" customHeight="1">
      <c r="A724" s="5" t="s">
        <v>10727</v>
      </c>
      <c r="B724" s="6" t="str">
        <f>IMAGE("https://storage.googleapis.com/acdb/tops/TopsTexTopTshirtsLLayeredlogoa0.png")</f>
        <v/>
      </c>
      <c r="C724" s="5" t="s">
        <v>54</v>
      </c>
      <c r="D724" s="8" t="s">
        <v>36</v>
      </c>
      <c r="E724" s="6">
        <v>560.0</v>
      </c>
      <c r="F724" s="6">
        <v>140.0</v>
      </c>
      <c r="G724" s="5" t="s">
        <v>54</v>
      </c>
      <c r="H724" s="5" t="s">
        <v>52</v>
      </c>
      <c r="I724" s="6" t="s">
        <v>40</v>
      </c>
      <c r="J724" s="5" t="s">
        <v>8585</v>
      </c>
      <c r="K724" s="5" t="s">
        <v>8632</v>
      </c>
      <c r="L724" s="6" t="s">
        <v>42</v>
      </c>
      <c r="M724" s="5" t="s">
        <v>995</v>
      </c>
      <c r="N724" s="5" t="s">
        <v>64</v>
      </c>
      <c r="O724" s="5" t="s">
        <v>10735</v>
      </c>
      <c r="P724" s="6">
        <v>9821.0</v>
      </c>
    </row>
    <row r="725" ht="56.25" customHeight="1">
      <c r="A725" s="5" t="s">
        <v>10736</v>
      </c>
      <c r="B725" s="6" t="str">
        <f>IMAGE("https://storage.googleapis.com/acdb/tops/TopsTexTopTshirtsLLogoa0.png")</f>
        <v/>
      </c>
      <c r="C725" s="5" t="s">
        <v>142</v>
      </c>
      <c r="D725" s="8" t="s">
        <v>36</v>
      </c>
      <c r="E725" s="6">
        <v>560.0</v>
      </c>
      <c r="F725" s="6">
        <v>140.0</v>
      </c>
      <c r="G725" s="5" t="s">
        <v>142</v>
      </c>
      <c r="H725" s="5" t="s">
        <v>54</v>
      </c>
      <c r="I725" s="6" t="s">
        <v>40</v>
      </c>
      <c r="J725" s="5" t="s">
        <v>8585</v>
      </c>
      <c r="K725" s="5" t="s">
        <v>8632</v>
      </c>
      <c r="L725" s="6" t="s">
        <v>42</v>
      </c>
      <c r="M725" s="5" t="s">
        <v>995</v>
      </c>
      <c r="N725" s="5" t="s">
        <v>64</v>
      </c>
      <c r="O725" s="5" t="s">
        <v>10739</v>
      </c>
      <c r="P725" s="6">
        <v>9823.0</v>
      </c>
    </row>
    <row r="726" ht="56.25" customHeight="1">
      <c r="A726" s="5" t="s">
        <v>10736</v>
      </c>
      <c r="B726" s="6" t="str">
        <f>IMAGE("https://storage.googleapis.com/acdb/tops/TopsTexTopTshirtsLLogoa1.png")</f>
        <v/>
      </c>
      <c r="C726" s="5" t="s">
        <v>57</v>
      </c>
      <c r="D726" s="8" t="s">
        <v>36</v>
      </c>
      <c r="E726" s="6">
        <v>560.0</v>
      </c>
      <c r="F726" s="6">
        <v>140.0</v>
      </c>
      <c r="G726" s="5" t="s">
        <v>57</v>
      </c>
      <c r="H726" s="5" t="s">
        <v>54</v>
      </c>
      <c r="I726" s="6" t="s">
        <v>40</v>
      </c>
      <c r="J726" s="5" t="s">
        <v>8585</v>
      </c>
      <c r="K726" s="5" t="s">
        <v>8632</v>
      </c>
      <c r="L726" s="6" t="s">
        <v>42</v>
      </c>
      <c r="M726" s="5" t="s">
        <v>995</v>
      </c>
      <c r="N726" s="5" t="s">
        <v>64</v>
      </c>
      <c r="O726" s="5" t="s">
        <v>10741</v>
      </c>
      <c r="P726" s="6">
        <v>12163.0</v>
      </c>
    </row>
    <row r="727" ht="56.25" customHeight="1">
      <c r="A727" s="5" t="s">
        <v>10736</v>
      </c>
      <c r="B727" s="6" t="str">
        <f>IMAGE("https://storage.googleapis.com/acdb/tops/TopsTexTopTshirtsLLogoa2.png")</f>
        <v/>
      </c>
      <c r="C727" s="5" t="s">
        <v>54</v>
      </c>
      <c r="D727" s="8" t="s">
        <v>36</v>
      </c>
      <c r="E727" s="6">
        <v>560.0</v>
      </c>
      <c r="F727" s="6">
        <v>140.0</v>
      </c>
      <c r="G727" s="5" t="s">
        <v>54</v>
      </c>
      <c r="H727" s="5" t="s">
        <v>57</v>
      </c>
      <c r="I727" s="6" t="s">
        <v>40</v>
      </c>
      <c r="J727" s="5" t="s">
        <v>8585</v>
      </c>
      <c r="K727" s="5" t="s">
        <v>8632</v>
      </c>
      <c r="L727" s="6" t="s">
        <v>42</v>
      </c>
      <c r="M727" s="5" t="s">
        <v>995</v>
      </c>
      <c r="N727" s="5" t="s">
        <v>64</v>
      </c>
      <c r="O727" s="5" t="s">
        <v>10744</v>
      </c>
      <c r="P727" s="6">
        <v>12164.0</v>
      </c>
    </row>
    <row r="728" ht="56.25" customHeight="1">
      <c r="A728" s="5" t="s">
        <v>10745</v>
      </c>
      <c r="B728" s="6" t="str">
        <f>IMAGE("https://storage.googleapis.com/acdb/tops/TopsTexTopTshirtsHHellors0.png")</f>
        <v/>
      </c>
      <c r="C728" s="5" t="s">
        <v>34</v>
      </c>
      <c r="D728" s="8" t="s">
        <v>36</v>
      </c>
      <c r="E728" s="6">
        <v>640.0</v>
      </c>
      <c r="F728" s="6">
        <v>160.0</v>
      </c>
      <c r="G728" s="5" t="s">
        <v>96</v>
      </c>
      <c r="H728" s="5" t="s">
        <v>57</v>
      </c>
      <c r="I728" s="6" t="s">
        <v>40</v>
      </c>
      <c r="J728" s="5" t="s">
        <v>8578</v>
      </c>
      <c r="K728" s="5"/>
      <c r="L728" s="6" t="s">
        <v>42</v>
      </c>
      <c r="M728" s="5" t="s">
        <v>995</v>
      </c>
      <c r="N728" s="5" t="s">
        <v>64</v>
      </c>
      <c r="O728" s="5" t="s">
        <v>10748</v>
      </c>
      <c r="P728" s="6">
        <v>12122.0</v>
      </c>
    </row>
    <row r="729" ht="56.25" customHeight="1">
      <c r="A729" s="5" t="s">
        <v>10749</v>
      </c>
      <c r="B729" s="6" t="str">
        <f>IMAGE("https://storage.googleapis.com/acdb/tops/TopsTexTopOuterLDownvest1.png")</f>
        <v/>
      </c>
      <c r="C729" s="5" t="s">
        <v>2408</v>
      </c>
      <c r="D729" s="8" t="s">
        <v>36</v>
      </c>
      <c r="E729" s="6">
        <v>1250.0</v>
      </c>
      <c r="F729" s="6">
        <v>312.0</v>
      </c>
      <c r="G729" s="5" t="s">
        <v>39</v>
      </c>
      <c r="H729" s="5" t="s">
        <v>57</v>
      </c>
      <c r="I729" s="6" t="s">
        <v>40</v>
      </c>
      <c r="J729" s="5" t="s">
        <v>8585</v>
      </c>
      <c r="K729" s="5" t="s">
        <v>8632</v>
      </c>
      <c r="L729" s="6" t="s">
        <v>42</v>
      </c>
      <c r="M729" s="5" t="s">
        <v>995</v>
      </c>
      <c r="N729" s="5" t="s">
        <v>64</v>
      </c>
      <c r="O729" s="5" t="s">
        <v>10751</v>
      </c>
      <c r="P729" s="6">
        <v>8322.0</v>
      </c>
    </row>
    <row r="730" ht="56.25" customHeight="1">
      <c r="A730" s="5" t="s">
        <v>10749</v>
      </c>
      <c r="B730" s="6" t="str">
        <f>IMAGE("https://storage.googleapis.com/acdb/tops/TopsTexTopOuterLDownvest2.png")</f>
        <v/>
      </c>
      <c r="C730" s="5" t="s">
        <v>68</v>
      </c>
      <c r="D730" s="8" t="s">
        <v>36</v>
      </c>
      <c r="E730" s="6">
        <v>1250.0</v>
      </c>
      <c r="F730" s="6">
        <v>312.0</v>
      </c>
      <c r="G730" s="5" t="s">
        <v>106</v>
      </c>
      <c r="H730" s="5" t="s">
        <v>57</v>
      </c>
      <c r="I730" s="6" t="s">
        <v>40</v>
      </c>
      <c r="J730" s="5" t="s">
        <v>8585</v>
      </c>
      <c r="K730" s="5" t="s">
        <v>8632</v>
      </c>
      <c r="L730" s="6" t="s">
        <v>42</v>
      </c>
      <c r="M730" s="5" t="s">
        <v>995</v>
      </c>
      <c r="N730" s="5" t="s">
        <v>64</v>
      </c>
      <c r="O730" s="5" t="s">
        <v>10755</v>
      </c>
      <c r="P730" s="6">
        <v>8323.0</v>
      </c>
    </row>
    <row r="731" ht="56.25" customHeight="1">
      <c r="A731" s="5" t="s">
        <v>10749</v>
      </c>
      <c r="B731" s="6" t="str">
        <f>IMAGE("https://storage.googleapis.com/acdb/tops/TopsTexTopOuterLDownvest3.png")</f>
        <v/>
      </c>
      <c r="C731" s="5" t="s">
        <v>10757</v>
      </c>
      <c r="D731" s="8" t="s">
        <v>36</v>
      </c>
      <c r="E731" s="6">
        <v>1250.0</v>
      </c>
      <c r="F731" s="6">
        <v>312.0</v>
      </c>
      <c r="G731" s="5" t="s">
        <v>96</v>
      </c>
      <c r="H731" s="5" t="s">
        <v>57</v>
      </c>
      <c r="I731" s="6" t="s">
        <v>40</v>
      </c>
      <c r="J731" s="5" t="s">
        <v>8585</v>
      </c>
      <c r="K731" s="5" t="s">
        <v>8632</v>
      </c>
      <c r="L731" s="6" t="s">
        <v>42</v>
      </c>
      <c r="M731" s="5" t="s">
        <v>995</v>
      </c>
      <c r="N731" s="5" t="s">
        <v>64</v>
      </c>
      <c r="O731" s="5" t="s">
        <v>10760</v>
      </c>
      <c r="P731" s="6">
        <v>8324.0</v>
      </c>
    </row>
    <row r="732" ht="56.25" customHeight="1">
      <c r="A732" s="5" t="s">
        <v>10749</v>
      </c>
      <c r="B732" s="6" t="str">
        <f>IMAGE("https://storage.googleapis.com/acdb/tops/TopsTexTopOuterLDownvest0.png")</f>
        <v/>
      </c>
      <c r="C732" s="5" t="s">
        <v>1187</v>
      </c>
      <c r="D732" s="8" t="s">
        <v>36</v>
      </c>
      <c r="E732" s="6">
        <v>1250.0</v>
      </c>
      <c r="F732" s="6">
        <v>312.0</v>
      </c>
      <c r="G732" s="5" t="s">
        <v>68</v>
      </c>
      <c r="H732" s="5" t="s">
        <v>57</v>
      </c>
      <c r="I732" s="6" t="s">
        <v>40</v>
      </c>
      <c r="J732" s="5" t="s">
        <v>8585</v>
      </c>
      <c r="K732" s="5" t="s">
        <v>8632</v>
      </c>
      <c r="L732" s="6" t="s">
        <v>42</v>
      </c>
      <c r="M732" s="5" t="s">
        <v>995</v>
      </c>
      <c r="N732" s="5" t="s">
        <v>64</v>
      </c>
      <c r="O732" s="5" t="s">
        <v>10763</v>
      </c>
      <c r="P732" s="6">
        <v>4277.0</v>
      </c>
    </row>
    <row r="733" ht="56.25" customHeight="1">
      <c r="A733" s="5" t="s">
        <v>10749</v>
      </c>
      <c r="B733" s="6" t="str">
        <f>IMAGE("https://storage.googleapis.com/acdb/tops/TopsTexTopOuterLDownvest4.png")</f>
        <v/>
      </c>
      <c r="C733" s="5" t="s">
        <v>52</v>
      </c>
      <c r="D733" s="8" t="s">
        <v>36</v>
      </c>
      <c r="E733" s="6">
        <v>1250.0</v>
      </c>
      <c r="F733" s="6">
        <v>312.0</v>
      </c>
      <c r="G733" s="5" t="s">
        <v>52</v>
      </c>
      <c r="H733" s="5" t="s">
        <v>57</v>
      </c>
      <c r="I733" s="6" t="s">
        <v>40</v>
      </c>
      <c r="J733" s="5" t="s">
        <v>8585</v>
      </c>
      <c r="K733" s="5" t="s">
        <v>8632</v>
      </c>
      <c r="L733" s="6" t="s">
        <v>42</v>
      </c>
      <c r="M733" s="5" t="s">
        <v>995</v>
      </c>
      <c r="N733" s="5" t="s">
        <v>64</v>
      </c>
      <c r="O733" s="5" t="s">
        <v>10765</v>
      </c>
      <c r="P733" s="6">
        <v>8325.0</v>
      </c>
    </row>
    <row r="734" ht="56.25" customHeight="1">
      <c r="A734" s="5" t="s">
        <v>10767</v>
      </c>
      <c r="B734" s="6" t="str">
        <f>IMAGE("https://storage.googleapis.com/acdb/tops/TopsTexTopPuffHFrill0.png")</f>
        <v/>
      </c>
      <c r="C734" s="5" t="s">
        <v>83</v>
      </c>
      <c r="D734" s="8" t="s">
        <v>36</v>
      </c>
      <c r="E734" s="6">
        <v>800.0</v>
      </c>
      <c r="F734" s="6">
        <v>200.0</v>
      </c>
      <c r="G734" s="5" t="s">
        <v>83</v>
      </c>
      <c r="H734" s="5" t="s">
        <v>83</v>
      </c>
      <c r="I734" s="6" t="s">
        <v>40</v>
      </c>
      <c r="J734" s="5" t="s">
        <v>8585</v>
      </c>
      <c r="K734" s="5" t="s">
        <v>8632</v>
      </c>
      <c r="L734" s="6" t="s">
        <v>42</v>
      </c>
      <c r="M734" s="5" t="s">
        <v>995</v>
      </c>
      <c r="N734" s="5" t="s">
        <v>64</v>
      </c>
      <c r="O734" s="5" t="s">
        <v>10769</v>
      </c>
      <c r="P734" s="6">
        <v>5349.0</v>
      </c>
    </row>
    <row r="735" ht="56.25" customHeight="1">
      <c r="A735" s="5" t="s">
        <v>10767</v>
      </c>
      <c r="B735" s="6" t="str">
        <f>IMAGE("https://storage.googleapis.com/acdb/tops/TopsTexTopPuffHFrill1.png")</f>
        <v/>
      </c>
      <c r="C735" s="5" t="s">
        <v>114</v>
      </c>
      <c r="D735" s="8" t="s">
        <v>36</v>
      </c>
      <c r="E735" s="6">
        <v>800.0</v>
      </c>
      <c r="F735" s="6">
        <v>200.0</v>
      </c>
      <c r="G735" s="5" t="s">
        <v>114</v>
      </c>
      <c r="H735" s="5" t="s">
        <v>114</v>
      </c>
      <c r="I735" s="6" t="s">
        <v>40</v>
      </c>
      <c r="J735" s="5" t="s">
        <v>8585</v>
      </c>
      <c r="K735" s="5" t="s">
        <v>8632</v>
      </c>
      <c r="L735" s="6" t="s">
        <v>42</v>
      </c>
      <c r="M735" s="5" t="s">
        <v>995</v>
      </c>
      <c r="N735" s="5" t="s">
        <v>64</v>
      </c>
      <c r="O735" s="5" t="s">
        <v>10772</v>
      </c>
      <c r="P735" s="6">
        <v>8526.0</v>
      </c>
    </row>
    <row r="736" ht="56.25" customHeight="1">
      <c r="A736" s="5" t="s">
        <v>10767</v>
      </c>
      <c r="B736" s="6" t="str">
        <f>IMAGE("https://storage.googleapis.com/acdb/tops/TopsTexTopPuffHFrill2.png")</f>
        <v/>
      </c>
      <c r="C736" s="5" t="s">
        <v>69</v>
      </c>
      <c r="D736" s="8" t="s">
        <v>36</v>
      </c>
      <c r="E736" s="6">
        <v>800.0</v>
      </c>
      <c r="F736" s="6">
        <v>200.0</v>
      </c>
      <c r="G736" s="5" t="s">
        <v>69</v>
      </c>
      <c r="H736" s="5" t="s">
        <v>69</v>
      </c>
      <c r="I736" s="6" t="s">
        <v>40</v>
      </c>
      <c r="J736" s="5" t="s">
        <v>8585</v>
      </c>
      <c r="K736" s="5" t="s">
        <v>8632</v>
      </c>
      <c r="L736" s="6" t="s">
        <v>42</v>
      </c>
      <c r="M736" s="5" t="s">
        <v>995</v>
      </c>
      <c r="N736" s="5" t="s">
        <v>64</v>
      </c>
      <c r="O736" s="5" t="s">
        <v>10774</v>
      </c>
      <c r="P736" s="6">
        <v>8527.0</v>
      </c>
    </row>
    <row r="737" ht="56.25" customHeight="1">
      <c r="A737" s="5" t="s">
        <v>10767</v>
      </c>
      <c r="B737" s="6" t="str">
        <f>IMAGE("https://storage.googleapis.com/acdb/tops/TopsTexTopPuffHFrill3.png")</f>
        <v/>
      </c>
      <c r="C737" s="5" t="s">
        <v>1458</v>
      </c>
      <c r="D737" s="8" t="s">
        <v>36</v>
      </c>
      <c r="E737" s="6">
        <v>800.0</v>
      </c>
      <c r="F737" s="6">
        <v>200.0</v>
      </c>
      <c r="G737" s="5" t="s">
        <v>96</v>
      </c>
      <c r="H737" s="5" t="s">
        <v>96</v>
      </c>
      <c r="I737" s="6" t="s">
        <v>40</v>
      </c>
      <c r="J737" s="5" t="s">
        <v>8585</v>
      </c>
      <c r="K737" s="5" t="s">
        <v>8632</v>
      </c>
      <c r="L737" s="6" t="s">
        <v>42</v>
      </c>
      <c r="M737" s="5" t="s">
        <v>995</v>
      </c>
      <c r="N737" s="5" t="s">
        <v>64</v>
      </c>
      <c r="O737" s="5" t="s">
        <v>10778</v>
      </c>
      <c r="P737" s="6">
        <v>8528.0</v>
      </c>
    </row>
    <row r="738" ht="56.25" customHeight="1">
      <c r="A738" s="5" t="s">
        <v>10779</v>
      </c>
      <c r="B738" s="6" t="str">
        <f>IMAGE("https://storage.googleapis.com/acdb/tops/TopsTexTopOuterLPullover0.png")</f>
        <v/>
      </c>
      <c r="C738" s="5" t="s">
        <v>52</v>
      </c>
      <c r="D738" s="8" t="s">
        <v>36</v>
      </c>
      <c r="E738" s="6">
        <v>1680.0</v>
      </c>
      <c r="F738" s="6">
        <v>420.0</v>
      </c>
      <c r="G738" s="5" t="s">
        <v>52</v>
      </c>
      <c r="H738" s="5" t="s">
        <v>68</v>
      </c>
      <c r="I738" s="6" t="s">
        <v>40</v>
      </c>
      <c r="J738" s="5" t="s">
        <v>8585</v>
      </c>
      <c r="K738" s="5" t="s">
        <v>8632</v>
      </c>
      <c r="L738" s="6" t="s">
        <v>42</v>
      </c>
      <c r="M738" s="5" t="s">
        <v>8746</v>
      </c>
      <c r="N738" s="5" t="s">
        <v>64</v>
      </c>
      <c r="O738" s="5" t="s">
        <v>10783</v>
      </c>
      <c r="P738" s="6">
        <v>4521.0</v>
      </c>
    </row>
    <row r="739" ht="56.25" customHeight="1">
      <c r="A739" s="5" t="s">
        <v>10779</v>
      </c>
      <c r="B739" s="6" t="str">
        <f>IMAGE("https://storage.googleapis.com/acdb/tops/TopsTexTopOuterLPullover1.png")</f>
        <v/>
      </c>
      <c r="C739" s="5" t="s">
        <v>83</v>
      </c>
      <c r="D739" s="8" t="s">
        <v>36</v>
      </c>
      <c r="E739" s="6">
        <v>1680.0</v>
      </c>
      <c r="F739" s="6">
        <v>420.0</v>
      </c>
      <c r="G739" s="5" t="s">
        <v>83</v>
      </c>
      <c r="H739" s="5" t="s">
        <v>69</v>
      </c>
      <c r="I739" s="6" t="s">
        <v>40</v>
      </c>
      <c r="J739" s="5" t="s">
        <v>8585</v>
      </c>
      <c r="K739" s="5" t="s">
        <v>8632</v>
      </c>
      <c r="L739" s="6" t="s">
        <v>42</v>
      </c>
      <c r="M739" s="5" t="s">
        <v>8746</v>
      </c>
      <c r="N739" s="5" t="s">
        <v>64</v>
      </c>
      <c r="O739" s="5" t="s">
        <v>10785</v>
      </c>
      <c r="P739" s="6">
        <v>7607.0</v>
      </c>
    </row>
    <row r="740" ht="56.25" customHeight="1">
      <c r="A740" s="5" t="s">
        <v>10779</v>
      </c>
      <c r="B740" s="6" t="str">
        <f>IMAGE("https://storage.googleapis.com/acdb/tops/TopsTexTopOuterLPullover2.png")</f>
        <v/>
      </c>
      <c r="C740" s="5" t="s">
        <v>1187</v>
      </c>
      <c r="D740" s="8" t="s">
        <v>36</v>
      </c>
      <c r="E740" s="6">
        <v>1680.0</v>
      </c>
      <c r="F740" s="6">
        <v>420.0</v>
      </c>
      <c r="G740" s="5" t="s">
        <v>68</v>
      </c>
      <c r="H740" s="5" t="s">
        <v>142</v>
      </c>
      <c r="I740" s="6" t="s">
        <v>40</v>
      </c>
      <c r="J740" s="5" t="s">
        <v>8585</v>
      </c>
      <c r="K740" s="5" t="s">
        <v>8632</v>
      </c>
      <c r="L740" s="6" t="s">
        <v>42</v>
      </c>
      <c r="M740" s="5" t="s">
        <v>8746</v>
      </c>
      <c r="N740" s="5" t="s">
        <v>64</v>
      </c>
      <c r="O740" s="5" t="s">
        <v>10787</v>
      </c>
      <c r="P740" s="6">
        <v>7608.0</v>
      </c>
    </row>
    <row r="741" ht="56.25" customHeight="1">
      <c r="A741" s="5" t="s">
        <v>10779</v>
      </c>
      <c r="B741" s="6" t="str">
        <f>IMAGE("https://storage.googleapis.com/acdb/tops/TopsTexTopOuterLPullover3.png")</f>
        <v/>
      </c>
      <c r="C741" s="5" t="s">
        <v>106</v>
      </c>
      <c r="D741" s="8" t="s">
        <v>36</v>
      </c>
      <c r="E741" s="6">
        <v>1680.0</v>
      </c>
      <c r="F741" s="6">
        <v>420.0</v>
      </c>
      <c r="G741" s="5" t="s">
        <v>106</v>
      </c>
      <c r="H741" s="5" t="s">
        <v>83</v>
      </c>
      <c r="I741" s="6" t="s">
        <v>40</v>
      </c>
      <c r="J741" s="5" t="s">
        <v>8585</v>
      </c>
      <c r="K741" s="5" t="s">
        <v>8632</v>
      </c>
      <c r="L741" s="6" t="s">
        <v>42</v>
      </c>
      <c r="M741" s="5" t="s">
        <v>8746</v>
      </c>
      <c r="N741" s="5" t="s">
        <v>64</v>
      </c>
      <c r="O741" s="5" t="s">
        <v>10790</v>
      </c>
      <c r="P741" s="6">
        <v>7609.0</v>
      </c>
    </row>
    <row r="742" ht="56.25" customHeight="1">
      <c r="A742" s="5" t="s">
        <v>10779</v>
      </c>
      <c r="B742" s="6" t="str">
        <f>IMAGE("https://storage.googleapis.com/acdb/tops/TopsTexTopOuterLPullover4.png")</f>
        <v/>
      </c>
      <c r="C742" s="5" t="s">
        <v>10486</v>
      </c>
      <c r="D742" s="8" t="s">
        <v>36</v>
      </c>
      <c r="E742" s="6">
        <v>1680.0</v>
      </c>
      <c r="F742" s="6">
        <v>420.0</v>
      </c>
      <c r="G742" s="5" t="s">
        <v>52</v>
      </c>
      <c r="H742" s="5" t="s">
        <v>57</v>
      </c>
      <c r="I742" s="6" t="s">
        <v>40</v>
      </c>
      <c r="J742" s="5" t="s">
        <v>8585</v>
      </c>
      <c r="K742" s="5" t="s">
        <v>8632</v>
      </c>
      <c r="L742" s="6" t="s">
        <v>42</v>
      </c>
      <c r="M742" s="5" t="s">
        <v>8746</v>
      </c>
      <c r="N742" s="5" t="s">
        <v>64</v>
      </c>
      <c r="O742" s="5" t="s">
        <v>10792</v>
      </c>
      <c r="P742" s="6">
        <v>7610.0</v>
      </c>
    </row>
    <row r="743" ht="56.25" customHeight="1">
      <c r="A743" s="5" t="s">
        <v>10794</v>
      </c>
      <c r="B743" s="6" t="str">
        <f>IMAGE("https://storage.googleapis.com/acdb/tops/TopsTexTopCoatLQuilting0.png")</f>
        <v/>
      </c>
      <c r="C743" s="5" t="s">
        <v>1187</v>
      </c>
      <c r="D743" s="8" t="s">
        <v>36</v>
      </c>
      <c r="E743" s="6">
        <v>1400.0</v>
      </c>
      <c r="F743" s="6">
        <v>350.0</v>
      </c>
      <c r="G743" s="5" t="s">
        <v>68</v>
      </c>
      <c r="H743" s="5" t="s">
        <v>54</v>
      </c>
      <c r="I743" s="6" t="s">
        <v>40</v>
      </c>
      <c r="J743" s="5" t="s">
        <v>8585</v>
      </c>
      <c r="K743" s="5" t="s">
        <v>8632</v>
      </c>
      <c r="L743" s="6" t="s">
        <v>42</v>
      </c>
      <c r="M743" s="5" t="s">
        <v>995</v>
      </c>
      <c r="N743" s="5" t="s">
        <v>64</v>
      </c>
      <c r="O743" s="5" t="s">
        <v>10797</v>
      </c>
      <c r="P743" s="6">
        <v>4220.0</v>
      </c>
    </row>
    <row r="744" ht="56.25" customHeight="1">
      <c r="A744" s="5" t="s">
        <v>10794</v>
      </c>
      <c r="B744" s="6" t="str">
        <f>IMAGE("https://storage.googleapis.com/acdb/tops/TopsTexTopCoatLQuilting1.png")</f>
        <v/>
      </c>
      <c r="C744" s="5" t="s">
        <v>95</v>
      </c>
      <c r="D744" s="8" t="s">
        <v>36</v>
      </c>
      <c r="E744" s="6">
        <v>1400.0</v>
      </c>
      <c r="F744" s="6">
        <v>350.0</v>
      </c>
      <c r="G744" s="5" t="s">
        <v>95</v>
      </c>
      <c r="H744" s="5" t="s">
        <v>54</v>
      </c>
      <c r="I744" s="6" t="s">
        <v>40</v>
      </c>
      <c r="J744" s="5" t="s">
        <v>8585</v>
      </c>
      <c r="K744" s="5" t="s">
        <v>8632</v>
      </c>
      <c r="L744" s="6" t="s">
        <v>42</v>
      </c>
      <c r="M744" s="5" t="s">
        <v>995</v>
      </c>
      <c r="N744" s="5" t="s">
        <v>64</v>
      </c>
      <c r="O744" s="5" t="s">
        <v>10801</v>
      </c>
      <c r="P744" s="6">
        <v>9297.0</v>
      </c>
    </row>
    <row r="745" ht="56.25" customHeight="1">
      <c r="A745" s="5" t="s">
        <v>10794</v>
      </c>
      <c r="B745" s="6" t="str">
        <f>IMAGE("https://storage.googleapis.com/acdb/tops/TopsTexTopCoatLQuilting2.png")</f>
        <v/>
      </c>
      <c r="C745" s="5" t="s">
        <v>96</v>
      </c>
      <c r="D745" s="8" t="s">
        <v>36</v>
      </c>
      <c r="E745" s="6">
        <v>1400.0</v>
      </c>
      <c r="F745" s="6">
        <v>350.0</v>
      </c>
      <c r="G745" s="5" t="s">
        <v>96</v>
      </c>
      <c r="H745" s="5" t="s">
        <v>54</v>
      </c>
      <c r="I745" s="6" t="s">
        <v>40</v>
      </c>
      <c r="J745" s="5" t="s">
        <v>8585</v>
      </c>
      <c r="K745" s="5" t="s">
        <v>8632</v>
      </c>
      <c r="L745" s="6" t="s">
        <v>42</v>
      </c>
      <c r="M745" s="5" t="s">
        <v>995</v>
      </c>
      <c r="N745" s="5" t="s">
        <v>64</v>
      </c>
      <c r="O745" s="5" t="s">
        <v>10804</v>
      </c>
      <c r="P745" s="6">
        <v>9298.0</v>
      </c>
    </row>
    <row r="746" ht="56.25" customHeight="1">
      <c r="A746" s="5" t="s">
        <v>10794</v>
      </c>
      <c r="B746" s="6" t="str">
        <f>IMAGE("https://storage.googleapis.com/acdb/tops/TopsTexTopCoatLQuilting3.png")</f>
        <v/>
      </c>
      <c r="C746" s="5" t="s">
        <v>106</v>
      </c>
      <c r="D746" s="8" t="s">
        <v>36</v>
      </c>
      <c r="E746" s="6">
        <v>1400.0</v>
      </c>
      <c r="F746" s="6">
        <v>350.0</v>
      </c>
      <c r="G746" s="5" t="s">
        <v>106</v>
      </c>
      <c r="H746" s="5" t="s">
        <v>54</v>
      </c>
      <c r="I746" s="6" t="s">
        <v>40</v>
      </c>
      <c r="J746" s="5" t="s">
        <v>8585</v>
      </c>
      <c r="K746" s="5" t="s">
        <v>8632</v>
      </c>
      <c r="L746" s="6" t="s">
        <v>42</v>
      </c>
      <c r="M746" s="5" t="s">
        <v>995</v>
      </c>
      <c r="N746" s="5" t="s">
        <v>64</v>
      </c>
      <c r="O746" s="5" t="s">
        <v>10809</v>
      </c>
      <c r="P746" s="6">
        <v>9299.0</v>
      </c>
    </row>
    <row r="747" ht="56.25" customHeight="1">
      <c r="A747" s="5" t="s">
        <v>10794</v>
      </c>
      <c r="B747" s="6" t="str">
        <f>IMAGE("https://storage.googleapis.com/acdb/tops/TopsTexTopCoatLQuilting4.png")</f>
        <v/>
      </c>
      <c r="C747" s="5" t="s">
        <v>10757</v>
      </c>
      <c r="D747" s="8" t="s">
        <v>36</v>
      </c>
      <c r="E747" s="6">
        <v>1400.0</v>
      </c>
      <c r="F747" s="6">
        <v>350.0</v>
      </c>
      <c r="G747" s="5" t="s">
        <v>114</v>
      </c>
      <c r="H747" s="5" t="s">
        <v>54</v>
      </c>
      <c r="I747" s="6" t="s">
        <v>40</v>
      </c>
      <c r="J747" s="5" t="s">
        <v>8585</v>
      </c>
      <c r="K747" s="5" t="s">
        <v>8632</v>
      </c>
      <c r="L747" s="6" t="s">
        <v>42</v>
      </c>
      <c r="M747" s="5" t="s">
        <v>995</v>
      </c>
      <c r="N747" s="5" t="s">
        <v>64</v>
      </c>
      <c r="O747" s="5" t="s">
        <v>10813</v>
      </c>
      <c r="P747" s="6">
        <v>9300.0</v>
      </c>
    </row>
    <row r="748" ht="56.25" customHeight="1">
      <c r="A748" s="5" t="s">
        <v>10815</v>
      </c>
      <c r="B748" s="6" t="str">
        <f>IMAGE("https://storage.googleapis.com/acdb/tops/TopsTexTopYshirtsLQuilting2.png")</f>
        <v/>
      </c>
      <c r="C748" s="5" t="s">
        <v>1458</v>
      </c>
      <c r="D748" s="8" t="s">
        <v>36</v>
      </c>
      <c r="E748" s="6">
        <v>1400.0</v>
      </c>
      <c r="F748" s="6">
        <v>350.0</v>
      </c>
      <c r="G748" s="5" t="s">
        <v>96</v>
      </c>
      <c r="H748" s="5" t="s">
        <v>68</v>
      </c>
      <c r="I748" s="6" t="s">
        <v>40</v>
      </c>
      <c r="J748" s="5" t="s">
        <v>8585</v>
      </c>
      <c r="K748" s="5" t="s">
        <v>8632</v>
      </c>
      <c r="L748" s="6" t="s">
        <v>42</v>
      </c>
      <c r="M748" s="5" t="s">
        <v>8746</v>
      </c>
      <c r="N748" s="5" t="s">
        <v>64</v>
      </c>
      <c r="O748" s="5" t="s">
        <v>10817</v>
      </c>
      <c r="P748" s="6">
        <v>8331.0</v>
      </c>
    </row>
    <row r="749" ht="56.25" customHeight="1">
      <c r="A749" s="5" t="s">
        <v>10815</v>
      </c>
      <c r="B749" s="6" t="str">
        <f>IMAGE("https://storage.googleapis.com/acdb/tops/TopsTexTopYshirtsLQuilting3.png")</f>
        <v/>
      </c>
      <c r="C749" s="5" t="s">
        <v>68</v>
      </c>
      <c r="D749" s="8" t="s">
        <v>36</v>
      </c>
      <c r="E749" s="6">
        <v>1400.0</v>
      </c>
      <c r="F749" s="6">
        <v>350.0</v>
      </c>
      <c r="G749" s="5" t="s">
        <v>68</v>
      </c>
      <c r="H749" s="5" t="s">
        <v>68</v>
      </c>
      <c r="I749" s="6" t="s">
        <v>40</v>
      </c>
      <c r="J749" s="5" t="s">
        <v>8585</v>
      </c>
      <c r="K749" s="5" t="s">
        <v>8632</v>
      </c>
      <c r="L749" s="6" t="s">
        <v>42</v>
      </c>
      <c r="M749" s="5" t="s">
        <v>8746</v>
      </c>
      <c r="N749" s="5" t="s">
        <v>64</v>
      </c>
      <c r="O749" s="5" t="s">
        <v>10820</v>
      </c>
      <c r="P749" s="6">
        <v>8332.0</v>
      </c>
    </row>
    <row r="750" ht="56.25" customHeight="1">
      <c r="A750" s="5" t="s">
        <v>10815</v>
      </c>
      <c r="B750" s="6" t="str">
        <f>IMAGE("https://storage.googleapis.com/acdb/tops/TopsTexTopYshirtsLQuilting4.png")</f>
        <v/>
      </c>
      <c r="C750" s="5" t="s">
        <v>96</v>
      </c>
      <c r="D750" s="8" t="s">
        <v>36</v>
      </c>
      <c r="E750" s="6">
        <v>1400.0</v>
      </c>
      <c r="F750" s="6">
        <v>350.0</v>
      </c>
      <c r="G750" s="5" t="s">
        <v>96</v>
      </c>
      <c r="H750" s="5" t="s">
        <v>68</v>
      </c>
      <c r="I750" s="6" t="s">
        <v>40</v>
      </c>
      <c r="J750" s="5" t="s">
        <v>8585</v>
      </c>
      <c r="K750" s="5" t="s">
        <v>8632</v>
      </c>
      <c r="L750" s="6" t="s">
        <v>42</v>
      </c>
      <c r="M750" s="5" t="s">
        <v>8746</v>
      </c>
      <c r="N750" s="5" t="s">
        <v>64</v>
      </c>
      <c r="O750" s="5" t="s">
        <v>10823</v>
      </c>
      <c r="P750" s="6">
        <v>8333.0</v>
      </c>
    </row>
    <row r="751" ht="56.25" customHeight="1">
      <c r="A751" s="5" t="s">
        <v>10815</v>
      </c>
      <c r="B751" s="6" t="str">
        <f>IMAGE("https://storage.googleapis.com/acdb/tops/TopsTexTopYshirtsLQuilting0.png")</f>
        <v/>
      </c>
      <c r="C751" s="5" t="s">
        <v>69</v>
      </c>
      <c r="D751" s="8" t="s">
        <v>36</v>
      </c>
      <c r="E751" s="6">
        <v>1400.0</v>
      </c>
      <c r="F751" s="6">
        <v>350.0</v>
      </c>
      <c r="G751" s="5" t="s">
        <v>69</v>
      </c>
      <c r="H751" s="5" t="s">
        <v>68</v>
      </c>
      <c r="I751" s="6" t="s">
        <v>40</v>
      </c>
      <c r="J751" s="5" t="s">
        <v>8585</v>
      </c>
      <c r="K751" s="5" t="s">
        <v>8632</v>
      </c>
      <c r="L751" s="6" t="s">
        <v>42</v>
      </c>
      <c r="M751" s="5" t="s">
        <v>8746</v>
      </c>
      <c r="N751" s="5" t="s">
        <v>64</v>
      </c>
      <c r="O751" s="5" t="s">
        <v>10826</v>
      </c>
      <c r="P751" s="6">
        <v>4728.0</v>
      </c>
    </row>
    <row r="752" ht="56.25" customHeight="1">
      <c r="A752" s="5" t="s">
        <v>10815</v>
      </c>
      <c r="B752" s="6" t="str">
        <f>IMAGE("https://storage.googleapis.com/acdb/tops/TopsTexTopYshirtsLQuilting1.png")</f>
        <v/>
      </c>
      <c r="C752" s="5" t="s">
        <v>39</v>
      </c>
      <c r="D752" s="8" t="s">
        <v>36</v>
      </c>
      <c r="E752" s="6">
        <v>1400.0</v>
      </c>
      <c r="F752" s="6">
        <v>350.0</v>
      </c>
      <c r="G752" s="5" t="s">
        <v>39</v>
      </c>
      <c r="H752" s="5" t="s">
        <v>68</v>
      </c>
      <c r="I752" s="6" t="s">
        <v>40</v>
      </c>
      <c r="J752" s="5" t="s">
        <v>8585</v>
      </c>
      <c r="K752" s="5" t="s">
        <v>8632</v>
      </c>
      <c r="L752" s="6" t="s">
        <v>42</v>
      </c>
      <c r="M752" s="5" t="s">
        <v>8746</v>
      </c>
      <c r="N752" s="5" t="s">
        <v>64</v>
      </c>
      <c r="O752" s="5" t="s">
        <v>10828</v>
      </c>
      <c r="P752" s="6">
        <v>8330.0</v>
      </c>
    </row>
    <row r="753" ht="56.25" customHeight="1">
      <c r="A753" s="5" t="s">
        <v>10829</v>
      </c>
      <c r="B753" s="6" t="str">
        <f>IMAGE("https://storage.googleapis.com/acdb/tops/TopsTexTopTshirtsHRabbit0.png")</f>
        <v/>
      </c>
      <c r="C753" s="5" t="s">
        <v>34</v>
      </c>
      <c r="D753" s="8" t="s">
        <v>36</v>
      </c>
      <c r="E753" s="6">
        <v>800.0</v>
      </c>
      <c r="F753" s="6">
        <v>200.0</v>
      </c>
      <c r="G753" s="5" t="s">
        <v>83</v>
      </c>
      <c r="H753" s="5" t="s">
        <v>57</v>
      </c>
      <c r="I753" s="6" t="s">
        <v>40</v>
      </c>
      <c r="J753" s="5" t="s">
        <v>8578</v>
      </c>
      <c r="K753" s="5"/>
      <c r="L753" s="6" t="s">
        <v>42</v>
      </c>
      <c r="M753" s="5" t="s">
        <v>8746</v>
      </c>
      <c r="N753" s="5" t="s">
        <v>64</v>
      </c>
      <c r="O753" s="5" t="s">
        <v>10834</v>
      </c>
      <c r="P753" s="6">
        <v>8197.0</v>
      </c>
    </row>
    <row r="754" ht="56.25" customHeight="1">
      <c r="A754" s="5" t="s">
        <v>10835</v>
      </c>
      <c r="B754" s="6" t="str">
        <f>IMAGE("https://storage.googleapis.com/acdb/tops/TopsTexTopTshirtsLRaglan0.png")</f>
        <v/>
      </c>
      <c r="C754" s="5" t="s">
        <v>52</v>
      </c>
      <c r="D754" s="8" t="s">
        <v>36</v>
      </c>
      <c r="E754" s="6">
        <v>800.0</v>
      </c>
      <c r="F754" s="6">
        <v>200.0</v>
      </c>
      <c r="G754" s="5" t="s">
        <v>52</v>
      </c>
      <c r="H754" s="5" t="s">
        <v>57</v>
      </c>
      <c r="I754" s="6" t="s">
        <v>40</v>
      </c>
      <c r="J754" s="5" t="s">
        <v>8585</v>
      </c>
      <c r="K754" s="5" t="s">
        <v>8632</v>
      </c>
      <c r="L754" s="6" t="s">
        <v>42</v>
      </c>
      <c r="M754" s="5" t="s">
        <v>995</v>
      </c>
      <c r="N754" s="5" t="s">
        <v>64</v>
      </c>
      <c r="O754" s="5" t="s">
        <v>10838</v>
      </c>
      <c r="P754" s="6">
        <v>2674.0</v>
      </c>
    </row>
    <row r="755" ht="56.25" customHeight="1">
      <c r="A755" s="5" t="s">
        <v>10835</v>
      </c>
      <c r="B755" s="6" t="str">
        <f>IMAGE("https://storage.googleapis.com/acdb/tops/TopsTexTopTshirtsLRaglan1.png")</f>
        <v/>
      </c>
      <c r="C755" s="5" t="s">
        <v>96</v>
      </c>
      <c r="D755" s="8" t="s">
        <v>36</v>
      </c>
      <c r="E755" s="6">
        <v>800.0</v>
      </c>
      <c r="F755" s="6">
        <v>200.0</v>
      </c>
      <c r="G755" s="5" t="s">
        <v>96</v>
      </c>
      <c r="H755" s="5" t="s">
        <v>57</v>
      </c>
      <c r="I755" s="6" t="s">
        <v>40</v>
      </c>
      <c r="J755" s="5" t="s">
        <v>8585</v>
      </c>
      <c r="K755" s="5" t="s">
        <v>8632</v>
      </c>
      <c r="L755" s="6" t="s">
        <v>42</v>
      </c>
      <c r="M755" s="5" t="s">
        <v>995</v>
      </c>
      <c r="N755" s="5" t="s">
        <v>64</v>
      </c>
      <c r="O755" s="5" t="s">
        <v>10841</v>
      </c>
      <c r="P755" s="6">
        <v>8396.0</v>
      </c>
    </row>
    <row r="756" ht="56.25" customHeight="1">
      <c r="A756" s="5" t="s">
        <v>10835</v>
      </c>
      <c r="B756" s="6" t="str">
        <f>IMAGE("https://storage.googleapis.com/acdb/tops/TopsTexTopTshirtsLRaglan2.png")</f>
        <v/>
      </c>
      <c r="C756" s="5" t="s">
        <v>68</v>
      </c>
      <c r="D756" s="8" t="s">
        <v>36</v>
      </c>
      <c r="E756" s="6">
        <v>800.0</v>
      </c>
      <c r="F756" s="6">
        <v>200.0</v>
      </c>
      <c r="G756" s="5" t="s">
        <v>68</v>
      </c>
      <c r="H756" s="5" t="s">
        <v>57</v>
      </c>
      <c r="I756" s="6" t="s">
        <v>40</v>
      </c>
      <c r="J756" s="5" t="s">
        <v>8585</v>
      </c>
      <c r="K756" s="5" t="s">
        <v>8632</v>
      </c>
      <c r="L756" s="6" t="s">
        <v>42</v>
      </c>
      <c r="M756" s="5" t="s">
        <v>995</v>
      </c>
      <c r="N756" s="5" t="s">
        <v>64</v>
      </c>
      <c r="O756" s="5" t="s">
        <v>10845</v>
      </c>
      <c r="P756" s="6">
        <v>8397.0</v>
      </c>
    </row>
    <row r="757" ht="56.25" customHeight="1">
      <c r="A757" s="5" t="s">
        <v>10835</v>
      </c>
      <c r="B757" s="6" t="str">
        <f>IMAGE("https://storage.googleapis.com/acdb/tops/TopsTexTopTshirtsLRaglan3.png")</f>
        <v/>
      </c>
      <c r="C757" s="5" t="s">
        <v>54</v>
      </c>
      <c r="D757" s="8" t="s">
        <v>36</v>
      </c>
      <c r="E757" s="6">
        <v>800.0</v>
      </c>
      <c r="F757" s="6">
        <v>200.0</v>
      </c>
      <c r="G757" s="5" t="s">
        <v>54</v>
      </c>
      <c r="H757" s="5" t="s">
        <v>57</v>
      </c>
      <c r="I757" s="6" t="s">
        <v>40</v>
      </c>
      <c r="J757" s="5" t="s">
        <v>8585</v>
      </c>
      <c r="K757" s="5" t="s">
        <v>8632</v>
      </c>
      <c r="L757" s="6" t="s">
        <v>42</v>
      </c>
      <c r="M757" s="5" t="s">
        <v>995</v>
      </c>
      <c r="N757" s="5" t="s">
        <v>64</v>
      </c>
      <c r="O757" s="5" t="s">
        <v>10847</v>
      </c>
      <c r="P757" s="6">
        <v>8398.0</v>
      </c>
    </row>
    <row r="758" ht="56.25" customHeight="1">
      <c r="A758" s="5" t="s">
        <v>10835</v>
      </c>
      <c r="B758" s="6" t="str">
        <f>IMAGE("https://storage.googleapis.com/acdb/tops/TopsTexTopTshirtsLRaglan4.png")</f>
        <v/>
      </c>
      <c r="C758" s="5" t="s">
        <v>57</v>
      </c>
      <c r="D758" s="8" t="s">
        <v>36</v>
      </c>
      <c r="E758" s="6">
        <v>800.0</v>
      </c>
      <c r="F758" s="6">
        <v>200.0</v>
      </c>
      <c r="G758" s="5" t="s">
        <v>57</v>
      </c>
      <c r="H758" s="5" t="s">
        <v>54</v>
      </c>
      <c r="I758" s="6" t="s">
        <v>40</v>
      </c>
      <c r="J758" s="5" t="s">
        <v>8585</v>
      </c>
      <c r="K758" s="5" t="s">
        <v>8632</v>
      </c>
      <c r="L758" s="6" t="s">
        <v>42</v>
      </c>
      <c r="M758" s="5" t="s">
        <v>995</v>
      </c>
      <c r="N758" s="5" t="s">
        <v>64</v>
      </c>
      <c r="O758" s="5" t="s">
        <v>10850</v>
      </c>
      <c r="P758" s="6">
        <v>8399.0</v>
      </c>
    </row>
    <row r="759" ht="56.25" customHeight="1">
      <c r="A759" s="5" t="s">
        <v>10851</v>
      </c>
      <c r="B759" s="6" t="str">
        <f>IMAGE("https://storage.googleapis.com/acdb/tops/TopsTexTopOuterLRainbow1.png")</f>
        <v/>
      </c>
      <c r="C759" s="5" t="s">
        <v>57</v>
      </c>
      <c r="D759" s="8" t="s">
        <v>36</v>
      </c>
      <c r="E759" s="6">
        <v>1200.0</v>
      </c>
      <c r="F759" s="6">
        <v>300.0</v>
      </c>
      <c r="G759" s="5" t="s">
        <v>57</v>
      </c>
      <c r="H759" s="5" t="s">
        <v>58</v>
      </c>
      <c r="I759" s="6" t="s">
        <v>40</v>
      </c>
      <c r="J759" s="5" t="s">
        <v>8585</v>
      </c>
      <c r="K759" s="5" t="s">
        <v>8632</v>
      </c>
      <c r="L759" s="6" t="s">
        <v>42</v>
      </c>
      <c r="M759" s="5" t="s">
        <v>1959</v>
      </c>
      <c r="N759" s="5" t="s">
        <v>64</v>
      </c>
      <c r="O759" s="5" t="s">
        <v>10855</v>
      </c>
      <c r="P759" s="6">
        <v>7644.0</v>
      </c>
    </row>
    <row r="760" ht="56.25" customHeight="1">
      <c r="A760" s="5" t="s">
        <v>10851</v>
      </c>
      <c r="B760" s="6" t="str">
        <f>IMAGE("https://storage.googleapis.com/acdb/tops/TopsTexTopOuterLRainbow2.png")</f>
        <v/>
      </c>
      <c r="C760" s="5" t="s">
        <v>52</v>
      </c>
      <c r="D760" s="8" t="s">
        <v>36</v>
      </c>
      <c r="E760" s="6">
        <v>1200.0</v>
      </c>
      <c r="F760" s="6">
        <v>300.0</v>
      </c>
      <c r="G760" s="5" t="s">
        <v>52</v>
      </c>
      <c r="H760" s="5" t="s">
        <v>58</v>
      </c>
      <c r="I760" s="6" t="s">
        <v>40</v>
      </c>
      <c r="J760" s="5" t="s">
        <v>8585</v>
      </c>
      <c r="K760" s="5" t="s">
        <v>8632</v>
      </c>
      <c r="L760" s="6" t="s">
        <v>42</v>
      </c>
      <c r="M760" s="5" t="s">
        <v>1959</v>
      </c>
      <c r="N760" s="5" t="s">
        <v>64</v>
      </c>
      <c r="O760" s="5" t="s">
        <v>10858</v>
      </c>
      <c r="P760" s="6">
        <v>7645.0</v>
      </c>
    </row>
    <row r="761" ht="56.25" customHeight="1">
      <c r="A761" s="5" t="s">
        <v>10851</v>
      </c>
      <c r="B761" s="6" t="str">
        <f>IMAGE("https://storage.googleapis.com/acdb/tops/TopsTexTopOuterLRainbow3.png")</f>
        <v/>
      </c>
      <c r="C761" s="5" t="s">
        <v>96</v>
      </c>
      <c r="D761" s="8" t="s">
        <v>36</v>
      </c>
      <c r="E761" s="6">
        <v>1200.0</v>
      </c>
      <c r="F761" s="6">
        <v>300.0</v>
      </c>
      <c r="G761" s="5" t="s">
        <v>96</v>
      </c>
      <c r="H761" s="5" t="s">
        <v>58</v>
      </c>
      <c r="I761" s="6" t="s">
        <v>40</v>
      </c>
      <c r="J761" s="5" t="s">
        <v>8585</v>
      </c>
      <c r="K761" s="5" t="s">
        <v>8632</v>
      </c>
      <c r="L761" s="6" t="s">
        <v>42</v>
      </c>
      <c r="M761" s="5" t="s">
        <v>1959</v>
      </c>
      <c r="N761" s="5" t="s">
        <v>64</v>
      </c>
      <c r="O761" s="5" t="s">
        <v>10861</v>
      </c>
      <c r="P761" s="6">
        <v>7646.0</v>
      </c>
    </row>
    <row r="762" ht="56.25" customHeight="1">
      <c r="A762" s="5" t="s">
        <v>10851</v>
      </c>
      <c r="B762" s="6" t="str">
        <f>IMAGE("https://storage.googleapis.com/acdb/tops/TopsTexTopOuterLRainbow4.png")</f>
        <v/>
      </c>
      <c r="C762" s="5" t="s">
        <v>83</v>
      </c>
      <c r="D762" s="8" t="s">
        <v>36</v>
      </c>
      <c r="E762" s="6">
        <v>1200.0</v>
      </c>
      <c r="F762" s="6">
        <v>300.0</v>
      </c>
      <c r="G762" s="5" t="s">
        <v>83</v>
      </c>
      <c r="H762" s="5" t="s">
        <v>58</v>
      </c>
      <c r="I762" s="6" t="s">
        <v>40</v>
      </c>
      <c r="J762" s="5" t="s">
        <v>8585</v>
      </c>
      <c r="K762" s="5" t="s">
        <v>8632</v>
      </c>
      <c r="L762" s="6" t="s">
        <v>42</v>
      </c>
      <c r="M762" s="5" t="s">
        <v>1959</v>
      </c>
      <c r="N762" s="5" t="s">
        <v>64</v>
      </c>
      <c r="O762" s="5" t="s">
        <v>10864</v>
      </c>
      <c r="P762" s="6">
        <v>7647.0</v>
      </c>
    </row>
    <row r="763" ht="56.25" customHeight="1">
      <c r="A763" s="5" t="s">
        <v>10851</v>
      </c>
      <c r="B763" s="6" t="str">
        <f>IMAGE("https://storage.googleapis.com/acdb/tops/TopsTexTopOuterLRainbow0.png")</f>
        <v/>
      </c>
      <c r="C763" s="5" t="s">
        <v>54</v>
      </c>
      <c r="D763" s="8" t="s">
        <v>36</v>
      </c>
      <c r="E763" s="6">
        <v>1200.0</v>
      </c>
      <c r="F763" s="6">
        <v>300.0</v>
      </c>
      <c r="G763" s="5" t="s">
        <v>54</v>
      </c>
      <c r="H763" s="5" t="s">
        <v>58</v>
      </c>
      <c r="I763" s="6" t="s">
        <v>40</v>
      </c>
      <c r="J763" s="5" t="s">
        <v>8585</v>
      </c>
      <c r="K763" s="5" t="s">
        <v>8632</v>
      </c>
      <c r="L763" s="6" t="s">
        <v>42</v>
      </c>
      <c r="M763" s="5" t="s">
        <v>1959</v>
      </c>
      <c r="N763" s="5" t="s">
        <v>64</v>
      </c>
      <c r="O763" s="5" t="s">
        <v>10866</v>
      </c>
      <c r="P763" s="6">
        <v>4595.0</v>
      </c>
    </row>
    <row r="764" ht="56.25" customHeight="1">
      <c r="A764" s="5" t="s">
        <v>10869</v>
      </c>
      <c r="B764" s="6" t="str">
        <f>IMAGE("https://storage.googleapis.com/acdb/tops/TopsTexTopCoatLRain0.png")</f>
        <v/>
      </c>
      <c r="C764" s="5" t="s">
        <v>114</v>
      </c>
      <c r="D764" s="8" t="s">
        <v>36</v>
      </c>
      <c r="E764" s="6">
        <v>1280.0</v>
      </c>
      <c r="F764" s="6">
        <v>320.0</v>
      </c>
      <c r="G764" s="5" t="s">
        <v>114</v>
      </c>
      <c r="H764" s="5" t="s">
        <v>114</v>
      </c>
      <c r="I764" s="6" t="s">
        <v>40</v>
      </c>
      <c r="J764" s="5" t="s">
        <v>8585</v>
      </c>
      <c r="K764" s="5" t="s">
        <v>8632</v>
      </c>
      <c r="L764" s="6" t="s">
        <v>42</v>
      </c>
      <c r="M764" s="5" t="s">
        <v>995</v>
      </c>
      <c r="N764" s="5" t="s">
        <v>64</v>
      </c>
      <c r="O764" s="5" t="s">
        <v>10871</v>
      </c>
      <c r="P764" s="6">
        <v>3170.0</v>
      </c>
    </row>
    <row r="765" ht="56.25" customHeight="1">
      <c r="A765" s="5" t="s">
        <v>10869</v>
      </c>
      <c r="B765" s="6" t="str">
        <f>IMAGE("https://storage.googleapis.com/acdb/tops/TopsTexTopCoatLRain3.png")</f>
        <v/>
      </c>
      <c r="C765" s="5" t="s">
        <v>106</v>
      </c>
      <c r="D765" s="8" t="s">
        <v>36</v>
      </c>
      <c r="E765" s="6">
        <v>1280.0</v>
      </c>
      <c r="F765" s="6">
        <v>320.0</v>
      </c>
      <c r="G765" s="5" t="s">
        <v>106</v>
      </c>
      <c r="H765" s="5" t="s">
        <v>106</v>
      </c>
      <c r="I765" s="6" t="s">
        <v>40</v>
      </c>
      <c r="J765" s="5" t="s">
        <v>8585</v>
      </c>
      <c r="K765" s="5" t="s">
        <v>8632</v>
      </c>
      <c r="L765" s="6" t="s">
        <v>42</v>
      </c>
      <c r="M765" s="5" t="s">
        <v>995</v>
      </c>
      <c r="N765" s="5" t="s">
        <v>64</v>
      </c>
      <c r="O765" s="5" t="s">
        <v>10874</v>
      </c>
      <c r="P765" s="6">
        <v>8290.0</v>
      </c>
    </row>
    <row r="766" ht="56.25" customHeight="1">
      <c r="A766" s="5" t="s">
        <v>10869</v>
      </c>
      <c r="B766" s="6" t="str">
        <f>IMAGE("https://storage.googleapis.com/acdb/tops/TopsTexTopCoatLRain4.png")</f>
        <v/>
      </c>
      <c r="C766" s="5" t="s">
        <v>69</v>
      </c>
      <c r="D766" s="8" t="s">
        <v>36</v>
      </c>
      <c r="E766" s="6">
        <v>1280.0</v>
      </c>
      <c r="F766" s="6">
        <v>320.0</v>
      </c>
      <c r="G766" s="5" t="s">
        <v>69</v>
      </c>
      <c r="H766" s="5" t="s">
        <v>69</v>
      </c>
      <c r="I766" s="6" t="s">
        <v>40</v>
      </c>
      <c r="J766" s="5" t="s">
        <v>8585</v>
      </c>
      <c r="K766" s="5" t="s">
        <v>8632</v>
      </c>
      <c r="L766" s="6" t="s">
        <v>42</v>
      </c>
      <c r="M766" s="5" t="s">
        <v>995</v>
      </c>
      <c r="N766" s="5" t="s">
        <v>64</v>
      </c>
      <c r="O766" s="5" t="s">
        <v>10878</v>
      </c>
      <c r="P766" s="6">
        <v>8291.0</v>
      </c>
    </row>
    <row r="767" ht="56.25" customHeight="1">
      <c r="A767" s="5" t="s">
        <v>10869</v>
      </c>
      <c r="B767" s="6" t="str">
        <f>IMAGE("https://storage.googleapis.com/acdb/tops/TopsTexTopCoatLRain5.png")</f>
        <v/>
      </c>
      <c r="C767" s="5" t="s">
        <v>52</v>
      </c>
      <c r="D767" s="8" t="s">
        <v>36</v>
      </c>
      <c r="E767" s="6">
        <v>1280.0</v>
      </c>
      <c r="F767" s="6">
        <v>320.0</v>
      </c>
      <c r="G767" s="5" t="s">
        <v>52</v>
      </c>
      <c r="H767" s="5" t="s">
        <v>52</v>
      </c>
      <c r="I767" s="6" t="s">
        <v>40</v>
      </c>
      <c r="J767" s="5" t="s">
        <v>8585</v>
      </c>
      <c r="K767" s="5" t="s">
        <v>8632</v>
      </c>
      <c r="L767" s="6" t="s">
        <v>42</v>
      </c>
      <c r="M767" s="5" t="s">
        <v>995</v>
      </c>
      <c r="N767" s="5" t="s">
        <v>64</v>
      </c>
      <c r="O767" s="5" t="s">
        <v>10880</v>
      </c>
      <c r="P767" s="6">
        <v>8292.0</v>
      </c>
    </row>
    <row r="768" ht="56.25" customHeight="1">
      <c r="A768" s="5" t="s">
        <v>10869</v>
      </c>
      <c r="B768" s="6" t="str">
        <f>IMAGE("https://storage.googleapis.com/acdb/tops/TopsTexTopCoatLRain6.png")</f>
        <v/>
      </c>
      <c r="C768" s="5" t="s">
        <v>38</v>
      </c>
      <c r="D768" s="8" t="s">
        <v>36</v>
      </c>
      <c r="E768" s="6">
        <v>1280.0</v>
      </c>
      <c r="F768" s="6">
        <v>320.0</v>
      </c>
      <c r="G768" s="5" t="s">
        <v>38</v>
      </c>
      <c r="H768" s="5" t="s">
        <v>38</v>
      </c>
      <c r="I768" s="6" t="s">
        <v>40</v>
      </c>
      <c r="J768" s="5" t="s">
        <v>8585</v>
      </c>
      <c r="K768" s="5" t="s">
        <v>8632</v>
      </c>
      <c r="L768" s="6" t="s">
        <v>42</v>
      </c>
      <c r="M768" s="5" t="s">
        <v>995</v>
      </c>
      <c r="N768" s="5" t="s">
        <v>64</v>
      </c>
      <c r="O768" s="5" t="s">
        <v>10883</v>
      </c>
      <c r="P768" s="6">
        <v>8293.0</v>
      </c>
    </row>
    <row r="769" ht="56.25" customHeight="1">
      <c r="A769" s="5" t="s">
        <v>10869</v>
      </c>
      <c r="B769" s="6" t="str">
        <f>IMAGE("https://storage.googleapis.com/acdb/tops/TopsTexTopCoatLRain7.png")</f>
        <v/>
      </c>
      <c r="C769" s="5" t="s">
        <v>54</v>
      </c>
      <c r="D769" s="8" t="s">
        <v>36</v>
      </c>
      <c r="E769" s="6">
        <v>1280.0</v>
      </c>
      <c r="F769" s="6">
        <v>320.0</v>
      </c>
      <c r="G769" s="5" t="s">
        <v>54</v>
      </c>
      <c r="H769" s="5" t="s">
        <v>54</v>
      </c>
      <c r="I769" s="6" t="s">
        <v>40</v>
      </c>
      <c r="J769" s="5" t="s">
        <v>8585</v>
      </c>
      <c r="K769" s="5" t="s">
        <v>8632</v>
      </c>
      <c r="L769" s="6" t="s">
        <v>42</v>
      </c>
      <c r="M769" s="5" t="s">
        <v>995</v>
      </c>
      <c r="N769" s="5" t="s">
        <v>64</v>
      </c>
      <c r="O769" s="5" t="s">
        <v>10885</v>
      </c>
      <c r="P769" s="6">
        <v>8294.0</v>
      </c>
    </row>
    <row r="770" ht="56.25" customHeight="1">
      <c r="A770" s="5" t="s">
        <v>10869</v>
      </c>
      <c r="B770" s="6" t="str">
        <f>IMAGE("https://storage.googleapis.com/acdb/tops/TopsTexTopCoatLRain1.png")</f>
        <v/>
      </c>
      <c r="C770" s="5" t="s">
        <v>96</v>
      </c>
      <c r="D770" s="8" t="s">
        <v>36</v>
      </c>
      <c r="E770" s="6">
        <v>1280.0</v>
      </c>
      <c r="F770" s="6">
        <v>320.0</v>
      </c>
      <c r="G770" s="5" t="s">
        <v>96</v>
      </c>
      <c r="H770" s="5" t="s">
        <v>96</v>
      </c>
      <c r="I770" s="6" t="s">
        <v>40</v>
      </c>
      <c r="J770" s="5" t="s">
        <v>8585</v>
      </c>
      <c r="K770" s="5" t="s">
        <v>8632</v>
      </c>
      <c r="L770" s="6" t="s">
        <v>42</v>
      </c>
      <c r="M770" s="5" t="s">
        <v>995</v>
      </c>
      <c r="N770" s="5" t="s">
        <v>64</v>
      </c>
      <c r="O770" s="5" t="s">
        <v>10888</v>
      </c>
      <c r="P770" s="6">
        <v>8288.0</v>
      </c>
    </row>
    <row r="771" ht="56.25" customHeight="1">
      <c r="A771" s="5" t="s">
        <v>10869</v>
      </c>
      <c r="B771" s="6" t="str">
        <f>IMAGE("https://storage.googleapis.com/acdb/tops/TopsTexTopCoatLRain2.png")</f>
        <v/>
      </c>
      <c r="C771" s="5" t="s">
        <v>68</v>
      </c>
      <c r="D771" s="8" t="s">
        <v>36</v>
      </c>
      <c r="E771" s="6">
        <v>1280.0</v>
      </c>
      <c r="F771" s="6">
        <v>320.0</v>
      </c>
      <c r="G771" s="5" t="s">
        <v>68</v>
      </c>
      <c r="H771" s="5" t="s">
        <v>68</v>
      </c>
      <c r="I771" s="6" t="s">
        <v>40</v>
      </c>
      <c r="J771" s="5" t="s">
        <v>8585</v>
      </c>
      <c r="K771" s="5" t="s">
        <v>8632</v>
      </c>
      <c r="L771" s="6" t="s">
        <v>42</v>
      </c>
      <c r="M771" s="5" t="s">
        <v>995</v>
      </c>
      <c r="N771" s="5" t="s">
        <v>64</v>
      </c>
      <c r="O771" s="5" t="s">
        <v>10891</v>
      </c>
      <c r="P771" s="6">
        <v>8289.0</v>
      </c>
    </row>
    <row r="772" ht="56.25" customHeight="1">
      <c r="A772" s="5" t="s">
        <v>10892</v>
      </c>
      <c r="B772" s="6" t="str">
        <f>IMAGE("https://storage.googleapis.com/acdb/tops/TopsTexTopOuterLReindeer0.png")</f>
        <v/>
      </c>
      <c r="C772" s="5" t="s">
        <v>96</v>
      </c>
      <c r="D772" s="8" t="s">
        <v>36</v>
      </c>
      <c r="E772" s="6">
        <v>1680.0</v>
      </c>
      <c r="F772" s="6">
        <v>420.0</v>
      </c>
      <c r="G772" s="5" t="s">
        <v>96</v>
      </c>
      <c r="H772" s="5" t="s">
        <v>38</v>
      </c>
      <c r="I772" s="6" t="s">
        <v>40</v>
      </c>
      <c r="J772" s="5" t="s">
        <v>8585</v>
      </c>
      <c r="K772" s="5" t="s">
        <v>8632</v>
      </c>
      <c r="L772" s="6" t="s">
        <v>42</v>
      </c>
      <c r="M772" s="5" t="s">
        <v>995</v>
      </c>
      <c r="N772" s="5" t="s">
        <v>64</v>
      </c>
      <c r="O772" s="5" t="s">
        <v>10893</v>
      </c>
      <c r="P772" s="6">
        <v>4566.0</v>
      </c>
    </row>
    <row r="773" ht="56.25" customHeight="1">
      <c r="A773" s="5" t="s">
        <v>10892</v>
      </c>
      <c r="B773" s="6" t="str">
        <f>IMAGE("https://storage.googleapis.com/acdb/tops/TopsTexTopOuterLReindeer1.png")</f>
        <v/>
      </c>
      <c r="C773" s="5" t="s">
        <v>39</v>
      </c>
      <c r="D773" s="8" t="s">
        <v>36</v>
      </c>
      <c r="E773" s="6">
        <v>1680.0</v>
      </c>
      <c r="F773" s="6">
        <v>420.0</v>
      </c>
      <c r="G773" s="5" t="s">
        <v>39</v>
      </c>
      <c r="H773" s="5" t="s">
        <v>38</v>
      </c>
      <c r="I773" s="6" t="s">
        <v>40</v>
      </c>
      <c r="J773" s="5" t="s">
        <v>8585</v>
      </c>
      <c r="K773" s="5" t="s">
        <v>8632</v>
      </c>
      <c r="L773" s="6" t="s">
        <v>42</v>
      </c>
      <c r="M773" s="5" t="s">
        <v>995</v>
      </c>
      <c r="N773" s="5" t="s">
        <v>64</v>
      </c>
      <c r="O773" s="5" t="s">
        <v>10895</v>
      </c>
      <c r="P773" s="6">
        <v>7740.0</v>
      </c>
    </row>
    <row r="774" ht="56.25" customHeight="1">
      <c r="A774" s="5" t="s">
        <v>10892</v>
      </c>
      <c r="B774" s="6" t="str">
        <f>IMAGE("https://storage.googleapis.com/acdb/tops/TopsTexTopOuterLReindeer2.png")</f>
        <v/>
      </c>
      <c r="C774" s="5" t="s">
        <v>52</v>
      </c>
      <c r="D774" s="8" t="s">
        <v>36</v>
      </c>
      <c r="E774" s="6">
        <v>1680.0</v>
      </c>
      <c r="F774" s="6">
        <v>420.0</v>
      </c>
      <c r="G774" s="5" t="s">
        <v>52</v>
      </c>
      <c r="H774" s="5" t="s">
        <v>38</v>
      </c>
      <c r="I774" s="6" t="s">
        <v>40</v>
      </c>
      <c r="J774" s="5" t="s">
        <v>8585</v>
      </c>
      <c r="K774" s="5" t="s">
        <v>8632</v>
      </c>
      <c r="L774" s="6" t="s">
        <v>42</v>
      </c>
      <c r="M774" s="5" t="s">
        <v>995</v>
      </c>
      <c r="N774" s="5" t="s">
        <v>64</v>
      </c>
      <c r="O774" s="5" t="s">
        <v>10898</v>
      </c>
      <c r="P774" s="6">
        <v>7741.0</v>
      </c>
    </row>
    <row r="775" ht="56.25" customHeight="1">
      <c r="A775" s="5" t="s">
        <v>10899</v>
      </c>
      <c r="B775" s="6" t="str">
        <f>IMAGE("https://storage.googleapis.com/acdb/tops/TopsTexTopTshirtsNEkiden1.png")</f>
        <v/>
      </c>
      <c r="C775" s="5" t="s">
        <v>83</v>
      </c>
      <c r="D775" s="8" t="s">
        <v>36</v>
      </c>
      <c r="E775" s="6">
        <v>960.0</v>
      </c>
      <c r="F775" s="6">
        <v>240.0</v>
      </c>
      <c r="G775" s="5" t="s">
        <v>83</v>
      </c>
      <c r="H775" s="5" t="s">
        <v>106</v>
      </c>
      <c r="I775" s="6" t="s">
        <v>40</v>
      </c>
      <c r="J775" s="5" t="s">
        <v>8585</v>
      </c>
      <c r="K775" s="5" t="s">
        <v>8586</v>
      </c>
      <c r="L775" s="6" t="s">
        <v>42</v>
      </c>
      <c r="M775" s="5" t="s">
        <v>8746</v>
      </c>
      <c r="N775" s="5" t="s">
        <v>64</v>
      </c>
      <c r="O775" s="5" t="s">
        <v>10901</v>
      </c>
      <c r="P775" s="6">
        <v>9372.0</v>
      </c>
    </row>
    <row r="776" ht="56.25" customHeight="1">
      <c r="A776" s="5" t="s">
        <v>10899</v>
      </c>
      <c r="B776" s="6" t="str">
        <f>IMAGE("https://storage.googleapis.com/acdb/tops/TopsTexTopTshirtsNEkiden2.png")</f>
        <v/>
      </c>
      <c r="C776" s="5" t="s">
        <v>106</v>
      </c>
      <c r="D776" s="8" t="s">
        <v>36</v>
      </c>
      <c r="E776" s="6">
        <v>960.0</v>
      </c>
      <c r="F776" s="6">
        <v>240.0</v>
      </c>
      <c r="G776" s="5" t="s">
        <v>106</v>
      </c>
      <c r="H776" s="5" t="s">
        <v>69</v>
      </c>
      <c r="I776" s="6" t="s">
        <v>40</v>
      </c>
      <c r="J776" s="5" t="s">
        <v>8585</v>
      </c>
      <c r="K776" s="5" t="s">
        <v>8586</v>
      </c>
      <c r="L776" s="6" t="s">
        <v>42</v>
      </c>
      <c r="M776" s="5" t="s">
        <v>8746</v>
      </c>
      <c r="N776" s="5" t="s">
        <v>64</v>
      </c>
      <c r="O776" s="5" t="s">
        <v>10905</v>
      </c>
      <c r="P776" s="6">
        <v>9373.0</v>
      </c>
    </row>
    <row r="777" ht="56.25" customHeight="1">
      <c r="A777" s="5" t="s">
        <v>10899</v>
      </c>
      <c r="B777" s="6" t="str">
        <f>IMAGE("https://storage.googleapis.com/acdb/tops/TopsTexTopTshirtsNEkiden3.png")</f>
        <v/>
      </c>
      <c r="C777" s="5" t="s">
        <v>54</v>
      </c>
      <c r="D777" s="8" t="s">
        <v>36</v>
      </c>
      <c r="E777" s="6">
        <v>960.0</v>
      </c>
      <c r="F777" s="6">
        <v>240.0</v>
      </c>
      <c r="G777" s="5" t="s">
        <v>54</v>
      </c>
      <c r="H777" s="5" t="s">
        <v>95</v>
      </c>
      <c r="I777" s="6" t="s">
        <v>40</v>
      </c>
      <c r="J777" s="5" t="s">
        <v>8585</v>
      </c>
      <c r="K777" s="5" t="s">
        <v>8586</v>
      </c>
      <c r="L777" s="6" t="s">
        <v>42</v>
      </c>
      <c r="M777" s="5" t="s">
        <v>8746</v>
      </c>
      <c r="N777" s="5" t="s">
        <v>64</v>
      </c>
      <c r="O777" s="5" t="s">
        <v>10908</v>
      </c>
      <c r="P777" s="6">
        <v>9374.0</v>
      </c>
    </row>
    <row r="778" ht="56.25" customHeight="1">
      <c r="A778" s="5" t="s">
        <v>10899</v>
      </c>
      <c r="B778" s="6" t="str">
        <f>IMAGE("https://storage.googleapis.com/acdb/tops/TopsTexTopTshirtsNEkiden4.png")</f>
        <v/>
      </c>
      <c r="C778" s="5" t="s">
        <v>142</v>
      </c>
      <c r="D778" s="8" t="s">
        <v>36</v>
      </c>
      <c r="E778" s="6">
        <v>960.0</v>
      </c>
      <c r="F778" s="6">
        <v>240.0</v>
      </c>
      <c r="G778" s="5" t="s">
        <v>142</v>
      </c>
      <c r="H778" s="5" t="s">
        <v>83</v>
      </c>
      <c r="I778" s="6" t="s">
        <v>40</v>
      </c>
      <c r="J778" s="5" t="s">
        <v>8585</v>
      </c>
      <c r="K778" s="5" t="s">
        <v>8586</v>
      </c>
      <c r="L778" s="6" t="s">
        <v>42</v>
      </c>
      <c r="M778" s="5" t="s">
        <v>8746</v>
      </c>
      <c r="N778" s="5" t="s">
        <v>64</v>
      </c>
      <c r="O778" s="5" t="s">
        <v>10911</v>
      </c>
      <c r="P778" s="6">
        <v>9375.0</v>
      </c>
    </row>
    <row r="779" ht="56.25" customHeight="1">
      <c r="A779" s="5" t="s">
        <v>10899</v>
      </c>
      <c r="B779" s="6" t="str">
        <f>IMAGE("https://storage.googleapis.com/acdb/tops/TopsTexTopTshirtsNEkiden5.png")</f>
        <v/>
      </c>
      <c r="C779" s="5" t="s">
        <v>96</v>
      </c>
      <c r="D779" s="8" t="s">
        <v>36</v>
      </c>
      <c r="E779" s="6">
        <v>960.0</v>
      </c>
      <c r="F779" s="6">
        <v>240.0</v>
      </c>
      <c r="G779" s="5" t="s">
        <v>96</v>
      </c>
      <c r="H779" s="5" t="s">
        <v>96</v>
      </c>
      <c r="I779" s="6" t="s">
        <v>40</v>
      </c>
      <c r="J779" s="5" t="s">
        <v>8585</v>
      </c>
      <c r="K779" s="5" t="s">
        <v>8586</v>
      </c>
      <c r="L779" s="6" t="s">
        <v>42</v>
      </c>
      <c r="M779" s="5" t="s">
        <v>8746</v>
      </c>
      <c r="N779" s="5" t="s">
        <v>64</v>
      </c>
      <c r="O779" s="5" t="s">
        <v>10914</v>
      </c>
      <c r="P779" s="6">
        <v>9376.0</v>
      </c>
    </row>
    <row r="780" ht="56.25" customHeight="1">
      <c r="A780" s="5" t="s">
        <v>10899</v>
      </c>
      <c r="B780" s="6" t="str">
        <f>IMAGE("https://storage.googleapis.com/acdb/tops/TopsTexTopTshirtsNEkiden6.png")</f>
        <v/>
      </c>
      <c r="C780" s="5" t="s">
        <v>52</v>
      </c>
      <c r="D780" s="8" t="s">
        <v>36</v>
      </c>
      <c r="E780" s="6">
        <v>960.0</v>
      </c>
      <c r="F780" s="6">
        <v>240.0</v>
      </c>
      <c r="G780" s="5" t="s">
        <v>52</v>
      </c>
      <c r="H780" s="5" t="s">
        <v>95</v>
      </c>
      <c r="I780" s="6" t="s">
        <v>40</v>
      </c>
      <c r="J780" s="5" t="s">
        <v>8585</v>
      </c>
      <c r="K780" s="5" t="s">
        <v>8586</v>
      </c>
      <c r="L780" s="6" t="s">
        <v>42</v>
      </c>
      <c r="M780" s="5" t="s">
        <v>8746</v>
      </c>
      <c r="N780" s="5" t="s">
        <v>64</v>
      </c>
      <c r="O780" s="5" t="s">
        <v>10917</v>
      </c>
      <c r="P780" s="6">
        <v>9377.0</v>
      </c>
    </row>
    <row r="781" ht="56.25" customHeight="1">
      <c r="A781" s="5" t="s">
        <v>10899</v>
      </c>
      <c r="B781" s="6" t="str">
        <f>IMAGE("https://storage.googleapis.com/acdb/tops/TopsTexTopTshirtsNEkiden7.png")</f>
        <v/>
      </c>
      <c r="C781" s="5" t="s">
        <v>57</v>
      </c>
      <c r="D781" s="8" t="s">
        <v>36</v>
      </c>
      <c r="E781" s="6">
        <v>960.0</v>
      </c>
      <c r="F781" s="6">
        <v>240.0</v>
      </c>
      <c r="G781" s="5" t="s">
        <v>57</v>
      </c>
      <c r="H781" s="5" t="s">
        <v>106</v>
      </c>
      <c r="I781" s="6" t="s">
        <v>40</v>
      </c>
      <c r="J781" s="5" t="s">
        <v>8585</v>
      </c>
      <c r="K781" s="5" t="s">
        <v>8586</v>
      </c>
      <c r="L781" s="6" t="s">
        <v>42</v>
      </c>
      <c r="M781" s="5" t="s">
        <v>8746</v>
      </c>
      <c r="N781" s="5" t="s">
        <v>64</v>
      </c>
      <c r="O781" s="5" t="s">
        <v>10921</v>
      </c>
      <c r="P781" s="6">
        <v>9378.0</v>
      </c>
    </row>
    <row r="782" ht="56.25" customHeight="1">
      <c r="A782" s="5" t="s">
        <v>10899</v>
      </c>
      <c r="B782" s="6" t="str">
        <f>IMAGE("https://storage.googleapis.com/acdb/tops/TopsTexTopTshirtsNEkiden0.png")</f>
        <v/>
      </c>
      <c r="C782" s="5" t="s">
        <v>68</v>
      </c>
      <c r="D782" s="8" t="s">
        <v>36</v>
      </c>
      <c r="E782" s="6">
        <v>960.0</v>
      </c>
      <c r="F782" s="6">
        <v>240.0</v>
      </c>
      <c r="G782" s="5" t="s">
        <v>68</v>
      </c>
      <c r="H782" s="5" t="s">
        <v>114</v>
      </c>
      <c r="I782" s="6" t="s">
        <v>40</v>
      </c>
      <c r="J782" s="5" t="s">
        <v>8585</v>
      </c>
      <c r="K782" s="5" t="s">
        <v>8586</v>
      </c>
      <c r="L782" s="6" t="s">
        <v>42</v>
      </c>
      <c r="M782" s="5" t="s">
        <v>8746</v>
      </c>
      <c r="N782" s="5" t="s">
        <v>64</v>
      </c>
      <c r="O782" s="5" t="s">
        <v>10925</v>
      </c>
      <c r="P782" s="6">
        <v>3246.0</v>
      </c>
    </row>
    <row r="783" ht="56.25" customHeight="1">
      <c r="A783" s="5" t="s">
        <v>10926</v>
      </c>
      <c r="B783" s="6" t="str">
        <f>IMAGE("https://storage.googleapis.com/acdb/tops/TopsTexTopCoatLRetro1.png")</f>
        <v/>
      </c>
      <c r="C783" s="5" t="s">
        <v>8709</v>
      </c>
      <c r="D783" s="8" t="s">
        <v>36</v>
      </c>
      <c r="E783" s="6">
        <v>2380.0</v>
      </c>
      <c r="F783" s="6">
        <v>595.0</v>
      </c>
      <c r="G783" s="5" t="s">
        <v>39</v>
      </c>
      <c r="H783" s="5" t="s">
        <v>54</v>
      </c>
      <c r="I783" s="6" t="s">
        <v>40</v>
      </c>
      <c r="J783" s="5" t="s">
        <v>8585</v>
      </c>
      <c r="K783" s="5" t="s">
        <v>8586</v>
      </c>
      <c r="L783" s="6" t="s">
        <v>42</v>
      </c>
      <c r="M783" s="5" t="s">
        <v>1059</v>
      </c>
      <c r="N783" s="5" t="s">
        <v>64</v>
      </c>
      <c r="O783" s="5" t="s">
        <v>10928</v>
      </c>
      <c r="P783" s="6">
        <v>8452.0</v>
      </c>
    </row>
    <row r="784" ht="56.25" customHeight="1">
      <c r="A784" s="5" t="s">
        <v>10926</v>
      </c>
      <c r="B784" s="6" t="str">
        <f>IMAGE("https://storage.googleapis.com/acdb/tops/TopsTexTopCoatLRetro2.png")</f>
        <v/>
      </c>
      <c r="C784" s="5" t="s">
        <v>52</v>
      </c>
      <c r="D784" s="8" t="s">
        <v>36</v>
      </c>
      <c r="E784" s="6">
        <v>2380.0</v>
      </c>
      <c r="F784" s="6">
        <v>595.0</v>
      </c>
      <c r="G784" s="5" t="s">
        <v>52</v>
      </c>
      <c r="H784" s="5" t="s">
        <v>54</v>
      </c>
      <c r="I784" s="6" t="s">
        <v>40</v>
      </c>
      <c r="J784" s="5" t="s">
        <v>8585</v>
      </c>
      <c r="K784" s="5" t="s">
        <v>8586</v>
      </c>
      <c r="L784" s="6" t="s">
        <v>42</v>
      </c>
      <c r="M784" s="5" t="s">
        <v>1059</v>
      </c>
      <c r="N784" s="5" t="s">
        <v>64</v>
      </c>
      <c r="O784" s="5" t="s">
        <v>10931</v>
      </c>
      <c r="P784" s="6">
        <v>8453.0</v>
      </c>
    </row>
    <row r="785" ht="56.25" customHeight="1">
      <c r="A785" s="5" t="s">
        <v>10926</v>
      </c>
      <c r="B785" s="6" t="str">
        <f>IMAGE("https://storage.googleapis.com/acdb/tops/TopsTexTopCoatLRetro3.png")</f>
        <v/>
      </c>
      <c r="C785" s="5" t="s">
        <v>68</v>
      </c>
      <c r="D785" s="8" t="s">
        <v>36</v>
      </c>
      <c r="E785" s="6">
        <v>2380.0</v>
      </c>
      <c r="F785" s="6">
        <v>595.0</v>
      </c>
      <c r="G785" s="5" t="s">
        <v>68</v>
      </c>
      <c r="H785" s="5" t="s">
        <v>54</v>
      </c>
      <c r="I785" s="6" t="s">
        <v>40</v>
      </c>
      <c r="J785" s="5" t="s">
        <v>8585</v>
      </c>
      <c r="K785" s="5" t="s">
        <v>8586</v>
      </c>
      <c r="L785" s="6" t="s">
        <v>42</v>
      </c>
      <c r="M785" s="5" t="s">
        <v>1059</v>
      </c>
      <c r="N785" s="5" t="s">
        <v>64</v>
      </c>
      <c r="O785" s="5" t="s">
        <v>10934</v>
      </c>
      <c r="P785" s="6">
        <v>8454.0</v>
      </c>
    </row>
    <row r="786" ht="56.25" customHeight="1">
      <c r="A786" s="5" t="s">
        <v>10926</v>
      </c>
      <c r="B786" s="6" t="str">
        <f>IMAGE("https://storage.googleapis.com/acdb/tops/TopsTexTopCoatLRetro0.png")</f>
        <v/>
      </c>
      <c r="C786" s="5" t="s">
        <v>96</v>
      </c>
      <c r="D786" s="8" t="s">
        <v>36</v>
      </c>
      <c r="E786" s="6">
        <v>2380.0</v>
      </c>
      <c r="F786" s="6">
        <v>595.0</v>
      </c>
      <c r="G786" s="5" t="s">
        <v>96</v>
      </c>
      <c r="H786" s="5" t="s">
        <v>54</v>
      </c>
      <c r="I786" s="6" t="s">
        <v>40</v>
      </c>
      <c r="J786" s="5" t="s">
        <v>8585</v>
      </c>
      <c r="K786" s="5" t="s">
        <v>8586</v>
      </c>
      <c r="L786" s="6" t="s">
        <v>42</v>
      </c>
      <c r="M786" s="5" t="s">
        <v>1059</v>
      </c>
      <c r="N786" s="5" t="s">
        <v>64</v>
      </c>
      <c r="O786" s="5" t="s">
        <v>10936</v>
      </c>
      <c r="P786" s="6">
        <v>4469.0</v>
      </c>
    </row>
    <row r="787" ht="56.25" customHeight="1">
      <c r="A787" s="5" t="s">
        <v>10937</v>
      </c>
      <c r="B787" s="6" t="str">
        <f>IMAGE("https://storage.googleapis.com/acdb/tops/TopsTexTopOuterLHighsence1.png")</f>
        <v/>
      </c>
      <c r="C787" s="5" t="s">
        <v>114</v>
      </c>
      <c r="D787" s="8" t="s">
        <v>36</v>
      </c>
      <c r="E787" s="6">
        <v>1200.0</v>
      </c>
      <c r="F787" s="6">
        <v>300.0</v>
      </c>
      <c r="G787" s="5" t="s">
        <v>114</v>
      </c>
      <c r="H787" s="5" t="s">
        <v>58</v>
      </c>
      <c r="I787" s="6" t="s">
        <v>40</v>
      </c>
      <c r="J787" s="5" t="s">
        <v>8585</v>
      </c>
      <c r="K787" s="5" t="s">
        <v>8586</v>
      </c>
      <c r="L787" s="6" t="s">
        <v>42</v>
      </c>
      <c r="M787" s="5" t="s">
        <v>1959</v>
      </c>
      <c r="N787" s="5" t="s">
        <v>64</v>
      </c>
      <c r="O787" s="5" t="s">
        <v>10940</v>
      </c>
      <c r="P787" s="6">
        <v>7854.0</v>
      </c>
    </row>
    <row r="788" ht="56.25" customHeight="1">
      <c r="A788" s="5" t="s">
        <v>10937</v>
      </c>
      <c r="B788" s="6" t="str">
        <f>IMAGE("https://storage.googleapis.com/acdb/tops/TopsTexTopOuterLHighsence2.png")</f>
        <v/>
      </c>
      <c r="C788" s="5" t="s">
        <v>57</v>
      </c>
      <c r="D788" s="8" t="s">
        <v>36</v>
      </c>
      <c r="E788" s="6">
        <v>1200.0</v>
      </c>
      <c r="F788" s="6">
        <v>300.0</v>
      </c>
      <c r="G788" s="5" t="s">
        <v>57</v>
      </c>
      <c r="H788" s="5" t="s">
        <v>58</v>
      </c>
      <c r="I788" s="6" t="s">
        <v>40</v>
      </c>
      <c r="J788" s="5" t="s">
        <v>8585</v>
      </c>
      <c r="K788" s="5" t="s">
        <v>8586</v>
      </c>
      <c r="L788" s="6" t="s">
        <v>42</v>
      </c>
      <c r="M788" s="5" t="s">
        <v>1959</v>
      </c>
      <c r="N788" s="5" t="s">
        <v>64</v>
      </c>
      <c r="O788" s="5" t="s">
        <v>10943</v>
      </c>
      <c r="P788" s="6">
        <v>7855.0</v>
      </c>
    </row>
    <row r="789" ht="56.25" customHeight="1">
      <c r="A789" s="5" t="s">
        <v>10937</v>
      </c>
      <c r="B789" s="6" t="str">
        <f>IMAGE("https://storage.googleapis.com/acdb/tops/TopsTexTopOuterLHighsence3.png")</f>
        <v/>
      </c>
      <c r="C789" s="5" t="s">
        <v>68</v>
      </c>
      <c r="D789" s="8" t="s">
        <v>36</v>
      </c>
      <c r="E789" s="6">
        <v>1200.0</v>
      </c>
      <c r="F789" s="6">
        <v>300.0</v>
      </c>
      <c r="G789" s="5" t="s">
        <v>68</v>
      </c>
      <c r="H789" s="5" t="s">
        <v>58</v>
      </c>
      <c r="I789" s="6" t="s">
        <v>40</v>
      </c>
      <c r="J789" s="5" t="s">
        <v>8585</v>
      </c>
      <c r="K789" s="5" t="s">
        <v>8586</v>
      </c>
      <c r="L789" s="6" t="s">
        <v>42</v>
      </c>
      <c r="M789" s="5" t="s">
        <v>1959</v>
      </c>
      <c r="N789" s="5" t="s">
        <v>64</v>
      </c>
      <c r="O789" s="5" t="s">
        <v>10946</v>
      </c>
      <c r="P789" s="6">
        <v>7856.0</v>
      </c>
    </row>
    <row r="790" ht="56.25" customHeight="1">
      <c r="A790" s="5" t="s">
        <v>10937</v>
      </c>
      <c r="B790" s="6" t="str">
        <f>IMAGE("https://storage.googleapis.com/acdb/tops/TopsTexTopOuterLHighsence0.png")</f>
        <v/>
      </c>
      <c r="C790" s="5" t="s">
        <v>106</v>
      </c>
      <c r="D790" s="8" t="s">
        <v>36</v>
      </c>
      <c r="E790" s="6">
        <v>1200.0</v>
      </c>
      <c r="F790" s="6">
        <v>300.0</v>
      </c>
      <c r="G790" s="5" t="s">
        <v>106</v>
      </c>
      <c r="H790" s="5" t="s">
        <v>58</v>
      </c>
      <c r="I790" s="6" t="s">
        <v>40</v>
      </c>
      <c r="J790" s="5" t="s">
        <v>8585</v>
      </c>
      <c r="K790" s="5" t="s">
        <v>8586</v>
      </c>
      <c r="L790" s="6" t="s">
        <v>42</v>
      </c>
      <c r="M790" s="5" t="s">
        <v>1959</v>
      </c>
      <c r="N790" s="5" t="s">
        <v>64</v>
      </c>
      <c r="O790" s="5" t="s">
        <v>10950</v>
      </c>
      <c r="P790" s="6">
        <v>4575.0</v>
      </c>
    </row>
    <row r="791" ht="56.25" customHeight="1">
      <c r="A791" s="5" t="s">
        <v>10951</v>
      </c>
      <c r="B791" s="6" t="str">
        <f>IMAGE("https://storage.googleapis.com/acdb/tops/TopsTexTopYshirtsNRibnoncami0.png")</f>
        <v/>
      </c>
      <c r="C791" s="5" t="s">
        <v>54</v>
      </c>
      <c r="D791" s="8" t="s">
        <v>36</v>
      </c>
      <c r="E791" s="6">
        <v>960.0</v>
      </c>
      <c r="F791" s="6">
        <v>240.0</v>
      </c>
      <c r="G791" s="5" t="s">
        <v>57</v>
      </c>
      <c r="H791" s="5" t="s">
        <v>54</v>
      </c>
      <c r="I791" s="6" t="s">
        <v>40</v>
      </c>
      <c r="J791" s="5" t="s">
        <v>8585</v>
      </c>
      <c r="K791" s="5" t="s">
        <v>8632</v>
      </c>
      <c r="L791" s="6" t="s">
        <v>42</v>
      </c>
      <c r="M791" s="5" t="s">
        <v>1959</v>
      </c>
      <c r="N791" s="5" t="s">
        <v>64</v>
      </c>
      <c r="O791" s="5" t="s">
        <v>10954</v>
      </c>
      <c r="P791" s="6">
        <v>4675.0</v>
      </c>
    </row>
    <row r="792" ht="56.25" customHeight="1">
      <c r="A792" s="5" t="s">
        <v>10951</v>
      </c>
      <c r="B792" s="6" t="str">
        <f>IMAGE("https://storage.googleapis.com/acdb/tops/TopsTexTopYshirtsNRibnoncami1.png")</f>
        <v/>
      </c>
      <c r="C792" s="5" t="s">
        <v>69</v>
      </c>
      <c r="D792" s="8" t="s">
        <v>36</v>
      </c>
      <c r="E792" s="6">
        <v>960.0</v>
      </c>
      <c r="F792" s="6">
        <v>240.0</v>
      </c>
      <c r="G792" s="5" t="s">
        <v>57</v>
      </c>
      <c r="H792" s="5" t="s">
        <v>69</v>
      </c>
      <c r="I792" s="6" t="s">
        <v>40</v>
      </c>
      <c r="J792" s="5" t="s">
        <v>8585</v>
      </c>
      <c r="K792" s="5" t="s">
        <v>8632</v>
      </c>
      <c r="L792" s="6" t="s">
        <v>42</v>
      </c>
      <c r="M792" s="5" t="s">
        <v>1959</v>
      </c>
      <c r="N792" s="5" t="s">
        <v>64</v>
      </c>
      <c r="O792" s="5" t="s">
        <v>10957</v>
      </c>
      <c r="P792" s="6">
        <v>8088.0</v>
      </c>
    </row>
    <row r="793" ht="56.25" customHeight="1">
      <c r="A793" s="5" t="s">
        <v>10951</v>
      </c>
      <c r="B793" s="6" t="str">
        <f>IMAGE("https://storage.googleapis.com/acdb/tops/TopsTexTopYshirtsNRibnoncami2.png")</f>
        <v/>
      </c>
      <c r="C793" s="5" t="s">
        <v>68</v>
      </c>
      <c r="D793" s="8" t="s">
        <v>36</v>
      </c>
      <c r="E793" s="6">
        <v>960.0</v>
      </c>
      <c r="F793" s="6">
        <v>240.0</v>
      </c>
      <c r="G793" s="5" t="s">
        <v>57</v>
      </c>
      <c r="H793" s="5" t="s">
        <v>68</v>
      </c>
      <c r="I793" s="6" t="s">
        <v>40</v>
      </c>
      <c r="J793" s="5" t="s">
        <v>8585</v>
      </c>
      <c r="K793" s="5" t="s">
        <v>8632</v>
      </c>
      <c r="L793" s="6" t="s">
        <v>42</v>
      </c>
      <c r="M793" s="5" t="s">
        <v>1959</v>
      </c>
      <c r="N793" s="5" t="s">
        <v>64</v>
      </c>
      <c r="O793" s="5" t="s">
        <v>10960</v>
      </c>
      <c r="P793" s="6">
        <v>8089.0</v>
      </c>
    </row>
    <row r="794" ht="56.25" customHeight="1">
      <c r="A794" s="5" t="s">
        <v>10961</v>
      </c>
      <c r="B794" s="6" t="str">
        <f>IMAGE("https://storage.googleapis.com/acdb/tops/TopsTexTopCoatLKingRed.png")</f>
        <v/>
      </c>
      <c r="C794" s="5" t="s">
        <v>34</v>
      </c>
      <c r="D794" s="8" t="s">
        <v>36</v>
      </c>
      <c r="E794" s="6">
        <v>6720.0</v>
      </c>
      <c r="F794" s="6">
        <v>1680.0</v>
      </c>
      <c r="G794" s="5" t="s">
        <v>52</v>
      </c>
      <c r="H794" s="5" t="s">
        <v>57</v>
      </c>
      <c r="I794" s="6" t="s">
        <v>40</v>
      </c>
      <c r="J794" s="5" t="s">
        <v>8585</v>
      </c>
      <c r="K794" s="5" t="s">
        <v>8586</v>
      </c>
      <c r="L794" s="6" t="s">
        <v>42</v>
      </c>
      <c r="M794" s="5" t="s">
        <v>612</v>
      </c>
      <c r="N794" s="5" t="s">
        <v>64</v>
      </c>
      <c r="O794" s="5" t="s">
        <v>10964</v>
      </c>
      <c r="P794" s="6">
        <v>3283.0</v>
      </c>
    </row>
    <row r="795" ht="56.25" customHeight="1">
      <c r="A795" s="5" t="s">
        <v>10965</v>
      </c>
      <c r="B795" s="6" t="str">
        <f>IMAGE("https://storage.googleapis.com/acdb/tops/TopsTexTopCoatHRubberapron0.png")</f>
        <v/>
      </c>
      <c r="C795" s="5" t="s">
        <v>54</v>
      </c>
      <c r="D795" s="8" t="s">
        <v>36</v>
      </c>
      <c r="E795" s="6">
        <v>840.0</v>
      </c>
      <c r="F795" s="6">
        <v>210.0</v>
      </c>
      <c r="G795" s="5" t="s">
        <v>54</v>
      </c>
      <c r="H795" s="5" t="s">
        <v>57</v>
      </c>
      <c r="I795" s="6" t="s">
        <v>40</v>
      </c>
      <c r="J795" s="5" t="s">
        <v>8585</v>
      </c>
      <c r="K795" s="5" t="s">
        <v>8632</v>
      </c>
      <c r="L795" s="6" t="s">
        <v>42</v>
      </c>
      <c r="M795" s="5" t="s">
        <v>8746</v>
      </c>
      <c r="N795" s="5" t="s">
        <v>64</v>
      </c>
      <c r="O795" s="5" t="s">
        <v>10966</v>
      </c>
      <c r="P795" s="6">
        <v>3212.0</v>
      </c>
    </row>
    <row r="796" ht="56.25" customHeight="1">
      <c r="A796" s="5" t="s">
        <v>10965</v>
      </c>
      <c r="B796" s="6" t="str">
        <f>IMAGE("https://storage.googleapis.com/acdb/tops/TopsTexTopCoatHRubberapron1.png")</f>
        <v/>
      </c>
      <c r="C796" s="5" t="s">
        <v>57</v>
      </c>
      <c r="D796" s="8" t="s">
        <v>36</v>
      </c>
      <c r="E796" s="6">
        <v>840.0</v>
      </c>
      <c r="F796" s="6">
        <v>210.0</v>
      </c>
      <c r="G796" s="5" t="s">
        <v>57</v>
      </c>
      <c r="H796" s="5" t="s">
        <v>83</v>
      </c>
      <c r="I796" s="6" t="s">
        <v>40</v>
      </c>
      <c r="J796" s="5" t="s">
        <v>8585</v>
      </c>
      <c r="K796" s="5" t="s">
        <v>8632</v>
      </c>
      <c r="L796" s="6" t="s">
        <v>42</v>
      </c>
      <c r="M796" s="5" t="s">
        <v>8746</v>
      </c>
      <c r="N796" s="5" t="s">
        <v>64</v>
      </c>
      <c r="O796" s="5" t="s">
        <v>10970</v>
      </c>
      <c r="P796" s="6">
        <v>9594.0</v>
      </c>
    </row>
    <row r="797" ht="56.25" customHeight="1">
      <c r="A797" s="5" t="s">
        <v>10971</v>
      </c>
      <c r="B797" s="6" t="str">
        <f>IMAGE("https://storage.googleapis.com/acdb/tops/TopsTexTopYshirtsHTraffic0.png")</f>
        <v/>
      </c>
      <c r="C797" s="5" t="s">
        <v>54</v>
      </c>
      <c r="D797" s="8" t="s">
        <v>36</v>
      </c>
      <c r="E797" s="6">
        <v>1200.0</v>
      </c>
      <c r="F797" s="6">
        <v>300.0</v>
      </c>
      <c r="G797" s="5" t="s">
        <v>54</v>
      </c>
      <c r="H797" s="5" t="s">
        <v>114</v>
      </c>
      <c r="I797" s="6" t="s">
        <v>40</v>
      </c>
      <c r="J797" s="5" t="s">
        <v>8585</v>
      </c>
      <c r="K797" s="5" t="s">
        <v>8586</v>
      </c>
      <c r="L797" s="6" t="s">
        <v>42</v>
      </c>
      <c r="M797" s="5" t="s">
        <v>8746</v>
      </c>
      <c r="N797" s="5" t="s">
        <v>64</v>
      </c>
      <c r="O797" s="5" t="s">
        <v>10974</v>
      </c>
      <c r="P797" s="6">
        <v>4435.0</v>
      </c>
    </row>
    <row r="798" ht="56.25" customHeight="1">
      <c r="A798" s="5" t="s">
        <v>10971</v>
      </c>
      <c r="B798" s="6" t="str">
        <f>IMAGE("https://storage.googleapis.com/acdb/tops/TopsTexTopYshirtsHTraffic1.png")</f>
        <v/>
      </c>
      <c r="C798" s="5" t="s">
        <v>142</v>
      </c>
      <c r="D798" s="8" t="s">
        <v>36</v>
      </c>
      <c r="E798" s="6">
        <v>1200.0</v>
      </c>
      <c r="F798" s="6">
        <v>300.0</v>
      </c>
      <c r="G798" s="5" t="s">
        <v>142</v>
      </c>
      <c r="H798" s="5" t="s">
        <v>68</v>
      </c>
      <c r="I798" s="6" t="s">
        <v>40</v>
      </c>
      <c r="J798" s="5" t="s">
        <v>8585</v>
      </c>
      <c r="K798" s="5" t="s">
        <v>8586</v>
      </c>
      <c r="L798" s="6" t="s">
        <v>42</v>
      </c>
      <c r="M798" s="5" t="s">
        <v>8746</v>
      </c>
      <c r="N798" s="5" t="s">
        <v>64</v>
      </c>
      <c r="O798" s="5" t="s">
        <v>10978</v>
      </c>
      <c r="P798" s="6">
        <v>9476.0</v>
      </c>
    </row>
    <row r="799" ht="56.25" customHeight="1">
      <c r="A799" s="5" t="s">
        <v>10979</v>
      </c>
      <c r="B799" s="6" t="str">
        <f>IMAGE("https://storage.googleapis.com/acdb/tops/TopsTexTopTshirtsLSailor0.png")</f>
        <v/>
      </c>
      <c r="C799" s="5" t="s">
        <v>1187</v>
      </c>
      <c r="D799" s="8" t="s">
        <v>36</v>
      </c>
      <c r="E799" s="6">
        <v>1050.0</v>
      </c>
      <c r="F799" s="6">
        <v>262.0</v>
      </c>
      <c r="G799" s="5" t="s">
        <v>68</v>
      </c>
      <c r="H799" s="5" t="s">
        <v>57</v>
      </c>
      <c r="I799" s="6" t="s">
        <v>40</v>
      </c>
      <c r="J799" s="5" t="s">
        <v>8585</v>
      </c>
      <c r="K799" s="5" t="s">
        <v>8586</v>
      </c>
      <c r="L799" s="6" t="s">
        <v>42</v>
      </c>
      <c r="M799" s="5" t="s">
        <v>995</v>
      </c>
      <c r="N799" s="5" t="s">
        <v>64</v>
      </c>
      <c r="O799" s="5" t="s">
        <v>10983</v>
      </c>
      <c r="P799" s="6">
        <v>5621.0</v>
      </c>
    </row>
    <row r="800" ht="56.25" customHeight="1">
      <c r="A800" s="5" t="s">
        <v>10979</v>
      </c>
      <c r="B800" s="6" t="str">
        <f>IMAGE("https://storage.googleapis.com/acdb/tops/TopsTexTopTshirtsLSailor1.png")</f>
        <v/>
      </c>
      <c r="C800" s="5" t="s">
        <v>83</v>
      </c>
      <c r="D800" s="8" t="s">
        <v>36</v>
      </c>
      <c r="E800" s="6">
        <v>1050.0</v>
      </c>
      <c r="F800" s="6">
        <v>262.0</v>
      </c>
      <c r="G800" s="5" t="s">
        <v>83</v>
      </c>
      <c r="H800" s="5" t="s">
        <v>57</v>
      </c>
      <c r="I800" s="6" t="s">
        <v>40</v>
      </c>
      <c r="J800" s="5" t="s">
        <v>8585</v>
      </c>
      <c r="K800" s="5" t="s">
        <v>8586</v>
      </c>
      <c r="L800" s="6" t="s">
        <v>42</v>
      </c>
      <c r="M800" s="5" t="s">
        <v>995</v>
      </c>
      <c r="N800" s="5" t="s">
        <v>64</v>
      </c>
      <c r="O800" s="5" t="s">
        <v>10986</v>
      </c>
      <c r="P800" s="6">
        <v>7567.0</v>
      </c>
    </row>
    <row r="801" ht="56.25" customHeight="1">
      <c r="A801" s="5" t="s">
        <v>10979</v>
      </c>
      <c r="B801" s="6" t="str">
        <f>IMAGE("https://storage.googleapis.com/acdb/tops/TopsTexTopTshirtsLSailor2.png")</f>
        <v/>
      </c>
      <c r="C801" s="5" t="s">
        <v>57</v>
      </c>
      <c r="D801" s="8" t="s">
        <v>36</v>
      </c>
      <c r="E801" s="6">
        <v>1050.0</v>
      </c>
      <c r="F801" s="6">
        <v>262.0</v>
      </c>
      <c r="G801" s="5" t="s">
        <v>57</v>
      </c>
      <c r="H801" s="5" t="s">
        <v>68</v>
      </c>
      <c r="I801" s="6" t="s">
        <v>40</v>
      </c>
      <c r="J801" s="5" t="s">
        <v>8585</v>
      </c>
      <c r="K801" s="5" t="s">
        <v>8586</v>
      </c>
      <c r="L801" s="6" t="s">
        <v>42</v>
      </c>
      <c r="M801" s="5" t="s">
        <v>995</v>
      </c>
      <c r="N801" s="5" t="s">
        <v>64</v>
      </c>
      <c r="O801" s="5" t="s">
        <v>10990</v>
      </c>
      <c r="P801" s="6">
        <v>7568.0</v>
      </c>
    </row>
    <row r="802" ht="56.25" customHeight="1">
      <c r="A802" s="5" t="s">
        <v>10991</v>
      </c>
      <c r="B802" s="6" t="str">
        <f>IMAGE("https://storage.googleapis.com/acdb/tops/TopsTexTopTshirtsHSailor0.png")</f>
        <v/>
      </c>
      <c r="C802" s="5" t="s">
        <v>1187</v>
      </c>
      <c r="D802" s="8" t="s">
        <v>36</v>
      </c>
      <c r="E802" s="6">
        <v>1050.0</v>
      </c>
      <c r="F802" s="6">
        <v>262.0</v>
      </c>
      <c r="G802" s="5" t="s">
        <v>57</v>
      </c>
      <c r="H802" s="5" t="s">
        <v>68</v>
      </c>
      <c r="I802" s="6" t="s">
        <v>40</v>
      </c>
      <c r="J802" s="5" t="s">
        <v>8585</v>
      </c>
      <c r="K802" s="5" t="s">
        <v>8586</v>
      </c>
      <c r="L802" s="6" t="s">
        <v>42</v>
      </c>
      <c r="M802" s="5" t="s">
        <v>995</v>
      </c>
      <c r="N802" s="5" t="s">
        <v>64</v>
      </c>
      <c r="O802" s="5" t="s">
        <v>10994</v>
      </c>
      <c r="P802" s="6">
        <v>3055.0</v>
      </c>
    </row>
    <row r="803" ht="56.25" customHeight="1">
      <c r="A803" s="5" t="s">
        <v>10991</v>
      </c>
      <c r="B803" s="6" t="str">
        <f>IMAGE("https://storage.googleapis.com/acdb/tops/TopsTexTopTshirtsHSailor1.png")</f>
        <v/>
      </c>
      <c r="C803" s="5" t="s">
        <v>142</v>
      </c>
      <c r="D803" s="8" t="s">
        <v>36</v>
      </c>
      <c r="E803" s="6">
        <v>1050.0</v>
      </c>
      <c r="F803" s="6">
        <v>262.0</v>
      </c>
      <c r="G803" s="5" t="s">
        <v>57</v>
      </c>
      <c r="H803" s="5" t="s">
        <v>142</v>
      </c>
      <c r="I803" s="6" t="s">
        <v>40</v>
      </c>
      <c r="J803" s="5" t="s">
        <v>8585</v>
      </c>
      <c r="K803" s="5" t="s">
        <v>8586</v>
      </c>
      <c r="L803" s="6" t="s">
        <v>42</v>
      </c>
      <c r="M803" s="5" t="s">
        <v>995</v>
      </c>
      <c r="N803" s="5" t="s">
        <v>64</v>
      </c>
      <c r="O803" s="5" t="s">
        <v>10999</v>
      </c>
      <c r="P803" s="6">
        <v>7560.0</v>
      </c>
    </row>
    <row r="804" ht="56.25" customHeight="1">
      <c r="A804" s="5" t="s">
        <v>10991</v>
      </c>
      <c r="B804" s="6" t="str">
        <f>IMAGE("https://storage.googleapis.com/acdb/tops/TopsTexTopTshirtsHSailor2.png")</f>
        <v/>
      </c>
      <c r="C804" s="5" t="s">
        <v>83</v>
      </c>
      <c r="D804" s="8" t="s">
        <v>36</v>
      </c>
      <c r="E804" s="6">
        <v>1050.0</v>
      </c>
      <c r="F804" s="6">
        <v>262.0</v>
      </c>
      <c r="G804" s="5" t="s">
        <v>57</v>
      </c>
      <c r="H804" s="5" t="s">
        <v>83</v>
      </c>
      <c r="I804" s="6" t="s">
        <v>40</v>
      </c>
      <c r="J804" s="5" t="s">
        <v>8585</v>
      </c>
      <c r="K804" s="5" t="s">
        <v>8586</v>
      </c>
      <c r="L804" s="6" t="s">
        <v>42</v>
      </c>
      <c r="M804" s="5" t="s">
        <v>995</v>
      </c>
      <c r="N804" s="5" t="s">
        <v>64</v>
      </c>
      <c r="O804" s="5" t="s">
        <v>11002</v>
      </c>
      <c r="P804" s="6">
        <v>7561.0</v>
      </c>
    </row>
    <row r="805" ht="56.25" customHeight="1">
      <c r="A805" s="5" t="s">
        <v>10991</v>
      </c>
      <c r="B805" s="6" t="str">
        <f>IMAGE("https://storage.googleapis.com/acdb/tops/TopsTexTopTshirtsHSailor3.png")</f>
        <v/>
      </c>
      <c r="C805" s="5" t="s">
        <v>96</v>
      </c>
      <c r="D805" s="8" t="s">
        <v>36</v>
      </c>
      <c r="E805" s="6">
        <v>1050.0</v>
      </c>
      <c r="F805" s="6">
        <v>262.0</v>
      </c>
      <c r="G805" s="5" t="s">
        <v>57</v>
      </c>
      <c r="H805" s="5" t="s">
        <v>96</v>
      </c>
      <c r="I805" s="6" t="s">
        <v>40</v>
      </c>
      <c r="J805" s="5" t="s">
        <v>8585</v>
      </c>
      <c r="K805" s="5" t="s">
        <v>8586</v>
      </c>
      <c r="L805" s="6" t="s">
        <v>42</v>
      </c>
      <c r="M805" s="5" t="s">
        <v>995</v>
      </c>
      <c r="N805" s="5" t="s">
        <v>64</v>
      </c>
      <c r="O805" s="5" t="s">
        <v>11005</v>
      </c>
      <c r="P805" s="6">
        <v>7562.0</v>
      </c>
    </row>
    <row r="806" ht="56.25" customHeight="1">
      <c r="A806" s="5" t="s">
        <v>10991</v>
      </c>
      <c r="B806" s="6" t="str">
        <f>IMAGE("https://storage.googleapis.com/acdb/tops/TopsTexTopTshirtsHSailor4.png")</f>
        <v/>
      </c>
      <c r="C806" s="5" t="s">
        <v>39</v>
      </c>
      <c r="D806" s="8" t="s">
        <v>36</v>
      </c>
      <c r="E806" s="6">
        <v>1050.0</v>
      </c>
      <c r="F806" s="6">
        <v>262.0</v>
      </c>
      <c r="G806" s="5" t="s">
        <v>57</v>
      </c>
      <c r="H806" s="5" t="s">
        <v>39</v>
      </c>
      <c r="I806" s="6" t="s">
        <v>40</v>
      </c>
      <c r="J806" s="5" t="s">
        <v>8585</v>
      </c>
      <c r="K806" s="5" t="s">
        <v>8586</v>
      </c>
      <c r="L806" s="6" t="s">
        <v>42</v>
      </c>
      <c r="M806" s="5" t="s">
        <v>995</v>
      </c>
      <c r="N806" s="5" t="s">
        <v>64</v>
      </c>
      <c r="O806" s="5" t="s">
        <v>11008</v>
      </c>
      <c r="P806" s="6">
        <v>7563.0</v>
      </c>
    </row>
    <row r="807" ht="56.25" customHeight="1">
      <c r="A807" s="5" t="s">
        <v>10991</v>
      </c>
      <c r="B807" s="6" t="str">
        <f>IMAGE("https://storage.googleapis.com/acdb/tops/TopsTexTopTshirtsHSailor5.png")</f>
        <v/>
      </c>
      <c r="C807" s="5" t="s">
        <v>106</v>
      </c>
      <c r="D807" s="8" t="s">
        <v>36</v>
      </c>
      <c r="E807" s="6">
        <v>1050.0</v>
      </c>
      <c r="F807" s="6">
        <v>262.0</v>
      </c>
      <c r="G807" s="5" t="s">
        <v>57</v>
      </c>
      <c r="H807" s="5" t="s">
        <v>106</v>
      </c>
      <c r="I807" s="6" t="s">
        <v>40</v>
      </c>
      <c r="J807" s="5" t="s">
        <v>8585</v>
      </c>
      <c r="K807" s="5" t="s">
        <v>8586</v>
      </c>
      <c r="L807" s="6" t="s">
        <v>42</v>
      </c>
      <c r="M807" s="5" t="s">
        <v>995</v>
      </c>
      <c r="N807" s="5" t="s">
        <v>64</v>
      </c>
      <c r="O807" s="5" t="s">
        <v>11012</v>
      </c>
      <c r="P807" s="6">
        <v>7564.0</v>
      </c>
    </row>
    <row r="808" ht="56.25" customHeight="1">
      <c r="A808" s="5" t="s">
        <v>10991</v>
      </c>
      <c r="B808" s="6" t="str">
        <f>IMAGE("https://storage.googleapis.com/acdb/tops/TopsTexTopTshirtsHSailor6.png")</f>
        <v/>
      </c>
      <c r="C808" s="5" t="s">
        <v>52</v>
      </c>
      <c r="D808" s="8" t="s">
        <v>36</v>
      </c>
      <c r="E808" s="6">
        <v>1050.0</v>
      </c>
      <c r="F808" s="6">
        <v>262.0</v>
      </c>
      <c r="G808" s="5" t="s">
        <v>57</v>
      </c>
      <c r="H808" s="5" t="s">
        <v>52</v>
      </c>
      <c r="I808" s="6" t="s">
        <v>40</v>
      </c>
      <c r="J808" s="5" t="s">
        <v>8585</v>
      </c>
      <c r="K808" s="5" t="s">
        <v>8586</v>
      </c>
      <c r="L808" s="6" t="s">
        <v>42</v>
      </c>
      <c r="M808" s="5" t="s">
        <v>995</v>
      </c>
      <c r="N808" s="5" t="s">
        <v>64</v>
      </c>
      <c r="O808" s="5" t="s">
        <v>11015</v>
      </c>
      <c r="P808" s="6">
        <v>7565.0</v>
      </c>
    </row>
    <row r="809" ht="56.25" customHeight="1">
      <c r="A809" s="5" t="s">
        <v>10991</v>
      </c>
      <c r="B809" s="6" t="str">
        <f>IMAGE("https://storage.googleapis.com/acdb/tops/TopsTexTopTshirtsHSailor7.png")</f>
        <v/>
      </c>
      <c r="C809" s="5" t="s">
        <v>69</v>
      </c>
      <c r="D809" s="8" t="s">
        <v>36</v>
      </c>
      <c r="E809" s="6">
        <v>1050.0</v>
      </c>
      <c r="F809" s="6">
        <v>262.0</v>
      </c>
      <c r="G809" s="5" t="s">
        <v>57</v>
      </c>
      <c r="H809" s="5" t="s">
        <v>69</v>
      </c>
      <c r="I809" s="6" t="s">
        <v>40</v>
      </c>
      <c r="J809" s="5" t="s">
        <v>8585</v>
      </c>
      <c r="K809" s="5" t="s">
        <v>8586</v>
      </c>
      <c r="L809" s="6" t="s">
        <v>42</v>
      </c>
      <c r="M809" s="5" t="s">
        <v>995</v>
      </c>
      <c r="N809" s="5" t="s">
        <v>64</v>
      </c>
      <c r="O809" s="5" t="s">
        <v>11018</v>
      </c>
      <c r="P809" s="6">
        <v>7566.0</v>
      </c>
    </row>
    <row r="810" ht="56.25" customHeight="1">
      <c r="A810" s="5" t="s">
        <v>11019</v>
      </c>
      <c r="B810" s="6" t="str">
        <f>IMAGE("https://storage.googleapis.com/acdb/tops/TopsTexTopCoatLSamurai1.png")</f>
        <v/>
      </c>
      <c r="C810" s="5" t="s">
        <v>54</v>
      </c>
      <c r="D810" s="8" t="s">
        <v>36</v>
      </c>
      <c r="E810" s="6">
        <v>6720.0</v>
      </c>
      <c r="F810" s="6">
        <v>1680.0</v>
      </c>
      <c r="G810" s="5" t="s">
        <v>54</v>
      </c>
      <c r="H810" s="5" t="s">
        <v>95</v>
      </c>
      <c r="I810" s="6" t="s">
        <v>40</v>
      </c>
      <c r="J810" s="5" t="s">
        <v>8585</v>
      </c>
      <c r="K810" s="5" t="s">
        <v>8586</v>
      </c>
      <c r="L810" s="6" t="s">
        <v>42</v>
      </c>
      <c r="M810" s="5" t="s">
        <v>1952</v>
      </c>
      <c r="N810" s="5" t="s">
        <v>64</v>
      </c>
      <c r="O810" s="5" t="s">
        <v>11021</v>
      </c>
      <c r="P810" s="6">
        <v>8146.0</v>
      </c>
    </row>
    <row r="811" ht="56.25" customHeight="1">
      <c r="A811" s="5" t="s">
        <v>11019</v>
      </c>
      <c r="B811" s="6" t="str">
        <f>IMAGE("https://storage.googleapis.com/acdb/tops/TopsTexTopCoatLSamurai2.png")</f>
        <v/>
      </c>
      <c r="C811" s="5" t="s">
        <v>68</v>
      </c>
      <c r="D811" s="8" t="s">
        <v>36</v>
      </c>
      <c r="E811" s="6">
        <v>6720.0</v>
      </c>
      <c r="F811" s="6">
        <v>1680.0</v>
      </c>
      <c r="G811" s="5" t="s">
        <v>68</v>
      </c>
      <c r="H811" s="5" t="s">
        <v>142</v>
      </c>
      <c r="I811" s="6" t="s">
        <v>40</v>
      </c>
      <c r="J811" s="5" t="s">
        <v>8585</v>
      </c>
      <c r="K811" s="5" t="s">
        <v>8586</v>
      </c>
      <c r="L811" s="6" t="s">
        <v>42</v>
      </c>
      <c r="M811" s="5" t="s">
        <v>1952</v>
      </c>
      <c r="N811" s="5" t="s">
        <v>64</v>
      </c>
      <c r="O811" s="5" t="s">
        <v>11024</v>
      </c>
      <c r="P811" s="6">
        <v>8147.0</v>
      </c>
    </row>
    <row r="812" ht="56.25" customHeight="1">
      <c r="A812" s="5" t="s">
        <v>11019</v>
      </c>
      <c r="B812" s="6" t="str">
        <f>IMAGE("https://storage.googleapis.com/acdb/tops/TopsTexTopCoatLSamurai3.png")</f>
        <v/>
      </c>
      <c r="C812" s="5" t="s">
        <v>57</v>
      </c>
      <c r="D812" s="8" t="s">
        <v>36</v>
      </c>
      <c r="E812" s="6">
        <v>6720.0</v>
      </c>
      <c r="F812" s="6">
        <v>1680.0</v>
      </c>
      <c r="G812" s="5" t="s">
        <v>57</v>
      </c>
      <c r="H812" s="5" t="s">
        <v>54</v>
      </c>
      <c r="I812" s="6" t="s">
        <v>40</v>
      </c>
      <c r="J812" s="5" t="s">
        <v>8585</v>
      </c>
      <c r="K812" s="5" t="s">
        <v>8586</v>
      </c>
      <c r="L812" s="6" t="s">
        <v>42</v>
      </c>
      <c r="M812" s="5" t="s">
        <v>1952</v>
      </c>
      <c r="N812" s="5" t="s">
        <v>64</v>
      </c>
      <c r="O812" s="5" t="s">
        <v>11027</v>
      </c>
      <c r="P812" s="6">
        <v>8148.0</v>
      </c>
    </row>
    <row r="813" ht="56.25" customHeight="1">
      <c r="A813" s="5" t="s">
        <v>11019</v>
      </c>
      <c r="B813" s="6" t="str">
        <f>IMAGE("https://storage.googleapis.com/acdb/tops/TopsTexTopCoatLSamurai4.png")</f>
        <v/>
      </c>
      <c r="C813" s="5" t="s">
        <v>3173</v>
      </c>
      <c r="D813" s="8" t="s">
        <v>36</v>
      </c>
      <c r="E813" s="6">
        <v>6720.0</v>
      </c>
      <c r="F813" s="6">
        <v>1680.0</v>
      </c>
      <c r="G813" s="5" t="s">
        <v>142</v>
      </c>
      <c r="H813" s="5" t="s">
        <v>68</v>
      </c>
      <c r="I813" s="6" t="s">
        <v>40</v>
      </c>
      <c r="J813" s="5" t="s">
        <v>8585</v>
      </c>
      <c r="K813" s="5" t="s">
        <v>8586</v>
      </c>
      <c r="L813" s="6" t="s">
        <v>42</v>
      </c>
      <c r="M813" s="5" t="s">
        <v>1952</v>
      </c>
      <c r="N813" s="5" t="s">
        <v>64</v>
      </c>
      <c r="O813" s="5" t="s">
        <v>11030</v>
      </c>
      <c r="P813" s="6">
        <v>8149.0</v>
      </c>
    </row>
    <row r="814" ht="56.25" customHeight="1">
      <c r="A814" s="5" t="s">
        <v>11019</v>
      </c>
      <c r="B814" s="6" t="str">
        <f>IMAGE("https://storage.googleapis.com/acdb/tops/TopsTexTopCoatLSamurai0.png")</f>
        <v/>
      </c>
      <c r="C814" s="5" t="s">
        <v>52</v>
      </c>
      <c r="D814" s="8" t="s">
        <v>36</v>
      </c>
      <c r="E814" s="6">
        <v>6720.0</v>
      </c>
      <c r="F814" s="6">
        <v>1680.0</v>
      </c>
      <c r="G814" s="5" t="s">
        <v>52</v>
      </c>
      <c r="H814" s="5" t="s">
        <v>54</v>
      </c>
      <c r="I814" s="6" t="s">
        <v>40</v>
      </c>
      <c r="J814" s="5" t="s">
        <v>8585</v>
      </c>
      <c r="K814" s="5" t="s">
        <v>8586</v>
      </c>
      <c r="L814" s="6" t="s">
        <v>42</v>
      </c>
      <c r="M814" s="5" t="s">
        <v>1952</v>
      </c>
      <c r="N814" s="5" t="s">
        <v>64</v>
      </c>
      <c r="O814" s="5" t="s">
        <v>11034</v>
      </c>
      <c r="P814" s="6">
        <v>5130.0</v>
      </c>
    </row>
    <row r="815" ht="56.25" customHeight="1">
      <c r="A815" s="5" t="s">
        <v>11036</v>
      </c>
      <c r="B815" s="6" t="str">
        <f>IMAGE("https://storage.googleapis.com/acdb/tops/TopsTexTopYshirtsLGakuran3.png")</f>
        <v/>
      </c>
      <c r="C815" s="5" t="s">
        <v>57</v>
      </c>
      <c r="D815" s="8" t="s">
        <v>36</v>
      </c>
      <c r="E815" s="6">
        <v>1400.0</v>
      </c>
      <c r="F815" s="6">
        <v>350.0</v>
      </c>
      <c r="G815" s="5" t="s">
        <v>57</v>
      </c>
      <c r="H815" s="5" t="s">
        <v>57</v>
      </c>
      <c r="I815" s="6" t="s">
        <v>40</v>
      </c>
      <c r="J815" s="5" t="s">
        <v>8585</v>
      </c>
      <c r="K815" s="5" t="s">
        <v>8586</v>
      </c>
      <c r="L815" s="6" t="s">
        <v>42</v>
      </c>
      <c r="M815" s="5" t="s">
        <v>995</v>
      </c>
      <c r="N815" s="5" t="s">
        <v>64</v>
      </c>
      <c r="O815" s="5" t="s">
        <v>11039</v>
      </c>
      <c r="P815" s="6">
        <v>7550.0</v>
      </c>
    </row>
    <row r="816" ht="56.25" customHeight="1">
      <c r="A816" s="5" t="s">
        <v>11036</v>
      </c>
      <c r="B816" s="6" t="str">
        <f>IMAGE("https://storage.googleapis.com/acdb/tops/TopsTexTopYshirtsLGakuran0.png")</f>
        <v/>
      </c>
      <c r="C816" s="5" t="s">
        <v>54</v>
      </c>
      <c r="D816" s="8" t="s">
        <v>36</v>
      </c>
      <c r="E816" s="6">
        <v>1400.0</v>
      </c>
      <c r="F816" s="6">
        <v>350.0</v>
      </c>
      <c r="G816" s="5" t="s">
        <v>54</v>
      </c>
      <c r="H816" s="5" t="s">
        <v>54</v>
      </c>
      <c r="I816" s="6" t="s">
        <v>40</v>
      </c>
      <c r="J816" s="5" t="s">
        <v>8585</v>
      </c>
      <c r="K816" s="5" t="s">
        <v>8586</v>
      </c>
      <c r="L816" s="6" t="s">
        <v>42</v>
      </c>
      <c r="M816" s="5" t="s">
        <v>995</v>
      </c>
      <c r="N816" s="5" t="s">
        <v>64</v>
      </c>
      <c r="O816" s="5" t="s">
        <v>11042</v>
      </c>
      <c r="P816" s="6">
        <v>4365.0</v>
      </c>
    </row>
    <row r="817" ht="56.25" customHeight="1">
      <c r="A817" s="5" t="s">
        <v>11036</v>
      </c>
      <c r="B817" s="6" t="str">
        <f>IMAGE("https://storage.googleapis.com/acdb/tops/TopsTexTopYshirtsLGakuran4.png")</f>
        <v/>
      </c>
      <c r="C817" s="5" t="s">
        <v>106</v>
      </c>
      <c r="D817" s="8" t="s">
        <v>36</v>
      </c>
      <c r="E817" s="6">
        <v>1400.0</v>
      </c>
      <c r="F817" s="6">
        <v>350.0</v>
      </c>
      <c r="G817" s="5" t="s">
        <v>106</v>
      </c>
      <c r="H817" s="5" t="s">
        <v>106</v>
      </c>
      <c r="I817" s="6" t="s">
        <v>40</v>
      </c>
      <c r="J817" s="5" t="s">
        <v>8585</v>
      </c>
      <c r="K817" s="5" t="s">
        <v>8586</v>
      </c>
      <c r="L817" s="6" t="s">
        <v>42</v>
      </c>
      <c r="M817" s="5" t="s">
        <v>995</v>
      </c>
      <c r="N817" s="5" t="s">
        <v>64</v>
      </c>
      <c r="O817" s="5" t="s">
        <v>11044</v>
      </c>
      <c r="P817" s="6">
        <v>7551.0</v>
      </c>
    </row>
    <row r="818" ht="56.25" customHeight="1">
      <c r="A818" s="5" t="s">
        <v>11036</v>
      </c>
      <c r="B818" s="6" t="str">
        <f>IMAGE("https://storage.googleapis.com/acdb/tops/TopsTexTopYshirtsLGakuran5.png")</f>
        <v/>
      </c>
      <c r="C818" s="5" t="s">
        <v>95</v>
      </c>
      <c r="D818" s="8" t="s">
        <v>36</v>
      </c>
      <c r="E818" s="6">
        <v>1400.0</v>
      </c>
      <c r="F818" s="6">
        <v>350.0</v>
      </c>
      <c r="G818" s="5" t="s">
        <v>95</v>
      </c>
      <c r="H818" s="5" t="s">
        <v>95</v>
      </c>
      <c r="I818" s="6" t="s">
        <v>40</v>
      </c>
      <c r="J818" s="5" t="s">
        <v>8585</v>
      </c>
      <c r="K818" s="5" t="s">
        <v>8586</v>
      </c>
      <c r="L818" s="6" t="s">
        <v>42</v>
      </c>
      <c r="M818" s="5" t="s">
        <v>995</v>
      </c>
      <c r="N818" s="5" t="s">
        <v>64</v>
      </c>
      <c r="O818" s="5" t="s">
        <v>11047</v>
      </c>
      <c r="P818" s="6">
        <v>7552.0</v>
      </c>
    </row>
    <row r="819" ht="56.25" customHeight="1">
      <c r="A819" s="5" t="s">
        <v>11036</v>
      </c>
      <c r="B819" s="6" t="str">
        <f>IMAGE("https://storage.googleapis.com/acdb/tops/TopsTexTopYshirtsLGakuran6.png")</f>
        <v/>
      </c>
      <c r="C819" s="5" t="s">
        <v>68</v>
      </c>
      <c r="D819" s="8" t="s">
        <v>36</v>
      </c>
      <c r="E819" s="6">
        <v>1400.0</v>
      </c>
      <c r="F819" s="6">
        <v>350.0</v>
      </c>
      <c r="G819" s="5" t="s">
        <v>68</v>
      </c>
      <c r="H819" s="5" t="s">
        <v>68</v>
      </c>
      <c r="I819" s="6" t="s">
        <v>40</v>
      </c>
      <c r="J819" s="5" t="s">
        <v>8585</v>
      </c>
      <c r="K819" s="5" t="s">
        <v>8586</v>
      </c>
      <c r="L819" s="6" t="s">
        <v>42</v>
      </c>
      <c r="M819" s="5" t="s">
        <v>995</v>
      </c>
      <c r="N819" s="5" t="s">
        <v>64</v>
      </c>
      <c r="O819" s="5" t="s">
        <v>11050</v>
      </c>
      <c r="P819" s="6">
        <v>7553.0</v>
      </c>
    </row>
    <row r="820" ht="56.25" customHeight="1">
      <c r="A820" s="5" t="s">
        <v>11036</v>
      </c>
      <c r="B820" s="6" t="str">
        <f>IMAGE("https://storage.googleapis.com/acdb/tops/TopsTexTopYshirtsLGakuran1.png")</f>
        <v/>
      </c>
      <c r="C820" s="5" t="s">
        <v>4883</v>
      </c>
      <c r="D820" s="8" t="s">
        <v>36</v>
      </c>
      <c r="E820" s="6">
        <v>1400.0</v>
      </c>
      <c r="F820" s="6">
        <v>350.0</v>
      </c>
      <c r="G820" s="5" t="s">
        <v>52</v>
      </c>
      <c r="H820" s="5" t="s">
        <v>52</v>
      </c>
      <c r="I820" s="6" t="s">
        <v>40</v>
      </c>
      <c r="J820" s="5" t="s">
        <v>8585</v>
      </c>
      <c r="K820" s="5" t="s">
        <v>8586</v>
      </c>
      <c r="L820" s="6" t="s">
        <v>42</v>
      </c>
      <c r="M820" s="5" t="s">
        <v>995</v>
      </c>
      <c r="N820" s="5" t="s">
        <v>64</v>
      </c>
      <c r="O820" s="5" t="s">
        <v>11053</v>
      </c>
      <c r="P820" s="6">
        <v>7548.0</v>
      </c>
    </row>
    <row r="821" ht="56.25" customHeight="1">
      <c r="A821" s="5" t="s">
        <v>11036</v>
      </c>
      <c r="B821" s="6" t="str">
        <f>IMAGE("https://storage.googleapis.com/acdb/tops/TopsTexTopYshirtsLGakuran2.png")</f>
        <v/>
      </c>
      <c r="C821" s="5" t="s">
        <v>96</v>
      </c>
      <c r="D821" s="8" t="s">
        <v>36</v>
      </c>
      <c r="E821" s="6">
        <v>1400.0</v>
      </c>
      <c r="F821" s="6">
        <v>350.0</v>
      </c>
      <c r="G821" s="5" t="s">
        <v>96</v>
      </c>
      <c r="H821" s="5" t="s">
        <v>96</v>
      </c>
      <c r="I821" s="6" t="s">
        <v>40</v>
      </c>
      <c r="J821" s="5" t="s">
        <v>8585</v>
      </c>
      <c r="K821" s="5" t="s">
        <v>8586</v>
      </c>
      <c r="L821" s="6" t="s">
        <v>42</v>
      </c>
      <c r="M821" s="5" t="s">
        <v>995</v>
      </c>
      <c r="N821" s="5" t="s">
        <v>64</v>
      </c>
      <c r="O821" s="5" t="s">
        <v>11057</v>
      </c>
      <c r="P821" s="6">
        <v>7549.0</v>
      </c>
    </row>
    <row r="822" ht="56.25" customHeight="1">
      <c r="A822" s="5" t="s">
        <v>11058</v>
      </c>
      <c r="B822" s="6" t="str">
        <f>IMAGE("https://storage.googleapis.com/acdb/tops/TopsTexTopYshirtsLHanten0.png")</f>
        <v/>
      </c>
      <c r="C822" s="5" t="s">
        <v>2431</v>
      </c>
      <c r="D822" s="8" t="s">
        <v>36</v>
      </c>
      <c r="E822" s="6">
        <v>1450.0</v>
      </c>
      <c r="F822" s="6">
        <v>362.0</v>
      </c>
      <c r="G822" s="5" t="s">
        <v>68</v>
      </c>
      <c r="H822" s="5" t="s">
        <v>52</v>
      </c>
      <c r="I822" s="6" t="s">
        <v>40</v>
      </c>
      <c r="J822" s="5" t="s">
        <v>8585</v>
      </c>
      <c r="K822" s="5" t="s">
        <v>8586</v>
      </c>
      <c r="L822" s="6" t="s">
        <v>42</v>
      </c>
      <c r="M822" s="5" t="s">
        <v>8746</v>
      </c>
      <c r="N822" s="5" t="s">
        <v>64</v>
      </c>
      <c r="O822" s="5" t="s">
        <v>11060</v>
      </c>
      <c r="P822" s="6">
        <v>4407.0</v>
      </c>
    </row>
    <row r="823" ht="56.25" customHeight="1">
      <c r="A823" s="5" t="s">
        <v>11058</v>
      </c>
      <c r="B823" s="6" t="str">
        <f>IMAGE("https://storage.googleapis.com/acdb/tops/TopsTexTopYshirtsLHanten1.png")</f>
        <v/>
      </c>
      <c r="C823" s="5" t="s">
        <v>68</v>
      </c>
      <c r="D823" s="8" t="s">
        <v>36</v>
      </c>
      <c r="E823" s="6">
        <v>1450.0</v>
      </c>
      <c r="F823" s="6">
        <v>362.0</v>
      </c>
      <c r="G823" s="5" t="s">
        <v>83</v>
      </c>
      <c r="H823" s="5" t="s">
        <v>57</v>
      </c>
      <c r="I823" s="6" t="s">
        <v>40</v>
      </c>
      <c r="J823" s="5" t="s">
        <v>8585</v>
      </c>
      <c r="K823" s="5" t="s">
        <v>8586</v>
      </c>
      <c r="L823" s="6" t="s">
        <v>42</v>
      </c>
      <c r="M823" s="5" t="s">
        <v>8746</v>
      </c>
      <c r="N823" s="5" t="s">
        <v>64</v>
      </c>
      <c r="O823" s="5" t="s">
        <v>11064</v>
      </c>
      <c r="P823" s="6">
        <v>9218.0</v>
      </c>
    </row>
    <row r="824" ht="56.25" customHeight="1">
      <c r="A824" s="5" t="s">
        <v>11066</v>
      </c>
      <c r="B824" s="6" t="str">
        <f>IMAGE("https://storage.googleapis.com/acdb/tops/TopsTexTopTshirtsHNumberball7.png")</f>
        <v/>
      </c>
      <c r="C824" s="5" t="s">
        <v>34</v>
      </c>
      <c r="D824" s="8" t="s">
        <v>36</v>
      </c>
      <c r="E824" s="6">
        <v>560.0</v>
      </c>
      <c r="F824" s="6">
        <v>140.0</v>
      </c>
      <c r="G824" s="5" t="s">
        <v>39</v>
      </c>
      <c r="H824" s="5" t="s">
        <v>57</v>
      </c>
      <c r="I824" s="6" t="s">
        <v>40</v>
      </c>
      <c r="J824" s="5" t="s">
        <v>8578</v>
      </c>
      <c r="K824" s="5"/>
      <c r="L824" s="6" t="s">
        <v>42</v>
      </c>
      <c r="M824" s="5" t="s">
        <v>8746</v>
      </c>
      <c r="N824" s="5" t="s">
        <v>64</v>
      </c>
      <c r="O824" s="5" t="s">
        <v>11068</v>
      </c>
      <c r="P824" s="6">
        <v>3324.0</v>
      </c>
    </row>
    <row r="825" ht="56.25" customHeight="1">
      <c r="A825" s="5" t="s">
        <v>11069</v>
      </c>
      <c r="B825" s="6" t="str">
        <f>IMAGE("https://storage.googleapis.com/acdb/tops/TopsTexTopYshirtsLCamera0.png")</f>
        <v/>
      </c>
      <c r="C825" s="5" t="s">
        <v>83</v>
      </c>
      <c r="D825" s="8" t="s">
        <v>36</v>
      </c>
      <c r="E825" s="6">
        <v>1440.0</v>
      </c>
      <c r="F825" s="6">
        <v>360.0</v>
      </c>
      <c r="G825" s="5" t="s">
        <v>83</v>
      </c>
      <c r="H825" s="5" t="s">
        <v>95</v>
      </c>
      <c r="I825" s="6" t="s">
        <v>40</v>
      </c>
      <c r="J825" s="5" t="s">
        <v>8585</v>
      </c>
      <c r="K825" s="5" t="s">
        <v>8586</v>
      </c>
      <c r="L825" s="6" t="s">
        <v>42</v>
      </c>
      <c r="M825" s="5" t="s">
        <v>995</v>
      </c>
      <c r="N825" s="5" t="s">
        <v>64</v>
      </c>
      <c r="O825" s="5" t="s">
        <v>11072</v>
      </c>
      <c r="P825" s="6">
        <v>5440.0</v>
      </c>
    </row>
    <row r="826" ht="56.25" customHeight="1">
      <c r="A826" s="5" t="s">
        <v>11069</v>
      </c>
      <c r="B826" s="6" t="str">
        <f>IMAGE("https://storage.googleapis.com/acdb/tops/TopsTexTopYshirtsLCamera1.png")</f>
        <v/>
      </c>
      <c r="C826" s="5" t="s">
        <v>54</v>
      </c>
      <c r="D826" s="8" t="s">
        <v>36</v>
      </c>
      <c r="E826" s="6">
        <v>1440.0</v>
      </c>
      <c r="F826" s="6">
        <v>360.0</v>
      </c>
      <c r="G826" s="5" t="s">
        <v>54</v>
      </c>
      <c r="H826" s="5" t="s">
        <v>95</v>
      </c>
      <c r="I826" s="6" t="s">
        <v>40</v>
      </c>
      <c r="J826" s="5" t="s">
        <v>8585</v>
      </c>
      <c r="K826" s="5" t="s">
        <v>8586</v>
      </c>
      <c r="L826" s="6" t="s">
        <v>42</v>
      </c>
      <c r="M826" s="5" t="s">
        <v>995</v>
      </c>
      <c r="N826" s="5" t="s">
        <v>64</v>
      </c>
      <c r="O826" s="5" t="s">
        <v>11075</v>
      </c>
      <c r="P826" s="6">
        <v>8529.0</v>
      </c>
    </row>
    <row r="827" ht="56.25" customHeight="1">
      <c r="A827" s="5" t="s">
        <v>11076</v>
      </c>
      <c r="B827" s="6" t="str">
        <f>IMAGE("https://storage.googleapis.com/acdb/tops/TopsTexTopCoatLPcoat0.png")</f>
        <v/>
      </c>
      <c r="C827" s="5" t="s">
        <v>54</v>
      </c>
      <c r="D827" s="8" t="s">
        <v>36</v>
      </c>
      <c r="E827" s="6">
        <v>1680.0</v>
      </c>
      <c r="F827" s="6">
        <v>420.0</v>
      </c>
      <c r="G827" s="5" t="s">
        <v>54</v>
      </c>
      <c r="H827" s="5" t="s">
        <v>54</v>
      </c>
      <c r="I827" s="6" t="s">
        <v>40</v>
      </c>
      <c r="J827" s="5" t="s">
        <v>8585</v>
      </c>
      <c r="K827" s="5" t="s">
        <v>8632</v>
      </c>
      <c r="L827" s="6" t="s">
        <v>42</v>
      </c>
      <c r="M827" s="5" t="s">
        <v>995</v>
      </c>
      <c r="N827" s="5" t="s">
        <v>64</v>
      </c>
      <c r="O827" s="5" t="s">
        <v>11078</v>
      </c>
      <c r="P827" s="6">
        <v>3688.0</v>
      </c>
    </row>
    <row r="828" ht="56.25" customHeight="1">
      <c r="A828" s="5" t="s">
        <v>11076</v>
      </c>
      <c r="B828" s="6" t="str">
        <f>IMAGE("https://storage.googleapis.com/acdb/tops/TopsTexTopCoatLPcoat1.png")</f>
        <v/>
      </c>
      <c r="C828" s="5" t="s">
        <v>1187</v>
      </c>
      <c r="D828" s="8" t="s">
        <v>36</v>
      </c>
      <c r="E828" s="6">
        <v>1680.0</v>
      </c>
      <c r="F828" s="6">
        <v>420.0</v>
      </c>
      <c r="G828" s="5" t="s">
        <v>68</v>
      </c>
      <c r="H828" s="5" t="s">
        <v>68</v>
      </c>
      <c r="I828" s="6" t="s">
        <v>40</v>
      </c>
      <c r="J828" s="5" t="s">
        <v>8585</v>
      </c>
      <c r="K828" s="5" t="s">
        <v>8632</v>
      </c>
      <c r="L828" s="6" t="s">
        <v>42</v>
      </c>
      <c r="M828" s="5" t="s">
        <v>995</v>
      </c>
      <c r="N828" s="5" t="s">
        <v>64</v>
      </c>
      <c r="O828" s="5" t="s">
        <v>11081</v>
      </c>
      <c r="P828" s="6">
        <v>9291.0</v>
      </c>
    </row>
    <row r="829" ht="56.25" customHeight="1">
      <c r="A829" s="5" t="s">
        <v>11076</v>
      </c>
      <c r="B829" s="6" t="str">
        <f>IMAGE("https://storage.googleapis.com/acdb/tops/TopsTexTopCoatLPcoat2.png")</f>
        <v/>
      </c>
      <c r="C829" s="5" t="s">
        <v>38</v>
      </c>
      <c r="D829" s="8" t="s">
        <v>36</v>
      </c>
      <c r="E829" s="6">
        <v>1680.0</v>
      </c>
      <c r="F829" s="6">
        <v>420.0</v>
      </c>
      <c r="G829" s="5" t="s">
        <v>38</v>
      </c>
      <c r="H829" s="5" t="s">
        <v>38</v>
      </c>
      <c r="I829" s="6" t="s">
        <v>40</v>
      </c>
      <c r="J829" s="5" t="s">
        <v>8585</v>
      </c>
      <c r="K829" s="5" t="s">
        <v>8632</v>
      </c>
      <c r="L829" s="6" t="s">
        <v>42</v>
      </c>
      <c r="M829" s="5" t="s">
        <v>995</v>
      </c>
      <c r="N829" s="5" t="s">
        <v>64</v>
      </c>
      <c r="O829" s="5" t="s">
        <v>11084</v>
      </c>
      <c r="P829" s="6">
        <v>9292.0</v>
      </c>
    </row>
    <row r="830" ht="56.25" customHeight="1">
      <c r="A830" s="5" t="s">
        <v>11076</v>
      </c>
      <c r="B830" s="6" t="str">
        <f>IMAGE("https://storage.googleapis.com/acdb/tops/TopsTexTopCoatLPcoat3.png")</f>
        <v/>
      </c>
      <c r="C830" s="5" t="s">
        <v>142</v>
      </c>
      <c r="D830" s="8" t="s">
        <v>36</v>
      </c>
      <c r="E830" s="6">
        <v>1680.0</v>
      </c>
      <c r="F830" s="6">
        <v>420.0</v>
      </c>
      <c r="G830" s="5" t="s">
        <v>142</v>
      </c>
      <c r="H830" s="5" t="s">
        <v>142</v>
      </c>
      <c r="I830" s="6" t="s">
        <v>40</v>
      </c>
      <c r="J830" s="5" t="s">
        <v>8585</v>
      </c>
      <c r="K830" s="5" t="s">
        <v>8632</v>
      </c>
      <c r="L830" s="6" t="s">
        <v>42</v>
      </c>
      <c r="M830" s="5" t="s">
        <v>995</v>
      </c>
      <c r="N830" s="5" t="s">
        <v>64</v>
      </c>
      <c r="O830" s="5" t="s">
        <v>11087</v>
      </c>
      <c r="P830" s="6">
        <v>9293.0</v>
      </c>
    </row>
    <row r="831" ht="56.25" customHeight="1">
      <c r="A831" s="5" t="s">
        <v>11076</v>
      </c>
      <c r="B831" s="6" t="str">
        <f>IMAGE("https://storage.googleapis.com/acdb/tops/TopsTexTopCoatLPcoat4.png")</f>
        <v/>
      </c>
      <c r="C831" s="5" t="s">
        <v>96</v>
      </c>
      <c r="D831" s="8" t="s">
        <v>36</v>
      </c>
      <c r="E831" s="6">
        <v>1680.0</v>
      </c>
      <c r="F831" s="6">
        <v>420.0</v>
      </c>
      <c r="G831" s="5" t="s">
        <v>96</v>
      </c>
      <c r="H831" s="5" t="s">
        <v>96</v>
      </c>
      <c r="I831" s="6" t="s">
        <v>40</v>
      </c>
      <c r="J831" s="5" t="s">
        <v>8585</v>
      </c>
      <c r="K831" s="5" t="s">
        <v>8632</v>
      </c>
      <c r="L831" s="6" t="s">
        <v>42</v>
      </c>
      <c r="M831" s="5" t="s">
        <v>995</v>
      </c>
      <c r="N831" s="5" t="s">
        <v>64</v>
      </c>
      <c r="O831" s="5" t="s">
        <v>11089</v>
      </c>
      <c r="P831" s="6">
        <v>9294.0</v>
      </c>
    </row>
    <row r="832" ht="56.25" customHeight="1">
      <c r="A832" s="5" t="s">
        <v>11076</v>
      </c>
      <c r="B832" s="6" t="str">
        <f>IMAGE("https://storage.googleapis.com/acdb/tops/TopsTexTopCoatLPcoat5.png")</f>
        <v/>
      </c>
      <c r="C832" s="5" t="s">
        <v>95</v>
      </c>
      <c r="D832" s="8" t="s">
        <v>36</v>
      </c>
      <c r="E832" s="6">
        <v>1680.0</v>
      </c>
      <c r="F832" s="6">
        <v>420.0</v>
      </c>
      <c r="G832" s="5" t="s">
        <v>95</v>
      </c>
      <c r="H832" s="5" t="s">
        <v>95</v>
      </c>
      <c r="I832" s="6" t="s">
        <v>40</v>
      </c>
      <c r="J832" s="5" t="s">
        <v>8585</v>
      </c>
      <c r="K832" s="5" t="s">
        <v>8632</v>
      </c>
      <c r="L832" s="6" t="s">
        <v>42</v>
      </c>
      <c r="M832" s="5" t="s">
        <v>995</v>
      </c>
      <c r="N832" s="5" t="s">
        <v>64</v>
      </c>
      <c r="O832" s="5" t="s">
        <v>11092</v>
      </c>
      <c r="P832" s="6">
        <v>9295.0</v>
      </c>
    </row>
    <row r="833" ht="56.25" customHeight="1">
      <c r="A833" s="5" t="s">
        <v>11076</v>
      </c>
      <c r="B833" s="6" t="str">
        <f>IMAGE("https://storage.googleapis.com/acdb/tops/TopsTexTopCoatLPcoat6.png")</f>
        <v/>
      </c>
      <c r="C833" s="5" t="s">
        <v>69</v>
      </c>
      <c r="D833" s="8" t="s">
        <v>36</v>
      </c>
      <c r="E833" s="6">
        <v>1680.0</v>
      </c>
      <c r="F833" s="6">
        <v>420.0</v>
      </c>
      <c r="G833" s="5" t="s">
        <v>69</v>
      </c>
      <c r="H833" s="5" t="s">
        <v>69</v>
      </c>
      <c r="I833" s="6" t="s">
        <v>40</v>
      </c>
      <c r="J833" s="5" t="s">
        <v>8585</v>
      </c>
      <c r="K833" s="5" t="s">
        <v>8632</v>
      </c>
      <c r="L833" s="6" t="s">
        <v>42</v>
      </c>
      <c r="M833" s="5" t="s">
        <v>995</v>
      </c>
      <c r="N833" s="5" t="s">
        <v>64</v>
      </c>
      <c r="O833" s="5" t="s">
        <v>11096</v>
      </c>
      <c r="P833" s="6">
        <v>9296.0</v>
      </c>
    </row>
    <row r="834" ht="56.25" customHeight="1">
      <c r="A834" s="5" t="s">
        <v>11097</v>
      </c>
      <c r="B834" s="6" t="str">
        <f>IMAGE("https://storage.googleapis.com/acdb/tops/TopsTexTopYshirtsHStandard1.png")</f>
        <v/>
      </c>
      <c r="C834" s="5" t="s">
        <v>52</v>
      </c>
      <c r="D834" s="8" t="s">
        <v>36</v>
      </c>
      <c r="E834" s="6">
        <v>560.0</v>
      </c>
      <c r="F834" s="6">
        <v>140.0</v>
      </c>
      <c r="G834" s="5" t="s">
        <v>52</v>
      </c>
      <c r="H834" s="5" t="s">
        <v>52</v>
      </c>
      <c r="I834" s="6" t="s">
        <v>40</v>
      </c>
      <c r="J834" s="5" t="s">
        <v>8585</v>
      </c>
      <c r="K834" s="5" t="s">
        <v>8632</v>
      </c>
      <c r="L834" s="6" t="s">
        <v>42</v>
      </c>
      <c r="M834" s="5" t="s">
        <v>995</v>
      </c>
      <c r="N834" s="5" t="s">
        <v>64</v>
      </c>
      <c r="O834" s="5" t="s">
        <v>11100</v>
      </c>
      <c r="P834" s="6">
        <v>8341.0</v>
      </c>
    </row>
    <row r="835" ht="56.25" customHeight="1">
      <c r="A835" s="5" t="s">
        <v>11097</v>
      </c>
      <c r="B835" s="6" t="str">
        <f>IMAGE("https://storage.googleapis.com/acdb/tops/TopsTexTopYshirtsHStandard2.png")</f>
        <v/>
      </c>
      <c r="C835" s="5" t="s">
        <v>96</v>
      </c>
      <c r="D835" s="8" t="s">
        <v>36</v>
      </c>
      <c r="E835" s="6">
        <v>560.0</v>
      </c>
      <c r="F835" s="6">
        <v>140.0</v>
      </c>
      <c r="G835" s="5" t="s">
        <v>96</v>
      </c>
      <c r="H835" s="5" t="s">
        <v>96</v>
      </c>
      <c r="I835" s="6" t="s">
        <v>40</v>
      </c>
      <c r="J835" s="5" t="s">
        <v>8585</v>
      </c>
      <c r="K835" s="5" t="s">
        <v>8632</v>
      </c>
      <c r="L835" s="6" t="s">
        <v>42</v>
      </c>
      <c r="M835" s="5" t="s">
        <v>995</v>
      </c>
      <c r="N835" s="5" t="s">
        <v>64</v>
      </c>
      <c r="O835" s="5" t="s">
        <v>11102</v>
      </c>
      <c r="P835" s="6">
        <v>8342.0</v>
      </c>
    </row>
    <row r="836" ht="56.25" customHeight="1">
      <c r="A836" s="5" t="s">
        <v>11097</v>
      </c>
      <c r="B836" s="6" t="str">
        <f>IMAGE("https://storage.googleapis.com/acdb/tops/TopsTexTopYshirtsHStandard3.png")</f>
        <v/>
      </c>
      <c r="C836" s="5" t="s">
        <v>114</v>
      </c>
      <c r="D836" s="8" t="s">
        <v>36</v>
      </c>
      <c r="E836" s="6">
        <v>560.0</v>
      </c>
      <c r="F836" s="6">
        <v>140.0</v>
      </c>
      <c r="G836" s="5" t="s">
        <v>114</v>
      </c>
      <c r="H836" s="5" t="s">
        <v>114</v>
      </c>
      <c r="I836" s="6" t="s">
        <v>40</v>
      </c>
      <c r="J836" s="5" t="s">
        <v>8585</v>
      </c>
      <c r="K836" s="5" t="s">
        <v>8632</v>
      </c>
      <c r="L836" s="6" t="s">
        <v>42</v>
      </c>
      <c r="M836" s="5" t="s">
        <v>995</v>
      </c>
      <c r="N836" s="5" t="s">
        <v>64</v>
      </c>
      <c r="O836" s="5" t="s">
        <v>11105</v>
      </c>
      <c r="P836" s="6">
        <v>8343.0</v>
      </c>
    </row>
    <row r="837" ht="56.25" customHeight="1">
      <c r="A837" s="5" t="s">
        <v>11097</v>
      </c>
      <c r="B837" s="6" t="str">
        <f>IMAGE("https://storage.googleapis.com/acdb/tops/TopsTexTopYshirtsHStandard4.png")</f>
        <v/>
      </c>
      <c r="C837" s="5" t="s">
        <v>68</v>
      </c>
      <c r="D837" s="8" t="s">
        <v>36</v>
      </c>
      <c r="E837" s="6">
        <v>560.0</v>
      </c>
      <c r="F837" s="6">
        <v>140.0</v>
      </c>
      <c r="G837" s="5" t="s">
        <v>68</v>
      </c>
      <c r="H837" s="5" t="s">
        <v>68</v>
      </c>
      <c r="I837" s="6" t="s">
        <v>40</v>
      </c>
      <c r="J837" s="5" t="s">
        <v>8585</v>
      </c>
      <c r="K837" s="5" t="s">
        <v>8632</v>
      </c>
      <c r="L837" s="6" t="s">
        <v>42</v>
      </c>
      <c r="M837" s="5" t="s">
        <v>995</v>
      </c>
      <c r="N837" s="5" t="s">
        <v>64</v>
      </c>
      <c r="O837" s="5" t="s">
        <v>11108</v>
      </c>
      <c r="P837" s="6">
        <v>8344.0</v>
      </c>
    </row>
    <row r="838" ht="56.25" customHeight="1">
      <c r="A838" s="5" t="s">
        <v>11097</v>
      </c>
      <c r="B838" s="6" t="str">
        <f>IMAGE("https://storage.googleapis.com/acdb/tops/TopsTexTopYshirtsHStandard0.png")</f>
        <v/>
      </c>
      <c r="C838" s="5" t="s">
        <v>57</v>
      </c>
      <c r="D838" s="8" t="s">
        <v>36</v>
      </c>
      <c r="E838" s="6">
        <v>560.0</v>
      </c>
      <c r="F838" s="6">
        <v>140.0</v>
      </c>
      <c r="G838" s="5" t="s">
        <v>57</v>
      </c>
      <c r="H838" s="5" t="s">
        <v>57</v>
      </c>
      <c r="I838" s="6" t="s">
        <v>40</v>
      </c>
      <c r="J838" s="5" t="s">
        <v>8585</v>
      </c>
      <c r="K838" s="5" t="s">
        <v>8632</v>
      </c>
      <c r="L838" s="6" t="s">
        <v>42</v>
      </c>
      <c r="M838" s="5" t="s">
        <v>995</v>
      </c>
      <c r="N838" s="5" t="s">
        <v>64</v>
      </c>
      <c r="O838" s="5" t="s">
        <v>11111</v>
      </c>
      <c r="P838" s="6">
        <v>3144.0</v>
      </c>
    </row>
    <row r="839" ht="56.25" customHeight="1">
      <c r="A839" s="5" t="s">
        <v>11112</v>
      </c>
      <c r="B839" s="6" t="str">
        <f>IMAGE("https://storage.googleapis.com/acdb/tops/TopsTexTopYshirtsHChina6.png")</f>
        <v/>
      </c>
      <c r="C839" s="5" t="s">
        <v>142</v>
      </c>
      <c r="D839" s="8" t="s">
        <v>36</v>
      </c>
      <c r="E839" s="6">
        <v>1200.0</v>
      </c>
      <c r="F839" s="6">
        <v>300.0</v>
      </c>
      <c r="G839" s="5" t="s">
        <v>142</v>
      </c>
      <c r="H839" s="5" t="s">
        <v>114</v>
      </c>
      <c r="I839" s="6" t="s">
        <v>40</v>
      </c>
      <c r="J839" s="5" t="s">
        <v>8585</v>
      </c>
      <c r="K839" s="5" t="s">
        <v>8586</v>
      </c>
      <c r="L839" s="6" t="s">
        <v>42</v>
      </c>
      <c r="M839" s="5" t="s">
        <v>1959</v>
      </c>
      <c r="N839" s="5" t="s">
        <v>64</v>
      </c>
      <c r="O839" s="5" t="s">
        <v>11115</v>
      </c>
      <c r="P839" s="6">
        <v>9140.0</v>
      </c>
    </row>
    <row r="840" ht="56.25" customHeight="1">
      <c r="A840" s="5" t="s">
        <v>11112</v>
      </c>
      <c r="B840" s="6" t="str">
        <f>IMAGE("https://storage.googleapis.com/acdb/tops/TopsTexTopYshirtsHChina1.png")</f>
        <v/>
      </c>
      <c r="C840" s="5" t="s">
        <v>68</v>
      </c>
      <c r="D840" s="8" t="s">
        <v>36</v>
      </c>
      <c r="E840" s="6">
        <v>1200.0</v>
      </c>
      <c r="F840" s="6">
        <v>300.0</v>
      </c>
      <c r="G840" s="5" t="s">
        <v>68</v>
      </c>
      <c r="H840" s="5" t="s">
        <v>114</v>
      </c>
      <c r="I840" s="6" t="s">
        <v>40</v>
      </c>
      <c r="J840" s="5" t="s">
        <v>8585</v>
      </c>
      <c r="K840" s="5" t="s">
        <v>8586</v>
      </c>
      <c r="L840" s="6" t="s">
        <v>42</v>
      </c>
      <c r="M840" s="5" t="s">
        <v>1959</v>
      </c>
      <c r="N840" s="5" t="s">
        <v>64</v>
      </c>
      <c r="O840" s="5" t="s">
        <v>11118</v>
      </c>
      <c r="P840" s="6">
        <v>9135.0</v>
      </c>
    </row>
    <row r="841" ht="56.25" customHeight="1">
      <c r="A841" s="5" t="s">
        <v>11112</v>
      </c>
      <c r="B841" s="6" t="str">
        <f>IMAGE("https://storage.googleapis.com/acdb/tops/TopsTexTopYshirtsHChina2.png")</f>
        <v/>
      </c>
      <c r="C841" s="5" t="s">
        <v>8709</v>
      </c>
      <c r="D841" s="8" t="s">
        <v>36</v>
      </c>
      <c r="E841" s="6">
        <v>1200.0</v>
      </c>
      <c r="F841" s="6">
        <v>300.0</v>
      </c>
      <c r="G841" s="5" t="s">
        <v>114</v>
      </c>
      <c r="H841" s="5" t="s">
        <v>114</v>
      </c>
      <c r="I841" s="6" t="s">
        <v>40</v>
      </c>
      <c r="J841" s="5" t="s">
        <v>8585</v>
      </c>
      <c r="K841" s="5" t="s">
        <v>8586</v>
      </c>
      <c r="L841" s="6" t="s">
        <v>42</v>
      </c>
      <c r="M841" s="5" t="s">
        <v>1959</v>
      </c>
      <c r="N841" s="5" t="s">
        <v>64</v>
      </c>
      <c r="O841" s="5" t="s">
        <v>11119</v>
      </c>
      <c r="P841" s="6">
        <v>9136.0</v>
      </c>
    </row>
    <row r="842" ht="56.25" customHeight="1">
      <c r="A842" s="5" t="s">
        <v>11112</v>
      </c>
      <c r="B842" s="6" t="str">
        <f>IMAGE("https://storage.googleapis.com/acdb/tops/TopsTexTopYshirtsHChina3.png")</f>
        <v/>
      </c>
      <c r="C842" s="5" t="s">
        <v>95</v>
      </c>
      <c r="D842" s="8" t="s">
        <v>36</v>
      </c>
      <c r="E842" s="6">
        <v>1200.0</v>
      </c>
      <c r="F842" s="6">
        <v>300.0</v>
      </c>
      <c r="G842" s="5" t="s">
        <v>95</v>
      </c>
      <c r="H842" s="5" t="s">
        <v>114</v>
      </c>
      <c r="I842" s="6" t="s">
        <v>40</v>
      </c>
      <c r="J842" s="5" t="s">
        <v>8585</v>
      </c>
      <c r="K842" s="5" t="s">
        <v>8586</v>
      </c>
      <c r="L842" s="6" t="s">
        <v>42</v>
      </c>
      <c r="M842" s="5" t="s">
        <v>1959</v>
      </c>
      <c r="N842" s="5" t="s">
        <v>64</v>
      </c>
      <c r="O842" s="5" t="s">
        <v>11123</v>
      </c>
      <c r="P842" s="6">
        <v>9137.0</v>
      </c>
    </row>
    <row r="843" ht="56.25" customHeight="1">
      <c r="A843" s="5" t="s">
        <v>11112</v>
      </c>
      <c r="B843" s="6" t="str">
        <f>IMAGE("https://storage.googleapis.com/acdb/tops/TopsTexTopYshirtsHChina4.png")</f>
        <v/>
      </c>
      <c r="C843" s="5" t="s">
        <v>106</v>
      </c>
      <c r="D843" s="8" t="s">
        <v>36</v>
      </c>
      <c r="E843" s="6">
        <v>1200.0</v>
      </c>
      <c r="F843" s="6">
        <v>300.0</v>
      </c>
      <c r="G843" s="5" t="s">
        <v>106</v>
      </c>
      <c r="H843" s="5" t="s">
        <v>114</v>
      </c>
      <c r="I843" s="6" t="s">
        <v>40</v>
      </c>
      <c r="J843" s="5" t="s">
        <v>8585</v>
      </c>
      <c r="K843" s="5" t="s">
        <v>8586</v>
      </c>
      <c r="L843" s="6" t="s">
        <v>42</v>
      </c>
      <c r="M843" s="5" t="s">
        <v>1959</v>
      </c>
      <c r="N843" s="5" t="s">
        <v>64</v>
      </c>
      <c r="O843" s="5" t="s">
        <v>11126</v>
      </c>
      <c r="P843" s="6">
        <v>9138.0</v>
      </c>
    </row>
    <row r="844" ht="56.25" customHeight="1">
      <c r="A844" s="5" t="s">
        <v>11112</v>
      </c>
      <c r="B844" s="6" t="str">
        <f>IMAGE("https://storage.googleapis.com/acdb/tops/TopsTexTopYshirtsHChina5.png")</f>
        <v/>
      </c>
      <c r="C844" s="5" t="s">
        <v>96</v>
      </c>
      <c r="D844" s="8" t="s">
        <v>36</v>
      </c>
      <c r="E844" s="6">
        <v>1200.0</v>
      </c>
      <c r="F844" s="6">
        <v>300.0</v>
      </c>
      <c r="G844" s="5" t="s">
        <v>96</v>
      </c>
      <c r="H844" s="5" t="s">
        <v>114</v>
      </c>
      <c r="I844" s="6" t="s">
        <v>40</v>
      </c>
      <c r="J844" s="5" t="s">
        <v>8585</v>
      </c>
      <c r="K844" s="5" t="s">
        <v>8586</v>
      </c>
      <c r="L844" s="6" t="s">
        <v>42</v>
      </c>
      <c r="M844" s="5" t="s">
        <v>1959</v>
      </c>
      <c r="N844" s="5" t="s">
        <v>64</v>
      </c>
      <c r="O844" s="5" t="s">
        <v>11128</v>
      </c>
      <c r="P844" s="6">
        <v>9139.0</v>
      </c>
    </row>
    <row r="845" ht="56.25" customHeight="1">
      <c r="A845" s="5" t="s">
        <v>11112</v>
      </c>
      <c r="B845" s="6" t="str">
        <f>IMAGE("https://storage.googleapis.com/acdb/tops/TopsTexTopYshirtsHChina0.png")</f>
        <v/>
      </c>
      <c r="C845" s="5" t="s">
        <v>69</v>
      </c>
      <c r="D845" s="8" t="s">
        <v>36</v>
      </c>
      <c r="E845" s="6">
        <v>1200.0</v>
      </c>
      <c r="F845" s="6">
        <v>300.0</v>
      </c>
      <c r="G845" s="5" t="s">
        <v>69</v>
      </c>
      <c r="H845" s="5" t="s">
        <v>114</v>
      </c>
      <c r="I845" s="6" t="s">
        <v>40</v>
      </c>
      <c r="J845" s="5" t="s">
        <v>8585</v>
      </c>
      <c r="K845" s="5" t="s">
        <v>8586</v>
      </c>
      <c r="L845" s="6" t="s">
        <v>42</v>
      </c>
      <c r="M845" s="5" t="s">
        <v>1959</v>
      </c>
      <c r="N845" s="5" t="s">
        <v>64</v>
      </c>
      <c r="O845" s="5" t="s">
        <v>11131</v>
      </c>
      <c r="P845" s="6">
        <v>3248.0</v>
      </c>
    </row>
    <row r="846" ht="56.25" customHeight="1">
      <c r="A846" s="5" t="s">
        <v>11132</v>
      </c>
      <c r="B846" s="6" t="str">
        <f>IMAGE("https://storage.googleapis.com/acdb/tops/TopsTexTopYshirtsLChina0.png")</f>
        <v/>
      </c>
      <c r="C846" s="5" t="s">
        <v>96</v>
      </c>
      <c r="D846" s="8" t="s">
        <v>36</v>
      </c>
      <c r="E846" s="6">
        <v>1500.0</v>
      </c>
      <c r="F846" s="6">
        <v>375.0</v>
      </c>
      <c r="G846" s="5" t="s">
        <v>96</v>
      </c>
      <c r="H846" s="5" t="s">
        <v>114</v>
      </c>
      <c r="I846" s="6" t="s">
        <v>40</v>
      </c>
      <c r="J846" s="5" t="s">
        <v>8585</v>
      </c>
      <c r="K846" s="5" t="s">
        <v>8586</v>
      </c>
      <c r="L846" s="6" t="s">
        <v>42</v>
      </c>
      <c r="M846" s="5" t="s">
        <v>1059</v>
      </c>
      <c r="N846" s="5" t="s">
        <v>64</v>
      </c>
      <c r="O846" s="5" t="s">
        <v>11134</v>
      </c>
      <c r="P846" s="6">
        <v>2672.0</v>
      </c>
    </row>
    <row r="847" ht="56.25" customHeight="1">
      <c r="A847" s="5" t="s">
        <v>11132</v>
      </c>
      <c r="B847" s="6" t="str">
        <f>IMAGE("https://storage.googleapis.com/acdb/tops/TopsTexTopYshirtsLChina4.png")</f>
        <v/>
      </c>
      <c r="C847" s="5" t="s">
        <v>54</v>
      </c>
      <c r="D847" s="8" t="s">
        <v>36</v>
      </c>
      <c r="E847" s="6">
        <v>1500.0</v>
      </c>
      <c r="F847" s="6">
        <v>375.0</v>
      </c>
      <c r="G847" s="5" t="s">
        <v>54</v>
      </c>
      <c r="H847" s="5" t="s">
        <v>114</v>
      </c>
      <c r="I847" s="6" t="s">
        <v>40</v>
      </c>
      <c r="J847" s="5" t="s">
        <v>8585</v>
      </c>
      <c r="K847" s="5" t="s">
        <v>8586</v>
      </c>
      <c r="L847" s="6" t="s">
        <v>42</v>
      </c>
      <c r="M847" s="5" t="s">
        <v>1059</v>
      </c>
      <c r="N847" s="5" t="s">
        <v>64</v>
      </c>
      <c r="O847" s="5" t="s">
        <v>11137</v>
      </c>
      <c r="P847" s="6">
        <v>9130.0</v>
      </c>
    </row>
    <row r="848" ht="56.25" customHeight="1">
      <c r="A848" s="5" t="s">
        <v>11132</v>
      </c>
      <c r="B848" s="6" t="str">
        <f>IMAGE("https://storage.googleapis.com/acdb/tops/TopsTexTopYshirtsLChina1.png")</f>
        <v/>
      </c>
      <c r="C848" s="5" t="s">
        <v>52</v>
      </c>
      <c r="D848" s="8" t="s">
        <v>36</v>
      </c>
      <c r="E848" s="6">
        <v>1500.0</v>
      </c>
      <c r="F848" s="6">
        <v>375.0</v>
      </c>
      <c r="G848" s="5" t="s">
        <v>52</v>
      </c>
      <c r="H848" s="5" t="s">
        <v>114</v>
      </c>
      <c r="I848" s="6" t="s">
        <v>40</v>
      </c>
      <c r="J848" s="5" t="s">
        <v>8585</v>
      </c>
      <c r="K848" s="5" t="s">
        <v>8586</v>
      </c>
      <c r="L848" s="6" t="s">
        <v>42</v>
      </c>
      <c r="M848" s="5" t="s">
        <v>1059</v>
      </c>
      <c r="N848" s="5" t="s">
        <v>64</v>
      </c>
      <c r="O848" s="5" t="s">
        <v>11140</v>
      </c>
      <c r="P848" s="6">
        <v>9127.0</v>
      </c>
    </row>
    <row r="849" ht="56.25" customHeight="1">
      <c r="A849" s="5" t="s">
        <v>11132</v>
      </c>
      <c r="B849" s="6" t="str">
        <f>IMAGE("https://storage.googleapis.com/acdb/tops/TopsTexTopYshirtsLChina2.png")</f>
        <v/>
      </c>
      <c r="C849" s="5" t="s">
        <v>68</v>
      </c>
      <c r="D849" s="8" t="s">
        <v>36</v>
      </c>
      <c r="E849" s="6">
        <v>1500.0</v>
      </c>
      <c r="F849" s="6">
        <v>375.0</v>
      </c>
      <c r="G849" s="5" t="s">
        <v>68</v>
      </c>
      <c r="H849" s="5" t="s">
        <v>114</v>
      </c>
      <c r="I849" s="6" t="s">
        <v>40</v>
      </c>
      <c r="J849" s="5" t="s">
        <v>8585</v>
      </c>
      <c r="K849" s="5" t="s">
        <v>8586</v>
      </c>
      <c r="L849" s="6" t="s">
        <v>42</v>
      </c>
      <c r="M849" s="5" t="s">
        <v>1059</v>
      </c>
      <c r="N849" s="5" t="s">
        <v>64</v>
      </c>
      <c r="O849" s="5" t="s">
        <v>11142</v>
      </c>
      <c r="P849" s="6">
        <v>9128.0</v>
      </c>
    </row>
    <row r="850" ht="56.25" customHeight="1">
      <c r="A850" s="5" t="s">
        <v>11132</v>
      </c>
      <c r="B850" s="6" t="str">
        <f>IMAGE("https://storage.googleapis.com/acdb/tops/TopsTexTopYshirtsLChina3.png")</f>
        <v/>
      </c>
      <c r="C850" s="5" t="s">
        <v>114</v>
      </c>
      <c r="D850" s="8" t="s">
        <v>36</v>
      </c>
      <c r="E850" s="6">
        <v>1500.0</v>
      </c>
      <c r="F850" s="6">
        <v>375.0</v>
      </c>
      <c r="G850" s="5" t="s">
        <v>142</v>
      </c>
      <c r="H850" s="5" t="s">
        <v>114</v>
      </c>
      <c r="I850" s="6" t="s">
        <v>40</v>
      </c>
      <c r="J850" s="5" t="s">
        <v>8585</v>
      </c>
      <c r="K850" s="5" t="s">
        <v>8586</v>
      </c>
      <c r="L850" s="6" t="s">
        <v>42</v>
      </c>
      <c r="M850" s="5" t="s">
        <v>1059</v>
      </c>
      <c r="N850" s="5" t="s">
        <v>64</v>
      </c>
      <c r="O850" s="5" t="s">
        <v>11144</v>
      </c>
      <c r="P850" s="6">
        <v>9129.0</v>
      </c>
    </row>
    <row r="851" ht="56.25" customHeight="1">
      <c r="A851" s="5" t="s">
        <v>11145</v>
      </c>
      <c r="B851" s="6" t="str">
        <f>IMAGE("https://storage.googleapis.com/acdb/tops/TopsTexTopOuterLKnit0.png")</f>
        <v/>
      </c>
      <c r="C851" s="5" t="s">
        <v>57</v>
      </c>
      <c r="D851" s="8" t="s">
        <v>36</v>
      </c>
      <c r="E851" s="6">
        <v>960.0</v>
      </c>
      <c r="F851" s="6">
        <v>240.0</v>
      </c>
      <c r="G851" s="5" t="s">
        <v>57</v>
      </c>
      <c r="H851" s="5" t="s">
        <v>57</v>
      </c>
      <c r="I851" s="6" t="s">
        <v>40</v>
      </c>
      <c r="J851" s="5" t="s">
        <v>8585</v>
      </c>
      <c r="K851" s="5" t="s">
        <v>8632</v>
      </c>
      <c r="L851" s="6" t="s">
        <v>42</v>
      </c>
      <c r="M851" s="5" t="s">
        <v>995</v>
      </c>
      <c r="N851" s="5" t="s">
        <v>64</v>
      </c>
      <c r="O851" s="5" t="s">
        <v>11148</v>
      </c>
      <c r="P851" s="6">
        <v>2725.0</v>
      </c>
    </row>
    <row r="852" ht="56.25" customHeight="1">
      <c r="A852" s="5" t="s">
        <v>11145</v>
      </c>
      <c r="B852" s="6" t="str">
        <f>IMAGE("https://storage.googleapis.com/acdb/tops/TopsTexTopOuterLKnit2.png")</f>
        <v/>
      </c>
      <c r="C852" s="5" t="s">
        <v>2408</v>
      </c>
      <c r="D852" s="8" t="s">
        <v>36</v>
      </c>
      <c r="E852" s="6">
        <v>960.0</v>
      </c>
      <c r="F852" s="6">
        <v>240.0</v>
      </c>
      <c r="G852" s="5" t="s">
        <v>142</v>
      </c>
      <c r="H852" s="5" t="s">
        <v>142</v>
      </c>
      <c r="I852" s="6" t="s">
        <v>40</v>
      </c>
      <c r="J852" s="5" t="s">
        <v>8585</v>
      </c>
      <c r="K852" s="5" t="s">
        <v>8632</v>
      </c>
      <c r="L852" s="6" t="s">
        <v>42</v>
      </c>
      <c r="M852" s="5" t="s">
        <v>995</v>
      </c>
      <c r="N852" s="5" t="s">
        <v>64</v>
      </c>
      <c r="O852" s="5" t="s">
        <v>11151</v>
      </c>
      <c r="P852" s="6">
        <v>4151.0</v>
      </c>
    </row>
    <row r="853" ht="56.25" customHeight="1">
      <c r="A853" s="5" t="s">
        <v>11145</v>
      </c>
      <c r="B853" s="6" t="str">
        <f>IMAGE("https://storage.googleapis.com/acdb/tops/TopsTexTopOuterLKnit1.png")</f>
        <v/>
      </c>
      <c r="C853" s="5" t="s">
        <v>54</v>
      </c>
      <c r="D853" s="8" t="s">
        <v>36</v>
      </c>
      <c r="E853" s="6">
        <v>960.0</v>
      </c>
      <c r="F853" s="6">
        <v>240.0</v>
      </c>
      <c r="G853" s="5" t="s">
        <v>54</v>
      </c>
      <c r="H853" s="5" t="s">
        <v>54</v>
      </c>
      <c r="I853" s="6" t="s">
        <v>40</v>
      </c>
      <c r="J853" s="5" t="s">
        <v>8585</v>
      </c>
      <c r="K853" s="5" t="s">
        <v>8632</v>
      </c>
      <c r="L853" s="6" t="s">
        <v>42</v>
      </c>
      <c r="M853" s="5" t="s">
        <v>995</v>
      </c>
      <c r="N853" s="5" t="s">
        <v>64</v>
      </c>
      <c r="O853" s="5" t="s">
        <v>11155</v>
      </c>
      <c r="P853" s="6">
        <v>2730.0</v>
      </c>
    </row>
    <row r="854" ht="56.25" customHeight="1">
      <c r="A854" s="5" t="s">
        <v>11156</v>
      </c>
      <c r="B854" s="6" t="str">
        <f>IMAGE("https://storage.googleapis.com/acdb/tops/TopsTexTopOuterLParka2.png")</f>
        <v/>
      </c>
      <c r="C854" s="5" t="s">
        <v>96</v>
      </c>
      <c r="D854" s="8" t="s">
        <v>36</v>
      </c>
      <c r="E854" s="6">
        <v>1060.0</v>
      </c>
      <c r="F854" s="6">
        <v>265.0</v>
      </c>
      <c r="G854" s="5" t="s">
        <v>96</v>
      </c>
      <c r="H854" s="5" t="s">
        <v>96</v>
      </c>
      <c r="I854" s="6" t="s">
        <v>40</v>
      </c>
      <c r="J854" s="5" t="s">
        <v>8585</v>
      </c>
      <c r="K854" s="5" t="s">
        <v>8632</v>
      </c>
      <c r="L854" s="6" t="s">
        <v>42</v>
      </c>
      <c r="M854" s="5" t="s">
        <v>995</v>
      </c>
      <c r="N854" s="5" t="s">
        <v>64</v>
      </c>
      <c r="O854" s="5" t="s">
        <v>11158</v>
      </c>
      <c r="P854" s="6">
        <v>7970.0</v>
      </c>
    </row>
    <row r="855" ht="56.25" customHeight="1">
      <c r="A855" s="5" t="s">
        <v>11156</v>
      </c>
      <c r="B855" s="6" t="str">
        <f>IMAGE("https://storage.googleapis.com/acdb/tops/TopsTexTopOuterLParka3.png")</f>
        <v/>
      </c>
      <c r="C855" s="5" t="s">
        <v>68</v>
      </c>
      <c r="D855" s="8" t="s">
        <v>36</v>
      </c>
      <c r="E855" s="6">
        <v>1060.0</v>
      </c>
      <c r="F855" s="6">
        <v>265.0</v>
      </c>
      <c r="G855" s="5" t="s">
        <v>68</v>
      </c>
      <c r="H855" s="5" t="s">
        <v>68</v>
      </c>
      <c r="I855" s="6" t="s">
        <v>40</v>
      </c>
      <c r="J855" s="5" t="s">
        <v>8585</v>
      </c>
      <c r="K855" s="5" t="s">
        <v>8632</v>
      </c>
      <c r="L855" s="6" t="s">
        <v>42</v>
      </c>
      <c r="M855" s="5" t="s">
        <v>995</v>
      </c>
      <c r="N855" s="5" t="s">
        <v>64</v>
      </c>
      <c r="O855" s="5" t="s">
        <v>11160</v>
      </c>
      <c r="P855" s="6">
        <v>7971.0</v>
      </c>
    </row>
    <row r="856" ht="56.25" customHeight="1">
      <c r="A856" s="5" t="s">
        <v>11156</v>
      </c>
      <c r="B856" s="6" t="str">
        <f>IMAGE("https://storage.googleapis.com/acdb/tops/TopsTexTopOuterLParka4.png")</f>
        <v/>
      </c>
      <c r="C856" s="5" t="s">
        <v>114</v>
      </c>
      <c r="D856" s="8" t="s">
        <v>36</v>
      </c>
      <c r="E856" s="6">
        <v>1060.0</v>
      </c>
      <c r="F856" s="6">
        <v>265.0</v>
      </c>
      <c r="G856" s="5" t="s">
        <v>114</v>
      </c>
      <c r="H856" s="5" t="s">
        <v>114</v>
      </c>
      <c r="I856" s="6" t="s">
        <v>40</v>
      </c>
      <c r="J856" s="5" t="s">
        <v>8585</v>
      </c>
      <c r="K856" s="5" t="s">
        <v>8632</v>
      </c>
      <c r="L856" s="6" t="s">
        <v>42</v>
      </c>
      <c r="M856" s="5" t="s">
        <v>995</v>
      </c>
      <c r="N856" s="5" t="s">
        <v>64</v>
      </c>
      <c r="O856" s="5" t="s">
        <v>11163</v>
      </c>
      <c r="P856" s="6">
        <v>7972.0</v>
      </c>
    </row>
    <row r="857" ht="56.25" customHeight="1">
      <c r="A857" s="5" t="s">
        <v>11156</v>
      </c>
      <c r="B857" s="6" t="str">
        <f>IMAGE("https://storage.googleapis.com/acdb/tops/TopsTexTopOuterLParka5.png")</f>
        <v/>
      </c>
      <c r="C857" s="5" t="s">
        <v>69</v>
      </c>
      <c r="D857" s="8" t="s">
        <v>36</v>
      </c>
      <c r="E857" s="6">
        <v>1060.0</v>
      </c>
      <c r="F857" s="6">
        <v>265.0</v>
      </c>
      <c r="G857" s="5" t="s">
        <v>69</v>
      </c>
      <c r="H857" s="5" t="s">
        <v>69</v>
      </c>
      <c r="I857" s="6" t="s">
        <v>40</v>
      </c>
      <c r="J857" s="5" t="s">
        <v>8585</v>
      </c>
      <c r="K857" s="5" t="s">
        <v>8632</v>
      </c>
      <c r="L857" s="6" t="s">
        <v>42</v>
      </c>
      <c r="M857" s="5" t="s">
        <v>995</v>
      </c>
      <c r="N857" s="5" t="s">
        <v>64</v>
      </c>
      <c r="O857" s="5" t="s">
        <v>11165</v>
      </c>
      <c r="P857" s="6">
        <v>7973.0</v>
      </c>
    </row>
    <row r="858" ht="56.25" customHeight="1">
      <c r="A858" s="5" t="s">
        <v>11156</v>
      </c>
      <c r="B858" s="6" t="str">
        <f>IMAGE("https://storage.googleapis.com/acdb/tops/TopsTexTopOuterLParka6.png")</f>
        <v/>
      </c>
      <c r="C858" s="5" t="s">
        <v>83</v>
      </c>
      <c r="D858" s="8" t="s">
        <v>36</v>
      </c>
      <c r="E858" s="6">
        <v>1060.0</v>
      </c>
      <c r="F858" s="6">
        <v>265.0</v>
      </c>
      <c r="G858" s="5" t="s">
        <v>83</v>
      </c>
      <c r="H858" s="5" t="s">
        <v>83</v>
      </c>
      <c r="I858" s="6" t="s">
        <v>40</v>
      </c>
      <c r="J858" s="5" t="s">
        <v>8585</v>
      </c>
      <c r="K858" s="5" t="s">
        <v>8632</v>
      </c>
      <c r="L858" s="6" t="s">
        <v>42</v>
      </c>
      <c r="M858" s="5" t="s">
        <v>995</v>
      </c>
      <c r="N858" s="5" t="s">
        <v>64</v>
      </c>
      <c r="O858" s="5" t="s">
        <v>11167</v>
      </c>
      <c r="P858" s="6">
        <v>7974.0</v>
      </c>
    </row>
    <row r="859" ht="56.25" customHeight="1">
      <c r="A859" s="5" t="s">
        <v>11156</v>
      </c>
      <c r="B859" s="6" t="str">
        <f>IMAGE("https://storage.googleapis.com/acdb/tops/TopsTexTopOuterLParka7.png")</f>
        <v/>
      </c>
      <c r="C859" s="5" t="s">
        <v>54</v>
      </c>
      <c r="D859" s="8" t="s">
        <v>36</v>
      </c>
      <c r="E859" s="6">
        <v>1060.0</v>
      </c>
      <c r="F859" s="6">
        <v>265.0</v>
      </c>
      <c r="G859" s="5" t="s">
        <v>54</v>
      </c>
      <c r="H859" s="5" t="s">
        <v>54</v>
      </c>
      <c r="I859" s="6" t="s">
        <v>40</v>
      </c>
      <c r="J859" s="5" t="s">
        <v>8585</v>
      </c>
      <c r="K859" s="5" t="s">
        <v>8632</v>
      </c>
      <c r="L859" s="6" t="s">
        <v>42</v>
      </c>
      <c r="M859" s="5" t="s">
        <v>995</v>
      </c>
      <c r="N859" s="5" t="s">
        <v>64</v>
      </c>
      <c r="O859" s="5" t="s">
        <v>11169</v>
      </c>
      <c r="P859" s="6">
        <v>7975.0</v>
      </c>
    </row>
    <row r="860" ht="56.25" customHeight="1">
      <c r="A860" s="5" t="s">
        <v>11156</v>
      </c>
      <c r="B860" s="6" t="str">
        <f>IMAGE("https://storage.googleapis.com/acdb/tops/TopsTexTopOuterLParka0.png")</f>
        <v/>
      </c>
      <c r="C860" s="5" t="s">
        <v>95</v>
      </c>
      <c r="D860" s="8" t="s">
        <v>36</v>
      </c>
      <c r="E860" s="6">
        <v>1060.0</v>
      </c>
      <c r="F860" s="6">
        <v>265.0</v>
      </c>
      <c r="G860" s="5" t="s">
        <v>95</v>
      </c>
      <c r="H860" s="5" t="s">
        <v>95</v>
      </c>
      <c r="I860" s="6" t="s">
        <v>40</v>
      </c>
      <c r="J860" s="5" t="s">
        <v>8585</v>
      </c>
      <c r="K860" s="5" t="s">
        <v>8632</v>
      </c>
      <c r="L860" s="6" t="s">
        <v>42</v>
      </c>
      <c r="M860" s="5" t="s">
        <v>995</v>
      </c>
      <c r="N860" s="5" t="s">
        <v>64</v>
      </c>
      <c r="O860" s="5" t="s">
        <v>11172</v>
      </c>
      <c r="P860" s="6">
        <v>3056.0</v>
      </c>
    </row>
    <row r="861" ht="56.25" customHeight="1">
      <c r="A861" s="5" t="s">
        <v>11156</v>
      </c>
      <c r="B861" s="6" t="str">
        <f>IMAGE("https://storage.googleapis.com/acdb/tops/TopsTexTopOuterLParka1.png")</f>
        <v/>
      </c>
      <c r="C861" s="5" t="s">
        <v>52</v>
      </c>
      <c r="D861" s="8" t="s">
        <v>36</v>
      </c>
      <c r="E861" s="6">
        <v>1060.0</v>
      </c>
      <c r="F861" s="6">
        <v>265.0</v>
      </c>
      <c r="G861" s="5" t="s">
        <v>52</v>
      </c>
      <c r="H861" s="5" t="s">
        <v>52</v>
      </c>
      <c r="I861" s="6" t="s">
        <v>40</v>
      </c>
      <c r="J861" s="5" t="s">
        <v>8585</v>
      </c>
      <c r="K861" s="5" t="s">
        <v>8632</v>
      </c>
      <c r="L861" s="6" t="s">
        <v>42</v>
      </c>
      <c r="M861" s="5" t="s">
        <v>995</v>
      </c>
      <c r="N861" s="5" t="s">
        <v>64</v>
      </c>
      <c r="O861" s="5" t="s">
        <v>11175</v>
      </c>
      <c r="P861" s="6">
        <v>7969.0</v>
      </c>
    </row>
    <row r="862" ht="56.25" customHeight="1">
      <c r="A862" s="5" t="s">
        <v>11176</v>
      </c>
      <c r="B862" s="6" t="str">
        <f>IMAGE("https://storage.googleapis.com/acdb/tops/TopsTexTopTshirtsHSimpledot1.png")</f>
        <v/>
      </c>
      <c r="C862" s="5" t="s">
        <v>83</v>
      </c>
      <c r="D862" s="8" t="s">
        <v>36</v>
      </c>
      <c r="E862" s="6">
        <v>640.0</v>
      </c>
      <c r="F862" s="6">
        <v>160.0</v>
      </c>
      <c r="G862" s="5" t="s">
        <v>83</v>
      </c>
      <c r="H862" s="5" t="s">
        <v>57</v>
      </c>
      <c r="I862" s="6" t="s">
        <v>40</v>
      </c>
      <c r="J862" s="5" t="s">
        <v>8585</v>
      </c>
      <c r="K862" s="5" t="s">
        <v>8632</v>
      </c>
      <c r="L862" s="6" t="s">
        <v>42</v>
      </c>
      <c r="M862" s="5" t="s">
        <v>8746</v>
      </c>
      <c r="N862" s="5" t="s">
        <v>64</v>
      </c>
      <c r="O862" s="5" t="s">
        <v>11178</v>
      </c>
      <c r="P862" s="6">
        <v>9498.0</v>
      </c>
    </row>
    <row r="863" ht="56.25" customHeight="1">
      <c r="A863" s="5" t="s">
        <v>11176</v>
      </c>
      <c r="B863" s="6" t="str">
        <f>IMAGE("https://storage.googleapis.com/acdb/tops/TopsTexTopTshirtsHSimpledot2.png")</f>
        <v/>
      </c>
      <c r="C863" s="5" t="s">
        <v>52</v>
      </c>
      <c r="D863" s="8" t="s">
        <v>36</v>
      </c>
      <c r="E863" s="6">
        <v>640.0</v>
      </c>
      <c r="F863" s="6">
        <v>160.0</v>
      </c>
      <c r="G863" s="5" t="s">
        <v>52</v>
      </c>
      <c r="H863" s="5" t="s">
        <v>57</v>
      </c>
      <c r="I863" s="6" t="s">
        <v>40</v>
      </c>
      <c r="J863" s="5" t="s">
        <v>8585</v>
      </c>
      <c r="K863" s="5" t="s">
        <v>8632</v>
      </c>
      <c r="L863" s="6" t="s">
        <v>42</v>
      </c>
      <c r="M863" s="5" t="s">
        <v>8746</v>
      </c>
      <c r="N863" s="5" t="s">
        <v>64</v>
      </c>
      <c r="O863" s="5" t="s">
        <v>11182</v>
      </c>
      <c r="P863" s="6">
        <v>9499.0</v>
      </c>
    </row>
    <row r="864" ht="56.25" customHeight="1">
      <c r="A864" s="5" t="s">
        <v>11176</v>
      </c>
      <c r="B864" s="6" t="str">
        <f>IMAGE("https://storage.googleapis.com/acdb/tops/TopsTexTopTshirtsHSimpledot3.png")</f>
        <v/>
      </c>
      <c r="C864" s="5" t="s">
        <v>96</v>
      </c>
      <c r="D864" s="8" t="s">
        <v>36</v>
      </c>
      <c r="E864" s="6">
        <v>640.0</v>
      </c>
      <c r="F864" s="6">
        <v>160.0</v>
      </c>
      <c r="G864" s="5" t="s">
        <v>96</v>
      </c>
      <c r="H864" s="5" t="s">
        <v>57</v>
      </c>
      <c r="I864" s="6" t="s">
        <v>40</v>
      </c>
      <c r="J864" s="5" t="s">
        <v>8585</v>
      </c>
      <c r="K864" s="5" t="s">
        <v>8632</v>
      </c>
      <c r="L864" s="6" t="s">
        <v>42</v>
      </c>
      <c r="M864" s="5" t="s">
        <v>8746</v>
      </c>
      <c r="N864" s="5" t="s">
        <v>64</v>
      </c>
      <c r="O864" s="5" t="s">
        <v>11185</v>
      </c>
      <c r="P864" s="6">
        <v>9500.0</v>
      </c>
    </row>
    <row r="865" ht="56.25" customHeight="1">
      <c r="A865" s="5" t="s">
        <v>11176</v>
      </c>
      <c r="B865" s="6" t="str">
        <f>IMAGE("https://storage.googleapis.com/acdb/tops/TopsTexTopTshirtsHSimpledot4.png")</f>
        <v/>
      </c>
      <c r="C865" s="5" t="s">
        <v>54</v>
      </c>
      <c r="D865" s="8" t="s">
        <v>36</v>
      </c>
      <c r="E865" s="6">
        <v>640.0</v>
      </c>
      <c r="F865" s="6">
        <v>160.0</v>
      </c>
      <c r="G865" s="5" t="s">
        <v>54</v>
      </c>
      <c r="H865" s="5" t="s">
        <v>57</v>
      </c>
      <c r="I865" s="6" t="s">
        <v>40</v>
      </c>
      <c r="J865" s="5" t="s">
        <v>8585</v>
      </c>
      <c r="K865" s="5" t="s">
        <v>8632</v>
      </c>
      <c r="L865" s="6" t="s">
        <v>42</v>
      </c>
      <c r="M865" s="5" t="s">
        <v>8746</v>
      </c>
      <c r="N865" s="5" t="s">
        <v>64</v>
      </c>
      <c r="O865" s="5" t="s">
        <v>11186</v>
      </c>
      <c r="P865" s="6">
        <v>9501.0</v>
      </c>
    </row>
    <row r="866" ht="56.25" customHeight="1">
      <c r="A866" s="5" t="s">
        <v>11176</v>
      </c>
      <c r="B866" s="6" t="str">
        <f>IMAGE("https://storage.googleapis.com/acdb/tops/TopsTexTopTshirtsHSimpledot0.png")</f>
        <v/>
      </c>
      <c r="C866" s="5" t="s">
        <v>114</v>
      </c>
      <c r="D866" s="8" t="s">
        <v>36</v>
      </c>
      <c r="E866" s="6">
        <v>640.0</v>
      </c>
      <c r="F866" s="6">
        <v>160.0</v>
      </c>
      <c r="G866" s="5" t="s">
        <v>114</v>
      </c>
      <c r="H866" s="5" t="s">
        <v>57</v>
      </c>
      <c r="I866" s="6" t="s">
        <v>40</v>
      </c>
      <c r="J866" s="5" t="s">
        <v>8585</v>
      </c>
      <c r="K866" s="5" t="s">
        <v>8632</v>
      </c>
      <c r="L866" s="6" t="s">
        <v>42</v>
      </c>
      <c r="M866" s="5" t="s">
        <v>8746</v>
      </c>
      <c r="N866" s="5" t="s">
        <v>64</v>
      </c>
      <c r="O866" s="5" t="s">
        <v>11189</v>
      </c>
      <c r="P866" s="6">
        <v>8203.0</v>
      </c>
    </row>
    <row r="867" ht="56.25" customHeight="1">
      <c r="A867" s="5" t="s">
        <v>11190</v>
      </c>
      <c r="B867" s="6" t="str">
        <f>IMAGE("https://storage.googleapis.com/acdb/tops/TopsTexTopTshirtsHNumberball6.png")</f>
        <v/>
      </c>
      <c r="C867" s="5" t="s">
        <v>34</v>
      </c>
      <c r="D867" s="8" t="s">
        <v>36</v>
      </c>
      <c r="E867" s="6">
        <v>560.0</v>
      </c>
      <c r="F867" s="6">
        <v>140.0</v>
      </c>
      <c r="G867" s="5" t="s">
        <v>96</v>
      </c>
      <c r="H867" s="5" t="s">
        <v>57</v>
      </c>
      <c r="I867" s="6" t="s">
        <v>40</v>
      </c>
      <c r="J867" s="5" t="s">
        <v>8578</v>
      </c>
      <c r="K867" s="5"/>
      <c r="L867" s="6" t="s">
        <v>42</v>
      </c>
      <c r="M867" s="5" t="s">
        <v>8746</v>
      </c>
      <c r="N867" s="5" t="s">
        <v>64</v>
      </c>
      <c r="O867" s="5" t="s">
        <v>11193</v>
      </c>
      <c r="P867" s="6">
        <v>3323.0</v>
      </c>
    </row>
    <row r="868" ht="56.25" customHeight="1">
      <c r="A868" s="5" t="s">
        <v>11194</v>
      </c>
      <c r="B868" s="6" t="str">
        <f>IMAGE("https://storage.googleapis.com/acdb/tops/TopsTexTopYshirtsLSki1.png")</f>
        <v/>
      </c>
      <c r="C868" s="5" t="s">
        <v>83</v>
      </c>
      <c r="D868" s="8" t="s">
        <v>36</v>
      </c>
      <c r="E868" s="6">
        <v>1680.0</v>
      </c>
      <c r="F868" s="6">
        <v>420.0</v>
      </c>
      <c r="G868" s="5" t="s">
        <v>83</v>
      </c>
      <c r="H868" s="5" t="s">
        <v>142</v>
      </c>
      <c r="I868" s="6" t="s">
        <v>40</v>
      </c>
      <c r="J868" s="5" t="s">
        <v>8585</v>
      </c>
      <c r="K868" s="5" t="s">
        <v>8586</v>
      </c>
      <c r="L868" s="6" t="s">
        <v>42</v>
      </c>
      <c r="M868" s="5" t="s">
        <v>8746</v>
      </c>
      <c r="N868" s="5" t="s">
        <v>64</v>
      </c>
      <c r="O868" s="5" t="s">
        <v>11197</v>
      </c>
      <c r="P868" s="6">
        <v>7600.0</v>
      </c>
    </row>
    <row r="869" ht="56.25" customHeight="1">
      <c r="A869" s="5" t="s">
        <v>11194</v>
      </c>
      <c r="B869" s="6" t="str">
        <f>IMAGE("https://storage.googleapis.com/acdb/tops/TopsTexTopYshirtsLSki2.png")</f>
        <v/>
      </c>
      <c r="C869" s="5" t="s">
        <v>106</v>
      </c>
      <c r="D869" s="8" t="s">
        <v>36</v>
      </c>
      <c r="E869" s="6">
        <v>1680.0</v>
      </c>
      <c r="F869" s="6">
        <v>420.0</v>
      </c>
      <c r="G869" s="5" t="s">
        <v>106</v>
      </c>
      <c r="H869" s="5" t="s">
        <v>69</v>
      </c>
      <c r="I869" s="6" t="s">
        <v>40</v>
      </c>
      <c r="J869" s="5" t="s">
        <v>8585</v>
      </c>
      <c r="K869" s="5" t="s">
        <v>8586</v>
      </c>
      <c r="L869" s="6" t="s">
        <v>42</v>
      </c>
      <c r="M869" s="5" t="s">
        <v>8746</v>
      </c>
      <c r="N869" s="5" t="s">
        <v>64</v>
      </c>
      <c r="O869" s="5" t="s">
        <v>11200</v>
      </c>
      <c r="P869" s="6">
        <v>7601.0</v>
      </c>
    </row>
    <row r="870" ht="56.25" customHeight="1">
      <c r="A870" s="5" t="s">
        <v>11194</v>
      </c>
      <c r="B870" s="6" t="str">
        <f>IMAGE("https://storage.googleapis.com/acdb/tops/TopsTexTopYshirtsLSki3.png")</f>
        <v/>
      </c>
      <c r="C870" s="5" t="s">
        <v>96</v>
      </c>
      <c r="D870" s="8" t="s">
        <v>36</v>
      </c>
      <c r="E870" s="6">
        <v>1680.0</v>
      </c>
      <c r="F870" s="6">
        <v>420.0</v>
      </c>
      <c r="G870" s="5" t="s">
        <v>96</v>
      </c>
      <c r="H870" s="5" t="s">
        <v>68</v>
      </c>
      <c r="I870" s="6" t="s">
        <v>40</v>
      </c>
      <c r="J870" s="5" t="s">
        <v>8585</v>
      </c>
      <c r="K870" s="5" t="s">
        <v>8586</v>
      </c>
      <c r="L870" s="6" t="s">
        <v>42</v>
      </c>
      <c r="M870" s="5" t="s">
        <v>8746</v>
      </c>
      <c r="N870" s="5" t="s">
        <v>64</v>
      </c>
      <c r="O870" s="5" t="s">
        <v>11201</v>
      </c>
      <c r="P870" s="6">
        <v>7602.0</v>
      </c>
    </row>
    <row r="871" ht="56.25" customHeight="1">
      <c r="A871" s="5" t="s">
        <v>11194</v>
      </c>
      <c r="B871" s="6" t="str">
        <f>IMAGE("https://storage.googleapis.com/acdb/tops/TopsTexTopYshirtsLSki4.png")</f>
        <v/>
      </c>
      <c r="C871" s="5" t="s">
        <v>52</v>
      </c>
      <c r="D871" s="8" t="s">
        <v>36</v>
      </c>
      <c r="E871" s="6">
        <v>1680.0</v>
      </c>
      <c r="F871" s="6">
        <v>420.0</v>
      </c>
      <c r="G871" s="5" t="s">
        <v>52</v>
      </c>
      <c r="H871" s="5" t="s">
        <v>83</v>
      </c>
      <c r="I871" s="6" t="s">
        <v>40</v>
      </c>
      <c r="J871" s="5" t="s">
        <v>8585</v>
      </c>
      <c r="K871" s="5" t="s">
        <v>8586</v>
      </c>
      <c r="L871" s="6" t="s">
        <v>42</v>
      </c>
      <c r="M871" s="5" t="s">
        <v>8746</v>
      </c>
      <c r="N871" s="5" t="s">
        <v>64</v>
      </c>
      <c r="O871" s="5" t="s">
        <v>11204</v>
      </c>
      <c r="P871" s="6">
        <v>7603.0</v>
      </c>
    </row>
    <row r="872" ht="56.25" customHeight="1">
      <c r="A872" s="5" t="s">
        <v>11194</v>
      </c>
      <c r="B872" s="6" t="str">
        <f>IMAGE("https://storage.googleapis.com/acdb/tops/TopsTexTopYshirtsLSki5.png")</f>
        <v/>
      </c>
      <c r="C872" s="5" t="s">
        <v>10410</v>
      </c>
      <c r="D872" s="8" t="s">
        <v>36</v>
      </c>
      <c r="E872" s="6">
        <v>1680.0</v>
      </c>
      <c r="F872" s="6">
        <v>420.0</v>
      </c>
      <c r="G872" s="5" t="s">
        <v>69</v>
      </c>
      <c r="H872" s="5" t="s">
        <v>114</v>
      </c>
      <c r="I872" s="6" t="s">
        <v>40</v>
      </c>
      <c r="J872" s="5" t="s">
        <v>8585</v>
      </c>
      <c r="K872" s="5" t="s">
        <v>8586</v>
      </c>
      <c r="L872" s="6" t="s">
        <v>42</v>
      </c>
      <c r="M872" s="5" t="s">
        <v>8746</v>
      </c>
      <c r="N872" s="5" t="s">
        <v>64</v>
      </c>
      <c r="O872" s="5" t="s">
        <v>11206</v>
      </c>
      <c r="P872" s="6">
        <v>7604.0</v>
      </c>
    </row>
    <row r="873" ht="56.25" customHeight="1">
      <c r="A873" s="5" t="s">
        <v>11194</v>
      </c>
      <c r="B873" s="6" t="str">
        <f>IMAGE("https://storage.googleapis.com/acdb/tops/TopsTexTopYshirtsLSki0.png")</f>
        <v/>
      </c>
      <c r="C873" s="5" t="s">
        <v>68</v>
      </c>
      <c r="D873" s="8" t="s">
        <v>36</v>
      </c>
      <c r="E873" s="6">
        <v>1680.0</v>
      </c>
      <c r="F873" s="6">
        <v>420.0</v>
      </c>
      <c r="G873" s="5" t="s">
        <v>68</v>
      </c>
      <c r="H873" s="5" t="s">
        <v>96</v>
      </c>
      <c r="I873" s="6" t="s">
        <v>40</v>
      </c>
      <c r="J873" s="5" t="s">
        <v>8585</v>
      </c>
      <c r="K873" s="5" t="s">
        <v>8586</v>
      </c>
      <c r="L873" s="6" t="s">
        <v>42</v>
      </c>
      <c r="M873" s="5" t="s">
        <v>8746</v>
      </c>
      <c r="N873" s="5" t="s">
        <v>64</v>
      </c>
      <c r="O873" s="5" t="s">
        <v>11209</v>
      </c>
      <c r="P873" s="6">
        <v>4448.0</v>
      </c>
    </row>
    <row r="874" ht="56.25" customHeight="1">
      <c r="A874" s="5" t="s">
        <v>11211</v>
      </c>
      <c r="B874" s="6" t="str">
        <f>IMAGE("https://storage.googleapis.com/acdb/tops/TopsTexTopTshirtsHSkull0.png")</f>
        <v/>
      </c>
      <c r="C874" s="5" t="s">
        <v>54</v>
      </c>
      <c r="D874" s="8" t="s">
        <v>36</v>
      </c>
      <c r="E874" s="6">
        <v>960.0</v>
      </c>
      <c r="F874" s="6">
        <v>240.0</v>
      </c>
      <c r="G874" s="5" t="s">
        <v>54</v>
      </c>
      <c r="H874" s="5" t="s">
        <v>38</v>
      </c>
      <c r="I874" s="6" t="s">
        <v>40</v>
      </c>
      <c r="J874" s="5" t="s">
        <v>8585</v>
      </c>
      <c r="K874" s="5" t="s">
        <v>8632</v>
      </c>
      <c r="L874" s="6" t="s">
        <v>42</v>
      </c>
      <c r="M874" s="5" t="s">
        <v>1952</v>
      </c>
      <c r="N874" s="5" t="s">
        <v>64</v>
      </c>
      <c r="O874" s="5" t="s">
        <v>11214</v>
      </c>
      <c r="P874" s="6">
        <v>8208.0</v>
      </c>
    </row>
    <row r="875" ht="56.25" customHeight="1">
      <c r="A875" s="5" t="s">
        <v>11211</v>
      </c>
      <c r="B875" s="6" t="str">
        <f>IMAGE("https://storage.googleapis.com/acdb/tops/TopsTexTopTshirtsHSkull1.png")</f>
        <v/>
      </c>
      <c r="C875" s="5" t="s">
        <v>38</v>
      </c>
      <c r="D875" s="8" t="s">
        <v>36</v>
      </c>
      <c r="E875" s="6">
        <v>960.0</v>
      </c>
      <c r="F875" s="6">
        <v>240.0</v>
      </c>
      <c r="G875" s="5" t="s">
        <v>38</v>
      </c>
      <c r="H875" s="5" t="s">
        <v>96</v>
      </c>
      <c r="I875" s="6" t="s">
        <v>40</v>
      </c>
      <c r="J875" s="5" t="s">
        <v>8585</v>
      </c>
      <c r="K875" s="5" t="s">
        <v>8632</v>
      </c>
      <c r="L875" s="6" t="s">
        <v>42</v>
      </c>
      <c r="M875" s="5" t="s">
        <v>1952</v>
      </c>
      <c r="N875" s="5" t="s">
        <v>64</v>
      </c>
      <c r="O875" s="5" t="s">
        <v>11217</v>
      </c>
      <c r="P875" s="6">
        <v>12199.0</v>
      </c>
    </row>
    <row r="876" ht="56.25" customHeight="1">
      <c r="A876" s="5" t="s">
        <v>11211</v>
      </c>
      <c r="B876" s="6" t="str">
        <f>IMAGE("https://storage.googleapis.com/acdb/tops/TopsTexTopTshirtsHSkull2.png")</f>
        <v/>
      </c>
      <c r="C876" s="5" t="s">
        <v>106</v>
      </c>
      <c r="D876" s="8" t="s">
        <v>36</v>
      </c>
      <c r="E876" s="6">
        <v>960.0</v>
      </c>
      <c r="F876" s="6">
        <v>240.0</v>
      </c>
      <c r="G876" s="5" t="s">
        <v>106</v>
      </c>
      <c r="H876" s="5" t="s">
        <v>38</v>
      </c>
      <c r="I876" s="6" t="s">
        <v>40</v>
      </c>
      <c r="J876" s="5" t="s">
        <v>8585</v>
      </c>
      <c r="K876" s="5" t="s">
        <v>8632</v>
      </c>
      <c r="L876" s="6" t="s">
        <v>42</v>
      </c>
      <c r="M876" s="5" t="s">
        <v>1952</v>
      </c>
      <c r="N876" s="5" t="s">
        <v>64</v>
      </c>
      <c r="O876" s="5" t="s">
        <v>11219</v>
      </c>
      <c r="P876" s="6">
        <v>12200.0</v>
      </c>
    </row>
    <row r="877" ht="56.25" customHeight="1">
      <c r="A877" s="5" t="s">
        <v>11221</v>
      </c>
      <c r="B877" s="6" t="str">
        <f>IMAGE("https://storage.googleapis.com/acdb/tops/TopsTexTopCoatLHandcover1.png")</f>
        <v/>
      </c>
      <c r="C877" s="5" t="s">
        <v>68</v>
      </c>
      <c r="D877" s="8" t="s">
        <v>36</v>
      </c>
      <c r="E877" s="6">
        <v>960.0</v>
      </c>
      <c r="F877" s="6">
        <v>240.0</v>
      </c>
      <c r="G877" s="5" t="s">
        <v>83</v>
      </c>
      <c r="H877" s="5" t="s">
        <v>39</v>
      </c>
      <c r="I877" s="6" t="s">
        <v>40</v>
      </c>
      <c r="J877" s="5" t="s">
        <v>8585</v>
      </c>
      <c r="K877" s="5" t="s">
        <v>8632</v>
      </c>
      <c r="L877" s="6" t="s">
        <v>42</v>
      </c>
      <c r="M877" s="5" t="s">
        <v>8746</v>
      </c>
      <c r="N877" s="5" t="s">
        <v>64</v>
      </c>
      <c r="O877" s="5" t="s">
        <v>11223</v>
      </c>
      <c r="P877" s="6">
        <v>9606.0</v>
      </c>
    </row>
    <row r="878" ht="56.25" customHeight="1">
      <c r="A878" s="5" t="s">
        <v>11221</v>
      </c>
      <c r="B878" s="6" t="str">
        <f>IMAGE("https://storage.googleapis.com/acdb/tops/TopsTexTopCoatLHandcover2.png")</f>
        <v/>
      </c>
      <c r="C878" s="5" t="s">
        <v>142</v>
      </c>
      <c r="D878" s="8" t="s">
        <v>36</v>
      </c>
      <c r="E878" s="6">
        <v>960.0</v>
      </c>
      <c r="F878" s="6">
        <v>240.0</v>
      </c>
      <c r="G878" s="5" t="s">
        <v>142</v>
      </c>
      <c r="H878" s="5" t="s">
        <v>96</v>
      </c>
      <c r="I878" s="6" t="s">
        <v>40</v>
      </c>
      <c r="J878" s="5" t="s">
        <v>8585</v>
      </c>
      <c r="K878" s="5" t="s">
        <v>8632</v>
      </c>
      <c r="L878" s="6" t="s">
        <v>42</v>
      </c>
      <c r="M878" s="5" t="s">
        <v>8746</v>
      </c>
      <c r="N878" s="5" t="s">
        <v>64</v>
      </c>
      <c r="O878" s="5" t="s">
        <v>11228</v>
      </c>
      <c r="P878" s="6">
        <v>9607.0</v>
      </c>
    </row>
    <row r="879" ht="56.25" customHeight="1">
      <c r="A879" s="5" t="s">
        <v>11221</v>
      </c>
      <c r="B879" s="6" t="str">
        <f>IMAGE("https://storage.googleapis.com/acdb/tops/TopsTexTopCoatLHandcover3.png")</f>
        <v/>
      </c>
      <c r="C879" s="5" t="s">
        <v>96</v>
      </c>
      <c r="D879" s="8" t="s">
        <v>36</v>
      </c>
      <c r="E879" s="6">
        <v>960.0</v>
      </c>
      <c r="F879" s="6">
        <v>240.0</v>
      </c>
      <c r="G879" s="5" t="s">
        <v>96</v>
      </c>
      <c r="H879" s="5" t="s">
        <v>68</v>
      </c>
      <c r="I879" s="6" t="s">
        <v>40</v>
      </c>
      <c r="J879" s="5" t="s">
        <v>8585</v>
      </c>
      <c r="K879" s="5" t="s">
        <v>8632</v>
      </c>
      <c r="L879" s="6" t="s">
        <v>42</v>
      </c>
      <c r="M879" s="5" t="s">
        <v>8746</v>
      </c>
      <c r="N879" s="5" t="s">
        <v>64</v>
      </c>
      <c r="O879" s="5" t="s">
        <v>11231</v>
      </c>
      <c r="P879" s="6">
        <v>9608.0</v>
      </c>
    </row>
    <row r="880" ht="56.25" customHeight="1">
      <c r="A880" s="5" t="s">
        <v>11221</v>
      </c>
      <c r="B880" s="6" t="str">
        <f>IMAGE("https://storage.googleapis.com/acdb/tops/TopsTexTopCoatLHandcover4.png")</f>
        <v/>
      </c>
      <c r="C880" s="5" t="s">
        <v>106</v>
      </c>
      <c r="D880" s="8" t="s">
        <v>36</v>
      </c>
      <c r="E880" s="6">
        <v>960.0</v>
      </c>
      <c r="F880" s="6">
        <v>240.0</v>
      </c>
      <c r="G880" s="5" t="s">
        <v>106</v>
      </c>
      <c r="H880" s="5" t="s">
        <v>54</v>
      </c>
      <c r="I880" s="6" t="s">
        <v>40</v>
      </c>
      <c r="J880" s="5" t="s">
        <v>8585</v>
      </c>
      <c r="K880" s="5" t="s">
        <v>8632</v>
      </c>
      <c r="L880" s="6" t="s">
        <v>42</v>
      </c>
      <c r="M880" s="5" t="s">
        <v>8746</v>
      </c>
      <c r="N880" s="5" t="s">
        <v>64</v>
      </c>
      <c r="O880" s="5" t="s">
        <v>11235</v>
      </c>
      <c r="P880" s="6">
        <v>9609.0</v>
      </c>
    </row>
    <row r="881" ht="56.25" customHeight="1">
      <c r="A881" s="5" t="s">
        <v>11221</v>
      </c>
      <c r="B881" s="6" t="str">
        <f>IMAGE("https://storage.googleapis.com/acdb/tops/TopsTexTopCoatLHandcover0.png")</f>
        <v/>
      </c>
      <c r="C881" s="5" t="s">
        <v>69</v>
      </c>
      <c r="D881" s="8" t="s">
        <v>36</v>
      </c>
      <c r="E881" s="6">
        <v>960.0</v>
      </c>
      <c r="F881" s="6">
        <v>240.0</v>
      </c>
      <c r="G881" s="5" t="s">
        <v>69</v>
      </c>
      <c r="H881" s="5" t="s">
        <v>52</v>
      </c>
      <c r="I881" s="6" t="s">
        <v>40</v>
      </c>
      <c r="J881" s="5" t="s">
        <v>8585</v>
      </c>
      <c r="K881" s="5" t="s">
        <v>8632</v>
      </c>
      <c r="L881" s="6" t="s">
        <v>42</v>
      </c>
      <c r="M881" s="5" t="s">
        <v>8746</v>
      </c>
      <c r="N881" s="5" t="s">
        <v>64</v>
      </c>
      <c r="O881" s="5" t="s">
        <v>11238</v>
      </c>
      <c r="P881" s="6">
        <v>5132.0</v>
      </c>
    </row>
    <row r="882" ht="56.25" customHeight="1">
      <c r="A882" s="5" t="s">
        <v>11240</v>
      </c>
      <c r="B882" s="6" t="str">
        <f>IMAGE("https://storage.googleapis.com/acdb/tops/TopsTexTopYshirtsNStandard0.png")</f>
        <v/>
      </c>
      <c r="C882" s="5" t="s">
        <v>57</v>
      </c>
      <c r="D882" s="8" t="s">
        <v>36</v>
      </c>
      <c r="E882" s="6">
        <v>960.0</v>
      </c>
      <c r="F882" s="6">
        <v>240.0</v>
      </c>
      <c r="G882" s="5" t="s">
        <v>57</v>
      </c>
      <c r="H882" s="5" t="s">
        <v>57</v>
      </c>
      <c r="I882" s="6" t="s">
        <v>40</v>
      </c>
      <c r="J882" s="5" t="s">
        <v>8585</v>
      </c>
      <c r="K882" s="5" t="s">
        <v>8632</v>
      </c>
      <c r="L882" s="6" t="s">
        <v>42</v>
      </c>
      <c r="M882" s="5" t="s">
        <v>995</v>
      </c>
      <c r="N882" s="5" t="s">
        <v>64</v>
      </c>
      <c r="O882" s="5" t="s">
        <v>11243</v>
      </c>
      <c r="P882" s="6">
        <v>3145.0</v>
      </c>
    </row>
    <row r="883" ht="56.25" customHeight="1">
      <c r="A883" s="5" t="s">
        <v>11240</v>
      </c>
      <c r="B883" s="6" t="str">
        <f>IMAGE("https://storage.googleapis.com/acdb/tops/TopsTexTopYshirtsNStandard1.png")</f>
        <v/>
      </c>
      <c r="C883" s="5" t="s">
        <v>69</v>
      </c>
      <c r="D883" s="8" t="s">
        <v>36</v>
      </c>
      <c r="E883" s="6">
        <v>960.0</v>
      </c>
      <c r="F883" s="6">
        <v>240.0</v>
      </c>
      <c r="G883" s="5" t="s">
        <v>69</v>
      </c>
      <c r="H883" s="5" t="s">
        <v>69</v>
      </c>
      <c r="I883" s="6" t="s">
        <v>40</v>
      </c>
      <c r="J883" s="5" t="s">
        <v>8585</v>
      </c>
      <c r="K883" s="5" t="s">
        <v>8632</v>
      </c>
      <c r="L883" s="6" t="s">
        <v>42</v>
      </c>
      <c r="M883" s="5" t="s">
        <v>995</v>
      </c>
      <c r="N883" s="5" t="s">
        <v>64</v>
      </c>
      <c r="O883" s="5" t="s">
        <v>11245</v>
      </c>
      <c r="P883" s="6">
        <v>8345.0</v>
      </c>
    </row>
    <row r="884" ht="56.25" customHeight="1">
      <c r="A884" s="5" t="s">
        <v>11240</v>
      </c>
      <c r="B884" s="6" t="str">
        <f>IMAGE("https://storage.googleapis.com/acdb/tops/TopsTexTopYshirtsNStandard2.png")</f>
        <v/>
      </c>
      <c r="C884" s="5" t="s">
        <v>96</v>
      </c>
      <c r="D884" s="8" t="s">
        <v>36</v>
      </c>
      <c r="E884" s="6">
        <v>960.0</v>
      </c>
      <c r="F884" s="6">
        <v>240.0</v>
      </c>
      <c r="G884" s="5" t="s">
        <v>96</v>
      </c>
      <c r="H884" s="5" t="s">
        <v>96</v>
      </c>
      <c r="I884" s="6" t="s">
        <v>40</v>
      </c>
      <c r="J884" s="5" t="s">
        <v>8585</v>
      </c>
      <c r="K884" s="5" t="s">
        <v>8632</v>
      </c>
      <c r="L884" s="6" t="s">
        <v>42</v>
      </c>
      <c r="M884" s="5" t="s">
        <v>995</v>
      </c>
      <c r="N884" s="5" t="s">
        <v>64</v>
      </c>
      <c r="O884" s="5" t="s">
        <v>11248</v>
      </c>
      <c r="P884" s="6">
        <v>8346.0</v>
      </c>
    </row>
    <row r="885" ht="56.25" customHeight="1">
      <c r="A885" s="5" t="s">
        <v>11240</v>
      </c>
      <c r="B885" s="6" t="str">
        <f>IMAGE("https://storage.googleapis.com/acdb/tops/TopsTexTopYshirtsNStandard3.png")</f>
        <v/>
      </c>
      <c r="C885" s="5" t="s">
        <v>142</v>
      </c>
      <c r="D885" s="8" t="s">
        <v>36</v>
      </c>
      <c r="E885" s="6">
        <v>960.0</v>
      </c>
      <c r="F885" s="6">
        <v>240.0</v>
      </c>
      <c r="G885" s="5" t="s">
        <v>142</v>
      </c>
      <c r="H885" s="5" t="s">
        <v>142</v>
      </c>
      <c r="I885" s="6" t="s">
        <v>40</v>
      </c>
      <c r="J885" s="5" t="s">
        <v>8585</v>
      </c>
      <c r="K885" s="5" t="s">
        <v>8632</v>
      </c>
      <c r="L885" s="6" t="s">
        <v>42</v>
      </c>
      <c r="M885" s="5" t="s">
        <v>995</v>
      </c>
      <c r="N885" s="5" t="s">
        <v>64</v>
      </c>
      <c r="O885" s="5" t="s">
        <v>11252</v>
      </c>
      <c r="P885" s="6">
        <v>8347.0</v>
      </c>
    </row>
    <row r="886" ht="56.25" customHeight="1">
      <c r="A886" s="5" t="s">
        <v>11240</v>
      </c>
      <c r="B886" s="6" t="str">
        <f>IMAGE("https://storage.googleapis.com/acdb/tops/TopsTexTopYshirtsNStandard4.png")</f>
        <v/>
      </c>
      <c r="C886" s="5" t="s">
        <v>68</v>
      </c>
      <c r="D886" s="8" t="s">
        <v>36</v>
      </c>
      <c r="E886" s="6">
        <v>960.0</v>
      </c>
      <c r="F886" s="6">
        <v>240.0</v>
      </c>
      <c r="G886" s="5" t="s">
        <v>83</v>
      </c>
      <c r="H886" s="5" t="s">
        <v>83</v>
      </c>
      <c r="I886" s="6" t="s">
        <v>40</v>
      </c>
      <c r="J886" s="5" t="s">
        <v>8585</v>
      </c>
      <c r="K886" s="5" t="s">
        <v>8632</v>
      </c>
      <c r="L886" s="6" t="s">
        <v>42</v>
      </c>
      <c r="M886" s="5" t="s">
        <v>995</v>
      </c>
      <c r="N886" s="5" t="s">
        <v>64</v>
      </c>
      <c r="O886" s="5" t="s">
        <v>11256</v>
      </c>
      <c r="P886" s="6">
        <v>8348.0</v>
      </c>
    </row>
    <row r="887" ht="56.25" customHeight="1">
      <c r="A887" s="5" t="s">
        <v>11257</v>
      </c>
      <c r="B887" s="6" t="str">
        <f>IMAGE("https://storage.googleapis.com/acdb/tops/TopsTexTopOuterNNosleeve0.png")</f>
        <v/>
      </c>
      <c r="C887" s="5" t="s">
        <v>96</v>
      </c>
      <c r="D887" s="8" t="s">
        <v>36</v>
      </c>
      <c r="E887" s="6">
        <v>1200.0</v>
      </c>
      <c r="F887" s="6">
        <v>300.0</v>
      </c>
      <c r="G887" s="5" t="s">
        <v>96</v>
      </c>
      <c r="H887" s="5" t="s">
        <v>54</v>
      </c>
      <c r="I887" s="6" t="s">
        <v>40</v>
      </c>
      <c r="J887" s="5" t="s">
        <v>8585</v>
      </c>
      <c r="K887" s="5" t="s">
        <v>8632</v>
      </c>
      <c r="L887" s="6" t="s">
        <v>42</v>
      </c>
      <c r="M887" s="5" t="s">
        <v>8746</v>
      </c>
      <c r="N887" s="5" t="s">
        <v>64</v>
      </c>
      <c r="O887" s="5" t="s">
        <v>11259</v>
      </c>
      <c r="P887" s="6">
        <v>5774.0</v>
      </c>
    </row>
    <row r="888" ht="56.25" customHeight="1">
      <c r="A888" s="5" t="s">
        <v>11257</v>
      </c>
      <c r="B888" s="6" t="str">
        <f>IMAGE("https://storage.googleapis.com/acdb/tops/TopsTexTopOuterNNosleeve1.png")</f>
        <v/>
      </c>
      <c r="C888" s="5" t="s">
        <v>54</v>
      </c>
      <c r="D888" s="8" t="s">
        <v>36</v>
      </c>
      <c r="E888" s="6">
        <v>1200.0</v>
      </c>
      <c r="F888" s="6">
        <v>300.0</v>
      </c>
      <c r="G888" s="5" t="s">
        <v>54</v>
      </c>
      <c r="H888" s="5" t="s">
        <v>54</v>
      </c>
      <c r="I888" s="6" t="s">
        <v>40</v>
      </c>
      <c r="J888" s="5" t="s">
        <v>8585</v>
      </c>
      <c r="K888" s="5" t="s">
        <v>8632</v>
      </c>
      <c r="L888" s="6" t="s">
        <v>42</v>
      </c>
      <c r="M888" s="5" t="s">
        <v>8746</v>
      </c>
      <c r="N888" s="5" t="s">
        <v>64</v>
      </c>
      <c r="O888" s="5" t="s">
        <v>11262</v>
      </c>
      <c r="P888" s="6">
        <v>7994.0</v>
      </c>
    </row>
    <row r="889" ht="56.25" customHeight="1">
      <c r="A889" s="5" t="s">
        <v>11257</v>
      </c>
      <c r="B889" s="6" t="str">
        <f>IMAGE("https://storage.googleapis.com/acdb/tops/TopsTexTopOuterNNosleeve2.png")</f>
        <v/>
      </c>
      <c r="C889" s="5" t="s">
        <v>69</v>
      </c>
      <c r="D889" s="8" t="s">
        <v>36</v>
      </c>
      <c r="E889" s="6">
        <v>1200.0</v>
      </c>
      <c r="F889" s="6">
        <v>300.0</v>
      </c>
      <c r="G889" s="5" t="s">
        <v>69</v>
      </c>
      <c r="H889" s="5" t="s">
        <v>54</v>
      </c>
      <c r="I889" s="6" t="s">
        <v>40</v>
      </c>
      <c r="J889" s="5" t="s">
        <v>8585</v>
      </c>
      <c r="K889" s="5" t="s">
        <v>8632</v>
      </c>
      <c r="L889" s="6" t="s">
        <v>42</v>
      </c>
      <c r="M889" s="5" t="s">
        <v>8746</v>
      </c>
      <c r="N889" s="5" t="s">
        <v>64</v>
      </c>
      <c r="O889" s="5" t="s">
        <v>11265</v>
      </c>
      <c r="P889" s="6">
        <v>7995.0</v>
      </c>
    </row>
    <row r="890" ht="56.25" customHeight="1">
      <c r="A890" s="5" t="s">
        <v>11257</v>
      </c>
      <c r="B890" s="6" t="str">
        <f>IMAGE("https://storage.googleapis.com/acdb/tops/TopsTexTopOuterNNosleeve3.png")</f>
        <v/>
      </c>
      <c r="C890" s="5" t="s">
        <v>106</v>
      </c>
      <c r="D890" s="8" t="s">
        <v>36</v>
      </c>
      <c r="E890" s="6">
        <v>1200.0</v>
      </c>
      <c r="F890" s="6">
        <v>300.0</v>
      </c>
      <c r="G890" s="5" t="s">
        <v>106</v>
      </c>
      <c r="H890" s="5" t="s">
        <v>54</v>
      </c>
      <c r="I890" s="6" t="s">
        <v>40</v>
      </c>
      <c r="J890" s="5" t="s">
        <v>8585</v>
      </c>
      <c r="K890" s="5" t="s">
        <v>8632</v>
      </c>
      <c r="L890" s="6" t="s">
        <v>42</v>
      </c>
      <c r="M890" s="5" t="s">
        <v>8746</v>
      </c>
      <c r="N890" s="5" t="s">
        <v>64</v>
      </c>
      <c r="O890" s="5" t="s">
        <v>11269</v>
      </c>
      <c r="P890" s="6">
        <v>7996.0</v>
      </c>
    </row>
    <row r="891" ht="56.25" customHeight="1">
      <c r="A891" s="5" t="s">
        <v>11257</v>
      </c>
      <c r="B891" s="6" t="str">
        <f>IMAGE("https://storage.googleapis.com/acdb/tops/TopsTexTopOuterNNosleeve4.png")</f>
        <v/>
      </c>
      <c r="C891" s="5" t="s">
        <v>142</v>
      </c>
      <c r="D891" s="8" t="s">
        <v>36</v>
      </c>
      <c r="E891" s="6">
        <v>1200.0</v>
      </c>
      <c r="F891" s="6">
        <v>300.0</v>
      </c>
      <c r="G891" s="5" t="s">
        <v>142</v>
      </c>
      <c r="H891" s="5" t="s">
        <v>54</v>
      </c>
      <c r="I891" s="6" t="s">
        <v>40</v>
      </c>
      <c r="J891" s="5" t="s">
        <v>8585</v>
      </c>
      <c r="K891" s="5" t="s">
        <v>8632</v>
      </c>
      <c r="L891" s="6" t="s">
        <v>42</v>
      </c>
      <c r="M891" s="5" t="s">
        <v>8746</v>
      </c>
      <c r="N891" s="5" t="s">
        <v>64</v>
      </c>
      <c r="O891" s="5" t="s">
        <v>11272</v>
      </c>
      <c r="P891" s="6">
        <v>7997.0</v>
      </c>
    </row>
    <row r="892" ht="56.25" customHeight="1">
      <c r="A892" s="5" t="s">
        <v>11273</v>
      </c>
      <c r="B892" s="6" t="str">
        <f>IMAGE("https://storage.googleapis.com/acdb/tops/TopsTexTopCoatNShirt2.png")</f>
        <v/>
      </c>
      <c r="C892" s="5" t="s">
        <v>9021</v>
      </c>
      <c r="D892" s="8" t="s">
        <v>36</v>
      </c>
      <c r="E892" s="6">
        <v>960.0</v>
      </c>
      <c r="F892" s="6">
        <v>240.0</v>
      </c>
      <c r="G892" s="5" t="s">
        <v>96</v>
      </c>
      <c r="H892" s="5" t="s">
        <v>96</v>
      </c>
      <c r="I892" s="6" t="s">
        <v>40</v>
      </c>
      <c r="J892" s="5" t="s">
        <v>8585</v>
      </c>
      <c r="K892" s="5" t="s">
        <v>8632</v>
      </c>
      <c r="L892" s="6" t="s">
        <v>42</v>
      </c>
      <c r="M892" s="5" t="s">
        <v>995</v>
      </c>
      <c r="N892" s="5" t="s">
        <v>64</v>
      </c>
      <c r="O892" s="5" t="s">
        <v>11276</v>
      </c>
      <c r="P892" s="6">
        <v>8360.0</v>
      </c>
    </row>
    <row r="893" ht="56.25" customHeight="1">
      <c r="A893" s="5" t="s">
        <v>11273</v>
      </c>
      <c r="B893" s="6" t="str">
        <f>IMAGE("https://storage.googleapis.com/acdb/tops/TopsTexTopCoatNShirt3.png")</f>
        <v/>
      </c>
      <c r="C893" s="5" t="s">
        <v>69</v>
      </c>
      <c r="D893" s="8" t="s">
        <v>36</v>
      </c>
      <c r="E893" s="6">
        <v>960.0</v>
      </c>
      <c r="F893" s="6">
        <v>240.0</v>
      </c>
      <c r="G893" s="5" t="s">
        <v>38</v>
      </c>
      <c r="H893" s="5" t="s">
        <v>38</v>
      </c>
      <c r="I893" s="6" t="s">
        <v>40</v>
      </c>
      <c r="J893" s="5" t="s">
        <v>8585</v>
      </c>
      <c r="K893" s="5" t="s">
        <v>8632</v>
      </c>
      <c r="L893" s="6" t="s">
        <v>42</v>
      </c>
      <c r="M893" s="5" t="s">
        <v>995</v>
      </c>
      <c r="N893" s="5" t="s">
        <v>64</v>
      </c>
      <c r="O893" s="5" t="s">
        <v>11279</v>
      </c>
      <c r="P893" s="6">
        <v>8361.0</v>
      </c>
    </row>
    <row r="894" ht="56.25" customHeight="1">
      <c r="A894" s="5" t="s">
        <v>11273</v>
      </c>
      <c r="B894" s="6" t="str">
        <f>IMAGE("https://storage.googleapis.com/acdb/tops/TopsTexTopCoatNShirt4.png")</f>
        <v/>
      </c>
      <c r="C894" s="5" t="s">
        <v>57</v>
      </c>
      <c r="D894" s="8" t="s">
        <v>36</v>
      </c>
      <c r="E894" s="6">
        <v>960.0</v>
      </c>
      <c r="F894" s="6">
        <v>240.0</v>
      </c>
      <c r="G894" s="5" t="s">
        <v>57</v>
      </c>
      <c r="H894" s="5" t="s">
        <v>57</v>
      </c>
      <c r="I894" s="6" t="s">
        <v>40</v>
      </c>
      <c r="J894" s="5" t="s">
        <v>8585</v>
      </c>
      <c r="K894" s="5" t="s">
        <v>8632</v>
      </c>
      <c r="L894" s="6" t="s">
        <v>42</v>
      </c>
      <c r="M894" s="5" t="s">
        <v>995</v>
      </c>
      <c r="N894" s="5" t="s">
        <v>64</v>
      </c>
      <c r="O894" s="5" t="s">
        <v>11283</v>
      </c>
      <c r="P894" s="6">
        <v>8362.0</v>
      </c>
    </row>
    <row r="895" ht="56.25" customHeight="1">
      <c r="A895" s="5" t="s">
        <v>11273</v>
      </c>
      <c r="B895" s="6" t="str">
        <f>IMAGE("https://storage.googleapis.com/acdb/tops/TopsTexTopCoatNShirt5.png")</f>
        <v/>
      </c>
      <c r="C895" s="5" t="s">
        <v>114</v>
      </c>
      <c r="D895" s="8" t="s">
        <v>36</v>
      </c>
      <c r="E895" s="6">
        <v>960.0</v>
      </c>
      <c r="F895" s="6">
        <v>240.0</v>
      </c>
      <c r="G895" s="5" t="s">
        <v>114</v>
      </c>
      <c r="H895" s="5" t="s">
        <v>114</v>
      </c>
      <c r="I895" s="6" t="s">
        <v>40</v>
      </c>
      <c r="J895" s="5" t="s">
        <v>8585</v>
      </c>
      <c r="K895" s="5" t="s">
        <v>8632</v>
      </c>
      <c r="L895" s="6" t="s">
        <v>42</v>
      </c>
      <c r="M895" s="5" t="s">
        <v>995</v>
      </c>
      <c r="N895" s="5" t="s">
        <v>64</v>
      </c>
      <c r="O895" s="5" t="s">
        <v>11287</v>
      </c>
      <c r="P895" s="6">
        <v>8363.0</v>
      </c>
    </row>
    <row r="896" ht="56.25" customHeight="1">
      <c r="A896" s="5" t="s">
        <v>11273</v>
      </c>
      <c r="B896" s="6" t="str">
        <f>IMAGE("https://storage.googleapis.com/acdb/tops/TopsTexTopCoatNShirt1.png")</f>
        <v/>
      </c>
      <c r="C896" s="5" t="s">
        <v>68</v>
      </c>
      <c r="D896" s="8" t="s">
        <v>36</v>
      </c>
      <c r="E896" s="6">
        <v>960.0</v>
      </c>
      <c r="F896" s="6">
        <v>240.0</v>
      </c>
      <c r="G896" s="5" t="s">
        <v>68</v>
      </c>
      <c r="H896" s="5" t="s">
        <v>68</v>
      </c>
      <c r="I896" s="6" t="s">
        <v>40</v>
      </c>
      <c r="J896" s="5" t="s">
        <v>8585</v>
      </c>
      <c r="K896" s="5" t="s">
        <v>8632</v>
      </c>
      <c r="L896" s="6" t="s">
        <v>42</v>
      </c>
      <c r="M896" s="5" t="s">
        <v>995</v>
      </c>
      <c r="N896" s="5" t="s">
        <v>64</v>
      </c>
      <c r="O896" s="5" t="s">
        <v>11290</v>
      </c>
      <c r="P896" s="6">
        <v>8359.0</v>
      </c>
    </row>
    <row r="897" ht="56.25" customHeight="1">
      <c r="A897" s="5" t="s">
        <v>11273</v>
      </c>
      <c r="B897" s="6" t="str">
        <f>IMAGE("https://storage.googleapis.com/acdb/tops/TopsTexTopCoatNShirt0.png")</f>
        <v/>
      </c>
      <c r="C897" s="5" t="s">
        <v>106</v>
      </c>
      <c r="D897" s="8" t="s">
        <v>36</v>
      </c>
      <c r="E897" s="6">
        <v>960.0</v>
      </c>
      <c r="F897" s="6">
        <v>240.0</v>
      </c>
      <c r="G897" s="5" t="s">
        <v>106</v>
      </c>
      <c r="H897" s="5" t="s">
        <v>106</v>
      </c>
      <c r="I897" s="6" t="s">
        <v>40</v>
      </c>
      <c r="J897" s="5" t="s">
        <v>8585</v>
      </c>
      <c r="K897" s="5" t="s">
        <v>8632</v>
      </c>
      <c r="L897" s="6" t="s">
        <v>42</v>
      </c>
      <c r="M897" s="5" t="s">
        <v>995</v>
      </c>
      <c r="N897" s="5" t="s">
        <v>64</v>
      </c>
      <c r="O897" s="5" t="s">
        <v>11292</v>
      </c>
      <c r="P897" s="6">
        <v>4599.0</v>
      </c>
    </row>
    <row r="898" ht="56.25" customHeight="1">
      <c r="A898" s="5" t="s">
        <v>11293</v>
      </c>
      <c r="B898" s="6" t="str">
        <f>IMAGE("https://storage.googleapis.com/acdb/tops/TopsTexTopOuterLSnowcrystal0.png")</f>
        <v/>
      </c>
      <c r="C898" s="5" t="s">
        <v>68</v>
      </c>
      <c r="D898" s="8" t="s">
        <v>36</v>
      </c>
      <c r="E898" s="6">
        <v>960.0</v>
      </c>
      <c r="F898" s="6">
        <v>240.0</v>
      </c>
      <c r="G898" s="5" t="s">
        <v>68</v>
      </c>
      <c r="H898" s="5" t="s">
        <v>57</v>
      </c>
      <c r="I898" s="6" t="s">
        <v>40</v>
      </c>
      <c r="J898" s="5" t="s">
        <v>8585</v>
      </c>
      <c r="K898" s="5" t="s">
        <v>8632</v>
      </c>
      <c r="L898" s="6" t="s">
        <v>42</v>
      </c>
      <c r="M898" s="5" t="s">
        <v>995</v>
      </c>
      <c r="N898" s="5" t="s">
        <v>64</v>
      </c>
      <c r="O898" s="5" t="s">
        <v>11297</v>
      </c>
      <c r="P898" s="6">
        <v>5122.0</v>
      </c>
    </row>
    <row r="899" ht="56.25" customHeight="1">
      <c r="A899" s="5" t="s">
        <v>11293</v>
      </c>
      <c r="B899" s="6" t="str">
        <f>IMAGE("https://storage.googleapis.com/acdb/tops/TopsTexTopOuterLSnowcrystal1.png")</f>
        <v/>
      </c>
      <c r="C899" s="5" t="s">
        <v>83</v>
      </c>
      <c r="D899" s="8" t="s">
        <v>36</v>
      </c>
      <c r="E899" s="6">
        <v>960.0</v>
      </c>
      <c r="F899" s="6">
        <v>240.0</v>
      </c>
      <c r="G899" s="5" t="s">
        <v>83</v>
      </c>
      <c r="H899" s="5" t="s">
        <v>57</v>
      </c>
      <c r="I899" s="6" t="s">
        <v>40</v>
      </c>
      <c r="J899" s="5" t="s">
        <v>8585</v>
      </c>
      <c r="K899" s="5" t="s">
        <v>8632</v>
      </c>
      <c r="L899" s="6" t="s">
        <v>42</v>
      </c>
      <c r="M899" s="5" t="s">
        <v>995</v>
      </c>
      <c r="N899" s="5" t="s">
        <v>64</v>
      </c>
      <c r="O899" s="5" t="s">
        <v>11300</v>
      </c>
      <c r="P899" s="6">
        <v>7841.0</v>
      </c>
    </row>
    <row r="900" ht="56.25" customHeight="1">
      <c r="A900" s="5" t="s">
        <v>11302</v>
      </c>
      <c r="B900" s="6" t="str">
        <f>IMAGE("https://storage.googleapis.com/acdb/tops/TopsTexTopOuterLSnow1.png")</f>
        <v/>
      </c>
      <c r="C900" s="5" t="s">
        <v>68</v>
      </c>
      <c r="D900" s="8" t="s">
        <v>36</v>
      </c>
      <c r="E900" s="6">
        <v>1450.0</v>
      </c>
      <c r="F900" s="6">
        <v>362.0</v>
      </c>
      <c r="G900" s="5" t="s">
        <v>68</v>
      </c>
      <c r="H900" s="5" t="s">
        <v>57</v>
      </c>
      <c r="I900" s="6" t="s">
        <v>40</v>
      </c>
      <c r="J900" s="5" t="s">
        <v>8585</v>
      </c>
      <c r="K900" s="5" t="s">
        <v>8632</v>
      </c>
      <c r="L900" s="6" t="s">
        <v>42</v>
      </c>
      <c r="M900" s="5" t="s">
        <v>995</v>
      </c>
      <c r="N900" s="5" t="s">
        <v>64</v>
      </c>
      <c r="O900" s="5" t="s">
        <v>11304</v>
      </c>
      <c r="P900" s="6">
        <v>7738.0</v>
      </c>
    </row>
    <row r="901" ht="56.25" customHeight="1">
      <c r="A901" s="5" t="s">
        <v>11302</v>
      </c>
      <c r="B901" s="6" t="str">
        <f>IMAGE("https://storage.googleapis.com/acdb/tops/TopsTexTopOuterLSnow2.png")</f>
        <v/>
      </c>
      <c r="C901" s="5" t="s">
        <v>54</v>
      </c>
      <c r="D901" s="8" t="s">
        <v>36</v>
      </c>
      <c r="E901" s="6">
        <v>1450.0</v>
      </c>
      <c r="F901" s="6">
        <v>362.0</v>
      </c>
      <c r="G901" s="5" t="s">
        <v>54</v>
      </c>
      <c r="H901" s="5" t="s">
        <v>57</v>
      </c>
      <c r="I901" s="6" t="s">
        <v>40</v>
      </c>
      <c r="J901" s="5" t="s">
        <v>8585</v>
      </c>
      <c r="K901" s="5" t="s">
        <v>8632</v>
      </c>
      <c r="L901" s="6" t="s">
        <v>42</v>
      </c>
      <c r="M901" s="5" t="s">
        <v>995</v>
      </c>
      <c r="N901" s="5" t="s">
        <v>64</v>
      </c>
      <c r="O901" s="5" t="s">
        <v>11307</v>
      </c>
      <c r="P901" s="6">
        <v>7739.0</v>
      </c>
    </row>
    <row r="902" ht="56.25" customHeight="1">
      <c r="A902" s="5" t="s">
        <v>11302</v>
      </c>
      <c r="B902" s="6" t="str">
        <f>IMAGE("https://storage.googleapis.com/acdb/tops/TopsTexTopOuterLSnow0.png")</f>
        <v/>
      </c>
      <c r="C902" s="5" t="s">
        <v>95</v>
      </c>
      <c r="D902" s="8" t="s">
        <v>36</v>
      </c>
      <c r="E902" s="6">
        <v>1450.0</v>
      </c>
      <c r="F902" s="6">
        <v>362.0</v>
      </c>
      <c r="G902" s="5" t="s">
        <v>95</v>
      </c>
      <c r="H902" s="5" t="s">
        <v>57</v>
      </c>
      <c r="I902" s="6" t="s">
        <v>40</v>
      </c>
      <c r="J902" s="5" t="s">
        <v>8585</v>
      </c>
      <c r="K902" s="5" t="s">
        <v>8632</v>
      </c>
      <c r="L902" s="6" t="s">
        <v>42</v>
      </c>
      <c r="M902" s="5" t="s">
        <v>995</v>
      </c>
      <c r="N902" s="5" t="s">
        <v>64</v>
      </c>
      <c r="O902" s="5" t="s">
        <v>11310</v>
      </c>
      <c r="P902" s="6">
        <v>3631.0</v>
      </c>
    </row>
    <row r="903" ht="56.25" customHeight="1">
      <c r="A903" s="5" t="s">
        <v>11311</v>
      </c>
      <c r="B903" s="6" t="str">
        <f>IMAGE("https://storage.googleapis.com/acdb/tops/TopsTexTopTshirtsHSoccer1.png")</f>
        <v/>
      </c>
      <c r="C903" s="5" t="s">
        <v>54</v>
      </c>
      <c r="D903" s="8" t="s">
        <v>36</v>
      </c>
      <c r="E903" s="6">
        <v>1330.0</v>
      </c>
      <c r="F903" s="6">
        <v>332.0</v>
      </c>
      <c r="G903" s="5" t="s">
        <v>54</v>
      </c>
      <c r="H903" s="5" t="s">
        <v>52</v>
      </c>
      <c r="I903" s="6" t="s">
        <v>40</v>
      </c>
      <c r="J903" s="5" t="s">
        <v>8585</v>
      </c>
      <c r="K903" s="5" t="s">
        <v>8586</v>
      </c>
      <c r="L903" s="6" t="s">
        <v>42</v>
      </c>
      <c r="M903" s="5" t="s">
        <v>8746</v>
      </c>
      <c r="N903" s="5" t="s">
        <v>64</v>
      </c>
      <c r="O903" s="5" t="s">
        <v>11313</v>
      </c>
      <c r="P903" s="6">
        <v>9379.0</v>
      </c>
    </row>
    <row r="904" ht="56.25" customHeight="1">
      <c r="A904" s="5" t="s">
        <v>11311</v>
      </c>
      <c r="B904" s="6" t="str">
        <f>IMAGE("https://storage.googleapis.com/acdb/tops/TopsTexTopTshirtsHSoccer0.png")</f>
        <v/>
      </c>
      <c r="C904" s="5" t="s">
        <v>114</v>
      </c>
      <c r="D904" s="8" t="s">
        <v>36</v>
      </c>
      <c r="E904" s="6">
        <v>1330.0</v>
      </c>
      <c r="F904" s="6">
        <v>332.0</v>
      </c>
      <c r="G904" s="5" t="s">
        <v>114</v>
      </c>
      <c r="H904" s="5" t="s">
        <v>96</v>
      </c>
      <c r="I904" s="6" t="s">
        <v>40</v>
      </c>
      <c r="J904" s="5" t="s">
        <v>8585</v>
      </c>
      <c r="K904" s="5" t="s">
        <v>8586</v>
      </c>
      <c r="L904" s="6" t="s">
        <v>42</v>
      </c>
      <c r="M904" s="5" t="s">
        <v>8746</v>
      </c>
      <c r="N904" s="5" t="s">
        <v>64</v>
      </c>
      <c r="O904" s="5" t="s">
        <v>11316</v>
      </c>
      <c r="P904" s="6">
        <v>3249.0</v>
      </c>
    </row>
    <row r="905" ht="56.25" customHeight="1">
      <c r="A905" s="5" t="s">
        <v>11311</v>
      </c>
      <c r="B905" s="6" t="str">
        <f>IMAGE("https://storage.googleapis.com/acdb/tops/TopsTexTopTshirtsHSoccer2.png")</f>
        <v/>
      </c>
      <c r="C905" s="5" t="s">
        <v>52</v>
      </c>
      <c r="D905" s="8" t="s">
        <v>36</v>
      </c>
      <c r="E905" s="6">
        <v>1330.0</v>
      </c>
      <c r="F905" s="6">
        <v>332.0</v>
      </c>
      <c r="G905" s="5" t="s">
        <v>52</v>
      </c>
      <c r="H905" s="5" t="s">
        <v>68</v>
      </c>
      <c r="I905" s="6" t="s">
        <v>40</v>
      </c>
      <c r="J905" s="5" t="s">
        <v>8585</v>
      </c>
      <c r="K905" s="5" t="s">
        <v>8586</v>
      </c>
      <c r="L905" s="6" t="s">
        <v>42</v>
      </c>
      <c r="M905" s="5" t="s">
        <v>8746</v>
      </c>
      <c r="N905" s="5" t="s">
        <v>64</v>
      </c>
      <c r="O905" s="5" t="s">
        <v>11318</v>
      </c>
      <c r="P905" s="6">
        <v>9380.0</v>
      </c>
    </row>
    <row r="906" ht="56.25" customHeight="1">
      <c r="A906" s="5" t="s">
        <v>11311</v>
      </c>
      <c r="B906" s="6" t="str">
        <f>IMAGE("https://storage.googleapis.com/acdb/tops/TopsTexTopTshirtsHSoccer3.png")</f>
        <v/>
      </c>
      <c r="C906" s="5" t="s">
        <v>68</v>
      </c>
      <c r="D906" s="8" t="s">
        <v>36</v>
      </c>
      <c r="E906" s="6">
        <v>1330.0</v>
      </c>
      <c r="F906" s="6">
        <v>332.0</v>
      </c>
      <c r="G906" s="5" t="s">
        <v>68</v>
      </c>
      <c r="H906" s="5" t="s">
        <v>68</v>
      </c>
      <c r="I906" s="6" t="s">
        <v>40</v>
      </c>
      <c r="J906" s="5" t="s">
        <v>8585</v>
      </c>
      <c r="K906" s="5" t="s">
        <v>8586</v>
      </c>
      <c r="L906" s="6" t="s">
        <v>42</v>
      </c>
      <c r="M906" s="5" t="s">
        <v>8746</v>
      </c>
      <c r="N906" s="5" t="s">
        <v>64</v>
      </c>
      <c r="O906" s="5" t="s">
        <v>11320</v>
      </c>
      <c r="P906" s="6">
        <v>9381.0</v>
      </c>
    </row>
    <row r="907" ht="56.25" customHeight="1">
      <c r="A907" s="5" t="s">
        <v>11311</v>
      </c>
      <c r="B907" s="6" t="str">
        <f>IMAGE("https://storage.googleapis.com/acdb/tops/TopsTexTopTshirtsHSoccer4.png")</f>
        <v/>
      </c>
      <c r="C907" s="5" t="s">
        <v>83</v>
      </c>
      <c r="D907" s="8" t="s">
        <v>36</v>
      </c>
      <c r="E907" s="6">
        <v>1330.0</v>
      </c>
      <c r="F907" s="6">
        <v>332.0</v>
      </c>
      <c r="G907" s="5" t="s">
        <v>83</v>
      </c>
      <c r="H907" s="5" t="s">
        <v>57</v>
      </c>
      <c r="I907" s="6" t="s">
        <v>40</v>
      </c>
      <c r="J907" s="5" t="s">
        <v>8585</v>
      </c>
      <c r="K907" s="5" t="s">
        <v>8586</v>
      </c>
      <c r="L907" s="6" t="s">
        <v>42</v>
      </c>
      <c r="M907" s="5" t="s">
        <v>8746</v>
      </c>
      <c r="N907" s="5" t="s">
        <v>64</v>
      </c>
      <c r="O907" s="5" t="s">
        <v>11323</v>
      </c>
      <c r="P907" s="6">
        <v>9382.0</v>
      </c>
    </row>
    <row r="908" ht="56.25" customHeight="1">
      <c r="A908" s="5" t="s">
        <v>11311</v>
      </c>
      <c r="B908" s="6" t="str">
        <f>IMAGE("https://storage.googleapis.com/acdb/tops/TopsTexTopTshirtsHSoccer5.png")</f>
        <v/>
      </c>
      <c r="C908" s="5" t="s">
        <v>96</v>
      </c>
      <c r="D908" s="8" t="s">
        <v>36</v>
      </c>
      <c r="E908" s="6">
        <v>1330.0</v>
      </c>
      <c r="F908" s="6">
        <v>332.0</v>
      </c>
      <c r="G908" s="5" t="s">
        <v>96</v>
      </c>
      <c r="H908" s="5" t="s">
        <v>57</v>
      </c>
      <c r="I908" s="6" t="s">
        <v>40</v>
      </c>
      <c r="J908" s="5" t="s">
        <v>8585</v>
      </c>
      <c r="K908" s="5" t="s">
        <v>8586</v>
      </c>
      <c r="L908" s="6" t="s">
        <v>42</v>
      </c>
      <c r="M908" s="5" t="s">
        <v>8746</v>
      </c>
      <c r="N908" s="5" t="s">
        <v>64</v>
      </c>
      <c r="O908" s="5" t="s">
        <v>11326</v>
      </c>
      <c r="P908" s="6">
        <v>9383.0</v>
      </c>
    </row>
    <row r="909" ht="56.25" customHeight="1">
      <c r="A909" s="5" t="s">
        <v>11311</v>
      </c>
      <c r="B909" s="6" t="str">
        <f>IMAGE("https://storage.googleapis.com/acdb/tops/TopsTexTopTshirtsHSoccer6.png")</f>
        <v/>
      </c>
      <c r="C909" s="5" t="s">
        <v>142</v>
      </c>
      <c r="D909" s="8" t="s">
        <v>36</v>
      </c>
      <c r="E909" s="6">
        <v>1330.0</v>
      </c>
      <c r="F909" s="6">
        <v>332.0</v>
      </c>
      <c r="G909" s="5" t="s">
        <v>142</v>
      </c>
      <c r="H909" s="5" t="s">
        <v>57</v>
      </c>
      <c r="I909" s="6" t="s">
        <v>40</v>
      </c>
      <c r="J909" s="5" t="s">
        <v>8585</v>
      </c>
      <c r="K909" s="5" t="s">
        <v>8586</v>
      </c>
      <c r="L909" s="6" t="s">
        <v>42</v>
      </c>
      <c r="M909" s="5" t="s">
        <v>8746</v>
      </c>
      <c r="N909" s="5" t="s">
        <v>64</v>
      </c>
      <c r="O909" s="5" t="s">
        <v>11330</v>
      </c>
      <c r="P909" s="6">
        <v>9384.0</v>
      </c>
    </row>
    <row r="910" ht="56.25" customHeight="1">
      <c r="A910" s="5" t="s">
        <v>11311</v>
      </c>
      <c r="B910" s="6" t="str">
        <f>IMAGE("https://storage.googleapis.com/acdb/tops/TopsTexTopTshirtsHSoccer7.png")</f>
        <v/>
      </c>
      <c r="C910" s="5" t="s">
        <v>57</v>
      </c>
      <c r="D910" s="8" t="s">
        <v>36</v>
      </c>
      <c r="E910" s="6">
        <v>1330.0</v>
      </c>
      <c r="F910" s="6">
        <v>332.0</v>
      </c>
      <c r="G910" s="5" t="s">
        <v>57</v>
      </c>
      <c r="H910" s="5" t="s">
        <v>54</v>
      </c>
      <c r="I910" s="6" t="s">
        <v>40</v>
      </c>
      <c r="J910" s="5" t="s">
        <v>8585</v>
      </c>
      <c r="K910" s="5" t="s">
        <v>8586</v>
      </c>
      <c r="L910" s="6" t="s">
        <v>42</v>
      </c>
      <c r="M910" s="5" t="s">
        <v>8746</v>
      </c>
      <c r="N910" s="5" t="s">
        <v>64</v>
      </c>
      <c r="O910" s="5" t="s">
        <v>11333</v>
      </c>
      <c r="P910" s="6">
        <v>9385.0</v>
      </c>
    </row>
    <row r="911" ht="56.25" customHeight="1">
      <c r="A911" s="5" t="s">
        <v>11334</v>
      </c>
      <c r="B911" s="6" t="str">
        <f>IMAGE("https://storage.googleapis.com/acdb/tops/TopsTexTopOuterLSpaceparker0.png")</f>
        <v/>
      </c>
      <c r="C911" s="5" t="s">
        <v>68</v>
      </c>
      <c r="D911" s="8" t="s">
        <v>36</v>
      </c>
      <c r="E911" s="6">
        <v>1680.0</v>
      </c>
      <c r="F911" s="6">
        <v>420.0</v>
      </c>
      <c r="G911" s="5" t="s">
        <v>68</v>
      </c>
      <c r="H911" s="5" t="s">
        <v>106</v>
      </c>
      <c r="I911" s="6" t="s">
        <v>40</v>
      </c>
      <c r="J911" s="5" t="s">
        <v>8585</v>
      </c>
      <c r="K911" s="5" t="s">
        <v>8632</v>
      </c>
      <c r="L911" s="6" t="s">
        <v>42</v>
      </c>
      <c r="M911" s="5" t="s">
        <v>1952</v>
      </c>
      <c r="N911" s="5" t="s">
        <v>64</v>
      </c>
      <c r="O911" s="5" t="s">
        <v>11336</v>
      </c>
      <c r="P911" s="6">
        <v>4418.0</v>
      </c>
    </row>
    <row r="912" ht="56.25" customHeight="1">
      <c r="A912" s="5" t="s">
        <v>11334</v>
      </c>
      <c r="B912" s="6" t="str">
        <f>IMAGE("https://storage.googleapis.com/acdb/tops/TopsTexTopOuterLSpaceparker1.png")</f>
        <v/>
      </c>
      <c r="C912" s="5" t="s">
        <v>106</v>
      </c>
      <c r="D912" s="8" t="s">
        <v>36</v>
      </c>
      <c r="E912" s="6">
        <v>1680.0</v>
      </c>
      <c r="F912" s="6">
        <v>420.0</v>
      </c>
      <c r="G912" s="5" t="s">
        <v>106</v>
      </c>
      <c r="H912" s="5" t="s">
        <v>96</v>
      </c>
      <c r="I912" s="6" t="s">
        <v>40</v>
      </c>
      <c r="J912" s="5" t="s">
        <v>8585</v>
      </c>
      <c r="K912" s="5" t="s">
        <v>8632</v>
      </c>
      <c r="L912" s="6" t="s">
        <v>42</v>
      </c>
      <c r="M912" s="5" t="s">
        <v>1952</v>
      </c>
      <c r="N912" s="5" t="s">
        <v>64</v>
      </c>
      <c r="O912" s="5" t="s">
        <v>11339</v>
      </c>
      <c r="P912" s="6">
        <v>7605.0</v>
      </c>
    </row>
    <row r="913" ht="56.25" customHeight="1">
      <c r="A913" s="5" t="s">
        <v>11340</v>
      </c>
      <c r="B913" s="6" t="str">
        <f>IMAGE("https://storage.googleapis.com/acdb/tops/TopsTexTopCoatNSequins0.png")</f>
        <v/>
      </c>
      <c r="C913" s="5" t="s">
        <v>52</v>
      </c>
      <c r="D913" s="8" t="s">
        <v>36</v>
      </c>
      <c r="E913" s="6">
        <v>960.0</v>
      </c>
      <c r="F913" s="6">
        <v>240.0</v>
      </c>
      <c r="G913" s="5" t="s">
        <v>57</v>
      </c>
      <c r="H913" s="5" t="s">
        <v>52</v>
      </c>
      <c r="I913" s="6" t="s">
        <v>40</v>
      </c>
      <c r="J913" s="5" t="s">
        <v>8585</v>
      </c>
      <c r="K913" s="5" t="s">
        <v>8586</v>
      </c>
      <c r="L913" s="6" t="s">
        <v>42</v>
      </c>
      <c r="M913" s="5" t="s">
        <v>1959</v>
      </c>
      <c r="N913" s="5" t="s">
        <v>64</v>
      </c>
      <c r="O913" s="5" t="s">
        <v>11342</v>
      </c>
      <c r="P913" s="6">
        <v>4560.0</v>
      </c>
    </row>
    <row r="914" ht="56.25" customHeight="1">
      <c r="A914" s="5" t="s">
        <v>11340</v>
      </c>
      <c r="B914" s="6" t="str">
        <f>IMAGE("https://storage.googleapis.com/acdb/tops/TopsTexTopCoatNSequins1.png")</f>
        <v/>
      </c>
      <c r="C914" s="5" t="s">
        <v>114</v>
      </c>
      <c r="D914" s="8" t="s">
        <v>36</v>
      </c>
      <c r="E914" s="6">
        <v>960.0</v>
      </c>
      <c r="F914" s="6">
        <v>240.0</v>
      </c>
      <c r="G914" s="5" t="s">
        <v>57</v>
      </c>
      <c r="H914" s="5" t="s">
        <v>114</v>
      </c>
      <c r="I914" s="6" t="s">
        <v>40</v>
      </c>
      <c r="J914" s="5" t="s">
        <v>8585</v>
      </c>
      <c r="K914" s="5" t="s">
        <v>8586</v>
      </c>
      <c r="L914" s="6" t="s">
        <v>42</v>
      </c>
      <c r="M914" s="5" t="s">
        <v>1959</v>
      </c>
      <c r="N914" s="5" t="s">
        <v>64</v>
      </c>
      <c r="O914" s="5" t="s">
        <v>11346</v>
      </c>
      <c r="P914" s="6">
        <v>8388.0</v>
      </c>
    </row>
    <row r="915" ht="56.25" customHeight="1">
      <c r="A915" s="5" t="s">
        <v>11340</v>
      </c>
      <c r="B915" s="6" t="str">
        <f>IMAGE("https://storage.googleapis.com/acdb/tops/TopsTexTopCoatNSequins2.png")</f>
        <v/>
      </c>
      <c r="C915" s="5" t="s">
        <v>68</v>
      </c>
      <c r="D915" s="8" t="s">
        <v>36</v>
      </c>
      <c r="E915" s="6">
        <v>960.0</v>
      </c>
      <c r="F915" s="6">
        <v>240.0</v>
      </c>
      <c r="G915" s="5" t="s">
        <v>57</v>
      </c>
      <c r="H915" s="5" t="s">
        <v>68</v>
      </c>
      <c r="I915" s="6" t="s">
        <v>40</v>
      </c>
      <c r="J915" s="5" t="s">
        <v>8585</v>
      </c>
      <c r="K915" s="5" t="s">
        <v>8586</v>
      </c>
      <c r="L915" s="6" t="s">
        <v>42</v>
      </c>
      <c r="M915" s="5" t="s">
        <v>1959</v>
      </c>
      <c r="N915" s="5" t="s">
        <v>64</v>
      </c>
      <c r="O915" s="5" t="s">
        <v>11349</v>
      </c>
      <c r="P915" s="6">
        <v>8389.0</v>
      </c>
    </row>
    <row r="916" ht="56.25" customHeight="1">
      <c r="A916" s="5" t="s">
        <v>11350</v>
      </c>
      <c r="B916" s="6" t="str">
        <f>IMAGE("https://storage.googleapis.com/acdb/tops/TopsTexTopTshirtsHSpider0.png")</f>
        <v/>
      </c>
      <c r="C916" s="5" t="s">
        <v>34</v>
      </c>
      <c r="D916" s="8" t="s">
        <v>36</v>
      </c>
      <c r="E916" s="6">
        <v>960.0</v>
      </c>
      <c r="F916" s="6">
        <v>240.0</v>
      </c>
      <c r="G916" s="5" t="s">
        <v>54</v>
      </c>
      <c r="H916" s="5" t="s">
        <v>95</v>
      </c>
      <c r="I916" s="6" t="s">
        <v>40</v>
      </c>
      <c r="J916" s="5" t="s">
        <v>8585</v>
      </c>
      <c r="K916" s="5" t="s">
        <v>8632</v>
      </c>
      <c r="L916" s="6" t="s">
        <v>42</v>
      </c>
      <c r="M916" s="5" t="s">
        <v>1952</v>
      </c>
      <c r="N916" s="5" t="s">
        <v>64</v>
      </c>
      <c r="O916" s="5" t="s">
        <v>11354</v>
      </c>
      <c r="P916" s="6">
        <v>8207.0</v>
      </c>
    </row>
    <row r="917" ht="56.25" customHeight="1">
      <c r="A917" s="5" t="s">
        <v>11355</v>
      </c>
      <c r="B917" s="6" t="str">
        <f>IMAGE("https://storage.googleapis.com/acdb/tops/TopsTexTopTshirtsNBibs0.png")</f>
        <v/>
      </c>
      <c r="C917" s="5">
        <v>1.0</v>
      </c>
      <c r="D917" s="8" t="s">
        <v>36</v>
      </c>
      <c r="E917" s="6">
        <v>640.0</v>
      </c>
      <c r="F917" s="6">
        <v>160.0</v>
      </c>
      <c r="G917" s="5" t="s">
        <v>52</v>
      </c>
      <c r="H917" s="5" t="s">
        <v>57</v>
      </c>
      <c r="I917" s="6" t="s">
        <v>40</v>
      </c>
      <c r="J917" s="5" t="s">
        <v>8585</v>
      </c>
      <c r="K917" s="5" t="s">
        <v>8632</v>
      </c>
      <c r="L917" s="6" t="s">
        <v>42</v>
      </c>
      <c r="M917" s="5" t="s">
        <v>995</v>
      </c>
      <c r="N917" s="5" t="s">
        <v>64</v>
      </c>
      <c r="O917" s="5" t="s">
        <v>11358</v>
      </c>
      <c r="P917" s="6">
        <v>4673.0</v>
      </c>
    </row>
    <row r="918" ht="56.25" customHeight="1">
      <c r="A918" s="5" t="s">
        <v>11355</v>
      </c>
      <c r="B918" s="6" t="str">
        <f>IMAGE("https://storage.googleapis.com/acdb/tops/TopsTexTopTshirtsNBibs1.png")</f>
        <v/>
      </c>
      <c r="C918" s="5">
        <v>2.0</v>
      </c>
      <c r="D918" s="8" t="s">
        <v>36</v>
      </c>
      <c r="E918" s="6">
        <v>640.0</v>
      </c>
      <c r="F918" s="6">
        <v>160.0</v>
      </c>
      <c r="G918" s="5" t="s">
        <v>68</v>
      </c>
      <c r="H918" s="5" t="s">
        <v>57</v>
      </c>
      <c r="I918" s="6" t="s">
        <v>40</v>
      </c>
      <c r="J918" s="5" t="s">
        <v>8585</v>
      </c>
      <c r="K918" s="5" t="s">
        <v>8632</v>
      </c>
      <c r="L918" s="6" t="s">
        <v>42</v>
      </c>
      <c r="M918" s="5" t="s">
        <v>995</v>
      </c>
      <c r="N918" s="5" t="s">
        <v>64</v>
      </c>
      <c r="O918" s="5" t="s">
        <v>11361</v>
      </c>
      <c r="P918" s="6">
        <v>8061.0</v>
      </c>
    </row>
    <row r="919" ht="56.25" customHeight="1">
      <c r="A919" s="5" t="s">
        <v>11355</v>
      </c>
      <c r="B919" s="6" t="str">
        <f>IMAGE("https://storage.googleapis.com/acdb/tops/TopsTexTopTshirtsNBibs2.png")</f>
        <v/>
      </c>
      <c r="C919" s="5">
        <v>3.0</v>
      </c>
      <c r="D919" s="8" t="s">
        <v>36</v>
      </c>
      <c r="E919" s="6">
        <v>640.0</v>
      </c>
      <c r="F919" s="6">
        <v>160.0</v>
      </c>
      <c r="G919" s="5" t="s">
        <v>96</v>
      </c>
      <c r="H919" s="5" t="s">
        <v>57</v>
      </c>
      <c r="I919" s="6" t="s">
        <v>40</v>
      </c>
      <c r="J919" s="5" t="s">
        <v>8585</v>
      </c>
      <c r="K919" s="5" t="s">
        <v>8632</v>
      </c>
      <c r="L919" s="6" t="s">
        <v>42</v>
      </c>
      <c r="M919" s="5" t="s">
        <v>995</v>
      </c>
      <c r="N919" s="5" t="s">
        <v>64</v>
      </c>
      <c r="O919" s="5" t="s">
        <v>11363</v>
      </c>
      <c r="P919" s="6">
        <v>8062.0</v>
      </c>
    </row>
    <row r="920" ht="56.25" customHeight="1">
      <c r="A920" s="5" t="s">
        <v>11355</v>
      </c>
      <c r="B920" s="6" t="str">
        <f>IMAGE("https://storage.googleapis.com/acdb/tops/TopsTexTopTshirtsNBibs3.png")</f>
        <v/>
      </c>
      <c r="C920" s="5">
        <v>4.0</v>
      </c>
      <c r="D920" s="8" t="s">
        <v>36</v>
      </c>
      <c r="E920" s="6">
        <v>640.0</v>
      </c>
      <c r="F920" s="6">
        <v>160.0</v>
      </c>
      <c r="G920" s="5" t="s">
        <v>69</v>
      </c>
      <c r="H920" s="5" t="s">
        <v>57</v>
      </c>
      <c r="I920" s="6" t="s">
        <v>40</v>
      </c>
      <c r="J920" s="5" t="s">
        <v>8585</v>
      </c>
      <c r="K920" s="5" t="s">
        <v>8632</v>
      </c>
      <c r="L920" s="6" t="s">
        <v>42</v>
      </c>
      <c r="M920" s="5" t="s">
        <v>995</v>
      </c>
      <c r="N920" s="5" t="s">
        <v>64</v>
      </c>
      <c r="O920" s="5" t="s">
        <v>11366</v>
      </c>
      <c r="P920" s="6">
        <v>8063.0</v>
      </c>
    </row>
    <row r="921" ht="56.25" customHeight="1">
      <c r="A921" s="5" t="s">
        <v>11355</v>
      </c>
      <c r="B921" s="6" t="str">
        <f>IMAGE("https://storage.googleapis.com/acdb/tops/TopsTexTopTshirtsNBibs4.png")</f>
        <v/>
      </c>
      <c r="C921" s="5">
        <v>5.0</v>
      </c>
      <c r="D921" s="8" t="s">
        <v>36</v>
      </c>
      <c r="E921" s="6">
        <v>640.0</v>
      </c>
      <c r="F921" s="6">
        <v>160.0</v>
      </c>
      <c r="G921" s="5" t="s">
        <v>114</v>
      </c>
      <c r="H921" s="5" t="s">
        <v>57</v>
      </c>
      <c r="I921" s="6" t="s">
        <v>40</v>
      </c>
      <c r="J921" s="5" t="s">
        <v>8585</v>
      </c>
      <c r="K921" s="5" t="s">
        <v>8632</v>
      </c>
      <c r="L921" s="6" t="s">
        <v>42</v>
      </c>
      <c r="M921" s="5" t="s">
        <v>995</v>
      </c>
      <c r="N921" s="5" t="s">
        <v>64</v>
      </c>
      <c r="O921" s="5" t="s">
        <v>11369</v>
      </c>
      <c r="P921" s="6">
        <v>8064.0</v>
      </c>
    </row>
    <row r="922" ht="56.25" customHeight="1">
      <c r="A922" s="5" t="s">
        <v>11355</v>
      </c>
      <c r="B922" s="6" t="str">
        <f>IMAGE("https://storage.googleapis.com/acdb/tops/TopsTexTopTshirtsNBibs5.png")</f>
        <v/>
      </c>
      <c r="C922" s="5">
        <v>6.0</v>
      </c>
      <c r="D922" s="8" t="s">
        <v>36</v>
      </c>
      <c r="E922" s="6">
        <v>640.0</v>
      </c>
      <c r="F922" s="6">
        <v>160.0</v>
      </c>
      <c r="G922" s="5" t="s">
        <v>142</v>
      </c>
      <c r="H922" s="5" t="s">
        <v>57</v>
      </c>
      <c r="I922" s="6" t="s">
        <v>40</v>
      </c>
      <c r="J922" s="5" t="s">
        <v>8585</v>
      </c>
      <c r="K922" s="5" t="s">
        <v>8632</v>
      </c>
      <c r="L922" s="6" t="s">
        <v>42</v>
      </c>
      <c r="M922" s="5" t="s">
        <v>995</v>
      </c>
      <c r="N922" s="5" t="s">
        <v>64</v>
      </c>
      <c r="O922" s="5" t="s">
        <v>11374</v>
      </c>
      <c r="P922" s="6">
        <v>8065.0</v>
      </c>
    </row>
    <row r="923" ht="56.25" customHeight="1">
      <c r="A923" s="5" t="s">
        <v>11355</v>
      </c>
      <c r="B923" s="6" t="str">
        <f>IMAGE("https://storage.googleapis.com/acdb/tops/TopsTexTopTshirtsNBibs6.png")</f>
        <v/>
      </c>
      <c r="C923" s="5">
        <v>7.0</v>
      </c>
      <c r="D923" s="8" t="s">
        <v>36</v>
      </c>
      <c r="E923" s="6">
        <v>640.0</v>
      </c>
      <c r="F923" s="6">
        <v>160.0</v>
      </c>
      <c r="G923" s="5" t="s">
        <v>106</v>
      </c>
      <c r="H923" s="5" t="s">
        <v>57</v>
      </c>
      <c r="I923" s="6" t="s">
        <v>40</v>
      </c>
      <c r="J923" s="5" t="s">
        <v>8585</v>
      </c>
      <c r="K923" s="5" t="s">
        <v>8632</v>
      </c>
      <c r="L923" s="6" t="s">
        <v>42</v>
      </c>
      <c r="M923" s="5" t="s">
        <v>995</v>
      </c>
      <c r="N923" s="5" t="s">
        <v>64</v>
      </c>
      <c r="O923" s="5" t="s">
        <v>11376</v>
      </c>
      <c r="P923" s="6">
        <v>8066.0</v>
      </c>
    </row>
    <row r="924" ht="56.25" customHeight="1">
      <c r="A924" s="5" t="s">
        <v>11355</v>
      </c>
      <c r="B924" s="6" t="str">
        <f>IMAGE("https://storage.googleapis.com/acdb/tops/TopsTexTopTshirtsNBibs7.png")</f>
        <v/>
      </c>
      <c r="C924" s="5">
        <v>8.0</v>
      </c>
      <c r="D924" s="8" t="s">
        <v>36</v>
      </c>
      <c r="E924" s="6">
        <v>640.0</v>
      </c>
      <c r="F924" s="6">
        <v>160.0</v>
      </c>
      <c r="G924" s="5" t="s">
        <v>54</v>
      </c>
      <c r="H924" s="5" t="s">
        <v>57</v>
      </c>
      <c r="I924" s="6" t="s">
        <v>40</v>
      </c>
      <c r="J924" s="5" t="s">
        <v>8585</v>
      </c>
      <c r="K924" s="5" t="s">
        <v>8632</v>
      </c>
      <c r="L924" s="6" t="s">
        <v>42</v>
      </c>
      <c r="M924" s="5" t="s">
        <v>995</v>
      </c>
      <c r="N924" s="5" t="s">
        <v>64</v>
      </c>
      <c r="O924" s="5" t="s">
        <v>11381</v>
      </c>
      <c r="P924" s="6">
        <v>8067.0</v>
      </c>
    </row>
    <row r="925" ht="56.25" customHeight="1">
      <c r="A925" s="5" t="s">
        <v>11382</v>
      </c>
      <c r="B925" s="6" t="str">
        <f>IMAGE("https://storage.googleapis.com/acdb/tops/TopsTexTopTshirtsHStaff0.png")</f>
        <v/>
      </c>
      <c r="C925" s="5" t="s">
        <v>68</v>
      </c>
      <c r="D925" s="8" t="s">
        <v>36</v>
      </c>
      <c r="E925" s="6">
        <v>800.0</v>
      </c>
      <c r="F925" s="6">
        <v>200.0</v>
      </c>
      <c r="G925" s="5" t="s">
        <v>68</v>
      </c>
      <c r="H925" s="5" t="s">
        <v>57</v>
      </c>
      <c r="I925" s="6" t="s">
        <v>40</v>
      </c>
      <c r="J925" s="5" t="s">
        <v>8585</v>
      </c>
      <c r="K925" s="5" t="s">
        <v>8586</v>
      </c>
      <c r="L925" s="6" t="s">
        <v>42</v>
      </c>
      <c r="M925" s="5" t="s">
        <v>995</v>
      </c>
      <c r="N925" s="5" t="s">
        <v>64</v>
      </c>
      <c r="O925" s="5" t="s">
        <v>11385</v>
      </c>
      <c r="P925" s="6">
        <v>5841.0</v>
      </c>
    </row>
    <row r="926" ht="56.25" customHeight="1">
      <c r="A926" s="5" t="s">
        <v>11382</v>
      </c>
      <c r="B926" s="6" t="str">
        <f>IMAGE("https://storage.googleapis.com/acdb/tops/TopsTexTopTshirtsHStaff1.png")</f>
        <v/>
      </c>
      <c r="C926" s="5" t="s">
        <v>114</v>
      </c>
      <c r="D926" s="8" t="s">
        <v>36</v>
      </c>
      <c r="E926" s="6">
        <v>800.0</v>
      </c>
      <c r="F926" s="6">
        <v>200.0</v>
      </c>
      <c r="G926" s="5" t="s">
        <v>114</v>
      </c>
      <c r="H926" s="5" t="s">
        <v>57</v>
      </c>
      <c r="I926" s="6" t="s">
        <v>40</v>
      </c>
      <c r="J926" s="5" t="s">
        <v>8585</v>
      </c>
      <c r="K926" s="5" t="s">
        <v>8586</v>
      </c>
      <c r="L926" s="6" t="s">
        <v>42</v>
      </c>
      <c r="M926" s="5" t="s">
        <v>995</v>
      </c>
      <c r="N926" s="5" t="s">
        <v>64</v>
      </c>
      <c r="O926" s="5" t="s">
        <v>11388</v>
      </c>
      <c r="P926" s="6">
        <v>8413.0</v>
      </c>
    </row>
    <row r="927" ht="56.25" customHeight="1">
      <c r="A927" s="5" t="s">
        <v>11382</v>
      </c>
      <c r="B927" s="6" t="str">
        <f>IMAGE("https://storage.googleapis.com/acdb/tops/TopsTexTopTshirtsHStaff2.png")</f>
        <v/>
      </c>
      <c r="C927" s="5" t="s">
        <v>69</v>
      </c>
      <c r="D927" s="8" t="s">
        <v>36</v>
      </c>
      <c r="E927" s="6">
        <v>800.0</v>
      </c>
      <c r="F927" s="6">
        <v>200.0</v>
      </c>
      <c r="G927" s="5" t="s">
        <v>69</v>
      </c>
      <c r="H927" s="5" t="s">
        <v>57</v>
      </c>
      <c r="I927" s="6" t="s">
        <v>40</v>
      </c>
      <c r="J927" s="5" t="s">
        <v>8585</v>
      </c>
      <c r="K927" s="5" t="s">
        <v>8586</v>
      </c>
      <c r="L927" s="6" t="s">
        <v>42</v>
      </c>
      <c r="M927" s="5" t="s">
        <v>995</v>
      </c>
      <c r="N927" s="5" t="s">
        <v>64</v>
      </c>
      <c r="O927" s="5" t="s">
        <v>11391</v>
      </c>
      <c r="P927" s="6">
        <v>8414.0</v>
      </c>
    </row>
    <row r="928" ht="56.25" customHeight="1">
      <c r="A928" s="5" t="s">
        <v>11393</v>
      </c>
      <c r="B928" s="6" t="str">
        <f>IMAGE("https://storage.googleapis.com/acdb/tops/TopsTexTopTshirtsNStar0.png")</f>
        <v/>
      </c>
      <c r="C928" s="5" t="s">
        <v>34</v>
      </c>
      <c r="D928" s="8" t="s">
        <v>36</v>
      </c>
      <c r="E928" s="6">
        <v>800.0</v>
      </c>
      <c r="F928" s="6">
        <v>200.0</v>
      </c>
      <c r="G928" s="5" t="s">
        <v>57</v>
      </c>
      <c r="H928" s="5" t="s">
        <v>58</v>
      </c>
      <c r="I928" s="6" t="s">
        <v>40</v>
      </c>
      <c r="J928" s="5" t="s">
        <v>8578</v>
      </c>
      <c r="K928" s="5"/>
      <c r="L928" s="6" t="s">
        <v>42</v>
      </c>
      <c r="M928" s="5" t="s">
        <v>8746</v>
      </c>
      <c r="N928" s="5" t="s">
        <v>64</v>
      </c>
      <c r="O928" s="5" t="s">
        <v>11396</v>
      </c>
      <c r="P928" s="6">
        <v>9535.0</v>
      </c>
    </row>
    <row r="929" ht="56.25" customHeight="1">
      <c r="A929" s="5" t="s">
        <v>11398</v>
      </c>
      <c r="B929" s="6" t="str">
        <f>IMAGE("https://storage.googleapis.com/acdb/tops/TopsTexTopTshirtsLBorder0.png")</f>
        <v/>
      </c>
      <c r="C929" s="5" t="s">
        <v>68</v>
      </c>
      <c r="D929" s="8" t="s">
        <v>36</v>
      </c>
      <c r="E929" s="6">
        <v>960.0</v>
      </c>
      <c r="F929" s="6">
        <v>240.0</v>
      </c>
      <c r="G929" s="5" t="s">
        <v>83</v>
      </c>
      <c r="H929" s="5" t="s">
        <v>57</v>
      </c>
      <c r="I929" s="6" t="s">
        <v>40</v>
      </c>
      <c r="J929" s="5" t="s">
        <v>8585</v>
      </c>
      <c r="K929" s="5" t="s">
        <v>8632</v>
      </c>
      <c r="L929" s="6" t="s">
        <v>42</v>
      </c>
      <c r="M929" s="5" t="s">
        <v>995</v>
      </c>
      <c r="N929" s="5" t="s">
        <v>64</v>
      </c>
      <c r="O929" s="5" t="s">
        <v>11400</v>
      </c>
      <c r="P929" s="6">
        <v>2655.0</v>
      </c>
    </row>
    <row r="930" ht="56.25" customHeight="1">
      <c r="A930" s="5" t="s">
        <v>11398</v>
      </c>
      <c r="B930" s="6" t="str">
        <f>IMAGE("https://storage.googleapis.com/acdb/tops/TopsTexTopTshirtsLBorder1.png")</f>
        <v/>
      </c>
      <c r="C930" s="5" t="s">
        <v>52</v>
      </c>
      <c r="D930" s="8" t="s">
        <v>36</v>
      </c>
      <c r="E930" s="6">
        <v>960.0</v>
      </c>
      <c r="F930" s="6">
        <v>240.0</v>
      </c>
      <c r="G930" s="5" t="s">
        <v>52</v>
      </c>
      <c r="H930" s="5" t="s">
        <v>57</v>
      </c>
      <c r="I930" s="6" t="s">
        <v>40</v>
      </c>
      <c r="J930" s="5" t="s">
        <v>8585</v>
      </c>
      <c r="K930" s="5" t="s">
        <v>8632</v>
      </c>
      <c r="L930" s="6" t="s">
        <v>42</v>
      </c>
      <c r="M930" s="5" t="s">
        <v>995</v>
      </c>
      <c r="N930" s="5" t="s">
        <v>64</v>
      </c>
      <c r="O930" s="5" t="s">
        <v>11403</v>
      </c>
      <c r="P930" s="6">
        <v>4145.0</v>
      </c>
    </row>
    <row r="931" ht="56.25" customHeight="1">
      <c r="A931" s="5" t="s">
        <v>11398</v>
      </c>
      <c r="B931" s="6" t="str">
        <f>IMAGE("https://storage.googleapis.com/acdb/tops/TopsTexTopTshirtsLBorder2.png")</f>
        <v/>
      </c>
      <c r="C931" s="5" t="s">
        <v>96</v>
      </c>
      <c r="D931" s="8" t="s">
        <v>36</v>
      </c>
      <c r="E931" s="6">
        <v>960.0</v>
      </c>
      <c r="F931" s="6">
        <v>240.0</v>
      </c>
      <c r="G931" s="5" t="s">
        <v>96</v>
      </c>
      <c r="H931" s="5" t="s">
        <v>57</v>
      </c>
      <c r="I931" s="6" t="s">
        <v>40</v>
      </c>
      <c r="J931" s="5" t="s">
        <v>8585</v>
      </c>
      <c r="K931" s="5" t="s">
        <v>8632</v>
      </c>
      <c r="L931" s="6" t="s">
        <v>42</v>
      </c>
      <c r="M931" s="5" t="s">
        <v>995</v>
      </c>
      <c r="N931" s="5" t="s">
        <v>64</v>
      </c>
      <c r="O931" s="5" t="s">
        <v>11405</v>
      </c>
      <c r="P931" s="6">
        <v>4146.0</v>
      </c>
    </row>
    <row r="932" ht="56.25" customHeight="1">
      <c r="A932" s="5" t="s">
        <v>11398</v>
      </c>
      <c r="B932" s="6" t="str">
        <f>IMAGE("https://storage.googleapis.com/acdb/tops/TopsTexTopTshirtsLBorder3.png")</f>
        <v/>
      </c>
      <c r="C932" s="5" t="s">
        <v>114</v>
      </c>
      <c r="D932" s="8" t="s">
        <v>36</v>
      </c>
      <c r="E932" s="6">
        <v>960.0</v>
      </c>
      <c r="F932" s="6">
        <v>240.0</v>
      </c>
      <c r="G932" s="5" t="s">
        <v>114</v>
      </c>
      <c r="H932" s="5" t="s">
        <v>57</v>
      </c>
      <c r="I932" s="6" t="s">
        <v>40</v>
      </c>
      <c r="J932" s="5" t="s">
        <v>8585</v>
      </c>
      <c r="K932" s="5" t="s">
        <v>8632</v>
      </c>
      <c r="L932" s="6" t="s">
        <v>42</v>
      </c>
      <c r="M932" s="5" t="s">
        <v>995</v>
      </c>
      <c r="N932" s="5" t="s">
        <v>64</v>
      </c>
      <c r="O932" s="5" t="s">
        <v>11409</v>
      </c>
      <c r="P932" s="6">
        <v>4147.0</v>
      </c>
    </row>
    <row r="933" ht="56.25" customHeight="1">
      <c r="A933" s="5" t="s">
        <v>11398</v>
      </c>
      <c r="B933" s="6" t="str">
        <f>IMAGE("https://storage.googleapis.com/acdb/tops/TopsTexTopTshirtsLBorder4.png")</f>
        <v/>
      </c>
      <c r="C933" s="5" t="s">
        <v>106</v>
      </c>
      <c r="D933" s="8" t="s">
        <v>36</v>
      </c>
      <c r="E933" s="6">
        <v>960.0</v>
      </c>
      <c r="F933" s="6">
        <v>240.0</v>
      </c>
      <c r="G933" s="5" t="s">
        <v>106</v>
      </c>
      <c r="H933" s="5" t="s">
        <v>57</v>
      </c>
      <c r="I933" s="6" t="s">
        <v>40</v>
      </c>
      <c r="J933" s="5" t="s">
        <v>8585</v>
      </c>
      <c r="K933" s="5" t="s">
        <v>8632</v>
      </c>
      <c r="L933" s="6" t="s">
        <v>42</v>
      </c>
      <c r="M933" s="5" t="s">
        <v>995</v>
      </c>
      <c r="N933" s="5" t="s">
        <v>64</v>
      </c>
      <c r="O933" s="5" t="s">
        <v>11413</v>
      </c>
      <c r="P933" s="6">
        <v>4148.0</v>
      </c>
    </row>
    <row r="934" ht="56.25" customHeight="1">
      <c r="A934" s="5" t="s">
        <v>11398</v>
      </c>
      <c r="B934" s="6" t="str">
        <f>IMAGE("https://storage.googleapis.com/acdb/tops/TopsTexTopTshirtsLBorder5.png")</f>
        <v/>
      </c>
      <c r="C934" s="5" t="s">
        <v>1187</v>
      </c>
      <c r="D934" s="8" t="s">
        <v>36</v>
      </c>
      <c r="E934" s="6">
        <v>960.0</v>
      </c>
      <c r="F934" s="6">
        <v>240.0</v>
      </c>
      <c r="G934" s="5" t="s">
        <v>68</v>
      </c>
      <c r="H934" s="5" t="s">
        <v>57</v>
      </c>
      <c r="I934" s="6" t="s">
        <v>40</v>
      </c>
      <c r="J934" s="5" t="s">
        <v>8585</v>
      </c>
      <c r="K934" s="5" t="s">
        <v>8632</v>
      </c>
      <c r="L934" s="6" t="s">
        <v>42</v>
      </c>
      <c r="M934" s="5" t="s">
        <v>995</v>
      </c>
      <c r="N934" s="5" t="s">
        <v>64</v>
      </c>
      <c r="O934" s="5" t="s">
        <v>11415</v>
      </c>
      <c r="P934" s="6">
        <v>4149.0</v>
      </c>
    </row>
    <row r="935" ht="56.25" customHeight="1">
      <c r="A935" s="5" t="s">
        <v>11417</v>
      </c>
      <c r="B935" s="6" t="str">
        <f>IMAGE("https://storage.googleapis.com/acdb/tops/TopsTexTopTshirtsNBorder1.png")</f>
        <v/>
      </c>
      <c r="C935" s="5" t="s">
        <v>142</v>
      </c>
      <c r="D935" s="8" t="s">
        <v>36</v>
      </c>
      <c r="E935" s="6">
        <v>800.0</v>
      </c>
      <c r="F935" s="6">
        <v>200.0</v>
      </c>
      <c r="G935" s="5" t="s">
        <v>142</v>
      </c>
      <c r="H935" s="5" t="s">
        <v>57</v>
      </c>
      <c r="I935" s="6" t="s">
        <v>40</v>
      </c>
      <c r="J935" s="5" t="s">
        <v>8585</v>
      </c>
      <c r="K935" s="5" t="s">
        <v>8632</v>
      </c>
      <c r="L935" s="6" t="s">
        <v>42</v>
      </c>
      <c r="M935" s="5" t="s">
        <v>995</v>
      </c>
      <c r="N935" s="5" t="s">
        <v>64</v>
      </c>
      <c r="O935" s="5" t="s">
        <v>11421</v>
      </c>
      <c r="P935" s="6">
        <v>7762.0</v>
      </c>
    </row>
    <row r="936" ht="56.25" customHeight="1">
      <c r="A936" s="5" t="s">
        <v>11417</v>
      </c>
      <c r="B936" s="6" t="str">
        <f>IMAGE("https://storage.googleapis.com/acdb/tops/TopsTexTopTshirtsNBorder2.png")</f>
        <v/>
      </c>
      <c r="C936" s="5" t="s">
        <v>68</v>
      </c>
      <c r="D936" s="8" t="s">
        <v>36</v>
      </c>
      <c r="E936" s="6">
        <v>800.0</v>
      </c>
      <c r="F936" s="6">
        <v>200.0</v>
      </c>
      <c r="G936" s="5" t="s">
        <v>68</v>
      </c>
      <c r="H936" s="5" t="s">
        <v>57</v>
      </c>
      <c r="I936" s="6" t="s">
        <v>40</v>
      </c>
      <c r="J936" s="5" t="s">
        <v>8585</v>
      </c>
      <c r="K936" s="5" t="s">
        <v>8632</v>
      </c>
      <c r="L936" s="6" t="s">
        <v>42</v>
      </c>
      <c r="M936" s="5" t="s">
        <v>995</v>
      </c>
      <c r="N936" s="5" t="s">
        <v>64</v>
      </c>
      <c r="O936" s="5" t="s">
        <v>11423</v>
      </c>
      <c r="P936" s="6">
        <v>7763.0</v>
      </c>
    </row>
    <row r="937" ht="56.25" customHeight="1">
      <c r="A937" s="5" t="s">
        <v>11417</v>
      </c>
      <c r="B937" s="6" t="str">
        <f>IMAGE("https://storage.googleapis.com/acdb/tops/TopsTexTopTshirtsNBorder3.png")</f>
        <v/>
      </c>
      <c r="C937" s="5" t="s">
        <v>114</v>
      </c>
      <c r="D937" s="8" t="s">
        <v>36</v>
      </c>
      <c r="E937" s="6">
        <v>800.0</v>
      </c>
      <c r="F937" s="6">
        <v>200.0</v>
      </c>
      <c r="G937" s="5" t="s">
        <v>114</v>
      </c>
      <c r="H937" s="5" t="s">
        <v>57</v>
      </c>
      <c r="I937" s="6" t="s">
        <v>40</v>
      </c>
      <c r="J937" s="5" t="s">
        <v>8585</v>
      </c>
      <c r="K937" s="5" t="s">
        <v>8632</v>
      </c>
      <c r="L937" s="6" t="s">
        <v>42</v>
      </c>
      <c r="M937" s="5" t="s">
        <v>995</v>
      </c>
      <c r="N937" s="5" t="s">
        <v>64</v>
      </c>
      <c r="O937" s="5" t="s">
        <v>11427</v>
      </c>
      <c r="P937" s="6">
        <v>7764.0</v>
      </c>
    </row>
    <row r="938" ht="56.25" customHeight="1">
      <c r="A938" s="5" t="s">
        <v>11417</v>
      </c>
      <c r="B938" s="6" t="str">
        <f>IMAGE("https://storage.googleapis.com/acdb/tops/TopsTexTopTshirtsNBorder4.png")</f>
        <v/>
      </c>
      <c r="C938" s="5" t="s">
        <v>52</v>
      </c>
      <c r="D938" s="8" t="s">
        <v>36</v>
      </c>
      <c r="E938" s="6">
        <v>800.0</v>
      </c>
      <c r="F938" s="6">
        <v>200.0</v>
      </c>
      <c r="G938" s="5" t="s">
        <v>52</v>
      </c>
      <c r="H938" s="5" t="s">
        <v>57</v>
      </c>
      <c r="I938" s="6" t="s">
        <v>40</v>
      </c>
      <c r="J938" s="5" t="s">
        <v>8585</v>
      </c>
      <c r="K938" s="5" t="s">
        <v>8632</v>
      </c>
      <c r="L938" s="6" t="s">
        <v>42</v>
      </c>
      <c r="M938" s="5" t="s">
        <v>995</v>
      </c>
      <c r="N938" s="5" t="s">
        <v>64</v>
      </c>
      <c r="O938" s="5" t="s">
        <v>11428</v>
      </c>
      <c r="P938" s="6">
        <v>7765.0</v>
      </c>
    </row>
    <row r="939" ht="56.25" customHeight="1">
      <c r="A939" s="5" t="s">
        <v>11417</v>
      </c>
      <c r="B939" s="6" t="str">
        <f>IMAGE("https://storage.googleapis.com/acdb/tops/TopsTexTopTshirtsNBorder5.png")</f>
        <v/>
      </c>
      <c r="C939" s="5" t="s">
        <v>95</v>
      </c>
      <c r="D939" s="8" t="s">
        <v>36</v>
      </c>
      <c r="E939" s="6">
        <v>800.0</v>
      </c>
      <c r="F939" s="6">
        <v>200.0</v>
      </c>
      <c r="G939" s="5" t="s">
        <v>95</v>
      </c>
      <c r="H939" s="5" t="s">
        <v>57</v>
      </c>
      <c r="I939" s="6" t="s">
        <v>40</v>
      </c>
      <c r="J939" s="5" t="s">
        <v>8585</v>
      </c>
      <c r="K939" s="5" t="s">
        <v>8632</v>
      </c>
      <c r="L939" s="6" t="s">
        <v>42</v>
      </c>
      <c r="M939" s="5" t="s">
        <v>995</v>
      </c>
      <c r="N939" s="5" t="s">
        <v>64</v>
      </c>
      <c r="O939" s="5" t="s">
        <v>11433</v>
      </c>
      <c r="P939" s="6">
        <v>7766.0</v>
      </c>
    </row>
    <row r="940" ht="56.25" customHeight="1">
      <c r="A940" s="5" t="s">
        <v>11417</v>
      </c>
      <c r="B940" s="6" t="str">
        <f>IMAGE("https://storage.googleapis.com/acdb/tops/TopsTexTopTshirtsNBorder6.png")</f>
        <v/>
      </c>
      <c r="C940" s="5" t="s">
        <v>54</v>
      </c>
      <c r="D940" s="8" t="s">
        <v>36</v>
      </c>
      <c r="E940" s="6">
        <v>800.0</v>
      </c>
      <c r="F940" s="6">
        <v>200.0</v>
      </c>
      <c r="G940" s="5" t="s">
        <v>54</v>
      </c>
      <c r="H940" s="5" t="s">
        <v>57</v>
      </c>
      <c r="I940" s="6" t="s">
        <v>40</v>
      </c>
      <c r="J940" s="5" t="s">
        <v>8585</v>
      </c>
      <c r="K940" s="5" t="s">
        <v>8632</v>
      </c>
      <c r="L940" s="6" t="s">
        <v>42</v>
      </c>
      <c r="M940" s="5" t="s">
        <v>995</v>
      </c>
      <c r="N940" s="5" t="s">
        <v>64</v>
      </c>
      <c r="O940" s="5" t="s">
        <v>11437</v>
      </c>
      <c r="P940" s="6">
        <v>7767.0</v>
      </c>
    </row>
    <row r="941" ht="56.25" customHeight="1">
      <c r="A941" s="5" t="s">
        <v>11417</v>
      </c>
      <c r="B941" s="6" t="str">
        <f>IMAGE("https://storage.googleapis.com/acdb/tops/TopsTexTopTshirtsNBorder7.png")</f>
        <v/>
      </c>
      <c r="C941" s="5" t="s">
        <v>69</v>
      </c>
      <c r="D941" s="8" t="s">
        <v>36</v>
      </c>
      <c r="E941" s="6">
        <v>800.0</v>
      </c>
      <c r="F941" s="6">
        <v>200.0</v>
      </c>
      <c r="G941" s="5" t="s">
        <v>69</v>
      </c>
      <c r="H941" s="5" t="s">
        <v>57</v>
      </c>
      <c r="I941" s="6" t="s">
        <v>40</v>
      </c>
      <c r="J941" s="5" t="s">
        <v>8585</v>
      </c>
      <c r="K941" s="5" t="s">
        <v>8632</v>
      </c>
      <c r="L941" s="6" t="s">
        <v>42</v>
      </c>
      <c r="M941" s="5" t="s">
        <v>995</v>
      </c>
      <c r="N941" s="5" t="s">
        <v>64</v>
      </c>
      <c r="O941" s="5" t="s">
        <v>11439</v>
      </c>
      <c r="P941" s="6">
        <v>7768.0</v>
      </c>
    </row>
    <row r="942" ht="56.25" customHeight="1">
      <c r="A942" s="5" t="s">
        <v>11417</v>
      </c>
      <c r="B942" s="6" t="str">
        <f>IMAGE("https://storage.googleapis.com/acdb/tops/TopsTexTopTshirtsNBorder0.png")</f>
        <v/>
      </c>
      <c r="C942" s="5" t="s">
        <v>96</v>
      </c>
      <c r="D942" s="8" t="s">
        <v>36</v>
      </c>
      <c r="E942" s="6">
        <v>800.0</v>
      </c>
      <c r="F942" s="6">
        <v>200.0</v>
      </c>
      <c r="G942" s="5" t="s">
        <v>96</v>
      </c>
      <c r="H942" s="5" t="s">
        <v>57</v>
      </c>
      <c r="I942" s="6" t="s">
        <v>40</v>
      </c>
      <c r="J942" s="5" t="s">
        <v>8585</v>
      </c>
      <c r="K942" s="5" t="s">
        <v>8632</v>
      </c>
      <c r="L942" s="6" t="s">
        <v>42</v>
      </c>
      <c r="M942" s="5" t="s">
        <v>995</v>
      </c>
      <c r="N942" s="5" t="s">
        <v>64</v>
      </c>
      <c r="O942" s="5" t="s">
        <v>11442</v>
      </c>
      <c r="P942" s="6">
        <v>3383.0</v>
      </c>
    </row>
    <row r="943" ht="56.25" customHeight="1">
      <c r="A943" s="5" t="s">
        <v>11443</v>
      </c>
      <c r="B943" s="6" t="str">
        <f>IMAGE("https://storage.googleapis.com/acdb/tops/TopsTexTopTshirtsHBorder4.png")</f>
        <v/>
      </c>
      <c r="C943" s="5" t="s">
        <v>106</v>
      </c>
      <c r="D943" s="8" t="s">
        <v>36</v>
      </c>
      <c r="E943" s="6">
        <v>800.0</v>
      </c>
      <c r="F943" s="6">
        <v>200.0</v>
      </c>
      <c r="G943" s="5" t="s">
        <v>106</v>
      </c>
      <c r="H943" s="5" t="s">
        <v>54</v>
      </c>
      <c r="I943" s="6" t="s">
        <v>40</v>
      </c>
      <c r="J943" s="5" t="s">
        <v>8585</v>
      </c>
      <c r="K943" s="5" t="s">
        <v>8632</v>
      </c>
      <c r="L943" s="6" t="s">
        <v>42</v>
      </c>
      <c r="M943" s="5" t="s">
        <v>995</v>
      </c>
      <c r="N943" s="5" t="s">
        <v>64</v>
      </c>
      <c r="O943" s="5" t="s">
        <v>11447</v>
      </c>
      <c r="P943" s="6">
        <v>7760.0</v>
      </c>
    </row>
    <row r="944" ht="56.25" customHeight="1">
      <c r="A944" s="5" t="s">
        <v>11443</v>
      </c>
      <c r="B944" s="6" t="str">
        <f>IMAGE("https://storage.googleapis.com/acdb/tops/TopsTexTopTshirtsHBorder5.png")</f>
        <v/>
      </c>
      <c r="C944" s="5" t="s">
        <v>57</v>
      </c>
      <c r="D944" s="8" t="s">
        <v>36</v>
      </c>
      <c r="E944" s="6">
        <v>800.0</v>
      </c>
      <c r="F944" s="6">
        <v>200.0</v>
      </c>
      <c r="G944" s="5" t="s">
        <v>57</v>
      </c>
      <c r="H944" s="5" t="s">
        <v>54</v>
      </c>
      <c r="I944" s="6" t="s">
        <v>40</v>
      </c>
      <c r="J944" s="5" t="s">
        <v>8585</v>
      </c>
      <c r="K944" s="5" t="s">
        <v>8632</v>
      </c>
      <c r="L944" s="6" t="s">
        <v>42</v>
      </c>
      <c r="M944" s="5" t="s">
        <v>995</v>
      </c>
      <c r="N944" s="5" t="s">
        <v>64</v>
      </c>
      <c r="O944" s="5" t="s">
        <v>11448</v>
      </c>
      <c r="P944" s="6">
        <v>7761.0</v>
      </c>
    </row>
    <row r="945" ht="56.25" customHeight="1">
      <c r="A945" s="5" t="s">
        <v>11443</v>
      </c>
      <c r="B945" s="6" t="str">
        <f>IMAGE("https://storage.googleapis.com/acdb/tops/TopsTexTopTshirtsHBorder1.png")</f>
        <v/>
      </c>
      <c r="C945" s="5" t="s">
        <v>52</v>
      </c>
      <c r="D945" s="8" t="s">
        <v>36</v>
      </c>
      <c r="E945" s="6">
        <v>800.0</v>
      </c>
      <c r="F945" s="6">
        <v>200.0</v>
      </c>
      <c r="G945" s="5" t="s">
        <v>52</v>
      </c>
      <c r="H945" s="5" t="s">
        <v>54</v>
      </c>
      <c r="I945" s="6" t="s">
        <v>40</v>
      </c>
      <c r="J945" s="5" t="s">
        <v>8585</v>
      </c>
      <c r="K945" s="5" t="s">
        <v>8632</v>
      </c>
      <c r="L945" s="6" t="s">
        <v>42</v>
      </c>
      <c r="M945" s="5" t="s">
        <v>995</v>
      </c>
      <c r="N945" s="5" t="s">
        <v>64</v>
      </c>
      <c r="O945" s="5" t="s">
        <v>11451</v>
      </c>
      <c r="P945" s="6">
        <v>7757.0</v>
      </c>
    </row>
    <row r="946" ht="56.25" customHeight="1">
      <c r="A946" s="5" t="s">
        <v>11443</v>
      </c>
      <c r="B946" s="6" t="str">
        <f>IMAGE("https://storage.googleapis.com/acdb/tops/TopsTexTopTshirtsHBorder2.png")</f>
        <v/>
      </c>
      <c r="C946" s="5" t="s">
        <v>2408</v>
      </c>
      <c r="D946" s="8" t="s">
        <v>36</v>
      </c>
      <c r="E946" s="6">
        <v>800.0</v>
      </c>
      <c r="F946" s="6">
        <v>200.0</v>
      </c>
      <c r="G946" s="5" t="s">
        <v>38</v>
      </c>
      <c r="H946" s="5" t="s">
        <v>54</v>
      </c>
      <c r="I946" s="6" t="s">
        <v>40</v>
      </c>
      <c r="J946" s="5" t="s">
        <v>8585</v>
      </c>
      <c r="K946" s="5" t="s">
        <v>8632</v>
      </c>
      <c r="L946" s="6" t="s">
        <v>42</v>
      </c>
      <c r="M946" s="5" t="s">
        <v>995</v>
      </c>
      <c r="N946" s="5" t="s">
        <v>64</v>
      </c>
      <c r="O946" s="5" t="s">
        <v>11453</v>
      </c>
      <c r="P946" s="6">
        <v>7758.0</v>
      </c>
    </row>
    <row r="947" ht="56.25" customHeight="1">
      <c r="A947" s="5" t="s">
        <v>11443</v>
      </c>
      <c r="B947" s="6" t="str">
        <f>IMAGE("https://storage.googleapis.com/acdb/tops/TopsTexTopTshirtsHBorder3.png")</f>
        <v/>
      </c>
      <c r="C947" s="5" t="s">
        <v>96</v>
      </c>
      <c r="D947" s="8" t="s">
        <v>36</v>
      </c>
      <c r="E947" s="6">
        <v>800.0</v>
      </c>
      <c r="F947" s="6">
        <v>200.0</v>
      </c>
      <c r="G947" s="5" t="s">
        <v>96</v>
      </c>
      <c r="H947" s="5" t="s">
        <v>54</v>
      </c>
      <c r="I947" s="6" t="s">
        <v>40</v>
      </c>
      <c r="J947" s="5" t="s">
        <v>8585</v>
      </c>
      <c r="K947" s="5" t="s">
        <v>8632</v>
      </c>
      <c r="L947" s="6" t="s">
        <v>42</v>
      </c>
      <c r="M947" s="5" t="s">
        <v>995</v>
      </c>
      <c r="N947" s="5" t="s">
        <v>64</v>
      </c>
      <c r="O947" s="5" t="s">
        <v>11458</v>
      </c>
      <c r="P947" s="6">
        <v>7759.0</v>
      </c>
    </row>
    <row r="948" ht="56.25" customHeight="1">
      <c r="A948" s="5" t="s">
        <v>11443</v>
      </c>
      <c r="B948" s="6" t="str">
        <f>IMAGE("https://storage.googleapis.com/acdb/tops/TopsTexTopTshirtsHBorder0.png")</f>
        <v/>
      </c>
      <c r="C948" s="5" t="s">
        <v>1187</v>
      </c>
      <c r="D948" s="8" t="s">
        <v>36</v>
      </c>
      <c r="E948" s="6">
        <v>800.0</v>
      </c>
      <c r="F948" s="6">
        <v>200.0</v>
      </c>
      <c r="G948" s="5" t="s">
        <v>68</v>
      </c>
      <c r="H948" s="5" t="s">
        <v>54</v>
      </c>
      <c r="I948" s="6" t="s">
        <v>40</v>
      </c>
      <c r="J948" s="5" t="s">
        <v>8585</v>
      </c>
      <c r="K948" s="5" t="s">
        <v>8632</v>
      </c>
      <c r="L948" s="6" t="s">
        <v>42</v>
      </c>
      <c r="M948" s="5" t="s">
        <v>995</v>
      </c>
      <c r="N948" s="5" t="s">
        <v>64</v>
      </c>
      <c r="O948" s="5" t="s">
        <v>11461</v>
      </c>
      <c r="P948" s="6">
        <v>4275.0</v>
      </c>
    </row>
    <row r="949" ht="56.25" customHeight="1">
      <c r="A949" s="5" t="s">
        <v>11462</v>
      </c>
      <c r="B949" s="6" t="str">
        <f>IMAGE("https://storage.googleapis.com/acdb/tops/TopsTexTopCoatHItamae1.png")</f>
        <v/>
      </c>
      <c r="C949" s="5" t="s">
        <v>2431</v>
      </c>
      <c r="D949" s="8" t="s">
        <v>36</v>
      </c>
      <c r="E949" s="6">
        <v>1800.0</v>
      </c>
      <c r="F949" s="6">
        <v>450.0</v>
      </c>
      <c r="G949" s="5" t="s">
        <v>54</v>
      </c>
      <c r="H949" s="5" t="s">
        <v>38</v>
      </c>
      <c r="I949" s="6" t="s">
        <v>40</v>
      </c>
      <c r="J949" s="5" t="s">
        <v>8585</v>
      </c>
      <c r="K949" s="5" t="s">
        <v>8586</v>
      </c>
      <c r="L949" s="6" t="s">
        <v>42</v>
      </c>
      <c r="M949" s="5" t="s">
        <v>995</v>
      </c>
      <c r="N949" s="5" t="s">
        <v>64</v>
      </c>
      <c r="O949" s="5" t="s">
        <v>11465</v>
      </c>
      <c r="P949" s="6">
        <v>9204.0</v>
      </c>
    </row>
    <row r="950" ht="56.25" customHeight="1">
      <c r="A950" s="5" t="s">
        <v>11462</v>
      </c>
      <c r="B950" s="6" t="str">
        <f>IMAGE("https://storage.googleapis.com/acdb/tops/TopsTexTopCoatHItamae0.png")</f>
        <v/>
      </c>
      <c r="C950" s="5" t="s">
        <v>57</v>
      </c>
      <c r="D950" s="8" t="s">
        <v>36</v>
      </c>
      <c r="E950" s="6">
        <v>1800.0</v>
      </c>
      <c r="F950" s="6">
        <v>450.0</v>
      </c>
      <c r="G950" s="5" t="s">
        <v>57</v>
      </c>
      <c r="H950" s="5" t="s">
        <v>68</v>
      </c>
      <c r="I950" s="6" t="s">
        <v>40</v>
      </c>
      <c r="J950" s="5" t="s">
        <v>8585</v>
      </c>
      <c r="K950" s="5" t="s">
        <v>8586</v>
      </c>
      <c r="L950" s="6" t="s">
        <v>42</v>
      </c>
      <c r="M950" s="5" t="s">
        <v>995</v>
      </c>
      <c r="N950" s="5" t="s">
        <v>64</v>
      </c>
      <c r="O950" s="5" t="s">
        <v>11468</v>
      </c>
      <c r="P950" s="6">
        <v>3268.0</v>
      </c>
    </row>
    <row r="951" ht="56.25" customHeight="1">
      <c r="A951" s="5" t="s">
        <v>11469</v>
      </c>
      <c r="B951" s="6" t="str">
        <f>IMAGE("https://storage.googleapis.com/acdb/tops/TopsTexTopYshirtsLTiedsweater1.png")</f>
        <v/>
      </c>
      <c r="C951" s="5" t="s">
        <v>68</v>
      </c>
      <c r="D951" s="8" t="s">
        <v>36</v>
      </c>
      <c r="E951" s="6">
        <v>960.0</v>
      </c>
      <c r="F951" s="6">
        <v>240.0</v>
      </c>
      <c r="G951" s="5" t="s">
        <v>57</v>
      </c>
      <c r="H951" s="5" t="s">
        <v>83</v>
      </c>
      <c r="I951" s="6" t="s">
        <v>40</v>
      </c>
      <c r="J951" s="5" t="s">
        <v>8585</v>
      </c>
      <c r="K951" s="5" t="s">
        <v>8632</v>
      </c>
      <c r="L951" s="6" t="s">
        <v>42</v>
      </c>
      <c r="M951" s="5" t="s">
        <v>1059</v>
      </c>
      <c r="N951" s="5" t="s">
        <v>64</v>
      </c>
      <c r="O951" s="5" t="s">
        <v>11473</v>
      </c>
      <c r="P951" s="6">
        <v>8494.0</v>
      </c>
    </row>
    <row r="952" ht="56.25" customHeight="1">
      <c r="A952" s="5" t="s">
        <v>11469</v>
      </c>
      <c r="B952" s="6" t="str">
        <f>IMAGE("https://storage.googleapis.com/acdb/tops/TopsTexTopYshirtsLTiedsweater2.png")</f>
        <v/>
      </c>
      <c r="C952" s="5" t="s">
        <v>114</v>
      </c>
      <c r="D952" s="8" t="s">
        <v>36</v>
      </c>
      <c r="E952" s="6">
        <v>960.0</v>
      </c>
      <c r="F952" s="6">
        <v>240.0</v>
      </c>
      <c r="G952" s="5" t="s">
        <v>57</v>
      </c>
      <c r="H952" s="5" t="s">
        <v>114</v>
      </c>
      <c r="I952" s="6" t="s">
        <v>40</v>
      </c>
      <c r="J952" s="5" t="s">
        <v>8585</v>
      </c>
      <c r="K952" s="5" t="s">
        <v>8632</v>
      </c>
      <c r="L952" s="6" t="s">
        <v>42</v>
      </c>
      <c r="M952" s="5" t="s">
        <v>1059</v>
      </c>
      <c r="N952" s="5" t="s">
        <v>64</v>
      </c>
      <c r="O952" s="5" t="s">
        <v>11476</v>
      </c>
      <c r="P952" s="6">
        <v>8495.0</v>
      </c>
    </row>
    <row r="953" ht="56.25" customHeight="1">
      <c r="A953" s="5" t="s">
        <v>11469</v>
      </c>
      <c r="B953" s="6" t="str">
        <f>IMAGE("https://storage.googleapis.com/acdb/tops/TopsTexTopYshirtsLTiedsweater3.png")</f>
        <v/>
      </c>
      <c r="C953" s="5" t="s">
        <v>96</v>
      </c>
      <c r="D953" s="8" t="s">
        <v>36</v>
      </c>
      <c r="E953" s="6">
        <v>960.0</v>
      </c>
      <c r="F953" s="6">
        <v>240.0</v>
      </c>
      <c r="G953" s="5" t="s">
        <v>57</v>
      </c>
      <c r="H953" s="5" t="s">
        <v>96</v>
      </c>
      <c r="I953" s="6" t="s">
        <v>40</v>
      </c>
      <c r="J953" s="5" t="s">
        <v>8585</v>
      </c>
      <c r="K953" s="5" t="s">
        <v>8632</v>
      </c>
      <c r="L953" s="6" t="s">
        <v>42</v>
      </c>
      <c r="M953" s="5" t="s">
        <v>1059</v>
      </c>
      <c r="N953" s="5" t="s">
        <v>64</v>
      </c>
      <c r="O953" s="5" t="s">
        <v>11480</v>
      </c>
      <c r="P953" s="6">
        <v>8496.0</v>
      </c>
    </row>
    <row r="954" ht="56.25" customHeight="1">
      <c r="A954" s="5" t="s">
        <v>11469</v>
      </c>
      <c r="B954" s="6" t="str">
        <f>IMAGE("https://storage.googleapis.com/acdb/tops/TopsTexTopYshirtsLTiedsweater4.png")</f>
        <v/>
      </c>
      <c r="C954" s="5" t="s">
        <v>95</v>
      </c>
      <c r="D954" s="8" t="s">
        <v>36</v>
      </c>
      <c r="E954" s="6">
        <v>960.0</v>
      </c>
      <c r="F954" s="6">
        <v>240.0</v>
      </c>
      <c r="G954" s="5" t="s">
        <v>57</v>
      </c>
      <c r="H954" s="5" t="s">
        <v>95</v>
      </c>
      <c r="I954" s="6" t="s">
        <v>40</v>
      </c>
      <c r="J954" s="5" t="s">
        <v>8585</v>
      </c>
      <c r="K954" s="5" t="s">
        <v>8632</v>
      </c>
      <c r="L954" s="6" t="s">
        <v>42</v>
      </c>
      <c r="M954" s="5" t="s">
        <v>1059</v>
      </c>
      <c r="N954" s="5" t="s">
        <v>64</v>
      </c>
      <c r="O954" s="5" t="s">
        <v>11483</v>
      </c>
      <c r="P954" s="6">
        <v>8497.0</v>
      </c>
    </row>
    <row r="955" ht="56.25" customHeight="1">
      <c r="A955" s="5" t="s">
        <v>11469</v>
      </c>
      <c r="B955" s="6" t="str">
        <f>IMAGE("https://storage.googleapis.com/acdb/tops/TopsTexTopYshirtsLTiedsweater0.png")</f>
        <v/>
      </c>
      <c r="C955" s="5" t="s">
        <v>69</v>
      </c>
      <c r="D955" s="8" t="s">
        <v>36</v>
      </c>
      <c r="E955" s="6">
        <v>960.0</v>
      </c>
      <c r="F955" s="6">
        <v>240.0</v>
      </c>
      <c r="G955" s="5" t="s">
        <v>57</v>
      </c>
      <c r="H955" s="5" t="s">
        <v>69</v>
      </c>
      <c r="I955" s="6" t="s">
        <v>40</v>
      </c>
      <c r="J955" s="5" t="s">
        <v>8585</v>
      </c>
      <c r="K955" s="5" t="s">
        <v>8632</v>
      </c>
      <c r="L955" s="6" t="s">
        <v>42</v>
      </c>
      <c r="M955" s="5" t="s">
        <v>1059</v>
      </c>
      <c r="N955" s="5" t="s">
        <v>64</v>
      </c>
      <c r="O955" s="5" t="s">
        <v>11486</v>
      </c>
      <c r="P955" s="6">
        <v>3328.0</v>
      </c>
    </row>
    <row r="956" ht="56.25" customHeight="1">
      <c r="A956" s="5" t="s">
        <v>11487</v>
      </c>
      <c r="B956" s="6" t="str">
        <f>IMAGE("https://storage.googleapis.com/acdb/tops/TopsTexTopYshirtsLVest1.png")</f>
        <v/>
      </c>
      <c r="C956" s="5" t="s">
        <v>1187</v>
      </c>
      <c r="D956" s="8" t="s">
        <v>36</v>
      </c>
      <c r="E956" s="6">
        <v>1400.0</v>
      </c>
      <c r="F956" s="6">
        <v>350.0</v>
      </c>
      <c r="G956" s="5" t="s">
        <v>68</v>
      </c>
      <c r="H956" s="5" t="s">
        <v>57</v>
      </c>
      <c r="I956" s="6" t="s">
        <v>40</v>
      </c>
      <c r="J956" s="5" t="s">
        <v>8585</v>
      </c>
      <c r="K956" s="5" t="s">
        <v>8632</v>
      </c>
      <c r="L956" s="6" t="s">
        <v>42</v>
      </c>
      <c r="M956" s="5" t="s">
        <v>995</v>
      </c>
      <c r="N956" s="5" t="s">
        <v>64</v>
      </c>
      <c r="O956" s="5" t="s">
        <v>11489</v>
      </c>
      <c r="P956" s="6">
        <v>8116.0</v>
      </c>
    </row>
    <row r="957" ht="56.25" customHeight="1">
      <c r="A957" s="5" t="s">
        <v>11487</v>
      </c>
      <c r="B957" s="6" t="str">
        <f>IMAGE("https://storage.googleapis.com/acdb/tops/TopsTexTopYshirtsLVest2.png")</f>
        <v/>
      </c>
      <c r="C957" s="5" t="s">
        <v>95</v>
      </c>
      <c r="D957" s="8" t="s">
        <v>36</v>
      </c>
      <c r="E957" s="6">
        <v>1400.0</v>
      </c>
      <c r="F957" s="6">
        <v>350.0</v>
      </c>
      <c r="G957" s="5" t="s">
        <v>95</v>
      </c>
      <c r="H957" s="5" t="s">
        <v>57</v>
      </c>
      <c r="I957" s="6" t="s">
        <v>40</v>
      </c>
      <c r="J957" s="5" t="s">
        <v>8585</v>
      </c>
      <c r="K957" s="5" t="s">
        <v>8632</v>
      </c>
      <c r="L957" s="6" t="s">
        <v>42</v>
      </c>
      <c r="M957" s="5" t="s">
        <v>995</v>
      </c>
      <c r="N957" s="5" t="s">
        <v>64</v>
      </c>
      <c r="O957" s="5" t="s">
        <v>11491</v>
      </c>
      <c r="P957" s="6">
        <v>8117.0</v>
      </c>
    </row>
    <row r="958" ht="56.25" customHeight="1">
      <c r="A958" s="5" t="s">
        <v>11487</v>
      </c>
      <c r="B958" s="6" t="str">
        <f>IMAGE("https://storage.googleapis.com/acdb/tops/TopsTexTopYshirtsLVest3.png")</f>
        <v/>
      </c>
      <c r="C958" s="5" t="s">
        <v>57</v>
      </c>
      <c r="D958" s="8" t="s">
        <v>36</v>
      </c>
      <c r="E958" s="6">
        <v>1400.0</v>
      </c>
      <c r="F958" s="6">
        <v>350.0</v>
      </c>
      <c r="G958" s="5" t="s">
        <v>57</v>
      </c>
      <c r="H958" s="5" t="s">
        <v>57</v>
      </c>
      <c r="I958" s="6" t="s">
        <v>40</v>
      </c>
      <c r="J958" s="5" t="s">
        <v>8585</v>
      </c>
      <c r="K958" s="5" t="s">
        <v>8632</v>
      </c>
      <c r="L958" s="6" t="s">
        <v>42</v>
      </c>
      <c r="M958" s="5" t="s">
        <v>995</v>
      </c>
      <c r="N958" s="5" t="s">
        <v>64</v>
      </c>
      <c r="O958" s="5" t="s">
        <v>11496</v>
      </c>
      <c r="P958" s="6">
        <v>8118.0</v>
      </c>
    </row>
    <row r="959" ht="56.25" customHeight="1">
      <c r="A959" s="5" t="s">
        <v>11487</v>
      </c>
      <c r="B959" s="6" t="str">
        <f>IMAGE("https://storage.googleapis.com/acdb/tops/TopsTexTopYshirtsLVest0.png")</f>
        <v/>
      </c>
      <c r="C959" s="5" t="s">
        <v>38</v>
      </c>
      <c r="D959" s="8" t="s">
        <v>36</v>
      </c>
      <c r="E959" s="6">
        <v>1400.0</v>
      </c>
      <c r="F959" s="6">
        <v>350.0</v>
      </c>
      <c r="G959" s="5" t="s">
        <v>38</v>
      </c>
      <c r="H959" s="5" t="s">
        <v>57</v>
      </c>
      <c r="I959" s="6" t="s">
        <v>40</v>
      </c>
      <c r="J959" s="5" t="s">
        <v>8585</v>
      </c>
      <c r="K959" s="5" t="s">
        <v>8632</v>
      </c>
      <c r="L959" s="6" t="s">
        <v>42</v>
      </c>
      <c r="M959" s="5" t="s">
        <v>995</v>
      </c>
      <c r="N959" s="5" t="s">
        <v>64</v>
      </c>
      <c r="O959" s="5" t="s">
        <v>11499</v>
      </c>
      <c r="P959" s="6">
        <v>3489.0</v>
      </c>
    </row>
    <row r="960" ht="56.25" customHeight="1">
      <c r="A960" s="5" t="s">
        <v>11500</v>
      </c>
      <c r="B960" s="6" t="str">
        <f>IMAGE("https://storage.googleapis.com/acdb/tops/TopsTexTopOuterLSweat0.png")</f>
        <v/>
      </c>
      <c r="C960" s="5" t="s">
        <v>95</v>
      </c>
      <c r="D960" s="8" t="s">
        <v>36</v>
      </c>
      <c r="E960" s="6">
        <v>700.0</v>
      </c>
      <c r="F960" s="6">
        <v>175.0</v>
      </c>
      <c r="G960" s="5" t="s">
        <v>95</v>
      </c>
      <c r="H960" s="5" t="s">
        <v>95</v>
      </c>
      <c r="I960" s="6" t="s">
        <v>40</v>
      </c>
      <c r="J960" s="5" t="s">
        <v>8585</v>
      </c>
      <c r="K960" s="5" t="s">
        <v>8632</v>
      </c>
      <c r="L960" s="6" t="s">
        <v>42</v>
      </c>
      <c r="M960" s="5" t="s">
        <v>995</v>
      </c>
      <c r="N960" s="5" t="s">
        <v>64</v>
      </c>
      <c r="O960" s="5" t="s">
        <v>11503</v>
      </c>
      <c r="P960" s="6">
        <v>3671.0</v>
      </c>
    </row>
    <row r="961" ht="56.25" customHeight="1">
      <c r="A961" s="5" t="s">
        <v>11500</v>
      </c>
      <c r="B961" s="6" t="str">
        <f>IMAGE("https://storage.googleapis.com/acdb/tops/TopsTexTopOuterLSweat5.png")</f>
        <v/>
      </c>
      <c r="C961" s="5" t="s">
        <v>68</v>
      </c>
      <c r="D961" s="8" t="s">
        <v>36</v>
      </c>
      <c r="E961" s="6">
        <v>700.0</v>
      </c>
      <c r="F961" s="6">
        <v>175.0</v>
      </c>
      <c r="G961" s="5" t="s">
        <v>68</v>
      </c>
      <c r="H961" s="5" t="s">
        <v>68</v>
      </c>
      <c r="I961" s="6" t="s">
        <v>40</v>
      </c>
      <c r="J961" s="5" t="s">
        <v>8585</v>
      </c>
      <c r="K961" s="5" t="s">
        <v>8632</v>
      </c>
      <c r="L961" s="6" t="s">
        <v>42</v>
      </c>
      <c r="M961" s="5" t="s">
        <v>995</v>
      </c>
      <c r="N961" s="5" t="s">
        <v>64</v>
      </c>
      <c r="O961" s="5" t="s">
        <v>11506</v>
      </c>
      <c r="P961" s="6">
        <v>7980.0</v>
      </c>
    </row>
    <row r="962" ht="56.25" customHeight="1">
      <c r="A962" s="5" t="s">
        <v>11500</v>
      </c>
      <c r="B962" s="6" t="str">
        <f>IMAGE("https://storage.googleapis.com/acdb/tops/TopsTexTopOuterLSweat1.png")</f>
        <v/>
      </c>
      <c r="C962" s="5" t="s">
        <v>96</v>
      </c>
      <c r="D962" s="8" t="s">
        <v>36</v>
      </c>
      <c r="E962" s="6">
        <v>700.0</v>
      </c>
      <c r="F962" s="6">
        <v>175.0</v>
      </c>
      <c r="G962" s="5" t="s">
        <v>96</v>
      </c>
      <c r="H962" s="5" t="s">
        <v>96</v>
      </c>
      <c r="I962" s="6" t="s">
        <v>40</v>
      </c>
      <c r="J962" s="5" t="s">
        <v>8585</v>
      </c>
      <c r="K962" s="5" t="s">
        <v>8632</v>
      </c>
      <c r="L962" s="6" t="s">
        <v>42</v>
      </c>
      <c r="M962" s="5" t="s">
        <v>995</v>
      </c>
      <c r="N962" s="5" t="s">
        <v>64</v>
      </c>
      <c r="O962" s="5" t="s">
        <v>11508</v>
      </c>
      <c r="P962" s="6">
        <v>7976.0</v>
      </c>
    </row>
    <row r="963" ht="56.25" customHeight="1">
      <c r="A963" s="5" t="s">
        <v>11500</v>
      </c>
      <c r="B963" s="6" t="str">
        <f>IMAGE("https://storage.googleapis.com/acdb/tops/TopsTexTopOuterLSweat2.png")</f>
        <v/>
      </c>
      <c r="C963" s="5" t="s">
        <v>114</v>
      </c>
      <c r="D963" s="8" t="s">
        <v>36</v>
      </c>
      <c r="E963" s="6">
        <v>700.0</v>
      </c>
      <c r="F963" s="6">
        <v>175.0</v>
      </c>
      <c r="G963" s="5" t="s">
        <v>114</v>
      </c>
      <c r="H963" s="5" t="s">
        <v>114</v>
      </c>
      <c r="I963" s="6" t="s">
        <v>40</v>
      </c>
      <c r="J963" s="5" t="s">
        <v>8585</v>
      </c>
      <c r="K963" s="5" t="s">
        <v>8632</v>
      </c>
      <c r="L963" s="6" t="s">
        <v>42</v>
      </c>
      <c r="M963" s="5" t="s">
        <v>995</v>
      </c>
      <c r="N963" s="5" t="s">
        <v>64</v>
      </c>
      <c r="O963" s="5" t="s">
        <v>11512</v>
      </c>
      <c r="P963" s="6">
        <v>7977.0</v>
      </c>
    </row>
    <row r="964" ht="56.25" customHeight="1">
      <c r="A964" s="5" t="s">
        <v>11500</v>
      </c>
      <c r="B964" s="6" t="str">
        <f>IMAGE("https://storage.googleapis.com/acdb/tops/TopsTexTopOuterLSweat3.png")</f>
        <v/>
      </c>
      <c r="C964" s="5" t="s">
        <v>106</v>
      </c>
      <c r="D964" s="8" t="s">
        <v>36</v>
      </c>
      <c r="E964" s="6">
        <v>700.0</v>
      </c>
      <c r="F964" s="6">
        <v>175.0</v>
      </c>
      <c r="G964" s="5" t="s">
        <v>106</v>
      </c>
      <c r="H964" s="5" t="s">
        <v>106</v>
      </c>
      <c r="I964" s="6" t="s">
        <v>40</v>
      </c>
      <c r="J964" s="5" t="s">
        <v>8585</v>
      </c>
      <c r="K964" s="5" t="s">
        <v>8632</v>
      </c>
      <c r="L964" s="6" t="s">
        <v>42</v>
      </c>
      <c r="M964" s="5" t="s">
        <v>995</v>
      </c>
      <c r="N964" s="5" t="s">
        <v>64</v>
      </c>
      <c r="O964" s="5" t="s">
        <v>11514</v>
      </c>
      <c r="P964" s="6">
        <v>7978.0</v>
      </c>
    </row>
    <row r="965" ht="56.25" customHeight="1">
      <c r="A965" s="5" t="s">
        <v>11500</v>
      </c>
      <c r="B965" s="6" t="str">
        <f>IMAGE("https://storage.googleapis.com/acdb/tops/TopsTexTopOuterLSweat4.png")</f>
        <v/>
      </c>
      <c r="C965" s="5" t="s">
        <v>52</v>
      </c>
      <c r="D965" s="8" t="s">
        <v>36</v>
      </c>
      <c r="E965" s="6">
        <v>700.0</v>
      </c>
      <c r="F965" s="6">
        <v>175.0</v>
      </c>
      <c r="G965" s="5" t="s">
        <v>52</v>
      </c>
      <c r="H965" s="5" t="s">
        <v>52</v>
      </c>
      <c r="I965" s="6" t="s">
        <v>40</v>
      </c>
      <c r="J965" s="5" t="s">
        <v>8585</v>
      </c>
      <c r="K965" s="5" t="s">
        <v>8632</v>
      </c>
      <c r="L965" s="6" t="s">
        <v>42</v>
      </c>
      <c r="M965" s="5" t="s">
        <v>995</v>
      </c>
      <c r="N965" s="5" t="s">
        <v>64</v>
      </c>
      <c r="O965" s="5" t="s">
        <v>11517</v>
      </c>
      <c r="P965" s="6">
        <v>7979.0</v>
      </c>
    </row>
    <row r="966" ht="56.25" customHeight="1">
      <c r="A966" s="5" t="s">
        <v>11519</v>
      </c>
      <c r="B966" s="6" t="str">
        <f>IMAGE("https://storage.googleapis.com/acdb/tops/TopsTexTopYshirtsLBustier0.png")</f>
        <v/>
      </c>
      <c r="C966" s="5" t="s">
        <v>95</v>
      </c>
      <c r="D966" s="8" t="s">
        <v>36</v>
      </c>
      <c r="E966" s="6">
        <v>1200.0</v>
      </c>
      <c r="F966" s="6">
        <v>300.0</v>
      </c>
      <c r="G966" s="5" t="s">
        <v>95</v>
      </c>
      <c r="H966" s="5" t="s">
        <v>57</v>
      </c>
      <c r="I966" s="6" t="s">
        <v>40</v>
      </c>
      <c r="J966" s="5" t="s">
        <v>8585</v>
      </c>
      <c r="K966" s="5" t="s">
        <v>8632</v>
      </c>
      <c r="L966" s="6" t="s">
        <v>42</v>
      </c>
      <c r="M966" s="5" t="s">
        <v>1059</v>
      </c>
      <c r="N966" s="5" t="s">
        <v>64</v>
      </c>
      <c r="O966" s="5" t="s">
        <v>11522</v>
      </c>
      <c r="P966" s="6">
        <v>4578.0</v>
      </c>
    </row>
    <row r="967" ht="56.25" customHeight="1">
      <c r="A967" s="5" t="s">
        <v>11519</v>
      </c>
      <c r="B967" s="6" t="str">
        <f>IMAGE("https://storage.googleapis.com/acdb/tops/TopsTexTopYshirtsLBustier1.png")</f>
        <v/>
      </c>
      <c r="C967" s="5" t="s">
        <v>38</v>
      </c>
      <c r="D967" s="8" t="s">
        <v>36</v>
      </c>
      <c r="E967" s="6">
        <v>1200.0</v>
      </c>
      <c r="F967" s="6">
        <v>300.0</v>
      </c>
      <c r="G967" s="5" t="s">
        <v>142</v>
      </c>
      <c r="H967" s="5" t="s">
        <v>57</v>
      </c>
      <c r="I967" s="6" t="s">
        <v>40</v>
      </c>
      <c r="J967" s="5" t="s">
        <v>8585</v>
      </c>
      <c r="K967" s="5" t="s">
        <v>8632</v>
      </c>
      <c r="L967" s="6" t="s">
        <v>42</v>
      </c>
      <c r="M967" s="5" t="s">
        <v>1059</v>
      </c>
      <c r="N967" s="5" t="s">
        <v>64</v>
      </c>
      <c r="O967" s="5" t="s">
        <v>11525</v>
      </c>
      <c r="P967" s="6">
        <v>9032.0</v>
      </c>
    </row>
    <row r="968" ht="56.25" customHeight="1">
      <c r="A968" s="5" t="s">
        <v>11519</v>
      </c>
      <c r="B968" s="6" t="str">
        <f>IMAGE("https://storage.googleapis.com/acdb/tops/TopsTexTopYshirtsLBustier2.png")</f>
        <v/>
      </c>
      <c r="C968" s="5" t="s">
        <v>96</v>
      </c>
      <c r="D968" s="8" t="s">
        <v>36</v>
      </c>
      <c r="E968" s="6">
        <v>1200.0</v>
      </c>
      <c r="F968" s="6">
        <v>300.0</v>
      </c>
      <c r="G968" s="5" t="s">
        <v>96</v>
      </c>
      <c r="H968" s="5" t="s">
        <v>57</v>
      </c>
      <c r="I968" s="6" t="s">
        <v>40</v>
      </c>
      <c r="J968" s="5" t="s">
        <v>8585</v>
      </c>
      <c r="K968" s="5" t="s">
        <v>8632</v>
      </c>
      <c r="L968" s="6" t="s">
        <v>42</v>
      </c>
      <c r="M968" s="5" t="s">
        <v>1059</v>
      </c>
      <c r="N968" s="5" t="s">
        <v>64</v>
      </c>
      <c r="O968" s="5" t="s">
        <v>11529</v>
      </c>
      <c r="P968" s="6">
        <v>9033.0</v>
      </c>
    </row>
    <row r="969" ht="56.25" customHeight="1">
      <c r="A969" s="5" t="s">
        <v>11519</v>
      </c>
      <c r="B969" s="6" t="str">
        <f>IMAGE("https://storage.googleapis.com/acdb/tops/TopsTexTopYshirtsLBustier3.png")</f>
        <v/>
      </c>
      <c r="C969" s="5" t="s">
        <v>69</v>
      </c>
      <c r="D969" s="8" t="s">
        <v>36</v>
      </c>
      <c r="E969" s="6">
        <v>1200.0</v>
      </c>
      <c r="F969" s="6">
        <v>300.0</v>
      </c>
      <c r="G969" s="5" t="s">
        <v>69</v>
      </c>
      <c r="H969" s="5" t="s">
        <v>57</v>
      </c>
      <c r="I969" s="6" t="s">
        <v>40</v>
      </c>
      <c r="J969" s="5" t="s">
        <v>8585</v>
      </c>
      <c r="K969" s="5" t="s">
        <v>8632</v>
      </c>
      <c r="L969" s="6" t="s">
        <v>42</v>
      </c>
      <c r="M969" s="5" t="s">
        <v>1059</v>
      </c>
      <c r="N969" s="5" t="s">
        <v>64</v>
      </c>
      <c r="O969" s="5" t="s">
        <v>11533</v>
      </c>
      <c r="P969" s="6">
        <v>9034.0</v>
      </c>
    </row>
    <row r="970" ht="56.25" customHeight="1">
      <c r="A970" s="5" t="s">
        <v>11519</v>
      </c>
      <c r="B970" s="6" t="str">
        <f>IMAGE("https://storage.googleapis.com/acdb/tops/TopsTexTopYshirtsLBustier4.png")</f>
        <v/>
      </c>
      <c r="C970" s="5" t="s">
        <v>68</v>
      </c>
      <c r="D970" s="8" t="s">
        <v>36</v>
      </c>
      <c r="E970" s="6">
        <v>1200.0</v>
      </c>
      <c r="F970" s="6">
        <v>300.0</v>
      </c>
      <c r="G970" s="5" t="s">
        <v>68</v>
      </c>
      <c r="H970" s="5" t="s">
        <v>57</v>
      </c>
      <c r="I970" s="6" t="s">
        <v>40</v>
      </c>
      <c r="J970" s="5" t="s">
        <v>8585</v>
      </c>
      <c r="K970" s="5" t="s">
        <v>8632</v>
      </c>
      <c r="L970" s="6" t="s">
        <v>42</v>
      </c>
      <c r="M970" s="5" t="s">
        <v>1059</v>
      </c>
      <c r="N970" s="5" t="s">
        <v>64</v>
      </c>
      <c r="O970" s="5" t="s">
        <v>11536</v>
      </c>
      <c r="P970" s="6">
        <v>9035.0</v>
      </c>
    </row>
    <row r="971" ht="56.25" customHeight="1">
      <c r="A971" s="5" t="s">
        <v>11537</v>
      </c>
      <c r="B971" s="6" t="str">
        <f>IMAGE("https://storage.googleapis.com/acdb/tops/TopsTexTopCoatLTailcoat1.png")</f>
        <v/>
      </c>
      <c r="C971" s="5" t="s">
        <v>57</v>
      </c>
      <c r="D971" s="8" t="s">
        <v>36</v>
      </c>
      <c r="E971" s="6">
        <v>2500.0</v>
      </c>
      <c r="F971" s="6">
        <v>625.0</v>
      </c>
      <c r="G971" s="5" t="s">
        <v>57</v>
      </c>
      <c r="H971" s="5" t="s">
        <v>68</v>
      </c>
      <c r="I971" s="6" t="s">
        <v>40</v>
      </c>
      <c r="J971" s="5" t="s">
        <v>8585</v>
      </c>
      <c r="K971" s="5" t="s">
        <v>8586</v>
      </c>
      <c r="L971" s="6" t="s">
        <v>42</v>
      </c>
      <c r="M971" s="5" t="s">
        <v>1059</v>
      </c>
      <c r="N971" s="5" t="s">
        <v>64</v>
      </c>
      <c r="O971" s="5" t="s">
        <v>11541</v>
      </c>
      <c r="P971" s="6">
        <v>8284.0</v>
      </c>
    </row>
    <row r="972" ht="56.25" customHeight="1">
      <c r="A972" s="5" t="s">
        <v>11537</v>
      </c>
      <c r="B972" s="6" t="str">
        <f>IMAGE("https://storage.googleapis.com/acdb/tops/TopsTexTopCoatLTailcoat0.png")</f>
        <v/>
      </c>
      <c r="C972" s="5" t="s">
        <v>54</v>
      </c>
      <c r="D972" s="8" t="s">
        <v>36</v>
      </c>
      <c r="E972" s="6">
        <v>2500.0</v>
      </c>
      <c r="F972" s="6">
        <v>625.0</v>
      </c>
      <c r="G972" s="5" t="s">
        <v>54</v>
      </c>
      <c r="H972" s="5" t="s">
        <v>95</v>
      </c>
      <c r="I972" s="6" t="s">
        <v>40</v>
      </c>
      <c r="J972" s="5" t="s">
        <v>8585</v>
      </c>
      <c r="K972" s="5" t="s">
        <v>8586</v>
      </c>
      <c r="L972" s="6" t="s">
        <v>42</v>
      </c>
      <c r="M972" s="5" t="s">
        <v>1059</v>
      </c>
      <c r="N972" s="5" t="s">
        <v>64</v>
      </c>
      <c r="O972" s="5" t="s">
        <v>11547</v>
      </c>
      <c r="P972" s="6">
        <v>4440.0</v>
      </c>
    </row>
    <row r="973" ht="56.25" customHeight="1">
      <c r="A973" s="5" t="s">
        <v>11548</v>
      </c>
      <c r="B973" s="6" t="str">
        <f>IMAGE("https://storage.googleapis.com/acdb/tops/TopsTexTopYshirtsLTailored1.png")</f>
        <v/>
      </c>
      <c r="C973" s="5" t="s">
        <v>54</v>
      </c>
      <c r="D973" s="8" t="s">
        <v>36</v>
      </c>
      <c r="E973" s="6">
        <v>1400.0</v>
      </c>
      <c r="F973" s="6">
        <v>350.0</v>
      </c>
      <c r="G973" s="5" t="s">
        <v>54</v>
      </c>
      <c r="H973" s="5" t="s">
        <v>57</v>
      </c>
      <c r="I973" s="6" t="s">
        <v>40</v>
      </c>
      <c r="J973" s="5" t="s">
        <v>8585</v>
      </c>
      <c r="K973" s="5" t="s">
        <v>8632</v>
      </c>
      <c r="L973" s="6" t="s">
        <v>42</v>
      </c>
      <c r="M973" s="5" t="s">
        <v>995</v>
      </c>
      <c r="N973" s="5" t="s">
        <v>64</v>
      </c>
      <c r="O973" s="5" t="s">
        <v>11553</v>
      </c>
      <c r="P973" s="6">
        <v>8272.0</v>
      </c>
    </row>
    <row r="974" ht="56.25" customHeight="1">
      <c r="A974" s="5" t="s">
        <v>11548</v>
      </c>
      <c r="B974" s="6" t="str">
        <f>IMAGE("https://storage.googleapis.com/acdb/tops/TopsTexTopYshirtsLTailored2.png")</f>
        <v/>
      </c>
      <c r="C974" s="5" t="s">
        <v>1187</v>
      </c>
      <c r="D974" s="8" t="s">
        <v>36</v>
      </c>
      <c r="E974" s="6">
        <v>1400.0</v>
      </c>
      <c r="F974" s="6">
        <v>350.0</v>
      </c>
      <c r="G974" s="5" t="s">
        <v>68</v>
      </c>
      <c r="H974" s="5" t="s">
        <v>57</v>
      </c>
      <c r="I974" s="6" t="s">
        <v>40</v>
      </c>
      <c r="J974" s="5" t="s">
        <v>8585</v>
      </c>
      <c r="K974" s="5" t="s">
        <v>8632</v>
      </c>
      <c r="L974" s="6" t="s">
        <v>42</v>
      </c>
      <c r="M974" s="5" t="s">
        <v>995</v>
      </c>
      <c r="N974" s="5" t="s">
        <v>64</v>
      </c>
      <c r="O974" s="5" t="s">
        <v>11557</v>
      </c>
      <c r="P974" s="6">
        <v>8273.0</v>
      </c>
    </row>
    <row r="975" ht="56.25" customHeight="1">
      <c r="A975" s="5" t="s">
        <v>11548</v>
      </c>
      <c r="B975" s="6" t="str">
        <f>IMAGE("https://storage.googleapis.com/acdb/tops/TopsTexTopYshirtsLTailored0.png")</f>
        <v/>
      </c>
      <c r="C975" s="5" t="s">
        <v>95</v>
      </c>
      <c r="D975" s="8" t="s">
        <v>36</v>
      </c>
      <c r="E975" s="6">
        <v>1400.0</v>
      </c>
      <c r="F975" s="6">
        <v>350.0</v>
      </c>
      <c r="G975" s="5" t="s">
        <v>95</v>
      </c>
      <c r="H975" s="5" t="s">
        <v>57</v>
      </c>
      <c r="I975" s="6" t="s">
        <v>40</v>
      </c>
      <c r="J975" s="5" t="s">
        <v>8585</v>
      </c>
      <c r="K975" s="5" t="s">
        <v>8632</v>
      </c>
      <c r="L975" s="6" t="s">
        <v>42</v>
      </c>
      <c r="M975" s="5" t="s">
        <v>995</v>
      </c>
      <c r="N975" s="5" t="s">
        <v>64</v>
      </c>
      <c r="O975" s="5" t="s">
        <v>11560</v>
      </c>
      <c r="P975" s="6">
        <v>3474.0</v>
      </c>
    </row>
    <row r="976" ht="56.25" customHeight="1">
      <c r="A976" s="5" t="s">
        <v>11548</v>
      </c>
      <c r="B976" s="6" t="str">
        <f>IMAGE("https://storage.googleapis.com/acdb/tops/TopsTexTopYshirtsLTailored3.png")</f>
        <v/>
      </c>
      <c r="C976" s="5" t="s">
        <v>38</v>
      </c>
      <c r="D976" s="8" t="s">
        <v>36</v>
      </c>
      <c r="E976" s="6">
        <v>1400.0</v>
      </c>
      <c r="F976" s="6">
        <v>350.0</v>
      </c>
      <c r="G976" s="5" t="s">
        <v>38</v>
      </c>
      <c r="H976" s="5" t="s">
        <v>57</v>
      </c>
      <c r="I976" s="6" t="s">
        <v>40</v>
      </c>
      <c r="J976" s="5" t="s">
        <v>8585</v>
      </c>
      <c r="K976" s="5" t="s">
        <v>8632</v>
      </c>
      <c r="L976" s="6" t="s">
        <v>42</v>
      </c>
      <c r="M976" s="5" t="s">
        <v>995</v>
      </c>
      <c r="N976" s="5" t="s">
        <v>64</v>
      </c>
      <c r="O976" s="5" t="s">
        <v>11564</v>
      </c>
      <c r="P976" s="6">
        <v>8274.0</v>
      </c>
    </row>
    <row r="977" ht="56.25" customHeight="1">
      <c r="A977" s="5" t="s">
        <v>11548</v>
      </c>
      <c r="B977" s="6" t="str">
        <f>IMAGE("https://storage.googleapis.com/acdb/tops/TopsTexTopYshirtsLTailored4.png")</f>
        <v/>
      </c>
      <c r="C977" s="5" t="s">
        <v>96</v>
      </c>
      <c r="D977" s="8" t="s">
        <v>36</v>
      </c>
      <c r="E977" s="6">
        <v>1400.0</v>
      </c>
      <c r="F977" s="6">
        <v>350.0</v>
      </c>
      <c r="G977" s="5" t="s">
        <v>96</v>
      </c>
      <c r="H977" s="5" t="s">
        <v>57</v>
      </c>
      <c r="I977" s="6" t="s">
        <v>40</v>
      </c>
      <c r="J977" s="5" t="s">
        <v>8585</v>
      </c>
      <c r="K977" s="5" t="s">
        <v>8632</v>
      </c>
      <c r="L977" s="6" t="s">
        <v>42</v>
      </c>
      <c r="M977" s="5" t="s">
        <v>995</v>
      </c>
      <c r="N977" s="5" t="s">
        <v>64</v>
      </c>
      <c r="O977" s="5" t="s">
        <v>11570</v>
      </c>
      <c r="P977" s="6">
        <v>8275.0</v>
      </c>
    </row>
    <row r="978" ht="56.25" customHeight="1">
      <c r="A978" s="5" t="s">
        <v>11571</v>
      </c>
      <c r="B978" s="6" t="str">
        <f>IMAGE("https://storage.googleapis.com/acdb/tops/TopsTexTopTshirtsNTanktop1.png")</f>
        <v/>
      </c>
      <c r="C978" s="5" t="s">
        <v>57</v>
      </c>
      <c r="D978" s="8" t="s">
        <v>36</v>
      </c>
      <c r="E978" s="6">
        <v>350.0</v>
      </c>
      <c r="F978" s="6">
        <v>87.0</v>
      </c>
      <c r="G978" s="5" t="s">
        <v>57</v>
      </c>
      <c r="H978" s="5" t="s">
        <v>57</v>
      </c>
      <c r="I978" s="6" t="s">
        <v>40</v>
      </c>
      <c r="J978" s="5" t="s">
        <v>8585</v>
      </c>
      <c r="K978" s="5" t="s">
        <v>8632</v>
      </c>
      <c r="L978" s="6" t="s">
        <v>42</v>
      </c>
      <c r="M978" s="5" t="s">
        <v>995</v>
      </c>
      <c r="N978" s="5" t="s">
        <v>64</v>
      </c>
      <c r="O978" s="5" t="s">
        <v>11575</v>
      </c>
      <c r="P978" s="6">
        <v>8373.0</v>
      </c>
    </row>
    <row r="979" ht="56.25" customHeight="1">
      <c r="A979" s="5" t="s">
        <v>11571</v>
      </c>
      <c r="B979" s="6" t="str">
        <f>IMAGE("https://storage.googleapis.com/acdb/tops/TopsTexTopTshirtsNTanktop2.png")</f>
        <v/>
      </c>
      <c r="C979" s="5" t="s">
        <v>39</v>
      </c>
      <c r="D979" s="8" t="s">
        <v>36</v>
      </c>
      <c r="E979" s="6">
        <v>350.0</v>
      </c>
      <c r="F979" s="6">
        <v>87.0</v>
      </c>
      <c r="G979" s="5" t="s">
        <v>39</v>
      </c>
      <c r="H979" s="5" t="s">
        <v>39</v>
      </c>
      <c r="I979" s="6" t="s">
        <v>40</v>
      </c>
      <c r="J979" s="5" t="s">
        <v>8585</v>
      </c>
      <c r="K979" s="5" t="s">
        <v>8632</v>
      </c>
      <c r="L979" s="6" t="s">
        <v>42</v>
      </c>
      <c r="M979" s="5" t="s">
        <v>995</v>
      </c>
      <c r="N979" s="5" t="s">
        <v>64</v>
      </c>
      <c r="O979" s="5" t="s">
        <v>11577</v>
      </c>
      <c r="P979" s="6">
        <v>8374.0</v>
      </c>
    </row>
    <row r="980" ht="56.25" customHeight="1">
      <c r="A980" s="5" t="s">
        <v>11571</v>
      </c>
      <c r="B980" s="6" t="str">
        <f>IMAGE("https://storage.googleapis.com/acdb/tops/TopsTexTopTshirtsNTanktop3.png")</f>
        <v/>
      </c>
      <c r="C980" s="5" t="s">
        <v>52</v>
      </c>
      <c r="D980" s="8" t="s">
        <v>36</v>
      </c>
      <c r="E980" s="6">
        <v>350.0</v>
      </c>
      <c r="F980" s="6">
        <v>87.0</v>
      </c>
      <c r="G980" s="5" t="s">
        <v>52</v>
      </c>
      <c r="H980" s="5" t="s">
        <v>52</v>
      </c>
      <c r="I980" s="6" t="s">
        <v>40</v>
      </c>
      <c r="J980" s="5" t="s">
        <v>8585</v>
      </c>
      <c r="K980" s="5" t="s">
        <v>8632</v>
      </c>
      <c r="L980" s="6" t="s">
        <v>42</v>
      </c>
      <c r="M980" s="5" t="s">
        <v>995</v>
      </c>
      <c r="N980" s="5" t="s">
        <v>64</v>
      </c>
      <c r="O980" s="5" t="s">
        <v>11581</v>
      </c>
      <c r="P980" s="6">
        <v>8375.0</v>
      </c>
    </row>
    <row r="981" ht="56.25" customHeight="1">
      <c r="A981" s="5" t="s">
        <v>11571</v>
      </c>
      <c r="B981" s="6" t="str">
        <f>IMAGE("https://storage.googleapis.com/acdb/tops/TopsTexTopTshirtsNTanktop4.png")</f>
        <v/>
      </c>
      <c r="C981" s="5" t="s">
        <v>1187</v>
      </c>
      <c r="D981" s="8" t="s">
        <v>36</v>
      </c>
      <c r="E981" s="6">
        <v>350.0</v>
      </c>
      <c r="F981" s="6">
        <v>87.0</v>
      </c>
      <c r="G981" s="5" t="s">
        <v>68</v>
      </c>
      <c r="H981" s="5" t="s">
        <v>68</v>
      </c>
      <c r="I981" s="6" t="s">
        <v>40</v>
      </c>
      <c r="J981" s="5" t="s">
        <v>8585</v>
      </c>
      <c r="K981" s="5" t="s">
        <v>8632</v>
      </c>
      <c r="L981" s="6" t="s">
        <v>42</v>
      </c>
      <c r="M981" s="5" t="s">
        <v>995</v>
      </c>
      <c r="N981" s="5" t="s">
        <v>64</v>
      </c>
      <c r="O981" s="5" t="s">
        <v>11585</v>
      </c>
      <c r="P981" s="6">
        <v>8376.0</v>
      </c>
    </row>
    <row r="982" ht="56.25" customHeight="1">
      <c r="A982" s="5" t="s">
        <v>11571</v>
      </c>
      <c r="B982" s="6" t="str">
        <f>IMAGE("https://storage.googleapis.com/acdb/tops/TopsTexTopTshirtsNTanktop0.png")</f>
        <v/>
      </c>
      <c r="C982" s="5" t="s">
        <v>54</v>
      </c>
      <c r="D982" s="8" t="s">
        <v>36</v>
      </c>
      <c r="E982" s="6">
        <v>350.0</v>
      </c>
      <c r="F982" s="6">
        <v>87.0</v>
      </c>
      <c r="G982" s="5" t="s">
        <v>54</v>
      </c>
      <c r="H982" s="5" t="s">
        <v>54</v>
      </c>
      <c r="I982" s="6" t="s">
        <v>40</v>
      </c>
      <c r="J982" s="5" t="s">
        <v>8585</v>
      </c>
      <c r="K982" s="5" t="s">
        <v>8632</v>
      </c>
      <c r="L982" s="6" t="s">
        <v>42</v>
      </c>
      <c r="M982" s="5" t="s">
        <v>995</v>
      </c>
      <c r="N982" s="5" t="s">
        <v>64</v>
      </c>
      <c r="O982" s="5" t="s">
        <v>11591</v>
      </c>
      <c r="P982" s="6">
        <v>3192.0</v>
      </c>
    </row>
    <row r="983" ht="56.25" customHeight="1">
      <c r="A983" s="5" t="s">
        <v>11592</v>
      </c>
      <c r="B983" s="6" t="str">
        <f>IMAGE("https://storage.googleapis.com/acdb/tops/TopsTexTopOuterLParkertshirt1.png")</f>
        <v/>
      </c>
      <c r="C983" s="5" t="s">
        <v>68</v>
      </c>
      <c r="D983" s="8" t="s">
        <v>36</v>
      </c>
      <c r="E983" s="6">
        <v>1400.0</v>
      </c>
      <c r="F983" s="6">
        <v>350.0</v>
      </c>
      <c r="G983" s="5" t="s">
        <v>68</v>
      </c>
      <c r="H983" s="5" t="s">
        <v>57</v>
      </c>
      <c r="I983" s="6" t="s">
        <v>40</v>
      </c>
      <c r="J983" s="5" t="s">
        <v>8585</v>
      </c>
      <c r="K983" s="5" t="s">
        <v>8632</v>
      </c>
      <c r="L983" s="6" t="s">
        <v>42</v>
      </c>
      <c r="M983" s="5" t="s">
        <v>995</v>
      </c>
      <c r="N983" s="5" t="s">
        <v>64</v>
      </c>
      <c r="O983" s="5" t="s">
        <v>11596</v>
      </c>
      <c r="P983" s="6">
        <v>7984.0</v>
      </c>
    </row>
    <row r="984" ht="56.25" customHeight="1">
      <c r="A984" s="5" t="s">
        <v>11592</v>
      </c>
      <c r="B984" s="6" t="str">
        <f>IMAGE("https://storage.googleapis.com/acdb/tops/TopsTexTopOuterLParkertshirt2.png")</f>
        <v/>
      </c>
      <c r="C984" s="5" t="s">
        <v>142</v>
      </c>
      <c r="D984" s="8" t="s">
        <v>36</v>
      </c>
      <c r="E984" s="6">
        <v>1400.0</v>
      </c>
      <c r="F984" s="6">
        <v>350.0</v>
      </c>
      <c r="G984" s="5" t="s">
        <v>142</v>
      </c>
      <c r="H984" s="5" t="s">
        <v>57</v>
      </c>
      <c r="I984" s="6" t="s">
        <v>40</v>
      </c>
      <c r="J984" s="5" t="s">
        <v>8585</v>
      </c>
      <c r="K984" s="5" t="s">
        <v>8632</v>
      </c>
      <c r="L984" s="6" t="s">
        <v>42</v>
      </c>
      <c r="M984" s="5" t="s">
        <v>995</v>
      </c>
      <c r="N984" s="5" t="s">
        <v>64</v>
      </c>
      <c r="O984" s="5" t="s">
        <v>11600</v>
      </c>
      <c r="P984" s="6">
        <v>7985.0</v>
      </c>
    </row>
    <row r="985" ht="56.25" customHeight="1">
      <c r="A985" s="5" t="s">
        <v>11592</v>
      </c>
      <c r="B985" s="6" t="str">
        <f>IMAGE("https://storage.googleapis.com/acdb/tops/TopsTexTopOuterLParkertshirt3.png")</f>
        <v/>
      </c>
      <c r="C985" s="5" t="s">
        <v>69</v>
      </c>
      <c r="D985" s="8" t="s">
        <v>36</v>
      </c>
      <c r="E985" s="6">
        <v>1400.0</v>
      </c>
      <c r="F985" s="6">
        <v>350.0</v>
      </c>
      <c r="G985" s="5" t="s">
        <v>69</v>
      </c>
      <c r="H985" s="5" t="s">
        <v>57</v>
      </c>
      <c r="I985" s="6" t="s">
        <v>40</v>
      </c>
      <c r="J985" s="5" t="s">
        <v>8585</v>
      </c>
      <c r="K985" s="5" t="s">
        <v>8632</v>
      </c>
      <c r="L985" s="6" t="s">
        <v>42</v>
      </c>
      <c r="M985" s="5" t="s">
        <v>995</v>
      </c>
      <c r="N985" s="5" t="s">
        <v>64</v>
      </c>
      <c r="O985" s="5" t="s">
        <v>11603</v>
      </c>
      <c r="P985" s="6">
        <v>7986.0</v>
      </c>
    </row>
    <row r="986" ht="56.25" customHeight="1">
      <c r="A986" s="5" t="s">
        <v>11592</v>
      </c>
      <c r="B986" s="6" t="str">
        <f>IMAGE("https://storage.googleapis.com/acdb/tops/TopsTexTopOuterLParkertshirt4.png")</f>
        <v/>
      </c>
      <c r="C986" s="5" t="s">
        <v>9021</v>
      </c>
      <c r="D986" s="8" t="s">
        <v>36</v>
      </c>
      <c r="E986" s="6">
        <v>1400.0</v>
      </c>
      <c r="F986" s="6">
        <v>350.0</v>
      </c>
      <c r="G986" s="5" t="s">
        <v>96</v>
      </c>
      <c r="H986" s="5" t="s">
        <v>57</v>
      </c>
      <c r="I986" s="6" t="s">
        <v>40</v>
      </c>
      <c r="J986" s="5" t="s">
        <v>8585</v>
      </c>
      <c r="K986" s="5" t="s">
        <v>8632</v>
      </c>
      <c r="L986" s="6" t="s">
        <v>42</v>
      </c>
      <c r="M986" s="5" t="s">
        <v>995</v>
      </c>
      <c r="N986" s="5" t="s">
        <v>64</v>
      </c>
      <c r="O986" s="5" t="s">
        <v>11607</v>
      </c>
      <c r="P986" s="6">
        <v>7987.0</v>
      </c>
    </row>
    <row r="987" ht="56.25" customHeight="1">
      <c r="A987" s="5" t="s">
        <v>11592</v>
      </c>
      <c r="B987" s="6" t="str">
        <f>IMAGE("https://storage.googleapis.com/acdb/tops/TopsTexTopOuterLParkertshirt0.png")</f>
        <v/>
      </c>
      <c r="C987" s="5" t="s">
        <v>1458</v>
      </c>
      <c r="D987" s="8" t="s">
        <v>36</v>
      </c>
      <c r="E987" s="6">
        <v>1400.0</v>
      </c>
      <c r="F987" s="6">
        <v>350.0</v>
      </c>
      <c r="G987" s="5" t="s">
        <v>114</v>
      </c>
      <c r="H987" s="5" t="s">
        <v>57</v>
      </c>
      <c r="I987" s="6" t="s">
        <v>40</v>
      </c>
      <c r="J987" s="5" t="s">
        <v>8585</v>
      </c>
      <c r="K987" s="5" t="s">
        <v>8632</v>
      </c>
      <c r="L987" s="6" t="s">
        <v>42</v>
      </c>
      <c r="M987" s="5" t="s">
        <v>995</v>
      </c>
      <c r="N987" s="5" t="s">
        <v>64</v>
      </c>
      <c r="O987" s="5" t="s">
        <v>11610</v>
      </c>
      <c r="P987" s="6">
        <v>4423.0</v>
      </c>
    </row>
    <row r="988" ht="56.25" customHeight="1">
      <c r="A988" s="5" t="s">
        <v>11611</v>
      </c>
      <c r="B988" s="6" t="str">
        <f>IMAGE("https://storage.googleapis.com/acdb/tops/TopsTexTopOuterLTennis0.png")</f>
        <v/>
      </c>
      <c r="C988" s="5" t="s">
        <v>186</v>
      </c>
      <c r="D988" s="8" t="s">
        <v>36</v>
      </c>
      <c r="E988" s="6">
        <v>1440.0</v>
      </c>
      <c r="F988" s="6">
        <v>360.0</v>
      </c>
      <c r="G988" s="5" t="s">
        <v>57</v>
      </c>
      <c r="H988" s="5" t="s">
        <v>57</v>
      </c>
      <c r="I988" s="6" t="s">
        <v>40</v>
      </c>
      <c r="J988" s="5" t="s">
        <v>8585</v>
      </c>
      <c r="K988" s="5" t="s">
        <v>8586</v>
      </c>
      <c r="L988" s="6" t="s">
        <v>42</v>
      </c>
      <c r="M988" s="5" t="s">
        <v>995</v>
      </c>
      <c r="N988" s="5" t="s">
        <v>64</v>
      </c>
      <c r="O988" s="5" t="s">
        <v>11615</v>
      </c>
      <c r="P988" s="6">
        <v>3599.0</v>
      </c>
    </row>
    <row r="989" ht="56.25" customHeight="1">
      <c r="A989" s="5" t="s">
        <v>11611</v>
      </c>
      <c r="B989" s="6" t="str">
        <f>IMAGE("https://storage.googleapis.com/acdb/tops/TopsTexTopOuterLTennis1.png")</f>
        <v/>
      </c>
      <c r="C989" s="5" t="s">
        <v>96</v>
      </c>
      <c r="D989" s="8" t="s">
        <v>36</v>
      </c>
      <c r="E989" s="6">
        <v>1440.0</v>
      </c>
      <c r="F989" s="6">
        <v>360.0</v>
      </c>
      <c r="G989" s="5" t="s">
        <v>96</v>
      </c>
      <c r="H989" s="5" t="s">
        <v>83</v>
      </c>
      <c r="I989" s="6" t="s">
        <v>40</v>
      </c>
      <c r="J989" s="5" t="s">
        <v>8585</v>
      </c>
      <c r="K989" s="5" t="s">
        <v>8586</v>
      </c>
      <c r="L989" s="6" t="s">
        <v>42</v>
      </c>
      <c r="M989" s="5" t="s">
        <v>995</v>
      </c>
      <c r="N989" s="5" t="s">
        <v>64</v>
      </c>
      <c r="O989" s="5" t="s">
        <v>11618</v>
      </c>
      <c r="P989" s="6">
        <v>7749.0</v>
      </c>
    </row>
    <row r="990" ht="56.25" customHeight="1">
      <c r="A990" s="5" t="s">
        <v>11611</v>
      </c>
      <c r="B990" s="6" t="str">
        <f>IMAGE("https://storage.googleapis.com/acdb/tops/TopsTexTopOuterLTennis2.png")</f>
        <v/>
      </c>
      <c r="C990" s="5" t="s">
        <v>39</v>
      </c>
      <c r="D990" s="8" t="s">
        <v>36</v>
      </c>
      <c r="E990" s="6">
        <v>1440.0</v>
      </c>
      <c r="F990" s="6">
        <v>360.0</v>
      </c>
      <c r="G990" s="5" t="s">
        <v>39</v>
      </c>
      <c r="H990" s="5" t="s">
        <v>83</v>
      </c>
      <c r="I990" s="6" t="s">
        <v>40</v>
      </c>
      <c r="J990" s="5" t="s">
        <v>8585</v>
      </c>
      <c r="K990" s="5" t="s">
        <v>8586</v>
      </c>
      <c r="L990" s="6" t="s">
        <v>42</v>
      </c>
      <c r="M990" s="5" t="s">
        <v>995</v>
      </c>
      <c r="N990" s="5" t="s">
        <v>64</v>
      </c>
      <c r="O990" s="5" t="s">
        <v>11621</v>
      </c>
      <c r="P990" s="6">
        <v>7750.0</v>
      </c>
    </row>
    <row r="991" ht="56.25" customHeight="1">
      <c r="A991" s="5" t="s">
        <v>11611</v>
      </c>
      <c r="B991" s="6" t="str">
        <f>IMAGE("https://storage.googleapis.com/acdb/tops/TopsTexTopOuterLTennis3.png")</f>
        <v/>
      </c>
      <c r="C991" s="5" t="s">
        <v>52</v>
      </c>
      <c r="D991" s="8" t="s">
        <v>36</v>
      </c>
      <c r="E991" s="6">
        <v>1440.0</v>
      </c>
      <c r="F991" s="6">
        <v>360.0</v>
      </c>
      <c r="G991" s="5" t="s">
        <v>52</v>
      </c>
      <c r="H991" s="5" t="s">
        <v>83</v>
      </c>
      <c r="I991" s="6" t="s">
        <v>40</v>
      </c>
      <c r="J991" s="5" t="s">
        <v>8585</v>
      </c>
      <c r="K991" s="5" t="s">
        <v>8586</v>
      </c>
      <c r="L991" s="6" t="s">
        <v>42</v>
      </c>
      <c r="M991" s="5" t="s">
        <v>995</v>
      </c>
      <c r="N991" s="5" t="s">
        <v>64</v>
      </c>
      <c r="O991" s="5" t="s">
        <v>11623</v>
      </c>
      <c r="P991" s="6">
        <v>7751.0</v>
      </c>
    </row>
    <row r="992" ht="56.25" customHeight="1">
      <c r="A992" s="5" t="s">
        <v>11624</v>
      </c>
      <c r="B992" s="6" t="str">
        <f>IMAGE("https://storage.googleapis.com/acdb/tops/TopsTexTopCoatLPajamas1.png")</f>
        <v/>
      </c>
      <c r="C992" s="5" t="s">
        <v>68</v>
      </c>
      <c r="D992" s="8" t="s">
        <v>36</v>
      </c>
      <c r="E992" s="6">
        <v>1440.0</v>
      </c>
      <c r="F992" s="6">
        <v>360.0</v>
      </c>
      <c r="G992" s="5" t="s">
        <v>68</v>
      </c>
      <c r="H992" s="5" t="s">
        <v>57</v>
      </c>
      <c r="I992" s="6" t="s">
        <v>40</v>
      </c>
      <c r="J992" s="5" t="s">
        <v>8585</v>
      </c>
      <c r="K992" s="5" t="s">
        <v>8632</v>
      </c>
      <c r="L992" s="6" t="s">
        <v>42</v>
      </c>
      <c r="M992" s="5" t="s">
        <v>1959</v>
      </c>
      <c r="N992" s="5" t="s">
        <v>64</v>
      </c>
      <c r="O992" s="5" t="s">
        <v>11628</v>
      </c>
      <c r="P992" s="6">
        <v>11927.0</v>
      </c>
    </row>
    <row r="993" ht="56.25" customHeight="1">
      <c r="A993" s="5" t="s">
        <v>11624</v>
      </c>
      <c r="B993" s="6" t="str">
        <f>IMAGE("https://storage.googleapis.com/acdb/tops/TopsTexTopCoatLPajamas2.png")</f>
        <v/>
      </c>
      <c r="C993" s="5" t="s">
        <v>96</v>
      </c>
      <c r="D993" s="8" t="s">
        <v>36</v>
      </c>
      <c r="E993" s="6">
        <v>1440.0</v>
      </c>
      <c r="F993" s="6">
        <v>360.0</v>
      </c>
      <c r="G993" s="5" t="s">
        <v>96</v>
      </c>
      <c r="H993" s="5" t="s">
        <v>57</v>
      </c>
      <c r="I993" s="6" t="s">
        <v>40</v>
      </c>
      <c r="J993" s="5" t="s">
        <v>8585</v>
      </c>
      <c r="K993" s="5" t="s">
        <v>8632</v>
      </c>
      <c r="L993" s="6" t="s">
        <v>42</v>
      </c>
      <c r="M993" s="5" t="s">
        <v>1959</v>
      </c>
      <c r="N993" s="5" t="s">
        <v>64</v>
      </c>
      <c r="O993" s="5" t="s">
        <v>11630</v>
      </c>
      <c r="P993" s="6">
        <v>11928.0</v>
      </c>
    </row>
    <row r="994" ht="56.25" customHeight="1">
      <c r="A994" s="5" t="s">
        <v>11624</v>
      </c>
      <c r="B994" s="6" t="str">
        <f>IMAGE("https://storage.googleapis.com/acdb/tops/TopsTexTopCoatLPajamas3.png")</f>
        <v/>
      </c>
      <c r="C994" s="5" t="s">
        <v>142</v>
      </c>
      <c r="D994" s="8" t="s">
        <v>36</v>
      </c>
      <c r="E994" s="6">
        <v>1440.0</v>
      </c>
      <c r="F994" s="6">
        <v>360.0</v>
      </c>
      <c r="G994" s="5" t="s">
        <v>142</v>
      </c>
      <c r="H994" s="5" t="s">
        <v>57</v>
      </c>
      <c r="I994" s="6" t="s">
        <v>40</v>
      </c>
      <c r="J994" s="5" t="s">
        <v>8585</v>
      </c>
      <c r="K994" s="5" t="s">
        <v>8632</v>
      </c>
      <c r="L994" s="6" t="s">
        <v>42</v>
      </c>
      <c r="M994" s="5" t="s">
        <v>1959</v>
      </c>
      <c r="N994" s="5" t="s">
        <v>64</v>
      </c>
      <c r="O994" s="5" t="s">
        <v>11632</v>
      </c>
      <c r="P994" s="6">
        <v>11929.0</v>
      </c>
    </row>
    <row r="995" ht="56.25" customHeight="1">
      <c r="A995" s="5" t="s">
        <v>11624</v>
      </c>
      <c r="B995" s="6" t="str">
        <f>IMAGE("https://storage.googleapis.com/acdb/tops/TopsTexTopCoatLPajamas6.png")</f>
        <v/>
      </c>
      <c r="C995" s="5" t="s">
        <v>106</v>
      </c>
      <c r="D995" s="8" t="s">
        <v>36</v>
      </c>
      <c r="E995" s="6">
        <v>1440.0</v>
      </c>
      <c r="F995" s="6">
        <v>360.0</v>
      </c>
      <c r="G995" s="5" t="s">
        <v>106</v>
      </c>
      <c r="H995" s="5" t="s">
        <v>57</v>
      </c>
      <c r="I995" s="6" t="s">
        <v>40</v>
      </c>
      <c r="J995" s="5" t="s">
        <v>8585</v>
      </c>
      <c r="K995" s="5" t="s">
        <v>8632</v>
      </c>
      <c r="L995" s="6" t="s">
        <v>42</v>
      </c>
      <c r="M995" s="5" t="s">
        <v>1959</v>
      </c>
      <c r="N995" s="5" t="s">
        <v>64</v>
      </c>
      <c r="O995" s="5" t="s">
        <v>11635</v>
      </c>
      <c r="P995" s="6">
        <v>12190.0</v>
      </c>
    </row>
    <row r="996" ht="56.25" customHeight="1">
      <c r="A996" s="5" t="s">
        <v>11624</v>
      </c>
      <c r="B996" s="6" t="str">
        <f>IMAGE("https://storage.googleapis.com/acdb/tops/TopsTexTopCoatLPajamas7.png")</f>
        <v/>
      </c>
      <c r="C996" s="5" t="s">
        <v>1458</v>
      </c>
      <c r="D996" s="8" t="s">
        <v>36</v>
      </c>
      <c r="E996" s="6">
        <v>1440.0</v>
      </c>
      <c r="F996" s="6">
        <v>360.0</v>
      </c>
      <c r="G996" s="5" t="s">
        <v>96</v>
      </c>
      <c r="H996" s="5" t="s">
        <v>57</v>
      </c>
      <c r="I996" s="6" t="s">
        <v>40</v>
      </c>
      <c r="J996" s="5" t="s">
        <v>8585</v>
      </c>
      <c r="K996" s="5" t="s">
        <v>8632</v>
      </c>
      <c r="L996" s="6" t="s">
        <v>42</v>
      </c>
      <c r="M996" s="5" t="s">
        <v>1959</v>
      </c>
      <c r="N996" s="5" t="s">
        <v>64</v>
      </c>
      <c r="O996" s="5" t="s">
        <v>11638</v>
      </c>
      <c r="P996" s="6">
        <v>12191.0</v>
      </c>
    </row>
    <row r="997" ht="56.25" customHeight="1">
      <c r="A997" s="5" t="s">
        <v>11624</v>
      </c>
      <c r="B997" s="6" t="str">
        <f>IMAGE("https://storage.googleapis.com/acdb/tops/TopsTexTopCoatLPajamas4.png")</f>
        <v/>
      </c>
      <c r="C997" s="5" t="s">
        <v>69</v>
      </c>
      <c r="D997" s="8" t="s">
        <v>36</v>
      </c>
      <c r="E997" s="6">
        <v>1440.0</v>
      </c>
      <c r="F997" s="6">
        <v>360.0</v>
      </c>
      <c r="G997" s="5" t="s">
        <v>69</v>
      </c>
      <c r="H997" s="5" t="s">
        <v>57</v>
      </c>
      <c r="I997" s="6" t="s">
        <v>40</v>
      </c>
      <c r="J997" s="5" t="s">
        <v>8585</v>
      </c>
      <c r="K997" s="5" t="s">
        <v>8632</v>
      </c>
      <c r="L997" s="6" t="s">
        <v>42</v>
      </c>
      <c r="M997" s="5" t="s">
        <v>1959</v>
      </c>
      <c r="N997" s="5" t="s">
        <v>64</v>
      </c>
      <c r="O997" s="5" t="s">
        <v>11641</v>
      </c>
      <c r="P997" s="6">
        <v>11930.0</v>
      </c>
    </row>
    <row r="998" ht="56.25" customHeight="1">
      <c r="A998" s="5" t="s">
        <v>11624</v>
      </c>
      <c r="B998" s="6" t="str">
        <f>IMAGE("https://storage.googleapis.com/acdb/tops/TopsTexTopCoatLPajamas5.png")</f>
        <v/>
      </c>
      <c r="C998" s="5" t="s">
        <v>307</v>
      </c>
      <c r="D998" s="8" t="s">
        <v>36</v>
      </c>
      <c r="E998" s="6">
        <v>1440.0</v>
      </c>
      <c r="F998" s="6">
        <v>360.0</v>
      </c>
      <c r="G998" s="5" t="s">
        <v>114</v>
      </c>
      <c r="H998" s="5" t="s">
        <v>57</v>
      </c>
      <c r="I998" s="6" t="s">
        <v>40</v>
      </c>
      <c r="J998" s="5" t="s">
        <v>8585</v>
      </c>
      <c r="K998" s="5" t="s">
        <v>8632</v>
      </c>
      <c r="L998" s="6" t="s">
        <v>42</v>
      </c>
      <c r="M998" s="5" t="s">
        <v>1959</v>
      </c>
      <c r="N998" s="5" t="s">
        <v>64</v>
      </c>
      <c r="O998" s="5" t="s">
        <v>11644</v>
      </c>
      <c r="P998" s="6">
        <v>12189.0</v>
      </c>
    </row>
    <row r="999" ht="56.25" customHeight="1">
      <c r="A999" s="5" t="s">
        <v>11624</v>
      </c>
      <c r="B999" s="6" t="str">
        <f>IMAGE("https://storage.googleapis.com/acdb/tops/TopsTexTopCoatLPajamas0.png")</f>
        <v/>
      </c>
      <c r="C999" s="5" t="s">
        <v>83</v>
      </c>
      <c r="D999" s="8" t="s">
        <v>36</v>
      </c>
      <c r="E999" s="6">
        <v>1440.0</v>
      </c>
      <c r="F999" s="6">
        <v>360.0</v>
      </c>
      <c r="G999" s="5" t="s">
        <v>83</v>
      </c>
      <c r="H999" s="5" t="s">
        <v>57</v>
      </c>
      <c r="I999" s="6" t="s">
        <v>40</v>
      </c>
      <c r="J999" s="5" t="s">
        <v>8585</v>
      </c>
      <c r="K999" s="5" t="s">
        <v>8632</v>
      </c>
      <c r="L999" s="6" t="s">
        <v>42</v>
      </c>
      <c r="M999" s="5" t="s">
        <v>1959</v>
      </c>
      <c r="N999" s="5" t="s">
        <v>64</v>
      </c>
      <c r="O999" s="5" t="s">
        <v>11647</v>
      </c>
      <c r="P999" s="6">
        <v>11095.0</v>
      </c>
    </row>
    <row r="1000" ht="56.25" customHeight="1">
      <c r="A1000" s="5" t="s">
        <v>11648</v>
      </c>
      <c r="B1000" s="6" t="str">
        <f>IMAGE("https://storage.googleapis.com/acdb/tops/TopsTexTopTshirtsLAlphabet0.png")</f>
        <v/>
      </c>
      <c r="C1000" s="5" t="s">
        <v>54</v>
      </c>
      <c r="D1000" s="8" t="s">
        <v>36</v>
      </c>
      <c r="E1000" s="6">
        <v>800.0</v>
      </c>
      <c r="F1000" s="6">
        <v>200.0</v>
      </c>
      <c r="G1000" s="5" t="s">
        <v>54</v>
      </c>
      <c r="H1000" s="5" t="s">
        <v>95</v>
      </c>
      <c r="I1000" s="6" t="s">
        <v>40</v>
      </c>
      <c r="J1000" s="5" t="s">
        <v>8585</v>
      </c>
      <c r="K1000" s="5" t="s">
        <v>8632</v>
      </c>
      <c r="L1000" s="6" t="s">
        <v>42</v>
      </c>
      <c r="M1000" s="5" t="s">
        <v>1952</v>
      </c>
      <c r="N1000" s="5" t="s">
        <v>64</v>
      </c>
      <c r="O1000" s="5" t="s">
        <v>11651</v>
      </c>
      <c r="P1000" s="6">
        <v>4340.0</v>
      </c>
    </row>
    <row r="1001" ht="56.25" customHeight="1">
      <c r="A1001" s="5" t="s">
        <v>11648</v>
      </c>
      <c r="B1001" s="6" t="str">
        <f>IMAGE("https://storage.googleapis.com/acdb/tops/TopsTexTopTshirtsLAlphabet1.png")</f>
        <v/>
      </c>
      <c r="C1001" s="5" t="s">
        <v>57</v>
      </c>
      <c r="D1001" s="8" t="s">
        <v>36</v>
      </c>
      <c r="E1001" s="6">
        <v>800.0</v>
      </c>
      <c r="F1001" s="6">
        <v>200.0</v>
      </c>
      <c r="G1001" s="5" t="s">
        <v>57</v>
      </c>
      <c r="H1001" s="5" t="s">
        <v>95</v>
      </c>
      <c r="I1001" s="6" t="s">
        <v>40</v>
      </c>
      <c r="J1001" s="5" t="s">
        <v>8585</v>
      </c>
      <c r="K1001" s="5" t="s">
        <v>8632</v>
      </c>
      <c r="L1001" s="6" t="s">
        <v>42</v>
      </c>
      <c r="M1001" s="5" t="s">
        <v>1952</v>
      </c>
      <c r="N1001" s="5" t="s">
        <v>64</v>
      </c>
      <c r="O1001" s="5" t="s">
        <v>11653</v>
      </c>
      <c r="P1001" s="6">
        <v>8403.0</v>
      </c>
    </row>
    <row r="1002" ht="56.25" customHeight="1">
      <c r="A1002" s="5" t="s">
        <v>11648</v>
      </c>
      <c r="B1002" s="6" t="str">
        <f>IMAGE("https://storage.googleapis.com/acdb/tops/TopsTexTopTshirtsLAlphabet2.png")</f>
        <v/>
      </c>
      <c r="C1002" s="5" t="s">
        <v>52</v>
      </c>
      <c r="D1002" s="8" t="s">
        <v>36</v>
      </c>
      <c r="E1002" s="6">
        <v>800.0</v>
      </c>
      <c r="F1002" s="6">
        <v>200.0</v>
      </c>
      <c r="G1002" s="5" t="s">
        <v>52</v>
      </c>
      <c r="H1002" s="5" t="s">
        <v>54</v>
      </c>
      <c r="I1002" s="6" t="s">
        <v>40</v>
      </c>
      <c r="J1002" s="5" t="s">
        <v>8585</v>
      </c>
      <c r="K1002" s="5" t="s">
        <v>8632</v>
      </c>
      <c r="L1002" s="6" t="s">
        <v>42</v>
      </c>
      <c r="M1002" s="5" t="s">
        <v>1952</v>
      </c>
      <c r="N1002" s="5" t="s">
        <v>64</v>
      </c>
      <c r="O1002" s="5" t="s">
        <v>11657</v>
      </c>
      <c r="P1002" s="6">
        <v>8404.0</v>
      </c>
    </row>
    <row r="1003" ht="56.25" customHeight="1">
      <c r="A1003" s="5" t="s">
        <v>11658</v>
      </c>
      <c r="B1003" s="6" t="str">
        <f>IMAGE("https://storage.googleapis.com/acdb/tops/TopsTexTopYshirtsLRugby1.png")</f>
        <v/>
      </c>
      <c r="C1003" s="5" t="s">
        <v>11660</v>
      </c>
      <c r="D1003" s="8" t="s">
        <v>36</v>
      </c>
      <c r="E1003" s="6">
        <v>1120.0</v>
      </c>
      <c r="F1003" s="6">
        <v>280.0</v>
      </c>
      <c r="G1003" s="5" t="s">
        <v>96</v>
      </c>
      <c r="H1003" s="5" t="s">
        <v>68</v>
      </c>
      <c r="I1003" s="6" t="s">
        <v>40</v>
      </c>
      <c r="J1003" s="5" t="s">
        <v>8585</v>
      </c>
      <c r="K1003" s="5" t="s">
        <v>8632</v>
      </c>
      <c r="L1003" s="6" t="s">
        <v>42</v>
      </c>
      <c r="M1003" s="5" t="s">
        <v>8746</v>
      </c>
      <c r="N1003" s="5" t="s">
        <v>64</v>
      </c>
      <c r="O1003" s="5" t="s">
        <v>11663</v>
      </c>
      <c r="P1003" s="6">
        <v>7622.0</v>
      </c>
    </row>
    <row r="1004" ht="56.25" customHeight="1">
      <c r="A1004" s="5" t="s">
        <v>11658</v>
      </c>
      <c r="B1004" s="6" t="str">
        <f>IMAGE("https://storage.googleapis.com/acdb/tops/TopsTexTopYshirtsLRugby2.png")</f>
        <v/>
      </c>
      <c r="C1004" s="5" t="s">
        <v>11664</v>
      </c>
      <c r="D1004" s="8" t="s">
        <v>36</v>
      </c>
      <c r="E1004" s="6">
        <v>1120.0</v>
      </c>
      <c r="F1004" s="6">
        <v>280.0</v>
      </c>
      <c r="G1004" s="5" t="s">
        <v>52</v>
      </c>
      <c r="H1004" s="5" t="s">
        <v>68</v>
      </c>
      <c r="I1004" s="6" t="s">
        <v>40</v>
      </c>
      <c r="J1004" s="5" t="s">
        <v>8585</v>
      </c>
      <c r="K1004" s="5" t="s">
        <v>8632</v>
      </c>
      <c r="L1004" s="6" t="s">
        <v>42</v>
      </c>
      <c r="M1004" s="5" t="s">
        <v>8746</v>
      </c>
      <c r="N1004" s="5" t="s">
        <v>64</v>
      </c>
      <c r="O1004" s="5" t="s">
        <v>11666</v>
      </c>
      <c r="P1004" s="6">
        <v>7623.0</v>
      </c>
    </row>
    <row r="1005" ht="56.25" customHeight="1">
      <c r="A1005" s="5" t="s">
        <v>11658</v>
      </c>
      <c r="B1005" s="6" t="str">
        <f>IMAGE("https://storage.googleapis.com/acdb/tops/TopsTexTopYshirtsLRugby3.png")</f>
        <v/>
      </c>
      <c r="C1005" s="5" t="s">
        <v>11669</v>
      </c>
      <c r="D1005" s="8" t="s">
        <v>36</v>
      </c>
      <c r="E1005" s="6">
        <v>1120.0</v>
      </c>
      <c r="F1005" s="6">
        <v>280.0</v>
      </c>
      <c r="G1005" s="5" t="s">
        <v>38</v>
      </c>
      <c r="H1005" s="5" t="s">
        <v>68</v>
      </c>
      <c r="I1005" s="6" t="s">
        <v>40</v>
      </c>
      <c r="J1005" s="5" t="s">
        <v>8585</v>
      </c>
      <c r="K1005" s="5" t="s">
        <v>8632</v>
      </c>
      <c r="L1005" s="6" t="s">
        <v>42</v>
      </c>
      <c r="M1005" s="5" t="s">
        <v>8746</v>
      </c>
      <c r="N1005" s="5" t="s">
        <v>64</v>
      </c>
      <c r="O1005" s="5" t="s">
        <v>11671</v>
      </c>
      <c r="P1005" s="6">
        <v>7624.0</v>
      </c>
    </row>
    <row r="1006" ht="56.25" customHeight="1">
      <c r="A1006" s="5" t="s">
        <v>11658</v>
      </c>
      <c r="B1006" s="6" t="str">
        <f>IMAGE("https://storage.googleapis.com/acdb/tops/TopsTexTopYshirtsLRugby4.png")</f>
        <v/>
      </c>
      <c r="C1006" s="5" t="s">
        <v>11673</v>
      </c>
      <c r="D1006" s="8" t="s">
        <v>36</v>
      </c>
      <c r="E1006" s="6">
        <v>1120.0</v>
      </c>
      <c r="F1006" s="6">
        <v>280.0</v>
      </c>
      <c r="G1006" s="5" t="s">
        <v>106</v>
      </c>
      <c r="H1006" s="5" t="s">
        <v>96</v>
      </c>
      <c r="I1006" s="6" t="s">
        <v>40</v>
      </c>
      <c r="J1006" s="5" t="s">
        <v>8585</v>
      </c>
      <c r="K1006" s="5" t="s">
        <v>8632</v>
      </c>
      <c r="L1006" s="6" t="s">
        <v>42</v>
      </c>
      <c r="M1006" s="5" t="s">
        <v>8746</v>
      </c>
      <c r="N1006" s="5" t="s">
        <v>64</v>
      </c>
      <c r="O1006" s="5" t="s">
        <v>11675</v>
      </c>
      <c r="P1006" s="6">
        <v>7625.0</v>
      </c>
    </row>
    <row r="1007" ht="56.25" customHeight="1">
      <c r="A1007" s="5" t="s">
        <v>11658</v>
      </c>
      <c r="B1007" s="6" t="str">
        <f>IMAGE("https://storage.googleapis.com/acdb/tops/TopsTexTopYshirtsLRugby5.png")</f>
        <v/>
      </c>
      <c r="C1007" s="5" t="s">
        <v>11678</v>
      </c>
      <c r="D1007" s="8" t="s">
        <v>36</v>
      </c>
      <c r="E1007" s="6">
        <v>1120.0</v>
      </c>
      <c r="F1007" s="6">
        <v>280.0</v>
      </c>
      <c r="G1007" s="5" t="s">
        <v>52</v>
      </c>
      <c r="H1007" s="5" t="s">
        <v>142</v>
      </c>
      <c r="I1007" s="6" t="s">
        <v>40</v>
      </c>
      <c r="J1007" s="5" t="s">
        <v>8585</v>
      </c>
      <c r="K1007" s="5" t="s">
        <v>8632</v>
      </c>
      <c r="L1007" s="6" t="s">
        <v>42</v>
      </c>
      <c r="M1007" s="5" t="s">
        <v>8746</v>
      </c>
      <c r="N1007" s="5" t="s">
        <v>64</v>
      </c>
      <c r="O1007" s="5" t="s">
        <v>11680</v>
      </c>
      <c r="P1007" s="6">
        <v>7626.0</v>
      </c>
    </row>
    <row r="1008" ht="56.25" customHeight="1">
      <c r="A1008" s="5" t="s">
        <v>11658</v>
      </c>
      <c r="B1008" s="6" t="str">
        <f>IMAGE("https://storage.googleapis.com/acdb/tops/TopsTexTopYshirtsLRugby6.png")</f>
        <v/>
      </c>
      <c r="C1008" s="5" t="s">
        <v>11683</v>
      </c>
      <c r="D1008" s="8" t="s">
        <v>36</v>
      </c>
      <c r="E1008" s="6">
        <v>1120.0</v>
      </c>
      <c r="F1008" s="6">
        <v>280.0</v>
      </c>
      <c r="G1008" s="5" t="s">
        <v>95</v>
      </c>
      <c r="H1008" s="5" t="s">
        <v>68</v>
      </c>
      <c r="I1008" s="6" t="s">
        <v>40</v>
      </c>
      <c r="J1008" s="5" t="s">
        <v>8585</v>
      </c>
      <c r="K1008" s="5" t="s">
        <v>8632</v>
      </c>
      <c r="L1008" s="6" t="s">
        <v>42</v>
      </c>
      <c r="M1008" s="5" t="s">
        <v>8746</v>
      </c>
      <c r="N1008" s="5" t="s">
        <v>64</v>
      </c>
      <c r="O1008" s="5" t="s">
        <v>11684</v>
      </c>
      <c r="P1008" s="6">
        <v>7627.0</v>
      </c>
    </row>
    <row r="1009" ht="56.25" customHeight="1">
      <c r="A1009" s="5" t="s">
        <v>11658</v>
      </c>
      <c r="B1009" s="6" t="str">
        <f>IMAGE("https://storage.googleapis.com/acdb/tops/TopsTexTopYshirtsLRugby7.png")</f>
        <v/>
      </c>
      <c r="C1009" s="5" t="s">
        <v>11686</v>
      </c>
      <c r="D1009" s="8" t="s">
        <v>36</v>
      </c>
      <c r="E1009" s="6">
        <v>1120.0</v>
      </c>
      <c r="F1009" s="6">
        <v>280.0</v>
      </c>
      <c r="G1009" s="5" t="s">
        <v>83</v>
      </c>
      <c r="H1009" s="5" t="s">
        <v>54</v>
      </c>
      <c r="I1009" s="6" t="s">
        <v>40</v>
      </c>
      <c r="J1009" s="5" t="s">
        <v>8585</v>
      </c>
      <c r="K1009" s="5" t="s">
        <v>8632</v>
      </c>
      <c r="L1009" s="6" t="s">
        <v>42</v>
      </c>
      <c r="M1009" s="5" t="s">
        <v>8746</v>
      </c>
      <c r="N1009" s="5" t="s">
        <v>64</v>
      </c>
      <c r="O1009" s="5" t="s">
        <v>11688</v>
      </c>
      <c r="P1009" s="6">
        <v>7628.0</v>
      </c>
    </row>
    <row r="1010" ht="56.25" customHeight="1">
      <c r="A1010" s="5" t="s">
        <v>11658</v>
      </c>
      <c r="B1010" s="6" t="str">
        <f>IMAGE("https://storage.googleapis.com/acdb/tops/TopsTexTopYshirtsLRugby0.png")</f>
        <v/>
      </c>
      <c r="C1010" s="5" t="s">
        <v>11689</v>
      </c>
      <c r="D1010" s="8" t="s">
        <v>36</v>
      </c>
      <c r="E1010" s="6">
        <v>1120.0</v>
      </c>
      <c r="F1010" s="6">
        <v>280.0</v>
      </c>
      <c r="G1010" s="5" t="s">
        <v>114</v>
      </c>
      <c r="H1010" s="5" t="s">
        <v>68</v>
      </c>
      <c r="I1010" s="6" t="s">
        <v>40</v>
      </c>
      <c r="J1010" s="5" t="s">
        <v>8585</v>
      </c>
      <c r="K1010" s="5" t="s">
        <v>8632</v>
      </c>
      <c r="L1010" s="6" t="s">
        <v>42</v>
      </c>
      <c r="M1010" s="5" t="s">
        <v>8746</v>
      </c>
      <c r="N1010" s="5" t="s">
        <v>64</v>
      </c>
      <c r="O1010" s="5" t="s">
        <v>11692</v>
      </c>
      <c r="P1010" s="6">
        <v>3666.0</v>
      </c>
    </row>
    <row r="1011" ht="56.25" customHeight="1">
      <c r="A1011" s="5" t="s">
        <v>11694</v>
      </c>
      <c r="B1011" s="6" t="str">
        <f>IMAGE("https://storage.googleapis.com/acdb/tops/TopsTexTopCoatLThiefBlack.png")</f>
        <v/>
      </c>
      <c r="C1011" s="5" t="s">
        <v>34</v>
      </c>
      <c r="D1011" s="8" t="s">
        <v>36</v>
      </c>
      <c r="E1011" s="6">
        <v>2600.0</v>
      </c>
      <c r="F1011" s="6">
        <v>650.0</v>
      </c>
      <c r="G1011" s="5" t="s">
        <v>54</v>
      </c>
      <c r="H1011" s="5" t="s">
        <v>52</v>
      </c>
      <c r="I1011" s="6" t="s">
        <v>40</v>
      </c>
      <c r="J1011" s="5" t="s">
        <v>8585</v>
      </c>
      <c r="K1011" s="5" t="s">
        <v>8586</v>
      </c>
      <c r="L1011" s="6" t="s">
        <v>42</v>
      </c>
      <c r="M1011" s="5" t="s">
        <v>1952</v>
      </c>
      <c r="N1011" s="5" t="s">
        <v>64</v>
      </c>
      <c r="O1011" s="5" t="s">
        <v>11697</v>
      </c>
      <c r="P1011" s="6">
        <v>5134.0</v>
      </c>
    </row>
    <row r="1012" ht="56.25" customHeight="1">
      <c r="A1012" s="5" t="s">
        <v>11698</v>
      </c>
      <c r="B1012" s="6" t="str">
        <f>IMAGE("https://storage.googleapis.com/acdb/tops/TopsTexTopTshirtsLDamage0.png")</f>
        <v/>
      </c>
      <c r="C1012" s="5" t="s">
        <v>96</v>
      </c>
      <c r="D1012" s="8" t="s">
        <v>36</v>
      </c>
      <c r="E1012" s="6">
        <v>980.0</v>
      </c>
      <c r="F1012" s="6">
        <v>245.0</v>
      </c>
      <c r="G1012" s="5" t="s">
        <v>96</v>
      </c>
      <c r="H1012" s="5" t="s">
        <v>57</v>
      </c>
      <c r="I1012" s="6" t="s">
        <v>40</v>
      </c>
      <c r="J1012" s="5" t="s">
        <v>8585</v>
      </c>
      <c r="K1012" s="5" t="s">
        <v>8632</v>
      </c>
      <c r="L1012" s="6" t="s">
        <v>42</v>
      </c>
      <c r="M1012" s="5" t="s">
        <v>1952</v>
      </c>
      <c r="N1012" s="5" t="s">
        <v>64</v>
      </c>
      <c r="O1012" s="5" t="s">
        <v>11700</v>
      </c>
      <c r="P1012" s="6">
        <v>5126.0</v>
      </c>
    </row>
    <row r="1013" ht="56.25" customHeight="1">
      <c r="A1013" s="5" t="s">
        <v>11698</v>
      </c>
      <c r="B1013" s="6" t="str">
        <f>IMAGE("https://storage.googleapis.com/acdb/tops/TopsTexTopTshirtsLDamage1.png")</f>
        <v/>
      </c>
      <c r="C1013" s="5" t="s">
        <v>54</v>
      </c>
      <c r="D1013" s="8" t="s">
        <v>36</v>
      </c>
      <c r="E1013" s="6">
        <v>980.0</v>
      </c>
      <c r="F1013" s="6">
        <v>245.0</v>
      </c>
      <c r="G1013" s="5" t="s">
        <v>54</v>
      </c>
      <c r="H1013" s="5" t="s">
        <v>57</v>
      </c>
      <c r="I1013" s="6" t="s">
        <v>40</v>
      </c>
      <c r="J1013" s="5" t="s">
        <v>8585</v>
      </c>
      <c r="K1013" s="5" t="s">
        <v>8632</v>
      </c>
      <c r="L1013" s="6" t="s">
        <v>42</v>
      </c>
      <c r="M1013" s="5" t="s">
        <v>1952</v>
      </c>
      <c r="N1013" s="5" t="s">
        <v>64</v>
      </c>
      <c r="O1013" s="5" t="s">
        <v>11702</v>
      </c>
      <c r="P1013" s="6">
        <v>8556.0</v>
      </c>
    </row>
    <row r="1014" ht="56.25" customHeight="1">
      <c r="A1014" s="5" t="s">
        <v>11698</v>
      </c>
      <c r="B1014" s="6" t="str">
        <f>IMAGE("https://storage.googleapis.com/acdb/tops/TopsTexTopTshirtsLDamage2.png")</f>
        <v/>
      </c>
      <c r="C1014" s="5" t="s">
        <v>38</v>
      </c>
      <c r="D1014" s="8" t="s">
        <v>36</v>
      </c>
      <c r="E1014" s="6">
        <v>980.0</v>
      </c>
      <c r="F1014" s="6">
        <v>245.0</v>
      </c>
      <c r="G1014" s="5" t="s">
        <v>38</v>
      </c>
      <c r="H1014" s="5" t="s">
        <v>57</v>
      </c>
      <c r="I1014" s="6" t="s">
        <v>40</v>
      </c>
      <c r="J1014" s="5" t="s">
        <v>8585</v>
      </c>
      <c r="K1014" s="5" t="s">
        <v>8632</v>
      </c>
      <c r="L1014" s="6" t="s">
        <v>42</v>
      </c>
      <c r="M1014" s="5" t="s">
        <v>1952</v>
      </c>
      <c r="N1014" s="5" t="s">
        <v>64</v>
      </c>
      <c r="O1014" s="5" t="s">
        <v>11706</v>
      </c>
      <c r="P1014" s="6">
        <v>8557.0</v>
      </c>
    </row>
    <row r="1015" ht="56.25" customHeight="1">
      <c r="A1015" s="5" t="s">
        <v>11698</v>
      </c>
      <c r="B1015" s="6" t="str">
        <f>IMAGE("https://storage.googleapis.com/acdb/tops/TopsTexTopTshirtsLDamage3.png")</f>
        <v/>
      </c>
      <c r="C1015" s="5" t="s">
        <v>69</v>
      </c>
      <c r="D1015" s="8" t="s">
        <v>36</v>
      </c>
      <c r="E1015" s="6">
        <v>980.0</v>
      </c>
      <c r="F1015" s="6">
        <v>245.0</v>
      </c>
      <c r="G1015" s="5" t="s">
        <v>69</v>
      </c>
      <c r="H1015" s="5" t="s">
        <v>57</v>
      </c>
      <c r="I1015" s="6" t="s">
        <v>40</v>
      </c>
      <c r="J1015" s="5" t="s">
        <v>8585</v>
      </c>
      <c r="K1015" s="5" t="s">
        <v>8632</v>
      </c>
      <c r="L1015" s="6" t="s">
        <v>42</v>
      </c>
      <c r="M1015" s="5" t="s">
        <v>1952</v>
      </c>
      <c r="N1015" s="5" t="s">
        <v>64</v>
      </c>
      <c r="O1015" s="5" t="s">
        <v>11708</v>
      </c>
      <c r="P1015" s="6">
        <v>8558.0</v>
      </c>
    </row>
    <row r="1016" ht="56.25" customHeight="1">
      <c r="A1016" s="5" t="s">
        <v>11709</v>
      </c>
      <c r="B1016" s="6" t="str">
        <f>IMAGE("https://storage.googleapis.com/acdb/tops/TopsTexTopTshirtsHNumberball3.png")</f>
        <v/>
      </c>
      <c r="C1016" s="5" t="s">
        <v>34</v>
      </c>
      <c r="D1016" s="8" t="s">
        <v>36</v>
      </c>
      <c r="E1016" s="6">
        <v>560.0</v>
      </c>
      <c r="F1016" s="6">
        <v>140.0</v>
      </c>
      <c r="G1016" s="5" t="s">
        <v>52</v>
      </c>
      <c r="H1016" s="5" t="s">
        <v>57</v>
      </c>
      <c r="I1016" s="6" t="s">
        <v>40</v>
      </c>
      <c r="J1016" s="5" t="s">
        <v>8578</v>
      </c>
      <c r="K1016" s="5"/>
      <c r="L1016" s="6" t="s">
        <v>42</v>
      </c>
      <c r="M1016" s="5" t="s">
        <v>8746</v>
      </c>
      <c r="N1016" s="5" t="s">
        <v>64</v>
      </c>
      <c r="O1016" s="5" t="s">
        <v>11712</v>
      </c>
      <c r="P1016" s="6">
        <v>2498.0</v>
      </c>
    </row>
    <row r="1017" ht="56.25" customHeight="1">
      <c r="A1017" s="5" t="s">
        <v>11713</v>
      </c>
      <c r="B1017" s="6" t="str">
        <f>IMAGE("https://storage.googleapis.com/acdb/tops/TopsTexTopTshirtsHTiedyeRainbow.png")</f>
        <v/>
      </c>
      <c r="C1017" s="5" t="s">
        <v>34</v>
      </c>
      <c r="D1017" s="8" t="s">
        <v>36</v>
      </c>
      <c r="E1017" s="6">
        <v>800.0</v>
      </c>
      <c r="F1017" s="6">
        <v>200.0</v>
      </c>
      <c r="G1017" s="5" t="s">
        <v>58</v>
      </c>
      <c r="H1017" s="5" t="s">
        <v>58</v>
      </c>
      <c r="I1017" s="6" t="s">
        <v>40</v>
      </c>
      <c r="J1017" s="5" t="s">
        <v>8578</v>
      </c>
      <c r="K1017" s="5"/>
      <c r="L1017" s="6" t="s">
        <v>42</v>
      </c>
      <c r="M1017" s="5" t="s">
        <v>8746</v>
      </c>
      <c r="N1017" s="5" t="s">
        <v>64</v>
      </c>
      <c r="O1017" s="5" t="s">
        <v>11714</v>
      </c>
      <c r="P1017" s="6">
        <v>4211.0</v>
      </c>
    </row>
    <row r="1018" ht="56.25" customHeight="1">
      <c r="A1018" s="5" t="s">
        <v>11716</v>
      </c>
      <c r="B1018" s="6" t="str">
        <f>IMAGE("https://storage.googleapis.com/acdb/tops/TopsTexTopOuterLSukajantigerGreen.png")</f>
        <v/>
      </c>
      <c r="C1018" s="5" t="s">
        <v>34</v>
      </c>
      <c r="D1018" s="8" t="s">
        <v>36</v>
      </c>
      <c r="E1018" s="6">
        <v>1750.0</v>
      </c>
      <c r="F1018" s="6">
        <v>437.0</v>
      </c>
      <c r="G1018" s="5" t="s">
        <v>96</v>
      </c>
      <c r="H1018" s="5" t="s">
        <v>57</v>
      </c>
      <c r="I1018" s="6" t="s">
        <v>40</v>
      </c>
      <c r="J1018" s="5" t="s">
        <v>8585</v>
      </c>
      <c r="K1018" s="5" t="s">
        <v>8586</v>
      </c>
      <c r="L1018" s="6" t="s">
        <v>42</v>
      </c>
      <c r="M1018" s="5" t="s">
        <v>8746</v>
      </c>
      <c r="N1018" s="5" t="s">
        <v>64</v>
      </c>
      <c r="O1018" s="5" t="s">
        <v>11719</v>
      </c>
      <c r="P1018" s="6">
        <v>3253.0</v>
      </c>
    </row>
    <row r="1019" ht="56.25" customHeight="1">
      <c r="A1019" s="5" t="s">
        <v>11720</v>
      </c>
      <c r="B1019" s="6" t="str">
        <f>IMAGE("https://storage.googleapis.com/acdb/tops/TopsTexTopYshirtsLSlimknit0.png")</f>
        <v/>
      </c>
      <c r="C1019" s="5" t="s">
        <v>54</v>
      </c>
      <c r="D1019" s="8" t="s">
        <v>36</v>
      </c>
      <c r="E1019" s="6">
        <v>800.0</v>
      </c>
      <c r="F1019" s="6">
        <v>200.0</v>
      </c>
      <c r="G1019" s="5" t="s">
        <v>54</v>
      </c>
      <c r="H1019" s="5" t="s">
        <v>54</v>
      </c>
      <c r="I1019" s="6" t="s">
        <v>40</v>
      </c>
      <c r="J1019" s="5" t="s">
        <v>8585</v>
      </c>
      <c r="K1019" s="5" t="s">
        <v>8632</v>
      </c>
      <c r="L1019" s="6" t="s">
        <v>42</v>
      </c>
      <c r="M1019" s="5" t="s">
        <v>995</v>
      </c>
      <c r="N1019" s="5" t="s">
        <v>64</v>
      </c>
      <c r="O1019" s="5" t="s">
        <v>11722</v>
      </c>
      <c r="P1019" s="6">
        <v>4302.0</v>
      </c>
    </row>
    <row r="1020" ht="56.25" customHeight="1">
      <c r="A1020" s="5" t="s">
        <v>11720</v>
      </c>
      <c r="B1020" s="6" t="str">
        <f>IMAGE("https://storage.googleapis.com/acdb/tops/TopsTexTopYshirtsLSlimknit1.png")</f>
        <v/>
      </c>
      <c r="C1020" s="5" t="s">
        <v>38</v>
      </c>
      <c r="D1020" s="8" t="s">
        <v>36</v>
      </c>
      <c r="E1020" s="6">
        <v>800.0</v>
      </c>
      <c r="F1020" s="6">
        <v>200.0</v>
      </c>
      <c r="G1020" s="5" t="s">
        <v>38</v>
      </c>
      <c r="H1020" s="5" t="s">
        <v>38</v>
      </c>
      <c r="I1020" s="6" t="s">
        <v>40</v>
      </c>
      <c r="J1020" s="5" t="s">
        <v>8585</v>
      </c>
      <c r="K1020" s="5" t="s">
        <v>8632</v>
      </c>
      <c r="L1020" s="6" t="s">
        <v>42</v>
      </c>
      <c r="M1020" s="5" t="s">
        <v>995</v>
      </c>
      <c r="N1020" s="5" t="s">
        <v>64</v>
      </c>
      <c r="O1020" s="5" t="s">
        <v>11725</v>
      </c>
      <c r="P1020" s="6">
        <v>8552.0</v>
      </c>
    </row>
    <row r="1021" ht="56.25" customHeight="1">
      <c r="A1021" s="5" t="s">
        <v>11720</v>
      </c>
      <c r="B1021" s="6" t="str">
        <f>IMAGE("https://storage.googleapis.com/acdb/tops/TopsTexTopYshirtsLSlimknit2.png")</f>
        <v/>
      </c>
      <c r="C1021" s="5" t="s">
        <v>95</v>
      </c>
      <c r="D1021" s="8" t="s">
        <v>36</v>
      </c>
      <c r="E1021" s="6">
        <v>800.0</v>
      </c>
      <c r="F1021" s="6">
        <v>200.0</v>
      </c>
      <c r="G1021" s="5" t="s">
        <v>95</v>
      </c>
      <c r="H1021" s="5" t="s">
        <v>95</v>
      </c>
      <c r="I1021" s="6" t="s">
        <v>40</v>
      </c>
      <c r="J1021" s="5" t="s">
        <v>8585</v>
      </c>
      <c r="K1021" s="5" t="s">
        <v>8632</v>
      </c>
      <c r="L1021" s="6" t="s">
        <v>42</v>
      </c>
      <c r="M1021" s="5" t="s">
        <v>995</v>
      </c>
      <c r="N1021" s="5" t="s">
        <v>64</v>
      </c>
      <c r="O1021" s="5" t="s">
        <v>11727</v>
      </c>
      <c r="P1021" s="6">
        <v>8553.0</v>
      </c>
    </row>
    <row r="1022" ht="56.25" customHeight="1">
      <c r="A1022" s="5" t="s">
        <v>11728</v>
      </c>
      <c r="B1022" s="6" t="str">
        <f>IMAGE("https://storage.googleapis.com/acdb/tops/TopsTexTopCoatLSoutiencollar1.png")</f>
        <v/>
      </c>
      <c r="C1022" s="5" t="s">
        <v>38</v>
      </c>
      <c r="D1022" s="8" t="s">
        <v>36</v>
      </c>
      <c r="E1022" s="6">
        <v>2000.0</v>
      </c>
      <c r="F1022" s="6">
        <v>500.0</v>
      </c>
      <c r="G1022" s="5" t="s">
        <v>38</v>
      </c>
      <c r="H1022" s="5" t="s">
        <v>69</v>
      </c>
      <c r="I1022" s="6" t="s">
        <v>40</v>
      </c>
      <c r="J1022" s="5" t="s">
        <v>8585</v>
      </c>
      <c r="K1022" s="5" t="s">
        <v>8632</v>
      </c>
      <c r="L1022" s="6" t="s">
        <v>42</v>
      </c>
      <c r="M1022" s="5" t="s">
        <v>995</v>
      </c>
      <c r="N1022" s="5" t="s">
        <v>64</v>
      </c>
      <c r="O1022" s="5" t="s">
        <v>11731</v>
      </c>
      <c r="P1022" s="6">
        <v>8455.0</v>
      </c>
    </row>
    <row r="1023" ht="56.25" customHeight="1">
      <c r="A1023" s="5" t="s">
        <v>11728</v>
      </c>
      <c r="B1023" s="6" t="str">
        <f>IMAGE("https://storage.googleapis.com/acdb/tops/TopsTexTopCoatLSoutiencollar2.png")</f>
        <v/>
      </c>
      <c r="C1023" s="5" t="s">
        <v>39</v>
      </c>
      <c r="D1023" s="8" t="s">
        <v>36</v>
      </c>
      <c r="E1023" s="6">
        <v>2000.0</v>
      </c>
      <c r="F1023" s="6">
        <v>500.0</v>
      </c>
      <c r="G1023" s="5" t="s">
        <v>39</v>
      </c>
      <c r="H1023" s="5" t="s">
        <v>96</v>
      </c>
      <c r="I1023" s="6" t="s">
        <v>40</v>
      </c>
      <c r="J1023" s="5" t="s">
        <v>8585</v>
      </c>
      <c r="K1023" s="5" t="s">
        <v>8632</v>
      </c>
      <c r="L1023" s="6" t="s">
        <v>42</v>
      </c>
      <c r="M1023" s="5" t="s">
        <v>995</v>
      </c>
      <c r="N1023" s="5" t="s">
        <v>64</v>
      </c>
      <c r="O1023" s="5" t="s">
        <v>11733</v>
      </c>
      <c r="P1023" s="6">
        <v>8456.0</v>
      </c>
    </row>
    <row r="1024" ht="56.25" customHeight="1">
      <c r="A1024" s="5" t="s">
        <v>11728</v>
      </c>
      <c r="B1024" s="6" t="str">
        <f>IMAGE("https://storage.googleapis.com/acdb/tops/TopsTexTopCoatLSoutiencollar3.png")</f>
        <v/>
      </c>
      <c r="C1024" s="5" t="s">
        <v>69</v>
      </c>
      <c r="D1024" s="8" t="s">
        <v>36</v>
      </c>
      <c r="E1024" s="6">
        <v>2000.0</v>
      </c>
      <c r="F1024" s="6">
        <v>500.0</v>
      </c>
      <c r="G1024" s="5" t="s">
        <v>69</v>
      </c>
      <c r="H1024" s="5" t="s">
        <v>57</v>
      </c>
      <c r="I1024" s="6" t="s">
        <v>40</v>
      </c>
      <c r="J1024" s="5" t="s">
        <v>8585</v>
      </c>
      <c r="K1024" s="5" t="s">
        <v>8632</v>
      </c>
      <c r="L1024" s="6" t="s">
        <v>42</v>
      </c>
      <c r="M1024" s="5" t="s">
        <v>995</v>
      </c>
      <c r="N1024" s="5" t="s">
        <v>64</v>
      </c>
      <c r="O1024" s="5" t="s">
        <v>11735</v>
      </c>
      <c r="P1024" s="6">
        <v>8457.0</v>
      </c>
    </row>
    <row r="1025" ht="56.25" customHeight="1">
      <c r="A1025" s="5" t="s">
        <v>11728</v>
      </c>
      <c r="B1025" s="6" t="str">
        <f>IMAGE("https://storage.googleapis.com/acdb/tops/TopsTexTopCoatLSoutiencollar0.png")</f>
        <v/>
      </c>
      <c r="C1025" s="5" t="s">
        <v>83</v>
      </c>
      <c r="D1025" s="8" t="s">
        <v>36</v>
      </c>
      <c r="E1025" s="6">
        <v>2000.0</v>
      </c>
      <c r="F1025" s="6">
        <v>500.0</v>
      </c>
      <c r="G1025" s="5" t="s">
        <v>83</v>
      </c>
      <c r="H1025" s="5" t="s">
        <v>68</v>
      </c>
      <c r="I1025" s="6" t="s">
        <v>40</v>
      </c>
      <c r="J1025" s="5" t="s">
        <v>8585</v>
      </c>
      <c r="K1025" s="5" t="s">
        <v>8632</v>
      </c>
      <c r="L1025" s="6" t="s">
        <v>42</v>
      </c>
      <c r="M1025" s="5" t="s">
        <v>995</v>
      </c>
      <c r="N1025" s="5" t="s">
        <v>64</v>
      </c>
      <c r="O1025" s="5" t="s">
        <v>11739</v>
      </c>
      <c r="P1025" s="6">
        <v>4574.0</v>
      </c>
    </row>
    <row r="1026" ht="56.25" customHeight="1">
      <c r="A1026" s="5" t="s">
        <v>11740</v>
      </c>
      <c r="B1026" s="6" t="str">
        <f>IMAGE("https://storage.googleapis.com/acdb/tops/TopsTexTopYshirtsLSportsjersey1.png")</f>
        <v/>
      </c>
      <c r="C1026" s="5" t="s">
        <v>95</v>
      </c>
      <c r="D1026" s="8" t="s">
        <v>36</v>
      </c>
      <c r="E1026" s="6">
        <v>910.0</v>
      </c>
      <c r="F1026" s="6">
        <v>227.0</v>
      </c>
      <c r="G1026" s="5" t="s">
        <v>95</v>
      </c>
      <c r="H1026" s="5" t="s">
        <v>69</v>
      </c>
      <c r="I1026" s="6" t="s">
        <v>40</v>
      </c>
      <c r="J1026" s="5" t="s">
        <v>8585</v>
      </c>
      <c r="K1026" s="5" t="s">
        <v>8632</v>
      </c>
      <c r="L1026" s="6" t="s">
        <v>42</v>
      </c>
      <c r="M1026" s="5" t="s">
        <v>8746</v>
      </c>
      <c r="N1026" s="5" t="s">
        <v>64</v>
      </c>
      <c r="O1026" s="5" t="s">
        <v>11741</v>
      </c>
      <c r="P1026" s="6">
        <v>7611.0</v>
      </c>
    </row>
    <row r="1027" ht="56.25" customHeight="1">
      <c r="A1027" s="5" t="s">
        <v>11740</v>
      </c>
      <c r="B1027" s="6" t="str">
        <f>IMAGE("https://storage.googleapis.com/acdb/tops/TopsTexTopYshirtsLSportsjersey2.png")</f>
        <v/>
      </c>
      <c r="C1027" s="5" t="s">
        <v>57</v>
      </c>
      <c r="D1027" s="8" t="s">
        <v>36</v>
      </c>
      <c r="E1027" s="6">
        <v>910.0</v>
      </c>
      <c r="F1027" s="6">
        <v>227.0</v>
      </c>
      <c r="G1027" s="5" t="s">
        <v>57</v>
      </c>
      <c r="H1027" s="5" t="s">
        <v>69</v>
      </c>
      <c r="I1027" s="6" t="s">
        <v>40</v>
      </c>
      <c r="J1027" s="5" t="s">
        <v>8585</v>
      </c>
      <c r="K1027" s="5" t="s">
        <v>8632</v>
      </c>
      <c r="L1027" s="6" t="s">
        <v>42</v>
      </c>
      <c r="M1027" s="5" t="s">
        <v>8746</v>
      </c>
      <c r="N1027" s="5" t="s">
        <v>64</v>
      </c>
      <c r="O1027" s="5" t="s">
        <v>11746</v>
      </c>
      <c r="P1027" s="6">
        <v>7612.0</v>
      </c>
    </row>
    <row r="1028" ht="56.25" customHeight="1">
      <c r="A1028" s="5" t="s">
        <v>11740</v>
      </c>
      <c r="B1028" s="6" t="str">
        <f>IMAGE("https://storage.googleapis.com/acdb/tops/TopsTexTopYshirtsLSportsjersey3.png")</f>
        <v/>
      </c>
      <c r="C1028" s="5" t="s">
        <v>52</v>
      </c>
      <c r="D1028" s="8" t="s">
        <v>36</v>
      </c>
      <c r="E1028" s="6">
        <v>910.0</v>
      </c>
      <c r="F1028" s="6">
        <v>227.0</v>
      </c>
      <c r="G1028" s="5" t="s">
        <v>142</v>
      </c>
      <c r="H1028" s="5" t="s">
        <v>54</v>
      </c>
      <c r="I1028" s="6" t="s">
        <v>40</v>
      </c>
      <c r="J1028" s="5" t="s">
        <v>8585</v>
      </c>
      <c r="K1028" s="5" t="s">
        <v>8632</v>
      </c>
      <c r="L1028" s="6" t="s">
        <v>42</v>
      </c>
      <c r="M1028" s="5" t="s">
        <v>8746</v>
      </c>
      <c r="N1028" s="5" t="s">
        <v>64</v>
      </c>
      <c r="O1028" s="5" t="s">
        <v>11748</v>
      </c>
      <c r="P1028" s="6">
        <v>7613.0</v>
      </c>
    </row>
    <row r="1029" ht="56.25" customHeight="1">
      <c r="A1029" s="5" t="s">
        <v>11740</v>
      </c>
      <c r="B1029" s="6" t="str">
        <f>IMAGE("https://storage.googleapis.com/acdb/tops/TopsTexTopYshirtsLSportsjersey4.png")</f>
        <v/>
      </c>
      <c r="C1029" s="5" t="s">
        <v>83</v>
      </c>
      <c r="D1029" s="8" t="s">
        <v>36</v>
      </c>
      <c r="E1029" s="6">
        <v>910.0</v>
      </c>
      <c r="F1029" s="6">
        <v>227.0</v>
      </c>
      <c r="G1029" s="5" t="s">
        <v>68</v>
      </c>
      <c r="H1029" s="5" t="s">
        <v>54</v>
      </c>
      <c r="I1029" s="6" t="s">
        <v>40</v>
      </c>
      <c r="J1029" s="5" t="s">
        <v>8585</v>
      </c>
      <c r="K1029" s="5" t="s">
        <v>8632</v>
      </c>
      <c r="L1029" s="6" t="s">
        <v>42</v>
      </c>
      <c r="M1029" s="5" t="s">
        <v>8746</v>
      </c>
      <c r="N1029" s="5" t="s">
        <v>64</v>
      </c>
      <c r="O1029" s="5" t="s">
        <v>11752</v>
      </c>
      <c r="P1029" s="6">
        <v>7614.0</v>
      </c>
    </row>
    <row r="1030" ht="56.25" customHeight="1">
      <c r="A1030" s="5" t="s">
        <v>11740</v>
      </c>
      <c r="B1030" s="6" t="str">
        <f>IMAGE("https://storage.googleapis.com/acdb/tops/TopsTexTopYshirtsLSportsjersey5.png")</f>
        <v/>
      </c>
      <c r="C1030" s="5" t="s">
        <v>96</v>
      </c>
      <c r="D1030" s="8" t="s">
        <v>36</v>
      </c>
      <c r="E1030" s="6">
        <v>910.0</v>
      </c>
      <c r="F1030" s="6">
        <v>227.0</v>
      </c>
      <c r="G1030" s="5" t="s">
        <v>96</v>
      </c>
      <c r="H1030" s="5" t="s">
        <v>57</v>
      </c>
      <c r="I1030" s="6" t="s">
        <v>40</v>
      </c>
      <c r="J1030" s="5" t="s">
        <v>8585</v>
      </c>
      <c r="K1030" s="5" t="s">
        <v>8632</v>
      </c>
      <c r="L1030" s="6" t="s">
        <v>42</v>
      </c>
      <c r="M1030" s="5" t="s">
        <v>8746</v>
      </c>
      <c r="N1030" s="5" t="s">
        <v>64</v>
      </c>
      <c r="O1030" s="5" t="s">
        <v>11754</v>
      </c>
      <c r="P1030" s="6">
        <v>7615.0</v>
      </c>
    </row>
    <row r="1031" ht="56.25" customHeight="1">
      <c r="A1031" s="5" t="s">
        <v>11740</v>
      </c>
      <c r="B1031" s="6" t="str">
        <f>IMAGE("https://storage.googleapis.com/acdb/tops/TopsTexTopYshirtsLSportsjersey6.png")</f>
        <v/>
      </c>
      <c r="C1031" s="5" t="s">
        <v>68</v>
      </c>
      <c r="D1031" s="8" t="s">
        <v>36</v>
      </c>
      <c r="E1031" s="6">
        <v>910.0</v>
      </c>
      <c r="F1031" s="6">
        <v>227.0</v>
      </c>
      <c r="G1031" s="5" t="s">
        <v>68</v>
      </c>
      <c r="H1031" s="5" t="s">
        <v>142</v>
      </c>
      <c r="I1031" s="6" t="s">
        <v>40</v>
      </c>
      <c r="J1031" s="5" t="s">
        <v>8585</v>
      </c>
      <c r="K1031" s="5" t="s">
        <v>8632</v>
      </c>
      <c r="L1031" s="6" t="s">
        <v>42</v>
      </c>
      <c r="M1031" s="5" t="s">
        <v>8746</v>
      </c>
      <c r="N1031" s="5" t="s">
        <v>64</v>
      </c>
      <c r="O1031" s="5" t="s">
        <v>11758</v>
      </c>
      <c r="P1031" s="6">
        <v>7616.0</v>
      </c>
    </row>
    <row r="1032" ht="56.25" customHeight="1">
      <c r="A1032" s="5" t="s">
        <v>11740</v>
      </c>
      <c r="B1032" s="6" t="str">
        <f>IMAGE("https://storage.googleapis.com/acdb/tops/TopsTexTopYshirtsLSportsjersey0.png")</f>
        <v/>
      </c>
      <c r="C1032" s="5" t="s">
        <v>1187</v>
      </c>
      <c r="D1032" s="8" t="s">
        <v>36</v>
      </c>
      <c r="E1032" s="6">
        <v>910.0</v>
      </c>
      <c r="F1032" s="6">
        <v>227.0</v>
      </c>
      <c r="G1032" s="5" t="s">
        <v>68</v>
      </c>
      <c r="H1032" s="5" t="s">
        <v>83</v>
      </c>
      <c r="I1032" s="6" t="s">
        <v>40</v>
      </c>
      <c r="J1032" s="5" t="s">
        <v>8585</v>
      </c>
      <c r="K1032" s="5" t="s">
        <v>8632</v>
      </c>
      <c r="L1032" s="6" t="s">
        <v>42</v>
      </c>
      <c r="M1032" s="5" t="s">
        <v>8746</v>
      </c>
      <c r="N1032" s="5" t="s">
        <v>64</v>
      </c>
      <c r="O1032" s="5" t="s">
        <v>11761</v>
      </c>
      <c r="P1032" s="6">
        <v>3334.0</v>
      </c>
    </row>
    <row r="1033" ht="56.25" customHeight="1">
      <c r="A1033" s="5" t="s">
        <v>11762</v>
      </c>
      <c r="B1033" s="6" t="str">
        <f>IMAGE("https://storage.googleapis.com/acdb/tops/TopsTexTopCoatLStrawBeige.png")</f>
        <v/>
      </c>
      <c r="C1033" s="5" t="s">
        <v>34</v>
      </c>
      <c r="D1033" s="8" t="s">
        <v>35</v>
      </c>
      <c r="E1033" s="6" t="s">
        <v>37</v>
      </c>
      <c r="F1033" s="6">
        <v>160.0</v>
      </c>
      <c r="G1033" s="5" t="s">
        <v>38</v>
      </c>
      <c r="H1033" s="5" t="s">
        <v>38</v>
      </c>
      <c r="I1033" s="6" t="s">
        <v>40</v>
      </c>
      <c r="J1033" s="5" t="s">
        <v>41</v>
      </c>
      <c r="K1033" s="5"/>
      <c r="L1033" s="6" t="s">
        <v>42</v>
      </c>
      <c r="M1033" s="5" t="s">
        <v>995</v>
      </c>
      <c r="N1033" s="5" t="s">
        <v>48</v>
      </c>
      <c r="O1033" s="5" t="s">
        <v>11765</v>
      </c>
      <c r="P1033" s="6">
        <v>5291.0</v>
      </c>
    </row>
    <row r="1034" ht="56.25" customHeight="1">
      <c r="A1034" s="5" t="s">
        <v>11767</v>
      </c>
      <c r="B1034" s="6" t="str">
        <f>IMAGE("https://storage.googleapis.com/acdb/tops/TopsTexTopOuterLTree0.png")</f>
        <v/>
      </c>
      <c r="C1034" s="5" t="s">
        <v>34</v>
      </c>
      <c r="D1034" s="8" t="s">
        <v>36</v>
      </c>
      <c r="E1034" s="6">
        <v>880.0</v>
      </c>
      <c r="F1034" s="6">
        <v>220.0</v>
      </c>
      <c r="G1034" s="5" t="s">
        <v>38</v>
      </c>
      <c r="H1034" s="5" t="s">
        <v>96</v>
      </c>
      <c r="I1034" s="6" t="s">
        <v>40</v>
      </c>
      <c r="J1034" s="5" t="s">
        <v>8578</v>
      </c>
      <c r="K1034" s="5"/>
      <c r="L1034" s="6" t="s">
        <v>42</v>
      </c>
      <c r="M1034" s="5" t="s">
        <v>995</v>
      </c>
      <c r="N1034" s="5" t="s">
        <v>64</v>
      </c>
      <c r="O1034" s="5" t="s">
        <v>11770</v>
      </c>
      <c r="P1034" s="6">
        <v>8194.0</v>
      </c>
    </row>
    <row r="1035" ht="56.25" customHeight="1">
      <c r="A1035" s="5" t="s">
        <v>11771</v>
      </c>
      <c r="B1035" s="6" t="str">
        <f>IMAGE("https://storage.googleapis.com/acdb/tops/TopsTexTopCoatLTrench1.png")</f>
        <v/>
      </c>
      <c r="C1035" s="5" t="s">
        <v>83</v>
      </c>
      <c r="D1035" s="8" t="s">
        <v>36</v>
      </c>
      <c r="E1035" s="6">
        <v>1680.0</v>
      </c>
      <c r="F1035" s="6">
        <v>420.0</v>
      </c>
      <c r="G1035" s="5" t="s">
        <v>83</v>
      </c>
      <c r="H1035" s="5" t="s">
        <v>83</v>
      </c>
      <c r="I1035" s="6" t="s">
        <v>40</v>
      </c>
      <c r="J1035" s="5" t="s">
        <v>8585</v>
      </c>
      <c r="K1035" s="5" t="s">
        <v>8632</v>
      </c>
      <c r="L1035" s="6" t="s">
        <v>42</v>
      </c>
      <c r="M1035" s="5" t="s">
        <v>1059</v>
      </c>
      <c r="N1035" s="5" t="s">
        <v>64</v>
      </c>
      <c r="O1035" s="5" t="s">
        <v>11774</v>
      </c>
      <c r="P1035" s="6">
        <v>9284.0</v>
      </c>
    </row>
    <row r="1036" ht="56.25" customHeight="1">
      <c r="A1036" s="5" t="s">
        <v>11771</v>
      </c>
      <c r="B1036" s="6" t="str">
        <f>IMAGE("https://storage.googleapis.com/acdb/tops/TopsTexTopCoatLTrench2.png")</f>
        <v/>
      </c>
      <c r="C1036" s="5" t="s">
        <v>52</v>
      </c>
      <c r="D1036" s="8" t="s">
        <v>36</v>
      </c>
      <c r="E1036" s="6">
        <v>1680.0</v>
      </c>
      <c r="F1036" s="6">
        <v>420.0</v>
      </c>
      <c r="G1036" s="5" t="s">
        <v>52</v>
      </c>
      <c r="H1036" s="5" t="s">
        <v>52</v>
      </c>
      <c r="I1036" s="6" t="s">
        <v>40</v>
      </c>
      <c r="J1036" s="5" t="s">
        <v>8585</v>
      </c>
      <c r="K1036" s="5" t="s">
        <v>8632</v>
      </c>
      <c r="L1036" s="6" t="s">
        <v>42</v>
      </c>
      <c r="M1036" s="5" t="s">
        <v>1059</v>
      </c>
      <c r="N1036" s="5" t="s">
        <v>64</v>
      </c>
      <c r="O1036" s="5" t="s">
        <v>11776</v>
      </c>
      <c r="P1036" s="6">
        <v>9285.0</v>
      </c>
    </row>
    <row r="1037" ht="56.25" customHeight="1">
      <c r="A1037" s="5" t="s">
        <v>11771</v>
      </c>
      <c r="B1037" s="6" t="str">
        <f>IMAGE("https://storage.googleapis.com/acdb/tops/TopsTexTopCoatLTrench3.png")</f>
        <v/>
      </c>
      <c r="C1037" s="5" t="s">
        <v>142</v>
      </c>
      <c r="D1037" s="8" t="s">
        <v>36</v>
      </c>
      <c r="E1037" s="6">
        <v>1680.0</v>
      </c>
      <c r="F1037" s="6">
        <v>420.0</v>
      </c>
      <c r="G1037" s="5" t="s">
        <v>142</v>
      </c>
      <c r="H1037" s="5" t="s">
        <v>142</v>
      </c>
      <c r="I1037" s="6" t="s">
        <v>40</v>
      </c>
      <c r="J1037" s="5" t="s">
        <v>8585</v>
      </c>
      <c r="K1037" s="5" t="s">
        <v>8632</v>
      </c>
      <c r="L1037" s="6" t="s">
        <v>42</v>
      </c>
      <c r="M1037" s="5" t="s">
        <v>1059</v>
      </c>
      <c r="N1037" s="5" t="s">
        <v>64</v>
      </c>
      <c r="O1037" s="5" t="s">
        <v>11779</v>
      </c>
      <c r="P1037" s="6">
        <v>9286.0</v>
      </c>
    </row>
    <row r="1038" ht="56.25" customHeight="1">
      <c r="A1038" s="5" t="s">
        <v>11771</v>
      </c>
      <c r="B1038" s="6" t="str">
        <f>IMAGE("https://storage.googleapis.com/acdb/tops/TopsTexTopCoatLTrench4.png")</f>
        <v/>
      </c>
      <c r="C1038" s="5" t="s">
        <v>1187</v>
      </c>
      <c r="D1038" s="8" t="s">
        <v>36</v>
      </c>
      <c r="E1038" s="6">
        <v>1680.0</v>
      </c>
      <c r="F1038" s="6">
        <v>420.0</v>
      </c>
      <c r="G1038" s="5" t="s">
        <v>68</v>
      </c>
      <c r="H1038" s="5" t="s">
        <v>68</v>
      </c>
      <c r="I1038" s="6" t="s">
        <v>40</v>
      </c>
      <c r="J1038" s="5" t="s">
        <v>8585</v>
      </c>
      <c r="K1038" s="5" t="s">
        <v>8632</v>
      </c>
      <c r="L1038" s="6" t="s">
        <v>42</v>
      </c>
      <c r="M1038" s="5" t="s">
        <v>1059</v>
      </c>
      <c r="N1038" s="5" t="s">
        <v>64</v>
      </c>
      <c r="O1038" s="5" t="s">
        <v>11784</v>
      </c>
      <c r="P1038" s="6">
        <v>9287.0</v>
      </c>
    </row>
    <row r="1039" ht="56.25" customHeight="1">
      <c r="A1039" s="5" t="s">
        <v>11771</v>
      </c>
      <c r="B1039" s="6" t="str">
        <f>IMAGE("https://storage.googleapis.com/acdb/tops/TopsTexTopCoatLTrench0.png")</f>
        <v/>
      </c>
      <c r="C1039" s="5" t="s">
        <v>38</v>
      </c>
      <c r="D1039" s="8" t="s">
        <v>36</v>
      </c>
      <c r="E1039" s="6">
        <v>1680.0</v>
      </c>
      <c r="F1039" s="6">
        <v>420.0</v>
      </c>
      <c r="G1039" s="5" t="s">
        <v>38</v>
      </c>
      <c r="H1039" s="5" t="s">
        <v>38</v>
      </c>
      <c r="I1039" s="6" t="s">
        <v>40</v>
      </c>
      <c r="J1039" s="5" t="s">
        <v>8585</v>
      </c>
      <c r="K1039" s="5" t="s">
        <v>8632</v>
      </c>
      <c r="L1039" s="6" t="s">
        <v>42</v>
      </c>
      <c r="M1039" s="5" t="s">
        <v>1059</v>
      </c>
      <c r="N1039" s="5" t="s">
        <v>64</v>
      </c>
      <c r="O1039" s="5" t="s">
        <v>11788</v>
      </c>
      <c r="P1039" s="6">
        <v>2402.0</v>
      </c>
    </row>
    <row r="1040" ht="56.25" customHeight="1">
      <c r="A1040" s="5" t="s">
        <v>11789</v>
      </c>
      <c r="B1040" s="6" t="str">
        <f>IMAGE("https://storage.googleapis.com/acdb/tops/TopsTexTopTshirtsNTubetop1.png")</f>
        <v/>
      </c>
      <c r="C1040" s="5" t="s">
        <v>52</v>
      </c>
      <c r="D1040" s="8" t="s">
        <v>36</v>
      </c>
      <c r="E1040" s="6">
        <v>640.0</v>
      </c>
      <c r="F1040" s="6">
        <v>160.0</v>
      </c>
      <c r="G1040" s="5" t="s">
        <v>52</v>
      </c>
      <c r="H1040" s="5" t="s">
        <v>52</v>
      </c>
      <c r="I1040" s="6" t="s">
        <v>40</v>
      </c>
      <c r="J1040" s="5" t="s">
        <v>8585</v>
      </c>
      <c r="K1040" s="5" t="s">
        <v>8632</v>
      </c>
      <c r="L1040" s="6" t="s">
        <v>42</v>
      </c>
      <c r="M1040" s="5" t="s">
        <v>1959</v>
      </c>
      <c r="N1040" s="5" t="s">
        <v>64</v>
      </c>
      <c r="O1040" s="5" t="s">
        <v>11791</v>
      </c>
      <c r="P1040" s="6">
        <v>8082.0</v>
      </c>
    </row>
    <row r="1041" ht="56.25" customHeight="1">
      <c r="A1041" s="5" t="s">
        <v>11789</v>
      </c>
      <c r="B1041" s="6" t="str">
        <f>IMAGE("https://storage.googleapis.com/acdb/tops/TopsTexTopTshirtsNTubetop2.png")</f>
        <v/>
      </c>
      <c r="C1041" s="5" t="s">
        <v>114</v>
      </c>
      <c r="D1041" s="8" t="s">
        <v>36</v>
      </c>
      <c r="E1041" s="6">
        <v>640.0</v>
      </c>
      <c r="F1041" s="6">
        <v>160.0</v>
      </c>
      <c r="G1041" s="5" t="s">
        <v>142</v>
      </c>
      <c r="H1041" s="5" t="s">
        <v>142</v>
      </c>
      <c r="I1041" s="6" t="s">
        <v>40</v>
      </c>
      <c r="J1041" s="5" t="s">
        <v>8585</v>
      </c>
      <c r="K1041" s="5" t="s">
        <v>8632</v>
      </c>
      <c r="L1041" s="6" t="s">
        <v>42</v>
      </c>
      <c r="M1041" s="5" t="s">
        <v>1959</v>
      </c>
      <c r="N1041" s="5" t="s">
        <v>64</v>
      </c>
      <c r="O1041" s="5" t="s">
        <v>11794</v>
      </c>
      <c r="P1041" s="6">
        <v>8083.0</v>
      </c>
    </row>
    <row r="1042" ht="56.25" customHeight="1">
      <c r="A1042" s="5" t="s">
        <v>11789</v>
      </c>
      <c r="B1042" s="6" t="str">
        <f>IMAGE("https://storage.googleapis.com/acdb/tops/TopsTexTopTshirtsNTubetop3.png")</f>
        <v/>
      </c>
      <c r="C1042" s="5" t="s">
        <v>1943</v>
      </c>
      <c r="D1042" s="8" t="s">
        <v>36</v>
      </c>
      <c r="E1042" s="6">
        <v>640.0</v>
      </c>
      <c r="F1042" s="6">
        <v>160.0</v>
      </c>
      <c r="G1042" s="5" t="s">
        <v>54</v>
      </c>
      <c r="H1042" s="5" t="s">
        <v>54</v>
      </c>
      <c r="I1042" s="6" t="s">
        <v>40</v>
      </c>
      <c r="J1042" s="5" t="s">
        <v>8585</v>
      </c>
      <c r="K1042" s="5" t="s">
        <v>8632</v>
      </c>
      <c r="L1042" s="6" t="s">
        <v>42</v>
      </c>
      <c r="M1042" s="5" t="s">
        <v>1959</v>
      </c>
      <c r="N1042" s="5" t="s">
        <v>64</v>
      </c>
      <c r="O1042" s="5" t="s">
        <v>11797</v>
      </c>
      <c r="P1042" s="6">
        <v>8084.0</v>
      </c>
    </row>
    <row r="1043" ht="56.25" customHeight="1">
      <c r="A1043" s="5" t="s">
        <v>11789</v>
      </c>
      <c r="B1043" s="6" t="str">
        <f>IMAGE("https://storage.googleapis.com/acdb/tops/TopsTexTopTshirtsNTubetop4.png")</f>
        <v/>
      </c>
      <c r="C1043" s="5" t="s">
        <v>106</v>
      </c>
      <c r="D1043" s="8" t="s">
        <v>36</v>
      </c>
      <c r="E1043" s="6">
        <v>640.0</v>
      </c>
      <c r="F1043" s="6">
        <v>160.0</v>
      </c>
      <c r="G1043" s="5" t="s">
        <v>106</v>
      </c>
      <c r="H1043" s="5" t="s">
        <v>106</v>
      </c>
      <c r="I1043" s="6" t="s">
        <v>40</v>
      </c>
      <c r="J1043" s="5" t="s">
        <v>8585</v>
      </c>
      <c r="K1043" s="5" t="s">
        <v>8632</v>
      </c>
      <c r="L1043" s="6" t="s">
        <v>42</v>
      </c>
      <c r="M1043" s="5" t="s">
        <v>1959</v>
      </c>
      <c r="N1043" s="5" t="s">
        <v>64</v>
      </c>
      <c r="O1043" s="5" t="s">
        <v>11800</v>
      </c>
      <c r="P1043" s="6">
        <v>8085.0</v>
      </c>
    </row>
    <row r="1044" ht="56.25" customHeight="1">
      <c r="A1044" s="5" t="s">
        <v>11789</v>
      </c>
      <c r="B1044" s="6" t="str">
        <f>IMAGE("https://storage.googleapis.com/acdb/tops/TopsTexTopTshirtsNTubetop0.png")</f>
        <v/>
      </c>
      <c r="C1044" s="5" t="s">
        <v>96</v>
      </c>
      <c r="D1044" s="8" t="s">
        <v>36</v>
      </c>
      <c r="E1044" s="6">
        <v>640.0</v>
      </c>
      <c r="F1044" s="6">
        <v>160.0</v>
      </c>
      <c r="G1044" s="5" t="s">
        <v>96</v>
      </c>
      <c r="H1044" s="5" t="s">
        <v>96</v>
      </c>
      <c r="I1044" s="6" t="s">
        <v>40</v>
      </c>
      <c r="J1044" s="5" t="s">
        <v>8585</v>
      </c>
      <c r="K1044" s="5" t="s">
        <v>8632</v>
      </c>
      <c r="L1044" s="6" t="s">
        <v>42</v>
      </c>
      <c r="M1044" s="5" t="s">
        <v>1959</v>
      </c>
      <c r="N1044" s="5" t="s">
        <v>64</v>
      </c>
      <c r="O1044" s="5" t="s">
        <v>11804</v>
      </c>
      <c r="P1044" s="6">
        <v>4253.0</v>
      </c>
    </row>
    <row r="1045" ht="56.25" customHeight="1">
      <c r="A1045" s="5" t="s">
        <v>11789</v>
      </c>
      <c r="B1045" s="6" t="str">
        <f>IMAGE("https://storage.googleapis.com/acdb/tops/TopsTexTopTshirtsNTubetop5.png")</f>
        <v/>
      </c>
      <c r="C1045" s="5" t="s">
        <v>68</v>
      </c>
      <c r="D1045" s="8" t="s">
        <v>36</v>
      </c>
      <c r="E1045" s="6">
        <v>640.0</v>
      </c>
      <c r="F1045" s="6">
        <v>160.0</v>
      </c>
      <c r="G1045" s="5" t="s">
        <v>68</v>
      </c>
      <c r="H1045" s="5" t="s">
        <v>68</v>
      </c>
      <c r="I1045" s="6" t="s">
        <v>40</v>
      </c>
      <c r="J1045" s="5" t="s">
        <v>8585</v>
      </c>
      <c r="K1045" s="5" t="s">
        <v>8632</v>
      </c>
      <c r="L1045" s="6" t="s">
        <v>42</v>
      </c>
      <c r="M1045" s="5" t="s">
        <v>1959</v>
      </c>
      <c r="N1045" s="5" t="s">
        <v>64</v>
      </c>
      <c r="O1045" s="5" t="s">
        <v>11808</v>
      </c>
      <c r="P1045" s="6">
        <v>8086.0</v>
      </c>
    </row>
    <row r="1046" ht="56.25" customHeight="1">
      <c r="A1046" s="5" t="s">
        <v>11789</v>
      </c>
      <c r="B1046" s="6" t="str">
        <f>IMAGE("https://storage.googleapis.com/acdb/tops/TopsTexTopTshirtsNTubetop6.png")</f>
        <v/>
      </c>
      <c r="C1046" s="5" t="s">
        <v>3744</v>
      </c>
      <c r="D1046" s="8" t="s">
        <v>36</v>
      </c>
      <c r="E1046" s="6">
        <v>640.0</v>
      </c>
      <c r="F1046" s="6">
        <v>160.0</v>
      </c>
      <c r="G1046" s="5" t="s">
        <v>39</v>
      </c>
      <c r="H1046" s="5" t="s">
        <v>39</v>
      </c>
      <c r="I1046" s="6" t="s">
        <v>40</v>
      </c>
      <c r="J1046" s="5" t="s">
        <v>8585</v>
      </c>
      <c r="K1046" s="5" t="s">
        <v>8632</v>
      </c>
      <c r="L1046" s="6" t="s">
        <v>42</v>
      </c>
      <c r="M1046" s="5" t="s">
        <v>1959</v>
      </c>
      <c r="N1046" s="5" t="s">
        <v>64</v>
      </c>
      <c r="O1046" s="5" t="s">
        <v>11812</v>
      </c>
      <c r="P1046" s="6">
        <v>8087.0</v>
      </c>
    </row>
    <row r="1047" ht="56.25" customHeight="1">
      <c r="A1047" s="5" t="s">
        <v>11813</v>
      </c>
      <c r="B1047" s="6" t="str">
        <f>IMAGE("https://storage.googleapis.com/acdb/tops/TopsTexTopCoatNTanktunic1.png")</f>
        <v/>
      </c>
      <c r="C1047" s="5" t="s">
        <v>114</v>
      </c>
      <c r="D1047" s="8" t="s">
        <v>36</v>
      </c>
      <c r="E1047" s="6">
        <v>800.0</v>
      </c>
      <c r="F1047" s="6">
        <v>200.0</v>
      </c>
      <c r="G1047" s="5" t="s">
        <v>114</v>
      </c>
      <c r="H1047" s="5" t="s">
        <v>54</v>
      </c>
      <c r="I1047" s="6" t="s">
        <v>40</v>
      </c>
      <c r="J1047" s="5" t="s">
        <v>8585</v>
      </c>
      <c r="K1047" s="5" t="s">
        <v>8632</v>
      </c>
      <c r="L1047" s="6" t="s">
        <v>42</v>
      </c>
      <c r="M1047" s="5" t="s">
        <v>995</v>
      </c>
      <c r="N1047" s="5" t="s">
        <v>64</v>
      </c>
      <c r="O1047" s="5" t="s">
        <v>11816</v>
      </c>
      <c r="P1047" s="6">
        <v>8390.0</v>
      </c>
    </row>
    <row r="1048" ht="56.25" customHeight="1">
      <c r="A1048" s="5" t="s">
        <v>11813</v>
      </c>
      <c r="B1048" s="6" t="str">
        <f>IMAGE("https://storage.googleapis.com/acdb/tops/TopsTexTopCoatNTanktunic2.png")</f>
        <v/>
      </c>
      <c r="C1048" s="5" t="s">
        <v>69</v>
      </c>
      <c r="D1048" s="8" t="s">
        <v>36</v>
      </c>
      <c r="E1048" s="6">
        <v>800.0</v>
      </c>
      <c r="F1048" s="6">
        <v>200.0</v>
      </c>
      <c r="G1048" s="5" t="s">
        <v>69</v>
      </c>
      <c r="H1048" s="5" t="s">
        <v>54</v>
      </c>
      <c r="I1048" s="6" t="s">
        <v>40</v>
      </c>
      <c r="J1048" s="5" t="s">
        <v>8585</v>
      </c>
      <c r="K1048" s="5" t="s">
        <v>8632</v>
      </c>
      <c r="L1048" s="6" t="s">
        <v>42</v>
      </c>
      <c r="M1048" s="5" t="s">
        <v>995</v>
      </c>
      <c r="N1048" s="5" t="s">
        <v>64</v>
      </c>
      <c r="O1048" s="5" t="s">
        <v>11818</v>
      </c>
      <c r="P1048" s="6">
        <v>8391.0</v>
      </c>
    </row>
    <row r="1049" ht="56.25" customHeight="1">
      <c r="A1049" s="5" t="s">
        <v>11813</v>
      </c>
      <c r="B1049" s="6" t="str">
        <f>IMAGE("https://storage.googleapis.com/acdb/tops/TopsTexTopCoatNTanktunic3.png")</f>
        <v/>
      </c>
      <c r="C1049" s="5" t="s">
        <v>9021</v>
      </c>
      <c r="D1049" s="8" t="s">
        <v>36</v>
      </c>
      <c r="E1049" s="6">
        <v>800.0</v>
      </c>
      <c r="F1049" s="6">
        <v>200.0</v>
      </c>
      <c r="G1049" s="5" t="s">
        <v>96</v>
      </c>
      <c r="H1049" s="5" t="s">
        <v>54</v>
      </c>
      <c r="I1049" s="6" t="s">
        <v>40</v>
      </c>
      <c r="J1049" s="5" t="s">
        <v>8585</v>
      </c>
      <c r="K1049" s="5" t="s">
        <v>8632</v>
      </c>
      <c r="L1049" s="6" t="s">
        <v>42</v>
      </c>
      <c r="M1049" s="5" t="s">
        <v>995</v>
      </c>
      <c r="N1049" s="5" t="s">
        <v>64</v>
      </c>
      <c r="O1049" s="5" t="s">
        <v>11821</v>
      </c>
      <c r="P1049" s="6">
        <v>8392.0</v>
      </c>
    </row>
    <row r="1050" ht="56.25" customHeight="1">
      <c r="A1050" s="5" t="s">
        <v>11813</v>
      </c>
      <c r="B1050" s="6" t="str">
        <f>IMAGE("https://storage.googleapis.com/acdb/tops/TopsTexTopCoatNTanktunic0.png")</f>
        <v/>
      </c>
      <c r="C1050" s="5" t="s">
        <v>57</v>
      </c>
      <c r="D1050" s="8" t="s">
        <v>36</v>
      </c>
      <c r="E1050" s="6">
        <v>800.0</v>
      </c>
      <c r="F1050" s="6">
        <v>200.0</v>
      </c>
      <c r="G1050" s="5" t="s">
        <v>57</v>
      </c>
      <c r="H1050" s="5" t="s">
        <v>54</v>
      </c>
      <c r="I1050" s="6" t="s">
        <v>40</v>
      </c>
      <c r="J1050" s="5" t="s">
        <v>8585</v>
      </c>
      <c r="K1050" s="5" t="s">
        <v>8632</v>
      </c>
      <c r="L1050" s="6" t="s">
        <v>42</v>
      </c>
      <c r="M1050" s="5" t="s">
        <v>995</v>
      </c>
      <c r="N1050" s="5" t="s">
        <v>64</v>
      </c>
      <c r="O1050" s="5" t="s">
        <v>11824</v>
      </c>
      <c r="P1050" s="6">
        <v>4668.0</v>
      </c>
    </row>
    <row r="1051" ht="56.25" customHeight="1">
      <c r="A1051" s="5" t="s">
        <v>11826</v>
      </c>
      <c r="B1051" s="6" t="str">
        <f>IMAGE("https://storage.googleapis.com/acdb/tops/TopsTexTopYshirtsLTuxedo1.png")</f>
        <v/>
      </c>
      <c r="C1051" s="5" t="s">
        <v>95</v>
      </c>
      <c r="D1051" s="8" t="s">
        <v>36</v>
      </c>
      <c r="E1051" s="6">
        <v>2500.0</v>
      </c>
      <c r="F1051" s="6">
        <v>625.0</v>
      </c>
      <c r="G1051" s="5" t="s">
        <v>95</v>
      </c>
      <c r="H1051" s="5" t="s">
        <v>57</v>
      </c>
      <c r="I1051" s="6" t="s">
        <v>40</v>
      </c>
      <c r="J1051" s="5" t="s">
        <v>8585</v>
      </c>
      <c r="K1051" s="5" t="s">
        <v>8586</v>
      </c>
      <c r="L1051" s="6" t="s">
        <v>42</v>
      </c>
      <c r="M1051" s="5" t="s">
        <v>1952</v>
      </c>
      <c r="N1051" s="5" t="s">
        <v>64</v>
      </c>
      <c r="O1051" s="5" t="s">
        <v>11828</v>
      </c>
      <c r="P1051" s="6">
        <v>8270.0</v>
      </c>
    </row>
    <row r="1052" ht="56.25" customHeight="1">
      <c r="A1052" s="5" t="s">
        <v>11826</v>
      </c>
      <c r="B1052" s="6" t="str">
        <f>IMAGE("https://storage.googleapis.com/acdb/tops/TopsTexTopYshirtsLTuxedo2.png")</f>
        <v/>
      </c>
      <c r="C1052" s="5" t="s">
        <v>57</v>
      </c>
      <c r="D1052" s="8" t="s">
        <v>36</v>
      </c>
      <c r="E1052" s="6">
        <v>2500.0</v>
      </c>
      <c r="F1052" s="6">
        <v>625.0</v>
      </c>
      <c r="G1052" s="5" t="s">
        <v>57</v>
      </c>
      <c r="H1052" s="5" t="s">
        <v>114</v>
      </c>
      <c r="I1052" s="6" t="s">
        <v>40</v>
      </c>
      <c r="J1052" s="5" t="s">
        <v>8585</v>
      </c>
      <c r="K1052" s="5" t="s">
        <v>8586</v>
      </c>
      <c r="L1052" s="6" t="s">
        <v>42</v>
      </c>
      <c r="M1052" s="5" t="s">
        <v>1952</v>
      </c>
      <c r="N1052" s="5" t="s">
        <v>64</v>
      </c>
      <c r="O1052" s="5" t="s">
        <v>11832</v>
      </c>
      <c r="P1052" s="6">
        <v>8271.0</v>
      </c>
    </row>
    <row r="1053" ht="56.25" customHeight="1">
      <c r="A1053" s="5" t="s">
        <v>11826</v>
      </c>
      <c r="B1053" s="6" t="str">
        <f>IMAGE("https://storage.googleapis.com/acdb/tops/TopsTexTopYshirtsLTuxedo0.png")</f>
        <v/>
      </c>
      <c r="C1053" s="5" t="s">
        <v>54</v>
      </c>
      <c r="D1053" s="8" t="s">
        <v>36</v>
      </c>
      <c r="E1053" s="6">
        <v>2500.0</v>
      </c>
      <c r="F1053" s="6">
        <v>625.0</v>
      </c>
      <c r="G1053" s="5" t="s">
        <v>54</v>
      </c>
      <c r="H1053" s="5" t="s">
        <v>57</v>
      </c>
      <c r="I1053" s="6" t="s">
        <v>40</v>
      </c>
      <c r="J1053" s="5" t="s">
        <v>8585</v>
      </c>
      <c r="K1053" s="5" t="s">
        <v>8586</v>
      </c>
      <c r="L1053" s="6" t="s">
        <v>42</v>
      </c>
      <c r="M1053" s="5" t="s">
        <v>1952</v>
      </c>
      <c r="N1053" s="5" t="s">
        <v>64</v>
      </c>
      <c r="O1053" s="5" t="s">
        <v>11837</v>
      </c>
      <c r="P1053" s="6">
        <v>3388.0</v>
      </c>
    </row>
    <row r="1054" ht="56.25" customHeight="1">
      <c r="A1054" s="5" t="s">
        <v>11838</v>
      </c>
      <c r="B1054" s="6" t="str">
        <f>IMAGE("https://storage.googleapis.com/acdb/tops/TopsTexTopYshirtsLTweed1.png")</f>
        <v/>
      </c>
      <c r="C1054" s="5" t="s">
        <v>68</v>
      </c>
      <c r="D1054" s="8" t="s">
        <v>36</v>
      </c>
      <c r="E1054" s="6">
        <v>1680.0</v>
      </c>
      <c r="F1054" s="6">
        <v>420.0</v>
      </c>
      <c r="G1054" s="5" t="s">
        <v>68</v>
      </c>
      <c r="H1054" s="5" t="s">
        <v>114</v>
      </c>
      <c r="I1054" s="6" t="s">
        <v>40</v>
      </c>
      <c r="J1054" s="5" t="s">
        <v>8585</v>
      </c>
      <c r="K1054" s="5" t="s">
        <v>8632</v>
      </c>
      <c r="L1054" s="6" t="s">
        <v>42</v>
      </c>
      <c r="M1054" s="5" t="s">
        <v>1059</v>
      </c>
      <c r="N1054" s="5" t="s">
        <v>64</v>
      </c>
      <c r="O1054" s="5" t="s">
        <v>11841</v>
      </c>
      <c r="P1054" s="6">
        <v>8121.0</v>
      </c>
    </row>
    <row r="1055" ht="56.25" customHeight="1">
      <c r="A1055" s="5" t="s">
        <v>11838</v>
      </c>
      <c r="B1055" s="6" t="str">
        <f>IMAGE("https://storage.googleapis.com/acdb/tops/TopsTexTopYshirtsLTweed2.png")</f>
        <v/>
      </c>
      <c r="C1055" s="5" t="s">
        <v>38</v>
      </c>
      <c r="D1055" s="8" t="s">
        <v>36</v>
      </c>
      <c r="E1055" s="6">
        <v>1680.0</v>
      </c>
      <c r="F1055" s="6">
        <v>420.0</v>
      </c>
      <c r="G1055" s="5" t="s">
        <v>38</v>
      </c>
      <c r="H1055" s="5" t="s">
        <v>96</v>
      </c>
      <c r="I1055" s="6" t="s">
        <v>40</v>
      </c>
      <c r="J1055" s="5" t="s">
        <v>8585</v>
      </c>
      <c r="K1055" s="5" t="s">
        <v>8632</v>
      </c>
      <c r="L1055" s="6" t="s">
        <v>42</v>
      </c>
      <c r="M1055" s="5" t="s">
        <v>1059</v>
      </c>
      <c r="N1055" s="5" t="s">
        <v>64</v>
      </c>
      <c r="O1055" s="5" t="s">
        <v>11844</v>
      </c>
      <c r="P1055" s="6">
        <v>8122.0</v>
      </c>
    </row>
    <row r="1056" ht="56.25" customHeight="1">
      <c r="A1056" s="5" t="s">
        <v>11838</v>
      </c>
      <c r="B1056" s="6" t="str">
        <f>IMAGE("https://storage.googleapis.com/acdb/tops/TopsTexTopYshirtsLTweed3.png")</f>
        <v/>
      </c>
      <c r="C1056" s="5" t="s">
        <v>4883</v>
      </c>
      <c r="D1056" s="8" t="s">
        <v>36</v>
      </c>
      <c r="E1056" s="6">
        <v>1680.0</v>
      </c>
      <c r="F1056" s="6">
        <v>420.0</v>
      </c>
      <c r="G1056" s="5" t="s">
        <v>52</v>
      </c>
      <c r="H1056" s="5" t="s">
        <v>68</v>
      </c>
      <c r="I1056" s="6" t="s">
        <v>40</v>
      </c>
      <c r="J1056" s="5" t="s">
        <v>8585</v>
      </c>
      <c r="K1056" s="5" t="s">
        <v>8632</v>
      </c>
      <c r="L1056" s="6" t="s">
        <v>42</v>
      </c>
      <c r="M1056" s="5" t="s">
        <v>1059</v>
      </c>
      <c r="N1056" s="5" t="s">
        <v>64</v>
      </c>
      <c r="O1056" s="5" t="s">
        <v>11848</v>
      </c>
      <c r="P1056" s="6">
        <v>8123.0</v>
      </c>
    </row>
    <row r="1057" ht="56.25" customHeight="1">
      <c r="A1057" s="5" t="s">
        <v>11838</v>
      </c>
      <c r="B1057" s="6" t="str">
        <f>IMAGE("https://storage.googleapis.com/acdb/tops/TopsTexTopYshirtsLTweed4.png")</f>
        <v/>
      </c>
      <c r="C1057" s="5" t="s">
        <v>96</v>
      </c>
      <c r="D1057" s="8" t="s">
        <v>36</v>
      </c>
      <c r="E1057" s="6">
        <v>1680.0</v>
      </c>
      <c r="F1057" s="6">
        <v>420.0</v>
      </c>
      <c r="G1057" s="5" t="s">
        <v>96</v>
      </c>
      <c r="H1057" s="5" t="s">
        <v>52</v>
      </c>
      <c r="I1057" s="6" t="s">
        <v>40</v>
      </c>
      <c r="J1057" s="5" t="s">
        <v>8585</v>
      </c>
      <c r="K1057" s="5" t="s">
        <v>8632</v>
      </c>
      <c r="L1057" s="6" t="s">
        <v>42</v>
      </c>
      <c r="M1057" s="5" t="s">
        <v>1059</v>
      </c>
      <c r="N1057" s="5" t="s">
        <v>64</v>
      </c>
      <c r="O1057" s="5" t="s">
        <v>11851</v>
      </c>
      <c r="P1057" s="6">
        <v>8124.0</v>
      </c>
    </row>
    <row r="1058" ht="56.25" customHeight="1">
      <c r="A1058" s="5" t="s">
        <v>11838</v>
      </c>
      <c r="B1058" s="6" t="str">
        <f>IMAGE("https://storage.googleapis.com/acdb/tops/TopsTexTopYshirtsLTweed5.png")</f>
        <v/>
      </c>
      <c r="C1058" s="5" t="s">
        <v>69</v>
      </c>
      <c r="D1058" s="8" t="s">
        <v>36</v>
      </c>
      <c r="E1058" s="6">
        <v>1680.0</v>
      </c>
      <c r="F1058" s="6">
        <v>420.0</v>
      </c>
      <c r="G1058" s="5" t="s">
        <v>69</v>
      </c>
      <c r="H1058" s="5" t="s">
        <v>83</v>
      </c>
      <c r="I1058" s="6" t="s">
        <v>40</v>
      </c>
      <c r="J1058" s="5" t="s">
        <v>8585</v>
      </c>
      <c r="K1058" s="5" t="s">
        <v>8632</v>
      </c>
      <c r="L1058" s="6" t="s">
        <v>42</v>
      </c>
      <c r="M1058" s="5" t="s">
        <v>1059</v>
      </c>
      <c r="N1058" s="5" t="s">
        <v>64</v>
      </c>
      <c r="O1058" s="5" t="s">
        <v>11854</v>
      </c>
      <c r="P1058" s="6">
        <v>8125.0</v>
      </c>
    </row>
    <row r="1059" ht="56.25" customHeight="1">
      <c r="A1059" s="5" t="s">
        <v>11838</v>
      </c>
      <c r="B1059" s="6" t="str">
        <f>IMAGE("https://storage.googleapis.com/acdb/tops/TopsTexTopYshirtsLTweed0.png")</f>
        <v/>
      </c>
      <c r="C1059" s="5" t="s">
        <v>39</v>
      </c>
      <c r="D1059" s="8" t="s">
        <v>36</v>
      </c>
      <c r="E1059" s="6">
        <v>1680.0</v>
      </c>
      <c r="F1059" s="6">
        <v>420.0</v>
      </c>
      <c r="G1059" s="5" t="s">
        <v>39</v>
      </c>
      <c r="H1059" s="5" t="s">
        <v>142</v>
      </c>
      <c r="I1059" s="6" t="s">
        <v>40</v>
      </c>
      <c r="J1059" s="5" t="s">
        <v>8585</v>
      </c>
      <c r="K1059" s="5" t="s">
        <v>8632</v>
      </c>
      <c r="L1059" s="6" t="s">
        <v>42</v>
      </c>
      <c r="M1059" s="5" t="s">
        <v>1059</v>
      </c>
      <c r="N1059" s="5" t="s">
        <v>64</v>
      </c>
      <c r="O1059" s="5" t="s">
        <v>11859</v>
      </c>
      <c r="P1059" s="6">
        <v>3706.0</v>
      </c>
    </row>
    <row r="1060" ht="56.25" customHeight="1">
      <c r="A1060" s="5" t="s">
        <v>11860</v>
      </c>
      <c r="B1060" s="6" t="str">
        <f>IMAGE("https://storage.googleapis.com/acdb/tops/TopsTexTopYshirtsLTweedvest1.png")</f>
        <v/>
      </c>
      <c r="C1060" s="5" t="s">
        <v>52</v>
      </c>
      <c r="D1060" s="8" t="s">
        <v>36</v>
      </c>
      <c r="E1060" s="6">
        <v>1400.0</v>
      </c>
      <c r="F1060" s="6">
        <v>350.0</v>
      </c>
      <c r="G1060" s="5" t="s">
        <v>52</v>
      </c>
      <c r="H1060" s="5" t="s">
        <v>38</v>
      </c>
      <c r="I1060" s="6" t="s">
        <v>40</v>
      </c>
      <c r="J1060" s="5" t="s">
        <v>8585</v>
      </c>
      <c r="K1060" s="5" t="s">
        <v>8632</v>
      </c>
      <c r="L1060" s="6" t="s">
        <v>42</v>
      </c>
      <c r="M1060" s="5" t="s">
        <v>995</v>
      </c>
      <c r="N1060" s="5" t="s">
        <v>64</v>
      </c>
      <c r="O1060" s="5" t="s">
        <v>11864</v>
      </c>
      <c r="P1060" s="6">
        <v>8502.0</v>
      </c>
    </row>
    <row r="1061" ht="56.25" customHeight="1">
      <c r="A1061" s="5" t="s">
        <v>11860</v>
      </c>
      <c r="B1061" s="6" t="str">
        <f>IMAGE("https://storage.googleapis.com/acdb/tops/TopsTexTopYshirtsLTweedvest2.png")</f>
        <v/>
      </c>
      <c r="C1061" s="5" t="s">
        <v>1187</v>
      </c>
      <c r="D1061" s="8" t="s">
        <v>36</v>
      </c>
      <c r="E1061" s="6">
        <v>1400.0</v>
      </c>
      <c r="F1061" s="6">
        <v>350.0</v>
      </c>
      <c r="G1061" s="5" t="s">
        <v>68</v>
      </c>
      <c r="H1061" s="5" t="s">
        <v>38</v>
      </c>
      <c r="I1061" s="6" t="s">
        <v>40</v>
      </c>
      <c r="J1061" s="5" t="s">
        <v>8585</v>
      </c>
      <c r="K1061" s="5" t="s">
        <v>8632</v>
      </c>
      <c r="L1061" s="6" t="s">
        <v>42</v>
      </c>
      <c r="M1061" s="5" t="s">
        <v>995</v>
      </c>
      <c r="N1061" s="5" t="s">
        <v>64</v>
      </c>
      <c r="O1061" s="5" t="s">
        <v>11867</v>
      </c>
      <c r="P1061" s="6">
        <v>8503.0</v>
      </c>
    </row>
    <row r="1062" ht="56.25" customHeight="1">
      <c r="A1062" s="5" t="s">
        <v>11860</v>
      </c>
      <c r="B1062" s="6" t="str">
        <f>IMAGE("https://storage.googleapis.com/acdb/tops/TopsTexTopYshirtsLTweedvest0.png")</f>
        <v/>
      </c>
      <c r="C1062" s="5" t="s">
        <v>96</v>
      </c>
      <c r="D1062" s="8" t="s">
        <v>36</v>
      </c>
      <c r="E1062" s="6">
        <v>1400.0</v>
      </c>
      <c r="F1062" s="6">
        <v>350.0</v>
      </c>
      <c r="G1062" s="5" t="s">
        <v>96</v>
      </c>
      <c r="H1062" s="5" t="s">
        <v>38</v>
      </c>
      <c r="I1062" s="6" t="s">
        <v>40</v>
      </c>
      <c r="J1062" s="5" t="s">
        <v>8585</v>
      </c>
      <c r="K1062" s="5" t="s">
        <v>8632</v>
      </c>
      <c r="L1062" s="6" t="s">
        <v>42</v>
      </c>
      <c r="M1062" s="5" t="s">
        <v>995</v>
      </c>
      <c r="N1062" s="5" t="s">
        <v>64</v>
      </c>
      <c r="O1062" s="5" t="s">
        <v>11870</v>
      </c>
      <c r="P1062" s="6">
        <v>4524.0</v>
      </c>
    </row>
    <row r="1063" ht="56.25" customHeight="1">
      <c r="A1063" s="5" t="s">
        <v>11871</v>
      </c>
      <c r="B1063" s="6" t="str">
        <f>IMAGE("https://storage.googleapis.com/acdb/tops/TopsTexTopTshirtsHNumberball2.png")</f>
        <v/>
      </c>
      <c r="C1063" s="5" t="s">
        <v>34</v>
      </c>
      <c r="D1063" s="8" t="s">
        <v>36</v>
      </c>
      <c r="E1063" s="6">
        <v>560.0</v>
      </c>
      <c r="F1063" s="6">
        <v>140.0</v>
      </c>
      <c r="G1063" s="5" t="s">
        <v>68</v>
      </c>
      <c r="H1063" s="5" t="s">
        <v>57</v>
      </c>
      <c r="I1063" s="6" t="s">
        <v>40</v>
      </c>
      <c r="J1063" s="5" t="s">
        <v>8578</v>
      </c>
      <c r="K1063" s="5"/>
      <c r="L1063" s="6" t="s">
        <v>42</v>
      </c>
      <c r="M1063" s="5" t="s">
        <v>8746</v>
      </c>
      <c r="N1063" s="5" t="s">
        <v>64</v>
      </c>
      <c r="O1063" s="5" t="s">
        <v>11877</v>
      </c>
      <c r="P1063" s="6">
        <v>2541.0</v>
      </c>
    </row>
    <row r="1064" ht="56.25" customHeight="1">
      <c r="A1064" s="5" t="s">
        <v>11879</v>
      </c>
      <c r="B1064" s="6" t="str">
        <f>IMAGE("https://storage.googleapis.com/acdb/tops/TopsTexTopTshirtsLVnecksweater0.png")</f>
        <v/>
      </c>
      <c r="C1064" s="5" t="s">
        <v>68</v>
      </c>
      <c r="D1064" s="8" t="s">
        <v>36</v>
      </c>
      <c r="E1064" s="6">
        <v>840.0</v>
      </c>
      <c r="F1064" s="6">
        <v>210.0</v>
      </c>
      <c r="G1064" s="5" t="s">
        <v>68</v>
      </c>
      <c r="H1064" s="5" t="s">
        <v>68</v>
      </c>
      <c r="I1064" s="6" t="s">
        <v>40</v>
      </c>
      <c r="J1064" s="5" t="s">
        <v>8585</v>
      </c>
      <c r="K1064" s="5" t="s">
        <v>8632</v>
      </c>
      <c r="L1064" s="6" t="s">
        <v>42</v>
      </c>
      <c r="M1064" s="5" t="s">
        <v>995</v>
      </c>
      <c r="N1064" s="5" t="s">
        <v>64</v>
      </c>
      <c r="O1064" s="5" t="s">
        <v>11882</v>
      </c>
      <c r="P1064" s="6">
        <v>3700.0</v>
      </c>
    </row>
    <row r="1065" ht="56.25" customHeight="1">
      <c r="A1065" s="5" t="s">
        <v>11879</v>
      </c>
      <c r="B1065" s="6" t="str">
        <f>IMAGE("https://storage.googleapis.com/acdb/tops/TopsTexTopTshirtsLVnecksweater1.png")</f>
        <v/>
      </c>
      <c r="C1065" s="5" t="s">
        <v>52</v>
      </c>
      <c r="D1065" s="8" t="s">
        <v>36</v>
      </c>
      <c r="E1065" s="6">
        <v>840.0</v>
      </c>
      <c r="F1065" s="6">
        <v>210.0</v>
      </c>
      <c r="G1065" s="5" t="s">
        <v>52</v>
      </c>
      <c r="H1065" s="5" t="s">
        <v>52</v>
      </c>
      <c r="I1065" s="6" t="s">
        <v>40</v>
      </c>
      <c r="J1065" s="5" t="s">
        <v>8585</v>
      </c>
      <c r="K1065" s="5" t="s">
        <v>8632</v>
      </c>
      <c r="L1065" s="6" t="s">
        <v>42</v>
      </c>
      <c r="M1065" s="5" t="s">
        <v>995</v>
      </c>
      <c r="N1065" s="5" t="s">
        <v>64</v>
      </c>
      <c r="O1065" s="5" t="s">
        <v>11887</v>
      </c>
      <c r="P1065" s="6">
        <v>8547.0</v>
      </c>
    </row>
    <row r="1066" ht="56.25" customHeight="1">
      <c r="A1066" s="5" t="s">
        <v>11879</v>
      </c>
      <c r="B1066" s="6" t="str">
        <f>IMAGE("https://storage.googleapis.com/acdb/tops/TopsTexTopTshirtsLVnecksweater2.png")</f>
        <v/>
      </c>
      <c r="C1066" s="5" t="s">
        <v>54</v>
      </c>
      <c r="D1066" s="8" t="s">
        <v>36</v>
      </c>
      <c r="E1066" s="6">
        <v>840.0</v>
      </c>
      <c r="F1066" s="6">
        <v>210.0</v>
      </c>
      <c r="G1066" s="5" t="s">
        <v>54</v>
      </c>
      <c r="H1066" s="5" t="s">
        <v>54</v>
      </c>
      <c r="I1066" s="6" t="s">
        <v>40</v>
      </c>
      <c r="J1066" s="5" t="s">
        <v>8585</v>
      </c>
      <c r="K1066" s="5" t="s">
        <v>8632</v>
      </c>
      <c r="L1066" s="6" t="s">
        <v>42</v>
      </c>
      <c r="M1066" s="5" t="s">
        <v>995</v>
      </c>
      <c r="N1066" s="5" t="s">
        <v>64</v>
      </c>
      <c r="O1066" s="5" t="s">
        <v>11890</v>
      </c>
      <c r="P1066" s="6">
        <v>8548.0</v>
      </c>
    </row>
    <row r="1067" ht="56.25" customHeight="1">
      <c r="A1067" s="5" t="s">
        <v>11891</v>
      </c>
      <c r="B1067" s="6" t="str">
        <f>IMAGE("https://storage.googleapis.com/acdb/tops/TopsTexTopCoatLVampire0.png")</f>
        <v/>
      </c>
      <c r="C1067" s="5" t="s">
        <v>54</v>
      </c>
      <c r="D1067" s="8" t="s">
        <v>36</v>
      </c>
      <c r="E1067" s="6">
        <v>2600.0</v>
      </c>
      <c r="F1067" s="6">
        <v>650.0</v>
      </c>
      <c r="G1067" s="5" t="s">
        <v>54</v>
      </c>
      <c r="H1067" s="5" t="s">
        <v>95</v>
      </c>
      <c r="I1067" s="6" t="s">
        <v>40</v>
      </c>
      <c r="J1067" s="5" t="s">
        <v>8585</v>
      </c>
      <c r="K1067" s="5" t="s">
        <v>8586</v>
      </c>
      <c r="L1067" s="6" t="s">
        <v>42</v>
      </c>
      <c r="M1067" s="5" t="s">
        <v>1952</v>
      </c>
      <c r="N1067" s="5" t="s">
        <v>64</v>
      </c>
      <c r="O1067" s="5" t="s">
        <v>11894</v>
      </c>
      <c r="P1067" s="6">
        <v>4395.0</v>
      </c>
    </row>
    <row r="1068" ht="56.25" customHeight="1">
      <c r="A1068" s="5" t="s">
        <v>11891</v>
      </c>
      <c r="B1068" s="6" t="str">
        <f>IMAGE("https://storage.googleapis.com/acdb/tops/TopsTexTopCoatLVampire1.png")</f>
        <v/>
      </c>
      <c r="C1068" s="5" t="s">
        <v>106</v>
      </c>
      <c r="D1068" s="8" t="s">
        <v>36</v>
      </c>
      <c r="E1068" s="6">
        <v>2600.0</v>
      </c>
      <c r="F1068" s="6">
        <v>650.0</v>
      </c>
      <c r="G1068" s="5" t="s">
        <v>106</v>
      </c>
      <c r="H1068" s="5" t="s">
        <v>38</v>
      </c>
      <c r="I1068" s="6" t="s">
        <v>40</v>
      </c>
      <c r="J1068" s="5" t="s">
        <v>8585</v>
      </c>
      <c r="K1068" s="5" t="s">
        <v>8586</v>
      </c>
      <c r="L1068" s="6" t="s">
        <v>42</v>
      </c>
      <c r="M1068" s="5" t="s">
        <v>1952</v>
      </c>
      <c r="N1068" s="5" t="s">
        <v>64</v>
      </c>
      <c r="O1068" s="5" t="s">
        <v>11898</v>
      </c>
      <c r="P1068" s="6">
        <v>8283.0</v>
      </c>
    </row>
    <row r="1069" ht="56.25" customHeight="1">
      <c r="A1069" s="5" t="s">
        <v>11899</v>
      </c>
      <c r="B1069" s="6" t="str">
        <f>IMAGE("https://storage.googleapis.com/acdb/tops/TopsTexTopCoatHStripeshirts0.png")</f>
        <v/>
      </c>
      <c r="C1069" s="5" t="s">
        <v>68</v>
      </c>
      <c r="D1069" s="8" t="s">
        <v>36</v>
      </c>
      <c r="E1069" s="6">
        <v>960.0</v>
      </c>
      <c r="F1069" s="6">
        <v>240.0</v>
      </c>
      <c r="G1069" s="5" t="s">
        <v>68</v>
      </c>
      <c r="H1069" s="5" t="s">
        <v>57</v>
      </c>
      <c r="I1069" s="6" t="s">
        <v>40</v>
      </c>
      <c r="J1069" s="5" t="s">
        <v>8585</v>
      </c>
      <c r="K1069" s="5" t="s">
        <v>8632</v>
      </c>
      <c r="L1069" s="6" t="s">
        <v>42</v>
      </c>
      <c r="M1069" s="5" t="s">
        <v>995</v>
      </c>
      <c r="N1069" s="5" t="s">
        <v>64</v>
      </c>
      <c r="O1069" s="5" t="s">
        <v>11903</v>
      </c>
      <c r="P1069" s="6">
        <v>3677.0</v>
      </c>
    </row>
    <row r="1070" ht="56.25" customHeight="1">
      <c r="A1070" s="5" t="s">
        <v>11899</v>
      </c>
      <c r="B1070" s="6" t="str">
        <f>IMAGE("https://storage.googleapis.com/acdb/tops/TopsTexTopCoatHStripeshirts5.png")</f>
        <v/>
      </c>
      <c r="C1070" s="5" t="s">
        <v>38</v>
      </c>
      <c r="D1070" s="8" t="s">
        <v>36</v>
      </c>
      <c r="E1070" s="6">
        <v>960.0</v>
      </c>
      <c r="F1070" s="6">
        <v>240.0</v>
      </c>
      <c r="G1070" s="5" t="s">
        <v>38</v>
      </c>
      <c r="H1070" s="5" t="s">
        <v>57</v>
      </c>
      <c r="I1070" s="6" t="s">
        <v>40</v>
      </c>
      <c r="J1070" s="5" t="s">
        <v>8585</v>
      </c>
      <c r="K1070" s="5" t="s">
        <v>8632</v>
      </c>
      <c r="L1070" s="6" t="s">
        <v>42</v>
      </c>
      <c r="M1070" s="5" t="s">
        <v>995</v>
      </c>
      <c r="N1070" s="5" t="s">
        <v>64</v>
      </c>
      <c r="O1070" s="5" t="s">
        <v>11907</v>
      </c>
      <c r="P1070" s="6">
        <v>7780.0</v>
      </c>
    </row>
    <row r="1071" ht="56.25" customHeight="1">
      <c r="A1071" s="5" t="s">
        <v>11899</v>
      </c>
      <c r="B1071" s="6" t="str">
        <f>IMAGE("https://storage.googleapis.com/acdb/tops/TopsTexTopCoatHStripeshirts6.png")</f>
        <v/>
      </c>
      <c r="C1071" s="5" t="s">
        <v>142</v>
      </c>
      <c r="D1071" s="8" t="s">
        <v>36</v>
      </c>
      <c r="E1071" s="6">
        <v>960.0</v>
      </c>
      <c r="F1071" s="6">
        <v>240.0</v>
      </c>
      <c r="G1071" s="5" t="s">
        <v>142</v>
      </c>
      <c r="H1071" s="5" t="s">
        <v>57</v>
      </c>
      <c r="I1071" s="6" t="s">
        <v>40</v>
      </c>
      <c r="J1071" s="5" t="s">
        <v>8585</v>
      </c>
      <c r="K1071" s="5" t="s">
        <v>8632</v>
      </c>
      <c r="L1071" s="6" t="s">
        <v>42</v>
      </c>
      <c r="M1071" s="5" t="s">
        <v>995</v>
      </c>
      <c r="N1071" s="5" t="s">
        <v>64</v>
      </c>
      <c r="O1071" s="5" t="s">
        <v>11912</v>
      </c>
      <c r="P1071" s="6">
        <v>8834.0</v>
      </c>
    </row>
    <row r="1072" ht="56.25" customHeight="1">
      <c r="A1072" s="5" t="s">
        <v>11899</v>
      </c>
      <c r="B1072" s="6" t="str">
        <f>IMAGE("https://storage.googleapis.com/acdb/tops/TopsTexTopCoatHStripeshirts1.png")</f>
        <v/>
      </c>
      <c r="C1072" s="5" t="s">
        <v>106</v>
      </c>
      <c r="D1072" s="8" t="s">
        <v>36</v>
      </c>
      <c r="E1072" s="6">
        <v>960.0</v>
      </c>
      <c r="F1072" s="6">
        <v>240.0</v>
      </c>
      <c r="G1072" s="5" t="s">
        <v>106</v>
      </c>
      <c r="H1072" s="5" t="s">
        <v>57</v>
      </c>
      <c r="I1072" s="6" t="s">
        <v>40</v>
      </c>
      <c r="J1072" s="5" t="s">
        <v>8585</v>
      </c>
      <c r="K1072" s="5" t="s">
        <v>8632</v>
      </c>
      <c r="L1072" s="6" t="s">
        <v>42</v>
      </c>
      <c r="M1072" s="5" t="s">
        <v>995</v>
      </c>
      <c r="N1072" s="5" t="s">
        <v>64</v>
      </c>
      <c r="O1072" s="5" t="s">
        <v>11915</v>
      </c>
      <c r="P1072" s="6">
        <v>7776.0</v>
      </c>
    </row>
    <row r="1073" ht="56.25" customHeight="1">
      <c r="A1073" s="5" t="s">
        <v>11899</v>
      </c>
      <c r="B1073" s="6" t="str">
        <f>IMAGE("https://storage.googleapis.com/acdb/tops/TopsTexTopCoatHStripeshirts2.png")</f>
        <v/>
      </c>
      <c r="C1073" s="5" t="s">
        <v>69</v>
      </c>
      <c r="D1073" s="8" t="s">
        <v>36</v>
      </c>
      <c r="E1073" s="6">
        <v>960.0</v>
      </c>
      <c r="F1073" s="6">
        <v>240.0</v>
      </c>
      <c r="G1073" s="5" t="s">
        <v>69</v>
      </c>
      <c r="H1073" s="5" t="s">
        <v>57</v>
      </c>
      <c r="I1073" s="6" t="s">
        <v>40</v>
      </c>
      <c r="J1073" s="5" t="s">
        <v>8585</v>
      </c>
      <c r="K1073" s="5" t="s">
        <v>8632</v>
      </c>
      <c r="L1073" s="6" t="s">
        <v>42</v>
      </c>
      <c r="M1073" s="5" t="s">
        <v>995</v>
      </c>
      <c r="N1073" s="5" t="s">
        <v>64</v>
      </c>
      <c r="O1073" s="5" t="s">
        <v>11919</v>
      </c>
      <c r="P1073" s="6">
        <v>7777.0</v>
      </c>
    </row>
    <row r="1074" ht="56.25" customHeight="1">
      <c r="A1074" s="5" t="s">
        <v>11899</v>
      </c>
      <c r="B1074" s="6" t="str">
        <f>IMAGE("https://storage.googleapis.com/acdb/tops/TopsTexTopCoatHStripeshirts3.png")</f>
        <v/>
      </c>
      <c r="C1074" s="5" t="s">
        <v>96</v>
      </c>
      <c r="D1074" s="8" t="s">
        <v>36</v>
      </c>
      <c r="E1074" s="6">
        <v>960.0</v>
      </c>
      <c r="F1074" s="6">
        <v>240.0</v>
      </c>
      <c r="G1074" s="5" t="s">
        <v>96</v>
      </c>
      <c r="H1074" s="5" t="s">
        <v>57</v>
      </c>
      <c r="I1074" s="6" t="s">
        <v>40</v>
      </c>
      <c r="J1074" s="5" t="s">
        <v>8585</v>
      </c>
      <c r="K1074" s="5" t="s">
        <v>8632</v>
      </c>
      <c r="L1074" s="6" t="s">
        <v>42</v>
      </c>
      <c r="M1074" s="5" t="s">
        <v>995</v>
      </c>
      <c r="N1074" s="5" t="s">
        <v>64</v>
      </c>
      <c r="O1074" s="5" t="s">
        <v>11923</v>
      </c>
      <c r="P1074" s="6">
        <v>7778.0</v>
      </c>
    </row>
    <row r="1075" ht="56.25" customHeight="1">
      <c r="A1075" s="5" t="s">
        <v>11899</v>
      </c>
      <c r="B1075" s="6" t="str">
        <f>IMAGE("https://storage.googleapis.com/acdb/tops/TopsTexTopCoatHStripeshirts4.png")</f>
        <v/>
      </c>
      <c r="C1075" s="5" t="s">
        <v>95</v>
      </c>
      <c r="D1075" s="8" t="s">
        <v>36</v>
      </c>
      <c r="E1075" s="6">
        <v>960.0</v>
      </c>
      <c r="F1075" s="6">
        <v>240.0</v>
      </c>
      <c r="G1075" s="5" t="s">
        <v>95</v>
      </c>
      <c r="H1075" s="5" t="s">
        <v>57</v>
      </c>
      <c r="I1075" s="6" t="s">
        <v>40</v>
      </c>
      <c r="J1075" s="5" t="s">
        <v>8585</v>
      </c>
      <c r="K1075" s="5" t="s">
        <v>8632</v>
      </c>
      <c r="L1075" s="6" t="s">
        <v>42</v>
      </c>
      <c r="M1075" s="5" t="s">
        <v>995</v>
      </c>
      <c r="N1075" s="5" t="s">
        <v>64</v>
      </c>
      <c r="O1075" s="5" t="s">
        <v>11928</v>
      </c>
      <c r="P1075" s="6">
        <v>7779.0</v>
      </c>
    </row>
    <row r="1076" ht="56.25" customHeight="1">
      <c r="A1076" s="5" t="s">
        <v>11929</v>
      </c>
      <c r="B1076" s="6" t="str">
        <f>IMAGE("https://storage.googleapis.com/acdb/tops/TopsTexTopYshirtsLGlassBeige.png")</f>
        <v/>
      </c>
      <c r="C1076" s="5" t="s">
        <v>34</v>
      </c>
      <c r="D1076" s="8" t="s">
        <v>36</v>
      </c>
      <c r="E1076" s="6">
        <v>1440.0</v>
      </c>
      <c r="F1076" s="6">
        <v>360.0</v>
      </c>
      <c r="G1076" s="5" t="s">
        <v>38</v>
      </c>
      <c r="H1076" s="5" t="s">
        <v>68</v>
      </c>
      <c r="I1076" s="6" t="s">
        <v>40</v>
      </c>
      <c r="J1076" s="5" t="s">
        <v>8578</v>
      </c>
      <c r="K1076" s="5"/>
      <c r="L1076" s="6" t="s">
        <v>42</v>
      </c>
      <c r="M1076" s="5" t="s">
        <v>995</v>
      </c>
      <c r="N1076" s="5" t="s">
        <v>64</v>
      </c>
      <c r="O1076" s="5" t="s">
        <v>11932</v>
      </c>
      <c r="P1076" s="6">
        <v>5433.0</v>
      </c>
    </row>
    <row r="1077" ht="56.25" customHeight="1">
      <c r="A1077" s="5" t="s">
        <v>11933</v>
      </c>
      <c r="B1077" s="6" t="str">
        <f>IMAGE("https://storage.googleapis.com/acdb/tops/TopsTexTopCoatLViking1.png")</f>
        <v/>
      </c>
      <c r="C1077" s="5" t="s">
        <v>95</v>
      </c>
      <c r="D1077" s="8" t="s">
        <v>36</v>
      </c>
      <c r="E1077" s="6">
        <v>2500.0</v>
      </c>
      <c r="F1077" s="6">
        <v>625.0</v>
      </c>
      <c r="G1077" s="5" t="s">
        <v>95</v>
      </c>
      <c r="H1077" s="5" t="s">
        <v>54</v>
      </c>
      <c r="I1077" s="6" t="s">
        <v>40</v>
      </c>
      <c r="J1077" s="5" t="s">
        <v>8585</v>
      </c>
      <c r="K1077" s="5" t="s">
        <v>8586</v>
      </c>
      <c r="L1077" s="6" t="s">
        <v>42</v>
      </c>
      <c r="M1077" s="5" t="s">
        <v>1952</v>
      </c>
      <c r="N1077" s="5" t="s">
        <v>64</v>
      </c>
      <c r="O1077" s="5" t="s">
        <v>11936</v>
      </c>
      <c r="P1077" s="6">
        <v>11950.0</v>
      </c>
    </row>
    <row r="1078" ht="56.25" customHeight="1">
      <c r="A1078" s="5" t="s">
        <v>11933</v>
      </c>
      <c r="B1078" s="6" t="str">
        <f>IMAGE("https://storage.googleapis.com/acdb/tops/TopsTexTopCoatLViking2.png")</f>
        <v/>
      </c>
      <c r="C1078" s="5" t="s">
        <v>68</v>
      </c>
      <c r="D1078" s="8" t="s">
        <v>36</v>
      </c>
      <c r="E1078" s="6">
        <v>2500.0</v>
      </c>
      <c r="F1078" s="6">
        <v>625.0</v>
      </c>
      <c r="G1078" s="5" t="s">
        <v>68</v>
      </c>
      <c r="H1078" s="5" t="s">
        <v>96</v>
      </c>
      <c r="I1078" s="6" t="s">
        <v>40</v>
      </c>
      <c r="J1078" s="5" t="s">
        <v>8585</v>
      </c>
      <c r="K1078" s="5" t="s">
        <v>8586</v>
      </c>
      <c r="L1078" s="6" t="s">
        <v>42</v>
      </c>
      <c r="M1078" s="5" t="s">
        <v>1952</v>
      </c>
      <c r="N1078" s="5" t="s">
        <v>64</v>
      </c>
      <c r="O1078" s="5" t="s">
        <v>11940</v>
      </c>
      <c r="P1078" s="6">
        <v>11951.0</v>
      </c>
    </row>
    <row r="1079" ht="56.25" customHeight="1">
      <c r="A1079" s="5" t="s">
        <v>11933</v>
      </c>
      <c r="B1079" s="6" t="str">
        <f>IMAGE("https://storage.googleapis.com/acdb/tops/TopsTexTopCoatLViking0.png")</f>
        <v/>
      </c>
      <c r="C1079" s="5" t="s">
        <v>39</v>
      </c>
      <c r="D1079" s="8" t="s">
        <v>36</v>
      </c>
      <c r="E1079" s="6">
        <v>2500.0</v>
      </c>
      <c r="F1079" s="6">
        <v>625.0</v>
      </c>
      <c r="G1079" s="5" t="s">
        <v>39</v>
      </c>
      <c r="H1079" s="5" t="s">
        <v>95</v>
      </c>
      <c r="I1079" s="6" t="s">
        <v>40</v>
      </c>
      <c r="J1079" s="5" t="s">
        <v>8585</v>
      </c>
      <c r="K1079" s="5" t="s">
        <v>8586</v>
      </c>
      <c r="L1079" s="6" t="s">
        <v>42</v>
      </c>
      <c r="M1079" s="5" t="s">
        <v>1952</v>
      </c>
      <c r="N1079" s="5" t="s">
        <v>64</v>
      </c>
      <c r="O1079" s="5" t="s">
        <v>11943</v>
      </c>
      <c r="P1079" s="6">
        <v>9768.0</v>
      </c>
    </row>
    <row r="1080" ht="56.25" customHeight="1">
      <c r="A1080" s="5" t="s">
        <v>11945</v>
      </c>
      <c r="B1080" s="6" t="str">
        <f>IMAGE("https://storage.googleapis.com/acdb/tops/TopsTexTopYshirtsLGilet1.png")</f>
        <v/>
      </c>
      <c r="C1080" s="5" t="s">
        <v>54</v>
      </c>
      <c r="D1080" s="8" t="s">
        <v>36</v>
      </c>
      <c r="E1080" s="6">
        <v>1750.0</v>
      </c>
      <c r="F1080" s="6">
        <v>437.0</v>
      </c>
      <c r="G1080" s="5" t="s">
        <v>54</v>
      </c>
      <c r="H1080" s="5" t="s">
        <v>57</v>
      </c>
      <c r="I1080" s="6" t="s">
        <v>40</v>
      </c>
      <c r="J1080" s="5" t="s">
        <v>8585</v>
      </c>
      <c r="K1080" s="5" t="s">
        <v>8586</v>
      </c>
      <c r="L1080" s="6" t="s">
        <v>42</v>
      </c>
      <c r="M1080" s="5" t="s">
        <v>995</v>
      </c>
      <c r="N1080" s="5" t="s">
        <v>64</v>
      </c>
      <c r="O1080" s="5" t="s">
        <v>11950</v>
      </c>
      <c r="P1080" s="6">
        <v>8266.0</v>
      </c>
    </row>
    <row r="1081" ht="56.25" customHeight="1">
      <c r="A1081" s="5" t="s">
        <v>11945</v>
      </c>
      <c r="B1081" s="6" t="str">
        <f>IMAGE("https://storage.googleapis.com/acdb/tops/TopsTexTopYshirtsLGilet2.png")</f>
        <v/>
      </c>
      <c r="C1081" s="5" t="s">
        <v>38</v>
      </c>
      <c r="D1081" s="8" t="s">
        <v>36</v>
      </c>
      <c r="E1081" s="6">
        <v>1750.0</v>
      </c>
      <c r="F1081" s="6">
        <v>437.0</v>
      </c>
      <c r="G1081" s="5" t="s">
        <v>38</v>
      </c>
      <c r="H1081" s="5" t="s">
        <v>57</v>
      </c>
      <c r="I1081" s="6" t="s">
        <v>40</v>
      </c>
      <c r="J1081" s="5" t="s">
        <v>8585</v>
      </c>
      <c r="K1081" s="5" t="s">
        <v>8586</v>
      </c>
      <c r="L1081" s="6" t="s">
        <v>42</v>
      </c>
      <c r="M1081" s="5" t="s">
        <v>995</v>
      </c>
      <c r="N1081" s="5" t="s">
        <v>64</v>
      </c>
      <c r="O1081" s="5" t="s">
        <v>11953</v>
      </c>
      <c r="P1081" s="6">
        <v>8267.0</v>
      </c>
    </row>
    <row r="1082" ht="56.25" customHeight="1">
      <c r="A1082" s="5" t="s">
        <v>11945</v>
      </c>
      <c r="B1082" s="6" t="str">
        <f>IMAGE("https://storage.googleapis.com/acdb/tops/TopsTexTopYshirtsLGilet3.png")</f>
        <v/>
      </c>
      <c r="C1082" s="5" t="s">
        <v>57</v>
      </c>
      <c r="D1082" s="8" t="s">
        <v>36</v>
      </c>
      <c r="E1082" s="6">
        <v>1750.0</v>
      </c>
      <c r="F1082" s="6">
        <v>437.0</v>
      </c>
      <c r="G1082" s="5" t="s">
        <v>57</v>
      </c>
      <c r="H1082" s="5" t="s">
        <v>54</v>
      </c>
      <c r="I1082" s="6" t="s">
        <v>40</v>
      </c>
      <c r="J1082" s="5" t="s">
        <v>8585</v>
      </c>
      <c r="K1082" s="5" t="s">
        <v>8586</v>
      </c>
      <c r="L1082" s="6" t="s">
        <v>42</v>
      </c>
      <c r="M1082" s="5" t="s">
        <v>995</v>
      </c>
      <c r="N1082" s="5" t="s">
        <v>64</v>
      </c>
      <c r="O1082" s="5" t="s">
        <v>11957</v>
      </c>
      <c r="P1082" s="6">
        <v>8268.0</v>
      </c>
    </row>
    <row r="1083" ht="56.25" customHeight="1">
      <c r="A1083" s="5" t="s">
        <v>11945</v>
      </c>
      <c r="B1083" s="6" t="str">
        <f>IMAGE("https://storage.googleapis.com/acdb/tops/TopsTexTopYshirtsLGilet4.png")</f>
        <v/>
      </c>
      <c r="C1083" s="5" t="s">
        <v>1187</v>
      </c>
      <c r="D1083" s="8" t="s">
        <v>36</v>
      </c>
      <c r="E1083" s="6">
        <v>1750.0</v>
      </c>
      <c r="F1083" s="6">
        <v>437.0</v>
      </c>
      <c r="G1083" s="5" t="s">
        <v>68</v>
      </c>
      <c r="H1083" s="5" t="s">
        <v>83</v>
      </c>
      <c r="I1083" s="6" t="s">
        <v>40</v>
      </c>
      <c r="J1083" s="5" t="s">
        <v>8585</v>
      </c>
      <c r="K1083" s="5" t="s">
        <v>8586</v>
      </c>
      <c r="L1083" s="6" t="s">
        <v>42</v>
      </c>
      <c r="M1083" s="5" t="s">
        <v>995</v>
      </c>
      <c r="N1083" s="5" t="s">
        <v>64</v>
      </c>
      <c r="O1083" s="5" t="s">
        <v>11962</v>
      </c>
      <c r="P1083" s="6">
        <v>8269.0</v>
      </c>
    </row>
    <row r="1084" ht="56.25" customHeight="1">
      <c r="A1084" s="5" t="s">
        <v>11945</v>
      </c>
      <c r="B1084" s="6" t="str">
        <f>IMAGE("https://storage.googleapis.com/acdb/tops/TopsTexTopYshirtsLGilet0.png")</f>
        <v/>
      </c>
      <c r="C1084" s="5" t="s">
        <v>95</v>
      </c>
      <c r="D1084" s="8" t="s">
        <v>36</v>
      </c>
      <c r="E1084" s="6">
        <v>1750.0</v>
      </c>
      <c r="F1084" s="6">
        <v>437.0</v>
      </c>
      <c r="G1084" s="5" t="s">
        <v>95</v>
      </c>
      <c r="H1084" s="5" t="s">
        <v>57</v>
      </c>
      <c r="I1084" s="6" t="s">
        <v>40</v>
      </c>
      <c r="J1084" s="5" t="s">
        <v>8585</v>
      </c>
      <c r="K1084" s="5" t="s">
        <v>8586</v>
      </c>
      <c r="L1084" s="6" t="s">
        <v>42</v>
      </c>
      <c r="M1084" s="5" t="s">
        <v>995</v>
      </c>
      <c r="N1084" s="5" t="s">
        <v>64</v>
      </c>
      <c r="O1084" s="5" t="s">
        <v>11966</v>
      </c>
      <c r="P1084" s="6">
        <v>3339.0</v>
      </c>
    </row>
    <row r="1085" ht="56.25" customHeight="1">
      <c r="A1085" s="5" t="s">
        <v>11967</v>
      </c>
      <c r="B1085" s="6" t="str">
        <f>IMAGE("https://storage.googleapis.com/acdb/tops/TopsTexTopYshirtsLWestern0.png")</f>
        <v/>
      </c>
      <c r="C1085" s="5" t="s">
        <v>68</v>
      </c>
      <c r="D1085" s="8" t="s">
        <v>36</v>
      </c>
      <c r="E1085" s="6">
        <v>2100.0</v>
      </c>
      <c r="F1085" s="6">
        <v>525.0</v>
      </c>
      <c r="G1085" s="5" t="s">
        <v>83</v>
      </c>
      <c r="H1085" s="5" t="s">
        <v>39</v>
      </c>
      <c r="I1085" s="6" t="s">
        <v>40</v>
      </c>
      <c r="J1085" s="5" t="s">
        <v>8585</v>
      </c>
      <c r="K1085" s="5" t="s">
        <v>8586</v>
      </c>
      <c r="L1085" s="6" t="s">
        <v>42</v>
      </c>
      <c r="M1085" s="5" t="s">
        <v>8746</v>
      </c>
      <c r="N1085" s="5" t="s">
        <v>64</v>
      </c>
      <c r="O1085" s="5" t="s">
        <v>11971</v>
      </c>
      <c r="P1085" s="6">
        <v>3245.0</v>
      </c>
    </row>
    <row r="1086" ht="56.25" customHeight="1">
      <c r="A1086" s="5" t="s">
        <v>11967</v>
      </c>
      <c r="B1086" s="6" t="str">
        <f>IMAGE("https://storage.googleapis.com/acdb/tops/TopsTexTopYshirtsLWestern1.png")</f>
        <v/>
      </c>
      <c r="C1086" s="5" t="s">
        <v>69</v>
      </c>
      <c r="D1086" s="8" t="s">
        <v>36</v>
      </c>
      <c r="E1086" s="6">
        <v>2100.0</v>
      </c>
      <c r="F1086" s="6">
        <v>525.0</v>
      </c>
      <c r="G1086" s="5" t="s">
        <v>69</v>
      </c>
      <c r="H1086" s="5" t="s">
        <v>39</v>
      </c>
      <c r="I1086" s="6" t="s">
        <v>40</v>
      </c>
      <c r="J1086" s="5" t="s">
        <v>8585</v>
      </c>
      <c r="K1086" s="5" t="s">
        <v>8586</v>
      </c>
      <c r="L1086" s="6" t="s">
        <v>42</v>
      </c>
      <c r="M1086" s="5" t="s">
        <v>8746</v>
      </c>
      <c r="N1086" s="5" t="s">
        <v>64</v>
      </c>
      <c r="O1086" s="5" t="s">
        <v>11975</v>
      </c>
      <c r="P1086" s="6">
        <v>8477.0</v>
      </c>
    </row>
    <row r="1087" ht="56.25" customHeight="1">
      <c r="A1087" s="5" t="s">
        <v>11967</v>
      </c>
      <c r="B1087" s="6" t="str">
        <f>IMAGE("https://storage.googleapis.com/acdb/tops/TopsTexTopYshirtsLWestern2.png")</f>
        <v/>
      </c>
      <c r="C1087" s="5" t="s">
        <v>114</v>
      </c>
      <c r="D1087" s="8" t="s">
        <v>36</v>
      </c>
      <c r="E1087" s="6">
        <v>2100.0</v>
      </c>
      <c r="F1087" s="6">
        <v>525.0</v>
      </c>
      <c r="G1087" s="5" t="s">
        <v>114</v>
      </c>
      <c r="H1087" s="5" t="s">
        <v>39</v>
      </c>
      <c r="I1087" s="6" t="s">
        <v>40</v>
      </c>
      <c r="J1087" s="5" t="s">
        <v>8585</v>
      </c>
      <c r="K1087" s="5" t="s">
        <v>8586</v>
      </c>
      <c r="L1087" s="6" t="s">
        <v>42</v>
      </c>
      <c r="M1087" s="5" t="s">
        <v>8746</v>
      </c>
      <c r="N1087" s="5" t="s">
        <v>64</v>
      </c>
      <c r="O1087" s="5" t="s">
        <v>11979</v>
      </c>
      <c r="P1087" s="6">
        <v>8478.0</v>
      </c>
    </row>
    <row r="1088" ht="56.25" customHeight="1">
      <c r="A1088" s="5" t="s">
        <v>11967</v>
      </c>
      <c r="B1088" s="6" t="str">
        <f>IMAGE("https://storage.googleapis.com/acdb/tops/TopsTexTopYshirtsLWestern3.png")</f>
        <v/>
      </c>
      <c r="C1088" s="5" t="s">
        <v>54</v>
      </c>
      <c r="D1088" s="8" t="s">
        <v>36</v>
      </c>
      <c r="E1088" s="6">
        <v>2100.0</v>
      </c>
      <c r="F1088" s="6">
        <v>525.0</v>
      </c>
      <c r="G1088" s="5" t="s">
        <v>54</v>
      </c>
      <c r="H1088" s="5" t="s">
        <v>39</v>
      </c>
      <c r="I1088" s="6" t="s">
        <v>40</v>
      </c>
      <c r="J1088" s="5" t="s">
        <v>8585</v>
      </c>
      <c r="K1088" s="5" t="s">
        <v>8586</v>
      </c>
      <c r="L1088" s="6" t="s">
        <v>42</v>
      </c>
      <c r="M1088" s="5" t="s">
        <v>8746</v>
      </c>
      <c r="N1088" s="5" t="s">
        <v>64</v>
      </c>
      <c r="O1088" s="5" t="s">
        <v>11982</v>
      </c>
      <c r="P1088" s="6">
        <v>8479.0</v>
      </c>
    </row>
    <row r="1089" ht="56.25" customHeight="1">
      <c r="A1089" s="5" t="s">
        <v>11983</v>
      </c>
      <c r="B1089" s="6" t="str">
        <f>IMAGE("https://storage.googleapis.com/acdb/tops/TopsTexTopCoatLWorkapron1.png")</f>
        <v/>
      </c>
      <c r="C1089" s="5" t="s">
        <v>2222</v>
      </c>
      <c r="D1089" s="8" t="s">
        <v>36</v>
      </c>
      <c r="E1089" s="6">
        <v>1100.0</v>
      </c>
      <c r="F1089" s="6">
        <v>275.0</v>
      </c>
      <c r="G1089" s="5" t="s">
        <v>96</v>
      </c>
      <c r="H1089" s="5" t="s">
        <v>57</v>
      </c>
      <c r="I1089" s="6" t="s">
        <v>40</v>
      </c>
      <c r="J1089" s="5" t="s">
        <v>8585</v>
      </c>
      <c r="K1089" s="5" t="s">
        <v>8632</v>
      </c>
      <c r="L1089" s="6" t="s">
        <v>42</v>
      </c>
      <c r="M1089" s="5" t="s">
        <v>8746</v>
      </c>
      <c r="N1089" s="5" t="s">
        <v>64</v>
      </c>
      <c r="O1089" s="5" t="s">
        <v>11987</v>
      </c>
      <c r="P1089" s="6">
        <v>11955.0</v>
      </c>
    </row>
    <row r="1090" ht="56.25" customHeight="1">
      <c r="A1090" s="5" t="s">
        <v>11983</v>
      </c>
      <c r="B1090" s="6" t="str">
        <f>IMAGE("https://storage.googleapis.com/acdb/tops/TopsTexTopCoatLWorkapron0.png")</f>
        <v/>
      </c>
      <c r="C1090" s="5" t="s">
        <v>142</v>
      </c>
      <c r="D1090" s="8" t="s">
        <v>36</v>
      </c>
      <c r="E1090" s="6">
        <v>1100.0</v>
      </c>
      <c r="F1090" s="6">
        <v>275.0</v>
      </c>
      <c r="G1090" s="5" t="s">
        <v>39</v>
      </c>
      <c r="H1090" s="5" t="s">
        <v>68</v>
      </c>
      <c r="I1090" s="6" t="s">
        <v>40</v>
      </c>
      <c r="J1090" s="5" t="s">
        <v>8585</v>
      </c>
      <c r="K1090" s="5" t="s">
        <v>8632</v>
      </c>
      <c r="L1090" s="6" t="s">
        <v>42</v>
      </c>
      <c r="M1090" s="5" t="s">
        <v>8746</v>
      </c>
      <c r="N1090" s="5" t="s">
        <v>64</v>
      </c>
      <c r="O1090" s="5" t="s">
        <v>11989</v>
      </c>
      <c r="P1090" s="6">
        <v>9830.0</v>
      </c>
    </row>
    <row r="1091" ht="56.25" customHeight="1">
      <c r="A1091" s="5" t="s">
        <v>11990</v>
      </c>
      <c r="B1091" s="6" t="str">
        <f>IMAGE("https://storage.googleapis.com/acdb/tops/TopsTexTopYshirtsLNecktie0.png")</f>
        <v/>
      </c>
      <c r="C1091" s="5" t="s">
        <v>11992</v>
      </c>
      <c r="D1091" s="8" t="s">
        <v>36</v>
      </c>
      <c r="E1091" s="6">
        <v>1040.0</v>
      </c>
      <c r="F1091" s="6">
        <v>260.0</v>
      </c>
      <c r="G1091" s="5" t="s">
        <v>57</v>
      </c>
      <c r="H1091" s="5" t="s">
        <v>52</v>
      </c>
      <c r="I1091" s="6" t="s">
        <v>40</v>
      </c>
      <c r="J1091" s="5" t="s">
        <v>8585</v>
      </c>
      <c r="K1091" s="5" t="s">
        <v>8586</v>
      </c>
      <c r="L1091" s="6" t="s">
        <v>42</v>
      </c>
      <c r="M1091" s="5" t="s">
        <v>1952</v>
      </c>
      <c r="N1091" s="5" t="s">
        <v>64</v>
      </c>
      <c r="O1091" s="5" t="s">
        <v>11995</v>
      </c>
      <c r="P1091" s="6">
        <v>3266.0</v>
      </c>
    </row>
    <row r="1092" ht="56.25" customHeight="1">
      <c r="A1092" s="5" t="s">
        <v>11990</v>
      </c>
      <c r="B1092" s="6" t="str">
        <f>IMAGE("https://storage.googleapis.com/acdb/tops/TopsTexTopYshirtsLNecktie1.png")</f>
        <v/>
      </c>
      <c r="C1092" s="5" t="s">
        <v>11999</v>
      </c>
      <c r="D1092" s="8" t="s">
        <v>36</v>
      </c>
      <c r="E1092" s="6">
        <v>1040.0</v>
      </c>
      <c r="F1092" s="6">
        <v>260.0</v>
      </c>
      <c r="G1092" s="5" t="s">
        <v>57</v>
      </c>
      <c r="H1092" s="5" t="s">
        <v>68</v>
      </c>
      <c r="I1092" s="6" t="s">
        <v>40</v>
      </c>
      <c r="J1092" s="5" t="s">
        <v>8585</v>
      </c>
      <c r="K1092" s="5" t="s">
        <v>8586</v>
      </c>
      <c r="L1092" s="6" t="s">
        <v>42</v>
      </c>
      <c r="M1092" s="5" t="s">
        <v>1952</v>
      </c>
      <c r="N1092" s="5" t="s">
        <v>64</v>
      </c>
      <c r="O1092" s="5" t="s">
        <v>12001</v>
      </c>
      <c r="P1092" s="6">
        <v>8485.0</v>
      </c>
    </row>
    <row r="1093" ht="56.25" customHeight="1">
      <c r="A1093" s="5" t="s">
        <v>11990</v>
      </c>
      <c r="B1093" s="6" t="str">
        <f>IMAGE("https://storage.googleapis.com/acdb/tops/TopsTexTopYshirtsLNecktie2.png")</f>
        <v/>
      </c>
      <c r="C1093" s="5" t="s">
        <v>12004</v>
      </c>
      <c r="D1093" s="8" t="s">
        <v>36</v>
      </c>
      <c r="E1093" s="6">
        <v>1040.0</v>
      </c>
      <c r="F1093" s="6">
        <v>260.0</v>
      </c>
      <c r="G1093" s="5" t="s">
        <v>57</v>
      </c>
      <c r="H1093" s="5" t="s">
        <v>106</v>
      </c>
      <c r="I1093" s="6" t="s">
        <v>40</v>
      </c>
      <c r="J1093" s="5" t="s">
        <v>8585</v>
      </c>
      <c r="K1093" s="5" t="s">
        <v>8586</v>
      </c>
      <c r="L1093" s="6" t="s">
        <v>42</v>
      </c>
      <c r="M1093" s="5" t="s">
        <v>1952</v>
      </c>
      <c r="N1093" s="5" t="s">
        <v>64</v>
      </c>
      <c r="O1093" s="5" t="s">
        <v>12005</v>
      </c>
      <c r="P1093" s="6">
        <v>8486.0</v>
      </c>
    </row>
    <row r="1094" ht="56.25" customHeight="1">
      <c r="A1094" s="5" t="s">
        <v>11990</v>
      </c>
      <c r="B1094" s="6" t="str">
        <f>IMAGE("https://storage.googleapis.com/acdb/tops/TopsTexTopYshirtsLNecktie3.png")</f>
        <v/>
      </c>
      <c r="C1094" s="5" t="s">
        <v>12008</v>
      </c>
      <c r="D1094" s="8" t="s">
        <v>36</v>
      </c>
      <c r="E1094" s="6">
        <v>1040.0</v>
      </c>
      <c r="F1094" s="6">
        <v>260.0</v>
      </c>
      <c r="G1094" s="5" t="s">
        <v>57</v>
      </c>
      <c r="H1094" s="5" t="s">
        <v>96</v>
      </c>
      <c r="I1094" s="6" t="s">
        <v>40</v>
      </c>
      <c r="J1094" s="5" t="s">
        <v>8585</v>
      </c>
      <c r="K1094" s="5" t="s">
        <v>8586</v>
      </c>
      <c r="L1094" s="6" t="s">
        <v>42</v>
      </c>
      <c r="M1094" s="5" t="s">
        <v>1952</v>
      </c>
      <c r="N1094" s="5" t="s">
        <v>64</v>
      </c>
      <c r="O1094" s="5" t="s">
        <v>12010</v>
      </c>
      <c r="P1094" s="6">
        <v>8487.0</v>
      </c>
    </row>
    <row r="1095" ht="56.25" customHeight="1">
      <c r="A1095" s="5" t="s">
        <v>11990</v>
      </c>
      <c r="B1095" s="6" t="str">
        <f>IMAGE("https://storage.googleapis.com/acdb/tops/TopsTexTopYshirtsLNecktie4.png")</f>
        <v/>
      </c>
      <c r="C1095" s="5" t="s">
        <v>12012</v>
      </c>
      <c r="D1095" s="8" t="s">
        <v>36</v>
      </c>
      <c r="E1095" s="6">
        <v>1040.0</v>
      </c>
      <c r="F1095" s="6">
        <v>260.0</v>
      </c>
      <c r="G1095" s="5" t="s">
        <v>57</v>
      </c>
      <c r="H1095" s="5" t="s">
        <v>54</v>
      </c>
      <c r="I1095" s="6" t="s">
        <v>40</v>
      </c>
      <c r="J1095" s="5" t="s">
        <v>8585</v>
      </c>
      <c r="K1095" s="5" t="s">
        <v>8586</v>
      </c>
      <c r="L1095" s="6" t="s">
        <v>42</v>
      </c>
      <c r="M1095" s="5" t="s">
        <v>1952</v>
      </c>
      <c r="N1095" s="5" t="s">
        <v>64</v>
      </c>
      <c r="O1095" s="5" t="s">
        <v>12014</v>
      </c>
      <c r="P1095" s="6">
        <v>8488.0</v>
      </c>
    </row>
    <row r="1096" ht="56.25" customHeight="1">
      <c r="A1096" s="5" t="s">
        <v>12015</v>
      </c>
      <c r="B1096" s="6" t="str">
        <f>IMAGE("https://storage.googleapis.com/acdb/tops/TopsTexTopYshirtsLFactory0.png")</f>
        <v/>
      </c>
      <c r="C1096" s="5" t="s">
        <v>83</v>
      </c>
      <c r="D1096" s="8" t="s">
        <v>36</v>
      </c>
      <c r="E1096" s="6">
        <v>800.0</v>
      </c>
      <c r="F1096" s="6">
        <v>200.0</v>
      </c>
      <c r="G1096" s="5" t="s">
        <v>83</v>
      </c>
      <c r="H1096" s="5" t="s">
        <v>83</v>
      </c>
      <c r="I1096" s="6" t="s">
        <v>40</v>
      </c>
      <c r="J1096" s="5" t="s">
        <v>8585</v>
      </c>
      <c r="K1096" s="5" t="s">
        <v>8632</v>
      </c>
      <c r="L1096" s="6" t="s">
        <v>42</v>
      </c>
      <c r="M1096" s="5" t="s">
        <v>8746</v>
      </c>
      <c r="N1096" s="5" t="s">
        <v>64</v>
      </c>
      <c r="O1096" s="5" t="s">
        <v>12018</v>
      </c>
      <c r="P1096" s="6">
        <v>4765.0</v>
      </c>
    </row>
    <row r="1097" ht="56.25" customHeight="1">
      <c r="A1097" s="5" t="s">
        <v>12015</v>
      </c>
      <c r="B1097" s="6" t="str">
        <f>IMAGE("https://storage.googleapis.com/acdb/tops/TopsTexTopYshirtsLFactory1.png")</f>
        <v/>
      </c>
      <c r="C1097" s="5" t="s">
        <v>38</v>
      </c>
      <c r="D1097" s="8" t="s">
        <v>36</v>
      </c>
      <c r="E1097" s="6">
        <v>800.0</v>
      </c>
      <c r="F1097" s="6">
        <v>200.0</v>
      </c>
      <c r="G1097" s="5" t="s">
        <v>38</v>
      </c>
      <c r="H1097" s="5" t="s">
        <v>38</v>
      </c>
      <c r="I1097" s="6" t="s">
        <v>40</v>
      </c>
      <c r="J1097" s="5" t="s">
        <v>8585</v>
      </c>
      <c r="K1097" s="5" t="s">
        <v>8632</v>
      </c>
      <c r="L1097" s="6" t="s">
        <v>42</v>
      </c>
      <c r="M1097" s="5" t="s">
        <v>8746</v>
      </c>
      <c r="N1097" s="5" t="s">
        <v>64</v>
      </c>
      <c r="O1097" s="5" t="s">
        <v>12022</v>
      </c>
      <c r="P1097" s="6">
        <v>8524.0</v>
      </c>
    </row>
    <row r="1098" ht="56.25" customHeight="1">
      <c r="A1098" s="5" t="s">
        <v>12015</v>
      </c>
      <c r="B1098" s="6" t="str">
        <f>IMAGE("https://storage.googleapis.com/acdb/tops/TopsTexTopYshirtsLFactory2.png")</f>
        <v/>
      </c>
      <c r="C1098" s="5" t="s">
        <v>1187</v>
      </c>
      <c r="D1098" s="8" t="s">
        <v>36</v>
      </c>
      <c r="E1098" s="6">
        <v>800.0</v>
      </c>
      <c r="F1098" s="6">
        <v>200.0</v>
      </c>
      <c r="G1098" s="5" t="s">
        <v>68</v>
      </c>
      <c r="H1098" s="5" t="s">
        <v>68</v>
      </c>
      <c r="I1098" s="6" t="s">
        <v>40</v>
      </c>
      <c r="J1098" s="5" t="s">
        <v>8585</v>
      </c>
      <c r="K1098" s="5" t="s">
        <v>8632</v>
      </c>
      <c r="L1098" s="6" t="s">
        <v>42</v>
      </c>
      <c r="M1098" s="5" t="s">
        <v>8746</v>
      </c>
      <c r="N1098" s="5" t="s">
        <v>64</v>
      </c>
      <c r="O1098" s="5" t="s">
        <v>12026</v>
      </c>
      <c r="P1098" s="6">
        <v>8525.0</v>
      </c>
    </row>
    <row r="1099" ht="56.25" customHeight="1">
      <c r="A1099" s="5" t="s">
        <v>12027</v>
      </c>
      <c r="B1099" s="6" t="str">
        <f>IMAGE("https://storage.googleapis.com/acdb/tops/TopsTexTopTshirtsNTraining2.png")</f>
        <v/>
      </c>
      <c r="C1099" s="5" t="s">
        <v>142</v>
      </c>
      <c r="D1099" s="8" t="s">
        <v>36</v>
      </c>
      <c r="E1099" s="6">
        <v>560.0</v>
      </c>
      <c r="F1099" s="6">
        <v>140.0</v>
      </c>
      <c r="G1099" s="5" t="s">
        <v>54</v>
      </c>
      <c r="H1099" s="5" t="s">
        <v>142</v>
      </c>
      <c r="I1099" s="6" t="s">
        <v>40</v>
      </c>
      <c r="J1099" s="5" t="s">
        <v>8585</v>
      </c>
      <c r="K1099" s="5" t="s">
        <v>8632</v>
      </c>
      <c r="L1099" s="6" t="s">
        <v>42</v>
      </c>
      <c r="M1099" s="5" t="s">
        <v>8746</v>
      </c>
      <c r="N1099" s="5" t="s">
        <v>64</v>
      </c>
      <c r="O1099" s="5" t="s">
        <v>12029</v>
      </c>
      <c r="P1099" s="6">
        <v>8060.0</v>
      </c>
    </row>
    <row r="1100" ht="56.25" customHeight="1">
      <c r="A1100" s="5" t="s">
        <v>12027</v>
      </c>
      <c r="B1100" s="6" t="str">
        <f>IMAGE("https://storage.googleapis.com/acdb/tops/TopsTexTopTshirtsNTraining0.png")</f>
        <v/>
      </c>
      <c r="C1100" s="5" t="s">
        <v>1458</v>
      </c>
      <c r="D1100" s="8" t="s">
        <v>36</v>
      </c>
      <c r="E1100" s="6">
        <v>560.0</v>
      </c>
      <c r="F1100" s="6">
        <v>140.0</v>
      </c>
      <c r="G1100" s="5" t="s">
        <v>54</v>
      </c>
      <c r="H1100" s="5" t="s">
        <v>96</v>
      </c>
      <c r="I1100" s="6" t="s">
        <v>40</v>
      </c>
      <c r="J1100" s="5" t="s">
        <v>8585</v>
      </c>
      <c r="K1100" s="5" t="s">
        <v>8632</v>
      </c>
      <c r="L1100" s="6" t="s">
        <v>42</v>
      </c>
      <c r="M1100" s="5" t="s">
        <v>8746</v>
      </c>
      <c r="N1100" s="5" t="s">
        <v>64</v>
      </c>
      <c r="O1100" s="5" t="s">
        <v>12032</v>
      </c>
      <c r="P1100" s="6">
        <v>4421.0</v>
      </c>
    </row>
    <row r="1101" ht="56.25" customHeight="1">
      <c r="A1101" s="5" t="s">
        <v>12027</v>
      </c>
      <c r="B1101" s="6" t="str">
        <f>IMAGE("https://storage.googleapis.com/acdb/tops/TopsTexTopTshirtsNTraining1.png")</f>
        <v/>
      </c>
      <c r="C1101" s="5" t="s">
        <v>69</v>
      </c>
      <c r="D1101" s="8" t="s">
        <v>36</v>
      </c>
      <c r="E1101" s="6">
        <v>560.0</v>
      </c>
      <c r="F1101" s="6">
        <v>140.0</v>
      </c>
      <c r="G1101" s="5" t="s">
        <v>54</v>
      </c>
      <c r="H1101" s="5" t="s">
        <v>69</v>
      </c>
      <c r="I1101" s="6" t="s">
        <v>40</v>
      </c>
      <c r="J1101" s="5" t="s">
        <v>8585</v>
      </c>
      <c r="K1101" s="5" t="s">
        <v>8632</v>
      </c>
      <c r="L1101" s="6" t="s">
        <v>42</v>
      </c>
      <c r="M1101" s="5" t="s">
        <v>8746</v>
      </c>
      <c r="N1101" s="5" t="s">
        <v>64</v>
      </c>
      <c r="O1101" s="5" t="s">
        <v>12035</v>
      </c>
      <c r="P1101" s="6">
        <v>8059.0</v>
      </c>
    </row>
    <row r="1102" ht="56.25" customHeight="1">
      <c r="A1102" s="5" t="s">
        <v>12036</v>
      </c>
      <c r="B1102" s="6" t="str">
        <f>IMAGE("https://storage.googleapis.com/acdb/tops/TopsTexTopOuterLNordiccardigan1.png")</f>
        <v/>
      </c>
      <c r="C1102" s="5" t="s">
        <v>38</v>
      </c>
      <c r="D1102" s="8" t="s">
        <v>36</v>
      </c>
      <c r="E1102" s="6">
        <v>1440.0</v>
      </c>
      <c r="F1102" s="6">
        <v>360.0</v>
      </c>
      <c r="G1102" s="5" t="s">
        <v>38</v>
      </c>
      <c r="H1102" s="5" t="s">
        <v>39</v>
      </c>
      <c r="I1102" s="6" t="s">
        <v>40</v>
      </c>
      <c r="J1102" s="5" t="s">
        <v>8585</v>
      </c>
      <c r="K1102" s="5" t="s">
        <v>8632</v>
      </c>
      <c r="L1102" s="6" t="s">
        <v>42</v>
      </c>
      <c r="M1102" s="5" t="s">
        <v>995</v>
      </c>
      <c r="N1102" s="5" t="s">
        <v>64</v>
      </c>
      <c r="O1102" s="5" t="s">
        <v>12038</v>
      </c>
      <c r="P1102" s="6">
        <v>7715.0</v>
      </c>
    </row>
    <row r="1103" ht="56.25" customHeight="1">
      <c r="A1103" s="5" t="s">
        <v>12036</v>
      </c>
      <c r="B1103" s="6" t="str">
        <f>IMAGE("https://storage.googleapis.com/acdb/tops/TopsTexTopOuterLNordiccardigan2.png")</f>
        <v/>
      </c>
      <c r="C1103" s="5" t="s">
        <v>8709</v>
      </c>
      <c r="D1103" s="8" t="s">
        <v>36</v>
      </c>
      <c r="E1103" s="6">
        <v>1440.0</v>
      </c>
      <c r="F1103" s="6">
        <v>360.0</v>
      </c>
      <c r="G1103" s="5" t="s">
        <v>114</v>
      </c>
      <c r="H1103" s="5" t="s">
        <v>57</v>
      </c>
      <c r="I1103" s="6" t="s">
        <v>40</v>
      </c>
      <c r="J1103" s="5" t="s">
        <v>8585</v>
      </c>
      <c r="K1103" s="5" t="s">
        <v>8632</v>
      </c>
      <c r="L1103" s="6" t="s">
        <v>42</v>
      </c>
      <c r="M1103" s="5" t="s">
        <v>995</v>
      </c>
      <c r="N1103" s="5" t="s">
        <v>64</v>
      </c>
      <c r="O1103" s="5" t="s">
        <v>12041</v>
      </c>
      <c r="P1103" s="6">
        <v>7716.0</v>
      </c>
    </row>
    <row r="1104" ht="56.25" customHeight="1">
      <c r="A1104" s="5" t="s">
        <v>12036</v>
      </c>
      <c r="B1104" s="6" t="str">
        <f>IMAGE("https://storage.googleapis.com/acdb/tops/TopsTexTopOuterLNordiccardigan3.png")</f>
        <v/>
      </c>
      <c r="C1104" s="5" t="s">
        <v>9021</v>
      </c>
      <c r="D1104" s="8" t="s">
        <v>36</v>
      </c>
      <c r="E1104" s="6">
        <v>1440.0</v>
      </c>
      <c r="F1104" s="6">
        <v>360.0</v>
      </c>
      <c r="G1104" s="5" t="s">
        <v>68</v>
      </c>
      <c r="H1104" s="5" t="s">
        <v>57</v>
      </c>
      <c r="I1104" s="6" t="s">
        <v>40</v>
      </c>
      <c r="J1104" s="5" t="s">
        <v>8585</v>
      </c>
      <c r="K1104" s="5" t="s">
        <v>8632</v>
      </c>
      <c r="L1104" s="6" t="s">
        <v>42</v>
      </c>
      <c r="M1104" s="5" t="s">
        <v>995</v>
      </c>
      <c r="N1104" s="5" t="s">
        <v>64</v>
      </c>
      <c r="O1104" s="5" t="s">
        <v>12042</v>
      </c>
      <c r="P1104" s="6">
        <v>7717.0</v>
      </c>
    </row>
    <row r="1105" ht="56.25" customHeight="1">
      <c r="A1105" s="5" t="s">
        <v>12036</v>
      </c>
      <c r="B1105" s="6" t="str">
        <f>IMAGE("https://storage.googleapis.com/acdb/tops/TopsTexTopOuterLNordiccardigan4.png")</f>
        <v/>
      </c>
      <c r="C1105" s="5" t="s">
        <v>52</v>
      </c>
      <c r="D1105" s="8" t="s">
        <v>36</v>
      </c>
      <c r="E1105" s="6">
        <v>1440.0</v>
      </c>
      <c r="F1105" s="6">
        <v>360.0</v>
      </c>
      <c r="G1105" s="5" t="s">
        <v>52</v>
      </c>
      <c r="H1105" s="5" t="s">
        <v>57</v>
      </c>
      <c r="I1105" s="6" t="s">
        <v>40</v>
      </c>
      <c r="J1105" s="5" t="s">
        <v>8585</v>
      </c>
      <c r="K1105" s="5" t="s">
        <v>8632</v>
      </c>
      <c r="L1105" s="6" t="s">
        <v>42</v>
      </c>
      <c r="M1105" s="5" t="s">
        <v>995</v>
      </c>
      <c r="N1105" s="5" t="s">
        <v>64</v>
      </c>
      <c r="O1105" s="5" t="s">
        <v>12046</v>
      </c>
      <c r="P1105" s="6">
        <v>7718.0</v>
      </c>
    </row>
    <row r="1106" ht="56.25" customHeight="1">
      <c r="A1106" s="5" t="s">
        <v>12036</v>
      </c>
      <c r="B1106" s="6" t="str">
        <f>IMAGE("https://storage.googleapis.com/acdb/tops/TopsTexTopOuterLNordiccardigan5.png")</f>
        <v/>
      </c>
      <c r="C1106" s="5" t="s">
        <v>1187</v>
      </c>
      <c r="D1106" s="8" t="s">
        <v>36</v>
      </c>
      <c r="E1106" s="6">
        <v>1440.0</v>
      </c>
      <c r="F1106" s="6">
        <v>360.0</v>
      </c>
      <c r="G1106" s="5" t="s">
        <v>68</v>
      </c>
      <c r="H1106" s="5" t="s">
        <v>52</v>
      </c>
      <c r="I1106" s="6" t="s">
        <v>40</v>
      </c>
      <c r="J1106" s="5" t="s">
        <v>8585</v>
      </c>
      <c r="K1106" s="5" t="s">
        <v>8632</v>
      </c>
      <c r="L1106" s="6" t="s">
        <v>42</v>
      </c>
      <c r="M1106" s="5" t="s">
        <v>995</v>
      </c>
      <c r="N1106" s="5" t="s">
        <v>64</v>
      </c>
      <c r="O1106" s="5" t="s">
        <v>12049</v>
      </c>
      <c r="P1106" s="6">
        <v>7719.0</v>
      </c>
    </row>
    <row r="1107" ht="56.25" customHeight="1">
      <c r="A1107" s="5" t="s">
        <v>12036</v>
      </c>
      <c r="B1107" s="6" t="str">
        <f>IMAGE("https://storage.googleapis.com/acdb/tops/TopsTexTopOuterLNordiccardigan0.png")</f>
        <v/>
      </c>
      <c r="C1107" s="5" t="s">
        <v>4751</v>
      </c>
      <c r="D1107" s="8" t="s">
        <v>36</v>
      </c>
      <c r="E1107" s="6">
        <v>1440.0</v>
      </c>
      <c r="F1107" s="6">
        <v>360.0</v>
      </c>
      <c r="G1107" s="5" t="s">
        <v>83</v>
      </c>
      <c r="H1107" s="5" t="s">
        <v>68</v>
      </c>
      <c r="I1107" s="6" t="s">
        <v>40</v>
      </c>
      <c r="J1107" s="5" t="s">
        <v>8585</v>
      </c>
      <c r="K1107" s="5" t="s">
        <v>8632</v>
      </c>
      <c r="L1107" s="6" t="s">
        <v>42</v>
      </c>
      <c r="M1107" s="5" t="s">
        <v>995</v>
      </c>
      <c r="N1107" s="5" t="s">
        <v>64</v>
      </c>
      <c r="O1107" s="5" t="s">
        <v>12052</v>
      </c>
      <c r="P1107" s="6">
        <v>3632.0</v>
      </c>
    </row>
    <row r="1108" ht="56.25" customHeight="1">
      <c r="A1108" s="5" t="s">
        <v>12054</v>
      </c>
      <c r="B1108" s="6" t="str">
        <f>IMAGE("https://storage.googleapis.com/acdb/tops/TopsTexTopOuterLNordic0.png")</f>
        <v/>
      </c>
      <c r="C1108" s="5" t="s">
        <v>2408</v>
      </c>
      <c r="D1108" s="8" t="s">
        <v>36</v>
      </c>
      <c r="E1108" s="6">
        <v>1440.0</v>
      </c>
      <c r="F1108" s="6">
        <v>360.0</v>
      </c>
      <c r="G1108" s="5" t="s">
        <v>142</v>
      </c>
      <c r="H1108" s="5" t="s">
        <v>68</v>
      </c>
      <c r="I1108" s="6" t="s">
        <v>40</v>
      </c>
      <c r="J1108" s="5" t="s">
        <v>8585</v>
      </c>
      <c r="K1108" s="5" t="s">
        <v>8632</v>
      </c>
      <c r="L1108" s="6" t="s">
        <v>42</v>
      </c>
      <c r="M1108" s="5" t="s">
        <v>995</v>
      </c>
      <c r="N1108" s="5" t="s">
        <v>64</v>
      </c>
      <c r="O1108" s="5" t="s">
        <v>12057</v>
      </c>
      <c r="P1108" s="6">
        <v>3630.0</v>
      </c>
    </row>
    <row r="1109" ht="56.25" customHeight="1">
      <c r="A1109" s="5" t="s">
        <v>12054</v>
      </c>
      <c r="B1109" s="6" t="str">
        <f>IMAGE("https://storage.googleapis.com/acdb/tops/TopsTexTopOuterLNordic1.png")</f>
        <v/>
      </c>
      <c r="C1109" s="5" t="s">
        <v>38</v>
      </c>
      <c r="D1109" s="8" t="s">
        <v>36</v>
      </c>
      <c r="E1109" s="6">
        <v>1440.0</v>
      </c>
      <c r="F1109" s="6">
        <v>360.0</v>
      </c>
      <c r="G1109" s="5" t="s">
        <v>96</v>
      </c>
      <c r="H1109" s="5" t="s">
        <v>69</v>
      </c>
      <c r="I1109" s="6" t="s">
        <v>40</v>
      </c>
      <c r="J1109" s="5" t="s">
        <v>8585</v>
      </c>
      <c r="K1109" s="5" t="s">
        <v>8632</v>
      </c>
      <c r="L1109" s="6" t="s">
        <v>42</v>
      </c>
      <c r="M1109" s="5" t="s">
        <v>995</v>
      </c>
      <c r="N1109" s="5" t="s">
        <v>64</v>
      </c>
      <c r="O1109" s="5" t="s">
        <v>12060</v>
      </c>
      <c r="P1109" s="6">
        <v>7720.0</v>
      </c>
    </row>
    <row r="1110" ht="56.25" customHeight="1">
      <c r="A1110" s="5" t="s">
        <v>12054</v>
      </c>
      <c r="B1110" s="6" t="str">
        <f>IMAGE("https://storage.googleapis.com/acdb/tops/TopsTexTopOuterLNordic2.png")</f>
        <v/>
      </c>
      <c r="C1110" s="5" t="s">
        <v>11996</v>
      </c>
      <c r="D1110" s="8" t="s">
        <v>36</v>
      </c>
      <c r="E1110" s="6">
        <v>1440.0</v>
      </c>
      <c r="F1110" s="6">
        <v>360.0</v>
      </c>
      <c r="G1110" s="5" t="s">
        <v>68</v>
      </c>
      <c r="H1110" s="5" t="s">
        <v>106</v>
      </c>
      <c r="I1110" s="6" t="s">
        <v>40</v>
      </c>
      <c r="J1110" s="5" t="s">
        <v>8585</v>
      </c>
      <c r="K1110" s="5" t="s">
        <v>8632</v>
      </c>
      <c r="L1110" s="6" t="s">
        <v>42</v>
      </c>
      <c r="M1110" s="5" t="s">
        <v>995</v>
      </c>
      <c r="N1110" s="5" t="s">
        <v>64</v>
      </c>
      <c r="O1110" s="5" t="s">
        <v>12063</v>
      </c>
      <c r="P1110" s="6">
        <v>7721.0</v>
      </c>
    </row>
    <row r="1111" ht="56.25" customHeight="1">
      <c r="A1111" s="5" t="s">
        <v>12054</v>
      </c>
      <c r="B1111" s="6" t="str">
        <f>IMAGE("https://storage.googleapis.com/acdb/tops/TopsTexTopOuterLNordic3.png")</f>
        <v/>
      </c>
      <c r="C1111" s="5" t="s">
        <v>142</v>
      </c>
      <c r="D1111" s="8" t="s">
        <v>36</v>
      </c>
      <c r="E1111" s="6">
        <v>1440.0</v>
      </c>
      <c r="F1111" s="6">
        <v>360.0</v>
      </c>
      <c r="G1111" s="5" t="s">
        <v>39</v>
      </c>
      <c r="H1111" s="5" t="s">
        <v>142</v>
      </c>
      <c r="I1111" s="6" t="s">
        <v>40</v>
      </c>
      <c r="J1111" s="5" t="s">
        <v>8585</v>
      </c>
      <c r="K1111" s="5" t="s">
        <v>8632</v>
      </c>
      <c r="L1111" s="6" t="s">
        <v>42</v>
      </c>
      <c r="M1111" s="5" t="s">
        <v>995</v>
      </c>
      <c r="N1111" s="5" t="s">
        <v>64</v>
      </c>
      <c r="O1111" s="5" t="s">
        <v>12066</v>
      </c>
      <c r="P1111" s="6">
        <v>7722.0</v>
      </c>
    </row>
    <row r="1112" ht="56.25" customHeight="1">
      <c r="A1112" s="5" t="s">
        <v>12054</v>
      </c>
      <c r="B1112" s="6" t="str">
        <f>IMAGE("https://storage.googleapis.com/acdb/tops/TopsTexTopOuterLNordic4.png")</f>
        <v/>
      </c>
      <c r="C1112" s="5" t="s">
        <v>12067</v>
      </c>
      <c r="D1112" s="8" t="s">
        <v>36</v>
      </c>
      <c r="E1112" s="6">
        <v>1440.0</v>
      </c>
      <c r="F1112" s="6">
        <v>360.0</v>
      </c>
      <c r="G1112" s="5" t="s">
        <v>52</v>
      </c>
      <c r="H1112" s="5" t="s">
        <v>83</v>
      </c>
      <c r="I1112" s="6" t="s">
        <v>40</v>
      </c>
      <c r="J1112" s="5" t="s">
        <v>8585</v>
      </c>
      <c r="K1112" s="5" t="s">
        <v>8632</v>
      </c>
      <c r="L1112" s="6" t="s">
        <v>42</v>
      </c>
      <c r="M1112" s="5" t="s">
        <v>995</v>
      </c>
      <c r="N1112" s="5" t="s">
        <v>64</v>
      </c>
      <c r="O1112" s="5" t="s">
        <v>12070</v>
      </c>
      <c r="P1112" s="6">
        <v>7723.0</v>
      </c>
    </row>
    <row r="1113" ht="56.25" customHeight="1">
      <c r="A1113" s="5" t="s">
        <v>12071</v>
      </c>
      <c r="B1113" s="6" t="str">
        <f>IMAGE("https://storage.googleapis.com/acdb/tops/TopsTexTopYshirtsLPrince1.png")</f>
        <v/>
      </c>
      <c r="C1113" s="5" t="s">
        <v>54</v>
      </c>
      <c r="D1113" s="8" t="s">
        <v>36</v>
      </c>
      <c r="E1113" s="6">
        <v>1440.0</v>
      </c>
      <c r="F1113" s="6">
        <v>360.0</v>
      </c>
      <c r="G1113" s="5" t="s">
        <v>54</v>
      </c>
      <c r="H1113" s="5" t="s">
        <v>52</v>
      </c>
      <c r="I1113" s="6" t="s">
        <v>40</v>
      </c>
      <c r="J1113" s="5" t="s">
        <v>8585</v>
      </c>
      <c r="K1113" s="5" t="s">
        <v>8586</v>
      </c>
      <c r="L1113" s="6" t="s">
        <v>42</v>
      </c>
      <c r="M1113" s="5" t="s">
        <v>612</v>
      </c>
      <c r="N1113" s="5" t="s">
        <v>64</v>
      </c>
      <c r="O1113" s="5" t="s">
        <v>12073</v>
      </c>
      <c r="P1113" s="6">
        <v>8498.0</v>
      </c>
    </row>
    <row r="1114" ht="56.25" customHeight="1">
      <c r="A1114" s="5" t="s">
        <v>12071</v>
      </c>
      <c r="B1114" s="6" t="str">
        <f>IMAGE("https://storage.googleapis.com/acdb/tops/TopsTexTopYshirtsLPrince2.png")</f>
        <v/>
      </c>
      <c r="C1114" s="5" t="s">
        <v>69</v>
      </c>
      <c r="D1114" s="8" t="s">
        <v>36</v>
      </c>
      <c r="E1114" s="6">
        <v>1440.0</v>
      </c>
      <c r="F1114" s="6">
        <v>360.0</v>
      </c>
      <c r="G1114" s="5" t="s">
        <v>69</v>
      </c>
      <c r="H1114" s="5" t="s">
        <v>69</v>
      </c>
      <c r="I1114" s="6" t="s">
        <v>40</v>
      </c>
      <c r="J1114" s="5" t="s">
        <v>8585</v>
      </c>
      <c r="K1114" s="5" t="s">
        <v>8586</v>
      </c>
      <c r="L1114" s="6" t="s">
        <v>42</v>
      </c>
      <c r="M1114" s="5" t="s">
        <v>612</v>
      </c>
      <c r="N1114" s="5" t="s">
        <v>64</v>
      </c>
      <c r="O1114" s="5" t="s">
        <v>12075</v>
      </c>
      <c r="P1114" s="6">
        <v>8499.0</v>
      </c>
    </row>
    <row r="1115" ht="56.25" customHeight="1">
      <c r="A1115" s="5" t="s">
        <v>12071</v>
      </c>
      <c r="B1115" s="6" t="str">
        <f>IMAGE("https://storage.googleapis.com/acdb/tops/TopsTexTopYshirtsLPrince3.png")</f>
        <v/>
      </c>
      <c r="C1115" s="5" t="s">
        <v>68</v>
      </c>
      <c r="D1115" s="8" t="s">
        <v>36</v>
      </c>
      <c r="E1115" s="6">
        <v>1440.0</v>
      </c>
      <c r="F1115" s="6">
        <v>360.0</v>
      </c>
      <c r="G1115" s="5" t="s">
        <v>83</v>
      </c>
      <c r="H1115" s="5" t="s">
        <v>68</v>
      </c>
      <c r="I1115" s="6" t="s">
        <v>40</v>
      </c>
      <c r="J1115" s="5" t="s">
        <v>8585</v>
      </c>
      <c r="K1115" s="5" t="s">
        <v>8586</v>
      </c>
      <c r="L1115" s="6" t="s">
        <v>42</v>
      </c>
      <c r="M1115" s="5" t="s">
        <v>612</v>
      </c>
      <c r="N1115" s="5" t="s">
        <v>64</v>
      </c>
      <c r="O1115" s="5" t="s">
        <v>12079</v>
      </c>
      <c r="P1115" s="6">
        <v>8500.0</v>
      </c>
    </row>
    <row r="1116" ht="56.25" customHeight="1">
      <c r="A1116" s="5" t="s">
        <v>12071</v>
      </c>
      <c r="B1116" s="6" t="str">
        <f>IMAGE("https://storage.googleapis.com/acdb/tops/TopsTexTopYshirtsLPrince4.png")</f>
        <v/>
      </c>
      <c r="C1116" s="5" t="s">
        <v>307</v>
      </c>
      <c r="D1116" s="8" t="s">
        <v>36</v>
      </c>
      <c r="E1116" s="6">
        <v>1440.0</v>
      </c>
      <c r="F1116" s="6">
        <v>360.0</v>
      </c>
      <c r="G1116" s="5" t="s">
        <v>114</v>
      </c>
      <c r="H1116" s="5" t="s">
        <v>142</v>
      </c>
      <c r="I1116" s="6" t="s">
        <v>40</v>
      </c>
      <c r="J1116" s="5" t="s">
        <v>8585</v>
      </c>
      <c r="K1116" s="5" t="s">
        <v>8586</v>
      </c>
      <c r="L1116" s="6" t="s">
        <v>42</v>
      </c>
      <c r="M1116" s="5" t="s">
        <v>612</v>
      </c>
      <c r="N1116" s="5" t="s">
        <v>64</v>
      </c>
      <c r="O1116" s="5" t="s">
        <v>12083</v>
      </c>
      <c r="P1116" s="6">
        <v>8501.0</v>
      </c>
    </row>
    <row r="1117" ht="56.25" customHeight="1">
      <c r="A1117" s="5" t="s">
        <v>12071</v>
      </c>
      <c r="B1117" s="6" t="str">
        <f>IMAGE("https://storage.googleapis.com/acdb/tops/TopsTexTopYshirtsLPrince0.png")</f>
        <v/>
      </c>
      <c r="C1117" s="5" t="s">
        <v>57</v>
      </c>
      <c r="D1117" s="8" t="s">
        <v>36</v>
      </c>
      <c r="E1117" s="6">
        <v>1440.0</v>
      </c>
      <c r="F1117" s="6">
        <v>360.0</v>
      </c>
      <c r="G1117" s="5" t="s">
        <v>57</v>
      </c>
      <c r="H1117" s="5" t="s">
        <v>96</v>
      </c>
      <c r="I1117" s="6" t="s">
        <v>40</v>
      </c>
      <c r="J1117" s="5" t="s">
        <v>8585</v>
      </c>
      <c r="K1117" s="5" t="s">
        <v>8586</v>
      </c>
      <c r="L1117" s="6" t="s">
        <v>42</v>
      </c>
      <c r="M1117" s="5" t="s">
        <v>612</v>
      </c>
      <c r="N1117" s="5" t="s">
        <v>64</v>
      </c>
      <c r="O1117" s="5" t="s">
        <v>12085</v>
      </c>
      <c r="P1117" s="6">
        <v>4198.0</v>
      </c>
    </row>
    <row r="1118" ht="56.25" customHeight="1">
      <c r="A1118" s="5" t="s">
        <v>12086</v>
      </c>
      <c r="B1118" s="6" t="str">
        <f>IMAGE("https://storage.googleapis.com/acdb/tops/TopsTexTopTshirtsLJagged0.png")</f>
        <v/>
      </c>
      <c r="C1118" s="5" t="s">
        <v>34</v>
      </c>
      <c r="D1118" s="8" t="s">
        <v>36</v>
      </c>
      <c r="E1118" s="6">
        <v>960.0</v>
      </c>
      <c r="F1118" s="6">
        <v>240.0</v>
      </c>
      <c r="G1118" s="5" t="s">
        <v>96</v>
      </c>
      <c r="H1118" s="5" t="s">
        <v>52</v>
      </c>
      <c r="I1118" s="6" t="s">
        <v>40</v>
      </c>
      <c r="J1118" s="5" t="s">
        <v>8578</v>
      </c>
      <c r="K1118" s="5"/>
      <c r="L1118" s="6" t="s">
        <v>42</v>
      </c>
      <c r="M1118" s="5" t="s">
        <v>8746</v>
      </c>
      <c r="N1118" s="5" t="s">
        <v>64</v>
      </c>
      <c r="O1118" s="5" t="s">
        <v>12088</v>
      </c>
      <c r="P1118" s="6">
        <v>8204.0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3" width="10.86"/>
    <col customWidth="1" min="4" max="4" width="4.43"/>
    <col customWidth="1" min="5" max="6" width="5.86"/>
    <col customWidth="1" min="7" max="8" width="8.0"/>
    <col customWidth="1" min="9" max="9" width="5.14"/>
    <col customWidth="1" min="10" max="10" width="12.29"/>
    <col customWidth="1" min="11" max="11" width="25.14"/>
    <col customWidth="1" min="12" max="12" width="8.0"/>
    <col customWidth="1" min="13" max="13" width="9.43"/>
    <col customWidth="1" min="14" max="14" width="8.0"/>
    <col customWidth="1" min="15" max="15" width="10.86"/>
    <col customWidth="1" min="16" max="16" width="8.0"/>
  </cols>
  <sheetData>
    <row r="1" ht="26.25" customHeight="1">
      <c r="A1" s="1" t="s">
        <v>0</v>
      </c>
      <c r="B1" s="2" t="s">
        <v>1</v>
      </c>
      <c r="C1" s="1" t="s">
        <v>2</v>
      </c>
      <c r="D1" s="1" t="s">
        <v>6</v>
      </c>
      <c r="E1" s="2" t="s">
        <v>10</v>
      </c>
      <c r="F1" s="2" t="s">
        <v>11</v>
      </c>
      <c r="G1" s="1" t="s">
        <v>12</v>
      </c>
      <c r="H1" s="1" t="s">
        <v>13</v>
      </c>
      <c r="I1" s="2" t="s">
        <v>14</v>
      </c>
      <c r="J1" s="1" t="s">
        <v>15</v>
      </c>
      <c r="K1" s="1" t="s">
        <v>16</v>
      </c>
      <c r="L1" s="2" t="s">
        <v>17</v>
      </c>
      <c r="M1" s="1" t="s">
        <v>8575</v>
      </c>
      <c r="N1" s="1" t="s">
        <v>26</v>
      </c>
      <c r="O1" s="1" t="s">
        <v>27</v>
      </c>
      <c r="P1" s="2" t="s">
        <v>29</v>
      </c>
    </row>
    <row r="2" ht="56.25" customHeight="1">
      <c r="A2" s="5" t="s">
        <v>12102</v>
      </c>
      <c r="B2" s="6" t="str">
        <f>image("https://storage.googleapis.com/acdb/bottoms/BottomsTexPantsNormalChemical0.png")</f>
        <v/>
      </c>
      <c r="C2" s="5" t="s">
        <v>68</v>
      </c>
      <c r="D2" s="5" t="s">
        <v>36</v>
      </c>
      <c r="E2" s="6">
        <v>1320.0</v>
      </c>
      <c r="F2" s="6">
        <v>330.0</v>
      </c>
      <c r="G2" s="5" t="s">
        <v>68</v>
      </c>
      <c r="H2" s="5" t="s">
        <v>68</v>
      </c>
      <c r="I2" s="6" t="s">
        <v>40</v>
      </c>
      <c r="J2" s="5" t="s">
        <v>8585</v>
      </c>
      <c r="K2" s="5" t="s">
        <v>8632</v>
      </c>
      <c r="L2" s="6" t="s">
        <v>42</v>
      </c>
      <c r="M2" s="5" t="s">
        <v>995</v>
      </c>
      <c r="N2" s="5" t="s">
        <v>64</v>
      </c>
      <c r="O2" s="5" t="s">
        <v>12104</v>
      </c>
      <c r="P2" s="6">
        <v>5286.0</v>
      </c>
    </row>
    <row r="3" ht="56.25" customHeight="1">
      <c r="A3" s="5" t="s">
        <v>12102</v>
      </c>
      <c r="B3" s="6" t="str">
        <f>image("https://storage.googleapis.com/acdb/bottoms/BottomsTexPantsNormalChemical1.png")</f>
        <v/>
      </c>
      <c r="C3" s="5" t="s">
        <v>54</v>
      </c>
      <c r="D3" s="5" t="s">
        <v>36</v>
      </c>
      <c r="E3" s="6">
        <v>1320.0</v>
      </c>
      <c r="F3" s="6">
        <v>330.0</v>
      </c>
      <c r="G3" s="5" t="s">
        <v>54</v>
      </c>
      <c r="H3" s="5" t="s">
        <v>54</v>
      </c>
      <c r="I3" s="6" t="s">
        <v>40</v>
      </c>
      <c r="J3" s="5" t="s">
        <v>8585</v>
      </c>
      <c r="K3" s="5" t="s">
        <v>8632</v>
      </c>
      <c r="L3" s="6" t="s">
        <v>42</v>
      </c>
      <c r="M3" s="5" t="s">
        <v>995</v>
      </c>
      <c r="N3" s="5" t="s">
        <v>64</v>
      </c>
      <c r="O3" s="5" t="s">
        <v>12106</v>
      </c>
      <c r="P3" s="6">
        <v>11385.0</v>
      </c>
    </row>
    <row r="4" ht="56.25" customHeight="1">
      <c r="A4" s="5" t="s">
        <v>12109</v>
      </c>
      <c r="B4" s="6" t="str">
        <f>image("https://storage.googleapis.com/acdb/bottoms/BottomsTexSkirtBoxStripe0.png")</f>
        <v/>
      </c>
      <c r="C4" s="5" t="s">
        <v>8630</v>
      </c>
      <c r="D4" s="5" t="s">
        <v>36</v>
      </c>
      <c r="E4" s="6">
        <v>1100.0</v>
      </c>
      <c r="F4" s="6">
        <v>275.0</v>
      </c>
      <c r="G4" s="5" t="s">
        <v>114</v>
      </c>
      <c r="H4" s="5" t="s">
        <v>54</v>
      </c>
      <c r="I4" s="6" t="s">
        <v>40</v>
      </c>
      <c r="J4" s="5" t="s">
        <v>8585</v>
      </c>
      <c r="K4" s="5" t="s">
        <v>8632</v>
      </c>
      <c r="L4" s="6" t="s">
        <v>42</v>
      </c>
      <c r="M4" s="5" t="s">
        <v>1952</v>
      </c>
      <c r="N4" s="5" t="s">
        <v>64</v>
      </c>
      <c r="O4" s="5" t="s">
        <v>12110</v>
      </c>
      <c r="P4" s="6">
        <v>9842.0</v>
      </c>
    </row>
    <row r="5" ht="56.25" customHeight="1">
      <c r="A5" s="5" t="s">
        <v>12109</v>
      </c>
      <c r="B5" s="6" t="str">
        <f>image("https://storage.googleapis.com/acdb/bottoms/BottomsTexSkirtBoxStripe1.png")</f>
        <v/>
      </c>
      <c r="C5" s="5" t="s">
        <v>8635</v>
      </c>
      <c r="D5" s="5" t="s">
        <v>36</v>
      </c>
      <c r="E5" s="6">
        <v>1100.0</v>
      </c>
      <c r="F5" s="6">
        <v>275.0</v>
      </c>
      <c r="G5" s="5" t="s">
        <v>95</v>
      </c>
      <c r="H5" s="5" t="s">
        <v>54</v>
      </c>
      <c r="I5" s="6" t="s">
        <v>40</v>
      </c>
      <c r="J5" s="5" t="s">
        <v>8585</v>
      </c>
      <c r="K5" s="5" t="s">
        <v>8632</v>
      </c>
      <c r="L5" s="6" t="s">
        <v>42</v>
      </c>
      <c r="M5" s="5" t="s">
        <v>1952</v>
      </c>
      <c r="N5" s="5" t="s">
        <v>64</v>
      </c>
      <c r="O5" s="5" t="s">
        <v>12113</v>
      </c>
      <c r="P5" s="6">
        <v>12067.0</v>
      </c>
    </row>
    <row r="6" ht="56.25" customHeight="1">
      <c r="A6" s="5" t="s">
        <v>12114</v>
      </c>
      <c r="B6" s="6" t="str">
        <f>image("https://storage.googleapis.com/acdb/bottoms/BottomsTexSkirtBoxApron0.png")</f>
        <v/>
      </c>
      <c r="C6" s="5" t="s">
        <v>106</v>
      </c>
      <c r="D6" s="5" t="s">
        <v>36</v>
      </c>
      <c r="E6" s="6">
        <v>700.0</v>
      </c>
      <c r="F6" s="6">
        <v>175.0</v>
      </c>
      <c r="G6" s="5" t="s">
        <v>57</v>
      </c>
      <c r="H6" s="5" t="s">
        <v>106</v>
      </c>
      <c r="I6" s="6" t="s">
        <v>40</v>
      </c>
      <c r="J6" s="5" t="s">
        <v>8585</v>
      </c>
      <c r="K6" s="5" t="s">
        <v>8586</v>
      </c>
      <c r="L6" s="6" t="s">
        <v>42</v>
      </c>
      <c r="M6" s="5" t="s">
        <v>995</v>
      </c>
      <c r="N6" s="5" t="s">
        <v>64</v>
      </c>
      <c r="O6" s="5" t="s">
        <v>12116</v>
      </c>
      <c r="P6" s="6">
        <v>5710.0</v>
      </c>
    </row>
    <row r="7" ht="56.25" customHeight="1">
      <c r="A7" s="5" t="s">
        <v>12114</v>
      </c>
      <c r="B7" s="6" t="str">
        <f>image("https://storage.googleapis.com/acdb/bottoms/BottomsTexSkirtBoxApron1.png")</f>
        <v/>
      </c>
      <c r="C7" s="5" t="s">
        <v>68</v>
      </c>
      <c r="D7" s="5" t="s">
        <v>36</v>
      </c>
      <c r="E7" s="6">
        <v>700.0</v>
      </c>
      <c r="F7" s="6">
        <v>175.0</v>
      </c>
      <c r="G7" s="5" t="s">
        <v>57</v>
      </c>
      <c r="H7" s="5" t="s">
        <v>83</v>
      </c>
      <c r="I7" s="6" t="s">
        <v>40</v>
      </c>
      <c r="J7" s="5" t="s">
        <v>8585</v>
      </c>
      <c r="K7" s="5" t="s">
        <v>8586</v>
      </c>
      <c r="L7" s="6" t="s">
        <v>42</v>
      </c>
      <c r="M7" s="5" t="s">
        <v>995</v>
      </c>
      <c r="N7" s="5" t="s">
        <v>64</v>
      </c>
      <c r="O7" s="5" t="s">
        <v>12119</v>
      </c>
      <c r="P7" s="6">
        <v>8921.0</v>
      </c>
    </row>
    <row r="8" ht="56.25" customHeight="1">
      <c r="A8" s="5" t="s">
        <v>12114</v>
      </c>
      <c r="B8" s="6" t="str">
        <f>image("https://storage.googleapis.com/acdb/bottoms/BottomsTexSkirtBoxApron2.png")</f>
        <v/>
      </c>
      <c r="C8" s="5" t="s">
        <v>38</v>
      </c>
      <c r="D8" s="5" t="s">
        <v>36</v>
      </c>
      <c r="E8" s="6">
        <v>700.0</v>
      </c>
      <c r="F8" s="6">
        <v>175.0</v>
      </c>
      <c r="G8" s="5" t="s">
        <v>57</v>
      </c>
      <c r="H8" s="5" t="s">
        <v>38</v>
      </c>
      <c r="I8" s="6" t="s">
        <v>40</v>
      </c>
      <c r="J8" s="5" t="s">
        <v>8585</v>
      </c>
      <c r="K8" s="5" t="s">
        <v>8586</v>
      </c>
      <c r="L8" s="6" t="s">
        <v>42</v>
      </c>
      <c r="M8" s="5" t="s">
        <v>995</v>
      </c>
      <c r="N8" s="5" t="s">
        <v>64</v>
      </c>
      <c r="O8" s="5" t="s">
        <v>12121</v>
      </c>
      <c r="P8" s="6">
        <v>8922.0</v>
      </c>
    </row>
    <row r="9" ht="56.25" customHeight="1">
      <c r="A9" s="5" t="s">
        <v>12123</v>
      </c>
      <c r="B9" s="6" t="str">
        <f>image("https://storage.googleapis.com/acdb/bottoms/BottomsTexPantsNormalJersey0.png")</f>
        <v/>
      </c>
      <c r="C9" s="5" t="s">
        <v>52</v>
      </c>
      <c r="D9" s="5" t="s">
        <v>36</v>
      </c>
      <c r="E9" s="6">
        <v>880.0</v>
      </c>
      <c r="F9" s="6">
        <v>220.0</v>
      </c>
      <c r="G9" s="5" t="s">
        <v>52</v>
      </c>
      <c r="H9" s="5" t="s">
        <v>57</v>
      </c>
      <c r="I9" s="6" t="s">
        <v>40</v>
      </c>
      <c r="J9" s="5" t="s">
        <v>8585</v>
      </c>
      <c r="K9" s="5" t="s">
        <v>8632</v>
      </c>
      <c r="L9" s="6" t="s">
        <v>42</v>
      </c>
      <c r="M9" s="5" t="s">
        <v>8746</v>
      </c>
      <c r="N9" s="5" t="s">
        <v>64</v>
      </c>
      <c r="O9" s="5" t="s">
        <v>12127</v>
      </c>
      <c r="P9" s="6">
        <v>3311.0</v>
      </c>
    </row>
    <row r="10" ht="56.25" customHeight="1">
      <c r="A10" s="5" t="s">
        <v>12123</v>
      </c>
      <c r="B10" s="6" t="str">
        <f>image("https://storage.googleapis.com/acdb/bottoms/BottomsTexPantsNormalJersey1.png")</f>
        <v/>
      </c>
      <c r="C10" s="5" t="s">
        <v>96</v>
      </c>
      <c r="D10" s="5" t="s">
        <v>36</v>
      </c>
      <c r="E10" s="6">
        <v>880.0</v>
      </c>
      <c r="F10" s="6">
        <v>220.0</v>
      </c>
      <c r="G10" s="5" t="s">
        <v>96</v>
      </c>
      <c r="H10" s="5" t="s">
        <v>57</v>
      </c>
      <c r="I10" s="6" t="s">
        <v>40</v>
      </c>
      <c r="J10" s="5" t="s">
        <v>8585</v>
      </c>
      <c r="K10" s="5" t="s">
        <v>8632</v>
      </c>
      <c r="L10" s="6" t="s">
        <v>42</v>
      </c>
      <c r="M10" s="5" t="s">
        <v>8746</v>
      </c>
      <c r="N10" s="5" t="s">
        <v>64</v>
      </c>
      <c r="O10" s="5" t="s">
        <v>12130</v>
      </c>
      <c r="P10" s="6">
        <v>11295.0</v>
      </c>
    </row>
    <row r="11" ht="56.25" customHeight="1">
      <c r="A11" s="5" t="s">
        <v>12123</v>
      </c>
      <c r="B11" s="6" t="str">
        <f>image("https://storage.googleapis.com/acdb/bottoms/BottomsTexPantsNormalJersey2.png")</f>
        <v/>
      </c>
      <c r="C11" s="5" t="s">
        <v>54</v>
      </c>
      <c r="D11" s="5" t="s">
        <v>36</v>
      </c>
      <c r="E11" s="6">
        <v>880.0</v>
      </c>
      <c r="F11" s="6">
        <v>220.0</v>
      </c>
      <c r="G11" s="5" t="s">
        <v>54</v>
      </c>
      <c r="H11" s="5" t="s">
        <v>57</v>
      </c>
      <c r="I11" s="6" t="s">
        <v>40</v>
      </c>
      <c r="J11" s="5" t="s">
        <v>8585</v>
      </c>
      <c r="K11" s="5" t="s">
        <v>8632</v>
      </c>
      <c r="L11" s="6" t="s">
        <v>42</v>
      </c>
      <c r="M11" s="5" t="s">
        <v>8746</v>
      </c>
      <c r="N11" s="5" t="s">
        <v>64</v>
      </c>
      <c r="O11" s="5" t="s">
        <v>12133</v>
      </c>
      <c r="P11" s="6">
        <v>11296.0</v>
      </c>
    </row>
    <row r="12" ht="56.25" customHeight="1">
      <c r="A12" s="5" t="s">
        <v>12123</v>
      </c>
      <c r="B12" s="6" t="str">
        <f>image("https://storage.googleapis.com/acdb/bottoms/BottomsTexPantsNormalJersey3.png")</f>
        <v/>
      </c>
      <c r="C12" s="5" t="s">
        <v>68</v>
      </c>
      <c r="D12" s="5" t="s">
        <v>36</v>
      </c>
      <c r="E12" s="6">
        <v>880.0</v>
      </c>
      <c r="F12" s="6">
        <v>220.0</v>
      </c>
      <c r="G12" s="5" t="s">
        <v>68</v>
      </c>
      <c r="H12" s="5" t="s">
        <v>57</v>
      </c>
      <c r="I12" s="6" t="s">
        <v>40</v>
      </c>
      <c r="J12" s="5" t="s">
        <v>8585</v>
      </c>
      <c r="K12" s="5" t="s">
        <v>8632</v>
      </c>
      <c r="L12" s="6" t="s">
        <v>42</v>
      </c>
      <c r="M12" s="5" t="s">
        <v>8746</v>
      </c>
      <c r="N12" s="5" t="s">
        <v>64</v>
      </c>
      <c r="O12" s="5" t="s">
        <v>12136</v>
      </c>
      <c r="P12" s="6">
        <v>11297.0</v>
      </c>
    </row>
    <row r="13" ht="56.25" customHeight="1">
      <c r="A13" s="5" t="s">
        <v>12123</v>
      </c>
      <c r="B13" s="6" t="str">
        <f>image("https://storage.googleapis.com/acdb/bottoms/BottomsTexPantsNormalJersey4.png")</f>
        <v/>
      </c>
      <c r="C13" s="5" t="s">
        <v>4883</v>
      </c>
      <c r="D13" s="5" t="s">
        <v>36</v>
      </c>
      <c r="E13" s="6">
        <v>880.0</v>
      </c>
      <c r="F13" s="6">
        <v>220.0</v>
      </c>
      <c r="G13" s="5" t="s">
        <v>52</v>
      </c>
      <c r="H13" s="5" t="s">
        <v>57</v>
      </c>
      <c r="I13" s="6" t="s">
        <v>40</v>
      </c>
      <c r="J13" s="5" t="s">
        <v>8585</v>
      </c>
      <c r="K13" s="5" t="s">
        <v>8632</v>
      </c>
      <c r="L13" s="6" t="s">
        <v>42</v>
      </c>
      <c r="M13" s="5" t="s">
        <v>8746</v>
      </c>
      <c r="N13" s="5" t="s">
        <v>64</v>
      </c>
      <c r="O13" s="5" t="s">
        <v>12139</v>
      </c>
      <c r="P13" s="6">
        <v>11298.0</v>
      </c>
    </row>
    <row r="14" ht="56.25" customHeight="1">
      <c r="A14" s="5" t="s">
        <v>12123</v>
      </c>
      <c r="B14" s="6" t="str">
        <f>image("https://storage.googleapis.com/acdb/bottoms/BottomsTexPantsNormalJersey5.png")</f>
        <v/>
      </c>
      <c r="C14" s="5" t="s">
        <v>1187</v>
      </c>
      <c r="D14" s="5" t="s">
        <v>36</v>
      </c>
      <c r="E14" s="6">
        <v>880.0</v>
      </c>
      <c r="F14" s="6">
        <v>220.0</v>
      </c>
      <c r="G14" s="5" t="s">
        <v>68</v>
      </c>
      <c r="H14" s="5" t="s">
        <v>57</v>
      </c>
      <c r="I14" s="6" t="s">
        <v>40</v>
      </c>
      <c r="J14" s="5" t="s">
        <v>8585</v>
      </c>
      <c r="K14" s="5" t="s">
        <v>8632</v>
      </c>
      <c r="L14" s="6" t="s">
        <v>42</v>
      </c>
      <c r="M14" s="5" t="s">
        <v>8746</v>
      </c>
      <c r="N14" s="5" t="s">
        <v>64</v>
      </c>
      <c r="O14" s="5" t="s">
        <v>12143</v>
      </c>
      <c r="P14" s="6">
        <v>11299.0</v>
      </c>
    </row>
    <row r="15" ht="56.25" customHeight="1">
      <c r="A15" s="5" t="s">
        <v>12145</v>
      </c>
      <c r="B15" s="6" t="str">
        <f>image("https://storage.googleapis.com/acdb/bottoms/BottomsTexPantsHalfJersey0.png")</f>
        <v/>
      </c>
      <c r="C15" s="5" t="s">
        <v>52</v>
      </c>
      <c r="D15" s="5" t="s">
        <v>36</v>
      </c>
      <c r="E15" s="6">
        <v>560.0</v>
      </c>
      <c r="F15" s="6">
        <v>140.0</v>
      </c>
      <c r="G15" s="5" t="s">
        <v>52</v>
      </c>
      <c r="H15" s="5" t="s">
        <v>57</v>
      </c>
      <c r="I15" s="6" t="s">
        <v>40</v>
      </c>
      <c r="J15" s="5" t="s">
        <v>8585</v>
      </c>
      <c r="K15" s="5" t="s">
        <v>8632</v>
      </c>
      <c r="L15" s="6" t="s">
        <v>42</v>
      </c>
      <c r="M15" s="5" t="s">
        <v>8746</v>
      </c>
      <c r="N15" s="5" t="s">
        <v>64</v>
      </c>
      <c r="O15" s="5" t="s">
        <v>12148</v>
      </c>
      <c r="P15" s="6">
        <v>4518.0</v>
      </c>
    </row>
    <row r="16" ht="56.25" customHeight="1">
      <c r="A16" s="5" t="s">
        <v>12145</v>
      </c>
      <c r="B16" s="6" t="str">
        <f>image("https://storage.googleapis.com/acdb/bottoms/BottomsTexPantsHalfJersey1.png")</f>
        <v/>
      </c>
      <c r="C16" s="5" t="s">
        <v>96</v>
      </c>
      <c r="D16" s="5" t="s">
        <v>36</v>
      </c>
      <c r="E16" s="6">
        <v>560.0</v>
      </c>
      <c r="F16" s="6">
        <v>140.0</v>
      </c>
      <c r="G16" s="5" t="s">
        <v>96</v>
      </c>
      <c r="H16" s="5" t="s">
        <v>57</v>
      </c>
      <c r="I16" s="6" t="s">
        <v>40</v>
      </c>
      <c r="J16" s="5" t="s">
        <v>8585</v>
      </c>
      <c r="K16" s="5" t="s">
        <v>8632</v>
      </c>
      <c r="L16" s="6" t="s">
        <v>42</v>
      </c>
      <c r="M16" s="5" t="s">
        <v>8746</v>
      </c>
      <c r="N16" s="5" t="s">
        <v>64</v>
      </c>
      <c r="O16" s="5" t="s">
        <v>12150</v>
      </c>
      <c r="P16" s="6">
        <v>11905.0</v>
      </c>
    </row>
    <row r="17" ht="56.25" customHeight="1">
      <c r="A17" s="5" t="s">
        <v>12145</v>
      </c>
      <c r="B17" s="6" t="str">
        <f>image("https://storage.googleapis.com/acdb/bottoms/BottomsTexPantsHalfJersey2.png")</f>
        <v/>
      </c>
      <c r="C17" s="5" t="s">
        <v>54</v>
      </c>
      <c r="D17" s="5" t="s">
        <v>36</v>
      </c>
      <c r="E17" s="6">
        <v>560.0</v>
      </c>
      <c r="F17" s="6">
        <v>140.0</v>
      </c>
      <c r="G17" s="5" t="s">
        <v>54</v>
      </c>
      <c r="H17" s="5" t="s">
        <v>57</v>
      </c>
      <c r="I17" s="6" t="s">
        <v>40</v>
      </c>
      <c r="J17" s="5" t="s">
        <v>8585</v>
      </c>
      <c r="K17" s="5" t="s">
        <v>8632</v>
      </c>
      <c r="L17" s="6" t="s">
        <v>42</v>
      </c>
      <c r="M17" s="5" t="s">
        <v>8746</v>
      </c>
      <c r="N17" s="5" t="s">
        <v>64</v>
      </c>
      <c r="O17" s="5" t="s">
        <v>12154</v>
      </c>
      <c r="P17" s="6">
        <v>11906.0</v>
      </c>
    </row>
    <row r="18" ht="56.25" customHeight="1">
      <c r="A18" s="5" t="s">
        <v>12145</v>
      </c>
      <c r="B18" s="6" t="str">
        <f>image("https://storage.googleapis.com/acdb/bottoms/BottomsTexPantsHalfJersey3.png")</f>
        <v/>
      </c>
      <c r="C18" s="5" t="s">
        <v>68</v>
      </c>
      <c r="D18" s="5" t="s">
        <v>36</v>
      </c>
      <c r="E18" s="6">
        <v>560.0</v>
      </c>
      <c r="F18" s="6">
        <v>140.0</v>
      </c>
      <c r="G18" s="5" t="s">
        <v>68</v>
      </c>
      <c r="H18" s="5" t="s">
        <v>57</v>
      </c>
      <c r="I18" s="6" t="s">
        <v>40</v>
      </c>
      <c r="J18" s="5" t="s">
        <v>8585</v>
      </c>
      <c r="K18" s="5" t="s">
        <v>8632</v>
      </c>
      <c r="L18" s="6" t="s">
        <v>42</v>
      </c>
      <c r="M18" s="5" t="s">
        <v>8746</v>
      </c>
      <c r="N18" s="5" t="s">
        <v>64</v>
      </c>
      <c r="O18" s="5" t="s">
        <v>12158</v>
      </c>
      <c r="P18" s="6">
        <v>11907.0</v>
      </c>
    </row>
    <row r="19" ht="56.25" customHeight="1">
      <c r="A19" s="5" t="s">
        <v>12145</v>
      </c>
      <c r="B19" s="6" t="str">
        <f>image("https://storage.googleapis.com/acdb/bottoms/BottomsTexPantsHalfJersey4.png")</f>
        <v/>
      </c>
      <c r="C19" s="5" t="s">
        <v>4883</v>
      </c>
      <c r="D19" s="5" t="s">
        <v>36</v>
      </c>
      <c r="E19" s="6">
        <v>560.0</v>
      </c>
      <c r="F19" s="6">
        <v>140.0</v>
      </c>
      <c r="G19" s="5" t="s">
        <v>52</v>
      </c>
      <c r="H19" s="5" t="s">
        <v>57</v>
      </c>
      <c r="I19" s="6" t="s">
        <v>40</v>
      </c>
      <c r="J19" s="5" t="s">
        <v>8585</v>
      </c>
      <c r="K19" s="5" t="s">
        <v>8632</v>
      </c>
      <c r="L19" s="6" t="s">
        <v>42</v>
      </c>
      <c r="M19" s="5" t="s">
        <v>8746</v>
      </c>
      <c r="N19" s="5" t="s">
        <v>64</v>
      </c>
      <c r="O19" s="5" t="s">
        <v>12161</v>
      </c>
      <c r="P19" s="6">
        <v>11908.0</v>
      </c>
    </row>
    <row r="20" ht="56.25" customHeight="1">
      <c r="A20" s="5" t="s">
        <v>12145</v>
      </c>
      <c r="B20" s="6" t="str">
        <f>image("https://storage.googleapis.com/acdb/bottoms/BottomsTexPantsHalfJersey5.png")</f>
        <v/>
      </c>
      <c r="C20" s="5" t="s">
        <v>1187</v>
      </c>
      <c r="D20" s="5" t="s">
        <v>36</v>
      </c>
      <c r="E20" s="6">
        <v>560.0</v>
      </c>
      <c r="F20" s="6">
        <v>140.0</v>
      </c>
      <c r="G20" s="5" t="s">
        <v>68</v>
      </c>
      <c r="H20" s="5" t="s">
        <v>57</v>
      </c>
      <c r="I20" s="6" t="s">
        <v>40</v>
      </c>
      <c r="J20" s="5" t="s">
        <v>8585</v>
      </c>
      <c r="K20" s="5" t="s">
        <v>8632</v>
      </c>
      <c r="L20" s="6" t="s">
        <v>42</v>
      </c>
      <c r="M20" s="5" t="s">
        <v>8746</v>
      </c>
      <c r="N20" s="5" t="s">
        <v>64</v>
      </c>
      <c r="O20" s="5" t="s">
        <v>12165</v>
      </c>
      <c r="P20" s="6">
        <v>11909.0</v>
      </c>
    </row>
    <row r="21" ht="56.25" customHeight="1">
      <c r="A21" s="5" t="s">
        <v>12166</v>
      </c>
      <c r="B21" s="6" t="str">
        <f>image("https://storage.googleapis.com/acdb/bottoms/BottomsTexPantsHalfBasketball0.png")</f>
        <v/>
      </c>
      <c r="C21" s="5" t="s">
        <v>106</v>
      </c>
      <c r="D21" s="5" t="s">
        <v>36</v>
      </c>
      <c r="E21" s="6">
        <v>980.0</v>
      </c>
      <c r="F21" s="6">
        <v>245.0</v>
      </c>
      <c r="G21" s="5" t="s">
        <v>106</v>
      </c>
      <c r="H21" s="5" t="s">
        <v>114</v>
      </c>
      <c r="I21" s="6" t="s">
        <v>40</v>
      </c>
      <c r="J21" s="5" t="s">
        <v>8585</v>
      </c>
      <c r="K21" s="5" t="s">
        <v>8632</v>
      </c>
      <c r="L21" s="6" t="s">
        <v>42</v>
      </c>
      <c r="M21" s="5" t="s">
        <v>8746</v>
      </c>
      <c r="N21" s="5" t="s">
        <v>64</v>
      </c>
      <c r="O21" s="5" t="s">
        <v>12170</v>
      </c>
      <c r="P21" s="6">
        <v>5720.0</v>
      </c>
    </row>
    <row r="22" ht="56.25" customHeight="1">
      <c r="A22" s="5" t="s">
        <v>12166</v>
      </c>
      <c r="B22" s="6" t="str">
        <f>image("https://storage.googleapis.com/acdb/bottoms/BottomsTexPantsHalfBasketball1.png")</f>
        <v/>
      </c>
      <c r="C22" s="5" t="s">
        <v>52</v>
      </c>
      <c r="D22" s="5" t="s">
        <v>36</v>
      </c>
      <c r="E22" s="6">
        <v>980.0</v>
      </c>
      <c r="F22" s="6">
        <v>245.0</v>
      </c>
      <c r="G22" s="5" t="s">
        <v>52</v>
      </c>
      <c r="H22" s="5" t="s">
        <v>54</v>
      </c>
      <c r="I22" s="6" t="s">
        <v>40</v>
      </c>
      <c r="J22" s="5" t="s">
        <v>8585</v>
      </c>
      <c r="K22" s="5" t="s">
        <v>8632</v>
      </c>
      <c r="L22" s="6" t="s">
        <v>42</v>
      </c>
      <c r="M22" s="5" t="s">
        <v>8746</v>
      </c>
      <c r="N22" s="5" t="s">
        <v>64</v>
      </c>
      <c r="O22" s="5" t="s">
        <v>12172</v>
      </c>
      <c r="P22" s="6">
        <v>11307.0</v>
      </c>
    </row>
    <row r="23" ht="56.25" customHeight="1">
      <c r="A23" s="5" t="s">
        <v>12166</v>
      </c>
      <c r="B23" s="6" t="str">
        <f>image("https://storage.googleapis.com/acdb/bottoms/BottomsTexPantsHalfBasketball2.png")</f>
        <v/>
      </c>
      <c r="C23" s="5" t="s">
        <v>96</v>
      </c>
      <c r="D23" s="5" t="s">
        <v>36</v>
      </c>
      <c r="E23" s="6">
        <v>980.0</v>
      </c>
      <c r="F23" s="6">
        <v>245.0</v>
      </c>
      <c r="G23" s="5" t="s">
        <v>96</v>
      </c>
      <c r="H23" s="5" t="s">
        <v>142</v>
      </c>
      <c r="I23" s="6" t="s">
        <v>40</v>
      </c>
      <c r="J23" s="5" t="s">
        <v>8585</v>
      </c>
      <c r="K23" s="5" t="s">
        <v>8632</v>
      </c>
      <c r="L23" s="6" t="s">
        <v>42</v>
      </c>
      <c r="M23" s="5" t="s">
        <v>8746</v>
      </c>
      <c r="N23" s="5" t="s">
        <v>64</v>
      </c>
      <c r="O23" s="5" t="s">
        <v>12175</v>
      </c>
      <c r="P23" s="6">
        <v>11308.0</v>
      </c>
    </row>
    <row r="24" ht="56.25" customHeight="1">
      <c r="A24" s="5" t="s">
        <v>12166</v>
      </c>
      <c r="B24" s="6" t="str">
        <f>image("https://storage.googleapis.com/acdb/bottoms/BottomsTexPantsHalfBasketball3.png")</f>
        <v/>
      </c>
      <c r="C24" s="5" t="s">
        <v>142</v>
      </c>
      <c r="D24" s="5" t="s">
        <v>36</v>
      </c>
      <c r="E24" s="6">
        <v>980.0</v>
      </c>
      <c r="F24" s="6">
        <v>245.0</v>
      </c>
      <c r="G24" s="5" t="s">
        <v>142</v>
      </c>
      <c r="H24" s="5" t="s">
        <v>68</v>
      </c>
      <c r="I24" s="6" t="s">
        <v>40</v>
      </c>
      <c r="J24" s="5" t="s">
        <v>8585</v>
      </c>
      <c r="K24" s="5" t="s">
        <v>8632</v>
      </c>
      <c r="L24" s="6" t="s">
        <v>42</v>
      </c>
      <c r="M24" s="5" t="s">
        <v>8746</v>
      </c>
      <c r="N24" s="5" t="s">
        <v>64</v>
      </c>
      <c r="O24" s="5" t="s">
        <v>12180</v>
      </c>
      <c r="P24" s="6">
        <v>11309.0</v>
      </c>
    </row>
    <row r="25" ht="56.25" customHeight="1">
      <c r="A25" s="5" t="s">
        <v>12166</v>
      </c>
      <c r="B25" s="6" t="str">
        <f>image("https://storage.googleapis.com/acdb/bottoms/BottomsTexPantsHalfBasketball4.png")</f>
        <v/>
      </c>
      <c r="C25" s="5" t="s">
        <v>68</v>
      </c>
      <c r="D25" s="5" t="s">
        <v>36</v>
      </c>
      <c r="E25" s="6">
        <v>980.0</v>
      </c>
      <c r="F25" s="6">
        <v>245.0</v>
      </c>
      <c r="G25" s="5" t="s">
        <v>68</v>
      </c>
      <c r="H25" s="5" t="s">
        <v>52</v>
      </c>
      <c r="I25" s="6" t="s">
        <v>40</v>
      </c>
      <c r="J25" s="5" t="s">
        <v>8585</v>
      </c>
      <c r="K25" s="5" t="s">
        <v>8632</v>
      </c>
      <c r="L25" s="6" t="s">
        <v>42</v>
      </c>
      <c r="M25" s="5" t="s">
        <v>8746</v>
      </c>
      <c r="N25" s="5" t="s">
        <v>64</v>
      </c>
      <c r="O25" s="5" t="s">
        <v>12183</v>
      </c>
      <c r="P25" s="6">
        <v>11310.0</v>
      </c>
    </row>
    <row r="26" ht="56.25" customHeight="1">
      <c r="A26" s="5" t="s">
        <v>12166</v>
      </c>
      <c r="B26" s="6" t="str">
        <f>image("https://storage.googleapis.com/acdb/bottoms/BottomsTexPantsHalfBasketball5.png")</f>
        <v/>
      </c>
      <c r="C26" s="5" t="s">
        <v>114</v>
      </c>
      <c r="D26" s="5" t="s">
        <v>36</v>
      </c>
      <c r="E26" s="6">
        <v>980.0</v>
      </c>
      <c r="F26" s="6">
        <v>245.0</v>
      </c>
      <c r="G26" s="5" t="s">
        <v>114</v>
      </c>
      <c r="H26" s="5" t="s">
        <v>96</v>
      </c>
      <c r="I26" s="6" t="s">
        <v>40</v>
      </c>
      <c r="J26" s="5" t="s">
        <v>8585</v>
      </c>
      <c r="K26" s="5" t="s">
        <v>8632</v>
      </c>
      <c r="L26" s="6" t="s">
        <v>42</v>
      </c>
      <c r="M26" s="5" t="s">
        <v>8746</v>
      </c>
      <c r="N26" s="5" t="s">
        <v>64</v>
      </c>
      <c r="O26" s="5" t="s">
        <v>12186</v>
      </c>
      <c r="P26" s="6">
        <v>11311.0</v>
      </c>
    </row>
    <row r="27" ht="56.25" customHeight="1">
      <c r="A27" s="5" t="s">
        <v>12166</v>
      </c>
      <c r="B27" s="6" t="str">
        <f>image("https://storage.googleapis.com/acdb/bottoms/BottomsTexPantsHalfBasketball6.png")</f>
        <v/>
      </c>
      <c r="C27" s="5" t="s">
        <v>83</v>
      </c>
      <c r="D27" s="5" t="s">
        <v>36</v>
      </c>
      <c r="E27" s="6">
        <v>980.0</v>
      </c>
      <c r="F27" s="6">
        <v>245.0</v>
      </c>
      <c r="G27" s="5" t="s">
        <v>83</v>
      </c>
      <c r="H27" s="5" t="s">
        <v>68</v>
      </c>
      <c r="I27" s="6" t="s">
        <v>40</v>
      </c>
      <c r="J27" s="5" t="s">
        <v>8585</v>
      </c>
      <c r="K27" s="5" t="s">
        <v>8632</v>
      </c>
      <c r="L27" s="6" t="s">
        <v>42</v>
      </c>
      <c r="M27" s="5" t="s">
        <v>8746</v>
      </c>
      <c r="N27" s="5" t="s">
        <v>64</v>
      </c>
      <c r="O27" s="5" t="s">
        <v>12189</v>
      </c>
      <c r="P27" s="6">
        <v>11312.0</v>
      </c>
    </row>
    <row r="28" ht="56.25" customHeight="1">
      <c r="A28" s="5" t="s">
        <v>12166</v>
      </c>
      <c r="B28" s="6" t="str">
        <f>image("https://storage.googleapis.com/acdb/bottoms/BottomsTexPantsHalfBasketball7.png")</f>
        <v/>
      </c>
      <c r="C28" s="5" t="s">
        <v>54</v>
      </c>
      <c r="D28" s="5" t="s">
        <v>36</v>
      </c>
      <c r="E28" s="6">
        <v>980.0</v>
      </c>
      <c r="F28" s="6">
        <v>245.0</v>
      </c>
      <c r="G28" s="5" t="s">
        <v>54</v>
      </c>
      <c r="H28" s="5" t="s">
        <v>52</v>
      </c>
      <c r="I28" s="6" t="s">
        <v>40</v>
      </c>
      <c r="J28" s="5" t="s">
        <v>8585</v>
      </c>
      <c r="K28" s="5" t="s">
        <v>8632</v>
      </c>
      <c r="L28" s="6" t="s">
        <v>42</v>
      </c>
      <c r="M28" s="5" t="s">
        <v>8746</v>
      </c>
      <c r="N28" s="5" t="s">
        <v>64</v>
      </c>
      <c r="O28" s="5" t="s">
        <v>12192</v>
      </c>
      <c r="P28" s="6">
        <v>11313.0</v>
      </c>
    </row>
    <row r="29" ht="56.25" customHeight="1">
      <c r="A29" s="5" t="s">
        <v>12193</v>
      </c>
      <c r="B29" s="6" t="str">
        <f>image("https://storage.googleapis.com/acdb/bottoms/BottomsTexPantsWideBellbottoms0.png")</f>
        <v/>
      </c>
      <c r="C29" s="5" t="s">
        <v>142</v>
      </c>
      <c r="D29" s="5" t="s">
        <v>36</v>
      </c>
      <c r="E29" s="6">
        <v>1320.0</v>
      </c>
      <c r="F29" s="6">
        <v>330.0</v>
      </c>
      <c r="G29" s="5" t="s">
        <v>142</v>
      </c>
      <c r="H29" s="5" t="s">
        <v>142</v>
      </c>
      <c r="I29" s="6" t="s">
        <v>40</v>
      </c>
      <c r="J29" s="5" t="s">
        <v>8585</v>
      </c>
      <c r="K29" s="5" t="s">
        <v>8586</v>
      </c>
      <c r="L29" s="6" t="s">
        <v>42</v>
      </c>
      <c r="M29" s="5" t="s">
        <v>612</v>
      </c>
      <c r="N29" s="5" t="s">
        <v>64</v>
      </c>
      <c r="O29" s="5" t="s">
        <v>12196</v>
      </c>
      <c r="P29" s="6">
        <v>4364.0</v>
      </c>
    </row>
    <row r="30" ht="56.25" customHeight="1">
      <c r="A30" s="5" t="s">
        <v>12193</v>
      </c>
      <c r="B30" s="6" t="str">
        <f>image("https://storage.googleapis.com/acdb/bottoms/BottomsTexPantsWideBellbottoms1.png")</f>
        <v/>
      </c>
      <c r="C30" s="5" t="s">
        <v>39</v>
      </c>
      <c r="D30" s="5" t="s">
        <v>36</v>
      </c>
      <c r="E30" s="6">
        <v>1320.0</v>
      </c>
      <c r="F30" s="6">
        <v>330.0</v>
      </c>
      <c r="G30" s="5" t="s">
        <v>39</v>
      </c>
      <c r="H30" s="5" t="s">
        <v>39</v>
      </c>
      <c r="I30" s="6" t="s">
        <v>40</v>
      </c>
      <c r="J30" s="5" t="s">
        <v>8585</v>
      </c>
      <c r="K30" s="5" t="s">
        <v>8586</v>
      </c>
      <c r="L30" s="6" t="s">
        <v>42</v>
      </c>
      <c r="M30" s="5" t="s">
        <v>612</v>
      </c>
      <c r="N30" s="5" t="s">
        <v>64</v>
      </c>
      <c r="O30" s="5" t="s">
        <v>12199</v>
      </c>
      <c r="P30" s="6">
        <v>9270.0</v>
      </c>
    </row>
    <row r="31" ht="56.25" customHeight="1">
      <c r="A31" s="5" t="s">
        <v>12193</v>
      </c>
      <c r="B31" s="6" t="str">
        <f>image("https://storage.googleapis.com/acdb/bottoms/BottomsTexPantsWideBellbottoms2.png")</f>
        <v/>
      </c>
      <c r="C31" s="5" t="s">
        <v>38</v>
      </c>
      <c r="D31" s="5" t="s">
        <v>36</v>
      </c>
      <c r="E31" s="6">
        <v>1320.0</v>
      </c>
      <c r="F31" s="6">
        <v>330.0</v>
      </c>
      <c r="G31" s="5" t="s">
        <v>38</v>
      </c>
      <c r="H31" s="5" t="s">
        <v>38</v>
      </c>
      <c r="I31" s="6" t="s">
        <v>40</v>
      </c>
      <c r="J31" s="5" t="s">
        <v>8585</v>
      </c>
      <c r="K31" s="5" t="s">
        <v>8586</v>
      </c>
      <c r="L31" s="6" t="s">
        <v>42</v>
      </c>
      <c r="M31" s="5" t="s">
        <v>612</v>
      </c>
      <c r="N31" s="5" t="s">
        <v>64</v>
      </c>
      <c r="O31" s="5" t="s">
        <v>12201</v>
      </c>
      <c r="P31" s="6">
        <v>9271.0</v>
      </c>
    </row>
    <row r="32" ht="56.25" customHeight="1">
      <c r="A32" s="5" t="s">
        <v>12193</v>
      </c>
      <c r="B32" s="6" t="str">
        <f>image("https://storage.googleapis.com/acdb/bottoms/BottomsTexPantsWideBellbottoms3.png")</f>
        <v/>
      </c>
      <c r="C32" s="5" t="s">
        <v>96</v>
      </c>
      <c r="D32" s="5" t="s">
        <v>36</v>
      </c>
      <c r="E32" s="6">
        <v>1320.0</v>
      </c>
      <c r="F32" s="6">
        <v>330.0</v>
      </c>
      <c r="G32" s="5" t="s">
        <v>96</v>
      </c>
      <c r="H32" s="5" t="s">
        <v>96</v>
      </c>
      <c r="I32" s="6" t="s">
        <v>40</v>
      </c>
      <c r="J32" s="5" t="s">
        <v>8585</v>
      </c>
      <c r="K32" s="5" t="s">
        <v>8586</v>
      </c>
      <c r="L32" s="6" t="s">
        <v>42</v>
      </c>
      <c r="M32" s="5" t="s">
        <v>612</v>
      </c>
      <c r="N32" s="5" t="s">
        <v>64</v>
      </c>
      <c r="O32" s="5" t="s">
        <v>12206</v>
      </c>
      <c r="P32" s="6">
        <v>9272.0</v>
      </c>
    </row>
    <row r="33" ht="56.25" customHeight="1">
      <c r="A33" s="5" t="s">
        <v>12193</v>
      </c>
      <c r="B33" s="6" t="str">
        <f>image("https://storage.googleapis.com/acdb/bottoms/BottomsTexPantsWideBellbottoms4.png")</f>
        <v/>
      </c>
      <c r="C33" s="5" t="s">
        <v>68</v>
      </c>
      <c r="D33" s="5" t="s">
        <v>36</v>
      </c>
      <c r="E33" s="6">
        <v>1320.0</v>
      </c>
      <c r="F33" s="6">
        <v>330.0</v>
      </c>
      <c r="G33" s="5" t="s">
        <v>68</v>
      </c>
      <c r="H33" s="5" t="s">
        <v>68</v>
      </c>
      <c r="I33" s="6" t="s">
        <v>40</v>
      </c>
      <c r="J33" s="5" t="s">
        <v>8585</v>
      </c>
      <c r="K33" s="5" t="s">
        <v>8586</v>
      </c>
      <c r="L33" s="6" t="s">
        <v>42</v>
      </c>
      <c r="M33" s="5" t="s">
        <v>612</v>
      </c>
      <c r="N33" s="5" t="s">
        <v>64</v>
      </c>
      <c r="O33" s="5" t="s">
        <v>12208</v>
      </c>
      <c r="P33" s="6">
        <v>9273.0</v>
      </c>
    </row>
    <row r="34" ht="56.25" customHeight="1">
      <c r="A34" s="5" t="s">
        <v>12209</v>
      </c>
      <c r="B34" s="6" t="str">
        <f>image("https://storage.googleapis.com/acdb/bottoms/BottomsTexSkirtLongWrap0.png")</f>
        <v/>
      </c>
      <c r="C34" s="5" t="s">
        <v>114</v>
      </c>
      <c r="D34" s="5" t="s">
        <v>36</v>
      </c>
      <c r="E34" s="6">
        <v>1040.0</v>
      </c>
      <c r="F34" s="6">
        <v>260.0</v>
      </c>
      <c r="G34" s="5" t="s">
        <v>114</v>
      </c>
      <c r="H34" s="5" t="s">
        <v>54</v>
      </c>
      <c r="I34" s="6" t="s">
        <v>40</v>
      </c>
      <c r="J34" s="5" t="s">
        <v>8585</v>
      </c>
      <c r="K34" s="5" t="s">
        <v>8586</v>
      </c>
      <c r="L34" s="6" t="s">
        <v>42</v>
      </c>
      <c r="M34" s="5" t="s">
        <v>995</v>
      </c>
      <c r="N34" s="5" t="s">
        <v>64</v>
      </c>
      <c r="O34" s="5" t="s">
        <v>12213</v>
      </c>
      <c r="P34" s="6">
        <v>4545.0</v>
      </c>
    </row>
    <row r="35" ht="56.25" customHeight="1">
      <c r="A35" s="5" t="s">
        <v>12209</v>
      </c>
      <c r="B35" s="6" t="str">
        <f>image("https://storage.googleapis.com/acdb/bottoms/BottomsTexSkirtLongWrap1.png")</f>
        <v/>
      </c>
      <c r="C35" s="5" t="s">
        <v>52</v>
      </c>
      <c r="D35" s="5" t="s">
        <v>36</v>
      </c>
      <c r="E35" s="6">
        <v>1040.0</v>
      </c>
      <c r="F35" s="6">
        <v>260.0</v>
      </c>
      <c r="G35" s="5" t="s">
        <v>52</v>
      </c>
      <c r="H35" s="5" t="s">
        <v>54</v>
      </c>
      <c r="I35" s="6" t="s">
        <v>40</v>
      </c>
      <c r="J35" s="5" t="s">
        <v>8585</v>
      </c>
      <c r="K35" s="5" t="s">
        <v>8586</v>
      </c>
      <c r="L35" s="6" t="s">
        <v>42</v>
      </c>
      <c r="M35" s="5" t="s">
        <v>995</v>
      </c>
      <c r="N35" s="5" t="s">
        <v>64</v>
      </c>
      <c r="O35" s="5" t="s">
        <v>12216</v>
      </c>
      <c r="P35" s="6">
        <v>8721.0</v>
      </c>
    </row>
    <row r="36" ht="56.25" customHeight="1">
      <c r="A36" s="5" t="s">
        <v>12209</v>
      </c>
      <c r="B36" s="6" t="str">
        <f>image("https://storage.googleapis.com/acdb/bottoms/BottomsTexSkirtLongWrap2.png")</f>
        <v/>
      </c>
      <c r="C36" s="5" t="s">
        <v>96</v>
      </c>
      <c r="D36" s="5" t="s">
        <v>36</v>
      </c>
      <c r="E36" s="6">
        <v>1040.0</v>
      </c>
      <c r="F36" s="6">
        <v>260.0</v>
      </c>
      <c r="G36" s="5" t="s">
        <v>96</v>
      </c>
      <c r="H36" s="5" t="s">
        <v>54</v>
      </c>
      <c r="I36" s="6" t="s">
        <v>40</v>
      </c>
      <c r="J36" s="5" t="s">
        <v>8585</v>
      </c>
      <c r="K36" s="5" t="s">
        <v>8586</v>
      </c>
      <c r="L36" s="6" t="s">
        <v>42</v>
      </c>
      <c r="M36" s="5" t="s">
        <v>995</v>
      </c>
      <c r="N36" s="5" t="s">
        <v>64</v>
      </c>
      <c r="O36" s="5" t="s">
        <v>12219</v>
      </c>
      <c r="P36" s="6">
        <v>8722.0</v>
      </c>
    </row>
    <row r="37" ht="56.25" customHeight="1">
      <c r="A37" s="5" t="s">
        <v>12209</v>
      </c>
      <c r="B37" s="6" t="str">
        <f>image("https://storage.googleapis.com/acdb/bottoms/BottomsTexSkirtLongWrap3.png")</f>
        <v/>
      </c>
      <c r="C37" s="5" t="s">
        <v>68</v>
      </c>
      <c r="D37" s="5" t="s">
        <v>36</v>
      </c>
      <c r="E37" s="6">
        <v>1040.0</v>
      </c>
      <c r="F37" s="6">
        <v>260.0</v>
      </c>
      <c r="G37" s="5" t="s">
        <v>68</v>
      </c>
      <c r="H37" s="5" t="s">
        <v>54</v>
      </c>
      <c r="I37" s="6" t="s">
        <v>40</v>
      </c>
      <c r="J37" s="5" t="s">
        <v>8585</v>
      </c>
      <c r="K37" s="5" t="s">
        <v>8586</v>
      </c>
      <c r="L37" s="6" t="s">
        <v>42</v>
      </c>
      <c r="M37" s="5" t="s">
        <v>995</v>
      </c>
      <c r="N37" s="5" t="s">
        <v>64</v>
      </c>
      <c r="O37" s="5" t="s">
        <v>12223</v>
      </c>
      <c r="P37" s="6">
        <v>8723.0</v>
      </c>
    </row>
    <row r="38" ht="56.25" customHeight="1">
      <c r="A38" s="5" t="s">
        <v>12224</v>
      </c>
      <c r="B38" s="6" t="str">
        <f>image("https://storage.googleapis.com/acdb/bottoms/BottomsTexPantsHalfBoa0.png")</f>
        <v/>
      </c>
      <c r="C38" s="5" t="s">
        <v>106</v>
      </c>
      <c r="D38" s="5" t="s">
        <v>36</v>
      </c>
      <c r="E38" s="6">
        <v>1200.0</v>
      </c>
      <c r="F38" s="6">
        <v>300.0</v>
      </c>
      <c r="G38" s="5" t="s">
        <v>106</v>
      </c>
      <c r="H38" s="5" t="s">
        <v>54</v>
      </c>
      <c r="I38" s="6" t="s">
        <v>40</v>
      </c>
      <c r="J38" s="5" t="s">
        <v>8585</v>
      </c>
      <c r="K38" s="5" t="s">
        <v>8586</v>
      </c>
      <c r="L38" s="6" t="s">
        <v>42</v>
      </c>
      <c r="M38" s="5" t="s">
        <v>8746</v>
      </c>
      <c r="N38" s="5" t="s">
        <v>64</v>
      </c>
      <c r="O38" s="5" t="s">
        <v>12227</v>
      </c>
      <c r="P38" s="6">
        <v>5419.0</v>
      </c>
    </row>
    <row r="39" ht="56.25" customHeight="1">
      <c r="A39" s="5" t="s">
        <v>12224</v>
      </c>
      <c r="B39" s="6" t="str">
        <f>image("https://storage.googleapis.com/acdb/bottoms/BottomsTexPantsHalfBoa1.png")</f>
        <v/>
      </c>
      <c r="C39" s="5" t="s">
        <v>2222</v>
      </c>
      <c r="D39" s="5" t="s">
        <v>36</v>
      </c>
      <c r="E39" s="6">
        <v>1200.0</v>
      </c>
      <c r="F39" s="6">
        <v>300.0</v>
      </c>
      <c r="G39" s="5" t="s">
        <v>96</v>
      </c>
      <c r="H39" s="5" t="s">
        <v>54</v>
      </c>
      <c r="I39" s="6" t="s">
        <v>40</v>
      </c>
      <c r="J39" s="5" t="s">
        <v>8585</v>
      </c>
      <c r="K39" s="5" t="s">
        <v>8586</v>
      </c>
      <c r="L39" s="6" t="s">
        <v>42</v>
      </c>
      <c r="M39" s="5" t="s">
        <v>8746</v>
      </c>
      <c r="N39" s="5" t="s">
        <v>64</v>
      </c>
      <c r="O39" s="5" t="s">
        <v>12231</v>
      </c>
      <c r="P39" s="6">
        <v>9114.0</v>
      </c>
    </row>
    <row r="40" ht="56.25" customHeight="1">
      <c r="A40" s="5" t="s">
        <v>12224</v>
      </c>
      <c r="B40" s="6" t="str">
        <f>image("https://storage.googleapis.com/acdb/bottoms/BottomsTexPantsHalfBoa2.png")</f>
        <v/>
      </c>
      <c r="C40" s="5" t="s">
        <v>38</v>
      </c>
      <c r="D40" s="5" t="s">
        <v>36</v>
      </c>
      <c r="E40" s="6">
        <v>1200.0</v>
      </c>
      <c r="F40" s="6">
        <v>300.0</v>
      </c>
      <c r="G40" s="5" t="s">
        <v>38</v>
      </c>
      <c r="H40" s="5" t="s">
        <v>54</v>
      </c>
      <c r="I40" s="6" t="s">
        <v>40</v>
      </c>
      <c r="J40" s="5" t="s">
        <v>8585</v>
      </c>
      <c r="K40" s="5" t="s">
        <v>8586</v>
      </c>
      <c r="L40" s="6" t="s">
        <v>42</v>
      </c>
      <c r="M40" s="5" t="s">
        <v>8746</v>
      </c>
      <c r="N40" s="5" t="s">
        <v>64</v>
      </c>
      <c r="O40" s="5" t="s">
        <v>12233</v>
      </c>
      <c r="P40" s="6">
        <v>9115.0</v>
      </c>
    </row>
    <row r="41" ht="56.25" customHeight="1">
      <c r="A41" s="5" t="s">
        <v>12224</v>
      </c>
      <c r="B41" s="6" t="str">
        <f>image("https://storage.googleapis.com/acdb/bottoms/BottomsTexPantsHalfBoa3.png")</f>
        <v/>
      </c>
      <c r="C41" s="5" t="s">
        <v>68</v>
      </c>
      <c r="D41" s="5" t="s">
        <v>36</v>
      </c>
      <c r="E41" s="6">
        <v>1200.0</v>
      </c>
      <c r="F41" s="6">
        <v>300.0</v>
      </c>
      <c r="G41" s="5" t="s">
        <v>68</v>
      </c>
      <c r="H41" s="5" t="s">
        <v>54</v>
      </c>
      <c r="I41" s="6" t="s">
        <v>40</v>
      </c>
      <c r="J41" s="5" t="s">
        <v>8585</v>
      </c>
      <c r="K41" s="5" t="s">
        <v>8586</v>
      </c>
      <c r="L41" s="6" t="s">
        <v>42</v>
      </c>
      <c r="M41" s="5" t="s">
        <v>8746</v>
      </c>
      <c r="N41" s="5" t="s">
        <v>64</v>
      </c>
      <c r="O41" s="5" t="s">
        <v>12237</v>
      </c>
      <c r="P41" s="6">
        <v>9116.0</v>
      </c>
    </row>
    <row r="42" ht="56.25" customHeight="1">
      <c r="A42" s="5" t="s">
        <v>12224</v>
      </c>
      <c r="B42" s="6" t="str">
        <f>image("https://storage.googleapis.com/acdb/bottoms/BottomsTexPantsHalfBoa4.png")</f>
        <v/>
      </c>
      <c r="C42" s="5" t="s">
        <v>52</v>
      </c>
      <c r="D42" s="5" t="s">
        <v>36</v>
      </c>
      <c r="E42" s="6">
        <v>1200.0</v>
      </c>
      <c r="F42" s="6">
        <v>300.0</v>
      </c>
      <c r="G42" s="5" t="s">
        <v>52</v>
      </c>
      <c r="H42" s="5" t="s">
        <v>54</v>
      </c>
      <c r="I42" s="6" t="s">
        <v>40</v>
      </c>
      <c r="J42" s="5" t="s">
        <v>8585</v>
      </c>
      <c r="K42" s="5" t="s">
        <v>8586</v>
      </c>
      <c r="L42" s="6" t="s">
        <v>42</v>
      </c>
      <c r="M42" s="5" t="s">
        <v>8746</v>
      </c>
      <c r="N42" s="5" t="s">
        <v>64</v>
      </c>
      <c r="O42" s="5" t="s">
        <v>12239</v>
      </c>
      <c r="P42" s="6">
        <v>9117.0</v>
      </c>
    </row>
    <row r="43" ht="56.25" customHeight="1">
      <c r="A43" s="5" t="s">
        <v>12224</v>
      </c>
      <c r="B43" s="6" t="str">
        <f>image("https://storage.googleapis.com/acdb/bottoms/BottomsTexPantsHalfBoa5.png")</f>
        <v/>
      </c>
      <c r="C43" s="5" t="s">
        <v>142</v>
      </c>
      <c r="D43" s="5" t="s">
        <v>36</v>
      </c>
      <c r="E43" s="6">
        <v>1200.0</v>
      </c>
      <c r="F43" s="6">
        <v>300.0</v>
      </c>
      <c r="G43" s="5" t="s">
        <v>142</v>
      </c>
      <c r="H43" s="5" t="s">
        <v>54</v>
      </c>
      <c r="I43" s="6" t="s">
        <v>40</v>
      </c>
      <c r="J43" s="5" t="s">
        <v>8585</v>
      </c>
      <c r="K43" s="5" t="s">
        <v>8586</v>
      </c>
      <c r="L43" s="6" t="s">
        <v>42</v>
      </c>
      <c r="M43" s="5" t="s">
        <v>8746</v>
      </c>
      <c r="N43" s="5" t="s">
        <v>64</v>
      </c>
      <c r="O43" s="5" t="s">
        <v>12243</v>
      </c>
      <c r="P43" s="6">
        <v>9118.0</v>
      </c>
    </row>
    <row r="44" ht="56.25" customHeight="1">
      <c r="A44" s="5" t="s">
        <v>12224</v>
      </c>
      <c r="B44" s="6" t="str">
        <f>image("https://storage.googleapis.com/acdb/bottoms/BottomsTexPantsHalfBoa6.png")</f>
        <v/>
      </c>
      <c r="C44" s="5" t="s">
        <v>10689</v>
      </c>
      <c r="D44" s="5" t="s">
        <v>36</v>
      </c>
      <c r="E44" s="6">
        <v>1200.0</v>
      </c>
      <c r="F44" s="6">
        <v>300.0</v>
      </c>
      <c r="G44" s="5" t="s">
        <v>83</v>
      </c>
      <c r="H44" s="5" t="s">
        <v>54</v>
      </c>
      <c r="I44" s="6" t="s">
        <v>40</v>
      </c>
      <c r="J44" s="5" t="s">
        <v>8585</v>
      </c>
      <c r="K44" s="5" t="s">
        <v>8586</v>
      </c>
      <c r="L44" s="6" t="s">
        <v>42</v>
      </c>
      <c r="M44" s="5" t="s">
        <v>8746</v>
      </c>
      <c r="N44" s="5" t="s">
        <v>64</v>
      </c>
      <c r="O44" s="5" t="s">
        <v>12246</v>
      </c>
      <c r="P44" s="6">
        <v>9119.0</v>
      </c>
    </row>
    <row r="45" ht="56.25" customHeight="1">
      <c r="A45" s="5" t="s">
        <v>12224</v>
      </c>
      <c r="B45" s="6" t="str">
        <f>image("https://storage.googleapis.com/acdb/bottoms/BottomsTexPantsHalfBoa7.png")</f>
        <v/>
      </c>
      <c r="C45" s="5" t="s">
        <v>54</v>
      </c>
      <c r="D45" s="5" t="s">
        <v>36</v>
      </c>
      <c r="E45" s="6">
        <v>1200.0</v>
      </c>
      <c r="F45" s="6">
        <v>300.0</v>
      </c>
      <c r="G45" s="5" t="s">
        <v>54</v>
      </c>
      <c r="H45" s="5" t="s">
        <v>54</v>
      </c>
      <c r="I45" s="6" t="s">
        <v>40</v>
      </c>
      <c r="J45" s="5" t="s">
        <v>8585</v>
      </c>
      <c r="K45" s="5" t="s">
        <v>8586</v>
      </c>
      <c r="L45" s="6" t="s">
        <v>42</v>
      </c>
      <c r="M45" s="5" t="s">
        <v>8746</v>
      </c>
      <c r="N45" s="5" t="s">
        <v>64</v>
      </c>
      <c r="O45" s="5" t="s">
        <v>12249</v>
      </c>
      <c r="P45" s="6">
        <v>9120.0</v>
      </c>
    </row>
    <row r="46" ht="56.25" customHeight="1">
      <c r="A46" s="5" t="s">
        <v>12250</v>
      </c>
      <c r="B46" s="6" t="str">
        <f>image("https://storage.googleapis.com/acdb/bottoms/BottomsTexSkirtBoxBoa0.png")</f>
        <v/>
      </c>
      <c r="C46" s="5" t="s">
        <v>96</v>
      </c>
      <c r="D46" s="5" t="s">
        <v>36</v>
      </c>
      <c r="E46" s="6">
        <v>1300.0</v>
      </c>
      <c r="F46" s="6">
        <v>325.0</v>
      </c>
      <c r="G46" s="5" t="s">
        <v>96</v>
      </c>
      <c r="H46" s="5" t="s">
        <v>54</v>
      </c>
      <c r="I46" s="6" t="s">
        <v>40</v>
      </c>
      <c r="J46" s="5" t="s">
        <v>8585</v>
      </c>
      <c r="K46" s="5" t="s">
        <v>8586</v>
      </c>
      <c r="L46" s="6" t="s">
        <v>42</v>
      </c>
      <c r="M46" s="5" t="s">
        <v>8746</v>
      </c>
      <c r="N46" s="5" t="s">
        <v>64</v>
      </c>
      <c r="O46" s="5" t="s">
        <v>12252</v>
      </c>
      <c r="P46" s="6">
        <v>5418.0</v>
      </c>
    </row>
    <row r="47" ht="56.25" customHeight="1">
      <c r="A47" s="5" t="s">
        <v>12250</v>
      </c>
      <c r="B47" s="6" t="str">
        <f>image("https://storage.googleapis.com/acdb/bottoms/BottomsTexSkirtBoxBoa1.png")</f>
        <v/>
      </c>
      <c r="C47" s="5" t="s">
        <v>68</v>
      </c>
      <c r="D47" s="5" t="s">
        <v>36</v>
      </c>
      <c r="E47" s="6">
        <v>1300.0</v>
      </c>
      <c r="F47" s="6">
        <v>325.0</v>
      </c>
      <c r="G47" s="5" t="s">
        <v>68</v>
      </c>
      <c r="H47" s="5" t="s">
        <v>54</v>
      </c>
      <c r="I47" s="6" t="s">
        <v>40</v>
      </c>
      <c r="J47" s="5" t="s">
        <v>8585</v>
      </c>
      <c r="K47" s="5" t="s">
        <v>8586</v>
      </c>
      <c r="L47" s="6" t="s">
        <v>42</v>
      </c>
      <c r="M47" s="5" t="s">
        <v>8746</v>
      </c>
      <c r="N47" s="5" t="s">
        <v>64</v>
      </c>
      <c r="O47" s="5" t="s">
        <v>12255</v>
      </c>
      <c r="P47" s="6">
        <v>9107.0</v>
      </c>
    </row>
    <row r="48" ht="56.25" customHeight="1">
      <c r="A48" s="5" t="s">
        <v>12250</v>
      </c>
      <c r="B48" s="6" t="str">
        <f>image("https://storage.googleapis.com/acdb/bottoms/BottomsTexSkirtBoxBoa2.png")</f>
        <v/>
      </c>
      <c r="C48" s="5" t="s">
        <v>106</v>
      </c>
      <c r="D48" s="5" t="s">
        <v>36</v>
      </c>
      <c r="E48" s="6">
        <v>1300.0</v>
      </c>
      <c r="F48" s="6">
        <v>325.0</v>
      </c>
      <c r="G48" s="5" t="s">
        <v>106</v>
      </c>
      <c r="H48" s="5" t="s">
        <v>54</v>
      </c>
      <c r="I48" s="6" t="s">
        <v>40</v>
      </c>
      <c r="J48" s="5" t="s">
        <v>8585</v>
      </c>
      <c r="K48" s="5" t="s">
        <v>8586</v>
      </c>
      <c r="L48" s="6" t="s">
        <v>42</v>
      </c>
      <c r="M48" s="5" t="s">
        <v>8746</v>
      </c>
      <c r="N48" s="5" t="s">
        <v>64</v>
      </c>
      <c r="O48" s="5" t="s">
        <v>12258</v>
      </c>
      <c r="P48" s="6">
        <v>9108.0</v>
      </c>
    </row>
    <row r="49" ht="56.25" customHeight="1">
      <c r="A49" s="5" t="s">
        <v>12250</v>
      </c>
      <c r="B49" s="6" t="str">
        <f>image("https://storage.googleapis.com/acdb/bottoms/BottomsTexSkirtBoxBoa3.png")</f>
        <v/>
      </c>
      <c r="C49" s="5" t="s">
        <v>52</v>
      </c>
      <c r="D49" s="5" t="s">
        <v>36</v>
      </c>
      <c r="E49" s="6">
        <v>1300.0</v>
      </c>
      <c r="F49" s="6">
        <v>325.0</v>
      </c>
      <c r="G49" s="5" t="s">
        <v>52</v>
      </c>
      <c r="H49" s="5" t="s">
        <v>54</v>
      </c>
      <c r="I49" s="6" t="s">
        <v>40</v>
      </c>
      <c r="J49" s="5" t="s">
        <v>8585</v>
      </c>
      <c r="K49" s="5" t="s">
        <v>8586</v>
      </c>
      <c r="L49" s="6" t="s">
        <v>42</v>
      </c>
      <c r="M49" s="5" t="s">
        <v>8746</v>
      </c>
      <c r="N49" s="5" t="s">
        <v>64</v>
      </c>
      <c r="O49" s="5" t="s">
        <v>12263</v>
      </c>
      <c r="P49" s="6">
        <v>9109.0</v>
      </c>
    </row>
    <row r="50" ht="56.25" customHeight="1">
      <c r="A50" s="5" t="s">
        <v>12250</v>
      </c>
      <c r="B50" s="6" t="str">
        <f>image("https://storage.googleapis.com/acdb/bottoms/BottomsTexSkirtBoxBoa4.png")</f>
        <v/>
      </c>
      <c r="C50" s="5" t="s">
        <v>114</v>
      </c>
      <c r="D50" s="5" t="s">
        <v>36</v>
      </c>
      <c r="E50" s="6">
        <v>1300.0</v>
      </c>
      <c r="F50" s="6">
        <v>325.0</v>
      </c>
      <c r="G50" s="5" t="s">
        <v>114</v>
      </c>
      <c r="H50" s="5" t="s">
        <v>54</v>
      </c>
      <c r="I50" s="6" t="s">
        <v>40</v>
      </c>
      <c r="J50" s="5" t="s">
        <v>8585</v>
      </c>
      <c r="K50" s="5" t="s">
        <v>8586</v>
      </c>
      <c r="L50" s="6" t="s">
        <v>42</v>
      </c>
      <c r="M50" s="5" t="s">
        <v>8746</v>
      </c>
      <c r="N50" s="5" t="s">
        <v>64</v>
      </c>
      <c r="O50" s="5" t="s">
        <v>12265</v>
      </c>
      <c r="P50" s="6">
        <v>9110.0</v>
      </c>
    </row>
    <row r="51" ht="56.25" customHeight="1">
      <c r="A51" s="5" t="s">
        <v>12250</v>
      </c>
      <c r="B51" s="6" t="str">
        <f>image("https://storage.googleapis.com/acdb/bottoms/BottomsTexSkirtBoxBoa5.png")</f>
        <v/>
      </c>
      <c r="C51" s="5" t="s">
        <v>83</v>
      </c>
      <c r="D51" s="5" t="s">
        <v>36</v>
      </c>
      <c r="E51" s="6">
        <v>1300.0</v>
      </c>
      <c r="F51" s="6">
        <v>325.0</v>
      </c>
      <c r="G51" s="5" t="s">
        <v>83</v>
      </c>
      <c r="H51" s="5" t="s">
        <v>54</v>
      </c>
      <c r="I51" s="6" t="s">
        <v>40</v>
      </c>
      <c r="J51" s="5" t="s">
        <v>8585</v>
      </c>
      <c r="K51" s="5" t="s">
        <v>8586</v>
      </c>
      <c r="L51" s="6" t="s">
        <v>42</v>
      </c>
      <c r="M51" s="5" t="s">
        <v>8746</v>
      </c>
      <c r="N51" s="5" t="s">
        <v>64</v>
      </c>
      <c r="O51" s="5" t="s">
        <v>12269</v>
      </c>
      <c r="P51" s="6">
        <v>9111.0</v>
      </c>
    </row>
    <row r="52" ht="56.25" customHeight="1">
      <c r="A52" s="5" t="s">
        <v>12250</v>
      </c>
      <c r="B52" s="6" t="str">
        <f>image("https://storage.googleapis.com/acdb/bottoms/BottomsTexSkirtBoxBoa6.png")</f>
        <v/>
      </c>
      <c r="C52" s="5" t="s">
        <v>38</v>
      </c>
      <c r="D52" s="5" t="s">
        <v>36</v>
      </c>
      <c r="E52" s="6">
        <v>1300.0</v>
      </c>
      <c r="F52" s="6">
        <v>325.0</v>
      </c>
      <c r="G52" s="5" t="s">
        <v>38</v>
      </c>
      <c r="H52" s="5" t="s">
        <v>54</v>
      </c>
      <c r="I52" s="6" t="s">
        <v>40</v>
      </c>
      <c r="J52" s="5" t="s">
        <v>8585</v>
      </c>
      <c r="K52" s="5" t="s">
        <v>8586</v>
      </c>
      <c r="L52" s="6" t="s">
        <v>42</v>
      </c>
      <c r="M52" s="5" t="s">
        <v>8746</v>
      </c>
      <c r="N52" s="5" t="s">
        <v>64</v>
      </c>
      <c r="O52" s="5" t="s">
        <v>12271</v>
      </c>
      <c r="P52" s="6">
        <v>9112.0</v>
      </c>
    </row>
    <row r="53" ht="56.25" customHeight="1">
      <c r="A53" s="5" t="s">
        <v>12250</v>
      </c>
      <c r="B53" s="6" t="str">
        <f>image("https://storage.googleapis.com/acdb/bottoms/BottomsTexSkirtBoxBoa7.png")</f>
        <v/>
      </c>
      <c r="C53" s="5" t="s">
        <v>39</v>
      </c>
      <c r="D53" s="5" t="s">
        <v>36</v>
      </c>
      <c r="E53" s="6">
        <v>1300.0</v>
      </c>
      <c r="F53" s="6">
        <v>325.0</v>
      </c>
      <c r="G53" s="5" t="s">
        <v>39</v>
      </c>
      <c r="H53" s="5" t="s">
        <v>54</v>
      </c>
      <c r="I53" s="6" t="s">
        <v>40</v>
      </c>
      <c r="J53" s="5" t="s">
        <v>8585</v>
      </c>
      <c r="K53" s="5" t="s">
        <v>8586</v>
      </c>
      <c r="L53" s="6" t="s">
        <v>42</v>
      </c>
      <c r="M53" s="5" t="s">
        <v>8746</v>
      </c>
      <c r="N53" s="5" t="s">
        <v>64</v>
      </c>
      <c r="O53" s="5" t="s">
        <v>12275</v>
      </c>
      <c r="P53" s="6">
        <v>9113.0</v>
      </c>
    </row>
    <row r="54" ht="56.25" customHeight="1">
      <c r="A54" s="5" t="s">
        <v>12276</v>
      </c>
      <c r="B54" s="6" t="str">
        <f>image("https://storage.googleapis.com/acdb/bottoms/BottomsTexSkirtLongMaone0.png")</f>
        <v/>
      </c>
      <c r="C54" s="5" t="s">
        <v>2222</v>
      </c>
      <c r="D54" s="5" t="s">
        <v>36</v>
      </c>
      <c r="E54" s="6">
        <v>1320.0</v>
      </c>
      <c r="F54" s="6">
        <v>330.0</v>
      </c>
      <c r="G54" s="5" t="s">
        <v>96</v>
      </c>
      <c r="H54" s="5" t="s">
        <v>96</v>
      </c>
      <c r="I54" s="6" t="s">
        <v>40</v>
      </c>
      <c r="J54" s="5" t="s">
        <v>8585</v>
      </c>
      <c r="K54" s="5" t="s">
        <v>8632</v>
      </c>
      <c r="L54" s="6" t="s">
        <v>42</v>
      </c>
      <c r="M54" s="5" t="s">
        <v>1952</v>
      </c>
      <c r="N54" s="5" t="s">
        <v>64</v>
      </c>
      <c r="O54" s="5" t="s">
        <v>12278</v>
      </c>
      <c r="P54" s="6">
        <v>5722.0</v>
      </c>
    </row>
    <row r="55" ht="56.25" customHeight="1">
      <c r="A55" s="5" t="s">
        <v>12276</v>
      </c>
      <c r="B55" s="6" t="str">
        <f>image("https://storage.googleapis.com/acdb/bottoms/BottomsTexSkirtLongMaone1.png")</f>
        <v/>
      </c>
      <c r="C55" s="5" t="s">
        <v>54</v>
      </c>
      <c r="D55" s="5" t="s">
        <v>36</v>
      </c>
      <c r="E55" s="6">
        <v>1320.0</v>
      </c>
      <c r="F55" s="6">
        <v>330.0</v>
      </c>
      <c r="G55" s="5" t="s">
        <v>54</v>
      </c>
      <c r="H55" s="5" t="s">
        <v>54</v>
      </c>
      <c r="I55" s="6" t="s">
        <v>40</v>
      </c>
      <c r="J55" s="5" t="s">
        <v>8585</v>
      </c>
      <c r="K55" s="5" t="s">
        <v>8632</v>
      </c>
      <c r="L55" s="6" t="s">
        <v>42</v>
      </c>
      <c r="M55" s="5" t="s">
        <v>1952</v>
      </c>
      <c r="N55" s="5" t="s">
        <v>64</v>
      </c>
      <c r="O55" s="5" t="s">
        <v>12282</v>
      </c>
      <c r="P55" s="6">
        <v>11663.0</v>
      </c>
    </row>
    <row r="56" ht="56.25" customHeight="1">
      <c r="A56" s="5" t="s">
        <v>12276</v>
      </c>
      <c r="B56" s="6" t="str">
        <f>image("https://storage.googleapis.com/acdb/bottoms/BottomsTexSkirtLongMaone2.png")</f>
        <v/>
      </c>
      <c r="C56" s="5" t="s">
        <v>68</v>
      </c>
      <c r="D56" s="5" t="s">
        <v>36</v>
      </c>
      <c r="E56" s="6">
        <v>1320.0</v>
      </c>
      <c r="F56" s="6">
        <v>330.0</v>
      </c>
      <c r="G56" s="5" t="s">
        <v>68</v>
      </c>
      <c r="H56" s="5" t="s">
        <v>68</v>
      </c>
      <c r="I56" s="6" t="s">
        <v>40</v>
      </c>
      <c r="J56" s="5" t="s">
        <v>8585</v>
      </c>
      <c r="K56" s="5" t="s">
        <v>8632</v>
      </c>
      <c r="L56" s="6" t="s">
        <v>42</v>
      </c>
      <c r="M56" s="5" t="s">
        <v>1952</v>
      </c>
      <c r="N56" s="5" t="s">
        <v>64</v>
      </c>
      <c r="O56" s="5" t="s">
        <v>12285</v>
      </c>
      <c r="P56" s="6">
        <v>11664.0</v>
      </c>
    </row>
    <row r="57" ht="56.25" customHeight="1">
      <c r="A57" s="5" t="s">
        <v>12276</v>
      </c>
      <c r="B57" s="6" t="str">
        <f>image("https://storage.googleapis.com/acdb/bottoms/BottomsTexSkirtLongMaone3.png")</f>
        <v/>
      </c>
      <c r="C57" s="5" t="s">
        <v>39</v>
      </c>
      <c r="D57" s="5" t="s">
        <v>36</v>
      </c>
      <c r="E57" s="6">
        <v>1320.0</v>
      </c>
      <c r="F57" s="6">
        <v>330.0</v>
      </c>
      <c r="G57" s="5" t="s">
        <v>39</v>
      </c>
      <c r="H57" s="5" t="s">
        <v>39</v>
      </c>
      <c r="I57" s="6" t="s">
        <v>40</v>
      </c>
      <c r="J57" s="5" t="s">
        <v>8585</v>
      </c>
      <c r="K57" s="5" t="s">
        <v>8632</v>
      </c>
      <c r="L57" s="6" t="s">
        <v>42</v>
      </c>
      <c r="M57" s="5" t="s">
        <v>1952</v>
      </c>
      <c r="N57" s="5" t="s">
        <v>64</v>
      </c>
      <c r="O57" s="5" t="s">
        <v>12288</v>
      </c>
      <c r="P57" s="6">
        <v>11665.0</v>
      </c>
    </row>
    <row r="58" ht="56.25" customHeight="1">
      <c r="A58" s="5" t="s">
        <v>12289</v>
      </c>
      <c r="B58" s="6" t="str">
        <f>image("https://storage.googleapis.com/acdb/bottoms/BottomsTexPantsHalfBotanical0.png")</f>
        <v/>
      </c>
      <c r="C58" s="5" t="s">
        <v>54</v>
      </c>
      <c r="D58" s="5" t="s">
        <v>36</v>
      </c>
      <c r="E58" s="6">
        <v>700.0</v>
      </c>
      <c r="F58" s="6">
        <v>175.0</v>
      </c>
      <c r="G58" s="5" t="s">
        <v>54</v>
      </c>
      <c r="H58" s="5" t="s">
        <v>52</v>
      </c>
      <c r="I58" s="6" t="s">
        <v>40</v>
      </c>
      <c r="J58" s="5" t="s">
        <v>8585</v>
      </c>
      <c r="K58" s="5" t="s">
        <v>8632</v>
      </c>
      <c r="L58" s="6" t="s">
        <v>42</v>
      </c>
      <c r="M58" s="5" t="s">
        <v>1952</v>
      </c>
      <c r="N58" s="5" t="s">
        <v>64</v>
      </c>
      <c r="O58" s="5" t="s">
        <v>12291</v>
      </c>
      <c r="P58" s="6">
        <v>5854.0</v>
      </c>
    </row>
    <row r="59" ht="56.25" customHeight="1">
      <c r="A59" s="5" t="s">
        <v>12289</v>
      </c>
      <c r="B59" s="6" t="str">
        <f>image("https://storage.googleapis.com/acdb/bottoms/BottomsTexPantsHalfBotanical1.png")</f>
        <v/>
      </c>
      <c r="C59" s="5" t="s">
        <v>57</v>
      </c>
      <c r="D59" s="5" t="s">
        <v>36</v>
      </c>
      <c r="E59" s="6">
        <v>700.0</v>
      </c>
      <c r="F59" s="6">
        <v>175.0</v>
      </c>
      <c r="G59" s="5" t="s">
        <v>57</v>
      </c>
      <c r="H59" s="5" t="s">
        <v>52</v>
      </c>
      <c r="I59" s="6" t="s">
        <v>40</v>
      </c>
      <c r="J59" s="5" t="s">
        <v>8585</v>
      </c>
      <c r="K59" s="5" t="s">
        <v>8632</v>
      </c>
      <c r="L59" s="6" t="s">
        <v>42</v>
      </c>
      <c r="M59" s="5" t="s">
        <v>1952</v>
      </c>
      <c r="N59" s="5" t="s">
        <v>64</v>
      </c>
      <c r="O59" s="5" t="s">
        <v>12295</v>
      </c>
      <c r="P59" s="6">
        <v>9193.0</v>
      </c>
    </row>
    <row r="60" ht="56.25" customHeight="1">
      <c r="A60" s="5" t="s">
        <v>12296</v>
      </c>
      <c r="B60" s="6" t="str">
        <f>image("https://storage.googleapis.com/acdb/bottoms/BottomsTexSkirtBoxBoxpleats0.png")</f>
        <v/>
      </c>
      <c r="C60" s="5" t="s">
        <v>83</v>
      </c>
      <c r="D60" s="5" t="s">
        <v>36</v>
      </c>
      <c r="E60" s="6">
        <v>1320.0</v>
      </c>
      <c r="F60" s="6">
        <v>330.0</v>
      </c>
      <c r="G60" s="5" t="s">
        <v>83</v>
      </c>
      <c r="H60" s="5" t="s">
        <v>83</v>
      </c>
      <c r="I60" s="6" t="s">
        <v>40</v>
      </c>
      <c r="J60" s="5" t="s">
        <v>8585</v>
      </c>
      <c r="K60" s="5" t="s">
        <v>8632</v>
      </c>
      <c r="L60" s="6" t="s">
        <v>42</v>
      </c>
      <c r="M60" s="5" t="s">
        <v>995</v>
      </c>
      <c r="N60" s="5" t="s">
        <v>64</v>
      </c>
      <c r="O60" s="5" t="s">
        <v>12298</v>
      </c>
      <c r="P60" s="6">
        <v>5703.0</v>
      </c>
    </row>
    <row r="61" ht="56.25" customHeight="1">
      <c r="A61" s="5" t="s">
        <v>12296</v>
      </c>
      <c r="B61" s="6" t="str">
        <f>image("https://storage.googleapis.com/acdb/bottoms/BottomsTexSkirtBoxBoxpleats1.png")</f>
        <v/>
      </c>
      <c r="C61" s="5" t="s">
        <v>38</v>
      </c>
      <c r="D61" s="5" t="s">
        <v>36</v>
      </c>
      <c r="E61" s="6">
        <v>1320.0</v>
      </c>
      <c r="F61" s="6">
        <v>330.0</v>
      </c>
      <c r="G61" s="5" t="s">
        <v>38</v>
      </c>
      <c r="H61" s="5" t="s">
        <v>38</v>
      </c>
      <c r="I61" s="6" t="s">
        <v>40</v>
      </c>
      <c r="J61" s="5" t="s">
        <v>8585</v>
      </c>
      <c r="K61" s="5" t="s">
        <v>8632</v>
      </c>
      <c r="L61" s="6" t="s">
        <v>42</v>
      </c>
      <c r="M61" s="5" t="s">
        <v>995</v>
      </c>
      <c r="N61" s="5" t="s">
        <v>64</v>
      </c>
      <c r="O61" s="5" t="s">
        <v>12302</v>
      </c>
      <c r="P61" s="6">
        <v>11786.0</v>
      </c>
    </row>
    <row r="62" ht="56.25" customHeight="1">
      <c r="A62" s="5" t="s">
        <v>12296</v>
      </c>
      <c r="B62" s="6" t="str">
        <f>image("https://storage.googleapis.com/acdb/bottoms/BottomsTexSkirtBoxBoxpleats2.png")</f>
        <v/>
      </c>
      <c r="C62" s="5" t="s">
        <v>52</v>
      </c>
      <c r="D62" s="5" t="s">
        <v>36</v>
      </c>
      <c r="E62" s="6">
        <v>1320.0</v>
      </c>
      <c r="F62" s="6">
        <v>330.0</v>
      </c>
      <c r="G62" s="5" t="s">
        <v>52</v>
      </c>
      <c r="H62" s="5" t="s">
        <v>52</v>
      </c>
      <c r="I62" s="6" t="s">
        <v>40</v>
      </c>
      <c r="J62" s="5" t="s">
        <v>8585</v>
      </c>
      <c r="K62" s="5" t="s">
        <v>8632</v>
      </c>
      <c r="L62" s="6" t="s">
        <v>42</v>
      </c>
      <c r="M62" s="5" t="s">
        <v>995</v>
      </c>
      <c r="N62" s="5" t="s">
        <v>64</v>
      </c>
      <c r="O62" s="5" t="s">
        <v>12307</v>
      </c>
      <c r="P62" s="6">
        <v>11787.0</v>
      </c>
    </row>
    <row r="63" ht="56.25" customHeight="1">
      <c r="A63" s="5" t="s">
        <v>12296</v>
      </c>
      <c r="B63" s="6" t="str">
        <f>image("https://storage.googleapis.com/acdb/bottoms/BottomsTexSkirtBoxBoxpleats3.png")</f>
        <v/>
      </c>
      <c r="C63" s="5" t="s">
        <v>96</v>
      </c>
      <c r="D63" s="5" t="s">
        <v>36</v>
      </c>
      <c r="E63" s="6">
        <v>1320.0</v>
      </c>
      <c r="F63" s="6">
        <v>330.0</v>
      </c>
      <c r="G63" s="5" t="s">
        <v>96</v>
      </c>
      <c r="H63" s="5" t="s">
        <v>96</v>
      </c>
      <c r="I63" s="6" t="s">
        <v>40</v>
      </c>
      <c r="J63" s="5" t="s">
        <v>8585</v>
      </c>
      <c r="K63" s="5" t="s">
        <v>8632</v>
      </c>
      <c r="L63" s="6" t="s">
        <v>42</v>
      </c>
      <c r="M63" s="5" t="s">
        <v>995</v>
      </c>
      <c r="N63" s="5" t="s">
        <v>64</v>
      </c>
      <c r="O63" s="5" t="s">
        <v>12308</v>
      </c>
      <c r="P63" s="6">
        <v>11788.0</v>
      </c>
    </row>
    <row r="64" ht="56.25" customHeight="1">
      <c r="A64" s="5" t="s">
        <v>12309</v>
      </c>
      <c r="B64" s="6" t="str">
        <f>image("https://storage.googleapis.com/acdb/bottoms/BottomsTexSkirtLongLace0.png")</f>
        <v/>
      </c>
      <c r="C64" s="5" t="s">
        <v>114</v>
      </c>
      <c r="D64" s="5" t="s">
        <v>36</v>
      </c>
      <c r="E64" s="6">
        <v>1200.0</v>
      </c>
      <c r="F64" s="6">
        <v>300.0</v>
      </c>
      <c r="G64" s="5" t="s">
        <v>114</v>
      </c>
      <c r="H64" s="5" t="s">
        <v>114</v>
      </c>
      <c r="I64" s="6" t="s">
        <v>40</v>
      </c>
      <c r="J64" s="5" t="s">
        <v>8585</v>
      </c>
      <c r="K64" s="5" t="s">
        <v>8632</v>
      </c>
      <c r="L64" s="6" t="s">
        <v>42</v>
      </c>
      <c r="M64" s="5" t="s">
        <v>995</v>
      </c>
      <c r="N64" s="5" t="s">
        <v>64</v>
      </c>
      <c r="O64" s="5" t="s">
        <v>12312</v>
      </c>
      <c r="P64" s="6">
        <v>5421.0</v>
      </c>
    </row>
    <row r="65" ht="56.25" customHeight="1">
      <c r="A65" s="5" t="s">
        <v>12309</v>
      </c>
      <c r="B65" s="6" t="str">
        <f>image("https://storage.googleapis.com/acdb/bottoms/BottomsTexSkirtLongLace1.png")</f>
        <v/>
      </c>
      <c r="C65" s="5" t="s">
        <v>57</v>
      </c>
      <c r="D65" s="5" t="s">
        <v>36</v>
      </c>
      <c r="E65" s="6">
        <v>1200.0</v>
      </c>
      <c r="F65" s="6">
        <v>300.0</v>
      </c>
      <c r="G65" s="5" t="s">
        <v>57</v>
      </c>
      <c r="H65" s="5" t="s">
        <v>57</v>
      </c>
      <c r="I65" s="6" t="s">
        <v>40</v>
      </c>
      <c r="J65" s="5" t="s">
        <v>8585</v>
      </c>
      <c r="K65" s="5" t="s">
        <v>8632</v>
      </c>
      <c r="L65" s="6" t="s">
        <v>42</v>
      </c>
      <c r="M65" s="5" t="s">
        <v>995</v>
      </c>
      <c r="N65" s="5" t="s">
        <v>64</v>
      </c>
      <c r="O65" s="5" t="s">
        <v>12315</v>
      </c>
      <c r="P65" s="6">
        <v>8727.0</v>
      </c>
    </row>
    <row r="66" ht="56.25" customHeight="1">
      <c r="A66" s="5" t="s">
        <v>12309</v>
      </c>
      <c r="B66" s="6" t="str">
        <f>image("https://storage.googleapis.com/acdb/bottoms/BottomsTexSkirtLongLace2.png")</f>
        <v/>
      </c>
      <c r="C66" s="5" t="s">
        <v>69</v>
      </c>
      <c r="D66" s="5" t="s">
        <v>36</v>
      </c>
      <c r="E66" s="6">
        <v>1200.0</v>
      </c>
      <c r="F66" s="6">
        <v>300.0</v>
      </c>
      <c r="G66" s="5" t="s">
        <v>69</v>
      </c>
      <c r="H66" s="5" t="s">
        <v>69</v>
      </c>
      <c r="I66" s="6" t="s">
        <v>40</v>
      </c>
      <c r="J66" s="5" t="s">
        <v>8585</v>
      </c>
      <c r="K66" s="5" t="s">
        <v>8632</v>
      </c>
      <c r="L66" s="6" t="s">
        <v>42</v>
      </c>
      <c r="M66" s="5" t="s">
        <v>995</v>
      </c>
      <c r="N66" s="5" t="s">
        <v>64</v>
      </c>
      <c r="O66" s="5" t="s">
        <v>12318</v>
      </c>
      <c r="P66" s="6">
        <v>8728.0</v>
      </c>
    </row>
    <row r="67" ht="56.25" customHeight="1">
      <c r="A67" s="5" t="s">
        <v>12309</v>
      </c>
      <c r="B67" s="6" t="str">
        <f>image("https://storage.googleapis.com/acdb/bottoms/BottomsTexSkirtLongLace3.png")</f>
        <v/>
      </c>
      <c r="C67" s="5" t="s">
        <v>96</v>
      </c>
      <c r="D67" s="5" t="s">
        <v>36</v>
      </c>
      <c r="E67" s="6">
        <v>1200.0</v>
      </c>
      <c r="F67" s="6">
        <v>300.0</v>
      </c>
      <c r="G67" s="5" t="s">
        <v>96</v>
      </c>
      <c r="H67" s="5" t="s">
        <v>96</v>
      </c>
      <c r="I67" s="6" t="s">
        <v>40</v>
      </c>
      <c r="J67" s="5" t="s">
        <v>8585</v>
      </c>
      <c r="K67" s="5" t="s">
        <v>8632</v>
      </c>
      <c r="L67" s="6" t="s">
        <v>42</v>
      </c>
      <c r="M67" s="5" t="s">
        <v>995</v>
      </c>
      <c r="N67" s="5" t="s">
        <v>64</v>
      </c>
      <c r="O67" s="5" t="s">
        <v>12319</v>
      </c>
      <c r="P67" s="6">
        <v>8729.0</v>
      </c>
    </row>
    <row r="68" ht="56.25" customHeight="1">
      <c r="A68" s="5" t="s">
        <v>12309</v>
      </c>
      <c r="B68" s="6" t="str">
        <f>image("https://storage.googleapis.com/acdb/bottoms/BottomsTexSkirtLongLace4.png")</f>
        <v/>
      </c>
      <c r="C68" s="5" t="s">
        <v>106</v>
      </c>
      <c r="D68" s="5" t="s">
        <v>36</v>
      </c>
      <c r="E68" s="6">
        <v>1200.0</v>
      </c>
      <c r="F68" s="6">
        <v>300.0</v>
      </c>
      <c r="G68" s="5" t="s">
        <v>106</v>
      </c>
      <c r="H68" s="5" t="s">
        <v>106</v>
      </c>
      <c r="I68" s="6" t="s">
        <v>40</v>
      </c>
      <c r="J68" s="5" t="s">
        <v>8585</v>
      </c>
      <c r="K68" s="5" t="s">
        <v>8632</v>
      </c>
      <c r="L68" s="6" t="s">
        <v>42</v>
      </c>
      <c r="M68" s="5" t="s">
        <v>995</v>
      </c>
      <c r="N68" s="5" t="s">
        <v>64</v>
      </c>
      <c r="O68" s="5" t="s">
        <v>12322</v>
      </c>
      <c r="P68" s="6">
        <v>8730.0</v>
      </c>
    </row>
    <row r="69" ht="56.25" customHeight="1">
      <c r="A69" s="5" t="s">
        <v>12323</v>
      </c>
      <c r="B69" s="6" t="str">
        <f>image("https://storage.googleapis.com/acdb/bottoms/BottomsTexSkirtLongWrapbicolor0.png")</f>
        <v/>
      </c>
      <c r="C69" s="5" t="s">
        <v>95</v>
      </c>
      <c r="D69" s="5" t="s">
        <v>36</v>
      </c>
      <c r="E69" s="6">
        <v>1820.0</v>
      </c>
      <c r="F69" s="6">
        <v>455.0</v>
      </c>
      <c r="G69" s="5" t="s">
        <v>95</v>
      </c>
      <c r="H69" s="5" t="s">
        <v>54</v>
      </c>
      <c r="I69" s="6" t="s">
        <v>40</v>
      </c>
      <c r="J69" s="5" t="s">
        <v>8585</v>
      </c>
      <c r="K69" s="5" t="s">
        <v>8586</v>
      </c>
      <c r="L69" s="6" t="s">
        <v>42</v>
      </c>
      <c r="M69" s="5" t="s">
        <v>1059</v>
      </c>
      <c r="N69" s="5" t="s">
        <v>64</v>
      </c>
      <c r="O69" s="5" t="s">
        <v>12327</v>
      </c>
      <c r="P69" s="6">
        <v>5816.0</v>
      </c>
    </row>
    <row r="70" ht="56.25" customHeight="1">
      <c r="A70" s="5" t="s">
        <v>12323</v>
      </c>
      <c r="B70" s="6" t="str">
        <f>image("https://storage.googleapis.com/acdb/bottoms/BottomsTexSkirtLongWrapbicolor1.png")</f>
        <v/>
      </c>
      <c r="C70" s="5" t="s">
        <v>68</v>
      </c>
      <c r="D70" s="5" t="s">
        <v>36</v>
      </c>
      <c r="E70" s="6">
        <v>1820.0</v>
      </c>
      <c r="F70" s="6">
        <v>455.0</v>
      </c>
      <c r="G70" s="5" t="s">
        <v>68</v>
      </c>
      <c r="H70" s="5" t="s">
        <v>54</v>
      </c>
      <c r="I70" s="6" t="s">
        <v>40</v>
      </c>
      <c r="J70" s="5" t="s">
        <v>8585</v>
      </c>
      <c r="K70" s="5" t="s">
        <v>8586</v>
      </c>
      <c r="L70" s="6" t="s">
        <v>42</v>
      </c>
      <c r="M70" s="5" t="s">
        <v>1059</v>
      </c>
      <c r="N70" s="5" t="s">
        <v>64</v>
      </c>
      <c r="O70" s="5" t="s">
        <v>12329</v>
      </c>
      <c r="P70" s="6">
        <v>8731.0</v>
      </c>
    </row>
    <row r="71" ht="56.25" customHeight="1">
      <c r="A71" s="5" t="s">
        <v>12323</v>
      </c>
      <c r="B71" s="6" t="str">
        <f>image("https://storage.googleapis.com/acdb/bottoms/BottomsTexSkirtLongWrapbicolor2.png")</f>
        <v/>
      </c>
      <c r="C71" s="5" t="s">
        <v>142</v>
      </c>
      <c r="D71" s="5" t="s">
        <v>36</v>
      </c>
      <c r="E71" s="6">
        <v>1820.0</v>
      </c>
      <c r="F71" s="6">
        <v>455.0</v>
      </c>
      <c r="G71" s="5" t="s">
        <v>142</v>
      </c>
      <c r="H71" s="5" t="s">
        <v>54</v>
      </c>
      <c r="I71" s="6" t="s">
        <v>40</v>
      </c>
      <c r="J71" s="5" t="s">
        <v>8585</v>
      </c>
      <c r="K71" s="5" t="s">
        <v>8586</v>
      </c>
      <c r="L71" s="6" t="s">
        <v>42</v>
      </c>
      <c r="M71" s="5" t="s">
        <v>1059</v>
      </c>
      <c r="N71" s="5" t="s">
        <v>64</v>
      </c>
      <c r="O71" s="5" t="s">
        <v>12333</v>
      </c>
      <c r="P71" s="6">
        <v>8732.0</v>
      </c>
    </row>
    <row r="72" ht="56.25" customHeight="1">
      <c r="A72" s="5" t="s">
        <v>12323</v>
      </c>
      <c r="B72" s="6" t="str">
        <f>image("https://storage.googleapis.com/acdb/bottoms/BottomsTexSkirtLongWrapbicolor3.png")</f>
        <v/>
      </c>
      <c r="C72" s="5" t="s">
        <v>69</v>
      </c>
      <c r="D72" s="5" t="s">
        <v>36</v>
      </c>
      <c r="E72" s="6">
        <v>1820.0</v>
      </c>
      <c r="F72" s="6">
        <v>455.0</v>
      </c>
      <c r="G72" s="5" t="s">
        <v>69</v>
      </c>
      <c r="H72" s="5" t="s">
        <v>54</v>
      </c>
      <c r="I72" s="6" t="s">
        <v>40</v>
      </c>
      <c r="J72" s="5" t="s">
        <v>8585</v>
      </c>
      <c r="K72" s="5" t="s">
        <v>8586</v>
      </c>
      <c r="L72" s="6" t="s">
        <v>42</v>
      </c>
      <c r="M72" s="5" t="s">
        <v>1059</v>
      </c>
      <c r="N72" s="5" t="s">
        <v>64</v>
      </c>
      <c r="O72" s="5" t="s">
        <v>12337</v>
      </c>
      <c r="P72" s="6">
        <v>8733.0</v>
      </c>
    </row>
    <row r="73" ht="56.25" customHeight="1">
      <c r="A73" s="5" t="s">
        <v>12323</v>
      </c>
      <c r="B73" s="6" t="str">
        <f>image("https://storage.googleapis.com/acdb/bottoms/BottomsTexSkirtLongWrapbicolor4.png")</f>
        <v/>
      </c>
      <c r="C73" s="5" t="s">
        <v>96</v>
      </c>
      <c r="D73" s="5" t="s">
        <v>36</v>
      </c>
      <c r="E73" s="6">
        <v>1820.0</v>
      </c>
      <c r="F73" s="6">
        <v>455.0</v>
      </c>
      <c r="G73" s="5" t="s">
        <v>96</v>
      </c>
      <c r="H73" s="5" t="s">
        <v>54</v>
      </c>
      <c r="I73" s="6" t="s">
        <v>40</v>
      </c>
      <c r="J73" s="5" t="s">
        <v>8585</v>
      </c>
      <c r="K73" s="5" t="s">
        <v>8586</v>
      </c>
      <c r="L73" s="6" t="s">
        <v>42</v>
      </c>
      <c r="M73" s="5" t="s">
        <v>1059</v>
      </c>
      <c r="N73" s="5" t="s">
        <v>64</v>
      </c>
      <c r="O73" s="5" t="s">
        <v>12341</v>
      </c>
      <c r="P73" s="6">
        <v>8734.0</v>
      </c>
    </row>
    <row r="74" ht="56.25" customHeight="1">
      <c r="A74" s="5" t="s">
        <v>12323</v>
      </c>
      <c r="B74" s="6" t="str">
        <f>image("https://storage.googleapis.com/acdb/bottoms/BottomsTexSkirtLongWrapbicolor5.png")</f>
        <v/>
      </c>
      <c r="C74" s="5" t="s">
        <v>106</v>
      </c>
      <c r="D74" s="5" t="s">
        <v>36</v>
      </c>
      <c r="E74" s="6">
        <v>1820.0</v>
      </c>
      <c r="F74" s="6">
        <v>455.0</v>
      </c>
      <c r="G74" s="5" t="s">
        <v>106</v>
      </c>
      <c r="H74" s="5" t="s">
        <v>54</v>
      </c>
      <c r="I74" s="6" t="s">
        <v>40</v>
      </c>
      <c r="J74" s="5" t="s">
        <v>8585</v>
      </c>
      <c r="K74" s="5" t="s">
        <v>8586</v>
      </c>
      <c r="L74" s="6" t="s">
        <v>42</v>
      </c>
      <c r="M74" s="5" t="s">
        <v>1059</v>
      </c>
      <c r="N74" s="5" t="s">
        <v>64</v>
      </c>
      <c r="O74" s="5" t="s">
        <v>12343</v>
      </c>
      <c r="P74" s="6">
        <v>8735.0</v>
      </c>
    </row>
    <row r="75" ht="56.25" customHeight="1">
      <c r="A75" s="5" t="s">
        <v>12344</v>
      </c>
      <c r="B75" s="6" t="str">
        <f>image("https://storage.googleapis.com/acdb/bottoms/BottomsTexPantsNormalCamouflage0.png")</f>
        <v/>
      </c>
      <c r="C75" s="5" t="s">
        <v>39</v>
      </c>
      <c r="D75" s="5" t="s">
        <v>36</v>
      </c>
      <c r="E75" s="6">
        <v>1300.0</v>
      </c>
      <c r="F75" s="6">
        <v>325.0</v>
      </c>
      <c r="G75" s="5" t="s">
        <v>39</v>
      </c>
      <c r="H75" s="5" t="s">
        <v>38</v>
      </c>
      <c r="I75" s="6" t="s">
        <v>40</v>
      </c>
      <c r="J75" s="5" t="s">
        <v>8585</v>
      </c>
      <c r="K75" s="5" t="s">
        <v>8632</v>
      </c>
      <c r="L75" s="6" t="s">
        <v>42</v>
      </c>
      <c r="M75" s="5" t="s">
        <v>1952</v>
      </c>
      <c r="N75" s="5" t="s">
        <v>64</v>
      </c>
      <c r="O75" s="5" t="s">
        <v>12348</v>
      </c>
      <c r="P75" s="6">
        <v>3342.0</v>
      </c>
    </row>
    <row r="76" ht="56.25" customHeight="1">
      <c r="A76" s="5" t="s">
        <v>12344</v>
      </c>
      <c r="B76" s="6" t="str">
        <f>image("https://storage.googleapis.com/acdb/bottoms/BottomsTexPantsNormalCamouflage1.png")</f>
        <v/>
      </c>
      <c r="C76" s="5" t="s">
        <v>2222</v>
      </c>
      <c r="D76" s="5" t="s">
        <v>36</v>
      </c>
      <c r="E76" s="6">
        <v>1300.0</v>
      </c>
      <c r="F76" s="6">
        <v>325.0</v>
      </c>
      <c r="G76" s="5" t="s">
        <v>96</v>
      </c>
      <c r="H76" s="5" t="s">
        <v>38</v>
      </c>
      <c r="I76" s="6" t="s">
        <v>40</v>
      </c>
      <c r="J76" s="5" t="s">
        <v>8585</v>
      </c>
      <c r="K76" s="5" t="s">
        <v>8632</v>
      </c>
      <c r="L76" s="6" t="s">
        <v>42</v>
      </c>
      <c r="M76" s="5" t="s">
        <v>1952</v>
      </c>
      <c r="N76" s="5" t="s">
        <v>64</v>
      </c>
      <c r="O76" s="5" t="s">
        <v>12351</v>
      </c>
      <c r="P76" s="6">
        <v>10185.0</v>
      </c>
    </row>
    <row r="77" ht="56.25" customHeight="1">
      <c r="A77" s="5" t="s">
        <v>12344</v>
      </c>
      <c r="B77" s="6" t="str">
        <f>image("https://storage.googleapis.com/acdb/bottoms/BottomsTexPantsNormalCamouflage2.png")</f>
        <v/>
      </c>
      <c r="C77" s="5" t="s">
        <v>69</v>
      </c>
      <c r="D77" s="5" t="s">
        <v>36</v>
      </c>
      <c r="E77" s="6">
        <v>1300.0</v>
      </c>
      <c r="F77" s="6">
        <v>325.0</v>
      </c>
      <c r="G77" s="5" t="s">
        <v>69</v>
      </c>
      <c r="H77" s="5" t="s">
        <v>39</v>
      </c>
      <c r="I77" s="6" t="s">
        <v>40</v>
      </c>
      <c r="J77" s="5" t="s">
        <v>8585</v>
      </c>
      <c r="K77" s="5" t="s">
        <v>8632</v>
      </c>
      <c r="L77" s="6" t="s">
        <v>42</v>
      </c>
      <c r="M77" s="5" t="s">
        <v>1952</v>
      </c>
      <c r="N77" s="5" t="s">
        <v>64</v>
      </c>
      <c r="O77" s="5" t="s">
        <v>12355</v>
      </c>
      <c r="P77" s="6">
        <v>10186.0</v>
      </c>
    </row>
    <row r="78" ht="56.25" customHeight="1">
      <c r="A78" s="5" t="s">
        <v>12344</v>
      </c>
      <c r="B78" s="6" t="str">
        <f>image("https://storage.googleapis.com/acdb/bottoms/BottomsTexPantsNormalCamouflage3.png")</f>
        <v/>
      </c>
      <c r="C78" s="5" t="s">
        <v>68</v>
      </c>
      <c r="D78" s="5" t="s">
        <v>36</v>
      </c>
      <c r="E78" s="6">
        <v>1300.0</v>
      </c>
      <c r="F78" s="6">
        <v>325.0</v>
      </c>
      <c r="G78" s="5" t="s">
        <v>68</v>
      </c>
      <c r="H78" s="5" t="s">
        <v>83</v>
      </c>
      <c r="I78" s="6" t="s">
        <v>40</v>
      </c>
      <c r="J78" s="5" t="s">
        <v>8585</v>
      </c>
      <c r="K78" s="5" t="s">
        <v>8632</v>
      </c>
      <c r="L78" s="6" t="s">
        <v>42</v>
      </c>
      <c r="M78" s="5" t="s">
        <v>1952</v>
      </c>
      <c r="N78" s="5" t="s">
        <v>64</v>
      </c>
      <c r="O78" s="5" t="s">
        <v>12359</v>
      </c>
      <c r="P78" s="6">
        <v>10187.0</v>
      </c>
    </row>
    <row r="79" ht="56.25" customHeight="1">
      <c r="A79" s="5" t="s">
        <v>12344</v>
      </c>
      <c r="B79" s="6" t="str">
        <f>image("https://storage.googleapis.com/acdb/bottoms/BottomsTexPantsNormalCamouflage4.png")</f>
        <v/>
      </c>
      <c r="C79" s="5" t="s">
        <v>95</v>
      </c>
      <c r="D79" s="5" t="s">
        <v>36</v>
      </c>
      <c r="E79" s="6">
        <v>1300.0</v>
      </c>
      <c r="F79" s="6">
        <v>325.0</v>
      </c>
      <c r="G79" s="5" t="s">
        <v>95</v>
      </c>
      <c r="H79" s="5" t="s">
        <v>54</v>
      </c>
      <c r="I79" s="6" t="s">
        <v>40</v>
      </c>
      <c r="J79" s="5" t="s">
        <v>8585</v>
      </c>
      <c r="K79" s="5" t="s">
        <v>8632</v>
      </c>
      <c r="L79" s="6" t="s">
        <v>42</v>
      </c>
      <c r="M79" s="5" t="s">
        <v>1952</v>
      </c>
      <c r="N79" s="5" t="s">
        <v>64</v>
      </c>
      <c r="O79" s="5" t="s">
        <v>12363</v>
      </c>
      <c r="P79" s="6">
        <v>10188.0</v>
      </c>
    </row>
    <row r="80" ht="56.25" customHeight="1">
      <c r="A80" s="5" t="s">
        <v>12344</v>
      </c>
      <c r="B80" s="6" t="str">
        <f>image("https://storage.googleapis.com/acdb/bottoms/BottomsTexPantsNormalCamouflage5.png")</f>
        <v/>
      </c>
      <c r="C80" s="5" t="s">
        <v>106</v>
      </c>
      <c r="D80" s="5" t="s">
        <v>36</v>
      </c>
      <c r="E80" s="6">
        <v>1300.0</v>
      </c>
      <c r="F80" s="6">
        <v>325.0</v>
      </c>
      <c r="G80" s="5" t="s">
        <v>106</v>
      </c>
      <c r="H80" s="5" t="s">
        <v>106</v>
      </c>
      <c r="I80" s="6" t="s">
        <v>40</v>
      </c>
      <c r="J80" s="5" t="s">
        <v>8585</v>
      </c>
      <c r="K80" s="5" t="s">
        <v>8632</v>
      </c>
      <c r="L80" s="6" t="s">
        <v>42</v>
      </c>
      <c r="M80" s="5" t="s">
        <v>1952</v>
      </c>
      <c r="N80" s="5" t="s">
        <v>64</v>
      </c>
      <c r="O80" s="5" t="s">
        <v>12368</v>
      </c>
      <c r="P80" s="6">
        <v>10189.0</v>
      </c>
    </row>
    <row r="81" ht="56.25" customHeight="1">
      <c r="A81" s="5" t="s">
        <v>12344</v>
      </c>
      <c r="B81" s="6" t="str">
        <f>image("https://storage.googleapis.com/acdb/bottoms/BottomsTexPantsNormalCamouflage6.png")</f>
        <v/>
      </c>
      <c r="C81" s="5" t="s">
        <v>52</v>
      </c>
      <c r="D81" s="5" t="s">
        <v>36</v>
      </c>
      <c r="E81" s="6">
        <v>1300.0</v>
      </c>
      <c r="F81" s="6">
        <v>325.0</v>
      </c>
      <c r="G81" s="5" t="s">
        <v>52</v>
      </c>
      <c r="H81" s="5" t="s">
        <v>38</v>
      </c>
      <c r="I81" s="6" t="s">
        <v>40</v>
      </c>
      <c r="J81" s="5" t="s">
        <v>8585</v>
      </c>
      <c r="K81" s="5" t="s">
        <v>8632</v>
      </c>
      <c r="L81" s="6" t="s">
        <v>42</v>
      </c>
      <c r="M81" s="5" t="s">
        <v>1952</v>
      </c>
      <c r="N81" s="5" t="s">
        <v>64</v>
      </c>
      <c r="O81" s="5" t="s">
        <v>12370</v>
      </c>
      <c r="P81" s="6">
        <v>10190.0</v>
      </c>
    </row>
    <row r="82" ht="56.25" customHeight="1">
      <c r="A82" s="5" t="s">
        <v>12372</v>
      </c>
      <c r="B82" s="6" t="str">
        <f>image("https://storage.googleapis.com/acdb/bottoms/BottomsTexSkirtBoxCamo0.png")</f>
        <v/>
      </c>
      <c r="C82" s="5" t="s">
        <v>39</v>
      </c>
      <c r="D82" s="5" t="s">
        <v>36</v>
      </c>
      <c r="E82" s="6">
        <v>1300.0</v>
      </c>
      <c r="F82" s="6">
        <v>325.0</v>
      </c>
      <c r="G82" s="5" t="s">
        <v>39</v>
      </c>
      <c r="H82" s="5" t="s">
        <v>38</v>
      </c>
      <c r="I82" s="6" t="s">
        <v>40</v>
      </c>
      <c r="J82" s="5" t="s">
        <v>8585</v>
      </c>
      <c r="K82" s="5" t="s">
        <v>8632</v>
      </c>
      <c r="L82" s="6" t="s">
        <v>42</v>
      </c>
      <c r="M82" s="5" t="s">
        <v>1952</v>
      </c>
      <c r="N82" s="5" t="s">
        <v>64</v>
      </c>
      <c r="O82" s="5" t="s">
        <v>12376</v>
      </c>
      <c r="P82" s="6">
        <v>4434.0</v>
      </c>
    </row>
    <row r="83" ht="56.25" customHeight="1">
      <c r="A83" s="5" t="s">
        <v>12372</v>
      </c>
      <c r="B83" s="6" t="str">
        <f>image("https://storage.googleapis.com/acdb/bottoms/BottomsTexSkirtBoxCamo1.png")</f>
        <v/>
      </c>
      <c r="C83" s="5" t="s">
        <v>2222</v>
      </c>
      <c r="D83" s="5" t="s">
        <v>36</v>
      </c>
      <c r="E83" s="6">
        <v>1300.0</v>
      </c>
      <c r="F83" s="6">
        <v>325.0</v>
      </c>
      <c r="G83" s="5" t="s">
        <v>96</v>
      </c>
      <c r="H83" s="5" t="s">
        <v>38</v>
      </c>
      <c r="I83" s="6" t="s">
        <v>40</v>
      </c>
      <c r="J83" s="5" t="s">
        <v>8585</v>
      </c>
      <c r="K83" s="5" t="s">
        <v>8632</v>
      </c>
      <c r="L83" s="6" t="s">
        <v>42</v>
      </c>
      <c r="M83" s="5" t="s">
        <v>1952</v>
      </c>
      <c r="N83" s="5" t="s">
        <v>64</v>
      </c>
      <c r="O83" s="5" t="s">
        <v>12378</v>
      </c>
      <c r="P83" s="6">
        <v>11322.0</v>
      </c>
    </row>
    <row r="84" ht="56.25" customHeight="1">
      <c r="A84" s="5" t="s">
        <v>12372</v>
      </c>
      <c r="B84" s="6" t="str">
        <f>image("https://storage.googleapis.com/acdb/bottoms/BottomsTexSkirtBoxCamo2.png")</f>
        <v/>
      </c>
      <c r="C84" s="5" t="s">
        <v>69</v>
      </c>
      <c r="D84" s="5" t="s">
        <v>36</v>
      </c>
      <c r="E84" s="6">
        <v>1300.0</v>
      </c>
      <c r="F84" s="6">
        <v>325.0</v>
      </c>
      <c r="G84" s="5" t="s">
        <v>69</v>
      </c>
      <c r="H84" s="5" t="s">
        <v>39</v>
      </c>
      <c r="I84" s="6" t="s">
        <v>40</v>
      </c>
      <c r="J84" s="5" t="s">
        <v>8585</v>
      </c>
      <c r="K84" s="5" t="s">
        <v>8632</v>
      </c>
      <c r="L84" s="6" t="s">
        <v>42</v>
      </c>
      <c r="M84" s="5" t="s">
        <v>1952</v>
      </c>
      <c r="N84" s="5" t="s">
        <v>64</v>
      </c>
      <c r="O84" s="5" t="s">
        <v>12383</v>
      </c>
      <c r="P84" s="6">
        <v>11323.0</v>
      </c>
    </row>
    <row r="85" ht="56.25" customHeight="1">
      <c r="A85" s="5" t="s">
        <v>12372</v>
      </c>
      <c r="B85" s="6" t="str">
        <f>image("https://storage.googleapis.com/acdb/bottoms/BottomsTexSkirtBoxCamo3.png")</f>
        <v/>
      </c>
      <c r="C85" s="5" t="s">
        <v>68</v>
      </c>
      <c r="D85" s="5" t="s">
        <v>36</v>
      </c>
      <c r="E85" s="6">
        <v>1300.0</v>
      </c>
      <c r="F85" s="6">
        <v>325.0</v>
      </c>
      <c r="G85" s="5" t="s">
        <v>68</v>
      </c>
      <c r="H85" s="5" t="s">
        <v>83</v>
      </c>
      <c r="I85" s="6" t="s">
        <v>40</v>
      </c>
      <c r="J85" s="5" t="s">
        <v>8585</v>
      </c>
      <c r="K85" s="5" t="s">
        <v>8632</v>
      </c>
      <c r="L85" s="6" t="s">
        <v>42</v>
      </c>
      <c r="M85" s="5" t="s">
        <v>1952</v>
      </c>
      <c r="N85" s="5" t="s">
        <v>64</v>
      </c>
      <c r="O85" s="5" t="s">
        <v>12387</v>
      </c>
      <c r="P85" s="6">
        <v>11324.0</v>
      </c>
    </row>
    <row r="86" ht="56.25" customHeight="1">
      <c r="A86" s="5" t="s">
        <v>12372</v>
      </c>
      <c r="B86" s="6" t="str">
        <f>image("https://storage.googleapis.com/acdb/bottoms/BottomsTexSkirtBoxCamo4.png")</f>
        <v/>
      </c>
      <c r="C86" s="5" t="s">
        <v>95</v>
      </c>
      <c r="D86" s="5" t="s">
        <v>36</v>
      </c>
      <c r="E86" s="6">
        <v>1300.0</v>
      </c>
      <c r="F86" s="6">
        <v>325.0</v>
      </c>
      <c r="G86" s="5" t="s">
        <v>95</v>
      </c>
      <c r="H86" s="5" t="s">
        <v>54</v>
      </c>
      <c r="I86" s="6" t="s">
        <v>40</v>
      </c>
      <c r="J86" s="5" t="s">
        <v>8585</v>
      </c>
      <c r="K86" s="5" t="s">
        <v>8632</v>
      </c>
      <c r="L86" s="6" t="s">
        <v>42</v>
      </c>
      <c r="M86" s="5" t="s">
        <v>1952</v>
      </c>
      <c r="N86" s="5" t="s">
        <v>64</v>
      </c>
      <c r="O86" s="5" t="s">
        <v>12389</v>
      </c>
      <c r="P86" s="6">
        <v>11325.0</v>
      </c>
    </row>
    <row r="87" ht="56.25" customHeight="1">
      <c r="A87" s="5" t="s">
        <v>12372</v>
      </c>
      <c r="B87" s="6" t="str">
        <f>image("https://storage.googleapis.com/acdb/bottoms/BottomsTexSkirtBoxCamo5.png")</f>
        <v/>
      </c>
      <c r="C87" s="5" t="s">
        <v>106</v>
      </c>
      <c r="D87" s="5" t="s">
        <v>36</v>
      </c>
      <c r="E87" s="6">
        <v>1300.0</v>
      </c>
      <c r="F87" s="6">
        <v>325.0</v>
      </c>
      <c r="G87" s="5" t="s">
        <v>106</v>
      </c>
      <c r="H87" s="5" t="s">
        <v>106</v>
      </c>
      <c r="I87" s="6" t="s">
        <v>40</v>
      </c>
      <c r="J87" s="5" t="s">
        <v>8585</v>
      </c>
      <c r="K87" s="5" t="s">
        <v>8632</v>
      </c>
      <c r="L87" s="6" t="s">
        <v>42</v>
      </c>
      <c r="M87" s="5" t="s">
        <v>1952</v>
      </c>
      <c r="N87" s="5" t="s">
        <v>64</v>
      </c>
      <c r="O87" s="5" t="s">
        <v>12393</v>
      </c>
      <c r="P87" s="6">
        <v>11326.0</v>
      </c>
    </row>
    <row r="88" ht="56.25" customHeight="1">
      <c r="A88" s="5" t="s">
        <v>12372</v>
      </c>
      <c r="B88" s="6" t="str">
        <f>image("https://storage.googleapis.com/acdb/bottoms/BottomsTexSkirtBoxCamo6.png")</f>
        <v/>
      </c>
      <c r="C88" s="5" t="s">
        <v>52</v>
      </c>
      <c r="D88" s="5" t="s">
        <v>36</v>
      </c>
      <c r="E88" s="6">
        <v>1300.0</v>
      </c>
      <c r="F88" s="6">
        <v>325.0</v>
      </c>
      <c r="G88" s="5" t="s">
        <v>52</v>
      </c>
      <c r="H88" s="5" t="s">
        <v>38</v>
      </c>
      <c r="I88" s="6" t="s">
        <v>40</v>
      </c>
      <c r="J88" s="5" t="s">
        <v>8585</v>
      </c>
      <c r="K88" s="5" t="s">
        <v>8632</v>
      </c>
      <c r="L88" s="6" t="s">
        <v>42</v>
      </c>
      <c r="M88" s="5" t="s">
        <v>1952</v>
      </c>
      <c r="N88" s="5" t="s">
        <v>64</v>
      </c>
      <c r="O88" s="5" t="s">
        <v>12398</v>
      </c>
      <c r="P88" s="6">
        <v>11327.0</v>
      </c>
    </row>
    <row r="89" ht="56.25" customHeight="1">
      <c r="A89" s="5" t="s">
        <v>12399</v>
      </c>
      <c r="B89" s="6" t="str">
        <f>image("https://storage.googleapis.com/acdb/bottoms/BottomsTexSkirtBoxCareer0.png")</f>
        <v/>
      </c>
      <c r="C89" s="5" t="s">
        <v>95</v>
      </c>
      <c r="D89" s="5" t="s">
        <v>36</v>
      </c>
      <c r="E89" s="6">
        <v>1560.0</v>
      </c>
      <c r="F89" s="6">
        <v>390.0</v>
      </c>
      <c r="G89" s="5" t="s">
        <v>95</v>
      </c>
      <c r="H89" s="5" t="s">
        <v>95</v>
      </c>
      <c r="I89" s="6" t="s">
        <v>40</v>
      </c>
      <c r="J89" s="5" t="s">
        <v>8585</v>
      </c>
      <c r="K89" s="5" t="s">
        <v>8586</v>
      </c>
      <c r="L89" s="6" t="s">
        <v>42</v>
      </c>
      <c r="M89" s="5" t="s">
        <v>995</v>
      </c>
      <c r="N89" s="5" t="s">
        <v>64</v>
      </c>
      <c r="O89" s="5" t="s">
        <v>12405</v>
      </c>
      <c r="P89" s="6">
        <v>4504.0</v>
      </c>
    </row>
    <row r="90" ht="56.25" customHeight="1">
      <c r="A90" s="5" t="s">
        <v>12399</v>
      </c>
      <c r="B90" s="6" t="str">
        <f>image("https://storage.googleapis.com/acdb/bottoms/BottomsTexSkirtBoxCareer1.png")</f>
        <v/>
      </c>
      <c r="C90" s="5" t="s">
        <v>38</v>
      </c>
      <c r="D90" s="5" t="s">
        <v>36</v>
      </c>
      <c r="E90" s="6">
        <v>1560.0</v>
      </c>
      <c r="F90" s="6">
        <v>390.0</v>
      </c>
      <c r="G90" s="5" t="s">
        <v>38</v>
      </c>
      <c r="H90" s="5" t="s">
        <v>38</v>
      </c>
      <c r="I90" s="6" t="s">
        <v>40</v>
      </c>
      <c r="J90" s="5" t="s">
        <v>8585</v>
      </c>
      <c r="K90" s="5" t="s">
        <v>8586</v>
      </c>
      <c r="L90" s="6" t="s">
        <v>42</v>
      </c>
      <c r="M90" s="5" t="s">
        <v>995</v>
      </c>
      <c r="N90" s="5" t="s">
        <v>64</v>
      </c>
      <c r="O90" s="5" t="s">
        <v>12410</v>
      </c>
      <c r="P90" s="6">
        <v>11347.0</v>
      </c>
    </row>
    <row r="91" ht="56.25" customHeight="1">
      <c r="A91" s="5" t="s">
        <v>12399</v>
      </c>
      <c r="B91" s="6" t="str">
        <f>image("https://storage.googleapis.com/acdb/bottoms/BottomsTexSkirtBoxCareer2.png")</f>
        <v/>
      </c>
      <c r="C91" s="5" t="s">
        <v>4501</v>
      </c>
      <c r="D91" s="5" t="s">
        <v>36</v>
      </c>
      <c r="E91" s="6">
        <v>1560.0</v>
      </c>
      <c r="F91" s="6">
        <v>390.0</v>
      </c>
      <c r="G91" s="5" t="s">
        <v>69</v>
      </c>
      <c r="H91" s="5" t="s">
        <v>69</v>
      </c>
      <c r="I91" s="6" t="s">
        <v>40</v>
      </c>
      <c r="J91" s="5" t="s">
        <v>8585</v>
      </c>
      <c r="K91" s="5" t="s">
        <v>8586</v>
      </c>
      <c r="L91" s="6" t="s">
        <v>42</v>
      </c>
      <c r="M91" s="5" t="s">
        <v>995</v>
      </c>
      <c r="N91" s="5" t="s">
        <v>64</v>
      </c>
      <c r="O91" s="5" t="s">
        <v>12414</v>
      </c>
      <c r="P91" s="6">
        <v>11348.0</v>
      </c>
    </row>
    <row r="92" ht="56.25" customHeight="1">
      <c r="A92" s="5" t="s">
        <v>12399</v>
      </c>
      <c r="B92" s="6" t="str">
        <f>image("https://storage.googleapis.com/acdb/bottoms/BottomsTexSkirtBoxCareer3.png")</f>
        <v/>
      </c>
      <c r="C92" s="5" t="s">
        <v>83</v>
      </c>
      <c r="D92" s="5" t="s">
        <v>36</v>
      </c>
      <c r="E92" s="6">
        <v>1560.0</v>
      </c>
      <c r="F92" s="6">
        <v>390.0</v>
      </c>
      <c r="G92" s="5" t="s">
        <v>83</v>
      </c>
      <c r="H92" s="5" t="s">
        <v>83</v>
      </c>
      <c r="I92" s="6" t="s">
        <v>40</v>
      </c>
      <c r="J92" s="5" t="s">
        <v>8585</v>
      </c>
      <c r="K92" s="5" t="s">
        <v>8586</v>
      </c>
      <c r="L92" s="6" t="s">
        <v>42</v>
      </c>
      <c r="M92" s="5" t="s">
        <v>995</v>
      </c>
      <c r="N92" s="5" t="s">
        <v>64</v>
      </c>
      <c r="O92" s="5" t="s">
        <v>12418</v>
      </c>
      <c r="P92" s="6">
        <v>11349.0</v>
      </c>
    </row>
    <row r="93" ht="56.25" customHeight="1">
      <c r="A93" s="5" t="s">
        <v>12399</v>
      </c>
      <c r="B93" s="6" t="str">
        <f>image("https://storage.googleapis.com/acdb/bottoms/BottomsTexSkirtBoxCareer4.png")</f>
        <v/>
      </c>
      <c r="C93" s="5" t="s">
        <v>69</v>
      </c>
      <c r="D93" s="5" t="s">
        <v>36</v>
      </c>
      <c r="E93" s="6">
        <v>1560.0</v>
      </c>
      <c r="F93" s="6">
        <v>390.0</v>
      </c>
      <c r="G93" s="5" t="s">
        <v>69</v>
      </c>
      <c r="H93" s="5" t="s">
        <v>69</v>
      </c>
      <c r="I93" s="6" t="s">
        <v>40</v>
      </c>
      <c r="J93" s="5" t="s">
        <v>8585</v>
      </c>
      <c r="K93" s="5" t="s">
        <v>8586</v>
      </c>
      <c r="L93" s="6" t="s">
        <v>42</v>
      </c>
      <c r="M93" s="5" t="s">
        <v>995</v>
      </c>
      <c r="N93" s="5" t="s">
        <v>64</v>
      </c>
      <c r="O93" s="5" t="s">
        <v>12422</v>
      </c>
      <c r="P93" s="6">
        <v>11350.0</v>
      </c>
    </row>
    <row r="94" ht="56.25" customHeight="1">
      <c r="A94" s="5" t="s">
        <v>12399</v>
      </c>
      <c r="B94" s="6" t="str">
        <f>image("https://storage.googleapis.com/acdb/bottoms/BottomsTexSkirtBoxCareer5.png")</f>
        <v/>
      </c>
      <c r="C94" s="5" t="s">
        <v>96</v>
      </c>
      <c r="D94" s="5" t="s">
        <v>36</v>
      </c>
      <c r="E94" s="6">
        <v>1560.0</v>
      </c>
      <c r="F94" s="6">
        <v>390.0</v>
      </c>
      <c r="G94" s="5" t="s">
        <v>96</v>
      </c>
      <c r="H94" s="5" t="s">
        <v>96</v>
      </c>
      <c r="I94" s="6" t="s">
        <v>40</v>
      </c>
      <c r="J94" s="5" t="s">
        <v>8585</v>
      </c>
      <c r="K94" s="5" t="s">
        <v>8586</v>
      </c>
      <c r="L94" s="6" t="s">
        <v>42</v>
      </c>
      <c r="M94" s="5" t="s">
        <v>995</v>
      </c>
      <c r="N94" s="5" t="s">
        <v>64</v>
      </c>
      <c r="O94" s="5" t="s">
        <v>12427</v>
      </c>
      <c r="P94" s="6">
        <v>11351.0</v>
      </c>
    </row>
    <row r="95" ht="56.25" customHeight="1">
      <c r="A95" s="5" t="s">
        <v>12399</v>
      </c>
      <c r="B95" s="6" t="str">
        <f>image("https://storage.googleapis.com/acdb/bottoms/BottomsTexSkirtBoxCareer6.png")</f>
        <v/>
      </c>
      <c r="C95" s="5" t="s">
        <v>68</v>
      </c>
      <c r="D95" s="5" t="s">
        <v>36</v>
      </c>
      <c r="E95" s="6">
        <v>1560.0</v>
      </c>
      <c r="F95" s="6">
        <v>390.0</v>
      </c>
      <c r="G95" s="5" t="s">
        <v>68</v>
      </c>
      <c r="H95" s="5" t="s">
        <v>68</v>
      </c>
      <c r="I95" s="6" t="s">
        <v>40</v>
      </c>
      <c r="J95" s="5" t="s">
        <v>8585</v>
      </c>
      <c r="K95" s="5" t="s">
        <v>8586</v>
      </c>
      <c r="L95" s="6" t="s">
        <v>42</v>
      </c>
      <c r="M95" s="5" t="s">
        <v>995</v>
      </c>
      <c r="N95" s="5" t="s">
        <v>64</v>
      </c>
      <c r="O95" s="5" t="s">
        <v>12430</v>
      </c>
      <c r="P95" s="6">
        <v>11352.0</v>
      </c>
    </row>
    <row r="96" ht="56.25" customHeight="1">
      <c r="A96" s="5" t="s">
        <v>12399</v>
      </c>
      <c r="B96" s="6" t="str">
        <f>image("https://storage.googleapis.com/acdb/bottoms/BottomsTexSkirtBoxCareer7.png")</f>
        <v/>
      </c>
      <c r="C96" s="5" t="s">
        <v>52</v>
      </c>
      <c r="D96" s="5" t="s">
        <v>36</v>
      </c>
      <c r="E96" s="6">
        <v>1560.0</v>
      </c>
      <c r="F96" s="6">
        <v>390.0</v>
      </c>
      <c r="G96" s="5" t="s">
        <v>52</v>
      </c>
      <c r="H96" s="5" t="s">
        <v>52</v>
      </c>
      <c r="I96" s="6" t="s">
        <v>40</v>
      </c>
      <c r="J96" s="5" t="s">
        <v>8585</v>
      </c>
      <c r="K96" s="5" t="s">
        <v>8586</v>
      </c>
      <c r="L96" s="6" t="s">
        <v>42</v>
      </c>
      <c r="M96" s="5" t="s">
        <v>995</v>
      </c>
      <c r="N96" s="5" t="s">
        <v>64</v>
      </c>
      <c r="O96" s="5" t="s">
        <v>12434</v>
      </c>
      <c r="P96" s="6">
        <v>11353.0</v>
      </c>
    </row>
    <row r="97" ht="56.25" customHeight="1">
      <c r="A97" s="5" t="s">
        <v>12436</v>
      </c>
      <c r="B97" s="6" t="str">
        <f>image("https://storage.googleapis.com/acdb/bottoms/BottomsTexPantsWideCargo0.png")</f>
        <v/>
      </c>
      <c r="C97" s="5" t="s">
        <v>2222</v>
      </c>
      <c r="D97" s="5" t="s">
        <v>36</v>
      </c>
      <c r="E97" s="6">
        <v>770.0</v>
      </c>
      <c r="F97" s="6">
        <v>192.0</v>
      </c>
      <c r="G97" s="5" t="s">
        <v>96</v>
      </c>
      <c r="H97" s="5" t="s">
        <v>96</v>
      </c>
      <c r="I97" s="6" t="s">
        <v>40</v>
      </c>
      <c r="J97" s="5" t="s">
        <v>8585</v>
      </c>
      <c r="K97" s="5" t="s">
        <v>8632</v>
      </c>
      <c r="L97" s="6" t="s">
        <v>42</v>
      </c>
      <c r="M97" s="5" t="s">
        <v>995</v>
      </c>
      <c r="N97" s="5" t="s">
        <v>64</v>
      </c>
      <c r="O97" s="5" t="s">
        <v>12440</v>
      </c>
      <c r="P97" s="6">
        <v>3351.0</v>
      </c>
    </row>
    <row r="98" ht="56.25" customHeight="1">
      <c r="A98" s="5" t="s">
        <v>12436</v>
      </c>
      <c r="B98" s="6" t="str">
        <f>image("https://storage.googleapis.com/acdb/bottoms/BottomsTexPantsWideCargo1.png")</f>
        <v/>
      </c>
      <c r="C98" s="5" t="s">
        <v>38</v>
      </c>
      <c r="D98" s="5" t="s">
        <v>36</v>
      </c>
      <c r="E98" s="6">
        <v>770.0</v>
      </c>
      <c r="F98" s="6">
        <v>192.0</v>
      </c>
      <c r="G98" s="5" t="s">
        <v>38</v>
      </c>
      <c r="H98" s="5" t="s">
        <v>38</v>
      </c>
      <c r="I98" s="6" t="s">
        <v>40</v>
      </c>
      <c r="J98" s="5" t="s">
        <v>8585</v>
      </c>
      <c r="K98" s="5" t="s">
        <v>8632</v>
      </c>
      <c r="L98" s="6" t="s">
        <v>42</v>
      </c>
      <c r="M98" s="5" t="s">
        <v>995</v>
      </c>
      <c r="N98" s="5" t="s">
        <v>64</v>
      </c>
      <c r="O98" s="5" t="s">
        <v>12443</v>
      </c>
      <c r="P98" s="6">
        <v>9703.0</v>
      </c>
    </row>
    <row r="99" ht="56.25" customHeight="1">
      <c r="A99" s="5" t="s">
        <v>12436</v>
      </c>
      <c r="B99" s="6" t="str">
        <f>image("https://storage.googleapis.com/acdb/bottoms/BottomsTexPantsWideCargo2.png")</f>
        <v/>
      </c>
      <c r="C99" s="5" t="s">
        <v>1187</v>
      </c>
      <c r="D99" s="5" t="s">
        <v>36</v>
      </c>
      <c r="E99" s="6">
        <v>770.0</v>
      </c>
      <c r="F99" s="6">
        <v>192.0</v>
      </c>
      <c r="G99" s="5" t="s">
        <v>68</v>
      </c>
      <c r="H99" s="5" t="s">
        <v>68</v>
      </c>
      <c r="I99" s="6" t="s">
        <v>40</v>
      </c>
      <c r="J99" s="5" t="s">
        <v>8585</v>
      </c>
      <c r="K99" s="5" t="s">
        <v>8632</v>
      </c>
      <c r="L99" s="6" t="s">
        <v>42</v>
      </c>
      <c r="M99" s="5" t="s">
        <v>995</v>
      </c>
      <c r="N99" s="5" t="s">
        <v>64</v>
      </c>
      <c r="O99" s="5" t="s">
        <v>12446</v>
      </c>
      <c r="P99" s="6">
        <v>9704.0</v>
      </c>
    </row>
    <row r="100" ht="56.25" customHeight="1">
      <c r="A100" s="5" t="s">
        <v>12436</v>
      </c>
      <c r="B100" s="6" t="str">
        <f>image("https://storage.googleapis.com/acdb/bottoms/BottomsTexPantsWideCargo3.png")</f>
        <v/>
      </c>
      <c r="C100" s="5" t="s">
        <v>8709</v>
      </c>
      <c r="D100" s="5" t="s">
        <v>36</v>
      </c>
      <c r="E100" s="6">
        <v>770.0</v>
      </c>
      <c r="F100" s="6">
        <v>192.0</v>
      </c>
      <c r="G100" s="5" t="s">
        <v>114</v>
      </c>
      <c r="H100" s="5" t="s">
        <v>114</v>
      </c>
      <c r="I100" s="6" t="s">
        <v>40</v>
      </c>
      <c r="J100" s="5" t="s">
        <v>8585</v>
      </c>
      <c r="K100" s="5" t="s">
        <v>8632</v>
      </c>
      <c r="L100" s="6" t="s">
        <v>42</v>
      </c>
      <c r="M100" s="5" t="s">
        <v>995</v>
      </c>
      <c r="N100" s="5" t="s">
        <v>64</v>
      </c>
      <c r="O100" s="5" t="s">
        <v>12451</v>
      </c>
      <c r="P100" s="6">
        <v>9705.0</v>
      </c>
    </row>
    <row r="101" ht="56.25" customHeight="1">
      <c r="A101" s="5" t="s">
        <v>12436</v>
      </c>
      <c r="B101" s="6" t="str">
        <f>image("https://storage.googleapis.com/acdb/bottoms/BottomsTexPantsWideCargo4.png")</f>
        <v/>
      </c>
      <c r="C101" s="5" t="s">
        <v>39</v>
      </c>
      <c r="D101" s="5" t="s">
        <v>36</v>
      </c>
      <c r="E101" s="6">
        <v>770.0</v>
      </c>
      <c r="F101" s="6">
        <v>192.0</v>
      </c>
      <c r="G101" s="5" t="s">
        <v>39</v>
      </c>
      <c r="H101" s="5" t="s">
        <v>39</v>
      </c>
      <c r="I101" s="6" t="s">
        <v>40</v>
      </c>
      <c r="J101" s="5" t="s">
        <v>8585</v>
      </c>
      <c r="K101" s="5" t="s">
        <v>8632</v>
      </c>
      <c r="L101" s="6" t="s">
        <v>42</v>
      </c>
      <c r="M101" s="5" t="s">
        <v>995</v>
      </c>
      <c r="N101" s="5" t="s">
        <v>64</v>
      </c>
      <c r="O101" s="5" t="s">
        <v>12455</v>
      </c>
      <c r="P101" s="6">
        <v>9706.0</v>
      </c>
    </row>
    <row r="102" ht="56.25" customHeight="1">
      <c r="A102" s="5" t="s">
        <v>12456</v>
      </c>
      <c r="B102" s="6" t="str">
        <f>image("https://storage.googleapis.com/acdb/bottoms/BottomsTexPantsHalfCargo0.png")</f>
        <v/>
      </c>
      <c r="C102" s="5" t="s">
        <v>38</v>
      </c>
      <c r="D102" s="5" t="s">
        <v>36</v>
      </c>
      <c r="E102" s="6">
        <v>1080.0</v>
      </c>
      <c r="F102" s="6">
        <v>270.0</v>
      </c>
      <c r="G102" s="5" t="s">
        <v>38</v>
      </c>
      <c r="H102" s="5" t="s">
        <v>38</v>
      </c>
      <c r="I102" s="6" t="s">
        <v>40</v>
      </c>
      <c r="J102" s="5" t="s">
        <v>8585</v>
      </c>
      <c r="K102" s="5" t="s">
        <v>8632</v>
      </c>
      <c r="L102" s="6" t="s">
        <v>42</v>
      </c>
      <c r="M102" s="5" t="s">
        <v>995</v>
      </c>
      <c r="N102" s="5" t="s">
        <v>64</v>
      </c>
      <c r="O102" s="5" t="s">
        <v>12460</v>
      </c>
      <c r="P102" s="6">
        <v>4150.0</v>
      </c>
    </row>
    <row r="103" ht="56.25" customHeight="1">
      <c r="A103" s="5" t="s">
        <v>12456</v>
      </c>
      <c r="B103" s="6" t="str">
        <f>image("https://storage.googleapis.com/acdb/bottoms/BottomsTexPantsHalfCargo1.png")</f>
        <v/>
      </c>
      <c r="C103" s="5" t="s">
        <v>1187</v>
      </c>
      <c r="D103" s="5" t="s">
        <v>36</v>
      </c>
      <c r="E103" s="6">
        <v>1080.0</v>
      </c>
      <c r="F103" s="6">
        <v>270.0</v>
      </c>
      <c r="G103" s="5" t="s">
        <v>68</v>
      </c>
      <c r="H103" s="5" t="s">
        <v>68</v>
      </c>
      <c r="I103" s="6" t="s">
        <v>40</v>
      </c>
      <c r="J103" s="5" t="s">
        <v>8585</v>
      </c>
      <c r="K103" s="5" t="s">
        <v>8632</v>
      </c>
      <c r="L103" s="6" t="s">
        <v>42</v>
      </c>
      <c r="M103" s="5" t="s">
        <v>995</v>
      </c>
      <c r="N103" s="5" t="s">
        <v>64</v>
      </c>
      <c r="O103" s="5" t="s">
        <v>12464</v>
      </c>
      <c r="P103" s="6">
        <v>8835.0</v>
      </c>
    </row>
    <row r="104" ht="56.25" customHeight="1">
      <c r="A104" s="5" t="s">
        <v>12456</v>
      </c>
      <c r="B104" s="6" t="str">
        <f>image("https://storage.googleapis.com/acdb/bottoms/BottomsTexPantsHalfCargo2.png")</f>
        <v/>
      </c>
      <c r="C104" s="5" t="s">
        <v>2222</v>
      </c>
      <c r="D104" s="5" t="s">
        <v>36</v>
      </c>
      <c r="E104" s="6">
        <v>1080.0</v>
      </c>
      <c r="F104" s="6">
        <v>270.0</v>
      </c>
      <c r="G104" s="5" t="s">
        <v>96</v>
      </c>
      <c r="H104" s="5" t="s">
        <v>96</v>
      </c>
      <c r="I104" s="6" t="s">
        <v>40</v>
      </c>
      <c r="J104" s="5" t="s">
        <v>8585</v>
      </c>
      <c r="K104" s="5" t="s">
        <v>8632</v>
      </c>
      <c r="L104" s="6" t="s">
        <v>42</v>
      </c>
      <c r="M104" s="5" t="s">
        <v>995</v>
      </c>
      <c r="N104" s="5" t="s">
        <v>64</v>
      </c>
      <c r="O104" s="5" t="s">
        <v>12467</v>
      </c>
      <c r="P104" s="6">
        <v>8836.0</v>
      </c>
    </row>
    <row r="105" ht="56.25" customHeight="1">
      <c r="A105" s="5" t="s">
        <v>12456</v>
      </c>
      <c r="B105" s="6" t="str">
        <f>image("https://storage.googleapis.com/acdb/bottoms/BottomsTexPantsHalfCargo3.png")</f>
        <v/>
      </c>
      <c r="C105" s="5" t="s">
        <v>2408</v>
      </c>
      <c r="D105" s="5" t="s">
        <v>36</v>
      </c>
      <c r="E105" s="6">
        <v>1080.0</v>
      </c>
      <c r="F105" s="6">
        <v>270.0</v>
      </c>
      <c r="G105" s="5" t="s">
        <v>114</v>
      </c>
      <c r="H105" s="5" t="s">
        <v>114</v>
      </c>
      <c r="I105" s="6" t="s">
        <v>40</v>
      </c>
      <c r="J105" s="5" t="s">
        <v>8585</v>
      </c>
      <c r="K105" s="5" t="s">
        <v>8632</v>
      </c>
      <c r="L105" s="6" t="s">
        <v>42</v>
      </c>
      <c r="M105" s="5" t="s">
        <v>995</v>
      </c>
      <c r="N105" s="5" t="s">
        <v>64</v>
      </c>
      <c r="O105" s="5" t="s">
        <v>12471</v>
      </c>
      <c r="P105" s="6">
        <v>8837.0</v>
      </c>
    </row>
    <row r="106" ht="56.25" customHeight="1">
      <c r="A106" s="5" t="s">
        <v>12456</v>
      </c>
      <c r="B106" s="6" t="str">
        <f>image("https://storage.googleapis.com/acdb/bottoms/BottomsTexPantsHalfCargo4.png")</f>
        <v/>
      </c>
      <c r="C106" s="5" t="s">
        <v>39</v>
      </c>
      <c r="D106" s="5" t="s">
        <v>36</v>
      </c>
      <c r="E106" s="6">
        <v>1080.0</v>
      </c>
      <c r="F106" s="6">
        <v>270.0</v>
      </c>
      <c r="G106" s="5" t="s">
        <v>39</v>
      </c>
      <c r="H106" s="5" t="s">
        <v>39</v>
      </c>
      <c r="I106" s="6" t="s">
        <v>40</v>
      </c>
      <c r="J106" s="5" t="s">
        <v>8585</v>
      </c>
      <c r="K106" s="5" t="s">
        <v>8632</v>
      </c>
      <c r="L106" s="6" t="s">
        <v>42</v>
      </c>
      <c r="M106" s="5" t="s">
        <v>995</v>
      </c>
      <c r="N106" s="5" t="s">
        <v>64</v>
      </c>
      <c r="O106" s="5" t="s">
        <v>12476</v>
      </c>
      <c r="P106" s="6">
        <v>8838.0</v>
      </c>
    </row>
    <row r="107" ht="56.25" customHeight="1">
      <c r="A107" s="5" t="s">
        <v>12479</v>
      </c>
      <c r="B107" s="6" t="str">
        <f>image("https://storage.googleapis.com/acdb/bottoms/BottomsTexPantsWideEasy0.png")</f>
        <v/>
      </c>
      <c r="C107" s="5" t="s">
        <v>1187</v>
      </c>
      <c r="D107" s="5" t="s">
        <v>36</v>
      </c>
      <c r="E107" s="6">
        <v>1100.0</v>
      </c>
      <c r="F107" s="6">
        <v>275.0</v>
      </c>
      <c r="G107" s="5" t="s">
        <v>68</v>
      </c>
      <c r="H107" s="5" t="s">
        <v>68</v>
      </c>
      <c r="I107" s="6" t="s">
        <v>40</v>
      </c>
      <c r="J107" s="5" t="s">
        <v>8585</v>
      </c>
      <c r="K107" s="5" t="s">
        <v>8632</v>
      </c>
      <c r="L107" s="6" t="s">
        <v>42</v>
      </c>
      <c r="M107" s="5" t="s">
        <v>995</v>
      </c>
      <c r="N107" s="5" t="s">
        <v>64</v>
      </c>
      <c r="O107" s="5" t="s">
        <v>12483</v>
      </c>
      <c r="P107" s="6">
        <v>4430.0</v>
      </c>
    </row>
    <row r="108" ht="56.25" customHeight="1">
      <c r="A108" s="5" t="s">
        <v>12479</v>
      </c>
      <c r="B108" s="6" t="str">
        <f>image("https://storage.googleapis.com/acdb/bottoms/BottomsTexPantsWideEasy1.png")</f>
        <v/>
      </c>
      <c r="C108" s="5" t="s">
        <v>95</v>
      </c>
      <c r="D108" s="5" t="s">
        <v>36</v>
      </c>
      <c r="E108" s="6">
        <v>1100.0</v>
      </c>
      <c r="F108" s="6">
        <v>275.0</v>
      </c>
      <c r="G108" s="5" t="s">
        <v>95</v>
      </c>
      <c r="H108" s="5" t="s">
        <v>95</v>
      </c>
      <c r="I108" s="6" t="s">
        <v>40</v>
      </c>
      <c r="J108" s="5" t="s">
        <v>8585</v>
      </c>
      <c r="K108" s="5" t="s">
        <v>8632</v>
      </c>
      <c r="L108" s="6" t="s">
        <v>42</v>
      </c>
      <c r="M108" s="5" t="s">
        <v>995</v>
      </c>
      <c r="N108" s="5" t="s">
        <v>64</v>
      </c>
      <c r="O108" s="5" t="s">
        <v>12487</v>
      </c>
      <c r="P108" s="6">
        <v>9714.0</v>
      </c>
    </row>
    <row r="109" ht="56.25" customHeight="1">
      <c r="A109" s="5" t="s">
        <v>12479</v>
      </c>
      <c r="B109" s="6" t="str">
        <f>image("https://storage.googleapis.com/acdb/bottoms/BottomsTexPantsWideEasy2.png")</f>
        <v/>
      </c>
      <c r="C109" s="5" t="s">
        <v>96</v>
      </c>
      <c r="D109" s="5" t="s">
        <v>36</v>
      </c>
      <c r="E109" s="6">
        <v>1100.0</v>
      </c>
      <c r="F109" s="6">
        <v>275.0</v>
      </c>
      <c r="G109" s="5" t="s">
        <v>96</v>
      </c>
      <c r="H109" s="5" t="s">
        <v>96</v>
      </c>
      <c r="I109" s="6" t="s">
        <v>40</v>
      </c>
      <c r="J109" s="5" t="s">
        <v>8585</v>
      </c>
      <c r="K109" s="5" t="s">
        <v>8632</v>
      </c>
      <c r="L109" s="6" t="s">
        <v>42</v>
      </c>
      <c r="M109" s="5" t="s">
        <v>995</v>
      </c>
      <c r="N109" s="5" t="s">
        <v>64</v>
      </c>
      <c r="O109" s="5" t="s">
        <v>12490</v>
      </c>
      <c r="P109" s="6">
        <v>9715.0</v>
      </c>
    </row>
    <row r="110" ht="56.25" customHeight="1">
      <c r="A110" s="5" t="s">
        <v>12479</v>
      </c>
      <c r="B110" s="6" t="str">
        <f>image("https://storage.googleapis.com/acdb/bottoms/BottomsTexPantsWideEasy3.png")</f>
        <v/>
      </c>
      <c r="C110" s="5" t="s">
        <v>38</v>
      </c>
      <c r="D110" s="5" t="s">
        <v>36</v>
      </c>
      <c r="E110" s="6">
        <v>1100.0</v>
      </c>
      <c r="F110" s="6">
        <v>275.0</v>
      </c>
      <c r="G110" s="5" t="s">
        <v>38</v>
      </c>
      <c r="H110" s="5" t="s">
        <v>38</v>
      </c>
      <c r="I110" s="6" t="s">
        <v>40</v>
      </c>
      <c r="J110" s="5" t="s">
        <v>8585</v>
      </c>
      <c r="K110" s="5" t="s">
        <v>8632</v>
      </c>
      <c r="L110" s="6" t="s">
        <v>42</v>
      </c>
      <c r="M110" s="5" t="s">
        <v>995</v>
      </c>
      <c r="N110" s="5" t="s">
        <v>64</v>
      </c>
      <c r="O110" s="5" t="s">
        <v>12493</v>
      </c>
      <c r="P110" s="6">
        <v>9716.0</v>
      </c>
    </row>
    <row r="111" ht="56.25" customHeight="1">
      <c r="A111" s="5" t="s">
        <v>12479</v>
      </c>
      <c r="B111" s="6" t="str">
        <f>image("https://storage.googleapis.com/acdb/bottoms/BottomsTexPantsWideEasy4.png")</f>
        <v/>
      </c>
      <c r="C111" s="5" t="s">
        <v>54</v>
      </c>
      <c r="D111" s="5" t="s">
        <v>36</v>
      </c>
      <c r="E111" s="6">
        <v>1100.0</v>
      </c>
      <c r="F111" s="6">
        <v>275.0</v>
      </c>
      <c r="G111" s="5" t="s">
        <v>54</v>
      </c>
      <c r="H111" s="5" t="s">
        <v>54</v>
      </c>
      <c r="I111" s="6" t="s">
        <v>40</v>
      </c>
      <c r="J111" s="5" t="s">
        <v>8585</v>
      </c>
      <c r="K111" s="5" t="s">
        <v>8632</v>
      </c>
      <c r="L111" s="6" t="s">
        <v>42</v>
      </c>
      <c r="M111" s="5" t="s">
        <v>995</v>
      </c>
      <c r="N111" s="5" t="s">
        <v>64</v>
      </c>
      <c r="O111" s="5" t="s">
        <v>12497</v>
      </c>
      <c r="P111" s="6">
        <v>9717.0</v>
      </c>
    </row>
    <row r="112" ht="56.25" customHeight="1">
      <c r="A112" s="5" t="s">
        <v>12479</v>
      </c>
      <c r="B112" s="6" t="str">
        <f>image("https://storage.googleapis.com/acdb/bottoms/BottomsTexPantsWideEasy5.png")</f>
        <v/>
      </c>
      <c r="C112" s="5" t="s">
        <v>39</v>
      </c>
      <c r="D112" s="5" t="s">
        <v>36</v>
      </c>
      <c r="E112" s="6">
        <v>1100.0</v>
      </c>
      <c r="F112" s="6">
        <v>275.0</v>
      </c>
      <c r="G112" s="5" t="s">
        <v>39</v>
      </c>
      <c r="H112" s="5" t="s">
        <v>39</v>
      </c>
      <c r="I112" s="6" t="s">
        <v>40</v>
      </c>
      <c r="J112" s="5" t="s">
        <v>8585</v>
      </c>
      <c r="K112" s="5" t="s">
        <v>8632</v>
      </c>
      <c r="L112" s="6" t="s">
        <v>42</v>
      </c>
      <c r="M112" s="5" t="s">
        <v>995</v>
      </c>
      <c r="N112" s="5" t="s">
        <v>64</v>
      </c>
      <c r="O112" s="5" t="s">
        <v>12502</v>
      </c>
      <c r="P112" s="6">
        <v>9718.0</v>
      </c>
    </row>
    <row r="113" ht="56.25" customHeight="1">
      <c r="A113" s="5" t="s">
        <v>12504</v>
      </c>
      <c r="B113" s="6" t="str">
        <f>image("https://storage.googleapis.com/acdb/bottoms/BottomsTexPantsNormalChain0.png")</f>
        <v/>
      </c>
      <c r="C113" s="5" t="s">
        <v>52</v>
      </c>
      <c r="D113" s="5" t="s">
        <v>36</v>
      </c>
      <c r="E113" s="6">
        <v>1300.0</v>
      </c>
      <c r="F113" s="6">
        <v>325.0</v>
      </c>
      <c r="G113" s="5" t="s">
        <v>52</v>
      </c>
      <c r="H113" s="5" t="s">
        <v>54</v>
      </c>
      <c r="I113" s="6" t="s">
        <v>40</v>
      </c>
      <c r="J113" s="5" t="s">
        <v>8585</v>
      </c>
      <c r="K113" s="5" t="s">
        <v>8586</v>
      </c>
      <c r="L113" s="6" t="s">
        <v>42</v>
      </c>
      <c r="M113" s="5" t="s">
        <v>1952</v>
      </c>
      <c r="N113" s="5" t="s">
        <v>64</v>
      </c>
      <c r="O113" s="5" t="s">
        <v>12507</v>
      </c>
      <c r="P113" s="6">
        <v>4255.0</v>
      </c>
    </row>
    <row r="114" ht="56.25" customHeight="1">
      <c r="A114" s="5" t="s">
        <v>12504</v>
      </c>
      <c r="B114" s="6" t="str">
        <f>image("https://storage.googleapis.com/acdb/bottoms/BottomsTexPantsNormalChain1.png")</f>
        <v/>
      </c>
      <c r="C114" s="5" t="s">
        <v>68</v>
      </c>
      <c r="D114" s="5" t="s">
        <v>36</v>
      </c>
      <c r="E114" s="6">
        <v>1300.0</v>
      </c>
      <c r="F114" s="6">
        <v>325.0</v>
      </c>
      <c r="G114" s="5" t="s">
        <v>68</v>
      </c>
      <c r="H114" s="5" t="s">
        <v>54</v>
      </c>
      <c r="I114" s="6" t="s">
        <v>40</v>
      </c>
      <c r="J114" s="5" t="s">
        <v>8585</v>
      </c>
      <c r="K114" s="5" t="s">
        <v>8586</v>
      </c>
      <c r="L114" s="6" t="s">
        <v>42</v>
      </c>
      <c r="M114" s="5" t="s">
        <v>1952</v>
      </c>
      <c r="N114" s="5" t="s">
        <v>64</v>
      </c>
      <c r="O114" s="5" t="s">
        <v>12510</v>
      </c>
      <c r="P114" s="6">
        <v>9242.0</v>
      </c>
    </row>
    <row r="115" ht="56.25" customHeight="1">
      <c r="A115" s="5" t="s">
        <v>12504</v>
      </c>
      <c r="B115" s="6" t="str">
        <f>image("https://storage.googleapis.com/acdb/bottoms/BottomsTexPantsNormalChain2.png")</f>
        <v/>
      </c>
      <c r="C115" s="5" t="s">
        <v>57</v>
      </c>
      <c r="D115" s="5" t="s">
        <v>36</v>
      </c>
      <c r="E115" s="6">
        <v>1300.0</v>
      </c>
      <c r="F115" s="6">
        <v>325.0</v>
      </c>
      <c r="G115" s="5" t="s">
        <v>57</v>
      </c>
      <c r="H115" s="5" t="s">
        <v>54</v>
      </c>
      <c r="I115" s="6" t="s">
        <v>40</v>
      </c>
      <c r="J115" s="5" t="s">
        <v>8585</v>
      </c>
      <c r="K115" s="5" t="s">
        <v>8586</v>
      </c>
      <c r="L115" s="6" t="s">
        <v>42</v>
      </c>
      <c r="M115" s="5" t="s">
        <v>1952</v>
      </c>
      <c r="N115" s="5" t="s">
        <v>64</v>
      </c>
      <c r="O115" s="5" t="s">
        <v>12513</v>
      </c>
      <c r="P115" s="6">
        <v>9243.0</v>
      </c>
    </row>
    <row r="116" ht="56.25" customHeight="1">
      <c r="A116" s="5" t="s">
        <v>12504</v>
      </c>
      <c r="B116" s="6" t="str">
        <f>image("https://storage.googleapis.com/acdb/bottoms/BottomsTexPantsNormalChain3.png")</f>
        <v/>
      </c>
      <c r="C116" s="5" t="s">
        <v>54</v>
      </c>
      <c r="D116" s="5" t="s">
        <v>36</v>
      </c>
      <c r="E116" s="6">
        <v>1300.0</v>
      </c>
      <c r="F116" s="6">
        <v>325.0</v>
      </c>
      <c r="G116" s="5" t="s">
        <v>54</v>
      </c>
      <c r="H116" s="5" t="s">
        <v>54</v>
      </c>
      <c r="I116" s="6" t="s">
        <v>40</v>
      </c>
      <c r="J116" s="5" t="s">
        <v>8585</v>
      </c>
      <c r="K116" s="5" t="s">
        <v>8586</v>
      </c>
      <c r="L116" s="6" t="s">
        <v>42</v>
      </c>
      <c r="M116" s="5" t="s">
        <v>1952</v>
      </c>
      <c r="N116" s="5" t="s">
        <v>64</v>
      </c>
      <c r="O116" s="5" t="s">
        <v>12515</v>
      </c>
      <c r="P116" s="6">
        <v>9244.0</v>
      </c>
    </row>
    <row r="117" ht="56.25" customHeight="1">
      <c r="A117" s="5" t="s">
        <v>12517</v>
      </c>
      <c r="B117" s="6" t="str">
        <f>image("https://storage.googleapis.com/acdb/bottoms/BottomsTexPantsNormalChino0.png")</f>
        <v/>
      </c>
      <c r="C117" s="5" t="s">
        <v>38</v>
      </c>
      <c r="D117" s="5" t="s">
        <v>36</v>
      </c>
      <c r="E117" s="6">
        <v>700.0</v>
      </c>
      <c r="F117" s="6">
        <v>175.0</v>
      </c>
      <c r="G117" s="5" t="s">
        <v>38</v>
      </c>
      <c r="H117" s="5" t="s">
        <v>38</v>
      </c>
      <c r="I117" s="6" t="s">
        <v>40</v>
      </c>
      <c r="J117" s="5" t="s">
        <v>8585</v>
      </c>
      <c r="K117" s="5" t="s">
        <v>8632</v>
      </c>
      <c r="L117" s="6" t="s">
        <v>42</v>
      </c>
      <c r="M117" s="5" t="s">
        <v>995</v>
      </c>
      <c r="N117" s="5" t="s">
        <v>64</v>
      </c>
      <c r="O117" s="5" t="s">
        <v>12520</v>
      </c>
      <c r="P117" s="6">
        <v>3308.0</v>
      </c>
    </row>
    <row r="118" ht="56.25" customHeight="1">
      <c r="A118" s="5" t="s">
        <v>12517</v>
      </c>
      <c r="B118" s="6" t="str">
        <f>image("https://storage.googleapis.com/acdb/bottoms/BottomsTexPantsNormalChino1.png")</f>
        <v/>
      </c>
      <c r="C118" s="5" t="s">
        <v>39</v>
      </c>
      <c r="D118" s="5" t="s">
        <v>36</v>
      </c>
      <c r="E118" s="6">
        <v>700.0</v>
      </c>
      <c r="F118" s="6">
        <v>175.0</v>
      </c>
      <c r="G118" s="5" t="s">
        <v>39</v>
      </c>
      <c r="H118" s="5" t="s">
        <v>39</v>
      </c>
      <c r="I118" s="6" t="s">
        <v>40</v>
      </c>
      <c r="J118" s="5" t="s">
        <v>8585</v>
      </c>
      <c r="K118" s="5" t="s">
        <v>8632</v>
      </c>
      <c r="L118" s="6" t="s">
        <v>42</v>
      </c>
      <c r="M118" s="5" t="s">
        <v>995</v>
      </c>
      <c r="N118" s="5" t="s">
        <v>64</v>
      </c>
      <c r="O118" s="5" t="s">
        <v>12524</v>
      </c>
      <c r="P118" s="6">
        <v>4175.0</v>
      </c>
    </row>
    <row r="119" ht="56.25" customHeight="1">
      <c r="A119" s="5" t="s">
        <v>12517</v>
      </c>
      <c r="B119" s="6" t="str">
        <f>image("https://storage.googleapis.com/acdb/bottoms/BottomsTexPantsNormalChino2.png")</f>
        <v/>
      </c>
      <c r="C119" s="5" t="s">
        <v>1187</v>
      </c>
      <c r="D119" s="5" t="s">
        <v>36</v>
      </c>
      <c r="E119" s="6">
        <v>700.0</v>
      </c>
      <c r="F119" s="6">
        <v>175.0</v>
      </c>
      <c r="G119" s="5" t="s">
        <v>68</v>
      </c>
      <c r="H119" s="5" t="s">
        <v>68</v>
      </c>
      <c r="I119" s="6" t="s">
        <v>40</v>
      </c>
      <c r="J119" s="5" t="s">
        <v>8585</v>
      </c>
      <c r="K119" s="5" t="s">
        <v>8632</v>
      </c>
      <c r="L119" s="6" t="s">
        <v>42</v>
      </c>
      <c r="M119" s="5" t="s">
        <v>995</v>
      </c>
      <c r="N119" s="5" t="s">
        <v>64</v>
      </c>
      <c r="O119" s="5" t="s">
        <v>12529</v>
      </c>
      <c r="P119" s="6">
        <v>4176.0</v>
      </c>
    </row>
    <row r="120" ht="56.25" customHeight="1">
      <c r="A120" s="5" t="s">
        <v>12517</v>
      </c>
      <c r="B120" s="6" t="str">
        <f>image("https://storage.googleapis.com/acdb/bottoms/BottomsTexPantsNormalChino3.png")</f>
        <v/>
      </c>
      <c r="C120" s="5" t="s">
        <v>2222</v>
      </c>
      <c r="D120" s="5" t="s">
        <v>36</v>
      </c>
      <c r="E120" s="6">
        <v>700.0</v>
      </c>
      <c r="F120" s="6">
        <v>175.0</v>
      </c>
      <c r="G120" s="5" t="s">
        <v>96</v>
      </c>
      <c r="H120" s="5" t="s">
        <v>96</v>
      </c>
      <c r="I120" s="6" t="s">
        <v>40</v>
      </c>
      <c r="J120" s="5" t="s">
        <v>8585</v>
      </c>
      <c r="K120" s="5" t="s">
        <v>8632</v>
      </c>
      <c r="L120" s="6" t="s">
        <v>42</v>
      </c>
      <c r="M120" s="5" t="s">
        <v>995</v>
      </c>
      <c r="N120" s="5" t="s">
        <v>64</v>
      </c>
      <c r="O120" s="5" t="s">
        <v>12532</v>
      </c>
      <c r="P120" s="6">
        <v>4177.0</v>
      </c>
    </row>
    <row r="121" ht="56.25" customHeight="1">
      <c r="A121" s="5" t="s">
        <v>12517</v>
      </c>
      <c r="B121" s="6" t="str">
        <f>image("https://storage.googleapis.com/acdb/bottoms/BottomsTexPantsNormalChino4.png")</f>
        <v/>
      </c>
      <c r="C121" s="5" t="s">
        <v>95</v>
      </c>
      <c r="D121" s="5" t="s">
        <v>36</v>
      </c>
      <c r="E121" s="6">
        <v>700.0</v>
      </c>
      <c r="F121" s="6">
        <v>175.0</v>
      </c>
      <c r="G121" s="5" t="s">
        <v>95</v>
      </c>
      <c r="H121" s="5" t="s">
        <v>95</v>
      </c>
      <c r="I121" s="6" t="s">
        <v>40</v>
      </c>
      <c r="J121" s="5" t="s">
        <v>8585</v>
      </c>
      <c r="K121" s="5" t="s">
        <v>8632</v>
      </c>
      <c r="L121" s="6" t="s">
        <v>42</v>
      </c>
      <c r="M121" s="5" t="s">
        <v>995</v>
      </c>
      <c r="N121" s="5" t="s">
        <v>64</v>
      </c>
      <c r="O121" s="5" t="s">
        <v>12535</v>
      </c>
      <c r="P121" s="6">
        <v>4178.0</v>
      </c>
    </row>
    <row r="122" ht="56.25" customHeight="1">
      <c r="A122" s="5" t="s">
        <v>12517</v>
      </c>
      <c r="B122" s="6" t="str">
        <f>image("https://storage.googleapis.com/acdb/bottoms/BottomsTexPantsNormalChino5.png")</f>
        <v/>
      </c>
      <c r="C122" s="5" t="s">
        <v>52</v>
      </c>
      <c r="D122" s="5" t="s">
        <v>36</v>
      </c>
      <c r="E122" s="6">
        <v>700.0</v>
      </c>
      <c r="F122" s="6">
        <v>175.0</v>
      </c>
      <c r="G122" s="5" t="s">
        <v>52</v>
      </c>
      <c r="H122" s="5" t="s">
        <v>52</v>
      </c>
      <c r="I122" s="6" t="s">
        <v>40</v>
      </c>
      <c r="J122" s="5" t="s">
        <v>8585</v>
      </c>
      <c r="K122" s="5" t="s">
        <v>8632</v>
      </c>
      <c r="L122" s="6" t="s">
        <v>42</v>
      </c>
      <c r="M122" s="5" t="s">
        <v>995</v>
      </c>
      <c r="N122" s="5" t="s">
        <v>64</v>
      </c>
      <c r="O122" s="5" t="s">
        <v>12538</v>
      </c>
      <c r="P122" s="6">
        <v>9013.0</v>
      </c>
    </row>
    <row r="123" ht="56.25" customHeight="1">
      <c r="A123" s="5" t="s">
        <v>12517</v>
      </c>
      <c r="B123" s="6" t="str">
        <f>image("https://storage.googleapis.com/acdb/bottoms/BottomsTexPantsNormalChino6.png")</f>
        <v/>
      </c>
      <c r="C123" s="5" t="s">
        <v>68</v>
      </c>
      <c r="D123" s="5" t="s">
        <v>36</v>
      </c>
      <c r="E123" s="6">
        <v>700.0</v>
      </c>
      <c r="F123" s="6">
        <v>175.0</v>
      </c>
      <c r="G123" s="5" t="s">
        <v>68</v>
      </c>
      <c r="H123" s="5" t="s">
        <v>68</v>
      </c>
      <c r="I123" s="6" t="s">
        <v>40</v>
      </c>
      <c r="J123" s="5" t="s">
        <v>8585</v>
      </c>
      <c r="K123" s="5" t="s">
        <v>8632</v>
      </c>
      <c r="L123" s="6" t="s">
        <v>42</v>
      </c>
      <c r="M123" s="5" t="s">
        <v>995</v>
      </c>
      <c r="N123" s="5" t="s">
        <v>64</v>
      </c>
      <c r="O123" s="5" t="s">
        <v>12542</v>
      </c>
      <c r="P123" s="6">
        <v>9014.0</v>
      </c>
    </row>
    <row r="124" ht="56.25" customHeight="1">
      <c r="A124" s="5" t="s">
        <v>12517</v>
      </c>
      <c r="B124" s="6" t="str">
        <f>image("https://storage.googleapis.com/acdb/bottoms/BottomsTexPantsNormalChino7.png")</f>
        <v/>
      </c>
      <c r="C124" s="5" t="s">
        <v>114</v>
      </c>
      <c r="D124" s="5" t="s">
        <v>36</v>
      </c>
      <c r="E124" s="6">
        <v>700.0</v>
      </c>
      <c r="F124" s="6">
        <v>175.0</v>
      </c>
      <c r="G124" s="5" t="s">
        <v>114</v>
      </c>
      <c r="H124" s="5" t="s">
        <v>114</v>
      </c>
      <c r="I124" s="6" t="s">
        <v>40</v>
      </c>
      <c r="J124" s="5" t="s">
        <v>8585</v>
      </c>
      <c r="K124" s="5" t="s">
        <v>8632</v>
      </c>
      <c r="L124" s="6" t="s">
        <v>42</v>
      </c>
      <c r="M124" s="5" t="s">
        <v>995</v>
      </c>
      <c r="N124" s="5" t="s">
        <v>64</v>
      </c>
      <c r="O124" s="5" t="s">
        <v>12545</v>
      </c>
      <c r="P124" s="6">
        <v>9015.0</v>
      </c>
    </row>
    <row r="125" ht="56.25" customHeight="1">
      <c r="A125" s="5" t="s">
        <v>12546</v>
      </c>
      <c r="B125" s="6" t="str">
        <f>image("https://storage.googleapis.com/acdb/bottoms/BottomsTexSkirtLongEnaguas0.png")</f>
        <v/>
      </c>
      <c r="C125" s="5" t="s">
        <v>52</v>
      </c>
      <c r="D125" s="5" t="s">
        <v>36</v>
      </c>
      <c r="E125" s="6">
        <v>1100.0</v>
      </c>
      <c r="F125" s="6">
        <v>275.0</v>
      </c>
      <c r="G125" s="5" t="s">
        <v>52</v>
      </c>
      <c r="H125" s="5" t="s">
        <v>96</v>
      </c>
      <c r="I125" s="6" t="s">
        <v>40</v>
      </c>
      <c r="J125" s="5" t="s">
        <v>8585</v>
      </c>
      <c r="K125" s="5" t="s">
        <v>8586</v>
      </c>
      <c r="L125" s="6" t="s">
        <v>42</v>
      </c>
      <c r="M125" s="5" t="s">
        <v>995</v>
      </c>
      <c r="N125" s="5" t="s">
        <v>64</v>
      </c>
      <c r="O125" s="5" t="s">
        <v>12550</v>
      </c>
      <c r="P125" s="6">
        <v>5665.0</v>
      </c>
    </row>
    <row r="126" ht="56.25" customHeight="1">
      <c r="A126" s="5" t="s">
        <v>12546</v>
      </c>
      <c r="B126" s="6" t="str">
        <f>image("https://storage.googleapis.com/acdb/bottoms/BottomsTexSkirtLongEnaguas1.png")</f>
        <v/>
      </c>
      <c r="C126" s="5" t="s">
        <v>68</v>
      </c>
      <c r="D126" s="5" t="s">
        <v>36</v>
      </c>
      <c r="E126" s="6">
        <v>1100.0</v>
      </c>
      <c r="F126" s="6">
        <v>275.0</v>
      </c>
      <c r="G126" s="5" t="s">
        <v>68</v>
      </c>
      <c r="H126" s="5" t="s">
        <v>142</v>
      </c>
      <c r="I126" s="6" t="s">
        <v>40</v>
      </c>
      <c r="J126" s="5" t="s">
        <v>8585</v>
      </c>
      <c r="K126" s="5" t="s">
        <v>8586</v>
      </c>
      <c r="L126" s="6" t="s">
        <v>42</v>
      </c>
      <c r="M126" s="5" t="s">
        <v>995</v>
      </c>
      <c r="N126" s="5" t="s">
        <v>64</v>
      </c>
      <c r="O126" s="5" t="s">
        <v>12553</v>
      </c>
      <c r="P126" s="6">
        <v>8743.0</v>
      </c>
    </row>
    <row r="127" ht="56.25" customHeight="1">
      <c r="A127" s="5" t="s">
        <v>12546</v>
      </c>
      <c r="B127" s="6" t="str">
        <f>image("https://storage.googleapis.com/acdb/bottoms/BottomsTexSkirtLongEnaguas2.png")</f>
        <v/>
      </c>
      <c r="C127" s="5" t="s">
        <v>69</v>
      </c>
      <c r="D127" s="5" t="s">
        <v>36</v>
      </c>
      <c r="E127" s="6">
        <v>1100.0</v>
      </c>
      <c r="F127" s="6">
        <v>275.0</v>
      </c>
      <c r="G127" s="5" t="s">
        <v>69</v>
      </c>
      <c r="H127" s="5" t="s">
        <v>96</v>
      </c>
      <c r="I127" s="6" t="s">
        <v>40</v>
      </c>
      <c r="J127" s="5" t="s">
        <v>8585</v>
      </c>
      <c r="K127" s="5" t="s">
        <v>8586</v>
      </c>
      <c r="L127" s="6" t="s">
        <v>42</v>
      </c>
      <c r="M127" s="5" t="s">
        <v>995</v>
      </c>
      <c r="N127" s="5" t="s">
        <v>64</v>
      </c>
      <c r="O127" s="5" t="s">
        <v>12556</v>
      </c>
      <c r="P127" s="6">
        <v>8744.0</v>
      </c>
    </row>
    <row r="128" ht="56.25" customHeight="1">
      <c r="A128" s="5" t="s">
        <v>12546</v>
      </c>
      <c r="B128" s="6" t="str">
        <f>image("https://storage.googleapis.com/acdb/bottoms/BottomsTexSkirtLongEnaguas3.png")</f>
        <v/>
      </c>
      <c r="C128" s="5" t="s">
        <v>96</v>
      </c>
      <c r="D128" s="5" t="s">
        <v>36</v>
      </c>
      <c r="E128" s="6">
        <v>1100.0</v>
      </c>
      <c r="F128" s="6">
        <v>275.0</v>
      </c>
      <c r="G128" s="5" t="s">
        <v>96</v>
      </c>
      <c r="H128" s="5" t="s">
        <v>69</v>
      </c>
      <c r="I128" s="6" t="s">
        <v>40</v>
      </c>
      <c r="J128" s="5" t="s">
        <v>8585</v>
      </c>
      <c r="K128" s="5" t="s">
        <v>8586</v>
      </c>
      <c r="L128" s="6" t="s">
        <v>42</v>
      </c>
      <c r="M128" s="5" t="s">
        <v>995</v>
      </c>
      <c r="N128" s="5" t="s">
        <v>64</v>
      </c>
      <c r="O128" s="5" t="s">
        <v>12560</v>
      </c>
      <c r="P128" s="6">
        <v>8745.0</v>
      </c>
    </row>
    <row r="129" ht="56.25" customHeight="1">
      <c r="A129" s="5" t="s">
        <v>12546</v>
      </c>
      <c r="B129" s="6" t="str">
        <f>image("https://storage.googleapis.com/acdb/bottoms/BottomsTexSkirtLongEnaguas4.png")</f>
        <v/>
      </c>
      <c r="C129" s="5" t="s">
        <v>142</v>
      </c>
      <c r="D129" s="5" t="s">
        <v>36</v>
      </c>
      <c r="E129" s="6">
        <v>1100.0</v>
      </c>
      <c r="F129" s="6">
        <v>275.0</v>
      </c>
      <c r="G129" s="5" t="s">
        <v>52</v>
      </c>
      <c r="H129" s="5" t="s">
        <v>68</v>
      </c>
      <c r="I129" s="6" t="s">
        <v>40</v>
      </c>
      <c r="J129" s="5" t="s">
        <v>8585</v>
      </c>
      <c r="K129" s="5" t="s">
        <v>8586</v>
      </c>
      <c r="L129" s="6" t="s">
        <v>42</v>
      </c>
      <c r="M129" s="5" t="s">
        <v>995</v>
      </c>
      <c r="N129" s="5" t="s">
        <v>64</v>
      </c>
      <c r="O129" s="5" t="s">
        <v>12563</v>
      </c>
      <c r="P129" s="6">
        <v>8746.0</v>
      </c>
    </row>
    <row r="130" ht="56.25" customHeight="1">
      <c r="A130" s="5" t="s">
        <v>12564</v>
      </c>
      <c r="B130" s="6" t="str">
        <f>image("https://storage.googleapis.com/acdb/bottoms/BottomsTexPantsNormalComedian0.png")</f>
        <v/>
      </c>
      <c r="C130" s="5" t="s">
        <v>142</v>
      </c>
      <c r="D130" s="5" t="s">
        <v>36</v>
      </c>
      <c r="E130" s="6">
        <v>2100.0</v>
      </c>
      <c r="F130" s="6">
        <v>525.0</v>
      </c>
      <c r="G130" s="5" t="s">
        <v>142</v>
      </c>
      <c r="H130" s="5" t="s">
        <v>54</v>
      </c>
      <c r="I130" s="6" t="s">
        <v>40</v>
      </c>
      <c r="J130" s="5" t="s">
        <v>8585</v>
      </c>
      <c r="K130" s="5" t="s">
        <v>8586</v>
      </c>
      <c r="L130" s="6" t="s">
        <v>42</v>
      </c>
      <c r="M130" s="5" t="s">
        <v>612</v>
      </c>
      <c r="N130" s="5" t="s">
        <v>64</v>
      </c>
      <c r="O130" s="5" t="s">
        <v>12568</v>
      </c>
      <c r="P130" s="6">
        <v>5736.0</v>
      </c>
    </row>
    <row r="131" ht="56.25" customHeight="1">
      <c r="A131" s="5" t="s">
        <v>12564</v>
      </c>
      <c r="B131" s="6" t="str">
        <f>image("https://storage.googleapis.com/acdb/bottoms/BottomsTexPantsNormalComedian1.png")</f>
        <v/>
      </c>
      <c r="C131" s="5" t="s">
        <v>68</v>
      </c>
      <c r="D131" s="5" t="s">
        <v>36</v>
      </c>
      <c r="E131" s="6">
        <v>2100.0</v>
      </c>
      <c r="F131" s="6">
        <v>525.0</v>
      </c>
      <c r="G131" s="5" t="s">
        <v>68</v>
      </c>
      <c r="H131" s="5" t="s">
        <v>54</v>
      </c>
      <c r="I131" s="6" t="s">
        <v>40</v>
      </c>
      <c r="J131" s="5" t="s">
        <v>8585</v>
      </c>
      <c r="K131" s="5" t="s">
        <v>8586</v>
      </c>
      <c r="L131" s="6" t="s">
        <v>42</v>
      </c>
      <c r="M131" s="5" t="s">
        <v>612</v>
      </c>
      <c r="N131" s="5" t="s">
        <v>64</v>
      </c>
      <c r="O131" s="5" t="s">
        <v>12572</v>
      </c>
      <c r="P131" s="6">
        <v>11372.0</v>
      </c>
    </row>
    <row r="132" ht="56.25" customHeight="1">
      <c r="A132" s="5" t="s">
        <v>12564</v>
      </c>
      <c r="B132" s="6" t="str">
        <f>image("https://storage.googleapis.com/acdb/bottoms/BottomsTexPantsNormalComedian2.png")</f>
        <v/>
      </c>
      <c r="C132" s="5" t="s">
        <v>52</v>
      </c>
      <c r="D132" s="5" t="s">
        <v>36</v>
      </c>
      <c r="E132" s="6">
        <v>2100.0</v>
      </c>
      <c r="F132" s="6">
        <v>525.0</v>
      </c>
      <c r="G132" s="5" t="s">
        <v>52</v>
      </c>
      <c r="H132" s="5" t="s">
        <v>54</v>
      </c>
      <c r="I132" s="6" t="s">
        <v>40</v>
      </c>
      <c r="J132" s="5" t="s">
        <v>8585</v>
      </c>
      <c r="K132" s="5" t="s">
        <v>8586</v>
      </c>
      <c r="L132" s="6" t="s">
        <v>42</v>
      </c>
      <c r="M132" s="5" t="s">
        <v>612</v>
      </c>
      <c r="N132" s="5" t="s">
        <v>64</v>
      </c>
      <c r="O132" s="5" t="s">
        <v>12575</v>
      </c>
      <c r="P132" s="6">
        <v>11373.0</v>
      </c>
    </row>
    <row r="133" ht="56.25" customHeight="1">
      <c r="A133" s="5" t="s">
        <v>12564</v>
      </c>
      <c r="B133" s="6" t="str">
        <f>image("https://storage.googleapis.com/acdb/bottoms/BottomsTexPantsNormalComedian3.png")</f>
        <v/>
      </c>
      <c r="C133" s="5" t="s">
        <v>114</v>
      </c>
      <c r="D133" s="5" t="s">
        <v>36</v>
      </c>
      <c r="E133" s="6">
        <v>2100.0</v>
      </c>
      <c r="F133" s="6">
        <v>525.0</v>
      </c>
      <c r="G133" s="5" t="s">
        <v>114</v>
      </c>
      <c r="H133" s="5" t="s">
        <v>54</v>
      </c>
      <c r="I133" s="6" t="s">
        <v>40</v>
      </c>
      <c r="J133" s="5" t="s">
        <v>8585</v>
      </c>
      <c r="K133" s="5" t="s">
        <v>8586</v>
      </c>
      <c r="L133" s="6" t="s">
        <v>42</v>
      </c>
      <c r="M133" s="5" t="s">
        <v>612</v>
      </c>
      <c r="N133" s="5" t="s">
        <v>64</v>
      </c>
      <c r="O133" s="5" t="s">
        <v>12578</v>
      </c>
      <c r="P133" s="6">
        <v>11374.0</v>
      </c>
    </row>
    <row r="134" ht="56.25" customHeight="1">
      <c r="A134" s="5" t="s">
        <v>12564</v>
      </c>
      <c r="B134" s="6" t="str">
        <f>image("https://storage.googleapis.com/acdb/bottoms/BottomsTexPantsNormalComedian4.png")</f>
        <v/>
      </c>
      <c r="C134" s="5" t="s">
        <v>96</v>
      </c>
      <c r="D134" s="5" t="s">
        <v>36</v>
      </c>
      <c r="E134" s="6">
        <v>2100.0</v>
      </c>
      <c r="F134" s="6">
        <v>525.0</v>
      </c>
      <c r="G134" s="5" t="s">
        <v>96</v>
      </c>
      <c r="H134" s="5" t="s">
        <v>54</v>
      </c>
      <c r="I134" s="6" t="s">
        <v>40</v>
      </c>
      <c r="J134" s="5" t="s">
        <v>8585</v>
      </c>
      <c r="K134" s="5" t="s">
        <v>8586</v>
      </c>
      <c r="L134" s="6" t="s">
        <v>42</v>
      </c>
      <c r="M134" s="5" t="s">
        <v>612</v>
      </c>
      <c r="N134" s="5" t="s">
        <v>64</v>
      </c>
      <c r="O134" s="5" t="s">
        <v>12582</v>
      </c>
      <c r="P134" s="6">
        <v>11375.0</v>
      </c>
    </row>
    <row r="135" ht="56.25" customHeight="1">
      <c r="A135" s="5" t="s">
        <v>12564</v>
      </c>
      <c r="B135" s="6" t="str">
        <f>image("https://storage.googleapis.com/acdb/bottoms/BottomsTexPantsNormalComedian5.png")</f>
        <v/>
      </c>
      <c r="C135" s="5" t="s">
        <v>106</v>
      </c>
      <c r="D135" s="5" t="s">
        <v>36</v>
      </c>
      <c r="E135" s="6">
        <v>2100.0</v>
      </c>
      <c r="F135" s="6">
        <v>525.0</v>
      </c>
      <c r="G135" s="5" t="s">
        <v>106</v>
      </c>
      <c r="H135" s="5" t="s">
        <v>54</v>
      </c>
      <c r="I135" s="6" t="s">
        <v>40</v>
      </c>
      <c r="J135" s="5" t="s">
        <v>8585</v>
      </c>
      <c r="K135" s="5" t="s">
        <v>8586</v>
      </c>
      <c r="L135" s="6" t="s">
        <v>42</v>
      </c>
      <c r="M135" s="5" t="s">
        <v>612</v>
      </c>
      <c r="N135" s="5" t="s">
        <v>64</v>
      </c>
      <c r="O135" s="5" t="s">
        <v>12585</v>
      </c>
      <c r="P135" s="6">
        <v>11376.0</v>
      </c>
    </row>
    <row r="136" ht="56.25" customHeight="1">
      <c r="A136" s="5" t="s">
        <v>12564</v>
      </c>
      <c r="B136" s="6" t="str">
        <f>image("https://storage.googleapis.com/acdb/bottoms/BottomsTexPantsNormalComedian6.png")</f>
        <v/>
      </c>
      <c r="C136" s="5" t="s">
        <v>819</v>
      </c>
      <c r="D136" s="5" t="s">
        <v>36</v>
      </c>
      <c r="E136" s="6">
        <v>2100.0</v>
      </c>
      <c r="F136" s="6">
        <v>525.0</v>
      </c>
      <c r="G136" s="5" t="s">
        <v>96</v>
      </c>
      <c r="H136" s="5" t="s">
        <v>54</v>
      </c>
      <c r="I136" s="6" t="s">
        <v>40</v>
      </c>
      <c r="J136" s="5" t="s">
        <v>8585</v>
      </c>
      <c r="K136" s="5" t="s">
        <v>8586</v>
      </c>
      <c r="L136" s="6" t="s">
        <v>42</v>
      </c>
      <c r="M136" s="5" t="s">
        <v>612</v>
      </c>
      <c r="N136" s="5" t="s">
        <v>64</v>
      </c>
      <c r="O136" s="5" t="s">
        <v>12589</v>
      </c>
      <c r="P136" s="6">
        <v>11377.0</v>
      </c>
    </row>
    <row r="137" ht="56.25" customHeight="1">
      <c r="A137" s="5" t="s">
        <v>12564</v>
      </c>
      <c r="B137" s="6" t="str">
        <f>image("https://storage.googleapis.com/acdb/bottoms/BottomsTexPantsNormalComedian7.png")</f>
        <v/>
      </c>
      <c r="C137" s="5" t="s">
        <v>57</v>
      </c>
      <c r="D137" s="5" t="s">
        <v>36</v>
      </c>
      <c r="E137" s="6">
        <v>2100.0</v>
      </c>
      <c r="F137" s="6">
        <v>525.0</v>
      </c>
      <c r="G137" s="5" t="s">
        <v>57</v>
      </c>
      <c r="H137" s="5" t="s">
        <v>54</v>
      </c>
      <c r="I137" s="6" t="s">
        <v>40</v>
      </c>
      <c r="J137" s="5" t="s">
        <v>8585</v>
      </c>
      <c r="K137" s="5" t="s">
        <v>8586</v>
      </c>
      <c r="L137" s="6" t="s">
        <v>42</v>
      </c>
      <c r="M137" s="5" t="s">
        <v>612</v>
      </c>
      <c r="N137" s="5" t="s">
        <v>64</v>
      </c>
      <c r="O137" s="5" t="s">
        <v>12593</v>
      </c>
      <c r="P137" s="6">
        <v>11378.0</v>
      </c>
    </row>
    <row r="138" ht="56.25" customHeight="1">
      <c r="A138" s="5" t="s">
        <v>12594</v>
      </c>
      <c r="B138" s="6" t="str">
        <f>image("https://storage.googleapis.com/acdb/bottoms/BottomsTexPantsHalfComic0.png")</f>
        <v/>
      </c>
      <c r="C138" s="5" t="s">
        <v>54</v>
      </c>
      <c r="D138" s="5" t="s">
        <v>36</v>
      </c>
      <c r="E138" s="6">
        <v>1140.0</v>
      </c>
      <c r="F138" s="6">
        <v>285.0</v>
      </c>
      <c r="G138" s="5" t="s">
        <v>58</v>
      </c>
      <c r="H138" s="5" t="s">
        <v>54</v>
      </c>
      <c r="I138" s="6" t="s">
        <v>40</v>
      </c>
      <c r="J138" s="5" t="s">
        <v>8585</v>
      </c>
      <c r="K138" s="5" t="s">
        <v>8586</v>
      </c>
      <c r="L138" s="6" t="s">
        <v>42</v>
      </c>
      <c r="M138" s="5" t="s">
        <v>1952</v>
      </c>
      <c r="N138" s="5" t="s">
        <v>64</v>
      </c>
      <c r="O138" s="5" t="s">
        <v>12597</v>
      </c>
      <c r="P138" s="6">
        <v>5411.0</v>
      </c>
    </row>
    <row r="139" ht="56.25" customHeight="1">
      <c r="A139" s="5" t="s">
        <v>12598</v>
      </c>
      <c r="B139" s="6" t="str">
        <f>image("https://storage.googleapis.com/acdb/bottoms/BottomsTexPantsWideCorduroy0.png")</f>
        <v/>
      </c>
      <c r="C139" s="5" t="s">
        <v>2408</v>
      </c>
      <c r="D139" s="5" t="s">
        <v>36</v>
      </c>
      <c r="E139" s="6">
        <v>1040.0</v>
      </c>
      <c r="F139" s="6">
        <v>260.0</v>
      </c>
      <c r="G139" s="5" t="s">
        <v>142</v>
      </c>
      <c r="H139" s="5" t="s">
        <v>142</v>
      </c>
      <c r="I139" s="6" t="s">
        <v>40</v>
      </c>
      <c r="J139" s="5" t="s">
        <v>8585</v>
      </c>
      <c r="K139" s="5" t="s">
        <v>8632</v>
      </c>
      <c r="L139" s="6" t="s">
        <v>42</v>
      </c>
      <c r="M139" s="5" t="s">
        <v>995</v>
      </c>
      <c r="N139" s="5" t="s">
        <v>64</v>
      </c>
      <c r="O139" s="5" t="s">
        <v>12602</v>
      </c>
      <c r="P139" s="6">
        <v>4602.0</v>
      </c>
    </row>
    <row r="140" ht="56.25" customHeight="1">
      <c r="A140" s="5" t="s">
        <v>12598</v>
      </c>
      <c r="B140" s="6" t="str">
        <f>image("https://storage.googleapis.com/acdb/bottoms/BottomsTexPantsWideCorduroy1.png")</f>
        <v/>
      </c>
      <c r="C140" s="5" t="s">
        <v>39</v>
      </c>
      <c r="D140" s="5" t="s">
        <v>36</v>
      </c>
      <c r="E140" s="6">
        <v>1040.0</v>
      </c>
      <c r="F140" s="6">
        <v>260.0</v>
      </c>
      <c r="G140" s="5" t="s">
        <v>39</v>
      </c>
      <c r="H140" s="5" t="s">
        <v>39</v>
      </c>
      <c r="I140" s="6" t="s">
        <v>40</v>
      </c>
      <c r="J140" s="5" t="s">
        <v>8585</v>
      </c>
      <c r="K140" s="5" t="s">
        <v>8632</v>
      </c>
      <c r="L140" s="6" t="s">
        <v>42</v>
      </c>
      <c r="M140" s="5" t="s">
        <v>995</v>
      </c>
      <c r="N140" s="5" t="s">
        <v>64</v>
      </c>
      <c r="O140" s="5" t="s">
        <v>12605</v>
      </c>
      <c r="P140" s="6">
        <v>9725.0</v>
      </c>
    </row>
    <row r="141" ht="56.25" customHeight="1">
      <c r="A141" s="5" t="s">
        <v>12598</v>
      </c>
      <c r="B141" s="6" t="str">
        <f>image("https://storage.googleapis.com/acdb/bottoms/BottomsTexPantsWideCorduroy2.png")</f>
        <v/>
      </c>
      <c r="C141" s="5" t="s">
        <v>69</v>
      </c>
      <c r="D141" s="5" t="s">
        <v>36</v>
      </c>
      <c r="E141" s="6">
        <v>1040.0</v>
      </c>
      <c r="F141" s="6">
        <v>260.0</v>
      </c>
      <c r="G141" s="5" t="s">
        <v>69</v>
      </c>
      <c r="H141" s="5" t="s">
        <v>69</v>
      </c>
      <c r="I141" s="6" t="s">
        <v>40</v>
      </c>
      <c r="J141" s="5" t="s">
        <v>8585</v>
      </c>
      <c r="K141" s="5" t="s">
        <v>8632</v>
      </c>
      <c r="L141" s="6" t="s">
        <v>42</v>
      </c>
      <c r="M141" s="5" t="s">
        <v>995</v>
      </c>
      <c r="N141" s="5" t="s">
        <v>64</v>
      </c>
      <c r="O141" s="5" t="s">
        <v>12609</v>
      </c>
      <c r="P141" s="6">
        <v>9726.0</v>
      </c>
    </row>
    <row r="142" ht="56.25" customHeight="1">
      <c r="A142" s="5" t="s">
        <v>12598</v>
      </c>
      <c r="B142" s="6" t="str">
        <f>image("https://storage.googleapis.com/acdb/bottoms/BottomsTexPantsWideCorduroy3.png")</f>
        <v/>
      </c>
      <c r="C142" s="5" t="s">
        <v>96</v>
      </c>
      <c r="D142" s="5" t="s">
        <v>36</v>
      </c>
      <c r="E142" s="6">
        <v>1040.0</v>
      </c>
      <c r="F142" s="6">
        <v>260.0</v>
      </c>
      <c r="G142" s="5" t="s">
        <v>96</v>
      </c>
      <c r="H142" s="5" t="s">
        <v>96</v>
      </c>
      <c r="I142" s="6" t="s">
        <v>40</v>
      </c>
      <c r="J142" s="5" t="s">
        <v>8585</v>
      </c>
      <c r="K142" s="5" t="s">
        <v>8632</v>
      </c>
      <c r="L142" s="6" t="s">
        <v>42</v>
      </c>
      <c r="M142" s="5" t="s">
        <v>995</v>
      </c>
      <c r="N142" s="5" t="s">
        <v>64</v>
      </c>
      <c r="O142" s="5" t="s">
        <v>12612</v>
      </c>
      <c r="P142" s="6">
        <v>9727.0</v>
      </c>
    </row>
    <row r="143" ht="56.25" customHeight="1">
      <c r="A143" s="5" t="s">
        <v>12598</v>
      </c>
      <c r="B143" s="6" t="str">
        <f>image("https://storage.googleapis.com/acdb/bottoms/BottomsTexPantsWideCorduroy4.png")</f>
        <v/>
      </c>
      <c r="C143" s="5" t="s">
        <v>11996</v>
      </c>
      <c r="D143" s="5" t="s">
        <v>36</v>
      </c>
      <c r="E143" s="6">
        <v>1040.0</v>
      </c>
      <c r="F143" s="6">
        <v>260.0</v>
      </c>
      <c r="G143" s="5" t="s">
        <v>95</v>
      </c>
      <c r="H143" s="5" t="s">
        <v>95</v>
      </c>
      <c r="I143" s="6" t="s">
        <v>40</v>
      </c>
      <c r="J143" s="5" t="s">
        <v>8585</v>
      </c>
      <c r="K143" s="5" t="s">
        <v>8632</v>
      </c>
      <c r="L143" s="6" t="s">
        <v>42</v>
      </c>
      <c r="M143" s="5" t="s">
        <v>995</v>
      </c>
      <c r="N143" s="5" t="s">
        <v>64</v>
      </c>
      <c r="O143" s="5" t="s">
        <v>12617</v>
      </c>
      <c r="P143" s="6">
        <v>9728.0</v>
      </c>
    </row>
    <row r="144" ht="56.25" customHeight="1">
      <c r="A144" s="5" t="s">
        <v>12598</v>
      </c>
      <c r="B144" s="6" t="str">
        <f>image("https://storage.googleapis.com/acdb/bottoms/BottomsTexPantsWideCorduroy5.png")</f>
        <v/>
      </c>
      <c r="C144" s="5" t="s">
        <v>54</v>
      </c>
      <c r="D144" s="5" t="s">
        <v>36</v>
      </c>
      <c r="E144" s="6">
        <v>1040.0</v>
      </c>
      <c r="F144" s="6">
        <v>260.0</v>
      </c>
      <c r="G144" s="5" t="s">
        <v>54</v>
      </c>
      <c r="H144" s="5" t="s">
        <v>54</v>
      </c>
      <c r="I144" s="6" t="s">
        <v>40</v>
      </c>
      <c r="J144" s="5" t="s">
        <v>8585</v>
      </c>
      <c r="K144" s="5" t="s">
        <v>8632</v>
      </c>
      <c r="L144" s="6" t="s">
        <v>42</v>
      </c>
      <c r="M144" s="5" t="s">
        <v>995</v>
      </c>
      <c r="N144" s="5" t="s">
        <v>64</v>
      </c>
      <c r="O144" s="5" t="s">
        <v>12620</v>
      </c>
      <c r="P144" s="6">
        <v>9729.0</v>
      </c>
    </row>
    <row r="145" ht="56.25" customHeight="1">
      <c r="A145" s="5" t="s">
        <v>12622</v>
      </c>
      <c r="B145" s="6" t="str">
        <f>image("https://storage.googleapis.com/acdb/bottoms/BottomsTexSkirtBoxCorduroy0.png")</f>
        <v/>
      </c>
      <c r="C145" s="5" t="s">
        <v>39</v>
      </c>
      <c r="D145" s="5" t="s">
        <v>36</v>
      </c>
      <c r="E145" s="6">
        <v>1040.0</v>
      </c>
      <c r="F145" s="6">
        <v>260.0</v>
      </c>
      <c r="G145" s="5" t="s">
        <v>39</v>
      </c>
      <c r="H145" s="5" t="s">
        <v>39</v>
      </c>
      <c r="I145" s="6" t="s">
        <v>40</v>
      </c>
      <c r="J145" s="5" t="s">
        <v>8585</v>
      </c>
      <c r="K145" s="5" t="s">
        <v>8632</v>
      </c>
      <c r="L145" s="6" t="s">
        <v>42</v>
      </c>
      <c r="M145" s="5" t="s">
        <v>995</v>
      </c>
      <c r="N145" s="5" t="s">
        <v>64</v>
      </c>
      <c r="O145" s="5" t="s">
        <v>12625</v>
      </c>
      <c r="P145" s="6">
        <v>4296.0</v>
      </c>
    </row>
    <row r="146" ht="56.25" customHeight="1">
      <c r="A146" s="5" t="s">
        <v>12622</v>
      </c>
      <c r="B146" s="6" t="str">
        <f>image("https://storage.googleapis.com/acdb/bottoms/BottomsTexSkirtBoxCorduroy1.png")</f>
        <v/>
      </c>
      <c r="C146" s="5" t="s">
        <v>2408</v>
      </c>
      <c r="D146" s="5" t="s">
        <v>36</v>
      </c>
      <c r="E146" s="6">
        <v>1040.0</v>
      </c>
      <c r="F146" s="6">
        <v>260.0</v>
      </c>
      <c r="G146" s="5" t="s">
        <v>142</v>
      </c>
      <c r="H146" s="5" t="s">
        <v>142</v>
      </c>
      <c r="I146" s="6" t="s">
        <v>40</v>
      </c>
      <c r="J146" s="5" t="s">
        <v>8585</v>
      </c>
      <c r="K146" s="5" t="s">
        <v>8632</v>
      </c>
      <c r="L146" s="6" t="s">
        <v>42</v>
      </c>
      <c r="M146" s="5" t="s">
        <v>995</v>
      </c>
      <c r="N146" s="5" t="s">
        <v>64</v>
      </c>
      <c r="O146" s="5" t="s">
        <v>12628</v>
      </c>
      <c r="P146" s="6">
        <v>11145.0</v>
      </c>
    </row>
    <row r="147" ht="56.25" customHeight="1">
      <c r="A147" s="5" t="s">
        <v>12622</v>
      </c>
      <c r="B147" s="6" t="str">
        <f>image("https://storage.googleapis.com/acdb/bottoms/BottomsTexSkirtBoxCorduroy2.png")</f>
        <v/>
      </c>
      <c r="C147" s="5" t="s">
        <v>69</v>
      </c>
      <c r="D147" s="5" t="s">
        <v>36</v>
      </c>
      <c r="E147" s="6">
        <v>1040.0</v>
      </c>
      <c r="F147" s="6">
        <v>260.0</v>
      </c>
      <c r="G147" s="5" t="s">
        <v>69</v>
      </c>
      <c r="H147" s="5" t="s">
        <v>69</v>
      </c>
      <c r="I147" s="6" t="s">
        <v>40</v>
      </c>
      <c r="J147" s="5" t="s">
        <v>8585</v>
      </c>
      <c r="K147" s="5" t="s">
        <v>8632</v>
      </c>
      <c r="L147" s="6" t="s">
        <v>42</v>
      </c>
      <c r="M147" s="5" t="s">
        <v>995</v>
      </c>
      <c r="N147" s="5" t="s">
        <v>64</v>
      </c>
      <c r="O147" s="5" t="s">
        <v>12632</v>
      </c>
      <c r="P147" s="6">
        <v>11146.0</v>
      </c>
    </row>
    <row r="148" ht="56.25" customHeight="1">
      <c r="A148" s="5" t="s">
        <v>12622</v>
      </c>
      <c r="B148" s="6" t="str">
        <f>image("https://storage.googleapis.com/acdb/bottoms/BottomsTexSkirtBoxCorduroy3.png")</f>
        <v/>
      </c>
      <c r="C148" s="5" t="s">
        <v>96</v>
      </c>
      <c r="D148" s="5" t="s">
        <v>36</v>
      </c>
      <c r="E148" s="6">
        <v>1040.0</v>
      </c>
      <c r="F148" s="6">
        <v>260.0</v>
      </c>
      <c r="G148" s="5" t="s">
        <v>96</v>
      </c>
      <c r="H148" s="5" t="s">
        <v>96</v>
      </c>
      <c r="I148" s="6" t="s">
        <v>40</v>
      </c>
      <c r="J148" s="5" t="s">
        <v>8585</v>
      </c>
      <c r="K148" s="5" t="s">
        <v>8632</v>
      </c>
      <c r="L148" s="6" t="s">
        <v>42</v>
      </c>
      <c r="M148" s="5" t="s">
        <v>995</v>
      </c>
      <c r="N148" s="5" t="s">
        <v>64</v>
      </c>
      <c r="O148" s="5" t="s">
        <v>12635</v>
      </c>
      <c r="P148" s="6">
        <v>11147.0</v>
      </c>
    </row>
    <row r="149" ht="56.25" customHeight="1">
      <c r="A149" s="5" t="s">
        <v>12622</v>
      </c>
      <c r="B149" s="6" t="str">
        <f>image("https://storage.googleapis.com/acdb/bottoms/BottomsTexSkirtBoxCorduroy4.png")</f>
        <v/>
      </c>
      <c r="C149" s="5" t="s">
        <v>11996</v>
      </c>
      <c r="D149" s="5" t="s">
        <v>36</v>
      </c>
      <c r="E149" s="6">
        <v>1040.0</v>
      </c>
      <c r="F149" s="6">
        <v>260.0</v>
      </c>
      <c r="G149" s="5" t="s">
        <v>95</v>
      </c>
      <c r="H149" s="5" t="s">
        <v>95</v>
      </c>
      <c r="I149" s="6" t="s">
        <v>40</v>
      </c>
      <c r="J149" s="5" t="s">
        <v>8585</v>
      </c>
      <c r="K149" s="5" t="s">
        <v>8632</v>
      </c>
      <c r="L149" s="6" t="s">
        <v>42</v>
      </c>
      <c r="M149" s="5" t="s">
        <v>995</v>
      </c>
      <c r="N149" s="5" t="s">
        <v>64</v>
      </c>
      <c r="O149" s="5" t="s">
        <v>12639</v>
      </c>
      <c r="P149" s="6">
        <v>11148.0</v>
      </c>
    </row>
    <row r="150" ht="56.25" customHeight="1">
      <c r="A150" s="5" t="s">
        <v>12622</v>
      </c>
      <c r="B150" s="6" t="str">
        <f>image("https://storage.googleapis.com/acdb/bottoms/BottomsTexSkirtBoxCorduroy5.png")</f>
        <v/>
      </c>
      <c r="C150" s="5" t="s">
        <v>54</v>
      </c>
      <c r="D150" s="5" t="s">
        <v>36</v>
      </c>
      <c r="E150" s="6">
        <v>1040.0</v>
      </c>
      <c r="F150" s="6">
        <v>260.0</v>
      </c>
      <c r="G150" s="5" t="s">
        <v>54</v>
      </c>
      <c r="H150" s="5" t="s">
        <v>54</v>
      </c>
      <c r="I150" s="6" t="s">
        <v>40</v>
      </c>
      <c r="J150" s="5" t="s">
        <v>8585</v>
      </c>
      <c r="K150" s="5" t="s">
        <v>8632</v>
      </c>
      <c r="L150" s="6" t="s">
        <v>42</v>
      </c>
      <c r="M150" s="5" t="s">
        <v>995</v>
      </c>
      <c r="N150" s="5" t="s">
        <v>64</v>
      </c>
      <c r="O150" s="5" t="s">
        <v>12642</v>
      </c>
      <c r="P150" s="6">
        <v>11149.0</v>
      </c>
    </row>
    <row r="151" ht="56.25" customHeight="1">
      <c r="A151" s="5" t="s">
        <v>12643</v>
      </c>
      <c r="B151" s="6" t="str">
        <f>image("https://storage.googleapis.com/acdb/bottoms/BottomsTexSkirtLongCorte0.png")</f>
        <v/>
      </c>
      <c r="C151" s="5" t="s">
        <v>68</v>
      </c>
      <c r="D151" s="5" t="s">
        <v>36</v>
      </c>
      <c r="E151" s="6">
        <v>880.0</v>
      </c>
      <c r="F151" s="6">
        <v>220.0</v>
      </c>
      <c r="G151" s="5" t="s">
        <v>83</v>
      </c>
      <c r="H151" s="5" t="s">
        <v>68</v>
      </c>
      <c r="I151" s="6" t="s">
        <v>40</v>
      </c>
      <c r="J151" s="5" t="s">
        <v>8585</v>
      </c>
      <c r="K151" s="5" t="s">
        <v>8586</v>
      </c>
      <c r="L151" s="6" t="s">
        <v>42</v>
      </c>
      <c r="M151" s="5" t="s">
        <v>995</v>
      </c>
      <c r="N151" s="5" t="s">
        <v>64</v>
      </c>
      <c r="O151" s="5" t="s">
        <v>12646</v>
      </c>
      <c r="P151" s="6">
        <v>5781.0</v>
      </c>
    </row>
    <row r="152" ht="56.25" customHeight="1">
      <c r="A152" s="5" t="s">
        <v>12643</v>
      </c>
      <c r="B152" s="6" t="str">
        <f>image("https://storage.googleapis.com/acdb/bottoms/BottomsTexSkirtLongCorte1.png")</f>
        <v/>
      </c>
      <c r="C152" s="5" t="s">
        <v>1196</v>
      </c>
      <c r="D152" s="5" t="s">
        <v>36</v>
      </c>
      <c r="E152" s="6">
        <v>880.0</v>
      </c>
      <c r="F152" s="6">
        <v>220.0</v>
      </c>
      <c r="G152" s="5" t="s">
        <v>69</v>
      </c>
      <c r="H152" s="5" t="s">
        <v>52</v>
      </c>
      <c r="I152" s="6" t="s">
        <v>40</v>
      </c>
      <c r="J152" s="5" t="s">
        <v>8585</v>
      </c>
      <c r="K152" s="5" t="s">
        <v>8586</v>
      </c>
      <c r="L152" s="6" t="s">
        <v>42</v>
      </c>
      <c r="M152" s="5" t="s">
        <v>995</v>
      </c>
      <c r="N152" s="5" t="s">
        <v>64</v>
      </c>
      <c r="O152" s="5" t="s">
        <v>12649</v>
      </c>
      <c r="P152" s="6">
        <v>8747.0</v>
      </c>
    </row>
    <row r="153" ht="56.25" customHeight="1">
      <c r="A153" s="5" t="s">
        <v>12643</v>
      </c>
      <c r="B153" s="6" t="str">
        <f>image("https://storage.googleapis.com/acdb/bottoms/BottomsTexSkirtLongCorte2.png")</f>
        <v/>
      </c>
      <c r="C153" s="5" t="s">
        <v>96</v>
      </c>
      <c r="D153" s="5" t="s">
        <v>36</v>
      </c>
      <c r="E153" s="6">
        <v>880.0</v>
      </c>
      <c r="F153" s="6">
        <v>220.0</v>
      </c>
      <c r="G153" s="5" t="s">
        <v>96</v>
      </c>
      <c r="H153" s="5" t="s">
        <v>96</v>
      </c>
      <c r="I153" s="6" t="s">
        <v>40</v>
      </c>
      <c r="J153" s="5" t="s">
        <v>8585</v>
      </c>
      <c r="K153" s="5" t="s">
        <v>8586</v>
      </c>
      <c r="L153" s="6" t="s">
        <v>42</v>
      </c>
      <c r="M153" s="5" t="s">
        <v>995</v>
      </c>
      <c r="N153" s="5" t="s">
        <v>64</v>
      </c>
      <c r="O153" s="5" t="s">
        <v>12652</v>
      </c>
      <c r="P153" s="6">
        <v>8748.0</v>
      </c>
    </row>
    <row r="154" ht="56.25" customHeight="1">
      <c r="A154" s="5" t="s">
        <v>12653</v>
      </c>
      <c r="B154" s="6" t="str">
        <f>image("https://storage.googleapis.com/acdb/bottoms/BottomsTexPantsNormalCropped0.png")</f>
        <v/>
      </c>
      <c r="C154" s="5" t="s">
        <v>54</v>
      </c>
      <c r="D154" s="5" t="s">
        <v>36</v>
      </c>
      <c r="E154" s="6">
        <v>920.0</v>
      </c>
      <c r="F154" s="6">
        <v>230.0</v>
      </c>
      <c r="G154" s="5" t="s">
        <v>54</v>
      </c>
      <c r="H154" s="5" t="s">
        <v>54</v>
      </c>
      <c r="I154" s="6" t="s">
        <v>40</v>
      </c>
      <c r="J154" s="5" t="s">
        <v>8585</v>
      </c>
      <c r="K154" s="5" t="s">
        <v>8632</v>
      </c>
      <c r="L154" s="6" t="s">
        <v>42</v>
      </c>
      <c r="M154" s="5" t="s">
        <v>995</v>
      </c>
      <c r="N154" s="5" t="s">
        <v>64</v>
      </c>
      <c r="O154" s="5" t="s">
        <v>12655</v>
      </c>
      <c r="P154" s="6">
        <v>4408.0</v>
      </c>
    </row>
    <row r="155" ht="56.25" customHeight="1">
      <c r="A155" s="5" t="s">
        <v>12653</v>
      </c>
      <c r="B155" s="6" t="str">
        <f>image("https://storage.googleapis.com/acdb/bottoms/BottomsTexPantsNormalCropped1.png")</f>
        <v/>
      </c>
      <c r="C155" s="5" t="s">
        <v>57</v>
      </c>
      <c r="D155" s="5" t="s">
        <v>36</v>
      </c>
      <c r="E155" s="6">
        <v>920.0</v>
      </c>
      <c r="F155" s="6">
        <v>230.0</v>
      </c>
      <c r="G155" s="5" t="s">
        <v>57</v>
      </c>
      <c r="H155" s="5" t="s">
        <v>57</v>
      </c>
      <c r="I155" s="6" t="s">
        <v>40</v>
      </c>
      <c r="J155" s="5" t="s">
        <v>8585</v>
      </c>
      <c r="K155" s="5" t="s">
        <v>8632</v>
      </c>
      <c r="L155" s="6" t="s">
        <v>42</v>
      </c>
      <c r="M155" s="5" t="s">
        <v>995</v>
      </c>
      <c r="N155" s="5" t="s">
        <v>64</v>
      </c>
      <c r="O155" s="5" t="s">
        <v>12658</v>
      </c>
      <c r="P155" s="6">
        <v>9707.0</v>
      </c>
    </row>
    <row r="156" ht="56.25" customHeight="1">
      <c r="A156" s="5" t="s">
        <v>12653</v>
      </c>
      <c r="B156" s="6" t="str">
        <f>image("https://storage.googleapis.com/acdb/bottoms/BottomsTexPantsNormalCropped2.png")</f>
        <v/>
      </c>
      <c r="C156" s="5" t="s">
        <v>69</v>
      </c>
      <c r="D156" s="5" t="s">
        <v>36</v>
      </c>
      <c r="E156" s="6">
        <v>920.0</v>
      </c>
      <c r="F156" s="6">
        <v>230.0</v>
      </c>
      <c r="G156" s="5" t="s">
        <v>69</v>
      </c>
      <c r="H156" s="5" t="s">
        <v>69</v>
      </c>
      <c r="I156" s="6" t="s">
        <v>40</v>
      </c>
      <c r="J156" s="5" t="s">
        <v>8585</v>
      </c>
      <c r="K156" s="5" t="s">
        <v>8632</v>
      </c>
      <c r="L156" s="6" t="s">
        <v>42</v>
      </c>
      <c r="M156" s="5" t="s">
        <v>995</v>
      </c>
      <c r="N156" s="5" t="s">
        <v>64</v>
      </c>
      <c r="O156" s="5" t="s">
        <v>12661</v>
      </c>
      <c r="P156" s="6">
        <v>9708.0</v>
      </c>
    </row>
    <row r="157" ht="56.25" customHeight="1">
      <c r="A157" s="5" t="s">
        <v>12653</v>
      </c>
      <c r="B157" s="6" t="str">
        <f>image("https://storage.googleapis.com/acdb/bottoms/BottomsTexPantsNormalCropped3.png")</f>
        <v/>
      </c>
      <c r="C157" s="5" t="s">
        <v>83</v>
      </c>
      <c r="D157" s="5" t="s">
        <v>36</v>
      </c>
      <c r="E157" s="6">
        <v>920.0</v>
      </c>
      <c r="F157" s="6">
        <v>230.0</v>
      </c>
      <c r="G157" s="5" t="s">
        <v>83</v>
      </c>
      <c r="H157" s="5" t="s">
        <v>83</v>
      </c>
      <c r="I157" s="6" t="s">
        <v>40</v>
      </c>
      <c r="J157" s="5" t="s">
        <v>8585</v>
      </c>
      <c r="K157" s="5" t="s">
        <v>8632</v>
      </c>
      <c r="L157" s="6" t="s">
        <v>42</v>
      </c>
      <c r="M157" s="5" t="s">
        <v>995</v>
      </c>
      <c r="N157" s="5" t="s">
        <v>64</v>
      </c>
      <c r="O157" s="5" t="s">
        <v>12663</v>
      </c>
      <c r="P157" s="6">
        <v>9709.0</v>
      </c>
    </row>
    <row r="158" ht="56.25" customHeight="1">
      <c r="A158" s="5" t="s">
        <v>12653</v>
      </c>
      <c r="B158" s="6" t="str">
        <f>image("https://storage.googleapis.com/acdb/bottoms/BottomsTexPantsNormalCropped4.png")</f>
        <v/>
      </c>
      <c r="C158" s="5" t="s">
        <v>38</v>
      </c>
      <c r="D158" s="5" t="s">
        <v>36</v>
      </c>
      <c r="E158" s="6">
        <v>920.0</v>
      </c>
      <c r="F158" s="6">
        <v>230.0</v>
      </c>
      <c r="G158" s="5" t="s">
        <v>38</v>
      </c>
      <c r="H158" s="5" t="s">
        <v>38</v>
      </c>
      <c r="I158" s="6" t="s">
        <v>40</v>
      </c>
      <c r="J158" s="5" t="s">
        <v>8585</v>
      </c>
      <c r="K158" s="5" t="s">
        <v>8632</v>
      </c>
      <c r="L158" s="6" t="s">
        <v>42</v>
      </c>
      <c r="M158" s="5" t="s">
        <v>995</v>
      </c>
      <c r="N158" s="5" t="s">
        <v>64</v>
      </c>
      <c r="O158" s="5" t="s">
        <v>12668</v>
      </c>
      <c r="P158" s="6">
        <v>9710.0</v>
      </c>
    </row>
    <row r="159" ht="56.25" customHeight="1">
      <c r="A159" s="5" t="s">
        <v>12653</v>
      </c>
      <c r="B159" s="6" t="str">
        <f>image("https://storage.googleapis.com/acdb/bottoms/BottomsTexPantsNormalCropped5.png")</f>
        <v/>
      </c>
      <c r="C159" s="5" t="s">
        <v>142</v>
      </c>
      <c r="D159" s="5" t="s">
        <v>36</v>
      </c>
      <c r="E159" s="6">
        <v>920.0</v>
      </c>
      <c r="F159" s="6">
        <v>230.0</v>
      </c>
      <c r="G159" s="5" t="s">
        <v>142</v>
      </c>
      <c r="H159" s="5" t="s">
        <v>142</v>
      </c>
      <c r="I159" s="6" t="s">
        <v>40</v>
      </c>
      <c r="J159" s="5" t="s">
        <v>8585</v>
      </c>
      <c r="K159" s="5" t="s">
        <v>8632</v>
      </c>
      <c r="L159" s="6" t="s">
        <v>42</v>
      </c>
      <c r="M159" s="5" t="s">
        <v>995</v>
      </c>
      <c r="N159" s="5" t="s">
        <v>64</v>
      </c>
      <c r="O159" s="5" t="s">
        <v>12673</v>
      </c>
      <c r="P159" s="6">
        <v>9711.0</v>
      </c>
    </row>
    <row r="160" ht="56.25" customHeight="1">
      <c r="A160" s="5" t="s">
        <v>12653</v>
      </c>
      <c r="B160" s="6" t="str">
        <f>image("https://storage.googleapis.com/acdb/bottoms/BottomsTexPantsNormalCropped6.png")</f>
        <v/>
      </c>
      <c r="C160" s="5" t="s">
        <v>68</v>
      </c>
      <c r="D160" s="5" t="s">
        <v>36</v>
      </c>
      <c r="E160" s="6">
        <v>920.0</v>
      </c>
      <c r="F160" s="6">
        <v>230.0</v>
      </c>
      <c r="G160" s="5" t="s">
        <v>68</v>
      </c>
      <c r="H160" s="5" t="s">
        <v>68</v>
      </c>
      <c r="I160" s="6" t="s">
        <v>40</v>
      </c>
      <c r="J160" s="5" t="s">
        <v>8585</v>
      </c>
      <c r="K160" s="5" t="s">
        <v>8632</v>
      </c>
      <c r="L160" s="6" t="s">
        <v>42</v>
      </c>
      <c r="M160" s="5" t="s">
        <v>995</v>
      </c>
      <c r="N160" s="5" t="s">
        <v>64</v>
      </c>
      <c r="O160" s="5" t="s">
        <v>12677</v>
      </c>
      <c r="P160" s="6">
        <v>9712.0</v>
      </c>
    </row>
    <row r="161" ht="56.25" customHeight="1">
      <c r="A161" s="5" t="s">
        <v>12653</v>
      </c>
      <c r="B161" s="6" t="str">
        <f>image("https://storage.googleapis.com/acdb/bottoms/BottomsTexPantsNormalCropped7.png")</f>
        <v/>
      </c>
      <c r="C161" s="5" t="s">
        <v>114</v>
      </c>
      <c r="D161" s="5" t="s">
        <v>36</v>
      </c>
      <c r="E161" s="6">
        <v>920.0</v>
      </c>
      <c r="F161" s="6">
        <v>230.0</v>
      </c>
      <c r="G161" s="5" t="s">
        <v>114</v>
      </c>
      <c r="H161" s="5" t="s">
        <v>114</v>
      </c>
      <c r="I161" s="6" t="s">
        <v>40</v>
      </c>
      <c r="J161" s="5" t="s">
        <v>8585</v>
      </c>
      <c r="K161" s="5" t="s">
        <v>8632</v>
      </c>
      <c r="L161" s="6" t="s">
        <v>42</v>
      </c>
      <c r="M161" s="5" t="s">
        <v>995</v>
      </c>
      <c r="N161" s="5" t="s">
        <v>64</v>
      </c>
      <c r="O161" s="5" t="s">
        <v>12680</v>
      </c>
      <c r="P161" s="6">
        <v>9713.0</v>
      </c>
    </row>
    <row r="162" ht="56.25" customHeight="1">
      <c r="A162" s="5" t="s">
        <v>12681</v>
      </c>
      <c r="B162" s="6" t="str">
        <f>image("https://storage.googleapis.com/acdb/bottoms/BottomsTexPantsWideSusomise0.png")</f>
        <v/>
      </c>
      <c r="C162" s="5" t="s">
        <v>39</v>
      </c>
      <c r="D162" s="5" t="s">
        <v>36</v>
      </c>
      <c r="E162" s="6">
        <v>1100.0</v>
      </c>
      <c r="F162" s="6">
        <v>275.0</v>
      </c>
      <c r="G162" s="5" t="s">
        <v>39</v>
      </c>
      <c r="H162" s="5" t="s">
        <v>38</v>
      </c>
      <c r="I162" s="6" t="s">
        <v>40</v>
      </c>
      <c r="J162" s="5" t="s">
        <v>8585</v>
      </c>
      <c r="K162" s="5" t="s">
        <v>8632</v>
      </c>
      <c r="L162" s="6" t="s">
        <v>42</v>
      </c>
      <c r="M162" s="5" t="s">
        <v>995</v>
      </c>
      <c r="N162" s="5" t="s">
        <v>64</v>
      </c>
      <c r="O162" s="5" t="s">
        <v>12684</v>
      </c>
      <c r="P162" s="6">
        <v>3353.0</v>
      </c>
    </row>
    <row r="163" ht="56.25" customHeight="1">
      <c r="A163" s="5" t="s">
        <v>12681</v>
      </c>
      <c r="B163" s="6" t="str">
        <f>image("https://storage.googleapis.com/acdb/bottoms/BottomsTexPantsWideSusomise1.png")</f>
        <v/>
      </c>
      <c r="C163" s="5" t="s">
        <v>106</v>
      </c>
      <c r="D163" s="5" t="s">
        <v>36</v>
      </c>
      <c r="E163" s="6">
        <v>1100.0</v>
      </c>
      <c r="F163" s="6">
        <v>275.0</v>
      </c>
      <c r="G163" s="5" t="s">
        <v>106</v>
      </c>
      <c r="H163" s="5" t="s">
        <v>69</v>
      </c>
      <c r="I163" s="6" t="s">
        <v>40</v>
      </c>
      <c r="J163" s="5" t="s">
        <v>8585</v>
      </c>
      <c r="K163" s="5" t="s">
        <v>8632</v>
      </c>
      <c r="L163" s="6" t="s">
        <v>42</v>
      </c>
      <c r="M163" s="5" t="s">
        <v>995</v>
      </c>
      <c r="N163" s="5" t="s">
        <v>64</v>
      </c>
      <c r="O163" s="5" t="s">
        <v>12687</v>
      </c>
      <c r="P163" s="6">
        <v>9263.0</v>
      </c>
    </row>
    <row r="164" ht="56.25" customHeight="1">
      <c r="A164" s="5" t="s">
        <v>12681</v>
      </c>
      <c r="B164" s="6" t="str">
        <f>image("https://storage.googleapis.com/acdb/bottoms/BottomsTexPantsWideSusomise2.png")</f>
        <v/>
      </c>
      <c r="C164" s="5" t="s">
        <v>96</v>
      </c>
      <c r="D164" s="5" t="s">
        <v>36</v>
      </c>
      <c r="E164" s="6">
        <v>1100.0</v>
      </c>
      <c r="F164" s="6">
        <v>275.0</v>
      </c>
      <c r="G164" s="5" t="s">
        <v>96</v>
      </c>
      <c r="H164" s="5" t="s">
        <v>96</v>
      </c>
      <c r="I164" s="6" t="s">
        <v>40</v>
      </c>
      <c r="J164" s="5" t="s">
        <v>8585</v>
      </c>
      <c r="K164" s="5" t="s">
        <v>8632</v>
      </c>
      <c r="L164" s="6" t="s">
        <v>42</v>
      </c>
      <c r="M164" s="5" t="s">
        <v>995</v>
      </c>
      <c r="N164" s="5" t="s">
        <v>64</v>
      </c>
      <c r="O164" s="5" t="s">
        <v>12691</v>
      </c>
      <c r="P164" s="6">
        <v>9264.0</v>
      </c>
    </row>
    <row r="165" ht="56.25" customHeight="1">
      <c r="A165" s="5" t="s">
        <v>12681</v>
      </c>
      <c r="B165" s="6" t="str">
        <f>image("https://storage.googleapis.com/acdb/bottoms/BottomsTexPantsWideSusomise3.png")</f>
        <v/>
      </c>
      <c r="C165" s="5" t="s">
        <v>95</v>
      </c>
      <c r="D165" s="5" t="s">
        <v>36</v>
      </c>
      <c r="E165" s="6">
        <v>1100.0</v>
      </c>
      <c r="F165" s="6">
        <v>275.0</v>
      </c>
      <c r="G165" s="5" t="s">
        <v>54</v>
      </c>
      <c r="H165" s="5" t="s">
        <v>114</v>
      </c>
      <c r="I165" s="6" t="s">
        <v>40</v>
      </c>
      <c r="J165" s="5" t="s">
        <v>8585</v>
      </c>
      <c r="K165" s="5" t="s">
        <v>8632</v>
      </c>
      <c r="L165" s="6" t="s">
        <v>42</v>
      </c>
      <c r="M165" s="5" t="s">
        <v>995</v>
      </c>
      <c r="N165" s="5" t="s">
        <v>64</v>
      </c>
      <c r="O165" s="5" t="s">
        <v>12694</v>
      </c>
      <c r="P165" s="6">
        <v>9265.0</v>
      </c>
    </row>
    <row r="166" ht="56.25" customHeight="1">
      <c r="A166" s="5" t="s">
        <v>12696</v>
      </c>
      <c r="B166" s="6" t="str">
        <f>image("https://storage.googleapis.com/acdb/bottoms/BottomsTexPantsHotCulotte0.png")</f>
        <v/>
      </c>
      <c r="C166" s="5" t="s">
        <v>83</v>
      </c>
      <c r="D166" s="5" t="s">
        <v>36</v>
      </c>
      <c r="E166" s="6">
        <v>700.0</v>
      </c>
      <c r="F166" s="6">
        <v>175.0</v>
      </c>
      <c r="G166" s="5" t="s">
        <v>83</v>
      </c>
      <c r="H166" s="5" t="s">
        <v>83</v>
      </c>
      <c r="I166" s="6" t="s">
        <v>40</v>
      </c>
      <c r="J166" s="5" t="s">
        <v>8585</v>
      </c>
      <c r="K166" s="5" t="s">
        <v>8632</v>
      </c>
      <c r="L166" s="6" t="s">
        <v>42</v>
      </c>
      <c r="M166" s="5" t="s">
        <v>1959</v>
      </c>
      <c r="N166" s="5" t="s">
        <v>64</v>
      </c>
      <c r="O166" s="5" t="s">
        <v>12700</v>
      </c>
      <c r="P166" s="6">
        <v>4444.0</v>
      </c>
    </row>
    <row r="167" ht="56.25" customHeight="1">
      <c r="A167" s="5" t="s">
        <v>12696</v>
      </c>
      <c r="B167" s="6" t="str">
        <f>image("https://storage.googleapis.com/acdb/bottoms/BottomsTexPantsHotCulotte1.png")</f>
        <v/>
      </c>
      <c r="C167" s="5" t="s">
        <v>57</v>
      </c>
      <c r="D167" s="5" t="s">
        <v>36</v>
      </c>
      <c r="E167" s="6">
        <v>700.0</v>
      </c>
      <c r="F167" s="6">
        <v>175.0</v>
      </c>
      <c r="G167" s="5" t="s">
        <v>57</v>
      </c>
      <c r="H167" s="5" t="s">
        <v>57</v>
      </c>
      <c r="I167" s="6" t="s">
        <v>40</v>
      </c>
      <c r="J167" s="5" t="s">
        <v>8585</v>
      </c>
      <c r="K167" s="5" t="s">
        <v>8632</v>
      </c>
      <c r="L167" s="6" t="s">
        <v>42</v>
      </c>
      <c r="M167" s="5" t="s">
        <v>1959</v>
      </c>
      <c r="N167" s="5" t="s">
        <v>64</v>
      </c>
      <c r="O167" s="5" t="s">
        <v>12704</v>
      </c>
      <c r="P167" s="6">
        <v>6842.0</v>
      </c>
    </row>
    <row r="168" ht="56.25" customHeight="1">
      <c r="A168" s="5" t="s">
        <v>12696</v>
      </c>
      <c r="B168" s="6" t="str">
        <f>image("https://storage.googleapis.com/acdb/bottoms/BottomsTexPantsHotCulotte2.png")</f>
        <v/>
      </c>
      <c r="C168" s="5" t="s">
        <v>69</v>
      </c>
      <c r="D168" s="5" t="s">
        <v>36</v>
      </c>
      <c r="E168" s="6">
        <v>700.0</v>
      </c>
      <c r="F168" s="6">
        <v>175.0</v>
      </c>
      <c r="G168" s="5" t="s">
        <v>69</v>
      </c>
      <c r="H168" s="5" t="s">
        <v>69</v>
      </c>
      <c r="I168" s="6" t="s">
        <v>40</v>
      </c>
      <c r="J168" s="5" t="s">
        <v>8585</v>
      </c>
      <c r="K168" s="5" t="s">
        <v>8632</v>
      </c>
      <c r="L168" s="6" t="s">
        <v>42</v>
      </c>
      <c r="M168" s="5" t="s">
        <v>1959</v>
      </c>
      <c r="N168" s="5" t="s">
        <v>64</v>
      </c>
      <c r="O168" s="5" t="s">
        <v>12707</v>
      </c>
      <c r="P168" s="6">
        <v>8864.0</v>
      </c>
    </row>
    <row r="169" ht="56.25" customHeight="1">
      <c r="A169" s="5" t="s">
        <v>12696</v>
      </c>
      <c r="B169" s="6" t="str">
        <f>image("https://storage.googleapis.com/acdb/bottoms/BottomsTexPantsHotCulotte3.png")</f>
        <v/>
      </c>
      <c r="C169" s="5" t="s">
        <v>96</v>
      </c>
      <c r="D169" s="5" t="s">
        <v>36</v>
      </c>
      <c r="E169" s="6">
        <v>700.0</v>
      </c>
      <c r="F169" s="6">
        <v>175.0</v>
      </c>
      <c r="G169" s="5" t="s">
        <v>96</v>
      </c>
      <c r="H169" s="5" t="s">
        <v>96</v>
      </c>
      <c r="I169" s="6" t="s">
        <v>40</v>
      </c>
      <c r="J169" s="5" t="s">
        <v>8585</v>
      </c>
      <c r="K169" s="5" t="s">
        <v>8632</v>
      </c>
      <c r="L169" s="6" t="s">
        <v>42</v>
      </c>
      <c r="M169" s="5" t="s">
        <v>1959</v>
      </c>
      <c r="N169" s="5" t="s">
        <v>64</v>
      </c>
      <c r="O169" s="5" t="s">
        <v>12710</v>
      </c>
      <c r="P169" s="6">
        <v>8865.0</v>
      </c>
    </row>
    <row r="170" ht="56.25" customHeight="1">
      <c r="A170" s="5" t="s">
        <v>12711</v>
      </c>
      <c r="B170" s="6" t="str">
        <f>image("https://storage.googleapis.com/acdb/bottoms/BottomsTexSkirtLongCutleather0.png")</f>
        <v/>
      </c>
      <c r="C170" s="5" t="s">
        <v>39</v>
      </c>
      <c r="D170" s="5" t="s">
        <v>36</v>
      </c>
      <c r="E170" s="6">
        <v>1100.0</v>
      </c>
      <c r="F170" s="6">
        <v>275.0</v>
      </c>
      <c r="G170" s="5" t="s">
        <v>142</v>
      </c>
      <c r="H170" s="5" t="s">
        <v>142</v>
      </c>
      <c r="I170" s="6" t="s">
        <v>40</v>
      </c>
      <c r="J170" s="5" t="s">
        <v>8585</v>
      </c>
      <c r="K170" s="5" t="s">
        <v>8632</v>
      </c>
      <c r="L170" s="6" t="s">
        <v>42</v>
      </c>
      <c r="M170" s="5" t="s">
        <v>995</v>
      </c>
      <c r="N170" s="5" t="s">
        <v>64</v>
      </c>
      <c r="O170" s="5" t="s">
        <v>12715</v>
      </c>
      <c r="P170" s="6">
        <v>5810.0</v>
      </c>
    </row>
    <row r="171" ht="56.25" customHeight="1">
      <c r="A171" s="5" t="s">
        <v>12711</v>
      </c>
      <c r="B171" s="6" t="str">
        <f>image("https://storage.googleapis.com/acdb/bottoms/BottomsTexSkirtLongCutleather1.png")</f>
        <v/>
      </c>
      <c r="C171" s="5" t="s">
        <v>69</v>
      </c>
      <c r="D171" s="5" t="s">
        <v>36</v>
      </c>
      <c r="E171" s="6">
        <v>1100.0</v>
      </c>
      <c r="F171" s="6">
        <v>275.0</v>
      </c>
      <c r="G171" s="5" t="s">
        <v>69</v>
      </c>
      <c r="H171" s="5" t="s">
        <v>69</v>
      </c>
      <c r="I171" s="6" t="s">
        <v>40</v>
      </c>
      <c r="J171" s="5" t="s">
        <v>8585</v>
      </c>
      <c r="K171" s="5" t="s">
        <v>8632</v>
      </c>
      <c r="L171" s="6" t="s">
        <v>42</v>
      </c>
      <c r="M171" s="5" t="s">
        <v>995</v>
      </c>
      <c r="N171" s="5" t="s">
        <v>64</v>
      </c>
      <c r="O171" s="5" t="s">
        <v>12718</v>
      </c>
      <c r="P171" s="6">
        <v>10212.0</v>
      </c>
    </row>
    <row r="172" ht="56.25" customHeight="1">
      <c r="A172" s="5" t="s">
        <v>12711</v>
      </c>
      <c r="B172" s="6" t="str">
        <f>image("https://storage.googleapis.com/acdb/bottoms/BottomsTexSkirtLongCutleather2.png")</f>
        <v/>
      </c>
      <c r="C172" s="5" t="s">
        <v>1187</v>
      </c>
      <c r="D172" s="5" t="s">
        <v>36</v>
      </c>
      <c r="E172" s="6">
        <v>1100.0</v>
      </c>
      <c r="F172" s="6">
        <v>275.0</v>
      </c>
      <c r="G172" s="5" t="s">
        <v>68</v>
      </c>
      <c r="H172" s="5" t="s">
        <v>68</v>
      </c>
      <c r="I172" s="6" t="s">
        <v>40</v>
      </c>
      <c r="J172" s="5" t="s">
        <v>8585</v>
      </c>
      <c r="K172" s="5" t="s">
        <v>8632</v>
      </c>
      <c r="L172" s="6" t="s">
        <v>42</v>
      </c>
      <c r="M172" s="5" t="s">
        <v>995</v>
      </c>
      <c r="N172" s="5" t="s">
        <v>64</v>
      </c>
      <c r="O172" s="5" t="s">
        <v>12721</v>
      </c>
      <c r="P172" s="6">
        <v>10213.0</v>
      </c>
    </row>
    <row r="173" ht="56.25" customHeight="1">
      <c r="A173" s="5" t="s">
        <v>12711</v>
      </c>
      <c r="B173" s="6" t="str">
        <f>image("https://storage.googleapis.com/acdb/bottoms/BottomsTexSkirtLongCutleather3.png")</f>
        <v/>
      </c>
      <c r="C173" s="5" t="s">
        <v>57</v>
      </c>
      <c r="D173" s="5" t="s">
        <v>36</v>
      </c>
      <c r="E173" s="6">
        <v>1100.0</v>
      </c>
      <c r="F173" s="6">
        <v>275.0</v>
      </c>
      <c r="G173" s="5" t="s">
        <v>57</v>
      </c>
      <c r="H173" s="5" t="s">
        <v>57</v>
      </c>
      <c r="I173" s="6" t="s">
        <v>40</v>
      </c>
      <c r="J173" s="5" t="s">
        <v>8585</v>
      </c>
      <c r="K173" s="5" t="s">
        <v>8632</v>
      </c>
      <c r="L173" s="6" t="s">
        <v>42</v>
      </c>
      <c r="M173" s="5" t="s">
        <v>995</v>
      </c>
      <c r="N173" s="5" t="s">
        <v>64</v>
      </c>
      <c r="O173" s="5" t="s">
        <v>12724</v>
      </c>
      <c r="P173" s="6">
        <v>10214.0</v>
      </c>
    </row>
    <row r="174" ht="56.25" customHeight="1">
      <c r="A174" s="5" t="s">
        <v>12725</v>
      </c>
      <c r="B174" s="6" t="str">
        <f>image("https://storage.googleapis.com/acdb/bottoms/BottomsTexPantsNormalCycle0.png")</f>
        <v/>
      </c>
      <c r="C174" s="5" t="s">
        <v>12727</v>
      </c>
      <c r="D174" s="5" t="s">
        <v>36</v>
      </c>
      <c r="E174" s="6">
        <v>700.0</v>
      </c>
      <c r="F174" s="6">
        <v>175.0</v>
      </c>
      <c r="G174" s="5" t="s">
        <v>54</v>
      </c>
      <c r="H174" s="5" t="s">
        <v>52</v>
      </c>
      <c r="I174" s="6" t="s">
        <v>40</v>
      </c>
      <c r="J174" s="5" t="s">
        <v>8585</v>
      </c>
      <c r="K174" s="5" t="s">
        <v>8586</v>
      </c>
      <c r="L174" s="6" t="s">
        <v>42</v>
      </c>
      <c r="M174" s="5" t="s">
        <v>8746</v>
      </c>
      <c r="N174" s="5" t="s">
        <v>64</v>
      </c>
      <c r="O174" s="5" t="s">
        <v>12729</v>
      </c>
      <c r="P174" s="6">
        <v>4514.0</v>
      </c>
    </row>
    <row r="175" ht="56.25" customHeight="1">
      <c r="A175" s="5" t="s">
        <v>12725</v>
      </c>
      <c r="B175" s="6" t="str">
        <f>image("https://storage.googleapis.com/acdb/bottoms/BottomsTexPantsNormalCycle1.png")</f>
        <v/>
      </c>
      <c r="C175" s="5" t="s">
        <v>9260</v>
      </c>
      <c r="D175" s="5" t="s">
        <v>36</v>
      </c>
      <c r="E175" s="6">
        <v>700.0</v>
      </c>
      <c r="F175" s="6">
        <v>175.0</v>
      </c>
      <c r="G175" s="5" t="s">
        <v>57</v>
      </c>
      <c r="H175" s="5" t="s">
        <v>68</v>
      </c>
      <c r="I175" s="6" t="s">
        <v>40</v>
      </c>
      <c r="J175" s="5" t="s">
        <v>8585</v>
      </c>
      <c r="K175" s="5" t="s">
        <v>8586</v>
      </c>
      <c r="L175" s="6" t="s">
        <v>42</v>
      </c>
      <c r="M175" s="5" t="s">
        <v>8746</v>
      </c>
      <c r="N175" s="5" t="s">
        <v>64</v>
      </c>
      <c r="O175" s="5" t="s">
        <v>12733</v>
      </c>
      <c r="P175" s="6">
        <v>11300.0</v>
      </c>
    </row>
    <row r="176" ht="56.25" customHeight="1">
      <c r="A176" s="5" t="s">
        <v>12725</v>
      </c>
      <c r="B176" s="6" t="str">
        <f>image("https://storage.googleapis.com/acdb/bottoms/BottomsTexPantsNormalCycle2.png")</f>
        <v/>
      </c>
      <c r="C176" s="5" t="s">
        <v>2093</v>
      </c>
      <c r="D176" s="5" t="s">
        <v>36</v>
      </c>
      <c r="E176" s="6">
        <v>700.0</v>
      </c>
      <c r="F176" s="6">
        <v>175.0</v>
      </c>
      <c r="G176" s="5" t="s">
        <v>57</v>
      </c>
      <c r="H176" s="5" t="s">
        <v>52</v>
      </c>
      <c r="I176" s="6" t="s">
        <v>40</v>
      </c>
      <c r="J176" s="5" t="s">
        <v>8585</v>
      </c>
      <c r="K176" s="5" t="s">
        <v>8586</v>
      </c>
      <c r="L176" s="6" t="s">
        <v>42</v>
      </c>
      <c r="M176" s="5" t="s">
        <v>8746</v>
      </c>
      <c r="N176" s="5" t="s">
        <v>64</v>
      </c>
      <c r="O176" s="5" t="s">
        <v>12735</v>
      </c>
      <c r="P176" s="6">
        <v>11301.0</v>
      </c>
    </row>
    <row r="177" ht="56.25" customHeight="1">
      <c r="A177" s="5" t="s">
        <v>12725</v>
      </c>
      <c r="B177" s="6" t="str">
        <f>image("https://storage.googleapis.com/acdb/bottoms/BottomsTexPantsNormalCycle3.png")</f>
        <v/>
      </c>
      <c r="C177" s="5" t="s">
        <v>12739</v>
      </c>
      <c r="D177" s="5" t="s">
        <v>36</v>
      </c>
      <c r="E177" s="6">
        <v>700.0</v>
      </c>
      <c r="F177" s="6">
        <v>175.0</v>
      </c>
      <c r="G177" s="5" t="s">
        <v>54</v>
      </c>
      <c r="H177" s="5" t="s">
        <v>114</v>
      </c>
      <c r="I177" s="6" t="s">
        <v>40</v>
      </c>
      <c r="J177" s="5" t="s">
        <v>8585</v>
      </c>
      <c r="K177" s="5" t="s">
        <v>8586</v>
      </c>
      <c r="L177" s="6" t="s">
        <v>42</v>
      </c>
      <c r="M177" s="5" t="s">
        <v>8746</v>
      </c>
      <c r="N177" s="5" t="s">
        <v>64</v>
      </c>
      <c r="O177" s="5" t="s">
        <v>12741</v>
      </c>
      <c r="P177" s="6">
        <v>11302.0</v>
      </c>
    </row>
    <row r="178" ht="56.25" customHeight="1">
      <c r="A178" s="5" t="s">
        <v>12725</v>
      </c>
      <c r="B178" s="6" t="str">
        <f>image("https://storage.googleapis.com/acdb/bottoms/BottomsTexPantsNormalCycle4.png")</f>
        <v/>
      </c>
      <c r="C178" s="5" t="s">
        <v>9268</v>
      </c>
      <c r="D178" s="5" t="s">
        <v>36</v>
      </c>
      <c r="E178" s="6">
        <v>700.0</v>
      </c>
      <c r="F178" s="6">
        <v>175.0</v>
      </c>
      <c r="G178" s="5" t="s">
        <v>54</v>
      </c>
      <c r="H178" s="5" t="s">
        <v>96</v>
      </c>
      <c r="I178" s="6" t="s">
        <v>40</v>
      </c>
      <c r="J178" s="5" t="s">
        <v>8585</v>
      </c>
      <c r="K178" s="5" t="s">
        <v>8586</v>
      </c>
      <c r="L178" s="6" t="s">
        <v>42</v>
      </c>
      <c r="M178" s="5" t="s">
        <v>8746</v>
      </c>
      <c r="N178" s="5" t="s">
        <v>64</v>
      </c>
      <c r="O178" s="5" t="s">
        <v>12744</v>
      </c>
      <c r="P178" s="6">
        <v>11303.0</v>
      </c>
    </row>
    <row r="179" ht="56.25" customHeight="1">
      <c r="A179" s="5" t="s">
        <v>12725</v>
      </c>
      <c r="B179" s="6" t="str">
        <f>image("https://storage.googleapis.com/acdb/bottoms/BottomsTexPantsNormalCycle5.png")</f>
        <v/>
      </c>
      <c r="C179" s="5" t="s">
        <v>12747</v>
      </c>
      <c r="D179" s="5" t="s">
        <v>36</v>
      </c>
      <c r="E179" s="6">
        <v>700.0</v>
      </c>
      <c r="F179" s="6">
        <v>175.0</v>
      </c>
      <c r="G179" s="5" t="s">
        <v>54</v>
      </c>
      <c r="H179" s="5" t="s">
        <v>142</v>
      </c>
      <c r="I179" s="6" t="s">
        <v>40</v>
      </c>
      <c r="J179" s="5" t="s">
        <v>8585</v>
      </c>
      <c r="K179" s="5" t="s">
        <v>8586</v>
      </c>
      <c r="L179" s="6" t="s">
        <v>42</v>
      </c>
      <c r="M179" s="5" t="s">
        <v>8746</v>
      </c>
      <c r="N179" s="5" t="s">
        <v>64</v>
      </c>
      <c r="O179" s="5" t="s">
        <v>12749</v>
      </c>
      <c r="P179" s="6">
        <v>11304.0</v>
      </c>
    </row>
    <row r="180" ht="56.25" customHeight="1">
      <c r="A180" s="5" t="s">
        <v>12725</v>
      </c>
      <c r="B180" s="6" t="str">
        <f>image("https://storage.googleapis.com/acdb/bottoms/BottomsTexPantsNormalCycle6.png")</f>
        <v/>
      </c>
      <c r="C180" s="5" t="s">
        <v>11673</v>
      </c>
      <c r="D180" s="5" t="s">
        <v>36</v>
      </c>
      <c r="E180" s="6">
        <v>700.0</v>
      </c>
      <c r="F180" s="6">
        <v>175.0</v>
      </c>
      <c r="G180" s="5" t="s">
        <v>54</v>
      </c>
      <c r="H180" s="5" t="s">
        <v>106</v>
      </c>
      <c r="I180" s="6" t="s">
        <v>40</v>
      </c>
      <c r="J180" s="5" t="s">
        <v>8585</v>
      </c>
      <c r="K180" s="5" t="s">
        <v>8586</v>
      </c>
      <c r="L180" s="6" t="s">
        <v>42</v>
      </c>
      <c r="M180" s="5" t="s">
        <v>8746</v>
      </c>
      <c r="N180" s="5" t="s">
        <v>64</v>
      </c>
      <c r="O180" s="5" t="s">
        <v>12753</v>
      </c>
      <c r="P180" s="6">
        <v>11305.0</v>
      </c>
    </row>
    <row r="181" ht="56.25" customHeight="1">
      <c r="A181" s="5" t="s">
        <v>12725</v>
      </c>
      <c r="B181" s="6" t="str">
        <f>image("https://storage.googleapis.com/acdb/bottoms/BottomsTexPantsNormalCycle7.png")</f>
        <v/>
      </c>
      <c r="C181" s="5" t="s">
        <v>7965</v>
      </c>
      <c r="D181" s="5" t="s">
        <v>36</v>
      </c>
      <c r="E181" s="6">
        <v>700.0</v>
      </c>
      <c r="F181" s="6">
        <v>175.0</v>
      </c>
      <c r="G181" s="5" t="s">
        <v>54</v>
      </c>
      <c r="H181" s="5" t="s">
        <v>69</v>
      </c>
      <c r="I181" s="6" t="s">
        <v>40</v>
      </c>
      <c r="J181" s="5" t="s">
        <v>8585</v>
      </c>
      <c r="K181" s="5" t="s">
        <v>8586</v>
      </c>
      <c r="L181" s="6" t="s">
        <v>42</v>
      </c>
      <c r="M181" s="5" t="s">
        <v>8746</v>
      </c>
      <c r="N181" s="5" t="s">
        <v>64</v>
      </c>
      <c r="O181" s="5" t="s">
        <v>12755</v>
      </c>
      <c r="P181" s="6">
        <v>11306.0</v>
      </c>
    </row>
    <row r="182" ht="56.25" customHeight="1">
      <c r="A182" s="5" t="s">
        <v>12756</v>
      </c>
      <c r="B182" s="6" t="str">
        <f>image("https://storage.googleapis.com/acdb/bottoms/BottomsTexPantsWideCool0.png")</f>
        <v/>
      </c>
      <c r="C182" s="5" t="s">
        <v>54</v>
      </c>
      <c r="D182" s="5" t="s">
        <v>36</v>
      </c>
      <c r="E182" s="6">
        <v>1560.0</v>
      </c>
      <c r="F182" s="6">
        <v>390.0</v>
      </c>
      <c r="G182" s="5" t="s">
        <v>54</v>
      </c>
      <c r="H182" s="5" t="s">
        <v>114</v>
      </c>
      <c r="I182" s="6" t="s">
        <v>40</v>
      </c>
      <c r="J182" s="5" t="s">
        <v>8585</v>
      </c>
      <c r="K182" s="5" t="s">
        <v>8632</v>
      </c>
      <c r="L182" s="6" t="s">
        <v>42</v>
      </c>
      <c r="M182" s="5" t="s">
        <v>8746</v>
      </c>
      <c r="N182" s="5" t="s">
        <v>64</v>
      </c>
      <c r="O182" s="5" t="s">
        <v>12760</v>
      </c>
      <c r="P182" s="6">
        <v>5341.0</v>
      </c>
    </row>
    <row r="183" ht="56.25" customHeight="1">
      <c r="A183" s="5" t="s">
        <v>12756</v>
      </c>
      <c r="B183" s="6" t="str">
        <f>image("https://storage.googleapis.com/acdb/bottoms/BottomsTexPantsWideCool1.png")</f>
        <v/>
      </c>
      <c r="C183" s="5" t="s">
        <v>57</v>
      </c>
      <c r="D183" s="5" t="s">
        <v>36</v>
      </c>
      <c r="E183" s="6">
        <v>1560.0</v>
      </c>
      <c r="F183" s="6">
        <v>390.0</v>
      </c>
      <c r="G183" s="5" t="s">
        <v>57</v>
      </c>
      <c r="H183" s="5" t="s">
        <v>114</v>
      </c>
      <c r="I183" s="6" t="s">
        <v>40</v>
      </c>
      <c r="J183" s="5" t="s">
        <v>8585</v>
      </c>
      <c r="K183" s="5" t="s">
        <v>8632</v>
      </c>
      <c r="L183" s="6" t="s">
        <v>42</v>
      </c>
      <c r="M183" s="5" t="s">
        <v>8746</v>
      </c>
      <c r="N183" s="5" t="s">
        <v>64</v>
      </c>
      <c r="O183" s="5" t="s">
        <v>12763</v>
      </c>
      <c r="P183" s="6">
        <v>11395.0</v>
      </c>
    </row>
    <row r="184" ht="56.25" customHeight="1">
      <c r="A184" s="5" t="s">
        <v>12756</v>
      </c>
      <c r="B184" s="6" t="str">
        <f>image("https://storage.googleapis.com/acdb/bottoms/BottomsTexPantsWideCool2.png")</f>
        <v/>
      </c>
      <c r="C184" s="5" t="s">
        <v>106</v>
      </c>
      <c r="D184" s="5" t="s">
        <v>36</v>
      </c>
      <c r="E184" s="6">
        <v>1560.0</v>
      </c>
      <c r="F184" s="6">
        <v>390.0</v>
      </c>
      <c r="G184" s="5" t="s">
        <v>106</v>
      </c>
      <c r="H184" s="5" t="s">
        <v>114</v>
      </c>
      <c r="I184" s="6" t="s">
        <v>40</v>
      </c>
      <c r="J184" s="5" t="s">
        <v>8585</v>
      </c>
      <c r="K184" s="5" t="s">
        <v>8632</v>
      </c>
      <c r="L184" s="6" t="s">
        <v>42</v>
      </c>
      <c r="M184" s="5" t="s">
        <v>8746</v>
      </c>
      <c r="N184" s="5" t="s">
        <v>64</v>
      </c>
      <c r="O184" s="5" t="s">
        <v>12767</v>
      </c>
      <c r="P184" s="6">
        <v>11396.0</v>
      </c>
    </row>
    <row r="185" ht="56.25" customHeight="1">
      <c r="A185" s="5" t="s">
        <v>12756</v>
      </c>
      <c r="B185" s="6" t="str">
        <f>image("https://storage.googleapis.com/acdb/bottoms/BottomsTexPantsWideCool3.png")</f>
        <v/>
      </c>
      <c r="C185" s="5" t="s">
        <v>52</v>
      </c>
      <c r="D185" s="5" t="s">
        <v>36</v>
      </c>
      <c r="E185" s="6">
        <v>1560.0</v>
      </c>
      <c r="F185" s="6">
        <v>390.0</v>
      </c>
      <c r="G185" s="5" t="s">
        <v>52</v>
      </c>
      <c r="H185" s="5" t="s">
        <v>114</v>
      </c>
      <c r="I185" s="6" t="s">
        <v>40</v>
      </c>
      <c r="J185" s="5" t="s">
        <v>8585</v>
      </c>
      <c r="K185" s="5" t="s">
        <v>8632</v>
      </c>
      <c r="L185" s="6" t="s">
        <v>42</v>
      </c>
      <c r="M185" s="5" t="s">
        <v>8746</v>
      </c>
      <c r="N185" s="5" t="s">
        <v>64</v>
      </c>
      <c r="O185" s="5" t="s">
        <v>12771</v>
      </c>
      <c r="P185" s="6">
        <v>11397.0</v>
      </c>
    </row>
    <row r="186" ht="56.25" customHeight="1">
      <c r="A186" s="5" t="s">
        <v>12772</v>
      </c>
      <c r="B186" s="6" t="str">
        <f>image("https://storage.googleapis.com/acdb/bottoms/BottomsTexPantsHotDenim0.png")</f>
        <v/>
      </c>
      <c r="C186" s="5" t="s">
        <v>68</v>
      </c>
      <c r="D186" s="5" t="s">
        <v>36</v>
      </c>
      <c r="E186" s="6">
        <v>1120.0</v>
      </c>
      <c r="F186" s="6">
        <v>280.0</v>
      </c>
      <c r="G186" s="5" t="s">
        <v>68</v>
      </c>
      <c r="H186" s="5" t="s">
        <v>68</v>
      </c>
      <c r="I186" s="6" t="s">
        <v>40</v>
      </c>
      <c r="J186" s="5" t="s">
        <v>8585</v>
      </c>
      <c r="K186" s="5" t="s">
        <v>8632</v>
      </c>
      <c r="L186" s="6" t="s">
        <v>42</v>
      </c>
      <c r="M186" s="5" t="s">
        <v>995</v>
      </c>
      <c r="N186" s="5" t="s">
        <v>64</v>
      </c>
      <c r="O186" s="5" t="s">
        <v>12775</v>
      </c>
      <c r="P186" s="6">
        <v>4274.0</v>
      </c>
    </row>
    <row r="187" ht="56.25" customHeight="1">
      <c r="A187" s="5" t="s">
        <v>12772</v>
      </c>
      <c r="B187" s="6" t="str">
        <f>image("https://storage.googleapis.com/acdb/bottoms/BottomsTexPantsHotDenim1.png")</f>
        <v/>
      </c>
      <c r="C187" s="5" t="s">
        <v>83</v>
      </c>
      <c r="D187" s="5" t="s">
        <v>36</v>
      </c>
      <c r="E187" s="6">
        <v>1120.0</v>
      </c>
      <c r="F187" s="6">
        <v>280.0</v>
      </c>
      <c r="G187" s="5" t="s">
        <v>83</v>
      </c>
      <c r="H187" s="5" t="s">
        <v>83</v>
      </c>
      <c r="I187" s="6" t="s">
        <v>40</v>
      </c>
      <c r="J187" s="5" t="s">
        <v>8585</v>
      </c>
      <c r="K187" s="5" t="s">
        <v>8632</v>
      </c>
      <c r="L187" s="6" t="s">
        <v>42</v>
      </c>
      <c r="M187" s="5" t="s">
        <v>995</v>
      </c>
      <c r="N187" s="5" t="s">
        <v>64</v>
      </c>
      <c r="O187" s="5" t="s">
        <v>12779</v>
      </c>
      <c r="P187" s="6">
        <v>11437.0</v>
      </c>
    </row>
    <row r="188" ht="56.25" customHeight="1">
      <c r="A188" s="5" t="s">
        <v>12772</v>
      </c>
      <c r="B188" s="6" t="str">
        <f>image("https://storage.googleapis.com/acdb/bottoms/BottomsTexPantsHotDenim2.png")</f>
        <v/>
      </c>
      <c r="C188" s="5" t="s">
        <v>1187</v>
      </c>
      <c r="D188" s="5" t="s">
        <v>36</v>
      </c>
      <c r="E188" s="6">
        <v>1120.0</v>
      </c>
      <c r="F188" s="6">
        <v>280.0</v>
      </c>
      <c r="G188" s="5" t="s">
        <v>68</v>
      </c>
      <c r="H188" s="5" t="s">
        <v>68</v>
      </c>
      <c r="I188" s="6" t="s">
        <v>40</v>
      </c>
      <c r="J188" s="5" t="s">
        <v>8585</v>
      </c>
      <c r="K188" s="5" t="s">
        <v>8632</v>
      </c>
      <c r="L188" s="6" t="s">
        <v>42</v>
      </c>
      <c r="M188" s="5" t="s">
        <v>995</v>
      </c>
      <c r="N188" s="5" t="s">
        <v>64</v>
      </c>
      <c r="O188" s="5" t="s">
        <v>12782</v>
      </c>
      <c r="P188" s="6">
        <v>11438.0</v>
      </c>
    </row>
    <row r="189" ht="56.25" customHeight="1">
      <c r="A189" s="5" t="s">
        <v>12772</v>
      </c>
      <c r="B189" s="6" t="str">
        <f>image("https://storage.googleapis.com/acdb/bottoms/BottomsTexPantsHotDenim3.png")</f>
        <v/>
      </c>
      <c r="C189" s="5" t="s">
        <v>57</v>
      </c>
      <c r="D189" s="5" t="s">
        <v>36</v>
      </c>
      <c r="E189" s="6">
        <v>1120.0</v>
      </c>
      <c r="F189" s="6">
        <v>280.0</v>
      </c>
      <c r="G189" s="5" t="s">
        <v>57</v>
      </c>
      <c r="H189" s="5" t="s">
        <v>57</v>
      </c>
      <c r="I189" s="6" t="s">
        <v>40</v>
      </c>
      <c r="J189" s="5" t="s">
        <v>8585</v>
      </c>
      <c r="K189" s="5" t="s">
        <v>8632</v>
      </c>
      <c r="L189" s="6" t="s">
        <v>42</v>
      </c>
      <c r="M189" s="5" t="s">
        <v>995</v>
      </c>
      <c r="N189" s="5" t="s">
        <v>64</v>
      </c>
      <c r="O189" s="5" t="s">
        <v>12785</v>
      </c>
      <c r="P189" s="6">
        <v>11439.0</v>
      </c>
    </row>
    <row r="190" ht="56.25" customHeight="1">
      <c r="A190" s="5" t="s">
        <v>12772</v>
      </c>
      <c r="B190" s="6" t="str">
        <f>image("https://storage.googleapis.com/acdb/bottoms/BottomsTexPantsHotDenim4.png")</f>
        <v/>
      </c>
      <c r="C190" s="5" t="s">
        <v>54</v>
      </c>
      <c r="D190" s="5" t="s">
        <v>36</v>
      </c>
      <c r="E190" s="6">
        <v>1120.0</v>
      </c>
      <c r="F190" s="6">
        <v>280.0</v>
      </c>
      <c r="G190" s="5" t="s">
        <v>54</v>
      </c>
      <c r="H190" s="5" t="s">
        <v>54</v>
      </c>
      <c r="I190" s="6" t="s">
        <v>40</v>
      </c>
      <c r="J190" s="5" t="s">
        <v>8585</v>
      </c>
      <c r="K190" s="5" t="s">
        <v>8632</v>
      </c>
      <c r="L190" s="6" t="s">
        <v>42</v>
      </c>
      <c r="M190" s="5" t="s">
        <v>995</v>
      </c>
      <c r="N190" s="5" t="s">
        <v>64</v>
      </c>
      <c r="O190" s="5" t="s">
        <v>12790</v>
      </c>
      <c r="P190" s="6">
        <v>11440.0</v>
      </c>
    </row>
    <row r="191" ht="56.25" customHeight="1">
      <c r="A191" s="5" t="s">
        <v>12791</v>
      </c>
      <c r="B191" s="6" t="str">
        <f>image("https://storage.googleapis.com/acdb/bottoms/BottomsTexPantsWideDenim0.png")</f>
        <v/>
      </c>
      <c r="C191" s="5" t="s">
        <v>1187</v>
      </c>
      <c r="D191" s="5" t="s">
        <v>36</v>
      </c>
      <c r="E191" s="6">
        <v>1560.0</v>
      </c>
      <c r="F191" s="6">
        <v>390.0</v>
      </c>
      <c r="G191" s="5" t="s">
        <v>68</v>
      </c>
      <c r="H191" s="5" t="s">
        <v>68</v>
      </c>
      <c r="I191" s="6" t="s">
        <v>40</v>
      </c>
      <c r="J191" s="5" t="s">
        <v>8585</v>
      </c>
      <c r="K191" s="5" t="s">
        <v>8586</v>
      </c>
      <c r="L191" s="6" t="s">
        <v>42</v>
      </c>
      <c r="M191" s="5" t="s">
        <v>995</v>
      </c>
      <c r="N191" s="5" t="s">
        <v>64</v>
      </c>
      <c r="O191" s="5" t="s">
        <v>12793</v>
      </c>
      <c r="P191" s="6">
        <v>4326.0</v>
      </c>
    </row>
    <row r="192" ht="56.25" customHeight="1">
      <c r="A192" s="5" t="s">
        <v>12791</v>
      </c>
      <c r="B192" s="6" t="str">
        <f>image("https://storage.googleapis.com/acdb/bottoms/BottomsTexPantsWideDenim1.png")</f>
        <v/>
      </c>
      <c r="C192" s="5" t="s">
        <v>83</v>
      </c>
      <c r="D192" s="5" t="s">
        <v>36</v>
      </c>
      <c r="E192" s="6">
        <v>1560.0</v>
      </c>
      <c r="F192" s="6">
        <v>390.0</v>
      </c>
      <c r="G192" s="5" t="s">
        <v>83</v>
      </c>
      <c r="H192" s="5" t="s">
        <v>83</v>
      </c>
      <c r="I192" s="6" t="s">
        <v>40</v>
      </c>
      <c r="J192" s="5" t="s">
        <v>8585</v>
      </c>
      <c r="K192" s="5" t="s">
        <v>8586</v>
      </c>
      <c r="L192" s="6" t="s">
        <v>42</v>
      </c>
      <c r="M192" s="5" t="s">
        <v>995</v>
      </c>
      <c r="N192" s="5" t="s">
        <v>64</v>
      </c>
      <c r="O192" s="5" t="s">
        <v>12796</v>
      </c>
      <c r="P192" s="6">
        <v>11441.0</v>
      </c>
    </row>
    <row r="193" ht="56.25" customHeight="1">
      <c r="A193" s="5" t="s">
        <v>12791</v>
      </c>
      <c r="B193" s="6" t="str">
        <f>image("https://storage.googleapis.com/acdb/bottoms/BottomsTexPantsWideDenim2.png")</f>
        <v/>
      </c>
      <c r="C193" s="5" t="s">
        <v>68</v>
      </c>
      <c r="D193" s="5" t="s">
        <v>36</v>
      </c>
      <c r="E193" s="6">
        <v>1560.0</v>
      </c>
      <c r="F193" s="6">
        <v>390.0</v>
      </c>
      <c r="G193" s="5" t="s">
        <v>68</v>
      </c>
      <c r="H193" s="5" t="s">
        <v>68</v>
      </c>
      <c r="I193" s="6" t="s">
        <v>40</v>
      </c>
      <c r="J193" s="5" t="s">
        <v>8585</v>
      </c>
      <c r="K193" s="5" t="s">
        <v>8586</v>
      </c>
      <c r="L193" s="6" t="s">
        <v>42</v>
      </c>
      <c r="M193" s="5" t="s">
        <v>995</v>
      </c>
      <c r="N193" s="5" t="s">
        <v>64</v>
      </c>
      <c r="O193" s="5" t="s">
        <v>12800</v>
      </c>
      <c r="P193" s="6">
        <v>11442.0</v>
      </c>
    </row>
    <row r="194" ht="56.25" customHeight="1">
      <c r="A194" s="5" t="s">
        <v>12791</v>
      </c>
      <c r="B194" s="6" t="str">
        <f>image("https://storage.googleapis.com/acdb/bottoms/BottomsTexPantsWideDenim3.png")</f>
        <v/>
      </c>
      <c r="C194" s="5" t="s">
        <v>54</v>
      </c>
      <c r="D194" s="5" t="s">
        <v>36</v>
      </c>
      <c r="E194" s="6">
        <v>1560.0</v>
      </c>
      <c r="F194" s="6">
        <v>390.0</v>
      </c>
      <c r="G194" s="5" t="s">
        <v>54</v>
      </c>
      <c r="H194" s="5" t="s">
        <v>54</v>
      </c>
      <c r="I194" s="6" t="s">
        <v>40</v>
      </c>
      <c r="J194" s="5" t="s">
        <v>8585</v>
      </c>
      <c r="K194" s="5" t="s">
        <v>8586</v>
      </c>
      <c r="L194" s="6" t="s">
        <v>42</v>
      </c>
      <c r="M194" s="5" t="s">
        <v>995</v>
      </c>
      <c r="N194" s="5" t="s">
        <v>64</v>
      </c>
      <c r="O194" s="5" t="s">
        <v>12803</v>
      </c>
      <c r="P194" s="6">
        <v>11443.0</v>
      </c>
    </row>
    <row r="195" ht="56.25" customHeight="1">
      <c r="A195" s="5" t="s">
        <v>12791</v>
      </c>
      <c r="B195" s="6" t="str">
        <f>image("https://storage.googleapis.com/acdb/bottoms/BottomsTexPantsWideDenim4.png")</f>
        <v/>
      </c>
      <c r="C195" s="5" t="s">
        <v>57</v>
      </c>
      <c r="D195" s="5" t="s">
        <v>36</v>
      </c>
      <c r="E195" s="6">
        <v>1560.0</v>
      </c>
      <c r="F195" s="6">
        <v>390.0</v>
      </c>
      <c r="G195" s="5" t="s">
        <v>57</v>
      </c>
      <c r="H195" s="5" t="s">
        <v>57</v>
      </c>
      <c r="I195" s="6" t="s">
        <v>40</v>
      </c>
      <c r="J195" s="5" t="s">
        <v>8585</v>
      </c>
      <c r="K195" s="5" t="s">
        <v>8586</v>
      </c>
      <c r="L195" s="6" t="s">
        <v>42</v>
      </c>
      <c r="M195" s="5" t="s">
        <v>995</v>
      </c>
      <c r="N195" s="5" t="s">
        <v>64</v>
      </c>
      <c r="O195" s="5" t="s">
        <v>12806</v>
      </c>
      <c r="P195" s="6">
        <v>11444.0</v>
      </c>
    </row>
    <row r="196" ht="56.25" customHeight="1">
      <c r="A196" s="5" t="s">
        <v>12808</v>
      </c>
      <c r="B196" s="6" t="str">
        <f>image("https://storage.googleapis.com/acdb/bottoms/BottomsTexPantsNormalDenim0.png")</f>
        <v/>
      </c>
      <c r="C196" s="5" t="s">
        <v>68</v>
      </c>
      <c r="D196" s="5" t="s">
        <v>36</v>
      </c>
      <c r="E196" s="6">
        <v>1120.0</v>
      </c>
      <c r="F196" s="6">
        <v>280.0</v>
      </c>
      <c r="G196" s="5" t="s">
        <v>68</v>
      </c>
      <c r="H196" s="5" t="s">
        <v>39</v>
      </c>
      <c r="I196" s="6" t="s">
        <v>40</v>
      </c>
      <c r="J196" s="5" t="s">
        <v>8585</v>
      </c>
      <c r="K196" s="5" t="s">
        <v>8632</v>
      </c>
      <c r="L196" s="6" t="s">
        <v>42</v>
      </c>
      <c r="M196" s="5" t="s">
        <v>995</v>
      </c>
      <c r="N196" s="5" t="s">
        <v>64</v>
      </c>
      <c r="O196" s="5" t="s">
        <v>12810</v>
      </c>
      <c r="P196" s="6">
        <v>2403.0</v>
      </c>
    </row>
    <row r="197" ht="56.25" customHeight="1">
      <c r="A197" s="5" t="s">
        <v>12808</v>
      </c>
      <c r="B197" s="6" t="str">
        <f>image("https://storage.googleapis.com/acdb/bottoms/BottomsTexPantsNormalDenim1.png")</f>
        <v/>
      </c>
      <c r="C197" s="5" t="s">
        <v>83</v>
      </c>
      <c r="D197" s="5" t="s">
        <v>36</v>
      </c>
      <c r="E197" s="6">
        <v>1120.0</v>
      </c>
      <c r="F197" s="6">
        <v>280.0</v>
      </c>
      <c r="G197" s="5" t="s">
        <v>83</v>
      </c>
      <c r="H197" s="5" t="s">
        <v>39</v>
      </c>
      <c r="I197" s="6" t="s">
        <v>40</v>
      </c>
      <c r="J197" s="5" t="s">
        <v>8585</v>
      </c>
      <c r="K197" s="5" t="s">
        <v>8632</v>
      </c>
      <c r="L197" s="6" t="s">
        <v>42</v>
      </c>
      <c r="M197" s="5" t="s">
        <v>995</v>
      </c>
      <c r="N197" s="5" t="s">
        <v>64</v>
      </c>
      <c r="O197" s="5" t="s">
        <v>12815</v>
      </c>
      <c r="P197" s="6">
        <v>4186.0</v>
      </c>
    </row>
    <row r="198" ht="56.25" customHeight="1">
      <c r="A198" s="5" t="s">
        <v>12808</v>
      </c>
      <c r="B198" s="6" t="str">
        <f>image("https://storage.googleapis.com/acdb/bottoms/BottomsTexPantsNormalDenim2.png")</f>
        <v/>
      </c>
      <c r="C198" s="5" t="s">
        <v>1187</v>
      </c>
      <c r="D198" s="5" t="s">
        <v>36</v>
      </c>
      <c r="E198" s="6">
        <v>1120.0</v>
      </c>
      <c r="F198" s="6">
        <v>280.0</v>
      </c>
      <c r="G198" s="5" t="s">
        <v>68</v>
      </c>
      <c r="H198" s="5" t="s">
        <v>39</v>
      </c>
      <c r="I198" s="6" t="s">
        <v>40</v>
      </c>
      <c r="J198" s="5" t="s">
        <v>8585</v>
      </c>
      <c r="K198" s="5" t="s">
        <v>8632</v>
      </c>
      <c r="L198" s="6" t="s">
        <v>42</v>
      </c>
      <c r="M198" s="5" t="s">
        <v>995</v>
      </c>
      <c r="N198" s="5" t="s">
        <v>64</v>
      </c>
      <c r="O198" s="5" t="s">
        <v>12818</v>
      </c>
      <c r="P198" s="6">
        <v>4187.0</v>
      </c>
    </row>
    <row r="199" ht="56.25" customHeight="1">
      <c r="A199" s="5" t="s">
        <v>12808</v>
      </c>
      <c r="B199" s="6" t="str">
        <f>image("https://storage.googleapis.com/acdb/bottoms/BottomsTexPantsNormalDenim3.png")</f>
        <v/>
      </c>
      <c r="C199" s="5" t="s">
        <v>54</v>
      </c>
      <c r="D199" s="5" t="s">
        <v>36</v>
      </c>
      <c r="E199" s="6">
        <v>1120.0</v>
      </c>
      <c r="F199" s="6">
        <v>280.0</v>
      </c>
      <c r="G199" s="5" t="s">
        <v>54</v>
      </c>
      <c r="H199" s="5" t="s">
        <v>54</v>
      </c>
      <c r="I199" s="6" t="s">
        <v>40</v>
      </c>
      <c r="J199" s="5" t="s">
        <v>8585</v>
      </c>
      <c r="K199" s="5" t="s">
        <v>8632</v>
      </c>
      <c r="L199" s="6" t="s">
        <v>42</v>
      </c>
      <c r="M199" s="5" t="s">
        <v>995</v>
      </c>
      <c r="N199" s="5" t="s">
        <v>64</v>
      </c>
      <c r="O199" s="5" t="s">
        <v>12821</v>
      </c>
      <c r="P199" s="6">
        <v>4188.0</v>
      </c>
    </row>
    <row r="200" ht="56.25" customHeight="1">
      <c r="A200" s="5" t="s">
        <v>12808</v>
      </c>
      <c r="B200" s="6" t="str">
        <f>image("https://storage.googleapis.com/acdb/bottoms/BottomsTexPantsNormalDenim4.png")</f>
        <v/>
      </c>
      <c r="C200" s="5" t="s">
        <v>57</v>
      </c>
      <c r="D200" s="5" t="s">
        <v>36</v>
      </c>
      <c r="E200" s="6">
        <v>1120.0</v>
      </c>
      <c r="F200" s="6">
        <v>280.0</v>
      </c>
      <c r="G200" s="5" t="s">
        <v>57</v>
      </c>
      <c r="H200" s="5" t="s">
        <v>54</v>
      </c>
      <c r="I200" s="6" t="s">
        <v>40</v>
      </c>
      <c r="J200" s="5" t="s">
        <v>8585</v>
      </c>
      <c r="K200" s="5" t="s">
        <v>8632</v>
      </c>
      <c r="L200" s="6" t="s">
        <v>42</v>
      </c>
      <c r="M200" s="5" t="s">
        <v>995</v>
      </c>
      <c r="N200" s="5" t="s">
        <v>64</v>
      </c>
      <c r="O200" s="5" t="s">
        <v>12826</v>
      </c>
      <c r="P200" s="6">
        <v>9011.0</v>
      </c>
    </row>
    <row r="201" ht="56.25" customHeight="1">
      <c r="A201" s="5" t="s">
        <v>12827</v>
      </c>
      <c r="B201" s="6" t="str">
        <f>image("https://storage.googleapis.com/acdb/bottoms/BottomsTexSkirtBoxDenim0.png")</f>
        <v/>
      </c>
      <c r="C201" s="5" t="s">
        <v>68</v>
      </c>
      <c r="D201" s="5" t="s">
        <v>36</v>
      </c>
      <c r="E201" s="6">
        <v>1120.0</v>
      </c>
      <c r="F201" s="6">
        <v>280.0</v>
      </c>
      <c r="G201" s="5" t="s">
        <v>68</v>
      </c>
      <c r="H201" s="5" t="s">
        <v>68</v>
      </c>
      <c r="I201" s="6" t="s">
        <v>40</v>
      </c>
      <c r="J201" s="5" t="s">
        <v>8585</v>
      </c>
      <c r="K201" s="5" t="s">
        <v>8632</v>
      </c>
      <c r="L201" s="6" t="s">
        <v>42</v>
      </c>
      <c r="M201" s="5" t="s">
        <v>995</v>
      </c>
      <c r="N201" s="5" t="s">
        <v>64</v>
      </c>
      <c r="O201" s="5" t="s">
        <v>12829</v>
      </c>
      <c r="P201" s="6">
        <v>4246.0</v>
      </c>
    </row>
    <row r="202" ht="56.25" customHeight="1">
      <c r="A202" s="5" t="s">
        <v>12827</v>
      </c>
      <c r="B202" s="6" t="str">
        <f>image("https://storage.googleapis.com/acdb/bottoms/BottomsTexSkirtBoxDenim1.png")</f>
        <v/>
      </c>
      <c r="C202" s="5" t="s">
        <v>83</v>
      </c>
      <c r="D202" s="5" t="s">
        <v>36</v>
      </c>
      <c r="E202" s="6">
        <v>1120.0</v>
      </c>
      <c r="F202" s="6">
        <v>280.0</v>
      </c>
      <c r="G202" s="5" t="s">
        <v>83</v>
      </c>
      <c r="H202" s="5" t="s">
        <v>83</v>
      </c>
      <c r="I202" s="6" t="s">
        <v>40</v>
      </c>
      <c r="J202" s="5" t="s">
        <v>8585</v>
      </c>
      <c r="K202" s="5" t="s">
        <v>8632</v>
      </c>
      <c r="L202" s="6" t="s">
        <v>42</v>
      </c>
      <c r="M202" s="5" t="s">
        <v>995</v>
      </c>
      <c r="N202" s="5" t="s">
        <v>64</v>
      </c>
      <c r="O202" s="5" t="s">
        <v>12833</v>
      </c>
      <c r="P202" s="6">
        <v>11430.0</v>
      </c>
    </row>
    <row r="203" ht="56.25" customHeight="1">
      <c r="A203" s="5" t="s">
        <v>12827</v>
      </c>
      <c r="B203" s="6" t="str">
        <f>image("https://storage.googleapis.com/acdb/bottoms/BottomsTexSkirtBoxDenim2.png")</f>
        <v/>
      </c>
      <c r="C203" s="5" t="s">
        <v>1187</v>
      </c>
      <c r="D203" s="5" t="s">
        <v>36</v>
      </c>
      <c r="E203" s="6">
        <v>1120.0</v>
      </c>
      <c r="F203" s="6">
        <v>280.0</v>
      </c>
      <c r="G203" s="5" t="s">
        <v>68</v>
      </c>
      <c r="H203" s="5" t="s">
        <v>68</v>
      </c>
      <c r="I203" s="6" t="s">
        <v>40</v>
      </c>
      <c r="J203" s="5" t="s">
        <v>8585</v>
      </c>
      <c r="K203" s="5" t="s">
        <v>8632</v>
      </c>
      <c r="L203" s="6" t="s">
        <v>42</v>
      </c>
      <c r="M203" s="5" t="s">
        <v>995</v>
      </c>
      <c r="N203" s="5" t="s">
        <v>64</v>
      </c>
      <c r="O203" s="5" t="s">
        <v>12836</v>
      </c>
      <c r="P203" s="6">
        <v>11431.0</v>
      </c>
    </row>
    <row r="204" ht="56.25" customHeight="1">
      <c r="A204" s="5" t="s">
        <v>12827</v>
      </c>
      <c r="B204" s="6" t="str">
        <f>image("https://storage.googleapis.com/acdb/bottoms/BottomsTexSkirtBoxDenim3.png")</f>
        <v/>
      </c>
      <c r="C204" s="5" t="s">
        <v>54</v>
      </c>
      <c r="D204" s="5" t="s">
        <v>36</v>
      </c>
      <c r="E204" s="6">
        <v>1120.0</v>
      </c>
      <c r="F204" s="6">
        <v>280.0</v>
      </c>
      <c r="G204" s="5" t="s">
        <v>54</v>
      </c>
      <c r="H204" s="5" t="s">
        <v>54</v>
      </c>
      <c r="I204" s="6" t="s">
        <v>40</v>
      </c>
      <c r="J204" s="5" t="s">
        <v>8585</v>
      </c>
      <c r="K204" s="5" t="s">
        <v>8632</v>
      </c>
      <c r="L204" s="6" t="s">
        <v>42</v>
      </c>
      <c r="M204" s="5" t="s">
        <v>995</v>
      </c>
      <c r="N204" s="5" t="s">
        <v>64</v>
      </c>
      <c r="O204" s="5" t="s">
        <v>12839</v>
      </c>
      <c r="P204" s="6">
        <v>11432.0</v>
      </c>
    </row>
    <row r="205" ht="56.25" customHeight="1">
      <c r="A205" s="5" t="s">
        <v>12827</v>
      </c>
      <c r="B205" s="6" t="str">
        <f>image("https://storage.googleapis.com/acdb/bottoms/BottomsTexSkirtBoxDenim4.png")</f>
        <v/>
      </c>
      <c r="C205" s="5" t="s">
        <v>57</v>
      </c>
      <c r="D205" s="5" t="s">
        <v>36</v>
      </c>
      <c r="E205" s="6">
        <v>1120.0</v>
      </c>
      <c r="F205" s="6">
        <v>280.0</v>
      </c>
      <c r="G205" s="5" t="s">
        <v>57</v>
      </c>
      <c r="H205" s="5" t="s">
        <v>57</v>
      </c>
      <c r="I205" s="6" t="s">
        <v>40</v>
      </c>
      <c r="J205" s="5" t="s">
        <v>8585</v>
      </c>
      <c r="K205" s="5" t="s">
        <v>8632</v>
      </c>
      <c r="L205" s="6" t="s">
        <v>42</v>
      </c>
      <c r="M205" s="5" t="s">
        <v>995</v>
      </c>
      <c r="N205" s="5" t="s">
        <v>64</v>
      </c>
      <c r="O205" s="5" t="s">
        <v>12843</v>
      </c>
      <c r="P205" s="6">
        <v>11433.0</v>
      </c>
    </row>
    <row r="206" ht="56.25" customHeight="1">
      <c r="A206" s="5" t="s">
        <v>12844</v>
      </c>
      <c r="B206" s="6" t="str">
        <f>image("https://storage.googleapis.com/acdb/bottoms/BottomsTexPantsHotDotgold0.png")</f>
        <v/>
      </c>
      <c r="C206" s="5" t="s">
        <v>54</v>
      </c>
      <c r="D206" s="5" t="s">
        <v>36</v>
      </c>
      <c r="E206" s="6">
        <v>980.0</v>
      </c>
      <c r="F206" s="6">
        <v>245.0</v>
      </c>
      <c r="G206" s="5" t="s">
        <v>54</v>
      </c>
      <c r="H206" s="5" t="s">
        <v>39</v>
      </c>
      <c r="I206" s="6" t="s">
        <v>40</v>
      </c>
      <c r="J206" s="5" t="s">
        <v>8585</v>
      </c>
      <c r="K206" s="5" t="s">
        <v>8632</v>
      </c>
      <c r="L206" s="6" t="s">
        <v>42</v>
      </c>
      <c r="M206" s="5" t="s">
        <v>1959</v>
      </c>
      <c r="N206" s="5" t="s">
        <v>64</v>
      </c>
      <c r="O206" s="5" t="s">
        <v>12847</v>
      </c>
      <c r="P206" s="6">
        <v>4523.0</v>
      </c>
    </row>
    <row r="207" ht="56.25" customHeight="1">
      <c r="A207" s="5" t="s">
        <v>12844</v>
      </c>
      <c r="B207" s="6" t="str">
        <f>image("https://storage.googleapis.com/acdb/bottoms/BottomsTexPantsHotDotgold1.png")</f>
        <v/>
      </c>
      <c r="C207" s="5" t="s">
        <v>95</v>
      </c>
      <c r="D207" s="5" t="s">
        <v>36</v>
      </c>
      <c r="E207" s="6">
        <v>980.0</v>
      </c>
      <c r="F207" s="6">
        <v>245.0</v>
      </c>
      <c r="G207" s="5" t="s">
        <v>95</v>
      </c>
      <c r="H207" s="5" t="s">
        <v>114</v>
      </c>
      <c r="I207" s="6" t="s">
        <v>40</v>
      </c>
      <c r="J207" s="5" t="s">
        <v>8585</v>
      </c>
      <c r="K207" s="5" t="s">
        <v>8632</v>
      </c>
      <c r="L207" s="6" t="s">
        <v>42</v>
      </c>
      <c r="M207" s="5" t="s">
        <v>1959</v>
      </c>
      <c r="N207" s="5" t="s">
        <v>64</v>
      </c>
      <c r="O207" s="5" t="s">
        <v>12851</v>
      </c>
      <c r="P207" s="6">
        <v>8915.0</v>
      </c>
    </row>
    <row r="208" ht="56.25" customHeight="1">
      <c r="A208" s="5" t="s">
        <v>12852</v>
      </c>
      <c r="B208" s="6" t="str">
        <f>image("https://storage.googleapis.com/acdb/bottoms/BottomsTexPantsNormalDown0.png")</f>
        <v/>
      </c>
      <c r="C208" s="5" t="s">
        <v>68</v>
      </c>
      <c r="D208" s="5" t="s">
        <v>36</v>
      </c>
      <c r="E208" s="6">
        <v>1120.0</v>
      </c>
      <c r="F208" s="6">
        <v>280.0</v>
      </c>
      <c r="G208" s="5" t="s">
        <v>68</v>
      </c>
      <c r="H208" s="5" t="s">
        <v>68</v>
      </c>
      <c r="I208" s="6" t="s">
        <v>40</v>
      </c>
      <c r="J208" s="5" t="s">
        <v>8585</v>
      </c>
      <c r="K208" s="5" t="s">
        <v>8632</v>
      </c>
      <c r="L208" s="6" t="s">
        <v>42</v>
      </c>
      <c r="M208" s="5" t="s">
        <v>8746</v>
      </c>
      <c r="N208" s="5" t="s">
        <v>64</v>
      </c>
      <c r="O208" s="5" t="s">
        <v>12855</v>
      </c>
      <c r="P208" s="6">
        <v>4256.0</v>
      </c>
    </row>
    <row r="209" ht="56.25" customHeight="1">
      <c r="A209" s="5" t="s">
        <v>12852</v>
      </c>
      <c r="B209" s="6" t="str">
        <f>image("https://storage.googleapis.com/acdb/bottoms/BottomsTexPantsNormalDown1.png")</f>
        <v/>
      </c>
      <c r="C209" s="5" t="s">
        <v>54</v>
      </c>
      <c r="D209" s="5" t="s">
        <v>36</v>
      </c>
      <c r="E209" s="6">
        <v>1120.0</v>
      </c>
      <c r="F209" s="6">
        <v>280.0</v>
      </c>
      <c r="G209" s="5" t="s">
        <v>54</v>
      </c>
      <c r="H209" s="5" t="s">
        <v>54</v>
      </c>
      <c r="I209" s="6" t="s">
        <v>40</v>
      </c>
      <c r="J209" s="5" t="s">
        <v>8585</v>
      </c>
      <c r="K209" s="5" t="s">
        <v>8632</v>
      </c>
      <c r="L209" s="6" t="s">
        <v>42</v>
      </c>
      <c r="M209" s="5" t="s">
        <v>8746</v>
      </c>
      <c r="N209" s="5" t="s">
        <v>64</v>
      </c>
      <c r="O209" s="5" t="s">
        <v>12857</v>
      </c>
      <c r="P209" s="6">
        <v>11263.0</v>
      </c>
    </row>
    <row r="210" ht="56.25" customHeight="1">
      <c r="A210" s="5" t="s">
        <v>12852</v>
      </c>
      <c r="B210" s="6" t="str">
        <f>image("https://storage.googleapis.com/acdb/bottoms/BottomsTexPantsNormalDown2.png")</f>
        <v/>
      </c>
      <c r="C210" s="5" t="s">
        <v>52</v>
      </c>
      <c r="D210" s="5" t="s">
        <v>36</v>
      </c>
      <c r="E210" s="6">
        <v>1120.0</v>
      </c>
      <c r="F210" s="6">
        <v>280.0</v>
      </c>
      <c r="G210" s="5" t="s">
        <v>52</v>
      </c>
      <c r="H210" s="5" t="s">
        <v>52</v>
      </c>
      <c r="I210" s="6" t="s">
        <v>40</v>
      </c>
      <c r="J210" s="5" t="s">
        <v>8585</v>
      </c>
      <c r="K210" s="5" t="s">
        <v>8632</v>
      </c>
      <c r="L210" s="6" t="s">
        <v>42</v>
      </c>
      <c r="M210" s="5" t="s">
        <v>8746</v>
      </c>
      <c r="N210" s="5" t="s">
        <v>64</v>
      </c>
      <c r="O210" s="5" t="s">
        <v>12860</v>
      </c>
      <c r="P210" s="6">
        <v>11264.0</v>
      </c>
    </row>
    <row r="211" ht="56.25" customHeight="1">
      <c r="A211" s="5" t="s">
        <v>12852</v>
      </c>
      <c r="B211" s="6" t="str">
        <f>image("https://storage.googleapis.com/acdb/bottoms/BottomsTexPantsNormalDown3.png")</f>
        <v/>
      </c>
      <c r="C211" s="5" t="s">
        <v>57</v>
      </c>
      <c r="D211" s="5" t="s">
        <v>36</v>
      </c>
      <c r="E211" s="6">
        <v>1120.0</v>
      </c>
      <c r="F211" s="6">
        <v>280.0</v>
      </c>
      <c r="G211" s="5" t="s">
        <v>57</v>
      </c>
      <c r="H211" s="5" t="s">
        <v>57</v>
      </c>
      <c r="I211" s="6" t="s">
        <v>40</v>
      </c>
      <c r="J211" s="5" t="s">
        <v>8585</v>
      </c>
      <c r="K211" s="5" t="s">
        <v>8632</v>
      </c>
      <c r="L211" s="6" t="s">
        <v>42</v>
      </c>
      <c r="M211" s="5" t="s">
        <v>8746</v>
      </c>
      <c r="N211" s="5" t="s">
        <v>64</v>
      </c>
      <c r="O211" s="5" t="s">
        <v>12865</v>
      </c>
      <c r="P211" s="6">
        <v>11265.0</v>
      </c>
    </row>
    <row r="212" ht="56.25" customHeight="1">
      <c r="A212" s="5" t="s">
        <v>12852</v>
      </c>
      <c r="B212" s="6" t="str">
        <f>image("https://storage.googleapis.com/acdb/bottoms/BottomsTexPantsNormalDown4.png")</f>
        <v/>
      </c>
      <c r="C212" s="5" t="s">
        <v>96</v>
      </c>
      <c r="D212" s="5" t="s">
        <v>36</v>
      </c>
      <c r="E212" s="6">
        <v>1120.0</v>
      </c>
      <c r="F212" s="6">
        <v>280.0</v>
      </c>
      <c r="G212" s="5" t="s">
        <v>96</v>
      </c>
      <c r="H212" s="5" t="s">
        <v>96</v>
      </c>
      <c r="I212" s="6" t="s">
        <v>40</v>
      </c>
      <c r="J212" s="5" t="s">
        <v>8585</v>
      </c>
      <c r="K212" s="5" t="s">
        <v>8632</v>
      </c>
      <c r="L212" s="6" t="s">
        <v>42</v>
      </c>
      <c r="M212" s="5" t="s">
        <v>8746</v>
      </c>
      <c r="N212" s="5" t="s">
        <v>64</v>
      </c>
      <c r="O212" s="5" t="s">
        <v>12868</v>
      </c>
      <c r="P212" s="6">
        <v>11266.0</v>
      </c>
    </row>
    <row r="213" ht="56.25" customHeight="1">
      <c r="A213" s="5" t="s">
        <v>12852</v>
      </c>
      <c r="B213" s="6" t="str">
        <f>image("https://storage.googleapis.com/acdb/bottoms/BottomsTexPantsNormalDown5.png")</f>
        <v/>
      </c>
      <c r="C213" s="5" t="s">
        <v>114</v>
      </c>
      <c r="D213" s="5" t="s">
        <v>36</v>
      </c>
      <c r="E213" s="6">
        <v>1120.0</v>
      </c>
      <c r="F213" s="6">
        <v>280.0</v>
      </c>
      <c r="G213" s="5" t="s">
        <v>114</v>
      </c>
      <c r="H213" s="5" t="s">
        <v>114</v>
      </c>
      <c r="I213" s="6" t="s">
        <v>40</v>
      </c>
      <c r="J213" s="5" t="s">
        <v>8585</v>
      </c>
      <c r="K213" s="5" t="s">
        <v>8632</v>
      </c>
      <c r="L213" s="6" t="s">
        <v>42</v>
      </c>
      <c r="M213" s="5" t="s">
        <v>8746</v>
      </c>
      <c r="N213" s="5" t="s">
        <v>64</v>
      </c>
      <c r="O213" s="5" t="s">
        <v>12872</v>
      </c>
      <c r="P213" s="6">
        <v>11267.0</v>
      </c>
    </row>
    <row r="214" ht="56.25" customHeight="1">
      <c r="A214" s="5" t="s">
        <v>12852</v>
      </c>
      <c r="B214" s="6" t="str">
        <f>image("https://storage.googleapis.com/acdb/bottoms/BottomsTexPantsNormalDown6.png")</f>
        <v/>
      </c>
      <c r="C214" s="5" t="s">
        <v>142</v>
      </c>
      <c r="D214" s="5" t="s">
        <v>36</v>
      </c>
      <c r="E214" s="6">
        <v>1120.0</v>
      </c>
      <c r="F214" s="6">
        <v>280.0</v>
      </c>
      <c r="G214" s="5" t="s">
        <v>142</v>
      </c>
      <c r="H214" s="5" t="s">
        <v>142</v>
      </c>
      <c r="I214" s="6" t="s">
        <v>40</v>
      </c>
      <c r="J214" s="5" t="s">
        <v>8585</v>
      </c>
      <c r="K214" s="5" t="s">
        <v>8632</v>
      </c>
      <c r="L214" s="6" t="s">
        <v>42</v>
      </c>
      <c r="M214" s="5" t="s">
        <v>8746</v>
      </c>
      <c r="N214" s="5" t="s">
        <v>64</v>
      </c>
      <c r="O214" s="5" t="s">
        <v>12875</v>
      </c>
      <c r="P214" s="6">
        <v>11268.0</v>
      </c>
    </row>
    <row r="215" ht="56.25" customHeight="1">
      <c r="A215" s="5" t="s">
        <v>12852</v>
      </c>
      <c r="B215" s="6" t="str">
        <f>image("https://storage.googleapis.com/acdb/bottoms/BottomsTexPantsNormalDown7.png")</f>
        <v/>
      </c>
      <c r="C215" s="5" t="s">
        <v>1458</v>
      </c>
      <c r="D215" s="5" t="s">
        <v>36</v>
      </c>
      <c r="E215" s="6">
        <v>1120.0</v>
      </c>
      <c r="F215" s="6">
        <v>280.0</v>
      </c>
      <c r="G215" s="5" t="s">
        <v>96</v>
      </c>
      <c r="H215" s="5" t="s">
        <v>96</v>
      </c>
      <c r="I215" s="6" t="s">
        <v>40</v>
      </c>
      <c r="J215" s="5" t="s">
        <v>8585</v>
      </c>
      <c r="K215" s="5" t="s">
        <v>8632</v>
      </c>
      <c r="L215" s="6" t="s">
        <v>42</v>
      </c>
      <c r="M215" s="5" t="s">
        <v>8746</v>
      </c>
      <c r="N215" s="5" t="s">
        <v>64</v>
      </c>
      <c r="O215" s="5" t="s">
        <v>12879</v>
      </c>
      <c r="P215" s="6">
        <v>11269.0</v>
      </c>
    </row>
    <row r="216" ht="56.25" customHeight="1">
      <c r="A216" s="5" t="s">
        <v>12880</v>
      </c>
      <c r="B216" s="6" t="str">
        <f>image("https://storage.googleapis.com/acdb/bottoms/BottomsTexSkirtBoxDown0.png")</f>
        <v/>
      </c>
      <c r="C216" s="5" t="s">
        <v>68</v>
      </c>
      <c r="D216" s="5" t="s">
        <v>36</v>
      </c>
      <c r="E216" s="6">
        <v>1040.0</v>
      </c>
      <c r="F216" s="6">
        <v>260.0</v>
      </c>
      <c r="G216" s="5" t="s">
        <v>68</v>
      </c>
      <c r="H216" s="5" t="s">
        <v>68</v>
      </c>
      <c r="I216" s="6" t="s">
        <v>40</v>
      </c>
      <c r="J216" s="5" t="s">
        <v>8585</v>
      </c>
      <c r="K216" s="5" t="s">
        <v>8632</v>
      </c>
      <c r="L216" s="6" t="s">
        <v>42</v>
      </c>
      <c r="M216" s="5" t="s">
        <v>8746</v>
      </c>
      <c r="N216" s="5" t="s">
        <v>64</v>
      </c>
      <c r="O216" s="5" t="s">
        <v>12882</v>
      </c>
      <c r="P216" s="6">
        <v>4266.0</v>
      </c>
    </row>
    <row r="217" ht="56.25" customHeight="1">
      <c r="A217" s="5" t="s">
        <v>12880</v>
      </c>
      <c r="B217" s="6" t="str">
        <f>image("https://storage.googleapis.com/acdb/bottoms/BottomsTexSkirtBoxDown1.png")</f>
        <v/>
      </c>
      <c r="C217" s="5" t="s">
        <v>54</v>
      </c>
      <c r="D217" s="5" t="s">
        <v>36</v>
      </c>
      <c r="E217" s="6">
        <v>1040.0</v>
      </c>
      <c r="F217" s="6">
        <v>260.0</v>
      </c>
      <c r="G217" s="5" t="s">
        <v>54</v>
      </c>
      <c r="H217" s="5" t="s">
        <v>54</v>
      </c>
      <c r="I217" s="6" t="s">
        <v>40</v>
      </c>
      <c r="J217" s="5" t="s">
        <v>8585</v>
      </c>
      <c r="K217" s="5" t="s">
        <v>8632</v>
      </c>
      <c r="L217" s="6" t="s">
        <v>42</v>
      </c>
      <c r="M217" s="5" t="s">
        <v>8746</v>
      </c>
      <c r="N217" s="5" t="s">
        <v>64</v>
      </c>
      <c r="O217" s="5" t="s">
        <v>12885</v>
      </c>
      <c r="P217" s="6">
        <v>11328.0</v>
      </c>
    </row>
    <row r="218" ht="56.25" customHeight="1">
      <c r="A218" s="5" t="s">
        <v>12880</v>
      </c>
      <c r="B218" s="6" t="str">
        <f>image("https://storage.googleapis.com/acdb/bottoms/BottomsTexSkirtBoxDown2.png")</f>
        <v/>
      </c>
      <c r="C218" s="5" t="s">
        <v>52</v>
      </c>
      <c r="D218" s="5" t="s">
        <v>36</v>
      </c>
      <c r="E218" s="6">
        <v>1040.0</v>
      </c>
      <c r="F218" s="6">
        <v>260.0</v>
      </c>
      <c r="G218" s="5" t="s">
        <v>52</v>
      </c>
      <c r="H218" s="5" t="s">
        <v>52</v>
      </c>
      <c r="I218" s="6" t="s">
        <v>40</v>
      </c>
      <c r="J218" s="5" t="s">
        <v>8585</v>
      </c>
      <c r="K218" s="5" t="s">
        <v>8632</v>
      </c>
      <c r="L218" s="6" t="s">
        <v>42</v>
      </c>
      <c r="M218" s="5" t="s">
        <v>8746</v>
      </c>
      <c r="N218" s="5" t="s">
        <v>64</v>
      </c>
      <c r="O218" s="5" t="s">
        <v>12890</v>
      </c>
      <c r="P218" s="6">
        <v>11329.0</v>
      </c>
    </row>
    <row r="219" ht="56.25" customHeight="1">
      <c r="A219" s="5" t="s">
        <v>12880</v>
      </c>
      <c r="B219" s="6" t="str">
        <f>image("https://storage.googleapis.com/acdb/bottoms/BottomsTexSkirtBoxDown3.png")</f>
        <v/>
      </c>
      <c r="C219" s="5" t="s">
        <v>57</v>
      </c>
      <c r="D219" s="5" t="s">
        <v>36</v>
      </c>
      <c r="E219" s="6">
        <v>1040.0</v>
      </c>
      <c r="F219" s="6">
        <v>260.0</v>
      </c>
      <c r="G219" s="5" t="s">
        <v>57</v>
      </c>
      <c r="H219" s="5" t="s">
        <v>57</v>
      </c>
      <c r="I219" s="6" t="s">
        <v>40</v>
      </c>
      <c r="J219" s="5" t="s">
        <v>8585</v>
      </c>
      <c r="K219" s="5" t="s">
        <v>8632</v>
      </c>
      <c r="L219" s="6" t="s">
        <v>42</v>
      </c>
      <c r="M219" s="5" t="s">
        <v>8746</v>
      </c>
      <c r="N219" s="5" t="s">
        <v>64</v>
      </c>
      <c r="O219" s="5" t="s">
        <v>12893</v>
      </c>
      <c r="P219" s="6">
        <v>11330.0</v>
      </c>
    </row>
    <row r="220" ht="56.25" customHeight="1">
      <c r="A220" s="5" t="s">
        <v>12880</v>
      </c>
      <c r="B220" s="6" t="str">
        <f>image("https://storage.googleapis.com/acdb/bottoms/BottomsTexSkirtBoxDown4.png")</f>
        <v/>
      </c>
      <c r="C220" s="5" t="s">
        <v>96</v>
      </c>
      <c r="D220" s="5" t="s">
        <v>36</v>
      </c>
      <c r="E220" s="6">
        <v>1040.0</v>
      </c>
      <c r="F220" s="6">
        <v>260.0</v>
      </c>
      <c r="G220" s="5" t="s">
        <v>96</v>
      </c>
      <c r="H220" s="5" t="s">
        <v>96</v>
      </c>
      <c r="I220" s="6" t="s">
        <v>40</v>
      </c>
      <c r="J220" s="5" t="s">
        <v>8585</v>
      </c>
      <c r="K220" s="5" t="s">
        <v>8632</v>
      </c>
      <c r="L220" s="6" t="s">
        <v>42</v>
      </c>
      <c r="M220" s="5" t="s">
        <v>8746</v>
      </c>
      <c r="N220" s="5" t="s">
        <v>64</v>
      </c>
      <c r="O220" s="5" t="s">
        <v>12897</v>
      </c>
      <c r="P220" s="6">
        <v>11331.0</v>
      </c>
    </row>
    <row r="221" ht="56.25" customHeight="1">
      <c r="A221" s="5" t="s">
        <v>12880</v>
      </c>
      <c r="B221" s="6" t="str">
        <f>image("https://storage.googleapis.com/acdb/bottoms/BottomsTexSkirtBoxDown5.png")</f>
        <v/>
      </c>
      <c r="C221" s="5" t="s">
        <v>114</v>
      </c>
      <c r="D221" s="5" t="s">
        <v>36</v>
      </c>
      <c r="E221" s="6">
        <v>1040.0</v>
      </c>
      <c r="F221" s="6">
        <v>260.0</v>
      </c>
      <c r="G221" s="5" t="s">
        <v>114</v>
      </c>
      <c r="H221" s="5" t="s">
        <v>114</v>
      </c>
      <c r="I221" s="6" t="s">
        <v>40</v>
      </c>
      <c r="J221" s="5" t="s">
        <v>8585</v>
      </c>
      <c r="K221" s="5" t="s">
        <v>8632</v>
      </c>
      <c r="L221" s="6" t="s">
        <v>42</v>
      </c>
      <c r="M221" s="5" t="s">
        <v>8746</v>
      </c>
      <c r="N221" s="5" t="s">
        <v>64</v>
      </c>
      <c r="O221" s="5" t="s">
        <v>12900</v>
      </c>
      <c r="P221" s="6">
        <v>11332.0</v>
      </c>
    </row>
    <row r="222" ht="56.25" customHeight="1">
      <c r="A222" s="5" t="s">
        <v>12880</v>
      </c>
      <c r="B222" s="6" t="str">
        <f>image("https://storage.googleapis.com/acdb/bottoms/BottomsTexSkirtBoxDown6.png")</f>
        <v/>
      </c>
      <c r="C222" s="5" t="s">
        <v>142</v>
      </c>
      <c r="D222" s="5" t="s">
        <v>36</v>
      </c>
      <c r="E222" s="6">
        <v>1040.0</v>
      </c>
      <c r="F222" s="6">
        <v>260.0</v>
      </c>
      <c r="G222" s="5" t="s">
        <v>142</v>
      </c>
      <c r="H222" s="5" t="s">
        <v>142</v>
      </c>
      <c r="I222" s="6" t="s">
        <v>40</v>
      </c>
      <c r="J222" s="5" t="s">
        <v>8585</v>
      </c>
      <c r="K222" s="5" t="s">
        <v>8632</v>
      </c>
      <c r="L222" s="6" t="s">
        <v>42</v>
      </c>
      <c r="M222" s="5" t="s">
        <v>8746</v>
      </c>
      <c r="N222" s="5" t="s">
        <v>64</v>
      </c>
      <c r="O222" s="5" t="s">
        <v>12905</v>
      </c>
      <c r="P222" s="6">
        <v>11333.0</v>
      </c>
    </row>
    <row r="223" ht="56.25" customHeight="1">
      <c r="A223" s="5" t="s">
        <v>12880</v>
      </c>
      <c r="B223" s="6" t="str">
        <f>image("https://storage.googleapis.com/acdb/bottoms/BottomsTexSkirtBoxDown7.png")</f>
        <v/>
      </c>
      <c r="C223" s="5" t="s">
        <v>1458</v>
      </c>
      <c r="D223" s="5" t="s">
        <v>36</v>
      </c>
      <c r="E223" s="6">
        <v>1040.0</v>
      </c>
      <c r="F223" s="6">
        <v>260.0</v>
      </c>
      <c r="G223" s="5" t="s">
        <v>96</v>
      </c>
      <c r="H223" s="5" t="s">
        <v>96</v>
      </c>
      <c r="I223" s="6" t="s">
        <v>40</v>
      </c>
      <c r="J223" s="5" t="s">
        <v>8585</v>
      </c>
      <c r="K223" s="5" t="s">
        <v>8632</v>
      </c>
      <c r="L223" s="6" t="s">
        <v>42</v>
      </c>
      <c r="M223" s="5" t="s">
        <v>8746</v>
      </c>
      <c r="N223" s="5" t="s">
        <v>64</v>
      </c>
      <c r="O223" s="5" t="s">
        <v>12909</v>
      </c>
      <c r="P223" s="6">
        <v>11334.0</v>
      </c>
    </row>
    <row r="224" ht="56.25" customHeight="1">
      <c r="A224" s="5" t="s">
        <v>12910</v>
      </c>
      <c r="B224" s="6" t="str">
        <f>image("https://storage.googleapis.com/acdb/bottoms/BottomsTexSkirtLongDrape0.png")</f>
        <v/>
      </c>
      <c r="C224" s="5" t="s">
        <v>52</v>
      </c>
      <c r="D224" s="5" t="s">
        <v>36</v>
      </c>
      <c r="E224" s="6">
        <v>1820.0</v>
      </c>
      <c r="F224" s="6">
        <v>455.0</v>
      </c>
      <c r="G224" s="5" t="s">
        <v>52</v>
      </c>
      <c r="H224" s="5" t="s">
        <v>57</v>
      </c>
      <c r="I224" s="6" t="s">
        <v>40</v>
      </c>
      <c r="J224" s="5" t="s">
        <v>8585</v>
      </c>
      <c r="K224" s="5" t="s">
        <v>8586</v>
      </c>
      <c r="L224" s="6" t="s">
        <v>42</v>
      </c>
      <c r="M224" s="5" t="s">
        <v>995</v>
      </c>
      <c r="N224" s="5" t="s">
        <v>64</v>
      </c>
      <c r="O224" s="5" t="s">
        <v>12914</v>
      </c>
      <c r="P224" s="6">
        <v>4505.0</v>
      </c>
    </row>
    <row r="225" ht="56.25" customHeight="1">
      <c r="A225" s="5" t="s">
        <v>12910</v>
      </c>
      <c r="B225" s="6" t="str">
        <f>image("https://storage.googleapis.com/acdb/bottoms/BottomsTexSkirtLongDrape1.png")</f>
        <v/>
      </c>
      <c r="C225" s="5" t="s">
        <v>96</v>
      </c>
      <c r="D225" s="5" t="s">
        <v>36</v>
      </c>
      <c r="E225" s="6">
        <v>1820.0</v>
      </c>
      <c r="F225" s="6">
        <v>455.0</v>
      </c>
      <c r="G225" s="5" t="s">
        <v>96</v>
      </c>
      <c r="H225" s="5" t="s">
        <v>57</v>
      </c>
      <c r="I225" s="6" t="s">
        <v>40</v>
      </c>
      <c r="J225" s="5" t="s">
        <v>8585</v>
      </c>
      <c r="K225" s="5" t="s">
        <v>8586</v>
      </c>
      <c r="L225" s="6" t="s">
        <v>42</v>
      </c>
      <c r="M225" s="5" t="s">
        <v>995</v>
      </c>
      <c r="N225" s="5" t="s">
        <v>64</v>
      </c>
      <c r="O225" s="5" t="s">
        <v>12916</v>
      </c>
      <c r="P225" s="6">
        <v>11656.0</v>
      </c>
    </row>
    <row r="226" ht="56.25" customHeight="1">
      <c r="A226" s="5" t="s">
        <v>12910</v>
      </c>
      <c r="B226" s="6" t="str">
        <f>image("https://storage.googleapis.com/acdb/bottoms/BottomsTexSkirtLongDrape2.png")</f>
        <v/>
      </c>
      <c r="C226" s="5" t="s">
        <v>68</v>
      </c>
      <c r="D226" s="5" t="s">
        <v>36</v>
      </c>
      <c r="E226" s="6">
        <v>1820.0</v>
      </c>
      <c r="F226" s="6">
        <v>455.0</v>
      </c>
      <c r="G226" s="5" t="s">
        <v>68</v>
      </c>
      <c r="H226" s="5" t="s">
        <v>57</v>
      </c>
      <c r="I226" s="6" t="s">
        <v>40</v>
      </c>
      <c r="J226" s="5" t="s">
        <v>8585</v>
      </c>
      <c r="K226" s="5" t="s">
        <v>8586</v>
      </c>
      <c r="L226" s="6" t="s">
        <v>42</v>
      </c>
      <c r="M226" s="5" t="s">
        <v>995</v>
      </c>
      <c r="N226" s="5" t="s">
        <v>64</v>
      </c>
      <c r="O226" s="5" t="s">
        <v>12919</v>
      </c>
      <c r="P226" s="6">
        <v>11657.0</v>
      </c>
    </row>
    <row r="227" ht="56.25" customHeight="1">
      <c r="A227" s="5" t="s">
        <v>12910</v>
      </c>
      <c r="B227" s="6" t="str">
        <f>image("https://storage.googleapis.com/acdb/bottoms/BottomsTexSkirtLongDrape3.png")</f>
        <v/>
      </c>
      <c r="C227" s="5" t="s">
        <v>95</v>
      </c>
      <c r="D227" s="5" t="s">
        <v>36</v>
      </c>
      <c r="E227" s="6">
        <v>1820.0</v>
      </c>
      <c r="F227" s="6">
        <v>455.0</v>
      </c>
      <c r="G227" s="5" t="s">
        <v>54</v>
      </c>
      <c r="H227" s="5" t="s">
        <v>57</v>
      </c>
      <c r="I227" s="6" t="s">
        <v>40</v>
      </c>
      <c r="J227" s="5" t="s">
        <v>8585</v>
      </c>
      <c r="K227" s="5" t="s">
        <v>8586</v>
      </c>
      <c r="L227" s="6" t="s">
        <v>42</v>
      </c>
      <c r="M227" s="5" t="s">
        <v>995</v>
      </c>
      <c r="N227" s="5" t="s">
        <v>64</v>
      </c>
      <c r="O227" s="5" t="s">
        <v>12922</v>
      </c>
      <c r="P227" s="6">
        <v>11658.0</v>
      </c>
    </row>
    <row r="228" ht="56.25" customHeight="1">
      <c r="A228" s="5" t="s">
        <v>12910</v>
      </c>
      <c r="B228" s="6" t="str">
        <f>image("https://storage.googleapis.com/acdb/bottoms/BottomsTexSkirtLongDrape4.png")</f>
        <v/>
      </c>
      <c r="C228" s="5" t="s">
        <v>142</v>
      </c>
      <c r="D228" s="5" t="s">
        <v>36</v>
      </c>
      <c r="E228" s="6">
        <v>1820.0</v>
      </c>
      <c r="F228" s="6">
        <v>455.0</v>
      </c>
      <c r="G228" s="5" t="s">
        <v>142</v>
      </c>
      <c r="H228" s="5" t="s">
        <v>57</v>
      </c>
      <c r="I228" s="6" t="s">
        <v>40</v>
      </c>
      <c r="J228" s="5" t="s">
        <v>8585</v>
      </c>
      <c r="K228" s="5" t="s">
        <v>8586</v>
      </c>
      <c r="L228" s="6" t="s">
        <v>42</v>
      </c>
      <c r="M228" s="5" t="s">
        <v>995</v>
      </c>
      <c r="N228" s="5" t="s">
        <v>64</v>
      </c>
      <c r="O228" s="5" t="s">
        <v>12926</v>
      </c>
      <c r="P228" s="6">
        <v>11659.0</v>
      </c>
    </row>
    <row r="229" ht="56.25" customHeight="1">
      <c r="A229" s="5" t="s">
        <v>12910</v>
      </c>
      <c r="B229" s="6" t="str">
        <f>image("https://storage.googleapis.com/acdb/bottoms/BottomsTexSkirtLongDrape5.png")</f>
        <v/>
      </c>
      <c r="C229" s="5" t="s">
        <v>69</v>
      </c>
      <c r="D229" s="5" t="s">
        <v>36</v>
      </c>
      <c r="E229" s="6">
        <v>1820.0</v>
      </c>
      <c r="F229" s="6">
        <v>455.0</v>
      </c>
      <c r="G229" s="5" t="s">
        <v>69</v>
      </c>
      <c r="H229" s="5" t="s">
        <v>57</v>
      </c>
      <c r="I229" s="6" t="s">
        <v>40</v>
      </c>
      <c r="J229" s="5" t="s">
        <v>8585</v>
      </c>
      <c r="K229" s="5" t="s">
        <v>8586</v>
      </c>
      <c r="L229" s="6" t="s">
        <v>42</v>
      </c>
      <c r="M229" s="5" t="s">
        <v>995</v>
      </c>
      <c r="N229" s="5" t="s">
        <v>64</v>
      </c>
      <c r="O229" s="5" t="s">
        <v>12931</v>
      </c>
      <c r="P229" s="6">
        <v>11660.0</v>
      </c>
    </row>
    <row r="230" ht="56.25" customHeight="1">
      <c r="A230" s="5" t="s">
        <v>12910</v>
      </c>
      <c r="B230" s="6" t="str">
        <f>image("https://storage.googleapis.com/acdb/bottoms/BottomsTexSkirtLongDrape6.png")</f>
        <v/>
      </c>
      <c r="C230" s="5" t="s">
        <v>106</v>
      </c>
      <c r="D230" s="5" t="s">
        <v>36</v>
      </c>
      <c r="E230" s="6">
        <v>1820.0</v>
      </c>
      <c r="F230" s="6">
        <v>455.0</v>
      </c>
      <c r="G230" s="5" t="s">
        <v>106</v>
      </c>
      <c r="H230" s="5" t="s">
        <v>57</v>
      </c>
      <c r="I230" s="6" t="s">
        <v>40</v>
      </c>
      <c r="J230" s="5" t="s">
        <v>8585</v>
      </c>
      <c r="K230" s="5" t="s">
        <v>8586</v>
      </c>
      <c r="L230" s="6" t="s">
        <v>42</v>
      </c>
      <c r="M230" s="5" t="s">
        <v>995</v>
      </c>
      <c r="N230" s="5" t="s">
        <v>64</v>
      </c>
      <c r="O230" s="5" t="s">
        <v>12934</v>
      </c>
      <c r="P230" s="6">
        <v>11661.0</v>
      </c>
    </row>
    <row r="231" ht="56.25" customHeight="1">
      <c r="A231" s="5" t="s">
        <v>12910</v>
      </c>
      <c r="B231" s="6" t="str">
        <f>image("https://storage.googleapis.com/acdb/bottoms/BottomsTexSkirtLongDrape7.png")</f>
        <v/>
      </c>
      <c r="C231" s="5" t="s">
        <v>83</v>
      </c>
      <c r="D231" s="5" t="s">
        <v>36</v>
      </c>
      <c r="E231" s="6">
        <v>1820.0</v>
      </c>
      <c r="F231" s="6">
        <v>455.0</v>
      </c>
      <c r="G231" s="5" t="s">
        <v>83</v>
      </c>
      <c r="H231" s="5" t="s">
        <v>57</v>
      </c>
      <c r="I231" s="6" t="s">
        <v>40</v>
      </c>
      <c r="J231" s="5" t="s">
        <v>8585</v>
      </c>
      <c r="K231" s="5" t="s">
        <v>8586</v>
      </c>
      <c r="L231" s="6" t="s">
        <v>42</v>
      </c>
      <c r="M231" s="5" t="s">
        <v>995</v>
      </c>
      <c r="N231" s="5" t="s">
        <v>64</v>
      </c>
      <c r="O231" s="5" t="s">
        <v>12938</v>
      </c>
      <c r="P231" s="6">
        <v>11662.0</v>
      </c>
    </row>
    <row r="232" ht="56.25" customHeight="1">
      <c r="A232" s="5" t="s">
        <v>12939</v>
      </c>
      <c r="B232" s="6" t="str">
        <f>image("https://storage.googleapis.com/acdb/bottoms/BottomsTexPantsWideYumekawa0.png")</f>
        <v/>
      </c>
      <c r="C232" s="5" t="s">
        <v>69</v>
      </c>
      <c r="D232" s="5" t="s">
        <v>36</v>
      </c>
      <c r="E232" s="6">
        <v>1440.0</v>
      </c>
      <c r="F232" s="6">
        <v>360.0</v>
      </c>
      <c r="G232" s="5" t="s">
        <v>69</v>
      </c>
      <c r="H232" s="5" t="s">
        <v>106</v>
      </c>
      <c r="I232" s="6" t="s">
        <v>40</v>
      </c>
      <c r="J232" s="5" t="s">
        <v>8585</v>
      </c>
      <c r="K232" s="5" t="s">
        <v>8632</v>
      </c>
      <c r="L232" s="6" t="s">
        <v>42</v>
      </c>
      <c r="M232" s="5" t="s">
        <v>1959</v>
      </c>
      <c r="N232" s="5" t="s">
        <v>64</v>
      </c>
      <c r="O232" s="5" t="s">
        <v>12943</v>
      </c>
      <c r="P232" s="6">
        <v>5923.0</v>
      </c>
    </row>
    <row r="233" ht="56.25" customHeight="1">
      <c r="A233" s="5" t="s">
        <v>12939</v>
      </c>
      <c r="B233" s="6" t="str">
        <f>image("https://storage.googleapis.com/acdb/bottoms/BottomsTexPantsWideYumekawa1.png")</f>
        <v/>
      </c>
      <c r="C233" s="5" t="s">
        <v>96</v>
      </c>
      <c r="D233" s="5" t="s">
        <v>36</v>
      </c>
      <c r="E233" s="6">
        <v>1440.0</v>
      </c>
      <c r="F233" s="6">
        <v>360.0</v>
      </c>
      <c r="G233" s="5" t="s">
        <v>96</v>
      </c>
      <c r="H233" s="5" t="s">
        <v>106</v>
      </c>
      <c r="I233" s="6" t="s">
        <v>40</v>
      </c>
      <c r="J233" s="5" t="s">
        <v>8585</v>
      </c>
      <c r="K233" s="5" t="s">
        <v>8632</v>
      </c>
      <c r="L233" s="6" t="s">
        <v>42</v>
      </c>
      <c r="M233" s="5" t="s">
        <v>1959</v>
      </c>
      <c r="N233" s="5" t="s">
        <v>64</v>
      </c>
      <c r="O233" s="5" t="s">
        <v>12947</v>
      </c>
      <c r="P233" s="6">
        <v>9194.0</v>
      </c>
    </row>
    <row r="234" ht="56.25" customHeight="1">
      <c r="A234" s="5" t="s">
        <v>12939</v>
      </c>
      <c r="B234" s="6" t="str">
        <f>image("https://storage.googleapis.com/acdb/bottoms/BottomsTexPantsWideYumekawa2.png")</f>
        <v/>
      </c>
      <c r="C234" s="5" t="s">
        <v>114</v>
      </c>
      <c r="D234" s="5" t="s">
        <v>36</v>
      </c>
      <c r="E234" s="6">
        <v>1440.0</v>
      </c>
      <c r="F234" s="6">
        <v>360.0</v>
      </c>
      <c r="G234" s="5" t="s">
        <v>114</v>
      </c>
      <c r="H234" s="5" t="s">
        <v>106</v>
      </c>
      <c r="I234" s="6" t="s">
        <v>40</v>
      </c>
      <c r="J234" s="5" t="s">
        <v>8585</v>
      </c>
      <c r="K234" s="5" t="s">
        <v>8632</v>
      </c>
      <c r="L234" s="6" t="s">
        <v>42</v>
      </c>
      <c r="M234" s="5" t="s">
        <v>1959</v>
      </c>
      <c r="N234" s="5" t="s">
        <v>64</v>
      </c>
      <c r="O234" s="5" t="s">
        <v>12952</v>
      </c>
      <c r="P234" s="6">
        <v>9195.0</v>
      </c>
    </row>
    <row r="235" ht="56.25" customHeight="1">
      <c r="A235" s="5" t="s">
        <v>12939</v>
      </c>
      <c r="B235" s="6" t="str">
        <f>image("https://storage.googleapis.com/acdb/bottoms/BottomsTexPantsWideYumekawa3.png")</f>
        <v/>
      </c>
      <c r="C235" s="5" t="s">
        <v>68</v>
      </c>
      <c r="D235" s="5" t="s">
        <v>36</v>
      </c>
      <c r="E235" s="6">
        <v>1440.0</v>
      </c>
      <c r="F235" s="6">
        <v>360.0</v>
      </c>
      <c r="G235" s="5" t="s">
        <v>68</v>
      </c>
      <c r="H235" s="5" t="s">
        <v>106</v>
      </c>
      <c r="I235" s="6" t="s">
        <v>40</v>
      </c>
      <c r="J235" s="5" t="s">
        <v>8585</v>
      </c>
      <c r="K235" s="5" t="s">
        <v>8632</v>
      </c>
      <c r="L235" s="6" t="s">
        <v>42</v>
      </c>
      <c r="M235" s="5" t="s">
        <v>1959</v>
      </c>
      <c r="N235" s="5" t="s">
        <v>64</v>
      </c>
      <c r="O235" s="5" t="s">
        <v>12956</v>
      </c>
      <c r="P235" s="6">
        <v>9196.0</v>
      </c>
    </row>
    <row r="236" ht="56.25" customHeight="1">
      <c r="A236" s="5" t="s">
        <v>12958</v>
      </c>
      <c r="B236" s="6" t="str">
        <f>image("https://storage.googleapis.com/acdb/bottoms/BottomsTexPantsWideSchool0.png")</f>
        <v/>
      </c>
      <c r="C236" s="5" t="s">
        <v>96</v>
      </c>
      <c r="D236" s="5" t="s">
        <v>36</v>
      </c>
      <c r="E236" s="6">
        <v>1300.0</v>
      </c>
      <c r="F236" s="6">
        <v>325.0</v>
      </c>
      <c r="G236" s="5" t="s">
        <v>96</v>
      </c>
      <c r="H236" s="5" t="s">
        <v>54</v>
      </c>
      <c r="I236" s="6" t="s">
        <v>40</v>
      </c>
      <c r="J236" s="5" t="s">
        <v>8585</v>
      </c>
      <c r="K236" s="5" t="s">
        <v>8586</v>
      </c>
      <c r="L236" s="6" t="s">
        <v>42</v>
      </c>
      <c r="M236" s="5" t="s">
        <v>995</v>
      </c>
      <c r="N236" s="5" t="s">
        <v>64</v>
      </c>
      <c r="O236" s="5" t="s">
        <v>12959</v>
      </c>
      <c r="P236" s="6">
        <v>3405.0</v>
      </c>
    </row>
    <row r="237" ht="56.25" customHeight="1">
      <c r="A237" s="5" t="s">
        <v>12958</v>
      </c>
      <c r="B237" s="6" t="str">
        <f>image("https://storage.googleapis.com/acdb/bottoms/BottomsTexPantsWideSchool1.png")</f>
        <v/>
      </c>
      <c r="C237" s="5" t="s">
        <v>1187</v>
      </c>
      <c r="D237" s="5" t="s">
        <v>36</v>
      </c>
      <c r="E237" s="6">
        <v>1300.0</v>
      </c>
      <c r="F237" s="6">
        <v>325.0</v>
      </c>
      <c r="G237" s="5" t="s">
        <v>68</v>
      </c>
      <c r="H237" s="5" t="s">
        <v>54</v>
      </c>
      <c r="I237" s="6" t="s">
        <v>40</v>
      </c>
      <c r="J237" s="5" t="s">
        <v>8585</v>
      </c>
      <c r="K237" s="5" t="s">
        <v>8586</v>
      </c>
      <c r="L237" s="6" t="s">
        <v>42</v>
      </c>
      <c r="M237" s="5" t="s">
        <v>995</v>
      </c>
      <c r="N237" s="5" t="s">
        <v>64</v>
      </c>
      <c r="O237" s="5" t="s">
        <v>12962</v>
      </c>
      <c r="P237" s="6">
        <v>11404.0</v>
      </c>
    </row>
    <row r="238" ht="56.25" customHeight="1">
      <c r="A238" s="5" t="s">
        <v>12958</v>
      </c>
      <c r="B238" s="6" t="str">
        <f>image("https://storage.googleapis.com/acdb/bottoms/BottomsTexPantsWideSchool2.png")</f>
        <v/>
      </c>
      <c r="C238" s="5" t="s">
        <v>38</v>
      </c>
      <c r="D238" s="5" t="s">
        <v>36</v>
      </c>
      <c r="E238" s="6">
        <v>1300.0</v>
      </c>
      <c r="F238" s="6">
        <v>325.0</v>
      </c>
      <c r="G238" s="5" t="s">
        <v>38</v>
      </c>
      <c r="H238" s="5" t="s">
        <v>54</v>
      </c>
      <c r="I238" s="6" t="s">
        <v>40</v>
      </c>
      <c r="J238" s="5" t="s">
        <v>8585</v>
      </c>
      <c r="K238" s="5" t="s">
        <v>8586</v>
      </c>
      <c r="L238" s="6" t="s">
        <v>42</v>
      </c>
      <c r="M238" s="5" t="s">
        <v>995</v>
      </c>
      <c r="N238" s="5" t="s">
        <v>64</v>
      </c>
      <c r="O238" s="5" t="s">
        <v>12965</v>
      </c>
      <c r="P238" s="6">
        <v>11405.0</v>
      </c>
    </row>
    <row r="239" ht="56.25" customHeight="1">
      <c r="A239" s="5" t="s">
        <v>12958</v>
      </c>
      <c r="B239" s="6" t="str">
        <f>image("https://storage.googleapis.com/acdb/bottoms/BottomsTexPantsWideSchool3.png")</f>
        <v/>
      </c>
      <c r="C239" s="5" t="s">
        <v>4883</v>
      </c>
      <c r="D239" s="5" t="s">
        <v>36</v>
      </c>
      <c r="E239" s="6">
        <v>1300.0</v>
      </c>
      <c r="F239" s="6">
        <v>325.0</v>
      </c>
      <c r="G239" s="5" t="s">
        <v>52</v>
      </c>
      <c r="H239" s="5" t="s">
        <v>54</v>
      </c>
      <c r="I239" s="6" t="s">
        <v>40</v>
      </c>
      <c r="J239" s="5" t="s">
        <v>8585</v>
      </c>
      <c r="K239" s="5" t="s">
        <v>8586</v>
      </c>
      <c r="L239" s="6" t="s">
        <v>42</v>
      </c>
      <c r="M239" s="5" t="s">
        <v>995</v>
      </c>
      <c r="N239" s="5" t="s">
        <v>64</v>
      </c>
      <c r="O239" s="5" t="s">
        <v>12969</v>
      </c>
      <c r="P239" s="6">
        <v>11406.0</v>
      </c>
    </row>
    <row r="240" ht="56.25" customHeight="1">
      <c r="A240" s="5" t="s">
        <v>12970</v>
      </c>
      <c r="B240" s="6" t="str">
        <f>image("https://storage.googleapis.com/acdb/bottoms/BottomsTexPantsWideThail0.png")</f>
        <v/>
      </c>
      <c r="C240" s="5" t="s">
        <v>52</v>
      </c>
      <c r="D240" s="5" t="s">
        <v>36</v>
      </c>
      <c r="E240" s="6">
        <v>1100.0</v>
      </c>
      <c r="F240" s="6">
        <v>275.0</v>
      </c>
      <c r="G240" s="5" t="s">
        <v>52</v>
      </c>
      <c r="H240" s="5" t="s">
        <v>38</v>
      </c>
      <c r="I240" s="6" t="s">
        <v>40</v>
      </c>
      <c r="J240" s="5" t="s">
        <v>8585</v>
      </c>
      <c r="K240" s="5" t="s">
        <v>8632</v>
      </c>
      <c r="L240" s="6" t="s">
        <v>42</v>
      </c>
      <c r="M240" s="5" t="s">
        <v>995</v>
      </c>
      <c r="N240" s="5" t="s">
        <v>64</v>
      </c>
      <c r="O240" s="5" t="s">
        <v>12973</v>
      </c>
      <c r="P240" s="6">
        <v>5735.0</v>
      </c>
    </row>
    <row r="241" ht="56.25" customHeight="1">
      <c r="A241" s="5" t="s">
        <v>12970</v>
      </c>
      <c r="B241" s="6" t="str">
        <f>image("https://storage.googleapis.com/acdb/bottoms/BottomsTexPantsWideThail1.png")</f>
        <v/>
      </c>
      <c r="C241" s="5" t="s">
        <v>68</v>
      </c>
      <c r="D241" s="5" t="s">
        <v>36</v>
      </c>
      <c r="E241" s="6">
        <v>1100.0</v>
      </c>
      <c r="F241" s="6">
        <v>275.0</v>
      </c>
      <c r="G241" s="5" t="s">
        <v>68</v>
      </c>
      <c r="H241" s="5" t="s">
        <v>83</v>
      </c>
      <c r="I241" s="6" t="s">
        <v>40</v>
      </c>
      <c r="J241" s="5" t="s">
        <v>8585</v>
      </c>
      <c r="K241" s="5" t="s">
        <v>8632</v>
      </c>
      <c r="L241" s="6" t="s">
        <v>42</v>
      </c>
      <c r="M241" s="5" t="s">
        <v>995</v>
      </c>
      <c r="N241" s="5" t="s">
        <v>64</v>
      </c>
      <c r="O241" s="5" t="s">
        <v>12977</v>
      </c>
      <c r="P241" s="6">
        <v>9184.0</v>
      </c>
    </row>
    <row r="242" ht="56.25" customHeight="1">
      <c r="A242" s="5" t="s">
        <v>12970</v>
      </c>
      <c r="B242" s="6" t="str">
        <f>image("https://storage.googleapis.com/acdb/bottoms/BottomsTexPantsWideThail2.png")</f>
        <v/>
      </c>
      <c r="C242" s="5" t="s">
        <v>142</v>
      </c>
      <c r="D242" s="5" t="s">
        <v>36</v>
      </c>
      <c r="E242" s="6">
        <v>1100.0</v>
      </c>
      <c r="F242" s="6">
        <v>275.0</v>
      </c>
      <c r="G242" s="5" t="s">
        <v>142</v>
      </c>
      <c r="H242" s="5" t="s">
        <v>38</v>
      </c>
      <c r="I242" s="6" t="s">
        <v>40</v>
      </c>
      <c r="J242" s="5" t="s">
        <v>8585</v>
      </c>
      <c r="K242" s="5" t="s">
        <v>8632</v>
      </c>
      <c r="L242" s="6" t="s">
        <v>42</v>
      </c>
      <c r="M242" s="5" t="s">
        <v>995</v>
      </c>
      <c r="N242" s="5" t="s">
        <v>64</v>
      </c>
      <c r="O242" s="5" t="s">
        <v>12982</v>
      </c>
      <c r="P242" s="6">
        <v>9185.0</v>
      </c>
    </row>
    <row r="243" ht="56.25" customHeight="1">
      <c r="A243" s="5" t="s">
        <v>12970</v>
      </c>
      <c r="B243" s="6" t="str">
        <f>image("https://storage.googleapis.com/acdb/bottoms/BottomsTexPantsWideThail3.png")</f>
        <v/>
      </c>
      <c r="C243" s="5" t="s">
        <v>96</v>
      </c>
      <c r="D243" s="5" t="s">
        <v>36</v>
      </c>
      <c r="E243" s="6">
        <v>1100.0</v>
      </c>
      <c r="F243" s="6">
        <v>275.0</v>
      </c>
      <c r="G243" s="5" t="s">
        <v>96</v>
      </c>
      <c r="H243" s="5" t="s">
        <v>38</v>
      </c>
      <c r="I243" s="6" t="s">
        <v>40</v>
      </c>
      <c r="J243" s="5" t="s">
        <v>8585</v>
      </c>
      <c r="K243" s="5" t="s">
        <v>8632</v>
      </c>
      <c r="L243" s="6" t="s">
        <v>42</v>
      </c>
      <c r="M243" s="5" t="s">
        <v>995</v>
      </c>
      <c r="N243" s="5" t="s">
        <v>64</v>
      </c>
      <c r="O243" s="5" t="s">
        <v>12984</v>
      </c>
      <c r="P243" s="6">
        <v>9186.0</v>
      </c>
    </row>
    <row r="244" ht="56.25" customHeight="1">
      <c r="A244" s="5" t="s">
        <v>12970</v>
      </c>
      <c r="B244" s="6" t="str">
        <f>image("https://storage.googleapis.com/acdb/bottoms/BottomsTexPantsWideThail4.png")</f>
        <v/>
      </c>
      <c r="C244" s="5" t="s">
        <v>106</v>
      </c>
      <c r="D244" s="5" t="s">
        <v>36</v>
      </c>
      <c r="E244" s="6">
        <v>1100.0</v>
      </c>
      <c r="F244" s="6">
        <v>275.0</v>
      </c>
      <c r="G244" s="5" t="s">
        <v>106</v>
      </c>
      <c r="H244" s="5" t="s">
        <v>106</v>
      </c>
      <c r="I244" s="6" t="s">
        <v>40</v>
      </c>
      <c r="J244" s="5" t="s">
        <v>8585</v>
      </c>
      <c r="K244" s="5" t="s">
        <v>8632</v>
      </c>
      <c r="L244" s="6" t="s">
        <v>42</v>
      </c>
      <c r="M244" s="5" t="s">
        <v>995</v>
      </c>
      <c r="N244" s="5" t="s">
        <v>64</v>
      </c>
      <c r="O244" s="5" t="s">
        <v>12988</v>
      </c>
      <c r="P244" s="6">
        <v>9187.0</v>
      </c>
    </row>
    <row r="245" ht="56.25" customHeight="1">
      <c r="A245" s="5" t="s">
        <v>12970</v>
      </c>
      <c r="B245" s="6" t="str">
        <f>image("https://storage.googleapis.com/acdb/bottoms/BottomsTexPantsWideThail5.png")</f>
        <v/>
      </c>
      <c r="C245" s="5" t="s">
        <v>54</v>
      </c>
      <c r="D245" s="5" t="s">
        <v>36</v>
      </c>
      <c r="E245" s="6">
        <v>1100.0</v>
      </c>
      <c r="F245" s="6">
        <v>275.0</v>
      </c>
      <c r="G245" s="5" t="s">
        <v>54</v>
      </c>
      <c r="H245" s="5" t="s">
        <v>95</v>
      </c>
      <c r="I245" s="6" t="s">
        <v>40</v>
      </c>
      <c r="J245" s="5" t="s">
        <v>8585</v>
      </c>
      <c r="K245" s="5" t="s">
        <v>8632</v>
      </c>
      <c r="L245" s="6" t="s">
        <v>42</v>
      </c>
      <c r="M245" s="5" t="s">
        <v>995</v>
      </c>
      <c r="N245" s="5" t="s">
        <v>64</v>
      </c>
      <c r="O245" s="5" t="s">
        <v>12991</v>
      </c>
      <c r="P245" s="6">
        <v>9188.0</v>
      </c>
    </row>
    <row r="246" ht="56.25" customHeight="1">
      <c r="A246" s="5" t="s">
        <v>12992</v>
      </c>
      <c r="B246" s="6" t="str">
        <f>image("https://storage.googleapis.com/acdb/bottoms/BottomsTexPantsWidePrintdenim0.png")</f>
        <v/>
      </c>
      <c r="C246" s="5" t="s">
        <v>68</v>
      </c>
      <c r="D246" s="5" t="s">
        <v>36</v>
      </c>
      <c r="E246" s="6">
        <v>1300.0</v>
      </c>
      <c r="F246" s="6">
        <v>325.0</v>
      </c>
      <c r="G246" s="5" t="s">
        <v>68</v>
      </c>
      <c r="H246" s="5" t="s">
        <v>52</v>
      </c>
      <c r="I246" s="6" t="s">
        <v>40</v>
      </c>
      <c r="J246" s="5" t="s">
        <v>8585</v>
      </c>
      <c r="K246" s="5" t="s">
        <v>8632</v>
      </c>
      <c r="L246" s="6" t="s">
        <v>42</v>
      </c>
      <c r="M246" s="5" t="s">
        <v>1952</v>
      </c>
      <c r="N246" s="5" t="s">
        <v>64</v>
      </c>
      <c r="O246" s="5" t="s">
        <v>12995</v>
      </c>
      <c r="P246" s="6">
        <v>5459.0</v>
      </c>
    </row>
    <row r="247" ht="56.25" customHeight="1">
      <c r="A247" s="5" t="s">
        <v>12992</v>
      </c>
      <c r="B247" s="6" t="str">
        <f>image("https://storage.googleapis.com/acdb/bottoms/BottomsTexPantsWidePrintdenim1.png")</f>
        <v/>
      </c>
      <c r="C247" s="5" t="s">
        <v>83</v>
      </c>
      <c r="D247" s="5" t="s">
        <v>36</v>
      </c>
      <c r="E247" s="6">
        <v>1300.0</v>
      </c>
      <c r="F247" s="6">
        <v>325.0</v>
      </c>
      <c r="G247" s="5" t="s">
        <v>83</v>
      </c>
      <c r="H247" s="5" t="s">
        <v>57</v>
      </c>
      <c r="I247" s="6" t="s">
        <v>40</v>
      </c>
      <c r="J247" s="5" t="s">
        <v>8585</v>
      </c>
      <c r="K247" s="5" t="s">
        <v>8632</v>
      </c>
      <c r="L247" s="6" t="s">
        <v>42</v>
      </c>
      <c r="M247" s="5" t="s">
        <v>1952</v>
      </c>
      <c r="N247" s="5" t="s">
        <v>64</v>
      </c>
      <c r="O247" s="5" t="s">
        <v>12997</v>
      </c>
      <c r="P247" s="6">
        <v>9539.0</v>
      </c>
    </row>
    <row r="248" ht="56.25" customHeight="1">
      <c r="A248" s="5" t="s">
        <v>12992</v>
      </c>
      <c r="B248" s="6" t="str">
        <f>image("https://storage.googleapis.com/acdb/bottoms/BottomsTexPantsWidePrintdenim2.png")</f>
        <v/>
      </c>
      <c r="C248" s="5" t="s">
        <v>54</v>
      </c>
      <c r="D248" s="5" t="s">
        <v>36</v>
      </c>
      <c r="E248" s="6">
        <v>1300.0</v>
      </c>
      <c r="F248" s="6">
        <v>325.0</v>
      </c>
      <c r="G248" s="5" t="s">
        <v>54</v>
      </c>
      <c r="H248" s="5" t="s">
        <v>95</v>
      </c>
      <c r="I248" s="6" t="s">
        <v>40</v>
      </c>
      <c r="J248" s="5" t="s">
        <v>8585</v>
      </c>
      <c r="K248" s="5" t="s">
        <v>8632</v>
      </c>
      <c r="L248" s="6" t="s">
        <v>42</v>
      </c>
      <c r="M248" s="5" t="s">
        <v>1952</v>
      </c>
      <c r="N248" s="5" t="s">
        <v>64</v>
      </c>
      <c r="O248" s="5" t="s">
        <v>13003</v>
      </c>
      <c r="P248" s="6">
        <v>9540.0</v>
      </c>
    </row>
    <row r="249" ht="56.25" customHeight="1">
      <c r="A249" s="5" t="s">
        <v>13004</v>
      </c>
      <c r="B249" s="6" t="str">
        <f>image("https://storage.googleapis.com/acdb/bottoms/BottomsTexSkirtLongEmbroidery0.png")</f>
        <v/>
      </c>
      <c r="C249" s="5" t="s">
        <v>96</v>
      </c>
      <c r="D249" s="5" t="s">
        <v>36</v>
      </c>
      <c r="E249" s="6">
        <v>1320.0</v>
      </c>
      <c r="F249" s="6">
        <v>330.0</v>
      </c>
      <c r="G249" s="5" t="s">
        <v>96</v>
      </c>
      <c r="H249" s="5" t="s">
        <v>83</v>
      </c>
      <c r="I249" s="6" t="s">
        <v>40</v>
      </c>
      <c r="J249" s="5" t="s">
        <v>8585</v>
      </c>
      <c r="K249" s="5" t="s">
        <v>8632</v>
      </c>
      <c r="L249" s="6" t="s">
        <v>42</v>
      </c>
      <c r="M249" s="5" t="s">
        <v>1059</v>
      </c>
      <c r="N249" s="5" t="s">
        <v>64</v>
      </c>
      <c r="O249" s="5" t="s">
        <v>13006</v>
      </c>
      <c r="P249" s="6">
        <v>4547.0</v>
      </c>
    </row>
    <row r="250" ht="56.25" customHeight="1">
      <c r="A250" s="5" t="s">
        <v>13004</v>
      </c>
      <c r="B250" s="6" t="str">
        <f>image("https://storage.googleapis.com/acdb/bottoms/BottomsTexSkirtLongEmbroidery1.png")</f>
        <v/>
      </c>
      <c r="C250" s="5" t="s">
        <v>68</v>
      </c>
      <c r="D250" s="5" t="s">
        <v>36</v>
      </c>
      <c r="E250" s="6">
        <v>1320.0</v>
      </c>
      <c r="F250" s="6">
        <v>330.0</v>
      </c>
      <c r="G250" s="5" t="s">
        <v>68</v>
      </c>
      <c r="H250" s="5" t="s">
        <v>106</v>
      </c>
      <c r="I250" s="6" t="s">
        <v>40</v>
      </c>
      <c r="J250" s="5" t="s">
        <v>8585</v>
      </c>
      <c r="K250" s="5" t="s">
        <v>8632</v>
      </c>
      <c r="L250" s="6" t="s">
        <v>42</v>
      </c>
      <c r="M250" s="5" t="s">
        <v>1059</v>
      </c>
      <c r="N250" s="5" t="s">
        <v>64</v>
      </c>
      <c r="O250" s="5" t="s">
        <v>13009</v>
      </c>
      <c r="P250" s="6">
        <v>8736.0</v>
      </c>
    </row>
    <row r="251" ht="56.25" customHeight="1">
      <c r="A251" s="5" t="s">
        <v>13004</v>
      </c>
      <c r="B251" s="6" t="str">
        <f>image("https://storage.googleapis.com/acdb/bottoms/BottomsTexSkirtLongEmbroidery2.png")</f>
        <v/>
      </c>
      <c r="C251" s="5" t="s">
        <v>4883</v>
      </c>
      <c r="D251" s="5" t="s">
        <v>36</v>
      </c>
      <c r="E251" s="6">
        <v>1320.0</v>
      </c>
      <c r="F251" s="6">
        <v>330.0</v>
      </c>
      <c r="G251" s="5" t="s">
        <v>52</v>
      </c>
      <c r="H251" s="5" t="s">
        <v>142</v>
      </c>
      <c r="I251" s="6" t="s">
        <v>40</v>
      </c>
      <c r="J251" s="5" t="s">
        <v>8585</v>
      </c>
      <c r="K251" s="5" t="s">
        <v>8632</v>
      </c>
      <c r="L251" s="6" t="s">
        <v>42</v>
      </c>
      <c r="M251" s="5" t="s">
        <v>1059</v>
      </c>
      <c r="N251" s="5" t="s">
        <v>64</v>
      </c>
      <c r="O251" s="5" t="s">
        <v>13012</v>
      </c>
      <c r="P251" s="6">
        <v>8737.0</v>
      </c>
    </row>
    <row r="252" ht="56.25" customHeight="1">
      <c r="A252" s="5" t="s">
        <v>13013</v>
      </c>
      <c r="B252" s="6" t="str">
        <f>image("https://storage.googleapis.com/acdb/bottoms/BottomsTexSkirtLongGeometric0.png")</f>
        <v/>
      </c>
      <c r="C252" s="5" t="s">
        <v>68</v>
      </c>
      <c r="D252" s="5" t="s">
        <v>36</v>
      </c>
      <c r="E252" s="6">
        <v>1100.0</v>
      </c>
      <c r="F252" s="6">
        <v>275.0</v>
      </c>
      <c r="G252" s="5" t="s">
        <v>68</v>
      </c>
      <c r="H252" s="5" t="s">
        <v>57</v>
      </c>
      <c r="I252" s="6" t="s">
        <v>40</v>
      </c>
      <c r="J252" s="5" t="s">
        <v>8585</v>
      </c>
      <c r="K252" s="5" t="s">
        <v>8632</v>
      </c>
      <c r="L252" s="6" t="s">
        <v>42</v>
      </c>
      <c r="M252" s="5" t="s">
        <v>995</v>
      </c>
      <c r="N252" s="5" t="s">
        <v>64</v>
      </c>
      <c r="O252" s="5" t="s">
        <v>13016</v>
      </c>
      <c r="P252" s="6">
        <v>4548.0</v>
      </c>
    </row>
    <row r="253" ht="56.25" customHeight="1">
      <c r="A253" s="5" t="s">
        <v>13013</v>
      </c>
      <c r="B253" s="6" t="str">
        <f>image("https://storage.googleapis.com/acdb/bottoms/BottomsTexSkirtLongGeometric1.png")</f>
        <v/>
      </c>
      <c r="C253" s="5" t="s">
        <v>96</v>
      </c>
      <c r="D253" s="5" t="s">
        <v>36</v>
      </c>
      <c r="E253" s="6">
        <v>1100.0</v>
      </c>
      <c r="F253" s="6">
        <v>275.0</v>
      </c>
      <c r="G253" s="5" t="s">
        <v>96</v>
      </c>
      <c r="H253" s="5" t="s">
        <v>57</v>
      </c>
      <c r="I253" s="6" t="s">
        <v>40</v>
      </c>
      <c r="J253" s="5" t="s">
        <v>8585</v>
      </c>
      <c r="K253" s="5" t="s">
        <v>8632</v>
      </c>
      <c r="L253" s="6" t="s">
        <v>42</v>
      </c>
      <c r="M253" s="5" t="s">
        <v>995</v>
      </c>
      <c r="N253" s="5" t="s">
        <v>64</v>
      </c>
      <c r="O253" s="5" t="s">
        <v>13018</v>
      </c>
      <c r="P253" s="6">
        <v>8738.0</v>
      </c>
    </row>
    <row r="254" ht="56.25" customHeight="1">
      <c r="A254" s="5" t="s">
        <v>13013</v>
      </c>
      <c r="B254" s="6" t="str">
        <f>image("https://storage.googleapis.com/acdb/bottoms/BottomsTexSkirtLongGeometric2.png")</f>
        <v/>
      </c>
      <c r="C254" s="5" t="s">
        <v>52</v>
      </c>
      <c r="D254" s="5" t="s">
        <v>36</v>
      </c>
      <c r="E254" s="6">
        <v>1100.0</v>
      </c>
      <c r="F254" s="6">
        <v>275.0</v>
      </c>
      <c r="G254" s="5" t="s">
        <v>52</v>
      </c>
      <c r="H254" s="5" t="s">
        <v>57</v>
      </c>
      <c r="I254" s="6" t="s">
        <v>40</v>
      </c>
      <c r="J254" s="5" t="s">
        <v>8585</v>
      </c>
      <c r="K254" s="5" t="s">
        <v>8632</v>
      </c>
      <c r="L254" s="6" t="s">
        <v>42</v>
      </c>
      <c r="M254" s="5" t="s">
        <v>995</v>
      </c>
      <c r="N254" s="5" t="s">
        <v>64</v>
      </c>
      <c r="O254" s="5" t="s">
        <v>13021</v>
      </c>
      <c r="P254" s="6">
        <v>8739.0</v>
      </c>
    </row>
    <row r="255" ht="56.25" customHeight="1">
      <c r="A255" s="5" t="s">
        <v>13022</v>
      </c>
      <c r="B255" s="6" t="str">
        <f>image("https://storage.googleapis.com/acdb/bottoms/BottomsTexPantsHalfExplorer0.png")</f>
        <v/>
      </c>
      <c r="C255" s="5" t="s">
        <v>2408</v>
      </c>
      <c r="D255" s="5" t="s">
        <v>36</v>
      </c>
      <c r="E255" s="6">
        <v>1040.0</v>
      </c>
      <c r="F255" s="6">
        <v>260.0</v>
      </c>
      <c r="G255" s="5" t="s">
        <v>38</v>
      </c>
      <c r="H255" s="5" t="s">
        <v>38</v>
      </c>
      <c r="I255" s="6" t="s">
        <v>40</v>
      </c>
      <c r="J255" s="5" t="s">
        <v>8585</v>
      </c>
      <c r="K255" s="5" t="s">
        <v>8632</v>
      </c>
      <c r="L255" s="6" t="s">
        <v>42</v>
      </c>
      <c r="M255" s="5" t="s">
        <v>8746</v>
      </c>
      <c r="N255" s="5" t="s">
        <v>64</v>
      </c>
      <c r="O255" s="5" t="s">
        <v>13024</v>
      </c>
      <c r="P255" s="6">
        <v>9841.0</v>
      </c>
    </row>
    <row r="256" ht="56.25" customHeight="1">
      <c r="A256" s="5" t="s">
        <v>13022</v>
      </c>
      <c r="B256" s="6" t="str">
        <f>image("https://storage.googleapis.com/acdb/bottoms/BottomsTexPantsHalfExplorer1.png")</f>
        <v/>
      </c>
      <c r="C256" s="5" t="s">
        <v>2222</v>
      </c>
      <c r="D256" s="5" t="s">
        <v>36</v>
      </c>
      <c r="E256" s="6">
        <v>1040.0</v>
      </c>
      <c r="F256" s="6">
        <v>260.0</v>
      </c>
      <c r="G256" s="5" t="s">
        <v>96</v>
      </c>
      <c r="H256" s="5" t="s">
        <v>96</v>
      </c>
      <c r="I256" s="6" t="s">
        <v>40</v>
      </c>
      <c r="J256" s="5" t="s">
        <v>8585</v>
      </c>
      <c r="K256" s="5" t="s">
        <v>8632</v>
      </c>
      <c r="L256" s="6" t="s">
        <v>42</v>
      </c>
      <c r="M256" s="5" t="s">
        <v>8746</v>
      </c>
      <c r="N256" s="5" t="s">
        <v>64</v>
      </c>
      <c r="O256" s="5" t="s">
        <v>13028</v>
      </c>
      <c r="P256" s="6">
        <v>12068.0</v>
      </c>
    </row>
    <row r="257" ht="56.25" customHeight="1">
      <c r="A257" s="5" t="s">
        <v>13022</v>
      </c>
      <c r="B257" s="6" t="str">
        <f>image("https://storage.googleapis.com/acdb/bottoms/BottomsTexPantsHalfExplorer2.png")</f>
        <v/>
      </c>
      <c r="C257" s="5" t="s">
        <v>38</v>
      </c>
      <c r="D257" s="5" t="s">
        <v>36</v>
      </c>
      <c r="E257" s="6">
        <v>1040.0</v>
      </c>
      <c r="F257" s="6">
        <v>260.0</v>
      </c>
      <c r="G257" s="5" t="s">
        <v>95</v>
      </c>
      <c r="H257" s="5" t="s">
        <v>95</v>
      </c>
      <c r="I257" s="6" t="s">
        <v>40</v>
      </c>
      <c r="J257" s="5" t="s">
        <v>8585</v>
      </c>
      <c r="K257" s="5" t="s">
        <v>8632</v>
      </c>
      <c r="L257" s="6" t="s">
        <v>42</v>
      </c>
      <c r="M257" s="5" t="s">
        <v>8746</v>
      </c>
      <c r="N257" s="5" t="s">
        <v>64</v>
      </c>
      <c r="O257" s="5" t="s">
        <v>13030</v>
      </c>
      <c r="P257" s="6">
        <v>12069.0</v>
      </c>
    </row>
    <row r="258" ht="56.25" customHeight="1">
      <c r="A258" s="5" t="s">
        <v>13022</v>
      </c>
      <c r="B258" s="6" t="str">
        <f>image("https://storage.googleapis.com/acdb/bottoms/BottomsTexPantsHalfExplorer3.png")</f>
        <v/>
      </c>
      <c r="C258" s="5" t="s">
        <v>68</v>
      </c>
      <c r="D258" s="5" t="s">
        <v>36</v>
      </c>
      <c r="E258" s="6">
        <v>1040.0</v>
      </c>
      <c r="F258" s="6">
        <v>260.0</v>
      </c>
      <c r="G258" s="5" t="s">
        <v>68</v>
      </c>
      <c r="H258" s="5" t="s">
        <v>68</v>
      </c>
      <c r="I258" s="6" t="s">
        <v>40</v>
      </c>
      <c r="J258" s="5" t="s">
        <v>8585</v>
      </c>
      <c r="K258" s="5" t="s">
        <v>8632</v>
      </c>
      <c r="L258" s="6" t="s">
        <v>42</v>
      </c>
      <c r="M258" s="5" t="s">
        <v>8746</v>
      </c>
      <c r="N258" s="5" t="s">
        <v>64</v>
      </c>
      <c r="O258" s="5" t="s">
        <v>13032</v>
      </c>
      <c r="P258" s="6">
        <v>12070.0</v>
      </c>
    </row>
    <row r="259" ht="56.25" customHeight="1">
      <c r="A259" s="5" t="s">
        <v>13033</v>
      </c>
      <c r="B259" s="6" t="str">
        <f>image("https://storage.googleapis.com/acdb/bottoms/BottomsTexSkirtAlineFur0.png")</f>
        <v/>
      </c>
      <c r="C259" s="5" t="s">
        <v>83</v>
      </c>
      <c r="D259" s="5" t="s">
        <v>36</v>
      </c>
      <c r="E259" s="6">
        <v>1440.0</v>
      </c>
      <c r="F259" s="6">
        <v>360.0</v>
      </c>
      <c r="G259" s="5" t="s">
        <v>83</v>
      </c>
      <c r="H259" s="5" t="s">
        <v>57</v>
      </c>
      <c r="I259" s="6" t="s">
        <v>40</v>
      </c>
      <c r="J259" s="5" t="s">
        <v>8585</v>
      </c>
      <c r="K259" s="5" t="s">
        <v>8586</v>
      </c>
      <c r="L259" s="6" t="s">
        <v>42</v>
      </c>
      <c r="M259" s="5" t="s">
        <v>1959</v>
      </c>
      <c r="N259" s="5" t="s">
        <v>64</v>
      </c>
      <c r="O259" s="5" t="s">
        <v>13037</v>
      </c>
      <c r="P259" s="6">
        <v>5415.0</v>
      </c>
    </row>
    <row r="260" ht="56.25" customHeight="1">
      <c r="A260" s="5" t="s">
        <v>13033</v>
      </c>
      <c r="B260" s="6" t="str">
        <f>image("https://storage.googleapis.com/acdb/bottoms/BottomsTexSkirtAlineFur1.png")</f>
        <v/>
      </c>
      <c r="C260" s="5" t="s">
        <v>69</v>
      </c>
      <c r="D260" s="5" t="s">
        <v>36</v>
      </c>
      <c r="E260" s="6">
        <v>1440.0</v>
      </c>
      <c r="F260" s="6">
        <v>360.0</v>
      </c>
      <c r="G260" s="5" t="s">
        <v>69</v>
      </c>
      <c r="H260" s="5" t="s">
        <v>57</v>
      </c>
      <c r="I260" s="6" t="s">
        <v>40</v>
      </c>
      <c r="J260" s="5" t="s">
        <v>8585</v>
      </c>
      <c r="K260" s="5" t="s">
        <v>8586</v>
      </c>
      <c r="L260" s="6" t="s">
        <v>42</v>
      </c>
      <c r="M260" s="5" t="s">
        <v>1959</v>
      </c>
      <c r="N260" s="5" t="s">
        <v>64</v>
      </c>
      <c r="O260" s="5" t="s">
        <v>13039</v>
      </c>
      <c r="P260" s="6">
        <v>8794.0</v>
      </c>
    </row>
    <row r="261" ht="56.25" customHeight="1">
      <c r="A261" s="5" t="s">
        <v>13033</v>
      </c>
      <c r="B261" s="6" t="str">
        <f>image("https://storage.googleapis.com/acdb/bottoms/BottomsTexSkirtAlineFur2.png")</f>
        <v/>
      </c>
      <c r="C261" s="5" t="s">
        <v>52</v>
      </c>
      <c r="D261" s="5" t="s">
        <v>36</v>
      </c>
      <c r="E261" s="6">
        <v>1440.0</v>
      </c>
      <c r="F261" s="6">
        <v>360.0</v>
      </c>
      <c r="G261" s="5" t="s">
        <v>52</v>
      </c>
      <c r="H261" s="5" t="s">
        <v>57</v>
      </c>
      <c r="I261" s="6" t="s">
        <v>40</v>
      </c>
      <c r="J261" s="5" t="s">
        <v>8585</v>
      </c>
      <c r="K261" s="5" t="s">
        <v>8586</v>
      </c>
      <c r="L261" s="6" t="s">
        <v>42</v>
      </c>
      <c r="M261" s="5" t="s">
        <v>1959</v>
      </c>
      <c r="N261" s="5" t="s">
        <v>64</v>
      </c>
      <c r="O261" s="5" t="s">
        <v>13042</v>
      </c>
      <c r="P261" s="6">
        <v>8795.0</v>
      </c>
    </row>
    <row r="262" ht="56.25" customHeight="1">
      <c r="A262" s="5" t="s">
        <v>13033</v>
      </c>
      <c r="B262" s="6" t="str">
        <f>image("https://storage.googleapis.com/acdb/bottoms/BottomsTexSkirtAlineFur3.png")</f>
        <v/>
      </c>
      <c r="C262" s="5" t="s">
        <v>106</v>
      </c>
      <c r="D262" s="5" t="s">
        <v>36</v>
      </c>
      <c r="E262" s="6">
        <v>1440.0</v>
      </c>
      <c r="F262" s="6">
        <v>360.0</v>
      </c>
      <c r="G262" s="5" t="s">
        <v>106</v>
      </c>
      <c r="H262" s="5" t="s">
        <v>57</v>
      </c>
      <c r="I262" s="6" t="s">
        <v>40</v>
      </c>
      <c r="J262" s="5" t="s">
        <v>8585</v>
      </c>
      <c r="K262" s="5" t="s">
        <v>8586</v>
      </c>
      <c r="L262" s="6" t="s">
        <v>42</v>
      </c>
      <c r="M262" s="5" t="s">
        <v>1959</v>
      </c>
      <c r="N262" s="5" t="s">
        <v>64</v>
      </c>
      <c r="O262" s="5" t="s">
        <v>13044</v>
      </c>
      <c r="P262" s="6">
        <v>8796.0</v>
      </c>
    </row>
    <row r="263" ht="56.25" customHeight="1">
      <c r="A263" s="5" t="s">
        <v>13033</v>
      </c>
      <c r="B263" s="6" t="str">
        <f>image("https://storage.googleapis.com/acdb/bottoms/BottomsTexSkirtAlineFur4.png")</f>
        <v/>
      </c>
      <c r="C263" s="5" t="s">
        <v>114</v>
      </c>
      <c r="D263" s="5" t="s">
        <v>36</v>
      </c>
      <c r="E263" s="6">
        <v>1440.0</v>
      </c>
      <c r="F263" s="6">
        <v>360.0</v>
      </c>
      <c r="G263" s="5" t="s">
        <v>38</v>
      </c>
      <c r="H263" s="5" t="s">
        <v>57</v>
      </c>
      <c r="I263" s="6" t="s">
        <v>40</v>
      </c>
      <c r="J263" s="5" t="s">
        <v>8585</v>
      </c>
      <c r="K263" s="5" t="s">
        <v>8586</v>
      </c>
      <c r="L263" s="6" t="s">
        <v>42</v>
      </c>
      <c r="M263" s="5" t="s">
        <v>1959</v>
      </c>
      <c r="N263" s="5" t="s">
        <v>64</v>
      </c>
      <c r="O263" s="5" t="s">
        <v>13046</v>
      </c>
      <c r="P263" s="6">
        <v>8797.0</v>
      </c>
    </row>
    <row r="264" ht="56.25" customHeight="1">
      <c r="A264" s="5" t="s">
        <v>13047</v>
      </c>
      <c r="B264" s="6" t="str">
        <f>image("https://storage.googleapis.com/acdb/bottoms/BottomsTexSkirtBoxMouton0.png")</f>
        <v/>
      </c>
      <c r="C264" s="5" t="s">
        <v>38</v>
      </c>
      <c r="D264" s="5" t="s">
        <v>36</v>
      </c>
      <c r="E264" s="6">
        <v>1560.0</v>
      </c>
      <c r="F264" s="6">
        <v>390.0</v>
      </c>
      <c r="G264" s="5" t="s">
        <v>38</v>
      </c>
      <c r="H264" s="5" t="s">
        <v>57</v>
      </c>
      <c r="I264" s="6" t="s">
        <v>40</v>
      </c>
      <c r="J264" s="5" t="s">
        <v>8585</v>
      </c>
      <c r="K264" s="5" t="s">
        <v>8632</v>
      </c>
      <c r="L264" s="6" t="s">
        <v>42</v>
      </c>
      <c r="M264" s="5" t="s">
        <v>995</v>
      </c>
      <c r="N264" s="5" t="s">
        <v>64</v>
      </c>
      <c r="O264" s="5" t="s">
        <v>13050</v>
      </c>
      <c r="P264" s="6">
        <v>5704.0</v>
      </c>
    </row>
    <row r="265" ht="56.25" customHeight="1">
      <c r="A265" s="5" t="s">
        <v>13047</v>
      </c>
      <c r="B265" s="6" t="str">
        <f>image("https://storage.googleapis.com/acdb/bottoms/BottomsTexSkirtBoxMouton1.png")</f>
        <v/>
      </c>
      <c r="C265" s="5" t="s">
        <v>69</v>
      </c>
      <c r="D265" s="5" t="s">
        <v>36</v>
      </c>
      <c r="E265" s="6">
        <v>1560.0</v>
      </c>
      <c r="F265" s="6">
        <v>390.0</v>
      </c>
      <c r="G265" s="5" t="s">
        <v>69</v>
      </c>
      <c r="H265" s="5" t="s">
        <v>57</v>
      </c>
      <c r="I265" s="6" t="s">
        <v>40</v>
      </c>
      <c r="J265" s="5" t="s">
        <v>8585</v>
      </c>
      <c r="K265" s="5" t="s">
        <v>8632</v>
      </c>
      <c r="L265" s="6" t="s">
        <v>42</v>
      </c>
      <c r="M265" s="5" t="s">
        <v>995</v>
      </c>
      <c r="N265" s="5" t="s">
        <v>64</v>
      </c>
      <c r="O265" s="5" t="s">
        <v>13052</v>
      </c>
      <c r="P265" s="6">
        <v>11335.0</v>
      </c>
    </row>
    <row r="266" ht="56.25" customHeight="1">
      <c r="A266" s="5" t="s">
        <v>13047</v>
      </c>
      <c r="B266" s="6" t="str">
        <f>image("https://storage.googleapis.com/acdb/bottoms/BottomsTexSkirtBoxMouton2.png")</f>
        <v/>
      </c>
      <c r="C266" s="5" t="s">
        <v>96</v>
      </c>
      <c r="D266" s="5" t="s">
        <v>36</v>
      </c>
      <c r="E266" s="6">
        <v>1560.0</v>
      </c>
      <c r="F266" s="6">
        <v>390.0</v>
      </c>
      <c r="G266" s="5" t="s">
        <v>96</v>
      </c>
      <c r="H266" s="5" t="s">
        <v>57</v>
      </c>
      <c r="I266" s="6" t="s">
        <v>40</v>
      </c>
      <c r="J266" s="5" t="s">
        <v>8585</v>
      </c>
      <c r="K266" s="5" t="s">
        <v>8632</v>
      </c>
      <c r="L266" s="6" t="s">
        <v>42</v>
      </c>
      <c r="M266" s="5" t="s">
        <v>995</v>
      </c>
      <c r="N266" s="5" t="s">
        <v>64</v>
      </c>
      <c r="O266" s="5" t="s">
        <v>13054</v>
      </c>
      <c r="P266" s="6">
        <v>11336.0</v>
      </c>
    </row>
    <row r="267" ht="56.25" customHeight="1">
      <c r="A267" s="5" t="s">
        <v>13047</v>
      </c>
      <c r="B267" s="6" t="str">
        <f>image("https://storage.googleapis.com/acdb/bottoms/BottomsTexSkirtBoxMouton3.png")</f>
        <v/>
      </c>
      <c r="C267" s="5" t="s">
        <v>54</v>
      </c>
      <c r="D267" s="5" t="s">
        <v>36</v>
      </c>
      <c r="E267" s="6">
        <v>1560.0</v>
      </c>
      <c r="F267" s="6">
        <v>390.0</v>
      </c>
      <c r="G267" s="5" t="s">
        <v>54</v>
      </c>
      <c r="H267" s="5" t="s">
        <v>57</v>
      </c>
      <c r="I267" s="6" t="s">
        <v>40</v>
      </c>
      <c r="J267" s="5" t="s">
        <v>8585</v>
      </c>
      <c r="K267" s="5" t="s">
        <v>8632</v>
      </c>
      <c r="L267" s="6" t="s">
        <v>42</v>
      </c>
      <c r="M267" s="5" t="s">
        <v>995</v>
      </c>
      <c r="N267" s="5" t="s">
        <v>64</v>
      </c>
      <c r="O267" s="5" t="s">
        <v>13057</v>
      </c>
      <c r="P267" s="6">
        <v>11337.0</v>
      </c>
    </row>
    <row r="268" ht="56.25" customHeight="1">
      <c r="A268" s="5" t="s">
        <v>13047</v>
      </c>
      <c r="B268" s="6" t="str">
        <f>image("https://storage.googleapis.com/acdb/bottoms/BottomsTexSkirtBoxMouton4.png")</f>
        <v/>
      </c>
      <c r="C268" s="5" t="s">
        <v>95</v>
      </c>
      <c r="D268" s="5" t="s">
        <v>36</v>
      </c>
      <c r="E268" s="6">
        <v>1560.0</v>
      </c>
      <c r="F268" s="6">
        <v>390.0</v>
      </c>
      <c r="G268" s="5" t="s">
        <v>95</v>
      </c>
      <c r="H268" s="5" t="s">
        <v>57</v>
      </c>
      <c r="I268" s="6" t="s">
        <v>40</v>
      </c>
      <c r="J268" s="5" t="s">
        <v>8585</v>
      </c>
      <c r="K268" s="5" t="s">
        <v>8632</v>
      </c>
      <c r="L268" s="6" t="s">
        <v>42</v>
      </c>
      <c r="M268" s="5" t="s">
        <v>995</v>
      </c>
      <c r="N268" s="5" t="s">
        <v>64</v>
      </c>
      <c r="O268" s="5" t="s">
        <v>13060</v>
      </c>
      <c r="P268" s="6">
        <v>11338.0</v>
      </c>
    </row>
    <row r="269" ht="56.25" customHeight="1">
      <c r="A269" s="5" t="s">
        <v>13062</v>
      </c>
      <c r="B269" s="6" t="str">
        <f>image("https://storage.googleapis.com/acdb/bottoms/BottomsTexSkirtAlineFlare0.png")</f>
        <v/>
      </c>
      <c r="C269" s="5" t="s">
        <v>52</v>
      </c>
      <c r="D269" s="5" t="s">
        <v>36</v>
      </c>
      <c r="E269" s="6">
        <v>1140.0</v>
      </c>
      <c r="F269" s="6">
        <v>285.0</v>
      </c>
      <c r="G269" s="5" t="s">
        <v>52</v>
      </c>
      <c r="H269" s="5" t="s">
        <v>52</v>
      </c>
      <c r="I269" s="6" t="s">
        <v>40</v>
      </c>
      <c r="J269" s="5" t="s">
        <v>8585</v>
      </c>
      <c r="K269" s="5" t="s">
        <v>8632</v>
      </c>
      <c r="L269" s="6" t="s">
        <v>42</v>
      </c>
      <c r="M269" s="5" t="s">
        <v>995</v>
      </c>
      <c r="N269" s="5" t="s">
        <v>64</v>
      </c>
      <c r="O269" s="5" t="s">
        <v>13064</v>
      </c>
      <c r="P269" s="6">
        <v>4614.0</v>
      </c>
    </row>
    <row r="270" ht="56.25" customHeight="1">
      <c r="A270" s="5" t="s">
        <v>13062</v>
      </c>
      <c r="B270" s="6" t="str">
        <f>image("https://storage.googleapis.com/acdb/bottoms/BottomsTexSkirtAlineFlare1.png")</f>
        <v/>
      </c>
      <c r="C270" s="5" t="s">
        <v>54</v>
      </c>
      <c r="D270" s="5" t="s">
        <v>36</v>
      </c>
      <c r="E270" s="6">
        <v>1140.0</v>
      </c>
      <c r="F270" s="6">
        <v>285.0</v>
      </c>
      <c r="G270" s="5" t="s">
        <v>54</v>
      </c>
      <c r="H270" s="5" t="s">
        <v>54</v>
      </c>
      <c r="I270" s="6" t="s">
        <v>40</v>
      </c>
      <c r="J270" s="5" t="s">
        <v>8585</v>
      </c>
      <c r="K270" s="5" t="s">
        <v>8632</v>
      </c>
      <c r="L270" s="6" t="s">
        <v>42</v>
      </c>
      <c r="M270" s="5" t="s">
        <v>995</v>
      </c>
      <c r="N270" s="5" t="s">
        <v>64</v>
      </c>
      <c r="O270" s="5" t="s">
        <v>13065</v>
      </c>
      <c r="P270" s="6">
        <v>8790.0</v>
      </c>
    </row>
    <row r="271" ht="56.25" customHeight="1">
      <c r="A271" s="5" t="s">
        <v>13062</v>
      </c>
      <c r="B271" s="6" t="str">
        <f>image("https://storage.googleapis.com/acdb/bottoms/BottomsTexSkirtAlineFlare2.png")</f>
        <v/>
      </c>
      <c r="C271" s="5" t="s">
        <v>69</v>
      </c>
      <c r="D271" s="5" t="s">
        <v>36</v>
      </c>
      <c r="E271" s="6">
        <v>1140.0</v>
      </c>
      <c r="F271" s="6">
        <v>285.0</v>
      </c>
      <c r="G271" s="5" t="s">
        <v>69</v>
      </c>
      <c r="H271" s="5" t="s">
        <v>69</v>
      </c>
      <c r="I271" s="6" t="s">
        <v>40</v>
      </c>
      <c r="J271" s="5" t="s">
        <v>8585</v>
      </c>
      <c r="K271" s="5" t="s">
        <v>8632</v>
      </c>
      <c r="L271" s="6" t="s">
        <v>42</v>
      </c>
      <c r="M271" s="5" t="s">
        <v>995</v>
      </c>
      <c r="N271" s="5" t="s">
        <v>64</v>
      </c>
      <c r="O271" s="5" t="s">
        <v>13068</v>
      </c>
      <c r="P271" s="6">
        <v>8791.0</v>
      </c>
    </row>
    <row r="272" ht="56.25" customHeight="1">
      <c r="A272" s="5" t="s">
        <v>13062</v>
      </c>
      <c r="B272" s="6" t="str">
        <f>image("https://storage.googleapis.com/acdb/bottoms/BottomsTexSkirtAlineFlare3.png")</f>
        <v/>
      </c>
      <c r="C272" s="5" t="s">
        <v>9021</v>
      </c>
      <c r="D272" s="5" t="s">
        <v>36</v>
      </c>
      <c r="E272" s="6">
        <v>1140.0</v>
      </c>
      <c r="F272" s="6">
        <v>285.0</v>
      </c>
      <c r="G272" s="5" t="s">
        <v>96</v>
      </c>
      <c r="H272" s="5" t="s">
        <v>96</v>
      </c>
      <c r="I272" s="6" t="s">
        <v>40</v>
      </c>
      <c r="J272" s="5" t="s">
        <v>8585</v>
      </c>
      <c r="K272" s="5" t="s">
        <v>8632</v>
      </c>
      <c r="L272" s="6" t="s">
        <v>42</v>
      </c>
      <c r="M272" s="5" t="s">
        <v>995</v>
      </c>
      <c r="N272" s="5" t="s">
        <v>64</v>
      </c>
      <c r="O272" s="5" t="s">
        <v>13070</v>
      </c>
      <c r="P272" s="6">
        <v>8792.0</v>
      </c>
    </row>
    <row r="273" ht="56.25" customHeight="1">
      <c r="A273" s="5" t="s">
        <v>13062</v>
      </c>
      <c r="B273" s="6" t="str">
        <f>image("https://storage.googleapis.com/acdb/bottoms/BottomsTexSkirtAlineFlare4.png")</f>
        <v/>
      </c>
      <c r="C273" s="5" t="s">
        <v>83</v>
      </c>
      <c r="D273" s="5" t="s">
        <v>36</v>
      </c>
      <c r="E273" s="6">
        <v>1140.0</v>
      </c>
      <c r="F273" s="6">
        <v>285.0</v>
      </c>
      <c r="G273" s="5" t="s">
        <v>83</v>
      </c>
      <c r="H273" s="5" t="s">
        <v>83</v>
      </c>
      <c r="I273" s="6" t="s">
        <v>40</v>
      </c>
      <c r="J273" s="5" t="s">
        <v>8585</v>
      </c>
      <c r="K273" s="5" t="s">
        <v>8632</v>
      </c>
      <c r="L273" s="6" t="s">
        <v>42</v>
      </c>
      <c r="M273" s="5" t="s">
        <v>995</v>
      </c>
      <c r="N273" s="5" t="s">
        <v>64</v>
      </c>
      <c r="O273" s="5" t="s">
        <v>13073</v>
      </c>
      <c r="P273" s="6">
        <v>8793.0</v>
      </c>
    </row>
    <row r="274" ht="56.25" customHeight="1">
      <c r="A274" s="5" t="s">
        <v>13074</v>
      </c>
      <c r="B274" s="6" t="str">
        <f>image("https://storage.googleapis.com/acdb/bottoms/BottomsTexPantsNormalSlacksgaudy0.png")</f>
        <v/>
      </c>
      <c r="C274" s="5" t="s">
        <v>57</v>
      </c>
      <c r="D274" s="5" t="s">
        <v>36</v>
      </c>
      <c r="E274" s="6">
        <v>1300.0</v>
      </c>
      <c r="F274" s="6">
        <v>325.0</v>
      </c>
      <c r="G274" s="5" t="s">
        <v>57</v>
      </c>
      <c r="H274" s="5" t="s">
        <v>54</v>
      </c>
      <c r="I274" s="6" t="s">
        <v>40</v>
      </c>
      <c r="J274" s="5" t="s">
        <v>8585</v>
      </c>
      <c r="K274" s="5" t="s">
        <v>8586</v>
      </c>
      <c r="L274" s="6" t="s">
        <v>42</v>
      </c>
      <c r="M274" s="5" t="s">
        <v>612</v>
      </c>
      <c r="N274" s="5" t="s">
        <v>64</v>
      </c>
      <c r="O274" s="5" t="s">
        <v>13076</v>
      </c>
      <c r="P274" s="6">
        <v>3408.0</v>
      </c>
    </row>
    <row r="275" ht="56.25" customHeight="1">
      <c r="A275" s="5" t="s">
        <v>13074</v>
      </c>
      <c r="B275" s="6" t="str">
        <f>image("https://storage.googleapis.com/acdb/bottoms/BottomsTexPantsNormalSlacksgaudy1.png")</f>
        <v/>
      </c>
      <c r="C275" s="5" t="s">
        <v>54</v>
      </c>
      <c r="D275" s="5" t="s">
        <v>36</v>
      </c>
      <c r="E275" s="6">
        <v>1300.0</v>
      </c>
      <c r="F275" s="6">
        <v>325.0</v>
      </c>
      <c r="G275" s="5" t="s">
        <v>54</v>
      </c>
      <c r="H275" s="5" t="s">
        <v>54</v>
      </c>
      <c r="I275" s="6" t="s">
        <v>40</v>
      </c>
      <c r="J275" s="5" t="s">
        <v>8585</v>
      </c>
      <c r="K275" s="5" t="s">
        <v>8586</v>
      </c>
      <c r="L275" s="6" t="s">
        <v>42</v>
      </c>
      <c r="M275" s="5" t="s">
        <v>612</v>
      </c>
      <c r="N275" s="5" t="s">
        <v>64</v>
      </c>
      <c r="O275" s="5" t="s">
        <v>13078</v>
      </c>
      <c r="P275" s="6">
        <v>11354.0</v>
      </c>
    </row>
    <row r="276" ht="56.25" customHeight="1">
      <c r="A276" s="5" t="s">
        <v>13074</v>
      </c>
      <c r="B276" s="6" t="str">
        <f>image("https://storage.googleapis.com/acdb/bottoms/BottomsTexPantsNormalSlacksgaudy2.png")</f>
        <v/>
      </c>
      <c r="C276" s="5" t="s">
        <v>106</v>
      </c>
      <c r="D276" s="5" t="s">
        <v>36</v>
      </c>
      <c r="E276" s="6">
        <v>1300.0</v>
      </c>
      <c r="F276" s="6">
        <v>325.0</v>
      </c>
      <c r="G276" s="5" t="s">
        <v>106</v>
      </c>
      <c r="H276" s="5" t="s">
        <v>54</v>
      </c>
      <c r="I276" s="6" t="s">
        <v>40</v>
      </c>
      <c r="J276" s="5" t="s">
        <v>8585</v>
      </c>
      <c r="K276" s="5" t="s">
        <v>8586</v>
      </c>
      <c r="L276" s="6" t="s">
        <v>42</v>
      </c>
      <c r="M276" s="5" t="s">
        <v>612</v>
      </c>
      <c r="N276" s="5" t="s">
        <v>64</v>
      </c>
      <c r="O276" s="5" t="s">
        <v>13080</v>
      </c>
      <c r="P276" s="6">
        <v>11355.0</v>
      </c>
    </row>
    <row r="277" ht="56.25" customHeight="1">
      <c r="A277" s="5" t="s">
        <v>13074</v>
      </c>
      <c r="B277" s="6" t="str">
        <f>image("https://storage.googleapis.com/acdb/bottoms/BottomsTexPantsNormalSlacksgaudy3.png")</f>
        <v/>
      </c>
      <c r="C277" s="5" t="s">
        <v>4883</v>
      </c>
      <c r="D277" s="5" t="s">
        <v>36</v>
      </c>
      <c r="E277" s="6">
        <v>1300.0</v>
      </c>
      <c r="F277" s="6">
        <v>325.0</v>
      </c>
      <c r="G277" s="5" t="s">
        <v>52</v>
      </c>
      <c r="H277" s="5" t="s">
        <v>54</v>
      </c>
      <c r="I277" s="6" t="s">
        <v>40</v>
      </c>
      <c r="J277" s="5" t="s">
        <v>8585</v>
      </c>
      <c r="K277" s="5" t="s">
        <v>8586</v>
      </c>
      <c r="L277" s="6" t="s">
        <v>42</v>
      </c>
      <c r="M277" s="5" t="s">
        <v>612</v>
      </c>
      <c r="N277" s="5" t="s">
        <v>64</v>
      </c>
      <c r="O277" s="5" t="s">
        <v>13085</v>
      </c>
      <c r="P277" s="6">
        <v>11356.0</v>
      </c>
    </row>
    <row r="278" ht="56.25" customHeight="1">
      <c r="A278" s="5" t="s">
        <v>13074</v>
      </c>
      <c r="B278" s="6" t="str">
        <f>image("https://storage.googleapis.com/acdb/bottoms/BottomsTexPantsNormalSlacksgaudy4.png")</f>
        <v/>
      </c>
      <c r="C278" s="5" t="s">
        <v>819</v>
      </c>
      <c r="D278" s="5" t="s">
        <v>36</v>
      </c>
      <c r="E278" s="6">
        <v>1300.0</v>
      </c>
      <c r="F278" s="6">
        <v>325.0</v>
      </c>
      <c r="G278" s="5" t="s">
        <v>96</v>
      </c>
      <c r="H278" s="5" t="s">
        <v>54</v>
      </c>
      <c r="I278" s="6" t="s">
        <v>40</v>
      </c>
      <c r="J278" s="5" t="s">
        <v>8585</v>
      </c>
      <c r="K278" s="5" t="s">
        <v>8586</v>
      </c>
      <c r="L278" s="6" t="s">
        <v>42</v>
      </c>
      <c r="M278" s="5" t="s">
        <v>612</v>
      </c>
      <c r="N278" s="5" t="s">
        <v>64</v>
      </c>
      <c r="O278" s="5" t="s">
        <v>13087</v>
      </c>
      <c r="P278" s="6">
        <v>11357.0</v>
      </c>
    </row>
    <row r="279" ht="56.25" customHeight="1">
      <c r="A279" s="5" t="s">
        <v>13074</v>
      </c>
      <c r="B279" s="6" t="str">
        <f>image("https://storage.googleapis.com/acdb/bottoms/BottomsTexPantsNormalSlacksgaudy5.png")</f>
        <v/>
      </c>
      <c r="C279" s="5" t="s">
        <v>114</v>
      </c>
      <c r="D279" s="5" t="s">
        <v>36</v>
      </c>
      <c r="E279" s="6">
        <v>1300.0</v>
      </c>
      <c r="F279" s="6">
        <v>325.0</v>
      </c>
      <c r="G279" s="5" t="s">
        <v>114</v>
      </c>
      <c r="H279" s="5" t="s">
        <v>54</v>
      </c>
      <c r="I279" s="6" t="s">
        <v>40</v>
      </c>
      <c r="J279" s="5" t="s">
        <v>8585</v>
      </c>
      <c r="K279" s="5" t="s">
        <v>8586</v>
      </c>
      <c r="L279" s="6" t="s">
        <v>42</v>
      </c>
      <c r="M279" s="5" t="s">
        <v>612</v>
      </c>
      <c r="N279" s="5" t="s">
        <v>64</v>
      </c>
      <c r="O279" s="5" t="s">
        <v>13091</v>
      </c>
      <c r="P279" s="6">
        <v>11358.0</v>
      </c>
    </row>
    <row r="280" ht="56.25" customHeight="1">
      <c r="A280" s="5" t="s">
        <v>13092</v>
      </c>
      <c r="B280" s="6" t="str">
        <f>image("https://storage.googleapis.com/acdb/bottoms/BottomsTexSkirtBoxLace0.png")</f>
        <v/>
      </c>
      <c r="C280" s="5" t="s">
        <v>83</v>
      </c>
      <c r="D280" s="5" t="s">
        <v>36</v>
      </c>
      <c r="E280" s="6">
        <v>1320.0</v>
      </c>
      <c r="F280" s="6">
        <v>330.0</v>
      </c>
      <c r="G280" s="5" t="s">
        <v>83</v>
      </c>
      <c r="H280" s="5" t="s">
        <v>83</v>
      </c>
      <c r="I280" s="6" t="s">
        <v>40</v>
      </c>
      <c r="J280" s="5" t="s">
        <v>8585</v>
      </c>
      <c r="K280" s="5" t="s">
        <v>8632</v>
      </c>
      <c r="L280" s="6" t="s">
        <v>42</v>
      </c>
      <c r="M280" s="5" t="s">
        <v>1059</v>
      </c>
      <c r="N280" s="5" t="s">
        <v>64</v>
      </c>
      <c r="O280" s="5" t="s">
        <v>13094</v>
      </c>
      <c r="P280" s="6">
        <v>4612.0</v>
      </c>
    </row>
    <row r="281" ht="56.25" customHeight="1">
      <c r="A281" s="5" t="s">
        <v>13092</v>
      </c>
      <c r="B281" s="6" t="str">
        <f>image("https://storage.googleapis.com/acdb/bottoms/BottomsTexSkirtBoxLace1.png")</f>
        <v/>
      </c>
      <c r="C281" s="5" t="s">
        <v>69</v>
      </c>
      <c r="D281" s="5" t="s">
        <v>36</v>
      </c>
      <c r="E281" s="6">
        <v>1320.0</v>
      </c>
      <c r="F281" s="6">
        <v>330.0</v>
      </c>
      <c r="G281" s="5" t="s">
        <v>69</v>
      </c>
      <c r="H281" s="5" t="s">
        <v>69</v>
      </c>
      <c r="I281" s="6" t="s">
        <v>40</v>
      </c>
      <c r="J281" s="5" t="s">
        <v>8585</v>
      </c>
      <c r="K281" s="5" t="s">
        <v>8632</v>
      </c>
      <c r="L281" s="6" t="s">
        <v>42</v>
      </c>
      <c r="M281" s="5" t="s">
        <v>1059</v>
      </c>
      <c r="N281" s="5" t="s">
        <v>64</v>
      </c>
      <c r="O281" s="5" t="s">
        <v>13097</v>
      </c>
      <c r="P281" s="6">
        <v>11649.0</v>
      </c>
    </row>
    <row r="282" ht="56.25" customHeight="1">
      <c r="A282" s="5" t="s">
        <v>13092</v>
      </c>
      <c r="B282" s="6" t="str">
        <f>image("https://storage.googleapis.com/acdb/bottoms/BottomsTexSkirtBoxLace2.png")</f>
        <v/>
      </c>
      <c r="C282" s="5" t="s">
        <v>68</v>
      </c>
      <c r="D282" s="5" t="s">
        <v>36</v>
      </c>
      <c r="E282" s="6">
        <v>1320.0</v>
      </c>
      <c r="F282" s="6">
        <v>330.0</v>
      </c>
      <c r="G282" s="5" t="s">
        <v>68</v>
      </c>
      <c r="H282" s="5" t="s">
        <v>68</v>
      </c>
      <c r="I282" s="6" t="s">
        <v>40</v>
      </c>
      <c r="J282" s="5" t="s">
        <v>8585</v>
      </c>
      <c r="K282" s="5" t="s">
        <v>8632</v>
      </c>
      <c r="L282" s="6" t="s">
        <v>42</v>
      </c>
      <c r="M282" s="5" t="s">
        <v>1059</v>
      </c>
      <c r="N282" s="5" t="s">
        <v>64</v>
      </c>
      <c r="O282" s="5" t="s">
        <v>13099</v>
      </c>
      <c r="P282" s="6">
        <v>11650.0</v>
      </c>
    </row>
    <row r="283" ht="56.25" customHeight="1">
      <c r="A283" s="5" t="s">
        <v>13092</v>
      </c>
      <c r="B283" s="6" t="str">
        <f>image("https://storage.googleapis.com/acdb/bottoms/BottomsTexSkirtBoxLace3.png")</f>
        <v/>
      </c>
      <c r="C283" s="5" t="s">
        <v>10410</v>
      </c>
      <c r="D283" s="5" t="s">
        <v>36</v>
      </c>
      <c r="E283" s="6">
        <v>1320.0</v>
      </c>
      <c r="F283" s="6">
        <v>330.0</v>
      </c>
      <c r="G283" s="5" t="s">
        <v>52</v>
      </c>
      <c r="H283" s="5" t="s">
        <v>52</v>
      </c>
      <c r="I283" s="6" t="s">
        <v>40</v>
      </c>
      <c r="J283" s="5" t="s">
        <v>8585</v>
      </c>
      <c r="K283" s="5" t="s">
        <v>8632</v>
      </c>
      <c r="L283" s="6" t="s">
        <v>42</v>
      </c>
      <c r="M283" s="5" t="s">
        <v>1059</v>
      </c>
      <c r="N283" s="5" t="s">
        <v>64</v>
      </c>
      <c r="O283" s="5" t="s">
        <v>13101</v>
      </c>
      <c r="P283" s="6">
        <v>11651.0</v>
      </c>
    </row>
    <row r="284" ht="56.25" customHeight="1">
      <c r="A284" s="5" t="s">
        <v>13092</v>
      </c>
      <c r="B284" s="6" t="str">
        <f>image("https://storage.googleapis.com/acdb/bottoms/BottomsTexSkirtBoxLace4.png")</f>
        <v/>
      </c>
      <c r="C284" s="5" t="s">
        <v>142</v>
      </c>
      <c r="D284" s="5" t="s">
        <v>36</v>
      </c>
      <c r="E284" s="6">
        <v>1320.0</v>
      </c>
      <c r="F284" s="6">
        <v>330.0</v>
      </c>
      <c r="G284" s="5" t="s">
        <v>142</v>
      </c>
      <c r="H284" s="5" t="s">
        <v>142</v>
      </c>
      <c r="I284" s="6" t="s">
        <v>40</v>
      </c>
      <c r="J284" s="5" t="s">
        <v>8585</v>
      </c>
      <c r="K284" s="5" t="s">
        <v>8632</v>
      </c>
      <c r="L284" s="6" t="s">
        <v>42</v>
      </c>
      <c r="M284" s="5" t="s">
        <v>1059</v>
      </c>
      <c r="N284" s="5" t="s">
        <v>64</v>
      </c>
      <c r="O284" s="5" t="s">
        <v>13104</v>
      </c>
      <c r="P284" s="6">
        <v>11652.0</v>
      </c>
    </row>
    <row r="285" ht="56.25" customHeight="1">
      <c r="A285" s="5" t="s">
        <v>13092</v>
      </c>
      <c r="B285" s="6" t="str">
        <f>image("https://storage.googleapis.com/acdb/bottoms/BottomsTexSkirtBoxLace5.png")</f>
        <v/>
      </c>
      <c r="C285" s="5" t="s">
        <v>96</v>
      </c>
      <c r="D285" s="5" t="s">
        <v>36</v>
      </c>
      <c r="E285" s="6">
        <v>1320.0</v>
      </c>
      <c r="F285" s="6">
        <v>330.0</v>
      </c>
      <c r="G285" s="5" t="s">
        <v>96</v>
      </c>
      <c r="H285" s="5" t="s">
        <v>96</v>
      </c>
      <c r="I285" s="6" t="s">
        <v>40</v>
      </c>
      <c r="J285" s="5" t="s">
        <v>8585</v>
      </c>
      <c r="K285" s="5" t="s">
        <v>8632</v>
      </c>
      <c r="L285" s="6" t="s">
        <v>42</v>
      </c>
      <c r="M285" s="5" t="s">
        <v>1059</v>
      </c>
      <c r="N285" s="5" t="s">
        <v>64</v>
      </c>
      <c r="O285" s="5" t="s">
        <v>13106</v>
      </c>
      <c r="P285" s="6">
        <v>11653.0</v>
      </c>
    </row>
    <row r="286" ht="56.25" customHeight="1">
      <c r="A286" s="5" t="s">
        <v>13092</v>
      </c>
      <c r="B286" s="6" t="str">
        <f>image("https://storage.googleapis.com/acdb/bottoms/BottomsTexSkirtBoxLace6.png")</f>
        <v/>
      </c>
      <c r="C286" s="5" t="s">
        <v>106</v>
      </c>
      <c r="D286" s="5" t="s">
        <v>36</v>
      </c>
      <c r="E286" s="6">
        <v>1320.0</v>
      </c>
      <c r="F286" s="6">
        <v>330.0</v>
      </c>
      <c r="G286" s="5" t="s">
        <v>106</v>
      </c>
      <c r="H286" s="5" t="s">
        <v>106</v>
      </c>
      <c r="I286" s="6" t="s">
        <v>40</v>
      </c>
      <c r="J286" s="5" t="s">
        <v>8585</v>
      </c>
      <c r="K286" s="5" t="s">
        <v>8632</v>
      </c>
      <c r="L286" s="6" t="s">
        <v>42</v>
      </c>
      <c r="M286" s="5" t="s">
        <v>1059</v>
      </c>
      <c r="N286" s="5" t="s">
        <v>64</v>
      </c>
      <c r="O286" s="5" t="s">
        <v>13110</v>
      </c>
      <c r="P286" s="6">
        <v>11654.0</v>
      </c>
    </row>
    <row r="287" ht="56.25" customHeight="1">
      <c r="A287" s="5" t="s">
        <v>13092</v>
      </c>
      <c r="B287" s="6" t="str">
        <f>image("https://storage.googleapis.com/acdb/bottoms/BottomsTexSkirtBoxLace7.png")</f>
        <v/>
      </c>
      <c r="C287" s="5" t="s">
        <v>54</v>
      </c>
      <c r="D287" s="5" t="s">
        <v>36</v>
      </c>
      <c r="E287" s="6">
        <v>1320.0</v>
      </c>
      <c r="F287" s="6">
        <v>330.0</v>
      </c>
      <c r="G287" s="5" t="s">
        <v>54</v>
      </c>
      <c r="H287" s="5" t="s">
        <v>54</v>
      </c>
      <c r="I287" s="6" t="s">
        <v>40</v>
      </c>
      <c r="J287" s="5" t="s">
        <v>8585</v>
      </c>
      <c r="K287" s="5" t="s">
        <v>8632</v>
      </c>
      <c r="L287" s="6" t="s">
        <v>42</v>
      </c>
      <c r="M287" s="5" t="s">
        <v>1059</v>
      </c>
      <c r="N287" s="5" t="s">
        <v>64</v>
      </c>
      <c r="O287" s="5" t="s">
        <v>13114</v>
      </c>
      <c r="P287" s="6">
        <v>11655.0</v>
      </c>
    </row>
    <row r="288" ht="56.25" customHeight="1">
      <c r="A288" s="5" t="s">
        <v>13115</v>
      </c>
      <c r="B288" s="6" t="str">
        <f>image("https://storage.googleapis.com/acdb/bottoms/BottomsTexSkirtLongFlower0.png")</f>
        <v/>
      </c>
      <c r="C288" s="5" t="s">
        <v>83</v>
      </c>
      <c r="D288" s="5" t="s">
        <v>36</v>
      </c>
      <c r="E288" s="6">
        <v>1100.0</v>
      </c>
      <c r="F288" s="6">
        <v>275.0</v>
      </c>
      <c r="G288" s="5" t="s">
        <v>83</v>
      </c>
      <c r="H288" s="5" t="s">
        <v>52</v>
      </c>
      <c r="I288" s="6" t="s">
        <v>40</v>
      </c>
      <c r="J288" s="5" t="s">
        <v>8585</v>
      </c>
      <c r="K288" s="5" t="s">
        <v>8632</v>
      </c>
      <c r="L288" s="6" t="s">
        <v>42</v>
      </c>
      <c r="M288" s="5" t="s">
        <v>1059</v>
      </c>
      <c r="N288" s="5" t="s">
        <v>64</v>
      </c>
      <c r="O288" s="5" t="s">
        <v>13116</v>
      </c>
      <c r="P288" s="6">
        <v>5925.0</v>
      </c>
    </row>
    <row r="289" ht="56.25" customHeight="1">
      <c r="A289" s="5" t="s">
        <v>13115</v>
      </c>
      <c r="B289" s="6" t="str">
        <f>image("https://storage.googleapis.com/acdb/bottoms/BottomsTexSkirtLongFlower1.png")</f>
        <v/>
      </c>
      <c r="C289" s="5" t="s">
        <v>114</v>
      </c>
      <c r="D289" s="5" t="s">
        <v>36</v>
      </c>
      <c r="E289" s="6">
        <v>1100.0</v>
      </c>
      <c r="F289" s="6">
        <v>275.0</v>
      </c>
      <c r="G289" s="5" t="s">
        <v>114</v>
      </c>
      <c r="H289" s="5" t="s">
        <v>69</v>
      </c>
      <c r="I289" s="6" t="s">
        <v>40</v>
      </c>
      <c r="J289" s="5" t="s">
        <v>8585</v>
      </c>
      <c r="K289" s="5" t="s">
        <v>8632</v>
      </c>
      <c r="L289" s="6" t="s">
        <v>42</v>
      </c>
      <c r="M289" s="5" t="s">
        <v>1059</v>
      </c>
      <c r="N289" s="5" t="s">
        <v>64</v>
      </c>
      <c r="O289" s="5" t="s">
        <v>13119</v>
      </c>
      <c r="P289" s="6">
        <v>8755.0</v>
      </c>
    </row>
    <row r="290" ht="56.25" customHeight="1">
      <c r="A290" s="5" t="s">
        <v>13115</v>
      </c>
      <c r="B290" s="6" t="str">
        <f>image("https://storage.googleapis.com/acdb/bottoms/BottomsTexSkirtLongFlower2.png")</f>
        <v/>
      </c>
      <c r="C290" s="5" t="s">
        <v>69</v>
      </c>
      <c r="D290" s="5" t="s">
        <v>36</v>
      </c>
      <c r="E290" s="6">
        <v>1100.0</v>
      </c>
      <c r="F290" s="6">
        <v>275.0</v>
      </c>
      <c r="G290" s="5" t="s">
        <v>69</v>
      </c>
      <c r="H290" s="5" t="s">
        <v>106</v>
      </c>
      <c r="I290" s="6" t="s">
        <v>40</v>
      </c>
      <c r="J290" s="5" t="s">
        <v>8585</v>
      </c>
      <c r="K290" s="5" t="s">
        <v>8632</v>
      </c>
      <c r="L290" s="6" t="s">
        <v>42</v>
      </c>
      <c r="M290" s="5" t="s">
        <v>1059</v>
      </c>
      <c r="N290" s="5" t="s">
        <v>64</v>
      </c>
      <c r="O290" s="5" t="s">
        <v>13121</v>
      </c>
      <c r="P290" s="6">
        <v>8756.0</v>
      </c>
    </row>
    <row r="291" ht="56.25" customHeight="1">
      <c r="A291" s="5" t="s">
        <v>13122</v>
      </c>
      <c r="B291" s="6" t="str">
        <f>image("https://storage.googleapis.com/acdb/bottoms/BottomsTexPantsNormalAmericanfootball0.png")</f>
        <v/>
      </c>
      <c r="C291" s="5" t="s">
        <v>96</v>
      </c>
      <c r="D291" s="5" t="s">
        <v>36</v>
      </c>
      <c r="E291" s="6">
        <v>980.0</v>
      </c>
      <c r="F291" s="6">
        <v>245.0</v>
      </c>
      <c r="G291" s="5" t="s">
        <v>96</v>
      </c>
      <c r="H291" s="5" t="s">
        <v>96</v>
      </c>
      <c r="I291" s="6" t="s">
        <v>40</v>
      </c>
      <c r="J291" s="5" t="s">
        <v>8585</v>
      </c>
      <c r="K291" s="5" t="s">
        <v>8586</v>
      </c>
      <c r="L291" s="6" t="s">
        <v>42</v>
      </c>
      <c r="M291" s="5" t="s">
        <v>8746</v>
      </c>
      <c r="N291" s="5" t="s">
        <v>64</v>
      </c>
      <c r="O291" s="5" t="s">
        <v>13125</v>
      </c>
      <c r="P291" s="6">
        <v>9844.0</v>
      </c>
    </row>
    <row r="292" ht="56.25" customHeight="1">
      <c r="A292" s="5" t="s">
        <v>13122</v>
      </c>
      <c r="B292" s="6" t="str">
        <f>image("https://storage.googleapis.com/acdb/bottoms/BottomsTexPantsNormalAmericanfootball1.png")</f>
        <v/>
      </c>
      <c r="C292" s="5" t="s">
        <v>57</v>
      </c>
      <c r="D292" s="5" t="s">
        <v>36</v>
      </c>
      <c r="E292" s="6">
        <v>980.0</v>
      </c>
      <c r="F292" s="6">
        <v>245.0</v>
      </c>
      <c r="G292" s="5" t="s">
        <v>57</v>
      </c>
      <c r="H292" s="5" t="s">
        <v>57</v>
      </c>
      <c r="I292" s="6" t="s">
        <v>40</v>
      </c>
      <c r="J292" s="5" t="s">
        <v>8585</v>
      </c>
      <c r="K292" s="5" t="s">
        <v>8586</v>
      </c>
      <c r="L292" s="6" t="s">
        <v>42</v>
      </c>
      <c r="M292" s="5" t="s">
        <v>8746</v>
      </c>
      <c r="N292" s="5" t="s">
        <v>64</v>
      </c>
      <c r="O292" s="5" t="s">
        <v>13128</v>
      </c>
      <c r="P292" s="6">
        <v>12059.0</v>
      </c>
    </row>
    <row r="293" ht="56.25" customHeight="1">
      <c r="A293" s="5" t="s">
        <v>13122</v>
      </c>
      <c r="B293" s="6" t="str">
        <f>image("https://storage.googleapis.com/acdb/bottoms/BottomsTexPantsNormalAmericanfootball2.png")</f>
        <v/>
      </c>
      <c r="C293" s="5" t="s">
        <v>114</v>
      </c>
      <c r="D293" s="5" t="s">
        <v>36</v>
      </c>
      <c r="E293" s="6">
        <v>980.0</v>
      </c>
      <c r="F293" s="6">
        <v>245.0</v>
      </c>
      <c r="G293" s="5" t="s">
        <v>114</v>
      </c>
      <c r="H293" s="5" t="s">
        <v>114</v>
      </c>
      <c r="I293" s="6" t="s">
        <v>40</v>
      </c>
      <c r="J293" s="5" t="s">
        <v>8585</v>
      </c>
      <c r="K293" s="5" t="s">
        <v>8586</v>
      </c>
      <c r="L293" s="6" t="s">
        <v>42</v>
      </c>
      <c r="M293" s="5" t="s">
        <v>8746</v>
      </c>
      <c r="N293" s="5" t="s">
        <v>64</v>
      </c>
      <c r="O293" s="5" t="s">
        <v>13130</v>
      </c>
      <c r="P293" s="6">
        <v>12060.0</v>
      </c>
    </row>
    <row r="294" ht="56.25" customHeight="1">
      <c r="A294" s="5" t="s">
        <v>13122</v>
      </c>
      <c r="B294" s="6" t="str">
        <f>image("https://storage.googleapis.com/acdb/bottoms/BottomsTexPantsNormalAmericanfootball3.png")</f>
        <v/>
      </c>
      <c r="C294" s="5" t="s">
        <v>4883</v>
      </c>
      <c r="D294" s="5" t="s">
        <v>36</v>
      </c>
      <c r="E294" s="6">
        <v>980.0</v>
      </c>
      <c r="F294" s="6">
        <v>245.0</v>
      </c>
      <c r="G294" s="5" t="s">
        <v>52</v>
      </c>
      <c r="H294" s="5" t="s">
        <v>52</v>
      </c>
      <c r="I294" s="6" t="s">
        <v>40</v>
      </c>
      <c r="J294" s="5" t="s">
        <v>8585</v>
      </c>
      <c r="K294" s="5" t="s">
        <v>8586</v>
      </c>
      <c r="L294" s="6" t="s">
        <v>42</v>
      </c>
      <c r="M294" s="5" t="s">
        <v>8746</v>
      </c>
      <c r="N294" s="5" t="s">
        <v>64</v>
      </c>
      <c r="O294" s="5" t="s">
        <v>13132</v>
      </c>
      <c r="P294" s="6">
        <v>12061.0</v>
      </c>
    </row>
    <row r="295" ht="56.25" customHeight="1">
      <c r="A295" s="5" t="s">
        <v>13122</v>
      </c>
      <c r="B295" s="6" t="str">
        <f>image("https://storage.googleapis.com/acdb/bottoms/BottomsTexPantsNormalAmericanfootball4.png")</f>
        <v/>
      </c>
      <c r="C295" s="5" t="s">
        <v>68</v>
      </c>
      <c r="D295" s="5" t="s">
        <v>36</v>
      </c>
      <c r="E295" s="6">
        <v>980.0</v>
      </c>
      <c r="F295" s="6">
        <v>245.0</v>
      </c>
      <c r="G295" s="5" t="s">
        <v>68</v>
      </c>
      <c r="H295" s="5" t="s">
        <v>68</v>
      </c>
      <c r="I295" s="6" t="s">
        <v>40</v>
      </c>
      <c r="J295" s="5" t="s">
        <v>8585</v>
      </c>
      <c r="K295" s="5" t="s">
        <v>8586</v>
      </c>
      <c r="L295" s="6" t="s">
        <v>42</v>
      </c>
      <c r="M295" s="5" t="s">
        <v>8746</v>
      </c>
      <c r="N295" s="5" t="s">
        <v>64</v>
      </c>
      <c r="O295" s="5" t="s">
        <v>13135</v>
      </c>
      <c r="P295" s="6">
        <v>12062.0</v>
      </c>
    </row>
    <row r="296" ht="56.25" customHeight="1">
      <c r="A296" s="5" t="s">
        <v>13122</v>
      </c>
      <c r="B296" s="6" t="str">
        <f>image("https://storage.googleapis.com/acdb/bottoms/BottomsTexPantsNormalAmericanfootball5.png")</f>
        <v/>
      </c>
      <c r="C296" s="5" t="s">
        <v>1174</v>
      </c>
      <c r="D296" s="5" t="s">
        <v>36</v>
      </c>
      <c r="E296" s="6">
        <v>980.0</v>
      </c>
      <c r="F296" s="6">
        <v>245.0</v>
      </c>
      <c r="G296" s="5" t="s">
        <v>96</v>
      </c>
      <c r="H296" s="5" t="s">
        <v>96</v>
      </c>
      <c r="I296" s="6" t="s">
        <v>40</v>
      </c>
      <c r="J296" s="5" t="s">
        <v>8585</v>
      </c>
      <c r="K296" s="5" t="s">
        <v>8586</v>
      </c>
      <c r="L296" s="6" t="s">
        <v>42</v>
      </c>
      <c r="M296" s="5" t="s">
        <v>8746</v>
      </c>
      <c r="N296" s="5" t="s">
        <v>64</v>
      </c>
      <c r="O296" s="5" t="s">
        <v>13136</v>
      </c>
      <c r="P296" s="6">
        <v>12063.0</v>
      </c>
    </row>
    <row r="297" ht="56.25" customHeight="1">
      <c r="A297" s="5" t="s">
        <v>13122</v>
      </c>
      <c r="B297" s="6" t="str">
        <f>image("https://storage.googleapis.com/acdb/bottoms/BottomsTexPantsNormalAmericanfootball6.png")</f>
        <v/>
      </c>
      <c r="C297" s="5" t="s">
        <v>52</v>
      </c>
      <c r="D297" s="5" t="s">
        <v>36</v>
      </c>
      <c r="E297" s="6">
        <v>980.0</v>
      </c>
      <c r="F297" s="6">
        <v>245.0</v>
      </c>
      <c r="G297" s="5" t="s">
        <v>52</v>
      </c>
      <c r="H297" s="5" t="s">
        <v>52</v>
      </c>
      <c r="I297" s="6" t="s">
        <v>40</v>
      </c>
      <c r="J297" s="5" t="s">
        <v>8585</v>
      </c>
      <c r="K297" s="5" t="s">
        <v>8586</v>
      </c>
      <c r="L297" s="6" t="s">
        <v>42</v>
      </c>
      <c r="M297" s="5" t="s">
        <v>8746</v>
      </c>
      <c r="N297" s="5" t="s">
        <v>64</v>
      </c>
      <c r="O297" s="5" t="s">
        <v>13141</v>
      </c>
      <c r="P297" s="6">
        <v>12064.0</v>
      </c>
    </row>
    <row r="298" ht="56.25" customHeight="1">
      <c r="A298" s="5" t="s">
        <v>13122</v>
      </c>
      <c r="B298" s="6" t="str">
        <f>image("https://storage.googleapis.com/acdb/bottoms/BottomsTexPantsNormalAmericanfootball7.png")</f>
        <v/>
      </c>
      <c r="C298" s="5" t="s">
        <v>54</v>
      </c>
      <c r="D298" s="5" t="s">
        <v>36</v>
      </c>
      <c r="E298" s="6">
        <v>980.0</v>
      </c>
      <c r="F298" s="6">
        <v>245.0</v>
      </c>
      <c r="G298" s="5" t="s">
        <v>54</v>
      </c>
      <c r="H298" s="5" t="s">
        <v>54</v>
      </c>
      <c r="I298" s="6" t="s">
        <v>40</v>
      </c>
      <c r="J298" s="5" t="s">
        <v>8585</v>
      </c>
      <c r="K298" s="5" t="s">
        <v>8586</v>
      </c>
      <c r="L298" s="6" t="s">
        <v>42</v>
      </c>
      <c r="M298" s="5" t="s">
        <v>8746</v>
      </c>
      <c r="N298" s="5" t="s">
        <v>64</v>
      </c>
      <c r="O298" s="5" t="s">
        <v>13143</v>
      </c>
      <c r="P298" s="6">
        <v>12065.0</v>
      </c>
    </row>
    <row r="299" ht="56.25" customHeight="1">
      <c r="A299" s="5" t="s">
        <v>13144</v>
      </c>
      <c r="B299" s="6" t="str">
        <f>image("https://storage.googleapis.com/acdb/bottoms/BottomsTexPantsHalfFormal0.png")</f>
        <v/>
      </c>
      <c r="C299" s="5" t="s">
        <v>57</v>
      </c>
      <c r="D299" s="5" t="s">
        <v>36</v>
      </c>
      <c r="E299" s="6">
        <v>840.0</v>
      </c>
      <c r="F299" s="6">
        <v>210.0</v>
      </c>
      <c r="G299" s="5" t="s">
        <v>57</v>
      </c>
      <c r="H299" s="5" t="s">
        <v>57</v>
      </c>
      <c r="I299" s="6" t="s">
        <v>40</v>
      </c>
      <c r="J299" s="5" t="s">
        <v>8585</v>
      </c>
      <c r="K299" s="5" t="s">
        <v>8586</v>
      </c>
      <c r="L299" s="6" t="s">
        <v>42</v>
      </c>
      <c r="M299" s="5" t="s">
        <v>995</v>
      </c>
      <c r="N299" s="5" t="s">
        <v>64</v>
      </c>
      <c r="O299" s="5" t="s">
        <v>13146</v>
      </c>
      <c r="P299" s="6">
        <v>4372.0</v>
      </c>
    </row>
    <row r="300" ht="56.25" customHeight="1">
      <c r="A300" s="5" t="s">
        <v>13144</v>
      </c>
      <c r="B300" s="6" t="str">
        <f>image("https://storage.googleapis.com/acdb/bottoms/BottomsTexPantsHalfFormal1.png")</f>
        <v/>
      </c>
      <c r="C300" s="5" t="s">
        <v>1187</v>
      </c>
      <c r="D300" s="5" t="s">
        <v>36</v>
      </c>
      <c r="E300" s="6">
        <v>840.0</v>
      </c>
      <c r="F300" s="6">
        <v>210.0</v>
      </c>
      <c r="G300" s="5" t="s">
        <v>68</v>
      </c>
      <c r="H300" s="5" t="s">
        <v>68</v>
      </c>
      <c r="I300" s="6" t="s">
        <v>40</v>
      </c>
      <c r="J300" s="5" t="s">
        <v>8585</v>
      </c>
      <c r="K300" s="5" t="s">
        <v>8586</v>
      </c>
      <c r="L300" s="6" t="s">
        <v>42</v>
      </c>
      <c r="M300" s="5" t="s">
        <v>995</v>
      </c>
      <c r="N300" s="5" t="s">
        <v>64</v>
      </c>
      <c r="O300" s="5" t="s">
        <v>13150</v>
      </c>
      <c r="P300" s="6">
        <v>9092.0</v>
      </c>
    </row>
    <row r="301" ht="56.25" customHeight="1">
      <c r="A301" s="5" t="s">
        <v>13144</v>
      </c>
      <c r="B301" s="6" t="str">
        <f>image("https://storage.googleapis.com/acdb/bottoms/BottomsTexPantsHalfFormal2.png")</f>
        <v/>
      </c>
      <c r="C301" s="5" t="s">
        <v>69</v>
      </c>
      <c r="D301" s="5" t="s">
        <v>36</v>
      </c>
      <c r="E301" s="6">
        <v>840.0</v>
      </c>
      <c r="F301" s="6">
        <v>210.0</v>
      </c>
      <c r="G301" s="5" t="s">
        <v>69</v>
      </c>
      <c r="H301" s="5" t="s">
        <v>69</v>
      </c>
      <c r="I301" s="6" t="s">
        <v>40</v>
      </c>
      <c r="J301" s="5" t="s">
        <v>8585</v>
      </c>
      <c r="K301" s="5" t="s">
        <v>8586</v>
      </c>
      <c r="L301" s="6" t="s">
        <v>42</v>
      </c>
      <c r="M301" s="5" t="s">
        <v>995</v>
      </c>
      <c r="N301" s="5" t="s">
        <v>64</v>
      </c>
      <c r="O301" s="5" t="s">
        <v>13152</v>
      </c>
      <c r="P301" s="6">
        <v>9093.0</v>
      </c>
    </row>
    <row r="302" ht="56.25" customHeight="1">
      <c r="A302" s="5" t="s">
        <v>13144</v>
      </c>
      <c r="B302" s="6" t="str">
        <f>image("https://storage.googleapis.com/acdb/bottoms/BottomsTexPantsHalfFormal3.png")</f>
        <v/>
      </c>
      <c r="C302" s="5" t="s">
        <v>83</v>
      </c>
      <c r="D302" s="5" t="s">
        <v>36</v>
      </c>
      <c r="E302" s="6">
        <v>840.0</v>
      </c>
      <c r="F302" s="6">
        <v>210.0</v>
      </c>
      <c r="G302" s="5" t="s">
        <v>83</v>
      </c>
      <c r="H302" s="5" t="s">
        <v>83</v>
      </c>
      <c r="I302" s="6" t="s">
        <v>40</v>
      </c>
      <c r="J302" s="5" t="s">
        <v>8585</v>
      </c>
      <c r="K302" s="5" t="s">
        <v>8586</v>
      </c>
      <c r="L302" s="6" t="s">
        <v>42</v>
      </c>
      <c r="M302" s="5" t="s">
        <v>995</v>
      </c>
      <c r="N302" s="5" t="s">
        <v>64</v>
      </c>
      <c r="O302" s="5" t="s">
        <v>13154</v>
      </c>
      <c r="P302" s="6">
        <v>9094.0</v>
      </c>
    </row>
    <row r="303" ht="56.25" customHeight="1">
      <c r="A303" s="5" t="s">
        <v>13144</v>
      </c>
      <c r="B303" s="6" t="str">
        <f>image("https://storage.googleapis.com/acdb/bottoms/BottomsTexPantsHalfFormal4.png")</f>
        <v/>
      </c>
      <c r="C303" s="5" t="s">
        <v>114</v>
      </c>
      <c r="D303" s="5" t="s">
        <v>36</v>
      </c>
      <c r="E303" s="6">
        <v>840.0</v>
      </c>
      <c r="F303" s="6">
        <v>210.0</v>
      </c>
      <c r="G303" s="5" t="s">
        <v>114</v>
      </c>
      <c r="H303" s="5" t="s">
        <v>114</v>
      </c>
      <c r="I303" s="6" t="s">
        <v>40</v>
      </c>
      <c r="J303" s="5" t="s">
        <v>8585</v>
      </c>
      <c r="K303" s="5" t="s">
        <v>8586</v>
      </c>
      <c r="L303" s="6" t="s">
        <v>42</v>
      </c>
      <c r="M303" s="5" t="s">
        <v>995</v>
      </c>
      <c r="N303" s="5" t="s">
        <v>64</v>
      </c>
      <c r="O303" s="5" t="s">
        <v>13157</v>
      </c>
      <c r="P303" s="6">
        <v>9095.0</v>
      </c>
    </row>
    <row r="304" ht="56.25" customHeight="1">
      <c r="A304" s="5" t="s">
        <v>13144</v>
      </c>
      <c r="B304" s="6" t="str">
        <f>image("https://storage.googleapis.com/acdb/bottoms/BottomsTexPantsHalfFormal5.png")</f>
        <v/>
      </c>
      <c r="C304" s="5" t="s">
        <v>106</v>
      </c>
      <c r="D304" s="5" t="s">
        <v>36</v>
      </c>
      <c r="E304" s="6">
        <v>840.0</v>
      </c>
      <c r="F304" s="6">
        <v>210.0</v>
      </c>
      <c r="G304" s="5" t="s">
        <v>106</v>
      </c>
      <c r="H304" s="5" t="s">
        <v>106</v>
      </c>
      <c r="I304" s="6" t="s">
        <v>40</v>
      </c>
      <c r="J304" s="5" t="s">
        <v>8585</v>
      </c>
      <c r="K304" s="5" t="s">
        <v>8586</v>
      </c>
      <c r="L304" s="6" t="s">
        <v>42</v>
      </c>
      <c r="M304" s="5" t="s">
        <v>995</v>
      </c>
      <c r="N304" s="5" t="s">
        <v>64</v>
      </c>
      <c r="O304" s="5" t="s">
        <v>13160</v>
      </c>
      <c r="P304" s="6">
        <v>9096.0</v>
      </c>
    </row>
    <row r="305" ht="56.25" customHeight="1">
      <c r="A305" s="5" t="s">
        <v>13144</v>
      </c>
      <c r="B305" s="6" t="str">
        <f>image("https://storage.googleapis.com/acdb/bottoms/BottomsTexPantsHalfFormal6.png")</f>
        <v/>
      </c>
      <c r="C305" s="5" t="s">
        <v>1458</v>
      </c>
      <c r="D305" s="5" t="s">
        <v>36</v>
      </c>
      <c r="E305" s="6">
        <v>840.0</v>
      </c>
      <c r="F305" s="6">
        <v>210.0</v>
      </c>
      <c r="G305" s="5" t="s">
        <v>96</v>
      </c>
      <c r="H305" s="5" t="s">
        <v>96</v>
      </c>
      <c r="I305" s="6" t="s">
        <v>40</v>
      </c>
      <c r="J305" s="5" t="s">
        <v>8585</v>
      </c>
      <c r="K305" s="5" t="s">
        <v>8586</v>
      </c>
      <c r="L305" s="6" t="s">
        <v>42</v>
      </c>
      <c r="M305" s="5" t="s">
        <v>995</v>
      </c>
      <c r="N305" s="5" t="s">
        <v>64</v>
      </c>
      <c r="O305" s="5" t="s">
        <v>13163</v>
      </c>
      <c r="P305" s="6">
        <v>9097.0</v>
      </c>
    </row>
    <row r="306" ht="56.25" customHeight="1">
      <c r="A306" s="5" t="s">
        <v>13144</v>
      </c>
      <c r="B306" s="6" t="str">
        <f>image("https://storage.googleapis.com/acdb/bottoms/BottomsTexPantsHalfFormal7.png")</f>
        <v/>
      </c>
      <c r="C306" s="5" t="s">
        <v>38</v>
      </c>
      <c r="D306" s="5" t="s">
        <v>36</v>
      </c>
      <c r="E306" s="6">
        <v>840.0</v>
      </c>
      <c r="F306" s="6">
        <v>210.0</v>
      </c>
      <c r="G306" s="5" t="s">
        <v>38</v>
      </c>
      <c r="H306" s="5" t="s">
        <v>38</v>
      </c>
      <c r="I306" s="6" t="s">
        <v>40</v>
      </c>
      <c r="J306" s="5" t="s">
        <v>8585</v>
      </c>
      <c r="K306" s="5" t="s">
        <v>8586</v>
      </c>
      <c r="L306" s="6" t="s">
        <v>42</v>
      </c>
      <c r="M306" s="5" t="s">
        <v>995</v>
      </c>
      <c r="N306" s="5" t="s">
        <v>64</v>
      </c>
      <c r="O306" s="5" t="s">
        <v>13166</v>
      </c>
      <c r="P306" s="6">
        <v>9098.0</v>
      </c>
    </row>
    <row r="307" ht="56.25" customHeight="1">
      <c r="A307" s="5" t="s">
        <v>13167</v>
      </c>
      <c r="B307" s="6" t="str">
        <f>image("https://storage.googleapis.com/acdb/bottoms/BottomsTexPantsWideFrilled0.png")</f>
        <v/>
      </c>
      <c r="C307" s="5" t="s">
        <v>114</v>
      </c>
      <c r="D307" s="5" t="s">
        <v>36</v>
      </c>
      <c r="E307" s="6">
        <v>1200.0</v>
      </c>
      <c r="F307" s="6">
        <v>300.0</v>
      </c>
      <c r="G307" s="5" t="s">
        <v>114</v>
      </c>
      <c r="H307" s="5" t="s">
        <v>114</v>
      </c>
      <c r="I307" s="6" t="s">
        <v>40</v>
      </c>
      <c r="J307" s="5" t="s">
        <v>8585</v>
      </c>
      <c r="K307" s="5" t="s">
        <v>8632</v>
      </c>
      <c r="L307" s="6" t="s">
        <v>42</v>
      </c>
      <c r="M307" s="5" t="s">
        <v>995</v>
      </c>
      <c r="N307" s="5" t="s">
        <v>64</v>
      </c>
      <c r="O307" s="5" t="s">
        <v>13169</v>
      </c>
      <c r="P307" s="6">
        <v>4369.0</v>
      </c>
    </row>
    <row r="308" ht="56.25" customHeight="1">
      <c r="A308" s="5" t="s">
        <v>13167</v>
      </c>
      <c r="B308" s="6" t="str">
        <f>image("https://storage.googleapis.com/acdb/bottoms/BottomsTexPantsWideFrilled1.png")</f>
        <v/>
      </c>
      <c r="C308" s="5" t="s">
        <v>9021</v>
      </c>
      <c r="D308" s="5" t="s">
        <v>36</v>
      </c>
      <c r="E308" s="6">
        <v>1200.0</v>
      </c>
      <c r="F308" s="6">
        <v>300.0</v>
      </c>
      <c r="G308" s="5" t="s">
        <v>96</v>
      </c>
      <c r="H308" s="5" t="s">
        <v>96</v>
      </c>
      <c r="I308" s="6" t="s">
        <v>40</v>
      </c>
      <c r="J308" s="5" t="s">
        <v>8585</v>
      </c>
      <c r="K308" s="5" t="s">
        <v>8632</v>
      </c>
      <c r="L308" s="6" t="s">
        <v>42</v>
      </c>
      <c r="M308" s="5" t="s">
        <v>995</v>
      </c>
      <c r="N308" s="5" t="s">
        <v>64</v>
      </c>
      <c r="O308" s="5" t="s">
        <v>13171</v>
      </c>
      <c r="P308" s="6">
        <v>9274.0</v>
      </c>
    </row>
    <row r="309" ht="56.25" customHeight="1">
      <c r="A309" s="5" t="s">
        <v>13167</v>
      </c>
      <c r="B309" s="6" t="str">
        <f>image("https://storage.googleapis.com/acdb/bottoms/BottomsTexPantsWideFrilled2.png")</f>
        <v/>
      </c>
      <c r="C309" s="5" t="s">
        <v>69</v>
      </c>
      <c r="D309" s="5" t="s">
        <v>36</v>
      </c>
      <c r="E309" s="6">
        <v>1200.0</v>
      </c>
      <c r="F309" s="6">
        <v>300.0</v>
      </c>
      <c r="G309" s="5" t="s">
        <v>69</v>
      </c>
      <c r="H309" s="5" t="s">
        <v>69</v>
      </c>
      <c r="I309" s="6" t="s">
        <v>40</v>
      </c>
      <c r="J309" s="5" t="s">
        <v>8585</v>
      </c>
      <c r="K309" s="5" t="s">
        <v>8632</v>
      </c>
      <c r="L309" s="6" t="s">
        <v>42</v>
      </c>
      <c r="M309" s="5" t="s">
        <v>995</v>
      </c>
      <c r="N309" s="5" t="s">
        <v>64</v>
      </c>
      <c r="O309" s="5" t="s">
        <v>13173</v>
      </c>
      <c r="P309" s="6">
        <v>9275.0</v>
      </c>
    </row>
    <row r="310" ht="56.25" customHeight="1">
      <c r="A310" s="5" t="s">
        <v>13167</v>
      </c>
      <c r="B310" s="6" t="str">
        <f>image("https://storage.googleapis.com/acdb/bottoms/BottomsTexPantsWideFrilled3.png")</f>
        <v/>
      </c>
      <c r="C310" s="5" t="s">
        <v>68</v>
      </c>
      <c r="D310" s="5" t="s">
        <v>36</v>
      </c>
      <c r="E310" s="6">
        <v>1200.0</v>
      </c>
      <c r="F310" s="6">
        <v>300.0</v>
      </c>
      <c r="G310" s="5" t="s">
        <v>83</v>
      </c>
      <c r="H310" s="5" t="s">
        <v>83</v>
      </c>
      <c r="I310" s="6" t="s">
        <v>40</v>
      </c>
      <c r="J310" s="5" t="s">
        <v>8585</v>
      </c>
      <c r="K310" s="5" t="s">
        <v>8632</v>
      </c>
      <c r="L310" s="6" t="s">
        <v>42</v>
      </c>
      <c r="M310" s="5" t="s">
        <v>995</v>
      </c>
      <c r="N310" s="5" t="s">
        <v>64</v>
      </c>
      <c r="O310" s="5" t="s">
        <v>13175</v>
      </c>
      <c r="P310" s="6">
        <v>9276.0</v>
      </c>
    </row>
    <row r="311" ht="56.25" customHeight="1">
      <c r="A311" s="5" t="s">
        <v>13167</v>
      </c>
      <c r="B311" s="6" t="str">
        <f>image("https://storage.googleapis.com/acdb/bottoms/BottomsTexPantsWideFrilled4.png")</f>
        <v/>
      </c>
      <c r="C311" s="5" t="s">
        <v>142</v>
      </c>
      <c r="D311" s="5" t="s">
        <v>36</v>
      </c>
      <c r="E311" s="6">
        <v>1200.0</v>
      </c>
      <c r="F311" s="6">
        <v>300.0</v>
      </c>
      <c r="G311" s="5" t="s">
        <v>142</v>
      </c>
      <c r="H311" s="5" t="s">
        <v>142</v>
      </c>
      <c r="I311" s="6" t="s">
        <v>40</v>
      </c>
      <c r="J311" s="5" t="s">
        <v>8585</v>
      </c>
      <c r="K311" s="5" t="s">
        <v>8632</v>
      </c>
      <c r="L311" s="6" t="s">
        <v>42</v>
      </c>
      <c r="M311" s="5" t="s">
        <v>995</v>
      </c>
      <c r="N311" s="5" t="s">
        <v>64</v>
      </c>
      <c r="O311" s="5" t="s">
        <v>13178</v>
      </c>
      <c r="P311" s="6">
        <v>9277.0</v>
      </c>
    </row>
    <row r="312" ht="56.25" customHeight="1">
      <c r="A312" s="5" t="s">
        <v>13179</v>
      </c>
      <c r="B312" s="6" t="str">
        <f>image("https://storage.googleapis.com/acdb/bottoms/BottomsTexSkirtAlineFrilled0.png")</f>
        <v/>
      </c>
      <c r="C312" s="5" t="s">
        <v>69</v>
      </c>
      <c r="D312" s="5" t="s">
        <v>36</v>
      </c>
      <c r="E312" s="6">
        <v>1100.0</v>
      </c>
      <c r="F312" s="6">
        <v>275.0</v>
      </c>
      <c r="G312" s="5" t="s">
        <v>69</v>
      </c>
      <c r="H312" s="5" t="s">
        <v>69</v>
      </c>
      <c r="I312" s="6" t="s">
        <v>40</v>
      </c>
      <c r="J312" s="5" t="s">
        <v>8585</v>
      </c>
      <c r="K312" s="5" t="s">
        <v>8586</v>
      </c>
      <c r="L312" s="6" t="s">
        <v>42</v>
      </c>
      <c r="M312" s="5" t="s">
        <v>1959</v>
      </c>
      <c r="N312" s="5" t="s">
        <v>64</v>
      </c>
      <c r="O312" s="5" t="s">
        <v>13181</v>
      </c>
      <c r="P312" s="6">
        <v>4410.0</v>
      </c>
    </row>
    <row r="313" ht="56.25" customHeight="1">
      <c r="A313" s="5" t="s">
        <v>13179</v>
      </c>
      <c r="B313" s="6" t="str">
        <f>image("https://storage.googleapis.com/acdb/bottoms/BottomsTexSkirtAlineFrilled1.png")</f>
        <v/>
      </c>
      <c r="C313" s="5" t="s">
        <v>68</v>
      </c>
      <c r="D313" s="5" t="s">
        <v>36</v>
      </c>
      <c r="E313" s="6">
        <v>1100.0</v>
      </c>
      <c r="F313" s="6">
        <v>275.0</v>
      </c>
      <c r="G313" s="5" t="s">
        <v>68</v>
      </c>
      <c r="H313" s="5" t="s">
        <v>68</v>
      </c>
      <c r="I313" s="6" t="s">
        <v>40</v>
      </c>
      <c r="J313" s="5" t="s">
        <v>8585</v>
      </c>
      <c r="K313" s="5" t="s">
        <v>8586</v>
      </c>
      <c r="L313" s="6" t="s">
        <v>42</v>
      </c>
      <c r="M313" s="5" t="s">
        <v>1959</v>
      </c>
      <c r="N313" s="5" t="s">
        <v>64</v>
      </c>
      <c r="O313" s="5" t="s">
        <v>13183</v>
      </c>
      <c r="P313" s="6">
        <v>8785.0</v>
      </c>
    </row>
    <row r="314" ht="56.25" customHeight="1">
      <c r="A314" s="5" t="s">
        <v>13179</v>
      </c>
      <c r="B314" s="6" t="str">
        <f>image("https://storage.googleapis.com/acdb/bottoms/BottomsTexSkirtAlineFrilled2.png")</f>
        <v/>
      </c>
      <c r="C314" s="5" t="s">
        <v>96</v>
      </c>
      <c r="D314" s="5" t="s">
        <v>36</v>
      </c>
      <c r="E314" s="6">
        <v>1100.0</v>
      </c>
      <c r="F314" s="6">
        <v>275.0</v>
      </c>
      <c r="G314" s="5" t="s">
        <v>96</v>
      </c>
      <c r="H314" s="5" t="s">
        <v>96</v>
      </c>
      <c r="I314" s="6" t="s">
        <v>40</v>
      </c>
      <c r="J314" s="5" t="s">
        <v>8585</v>
      </c>
      <c r="K314" s="5" t="s">
        <v>8586</v>
      </c>
      <c r="L314" s="6" t="s">
        <v>42</v>
      </c>
      <c r="M314" s="5" t="s">
        <v>1959</v>
      </c>
      <c r="N314" s="5" t="s">
        <v>64</v>
      </c>
      <c r="O314" s="5" t="s">
        <v>13187</v>
      </c>
      <c r="P314" s="6">
        <v>8786.0</v>
      </c>
    </row>
    <row r="315" ht="56.25" customHeight="1">
      <c r="A315" s="5" t="s">
        <v>13179</v>
      </c>
      <c r="B315" s="6" t="str">
        <f>image("https://storage.googleapis.com/acdb/bottoms/BottomsTexSkirtAlineFrilled3.png")</f>
        <v/>
      </c>
      <c r="C315" s="5" t="s">
        <v>142</v>
      </c>
      <c r="D315" s="5" t="s">
        <v>36</v>
      </c>
      <c r="E315" s="6">
        <v>1100.0</v>
      </c>
      <c r="F315" s="6">
        <v>275.0</v>
      </c>
      <c r="G315" s="5" t="s">
        <v>142</v>
      </c>
      <c r="H315" s="5" t="s">
        <v>142</v>
      </c>
      <c r="I315" s="6" t="s">
        <v>40</v>
      </c>
      <c r="J315" s="5" t="s">
        <v>8585</v>
      </c>
      <c r="K315" s="5" t="s">
        <v>8586</v>
      </c>
      <c r="L315" s="6" t="s">
        <v>42</v>
      </c>
      <c r="M315" s="5" t="s">
        <v>1959</v>
      </c>
      <c r="N315" s="5" t="s">
        <v>64</v>
      </c>
      <c r="O315" s="5" t="s">
        <v>13188</v>
      </c>
      <c r="P315" s="6">
        <v>8787.0</v>
      </c>
    </row>
    <row r="316" ht="56.25" customHeight="1">
      <c r="A316" s="5" t="s">
        <v>13179</v>
      </c>
      <c r="B316" s="6" t="str">
        <f>image("https://storage.googleapis.com/acdb/bottoms/BottomsTexSkirtAlineFrilled4.png")</f>
        <v/>
      </c>
      <c r="C316" s="5" t="s">
        <v>106</v>
      </c>
      <c r="D316" s="5" t="s">
        <v>36</v>
      </c>
      <c r="E316" s="6">
        <v>1100.0</v>
      </c>
      <c r="F316" s="6">
        <v>275.0</v>
      </c>
      <c r="G316" s="5" t="s">
        <v>106</v>
      </c>
      <c r="H316" s="5" t="s">
        <v>106</v>
      </c>
      <c r="I316" s="6" t="s">
        <v>40</v>
      </c>
      <c r="J316" s="5" t="s">
        <v>8585</v>
      </c>
      <c r="K316" s="5" t="s">
        <v>8586</v>
      </c>
      <c r="L316" s="6" t="s">
        <v>42</v>
      </c>
      <c r="M316" s="5" t="s">
        <v>1959</v>
      </c>
      <c r="N316" s="5" t="s">
        <v>64</v>
      </c>
      <c r="O316" s="5" t="s">
        <v>13191</v>
      </c>
      <c r="P316" s="6">
        <v>8788.0</v>
      </c>
    </row>
    <row r="317" ht="56.25" customHeight="1">
      <c r="A317" s="5" t="s">
        <v>13179</v>
      </c>
      <c r="B317" s="6" t="str">
        <f>image("https://storage.googleapis.com/acdb/bottoms/BottomsTexSkirtAlineFrilled5.png")</f>
        <v/>
      </c>
      <c r="C317" s="5" t="s">
        <v>95</v>
      </c>
      <c r="D317" s="5" t="s">
        <v>36</v>
      </c>
      <c r="E317" s="6">
        <v>1100.0</v>
      </c>
      <c r="F317" s="6">
        <v>275.0</v>
      </c>
      <c r="G317" s="5" t="s">
        <v>95</v>
      </c>
      <c r="H317" s="5" t="s">
        <v>95</v>
      </c>
      <c r="I317" s="6" t="s">
        <v>40</v>
      </c>
      <c r="J317" s="5" t="s">
        <v>8585</v>
      </c>
      <c r="K317" s="5" t="s">
        <v>8586</v>
      </c>
      <c r="L317" s="6" t="s">
        <v>42</v>
      </c>
      <c r="M317" s="5" t="s">
        <v>1959</v>
      </c>
      <c r="N317" s="5" t="s">
        <v>64</v>
      </c>
      <c r="O317" s="5" t="s">
        <v>13195</v>
      </c>
      <c r="P317" s="6">
        <v>8789.0</v>
      </c>
    </row>
    <row r="318" ht="56.25" customHeight="1">
      <c r="A318" s="5" t="s">
        <v>13196</v>
      </c>
      <c r="B318" s="6" t="str">
        <f>image("https://storage.googleapis.com/acdb/bottoms/BottomsTexPantsNormalSweatfrill0.png")</f>
        <v/>
      </c>
      <c r="C318" s="5" t="s">
        <v>68</v>
      </c>
      <c r="D318" s="5" t="s">
        <v>36</v>
      </c>
      <c r="E318" s="6">
        <v>880.0</v>
      </c>
      <c r="F318" s="6">
        <v>220.0</v>
      </c>
      <c r="G318" s="5" t="s">
        <v>68</v>
      </c>
      <c r="H318" s="5" t="s">
        <v>68</v>
      </c>
      <c r="I318" s="6" t="s">
        <v>40</v>
      </c>
      <c r="J318" s="5" t="s">
        <v>8585</v>
      </c>
      <c r="K318" s="5" t="s">
        <v>8632</v>
      </c>
      <c r="L318" s="6" t="s">
        <v>42</v>
      </c>
      <c r="M318" s="5" t="s">
        <v>1959</v>
      </c>
      <c r="N318" s="5" t="s">
        <v>64</v>
      </c>
      <c r="O318" s="5" t="s">
        <v>13198</v>
      </c>
      <c r="P318" s="6">
        <v>5416.0</v>
      </c>
    </row>
    <row r="319" ht="56.25" customHeight="1">
      <c r="A319" s="5" t="s">
        <v>13196</v>
      </c>
      <c r="B319" s="6" t="str">
        <f>image("https://storage.googleapis.com/acdb/bottoms/BottomsTexPantsNormalSweatfrill1.png")</f>
        <v/>
      </c>
      <c r="C319" s="5" t="s">
        <v>69</v>
      </c>
      <c r="D319" s="5" t="s">
        <v>36</v>
      </c>
      <c r="E319" s="6">
        <v>880.0</v>
      </c>
      <c r="F319" s="6">
        <v>220.0</v>
      </c>
      <c r="G319" s="5" t="s">
        <v>69</v>
      </c>
      <c r="H319" s="5" t="s">
        <v>69</v>
      </c>
      <c r="I319" s="6" t="s">
        <v>40</v>
      </c>
      <c r="J319" s="5" t="s">
        <v>8585</v>
      </c>
      <c r="K319" s="5" t="s">
        <v>8632</v>
      </c>
      <c r="L319" s="6" t="s">
        <v>42</v>
      </c>
      <c r="M319" s="5" t="s">
        <v>1959</v>
      </c>
      <c r="N319" s="5" t="s">
        <v>64</v>
      </c>
      <c r="O319" s="5" t="s">
        <v>13199</v>
      </c>
      <c r="P319" s="6">
        <v>8798.0</v>
      </c>
    </row>
    <row r="320" ht="56.25" customHeight="1">
      <c r="A320" s="5" t="s">
        <v>13196</v>
      </c>
      <c r="B320" s="6" t="str">
        <f>image("https://storage.googleapis.com/acdb/bottoms/BottomsTexPantsNormalSweatfrill2.png")</f>
        <v/>
      </c>
      <c r="C320" s="5" t="s">
        <v>9021</v>
      </c>
      <c r="D320" s="5" t="s">
        <v>36</v>
      </c>
      <c r="E320" s="6">
        <v>880.0</v>
      </c>
      <c r="F320" s="6">
        <v>220.0</v>
      </c>
      <c r="G320" s="5" t="s">
        <v>96</v>
      </c>
      <c r="H320" s="5" t="s">
        <v>96</v>
      </c>
      <c r="I320" s="6" t="s">
        <v>40</v>
      </c>
      <c r="J320" s="5" t="s">
        <v>8585</v>
      </c>
      <c r="K320" s="5" t="s">
        <v>8632</v>
      </c>
      <c r="L320" s="6" t="s">
        <v>42</v>
      </c>
      <c r="M320" s="5" t="s">
        <v>1959</v>
      </c>
      <c r="N320" s="5" t="s">
        <v>64</v>
      </c>
      <c r="O320" s="5" t="s">
        <v>13202</v>
      </c>
      <c r="P320" s="6">
        <v>8799.0</v>
      </c>
    </row>
    <row r="321" ht="56.25" customHeight="1">
      <c r="A321" s="5" t="s">
        <v>13196</v>
      </c>
      <c r="B321" s="6" t="str">
        <f>image("https://storage.googleapis.com/acdb/bottoms/BottomsTexPantsNormalSweatfrill3.png")</f>
        <v/>
      </c>
      <c r="C321" s="5" t="s">
        <v>142</v>
      </c>
      <c r="D321" s="5" t="s">
        <v>36</v>
      </c>
      <c r="E321" s="6">
        <v>880.0</v>
      </c>
      <c r="F321" s="6">
        <v>220.0</v>
      </c>
      <c r="G321" s="5" t="s">
        <v>142</v>
      </c>
      <c r="H321" s="5" t="s">
        <v>142</v>
      </c>
      <c r="I321" s="6" t="s">
        <v>40</v>
      </c>
      <c r="J321" s="5" t="s">
        <v>8585</v>
      </c>
      <c r="K321" s="5" t="s">
        <v>8632</v>
      </c>
      <c r="L321" s="6" t="s">
        <v>42</v>
      </c>
      <c r="M321" s="5" t="s">
        <v>1959</v>
      </c>
      <c r="N321" s="5" t="s">
        <v>64</v>
      </c>
      <c r="O321" s="5" t="s">
        <v>13203</v>
      </c>
      <c r="P321" s="6">
        <v>8800.0</v>
      </c>
    </row>
    <row r="322" ht="56.25" customHeight="1">
      <c r="A322" s="5" t="s">
        <v>13196</v>
      </c>
      <c r="B322" s="6" t="str">
        <f>image("https://storage.googleapis.com/acdb/bottoms/BottomsTexPantsNormalSweatfrill4.png")</f>
        <v/>
      </c>
      <c r="C322" s="5" t="s">
        <v>106</v>
      </c>
      <c r="D322" s="5" t="s">
        <v>36</v>
      </c>
      <c r="E322" s="6">
        <v>880.0</v>
      </c>
      <c r="F322" s="6">
        <v>220.0</v>
      </c>
      <c r="G322" s="5" t="s">
        <v>106</v>
      </c>
      <c r="H322" s="5" t="s">
        <v>106</v>
      </c>
      <c r="I322" s="6" t="s">
        <v>40</v>
      </c>
      <c r="J322" s="5" t="s">
        <v>8585</v>
      </c>
      <c r="K322" s="5" t="s">
        <v>8632</v>
      </c>
      <c r="L322" s="6" t="s">
        <v>42</v>
      </c>
      <c r="M322" s="5" t="s">
        <v>1959</v>
      </c>
      <c r="N322" s="5" t="s">
        <v>64</v>
      </c>
      <c r="O322" s="5" t="s">
        <v>13205</v>
      </c>
      <c r="P322" s="6">
        <v>8801.0</v>
      </c>
    </row>
    <row r="323" ht="56.25" customHeight="1">
      <c r="A323" s="5" t="s">
        <v>13196</v>
      </c>
      <c r="B323" s="6" t="str">
        <f>image("https://storage.googleapis.com/acdb/bottoms/BottomsTexPantsNormalSweatfrill5.png")</f>
        <v/>
      </c>
      <c r="C323" s="5" t="s">
        <v>95</v>
      </c>
      <c r="D323" s="5" t="s">
        <v>36</v>
      </c>
      <c r="E323" s="6">
        <v>880.0</v>
      </c>
      <c r="F323" s="6">
        <v>220.0</v>
      </c>
      <c r="G323" s="5" t="s">
        <v>95</v>
      </c>
      <c r="H323" s="5" t="s">
        <v>95</v>
      </c>
      <c r="I323" s="6" t="s">
        <v>40</v>
      </c>
      <c r="J323" s="5" t="s">
        <v>8585</v>
      </c>
      <c r="K323" s="5" t="s">
        <v>8632</v>
      </c>
      <c r="L323" s="6" t="s">
        <v>42</v>
      </c>
      <c r="M323" s="5" t="s">
        <v>1959</v>
      </c>
      <c r="N323" s="5" t="s">
        <v>64</v>
      </c>
      <c r="O323" s="5" t="s">
        <v>13208</v>
      </c>
      <c r="P323" s="6">
        <v>8802.0</v>
      </c>
    </row>
    <row r="324" ht="56.25" customHeight="1">
      <c r="A324" s="5" t="s">
        <v>13209</v>
      </c>
      <c r="B324" s="6" t="str">
        <f>image("https://storage.googleapis.com/acdb/bottoms/BottomsTexSkirtBoxFringe0.png")</f>
        <v/>
      </c>
      <c r="C324" s="5" t="s">
        <v>2408</v>
      </c>
      <c r="D324" s="5" t="s">
        <v>36</v>
      </c>
      <c r="E324" s="6">
        <v>1560.0</v>
      </c>
      <c r="F324" s="6">
        <v>390.0</v>
      </c>
      <c r="G324" s="5" t="s">
        <v>38</v>
      </c>
      <c r="H324" s="5" t="s">
        <v>38</v>
      </c>
      <c r="I324" s="6" t="s">
        <v>40</v>
      </c>
      <c r="J324" s="5" t="s">
        <v>8585</v>
      </c>
      <c r="K324" s="5" t="s">
        <v>8632</v>
      </c>
      <c r="L324" s="6" t="s">
        <v>42</v>
      </c>
      <c r="M324" s="5" t="s">
        <v>995</v>
      </c>
      <c r="N324" s="5" t="s">
        <v>64</v>
      </c>
      <c r="O324" s="5" t="s">
        <v>13212</v>
      </c>
      <c r="P324" s="6">
        <v>4307.0</v>
      </c>
    </row>
    <row r="325" ht="56.25" customHeight="1">
      <c r="A325" s="5" t="s">
        <v>13209</v>
      </c>
      <c r="B325" s="6" t="str">
        <f>image("https://storage.googleapis.com/acdb/bottoms/BottomsTexSkirtBoxFringe1.png")</f>
        <v/>
      </c>
      <c r="C325" s="5" t="s">
        <v>54</v>
      </c>
      <c r="D325" s="5" t="s">
        <v>36</v>
      </c>
      <c r="E325" s="6">
        <v>1560.0</v>
      </c>
      <c r="F325" s="6">
        <v>390.0</v>
      </c>
      <c r="G325" s="5" t="s">
        <v>54</v>
      </c>
      <c r="H325" s="5" t="s">
        <v>54</v>
      </c>
      <c r="I325" s="6" t="s">
        <v>40</v>
      </c>
      <c r="J325" s="5" t="s">
        <v>8585</v>
      </c>
      <c r="K325" s="5" t="s">
        <v>8632</v>
      </c>
      <c r="L325" s="6" t="s">
        <v>42</v>
      </c>
      <c r="M325" s="5" t="s">
        <v>995</v>
      </c>
      <c r="N325" s="5" t="s">
        <v>64</v>
      </c>
      <c r="O325" s="5" t="s">
        <v>13215</v>
      </c>
      <c r="P325" s="6">
        <v>10191.0</v>
      </c>
    </row>
    <row r="326" ht="56.25" customHeight="1">
      <c r="A326" s="5" t="s">
        <v>13209</v>
      </c>
      <c r="B326" s="6" t="str">
        <f>image("https://storage.googleapis.com/acdb/bottoms/BottomsTexSkirtBoxFringe2.png")</f>
        <v/>
      </c>
      <c r="C326" s="5" t="s">
        <v>57</v>
      </c>
      <c r="D326" s="5" t="s">
        <v>36</v>
      </c>
      <c r="E326" s="6">
        <v>1560.0</v>
      </c>
      <c r="F326" s="6">
        <v>390.0</v>
      </c>
      <c r="G326" s="5" t="s">
        <v>57</v>
      </c>
      <c r="H326" s="5" t="s">
        <v>57</v>
      </c>
      <c r="I326" s="6" t="s">
        <v>40</v>
      </c>
      <c r="J326" s="5" t="s">
        <v>8585</v>
      </c>
      <c r="K326" s="5" t="s">
        <v>8632</v>
      </c>
      <c r="L326" s="6" t="s">
        <v>42</v>
      </c>
      <c r="M326" s="5" t="s">
        <v>995</v>
      </c>
      <c r="N326" s="5" t="s">
        <v>64</v>
      </c>
      <c r="O326" s="5" t="s">
        <v>13217</v>
      </c>
      <c r="P326" s="6">
        <v>10192.0</v>
      </c>
    </row>
    <row r="327" ht="56.25" customHeight="1">
      <c r="A327" s="5" t="s">
        <v>13209</v>
      </c>
      <c r="B327" s="6" t="str">
        <f>image("https://storage.googleapis.com/acdb/bottoms/BottomsTexSkirtBoxFringe3.png")</f>
        <v/>
      </c>
      <c r="C327" s="5" t="s">
        <v>68</v>
      </c>
      <c r="D327" s="5" t="s">
        <v>36</v>
      </c>
      <c r="E327" s="6">
        <v>1560.0</v>
      </c>
      <c r="F327" s="6">
        <v>390.0</v>
      </c>
      <c r="G327" s="5" t="s">
        <v>68</v>
      </c>
      <c r="H327" s="5" t="s">
        <v>68</v>
      </c>
      <c r="I327" s="6" t="s">
        <v>40</v>
      </c>
      <c r="J327" s="5" t="s">
        <v>8585</v>
      </c>
      <c r="K327" s="5" t="s">
        <v>8632</v>
      </c>
      <c r="L327" s="6" t="s">
        <v>42</v>
      </c>
      <c r="M327" s="5" t="s">
        <v>995</v>
      </c>
      <c r="N327" s="5" t="s">
        <v>64</v>
      </c>
      <c r="O327" s="5" t="s">
        <v>13220</v>
      </c>
      <c r="P327" s="6">
        <v>10193.0</v>
      </c>
    </row>
    <row r="328" ht="56.25" customHeight="1">
      <c r="A328" s="5" t="s">
        <v>13209</v>
      </c>
      <c r="B328" s="6" t="str">
        <f>image("https://storage.googleapis.com/acdb/bottoms/BottomsTexSkirtBoxFringe4.png")</f>
        <v/>
      </c>
      <c r="C328" s="5" t="s">
        <v>114</v>
      </c>
      <c r="D328" s="5" t="s">
        <v>36</v>
      </c>
      <c r="E328" s="6">
        <v>1560.0</v>
      </c>
      <c r="F328" s="6">
        <v>390.0</v>
      </c>
      <c r="G328" s="5" t="s">
        <v>114</v>
      </c>
      <c r="H328" s="5" t="s">
        <v>114</v>
      </c>
      <c r="I328" s="6" t="s">
        <v>40</v>
      </c>
      <c r="J328" s="5" t="s">
        <v>8585</v>
      </c>
      <c r="K328" s="5" t="s">
        <v>8632</v>
      </c>
      <c r="L328" s="6" t="s">
        <v>42</v>
      </c>
      <c r="M328" s="5" t="s">
        <v>995</v>
      </c>
      <c r="N328" s="5" t="s">
        <v>64</v>
      </c>
      <c r="O328" s="5" t="s">
        <v>13223</v>
      </c>
      <c r="P328" s="6">
        <v>10194.0</v>
      </c>
    </row>
    <row r="329" ht="56.25" customHeight="1">
      <c r="A329" s="5" t="s">
        <v>13209</v>
      </c>
      <c r="B329" s="6" t="str">
        <f>image("https://storage.googleapis.com/acdb/bottoms/BottomsTexSkirtBoxFringe5.png")</f>
        <v/>
      </c>
      <c r="C329" s="5" t="s">
        <v>96</v>
      </c>
      <c r="D329" s="5" t="s">
        <v>36</v>
      </c>
      <c r="E329" s="6">
        <v>1560.0</v>
      </c>
      <c r="F329" s="6">
        <v>390.0</v>
      </c>
      <c r="G329" s="5" t="s">
        <v>96</v>
      </c>
      <c r="H329" s="5" t="s">
        <v>96</v>
      </c>
      <c r="I329" s="6" t="s">
        <v>40</v>
      </c>
      <c r="J329" s="5" t="s">
        <v>8585</v>
      </c>
      <c r="K329" s="5" t="s">
        <v>8632</v>
      </c>
      <c r="L329" s="6" t="s">
        <v>42</v>
      </c>
      <c r="M329" s="5" t="s">
        <v>995</v>
      </c>
      <c r="N329" s="5" t="s">
        <v>64</v>
      </c>
      <c r="O329" s="5" t="s">
        <v>13226</v>
      </c>
      <c r="P329" s="6">
        <v>10195.0</v>
      </c>
    </row>
    <row r="330" ht="56.25" customHeight="1">
      <c r="A330" s="5" t="s">
        <v>13209</v>
      </c>
      <c r="B330" s="6" t="str">
        <f>image("https://storage.googleapis.com/acdb/bottoms/BottomsTexSkirtBoxFringe6.png")</f>
        <v/>
      </c>
      <c r="C330" s="5" t="s">
        <v>4883</v>
      </c>
      <c r="D330" s="5" t="s">
        <v>36</v>
      </c>
      <c r="E330" s="6">
        <v>1560.0</v>
      </c>
      <c r="F330" s="6">
        <v>390.0</v>
      </c>
      <c r="G330" s="5" t="s">
        <v>52</v>
      </c>
      <c r="H330" s="5" t="s">
        <v>52</v>
      </c>
      <c r="I330" s="6" t="s">
        <v>40</v>
      </c>
      <c r="J330" s="5" t="s">
        <v>8585</v>
      </c>
      <c r="K330" s="5" t="s">
        <v>8632</v>
      </c>
      <c r="L330" s="6" t="s">
        <v>42</v>
      </c>
      <c r="M330" s="5" t="s">
        <v>995</v>
      </c>
      <c r="N330" s="5" t="s">
        <v>64</v>
      </c>
      <c r="O330" s="5" t="s">
        <v>13228</v>
      </c>
      <c r="P330" s="6">
        <v>10196.0</v>
      </c>
    </row>
    <row r="331" ht="56.25" customHeight="1">
      <c r="A331" s="5" t="s">
        <v>13229</v>
      </c>
      <c r="B331" s="6" t="str">
        <f>image("https://storage.googleapis.com/acdb/bottoms/BottomsTexPantsWideGaucho0.png")</f>
        <v/>
      </c>
      <c r="C331" s="5" t="s">
        <v>95</v>
      </c>
      <c r="D331" s="5" t="s">
        <v>36</v>
      </c>
      <c r="E331" s="6">
        <v>880.0</v>
      </c>
      <c r="F331" s="6">
        <v>220.0</v>
      </c>
      <c r="G331" s="5" t="s">
        <v>95</v>
      </c>
      <c r="H331" s="5" t="s">
        <v>95</v>
      </c>
      <c r="I331" s="6" t="s">
        <v>40</v>
      </c>
      <c r="J331" s="5" t="s">
        <v>8585</v>
      </c>
      <c r="K331" s="5" t="s">
        <v>8632</v>
      </c>
      <c r="L331" s="6" t="s">
        <v>42</v>
      </c>
      <c r="M331" s="5" t="s">
        <v>995</v>
      </c>
      <c r="N331" s="5" t="s">
        <v>64</v>
      </c>
      <c r="O331" s="5" t="s">
        <v>13231</v>
      </c>
      <c r="P331" s="6">
        <v>4299.0</v>
      </c>
    </row>
    <row r="332" ht="56.25" customHeight="1">
      <c r="A332" s="5" t="s">
        <v>13229</v>
      </c>
      <c r="B332" s="6" t="str">
        <f>image("https://storage.googleapis.com/acdb/bottoms/BottomsTexPantsWideGaucho1.png")</f>
        <v/>
      </c>
      <c r="C332" s="5" t="s">
        <v>39</v>
      </c>
      <c r="D332" s="5" t="s">
        <v>36</v>
      </c>
      <c r="E332" s="6">
        <v>880.0</v>
      </c>
      <c r="F332" s="6">
        <v>220.0</v>
      </c>
      <c r="G332" s="5" t="s">
        <v>39</v>
      </c>
      <c r="H332" s="5" t="s">
        <v>39</v>
      </c>
      <c r="I332" s="6" t="s">
        <v>40</v>
      </c>
      <c r="J332" s="5" t="s">
        <v>8585</v>
      </c>
      <c r="K332" s="5" t="s">
        <v>8632</v>
      </c>
      <c r="L332" s="6" t="s">
        <v>42</v>
      </c>
      <c r="M332" s="5" t="s">
        <v>995</v>
      </c>
      <c r="N332" s="5" t="s">
        <v>64</v>
      </c>
      <c r="O332" s="5" t="s">
        <v>13234</v>
      </c>
      <c r="P332" s="6">
        <v>9266.0</v>
      </c>
    </row>
    <row r="333" ht="56.25" customHeight="1">
      <c r="A333" s="5" t="s">
        <v>13229</v>
      </c>
      <c r="B333" s="6" t="str">
        <f>image("https://storage.googleapis.com/acdb/bottoms/BottomsTexPantsWideGaucho2.png")</f>
        <v/>
      </c>
      <c r="C333" s="5" t="s">
        <v>2222</v>
      </c>
      <c r="D333" s="5" t="s">
        <v>36</v>
      </c>
      <c r="E333" s="6">
        <v>880.0</v>
      </c>
      <c r="F333" s="6">
        <v>220.0</v>
      </c>
      <c r="G333" s="5" t="s">
        <v>96</v>
      </c>
      <c r="H333" s="5" t="s">
        <v>96</v>
      </c>
      <c r="I333" s="6" t="s">
        <v>40</v>
      </c>
      <c r="J333" s="5" t="s">
        <v>8585</v>
      </c>
      <c r="K333" s="5" t="s">
        <v>8632</v>
      </c>
      <c r="L333" s="6" t="s">
        <v>42</v>
      </c>
      <c r="M333" s="5" t="s">
        <v>995</v>
      </c>
      <c r="N333" s="5" t="s">
        <v>64</v>
      </c>
      <c r="O333" s="5" t="s">
        <v>13238</v>
      </c>
      <c r="P333" s="6">
        <v>9267.0</v>
      </c>
    </row>
    <row r="334" ht="56.25" customHeight="1">
      <c r="A334" s="5" t="s">
        <v>13229</v>
      </c>
      <c r="B334" s="6" t="str">
        <f>image("https://storage.googleapis.com/acdb/bottoms/BottomsTexPantsWideGaucho3.png")</f>
        <v/>
      </c>
      <c r="C334" s="5" t="s">
        <v>69</v>
      </c>
      <c r="D334" s="5" t="s">
        <v>36</v>
      </c>
      <c r="E334" s="6">
        <v>880.0</v>
      </c>
      <c r="F334" s="6">
        <v>220.0</v>
      </c>
      <c r="G334" s="5" t="s">
        <v>69</v>
      </c>
      <c r="H334" s="5" t="s">
        <v>69</v>
      </c>
      <c r="I334" s="6" t="s">
        <v>40</v>
      </c>
      <c r="J334" s="5" t="s">
        <v>8585</v>
      </c>
      <c r="K334" s="5" t="s">
        <v>8632</v>
      </c>
      <c r="L334" s="6" t="s">
        <v>42</v>
      </c>
      <c r="M334" s="5" t="s">
        <v>995</v>
      </c>
      <c r="N334" s="5" t="s">
        <v>64</v>
      </c>
      <c r="O334" s="5" t="s">
        <v>13240</v>
      </c>
      <c r="P334" s="6">
        <v>9268.0</v>
      </c>
    </row>
    <row r="335" ht="56.25" customHeight="1">
      <c r="A335" s="5" t="s">
        <v>13229</v>
      </c>
      <c r="B335" s="6" t="str">
        <f>image("https://storage.googleapis.com/acdb/bottoms/BottomsTexPantsWideGaucho4.png")</f>
        <v/>
      </c>
      <c r="C335" s="5" t="s">
        <v>68</v>
      </c>
      <c r="D335" s="5" t="s">
        <v>36</v>
      </c>
      <c r="E335" s="6">
        <v>880.0</v>
      </c>
      <c r="F335" s="6">
        <v>220.0</v>
      </c>
      <c r="G335" s="5" t="s">
        <v>83</v>
      </c>
      <c r="H335" s="5" t="s">
        <v>83</v>
      </c>
      <c r="I335" s="6" t="s">
        <v>40</v>
      </c>
      <c r="J335" s="5" t="s">
        <v>8585</v>
      </c>
      <c r="K335" s="5" t="s">
        <v>8632</v>
      </c>
      <c r="L335" s="6" t="s">
        <v>42</v>
      </c>
      <c r="M335" s="5" t="s">
        <v>995</v>
      </c>
      <c r="N335" s="5" t="s">
        <v>64</v>
      </c>
      <c r="O335" s="5" t="s">
        <v>13243</v>
      </c>
      <c r="P335" s="6">
        <v>9269.0</v>
      </c>
    </row>
    <row r="336" ht="56.25" customHeight="1">
      <c r="A336" s="5" t="s">
        <v>13244</v>
      </c>
      <c r="B336" s="6" t="str">
        <f>image("https://storage.googleapis.com/acdb/bottoms/BottomsTexPantsNormalChimayo0.png")</f>
        <v/>
      </c>
      <c r="C336" s="5" t="s">
        <v>68</v>
      </c>
      <c r="D336" s="5" t="s">
        <v>36</v>
      </c>
      <c r="E336" s="6">
        <v>1040.0</v>
      </c>
      <c r="F336" s="6">
        <v>260.0</v>
      </c>
      <c r="G336" s="5" t="s">
        <v>68</v>
      </c>
      <c r="H336" s="5" t="s">
        <v>52</v>
      </c>
      <c r="I336" s="6" t="s">
        <v>40</v>
      </c>
      <c r="J336" s="5" t="s">
        <v>8585</v>
      </c>
      <c r="K336" s="5" t="s">
        <v>8632</v>
      </c>
      <c r="L336" s="6" t="s">
        <v>42</v>
      </c>
      <c r="M336" s="5" t="s">
        <v>995</v>
      </c>
      <c r="N336" s="5" t="s">
        <v>64</v>
      </c>
      <c r="O336" s="5" t="s">
        <v>13248</v>
      </c>
      <c r="P336" s="6">
        <v>5795.0</v>
      </c>
    </row>
    <row r="337" ht="56.25" customHeight="1">
      <c r="A337" s="5" t="s">
        <v>13244</v>
      </c>
      <c r="B337" s="6" t="str">
        <f>image("https://storage.googleapis.com/acdb/bottoms/BottomsTexPantsNormalChimayo1.png")</f>
        <v/>
      </c>
      <c r="C337" s="5" t="s">
        <v>52</v>
      </c>
      <c r="D337" s="5" t="s">
        <v>36</v>
      </c>
      <c r="E337" s="6">
        <v>1040.0</v>
      </c>
      <c r="F337" s="6">
        <v>260.0</v>
      </c>
      <c r="G337" s="5" t="s">
        <v>52</v>
      </c>
      <c r="H337" s="5" t="s">
        <v>38</v>
      </c>
      <c r="I337" s="6" t="s">
        <v>40</v>
      </c>
      <c r="J337" s="5" t="s">
        <v>8585</v>
      </c>
      <c r="K337" s="5" t="s">
        <v>8632</v>
      </c>
      <c r="L337" s="6" t="s">
        <v>42</v>
      </c>
      <c r="M337" s="5" t="s">
        <v>995</v>
      </c>
      <c r="N337" s="5" t="s">
        <v>64</v>
      </c>
      <c r="O337" s="5" t="s">
        <v>13250</v>
      </c>
      <c r="P337" s="6">
        <v>9189.0</v>
      </c>
    </row>
    <row r="338" ht="56.25" customHeight="1">
      <c r="A338" s="5" t="s">
        <v>13244</v>
      </c>
      <c r="B338" s="6" t="str">
        <f>image("https://storage.googleapis.com/acdb/bottoms/BottomsTexPantsNormalChimayo2.png")</f>
        <v/>
      </c>
      <c r="C338" s="5" t="s">
        <v>39</v>
      </c>
      <c r="D338" s="5" t="s">
        <v>36</v>
      </c>
      <c r="E338" s="6">
        <v>1040.0</v>
      </c>
      <c r="F338" s="6">
        <v>260.0</v>
      </c>
      <c r="G338" s="5" t="s">
        <v>39</v>
      </c>
      <c r="H338" s="5" t="s">
        <v>96</v>
      </c>
      <c r="I338" s="6" t="s">
        <v>40</v>
      </c>
      <c r="J338" s="5" t="s">
        <v>8585</v>
      </c>
      <c r="K338" s="5" t="s">
        <v>8632</v>
      </c>
      <c r="L338" s="6" t="s">
        <v>42</v>
      </c>
      <c r="M338" s="5" t="s">
        <v>995</v>
      </c>
      <c r="N338" s="5" t="s">
        <v>64</v>
      </c>
      <c r="O338" s="5" t="s">
        <v>13251</v>
      </c>
      <c r="P338" s="6">
        <v>9190.0</v>
      </c>
    </row>
    <row r="339" ht="56.25" customHeight="1">
      <c r="A339" s="5" t="s">
        <v>13244</v>
      </c>
      <c r="B339" s="6" t="str">
        <f>image("https://storage.googleapis.com/acdb/bottoms/BottomsTexPantsNormalChimayo3.png")</f>
        <v/>
      </c>
      <c r="C339" s="5" t="s">
        <v>1187</v>
      </c>
      <c r="D339" s="5" t="s">
        <v>36</v>
      </c>
      <c r="E339" s="6">
        <v>1040.0</v>
      </c>
      <c r="F339" s="6">
        <v>260.0</v>
      </c>
      <c r="G339" s="5" t="s">
        <v>54</v>
      </c>
      <c r="H339" s="5" t="s">
        <v>68</v>
      </c>
      <c r="I339" s="6" t="s">
        <v>40</v>
      </c>
      <c r="J339" s="5" t="s">
        <v>8585</v>
      </c>
      <c r="K339" s="5" t="s">
        <v>8632</v>
      </c>
      <c r="L339" s="6" t="s">
        <v>42</v>
      </c>
      <c r="M339" s="5" t="s">
        <v>995</v>
      </c>
      <c r="N339" s="5" t="s">
        <v>64</v>
      </c>
      <c r="O339" s="5" t="s">
        <v>13254</v>
      </c>
      <c r="P339" s="6">
        <v>9191.0</v>
      </c>
    </row>
    <row r="340" ht="56.25" customHeight="1">
      <c r="A340" s="5" t="s">
        <v>13244</v>
      </c>
      <c r="B340" s="6" t="str">
        <f>image("https://storage.googleapis.com/acdb/bottoms/BottomsTexPantsNormalChimayo4.png")</f>
        <v/>
      </c>
      <c r="C340" s="5" t="s">
        <v>142</v>
      </c>
      <c r="D340" s="5" t="s">
        <v>36</v>
      </c>
      <c r="E340" s="6">
        <v>1040.0</v>
      </c>
      <c r="F340" s="6">
        <v>260.0</v>
      </c>
      <c r="G340" s="5" t="s">
        <v>142</v>
      </c>
      <c r="H340" s="5" t="s">
        <v>96</v>
      </c>
      <c r="I340" s="6" t="s">
        <v>40</v>
      </c>
      <c r="J340" s="5" t="s">
        <v>8585</v>
      </c>
      <c r="K340" s="5" t="s">
        <v>8632</v>
      </c>
      <c r="L340" s="6" t="s">
        <v>42</v>
      </c>
      <c r="M340" s="5" t="s">
        <v>995</v>
      </c>
      <c r="N340" s="5" t="s">
        <v>64</v>
      </c>
      <c r="O340" s="5" t="s">
        <v>13256</v>
      </c>
      <c r="P340" s="6">
        <v>9192.0</v>
      </c>
    </row>
    <row r="341" ht="56.25" customHeight="1">
      <c r="A341" s="5" t="s">
        <v>13257</v>
      </c>
      <c r="B341" s="6" t="str">
        <f>image("https://storage.googleapis.com/acdb/bottoms/BottomsTexSkirtAlineGingham0.png")</f>
        <v/>
      </c>
      <c r="C341" s="5" t="s">
        <v>52</v>
      </c>
      <c r="D341" s="5" t="s">
        <v>36</v>
      </c>
      <c r="E341" s="6">
        <v>880.0</v>
      </c>
      <c r="F341" s="6">
        <v>220.0</v>
      </c>
      <c r="G341" s="5" t="s">
        <v>52</v>
      </c>
      <c r="H341" s="5" t="s">
        <v>52</v>
      </c>
      <c r="I341" s="6" t="s">
        <v>40</v>
      </c>
      <c r="J341" s="5" t="s">
        <v>8585</v>
      </c>
      <c r="K341" s="5" t="s">
        <v>8632</v>
      </c>
      <c r="L341" s="6" t="s">
        <v>42</v>
      </c>
      <c r="M341" s="5" t="s">
        <v>995</v>
      </c>
      <c r="N341" s="5" t="s">
        <v>64</v>
      </c>
      <c r="O341" s="5" t="s">
        <v>13260</v>
      </c>
      <c r="P341" s="6">
        <v>3319.0</v>
      </c>
    </row>
    <row r="342" ht="56.25" customHeight="1">
      <c r="A342" s="5" t="s">
        <v>13257</v>
      </c>
      <c r="B342" s="6" t="str">
        <f>image("https://storage.googleapis.com/acdb/bottoms/BottomsTexSkirtAlineGingham1.png")</f>
        <v/>
      </c>
      <c r="C342" s="5" t="s">
        <v>96</v>
      </c>
      <c r="D342" s="5" t="s">
        <v>36</v>
      </c>
      <c r="E342" s="6">
        <v>880.0</v>
      </c>
      <c r="F342" s="6">
        <v>220.0</v>
      </c>
      <c r="G342" s="5" t="s">
        <v>96</v>
      </c>
      <c r="H342" s="5" t="s">
        <v>96</v>
      </c>
      <c r="I342" s="6" t="s">
        <v>40</v>
      </c>
      <c r="J342" s="5" t="s">
        <v>8585</v>
      </c>
      <c r="K342" s="5" t="s">
        <v>8632</v>
      </c>
      <c r="L342" s="6" t="s">
        <v>42</v>
      </c>
      <c r="M342" s="5" t="s">
        <v>995</v>
      </c>
      <c r="N342" s="5" t="s">
        <v>64</v>
      </c>
      <c r="O342" s="5" t="s">
        <v>13262</v>
      </c>
      <c r="P342" s="6">
        <v>12192.0</v>
      </c>
    </row>
    <row r="343" ht="56.25" customHeight="1">
      <c r="A343" s="5" t="s">
        <v>13257</v>
      </c>
      <c r="B343" s="6" t="str">
        <f>image("https://storage.googleapis.com/acdb/bottoms/BottomsTexSkirtAlineGingham2.png")</f>
        <v/>
      </c>
      <c r="C343" s="5" t="s">
        <v>68</v>
      </c>
      <c r="D343" s="5" t="s">
        <v>36</v>
      </c>
      <c r="E343" s="6">
        <v>880.0</v>
      </c>
      <c r="F343" s="6">
        <v>220.0</v>
      </c>
      <c r="G343" s="5" t="s">
        <v>68</v>
      </c>
      <c r="H343" s="5" t="s">
        <v>68</v>
      </c>
      <c r="I343" s="6" t="s">
        <v>40</v>
      </c>
      <c r="J343" s="5" t="s">
        <v>8585</v>
      </c>
      <c r="K343" s="5" t="s">
        <v>8632</v>
      </c>
      <c r="L343" s="6" t="s">
        <v>42</v>
      </c>
      <c r="M343" s="5" t="s">
        <v>995</v>
      </c>
      <c r="N343" s="5" t="s">
        <v>64</v>
      </c>
      <c r="O343" s="5" t="s">
        <v>13263</v>
      </c>
      <c r="P343" s="6">
        <v>12193.0</v>
      </c>
    </row>
    <row r="344" ht="56.25" customHeight="1">
      <c r="A344" s="5" t="s">
        <v>13257</v>
      </c>
      <c r="B344" s="6" t="str">
        <f>image("https://storage.googleapis.com/acdb/bottoms/BottomsTexSkirtAlineGingham3.png")</f>
        <v/>
      </c>
      <c r="C344" s="5" t="s">
        <v>95</v>
      </c>
      <c r="D344" s="5" t="s">
        <v>36</v>
      </c>
      <c r="E344" s="6">
        <v>880.0</v>
      </c>
      <c r="F344" s="6">
        <v>220.0</v>
      </c>
      <c r="G344" s="5" t="s">
        <v>54</v>
      </c>
      <c r="H344" s="5" t="s">
        <v>54</v>
      </c>
      <c r="I344" s="6" t="s">
        <v>40</v>
      </c>
      <c r="J344" s="5" t="s">
        <v>8585</v>
      </c>
      <c r="K344" s="5" t="s">
        <v>8632</v>
      </c>
      <c r="L344" s="6" t="s">
        <v>42</v>
      </c>
      <c r="M344" s="5" t="s">
        <v>995</v>
      </c>
      <c r="N344" s="5" t="s">
        <v>64</v>
      </c>
      <c r="O344" s="5" t="s">
        <v>13266</v>
      </c>
      <c r="P344" s="6">
        <v>12194.0</v>
      </c>
    </row>
    <row r="345" ht="56.25" customHeight="1">
      <c r="A345" s="5" t="s">
        <v>13257</v>
      </c>
      <c r="B345" s="6" t="str">
        <f>image("https://storage.googleapis.com/acdb/bottoms/BottomsTexSkirtAlineGingham4.png")</f>
        <v/>
      </c>
      <c r="C345" s="5" t="s">
        <v>142</v>
      </c>
      <c r="D345" s="5" t="s">
        <v>36</v>
      </c>
      <c r="E345" s="6">
        <v>880.0</v>
      </c>
      <c r="F345" s="6">
        <v>220.0</v>
      </c>
      <c r="G345" s="5" t="s">
        <v>142</v>
      </c>
      <c r="H345" s="5" t="s">
        <v>142</v>
      </c>
      <c r="I345" s="6" t="s">
        <v>40</v>
      </c>
      <c r="J345" s="5" t="s">
        <v>8585</v>
      </c>
      <c r="K345" s="5" t="s">
        <v>8632</v>
      </c>
      <c r="L345" s="6" t="s">
        <v>42</v>
      </c>
      <c r="M345" s="5" t="s">
        <v>995</v>
      </c>
      <c r="N345" s="5" t="s">
        <v>64</v>
      </c>
      <c r="O345" s="5" t="s">
        <v>13268</v>
      </c>
      <c r="P345" s="6">
        <v>12195.0</v>
      </c>
    </row>
    <row r="346" ht="56.25" customHeight="1">
      <c r="A346" s="5" t="s">
        <v>13257</v>
      </c>
      <c r="B346" s="6" t="str">
        <f>image("https://storage.googleapis.com/acdb/bottoms/BottomsTexSkirtAlineGingham5.png")</f>
        <v/>
      </c>
      <c r="C346" s="5" t="s">
        <v>69</v>
      </c>
      <c r="D346" s="5" t="s">
        <v>36</v>
      </c>
      <c r="E346" s="6">
        <v>880.0</v>
      </c>
      <c r="F346" s="6">
        <v>220.0</v>
      </c>
      <c r="G346" s="5" t="s">
        <v>69</v>
      </c>
      <c r="H346" s="5" t="s">
        <v>69</v>
      </c>
      <c r="I346" s="6" t="s">
        <v>40</v>
      </c>
      <c r="J346" s="5" t="s">
        <v>8585</v>
      </c>
      <c r="K346" s="5" t="s">
        <v>8632</v>
      </c>
      <c r="L346" s="6" t="s">
        <v>42</v>
      </c>
      <c r="M346" s="5" t="s">
        <v>995</v>
      </c>
      <c r="N346" s="5" t="s">
        <v>64</v>
      </c>
      <c r="O346" s="5" t="s">
        <v>13271</v>
      </c>
      <c r="P346" s="6">
        <v>12196.0</v>
      </c>
    </row>
    <row r="347" ht="56.25" customHeight="1">
      <c r="A347" s="5" t="s">
        <v>13257</v>
      </c>
      <c r="B347" s="6" t="str">
        <f>image("https://storage.googleapis.com/acdb/bottoms/BottomsTexSkirtAlineGingham6.png")</f>
        <v/>
      </c>
      <c r="C347" s="5" t="s">
        <v>106</v>
      </c>
      <c r="D347" s="5" t="s">
        <v>36</v>
      </c>
      <c r="E347" s="6">
        <v>880.0</v>
      </c>
      <c r="F347" s="6">
        <v>220.0</v>
      </c>
      <c r="G347" s="5" t="s">
        <v>106</v>
      </c>
      <c r="H347" s="5" t="s">
        <v>106</v>
      </c>
      <c r="I347" s="6" t="s">
        <v>40</v>
      </c>
      <c r="J347" s="5" t="s">
        <v>8585</v>
      </c>
      <c r="K347" s="5" t="s">
        <v>8632</v>
      </c>
      <c r="L347" s="6" t="s">
        <v>42</v>
      </c>
      <c r="M347" s="5" t="s">
        <v>995</v>
      </c>
      <c r="N347" s="5" t="s">
        <v>64</v>
      </c>
      <c r="O347" s="5" t="s">
        <v>13275</v>
      </c>
      <c r="P347" s="6">
        <v>12197.0</v>
      </c>
    </row>
    <row r="348" ht="56.25" customHeight="1">
      <c r="A348" s="5" t="s">
        <v>13257</v>
      </c>
      <c r="B348" s="6" t="str">
        <f>image("https://storage.googleapis.com/acdb/bottoms/BottomsTexSkirtAlineGingham7.png")</f>
        <v/>
      </c>
      <c r="C348" s="5" t="s">
        <v>83</v>
      </c>
      <c r="D348" s="5" t="s">
        <v>36</v>
      </c>
      <c r="E348" s="6">
        <v>880.0</v>
      </c>
      <c r="F348" s="6">
        <v>220.0</v>
      </c>
      <c r="G348" s="5" t="s">
        <v>83</v>
      </c>
      <c r="H348" s="5" t="s">
        <v>83</v>
      </c>
      <c r="I348" s="6" t="s">
        <v>40</v>
      </c>
      <c r="J348" s="5" t="s">
        <v>8585</v>
      </c>
      <c r="K348" s="5" t="s">
        <v>8632</v>
      </c>
      <c r="L348" s="6" t="s">
        <v>42</v>
      </c>
      <c r="M348" s="5" t="s">
        <v>995</v>
      </c>
      <c r="N348" s="5" t="s">
        <v>64</v>
      </c>
      <c r="O348" s="5" t="s">
        <v>13276</v>
      </c>
      <c r="P348" s="6">
        <v>12198.0</v>
      </c>
    </row>
    <row r="349" ht="56.25" customHeight="1">
      <c r="A349" s="5" t="s">
        <v>13277</v>
      </c>
      <c r="B349" s="6" t="str">
        <f>image("https://storage.googleapis.com/acdb/bottoms/BottomsTexPantsHalfGobelins0.png")</f>
        <v/>
      </c>
      <c r="C349" s="5" t="s">
        <v>38</v>
      </c>
      <c r="D349" s="5" t="s">
        <v>36</v>
      </c>
      <c r="E349" s="6">
        <v>840.0</v>
      </c>
      <c r="F349" s="6">
        <v>210.0</v>
      </c>
      <c r="G349" s="5" t="s">
        <v>38</v>
      </c>
      <c r="H349" s="5" t="s">
        <v>69</v>
      </c>
      <c r="I349" s="6" t="s">
        <v>40</v>
      </c>
      <c r="J349" s="5" t="s">
        <v>8585</v>
      </c>
      <c r="K349" s="5" t="s">
        <v>8586</v>
      </c>
      <c r="L349" s="6" t="s">
        <v>42</v>
      </c>
      <c r="M349" s="5" t="s">
        <v>1059</v>
      </c>
      <c r="N349" s="5" t="s">
        <v>64</v>
      </c>
      <c r="O349" s="5" t="s">
        <v>13279</v>
      </c>
      <c r="P349" s="6">
        <v>5734.0</v>
      </c>
    </row>
    <row r="350" ht="56.25" customHeight="1">
      <c r="A350" s="5" t="s">
        <v>13277</v>
      </c>
      <c r="B350" s="6" t="str">
        <f>image("https://storage.googleapis.com/acdb/bottoms/BottomsTexPantsHalfGobelins1.png")</f>
        <v/>
      </c>
      <c r="C350" s="5" t="s">
        <v>54</v>
      </c>
      <c r="D350" s="5" t="s">
        <v>36</v>
      </c>
      <c r="E350" s="6">
        <v>840.0</v>
      </c>
      <c r="F350" s="6">
        <v>210.0</v>
      </c>
      <c r="G350" s="5" t="s">
        <v>54</v>
      </c>
      <c r="H350" s="5" t="s">
        <v>69</v>
      </c>
      <c r="I350" s="6" t="s">
        <v>40</v>
      </c>
      <c r="J350" s="5" t="s">
        <v>8585</v>
      </c>
      <c r="K350" s="5" t="s">
        <v>8586</v>
      </c>
      <c r="L350" s="6" t="s">
        <v>42</v>
      </c>
      <c r="M350" s="5" t="s">
        <v>1059</v>
      </c>
      <c r="N350" s="5" t="s">
        <v>64</v>
      </c>
      <c r="O350" s="5" t="s">
        <v>13281</v>
      </c>
      <c r="P350" s="6">
        <v>8923.0</v>
      </c>
    </row>
    <row r="351" ht="56.25" customHeight="1">
      <c r="A351" s="5" t="s">
        <v>13282</v>
      </c>
      <c r="B351" s="6" t="str">
        <f>image("https://storage.googleapis.com/acdb/bottoms/BottomsTexSkirtBoxGrass0.png")</f>
        <v/>
      </c>
      <c r="C351" s="5" t="s">
        <v>39</v>
      </c>
      <c r="D351" s="5" t="s">
        <v>35</v>
      </c>
      <c r="E351" s="6" t="s">
        <v>37</v>
      </c>
      <c r="F351" s="6">
        <v>140.0</v>
      </c>
      <c r="G351" s="5" t="s">
        <v>38</v>
      </c>
      <c r="H351" s="5" t="s">
        <v>38</v>
      </c>
      <c r="I351" s="6" t="s">
        <v>40</v>
      </c>
      <c r="J351" s="5" t="s">
        <v>41</v>
      </c>
      <c r="K351" s="5"/>
      <c r="L351" s="6" t="s">
        <v>42</v>
      </c>
      <c r="M351" s="5" t="s">
        <v>8746</v>
      </c>
      <c r="N351" s="5" t="s">
        <v>48</v>
      </c>
      <c r="O351" s="5" t="s">
        <v>13284</v>
      </c>
      <c r="P351" s="6">
        <v>4333.0</v>
      </c>
    </row>
    <row r="352" ht="56.25" customHeight="1">
      <c r="A352" s="5" t="s">
        <v>13285</v>
      </c>
      <c r="B352" s="6" t="str">
        <f>image("https://storage.googleapis.com/acdb/bottoms/BottomsTexSkirtBoxGrass1.png")</f>
        <v/>
      </c>
      <c r="C352" s="5" t="s">
        <v>96</v>
      </c>
      <c r="D352" s="5" t="s">
        <v>35</v>
      </c>
      <c r="E352" s="6" t="s">
        <v>37</v>
      </c>
      <c r="F352" s="6">
        <v>140.0</v>
      </c>
      <c r="G352" s="5" t="s">
        <v>96</v>
      </c>
      <c r="H352" s="5" t="s">
        <v>96</v>
      </c>
      <c r="I352" s="6" t="s">
        <v>40</v>
      </c>
      <c r="J352" s="5" t="s">
        <v>41</v>
      </c>
      <c r="K352" s="5"/>
      <c r="L352" s="6" t="s">
        <v>42</v>
      </c>
      <c r="M352" s="5" t="s">
        <v>8746</v>
      </c>
      <c r="N352" s="5" t="s">
        <v>48</v>
      </c>
      <c r="O352" s="5" t="s">
        <v>13287</v>
      </c>
      <c r="P352" s="6">
        <v>8907.0</v>
      </c>
    </row>
    <row r="353" ht="56.25" customHeight="1">
      <c r="A353" s="5" t="s">
        <v>13288</v>
      </c>
      <c r="B353" s="6" t="str">
        <f>image("https://storage.googleapis.com/acdb/bottoms/BottomsTexPantsWideHickory0.png")</f>
        <v/>
      </c>
      <c r="C353" s="5" t="s">
        <v>68</v>
      </c>
      <c r="D353" s="5" t="s">
        <v>36</v>
      </c>
      <c r="E353" s="6">
        <v>1560.0</v>
      </c>
      <c r="F353" s="6">
        <v>390.0</v>
      </c>
      <c r="G353" s="5" t="s">
        <v>68</v>
      </c>
      <c r="H353" s="5" t="s">
        <v>68</v>
      </c>
      <c r="I353" s="6" t="s">
        <v>40</v>
      </c>
      <c r="J353" s="5" t="s">
        <v>8585</v>
      </c>
      <c r="K353" s="5" t="s">
        <v>8586</v>
      </c>
      <c r="L353" s="6" t="s">
        <v>42</v>
      </c>
      <c r="M353" s="5" t="s">
        <v>995</v>
      </c>
      <c r="N353" s="5" t="s">
        <v>64</v>
      </c>
      <c r="O353" s="5" t="s">
        <v>13290</v>
      </c>
      <c r="P353" s="6">
        <v>4254.0</v>
      </c>
    </row>
    <row r="354" ht="56.25" customHeight="1">
      <c r="A354" s="5" t="s">
        <v>13288</v>
      </c>
      <c r="B354" s="6" t="str">
        <f>image("https://storage.googleapis.com/acdb/bottoms/BottomsTexPantsWideHickory1.png")</f>
        <v/>
      </c>
      <c r="C354" s="5" t="s">
        <v>83</v>
      </c>
      <c r="D354" s="5" t="s">
        <v>36</v>
      </c>
      <c r="E354" s="6">
        <v>1560.0</v>
      </c>
      <c r="F354" s="6">
        <v>390.0</v>
      </c>
      <c r="G354" s="5" t="s">
        <v>83</v>
      </c>
      <c r="H354" s="5" t="s">
        <v>83</v>
      </c>
      <c r="I354" s="6" t="s">
        <v>40</v>
      </c>
      <c r="J354" s="5" t="s">
        <v>8585</v>
      </c>
      <c r="K354" s="5" t="s">
        <v>8586</v>
      </c>
      <c r="L354" s="6" t="s">
        <v>42</v>
      </c>
      <c r="M354" s="5" t="s">
        <v>995</v>
      </c>
      <c r="N354" s="5" t="s">
        <v>64</v>
      </c>
      <c r="O354" s="5" t="s">
        <v>13291</v>
      </c>
      <c r="P354" s="6">
        <v>9537.0</v>
      </c>
    </row>
    <row r="355" ht="56.25" customHeight="1">
      <c r="A355" s="5" t="s">
        <v>13294</v>
      </c>
      <c r="B355" s="6" t="str">
        <f>image("https://storage.googleapis.com/acdb/bottoms/BottomsTexPantsHotRunning0.png")</f>
        <v/>
      </c>
      <c r="C355" s="5" t="s">
        <v>69</v>
      </c>
      <c r="D355" s="5" t="s">
        <v>36</v>
      </c>
      <c r="E355" s="6">
        <v>700.0</v>
      </c>
      <c r="F355" s="6">
        <v>175.0</v>
      </c>
      <c r="G355" s="5" t="s">
        <v>69</v>
      </c>
      <c r="H355" s="5" t="s">
        <v>57</v>
      </c>
      <c r="I355" s="6" t="s">
        <v>40</v>
      </c>
      <c r="J355" s="5" t="s">
        <v>8585</v>
      </c>
      <c r="K355" s="5" t="s">
        <v>8632</v>
      </c>
      <c r="L355" s="6" t="s">
        <v>42</v>
      </c>
      <c r="M355" s="5" t="s">
        <v>8746</v>
      </c>
      <c r="N355" s="5" t="s">
        <v>64</v>
      </c>
      <c r="O355" s="5" t="s">
        <v>13295</v>
      </c>
      <c r="P355" s="6">
        <v>4195.0</v>
      </c>
    </row>
    <row r="356" ht="56.25" customHeight="1">
      <c r="A356" s="5" t="s">
        <v>13294</v>
      </c>
      <c r="B356" s="6" t="str">
        <f>image("https://storage.googleapis.com/acdb/bottoms/BottomsTexPantsHotRunning1.png")</f>
        <v/>
      </c>
      <c r="C356" s="5" t="s">
        <v>83</v>
      </c>
      <c r="D356" s="5" t="s">
        <v>36</v>
      </c>
      <c r="E356" s="6">
        <v>700.0</v>
      </c>
      <c r="F356" s="6">
        <v>175.0</v>
      </c>
      <c r="G356" s="5" t="s">
        <v>83</v>
      </c>
      <c r="H356" s="5" t="s">
        <v>57</v>
      </c>
      <c r="I356" s="6" t="s">
        <v>40</v>
      </c>
      <c r="J356" s="5" t="s">
        <v>8585</v>
      </c>
      <c r="K356" s="5" t="s">
        <v>8632</v>
      </c>
      <c r="L356" s="6" t="s">
        <v>42</v>
      </c>
      <c r="M356" s="5" t="s">
        <v>8746</v>
      </c>
      <c r="N356" s="5" t="s">
        <v>64</v>
      </c>
      <c r="O356" s="5" t="s">
        <v>13297</v>
      </c>
      <c r="P356" s="6">
        <v>8854.0</v>
      </c>
    </row>
    <row r="357" ht="56.25" customHeight="1">
      <c r="A357" s="5" t="s">
        <v>13294</v>
      </c>
      <c r="B357" s="6" t="str">
        <f>image("https://storage.googleapis.com/acdb/bottoms/BottomsTexPantsHotRunning2.png")</f>
        <v/>
      </c>
      <c r="C357" s="5" t="s">
        <v>1458</v>
      </c>
      <c r="D357" s="5" t="s">
        <v>36</v>
      </c>
      <c r="E357" s="6">
        <v>700.0</v>
      </c>
      <c r="F357" s="6">
        <v>175.0</v>
      </c>
      <c r="G357" s="5" t="s">
        <v>96</v>
      </c>
      <c r="H357" s="5" t="s">
        <v>57</v>
      </c>
      <c r="I357" s="6" t="s">
        <v>40</v>
      </c>
      <c r="J357" s="5" t="s">
        <v>8585</v>
      </c>
      <c r="K357" s="5" t="s">
        <v>8632</v>
      </c>
      <c r="L357" s="6" t="s">
        <v>42</v>
      </c>
      <c r="M357" s="5" t="s">
        <v>8746</v>
      </c>
      <c r="N357" s="5" t="s">
        <v>64</v>
      </c>
      <c r="O357" s="5" t="s">
        <v>13300</v>
      </c>
      <c r="P357" s="6">
        <v>8855.0</v>
      </c>
    </row>
    <row r="358" ht="56.25" customHeight="1">
      <c r="A358" s="5" t="s">
        <v>13294</v>
      </c>
      <c r="B358" s="6" t="str">
        <f>image("https://storage.googleapis.com/acdb/bottoms/BottomsTexPantsHotRunning3.png")</f>
        <v/>
      </c>
      <c r="C358" s="5" t="s">
        <v>52</v>
      </c>
      <c r="D358" s="5" t="s">
        <v>36</v>
      </c>
      <c r="E358" s="6">
        <v>700.0</v>
      </c>
      <c r="F358" s="6">
        <v>175.0</v>
      </c>
      <c r="G358" s="5" t="s">
        <v>52</v>
      </c>
      <c r="H358" s="5" t="s">
        <v>57</v>
      </c>
      <c r="I358" s="6" t="s">
        <v>40</v>
      </c>
      <c r="J358" s="5" t="s">
        <v>8585</v>
      </c>
      <c r="K358" s="5" t="s">
        <v>8632</v>
      </c>
      <c r="L358" s="6" t="s">
        <v>42</v>
      </c>
      <c r="M358" s="5" t="s">
        <v>8746</v>
      </c>
      <c r="N358" s="5" t="s">
        <v>64</v>
      </c>
      <c r="O358" s="5" t="s">
        <v>13303</v>
      </c>
      <c r="P358" s="6">
        <v>8856.0</v>
      </c>
    </row>
    <row r="359" ht="56.25" customHeight="1">
      <c r="A359" s="5" t="s">
        <v>13294</v>
      </c>
      <c r="B359" s="6" t="str">
        <f>image("https://storage.googleapis.com/acdb/bottoms/BottomsTexPantsHotRunning4.png")</f>
        <v/>
      </c>
      <c r="C359" s="5" t="s">
        <v>68</v>
      </c>
      <c r="D359" s="5" t="s">
        <v>36</v>
      </c>
      <c r="E359" s="6">
        <v>700.0</v>
      </c>
      <c r="F359" s="6">
        <v>175.0</v>
      </c>
      <c r="G359" s="5" t="s">
        <v>68</v>
      </c>
      <c r="H359" s="5" t="s">
        <v>57</v>
      </c>
      <c r="I359" s="6" t="s">
        <v>40</v>
      </c>
      <c r="J359" s="5" t="s">
        <v>8585</v>
      </c>
      <c r="K359" s="5" t="s">
        <v>8632</v>
      </c>
      <c r="L359" s="6" t="s">
        <v>42</v>
      </c>
      <c r="M359" s="5" t="s">
        <v>8746</v>
      </c>
      <c r="N359" s="5" t="s">
        <v>64</v>
      </c>
      <c r="O359" s="5" t="s">
        <v>13305</v>
      </c>
      <c r="P359" s="6">
        <v>8857.0</v>
      </c>
    </row>
    <row r="360" ht="56.25" customHeight="1">
      <c r="A360" s="5" t="s">
        <v>13294</v>
      </c>
      <c r="B360" s="6" t="str">
        <f>image("https://storage.googleapis.com/acdb/bottoms/BottomsTexPantsHotRunning5.png")</f>
        <v/>
      </c>
      <c r="C360" s="5" t="s">
        <v>54</v>
      </c>
      <c r="D360" s="5" t="s">
        <v>36</v>
      </c>
      <c r="E360" s="6">
        <v>700.0</v>
      </c>
      <c r="F360" s="6">
        <v>175.0</v>
      </c>
      <c r="G360" s="5" t="s">
        <v>54</v>
      </c>
      <c r="H360" s="5" t="s">
        <v>57</v>
      </c>
      <c r="I360" s="6" t="s">
        <v>40</v>
      </c>
      <c r="J360" s="5" t="s">
        <v>8585</v>
      </c>
      <c r="K360" s="5" t="s">
        <v>8632</v>
      </c>
      <c r="L360" s="6" t="s">
        <v>42</v>
      </c>
      <c r="M360" s="5" t="s">
        <v>8746</v>
      </c>
      <c r="N360" s="5" t="s">
        <v>64</v>
      </c>
      <c r="O360" s="5" t="s">
        <v>13307</v>
      </c>
      <c r="P360" s="6">
        <v>8858.0</v>
      </c>
    </row>
    <row r="361" ht="56.25" customHeight="1">
      <c r="A361" s="5" t="s">
        <v>13294</v>
      </c>
      <c r="B361" s="6" t="str">
        <f>image("https://storage.googleapis.com/acdb/bottoms/BottomsTexPantsHotRunning6.png")</f>
        <v/>
      </c>
      <c r="C361" s="5" t="s">
        <v>106</v>
      </c>
      <c r="D361" s="5" t="s">
        <v>36</v>
      </c>
      <c r="E361" s="6">
        <v>700.0</v>
      </c>
      <c r="F361" s="6">
        <v>175.0</v>
      </c>
      <c r="G361" s="5" t="s">
        <v>106</v>
      </c>
      <c r="H361" s="5" t="s">
        <v>57</v>
      </c>
      <c r="I361" s="6" t="s">
        <v>40</v>
      </c>
      <c r="J361" s="5" t="s">
        <v>8585</v>
      </c>
      <c r="K361" s="5" t="s">
        <v>8632</v>
      </c>
      <c r="L361" s="6" t="s">
        <v>42</v>
      </c>
      <c r="M361" s="5" t="s">
        <v>8746</v>
      </c>
      <c r="N361" s="5" t="s">
        <v>64</v>
      </c>
      <c r="O361" s="5" t="s">
        <v>13308</v>
      </c>
      <c r="P361" s="6">
        <v>8859.0</v>
      </c>
    </row>
    <row r="362" ht="56.25" customHeight="1">
      <c r="A362" s="5" t="s">
        <v>13294</v>
      </c>
      <c r="B362" s="6" t="str">
        <f>image("https://storage.googleapis.com/acdb/bottoms/BottomsTexPantsHotRunning7.png")</f>
        <v/>
      </c>
      <c r="C362" s="5" t="s">
        <v>142</v>
      </c>
      <c r="D362" s="5" t="s">
        <v>36</v>
      </c>
      <c r="E362" s="6">
        <v>700.0</v>
      </c>
      <c r="F362" s="6">
        <v>175.0</v>
      </c>
      <c r="G362" s="5" t="s">
        <v>142</v>
      </c>
      <c r="H362" s="5" t="s">
        <v>57</v>
      </c>
      <c r="I362" s="6" t="s">
        <v>40</v>
      </c>
      <c r="J362" s="5" t="s">
        <v>8585</v>
      </c>
      <c r="K362" s="5" t="s">
        <v>8632</v>
      </c>
      <c r="L362" s="6" t="s">
        <v>42</v>
      </c>
      <c r="M362" s="5" t="s">
        <v>8746</v>
      </c>
      <c r="N362" s="5" t="s">
        <v>64</v>
      </c>
      <c r="O362" s="5" t="s">
        <v>13310</v>
      </c>
      <c r="P362" s="6">
        <v>8860.0</v>
      </c>
    </row>
    <row r="363" ht="56.25" customHeight="1">
      <c r="A363" s="5" t="s">
        <v>13311</v>
      </c>
      <c r="B363" s="6" t="str">
        <f>image("https://storage.googleapis.com/acdb/bottoms/BottomsTexSkirtAlineKilt0.png")</f>
        <v/>
      </c>
      <c r="C363" s="5" t="s">
        <v>52</v>
      </c>
      <c r="D363" s="5" t="s">
        <v>36</v>
      </c>
      <c r="E363" s="6">
        <v>1000.0</v>
      </c>
      <c r="F363" s="6">
        <v>250.0</v>
      </c>
      <c r="G363" s="5" t="s">
        <v>52</v>
      </c>
      <c r="H363" s="5" t="s">
        <v>96</v>
      </c>
      <c r="I363" s="6" t="s">
        <v>40</v>
      </c>
      <c r="J363" s="5" t="s">
        <v>8585</v>
      </c>
      <c r="K363" s="5" t="s">
        <v>8586</v>
      </c>
      <c r="L363" s="6" t="s">
        <v>42</v>
      </c>
      <c r="M363" s="5" t="s">
        <v>995</v>
      </c>
      <c r="N363" s="5" t="s">
        <v>64</v>
      </c>
      <c r="O363" s="5" t="s">
        <v>13313</v>
      </c>
      <c r="P363" s="6">
        <v>3337.0</v>
      </c>
    </row>
    <row r="364" ht="56.25" customHeight="1">
      <c r="A364" s="5" t="s">
        <v>13311</v>
      </c>
      <c r="B364" s="6" t="str">
        <f>image("https://storage.googleapis.com/acdb/bottoms/BottomsTexSkirtAlineKilt1.png")</f>
        <v/>
      </c>
      <c r="C364" s="5" t="s">
        <v>54</v>
      </c>
      <c r="D364" s="5" t="s">
        <v>36</v>
      </c>
      <c r="E364" s="6">
        <v>1000.0</v>
      </c>
      <c r="F364" s="6">
        <v>250.0</v>
      </c>
      <c r="G364" s="5" t="s">
        <v>54</v>
      </c>
      <c r="H364" s="5" t="s">
        <v>95</v>
      </c>
      <c r="I364" s="6" t="s">
        <v>40</v>
      </c>
      <c r="J364" s="5" t="s">
        <v>8585</v>
      </c>
      <c r="K364" s="5" t="s">
        <v>8586</v>
      </c>
      <c r="L364" s="6" t="s">
        <v>42</v>
      </c>
      <c r="M364" s="5" t="s">
        <v>995</v>
      </c>
      <c r="N364" s="5" t="s">
        <v>64</v>
      </c>
      <c r="O364" s="5" t="s">
        <v>13315</v>
      </c>
      <c r="P364" s="6">
        <v>9239.0</v>
      </c>
    </row>
    <row r="365" ht="56.25" customHeight="1">
      <c r="A365" s="5" t="s">
        <v>13311</v>
      </c>
      <c r="B365" s="6" t="str">
        <f>image("https://storage.googleapis.com/acdb/bottoms/BottomsTexSkirtAlineKilt2.png")</f>
        <v/>
      </c>
      <c r="C365" s="5" t="s">
        <v>1187</v>
      </c>
      <c r="D365" s="5" t="s">
        <v>36</v>
      </c>
      <c r="E365" s="6">
        <v>1000.0</v>
      </c>
      <c r="F365" s="6">
        <v>250.0</v>
      </c>
      <c r="G365" s="5" t="s">
        <v>68</v>
      </c>
      <c r="H365" s="5" t="s">
        <v>54</v>
      </c>
      <c r="I365" s="6" t="s">
        <v>40</v>
      </c>
      <c r="J365" s="5" t="s">
        <v>8585</v>
      </c>
      <c r="K365" s="5" t="s">
        <v>8586</v>
      </c>
      <c r="L365" s="6" t="s">
        <v>42</v>
      </c>
      <c r="M365" s="5" t="s">
        <v>995</v>
      </c>
      <c r="N365" s="5" t="s">
        <v>64</v>
      </c>
      <c r="O365" s="5" t="s">
        <v>13318</v>
      </c>
      <c r="P365" s="6">
        <v>9240.0</v>
      </c>
    </row>
    <row r="366" ht="56.25" customHeight="1">
      <c r="A366" s="5" t="s">
        <v>13311</v>
      </c>
      <c r="B366" s="6" t="str">
        <f>image("https://storage.googleapis.com/acdb/bottoms/BottomsTexSkirtAlineKilt3.png")</f>
        <v/>
      </c>
      <c r="C366" s="5" t="s">
        <v>96</v>
      </c>
      <c r="D366" s="5" t="s">
        <v>36</v>
      </c>
      <c r="E366" s="6">
        <v>1000.0</v>
      </c>
      <c r="F366" s="6">
        <v>250.0</v>
      </c>
      <c r="G366" s="5" t="s">
        <v>96</v>
      </c>
      <c r="H366" s="5" t="s">
        <v>68</v>
      </c>
      <c r="I366" s="6" t="s">
        <v>40</v>
      </c>
      <c r="J366" s="5" t="s">
        <v>8585</v>
      </c>
      <c r="K366" s="5" t="s">
        <v>8586</v>
      </c>
      <c r="L366" s="6" t="s">
        <v>42</v>
      </c>
      <c r="M366" s="5" t="s">
        <v>995</v>
      </c>
      <c r="N366" s="5" t="s">
        <v>64</v>
      </c>
      <c r="O366" s="5" t="s">
        <v>13321</v>
      </c>
      <c r="P366" s="6">
        <v>9241.0</v>
      </c>
    </row>
    <row r="367" ht="56.25" customHeight="1">
      <c r="A367" s="5" t="s">
        <v>13322</v>
      </c>
      <c r="B367" s="6" t="str">
        <f>image("https://storage.googleapis.com/acdb/bottoms/BottomsTexPantsNormalKnit0.png")</f>
        <v/>
      </c>
      <c r="C367" s="5" t="s">
        <v>95</v>
      </c>
      <c r="D367" s="5" t="s">
        <v>36</v>
      </c>
      <c r="E367" s="6">
        <v>910.0</v>
      </c>
      <c r="F367" s="6">
        <v>227.0</v>
      </c>
      <c r="G367" s="5" t="s">
        <v>95</v>
      </c>
      <c r="H367" s="5" t="s">
        <v>95</v>
      </c>
      <c r="I367" s="6" t="s">
        <v>40</v>
      </c>
      <c r="J367" s="5" t="s">
        <v>8585</v>
      </c>
      <c r="K367" s="5" t="s">
        <v>8632</v>
      </c>
      <c r="L367" s="6" t="s">
        <v>42</v>
      </c>
      <c r="M367" s="5" t="s">
        <v>995</v>
      </c>
      <c r="N367" s="5" t="s">
        <v>64</v>
      </c>
      <c r="O367" s="5" t="s">
        <v>13323</v>
      </c>
      <c r="P367" s="6">
        <v>5707.0</v>
      </c>
    </row>
    <row r="368" ht="56.25" customHeight="1">
      <c r="A368" s="5" t="s">
        <v>13322</v>
      </c>
      <c r="B368" s="6" t="str">
        <f>image("https://storage.googleapis.com/acdb/bottoms/BottomsTexPantsNormalKnit1.png")</f>
        <v/>
      </c>
      <c r="C368" s="5" t="s">
        <v>39</v>
      </c>
      <c r="D368" s="5" t="s">
        <v>36</v>
      </c>
      <c r="E368" s="6">
        <v>910.0</v>
      </c>
      <c r="F368" s="6">
        <v>227.0</v>
      </c>
      <c r="G368" s="5" t="s">
        <v>39</v>
      </c>
      <c r="H368" s="5" t="s">
        <v>39</v>
      </c>
      <c r="I368" s="6" t="s">
        <v>40</v>
      </c>
      <c r="J368" s="5" t="s">
        <v>8585</v>
      </c>
      <c r="K368" s="5" t="s">
        <v>8632</v>
      </c>
      <c r="L368" s="6" t="s">
        <v>42</v>
      </c>
      <c r="M368" s="5" t="s">
        <v>995</v>
      </c>
      <c r="N368" s="5" t="s">
        <v>64</v>
      </c>
      <c r="O368" s="5" t="s">
        <v>13326</v>
      </c>
      <c r="P368" s="6">
        <v>9258.0</v>
      </c>
    </row>
    <row r="369" ht="56.25" customHeight="1">
      <c r="A369" s="5" t="s">
        <v>13322</v>
      </c>
      <c r="B369" s="6" t="str">
        <f>image("https://storage.googleapis.com/acdb/bottoms/BottomsTexPantsNormalKnit2.png")</f>
        <v/>
      </c>
      <c r="C369" s="5" t="s">
        <v>83</v>
      </c>
      <c r="D369" s="5" t="s">
        <v>36</v>
      </c>
      <c r="E369" s="6">
        <v>910.0</v>
      </c>
      <c r="F369" s="6">
        <v>227.0</v>
      </c>
      <c r="G369" s="5" t="s">
        <v>83</v>
      </c>
      <c r="H369" s="5" t="s">
        <v>83</v>
      </c>
      <c r="I369" s="6" t="s">
        <v>40</v>
      </c>
      <c r="J369" s="5" t="s">
        <v>8585</v>
      </c>
      <c r="K369" s="5" t="s">
        <v>8632</v>
      </c>
      <c r="L369" s="6" t="s">
        <v>42</v>
      </c>
      <c r="M369" s="5" t="s">
        <v>995</v>
      </c>
      <c r="N369" s="5" t="s">
        <v>64</v>
      </c>
      <c r="O369" s="5" t="s">
        <v>13328</v>
      </c>
      <c r="P369" s="6">
        <v>9259.0</v>
      </c>
    </row>
    <row r="370" ht="56.25" customHeight="1">
      <c r="A370" s="5" t="s">
        <v>13322</v>
      </c>
      <c r="B370" s="6" t="str">
        <f>image("https://storage.googleapis.com/acdb/bottoms/BottomsTexPantsNormalKnit3.png")</f>
        <v/>
      </c>
      <c r="C370" s="5" t="s">
        <v>52</v>
      </c>
      <c r="D370" s="5" t="s">
        <v>36</v>
      </c>
      <c r="E370" s="6">
        <v>910.0</v>
      </c>
      <c r="F370" s="6">
        <v>227.0</v>
      </c>
      <c r="G370" s="5" t="s">
        <v>52</v>
      </c>
      <c r="H370" s="5" t="s">
        <v>52</v>
      </c>
      <c r="I370" s="6" t="s">
        <v>40</v>
      </c>
      <c r="J370" s="5" t="s">
        <v>8585</v>
      </c>
      <c r="K370" s="5" t="s">
        <v>8632</v>
      </c>
      <c r="L370" s="6" t="s">
        <v>42</v>
      </c>
      <c r="M370" s="5" t="s">
        <v>995</v>
      </c>
      <c r="N370" s="5" t="s">
        <v>64</v>
      </c>
      <c r="O370" s="5" t="s">
        <v>13332</v>
      </c>
      <c r="P370" s="6">
        <v>9260.0</v>
      </c>
    </row>
    <row r="371" ht="56.25" customHeight="1">
      <c r="A371" s="5" t="s">
        <v>13333</v>
      </c>
      <c r="B371" s="6" t="str">
        <f>image("https://storage.googleapis.com/acdb/bottoms/BottomsTexSkirtBoxAran0.png")</f>
        <v/>
      </c>
      <c r="C371" s="5" t="s">
        <v>39</v>
      </c>
      <c r="D371" s="5" t="s">
        <v>36</v>
      </c>
      <c r="E371" s="6">
        <v>910.0</v>
      </c>
      <c r="F371" s="6">
        <v>227.0</v>
      </c>
      <c r="G371" s="5" t="s">
        <v>38</v>
      </c>
      <c r="H371" s="5" t="s">
        <v>38</v>
      </c>
      <c r="I371" s="6" t="s">
        <v>40</v>
      </c>
      <c r="J371" s="5" t="s">
        <v>8585</v>
      </c>
      <c r="K371" s="5" t="s">
        <v>8632</v>
      </c>
      <c r="L371" s="6" t="s">
        <v>42</v>
      </c>
      <c r="M371" s="5" t="s">
        <v>995</v>
      </c>
      <c r="N371" s="5" t="s">
        <v>64</v>
      </c>
      <c r="O371" s="5" t="s">
        <v>13335</v>
      </c>
      <c r="P371" s="6">
        <v>5414.0</v>
      </c>
    </row>
    <row r="372" ht="56.25" customHeight="1">
      <c r="A372" s="5" t="s">
        <v>13333</v>
      </c>
      <c r="B372" s="6" t="str">
        <f>image("https://storage.googleapis.com/acdb/bottoms/BottomsTexSkirtBoxAran1.png")</f>
        <v/>
      </c>
      <c r="C372" s="5" t="s">
        <v>83</v>
      </c>
      <c r="D372" s="5" t="s">
        <v>36</v>
      </c>
      <c r="E372" s="6">
        <v>910.0</v>
      </c>
      <c r="F372" s="6">
        <v>227.0</v>
      </c>
      <c r="G372" s="5" t="s">
        <v>83</v>
      </c>
      <c r="H372" s="5" t="s">
        <v>83</v>
      </c>
      <c r="I372" s="6" t="s">
        <v>40</v>
      </c>
      <c r="J372" s="5" t="s">
        <v>8585</v>
      </c>
      <c r="K372" s="5" t="s">
        <v>8632</v>
      </c>
      <c r="L372" s="6" t="s">
        <v>42</v>
      </c>
      <c r="M372" s="5" t="s">
        <v>995</v>
      </c>
      <c r="N372" s="5" t="s">
        <v>64</v>
      </c>
      <c r="O372" s="5" t="s">
        <v>13337</v>
      </c>
      <c r="P372" s="6">
        <v>11344.0</v>
      </c>
    </row>
    <row r="373" ht="56.25" customHeight="1">
      <c r="A373" s="5" t="s">
        <v>13333</v>
      </c>
      <c r="B373" s="6" t="str">
        <f>image("https://storage.googleapis.com/acdb/bottoms/BottomsTexSkirtBoxAran2.png")</f>
        <v/>
      </c>
      <c r="C373" s="5" t="s">
        <v>69</v>
      </c>
      <c r="D373" s="5" t="s">
        <v>36</v>
      </c>
      <c r="E373" s="6">
        <v>910.0</v>
      </c>
      <c r="F373" s="6">
        <v>227.0</v>
      </c>
      <c r="G373" s="5" t="s">
        <v>69</v>
      </c>
      <c r="H373" s="5" t="s">
        <v>69</v>
      </c>
      <c r="I373" s="6" t="s">
        <v>40</v>
      </c>
      <c r="J373" s="5" t="s">
        <v>8585</v>
      </c>
      <c r="K373" s="5" t="s">
        <v>8632</v>
      </c>
      <c r="L373" s="6" t="s">
        <v>42</v>
      </c>
      <c r="M373" s="5" t="s">
        <v>995</v>
      </c>
      <c r="N373" s="5" t="s">
        <v>64</v>
      </c>
      <c r="O373" s="5" t="s">
        <v>13339</v>
      </c>
      <c r="P373" s="6">
        <v>11345.0</v>
      </c>
    </row>
    <row r="374" ht="56.25" customHeight="1">
      <c r="A374" s="5" t="s">
        <v>13333</v>
      </c>
      <c r="B374" s="6" t="str">
        <f>image("https://storage.googleapis.com/acdb/bottoms/BottomsTexSkirtBoxAran3.png")</f>
        <v/>
      </c>
      <c r="C374" s="5" t="s">
        <v>8709</v>
      </c>
      <c r="D374" s="5" t="s">
        <v>36</v>
      </c>
      <c r="E374" s="6">
        <v>910.0</v>
      </c>
      <c r="F374" s="6">
        <v>227.0</v>
      </c>
      <c r="G374" s="5" t="s">
        <v>114</v>
      </c>
      <c r="H374" s="5" t="s">
        <v>114</v>
      </c>
      <c r="I374" s="6" t="s">
        <v>40</v>
      </c>
      <c r="J374" s="5" t="s">
        <v>8585</v>
      </c>
      <c r="K374" s="5" t="s">
        <v>8632</v>
      </c>
      <c r="L374" s="6" t="s">
        <v>42</v>
      </c>
      <c r="M374" s="5" t="s">
        <v>995</v>
      </c>
      <c r="N374" s="5" t="s">
        <v>64</v>
      </c>
      <c r="O374" s="5" t="s">
        <v>13341</v>
      </c>
      <c r="P374" s="6">
        <v>11346.0</v>
      </c>
    </row>
    <row r="375" ht="56.25" customHeight="1">
      <c r="A375" s="5" t="s">
        <v>13342</v>
      </c>
      <c r="B375" s="6" t="str">
        <f>image("https://storage.googleapis.com/acdb/bottoms/BottomsTexPantsWideKungfu0.png")</f>
        <v/>
      </c>
      <c r="C375" s="5" t="s">
        <v>1187</v>
      </c>
      <c r="D375" s="5" t="s">
        <v>36</v>
      </c>
      <c r="E375" s="6">
        <v>1680.0</v>
      </c>
      <c r="F375" s="6">
        <v>420.0</v>
      </c>
      <c r="G375" s="5" t="s">
        <v>68</v>
      </c>
      <c r="H375" s="5" t="s">
        <v>68</v>
      </c>
      <c r="I375" s="6" t="s">
        <v>40</v>
      </c>
      <c r="J375" s="5" t="s">
        <v>8585</v>
      </c>
      <c r="K375" s="5" t="s">
        <v>8586</v>
      </c>
      <c r="L375" s="6" t="s">
        <v>42</v>
      </c>
      <c r="M375" s="5" t="s">
        <v>995</v>
      </c>
      <c r="N375" s="5" t="s">
        <v>64</v>
      </c>
      <c r="O375" s="5" t="s">
        <v>13344</v>
      </c>
      <c r="P375" s="6">
        <v>4331.0</v>
      </c>
    </row>
    <row r="376" ht="56.25" customHeight="1">
      <c r="A376" s="5" t="s">
        <v>13342</v>
      </c>
      <c r="B376" s="6" t="str">
        <f>image("https://storage.googleapis.com/acdb/bottoms/BottomsTexPantsWideKungfu1.png")</f>
        <v/>
      </c>
      <c r="C376" s="5" t="s">
        <v>57</v>
      </c>
      <c r="D376" s="5" t="s">
        <v>36</v>
      </c>
      <c r="E376" s="6">
        <v>1680.0</v>
      </c>
      <c r="F376" s="6">
        <v>420.0</v>
      </c>
      <c r="G376" s="5" t="s">
        <v>57</v>
      </c>
      <c r="H376" s="5" t="s">
        <v>95</v>
      </c>
      <c r="I376" s="6" t="s">
        <v>40</v>
      </c>
      <c r="J376" s="5" t="s">
        <v>8585</v>
      </c>
      <c r="K376" s="5" t="s">
        <v>8586</v>
      </c>
      <c r="L376" s="6" t="s">
        <v>42</v>
      </c>
      <c r="M376" s="5" t="s">
        <v>995</v>
      </c>
      <c r="N376" s="5" t="s">
        <v>64</v>
      </c>
      <c r="O376" s="5" t="s">
        <v>13346</v>
      </c>
      <c r="P376" s="6">
        <v>11391.0</v>
      </c>
    </row>
    <row r="377" ht="56.25" customHeight="1">
      <c r="A377" s="5" t="s">
        <v>13342</v>
      </c>
      <c r="B377" s="6" t="str">
        <f>image("https://storage.googleapis.com/acdb/bottoms/BottomsTexPantsWideKungfu2.png")</f>
        <v/>
      </c>
      <c r="C377" s="5" t="s">
        <v>83</v>
      </c>
      <c r="D377" s="5" t="s">
        <v>36</v>
      </c>
      <c r="E377" s="6">
        <v>1680.0</v>
      </c>
      <c r="F377" s="6">
        <v>420.0</v>
      </c>
      <c r="G377" s="5" t="s">
        <v>83</v>
      </c>
      <c r="H377" s="5" t="s">
        <v>57</v>
      </c>
      <c r="I377" s="6" t="s">
        <v>40</v>
      </c>
      <c r="J377" s="5" t="s">
        <v>8585</v>
      </c>
      <c r="K377" s="5" t="s">
        <v>8586</v>
      </c>
      <c r="L377" s="6" t="s">
        <v>42</v>
      </c>
      <c r="M377" s="5" t="s">
        <v>995</v>
      </c>
      <c r="N377" s="5" t="s">
        <v>64</v>
      </c>
      <c r="O377" s="5" t="s">
        <v>13347</v>
      </c>
      <c r="P377" s="6">
        <v>11392.0</v>
      </c>
    </row>
    <row r="378" ht="56.25" customHeight="1">
      <c r="A378" s="5" t="s">
        <v>13342</v>
      </c>
      <c r="B378" s="6" t="str">
        <f>image("https://storage.googleapis.com/acdb/bottoms/BottomsTexPantsWideKungfu3.png")</f>
        <v/>
      </c>
      <c r="C378" s="5" t="s">
        <v>114</v>
      </c>
      <c r="D378" s="5" t="s">
        <v>36</v>
      </c>
      <c r="E378" s="6">
        <v>1680.0</v>
      </c>
      <c r="F378" s="6">
        <v>420.0</v>
      </c>
      <c r="G378" s="5" t="s">
        <v>114</v>
      </c>
      <c r="H378" s="5" t="s">
        <v>57</v>
      </c>
      <c r="I378" s="6" t="s">
        <v>40</v>
      </c>
      <c r="J378" s="5" t="s">
        <v>8585</v>
      </c>
      <c r="K378" s="5" t="s">
        <v>8586</v>
      </c>
      <c r="L378" s="6" t="s">
        <v>42</v>
      </c>
      <c r="M378" s="5" t="s">
        <v>995</v>
      </c>
      <c r="N378" s="5" t="s">
        <v>64</v>
      </c>
      <c r="O378" s="5" t="s">
        <v>13350</v>
      </c>
      <c r="P378" s="6">
        <v>11393.0</v>
      </c>
    </row>
    <row r="379" ht="56.25" customHeight="1">
      <c r="A379" s="5" t="s">
        <v>13342</v>
      </c>
      <c r="B379" s="6" t="str">
        <f>image("https://storage.googleapis.com/acdb/bottoms/BottomsTexPantsWideKungfu4.png")</f>
        <v/>
      </c>
      <c r="C379" s="5" t="s">
        <v>96</v>
      </c>
      <c r="D379" s="5" t="s">
        <v>36</v>
      </c>
      <c r="E379" s="6">
        <v>1680.0</v>
      </c>
      <c r="F379" s="6">
        <v>420.0</v>
      </c>
      <c r="G379" s="5" t="s">
        <v>96</v>
      </c>
      <c r="H379" s="5" t="s">
        <v>57</v>
      </c>
      <c r="I379" s="6" t="s">
        <v>40</v>
      </c>
      <c r="J379" s="5" t="s">
        <v>8585</v>
      </c>
      <c r="K379" s="5" t="s">
        <v>8586</v>
      </c>
      <c r="L379" s="6" t="s">
        <v>42</v>
      </c>
      <c r="M379" s="5" t="s">
        <v>995</v>
      </c>
      <c r="N379" s="5" t="s">
        <v>64</v>
      </c>
      <c r="O379" s="5" t="s">
        <v>13352</v>
      </c>
      <c r="P379" s="6">
        <v>11394.0</v>
      </c>
    </row>
    <row r="380" ht="56.25" customHeight="1">
      <c r="A380" s="5" t="s">
        <v>13353</v>
      </c>
      <c r="B380" s="6" t="str">
        <f>image("https://storage.googleapis.com/acdb/bottoms/BottomsTexPantsHalfKate0.png")</f>
        <v/>
      </c>
      <c r="C380" s="5" t="s">
        <v>10055</v>
      </c>
      <c r="D380" s="5" t="s">
        <v>36</v>
      </c>
      <c r="E380" s="6">
        <v>2540.0</v>
      </c>
      <c r="F380" s="6">
        <v>635.0</v>
      </c>
      <c r="G380" s="5" t="s">
        <v>106</v>
      </c>
      <c r="H380" s="5" t="s">
        <v>57</v>
      </c>
      <c r="I380" s="6" t="s">
        <v>40</v>
      </c>
      <c r="J380" s="5" t="s">
        <v>10058</v>
      </c>
      <c r="K380" s="5"/>
      <c r="L380" s="6" t="s">
        <v>42</v>
      </c>
      <c r="M380" s="5" t="s">
        <v>1952</v>
      </c>
      <c r="N380" s="5" t="s">
        <v>64</v>
      </c>
      <c r="O380" s="5" t="s">
        <v>13357</v>
      </c>
      <c r="P380" s="6">
        <v>9878.0</v>
      </c>
    </row>
    <row r="381" ht="56.25" customHeight="1">
      <c r="A381" s="5" t="s">
        <v>13353</v>
      </c>
      <c r="B381" s="6" t="str">
        <f>image("https://storage.googleapis.com/acdb/bottoms/BottomsTexPantsHalfKate1.png")</f>
        <v/>
      </c>
      <c r="C381" s="5" t="s">
        <v>10061</v>
      </c>
      <c r="D381" s="5" t="s">
        <v>36</v>
      </c>
      <c r="E381" s="6">
        <v>2540.0</v>
      </c>
      <c r="F381" s="6">
        <v>635.0</v>
      </c>
      <c r="G381" s="5" t="s">
        <v>54</v>
      </c>
      <c r="H381" s="5" t="s">
        <v>57</v>
      </c>
      <c r="I381" s="6" t="s">
        <v>40</v>
      </c>
      <c r="J381" s="5" t="s">
        <v>10058</v>
      </c>
      <c r="K381" s="5"/>
      <c r="L381" s="6" t="s">
        <v>42</v>
      </c>
      <c r="M381" s="5" t="s">
        <v>1952</v>
      </c>
      <c r="N381" s="5" t="s">
        <v>64</v>
      </c>
      <c r="O381" s="5" t="s">
        <v>13358</v>
      </c>
      <c r="P381" s="6">
        <v>11736.0</v>
      </c>
    </row>
    <row r="382" ht="56.25" customHeight="1">
      <c r="A382" s="5" t="s">
        <v>13353</v>
      </c>
      <c r="B382" s="6" t="str">
        <f>image("https://storage.googleapis.com/acdb/bottoms/BottomsTexPantsHalfKate2.png")</f>
        <v/>
      </c>
      <c r="C382" s="5" t="s">
        <v>10065</v>
      </c>
      <c r="D382" s="5" t="s">
        <v>36</v>
      </c>
      <c r="E382" s="6">
        <v>2540.0</v>
      </c>
      <c r="F382" s="6">
        <v>635.0</v>
      </c>
      <c r="G382" s="5" t="s">
        <v>52</v>
      </c>
      <c r="H382" s="5" t="s">
        <v>57</v>
      </c>
      <c r="I382" s="6" t="s">
        <v>40</v>
      </c>
      <c r="J382" s="5" t="s">
        <v>10058</v>
      </c>
      <c r="K382" s="5"/>
      <c r="L382" s="6" t="s">
        <v>42</v>
      </c>
      <c r="M382" s="5" t="s">
        <v>1952</v>
      </c>
      <c r="N382" s="5" t="s">
        <v>64</v>
      </c>
      <c r="O382" s="5" t="s">
        <v>13362</v>
      </c>
      <c r="P382" s="6">
        <v>11737.0</v>
      </c>
    </row>
    <row r="383" ht="56.25" customHeight="1">
      <c r="A383" s="5" t="s">
        <v>13353</v>
      </c>
      <c r="B383" s="6" t="str">
        <f>image("https://storage.googleapis.com/acdb/bottoms/BottomsTexPantsHalfKate3.png")</f>
        <v/>
      </c>
      <c r="C383" s="5" t="s">
        <v>10069</v>
      </c>
      <c r="D383" s="5" t="s">
        <v>36</v>
      </c>
      <c r="E383" s="6">
        <v>2540.0</v>
      </c>
      <c r="F383" s="6">
        <v>635.0</v>
      </c>
      <c r="G383" s="5" t="s">
        <v>68</v>
      </c>
      <c r="H383" s="5" t="s">
        <v>57</v>
      </c>
      <c r="I383" s="6" t="s">
        <v>40</v>
      </c>
      <c r="J383" s="5" t="s">
        <v>10058</v>
      </c>
      <c r="K383" s="5"/>
      <c r="L383" s="6" t="s">
        <v>42</v>
      </c>
      <c r="M383" s="5" t="s">
        <v>1952</v>
      </c>
      <c r="N383" s="5" t="s">
        <v>64</v>
      </c>
      <c r="O383" s="5" t="s">
        <v>13365</v>
      </c>
      <c r="P383" s="6">
        <v>11738.0</v>
      </c>
    </row>
    <row r="384" ht="56.25" customHeight="1">
      <c r="A384" s="5" t="s">
        <v>13353</v>
      </c>
      <c r="B384" s="6" t="str">
        <f>image("https://storage.googleapis.com/acdb/bottoms/BottomsTexPantsHalfKate4.png")</f>
        <v/>
      </c>
      <c r="C384" s="5" t="s">
        <v>4665</v>
      </c>
      <c r="D384" s="5" t="s">
        <v>36</v>
      </c>
      <c r="E384" s="6">
        <v>2540.0</v>
      </c>
      <c r="F384" s="6">
        <v>635.0</v>
      </c>
      <c r="G384" s="5" t="s">
        <v>142</v>
      </c>
      <c r="H384" s="5" t="s">
        <v>57</v>
      </c>
      <c r="I384" s="6" t="s">
        <v>40</v>
      </c>
      <c r="J384" s="5" t="s">
        <v>10058</v>
      </c>
      <c r="K384" s="5"/>
      <c r="L384" s="6" t="s">
        <v>42</v>
      </c>
      <c r="M384" s="5" t="s">
        <v>1952</v>
      </c>
      <c r="N384" s="5" t="s">
        <v>64</v>
      </c>
      <c r="O384" s="5" t="s">
        <v>13368</v>
      </c>
      <c r="P384" s="6">
        <v>11739.0</v>
      </c>
    </row>
    <row r="385" ht="56.25" customHeight="1">
      <c r="A385" s="5" t="s">
        <v>13353</v>
      </c>
      <c r="B385" s="6" t="str">
        <f>image("https://storage.googleapis.com/acdb/bottoms/BottomsTexPantsHalfKate5.png")</f>
        <v/>
      </c>
      <c r="C385" s="5" t="s">
        <v>10075</v>
      </c>
      <c r="D385" s="5" t="s">
        <v>36</v>
      </c>
      <c r="E385" s="6">
        <v>2540.0</v>
      </c>
      <c r="F385" s="6">
        <v>635.0</v>
      </c>
      <c r="G385" s="5" t="s">
        <v>69</v>
      </c>
      <c r="H385" s="5" t="s">
        <v>57</v>
      </c>
      <c r="I385" s="6" t="s">
        <v>40</v>
      </c>
      <c r="J385" s="5" t="s">
        <v>10058</v>
      </c>
      <c r="K385" s="5"/>
      <c r="L385" s="6" t="s">
        <v>42</v>
      </c>
      <c r="M385" s="5" t="s">
        <v>1952</v>
      </c>
      <c r="N385" s="5" t="s">
        <v>64</v>
      </c>
      <c r="O385" s="5" t="s">
        <v>13370</v>
      </c>
      <c r="P385" s="6">
        <v>11740.0</v>
      </c>
    </row>
    <row r="386" ht="56.25" customHeight="1">
      <c r="A386" s="5" t="s">
        <v>13371</v>
      </c>
      <c r="B386" s="6" t="str">
        <f>image("https://storage.googleapis.com/acdb/bottoms/BottomsTexSkirtLongKate0.png")</f>
        <v/>
      </c>
      <c r="C386" s="5" t="s">
        <v>10055</v>
      </c>
      <c r="D386" s="5" t="s">
        <v>36</v>
      </c>
      <c r="E386" s="6">
        <v>3100.0</v>
      </c>
      <c r="F386" s="6">
        <v>775.0</v>
      </c>
      <c r="G386" s="5" t="s">
        <v>106</v>
      </c>
      <c r="H386" s="5" t="s">
        <v>106</v>
      </c>
      <c r="I386" s="6" t="s">
        <v>40</v>
      </c>
      <c r="J386" s="5" t="s">
        <v>10058</v>
      </c>
      <c r="K386" s="5"/>
      <c r="L386" s="6" t="s">
        <v>42</v>
      </c>
      <c r="M386" s="5" t="s">
        <v>1059</v>
      </c>
      <c r="N386" s="5" t="s">
        <v>64</v>
      </c>
      <c r="O386" s="5" t="s">
        <v>13373</v>
      </c>
      <c r="P386" s="6">
        <v>9879.0</v>
      </c>
    </row>
    <row r="387" ht="56.25" customHeight="1">
      <c r="A387" s="5" t="s">
        <v>13371</v>
      </c>
      <c r="B387" s="6" t="str">
        <f>image("https://storage.googleapis.com/acdb/bottoms/BottomsTexSkirtLongKate1.png")</f>
        <v/>
      </c>
      <c r="C387" s="5" t="s">
        <v>10061</v>
      </c>
      <c r="D387" s="5" t="s">
        <v>36</v>
      </c>
      <c r="E387" s="6">
        <v>3100.0</v>
      </c>
      <c r="F387" s="6">
        <v>775.0</v>
      </c>
      <c r="G387" s="5" t="s">
        <v>54</v>
      </c>
      <c r="H387" s="5" t="s">
        <v>54</v>
      </c>
      <c r="I387" s="6" t="s">
        <v>40</v>
      </c>
      <c r="J387" s="5" t="s">
        <v>10058</v>
      </c>
      <c r="K387" s="5"/>
      <c r="L387" s="6" t="s">
        <v>42</v>
      </c>
      <c r="M387" s="5" t="s">
        <v>1059</v>
      </c>
      <c r="N387" s="5" t="s">
        <v>64</v>
      </c>
      <c r="O387" s="5" t="s">
        <v>13376</v>
      </c>
      <c r="P387" s="6">
        <v>11741.0</v>
      </c>
    </row>
    <row r="388" ht="56.25" customHeight="1">
      <c r="A388" s="5" t="s">
        <v>13371</v>
      </c>
      <c r="B388" s="6" t="str">
        <f>image("https://storage.googleapis.com/acdb/bottoms/BottomsTexSkirtLongKate2.png")</f>
        <v/>
      </c>
      <c r="C388" s="5" t="s">
        <v>10065</v>
      </c>
      <c r="D388" s="5" t="s">
        <v>36</v>
      </c>
      <c r="E388" s="6">
        <v>3100.0</v>
      </c>
      <c r="F388" s="6">
        <v>775.0</v>
      </c>
      <c r="G388" s="5" t="s">
        <v>52</v>
      </c>
      <c r="H388" s="5" t="s">
        <v>52</v>
      </c>
      <c r="I388" s="6" t="s">
        <v>40</v>
      </c>
      <c r="J388" s="5" t="s">
        <v>10058</v>
      </c>
      <c r="K388" s="5"/>
      <c r="L388" s="6" t="s">
        <v>42</v>
      </c>
      <c r="M388" s="5" t="s">
        <v>1059</v>
      </c>
      <c r="N388" s="5" t="s">
        <v>64</v>
      </c>
      <c r="O388" s="5" t="s">
        <v>13378</v>
      </c>
      <c r="P388" s="6">
        <v>11742.0</v>
      </c>
    </row>
    <row r="389" ht="56.25" customHeight="1">
      <c r="A389" s="5" t="s">
        <v>13371</v>
      </c>
      <c r="B389" s="6" t="str">
        <f>image("https://storage.googleapis.com/acdb/bottoms/BottomsTexSkirtLongKate3.png")</f>
        <v/>
      </c>
      <c r="C389" s="5" t="s">
        <v>10069</v>
      </c>
      <c r="D389" s="5" t="s">
        <v>36</v>
      </c>
      <c r="E389" s="6">
        <v>3100.0</v>
      </c>
      <c r="F389" s="6">
        <v>775.0</v>
      </c>
      <c r="G389" s="5" t="s">
        <v>68</v>
      </c>
      <c r="H389" s="5" t="s">
        <v>68</v>
      </c>
      <c r="I389" s="6" t="s">
        <v>40</v>
      </c>
      <c r="J389" s="5" t="s">
        <v>10058</v>
      </c>
      <c r="K389" s="5"/>
      <c r="L389" s="6" t="s">
        <v>42</v>
      </c>
      <c r="M389" s="5" t="s">
        <v>1059</v>
      </c>
      <c r="N389" s="5" t="s">
        <v>64</v>
      </c>
      <c r="O389" s="5" t="s">
        <v>13379</v>
      </c>
      <c r="P389" s="6">
        <v>11743.0</v>
      </c>
    </row>
    <row r="390" ht="56.25" customHeight="1">
      <c r="A390" s="5" t="s">
        <v>13371</v>
      </c>
      <c r="B390" s="6" t="str">
        <f>image("https://storage.googleapis.com/acdb/bottoms/BottomsTexSkirtLongKate4.png")</f>
        <v/>
      </c>
      <c r="C390" s="5" t="s">
        <v>4665</v>
      </c>
      <c r="D390" s="5" t="s">
        <v>36</v>
      </c>
      <c r="E390" s="6">
        <v>3100.0</v>
      </c>
      <c r="F390" s="6">
        <v>775.0</v>
      </c>
      <c r="G390" s="5" t="s">
        <v>114</v>
      </c>
      <c r="H390" s="5" t="s">
        <v>114</v>
      </c>
      <c r="I390" s="6" t="s">
        <v>40</v>
      </c>
      <c r="J390" s="5" t="s">
        <v>10058</v>
      </c>
      <c r="K390" s="5"/>
      <c r="L390" s="6" t="s">
        <v>42</v>
      </c>
      <c r="M390" s="5" t="s">
        <v>1059</v>
      </c>
      <c r="N390" s="5" t="s">
        <v>64</v>
      </c>
      <c r="O390" s="5" t="s">
        <v>13382</v>
      </c>
      <c r="P390" s="6">
        <v>11744.0</v>
      </c>
    </row>
    <row r="391" ht="56.25" customHeight="1">
      <c r="A391" s="5" t="s">
        <v>13371</v>
      </c>
      <c r="B391" s="6" t="str">
        <f>image("https://storage.googleapis.com/acdb/bottoms/BottomsTexSkirtLongKate5.png")</f>
        <v/>
      </c>
      <c r="C391" s="5" t="s">
        <v>10075</v>
      </c>
      <c r="D391" s="5" t="s">
        <v>36</v>
      </c>
      <c r="E391" s="6">
        <v>3100.0</v>
      </c>
      <c r="F391" s="6">
        <v>775.0</v>
      </c>
      <c r="G391" s="5" t="s">
        <v>69</v>
      </c>
      <c r="H391" s="5" t="s">
        <v>69</v>
      </c>
      <c r="I391" s="6" t="s">
        <v>40</v>
      </c>
      <c r="J391" s="5" t="s">
        <v>10058</v>
      </c>
      <c r="K391" s="5"/>
      <c r="L391" s="6" t="s">
        <v>42</v>
      </c>
      <c r="M391" s="5" t="s">
        <v>1059</v>
      </c>
      <c r="N391" s="5" t="s">
        <v>64</v>
      </c>
      <c r="O391" s="5" t="s">
        <v>13385</v>
      </c>
      <c r="P391" s="6">
        <v>11745.0</v>
      </c>
    </row>
    <row r="392" ht="56.25" customHeight="1">
      <c r="A392" s="5" t="s">
        <v>13386</v>
      </c>
      <c r="B392" s="6" t="str">
        <f>image("https://storage.googleapis.com/acdb/bottoms/BottomsTexPantsHotLace0.png")</f>
        <v/>
      </c>
      <c r="C392" s="5" t="s">
        <v>57</v>
      </c>
      <c r="D392" s="5" t="s">
        <v>36</v>
      </c>
      <c r="E392" s="6">
        <v>840.0</v>
      </c>
      <c r="F392" s="6">
        <v>210.0</v>
      </c>
      <c r="G392" s="5" t="s">
        <v>57</v>
      </c>
      <c r="H392" s="5" t="s">
        <v>57</v>
      </c>
      <c r="I392" s="6" t="s">
        <v>40</v>
      </c>
      <c r="J392" s="5" t="s">
        <v>8585</v>
      </c>
      <c r="K392" s="5" t="s">
        <v>8632</v>
      </c>
      <c r="L392" s="6" t="s">
        <v>42</v>
      </c>
      <c r="M392" s="5" t="s">
        <v>1959</v>
      </c>
      <c r="N392" s="5" t="s">
        <v>64</v>
      </c>
      <c r="O392" s="5" t="s">
        <v>13388</v>
      </c>
      <c r="P392" s="6">
        <v>4517.0</v>
      </c>
    </row>
    <row r="393" ht="56.25" customHeight="1">
      <c r="A393" s="5" t="s">
        <v>13386</v>
      </c>
      <c r="B393" s="6" t="str">
        <f>image("https://storage.googleapis.com/acdb/bottoms/BottomsTexPantsHotLace1.png")</f>
        <v/>
      </c>
      <c r="C393" s="5" t="s">
        <v>54</v>
      </c>
      <c r="D393" s="5" t="s">
        <v>36</v>
      </c>
      <c r="E393" s="6">
        <v>840.0</v>
      </c>
      <c r="F393" s="6">
        <v>210.0</v>
      </c>
      <c r="G393" s="5" t="s">
        <v>54</v>
      </c>
      <c r="H393" s="5" t="s">
        <v>54</v>
      </c>
      <c r="I393" s="6" t="s">
        <v>40</v>
      </c>
      <c r="J393" s="5" t="s">
        <v>8585</v>
      </c>
      <c r="K393" s="5" t="s">
        <v>8632</v>
      </c>
      <c r="L393" s="6" t="s">
        <v>42</v>
      </c>
      <c r="M393" s="5" t="s">
        <v>1959</v>
      </c>
      <c r="N393" s="5" t="s">
        <v>64</v>
      </c>
      <c r="O393" s="5" t="s">
        <v>13391</v>
      </c>
      <c r="P393" s="6">
        <v>8911.0</v>
      </c>
    </row>
    <row r="394" ht="56.25" customHeight="1">
      <c r="A394" s="5" t="s">
        <v>13386</v>
      </c>
      <c r="B394" s="6" t="str">
        <f>image("https://storage.googleapis.com/acdb/bottoms/BottomsTexPantsHotLace2.png")</f>
        <v/>
      </c>
      <c r="C394" s="5" t="s">
        <v>96</v>
      </c>
      <c r="D394" s="5" t="s">
        <v>36</v>
      </c>
      <c r="E394" s="6">
        <v>840.0</v>
      </c>
      <c r="F394" s="6">
        <v>210.0</v>
      </c>
      <c r="G394" s="5" t="s">
        <v>96</v>
      </c>
      <c r="H394" s="5" t="s">
        <v>96</v>
      </c>
      <c r="I394" s="6" t="s">
        <v>40</v>
      </c>
      <c r="J394" s="5" t="s">
        <v>8585</v>
      </c>
      <c r="K394" s="5" t="s">
        <v>8632</v>
      </c>
      <c r="L394" s="6" t="s">
        <v>42</v>
      </c>
      <c r="M394" s="5" t="s">
        <v>1959</v>
      </c>
      <c r="N394" s="5" t="s">
        <v>64</v>
      </c>
      <c r="O394" s="5" t="s">
        <v>13394</v>
      </c>
      <c r="P394" s="6">
        <v>8912.0</v>
      </c>
    </row>
    <row r="395" ht="56.25" customHeight="1">
      <c r="A395" s="5" t="s">
        <v>13386</v>
      </c>
      <c r="B395" s="6" t="str">
        <f>image("https://storage.googleapis.com/acdb/bottoms/BottomsTexPantsHotLace3.png")</f>
        <v/>
      </c>
      <c r="C395" s="5" t="s">
        <v>69</v>
      </c>
      <c r="D395" s="5" t="s">
        <v>36</v>
      </c>
      <c r="E395" s="6">
        <v>840.0</v>
      </c>
      <c r="F395" s="6">
        <v>210.0</v>
      </c>
      <c r="G395" s="5" t="s">
        <v>69</v>
      </c>
      <c r="H395" s="5" t="s">
        <v>69</v>
      </c>
      <c r="I395" s="6" t="s">
        <v>40</v>
      </c>
      <c r="J395" s="5" t="s">
        <v>8585</v>
      </c>
      <c r="K395" s="5" t="s">
        <v>8632</v>
      </c>
      <c r="L395" s="6" t="s">
        <v>42</v>
      </c>
      <c r="M395" s="5" t="s">
        <v>1959</v>
      </c>
      <c r="N395" s="5" t="s">
        <v>64</v>
      </c>
      <c r="O395" s="5" t="s">
        <v>13397</v>
      </c>
      <c r="P395" s="6">
        <v>8913.0</v>
      </c>
    </row>
    <row r="396" ht="56.25" customHeight="1">
      <c r="A396" s="5" t="s">
        <v>13386</v>
      </c>
      <c r="B396" s="6" t="str">
        <f>image("https://storage.googleapis.com/acdb/bottoms/BottomsTexPantsHotLace4.png")</f>
        <v/>
      </c>
      <c r="C396" s="5" t="s">
        <v>68</v>
      </c>
      <c r="D396" s="5" t="s">
        <v>36</v>
      </c>
      <c r="E396" s="6">
        <v>840.0</v>
      </c>
      <c r="F396" s="6">
        <v>210.0</v>
      </c>
      <c r="G396" s="5" t="s">
        <v>83</v>
      </c>
      <c r="H396" s="5" t="s">
        <v>83</v>
      </c>
      <c r="I396" s="6" t="s">
        <v>40</v>
      </c>
      <c r="J396" s="5" t="s">
        <v>8585</v>
      </c>
      <c r="K396" s="5" t="s">
        <v>8632</v>
      </c>
      <c r="L396" s="6" t="s">
        <v>42</v>
      </c>
      <c r="M396" s="5" t="s">
        <v>1959</v>
      </c>
      <c r="N396" s="5" t="s">
        <v>64</v>
      </c>
      <c r="O396" s="5" t="s">
        <v>13399</v>
      </c>
      <c r="P396" s="6">
        <v>8914.0</v>
      </c>
    </row>
    <row r="397" ht="56.25" customHeight="1">
      <c r="A397" s="5" t="s">
        <v>13400</v>
      </c>
      <c r="B397" s="6" t="str">
        <f>image("https://storage.googleapis.com/acdb/bottoms/BottomsTexSkirtAlineLace0.png")</f>
        <v/>
      </c>
      <c r="C397" s="5" t="s">
        <v>57</v>
      </c>
      <c r="D397" s="5" t="s">
        <v>36</v>
      </c>
      <c r="E397" s="6">
        <v>920.0</v>
      </c>
      <c r="F397" s="6">
        <v>230.0</v>
      </c>
      <c r="G397" s="5" t="s">
        <v>57</v>
      </c>
      <c r="H397" s="5" t="s">
        <v>57</v>
      </c>
      <c r="I397" s="6" t="s">
        <v>40</v>
      </c>
      <c r="J397" s="5" t="s">
        <v>8585</v>
      </c>
      <c r="K397" s="5" t="s">
        <v>8632</v>
      </c>
      <c r="L397" s="6" t="s">
        <v>42</v>
      </c>
      <c r="M397" s="5" t="s">
        <v>1959</v>
      </c>
      <c r="N397" s="5" t="s">
        <v>64</v>
      </c>
      <c r="O397" s="5" t="s">
        <v>13402</v>
      </c>
      <c r="P397" s="6">
        <v>3384.0</v>
      </c>
    </row>
    <row r="398" ht="56.25" customHeight="1">
      <c r="A398" s="5" t="s">
        <v>13400</v>
      </c>
      <c r="B398" s="6" t="str">
        <f>image("https://storage.googleapis.com/acdb/bottoms/BottomsTexSkirtAlineLace1.png")</f>
        <v/>
      </c>
      <c r="C398" s="5" t="s">
        <v>69</v>
      </c>
      <c r="D398" s="5" t="s">
        <v>36</v>
      </c>
      <c r="E398" s="6">
        <v>920.0</v>
      </c>
      <c r="F398" s="6">
        <v>230.0</v>
      </c>
      <c r="G398" s="5" t="s">
        <v>69</v>
      </c>
      <c r="H398" s="5" t="s">
        <v>69</v>
      </c>
      <c r="I398" s="6" t="s">
        <v>40</v>
      </c>
      <c r="J398" s="5" t="s">
        <v>8585</v>
      </c>
      <c r="K398" s="5" t="s">
        <v>8632</v>
      </c>
      <c r="L398" s="6" t="s">
        <v>42</v>
      </c>
      <c r="M398" s="5" t="s">
        <v>1959</v>
      </c>
      <c r="N398" s="5" t="s">
        <v>64</v>
      </c>
      <c r="O398" s="5" t="s">
        <v>13406</v>
      </c>
      <c r="P398" s="6">
        <v>8904.0</v>
      </c>
    </row>
    <row r="399" ht="56.25" customHeight="1">
      <c r="A399" s="5" t="s">
        <v>13400</v>
      </c>
      <c r="B399" s="6" t="str">
        <f>image("https://storage.googleapis.com/acdb/bottoms/BottomsTexSkirtAlineLace2.png")</f>
        <v/>
      </c>
      <c r="C399" s="5" t="s">
        <v>96</v>
      </c>
      <c r="D399" s="5" t="s">
        <v>36</v>
      </c>
      <c r="E399" s="6">
        <v>920.0</v>
      </c>
      <c r="F399" s="6">
        <v>230.0</v>
      </c>
      <c r="G399" s="5" t="s">
        <v>96</v>
      </c>
      <c r="H399" s="5" t="s">
        <v>96</v>
      </c>
      <c r="I399" s="6" t="s">
        <v>40</v>
      </c>
      <c r="J399" s="5" t="s">
        <v>8585</v>
      </c>
      <c r="K399" s="5" t="s">
        <v>8632</v>
      </c>
      <c r="L399" s="6" t="s">
        <v>42</v>
      </c>
      <c r="M399" s="5" t="s">
        <v>1959</v>
      </c>
      <c r="N399" s="5" t="s">
        <v>64</v>
      </c>
      <c r="O399" s="5" t="s">
        <v>13408</v>
      </c>
      <c r="P399" s="6">
        <v>8905.0</v>
      </c>
    </row>
    <row r="400" ht="56.25" customHeight="1">
      <c r="A400" s="5" t="s">
        <v>13400</v>
      </c>
      <c r="B400" s="6" t="str">
        <f>image("https://storage.googleapis.com/acdb/bottoms/BottomsTexSkirtAlineLace3.png")</f>
        <v/>
      </c>
      <c r="C400" s="5" t="s">
        <v>38</v>
      </c>
      <c r="D400" s="5" t="s">
        <v>36</v>
      </c>
      <c r="E400" s="6">
        <v>920.0</v>
      </c>
      <c r="F400" s="6">
        <v>230.0</v>
      </c>
      <c r="G400" s="5" t="s">
        <v>38</v>
      </c>
      <c r="H400" s="5" t="s">
        <v>38</v>
      </c>
      <c r="I400" s="6" t="s">
        <v>40</v>
      </c>
      <c r="J400" s="5" t="s">
        <v>8585</v>
      </c>
      <c r="K400" s="5" t="s">
        <v>8632</v>
      </c>
      <c r="L400" s="6" t="s">
        <v>42</v>
      </c>
      <c r="M400" s="5" t="s">
        <v>1959</v>
      </c>
      <c r="N400" s="5" t="s">
        <v>64</v>
      </c>
      <c r="O400" s="5" t="s">
        <v>13412</v>
      </c>
      <c r="P400" s="6">
        <v>8906.0</v>
      </c>
    </row>
    <row r="401" ht="56.25" customHeight="1">
      <c r="A401" s="5" t="s">
        <v>13413</v>
      </c>
      <c r="B401" s="6" t="str">
        <f>image("https://storage.googleapis.com/acdb/bottoms/BottomsTexSkirtLongLemon0.png")</f>
        <v/>
      </c>
      <c r="C401" s="5" t="s">
        <v>83</v>
      </c>
      <c r="D401" s="5" t="s">
        <v>36</v>
      </c>
      <c r="E401" s="6">
        <v>880.0</v>
      </c>
      <c r="F401" s="6">
        <v>220.0</v>
      </c>
      <c r="G401" s="5" t="s">
        <v>83</v>
      </c>
      <c r="H401" s="5" t="s">
        <v>114</v>
      </c>
      <c r="I401" s="6" t="s">
        <v>40</v>
      </c>
      <c r="J401" s="5" t="s">
        <v>8585</v>
      </c>
      <c r="K401" s="5" t="s">
        <v>8632</v>
      </c>
      <c r="L401" s="6" t="s">
        <v>42</v>
      </c>
      <c r="M401" s="5" t="s">
        <v>1059</v>
      </c>
      <c r="N401" s="5" t="s">
        <v>64</v>
      </c>
      <c r="O401" s="5" t="s">
        <v>13415</v>
      </c>
      <c r="P401" s="6">
        <v>5874.0</v>
      </c>
    </row>
    <row r="402" ht="56.25" customHeight="1">
      <c r="A402" s="5" t="s">
        <v>13413</v>
      </c>
      <c r="B402" s="6" t="str">
        <f>image("https://storage.googleapis.com/acdb/bottoms/BottomsTexSkirtLongLemon1.png")</f>
        <v/>
      </c>
      <c r="C402" s="5" t="s">
        <v>57</v>
      </c>
      <c r="D402" s="5" t="s">
        <v>36</v>
      </c>
      <c r="E402" s="6">
        <v>880.0</v>
      </c>
      <c r="F402" s="6">
        <v>220.0</v>
      </c>
      <c r="G402" s="5" t="s">
        <v>57</v>
      </c>
      <c r="H402" s="5" t="s">
        <v>114</v>
      </c>
      <c r="I402" s="6" t="s">
        <v>40</v>
      </c>
      <c r="J402" s="5" t="s">
        <v>8585</v>
      </c>
      <c r="K402" s="5" t="s">
        <v>8632</v>
      </c>
      <c r="L402" s="6" t="s">
        <v>42</v>
      </c>
      <c r="M402" s="5" t="s">
        <v>1059</v>
      </c>
      <c r="N402" s="5" t="s">
        <v>64</v>
      </c>
      <c r="O402" s="5" t="s">
        <v>13418</v>
      </c>
      <c r="P402" s="6">
        <v>8753.0</v>
      </c>
    </row>
    <row r="403" ht="56.25" customHeight="1">
      <c r="A403" s="5" t="s">
        <v>13413</v>
      </c>
      <c r="B403" s="6" t="str">
        <f>image("https://storage.googleapis.com/acdb/bottoms/BottomsTexSkirtLongLemon2.png")</f>
        <v/>
      </c>
      <c r="C403" s="5" t="s">
        <v>54</v>
      </c>
      <c r="D403" s="5" t="s">
        <v>36</v>
      </c>
      <c r="E403" s="6">
        <v>880.0</v>
      </c>
      <c r="F403" s="6">
        <v>220.0</v>
      </c>
      <c r="G403" s="5" t="s">
        <v>54</v>
      </c>
      <c r="H403" s="5" t="s">
        <v>114</v>
      </c>
      <c r="I403" s="6" t="s">
        <v>40</v>
      </c>
      <c r="J403" s="5" t="s">
        <v>8585</v>
      </c>
      <c r="K403" s="5" t="s">
        <v>8632</v>
      </c>
      <c r="L403" s="6" t="s">
        <v>42</v>
      </c>
      <c r="M403" s="5" t="s">
        <v>1059</v>
      </c>
      <c r="N403" s="5" t="s">
        <v>64</v>
      </c>
      <c r="O403" s="5" t="s">
        <v>13420</v>
      </c>
      <c r="P403" s="6">
        <v>8754.0</v>
      </c>
    </row>
    <row r="404" ht="56.25" customHeight="1">
      <c r="A404" s="5" t="s">
        <v>13421</v>
      </c>
      <c r="B404" s="6" t="str">
        <f>image("https://storage.googleapis.com/acdb/bottoms/BottomsTexSkirtBoxLeopard0.png")</f>
        <v/>
      </c>
      <c r="C404" s="5" t="s">
        <v>39</v>
      </c>
      <c r="D404" s="5" t="s">
        <v>36</v>
      </c>
      <c r="E404" s="6">
        <v>1820.0</v>
      </c>
      <c r="F404" s="6">
        <v>455.0</v>
      </c>
      <c r="G404" s="5" t="s">
        <v>39</v>
      </c>
      <c r="H404" s="5" t="s">
        <v>39</v>
      </c>
      <c r="I404" s="6" t="s">
        <v>40</v>
      </c>
      <c r="J404" s="5" t="s">
        <v>8585</v>
      </c>
      <c r="K404" s="5" t="s">
        <v>8586</v>
      </c>
      <c r="L404" s="6" t="s">
        <v>42</v>
      </c>
      <c r="M404" s="5" t="s">
        <v>1952</v>
      </c>
      <c r="N404" s="5" t="s">
        <v>64</v>
      </c>
      <c r="O404" s="5" t="s">
        <v>13422</v>
      </c>
      <c r="P404" s="6">
        <v>4373.0</v>
      </c>
    </row>
    <row r="405" ht="56.25" customHeight="1">
      <c r="A405" s="5" t="s">
        <v>13421</v>
      </c>
      <c r="B405" s="6" t="str">
        <f>image("https://storage.googleapis.com/acdb/bottoms/BottomsTexSkirtBoxLeopard1.png")</f>
        <v/>
      </c>
      <c r="C405" s="5" t="s">
        <v>95</v>
      </c>
      <c r="D405" s="5" t="s">
        <v>36</v>
      </c>
      <c r="E405" s="6">
        <v>1820.0</v>
      </c>
      <c r="F405" s="6">
        <v>455.0</v>
      </c>
      <c r="G405" s="5" t="s">
        <v>95</v>
      </c>
      <c r="H405" s="5" t="s">
        <v>54</v>
      </c>
      <c r="I405" s="6" t="s">
        <v>40</v>
      </c>
      <c r="J405" s="5" t="s">
        <v>8585</v>
      </c>
      <c r="K405" s="5" t="s">
        <v>8586</v>
      </c>
      <c r="L405" s="6" t="s">
        <v>42</v>
      </c>
      <c r="M405" s="5" t="s">
        <v>1952</v>
      </c>
      <c r="N405" s="5" t="s">
        <v>64</v>
      </c>
      <c r="O405" s="5" t="s">
        <v>13425</v>
      </c>
      <c r="P405" s="6">
        <v>10197.0</v>
      </c>
    </row>
    <row r="406" ht="56.25" customHeight="1">
      <c r="A406" s="5" t="s">
        <v>13421</v>
      </c>
      <c r="B406" s="6" t="str">
        <f>image("https://storage.googleapis.com/acdb/bottoms/BottomsTexSkirtBoxLeopard2.png")</f>
        <v/>
      </c>
      <c r="C406" s="5" t="s">
        <v>68</v>
      </c>
      <c r="D406" s="5" t="s">
        <v>36</v>
      </c>
      <c r="E406" s="6">
        <v>1820.0</v>
      </c>
      <c r="F406" s="6">
        <v>455.0</v>
      </c>
      <c r="G406" s="5" t="s">
        <v>68</v>
      </c>
      <c r="H406" s="5" t="s">
        <v>68</v>
      </c>
      <c r="I406" s="6" t="s">
        <v>40</v>
      </c>
      <c r="J406" s="5" t="s">
        <v>8585</v>
      </c>
      <c r="K406" s="5" t="s">
        <v>8586</v>
      </c>
      <c r="L406" s="6" t="s">
        <v>42</v>
      </c>
      <c r="M406" s="5" t="s">
        <v>1952</v>
      </c>
      <c r="N406" s="5" t="s">
        <v>64</v>
      </c>
      <c r="O406" s="5" t="s">
        <v>13427</v>
      </c>
      <c r="P406" s="6">
        <v>10198.0</v>
      </c>
    </row>
    <row r="407" ht="56.25" customHeight="1">
      <c r="A407" s="5" t="s">
        <v>13421</v>
      </c>
      <c r="B407" s="6" t="str">
        <f>image("https://storage.googleapis.com/acdb/bottoms/BottomsTexSkirtBoxLeopard3.png")</f>
        <v/>
      </c>
      <c r="C407" s="5" t="s">
        <v>1458</v>
      </c>
      <c r="D407" s="5" t="s">
        <v>36</v>
      </c>
      <c r="E407" s="6">
        <v>1820.0</v>
      </c>
      <c r="F407" s="6">
        <v>455.0</v>
      </c>
      <c r="G407" s="5" t="s">
        <v>96</v>
      </c>
      <c r="H407" s="5" t="s">
        <v>96</v>
      </c>
      <c r="I407" s="6" t="s">
        <v>40</v>
      </c>
      <c r="J407" s="5" t="s">
        <v>8585</v>
      </c>
      <c r="K407" s="5" t="s">
        <v>8586</v>
      </c>
      <c r="L407" s="6" t="s">
        <v>42</v>
      </c>
      <c r="M407" s="5" t="s">
        <v>1952</v>
      </c>
      <c r="N407" s="5" t="s">
        <v>64</v>
      </c>
      <c r="O407" s="5" t="s">
        <v>13429</v>
      </c>
      <c r="P407" s="6">
        <v>10199.0</v>
      </c>
    </row>
    <row r="408" ht="56.25" customHeight="1">
      <c r="A408" s="5" t="s">
        <v>13421</v>
      </c>
      <c r="B408" s="6" t="str">
        <f>image("https://storage.googleapis.com/acdb/bottoms/BottomsTexSkirtBoxLeopard4.png")</f>
        <v/>
      </c>
      <c r="C408" s="5" t="s">
        <v>106</v>
      </c>
      <c r="D408" s="5" t="s">
        <v>36</v>
      </c>
      <c r="E408" s="6">
        <v>1820.0</v>
      </c>
      <c r="F408" s="6">
        <v>455.0</v>
      </c>
      <c r="G408" s="5" t="s">
        <v>106</v>
      </c>
      <c r="H408" s="5" t="s">
        <v>106</v>
      </c>
      <c r="I408" s="6" t="s">
        <v>40</v>
      </c>
      <c r="J408" s="5" t="s">
        <v>8585</v>
      </c>
      <c r="K408" s="5" t="s">
        <v>8586</v>
      </c>
      <c r="L408" s="6" t="s">
        <v>42</v>
      </c>
      <c r="M408" s="5" t="s">
        <v>1952</v>
      </c>
      <c r="N408" s="5" t="s">
        <v>64</v>
      </c>
      <c r="O408" s="5" t="s">
        <v>13433</v>
      </c>
      <c r="P408" s="6">
        <v>10200.0</v>
      </c>
    </row>
    <row r="409" ht="56.25" customHeight="1">
      <c r="A409" s="5" t="s">
        <v>13421</v>
      </c>
      <c r="B409" s="6" t="str">
        <f>image("https://storage.googleapis.com/acdb/bottoms/BottomsTexSkirtBoxLeopard5.png")</f>
        <v/>
      </c>
      <c r="C409" s="5" t="s">
        <v>69</v>
      </c>
      <c r="D409" s="5" t="s">
        <v>36</v>
      </c>
      <c r="E409" s="6">
        <v>1820.0</v>
      </c>
      <c r="F409" s="6">
        <v>455.0</v>
      </c>
      <c r="G409" s="5" t="s">
        <v>69</v>
      </c>
      <c r="H409" s="5" t="s">
        <v>69</v>
      </c>
      <c r="I409" s="6" t="s">
        <v>40</v>
      </c>
      <c r="J409" s="5" t="s">
        <v>8585</v>
      </c>
      <c r="K409" s="5" t="s">
        <v>8586</v>
      </c>
      <c r="L409" s="6" t="s">
        <v>42</v>
      </c>
      <c r="M409" s="5" t="s">
        <v>1952</v>
      </c>
      <c r="N409" s="5" t="s">
        <v>64</v>
      </c>
      <c r="O409" s="5" t="s">
        <v>13436</v>
      </c>
      <c r="P409" s="6">
        <v>10201.0</v>
      </c>
    </row>
    <row r="410" ht="56.25" customHeight="1">
      <c r="A410" s="5" t="s">
        <v>13437</v>
      </c>
      <c r="B410" s="6" t="str">
        <f>image("https://storage.googleapis.com/acdb/bottoms/BottomsTexSkirtLongChino0.png")</f>
        <v/>
      </c>
      <c r="C410" s="5" t="s">
        <v>38</v>
      </c>
      <c r="D410" s="5" t="s">
        <v>36</v>
      </c>
      <c r="E410" s="6">
        <v>1560.0</v>
      </c>
      <c r="F410" s="6">
        <v>390.0</v>
      </c>
      <c r="G410" s="5" t="s">
        <v>38</v>
      </c>
      <c r="H410" s="5" t="s">
        <v>38</v>
      </c>
      <c r="I410" s="6" t="s">
        <v>40</v>
      </c>
      <c r="J410" s="5" t="s">
        <v>8585</v>
      </c>
      <c r="K410" s="5" t="s">
        <v>8632</v>
      </c>
      <c r="L410" s="6" t="s">
        <v>42</v>
      </c>
      <c r="M410" s="5" t="s">
        <v>995</v>
      </c>
      <c r="N410" s="5" t="s">
        <v>64</v>
      </c>
      <c r="O410" s="5" t="s">
        <v>13439</v>
      </c>
      <c r="P410" s="6">
        <v>4257.0</v>
      </c>
    </row>
    <row r="411" ht="56.25" customHeight="1">
      <c r="A411" s="5" t="s">
        <v>13437</v>
      </c>
      <c r="B411" s="6" t="str">
        <f>image("https://storage.googleapis.com/acdb/bottoms/BottomsTexSkirtLongChino1.png")</f>
        <v/>
      </c>
      <c r="C411" s="5" t="s">
        <v>39</v>
      </c>
      <c r="D411" s="5" t="s">
        <v>36</v>
      </c>
      <c r="E411" s="6">
        <v>1560.0</v>
      </c>
      <c r="F411" s="6">
        <v>390.0</v>
      </c>
      <c r="G411" s="5" t="s">
        <v>39</v>
      </c>
      <c r="H411" s="5" t="s">
        <v>39</v>
      </c>
      <c r="I411" s="6" t="s">
        <v>40</v>
      </c>
      <c r="J411" s="5" t="s">
        <v>8585</v>
      </c>
      <c r="K411" s="5" t="s">
        <v>8632</v>
      </c>
      <c r="L411" s="6" t="s">
        <v>42</v>
      </c>
      <c r="M411" s="5" t="s">
        <v>995</v>
      </c>
      <c r="N411" s="5" t="s">
        <v>64</v>
      </c>
      <c r="O411" s="5" t="s">
        <v>13442</v>
      </c>
      <c r="P411" s="6">
        <v>11141.0</v>
      </c>
    </row>
    <row r="412" ht="56.25" customHeight="1">
      <c r="A412" s="5" t="s">
        <v>13437</v>
      </c>
      <c r="B412" s="6" t="str">
        <f>image("https://storage.googleapis.com/acdb/bottoms/BottomsTexSkirtLongChino2.png")</f>
        <v/>
      </c>
      <c r="C412" s="5" t="s">
        <v>1187</v>
      </c>
      <c r="D412" s="5" t="s">
        <v>36</v>
      </c>
      <c r="E412" s="6">
        <v>1560.0</v>
      </c>
      <c r="F412" s="6">
        <v>390.0</v>
      </c>
      <c r="G412" s="5" t="s">
        <v>68</v>
      </c>
      <c r="H412" s="5" t="s">
        <v>68</v>
      </c>
      <c r="I412" s="6" t="s">
        <v>40</v>
      </c>
      <c r="J412" s="5" t="s">
        <v>8585</v>
      </c>
      <c r="K412" s="5" t="s">
        <v>8632</v>
      </c>
      <c r="L412" s="6" t="s">
        <v>42</v>
      </c>
      <c r="M412" s="5" t="s">
        <v>995</v>
      </c>
      <c r="N412" s="5" t="s">
        <v>64</v>
      </c>
      <c r="O412" s="5" t="s">
        <v>13444</v>
      </c>
      <c r="P412" s="6">
        <v>11142.0</v>
      </c>
    </row>
    <row r="413" ht="56.25" customHeight="1">
      <c r="A413" s="5" t="s">
        <v>13437</v>
      </c>
      <c r="B413" s="6" t="str">
        <f>image("https://storage.googleapis.com/acdb/bottoms/BottomsTexSkirtLongChino3.png")</f>
        <v/>
      </c>
      <c r="C413" s="5" t="s">
        <v>2222</v>
      </c>
      <c r="D413" s="5" t="s">
        <v>36</v>
      </c>
      <c r="E413" s="6">
        <v>1560.0</v>
      </c>
      <c r="F413" s="6">
        <v>390.0</v>
      </c>
      <c r="G413" s="5" t="s">
        <v>96</v>
      </c>
      <c r="H413" s="5" t="s">
        <v>96</v>
      </c>
      <c r="I413" s="6" t="s">
        <v>40</v>
      </c>
      <c r="J413" s="5" t="s">
        <v>8585</v>
      </c>
      <c r="K413" s="5" t="s">
        <v>8632</v>
      </c>
      <c r="L413" s="6" t="s">
        <v>42</v>
      </c>
      <c r="M413" s="5" t="s">
        <v>995</v>
      </c>
      <c r="N413" s="5" t="s">
        <v>64</v>
      </c>
      <c r="O413" s="5" t="s">
        <v>13445</v>
      </c>
      <c r="P413" s="6">
        <v>11143.0</v>
      </c>
    </row>
    <row r="414" ht="56.25" customHeight="1">
      <c r="A414" s="5" t="s">
        <v>13437</v>
      </c>
      <c r="B414" s="6" t="str">
        <f>image("https://storage.googleapis.com/acdb/bottoms/BottomsTexSkirtLongChino4.png")</f>
        <v/>
      </c>
      <c r="C414" s="5" t="s">
        <v>95</v>
      </c>
      <c r="D414" s="5" t="s">
        <v>36</v>
      </c>
      <c r="E414" s="6">
        <v>1560.0</v>
      </c>
      <c r="F414" s="6">
        <v>390.0</v>
      </c>
      <c r="G414" s="5" t="s">
        <v>95</v>
      </c>
      <c r="H414" s="5" t="s">
        <v>95</v>
      </c>
      <c r="I414" s="6" t="s">
        <v>40</v>
      </c>
      <c r="J414" s="5" t="s">
        <v>8585</v>
      </c>
      <c r="K414" s="5" t="s">
        <v>8632</v>
      </c>
      <c r="L414" s="6" t="s">
        <v>42</v>
      </c>
      <c r="M414" s="5" t="s">
        <v>995</v>
      </c>
      <c r="N414" s="5" t="s">
        <v>64</v>
      </c>
      <c r="O414" s="5" t="s">
        <v>13448</v>
      </c>
      <c r="P414" s="6">
        <v>11144.0</v>
      </c>
    </row>
    <row r="415" ht="56.25" customHeight="1">
      <c r="A415" s="5" t="s">
        <v>13449</v>
      </c>
      <c r="B415" s="6" t="str">
        <f>image("https://storage.googleapis.com/acdb/bottoms/BottomsTexSkirtLongDenim0.png")</f>
        <v/>
      </c>
      <c r="C415" s="5" t="s">
        <v>68</v>
      </c>
      <c r="D415" s="5" t="s">
        <v>36</v>
      </c>
      <c r="E415" s="6">
        <v>1560.0</v>
      </c>
      <c r="F415" s="6">
        <v>390.0</v>
      </c>
      <c r="G415" s="5" t="s">
        <v>68</v>
      </c>
      <c r="H415" s="5" t="s">
        <v>39</v>
      </c>
      <c r="I415" s="6" t="s">
        <v>40</v>
      </c>
      <c r="J415" s="5" t="s">
        <v>8585</v>
      </c>
      <c r="K415" s="5" t="s">
        <v>8632</v>
      </c>
      <c r="L415" s="6" t="s">
        <v>42</v>
      </c>
      <c r="M415" s="5" t="s">
        <v>995</v>
      </c>
      <c r="N415" s="5" t="s">
        <v>64</v>
      </c>
      <c r="O415" s="5" t="s">
        <v>13451</v>
      </c>
      <c r="P415" s="6">
        <v>5708.0</v>
      </c>
    </row>
    <row r="416" ht="56.25" customHeight="1">
      <c r="A416" s="5" t="s">
        <v>13449</v>
      </c>
      <c r="B416" s="6" t="str">
        <f>image("https://storage.googleapis.com/acdb/bottoms/BottomsTexSkirtLongDenim1.png")</f>
        <v/>
      </c>
      <c r="C416" s="5" t="s">
        <v>83</v>
      </c>
      <c r="D416" s="5" t="s">
        <v>36</v>
      </c>
      <c r="E416" s="6">
        <v>1560.0</v>
      </c>
      <c r="F416" s="6">
        <v>390.0</v>
      </c>
      <c r="G416" s="5" t="s">
        <v>83</v>
      </c>
      <c r="H416" s="5" t="s">
        <v>39</v>
      </c>
      <c r="I416" s="6" t="s">
        <v>40</v>
      </c>
      <c r="J416" s="5" t="s">
        <v>8585</v>
      </c>
      <c r="K416" s="5" t="s">
        <v>8632</v>
      </c>
      <c r="L416" s="6" t="s">
        <v>42</v>
      </c>
      <c r="M416" s="5" t="s">
        <v>995</v>
      </c>
      <c r="N416" s="5" t="s">
        <v>64</v>
      </c>
      <c r="O416" s="5" t="s">
        <v>13454</v>
      </c>
      <c r="P416" s="6">
        <v>11445.0</v>
      </c>
    </row>
    <row r="417" ht="56.25" customHeight="1">
      <c r="A417" s="5" t="s">
        <v>13449</v>
      </c>
      <c r="B417" s="6" t="str">
        <f>image("https://storage.googleapis.com/acdb/bottoms/BottomsTexSkirtLongDenim2.png")</f>
        <v/>
      </c>
      <c r="C417" s="5" t="s">
        <v>1187</v>
      </c>
      <c r="D417" s="5" t="s">
        <v>36</v>
      </c>
      <c r="E417" s="6">
        <v>1560.0</v>
      </c>
      <c r="F417" s="6">
        <v>390.0</v>
      </c>
      <c r="G417" s="5" t="s">
        <v>68</v>
      </c>
      <c r="H417" s="5" t="s">
        <v>39</v>
      </c>
      <c r="I417" s="6" t="s">
        <v>40</v>
      </c>
      <c r="J417" s="5" t="s">
        <v>8585</v>
      </c>
      <c r="K417" s="5" t="s">
        <v>8632</v>
      </c>
      <c r="L417" s="6" t="s">
        <v>42</v>
      </c>
      <c r="M417" s="5" t="s">
        <v>995</v>
      </c>
      <c r="N417" s="5" t="s">
        <v>64</v>
      </c>
      <c r="O417" s="5" t="s">
        <v>13457</v>
      </c>
      <c r="P417" s="6">
        <v>11446.0</v>
      </c>
    </row>
    <row r="418" ht="56.25" customHeight="1">
      <c r="A418" s="5" t="s">
        <v>13449</v>
      </c>
      <c r="B418" s="6" t="str">
        <f>image("https://storage.googleapis.com/acdb/bottoms/BottomsTexSkirtLongDenim3.png")</f>
        <v/>
      </c>
      <c r="C418" s="5" t="s">
        <v>54</v>
      </c>
      <c r="D418" s="5" t="s">
        <v>36</v>
      </c>
      <c r="E418" s="6">
        <v>1560.0</v>
      </c>
      <c r="F418" s="6">
        <v>390.0</v>
      </c>
      <c r="G418" s="5" t="s">
        <v>54</v>
      </c>
      <c r="H418" s="5" t="s">
        <v>39</v>
      </c>
      <c r="I418" s="6" t="s">
        <v>40</v>
      </c>
      <c r="J418" s="5" t="s">
        <v>8585</v>
      </c>
      <c r="K418" s="5" t="s">
        <v>8632</v>
      </c>
      <c r="L418" s="6" t="s">
        <v>42</v>
      </c>
      <c r="M418" s="5" t="s">
        <v>995</v>
      </c>
      <c r="N418" s="5" t="s">
        <v>64</v>
      </c>
      <c r="O418" s="5" t="s">
        <v>13459</v>
      </c>
      <c r="P418" s="6">
        <v>11447.0</v>
      </c>
    </row>
    <row r="419" ht="56.25" customHeight="1">
      <c r="A419" s="5" t="s">
        <v>13449</v>
      </c>
      <c r="B419" s="6" t="str">
        <f>image("https://storage.googleapis.com/acdb/bottoms/BottomsTexSkirtLongDenim4.png")</f>
        <v/>
      </c>
      <c r="C419" s="5" t="s">
        <v>57</v>
      </c>
      <c r="D419" s="5" t="s">
        <v>36</v>
      </c>
      <c r="E419" s="6">
        <v>1560.0</v>
      </c>
      <c r="F419" s="6">
        <v>390.0</v>
      </c>
      <c r="G419" s="5" t="s">
        <v>57</v>
      </c>
      <c r="H419" s="5" t="s">
        <v>39</v>
      </c>
      <c r="I419" s="6" t="s">
        <v>40</v>
      </c>
      <c r="J419" s="5" t="s">
        <v>8585</v>
      </c>
      <c r="K419" s="5" t="s">
        <v>8632</v>
      </c>
      <c r="L419" s="6" t="s">
        <v>42</v>
      </c>
      <c r="M419" s="5" t="s">
        <v>995</v>
      </c>
      <c r="N419" s="5" t="s">
        <v>64</v>
      </c>
      <c r="O419" s="5" t="s">
        <v>13463</v>
      </c>
      <c r="P419" s="6">
        <v>11448.0</v>
      </c>
    </row>
    <row r="420" ht="56.25" customHeight="1">
      <c r="A420" s="5" t="s">
        <v>13464</v>
      </c>
      <c r="B420" s="6" t="str">
        <f>image("https://storage.googleapis.com/acdb/bottoms/BottomsTexSkirtLongCheck0.png")</f>
        <v/>
      </c>
      <c r="C420" s="5" t="s">
        <v>52</v>
      </c>
      <c r="D420" s="5" t="s">
        <v>36</v>
      </c>
      <c r="E420" s="6">
        <v>1450.0</v>
      </c>
      <c r="F420" s="6">
        <v>362.0</v>
      </c>
      <c r="G420" s="5" t="s">
        <v>52</v>
      </c>
      <c r="H420" s="5" t="s">
        <v>68</v>
      </c>
      <c r="I420" s="6" t="s">
        <v>40</v>
      </c>
      <c r="J420" s="5" t="s">
        <v>8585</v>
      </c>
      <c r="K420" s="5" t="s">
        <v>8632</v>
      </c>
      <c r="L420" s="6" t="s">
        <v>42</v>
      </c>
      <c r="M420" s="5" t="s">
        <v>995</v>
      </c>
      <c r="N420" s="5" t="s">
        <v>64</v>
      </c>
      <c r="O420" s="5" t="s">
        <v>13465</v>
      </c>
      <c r="P420" s="6">
        <v>4374.0</v>
      </c>
    </row>
    <row r="421" ht="56.25" customHeight="1">
      <c r="A421" s="5" t="s">
        <v>13464</v>
      </c>
      <c r="B421" s="6" t="str">
        <f>image("https://storage.googleapis.com/acdb/bottoms/BottomsTexSkirtLongCheck1.png")</f>
        <v/>
      </c>
      <c r="C421" s="5" t="s">
        <v>96</v>
      </c>
      <c r="D421" s="5" t="s">
        <v>36</v>
      </c>
      <c r="E421" s="6">
        <v>1450.0</v>
      </c>
      <c r="F421" s="6">
        <v>362.0</v>
      </c>
      <c r="G421" s="5" t="s">
        <v>96</v>
      </c>
      <c r="H421" s="5" t="s">
        <v>68</v>
      </c>
      <c r="I421" s="6" t="s">
        <v>40</v>
      </c>
      <c r="J421" s="5" t="s">
        <v>8585</v>
      </c>
      <c r="K421" s="5" t="s">
        <v>8632</v>
      </c>
      <c r="L421" s="6" t="s">
        <v>42</v>
      </c>
      <c r="M421" s="5" t="s">
        <v>995</v>
      </c>
      <c r="N421" s="5" t="s">
        <v>64</v>
      </c>
      <c r="O421" s="5" t="s">
        <v>13468</v>
      </c>
      <c r="P421" s="6">
        <v>8714.0</v>
      </c>
    </row>
    <row r="422" ht="56.25" customHeight="1">
      <c r="A422" s="5" t="s">
        <v>13464</v>
      </c>
      <c r="B422" s="6" t="str">
        <f>image("https://storage.googleapis.com/acdb/bottoms/BottomsTexSkirtLongCheck2.png")</f>
        <v/>
      </c>
      <c r="C422" s="5" t="s">
        <v>68</v>
      </c>
      <c r="D422" s="5" t="s">
        <v>36</v>
      </c>
      <c r="E422" s="6">
        <v>1450.0</v>
      </c>
      <c r="F422" s="6">
        <v>362.0</v>
      </c>
      <c r="G422" s="5" t="s">
        <v>68</v>
      </c>
      <c r="H422" s="5" t="s">
        <v>68</v>
      </c>
      <c r="I422" s="6" t="s">
        <v>40</v>
      </c>
      <c r="J422" s="5" t="s">
        <v>8585</v>
      </c>
      <c r="K422" s="5" t="s">
        <v>8632</v>
      </c>
      <c r="L422" s="6" t="s">
        <v>42</v>
      </c>
      <c r="M422" s="5" t="s">
        <v>995</v>
      </c>
      <c r="N422" s="5" t="s">
        <v>64</v>
      </c>
      <c r="O422" s="5" t="s">
        <v>13471</v>
      </c>
      <c r="P422" s="6">
        <v>8715.0</v>
      </c>
    </row>
    <row r="423" ht="56.25" customHeight="1">
      <c r="A423" s="5" t="s">
        <v>13464</v>
      </c>
      <c r="B423" s="6" t="str">
        <f>image("https://storage.googleapis.com/acdb/bottoms/BottomsTexSkirtLongCheck3.png")</f>
        <v/>
      </c>
      <c r="C423" s="5" t="s">
        <v>38</v>
      </c>
      <c r="D423" s="5" t="s">
        <v>36</v>
      </c>
      <c r="E423" s="6">
        <v>1450.0</v>
      </c>
      <c r="F423" s="6">
        <v>362.0</v>
      </c>
      <c r="G423" s="5" t="s">
        <v>142</v>
      </c>
      <c r="H423" s="5" t="s">
        <v>39</v>
      </c>
      <c r="I423" s="6" t="s">
        <v>40</v>
      </c>
      <c r="J423" s="5" t="s">
        <v>8585</v>
      </c>
      <c r="K423" s="5" t="s">
        <v>8632</v>
      </c>
      <c r="L423" s="6" t="s">
        <v>42</v>
      </c>
      <c r="M423" s="5" t="s">
        <v>995</v>
      </c>
      <c r="N423" s="5" t="s">
        <v>64</v>
      </c>
      <c r="O423" s="5" t="s">
        <v>13473</v>
      </c>
      <c r="P423" s="6">
        <v>8716.0</v>
      </c>
    </row>
    <row r="424" ht="56.25" customHeight="1">
      <c r="A424" s="5" t="s">
        <v>13474</v>
      </c>
      <c r="B424" s="6" t="str">
        <f>image("https://storage.googleapis.com/acdb/bottoms/BottomsTexSkirtLongPleats0.png")</f>
        <v/>
      </c>
      <c r="C424" s="5" t="s">
        <v>10410</v>
      </c>
      <c r="D424" s="5" t="s">
        <v>36</v>
      </c>
      <c r="E424" s="6">
        <v>1560.0</v>
      </c>
      <c r="F424" s="6">
        <v>390.0</v>
      </c>
      <c r="G424" s="5" t="s">
        <v>52</v>
      </c>
      <c r="H424" s="5" t="s">
        <v>52</v>
      </c>
      <c r="I424" s="6" t="s">
        <v>40</v>
      </c>
      <c r="J424" s="5" t="s">
        <v>8585</v>
      </c>
      <c r="K424" s="5" t="s">
        <v>8586</v>
      </c>
      <c r="L424" s="6" t="s">
        <v>42</v>
      </c>
      <c r="M424" s="5" t="s">
        <v>995</v>
      </c>
      <c r="N424" s="5" t="s">
        <v>64</v>
      </c>
      <c r="O424" s="5" t="s">
        <v>13477</v>
      </c>
      <c r="P424" s="6">
        <v>4222.0</v>
      </c>
    </row>
    <row r="425" ht="56.25" customHeight="1">
      <c r="A425" s="5" t="s">
        <v>13474</v>
      </c>
      <c r="B425" s="6" t="str">
        <f>image("https://storage.googleapis.com/acdb/bottoms/BottomsTexSkirtLongPleats1.png")</f>
        <v/>
      </c>
      <c r="C425" s="5" t="s">
        <v>57</v>
      </c>
      <c r="D425" s="5" t="s">
        <v>36</v>
      </c>
      <c r="E425" s="6">
        <v>1560.0</v>
      </c>
      <c r="F425" s="6">
        <v>390.0</v>
      </c>
      <c r="G425" s="5" t="s">
        <v>57</v>
      </c>
      <c r="H425" s="5" t="s">
        <v>57</v>
      </c>
      <c r="I425" s="6" t="s">
        <v>40</v>
      </c>
      <c r="J425" s="5" t="s">
        <v>8585</v>
      </c>
      <c r="K425" s="5" t="s">
        <v>8586</v>
      </c>
      <c r="L425" s="6" t="s">
        <v>42</v>
      </c>
      <c r="M425" s="5" t="s">
        <v>995</v>
      </c>
      <c r="N425" s="5" t="s">
        <v>64</v>
      </c>
      <c r="O425" s="5" t="s">
        <v>13479</v>
      </c>
      <c r="P425" s="6">
        <v>8703.0</v>
      </c>
    </row>
    <row r="426" ht="56.25" customHeight="1">
      <c r="A426" s="5" t="s">
        <v>13474</v>
      </c>
      <c r="B426" s="6" t="str">
        <f>image("https://storage.googleapis.com/acdb/bottoms/BottomsTexSkirtLongPleats2.png")</f>
        <v/>
      </c>
      <c r="C426" s="5" t="s">
        <v>114</v>
      </c>
      <c r="D426" s="5" t="s">
        <v>36</v>
      </c>
      <c r="E426" s="6">
        <v>1560.0</v>
      </c>
      <c r="F426" s="6">
        <v>390.0</v>
      </c>
      <c r="G426" s="5" t="s">
        <v>114</v>
      </c>
      <c r="H426" s="5" t="s">
        <v>114</v>
      </c>
      <c r="I426" s="6" t="s">
        <v>40</v>
      </c>
      <c r="J426" s="5" t="s">
        <v>8585</v>
      </c>
      <c r="K426" s="5" t="s">
        <v>8586</v>
      </c>
      <c r="L426" s="6" t="s">
        <v>42</v>
      </c>
      <c r="M426" s="5" t="s">
        <v>995</v>
      </c>
      <c r="N426" s="5" t="s">
        <v>64</v>
      </c>
      <c r="O426" s="5" t="s">
        <v>13481</v>
      </c>
      <c r="P426" s="6">
        <v>8704.0</v>
      </c>
    </row>
    <row r="427" ht="56.25" customHeight="1">
      <c r="A427" s="5" t="s">
        <v>13474</v>
      </c>
      <c r="B427" s="6" t="str">
        <f>image("https://storage.googleapis.com/acdb/bottoms/BottomsTexSkirtLongPleats3.png")</f>
        <v/>
      </c>
      <c r="C427" s="5" t="s">
        <v>13483</v>
      </c>
      <c r="D427" s="5" t="s">
        <v>36</v>
      </c>
      <c r="E427" s="6">
        <v>1560.0</v>
      </c>
      <c r="F427" s="6">
        <v>390.0</v>
      </c>
      <c r="G427" s="5" t="s">
        <v>83</v>
      </c>
      <c r="H427" s="5" t="s">
        <v>83</v>
      </c>
      <c r="I427" s="6" t="s">
        <v>40</v>
      </c>
      <c r="J427" s="5" t="s">
        <v>8585</v>
      </c>
      <c r="K427" s="5" t="s">
        <v>8586</v>
      </c>
      <c r="L427" s="6" t="s">
        <v>42</v>
      </c>
      <c r="M427" s="5" t="s">
        <v>995</v>
      </c>
      <c r="N427" s="5" t="s">
        <v>64</v>
      </c>
      <c r="O427" s="5" t="s">
        <v>13486</v>
      </c>
      <c r="P427" s="6">
        <v>8705.0</v>
      </c>
    </row>
    <row r="428" ht="56.25" customHeight="1">
      <c r="A428" s="5" t="s">
        <v>13474</v>
      </c>
      <c r="B428" s="6" t="str">
        <f>image("https://storage.googleapis.com/acdb/bottoms/BottomsTexSkirtLongPleats4.png")</f>
        <v/>
      </c>
      <c r="C428" s="5" t="s">
        <v>95</v>
      </c>
      <c r="D428" s="5" t="s">
        <v>36</v>
      </c>
      <c r="E428" s="6">
        <v>1560.0</v>
      </c>
      <c r="F428" s="6">
        <v>390.0</v>
      </c>
      <c r="G428" s="5" t="s">
        <v>95</v>
      </c>
      <c r="H428" s="5" t="s">
        <v>95</v>
      </c>
      <c r="I428" s="6" t="s">
        <v>40</v>
      </c>
      <c r="J428" s="5" t="s">
        <v>8585</v>
      </c>
      <c r="K428" s="5" t="s">
        <v>8586</v>
      </c>
      <c r="L428" s="6" t="s">
        <v>42</v>
      </c>
      <c r="M428" s="5" t="s">
        <v>995</v>
      </c>
      <c r="N428" s="5" t="s">
        <v>64</v>
      </c>
      <c r="O428" s="5" t="s">
        <v>13488</v>
      </c>
      <c r="P428" s="6">
        <v>8706.0</v>
      </c>
    </row>
    <row r="429" ht="56.25" customHeight="1">
      <c r="A429" s="5" t="s">
        <v>13489</v>
      </c>
      <c r="B429" s="6" t="str">
        <f>image("https://storage.googleapis.com/acdb/bottoms/BottomsTexSkirtLongDot0.png")</f>
        <v/>
      </c>
      <c r="C429" s="5" t="s">
        <v>54</v>
      </c>
      <c r="D429" s="5" t="s">
        <v>36</v>
      </c>
      <c r="E429" s="6">
        <v>1300.0</v>
      </c>
      <c r="F429" s="6">
        <v>325.0</v>
      </c>
      <c r="G429" s="5" t="s">
        <v>54</v>
      </c>
      <c r="H429" s="5" t="s">
        <v>57</v>
      </c>
      <c r="I429" s="6" t="s">
        <v>40</v>
      </c>
      <c r="J429" s="5" t="s">
        <v>8585</v>
      </c>
      <c r="K429" s="5" t="s">
        <v>8632</v>
      </c>
      <c r="L429" s="6" t="s">
        <v>42</v>
      </c>
      <c r="M429" s="5" t="s">
        <v>995</v>
      </c>
      <c r="N429" s="5" t="s">
        <v>64</v>
      </c>
      <c r="O429" s="5" t="s">
        <v>13492</v>
      </c>
      <c r="P429" s="6">
        <v>4252.0</v>
      </c>
    </row>
    <row r="430" ht="56.25" customHeight="1">
      <c r="A430" s="5" t="s">
        <v>13489</v>
      </c>
      <c r="B430" s="6" t="str">
        <f>image("https://storage.googleapis.com/acdb/bottoms/BottomsTexSkirtLongDot1.png")</f>
        <v/>
      </c>
      <c r="C430" s="5" t="s">
        <v>52</v>
      </c>
      <c r="D430" s="5" t="s">
        <v>36</v>
      </c>
      <c r="E430" s="6">
        <v>1300.0</v>
      </c>
      <c r="F430" s="6">
        <v>325.0</v>
      </c>
      <c r="G430" s="5" t="s">
        <v>52</v>
      </c>
      <c r="H430" s="5" t="s">
        <v>57</v>
      </c>
      <c r="I430" s="6" t="s">
        <v>40</v>
      </c>
      <c r="J430" s="5" t="s">
        <v>8585</v>
      </c>
      <c r="K430" s="5" t="s">
        <v>8632</v>
      </c>
      <c r="L430" s="6" t="s">
        <v>42</v>
      </c>
      <c r="M430" s="5" t="s">
        <v>995</v>
      </c>
      <c r="N430" s="5" t="s">
        <v>64</v>
      </c>
      <c r="O430" s="5" t="s">
        <v>13494</v>
      </c>
      <c r="P430" s="6">
        <v>8707.0</v>
      </c>
    </row>
    <row r="431" ht="56.25" customHeight="1">
      <c r="A431" s="5" t="s">
        <v>13489</v>
      </c>
      <c r="B431" s="6" t="str">
        <f>image("https://storage.googleapis.com/acdb/bottoms/BottomsTexSkirtLongDot2.png")</f>
        <v/>
      </c>
      <c r="C431" s="5" t="s">
        <v>68</v>
      </c>
      <c r="D431" s="5" t="s">
        <v>36</v>
      </c>
      <c r="E431" s="6">
        <v>1300.0</v>
      </c>
      <c r="F431" s="6">
        <v>325.0</v>
      </c>
      <c r="G431" s="5" t="s">
        <v>68</v>
      </c>
      <c r="H431" s="5" t="s">
        <v>57</v>
      </c>
      <c r="I431" s="6" t="s">
        <v>40</v>
      </c>
      <c r="J431" s="5" t="s">
        <v>8585</v>
      </c>
      <c r="K431" s="5" t="s">
        <v>8632</v>
      </c>
      <c r="L431" s="6" t="s">
        <v>42</v>
      </c>
      <c r="M431" s="5" t="s">
        <v>995</v>
      </c>
      <c r="N431" s="5" t="s">
        <v>64</v>
      </c>
      <c r="O431" s="5" t="s">
        <v>13496</v>
      </c>
      <c r="P431" s="6">
        <v>8708.0</v>
      </c>
    </row>
    <row r="432" ht="56.25" customHeight="1">
      <c r="A432" s="5" t="s">
        <v>13489</v>
      </c>
      <c r="B432" s="6" t="str">
        <f>image("https://storage.googleapis.com/acdb/bottoms/BottomsTexSkirtLongDot3.png")</f>
        <v/>
      </c>
      <c r="C432" s="5" t="s">
        <v>96</v>
      </c>
      <c r="D432" s="5" t="s">
        <v>36</v>
      </c>
      <c r="E432" s="6">
        <v>1300.0</v>
      </c>
      <c r="F432" s="6">
        <v>325.0</v>
      </c>
      <c r="G432" s="5" t="s">
        <v>96</v>
      </c>
      <c r="H432" s="5" t="s">
        <v>57</v>
      </c>
      <c r="I432" s="6" t="s">
        <v>40</v>
      </c>
      <c r="J432" s="5" t="s">
        <v>8585</v>
      </c>
      <c r="K432" s="5" t="s">
        <v>8632</v>
      </c>
      <c r="L432" s="6" t="s">
        <v>42</v>
      </c>
      <c r="M432" s="5" t="s">
        <v>995</v>
      </c>
      <c r="N432" s="5" t="s">
        <v>64</v>
      </c>
      <c r="O432" s="5" t="s">
        <v>13499</v>
      </c>
      <c r="P432" s="6">
        <v>8709.0</v>
      </c>
    </row>
    <row r="433" ht="56.25" customHeight="1">
      <c r="A433" s="5" t="s">
        <v>13489</v>
      </c>
      <c r="B433" s="6" t="str">
        <f>image("https://storage.googleapis.com/acdb/bottoms/BottomsTexSkirtLongDot4.png")</f>
        <v/>
      </c>
      <c r="C433" s="5" t="s">
        <v>142</v>
      </c>
      <c r="D433" s="5" t="s">
        <v>36</v>
      </c>
      <c r="E433" s="6">
        <v>1300.0</v>
      </c>
      <c r="F433" s="6">
        <v>325.0</v>
      </c>
      <c r="G433" s="5" t="s">
        <v>142</v>
      </c>
      <c r="H433" s="5" t="s">
        <v>57</v>
      </c>
      <c r="I433" s="6" t="s">
        <v>40</v>
      </c>
      <c r="J433" s="5" t="s">
        <v>8585</v>
      </c>
      <c r="K433" s="5" t="s">
        <v>8632</v>
      </c>
      <c r="L433" s="6" t="s">
        <v>42</v>
      </c>
      <c r="M433" s="5" t="s">
        <v>995</v>
      </c>
      <c r="N433" s="5" t="s">
        <v>64</v>
      </c>
      <c r="O433" s="5" t="s">
        <v>13501</v>
      </c>
      <c r="P433" s="6">
        <v>8710.0</v>
      </c>
    </row>
    <row r="434" ht="56.25" customHeight="1">
      <c r="A434" s="5" t="s">
        <v>13489</v>
      </c>
      <c r="B434" s="6" t="str">
        <f>image("https://storage.googleapis.com/acdb/bottoms/BottomsTexSkirtLongDot5.png")</f>
        <v/>
      </c>
      <c r="C434" s="5" t="s">
        <v>114</v>
      </c>
      <c r="D434" s="5" t="s">
        <v>36</v>
      </c>
      <c r="E434" s="6">
        <v>1300.0</v>
      </c>
      <c r="F434" s="6">
        <v>325.0</v>
      </c>
      <c r="G434" s="5" t="s">
        <v>114</v>
      </c>
      <c r="H434" s="5" t="s">
        <v>57</v>
      </c>
      <c r="I434" s="6" t="s">
        <v>40</v>
      </c>
      <c r="J434" s="5" t="s">
        <v>8585</v>
      </c>
      <c r="K434" s="5" t="s">
        <v>8632</v>
      </c>
      <c r="L434" s="6" t="s">
        <v>42</v>
      </c>
      <c r="M434" s="5" t="s">
        <v>995</v>
      </c>
      <c r="N434" s="5" t="s">
        <v>64</v>
      </c>
      <c r="O434" s="5" t="s">
        <v>13505</v>
      </c>
      <c r="P434" s="6">
        <v>8711.0</v>
      </c>
    </row>
    <row r="435" ht="56.25" customHeight="1">
      <c r="A435" s="5" t="s">
        <v>13489</v>
      </c>
      <c r="B435" s="6" t="str">
        <f>image("https://storage.googleapis.com/acdb/bottoms/BottomsTexSkirtLongDot6.png")</f>
        <v/>
      </c>
      <c r="C435" s="5" t="s">
        <v>69</v>
      </c>
      <c r="D435" s="5" t="s">
        <v>36</v>
      </c>
      <c r="E435" s="6">
        <v>1300.0</v>
      </c>
      <c r="F435" s="6">
        <v>325.0</v>
      </c>
      <c r="G435" s="5" t="s">
        <v>69</v>
      </c>
      <c r="H435" s="5" t="s">
        <v>57</v>
      </c>
      <c r="I435" s="6" t="s">
        <v>40</v>
      </c>
      <c r="J435" s="5" t="s">
        <v>8585</v>
      </c>
      <c r="K435" s="5" t="s">
        <v>8632</v>
      </c>
      <c r="L435" s="6" t="s">
        <v>42</v>
      </c>
      <c r="M435" s="5" t="s">
        <v>995</v>
      </c>
      <c r="N435" s="5" t="s">
        <v>64</v>
      </c>
      <c r="O435" s="5" t="s">
        <v>13507</v>
      </c>
      <c r="P435" s="6">
        <v>8712.0</v>
      </c>
    </row>
    <row r="436" ht="56.25" customHeight="1">
      <c r="A436" s="5" t="s">
        <v>13489</v>
      </c>
      <c r="B436" s="6" t="str">
        <f>image("https://storage.googleapis.com/acdb/bottoms/BottomsTexSkirtLongDot7.png")</f>
        <v/>
      </c>
      <c r="C436" s="5" t="s">
        <v>83</v>
      </c>
      <c r="D436" s="5" t="s">
        <v>36</v>
      </c>
      <c r="E436" s="6">
        <v>1300.0</v>
      </c>
      <c r="F436" s="6">
        <v>325.0</v>
      </c>
      <c r="G436" s="5" t="s">
        <v>83</v>
      </c>
      <c r="H436" s="5" t="s">
        <v>57</v>
      </c>
      <c r="I436" s="6" t="s">
        <v>40</v>
      </c>
      <c r="J436" s="5" t="s">
        <v>8585</v>
      </c>
      <c r="K436" s="5" t="s">
        <v>8632</v>
      </c>
      <c r="L436" s="6" t="s">
        <v>42</v>
      </c>
      <c r="M436" s="5" t="s">
        <v>995</v>
      </c>
      <c r="N436" s="5" t="s">
        <v>64</v>
      </c>
      <c r="O436" s="5" t="s">
        <v>13511</v>
      </c>
      <c r="P436" s="6">
        <v>8713.0</v>
      </c>
    </row>
    <row r="437" ht="56.25" customHeight="1">
      <c r="A437" s="5" t="s">
        <v>13512</v>
      </c>
      <c r="B437" s="6" t="str">
        <f>image("https://storage.googleapis.com/acdb/bottoms/BottomsTexSkirtLongSailor0.png")</f>
        <v/>
      </c>
      <c r="C437" s="5" t="s">
        <v>1187</v>
      </c>
      <c r="D437" s="5" t="s">
        <v>36</v>
      </c>
      <c r="E437" s="6">
        <v>1560.0</v>
      </c>
      <c r="F437" s="6">
        <v>390.0</v>
      </c>
      <c r="G437" s="5" t="s">
        <v>68</v>
      </c>
      <c r="H437" s="5" t="s">
        <v>68</v>
      </c>
      <c r="I437" s="6" t="s">
        <v>40</v>
      </c>
      <c r="J437" s="5" t="s">
        <v>8585</v>
      </c>
      <c r="K437" s="5" t="s">
        <v>8586</v>
      </c>
      <c r="L437" s="6" t="s">
        <v>42</v>
      </c>
      <c r="M437" s="5" t="s">
        <v>995</v>
      </c>
      <c r="N437" s="5" t="s">
        <v>64</v>
      </c>
      <c r="O437" s="5" t="s">
        <v>13514</v>
      </c>
      <c r="P437" s="6">
        <v>6016.0</v>
      </c>
    </row>
    <row r="438" ht="56.25" customHeight="1">
      <c r="A438" s="5" t="s">
        <v>13512</v>
      </c>
      <c r="B438" s="6" t="str">
        <f>image("https://storage.googleapis.com/acdb/bottoms/BottomsTexSkirtLongSailor1.png")</f>
        <v/>
      </c>
      <c r="C438" s="5" t="s">
        <v>142</v>
      </c>
      <c r="D438" s="5" t="s">
        <v>36</v>
      </c>
      <c r="E438" s="6">
        <v>1560.0</v>
      </c>
      <c r="F438" s="6">
        <v>390.0</v>
      </c>
      <c r="G438" s="5" t="s">
        <v>142</v>
      </c>
      <c r="H438" s="5" t="s">
        <v>142</v>
      </c>
      <c r="I438" s="6" t="s">
        <v>40</v>
      </c>
      <c r="J438" s="5" t="s">
        <v>8585</v>
      </c>
      <c r="K438" s="5" t="s">
        <v>8586</v>
      </c>
      <c r="L438" s="6" t="s">
        <v>42</v>
      </c>
      <c r="M438" s="5" t="s">
        <v>995</v>
      </c>
      <c r="N438" s="5" t="s">
        <v>64</v>
      </c>
      <c r="O438" s="5" t="s">
        <v>13516</v>
      </c>
      <c r="P438" s="6">
        <v>11642.0</v>
      </c>
    </row>
    <row r="439" ht="56.25" customHeight="1">
      <c r="A439" s="5" t="s">
        <v>13512</v>
      </c>
      <c r="B439" s="6" t="str">
        <f>image("https://storage.googleapis.com/acdb/bottoms/BottomsTexSkirtLongSailor2.png")</f>
        <v/>
      </c>
      <c r="C439" s="5" t="s">
        <v>83</v>
      </c>
      <c r="D439" s="5" t="s">
        <v>36</v>
      </c>
      <c r="E439" s="6">
        <v>1560.0</v>
      </c>
      <c r="F439" s="6">
        <v>390.0</v>
      </c>
      <c r="G439" s="5" t="s">
        <v>83</v>
      </c>
      <c r="H439" s="5" t="s">
        <v>83</v>
      </c>
      <c r="I439" s="6" t="s">
        <v>40</v>
      </c>
      <c r="J439" s="5" t="s">
        <v>8585</v>
      </c>
      <c r="K439" s="5" t="s">
        <v>8586</v>
      </c>
      <c r="L439" s="6" t="s">
        <v>42</v>
      </c>
      <c r="M439" s="5" t="s">
        <v>995</v>
      </c>
      <c r="N439" s="5" t="s">
        <v>64</v>
      </c>
      <c r="O439" s="5" t="s">
        <v>13518</v>
      </c>
      <c r="P439" s="6">
        <v>11643.0</v>
      </c>
    </row>
    <row r="440" ht="56.25" customHeight="1">
      <c r="A440" s="5" t="s">
        <v>13512</v>
      </c>
      <c r="B440" s="6" t="str">
        <f>image("https://storage.googleapis.com/acdb/bottoms/BottomsTexSkirtLongSailor3.png")</f>
        <v/>
      </c>
      <c r="C440" s="5" t="s">
        <v>96</v>
      </c>
      <c r="D440" s="5" t="s">
        <v>36</v>
      </c>
      <c r="E440" s="6">
        <v>1560.0</v>
      </c>
      <c r="F440" s="6">
        <v>390.0</v>
      </c>
      <c r="G440" s="5" t="s">
        <v>96</v>
      </c>
      <c r="H440" s="5" t="s">
        <v>96</v>
      </c>
      <c r="I440" s="6" t="s">
        <v>40</v>
      </c>
      <c r="J440" s="5" t="s">
        <v>8585</v>
      </c>
      <c r="K440" s="5" t="s">
        <v>8586</v>
      </c>
      <c r="L440" s="6" t="s">
        <v>42</v>
      </c>
      <c r="M440" s="5" t="s">
        <v>995</v>
      </c>
      <c r="N440" s="5" t="s">
        <v>64</v>
      </c>
      <c r="O440" s="5" t="s">
        <v>13520</v>
      </c>
      <c r="P440" s="6">
        <v>11644.0</v>
      </c>
    </row>
    <row r="441" ht="56.25" customHeight="1">
      <c r="A441" s="5" t="s">
        <v>13512</v>
      </c>
      <c r="B441" s="6" t="str">
        <f>image("https://storage.googleapis.com/acdb/bottoms/BottomsTexSkirtLongSailor4.png")</f>
        <v/>
      </c>
      <c r="C441" s="5" t="s">
        <v>39</v>
      </c>
      <c r="D441" s="5" t="s">
        <v>36</v>
      </c>
      <c r="E441" s="6">
        <v>1560.0</v>
      </c>
      <c r="F441" s="6">
        <v>390.0</v>
      </c>
      <c r="G441" s="5" t="s">
        <v>39</v>
      </c>
      <c r="H441" s="5" t="s">
        <v>39</v>
      </c>
      <c r="I441" s="6" t="s">
        <v>40</v>
      </c>
      <c r="J441" s="5" t="s">
        <v>8585</v>
      </c>
      <c r="K441" s="5" t="s">
        <v>8586</v>
      </c>
      <c r="L441" s="6" t="s">
        <v>42</v>
      </c>
      <c r="M441" s="5" t="s">
        <v>995</v>
      </c>
      <c r="N441" s="5" t="s">
        <v>64</v>
      </c>
      <c r="O441" s="5" t="s">
        <v>13522</v>
      </c>
      <c r="P441" s="6">
        <v>11645.0</v>
      </c>
    </row>
    <row r="442" ht="56.25" customHeight="1">
      <c r="A442" s="5" t="s">
        <v>13512</v>
      </c>
      <c r="B442" s="6" t="str">
        <f>image("https://storage.googleapis.com/acdb/bottoms/BottomsTexSkirtLongSailor5.png")</f>
        <v/>
      </c>
      <c r="C442" s="5" t="s">
        <v>106</v>
      </c>
      <c r="D442" s="5" t="s">
        <v>36</v>
      </c>
      <c r="E442" s="6">
        <v>1560.0</v>
      </c>
      <c r="F442" s="6">
        <v>390.0</v>
      </c>
      <c r="G442" s="5" t="s">
        <v>106</v>
      </c>
      <c r="H442" s="5" t="s">
        <v>106</v>
      </c>
      <c r="I442" s="6" t="s">
        <v>40</v>
      </c>
      <c r="J442" s="5" t="s">
        <v>8585</v>
      </c>
      <c r="K442" s="5" t="s">
        <v>8586</v>
      </c>
      <c r="L442" s="6" t="s">
        <v>42</v>
      </c>
      <c r="M442" s="5" t="s">
        <v>995</v>
      </c>
      <c r="N442" s="5" t="s">
        <v>64</v>
      </c>
      <c r="O442" s="5" t="s">
        <v>13525</v>
      </c>
      <c r="P442" s="6">
        <v>11646.0</v>
      </c>
    </row>
    <row r="443" ht="56.25" customHeight="1">
      <c r="A443" s="5" t="s">
        <v>13512</v>
      </c>
      <c r="B443" s="6" t="str">
        <f>image("https://storage.googleapis.com/acdb/bottoms/BottomsTexSkirtLongSailor6.png")</f>
        <v/>
      </c>
      <c r="C443" s="5" t="s">
        <v>52</v>
      </c>
      <c r="D443" s="5" t="s">
        <v>36</v>
      </c>
      <c r="E443" s="6">
        <v>1560.0</v>
      </c>
      <c r="F443" s="6">
        <v>390.0</v>
      </c>
      <c r="G443" s="5" t="s">
        <v>52</v>
      </c>
      <c r="H443" s="5" t="s">
        <v>52</v>
      </c>
      <c r="I443" s="6" t="s">
        <v>40</v>
      </c>
      <c r="J443" s="5" t="s">
        <v>8585</v>
      </c>
      <c r="K443" s="5" t="s">
        <v>8586</v>
      </c>
      <c r="L443" s="6" t="s">
        <v>42</v>
      </c>
      <c r="M443" s="5" t="s">
        <v>995</v>
      </c>
      <c r="N443" s="5" t="s">
        <v>64</v>
      </c>
      <c r="O443" s="5" t="s">
        <v>13527</v>
      </c>
      <c r="P443" s="6">
        <v>11647.0</v>
      </c>
    </row>
    <row r="444" ht="56.25" customHeight="1">
      <c r="A444" s="5" t="s">
        <v>13512</v>
      </c>
      <c r="B444" s="6" t="str">
        <f>image("https://storage.googleapis.com/acdb/bottoms/BottomsTexSkirtLongSailor7.png")</f>
        <v/>
      </c>
      <c r="C444" s="5" t="s">
        <v>69</v>
      </c>
      <c r="D444" s="5" t="s">
        <v>36</v>
      </c>
      <c r="E444" s="6">
        <v>1560.0</v>
      </c>
      <c r="F444" s="6">
        <v>390.0</v>
      </c>
      <c r="G444" s="5" t="s">
        <v>69</v>
      </c>
      <c r="H444" s="5" t="s">
        <v>69</v>
      </c>
      <c r="I444" s="6" t="s">
        <v>40</v>
      </c>
      <c r="J444" s="5" t="s">
        <v>8585</v>
      </c>
      <c r="K444" s="5" t="s">
        <v>8586</v>
      </c>
      <c r="L444" s="6" t="s">
        <v>42</v>
      </c>
      <c r="M444" s="5" t="s">
        <v>995</v>
      </c>
      <c r="N444" s="5" t="s">
        <v>64</v>
      </c>
      <c r="O444" s="5" t="s">
        <v>13529</v>
      </c>
      <c r="P444" s="6">
        <v>11648.0</v>
      </c>
    </row>
    <row r="445" ht="56.25" customHeight="1">
      <c r="A445" s="5" t="s">
        <v>13530</v>
      </c>
      <c r="B445" s="6" t="str">
        <f>image("https://storage.googleapis.com/acdb/bottoms/BottomsTexSkirtLongSweat0.png")</f>
        <v/>
      </c>
      <c r="C445" s="5" t="s">
        <v>1187</v>
      </c>
      <c r="D445" s="5" t="s">
        <v>36</v>
      </c>
      <c r="E445" s="6">
        <v>1000.0</v>
      </c>
      <c r="F445" s="6">
        <v>250.0</v>
      </c>
      <c r="G445" s="5" t="s">
        <v>68</v>
      </c>
      <c r="H445" s="5" t="s">
        <v>142</v>
      </c>
      <c r="I445" s="6" t="s">
        <v>40</v>
      </c>
      <c r="J445" s="5" t="s">
        <v>8585</v>
      </c>
      <c r="K445" s="5" t="s">
        <v>8632</v>
      </c>
      <c r="L445" s="6" t="s">
        <v>42</v>
      </c>
      <c r="M445" s="5" t="s">
        <v>8746</v>
      </c>
      <c r="N445" s="5" t="s">
        <v>64</v>
      </c>
      <c r="O445" s="5" t="s">
        <v>13534</v>
      </c>
      <c r="P445" s="6">
        <v>5417.0</v>
      </c>
    </row>
    <row r="446" ht="56.25" customHeight="1">
      <c r="A446" s="5" t="s">
        <v>13530</v>
      </c>
      <c r="B446" s="6" t="str">
        <f>image("https://storage.googleapis.com/acdb/bottoms/BottomsTexSkirtLongSweat1.png")</f>
        <v/>
      </c>
      <c r="C446" s="5" t="s">
        <v>95</v>
      </c>
      <c r="D446" s="5" t="s">
        <v>36</v>
      </c>
      <c r="E446" s="6">
        <v>1000.0</v>
      </c>
      <c r="F446" s="6">
        <v>250.0</v>
      </c>
      <c r="G446" s="5" t="s">
        <v>95</v>
      </c>
      <c r="H446" s="5" t="s">
        <v>52</v>
      </c>
      <c r="I446" s="6" t="s">
        <v>40</v>
      </c>
      <c r="J446" s="5" t="s">
        <v>8585</v>
      </c>
      <c r="K446" s="5" t="s">
        <v>8632</v>
      </c>
      <c r="L446" s="6" t="s">
        <v>42</v>
      </c>
      <c r="M446" s="5" t="s">
        <v>8746</v>
      </c>
      <c r="N446" s="5" t="s">
        <v>64</v>
      </c>
      <c r="O446" s="5" t="s">
        <v>13536</v>
      </c>
      <c r="P446" s="6">
        <v>8724.0</v>
      </c>
    </row>
    <row r="447" ht="56.25" customHeight="1">
      <c r="A447" s="5" t="s">
        <v>13530</v>
      </c>
      <c r="B447" s="6" t="str">
        <f>image("https://storage.googleapis.com/acdb/bottoms/BottomsTexSkirtLongSweat2.png")</f>
        <v/>
      </c>
      <c r="C447" s="5" t="s">
        <v>96</v>
      </c>
      <c r="D447" s="5" t="s">
        <v>36</v>
      </c>
      <c r="E447" s="6">
        <v>1000.0</v>
      </c>
      <c r="F447" s="6">
        <v>250.0</v>
      </c>
      <c r="G447" s="5" t="s">
        <v>96</v>
      </c>
      <c r="H447" s="5" t="s">
        <v>69</v>
      </c>
      <c r="I447" s="6" t="s">
        <v>40</v>
      </c>
      <c r="J447" s="5" t="s">
        <v>8585</v>
      </c>
      <c r="K447" s="5" t="s">
        <v>8632</v>
      </c>
      <c r="L447" s="6" t="s">
        <v>42</v>
      </c>
      <c r="M447" s="5" t="s">
        <v>8746</v>
      </c>
      <c r="N447" s="5" t="s">
        <v>64</v>
      </c>
      <c r="O447" s="5" t="s">
        <v>13537</v>
      </c>
      <c r="P447" s="6">
        <v>8725.0</v>
      </c>
    </row>
    <row r="448" ht="56.25" customHeight="1">
      <c r="A448" s="5" t="s">
        <v>13530</v>
      </c>
      <c r="B448" s="6" t="str">
        <f>image("https://storage.googleapis.com/acdb/bottoms/BottomsTexSkirtLongSweat3.png")</f>
        <v/>
      </c>
      <c r="C448" s="5" t="s">
        <v>106</v>
      </c>
      <c r="D448" s="5" t="s">
        <v>36</v>
      </c>
      <c r="E448" s="6">
        <v>1000.0</v>
      </c>
      <c r="F448" s="6">
        <v>250.0</v>
      </c>
      <c r="G448" s="5" t="s">
        <v>106</v>
      </c>
      <c r="H448" s="5" t="s">
        <v>114</v>
      </c>
      <c r="I448" s="6" t="s">
        <v>40</v>
      </c>
      <c r="J448" s="5" t="s">
        <v>8585</v>
      </c>
      <c r="K448" s="5" t="s">
        <v>8632</v>
      </c>
      <c r="L448" s="6" t="s">
        <v>42</v>
      </c>
      <c r="M448" s="5" t="s">
        <v>8746</v>
      </c>
      <c r="N448" s="5" t="s">
        <v>64</v>
      </c>
      <c r="O448" s="5" t="s">
        <v>13540</v>
      </c>
      <c r="P448" s="6">
        <v>8726.0</v>
      </c>
    </row>
    <row r="449" ht="56.25" customHeight="1">
      <c r="A449" s="5" t="s">
        <v>13541</v>
      </c>
      <c r="B449" s="6" t="str">
        <f>image("https://storage.googleapis.com/acdb/bottoms/BottomsTexPantsHotThai0.png")</f>
        <v/>
      </c>
      <c r="C449" s="5" t="s">
        <v>68</v>
      </c>
      <c r="D449" s="5" t="s">
        <v>36</v>
      </c>
      <c r="E449" s="6">
        <v>980.0</v>
      </c>
      <c r="F449" s="6">
        <v>245.0</v>
      </c>
      <c r="G449" s="5" t="s">
        <v>68</v>
      </c>
      <c r="H449" s="5" t="s">
        <v>114</v>
      </c>
      <c r="I449" s="6" t="s">
        <v>40</v>
      </c>
      <c r="J449" s="5" t="s">
        <v>8585</v>
      </c>
      <c r="K449" s="5" t="s">
        <v>8586</v>
      </c>
      <c r="L449" s="6" t="s">
        <v>42</v>
      </c>
      <c r="M449" s="5" t="s">
        <v>8746</v>
      </c>
      <c r="N449" s="5" t="s">
        <v>64</v>
      </c>
      <c r="O449" s="5" t="s">
        <v>13543</v>
      </c>
      <c r="P449" s="6">
        <v>4522.0</v>
      </c>
    </row>
    <row r="450" ht="56.25" customHeight="1">
      <c r="A450" s="5" t="s">
        <v>13541</v>
      </c>
      <c r="B450" s="6" t="str">
        <f>image("https://storage.googleapis.com/acdb/bottoms/BottomsTexPantsHotThai1.png")</f>
        <v/>
      </c>
      <c r="C450" s="5" t="s">
        <v>52</v>
      </c>
      <c r="D450" s="5" t="s">
        <v>36</v>
      </c>
      <c r="E450" s="6">
        <v>980.0</v>
      </c>
      <c r="F450" s="6">
        <v>245.0</v>
      </c>
      <c r="G450" s="5" t="s">
        <v>52</v>
      </c>
      <c r="H450" s="5" t="s">
        <v>54</v>
      </c>
      <c r="I450" s="6" t="s">
        <v>40</v>
      </c>
      <c r="J450" s="5" t="s">
        <v>8585</v>
      </c>
      <c r="K450" s="5" t="s">
        <v>8586</v>
      </c>
      <c r="L450" s="6" t="s">
        <v>42</v>
      </c>
      <c r="M450" s="5" t="s">
        <v>8746</v>
      </c>
      <c r="N450" s="5" t="s">
        <v>64</v>
      </c>
      <c r="O450" s="5" t="s">
        <v>13544</v>
      </c>
      <c r="P450" s="6">
        <v>11947.0</v>
      </c>
    </row>
    <row r="451" ht="56.25" customHeight="1">
      <c r="A451" s="5" t="s">
        <v>13541</v>
      </c>
      <c r="B451" s="6" t="str">
        <f>image("https://storage.googleapis.com/acdb/bottoms/BottomsTexPantsHotThai2.png")</f>
        <v/>
      </c>
      <c r="C451" s="5" t="s">
        <v>96</v>
      </c>
      <c r="D451" s="5" t="s">
        <v>36</v>
      </c>
      <c r="E451" s="6">
        <v>980.0</v>
      </c>
      <c r="F451" s="6">
        <v>245.0</v>
      </c>
      <c r="G451" s="5" t="s">
        <v>96</v>
      </c>
      <c r="H451" s="5" t="s">
        <v>52</v>
      </c>
      <c r="I451" s="6" t="s">
        <v>40</v>
      </c>
      <c r="J451" s="5" t="s">
        <v>8585</v>
      </c>
      <c r="K451" s="5" t="s">
        <v>8586</v>
      </c>
      <c r="L451" s="6" t="s">
        <v>42</v>
      </c>
      <c r="M451" s="5" t="s">
        <v>8746</v>
      </c>
      <c r="N451" s="5" t="s">
        <v>64</v>
      </c>
      <c r="O451" s="5" t="s">
        <v>13547</v>
      </c>
      <c r="P451" s="6">
        <v>11948.0</v>
      </c>
    </row>
    <row r="452" ht="56.25" customHeight="1">
      <c r="A452" s="5" t="s">
        <v>13541</v>
      </c>
      <c r="B452" s="6" t="str">
        <f>image("https://storage.googleapis.com/acdb/bottoms/BottomsTexPantsHotThai3.png")</f>
        <v/>
      </c>
      <c r="C452" s="5" t="s">
        <v>106</v>
      </c>
      <c r="D452" s="5" t="s">
        <v>36</v>
      </c>
      <c r="E452" s="6">
        <v>980.0</v>
      </c>
      <c r="F452" s="6">
        <v>245.0</v>
      </c>
      <c r="G452" s="5" t="s">
        <v>106</v>
      </c>
      <c r="H452" s="5" t="s">
        <v>69</v>
      </c>
      <c r="I452" s="6" t="s">
        <v>40</v>
      </c>
      <c r="J452" s="5" t="s">
        <v>8585</v>
      </c>
      <c r="K452" s="5" t="s">
        <v>8586</v>
      </c>
      <c r="L452" s="6" t="s">
        <v>42</v>
      </c>
      <c r="M452" s="5" t="s">
        <v>8746</v>
      </c>
      <c r="N452" s="5" t="s">
        <v>64</v>
      </c>
      <c r="O452" s="5" t="s">
        <v>13548</v>
      </c>
      <c r="P452" s="6">
        <v>11949.0</v>
      </c>
    </row>
    <row r="453" ht="56.25" customHeight="1">
      <c r="A453" s="5" t="s">
        <v>13549</v>
      </c>
      <c r="B453" s="6" t="str">
        <f>image("https://storage.googleapis.com/acdb/bottoms/BottomsTexPantsHalfMulticolor0.png")</f>
        <v/>
      </c>
      <c r="C453" s="5" t="s">
        <v>96</v>
      </c>
      <c r="D453" s="5" t="s">
        <v>36</v>
      </c>
      <c r="E453" s="6">
        <v>1100.0</v>
      </c>
      <c r="F453" s="6">
        <v>275.0</v>
      </c>
      <c r="G453" s="5" t="s">
        <v>96</v>
      </c>
      <c r="H453" s="5" t="s">
        <v>96</v>
      </c>
      <c r="I453" s="6" t="s">
        <v>40</v>
      </c>
      <c r="J453" s="5" t="s">
        <v>8585</v>
      </c>
      <c r="K453" s="5" t="s">
        <v>8632</v>
      </c>
      <c r="L453" s="6" t="s">
        <v>42</v>
      </c>
      <c r="M453" s="5" t="s">
        <v>8746</v>
      </c>
      <c r="N453" s="5" t="s">
        <v>64</v>
      </c>
      <c r="O453" s="5" t="s">
        <v>13551</v>
      </c>
      <c r="P453" s="6">
        <v>4371.0</v>
      </c>
    </row>
    <row r="454" ht="56.25" customHeight="1">
      <c r="A454" s="5" t="s">
        <v>13549</v>
      </c>
      <c r="B454" s="6" t="str">
        <f>image("https://storage.googleapis.com/acdb/bottoms/BottomsTexPantsHalfMulticolor1.png")</f>
        <v/>
      </c>
      <c r="C454" s="5" t="s">
        <v>52</v>
      </c>
      <c r="D454" s="5" t="s">
        <v>36</v>
      </c>
      <c r="E454" s="6">
        <v>1100.0</v>
      </c>
      <c r="F454" s="6">
        <v>275.0</v>
      </c>
      <c r="G454" s="5" t="s">
        <v>52</v>
      </c>
      <c r="H454" s="5" t="s">
        <v>142</v>
      </c>
      <c r="I454" s="6" t="s">
        <v>40</v>
      </c>
      <c r="J454" s="5" t="s">
        <v>8585</v>
      </c>
      <c r="K454" s="5" t="s">
        <v>8632</v>
      </c>
      <c r="L454" s="6" t="s">
        <v>42</v>
      </c>
      <c r="M454" s="5" t="s">
        <v>8746</v>
      </c>
      <c r="N454" s="5" t="s">
        <v>64</v>
      </c>
      <c r="O454" s="5" t="s">
        <v>13554</v>
      </c>
      <c r="P454" s="6">
        <v>9089.0</v>
      </c>
    </row>
    <row r="455" ht="56.25" customHeight="1">
      <c r="A455" s="5" t="s">
        <v>13549</v>
      </c>
      <c r="B455" s="6" t="str">
        <f>image("https://storage.googleapis.com/acdb/bottoms/BottomsTexPantsHalfMulticolor2.png")</f>
        <v/>
      </c>
      <c r="C455" s="5" t="s">
        <v>68</v>
      </c>
      <c r="D455" s="5" t="s">
        <v>36</v>
      </c>
      <c r="E455" s="6">
        <v>1100.0</v>
      </c>
      <c r="F455" s="6">
        <v>275.0</v>
      </c>
      <c r="G455" s="5" t="s">
        <v>68</v>
      </c>
      <c r="H455" s="5" t="s">
        <v>83</v>
      </c>
      <c r="I455" s="6" t="s">
        <v>40</v>
      </c>
      <c r="J455" s="5" t="s">
        <v>8585</v>
      </c>
      <c r="K455" s="5" t="s">
        <v>8632</v>
      </c>
      <c r="L455" s="6" t="s">
        <v>42</v>
      </c>
      <c r="M455" s="5" t="s">
        <v>8746</v>
      </c>
      <c r="N455" s="5" t="s">
        <v>64</v>
      </c>
      <c r="O455" s="5" t="s">
        <v>13556</v>
      </c>
      <c r="P455" s="6">
        <v>9090.0</v>
      </c>
    </row>
    <row r="456" ht="56.25" customHeight="1">
      <c r="A456" s="5" t="s">
        <v>13549</v>
      </c>
      <c r="B456" s="6" t="str">
        <f>image("https://storage.googleapis.com/acdb/bottoms/BottomsTexPantsHalfMulticolor3.png")</f>
        <v/>
      </c>
      <c r="C456" s="5" t="s">
        <v>114</v>
      </c>
      <c r="D456" s="5" t="s">
        <v>36</v>
      </c>
      <c r="E456" s="6">
        <v>1100.0</v>
      </c>
      <c r="F456" s="6">
        <v>275.0</v>
      </c>
      <c r="G456" s="5" t="s">
        <v>142</v>
      </c>
      <c r="H456" s="5" t="s">
        <v>114</v>
      </c>
      <c r="I456" s="6" t="s">
        <v>40</v>
      </c>
      <c r="J456" s="5" t="s">
        <v>8585</v>
      </c>
      <c r="K456" s="5" t="s">
        <v>8632</v>
      </c>
      <c r="L456" s="6" t="s">
        <v>42</v>
      </c>
      <c r="M456" s="5" t="s">
        <v>8746</v>
      </c>
      <c r="N456" s="5" t="s">
        <v>64</v>
      </c>
      <c r="O456" s="5" t="s">
        <v>13560</v>
      </c>
      <c r="P456" s="6">
        <v>9091.0</v>
      </c>
    </row>
    <row r="457" ht="56.25" customHeight="1">
      <c r="A457" s="5" t="s">
        <v>13562</v>
      </c>
      <c r="B457" s="6" t="str">
        <f>image("https://storage.googleapis.com/acdb/bottoms/BottomsTexPantsNormalNoble0.png")</f>
        <v/>
      </c>
      <c r="C457" s="5" t="s">
        <v>54</v>
      </c>
      <c r="D457" s="5" t="s">
        <v>36</v>
      </c>
      <c r="E457" s="6">
        <v>4300.0</v>
      </c>
      <c r="F457" s="6">
        <v>1075.0</v>
      </c>
      <c r="G457" s="5" t="s">
        <v>54</v>
      </c>
      <c r="H457" s="5" t="s">
        <v>114</v>
      </c>
      <c r="I457" s="6" t="s">
        <v>40</v>
      </c>
      <c r="J457" s="5" t="s">
        <v>8585</v>
      </c>
      <c r="K457" s="5" t="s">
        <v>8586</v>
      </c>
      <c r="L457" s="6" t="s">
        <v>42</v>
      </c>
      <c r="M457" s="5" t="s">
        <v>612</v>
      </c>
      <c r="N457" s="5" t="s">
        <v>64</v>
      </c>
      <c r="O457" s="5" t="s">
        <v>13563</v>
      </c>
      <c r="P457" s="6">
        <v>4398.0</v>
      </c>
    </row>
    <row r="458" ht="56.25" customHeight="1">
      <c r="A458" s="5" t="s">
        <v>13562</v>
      </c>
      <c r="B458" s="6" t="str">
        <f>image("https://storage.googleapis.com/acdb/bottoms/BottomsTexPantsNormalNoble1.png")</f>
        <v/>
      </c>
      <c r="C458" s="5" t="s">
        <v>10410</v>
      </c>
      <c r="D458" s="5" t="s">
        <v>36</v>
      </c>
      <c r="E458" s="6">
        <v>4300.0</v>
      </c>
      <c r="F458" s="6">
        <v>1075.0</v>
      </c>
      <c r="G458" s="5" t="s">
        <v>69</v>
      </c>
      <c r="H458" s="5" t="s">
        <v>114</v>
      </c>
      <c r="I458" s="6" t="s">
        <v>40</v>
      </c>
      <c r="J458" s="5" t="s">
        <v>8585</v>
      </c>
      <c r="K458" s="5" t="s">
        <v>8586</v>
      </c>
      <c r="L458" s="6" t="s">
        <v>42</v>
      </c>
      <c r="M458" s="5" t="s">
        <v>612</v>
      </c>
      <c r="N458" s="5" t="s">
        <v>64</v>
      </c>
      <c r="O458" s="5" t="s">
        <v>13565</v>
      </c>
      <c r="P458" s="6">
        <v>9248.0</v>
      </c>
    </row>
    <row r="459" ht="56.25" customHeight="1">
      <c r="A459" s="5" t="s">
        <v>13562</v>
      </c>
      <c r="B459" s="6" t="str">
        <f>image("https://storage.googleapis.com/acdb/bottoms/BottomsTexPantsNormalNoble2.png")</f>
        <v/>
      </c>
      <c r="C459" s="5" t="s">
        <v>57</v>
      </c>
      <c r="D459" s="5" t="s">
        <v>36</v>
      </c>
      <c r="E459" s="6">
        <v>4300.0</v>
      </c>
      <c r="F459" s="6">
        <v>1075.0</v>
      </c>
      <c r="G459" s="5" t="s">
        <v>57</v>
      </c>
      <c r="H459" s="5" t="s">
        <v>114</v>
      </c>
      <c r="I459" s="6" t="s">
        <v>40</v>
      </c>
      <c r="J459" s="5" t="s">
        <v>8585</v>
      </c>
      <c r="K459" s="5" t="s">
        <v>8586</v>
      </c>
      <c r="L459" s="6" t="s">
        <v>42</v>
      </c>
      <c r="M459" s="5" t="s">
        <v>612</v>
      </c>
      <c r="N459" s="5" t="s">
        <v>64</v>
      </c>
      <c r="O459" s="5" t="s">
        <v>13568</v>
      </c>
      <c r="P459" s="6">
        <v>9249.0</v>
      </c>
    </row>
    <row r="460" ht="56.25" customHeight="1">
      <c r="A460" s="5" t="s">
        <v>13562</v>
      </c>
      <c r="B460" s="6" t="str">
        <f>image("https://storage.googleapis.com/acdb/bottoms/BottomsTexPantsNormalNoble3.png")</f>
        <v/>
      </c>
      <c r="C460" s="5" t="s">
        <v>68</v>
      </c>
      <c r="D460" s="5" t="s">
        <v>36</v>
      </c>
      <c r="E460" s="6">
        <v>4300.0</v>
      </c>
      <c r="F460" s="6">
        <v>1075.0</v>
      </c>
      <c r="G460" s="5" t="s">
        <v>68</v>
      </c>
      <c r="H460" s="5" t="s">
        <v>114</v>
      </c>
      <c r="I460" s="6" t="s">
        <v>40</v>
      </c>
      <c r="J460" s="5" t="s">
        <v>8585</v>
      </c>
      <c r="K460" s="5" t="s">
        <v>8586</v>
      </c>
      <c r="L460" s="6" t="s">
        <v>42</v>
      </c>
      <c r="M460" s="5" t="s">
        <v>612</v>
      </c>
      <c r="N460" s="5" t="s">
        <v>64</v>
      </c>
      <c r="O460" s="5" t="s">
        <v>13570</v>
      </c>
      <c r="P460" s="6">
        <v>9250.0</v>
      </c>
    </row>
    <row r="461" ht="56.25" customHeight="1">
      <c r="A461" s="5" t="s">
        <v>13562</v>
      </c>
      <c r="B461" s="6" t="str">
        <f>image("https://storage.googleapis.com/acdb/bottoms/BottomsTexPantsNormalNoble4.png")</f>
        <v/>
      </c>
      <c r="C461" s="5" t="s">
        <v>96</v>
      </c>
      <c r="D461" s="5" t="s">
        <v>36</v>
      </c>
      <c r="E461" s="6">
        <v>4300.0</v>
      </c>
      <c r="F461" s="6">
        <v>1075.0</v>
      </c>
      <c r="G461" s="5" t="s">
        <v>96</v>
      </c>
      <c r="H461" s="5" t="s">
        <v>114</v>
      </c>
      <c r="I461" s="6" t="s">
        <v>40</v>
      </c>
      <c r="J461" s="5" t="s">
        <v>8585</v>
      </c>
      <c r="K461" s="5" t="s">
        <v>8586</v>
      </c>
      <c r="L461" s="6" t="s">
        <v>42</v>
      </c>
      <c r="M461" s="5" t="s">
        <v>612</v>
      </c>
      <c r="N461" s="5" t="s">
        <v>64</v>
      </c>
      <c r="O461" s="5" t="s">
        <v>13571</v>
      </c>
      <c r="P461" s="6">
        <v>9251.0</v>
      </c>
    </row>
    <row r="462" ht="56.25" customHeight="1">
      <c r="A462" s="5" t="s">
        <v>13562</v>
      </c>
      <c r="B462" s="6" t="str">
        <f>image("https://storage.googleapis.com/acdb/bottoms/BottomsTexPantsNormalNoble5.png")</f>
        <v/>
      </c>
      <c r="C462" s="5" t="s">
        <v>106</v>
      </c>
      <c r="D462" s="5" t="s">
        <v>36</v>
      </c>
      <c r="E462" s="6">
        <v>4300.0</v>
      </c>
      <c r="F462" s="6">
        <v>1075.0</v>
      </c>
      <c r="G462" s="5" t="s">
        <v>106</v>
      </c>
      <c r="H462" s="5" t="s">
        <v>114</v>
      </c>
      <c r="I462" s="6" t="s">
        <v>40</v>
      </c>
      <c r="J462" s="5" t="s">
        <v>8585</v>
      </c>
      <c r="K462" s="5" t="s">
        <v>8586</v>
      </c>
      <c r="L462" s="6" t="s">
        <v>42</v>
      </c>
      <c r="M462" s="5" t="s">
        <v>612</v>
      </c>
      <c r="N462" s="5" t="s">
        <v>64</v>
      </c>
      <c r="O462" s="5" t="s">
        <v>13574</v>
      </c>
      <c r="P462" s="6">
        <v>9252.0</v>
      </c>
    </row>
    <row r="463" ht="56.25" customHeight="1">
      <c r="A463" s="5" t="s">
        <v>13562</v>
      </c>
      <c r="B463" s="6" t="str">
        <f>image("https://storage.googleapis.com/acdb/bottoms/BottomsTexPantsNormalNoble6.png")</f>
        <v/>
      </c>
      <c r="C463" s="5" t="s">
        <v>114</v>
      </c>
      <c r="D463" s="5" t="s">
        <v>36</v>
      </c>
      <c r="E463" s="6">
        <v>4300.0</v>
      </c>
      <c r="F463" s="6">
        <v>1075.0</v>
      </c>
      <c r="G463" s="5" t="s">
        <v>114</v>
      </c>
      <c r="H463" s="5" t="s">
        <v>114</v>
      </c>
      <c r="I463" s="6" t="s">
        <v>40</v>
      </c>
      <c r="J463" s="5" t="s">
        <v>8585</v>
      </c>
      <c r="K463" s="5" t="s">
        <v>8586</v>
      </c>
      <c r="L463" s="6" t="s">
        <v>42</v>
      </c>
      <c r="M463" s="5" t="s">
        <v>612</v>
      </c>
      <c r="N463" s="5" t="s">
        <v>64</v>
      </c>
      <c r="O463" s="5" t="s">
        <v>13575</v>
      </c>
      <c r="P463" s="6">
        <v>9253.0</v>
      </c>
    </row>
    <row r="464" ht="56.25" customHeight="1">
      <c r="A464" s="5" t="s">
        <v>13562</v>
      </c>
      <c r="B464" s="6" t="str">
        <f>image("https://storage.googleapis.com/acdb/bottoms/BottomsTexPantsNormalNoble7.png")</f>
        <v/>
      </c>
      <c r="C464" s="5" t="s">
        <v>52</v>
      </c>
      <c r="D464" s="5" t="s">
        <v>36</v>
      </c>
      <c r="E464" s="6">
        <v>4300.0</v>
      </c>
      <c r="F464" s="6">
        <v>1075.0</v>
      </c>
      <c r="G464" s="5" t="s">
        <v>52</v>
      </c>
      <c r="H464" s="5" t="s">
        <v>114</v>
      </c>
      <c r="I464" s="6" t="s">
        <v>40</v>
      </c>
      <c r="J464" s="5" t="s">
        <v>8585</v>
      </c>
      <c r="K464" s="5" t="s">
        <v>8586</v>
      </c>
      <c r="L464" s="6" t="s">
        <v>42</v>
      </c>
      <c r="M464" s="5" t="s">
        <v>612</v>
      </c>
      <c r="N464" s="5" t="s">
        <v>64</v>
      </c>
      <c r="O464" s="5" t="s">
        <v>13579</v>
      </c>
      <c r="P464" s="6">
        <v>9254.0</v>
      </c>
    </row>
    <row r="465" ht="56.25" customHeight="1">
      <c r="A465" s="5" t="s">
        <v>13580</v>
      </c>
      <c r="B465" s="6" t="str">
        <f>image("https://storage.googleapis.com/acdb/bottoms/BottomsTexPantsHalfOutdoor0.png")</f>
        <v/>
      </c>
      <c r="C465" s="5" t="s">
        <v>114</v>
      </c>
      <c r="D465" s="5" t="s">
        <v>36</v>
      </c>
      <c r="E465" s="6">
        <v>700.0</v>
      </c>
      <c r="F465" s="6">
        <v>175.0</v>
      </c>
      <c r="G465" s="5" t="s">
        <v>114</v>
      </c>
      <c r="H465" s="5" t="s">
        <v>114</v>
      </c>
      <c r="I465" s="6" t="s">
        <v>40</v>
      </c>
      <c r="J465" s="5" t="s">
        <v>8585</v>
      </c>
      <c r="K465" s="5" t="s">
        <v>8632</v>
      </c>
      <c r="L465" s="6" t="s">
        <v>42</v>
      </c>
      <c r="M465" s="5" t="s">
        <v>8746</v>
      </c>
      <c r="N465" s="5" t="s">
        <v>64</v>
      </c>
      <c r="O465" s="5" t="s">
        <v>13584</v>
      </c>
      <c r="P465" s="6">
        <v>4472.0</v>
      </c>
    </row>
    <row r="466" ht="56.25" customHeight="1">
      <c r="A466" s="5" t="s">
        <v>13580</v>
      </c>
      <c r="B466" s="6" t="str">
        <f>image("https://storage.googleapis.com/acdb/bottoms/BottomsTexPantsHalfOutdoor1.png")</f>
        <v/>
      </c>
      <c r="C466" s="5" t="s">
        <v>54</v>
      </c>
      <c r="D466" s="5" t="s">
        <v>36</v>
      </c>
      <c r="E466" s="6">
        <v>700.0</v>
      </c>
      <c r="F466" s="6">
        <v>175.0</v>
      </c>
      <c r="G466" s="5" t="s">
        <v>54</v>
      </c>
      <c r="H466" s="5" t="s">
        <v>54</v>
      </c>
      <c r="I466" s="6" t="s">
        <v>40</v>
      </c>
      <c r="J466" s="5" t="s">
        <v>8585</v>
      </c>
      <c r="K466" s="5" t="s">
        <v>8632</v>
      </c>
      <c r="L466" s="6" t="s">
        <v>42</v>
      </c>
      <c r="M466" s="5" t="s">
        <v>8746</v>
      </c>
      <c r="N466" s="5" t="s">
        <v>64</v>
      </c>
      <c r="O466" s="5" t="s">
        <v>13588</v>
      </c>
      <c r="P466" s="6">
        <v>6899.0</v>
      </c>
    </row>
    <row r="467" ht="56.25" customHeight="1">
      <c r="A467" s="5" t="s">
        <v>13580</v>
      </c>
      <c r="B467" s="6" t="str">
        <f>image("https://storage.googleapis.com/acdb/bottoms/BottomsTexPantsHalfOutdoor2.png")</f>
        <v/>
      </c>
      <c r="C467" s="5" t="s">
        <v>106</v>
      </c>
      <c r="D467" s="5" t="s">
        <v>36</v>
      </c>
      <c r="E467" s="6">
        <v>700.0</v>
      </c>
      <c r="F467" s="6">
        <v>175.0</v>
      </c>
      <c r="G467" s="5" t="s">
        <v>106</v>
      </c>
      <c r="H467" s="5" t="s">
        <v>106</v>
      </c>
      <c r="I467" s="6" t="s">
        <v>40</v>
      </c>
      <c r="J467" s="5" t="s">
        <v>8585</v>
      </c>
      <c r="K467" s="5" t="s">
        <v>8632</v>
      </c>
      <c r="L467" s="6" t="s">
        <v>42</v>
      </c>
      <c r="M467" s="5" t="s">
        <v>8746</v>
      </c>
      <c r="N467" s="5" t="s">
        <v>64</v>
      </c>
      <c r="O467" s="5" t="s">
        <v>13590</v>
      </c>
      <c r="P467" s="6">
        <v>9121.0</v>
      </c>
    </row>
    <row r="468" ht="56.25" customHeight="1">
      <c r="A468" s="5" t="s">
        <v>13580</v>
      </c>
      <c r="B468" s="6" t="str">
        <f>image("https://storage.googleapis.com/acdb/bottoms/BottomsTexPantsHalfOutdoor3.png")</f>
        <v/>
      </c>
      <c r="C468" s="5" t="s">
        <v>52</v>
      </c>
      <c r="D468" s="5" t="s">
        <v>36</v>
      </c>
      <c r="E468" s="6">
        <v>700.0</v>
      </c>
      <c r="F468" s="6">
        <v>175.0</v>
      </c>
      <c r="G468" s="5" t="s">
        <v>52</v>
      </c>
      <c r="H468" s="5" t="s">
        <v>52</v>
      </c>
      <c r="I468" s="6" t="s">
        <v>40</v>
      </c>
      <c r="J468" s="5" t="s">
        <v>8585</v>
      </c>
      <c r="K468" s="5" t="s">
        <v>8632</v>
      </c>
      <c r="L468" s="6" t="s">
        <v>42</v>
      </c>
      <c r="M468" s="5" t="s">
        <v>8746</v>
      </c>
      <c r="N468" s="5" t="s">
        <v>64</v>
      </c>
      <c r="O468" s="5" t="s">
        <v>13593</v>
      </c>
      <c r="P468" s="6">
        <v>9122.0</v>
      </c>
    </row>
    <row r="469" ht="56.25" customHeight="1">
      <c r="A469" s="5" t="s">
        <v>13580</v>
      </c>
      <c r="B469" s="6" t="str">
        <f>image("https://storage.googleapis.com/acdb/bottoms/BottomsTexPantsHalfOutdoor4.png")</f>
        <v/>
      </c>
      <c r="C469" s="5" t="s">
        <v>68</v>
      </c>
      <c r="D469" s="5" t="s">
        <v>36</v>
      </c>
      <c r="E469" s="6">
        <v>700.0</v>
      </c>
      <c r="F469" s="6">
        <v>175.0</v>
      </c>
      <c r="G469" s="5" t="s">
        <v>68</v>
      </c>
      <c r="H469" s="5" t="s">
        <v>68</v>
      </c>
      <c r="I469" s="6" t="s">
        <v>40</v>
      </c>
      <c r="J469" s="5" t="s">
        <v>8585</v>
      </c>
      <c r="K469" s="5" t="s">
        <v>8632</v>
      </c>
      <c r="L469" s="6" t="s">
        <v>42</v>
      </c>
      <c r="M469" s="5" t="s">
        <v>8746</v>
      </c>
      <c r="N469" s="5" t="s">
        <v>64</v>
      </c>
      <c r="O469" s="5" t="s">
        <v>13594</v>
      </c>
      <c r="P469" s="6">
        <v>9123.0</v>
      </c>
    </row>
    <row r="470" ht="56.25" customHeight="1">
      <c r="A470" s="5" t="s">
        <v>13580</v>
      </c>
      <c r="B470" s="6" t="str">
        <f>image("https://storage.googleapis.com/acdb/bottoms/BottomsTexPantsHalfOutdoor5.png")</f>
        <v/>
      </c>
      <c r="C470" s="5" t="s">
        <v>96</v>
      </c>
      <c r="D470" s="5" t="s">
        <v>36</v>
      </c>
      <c r="E470" s="6">
        <v>700.0</v>
      </c>
      <c r="F470" s="6">
        <v>175.0</v>
      </c>
      <c r="G470" s="5" t="s">
        <v>96</v>
      </c>
      <c r="H470" s="5" t="s">
        <v>96</v>
      </c>
      <c r="I470" s="6" t="s">
        <v>40</v>
      </c>
      <c r="J470" s="5" t="s">
        <v>8585</v>
      </c>
      <c r="K470" s="5" t="s">
        <v>8632</v>
      </c>
      <c r="L470" s="6" t="s">
        <v>42</v>
      </c>
      <c r="M470" s="5" t="s">
        <v>8746</v>
      </c>
      <c r="N470" s="5" t="s">
        <v>64</v>
      </c>
      <c r="O470" s="5" t="s">
        <v>13598</v>
      </c>
      <c r="P470" s="6">
        <v>9124.0</v>
      </c>
    </row>
    <row r="471" ht="56.25" customHeight="1">
      <c r="A471" s="5" t="s">
        <v>13580</v>
      </c>
      <c r="B471" s="6" t="str">
        <f>image("https://storage.googleapis.com/acdb/bottoms/BottomsTexPantsHalfOutdoor6.png")</f>
        <v/>
      </c>
      <c r="C471" s="5" t="s">
        <v>39</v>
      </c>
      <c r="D471" s="5" t="s">
        <v>36</v>
      </c>
      <c r="E471" s="6">
        <v>700.0</v>
      </c>
      <c r="F471" s="6">
        <v>175.0</v>
      </c>
      <c r="G471" s="5" t="s">
        <v>39</v>
      </c>
      <c r="H471" s="5" t="s">
        <v>39</v>
      </c>
      <c r="I471" s="6" t="s">
        <v>40</v>
      </c>
      <c r="J471" s="5" t="s">
        <v>8585</v>
      </c>
      <c r="K471" s="5" t="s">
        <v>8632</v>
      </c>
      <c r="L471" s="6" t="s">
        <v>42</v>
      </c>
      <c r="M471" s="5" t="s">
        <v>8746</v>
      </c>
      <c r="N471" s="5" t="s">
        <v>64</v>
      </c>
      <c r="O471" s="5" t="s">
        <v>13599</v>
      </c>
      <c r="P471" s="6">
        <v>9125.0</v>
      </c>
    </row>
    <row r="472" ht="56.25" customHeight="1">
      <c r="A472" s="5" t="s">
        <v>13580</v>
      </c>
      <c r="B472" s="6" t="str">
        <f>image("https://storage.googleapis.com/acdb/bottoms/BottomsTexPantsHalfOutdoor7.png")</f>
        <v/>
      </c>
      <c r="C472" s="5" t="s">
        <v>10398</v>
      </c>
      <c r="D472" s="5" t="s">
        <v>36</v>
      </c>
      <c r="E472" s="6">
        <v>700.0</v>
      </c>
      <c r="F472" s="6">
        <v>175.0</v>
      </c>
      <c r="G472" s="5" t="s">
        <v>96</v>
      </c>
      <c r="H472" s="5" t="s">
        <v>96</v>
      </c>
      <c r="I472" s="6" t="s">
        <v>40</v>
      </c>
      <c r="J472" s="5" t="s">
        <v>8585</v>
      </c>
      <c r="K472" s="5" t="s">
        <v>8632</v>
      </c>
      <c r="L472" s="6" t="s">
        <v>42</v>
      </c>
      <c r="M472" s="5" t="s">
        <v>8746</v>
      </c>
      <c r="N472" s="5" t="s">
        <v>64</v>
      </c>
      <c r="O472" s="5" t="s">
        <v>13602</v>
      </c>
      <c r="P472" s="6">
        <v>9126.0</v>
      </c>
    </row>
    <row r="473" ht="56.25" customHeight="1">
      <c r="A473" s="5" t="s">
        <v>13603</v>
      </c>
      <c r="B473" s="6" t="str">
        <f>image("https://storage.googleapis.com/acdb/bottoms/BottomsTexPantsWideKnee0.png")</f>
        <v/>
      </c>
      <c r="C473" s="5" t="s">
        <v>39</v>
      </c>
      <c r="D473" s="5" t="s">
        <v>36</v>
      </c>
      <c r="E473" s="6">
        <v>880.0</v>
      </c>
      <c r="F473" s="6">
        <v>220.0</v>
      </c>
      <c r="G473" s="5" t="s">
        <v>39</v>
      </c>
      <c r="H473" s="5" t="s">
        <v>142</v>
      </c>
      <c r="I473" s="6" t="s">
        <v>40</v>
      </c>
      <c r="J473" s="5" t="s">
        <v>8585</v>
      </c>
      <c r="K473" s="5" t="s">
        <v>8632</v>
      </c>
      <c r="L473" s="6" t="s">
        <v>42</v>
      </c>
      <c r="M473" s="5" t="s">
        <v>995</v>
      </c>
      <c r="N473" s="5" t="s">
        <v>64</v>
      </c>
      <c r="O473" s="5" t="s">
        <v>13607</v>
      </c>
      <c r="P473" s="6">
        <v>4490.0</v>
      </c>
    </row>
    <row r="474" ht="56.25" customHeight="1">
      <c r="A474" s="5" t="s">
        <v>13603</v>
      </c>
      <c r="B474" s="6" t="str">
        <f>image("https://storage.googleapis.com/acdb/bottoms/BottomsTexPantsWideKnee1.png")</f>
        <v/>
      </c>
      <c r="C474" s="5" t="s">
        <v>106</v>
      </c>
      <c r="D474" s="5" t="s">
        <v>36</v>
      </c>
      <c r="E474" s="6">
        <v>880.0</v>
      </c>
      <c r="F474" s="6">
        <v>220.0</v>
      </c>
      <c r="G474" s="5" t="s">
        <v>106</v>
      </c>
      <c r="H474" s="5" t="s">
        <v>106</v>
      </c>
      <c r="I474" s="6" t="s">
        <v>40</v>
      </c>
      <c r="J474" s="5" t="s">
        <v>8585</v>
      </c>
      <c r="K474" s="5" t="s">
        <v>8632</v>
      </c>
      <c r="L474" s="6" t="s">
        <v>42</v>
      </c>
      <c r="M474" s="5" t="s">
        <v>995</v>
      </c>
      <c r="N474" s="5" t="s">
        <v>64</v>
      </c>
      <c r="O474" s="5" t="s">
        <v>13609</v>
      </c>
      <c r="P474" s="6">
        <v>9278.0</v>
      </c>
    </row>
    <row r="475" ht="56.25" customHeight="1">
      <c r="A475" s="5" t="s">
        <v>13603</v>
      </c>
      <c r="B475" s="6" t="str">
        <f>image("https://storage.googleapis.com/acdb/bottoms/BottomsTexPantsWideKnee2.png")</f>
        <v/>
      </c>
      <c r="C475" s="5" t="s">
        <v>96</v>
      </c>
      <c r="D475" s="5" t="s">
        <v>36</v>
      </c>
      <c r="E475" s="6">
        <v>880.0</v>
      </c>
      <c r="F475" s="6">
        <v>220.0</v>
      </c>
      <c r="G475" s="5" t="s">
        <v>96</v>
      </c>
      <c r="H475" s="5" t="s">
        <v>83</v>
      </c>
      <c r="I475" s="6" t="s">
        <v>40</v>
      </c>
      <c r="J475" s="5" t="s">
        <v>8585</v>
      </c>
      <c r="K475" s="5" t="s">
        <v>8632</v>
      </c>
      <c r="L475" s="6" t="s">
        <v>42</v>
      </c>
      <c r="M475" s="5" t="s">
        <v>995</v>
      </c>
      <c r="N475" s="5" t="s">
        <v>64</v>
      </c>
      <c r="O475" s="5" t="s">
        <v>13614</v>
      </c>
      <c r="P475" s="6">
        <v>9279.0</v>
      </c>
    </row>
    <row r="476" ht="56.25" customHeight="1">
      <c r="A476" s="5" t="s">
        <v>13603</v>
      </c>
      <c r="B476" s="6" t="str">
        <f>image("https://storage.googleapis.com/acdb/bottoms/BottomsTexPantsWideKnee3.png")</f>
        <v/>
      </c>
      <c r="C476" s="5" t="s">
        <v>114</v>
      </c>
      <c r="D476" s="5" t="s">
        <v>36</v>
      </c>
      <c r="E476" s="6">
        <v>880.0</v>
      </c>
      <c r="F476" s="6">
        <v>220.0</v>
      </c>
      <c r="G476" s="5" t="s">
        <v>114</v>
      </c>
      <c r="H476" s="5" t="s">
        <v>114</v>
      </c>
      <c r="I476" s="6" t="s">
        <v>40</v>
      </c>
      <c r="J476" s="5" t="s">
        <v>8585</v>
      </c>
      <c r="K476" s="5" t="s">
        <v>8632</v>
      </c>
      <c r="L476" s="6" t="s">
        <v>42</v>
      </c>
      <c r="M476" s="5" t="s">
        <v>995</v>
      </c>
      <c r="N476" s="5" t="s">
        <v>64</v>
      </c>
      <c r="O476" s="5" t="s">
        <v>13616</v>
      </c>
      <c r="P476" s="6">
        <v>9280.0</v>
      </c>
    </row>
    <row r="477" ht="56.25" customHeight="1">
      <c r="A477" s="5" t="s">
        <v>13617</v>
      </c>
      <c r="B477" s="6" t="str">
        <f>image("https://storage.googleapis.com/acdb/bottoms/BottomsTexSkirtLongPatch0.png")</f>
        <v/>
      </c>
      <c r="C477" s="5" t="s">
        <v>68</v>
      </c>
      <c r="D477" s="5" t="s">
        <v>36</v>
      </c>
      <c r="E477" s="6">
        <v>2100.0</v>
      </c>
      <c r="F477" s="6">
        <v>525.0</v>
      </c>
      <c r="G477" s="5" t="s">
        <v>68</v>
      </c>
      <c r="H477" s="5" t="s">
        <v>83</v>
      </c>
      <c r="I477" s="6" t="s">
        <v>40</v>
      </c>
      <c r="J477" s="5" t="s">
        <v>8585</v>
      </c>
      <c r="K477" s="5" t="s">
        <v>8632</v>
      </c>
      <c r="L477" s="6" t="s">
        <v>42</v>
      </c>
      <c r="M477" s="5" t="s">
        <v>1959</v>
      </c>
      <c r="N477" s="5" t="s">
        <v>64</v>
      </c>
      <c r="O477" s="5" t="s">
        <v>13620</v>
      </c>
      <c r="P477" s="6">
        <v>5544.0</v>
      </c>
    </row>
    <row r="478" ht="56.25" customHeight="1">
      <c r="A478" s="5" t="s">
        <v>13617</v>
      </c>
      <c r="B478" s="6" t="str">
        <f>image("https://storage.googleapis.com/acdb/bottoms/BottomsTexSkirtLongPatch1.png")</f>
        <v/>
      </c>
      <c r="C478" s="5" t="s">
        <v>52</v>
      </c>
      <c r="D478" s="5" t="s">
        <v>36</v>
      </c>
      <c r="E478" s="6">
        <v>2100.0</v>
      </c>
      <c r="F478" s="6">
        <v>525.0</v>
      </c>
      <c r="G478" s="5" t="s">
        <v>52</v>
      </c>
      <c r="H478" s="5" t="s">
        <v>39</v>
      </c>
      <c r="I478" s="6" t="s">
        <v>40</v>
      </c>
      <c r="J478" s="5" t="s">
        <v>8585</v>
      </c>
      <c r="K478" s="5" t="s">
        <v>8632</v>
      </c>
      <c r="L478" s="6" t="s">
        <v>42</v>
      </c>
      <c r="M478" s="5" t="s">
        <v>1959</v>
      </c>
      <c r="N478" s="5" t="s">
        <v>64</v>
      </c>
      <c r="O478" s="5" t="s">
        <v>13622</v>
      </c>
      <c r="P478" s="6">
        <v>8740.0</v>
      </c>
    </row>
    <row r="479" ht="56.25" customHeight="1">
      <c r="A479" s="5" t="s">
        <v>13617</v>
      </c>
      <c r="B479" s="6" t="str">
        <f>image("https://storage.googleapis.com/acdb/bottoms/BottomsTexSkirtLongPatch2.png")</f>
        <v/>
      </c>
      <c r="C479" s="5" t="s">
        <v>114</v>
      </c>
      <c r="D479" s="5" t="s">
        <v>36</v>
      </c>
      <c r="E479" s="6">
        <v>2100.0</v>
      </c>
      <c r="F479" s="6">
        <v>525.0</v>
      </c>
      <c r="G479" s="5" t="s">
        <v>114</v>
      </c>
      <c r="H479" s="5" t="s">
        <v>39</v>
      </c>
      <c r="I479" s="6" t="s">
        <v>40</v>
      </c>
      <c r="J479" s="5" t="s">
        <v>8585</v>
      </c>
      <c r="K479" s="5" t="s">
        <v>8632</v>
      </c>
      <c r="L479" s="6" t="s">
        <v>42</v>
      </c>
      <c r="M479" s="5" t="s">
        <v>1959</v>
      </c>
      <c r="N479" s="5" t="s">
        <v>64</v>
      </c>
      <c r="O479" s="5" t="s">
        <v>13624</v>
      </c>
      <c r="P479" s="6">
        <v>8741.0</v>
      </c>
    </row>
    <row r="480" ht="56.25" customHeight="1">
      <c r="A480" s="5" t="s">
        <v>13617</v>
      </c>
      <c r="B480" s="6" t="str">
        <f>image("https://storage.googleapis.com/acdb/bottoms/BottomsTexSkirtLongPatch3.png")</f>
        <v/>
      </c>
      <c r="C480" s="5" t="s">
        <v>96</v>
      </c>
      <c r="D480" s="5" t="s">
        <v>36</v>
      </c>
      <c r="E480" s="6">
        <v>2100.0</v>
      </c>
      <c r="F480" s="6">
        <v>525.0</v>
      </c>
      <c r="G480" s="5" t="s">
        <v>96</v>
      </c>
      <c r="H480" s="5" t="s">
        <v>96</v>
      </c>
      <c r="I480" s="6" t="s">
        <v>40</v>
      </c>
      <c r="J480" s="5" t="s">
        <v>8585</v>
      </c>
      <c r="K480" s="5" t="s">
        <v>8632</v>
      </c>
      <c r="L480" s="6" t="s">
        <v>42</v>
      </c>
      <c r="M480" s="5" t="s">
        <v>1959</v>
      </c>
      <c r="N480" s="5" t="s">
        <v>64</v>
      </c>
      <c r="O480" s="5" t="s">
        <v>13627</v>
      </c>
      <c r="P480" s="6">
        <v>8742.0</v>
      </c>
    </row>
    <row r="481" ht="56.25" customHeight="1">
      <c r="A481" s="5" t="s">
        <v>13628</v>
      </c>
      <c r="B481" s="6" t="str">
        <f>image("https://storage.googleapis.com/acdb/bottoms/BottomsTexSkirtAlinePearlNavy.png")</f>
        <v/>
      </c>
      <c r="C481" s="5" t="s">
        <v>1187</v>
      </c>
      <c r="D481" s="5" t="s">
        <v>36</v>
      </c>
      <c r="E481" s="6">
        <v>1680.0</v>
      </c>
      <c r="F481" s="6">
        <v>420.0</v>
      </c>
      <c r="G481" s="5" t="s">
        <v>68</v>
      </c>
      <c r="H481" s="5" t="s">
        <v>57</v>
      </c>
      <c r="I481" s="6" t="s">
        <v>40</v>
      </c>
      <c r="J481" s="5" t="s">
        <v>8585</v>
      </c>
      <c r="K481" s="5" t="s">
        <v>8586</v>
      </c>
      <c r="L481" s="6" t="s">
        <v>42</v>
      </c>
      <c r="M481" s="5" t="s">
        <v>1959</v>
      </c>
      <c r="N481" s="5" t="s">
        <v>64</v>
      </c>
      <c r="O481" s="5" t="s">
        <v>13630</v>
      </c>
      <c r="P481" s="6">
        <v>5737.0</v>
      </c>
    </row>
    <row r="482" ht="56.25" customHeight="1">
      <c r="A482" s="5" t="s">
        <v>13631</v>
      </c>
      <c r="B482" s="6" t="str">
        <f>image("https://storage.googleapis.com/acdb/bottoms/BottomsTexSkirtAlineTutu0.png")</f>
        <v/>
      </c>
      <c r="C482" s="5" t="s">
        <v>1952</v>
      </c>
      <c r="D482" s="5" t="s">
        <v>36</v>
      </c>
      <c r="E482" s="6">
        <v>1540.0</v>
      </c>
      <c r="F482" s="6">
        <v>385.0</v>
      </c>
      <c r="G482" s="5" t="s">
        <v>54</v>
      </c>
      <c r="H482" s="5" t="s">
        <v>58</v>
      </c>
      <c r="I482" s="6" t="s">
        <v>40</v>
      </c>
      <c r="J482" s="5" t="s">
        <v>8585</v>
      </c>
      <c r="K482" s="5" t="s">
        <v>8586</v>
      </c>
      <c r="L482" s="6" t="s">
        <v>42</v>
      </c>
      <c r="M482" s="5" t="s">
        <v>612</v>
      </c>
      <c r="N482" s="5" t="s">
        <v>64</v>
      </c>
      <c r="O482" s="5" t="s">
        <v>13635</v>
      </c>
      <c r="P482" s="6">
        <v>5422.0</v>
      </c>
    </row>
    <row r="483" ht="56.25" customHeight="1">
      <c r="A483" s="5" t="s">
        <v>13631</v>
      </c>
      <c r="B483" s="6" t="str">
        <f>image("https://storage.googleapis.com/acdb/bottoms/BottomsTexSkirtAlineTutu1.png")</f>
        <v/>
      </c>
      <c r="C483" s="5" t="s">
        <v>5876</v>
      </c>
      <c r="D483" s="5" t="s">
        <v>36</v>
      </c>
      <c r="E483" s="6">
        <v>1540.0</v>
      </c>
      <c r="F483" s="6">
        <v>385.0</v>
      </c>
      <c r="G483" s="5" t="s">
        <v>106</v>
      </c>
      <c r="H483" s="5" t="s">
        <v>58</v>
      </c>
      <c r="I483" s="6" t="s">
        <v>40</v>
      </c>
      <c r="J483" s="5" t="s">
        <v>8585</v>
      </c>
      <c r="K483" s="5" t="s">
        <v>8586</v>
      </c>
      <c r="L483" s="6" t="s">
        <v>42</v>
      </c>
      <c r="M483" s="5" t="s">
        <v>612</v>
      </c>
      <c r="N483" s="5" t="s">
        <v>64</v>
      </c>
      <c r="O483" s="5" t="s">
        <v>13638</v>
      </c>
      <c r="P483" s="6">
        <v>8916.0</v>
      </c>
    </row>
    <row r="484" ht="56.25" customHeight="1">
      <c r="A484" s="5" t="s">
        <v>13631</v>
      </c>
      <c r="B484" s="6" t="str">
        <f>image("https://storage.googleapis.com/acdb/bottoms/BottomsTexSkirtAlineTutu2.png")</f>
        <v/>
      </c>
      <c r="C484" s="5" t="s">
        <v>688</v>
      </c>
      <c r="D484" s="5" t="s">
        <v>36</v>
      </c>
      <c r="E484" s="6">
        <v>1540.0</v>
      </c>
      <c r="F484" s="6">
        <v>385.0</v>
      </c>
      <c r="G484" s="5" t="s">
        <v>83</v>
      </c>
      <c r="H484" s="5" t="s">
        <v>58</v>
      </c>
      <c r="I484" s="6" t="s">
        <v>40</v>
      </c>
      <c r="J484" s="5" t="s">
        <v>8585</v>
      </c>
      <c r="K484" s="5" t="s">
        <v>8586</v>
      </c>
      <c r="L484" s="6" t="s">
        <v>42</v>
      </c>
      <c r="M484" s="5" t="s">
        <v>612</v>
      </c>
      <c r="N484" s="5" t="s">
        <v>64</v>
      </c>
      <c r="O484" s="5" t="s">
        <v>13640</v>
      </c>
      <c r="P484" s="6">
        <v>8917.0</v>
      </c>
    </row>
    <row r="485" ht="56.25" customHeight="1">
      <c r="A485" s="5" t="s">
        <v>13642</v>
      </c>
      <c r="B485" s="6" t="str">
        <f>image("https://storage.googleapis.com/acdb/bottoms/BottomsTexPantsHalfAloha0.png")</f>
        <v/>
      </c>
      <c r="C485" s="5" t="s">
        <v>68</v>
      </c>
      <c r="D485" s="5" t="s">
        <v>36</v>
      </c>
      <c r="E485" s="6">
        <v>840.0</v>
      </c>
      <c r="F485" s="6">
        <v>210.0</v>
      </c>
      <c r="G485" s="5" t="s">
        <v>68</v>
      </c>
      <c r="H485" s="5" t="s">
        <v>83</v>
      </c>
      <c r="I485" s="6" t="s">
        <v>40</v>
      </c>
      <c r="J485" s="5" t="s">
        <v>8585</v>
      </c>
      <c r="K485" s="5" t="s">
        <v>8632</v>
      </c>
      <c r="L485" s="6" t="s">
        <v>42</v>
      </c>
      <c r="M485" s="5" t="s">
        <v>8746</v>
      </c>
      <c r="N485" s="5" t="s">
        <v>64</v>
      </c>
      <c r="O485" s="5" t="s">
        <v>13644</v>
      </c>
      <c r="P485" s="6">
        <v>4405.0</v>
      </c>
    </row>
    <row r="486" ht="56.25" customHeight="1">
      <c r="A486" s="5" t="s">
        <v>13642</v>
      </c>
      <c r="B486" s="6" t="str">
        <f>image("https://storage.googleapis.com/acdb/bottoms/BottomsTexPantsHalfAloha1.png")</f>
        <v/>
      </c>
      <c r="C486" s="5" t="s">
        <v>52</v>
      </c>
      <c r="D486" s="5" t="s">
        <v>36</v>
      </c>
      <c r="E486" s="6">
        <v>840.0</v>
      </c>
      <c r="F486" s="6">
        <v>210.0</v>
      </c>
      <c r="G486" s="5" t="s">
        <v>52</v>
      </c>
      <c r="H486" s="5" t="s">
        <v>114</v>
      </c>
      <c r="I486" s="6" t="s">
        <v>40</v>
      </c>
      <c r="J486" s="5" t="s">
        <v>8585</v>
      </c>
      <c r="K486" s="5" t="s">
        <v>8632</v>
      </c>
      <c r="L486" s="6" t="s">
        <v>42</v>
      </c>
      <c r="M486" s="5" t="s">
        <v>8746</v>
      </c>
      <c r="N486" s="5" t="s">
        <v>64</v>
      </c>
      <c r="O486" s="5" t="s">
        <v>13646</v>
      </c>
      <c r="P486" s="6">
        <v>11314.0</v>
      </c>
    </row>
    <row r="487" ht="56.25" customHeight="1">
      <c r="A487" s="5" t="s">
        <v>13642</v>
      </c>
      <c r="B487" s="6" t="str">
        <f>image("https://storage.googleapis.com/acdb/bottoms/BottomsTexPantsHalfAloha2.png")</f>
        <v/>
      </c>
      <c r="C487" s="5" t="s">
        <v>114</v>
      </c>
      <c r="D487" s="5" t="s">
        <v>36</v>
      </c>
      <c r="E487" s="6">
        <v>840.0</v>
      </c>
      <c r="F487" s="6">
        <v>210.0</v>
      </c>
      <c r="G487" s="5" t="s">
        <v>114</v>
      </c>
      <c r="H487" s="5" t="s">
        <v>83</v>
      </c>
      <c r="I487" s="6" t="s">
        <v>40</v>
      </c>
      <c r="J487" s="5" t="s">
        <v>8585</v>
      </c>
      <c r="K487" s="5" t="s">
        <v>8632</v>
      </c>
      <c r="L487" s="6" t="s">
        <v>42</v>
      </c>
      <c r="M487" s="5" t="s">
        <v>8746</v>
      </c>
      <c r="N487" s="5" t="s">
        <v>64</v>
      </c>
      <c r="O487" s="5" t="s">
        <v>13649</v>
      </c>
      <c r="P487" s="6">
        <v>11315.0</v>
      </c>
    </row>
    <row r="488" ht="56.25" customHeight="1">
      <c r="A488" s="5" t="s">
        <v>13642</v>
      </c>
      <c r="B488" s="6" t="str">
        <f>image("https://storage.googleapis.com/acdb/bottoms/BottomsTexPantsHalfAloha3.png")</f>
        <v/>
      </c>
      <c r="C488" s="5" t="s">
        <v>96</v>
      </c>
      <c r="D488" s="5" t="s">
        <v>36</v>
      </c>
      <c r="E488" s="6">
        <v>840.0</v>
      </c>
      <c r="F488" s="6">
        <v>210.0</v>
      </c>
      <c r="G488" s="5" t="s">
        <v>96</v>
      </c>
      <c r="H488" s="5" t="s">
        <v>114</v>
      </c>
      <c r="I488" s="6" t="s">
        <v>40</v>
      </c>
      <c r="J488" s="5" t="s">
        <v>8585</v>
      </c>
      <c r="K488" s="5" t="s">
        <v>8632</v>
      </c>
      <c r="L488" s="6" t="s">
        <v>42</v>
      </c>
      <c r="M488" s="5" t="s">
        <v>8746</v>
      </c>
      <c r="N488" s="5" t="s">
        <v>64</v>
      </c>
      <c r="O488" s="5" t="s">
        <v>13651</v>
      </c>
      <c r="P488" s="6">
        <v>11316.0</v>
      </c>
    </row>
    <row r="489" ht="56.25" customHeight="1">
      <c r="A489" s="5" t="s">
        <v>13642</v>
      </c>
      <c r="B489" s="6" t="str">
        <f>image("https://storage.googleapis.com/acdb/bottoms/BottomsTexPantsHalfAloha4.png")</f>
        <v/>
      </c>
      <c r="C489" s="5" t="s">
        <v>106</v>
      </c>
      <c r="D489" s="5" t="s">
        <v>36</v>
      </c>
      <c r="E489" s="6">
        <v>840.0</v>
      </c>
      <c r="F489" s="6">
        <v>210.0</v>
      </c>
      <c r="G489" s="5" t="s">
        <v>106</v>
      </c>
      <c r="H489" s="5" t="s">
        <v>83</v>
      </c>
      <c r="I489" s="6" t="s">
        <v>40</v>
      </c>
      <c r="J489" s="5" t="s">
        <v>8585</v>
      </c>
      <c r="K489" s="5" t="s">
        <v>8632</v>
      </c>
      <c r="L489" s="6" t="s">
        <v>42</v>
      </c>
      <c r="M489" s="5" t="s">
        <v>8746</v>
      </c>
      <c r="N489" s="5" t="s">
        <v>64</v>
      </c>
      <c r="O489" s="5" t="s">
        <v>13654</v>
      </c>
      <c r="P489" s="6">
        <v>11317.0</v>
      </c>
    </row>
    <row r="490" ht="56.25" customHeight="1">
      <c r="A490" s="5" t="s">
        <v>13642</v>
      </c>
      <c r="B490" s="6" t="str">
        <f>image("https://storage.googleapis.com/acdb/bottoms/BottomsTexPantsHalfAloha5.png")</f>
        <v/>
      </c>
      <c r="C490" s="5" t="s">
        <v>69</v>
      </c>
      <c r="D490" s="5" t="s">
        <v>36</v>
      </c>
      <c r="E490" s="6">
        <v>840.0</v>
      </c>
      <c r="F490" s="6">
        <v>210.0</v>
      </c>
      <c r="G490" s="5" t="s">
        <v>69</v>
      </c>
      <c r="H490" s="5" t="s">
        <v>142</v>
      </c>
      <c r="I490" s="6" t="s">
        <v>40</v>
      </c>
      <c r="J490" s="5" t="s">
        <v>8585</v>
      </c>
      <c r="K490" s="5" t="s">
        <v>8632</v>
      </c>
      <c r="L490" s="6" t="s">
        <v>42</v>
      </c>
      <c r="M490" s="5" t="s">
        <v>8746</v>
      </c>
      <c r="N490" s="5" t="s">
        <v>64</v>
      </c>
      <c r="O490" s="5" t="s">
        <v>13656</v>
      </c>
      <c r="P490" s="6">
        <v>11318.0</v>
      </c>
    </row>
    <row r="491" ht="56.25" customHeight="1">
      <c r="A491" s="5" t="s">
        <v>13642</v>
      </c>
      <c r="B491" s="6" t="str">
        <f>image("https://storage.googleapis.com/acdb/bottoms/BottomsTexPantsHalfAloha6.png")</f>
        <v/>
      </c>
      <c r="C491" s="5" t="s">
        <v>142</v>
      </c>
      <c r="D491" s="5" t="s">
        <v>36</v>
      </c>
      <c r="E491" s="6">
        <v>840.0</v>
      </c>
      <c r="F491" s="6">
        <v>210.0</v>
      </c>
      <c r="G491" s="5" t="s">
        <v>142</v>
      </c>
      <c r="H491" s="5" t="s">
        <v>114</v>
      </c>
      <c r="I491" s="6" t="s">
        <v>40</v>
      </c>
      <c r="J491" s="5" t="s">
        <v>8585</v>
      </c>
      <c r="K491" s="5" t="s">
        <v>8632</v>
      </c>
      <c r="L491" s="6" t="s">
        <v>42</v>
      </c>
      <c r="M491" s="5" t="s">
        <v>8746</v>
      </c>
      <c r="N491" s="5" t="s">
        <v>64</v>
      </c>
      <c r="O491" s="5" t="s">
        <v>13658</v>
      </c>
      <c r="P491" s="6">
        <v>11319.0</v>
      </c>
    </row>
    <row r="492" ht="56.25" customHeight="1">
      <c r="A492" s="5" t="s">
        <v>13659</v>
      </c>
      <c r="B492" s="6" t="str">
        <f>image("https://storage.googleapis.com/acdb/bottoms/BottomsTexPantsHotShaggycheck0.png")</f>
        <v/>
      </c>
      <c r="C492" s="5" t="s">
        <v>83</v>
      </c>
      <c r="D492" s="5" t="s">
        <v>36</v>
      </c>
      <c r="E492" s="6">
        <v>980.0</v>
      </c>
      <c r="F492" s="6">
        <v>245.0</v>
      </c>
      <c r="G492" s="5" t="s">
        <v>83</v>
      </c>
      <c r="H492" s="5" t="s">
        <v>95</v>
      </c>
      <c r="I492" s="6" t="s">
        <v>40</v>
      </c>
      <c r="J492" s="5" t="s">
        <v>8585</v>
      </c>
      <c r="K492" s="5" t="s">
        <v>8632</v>
      </c>
      <c r="L492" s="6" t="s">
        <v>42</v>
      </c>
      <c r="M492" s="5" t="s">
        <v>995</v>
      </c>
      <c r="N492" s="5" t="s">
        <v>64</v>
      </c>
      <c r="O492" s="5" t="s">
        <v>13661</v>
      </c>
      <c r="P492" s="6">
        <v>5664.0</v>
      </c>
    </row>
    <row r="493" ht="56.25" customHeight="1">
      <c r="A493" s="5" t="s">
        <v>13659</v>
      </c>
      <c r="B493" s="6" t="str">
        <f>image("https://storage.googleapis.com/acdb/bottoms/BottomsTexPantsHotShaggycheck1.png")</f>
        <v/>
      </c>
      <c r="C493" s="5" t="s">
        <v>39</v>
      </c>
      <c r="D493" s="5" t="s">
        <v>36</v>
      </c>
      <c r="E493" s="6">
        <v>980.0</v>
      </c>
      <c r="F493" s="6">
        <v>245.0</v>
      </c>
      <c r="G493" s="5" t="s">
        <v>39</v>
      </c>
      <c r="H493" s="5" t="s">
        <v>142</v>
      </c>
      <c r="I493" s="6" t="s">
        <v>40</v>
      </c>
      <c r="J493" s="5" t="s">
        <v>8585</v>
      </c>
      <c r="K493" s="5" t="s">
        <v>8632</v>
      </c>
      <c r="L493" s="6" t="s">
        <v>42</v>
      </c>
      <c r="M493" s="5" t="s">
        <v>995</v>
      </c>
      <c r="N493" s="5" t="s">
        <v>64</v>
      </c>
      <c r="O493" s="5" t="s">
        <v>13664</v>
      </c>
      <c r="P493" s="6">
        <v>8842.0</v>
      </c>
    </row>
    <row r="494" ht="56.25" customHeight="1">
      <c r="A494" s="5" t="s">
        <v>13659</v>
      </c>
      <c r="B494" s="6" t="str">
        <f>image("https://storage.googleapis.com/acdb/bottoms/BottomsTexPantsHotShaggycheck2.png")</f>
        <v/>
      </c>
      <c r="C494" s="5" t="s">
        <v>1857</v>
      </c>
      <c r="D494" s="5" t="s">
        <v>36</v>
      </c>
      <c r="E494" s="6">
        <v>980.0</v>
      </c>
      <c r="F494" s="6">
        <v>245.0</v>
      </c>
      <c r="G494" s="5" t="s">
        <v>96</v>
      </c>
      <c r="H494" s="5" t="s">
        <v>96</v>
      </c>
      <c r="I494" s="6" t="s">
        <v>40</v>
      </c>
      <c r="J494" s="5" t="s">
        <v>8585</v>
      </c>
      <c r="K494" s="5" t="s">
        <v>8632</v>
      </c>
      <c r="L494" s="6" t="s">
        <v>42</v>
      </c>
      <c r="M494" s="5" t="s">
        <v>995</v>
      </c>
      <c r="N494" s="5" t="s">
        <v>64</v>
      </c>
      <c r="O494" s="5" t="s">
        <v>13666</v>
      </c>
      <c r="P494" s="6">
        <v>8843.0</v>
      </c>
    </row>
    <row r="495" ht="56.25" customHeight="1">
      <c r="A495" s="5" t="s">
        <v>13659</v>
      </c>
      <c r="B495" s="6" t="str">
        <f>image("https://storage.googleapis.com/acdb/bottoms/BottomsTexPantsHotShaggycheck3.png")</f>
        <v/>
      </c>
      <c r="C495" s="5" t="s">
        <v>52</v>
      </c>
      <c r="D495" s="5" t="s">
        <v>36</v>
      </c>
      <c r="E495" s="6">
        <v>980.0</v>
      </c>
      <c r="F495" s="6">
        <v>245.0</v>
      </c>
      <c r="G495" s="5" t="s">
        <v>52</v>
      </c>
      <c r="H495" s="5" t="s">
        <v>69</v>
      </c>
      <c r="I495" s="6" t="s">
        <v>40</v>
      </c>
      <c r="J495" s="5" t="s">
        <v>8585</v>
      </c>
      <c r="K495" s="5" t="s">
        <v>8632</v>
      </c>
      <c r="L495" s="6" t="s">
        <v>42</v>
      </c>
      <c r="M495" s="5" t="s">
        <v>995</v>
      </c>
      <c r="N495" s="5" t="s">
        <v>64</v>
      </c>
      <c r="O495" s="5" t="s">
        <v>13669</v>
      </c>
      <c r="P495" s="6">
        <v>8844.0</v>
      </c>
    </row>
    <row r="496" ht="56.25" customHeight="1">
      <c r="A496" s="5" t="s">
        <v>13671</v>
      </c>
      <c r="B496" s="6" t="str">
        <f>image("https://storage.googleapis.com/acdb/bottoms/BottomsTexSkirtAlineLeather0.png")</f>
        <v/>
      </c>
      <c r="C496" s="5" t="s">
        <v>39</v>
      </c>
      <c r="D496" s="5" t="s">
        <v>36</v>
      </c>
      <c r="E496" s="6">
        <v>1560.0</v>
      </c>
      <c r="F496" s="6">
        <v>390.0</v>
      </c>
      <c r="G496" s="5" t="s">
        <v>39</v>
      </c>
      <c r="H496" s="5" t="s">
        <v>39</v>
      </c>
      <c r="I496" s="6" t="s">
        <v>40</v>
      </c>
      <c r="J496" s="5" t="s">
        <v>8585</v>
      </c>
      <c r="K496" s="5" t="s">
        <v>8586</v>
      </c>
      <c r="L496" s="6" t="s">
        <v>42</v>
      </c>
      <c r="M496" s="5" t="s">
        <v>8746</v>
      </c>
      <c r="N496" s="5" t="s">
        <v>64</v>
      </c>
      <c r="O496" s="5" t="s">
        <v>13674</v>
      </c>
      <c r="P496" s="6">
        <v>5420.0</v>
      </c>
    </row>
    <row r="497" ht="56.25" customHeight="1">
      <c r="A497" s="5" t="s">
        <v>13671</v>
      </c>
      <c r="B497" s="6" t="str">
        <f>image("https://storage.googleapis.com/acdb/bottoms/BottomsTexSkirtAlineLeather1.png")</f>
        <v/>
      </c>
      <c r="C497" s="5" t="s">
        <v>54</v>
      </c>
      <c r="D497" s="5" t="s">
        <v>36</v>
      </c>
      <c r="E497" s="6">
        <v>1560.0</v>
      </c>
      <c r="F497" s="6">
        <v>390.0</v>
      </c>
      <c r="G497" s="5" t="s">
        <v>54</v>
      </c>
      <c r="H497" s="5" t="s">
        <v>54</v>
      </c>
      <c r="I497" s="6" t="s">
        <v>40</v>
      </c>
      <c r="J497" s="5" t="s">
        <v>8585</v>
      </c>
      <c r="K497" s="5" t="s">
        <v>8586</v>
      </c>
      <c r="L497" s="6" t="s">
        <v>42</v>
      </c>
      <c r="M497" s="5" t="s">
        <v>8746</v>
      </c>
      <c r="N497" s="5" t="s">
        <v>64</v>
      </c>
      <c r="O497" s="5" t="s">
        <v>13675</v>
      </c>
      <c r="P497" s="6">
        <v>10202.0</v>
      </c>
    </row>
    <row r="498" ht="56.25" customHeight="1">
      <c r="A498" s="5" t="s">
        <v>13671</v>
      </c>
      <c r="B498" s="6" t="str">
        <f>image("https://storage.googleapis.com/acdb/bottoms/BottomsTexSkirtAlineLeather2.png")</f>
        <v/>
      </c>
      <c r="C498" s="5" t="s">
        <v>69</v>
      </c>
      <c r="D498" s="5" t="s">
        <v>36</v>
      </c>
      <c r="E498" s="6">
        <v>1560.0</v>
      </c>
      <c r="F498" s="6">
        <v>390.0</v>
      </c>
      <c r="G498" s="5" t="s">
        <v>69</v>
      </c>
      <c r="H498" s="5" t="s">
        <v>69</v>
      </c>
      <c r="I498" s="6" t="s">
        <v>40</v>
      </c>
      <c r="J498" s="5" t="s">
        <v>8585</v>
      </c>
      <c r="K498" s="5" t="s">
        <v>8586</v>
      </c>
      <c r="L498" s="6" t="s">
        <v>42</v>
      </c>
      <c r="M498" s="5" t="s">
        <v>8746</v>
      </c>
      <c r="N498" s="5" t="s">
        <v>64</v>
      </c>
      <c r="O498" s="5" t="s">
        <v>13679</v>
      </c>
      <c r="P498" s="6">
        <v>10203.0</v>
      </c>
    </row>
    <row r="499" ht="56.25" customHeight="1">
      <c r="A499" s="5" t="s">
        <v>13671</v>
      </c>
      <c r="B499" s="6" t="str">
        <f>image("https://storage.googleapis.com/acdb/bottoms/BottomsTexSkirtAlineLeather3.png")</f>
        <v/>
      </c>
      <c r="C499" s="5" t="s">
        <v>68</v>
      </c>
      <c r="D499" s="5" t="s">
        <v>36</v>
      </c>
      <c r="E499" s="6">
        <v>1560.0</v>
      </c>
      <c r="F499" s="6">
        <v>390.0</v>
      </c>
      <c r="G499" s="5" t="s">
        <v>68</v>
      </c>
      <c r="H499" s="5" t="s">
        <v>68</v>
      </c>
      <c r="I499" s="6" t="s">
        <v>40</v>
      </c>
      <c r="J499" s="5" t="s">
        <v>8585</v>
      </c>
      <c r="K499" s="5" t="s">
        <v>8586</v>
      </c>
      <c r="L499" s="6" t="s">
        <v>42</v>
      </c>
      <c r="M499" s="5" t="s">
        <v>8746</v>
      </c>
      <c r="N499" s="5" t="s">
        <v>64</v>
      </c>
      <c r="O499" s="5" t="s">
        <v>13681</v>
      </c>
      <c r="P499" s="6">
        <v>10204.0</v>
      </c>
    </row>
    <row r="500" ht="56.25" customHeight="1">
      <c r="A500" s="5" t="s">
        <v>13671</v>
      </c>
      <c r="B500" s="6" t="str">
        <f>image("https://storage.googleapis.com/acdb/bottoms/BottomsTexSkirtAlineLeather4.png")</f>
        <v/>
      </c>
      <c r="C500" s="5" t="s">
        <v>96</v>
      </c>
      <c r="D500" s="5" t="s">
        <v>36</v>
      </c>
      <c r="E500" s="6">
        <v>1560.0</v>
      </c>
      <c r="F500" s="6">
        <v>390.0</v>
      </c>
      <c r="G500" s="5" t="s">
        <v>96</v>
      </c>
      <c r="H500" s="5" t="s">
        <v>96</v>
      </c>
      <c r="I500" s="6" t="s">
        <v>40</v>
      </c>
      <c r="J500" s="5" t="s">
        <v>8585</v>
      </c>
      <c r="K500" s="5" t="s">
        <v>8586</v>
      </c>
      <c r="L500" s="6" t="s">
        <v>42</v>
      </c>
      <c r="M500" s="5" t="s">
        <v>8746</v>
      </c>
      <c r="N500" s="5" t="s">
        <v>64</v>
      </c>
      <c r="O500" s="5" t="s">
        <v>13684</v>
      </c>
      <c r="P500" s="6">
        <v>10205.0</v>
      </c>
    </row>
    <row r="501" ht="56.25" customHeight="1">
      <c r="A501" s="5" t="s">
        <v>13671</v>
      </c>
      <c r="B501" s="6" t="str">
        <f>image("https://storage.googleapis.com/acdb/bottoms/BottomsTexSkirtAlineLeather5.png")</f>
        <v/>
      </c>
      <c r="C501" s="5" t="s">
        <v>142</v>
      </c>
      <c r="D501" s="5" t="s">
        <v>36</v>
      </c>
      <c r="E501" s="6">
        <v>1560.0</v>
      </c>
      <c r="F501" s="6">
        <v>390.0</v>
      </c>
      <c r="G501" s="5" t="s">
        <v>142</v>
      </c>
      <c r="H501" s="5" t="s">
        <v>142</v>
      </c>
      <c r="I501" s="6" t="s">
        <v>40</v>
      </c>
      <c r="J501" s="5" t="s">
        <v>8585</v>
      </c>
      <c r="K501" s="5" t="s">
        <v>8586</v>
      </c>
      <c r="L501" s="6" t="s">
        <v>42</v>
      </c>
      <c r="M501" s="5" t="s">
        <v>8746</v>
      </c>
      <c r="N501" s="5" t="s">
        <v>64</v>
      </c>
      <c r="O501" s="5" t="s">
        <v>13688</v>
      </c>
      <c r="P501" s="6">
        <v>10206.0</v>
      </c>
    </row>
    <row r="502" ht="56.25" customHeight="1">
      <c r="A502" s="5" t="s">
        <v>13671</v>
      </c>
      <c r="B502" s="6" t="str">
        <f>image("https://storage.googleapis.com/acdb/bottoms/BottomsTexSkirtAlineLeather6.png")</f>
        <v/>
      </c>
      <c r="C502" s="5" t="s">
        <v>83</v>
      </c>
      <c r="D502" s="5" t="s">
        <v>36</v>
      </c>
      <c r="E502" s="6">
        <v>1560.0</v>
      </c>
      <c r="F502" s="6">
        <v>390.0</v>
      </c>
      <c r="G502" s="5" t="s">
        <v>83</v>
      </c>
      <c r="H502" s="5" t="s">
        <v>83</v>
      </c>
      <c r="I502" s="6" t="s">
        <v>40</v>
      </c>
      <c r="J502" s="5" t="s">
        <v>8585</v>
      </c>
      <c r="K502" s="5" t="s">
        <v>8586</v>
      </c>
      <c r="L502" s="6" t="s">
        <v>42</v>
      </c>
      <c r="M502" s="5" t="s">
        <v>8746</v>
      </c>
      <c r="N502" s="5" t="s">
        <v>64</v>
      </c>
      <c r="O502" s="5" t="s">
        <v>13689</v>
      </c>
      <c r="P502" s="6">
        <v>10207.0</v>
      </c>
    </row>
    <row r="503" ht="56.25" customHeight="1">
      <c r="A503" s="5" t="s">
        <v>13671</v>
      </c>
      <c r="B503" s="6" t="str">
        <f>image("https://storage.googleapis.com/acdb/bottoms/BottomsTexSkirtAlineLeather7.png")</f>
        <v/>
      </c>
      <c r="C503" s="5" t="s">
        <v>57</v>
      </c>
      <c r="D503" s="5" t="s">
        <v>36</v>
      </c>
      <c r="E503" s="6">
        <v>1560.0</v>
      </c>
      <c r="F503" s="6">
        <v>390.0</v>
      </c>
      <c r="G503" s="5" t="s">
        <v>57</v>
      </c>
      <c r="H503" s="5" t="s">
        <v>57</v>
      </c>
      <c r="I503" s="6" t="s">
        <v>40</v>
      </c>
      <c r="J503" s="5" t="s">
        <v>8585</v>
      </c>
      <c r="K503" s="5" t="s">
        <v>8586</v>
      </c>
      <c r="L503" s="6" t="s">
        <v>42</v>
      </c>
      <c r="M503" s="5" t="s">
        <v>8746</v>
      </c>
      <c r="N503" s="5" t="s">
        <v>64</v>
      </c>
      <c r="O503" s="5" t="s">
        <v>13692</v>
      </c>
      <c r="P503" s="6">
        <v>10208.0</v>
      </c>
    </row>
    <row r="504" ht="56.25" customHeight="1">
      <c r="A504" s="5" t="s">
        <v>13693</v>
      </c>
      <c r="B504" s="6" t="str">
        <f>image("https://storage.googleapis.com/acdb/bottoms/BottomsTexPantsNormalLeather0.png")</f>
        <v/>
      </c>
      <c r="C504" s="5" t="s">
        <v>54</v>
      </c>
      <c r="D504" s="5" t="s">
        <v>36</v>
      </c>
      <c r="E504" s="6">
        <v>1300.0</v>
      </c>
      <c r="F504" s="6">
        <v>325.0</v>
      </c>
      <c r="G504" s="5" t="s">
        <v>54</v>
      </c>
      <c r="H504" s="5" t="s">
        <v>54</v>
      </c>
      <c r="I504" s="6" t="s">
        <v>40</v>
      </c>
      <c r="J504" s="5" t="s">
        <v>8585</v>
      </c>
      <c r="K504" s="5" t="s">
        <v>8586</v>
      </c>
      <c r="L504" s="6" t="s">
        <v>42</v>
      </c>
      <c r="M504" s="5" t="s">
        <v>1952</v>
      </c>
      <c r="N504" s="5" t="s">
        <v>64</v>
      </c>
      <c r="O504" s="5" t="s">
        <v>13696</v>
      </c>
      <c r="P504" s="6">
        <v>3309.0</v>
      </c>
    </row>
    <row r="505" ht="56.25" customHeight="1">
      <c r="A505" s="5" t="s">
        <v>13693</v>
      </c>
      <c r="B505" s="6" t="str">
        <f>image("https://storage.googleapis.com/acdb/bottoms/BottomsTexPantsNormalLeather1.png")</f>
        <v/>
      </c>
      <c r="C505" s="5" t="s">
        <v>39</v>
      </c>
      <c r="D505" s="5" t="s">
        <v>36</v>
      </c>
      <c r="E505" s="6">
        <v>1300.0</v>
      </c>
      <c r="F505" s="6">
        <v>325.0</v>
      </c>
      <c r="G505" s="5" t="s">
        <v>39</v>
      </c>
      <c r="H505" s="5" t="s">
        <v>39</v>
      </c>
      <c r="I505" s="6" t="s">
        <v>40</v>
      </c>
      <c r="J505" s="5" t="s">
        <v>8585</v>
      </c>
      <c r="K505" s="5" t="s">
        <v>8586</v>
      </c>
      <c r="L505" s="6" t="s">
        <v>42</v>
      </c>
      <c r="M505" s="5" t="s">
        <v>1952</v>
      </c>
      <c r="N505" s="5" t="s">
        <v>64</v>
      </c>
      <c r="O505" s="5" t="s">
        <v>13698</v>
      </c>
      <c r="P505" s="6">
        <v>11290.0</v>
      </c>
    </row>
    <row r="506" ht="56.25" customHeight="1">
      <c r="A506" s="5" t="s">
        <v>13693</v>
      </c>
      <c r="B506" s="6" t="str">
        <f>image("https://storage.googleapis.com/acdb/bottoms/BottomsTexPantsNormalLeather2.png")</f>
        <v/>
      </c>
      <c r="C506" s="5" t="s">
        <v>38</v>
      </c>
      <c r="D506" s="5" t="s">
        <v>36</v>
      </c>
      <c r="E506" s="6">
        <v>1300.0</v>
      </c>
      <c r="F506" s="6">
        <v>325.0</v>
      </c>
      <c r="G506" s="5" t="s">
        <v>38</v>
      </c>
      <c r="H506" s="5" t="s">
        <v>38</v>
      </c>
      <c r="I506" s="6" t="s">
        <v>40</v>
      </c>
      <c r="J506" s="5" t="s">
        <v>8585</v>
      </c>
      <c r="K506" s="5" t="s">
        <v>8586</v>
      </c>
      <c r="L506" s="6" t="s">
        <v>42</v>
      </c>
      <c r="M506" s="5" t="s">
        <v>1952</v>
      </c>
      <c r="N506" s="5" t="s">
        <v>64</v>
      </c>
      <c r="O506" s="5" t="s">
        <v>13702</v>
      </c>
      <c r="P506" s="6">
        <v>11291.0</v>
      </c>
    </row>
    <row r="507" ht="56.25" customHeight="1">
      <c r="A507" s="5" t="s">
        <v>13693</v>
      </c>
      <c r="B507" s="6" t="str">
        <f>image("https://storage.googleapis.com/acdb/bottoms/BottomsTexPantsNormalLeather3.png")</f>
        <v/>
      </c>
      <c r="C507" s="5" t="s">
        <v>52</v>
      </c>
      <c r="D507" s="5" t="s">
        <v>36</v>
      </c>
      <c r="E507" s="6">
        <v>1300.0</v>
      </c>
      <c r="F507" s="6">
        <v>325.0</v>
      </c>
      <c r="G507" s="5" t="s">
        <v>52</v>
      </c>
      <c r="H507" s="5" t="s">
        <v>52</v>
      </c>
      <c r="I507" s="6" t="s">
        <v>40</v>
      </c>
      <c r="J507" s="5" t="s">
        <v>8585</v>
      </c>
      <c r="K507" s="5" t="s">
        <v>8586</v>
      </c>
      <c r="L507" s="6" t="s">
        <v>42</v>
      </c>
      <c r="M507" s="5" t="s">
        <v>1952</v>
      </c>
      <c r="N507" s="5" t="s">
        <v>64</v>
      </c>
      <c r="O507" s="5" t="s">
        <v>13704</v>
      </c>
      <c r="P507" s="6">
        <v>11292.0</v>
      </c>
    </row>
    <row r="508" ht="56.25" customHeight="1">
      <c r="A508" s="5" t="s">
        <v>13693</v>
      </c>
      <c r="B508" s="6" t="str">
        <f>image("https://storage.googleapis.com/acdb/bottoms/BottomsTexPantsNormalLeather4.png")</f>
        <v/>
      </c>
      <c r="C508" s="5" t="s">
        <v>68</v>
      </c>
      <c r="D508" s="5" t="s">
        <v>36</v>
      </c>
      <c r="E508" s="6">
        <v>1300.0</v>
      </c>
      <c r="F508" s="6">
        <v>325.0</v>
      </c>
      <c r="G508" s="5" t="s">
        <v>68</v>
      </c>
      <c r="H508" s="5" t="s">
        <v>68</v>
      </c>
      <c r="I508" s="6" t="s">
        <v>40</v>
      </c>
      <c r="J508" s="5" t="s">
        <v>8585</v>
      </c>
      <c r="K508" s="5" t="s">
        <v>8586</v>
      </c>
      <c r="L508" s="6" t="s">
        <v>42</v>
      </c>
      <c r="M508" s="5" t="s">
        <v>1952</v>
      </c>
      <c r="N508" s="5" t="s">
        <v>64</v>
      </c>
      <c r="O508" s="5" t="s">
        <v>13706</v>
      </c>
      <c r="P508" s="6">
        <v>11293.0</v>
      </c>
    </row>
    <row r="509" ht="56.25" customHeight="1">
      <c r="A509" s="5" t="s">
        <v>13693</v>
      </c>
      <c r="B509" s="6" t="str">
        <f>image("https://storage.googleapis.com/acdb/bottoms/BottomsTexPantsNormalLeather5.png")</f>
        <v/>
      </c>
      <c r="C509" s="5" t="s">
        <v>114</v>
      </c>
      <c r="D509" s="5" t="s">
        <v>36</v>
      </c>
      <c r="E509" s="6">
        <v>1300.0</v>
      </c>
      <c r="F509" s="6">
        <v>325.0</v>
      </c>
      <c r="G509" s="5" t="s">
        <v>114</v>
      </c>
      <c r="H509" s="5" t="s">
        <v>114</v>
      </c>
      <c r="I509" s="6" t="s">
        <v>40</v>
      </c>
      <c r="J509" s="5" t="s">
        <v>8585</v>
      </c>
      <c r="K509" s="5" t="s">
        <v>8586</v>
      </c>
      <c r="L509" s="6" t="s">
        <v>42</v>
      </c>
      <c r="M509" s="5" t="s">
        <v>1952</v>
      </c>
      <c r="N509" s="5" t="s">
        <v>64</v>
      </c>
      <c r="O509" s="5" t="s">
        <v>13709</v>
      </c>
      <c r="P509" s="6">
        <v>11294.0</v>
      </c>
    </row>
    <row r="510" ht="56.25" customHeight="1">
      <c r="A510" s="5" t="s">
        <v>13710</v>
      </c>
      <c r="B510" s="6" t="str">
        <f>image("https://storage.googleapis.com/acdb/bottoms/BottomsTexSkirtAlinePatch0.png")</f>
        <v/>
      </c>
      <c r="C510" s="5" t="s">
        <v>52</v>
      </c>
      <c r="D510" s="5" t="s">
        <v>36</v>
      </c>
      <c r="E510" s="6">
        <v>1680.0</v>
      </c>
      <c r="F510" s="6">
        <v>420.0</v>
      </c>
      <c r="G510" s="5" t="s">
        <v>52</v>
      </c>
      <c r="H510" s="5" t="s">
        <v>68</v>
      </c>
      <c r="I510" s="6" t="s">
        <v>40</v>
      </c>
      <c r="J510" s="5" t="s">
        <v>8585</v>
      </c>
      <c r="K510" s="5" t="s">
        <v>8586</v>
      </c>
      <c r="L510" s="6" t="s">
        <v>42</v>
      </c>
      <c r="M510" s="5" t="s">
        <v>995</v>
      </c>
      <c r="N510" s="5" t="s">
        <v>64</v>
      </c>
      <c r="O510" s="5" t="s">
        <v>13712</v>
      </c>
      <c r="P510" s="6">
        <v>5811.0</v>
      </c>
    </row>
    <row r="511" ht="56.25" customHeight="1">
      <c r="A511" s="5" t="s">
        <v>13710</v>
      </c>
      <c r="B511" s="6" t="str">
        <f>image("https://storage.googleapis.com/acdb/bottoms/BottomsTexSkirtAlinePatch1.png")</f>
        <v/>
      </c>
      <c r="C511" s="5" t="s">
        <v>96</v>
      </c>
      <c r="D511" s="5" t="s">
        <v>36</v>
      </c>
      <c r="E511" s="6">
        <v>1680.0</v>
      </c>
      <c r="F511" s="6">
        <v>420.0</v>
      </c>
      <c r="G511" s="5" t="s">
        <v>96</v>
      </c>
      <c r="H511" s="5" t="s">
        <v>142</v>
      </c>
      <c r="I511" s="6" t="s">
        <v>40</v>
      </c>
      <c r="J511" s="5" t="s">
        <v>8585</v>
      </c>
      <c r="K511" s="5" t="s">
        <v>8586</v>
      </c>
      <c r="L511" s="6" t="s">
        <v>42</v>
      </c>
      <c r="M511" s="5" t="s">
        <v>995</v>
      </c>
      <c r="N511" s="5" t="s">
        <v>64</v>
      </c>
      <c r="O511" s="5" t="s">
        <v>13715</v>
      </c>
      <c r="P511" s="6">
        <v>8924.0</v>
      </c>
    </row>
    <row r="512" ht="56.25" customHeight="1">
      <c r="A512" s="5" t="s">
        <v>13710</v>
      </c>
      <c r="B512" s="6" t="str">
        <f>image("https://storage.googleapis.com/acdb/bottoms/BottomsTexSkirtAlinePatch2.png")</f>
        <v/>
      </c>
      <c r="C512" s="5" t="s">
        <v>106</v>
      </c>
      <c r="D512" s="5" t="s">
        <v>36</v>
      </c>
      <c r="E512" s="6">
        <v>1680.0</v>
      </c>
      <c r="F512" s="6">
        <v>420.0</v>
      </c>
      <c r="G512" s="5" t="s">
        <v>106</v>
      </c>
      <c r="H512" s="5" t="s">
        <v>95</v>
      </c>
      <c r="I512" s="6" t="s">
        <v>40</v>
      </c>
      <c r="J512" s="5" t="s">
        <v>8585</v>
      </c>
      <c r="K512" s="5" t="s">
        <v>8586</v>
      </c>
      <c r="L512" s="6" t="s">
        <v>42</v>
      </c>
      <c r="M512" s="5" t="s">
        <v>995</v>
      </c>
      <c r="N512" s="5" t="s">
        <v>64</v>
      </c>
      <c r="O512" s="5" t="s">
        <v>13717</v>
      </c>
      <c r="P512" s="6">
        <v>8925.0</v>
      </c>
    </row>
    <row r="513" ht="56.25" customHeight="1">
      <c r="A513" s="5" t="s">
        <v>13710</v>
      </c>
      <c r="B513" s="6" t="str">
        <f>image("https://storage.googleapis.com/acdb/bottoms/BottomsTexSkirtAlinePatch3.png")</f>
        <v/>
      </c>
      <c r="C513" s="5" t="s">
        <v>142</v>
      </c>
      <c r="D513" s="5" t="s">
        <v>36</v>
      </c>
      <c r="E513" s="6">
        <v>1680.0</v>
      </c>
      <c r="F513" s="6">
        <v>420.0</v>
      </c>
      <c r="G513" s="5" t="s">
        <v>114</v>
      </c>
      <c r="H513" s="5" t="s">
        <v>39</v>
      </c>
      <c r="I513" s="6" t="s">
        <v>40</v>
      </c>
      <c r="J513" s="5" t="s">
        <v>8585</v>
      </c>
      <c r="K513" s="5" t="s">
        <v>8586</v>
      </c>
      <c r="L513" s="6" t="s">
        <v>42</v>
      </c>
      <c r="M513" s="5" t="s">
        <v>995</v>
      </c>
      <c r="N513" s="5" t="s">
        <v>64</v>
      </c>
      <c r="O513" s="5" t="s">
        <v>13720</v>
      </c>
      <c r="P513" s="6">
        <v>8926.0</v>
      </c>
    </row>
    <row r="514" ht="56.25" customHeight="1">
      <c r="A514" s="5" t="s">
        <v>13722</v>
      </c>
      <c r="B514" s="6" t="str">
        <f>image("https://storage.googleapis.com/acdb/bottoms/BottomsTexPantsHotLeather0.png")</f>
        <v/>
      </c>
      <c r="C514" s="5" t="s">
        <v>54</v>
      </c>
      <c r="D514" s="5" t="s">
        <v>36</v>
      </c>
      <c r="E514" s="6">
        <v>1040.0</v>
      </c>
      <c r="F514" s="6">
        <v>260.0</v>
      </c>
      <c r="G514" s="5" t="s">
        <v>54</v>
      </c>
      <c r="H514" s="5" t="s">
        <v>95</v>
      </c>
      <c r="I514" s="6" t="s">
        <v>40</v>
      </c>
      <c r="J514" s="5" t="s">
        <v>8585</v>
      </c>
      <c r="K514" s="5" t="s">
        <v>8586</v>
      </c>
      <c r="L514" s="6" t="s">
        <v>42</v>
      </c>
      <c r="M514" s="5" t="s">
        <v>1952</v>
      </c>
      <c r="N514" s="5" t="s">
        <v>64</v>
      </c>
      <c r="O514" s="5" t="s">
        <v>13723</v>
      </c>
      <c r="P514" s="6">
        <v>5733.0</v>
      </c>
    </row>
    <row r="515" ht="56.25" customHeight="1">
      <c r="A515" s="5" t="s">
        <v>13722</v>
      </c>
      <c r="B515" s="6" t="str">
        <f>image("https://storage.googleapis.com/acdb/bottoms/BottomsTexPantsHotLeather1.png")</f>
        <v/>
      </c>
      <c r="C515" s="5" t="s">
        <v>39</v>
      </c>
      <c r="D515" s="5" t="s">
        <v>36</v>
      </c>
      <c r="E515" s="6">
        <v>1040.0</v>
      </c>
      <c r="F515" s="6">
        <v>260.0</v>
      </c>
      <c r="G515" s="5" t="s">
        <v>39</v>
      </c>
      <c r="H515" s="5" t="s">
        <v>95</v>
      </c>
      <c r="I515" s="6" t="s">
        <v>40</v>
      </c>
      <c r="J515" s="5" t="s">
        <v>8585</v>
      </c>
      <c r="K515" s="5" t="s">
        <v>8586</v>
      </c>
      <c r="L515" s="6" t="s">
        <v>42</v>
      </c>
      <c r="M515" s="5" t="s">
        <v>1952</v>
      </c>
      <c r="N515" s="5" t="s">
        <v>64</v>
      </c>
      <c r="O515" s="5" t="s">
        <v>13727</v>
      </c>
      <c r="P515" s="6">
        <v>10209.0</v>
      </c>
    </row>
    <row r="516" ht="56.25" customHeight="1">
      <c r="A516" s="5" t="s">
        <v>13722</v>
      </c>
      <c r="B516" s="6" t="str">
        <f>image("https://storage.googleapis.com/acdb/bottoms/BottomsTexPantsHotLeather2.png")</f>
        <v/>
      </c>
      <c r="C516" s="5" t="s">
        <v>57</v>
      </c>
      <c r="D516" s="5" t="s">
        <v>36</v>
      </c>
      <c r="E516" s="6">
        <v>1040.0</v>
      </c>
      <c r="F516" s="6">
        <v>260.0</v>
      </c>
      <c r="G516" s="5" t="s">
        <v>57</v>
      </c>
      <c r="H516" s="5" t="s">
        <v>95</v>
      </c>
      <c r="I516" s="6" t="s">
        <v>40</v>
      </c>
      <c r="J516" s="5" t="s">
        <v>8585</v>
      </c>
      <c r="K516" s="5" t="s">
        <v>8586</v>
      </c>
      <c r="L516" s="6" t="s">
        <v>42</v>
      </c>
      <c r="M516" s="5" t="s">
        <v>1952</v>
      </c>
      <c r="N516" s="5" t="s">
        <v>64</v>
      </c>
      <c r="O516" s="5" t="s">
        <v>13730</v>
      </c>
      <c r="P516" s="6">
        <v>10210.0</v>
      </c>
    </row>
    <row r="517" ht="56.25" customHeight="1">
      <c r="A517" s="5" t="s">
        <v>13722</v>
      </c>
      <c r="B517" s="6" t="str">
        <f>image("https://storage.googleapis.com/acdb/bottoms/BottomsTexPantsHotLeather3.png")</f>
        <v/>
      </c>
      <c r="C517" s="5" t="s">
        <v>52</v>
      </c>
      <c r="D517" s="5" t="s">
        <v>36</v>
      </c>
      <c r="E517" s="6">
        <v>1040.0</v>
      </c>
      <c r="F517" s="6">
        <v>260.0</v>
      </c>
      <c r="G517" s="5" t="s">
        <v>52</v>
      </c>
      <c r="H517" s="5" t="s">
        <v>95</v>
      </c>
      <c r="I517" s="6" t="s">
        <v>40</v>
      </c>
      <c r="J517" s="5" t="s">
        <v>8585</v>
      </c>
      <c r="K517" s="5" t="s">
        <v>8586</v>
      </c>
      <c r="L517" s="6" t="s">
        <v>42</v>
      </c>
      <c r="M517" s="5" t="s">
        <v>1952</v>
      </c>
      <c r="N517" s="5" t="s">
        <v>64</v>
      </c>
      <c r="O517" s="5" t="s">
        <v>13733</v>
      </c>
      <c r="P517" s="6">
        <v>10211.0</v>
      </c>
    </row>
    <row r="518" ht="56.25" customHeight="1">
      <c r="A518" s="5" t="s">
        <v>13734</v>
      </c>
      <c r="B518" s="6" t="str">
        <f>image("https://storage.googleapis.com/acdb/bottoms/BottomsTexSkirtBoxLeather0.png")</f>
        <v/>
      </c>
      <c r="C518" s="5" t="s">
        <v>54</v>
      </c>
      <c r="D518" s="5" t="s">
        <v>36</v>
      </c>
      <c r="E518" s="6">
        <v>1300.0</v>
      </c>
      <c r="F518" s="6">
        <v>325.0</v>
      </c>
      <c r="G518" s="5" t="s">
        <v>54</v>
      </c>
      <c r="H518" s="5" t="s">
        <v>54</v>
      </c>
      <c r="I518" s="6" t="s">
        <v>40</v>
      </c>
      <c r="J518" s="5" t="s">
        <v>8585</v>
      </c>
      <c r="K518" s="5" t="s">
        <v>8586</v>
      </c>
      <c r="L518" s="6" t="s">
        <v>42</v>
      </c>
      <c r="M518" s="5" t="s">
        <v>1952</v>
      </c>
      <c r="N518" s="5" t="s">
        <v>64</v>
      </c>
      <c r="O518" s="5" t="s">
        <v>13737</v>
      </c>
      <c r="P518" s="6">
        <v>4303.0</v>
      </c>
    </row>
    <row r="519" ht="56.25" customHeight="1">
      <c r="A519" s="5" t="s">
        <v>13734</v>
      </c>
      <c r="B519" s="6" t="str">
        <f>image("https://storage.googleapis.com/acdb/bottoms/BottomsTexSkirtBoxLeather1.png")</f>
        <v/>
      </c>
      <c r="C519" s="5" t="s">
        <v>39</v>
      </c>
      <c r="D519" s="5" t="s">
        <v>36</v>
      </c>
      <c r="E519" s="6">
        <v>1300.0</v>
      </c>
      <c r="F519" s="6">
        <v>325.0</v>
      </c>
      <c r="G519" s="5" t="s">
        <v>39</v>
      </c>
      <c r="H519" s="5" t="s">
        <v>39</v>
      </c>
      <c r="I519" s="6" t="s">
        <v>40</v>
      </c>
      <c r="J519" s="5" t="s">
        <v>8585</v>
      </c>
      <c r="K519" s="5" t="s">
        <v>8586</v>
      </c>
      <c r="L519" s="6" t="s">
        <v>42</v>
      </c>
      <c r="M519" s="5" t="s">
        <v>1952</v>
      </c>
      <c r="N519" s="5" t="s">
        <v>64</v>
      </c>
      <c r="O519" s="5" t="s">
        <v>13738</v>
      </c>
      <c r="P519" s="6">
        <v>11339.0</v>
      </c>
    </row>
    <row r="520" ht="56.25" customHeight="1">
      <c r="A520" s="5" t="s">
        <v>13734</v>
      </c>
      <c r="B520" s="6" t="str">
        <f>image("https://storage.googleapis.com/acdb/bottoms/BottomsTexSkirtBoxLeather2.png")</f>
        <v/>
      </c>
      <c r="C520" s="5" t="s">
        <v>38</v>
      </c>
      <c r="D520" s="5" t="s">
        <v>36</v>
      </c>
      <c r="E520" s="6">
        <v>1300.0</v>
      </c>
      <c r="F520" s="6">
        <v>325.0</v>
      </c>
      <c r="G520" s="5" t="s">
        <v>38</v>
      </c>
      <c r="H520" s="5" t="s">
        <v>38</v>
      </c>
      <c r="I520" s="6" t="s">
        <v>40</v>
      </c>
      <c r="J520" s="5" t="s">
        <v>8585</v>
      </c>
      <c r="K520" s="5" t="s">
        <v>8586</v>
      </c>
      <c r="L520" s="6" t="s">
        <v>42</v>
      </c>
      <c r="M520" s="5" t="s">
        <v>1952</v>
      </c>
      <c r="N520" s="5" t="s">
        <v>64</v>
      </c>
      <c r="O520" s="5" t="s">
        <v>13742</v>
      </c>
      <c r="P520" s="6">
        <v>11340.0</v>
      </c>
    </row>
    <row r="521" ht="56.25" customHeight="1">
      <c r="A521" s="5" t="s">
        <v>13734</v>
      </c>
      <c r="B521" s="6" t="str">
        <f>image("https://storage.googleapis.com/acdb/bottoms/BottomsTexSkirtBoxLeather3.png")</f>
        <v/>
      </c>
      <c r="C521" s="5" t="s">
        <v>52</v>
      </c>
      <c r="D521" s="5" t="s">
        <v>36</v>
      </c>
      <c r="E521" s="6">
        <v>1300.0</v>
      </c>
      <c r="F521" s="6">
        <v>325.0</v>
      </c>
      <c r="G521" s="5" t="s">
        <v>52</v>
      </c>
      <c r="H521" s="5" t="s">
        <v>52</v>
      </c>
      <c r="I521" s="6" t="s">
        <v>40</v>
      </c>
      <c r="J521" s="5" t="s">
        <v>8585</v>
      </c>
      <c r="K521" s="5" t="s">
        <v>8586</v>
      </c>
      <c r="L521" s="6" t="s">
        <v>42</v>
      </c>
      <c r="M521" s="5" t="s">
        <v>1952</v>
      </c>
      <c r="N521" s="5" t="s">
        <v>64</v>
      </c>
      <c r="O521" s="5" t="s">
        <v>13745</v>
      </c>
      <c r="P521" s="6">
        <v>11341.0</v>
      </c>
    </row>
    <row r="522" ht="56.25" customHeight="1">
      <c r="A522" s="5" t="s">
        <v>13734</v>
      </c>
      <c r="B522" s="6" t="str">
        <f>image("https://storage.googleapis.com/acdb/bottoms/BottomsTexSkirtBoxLeather4.png")</f>
        <v/>
      </c>
      <c r="C522" s="5" t="s">
        <v>68</v>
      </c>
      <c r="D522" s="5" t="s">
        <v>36</v>
      </c>
      <c r="E522" s="6">
        <v>1300.0</v>
      </c>
      <c r="F522" s="6">
        <v>325.0</v>
      </c>
      <c r="G522" s="5" t="s">
        <v>68</v>
      </c>
      <c r="H522" s="5" t="s">
        <v>68</v>
      </c>
      <c r="I522" s="6" t="s">
        <v>40</v>
      </c>
      <c r="J522" s="5" t="s">
        <v>8585</v>
      </c>
      <c r="K522" s="5" t="s">
        <v>8586</v>
      </c>
      <c r="L522" s="6" t="s">
        <v>42</v>
      </c>
      <c r="M522" s="5" t="s">
        <v>1952</v>
      </c>
      <c r="N522" s="5" t="s">
        <v>64</v>
      </c>
      <c r="O522" s="5" t="s">
        <v>13747</v>
      </c>
      <c r="P522" s="6">
        <v>11342.0</v>
      </c>
    </row>
    <row r="523" ht="56.25" customHeight="1">
      <c r="A523" s="5" t="s">
        <v>13734</v>
      </c>
      <c r="B523" s="6" t="str">
        <f>image("https://storage.googleapis.com/acdb/bottoms/BottomsTexSkirtBoxLeather5.png")</f>
        <v/>
      </c>
      <c r="C523" s="5" t="s">
        <v>114</v>
      </c>
      <c r="D523" s="5" t="s">
        <v>36</v>
      </c>
      <c r="E523" s="6">
        <v>1300.0</v>
      </c>
      <c r="F523" s="6">
        <v>325.0</v>
      </c>
      <c r="G523" s="5" t="s">
        <v>114</v>
      </c>
      <c r="H523" s="5" t="s">
        <v>114</v>
      </c>
      <c r="I523" s="6" t="s">
        <v>40</v>
      </c>
      <c r="J523" s="5" t="s">
        <v>8585</v>
      </c>
      <c r="K523" s="5" t="s">
        <v>8586</v>
      </c>
      <c r="L523" s="6" t="s">
        <v>42</v>
      </c>
      <c r="M523" s="5" t="s">
        <v>1952</v>
      </c>
      <c r="N523" s="5" t="s">
        <v>64</v>
      </c>
      <c r="O523" s="5" t="s">
        <v>13751</v>
      </c>
      <c r="P523" s="6">
        <v>11343.0</v>
      </c>
    </row>
    <row r="524" ht="56.25" customHeight="1">
      <c r="A524" s="5" t="s">
        <v>13752</v>
      </c>
      <c r="B524" s="6" t="str">
        <f>image("https://storage.googleapis.com/acdb/bottoms/BottomsTexSkirtBoxChidori0.png")</f>
        <v/>
      </c>
      <c r="C524" s="5" t="s">
        <v>52</v>
      </c>
      <c r="D524" s="5" t="s">
        <v>36</v>
      </c>
      <c r="E524" s="6">
        <v>1200.0</v>
      </c>
      <c r="F524" s="6">
        <v>300.0</v>
      </c>
      <c r="G524" s="5" t="s">
        <v>52</v>
      </c>
      <c r="H524" s="5" t="s">
        <v>38</v>
      </c>
      <c r="I524" s="6" t="s">
        <v>40</v>
      </c>
      <c r="J524" s="5" t="s">
        <v>8585</v>
      </c>
      <c r="K524" s="5" t="s">
        <v>8632</v>
      </c>
      <c r="L524" s="6" t="s">
        <v>42</v>
      </c>
      <c r="M524" s="5" t="s">
        <v>1959</v>
      </c>
      <c r="N524" s="5" t="s">
        <v>64</v>
      </c>
      <c r="O524" s="5" t="s">
        <v>13755</v>
      </c>
      <c r="P524" s="6">
        <v>5448.0</v>
      </c>
    </row>
    <row r="525" ht="56.25" customHeight="1">
      <c r="A525" s="5" t="s">
        <v>13752</v>
      </c>
      <c r="B525" s="6" t="str">
        <f>image("https://storage.googleapis.com/acdb/bottoms/BottomsTexSkirtBoxChidori1.png")</f>
        <v/>
      </c>
      <c r="C525" s="5" t="s">
        <v>54</v>
      </c>
      <c r="D525" s="5" t="s">
        <v>36</v>
      </c>
      <c r="E525" s="6">
        <v>1200.0</v>
      </c>
      <c r="F525" s="6">
        <v>300.0</v>
      </c>
      <c r="G525" s="5" t="s">
        <v>54</v>
      </c>
      <c r="H525" s="5" t="s">
        <v>38</v>
      </c>
      <c r="I525" s="6" t="s">
        <v>40</v>
      </c>
      <c r="J525" s="5" t="s">
        <v>8585</v>
      </c>
      <c r="K525" s="5" t="s">
        <v>8632</v>
      </c>
      <c r="L525" s="6" t="s">
        <v>42</v>
      </c>
      <c r="M525" s="5" t="s">
        <v>1959</v>
      </c>
      <c r="N525" s="5" t="s">
        <v>64</v>
      </c>
      <c r="O525" s="5" t="s">
        <v>13758</v>
      </c>
      <c r="P525" s="6">
        <v>11320.0</v>
      </c>
    </row>
    <row r="526" ht="56.25" customHeight="1">
      <c r="A526" s="5" t="s">
        <v>13752</v>
      </c>
      <c r="B526" s="6" t="str">
        <f>image("https://storage.googleapis.com/acdb/bottoms/BottomsTexSkirtBoxChidori2.png")</f>
        <v/>
      </c>
      <c r="C526" s="5" t="s">
        <v>96</v>
      </c>
      <c r="D526" s="5" t="s">
        <v>36</v>
      </c>
      <c r="E526" s="6">
        <v>1200.0</v>
      </c>
      <c r="F526" s="6">
        <v>300.0</v>
      </c>
      <c r="G526" s="5" t="s">
        <v>96</v>
      </c>
      <c r="H526" s="5" t="s">
        <v>38</v>
      </c>
      <c r="I526" s="6" t="s">
        <v>40</v>
      </c>
      <c r="J526" s="5" t="s">
        <v>8585</v>
      </c>
      <c r="K526" s="5" t="s">
        <v>8632</v>
      </c>
      <c r="L526" s="6" t="s">
        <v>42</v>
      </c>
      <c r="M526" s="5" t="s">
        <v>1959</v>
      </c>
      <c r="N526" s="5" t="s">
        <v>64</v>
      </c>
      <c r="O526" s="5" t="s">
        <v>13761</v>
      </c>
      <c r="P526" s="6">
        <v>11321.0</v>
      </c>
    </row>
    <row r="527" ht="56.25" customHeight="1">
      <c r="A527" s="5" t="s">
        <v>13762</v>
      </c>
      <c r="B527" s="6" t="str">
        <f>image("https://storage.googleapis.com/acdb/bottoms/BottomsTexSkirtAlineDot0.png")</f>
        <v/>
      </c>
      <c r="C527" s="5" t="s">
        <v>38</v>
      </c>
      <c r="D527" s="5" t="s">
        <v>36</v>
      </c>
      <c r="E527" s="6">
        <v>1100.0</v>
      </c>
      <c r="F527" s="6">
        <v>275.0</v>
      </c>
      <c r="G527" s="5" t="s">
        <v>38</v>
      </c>
      <c r="H527" s="5" t="s">
        <v>38</v>
      </c>
      <c r="I527" s="6" t="s">
        <v>40</v>
      </c>
      <c r="J527" s="5" t="s">
        <v>8585</v>
      </c>
      <c r="K527" s="5" t="s">
        <v>8632</v>
      </c>
      <c r="L527" s="6" t="s">
        <v>42</v>
      </c>
      <c r="M527" s="5" t="s">
        <v>995</v>
      </c>
      <c r="N527" s="5" t="s">
        <v>64</v>
      </c>
      <c r="O527" s="5" t="s">
        <v>13764</v>
      </c>
      <c r="P527" s="6">
        <v>12173.0</v>
      </c>
    </row>
    <row r="528" ht="56.25" customHeight="1">
      <c r="A528" s="5" t="s">
        <v>13762</v>
      </c>
      <c r="B528" s="6" t="str">
        <f>image("https://storage.googleapis.com/acdb/bottoms/BottomsTexSkirtAlineDot1.png")</f>
        <v/>
      </c>
      <c r="C528" s="5" t="s">
        <v>69</v>
      </c>
      <c r="D528" s="5" t="s">
        <v>36</v>
      </c>
      <c r="E528" s="6">
        <v>1100.0</v>
      </c>
      <c r="F528" s="6">
        <v>275.0</v>
      </c>
      <c r="G528" s="5" t="s">
        <v>69</v>
      </c>
      <c r="H528" s="5" t="s">
        <v>69</v>
      </c>
      <c r="I528" s="6" t="s">
        <v>40</v>
      </c>
      <c r="J528" s="5" t="s">
        <v>8585</v>
      </c>
      <c r="K528" s="5" t="s">
        <v>8632</v>
      </c>
      <c r="L528" s="6" t="s">
        <v>42</v>
      </c>
      <c r="M528" s="5" t="s">
        <v>995</v>
      </c>
      <c r="N528" s="5" t="s">
        <v>64</v>
      </c>
      <c r="O528" s="5" t="s">
        <v>13767</v>
      </c>
      <c r="P528" s="6">
        <v>12176.0</v>
      </c>
    </row>
    <row r="529" ht="56.25" customHeight="1">
      <c r="A529" s="5" t="s">
        <v>13762</v>
      </c>
      <c r="B529" s="6" t="str">
        <f>image("https://storage.googleapis.com/acdb/bottoms/BottomsTexSkirtAlineDot2.png")</f>
        <v/>
      </c>
      <c r="C529" s="5" t="s">
        <v>68</v>
      </c>
      <c r="D529" s="5" t="s">
        <v>36</v>
      </c>
      <c r="E529" s="6">
        <v>1100.0</v>
      </c>
      <c r="F529" s="6">
        <v>275.0</v>
      </c>
      <c r="G529" s="5" t="s">
        <v>83</v>
      </c>
      <c r="H529" s="5" t="s">
        <v>83</v>
      </c>
      <c r="I529" s="6" t="s">
        <v>40</v>
      </c>
      <c r="J529" s="5" t="s">
        <v>8585</v>
      </c>
      <c r="K529" s="5" t="s">
        <v>8632</v>
      </c>
      <c r="L529" s="6" t="s">
        <v>42</v>
      </c>
      <c r="M529" s="5" t="s">
        <v>995</v>
      </c>
      <c r="N529" s="5" t="s">
        <v>64</v>
      </c>
      <c r="O529" s="5" t="s">
        <v>13770</v>
      </c>
      <c r="P529" s="6">
        <v>12177.0</v>
      </c>
    </row>
    <row r="530" ht="56.25" customHeight="1">
      <c r="A530" s="5" t="s">
        <v>13762</v>
      </c>
      <c r="B530" s="6" t="str">
        <f>image("https://storage.googleapis.com/acdb/bottoms/BottomsTexSkirtAlineDot3.png")</f>
        <v/>
      </c>
      <c r="C530" s="5" t="s">
        <v>95</v>
      </c>
      <c r="D530" s="5" t="s">
        <v>36</v>
      </c>
      <c r="E530" s="6">
        <v>1100.0</v>
      </c>
      <c r="F530" s="6">
        <v>275.0</v>
      </c>
      <c r="G530" s="5" t="s">
        <v>95</v>
      </c>
      <c r="H530" s="5" t="s">
        <v>95</v>
      </c>
      <c r="I530" s="6" t="s">
        <v>40</v>
      </c>
      <c r="J530" s="5" t="s">
        <v>8585</v>
      </c>
      <c r="K530" s="5" t="s">
        <v>8632</v>
      </c>
      <c r="L530" s="6" t="s">
        <v>42</v>
      </c>
      <c r="M530" s="5" t="s">
        <v>995</v>
      </c>
      <c r="N530" s="5" t="s">
        <v>64</v>
      </c>
      <c r="O530" s="5" t="s">
        <v>13773</v>
      </c>
      <c r="P530" s="6">
        <v>12178.0</v>
      </c>
    </row>
    <row r="531" ht="56.25" customHeight="1">
      <c r="A531" s="5" t="s">
        <v>13774</v>
      </c>
      <c r="B531" s="6" t="str">
        <f>image("https://storage.googleapis.com/acdb/bottoms/BottomsTexPantsNormalBondage0.png")</f>
        <v/>
      </c>
      <c r="C531" s="5" t="s">
        <v>52</v>
      </c>
      <c r="D531" s="5" t="s">
        <v>36</v>
      </c>
      <c r="E531" s="6">
        <v>1820.0</v>
      </c>
      <c r="F531" s="6">
        <v>455.0</v>
      </c>
      <c r="G531" s="5" t="s">
        <v>52</v>
      </c>
      <c r="H531" s="5" t="s">
        <v>52</v>
      </c>
      <c r="I531" s="6" t="s">
        <v>40</v>
      </c>
      <c r="J531" s="5" t="s">
        <v>8585</v>
      </c>
      <c r="K531" s="5" t="s">
        <v>8586</v>
      </c>
      <c r="L531" s="6" t="s">
        <v>42</v>
      </c>
      <c r="M531" s="5" t="s">
        <v>1952</v>
      </c>
      <c r="N531" s="5" t="s">
        <v>64</v>
      </c>
      <c r="O531" s="5" t="s">
        <v>13777</v>
      </c>
      <c r="P531" s="6">
        <v>4485.0</v>
      </c>
    </row>
    <row r="532" ht="56.25" customHeight="1">
      <c r="A532" s="5" t="s">
        <v>13774</v>
      </c>
      <c r="B532" s="6" t="str">
        <f>image("https://storage.googleapis.com/acdb/bottoms/BottomsTexPantsNormalBondage1.png")</f>
        <v/>
      </c>
      <c r="C532" s="5" t="s">
        <v>68</v>
      </c>
      <c r="D532" s="5" t="s">
        <v>36</v>
      </c>
      <c r="E532" s="6">
        <v>1820.0</v>
      </c>
      <c r="F532" s="6">
        <v>455.0</v>
      </c>
      <c r="G532" s="5" t="s">
        <v>68</v>
      </c>
      <c r="H532" s="5" t="s">
        <v>68</v>
      </c>
      <c r="I532" s="6" t="s">
        <v>40</v>
      </c>
      <c r="J532" s="5" t="s">
        <v>8585</v>
      </c>
      <c r="K532" s="5" t="s">
        <v>8586</v>
      </c>
      <c r="L532" s="6" t="s">
        <v>42</v>
      </c>
      <c r="M532" s="5" t="s">
        <v>1952</v>
      </c>
      <c r="N532" s="5" t="s">
        <v>64</v>
      </c>
      <c r="O532" s="5" t="s">
        <v>13778</v>
      </c>
      <c r="P532" s="6">
        <v>9255.0</v>
      </c>
    </row>
    <row r="533" ht="56.25" customHeight="1">
      <c r="A533" s="5" t="s">
        <v>13774</v>
      </c>
      <c r="B533" s="6" t="str">
        <f>image("https://storage.googleapis.com/acdb/bottoms/BottomsTexPantsNormalBondage2.png")</f>
        <v/>
      </c>
      <c r="C533" s="5" t="s">
        <v>96</v>
      </c>
      <c r="D533" s="5" t="s">
        <v>36</v>
      </c>
      <c r="E533" s="6">
        <v>1820.0</v>
      </c>
      <c r="F533" s="6">
        <v>455.0</v>
      </c>
      <c r="G533" s="5" t="s">
        <v>96</v>
      </c>
      <c r="H533" s="5" t="s">
        <v>96</v>
      </c>
      <c r="I533" s="6" t="s">
        <v>40</v>
      </c>
      <c r="J533" s="5" t="s">
        <v>8585</v>
      </c>
      <c r="K533" s="5" t="s">
        <v>8586</v>
      </c>
      <c r="L533" s="6" t="s">
        <v>42</v>
      </c>
      <c r="M533" s="5" t="s">
        <v>1952</v>
      </c>
      <c r="N533" s="5" t="s">
        <v>64</v>
      </c>
      <c r="O533" s="5" t="s">
        <v>13781</v>
      </c>
      <c r="P533" s="6">
        <v>9256.0</v>
      </c>
    </row>
    <row r="534" ht="56.25" customHeight="1">
      <c r="A534" s="5" t="s">
        <v>13774</v>
      </c>
      <c r="B534" s="6" t="str">
        <f>image("https://storage.googleapis.com/acdb/bottoms/BottomsTexPantsNormalBondage3.png")</f>
        <v/>
      </c>
      <c r="C534" s="5" t="s">
        <v>106</v>
      </c>
      <c r="D534" s="5" t="s">
        <v>36</v>
      </c>
      <c r="E534" s="6">
        <v>1820.0</v>
      </c>
      <c r="F534" s="6">
        <v>455.0</v>
      </c>
      <c r="G534" s="5" t="s">
        <v>106</v>
      </c>
      <c r="H534" s="5" t="s">
        <v>106</v>
      </c>
      <c r="I534" s="6" t="s">
        <v>40</v>
      </c>
      <c r="J534" s="5" t="s">
        <v>8585</v>
      </c>
      <c r="K534" s="5" t="s">
        <v>8586</v>
      </c>
      <c r="L534" s="6" t="s">
        <v>42</v>
      </c>
      <c r="M534" s="5" t="s">
        <v>1952</v>
      </c>
      <c r="N534" s="5" t="s">
        <v>64</v>
      </c>
      <c r="O534" s="5" t="s">
        <v>13784</v>
      </c>
      <c r="P534" s="6">
        <v>9257.0</v>
      </c>
    </row>
    <row r="535" ht="56.25" customHeight="1">
      <c r="A535" s="5" t="s">
        <v>13785</v>
      </c>
      <c r="B535" s="6" t="str">
        <f>image("https://storage.googleapis.com/acdb/bottoms/BottomsTexPantsWideRain0.png")</f>
        <v/>
      </c>
      <c r="C535" s="5" t="s">
        <v>114</v>
      </c>
      <c r="D535" s="5" t="s">
        <v>36</v>
      </c>
      <c r="E535" s="6">
        <v>700.0</v>
      </c>
      <c r="F535" s="6">
        <v>175.0</v>
      </c>
      <c r="G535" s="5" t="s">
        <v>114</v>
      </c>
      <c r="H535" s="5" t="s">
        <v>114</v>
      </c>
      <c r="I535" s="6" t="s">
        <v>40</v>
      </c>
      <c r="J535" s="5" t="s">
        <v>8585</v>
      </c>
      <c r="K535" s="5" t="s">
        <v>8586</v>
      </c>
      <c r="L535" s="6" t="s">
        <v>42</v>
      </c>
      <c r="M535" s="5" t="s">
        <v>995</v>
      </c>
      <c r="N535" s="5" t="s">
        <v>64</v>
      </c>
      <c r="O535" s="5" t="s">
        <v>13788</v>
      </c>
      <c r="P535" s="6">
        <v>5413.0</v>
      </c>
    </row>
    <row r="536" ht="56.25" customHeight="1">
      <c r="A536" s="5" t="s">
        <v>13785</v>
      </c>
      <c r="B536" s="6" t="str">
        <f>image("https://storage.googleapis.com/acdb/bottoms/BottomsTexPantsWideRain1.png")</f>
        <v/>
      </c>
      <c r="C536" s="5" t="s">
        <v>96</v>
      </c>
      <c r="D536" s="5" t="s">
        <v>36</v>
      </c>
      <c r="E536" s="6">
        <v>700.0</v>
      </c>
      <c r="F536" s="6">
        <v>175.0</v>
      </c>
      <c r="G536" s="5" t="s">
        <v>96</v>
      </c>
      <c r="H536" s="5" t="s">
        <v>96</v>
      </c>
      <c r="I536" s="6" t="s">
        <v>40</v>
      </c>
      <c r="J536" s="5" t="s">
        <v>8585</v>
      </c>
      <c r="K536" s="5" t="s">
        <v>8586</v>
      </c>
      <c r="L536" s="6" t="s">
        <v>42</v>
      </c>
      <c r="M536" s="5" t="s">
        <v>995</v>
      </c>
      <c r="N536" s="5" t="s">
        <v>64</v>
      </c>
      <c r="O536" s="5" t="s">
        <v>13790</v>
      </c>
      <c r="P536" s="6">
        <v>11412.0</v>
      </c>
    </row>
    <row r="537" ht="56.25" customHeight="1">
      <c r="A537" s="5" t="s">
        <v>13785</v>
      </c>
      <c r="B537" s="6" t="str">
        <f>image("https://storage.googleapis.com/acdb/bottoms/BottomsTexPantsWideRain2.png")</f>
        <v/>
      </c>
      <c r="C537" s="5" t="s">
        <v>68</v>
      </c>
      <c r="D537" s="5" t="s">
        <v>36</v>
      </c>
      <c r="E537" s="6">
        <v>700.0</v>
      </c>
      <c r="F537" s="6">
        <v>175.0</v>
      </c>
      <c r="G537" s="5" t="s">
        <v>68</v>
      </c>
      <c r="H537" s="5" t="s">
        <v>68</v>
      </c>
      <c r="I537" s="6" t="s">
        <v>40</v>
      </c>
      <c r="J537" s="5" t="s">
        <v>8585</v>
      </c>
      <c r="K537" s="5" t="s">
        <v>8586</v>
      </c>
      <c r="L537" s="6" t="s">
        <v>42</v>
      </c>
      <c r="M537" s="5" t="s">
        <v>995</v>
      </c>
      <c r="N537" s="5" t="s">
        <v>64</v>
      </c>
      <c r="O537" s="5" t="s">
        <v>13793</v>
      </c>
      <c r="P537" s="6">
        <v>11413.0</v>
      </c>
    </row>
    <row r="538" ht="56.25" customHeight="1">
      <c r="A538" s="5" t="s">
        <v>13785</v>
      </c>
      <c r="B538" s="6" t="str">
        <f>image("https://storage.googleapis.com/acdb/bottoms/BottomsTexPantsWideRain3.png")</f>
        <v/>
      </c>
      <c r="C538" s="5" t="s">
        <v>106</v>
      </c>
      <c r="D538" s="5" t="s">
        <v>36</v>
      </c>
      <c r="E538" s="6">
        <v>700.0</v>
      </c>
      <c r="F538" s="6">
        <v>175.0</v>
      </c>
      <c r="G538" s="5" t="s">
        <v>106</v>
      </c>
      <c r="H538" s="5" t="s">
        <v>106</v>
      </c>
      <c r="I538" s="6" t="s">
        <v>40</v>
      </c>
      <c r="J538" s="5" t="s">
        <v>8585</v>
      </c>
      <c r="K538" s="5" t="s">
        <v>8586</v>
      </c>
      <c r="L538" s="6" t="s">
        <v>42</v>
      </c>
      <c r="M538" s="5" t="s">
        <v>995</v>
      </c>
      <c r="N538" s="5" t="s">
        <v>64</v>
      </c>
      <c r="O538" s="5" t="s">
        <v>13795</v>
      </c>
      <c r="P538" s="6">
        <v>11414.0</v>
      </c>
    </row>
    <row r="539" ht="56.25" customHeight="1">
      <c r="A539" s="5" t="s">
        <v>13785</v>
      </c>
      <c r="B539" s="6" t="str">
        <f>image("https://storage.googleapis.com/acdb/bottoms/BottomsTexPantsWideRain4.png")</f>
        <v/>
      </c>
      <c r="C539" s="5" t="s">
        <v>69</v>
      </c>
      <c r="D539" s="5" t="s">
        <v>36</v>
      </c>
      <c r="E539" s="6">
        <v>700.0</v>
      </c>
      <c r="F539" s="6">
        <v>175.0</v>
      </c>
      <c r="G539" s="5" t="s">
        <v>69</v>
      </c>
      <c r="H539" s="5" t="s">
        <v>69</v>
      </c>
      <c r="I539" s="6" t="s">
        <v>40</v>
      </c>
      <c r="J539" s="5" t="s">
        <v>8585</v>
      </c>
      <c r="K539" s="5" t="s">
        <v>8586</v>
      </c>
      <c r="L539" s="6" t="s">
        <v>42</v>
      </c>
      <c r="M539" s="5" t="s">
        <v>995</v>
      </c>
      <c r="N539" s="5" t="s">
        <v>64</v>
      </c>
      <c r="O539" s="5" t="s">
        <v>13798</v>
      </c>
      <c r="P539" s="6">
        <v>11415.0</v>
      </c>
    </row>
    <row r="540" ht="56.25" customHeight="1">
      <c r="A540" s="5" t="s">
        <v>13785</v>
      </c>
      <c r="B540" s="6" t="str">
        <f>image("https://storage.googleapis.com/acdb/bottoms/BottomsTexPantsWideRain5.png")</f>
        <v/>
      </c>
      <c r="C540" s="5" t="s">
        <v>52</v>
      </c>
      <c r="D540" s="5" t="s">
        <v>36</v>
      </c>
      <c r="E540" s="6">
        <v>700.0</v>
      </c>
      <c r="F540" s="6">
        <v>175.0</v>
      </c>
      <c r="G540" s="5" t="s">
        <v>52</v>
      </c>
      <c r="H540" s="5" t="s">
        <v>52</v>
      </c>
      <c r="I540" s="6" t="s">
        <v>40</v>
      </c>
      <c r="J540" s="5" t="s">
        <v>8585</v>
      </c>
      <c r="K540" s="5" t="s">
        <v>8586</v>
      </c>
      <c r="L540" s="6" t="s">
        <v>42</v>
      </c>
      <c r="M540" s="5" t="s">
        <v>995</v>
      </c>
      <c r="N540" s="5" t="s">
        <v>64</v>
      </c>
      <c r="O540" s="5" t="s">
        <v>13801</v>
      </c>
      <c r="P540" s="6">
        <v>11416.0</v>
      </c>
    </row>
    <row r="541" ht="56.25" customHeight="1">
      <c r="A541" s="5" t="s">
        <v>13785</v>
      </c>
      <c r="B541" s="6" t="str">
        <f>image("https://storage.googleapis.com/acdb/bottoms/BottomsTexPantsWideRain6.png")</f>
        <v/>
      </c>
      <c r="C541" s="5" t="s">
        <v>38</v>
      </c>
      <c r="D541" s="5" t="s">
        <v>36</v>
      </c>
      <c r="E541" s="6">
        <v>700.0</v>
      </c>
      <c r="F541" s="6">
        <v>175.0</v>
      </c>
      <c r="G541" s="5" t="s">
        <v>38</v>
      </c>
      <c r="H541" s="5" t="s">
        <v>38</v>
      </c>
      <c r="I541" s="6" t="s">
        <v>40</v>
      </c>
      <c r="J541" s="5" t="s">
        <v>8585</v>
      </c>
      <c r="K541" s="5" t="s">
        <v>8586</v>
      </c>
      <c r="L541" s="6" t="s">
        <v>42</v>
      </c>
      <c r="M541" s="5" t="s">
        <v>995</v>
      </c>
      <c r="N541" s="5" t="s">
        <v>64</v>
      </c>
      <c r="O541" s="5" t="s">
        <v>13802</v>
      </c>
      <c r="P541" s="6">
        <v>11417.0</v>
      </c>
    </row>
    <row r="542" ht="56.25" customHeight="1">
      <c r="A542" s="5" t="s">
        <v>13785</v>
      </c>
      <c r="B542" s="6" t="str">
        <f>image("https://storage.googleapis.com/acdb/bottoms/BottomsTexPantsWideRain7.png")</f>
        <v/>
      </c>
      <c r="C542" s="5" t="s">
        <v>54</v>
      </c>
      <c r="D542" s="5" t="s">
        <v>36</v>
      </c>
      <c r="E542" s="6">
        <v>700.0</v>
      </c>
      <c r="F542" s="6">
        <v>175.0</v>
      </c>
      <c r="G542" s="5" t="s">
        <v>54</v>
      </c>
      <c r="H542" s="5" t="s">
        <v>54</v>
      </c>
      <c r="I542" s="6" t="s">
        <v>40</v>
      </c>
      <c r="J542" s="5" t="s">
        <v>8585</v>
      </c>
      <c r="K542" s="5" t="s">
        <v>8586</v>
      </c>
      <c r="L542" s="6" t="s">
        <v>42</v>
      </c>
      <c r="M542" s="5" t="s">
        <v>995</v>
      </c>
      <c r="N542" s="5" t="s">
        <v>64</v>
      </c>
      <c r="O542" s="5" t="s">
        <v>13805</v>
      </c>
      <c r="P542" s="6">
        <v>11418.0</v>
      </c>
    </row>
    <row r="543" ht="56.25" customHeight="1">
      <c r="A543" s="5" t="s">
        <v>13806</v>
      </c>
      <c r="B543" s="6" t="str">
        <f>image("https://storage.googleapis.com/acdb/bottoms/BottomsTexSkirtAlineSailor0.png")</f>
        <v/>
      </c>
      <c r="C543" s="5" t="s">
        <v>1187</v>
      </c>
      <c r="D543" s="5" t="s">
        <v>36</v>
      </c>
      <c r="E543" s="6">
        <v>980.0</v>
      </c>
      <c r="F543" s="6">
        <v>245.0</v>
      </c>
      <c r="G543" s="5" t="s">
        <v>68</v>
      </c>
      <c r="H543" s="5" t="s">
        <v>68</v>
      </c>
      <c r="I543" s="6" t="s">
        <v>40</v>
      </c>
      <c r="J543" s="5" t="s">
        <v>8585</v>
      </c>
      <c r="K543" s="5" t="s">
        <v>8586</v>
      </c>
      <c r="L543" s="6" t="s">
        <v>42</v>
      </c>
      <c r="M543" s="5" t="s">
        <v>995</v>
      </c>
      <c r="N543" s="5" t="s">
        <v>64</v>
      </c>
      <c r="O543" s="5" t="s">
        <v>13810</v>
      </c>
      <c r="P543" s="6">
        <v>3341.0</v>
      </c>
    </row>
    <row r="544" ht="56.25" customHeight="1">
      <c r="A544" s="5" t="s">
        <v>13806</v>
      </c>
      <c r="B544" s="6" t="str">
        <f>image("https://storage.googleapis.com/acdb/bottoms/BottomsTexSkirtAlineSailor1.png")</f>
        <v/>
      </c>
      <c r="C544" s="5" t="s">
        <v>142</v>
      </c>
      <c r="D544" s="5" t="s">
        <v>36</v>
      </c>
      <c r="E544" s="6">
        <v>980.0</v>
      </c>
      <c r="F544" s="6">
        <v>245.0</v>
      </c>
      <c r="G544" s="5" t="s">
        <v>142</v>
      </c>
      <c r="H544" s="5" t="s">
        <v>142</v>
      </c>
      <c r="I544" s="6" t="s">
        <v>40</v>
      </c>
      <c r="J544" s="5" t="s">
        <v>8585</v>
      </c>
      <c r="K544" s="5" t="s">
        <v>8586</v>
      </c>
      <c r="L544" s="6" t="s">
        <v>42</v>
      </c>
      <c r="M544" s="5" t="s">
        <v>995</v>
      </c>
      <c r="N544" s="5" t="s">
        <v>64</v>
      </c>
      <c r="O544" s="5" t="s">
        <v>13812</v>
      </c>
      <c r="P544" s="6">
        <v>11635.0</v>
      </c>
    </row>
    <row r="545" ht="56.25" customHeight="1">
      <c r="A545" s="5" t="s">
        <v>13806</v>
      </c>
      <c r="B545" s="6" t="str">
        <f>image("https://storage.googleapis.com/acdb/bottoms/BottomsTexSkirtAlineSailor2.png")</f>
        <v/>
      </c>
      <c r="C545" s="5" t="s">
        <v>83</v>
      </c>
      <c r="D545" s="5" t="s">
        <v>36</v>
      </c>
      <c r="E545" s="6">
        <v>980.0</v>
      </c>
      <c r="F545" s="6">
        <v>245.0</v>
      </c>
      <c r="G545" s="5" t="s">
        <v>83</v>
      </c>
      <c r="H545" s="5" t="s">
        <v>83</v>
      </c>
      <c r="I545" s="6" t="s">
        <v>40</v>
      </c>
      <c r="J545" s="5" t="s">
        <v>8585</v>
      </c>
      <c r="K545" s="5" t="s">
        <v>8586</v>
      </c>
      <c r="L545" s="6" t="s">
        <v>42</v>
      </c>
      <c r="M545" s="5" t="s">
        <v>995</v>
      </c>
      <c r="N545" s="5" t="s">
        <v>64</v>
      </c>
      <c r="O545" s="5" t="s">
        <v>13815</v>
      </c>
      <c r="P545" s="6">
        <v>11636.0</v>
      </c>
    </row>
    <row r="546" ht="56.25" customHeight="1">
      <c r="A546" s="5" t="s">
        <v>13806</v>
      </c>
      <c r="B546" s="6" t="str">
        <f>image("https://storage.googleapis.com/acdb/bottoms/BottomsTexSkirtAlineSailor3.png")</f>
        <v/>
      </c>
      <c r="C546" s="5" t="s">
        <v>96</v>
      </c>
      <c r="D546" s="5" t="s">
        <v>36</v>
      </c>
      <c r="E546" s="6">
        <v>980.0</v>
      </c>
      <c r="F546" s="6">
        <v>245.0</v>
      </c>
      <c r="G546" s="5" t="s">
        <v>96</v>
      </c>
      <c r="H546" s="5" t="s">
        <v>96</v>
      </c>
      <c r="I546" s="6" t="s">
        <v>40</v>
      </c>
      <c r="J546" s="5" t="s">
        <v>8585</v>
      </c>
      <c r="K546" s="5" t="s">
        <v>8586</v>
      </c>
      <c r="L546" s="6" t="s">
        <v>42</v>
      </c>
      <c r="M546" s="5" t="s">
        <v>995</v>
      </c>
      <c r="N546" s="5" t="s">
        <v>64</v>
      </c>
      <c r="O546" s="5" t="s">
        <v>13817</v>
      </c>
      <c r="P546" s="6">
        <v>11637.0</v>
      </c>
    </row>
    <row r="547" ht="56.25" customHeight="1">
      <c r="A547" s="5" t="s">
        <v>13806</v>
      </c>
      <c r="B547" s="6" t="str">
        <f>image("https://storage.googleapis.com/acdb/bottoms/BottomsTexSkirtAlineSailor4.png")</f>
        <v/>
      </c>
      <c r="C547" s="5" t="s">
        <v>39</v>
      </c>
      <c r="D547" s="5" t="s">
        <v>36</v>
      </c>
      <c r="E547" s="6">
        <v>980.0</v>
      </c>
      <c r="F547" s="6">
        <v>245.0</v>
      </c>
      <c r="G547" s="5" t="s">
        <v>39</v>
      </c>
      <c r="H547" s="5" t="s">
        <v>39</v>
      </c>
      <c r="I547" s="6" t="s">
        <v>40</v>
      </c>
      <c r="J547" s="5" t="s">
        <v>8585</v>
      </c>
      <c r="K547" s="5" t="s">
        <v>8586</v>
      </c>
      <c r="L547" s="6" t="s">
        <v>42</v>
      </c>
      <c r="M547" s="5" t="s">
        <v>995</v>
      </c>
      <c r="N547" s="5" t="s">
        <v>64</v>
      </c>
      <c r="O547" s="5" t="s">
        <v>13820</v>
      </c>
      <c r="P547" s="6">
        <v>11638.0</v>
      </c>
    </row>
    <row r="548" ht="56.25" customHeight="1">
      <c r="A548" s="5" t="s">
        <v>13806</v>
      </c>
      <c r="B548" s="6" t="str">
        <f>image("https://storage.googleapis.com/acdb/bottoms/BottomsTexSkirtAlineSailor5.png")</f>
        <v/>
      </c>
      <c r="C548" s="5" t="s">
        <v>106</v>
      </c>
      <c r="D548" s="5" t="s">
        <v>36</v>
      </c>
      <c r="E548" s="6">
        <v>980.0</v>
      </c>
      <c r="F548" s="6">
        <v>245.0</v>
      </c>
      <c r="G548" s="5" t="s">
        <v>106</v>
      </c>
      <c r="H548" s="5" t="s">
        <v>106</v>
      </c>
      <c r="I548" s="6" t="s">
        <v>40</v>
      </c>
      <c r="J548" s="5" t="s">
        <v>8585</v>
      </c>
      <c r="K548" s="5" t="s">
        <v>8586</v>
      </c>
      <c r="L548" s="6" t="s">
        <v>42</v>
      </c>
      <c r="M548" s="5" t="s">
        <v>995</v>
      </c>
      <c r="N548" s="5" t="s">
        <v>64</v>
      </c>
      <c r="O548" s="5" t="s">
        <v>13822</v>
      </c>
      <c r="P548" s="6">
        <v>11639.0</v>
      </c>
    </row>
    <row r="549" ht="56.25" customHeight="1">
      <c r="A549" s="5" t="s">
        <v>13806</v>
      </c>
      <c r="B549" s="6" t="str">
        <f>image("https://storage.googleapis.com/acdb/bottoms/BottomsTexSkirtAlineSailor6.png")</f>
        <v/>
      </c>
      <c r="C549" s="5" t="s">
        <v>52</v>
      </c>
      <c r="D549" s="5" t="s">
        <v>36</v>
      </c>
      <c r="E549" s="6">
        <v>980.0</v>
      </c>
      <c r="F549" s="6">
        <v>245.0</v>
      </c>
      <c r="G549" s="5" t="s">
        <v>52</v>
      </c>
      <c r="H549" s="5" t="s">
        <v>52</v>
      </c>
      <c r="I549" s="6" t="s">
        <v>40</v>
      </c>
      <c r="J549" s="5" t="s">
        <v>8585</v>
      </c>
      <c r="K549" s="5" t="s">
        <v>8586</v>
      </c>
      <c r="L549" s="6" t="s">
        <v>42</v>
      </c>
      <c r="M549" s="5" t="s">
        <v>995</v>
      </c>
      <c r="N549" s="5" t="s">
        <v>64</v>
      </c>
      <c r="O549" s="5" t="s">
        <v>13824</v>
      </c>
      <c r="P549" s="6">
        <v>11640.0</v>
      </c>
    </row>
    <row r="550" ht="56.25" customHeight="1">
      <c r="A550" s="5" t="s">
        <v>13806</v>
      </c>
      <c r="B550" s="6" t="str">
        <f>image("https://storage.googleapis.com/acdb/bottoms/BottomsTexSkirtAlineSailor7.png")</f>
        <v/>
      </c>
      <c r="C550" s="5" t="s">
        <v>69</v>
      </c>
      <c r="D550" s="5" t="s">
        <v>36</v>
      </c>
      <c r="E550" s="6">
        <v>980.0</v>
      </c>
      <c r="F550" s="6">
        <v>245.0</v>
      </c>
      <c r="G550" s="5" t="s">
        <v>69</v>
      </c>
      <c r="H550" s="5" t="s">
        <v>69</v>
      </c>
      <c r="I550" s="6" t="s">
        <v>40</v>
      </c>
      <c r="J550" s="5" t="s">
        <v>8585</v>
      </c>
      <c r="K550" s="5" t="s">
        <v>8586</v>
      </c>
      <c r="L550" s="6" t="s">
        <v>42</v>
      </c>
      <c r="M550" s="5" t="s">
        <v>995</v>
      </c>
      <c r="N550" s="5" t="s">
        <v>64</v>
      </c>
      <c r="O550" s="5" t="s">
        <v>13827</v>
      </c>
      <c r="P550" s="6">
        <v>11641.0</v>
      </c>
    </row>
    <row r="551" ht="56.25" customHeight="1">
      <c r="A551" s="5" t="s">
        <v>13828</v>
      </c>
      <c r="B551" s="6" t="str">
        <f>image("https://storage.googleapis.com/acdb/bottoms/BottomsTexPantsWideSatin0.png")</f>
        <v/>
      </c>
      <c r="C551" s="5" t="s">
        <v>96</v>
      </c>
      <c r="D551" s="5" t="s">
        <v>36</v>
      </c>
      <c r="E551" s="6">
        <v>880.0</v>
      </c>
      <c r="F551" s="6">
        <v>220.0</v>
      </c>
      <c r="G551" s="5" t="s">
        <v>96</v>
      </c>
      <c r="H551" s="5" t="s">
        <v>96</v>
      </c>
      <c r="I551" s="6" t="s">
        <v>40</v>
      </c>
      <c r="J551" s="5" t="s">
        <v>8585</v>
      </c>
      <c r="K551" s="5" t="s">
        <v>8586</v>
      </c>
      <c r="L551" s="6" t="s">
        <v>42</v>
      </c>
      <c r="M551" s="5" t="s">
        <v>995</v>
      </c>
      <c r="N551" s="5" t="s">
        <v>64</v>
      </c>
      <c r="O551" s="5" t="s">
        <v>13830</v>
      </c>
      <c r="P551" s="6">
        <v>4593.0</v>
      </c>
    </row>
    <row r="552" ht="56.25" customHeight="1">
      <c r="A552" s="5" t="s">
        <v>13828</v>
      </c>
      <c r="B552" s="6" t="str">
        <f>image("https://storage.googleapis.com/acdb/bottoms/BottomsTexPantsWideSatin1.png")</f>
        <v/>
      </c>
      <c r="C552" s="5" t="s">
        <v>68</v>
      </c>
      <c r="D552" s="5" t="s">
        <v>36</v>
      </c>
      <c r="E552" s="6">
        <v>880.0</v>
      </c>
      <c r="F552" s="6">
        <v>220.0</v>
      </c>
      <c r="G552" s="5" t="s">
        <v>68</v>
      </c>
      <c r="H552" s="5" t="s">
        <v>68</v>
      </c>
      <c r="I552" s="6" t="s">
        <v>40</v>
      </c>
      <c r="J552" s="5" t="s">
        <v>8585</v>
      </c>
      <c r="K552" s="5" t="s">
        <v>8586</v>
      </c>
      <c r="L552" s="6" t="s">
        <v>42</v>
      </c>
      <c r="M552" s="5" t="s">
        <v>995</v>
      </c>
      <c r="N552" s="5" t="s">
        <v>64</v>
      </c>
      <c r="O552" s="5" t="s">
        <v>13833</v>
      </c>
      <c r="P552" s="6">
        <v>9719.0</v>
      </c>
    </row>
    <row r="553" ht="56.25" customHeight="1">
      <c r="A553" s="5" t="s">
        <v>13828</v>
      </c>
      <c r="B553" s="6" t="str">
        <f>image("https://storage.googleapis.com/acdb/bottoms/BottomsTexPantsWideSatin2.png")</f>
        <v/>
      </c>
      <c r="C553" s="5" t="s">
        <v>13835</v>
      </c>
      <c r="D553" s="5" t="s">
        <v>36</v>
      </c>
      <c r="E553" s="6">
        <v>880.0</v>
      </c>
      <c r="F553" s="6">
        <v>220.0</v>
      </c>
      <c r="G553" s="5" t="s">
        <v>106</v>
      </c>
      <c r="H553" s="5" t="s">
        <v>106</v>
      </c>
      <c r="I553" s="6" t="s">
        <v>40</v>
      </c>
      <c r="J553" s="5" t="s">
        <v>8585</v>
      </c>
      <c r="K553" s="5" t="s">
        <v>8586</v>
      </c>
      <c r="L553" s="6" t="s">
        <v>42</v>
      </c>
      <c r="M553" s="5" t="s">
        <v>995</v>
      </c>
      <c r="N553" s="5" t="s">
        <v>64</v>
      </c>
      <c r="O553" s="5" t="s">
        <v>13836</v>
      </c>
      <c r="P553" s="6">
        <v>9720.0</v>
      </c>
    </row>
    <row r="554" ht="56.25" customHeight="1">
      <c r="A554" s="5" t="s">
        <v>13828</v>
      </c>
      <c r="B554" s="6" t="str">
        <f>image("https://storage.googleapis.com/acdb/bottoms/BottomsTexPantsWideSatin3.png")</f>
        <v/>
      </c>
      <c r="C554" s="5" t="s">
        <v>69</v>
      </c>
      <c r="D554" s="5" t="s">
        <v>36</v>
      </c>
      <c r="E554" s="6">
        <v>880.0</v>
      </c>
      <c r="F554" s="6">
        <v>220.0</v>
      </c>
      <c r="G554" s="5" t="s">
        <v>69</v>
      </c>
      <c r="H554" s="5" t="s">
        <v>69</v>
      </c>
      <c r="I554" s="6" t="s">
        <v>40</v>
      </c>
      <c r="J554" s="5" t="s">
        <v>8585</v>
      </c>
      <c r="K554" s="5" t="s">
        <v>8586</v>
      </c>
      <c r="L554" s="6" t="s">
        <v>42</v>
      </c>
      <c r="M554" s="5" t="s">
        <v>995</v>
      </c>
      <c r="N554" s="5" t="s">
        <v>64</v>
      </c>
      <c r="O554" s="5" t="s">
        <v>13839</v>
      </c>
      <c r="P554" s="6">
        <v>9721.0</v>
      </c>
    </row>
    <row r="555" ht="56.25" customHeight="1">
      <c r="A555" s="5" t="s">
        <v>13828</v>
      </c>
      <c r="B555" s="6" t="str">
        <f>image("https://storage.googleapis.com/acdb/bottoms/BottomsTexPantsWideSatin4.png")</f>
        <v/>
      </c>
      <c r="C555" s="5" t="s">
        <v>3744</v>
      </c>
      <c r="D555" s="5" t="s">
        <v>36</v>
      </c>
      <c r="E555" s="6">
        <v>880.0</v>
      </c>
      <c r="F555" s="6">
        <v>220.0</v>
      </c>
      <c r="G555" s="5" t="s">
        <v>52</v>
      </c>
      <c r="H555" s="5" t="s">
        <v>52</v>
      </c>
      <c r="I555" s="6" t="s">
        <v>40</v>
      </c>
      <c r="J555" s="5" t="s">
        <v>8585</v>
      </c>
      <c r="K555" s="5" t="s">
        <v>8586</v>
      </c>
      <c r="L555" s="6" t="s">
        <v>42</v>
      </c>
      <c r="M555" s="5" t="s">
        <v>995</v>
      </c>
      <c r="N555" s="5" t="s">
        <v>64</v>
      </c>
      <c r="O555" s="5" t="s">
        <v>13841</v>
      </c>
      <c r="P555" s="6">
        <v>9722.0</v>
      </c>
    </row>
    <row r="556" ht="56.25" customHeight="1">
      <c r="A556" s="5" t="s">
        <v>13828</v>
      </c>
      <c r="B556" s="6" t="str">
        <f>image("https://storage.googleapis.com/acdb/bottoms/BottomsTexPantsWideSatin5.png")</f>
        <v/>
      </c>
      <c r="C556" s="5" t="s">
        <v>10410</v>
      </c>
      <c r="D556" s="5" t="s">
        <v>36</v>
      </c>
      <c r="E556" s="6">
        <v>880.0</v>
      </c>
      <c r="F556" s="6">
        <v>220.0</v>
      </c>
      <c r="G556" s="5" t="s">
        <v>52</v>
      </c>
      <c r="H556" s="5" t="s">
        <v>52</v>
      </c>
      <c r="I556" s="6" t="s">
        <v>40</v>
      </c>
      <c r="J556" s="5" t="s">
        <v>8585</v>
      </c>
      <c r="K556" s="5" t="s">
        <v>8586</v>
      </c>
      <c r="L556" s="6" t="s">
        <v>42</v>
      </c>
      <c r="M556" s="5" t="s">
        <v>995</v>
      </c>
      <c r="N556" s="5" t="s">
        <v>64</v>
      </c>
      <c r="O556" s="5" t="s">
        <v>13844</v>
      </c>
      <c r="P556" s="6">
        <v>9723.0</v>
      </c>
    </row>
    <row r="557" ht="56.25" customHeight="1">
      <c r="A557" s="5" t="s">
        <v>13828</v>
      </c>
      <c r="B557" s="6" t="str">
        <f>image("https://storage.googleapis.com/acdb/bottoms/BottomsTexPantsWideSatin6.png")</f>
        <v/>
      </c>
      <c r="C557" s="5" t="s">
        <v>39</v>
      </c>
      <c r="D557" s="5" t="s">
        <v>36</v>
      </c>
      <c r="E557" s="6">
        <v>880.0</v>
      </c>
      <c r="F557" s="6">
        <v>220.0</v>
      </c>
      <c r="G557" s="5" t="s">
        <v>39</v>
      </c>
      <c r="H557" s="5" t="s">
        <v>39</v>
      </c>
      <c r="I557" s="6" t="s">
        <v>40</v>
      </c>
      <c r="J557" s="5" t="s">
        <v>8585</v>
      </c>
      <c r="K557" s="5" t="s">
        <v>8586</v>
      </c>
      <c r="L557" s="6" t="s">
        <v>42</v>
      </c>
      <c r="M557" s="5" t="s">
        <v>995</v>
      </c>
      <c r="N557" s="5" t="s">
        <v>64</v>
      </c>
      <c r="O557" s="5" t="s">
        <v>13846</v>
      </c>
      <c r="P557" s="6">
        <v>9724.0</v>
      </c>
    </row>
    <row r="558" ht="56.25" customHeight="1">
      <c r="A558" s="5" t="s">
        <v>13847</v>
      </c>
      <c r="B558" s="6" t="str">
        <f>image("https://storage.googleapis.com/acdb/bottoms/BottomsTexPantsWideGakuran0.png")</f>
        <v/>
      </c>
      <c r="C558" s="5" t="s">
        <v>54</v>
      </c>
      <c r="D558" s="5" t="s">
        <v>36</v>
      </c>
      <c r="E558" s="6">
        <v>880.0</v>
      </c>
      <c r="F558" s="6">
        <v>220.0</v>
      </c>
      <c r="G558" s="5" t="s">
        <v>54</v>
      </c>
      <c r="H558" s="5" t="s">
        <v>68</v>
      </c>
      <c r="I558" s="6" t="s">
        <v>40</v>
      </c>
      <c r="J558" s="5" t="s">
        <v>8585</v>
      </c>
      <c r="K558" s="5" t="s">
        <v>8586</v>
      </c>
      <c r="L558" s="6" t="s">
        <v>42</v>
      </c>
      <c r="M558" s="5" t="s">
        <v>995</v>
      </c>
      <c r="N558" s="5" t="s">
        <v>64</v>
      </c>
      <c r="O558" s="5" t="s">
        <v>13850</v>
      </c>
      <c r="P558" s="6">
        <v>5873.0</v>
      </c>
    </row>
    <row r="559" ht="56.25" customHeight="1">
      <c r="A559" s="5" t="s">
        <v>13847</v>
      </c>
      <c r="B559" s="6" t="str">
        <f>image("https://storage.googleapis.com/acdb/bottoms/BottomsTexPantsWideGakuran1.png")</f>
        <v/>
      </c>
      <c r="C559" s="5" t="s">
        <v>4883</v>
      </c>
      <c r="D559" s="5" t="s">
        <v>36</v>
      </c>
      <c r="E559" s="6">
        <v>880.0</v>
      </c>
      <c r="F559" s="6">
        <v>220.0</v>
      </c>
      <c r="G559" s="5" t="s">
        <v>52</v>
      </c>
      <c r="H559" s="5" t="s">
        <v>68</v>
      </c>
      <c r="I559" s="6" t="s">
        <v>40</v>
      </c>
      <c r="J559" s="5" t="s">
        <v>8585</v>
      </c>
      <c r="K559" s="5" t="s">
        <v>8586</v>
      </c>
      <c r="L559" s="6" t="s">
        <v>42</v>
      </c>
      <c r="M559" s="5" t="s">
        <v>995</v>
      </c>
      <c r="N559" s="5" t="s">
        <v>64</v>
      </c>
      <c r="O559" s="5" t="s">
        <v>13852</v>
      </c>
      <c r="P559" s="6">
        <v>11398.0</v>
      </c>
    </row>
    <row r="560" ht="56.25" customHeight="1">
      <c r="A560" s="5" t="s">
        <v>13847</v>
      </c>
      <c r="B560" s="6" t="str">
        <f>image("https://storage.googleapis.com/acdb/bottoms/BottomsTexPantsWideGakuran2.png")</f>
        <v/>
      </c>
      <c r="C560" s="5" t="s">
        <v>96</v>
      </c>
      <c r="D560" s="5" t="s">
        <v>36</v>
      </c>
      <c r="E560" s="6">
        <v>880.0</v>
      </c>
      <c r="F560" s="6">
        <v>220.0</v>
      </c>
      <c r="G560" s="5" t="s">
        <v>96</v>
      </c>
      <c r="H560" s="5" t="s">
        <v>68</v>
      </c>
      <c r="I560" s="6" t="s">
        <v>40</v>
      </c>
      <c r="J560" s="5" t="s">
        <v>8585</v>
      </c>
      <c r="K560" s="5" t="s">
        <v>8586</v>
      </c>
      <c r="L560" s="6" t="s">
        <v>42</v>
      </c>
      <c r="M560" s="5" t="s">
        <v>995</v>
      </c>
      <c r="N560" s="5" t="s">
        <v>64</v>
      </c>
      <c r="O560" s="5" t="s">
        <v>13855</v>
      </c>
      <c r="P560" s="6">
        <v>11399.0</v>
      </c>
    </row>
    <row r="561" ht="56.25" customHeight="1">
      <c r="A561" s="5" t="s">
        <v>13847</v>
      </c>
      <c r="B561" s="6" t="str">
        <f>image("https://storage.googleapis.com/acdb/bottoms/BottomsTexPantsWideGakuran3.png")</f>
        <v/>
      </c>
      <c r="C561" s="5" t="s">
        <v>57</v>
      </c>
      <c r="D561" s="5" t="s">
        <v>36</v>
      </c>
      <c r="E561" s="6">
        <v>880.0</v>
      </c>
      <c r="F561" s="6">
        <v>220.0</v>
      </c>
      <c r="G561" s="5" t="s">
        <v>57</v>
      </c>
      <c r="H561" s="5" t="s">
        <v>68</v>
      </c>
      <c r="I561" s="6" t="s">
        <v>40</v>
      </c>
      <c r="J561" s="5" t="s">
        <v>8585</v>
      </c>
      <c r="K561" s="5" t="s">
        <v>8586</v>
      </c>
      <c r="L561" s="6" t="s">
        <v>42</v>
      </c>
      <c r="M561" s="5" t="s">
        <v>995</v>
      </c>
      <c r="N561" s="5" t="s">
        <v>64</v>
      </c>
      <c r="O561" s="5" t="s">
        <v>13857</v>
      </c>
      <c r="P561" s="6">
        <v>11400.0</v>
      </c>
    </row>
    <row r="562" ht="56.25" customHeight="1">
      <c r="A562" s="5" t="s">
        <v>13847</v>
      </c>
      <c r="B562" s="6" t="str">
        <f>image("https://storage.googleapis.com/acdb/bottoms/BottomsTexPantsWideGakuran4.png")</f>
        <v/>
      </c>
      <c r="C562" s="5" t="s">
        <v>106</v>
      </c>
      <c r="D562" s="5" t="s">
        <v>36</v>
      </c>
      <c r="E562" s="6">
        <v>880.0</v>
      </c>
      <c r="F562" s="6">
        <v>220.0</v>
      </c>
      <c r="G562" s="5" t="s">
        <v>106</v>
      </c>
      <c r="H562" s="5" t="s">
        <v>68</v>
      </c>
      <c r="I562" s="6" t="s">
        <v>40</v>
      </c>
      <c r="J562" s="5" t="s">
        <v>8585</v>
      </c>
      <c r="K562" s="5" t="s">
        <v>8586</v>
      </c>
      <c r="L562" s="6" t="s">
        <v>42</v>
      </c>
      <c r="M562" s="5" t="s">
        <v>995</v>
      </c>
      <c r="N562" s="5" t="s">
        <v>64</v>
      </c>
      <c r="O562" s="5" t="s">
        <v>13860</v>
      </c>
      <c r="P562" s="6">
        <v>11401.0</v>
      </c>
    </row>
    <row r="563" ht="56.25" customHeight="1">
      <c r="A563" s="5" t="s">
        <v>13847</v>
      </c>
      <c r="B563" s="6" t="str">
        <f>image("https://storage.googleapis.com/acdb/bottoms/BottomsTexPantsWideGakuran5.png")</f>
        <v/>
      </c>
      <c r="C563" s="5" t="s">
        <v>95</v>
      </c>
      <c r="D563" s="5" t="s">
        <v>36</v>
      </c>
      <c r="E563" s="6">
        <v>880.0</v>
      </c>
      <c r="F563" s="6">
        <v>220.0</v>
      </c>
      <c r="G563" s="5" t="s">
        <v>95</v>
      </c>
      <c r="H563" s="5" t="s">
        <v>68</v>
      </c>
      <c r="I563" s="6" t="s">
        <v>40</v>
      </c>
      <c r="J563" s="5" t="s">
        <v>8585</v>
      </c>
      <c r="K563" s="5" t="s">
        <v>8586</v>
      </c>
      <c r="L563" s="6" t="s">
        <v>42</v>
      </c>
      <c r="M563" s="5" t="s">
        <v>995</v>
      </c>
      <c r="N563" s="5" t="s">
        <v>64</v>
      </c>
      <c r="O563" s="5" t="s">
        <v>13862</v>
      </c>
      <c r="P563" s="6">
        <v>11402.0</v>
      </c>
    </row>
    <row r="564" ht="56.25" customHeight="1">
      <c r="A564" s="5" t="s">
        <v>13847</v>
      </c>
      <c r="B564" s="6" t="str">
        <f>image("https://storage.googleapis.com/acdb/bottoms/BottomsTexPantsWideGakuran6.png")</f>
        <v/>
      </c>
      <c r="C564" s="5" t="s">
        <v>68</v>
      </c>
      <c r="D564" s="5" t="s">
        <v>36</v>
      </c>
      <c r="E564" s="6">
        <v>880.0</v>
      </c>
      <c r="F564" s="6">
        <v>220.0</v>
      </c>
      <c r="G564" s="5" t="s">
        <v>68</v>
      </c>
      <c r="H564" s="5" t="s">
        <v>68</v>
      </c>
      <c r="I564" s="6" t="s">
        <v>40</v>
      </c>
      <c r="J564" s="5" t="s">
        <v>8585</v>
      </c>
      <c r="K564" s="5" t="s">
        <v>8586</v>
      </c>
      <c r="L564" s="6" t="s">
        <v>42</v>
      </c>
      <c r="M564" s="5" t="s">
        <v>995</v>
      </c>
      <c r="N564" s="5" t="s">
        <v>64</v>
      </c>
      <c r="O564" s="5" t="s">
        <v>13864</v>
      </c>
      <c r="P564" s="6">
        <v>11403.0</v>
      </c>
    </row>
    <row r="565" ht="56.25" customHeight="1">
      <c r="A565" s="5" t="s">
        <v>13866</v>
      </c>
      <c r="B565" s="6" t="str">
        <f>image("https://storage.googleapis.com/acdb/bottoms/BottomsTexPantsNormalChinashort0.png")</f>
        <v/>
      </c>
      <c r="C565" s="5" t="s">
        <v>69</v>
      </c>
      <c r="D565" s="5" t="s">
        <v>36</v>
      </c>
      <c r="E565" s="6">
        <v>1440.0</v>
      </c>
      <c r="F565" s="6">
        <v>360.0</v>
      </c>
      <c r="G565" s="5" t="s">
        <v>69</v>
      </c>
      <c r="H565" s="5" t="s">
        <v>114</v>
      </c>
      <c r="I565" s="6" t="s">
        <v>40</v>
      </c>
      <c r="J565" s="5" t="s">
        <v>8585</v>
      </c>
      <c r="K565" s="5" t="s">
        <v>8586</v>
      </c>
      <c r="L565" s="6" t="s">
        <v>42</v>
      </c>
      <c r="M565" s="5" t="s">
        <v>1959</v>
      </c>
      <c r="N565" s="5" t="s">
        <v>64</v>
      </c>
      <c r="O565" s="5" t="s">
        <v>13868</v>
      </c>
      <c r="P565" s="6">
        <v>4329.0</v>
      </c>
    </row>
    <row r="566" ht="56.25" customHeight="1">
      <c r="A566" s="5" t="s">
        <v>13866</v>
      </c>
      <c r="B566" s="6" t="str">
        <f>image("https://storage.googleapis.com/acdb/bottoms/BottomsTexPantsNormalChinashort1.png")</f>
        <v/>
      </c>
      <c r="C566" s="5" t="s">
        <v>68</v>
      </c>
      <c r="D566" s="5" t="s">
        <v>36</v>
      </c>
      <c r="E566" s="6">
        <v>1440.0</v>
      </c>
      <c r="F566" s="6">
        <v>360.0</v>
      </c>
      <c r="G566" s="5" t="s">
        <v>68</v>
      </c>
      <c r="H566" s="5" t="s">
        <v>114</v>
      </c>
      <c r="I566" s="6" t="s">
        <v>40</v>
      </c>
      <c r="J566" s="5" t="s">
        <v>8585</v>
      </c>
      <c r="K566" s="5" t="s">
        <v>8586</v>
      </c>
      <c r="L566" s="6" t="s">
        <v>42</v>
      </c>
      <c r="M566" s="5" t="s">
        <v>1959</v>
      </c>
      <c r="N566" s="5" t="s">
        <v>64</v>
      </c>
      <c r="O566" s="5" t="s">
        <v>13870</v>
      </c>
      <c r="P566" s="6">
        <v>11379.0</v>
      </c>
    </row>
    <row r="567" ht="56.25" customHeight="1">
      <c r="A567" s="5" t="s">
        <v>13866</v>
      </c>
      <c r="B567" s="6" t="str">
        <f>image("https://storage.googleapis.com/acdb/bottoms/BottomsTexPantsNormalChinashort2.png")</f>
        <v/>
      </c>
      <c r="C567" s="5" t="s">
        <v>8709</v>
      </c>
      <c r="D567" s="5" t="s">
        <v>36</v>
      </c>
      <c r="E567" s="6">
        <v>1440.0</v>
      </c>
      <c r="F567" s="6">
        <v>360.0</v>
      </c>
      <c r="G567" s="5" t="s">
        <v>114</v>
      </c>
      <c r="H567" s="5" t="s">
        <v>114</v>
      </c>
      <c r="I567" s="6" t="s">
        <v>40</v>
      </c>
      <c r="J567" s="5" t="s">
        <v>8585</v>
      </c>
      <c r="K567" s="5" t="s">
        <v>8586</v>
      </c>
      <c r="L567" s="6" t="s">
        <v>42</v>
      </c>
      <c r="M567" s="5" t="s">
        <v>1959</v>
      </c>
      <c r="N567" s="5" t="s">
        <v>64</v>
      </c>
      <c r="O567" s="5" t="s">
        <v>13872</v>
      </c>
      <c r="P567" s="6">
        <v>11380.0</v>
      </c>
    </row>
    <row r="568" ht="56.25" customHeight="1">
      <c r="A568" s="5" t="s">
        <v>13866</v>
      </c>
      <c r="B568" s="6" t="str">
        <f>image("https://storage.googleapis.com/acdb/bottoms/BottomsTexPantsNormalChinashort3.png")</f>
        <v/>
      </c>
      <c r="C568" s="5" t="s">
        <v>95</v>
      </c>
      <c r="D568" s="5" t="s">
        <v>36</v>
      </c>
      <c r="E568" s="6">
        <v>1440.0</v>
      </c>
      <c r="F568" s="6">
        <v>360.0</v>
      </c>
      <c r="G568" s="5" t="s">
        <v>95</v>
      </c>
      <c r="H568" s="5" t="s">
        <v>114</v>
      </c>
      <c r="I568" s="6" t="s">
        <v>40</v>
      </c>
      <c r="J568" s="5" t="s">
        <v>8585</v>
      </c>
      <c r="K568" s="5" t="s">
        <v>8586</v>
      </c>
      <c r="L568" s="6" t="s">
        <v>42</v>
      </c>
      <c r="M568" s="5" t="s">
        <v>1959</v>
      </c>
      <c r="N568" s="5" t="s">
        <v>64</v>
      </c>
      <c r="O568" s="5" t="s">
        <v>13874</v>
      </c>
      <c r="P568" s="6">
        <v>11381.0</v>
      </c>
    </row>
    <row r="569" ht="56.25" customHeight="1">
      <c r="A569" s="5" t="s">
        <v>13866</v>
      </c>
      <c r="B569" s="6" t="str">
        <f>image("https://storage.googleapis.com/acdb/bottoms/BottomsTexPantsNormalChinashort4.png")</f>
        <v/>
      </c>
      <c r="C569" s="5" t="s">
        <v>106</v>
      </c>
      <c r="D569" s="5" t="s">
        <v>36</v>
      </c>
      <c r="E569" s="6">
        <v>1440.0</v>
      </c>
      <c r="F569" s="6">
        <v>360.0</v>
      </c>
      <c r="G569" s="5" t="s">
        <v>106</v>
      </c>
      <c r="H569" s="5" t="s">
        <v>114</v>
      </c>
      <c r="I569" s="6" t="s">
        <v>40</v>
      </c>
      <c r="J569" s="5" t="s">
        <v>8585</v>
      </c>
      <c r="K569" s="5" t="s">
        <v>8586</v>
      </c>
      <c r="L569" s="6" t="s">
        <v>42</v>
      </c>
      <c r="M569" s="5" t="s">
        <v>1959</v>
      </c>
      <c r="N569" s="5" t="s">
        <v>64</v>
      </c>
      <c r="O569" s="5" t="s">
        <v>13877</v>
      </c>
      <c r="P569" s="6">
        <v>11382.0</v>
      </c>
    </row>
    <row r="570" ht="56.25" customHeight="1">
      <c r="A570" s="5" t="s">
        <v>13866</v>
      </c>
      <c r="B570" s="6" t="str">
        <f>image("https://storage.googleapis.com/acdb/bottoms/BottomsTexPantsNormalChinashort5.png")</f>
        <v/>
      </c>
      <c r="C570" s="5" t="s">
        <v>96</v>
      </c>
      <c r="D570" s="5" t="s">
        <v>36</v>
      </c>
      <c r="E570" s="6">
        <v>1440.0</v>
      </c>
      <c r="F570" s="6">
        <v>360.0</v>
      </c>
      <c r="G570" s="5" t="s">
        <v>96</v>
      </c>
      <c r="H570" s="5" t="s">
        <v>114</v>
      </c>
      <c r="I570" s="6" t="s">
        <v>40</v>
      </c>
      <c r="J570" s="5" t="s">
        <v>8585</v>
      </c>
      <c r="K570" s="5" t="s">
        <v>8586</v>
      </c>
      <c r="L570" s="6" t="s">
        <v>42</v>
      </c>
      <c r="M570" s="5" t="s">
        <v>1959</v>
      </c>
      <c r="N570" s="5" t="s">
        <v>64</v>
      </c>
      <c r="O570" s="5" t="s">
        <v>13879</v>
      </c>
      <c r="P570" s="6">
        <v>11383.0</v>
      </c>
    </row>
    <row r="571" ht="56.25" customHeight="1">
      <c r="A571" s="5" t="s">
        <v>13866</v>
      </c>
      <c r="B571" s="6" t="str">
        <f>image("https://storage.googleapis.com/acdb/bottoms/BottomsTexPantsNormalChinashort6.png")</f>
        <v/>
      </c>
      <c r="C571" s="5" t="s">
        <v>142</v>
      </c>
      <c r="D571" s="5" t="s">
        <v>36</v>
      </c>
      <c r="E571" s="6">
        <v>1440.0</v>
      </c>
      <c r="F571" s="6">
        <v>360.0</v>
      </c>
      <c r="G571" s="5" t="s">
        <v>142</v>
      </c>
      <c r="H571" s="5" t="s">
        <v>114</v>
      </c>
      <c r="I571" s="6" t="s">
        <v>40</v>
      </c>
      <c r="J571" s="5" t="s">
        <v>8585</v>
      </c>
      <c r="K571" s="5" t="s">
        <v>8586</v>
      </c>
      <c r="L571" s="6" t="s">
        <v>42</v>
      </c>
      <c r="M571" s="5" t="s">
        <v>1959</v>
      </c>
      <c r="N571" s="5" t="s">
        <v>64</v>
      </c>
      <c r="O571" s="5" t="s">
        <v>13885</v>
      </c>
      <c r="P571" s="6">
        <v>11384.0</v>
      </c>
    </row>
    <row r="572" ht="56.25" customHeight="1">
      <c r="A572" s="5" t="s">
        <v>13886</v>
      </c>
      <c r="B572" s="6" t="str">
        <f>image("https://storage.googleapis.com/acdb/bottoms/BottomsTexPantsNormalChina0.png")</f>
        <v/>
      </c>
      <c r="C572" s="5" t="s">
        <v>96</v>
      </c>
      <c r="D572" s="5" t="s">
        <v>36</v>
      </c>
      <c r="E572" s="6">
        <v>1440.0</v>
      </c>
      <c r="F572" s="6">
        <v>360.0</v>
      </c>
      <c r="G572" s="5" t="s">
        <v>96</v>
      </c>
      <c r="H572" s="5" t="s">
        <v>114</v>
      </c>
      <c r="I572" s="6" t="s">
        <v>40</v>
      </c>
      <c r="J572" s="5" t="s">
        <v>8585</v>
      </c>
      <c r="K572" s="5" t="s">
        <v>8586</v>
      </c>
      <c r="L572" s="6" t="s">
        <v>42</v>
      </c>
      <c r="M572" s="5" t="s">
        <v>1059</v>
      </c>
      <c r="N572" s="5" t="s">
        <v>64</v>
      </c>
      <c r="O572" s="5" t="s">
        <v>13889</v>
      </c>
      <c r="P572" s="6">
        <v>4330.0</v>
      </c>
    </row>
    <row r="573" ht="56.25" customHeight="1">
      <c r="A573" s="5" t="s">
        <v>13886</v>
      </c>
      <c r="B573" s="6" t="str">
        <f>image("https://storage.googleapis.com/acdb/bottoms/BottomsTexPantsNormalChina1.png")</f>
        <v/>
      </c>
      <c r="C573" s="5" t="s">
        <v>52</v>
      </c>
      <c r="D573" s="5" t="s">
        <v>36</v>
      </c>
      <c r="E573" s="6">
        <v>1440.0</v>
      </c>
      <c r="F573" s="6">
        <v>360.0</v>
      </c>
      <c r="G573" s="5" t="s">
        <v>52</v>
      </c>
      <c r="H573" s="5" t="s">
        <v>114</v>
      </c>
      <c r="I573" s="6" t="s">
        <v>40</v>
      </c>
      <c r="J573" s="5" t="s">
        <v>8585</v>
      </c>
      <c r="K573" s="5" t="s">
        <v>8586</v>
      </c>
      <c r="L573" s="6" t="s">
        <v>42</v>
      </c>
      <c r="M573" s="5" t="s">
        <v>1059</v>
      </c>
      <c r="N573" s="5" t="s">
        <v>64</v>
      </c>
      <c r="O573" s="5" t="s">
        <v>13891</v>
      </c>
      <c r="P573" s="6">
        <v>11359.0</v>
      </c>
    </row>
    <row r="574" ht="56.25" customHeight="1">
      <c r="A574" s="5" t="s">
        <v>13886</v>
      </c>
      <c r="B574" s="6" t="str">
        <f>image("https://storage.googleapis.com/acdb/bottoms/BottomsTexPantsNormalChina2.png")</f>
        <v/>
      </c>
      <c r="C574" s="5" t="s">
        <v>68</v>
      </c>
      <c r="D574" s="5" t="s">
        <v>36</v>
      </c>
      <c r="E574" s="6">
        <v>1440.0</v>
      </c>
      <c r="F574" s="6">
        <v>360.0</v>
      </c>
      <c r="G574" s="5" t="s">
        <v>68</v>
      </c>
      <c r="H574" s="5" t="s">
        <v>114</v>
      </c>
      <c r="I574" s="6" t="s">
        <v>40</v>
      </c>
      <c r="J574" s="5" t="s">
        <v>8585</v>
      </c>
      <c r="K574" s="5" t="s">
        <v>8586</v>
      </c>
      <c r="L574" s="6" t="s">
        <v>42</v>
      </c>
      <c r="M574" s="5" t="s">
        <v>1059</v>
      </c>
      <c r="N574" s="5" t="s">
        <v>64</v>
      </c>
      <c r="O574" s="5" t="s">
        <v>13893</v>
      </c>
      <c r="P574" s="6">
        <v>11360.0</v>
      </c>
    </row>
    <row r="575" ht="56.25" customHeight="1">
      <c r="A575" s="5" t="s">
        <v>13886</v>
      </c>
      <c r="B575" s="6" t="str">
        <f>image("https://storage.googleapis.com/acdb/bottoms/BottomsTexPantsNormalChina3.png")</f>
        <v/>
      </c>
      <c r="C575" s="5" t="s">
        <v>114</v>
      </c>
      <c r="D575" s="5" t="s">
        <v>36</v>
      </c>
      <c r="E575" s="6">
        <v>1440.0</v>
      </c>
      <c r="F575" s="6">
        <v>360.0</v>
      </c>
      <c r="G575" s="5" t="s">
        <v>114</v>
      </c>
      <c r="H575" s="5" t="s">
        <v>114</v>
      </c>
      <c r="I575" s="6" t="s">
        <v>40</v>
      </c>
      <c r="J575" s="5" t="s">
        <v>8585</v>
      </c>
      <c r="K575" s="5" t="s">
        <v>8586</v>
      </c>
      <c r="L575" s="6" t="s">
        <v>42</v>
      </c>
      <c r="M575" s="5" t="s">
        <v>1059</v>
      </c>
      <c r="N575" s="5" t="s">
        <v>64</v>
      </c>
      <c r="O575" s="5" t="s">
        <v>13895</v>
      </c>
      <c r="P575" s="6">
        <v>11361.0</v>
      </c>
    </row>
    <row r="576" ht="56.25" customHeight="1">
      <c r="A576" s="5" t="s">
        <v>13886</v>
      </c>
      <c r="B576" s="6" t="str">
        <f>image("https://storage.googleapis.com/acdb/bottoms/BottomsTexPantsNormalChina4.png")</f>
        <v/>
      </c>
      <c r="C576" s="5" t="s">
        <v>54</v>
      </c>
      <c r="D576" s="5" t="s">
        <v>36</v>
      </c>
      <c r="E576" s="6">
        <v>1440.0</v>
      </c>
      <c r="F576" s="6">
        <v>360.0</v>
      </c>
      <c r="G576" s="5" t="s">
        <v>54</v>
      </c>
      <c r="H576" s="5" t="s">
        <v>114</v>
      </c>
      <c r="I576" s="6" t="s">
        <v>40</v>
      </c>
      <c r="J576" s="5" t="s">
        <v>8585</v>
      </c>
      <c r="K576" s="5" t="s">
        <v>8586</v>
      </c>
      <c r="L576" s="6" t="s">
        <v>42</v>
      </c>
      <c r="M576" s="5" t="s">
        <v>1059</v>
      </c>
      <c r="N576" s="5" t="s">
        <v>64</v>
      </c>
      <c r="O576" s="5" t="s">
        <v>13897</v>
      </c>
      <c r="P576" s="6">
        <v>11362.0</v>
      </c>
    </row>
    <row r="577" ht="56.25" customHeight="1">
      <c r="A577" s="5" t="s">
        <v>13898</v>
      </c>
      <c r="B577" s="6" t="str">
        <f>image("https://storage.googleapis.com/acdb/bottoms/BottomsTexPantsWideSki0.png")</f>
        <v/>
      </c>
      <c r="C577" s="5" t="s">
        <v>1174</v>
      </c>
      <c r="D577" s="5" t="s">
        <v>36</v>
      </c>
      <c r="E577" s="6">
        <v>1560.0</v>
      </c>
      <c r="F577" s="6">
        <v>390.0</v>
      </c>
      <c r="G577" s="5" t="s">
        <v>96</v>
      </c>
      <c r="H577" s="5" t="s">
        <v>68</v>
      </c>
      <c r="I577" s="6" t="s">
        <v>40</v>
      </c>
      <c r="J577" s="5" t="s">
        <v>8585</v>
      </c>
      <c r="K577" s="5" t="s">
        <v>8586</v>
      </c>
      <c r="L577" s="6" t="s">
        <v>42</v>
      </c>
      <c r="M577" s="5" t="s">
        <v>8746</v>
      </c>
      <c r="N577" s="5" t="s">
        <v>64</v>
      </c>
      <c r="O577" s="5" t="s">
        <v>13900</v>
      </c>
      <c r="P577" s="6">
        <v>4450.0</v>
      </c>
    </row>
    <row r="578" ht="56.25" customHeight="1">
      <c r="A578" s="5" t="s">
        <v>13898</v>
      </c>
      <c r="B578" s="6" t="str">
        <f>image("https://storage.googleapis.com/acdb/bottoms/BottomsTexPantsWideSki1.png")</f>
        <v/>
      </c>
      <c r="C578" s="5" t="s">
        <v>52</v>
      </c>
      <c r="D578" s="5" t="s">
        <v>36</v>
      </c>
      <c r="E578" s="6">
        <v>1560.0</v>
      </c>
      <c r="F578" s="6">
        <v>390.0</v>
      </c>
      <c r="G578" s="5" t="s">
        <v>142</v>
      </c>
      <c r="H578" s="5" t="s">
        <v>83</v>
      </c>
      <c r="I578" s="6" t="s">
        <v>40</v>
      </c>
      <c r="J578" s="5" t="s">
        <v>8585</v>
      </c>
      <c r="K578" s="5" t="s">
        <v>8586</v>
      </c>
      <c r="L578" s="6" t="s">
        <v>42</v>
      </c>
      <c r="M578" s="5" t="s">
        <v>8746</v>
      </c>
      <c r="N578" s="5" t="s">
        <v>64</v>
      </c>
      <c r="O578" s="5" t="s">
        <v>13903</v>
      </c>
      <c r="P578" s="6">
        <v>11407.0</v>
      </c>
    </row>
    <row r="579" ht="56.25" customHeight="1">
      <c r="A579" s="5" t="s">
        <v>13898</v>
      </c>
      <c r="B579" s="6" t="str">
        <f>image("https://storage.googleapis.com/acdb/bottoms/BottomsTexPantsWideSki2.png")</f>
        <v/>
      </c>
      <c r="C579" s="5" t="s">
        <v>10410</v>
      </c>
      <c r="D579" s="5" t="s">
        <v>36</v>
      </c>
      <c r="E579" s="6">
        <v>1560.0</v>
      </c>
      <c r="F579" s="6">
        <v>390.0</v>
      </c>
      <c r="G579" s="5" t="s">
        <v>69</v>
      </c>
      <c r="H579" s="5" t="s">
        <v>106</v>
      </c>
      <c r="I579" s="6" t="s">
        <v>40</v>
      </c>
      <c r="J579" s="5" t="s">
        <v>8585</v>
      </c>
      <c r="K579" s="5" t="s">
        <v>8586</v>
      </c>
      <c r="L579" s="6" t="s">
        <v>42</v>
      </c>
      <c r="M579" s="5" t="s">
        <v>8746</v>
      </c>
      <c r="N579" s="5" t="s">
        <v>64</v>
      </c>
      <c r="O579" s="5" t="s">
        <v>13906</v>
      </c>
      <c r="P579" s="6">
        <v>11408.0</v>
      </c>
    </row>
    <row r="580" ht="56.25" customHeight="1">
      <c r="A580" s="5" t="s">
        <v>13898</v>
      </c>
      <c r="B580" s="6" t="str">
        <f>image("https://storage.googleapis.com/acdb/bottoms/BottomsTexPantsWideSki3.png")</f>
        <v/>
      </c>
      <c r="C580" s="5" t="s">
        <v>68</v>
      </c>
      <c r="D580" s="5" t="s">
        <v>36</v>
      </c>
      <c r="E580" s="6">
        <v>1560.0</v>
      </c>
      <c r="F580" s="6">
        <v>390.0</v>
      </c>
      <c r="G580" s="5" t="s">
        <v>68</v>
      </c>
      <c r="H580" s="5" t="s">
        <v>96</v>
      </c>
      <c r="I580" s="6" t="s">
        <v>40</v>
      </c>
      <c r="J580" s="5" t="s">
        <v>8585</v>
      </c>
      <c r="K580" s="5" t="s">
        <v>8586</v>
      </c>
      <c r="L580" s="6" t="s">
        <v>42</v>
      </c>
      <c r="M580" s="5" t="s">
        <v>8746</v>
      </c>
      <c r="N580" s="5" t="s">
        <v>64</v>
      </c>
      <c r="O580" s="5" t="s">
        <v>13910</v>
      </c>
      <c r="P580" s="6">
        <v>11409.0</v>
      </c>
    </row>
    <row r="581" ht="56.25" customHeight="1">
      <c r="A581" s="5" t="s">
        <v>13898</v>
      </c>
      <c r="B581" s="6" t="str">
        <f>image("https://storage.googleapis.com/acdb/bottoms/BottomsTexPantsWideSki4.png")</f>
        <v/>
      </c>
      <c r="C581" s="5" t="s">
        <v>83</v>
      </c>
      <c r="D581" s="5" t="s">
        <v>36</v>
      </c>
      <c r="E581" s="6">
        <v>1560.0</v>
      </c>
      <c r="F581" s="6">
        <v>390.0</v>
      </c>
      <c r="G581" s="5" t="s">
        <v>83</v>
      </c>
      <c r="H581" s="5" t="s">
        <v>52</v>
      </c>
      <c r="I581" s="6" t="s">
        <v>40</v>
      </c>
      <c r="J581" s="5" t="s">
        <v>8585</v>
      </c>
      <c r="K581" s="5" t="s">
        <v>8586</v>
      </c>
      <c r="L581" s="6" t="s">
        <v>42</v>
      </c>
      <c r="M581" s="5" t="s">
        <v>8746</v>
      </c>
      <c r="N581" s="5" t="s">
        <v>64</v>
      </c>
      <c r="O581" s="5" t="s">
        <v>13913</v>
      </c>
      <c r="P581" s="6">
        <v>11410.0</v>
      </c>
    </row>
    <row r="582" ht="56.25" customHeight="1">
      <c r="A582" s="5" t="s">
        <v>13898</v>
      </c>
      <c r="B582" s="6" t="str">
        <f>image("https://storage.googleapis.com/acdb/bottoms/BottomsTexPantsWideSki5.png")</f>
        <v/>
      </c>
      <c r="C582" s="5" t="s">
        <v>114</v>
      </c>
      <c r="D582" s="5" t="s">
        <v>36</v>
      </c>
      <c r="E582" s="6">
        <v>1560.0</v>
      </c>
      <c r="F582" s="6">
        <v>390.0</v>
      </c>
      <c r="G582" s="5" t="s">
        <v>114</v>
      </c>
      <c r="H582" s="5" t="s">
        <v>69</v>
      </c>
      <c r="I582" s="6" t="s">
        <v>40</v>
      </c>
      <c r="J582" s="5" t="s">
        <v>8585</v>
      </c>
      <c r="K582" s="5" t="s">
        <v>8586</v>
      </c>
      <c r="L582" s="6" t="s">
        <v>42</v>
      </c>
      <c r="M582" s="5" t="s">
        <v>8746</v>
      </c>
      <c r="N582" s="5" t="s">
        <v>64</v>
      </c>
      <c r="O582" s="5" t="s">
        <v>13918</v>
      </c>
      <c r="P582" s="6">
        <v>11411.0</v>
      </c>
    </row>
    <row r="583" ht="56.25" customHeight="1">
      <c r="A583" s="5" t="s">
        <v>13919</v>
      </c>
      <c r="B583" s="6" t="str">
        <f>image("https://storage.googleapis.com/acdb/bottoms/BottomsTexPantsNormalSlacks0.png")</f>
        <v/>
      </c>
      <c r="C583" s="5" t="s">
        <v>54</v>
      </c>
      <c r="D583" s="5" t="s">
        <v>36</v>
      </c>
      <c r="E583" s="6">
        <v>1300.0</v>
      </c>
      <c r="F583" s="6">
        <v>325.0</v>
      </c>
      <c r="G583" s="5" t="s">
        <v>54</v>
      </c>
      <c r="H583" s="5" t="s">
        <v>39</v>
      </c>
      <c r="I583" s="6" t="s">
        <v>40</v>
      </c>
      <c r="J583" s="5" t="s">
        <v>8585</v>
      </c>
      <c r="K583" s="5" t="s">
        <v>8586</v>
      </c>
      <c r="L583" s="6" t="s">
        <v>42</v>
      </c>
      <c r="M583" s="5" t="s">
        <v>995</v>
      </c>
      <c r="N583" s="5" t="s">
        <v>64</v>
      </c>
      <c r="O583" s="5" t="s">
        <v>13922</v>
      </c>
      <c r="P583" s="6">
        <v>3310.0</v>
      </c>
    </row>
    <row r="584" ht="56.25" customHeight="1">
      <c r="A584" s="5" t="s">
        <v>13919</v>
      </c>
      <c r="B584" s="6" t="str">
        <f>image("https://storage.googleapis.com/acdb/bottoms/BottomsTexPantsNormalSlacks1.png")</f>
        <v/>
      </c>
      <c r="C584" s="5" t="s">
        <v>95</v>
      </c>
      <c r="D584" s="5" t="s">
        <v>36</v>
      </c>
      <c r="E584" s="6">
        <v>1300.0</v>
      </c>
      <c r="F584" s="6">
        <v>325.0</v>
      </c>
      <c r="G584" s="5" t="s">
        <v>95</v>
      </c>
      <c r="H584" s="5" t="s">
        <v>39</v>
      </c>
      <c r="I584" s="6" t="s">
        <v>40</v>
      </c>
      <c r="J584" s="5" t="s">
        <v>8585</v>
      </c>
      <c r="K584" s="5" t="s">
        <v>8586</v>
      </c>
      <c r="L584" s="6" t="s">
        <v>42</v>
      </c>
      <c r="M584" s="5" t="s">
        <v>995</v>
      </c>
      <c r="N584" s="5" t="s">
        <v>64</v>
      </c>
      <c r="O584" s="5" t="s">
        <v>13927</v>
      </c>
      <c r="P584" s="6">
        <v>11277.0</v>
      </c>
    </row>
    <row r="585" ht="56.25" customHeight="1">
      <c r="A585" s="5" t="s">
        <v>13919</v>
      </c>
      <c r="B585" s="6" t="str">
        <f>image("https://storage.googleapis.com/acdb/bottoms/BottomsTexPantsNormalSlacks2.png")</f>
        <v/>
      </c>
      <c r="C585" s="5" t="s">
        <v>68</v>
      </c>
      <c r="D585" s="5" t="s">
        <v>36</v>
      </c>
      <c r="E585" s="6">
        <v>1300.0</v>
      </c>
      <c r="F585" s="6">
        <v>325.0</v>
      </c>
      <c r="G585" s="5" t="s">
        <v>83</v>
      </c>
      <c r="H585" s="5" t="s">
        <v>39</v>
      </c>
      <c r="I585" s="6" t="s">
        <v>40</v>
      </c>
      <c r="J585" s="5" t="s">
        <v>8585</v>
      </c>
      <c r="K585" s="5" t="s">
        <v>8586</v>
      </c>
      <c r="L585" s="6" t="s">
        <v>42</v>
      </c>
      <c r="M585" s="5" t="s">
        <v>995</v>
      </c>
      <c r="N585" s="5" t="s">
        <v>64</v>
      </c>
      <c r="O585" s="5" t="s">
        <v>13931</v>
      </c>
      <c r="P585" s="6">
        <v>11278.0</v>
      </c>
    </row>
    <row r="586" ht="56.25" customHeight="1">
      <c r="A586" s="5" t="s">
        <v>13919</v>
      </c>
      <c r="B586" s="6" t="str">
        <f>image("https://storage.googleapis.com/acdb/bottoms/BottomsTexPantsNormalSlacks3.png")</f>
        <v/>
      </c>
      <c r="C586" s="5" t="s">
        <v>52</v>
      </c>
      <c r="D586" s="5" t="s">
        <v>36</v>
      </c>
      <c r="E586" s="6">
        <v>1300.0</v>
      </c>
      <c r="F586" s="6">
        <v>325.0</v>
      </c>
      <c r="G586" s="5" t="s">
        <v>52</v>
      </c>
      <c r="H586" s="5" t="s">
        <v>39</v>
      </c>
      <c r="I586" s="6" t="s">
        <v>40</v>
      </c>
      <c r="J586" s="5" t="s">
        <v>8585</v>
      </c>
      <c r="K586" s="5" t="s">
        <v>8586</v>
      </c>
      <c r="L586" s="6" t="s">
        <v>42</v>
      </c>
      <c r="M586" s="5" t="s">
        <v>995</v>
      </c>
      <c r="N586" s="5" t="s">
        <v>64</v>
      </c>
      <c r="O586" s="5" t="s">
        <v>13933</v>
      </c>
      <c r="P586" s="6">
        <v>11279.0</v>
      </c>
    </row>
    <row r="587" ht="56.25" customHeight="1">
      <c r="A587" s="5" t="s">
        <v>13919</v>
      </c>
      <c r="B587" s="6" t="str">
        <f>image("https://storage.googleapis.com/acdb/bottoms/BottomsTexPantsNormalSlacks4.png")</f>
        <v/>
      </c>
      <c r="C587" s="5" t="s">
        <v>1187</v>
      </c>
      <c r="D587" s="5" t="s">
        <v>36</v>
      </c>
      <c r="E587" s="6">
        <v>1300.0</v>
      </c>
      <c r="F587" s="6">
        <v>325.0</v>
      </c>
      <c r="G587" s="5" t="s">
        <v>68</v>
      </c>
      <c r="H587" s="5" t="s">
        <v>39</v>
      </c>
      <c r="I587" s="6" t="s">
        <v>40</v>
      </c>
      <c r="J587" s="5" t="s">
        <v>8585</v>
      </c>
      <c r="K587" s="5" t="s">
        <v>8586</v>
      </c>
      <c r="L587" s="6" t="s">
        <v>42</v>
      </c>
      <c r="M587" s="5" t="s">
        <v>995</v>
      </c>
      <c r="N587" s="5" t="s">
        <v>64</v>
      </c>
      <c r="O587" s="5" t="s">
        <v>13936</v>
      </c>
      <c r="P587" s="6">
        <v>11280.0</v>
      </c>
    </row>
    <row r="588" ht="56.25" customHeight="1">
      <c r="A588" s="5" t="s">
        <v>13919</v>
      </c>
      <c r="B588" s="6" t="str">
        <f>image("https://storage.googleapis.com/acdb/bottoms/BottomsTexPantsNormalSlacks5.png")</f>
        <v/>
      </c>
      <c r="C588" s="5" t="s">
        <v>38</v>
      </c>
      <c r="D588" s="5" t="s">
        <v>36</v>
      </c>
      <c r="E588" s="6">
        <v>1300.0</v>
      </c>
      <c r="F588" s="6">
        <v>325.0</v>
      </c>
      <c r="G588" s="5" t="s">
        <v>38</v>
      </c>
      <c r="H588" s="5" t="s">
        <v>39</v>
      </c>
      <c r="I588" s="6" t="s">
        <v>40</v>
      </c>
      <c r="J588" s="5" t="s">
        <v>8585</v>
      </c>
      <c r="K588" s="5" t="s">
        <v>8586</v>
      </c>
      <c r="L588" s="6" t="s">
        <v>42</v>
      </c>
      <c r="M588" s="5" t="s">
        <v>995</v>
      </c>
      <c r="N588" s="5" t="s">
        <v>64</v>
      </c>
      <c r="O588" s="5" t="s">
        <v>13941</v>
      </c>
      <c r="P588" s="6">
        <v>11281.0</v>
      </c>
    </row>
    <row r="589" ht="56.25" customHeight="1">
      <c r="A589" s="5" t="s">
        <v>13919</v>
      </c>
      <c r="B589" s="6" t="str">
        <f>image("https://storage.googleapis.com/acdb/bottoms/BottomsTexPantsNormalSlacks6.png")</f>
        <v/>
      </c>
      <c r="C589" s="5" t="s">
        <v>57</v>
      </c>
      <c r="D589" s="5" t="s">
        <v>36</v>
      </c>
      <c r="E589" s="6">
        <v>1300.0</v>
      </c>
      <c r="F589" s="6">
        <v>325.0</v>
      </c>
      <c r="G589" s="5" t="s">
        <v>57</v>
      </c>
      <c r="H589" s="5" t="s">
        <v>39</v>
      </c>
      <c r="I589" s="6" t="s">
        <v>40</v>
      </c>
      <c r="J589" s="5" t="s">
        <v>8585</v>
      </c>
      <c r="K589" s="5" t="s">
        <v>8586</v>
      </c>
      <c r="L589" s="6" t="s">
        <v>42</v>
      </c>
      <c r="M589" s="5" t="s">
        <v>995</v>
      </c>
      <c r="N589" s="5" t="s">
        <v>64</v>
      </c>
      <c r="O589" s="5" t="s">
        <v>13944</v>
      </c>
      <c r="P589" s="6">
        <v>11282.0</v>
      </c>
    </row>
    <row r="590" ht="56.25" customHeight="1">
      <c r="A590" s="5" t="s">
        <v>13945</v>
      </c>
      <c r="B590" s="6" t="str">
        <f>image("https://storage.googleapis.com/acdb/bottoms/BottomsTexPantsHalfSoccer0.png")</f>
        <v/>
      </c>
      <c r="C590" s="5" t="s">
        <v>96</v>
      </c>
      <c r="D590" s="5" t="s">
        <v>36</v>
      </c>
      <c r="E590" s="6">
        <v>980.0</v>
      </c>
      <c r="F590" s="6">
        <v>245.0</v>
      </c>
      <c r="G590" s="5" t="s">
        <v>96</v>
      </c>
      <c r="H590" s="5" t="s">
        <v>96</v>
      </c>
      <c r="I590" s="6" t="s">
        <v>40</v>
      </c>
      <c r="J590" s="5" t="s">
        <v>8585</v>
      </c>
      <c r="K590" s="5" t="s">
        <v>8586</v>
      </c>
      <c r="L590" s="6" t="s">
        <v>42</v>
      </c>
      <c r="M590" s="5" t="s">
        <v>8746</v>
      </c>
      <c r="N590" s="5" t="s">
        <v>64</v>
      </c>
      <c r="O590" s="5" t="s">
        <v>13948</v>
      </c>
      <c r="P590" s="6">
        <v>9840.0</v>
      </c>
    </row>
    <row r="591" ht="56.25" customHeight="1">
      <c r="A591" s="5" t="s">
        <v>13945</v>
      </c>
      <c r="B591" s="6" t="str">
        <f>image("https://storage.googleapis.com/acdb/bottoms/BottomsTexPantsHalfSoccer1.png")</f>
        <v/>
      </c>
      <c r="C591" s="5" t="s">
        <v>52</v>
      </c>
      <c r="D591" s="5" t="s">
        <v>36</v>
      </c>
      <c r="E591" s="6">
        <v>980.0</v>
      </c>
      <c r="F591" s="6">
        <v>245.0</v>
      </c>
      <c r="G591" s="5" t="s">
        <v>52</v>
      </c>
      <c r="H591" s="5" t="s">
        <v>52</v>
      </c>
      <c r="I591" s="6" t="s">
        <v>40</v>
      </c>
      <c r="J591" s="5" t="s">
        <v>8585</v>
      </c>
      <c r="K591" s="5" t="s">
        <v>8586</v>
      </c>
      <c r="L591" s="6" t="s">
        <v>42</v>
      </c>
      <c r="M591" s="5" t="s">
        <v>8746</v>
      </c>
      <c r="N591" s="5" t="s">
        <v>64</v>
      </c>
      <c r="O591" s="5" t="s">
        <v>13950</v>
      </c>
      <c r="P591" s="6">
        <v>12071.0</v>
      </c>
    </row>
    <row r="592" ht="56.25" customHeight="1">
      <c r="A592" s="5" t="s">
        <v>13945</v>
      </c>
      <c r="B592" s="6" t="str">
        <f>image("https://storage.googleapis.com/acdb/bottoms/BottomsTexPantsHalfSoccer2.png")</f>
        <v/>
      </c>
      <c r="C592" s="5" t="s">
        <v>1187</v>
      </c>
      <c r="D592" s="5" t="s">
        <v>36</v>
      </c>
      <c r="E592" s="6">
        <v>980.0</v>
      </c>
      <c r="F592" s="6">
        <v>245.0</v>
      </c>
      <c r="G592" s="5" t="s">
        <v>68</v>
      </c>
      <c r="H592" s="5" t="s">
        <v>68</v>
      </c>
      <c r="I592" s="6" t="s">
        <v>40</v>
      </c>
      <c r="J592" s="5" t="s">
        <v>8585</v>
      </c>
      <c r="K592" s="5" t="s">
        <v>8586</v>
      </c>
      <c r="L592" s="6" t="s">
        <v>42</v>
      </c>
      <c r="M592" s="5" t="s">
        <v>8746</v>
      </c>
      <c r="N592" s="5" t="s">
        <v>64</v>
      </c>
      <c r="O592" s="5" t="s">
        <v>13954</v>
      </c>
      <c r="P592" s="6">
        <v>12072.0</v>
      </c>
    </row>
    <row r="593" ht="56.25" customHeight="1">
      <c r="A593" s="5" t="s">
        <v>13945</v>
      </c>
      <c r="B593" s="6" t="str">
        <f>image("https://storage.googleapis.com/acdb/bottoms/BottomsTexPantsHalfSoccer3.png")</f>
        <v/>
      </c>
      <c r="C593" s="5" t="s">
        <v>68</v>
      </c>
      <c r="D593" s="5" t="s">
        <v>36</v>
      </c>
      <c r="E593" s="6">
        <v>980.0</v>
      </c>
      <c r="F593" s="6">
        <v>245.0</v>
      </c>
      <c r="G593" s="5" t="s">
        <v>68</v>
      </c>
      <c r="H593" s="5" t="s">
        <v>68</v>
      </c>
      <c r="I593" s="6" t="s">
        <v>40</v>
      </c>
      <c r="J593" s="5" t="s">
        <v>8585</v>
      </c>
      <c r="K593" s="5" t="s">
        <v>8586</v>
      </c>
      <c r="L593" s="6" t="s">
        <v>42</v>
      </c>
      <c r="M593" s="5" t="s">
        <v>8746</v>
      </c>
      <c r="N593" s="5" t="s">
        <v>64</v>
      </c>
      <c r="O593" s="5" t="s">
        <v>13957</v>
      </c>
      <c r="P593" s="6">
        <v>12073.0</v>
      </c>
    </row>
    <row r="594" ht="56.25" customHeight="1">
      <c r="A594" s="5" t="s">
        <v>13945</v>
      </c>
      <c r="B594" s="6" t="str">
        <f>image("https://storage.googleapis.com/acdb/bottoms/BottomsTexPantsHalfSoccer4.png")</f>
        <v/>
      </c>
      <c r="C594" s="5" t="s">
        <v>83</v>
      </c>
      <c r="D594" s="5" t="s">
        <v>36</v>
      </c>
      <c r="E594" s="6">
        <v>980.0</v>
      </c>
      <c r="F594" s="6">
        <v>245.0</v>
      </c>
      <c r="G594" s="5" t="s">
        <v>83</v>
      </c>
      <c r="H594" s="5" t="s">
        <v>83</v>
      </c>
      <c r="I594" s="6" t="s">
        <v>40</v>
      </c>
      <c r="J594" s="5" t="s">
        <v>8585</v>
      </c>
      <c r="K594" s="5" t="s">
        <v>8586</v>
      </c>
      <c r="L594" s="6" t="s">
        <v>42</v>
      </c>
      <c r="M594" s="5" t="s">
        <v>8746</v>
      </c>
      <c r="N594" s="5" t="s">
        <v>64</v>
      </c>
      <c r="O594" s="5" t="s">
        <v>13960</v>
      </c>
      <c r="P594" s="6">
        <v>12074.0</v>
      </c>
    </row>
    <row r="595" ht="56.25" customHeight="1">
      <c r="A595" s="5" t="s">
        <v>13945</v>
      </c>
      <c r="B595" s="6" t="str">
        <f>image("https://storage.googleapis.com/acdb/bottoms/BottomsTexPantsHalfSoccer5.png")</f>
        <v/>
      </c>
      <c r="C595" s="5" t="s">
        <v>57</v>
      </c>
      <c r="D595" s="5" t="s">
        <v>36</v>
      </c>
      <c r="E595" s="6">
        <v>980.0</v>
      </c>
      <c r="F595" s="6">
        <v>245.0</v>
      </c>
      <c r="G595" s="5" t="s">
        <v>57</v>
      </c>
      <c r="H595" s="5" t="s">
        <v>57</v>
      </c>
      <c r="I595" s="6" t="s">
        <v>40</v>
      </c>
      <c r="J595" s="5" t="s">
        <v>8585</v>
      </c>
      <c r="K595" s="5" t="s">
        <v>8586</v>
      </c>
      <c r="L595" s="6" t="s">
        <v>42</v>
      </c>
      <c r="M595" s="5" t="s">
        <v>8746</v>
      </c>
      <c r="N595" s="5" t="s">
        <v>64</v>
      </c>
      <c r="O595" s="5" t="s">
        <v>13963</v>
      </c>
      <c r="P595" s="6">
        <v>12075.0</v>
      </c>
    </row>
    <row r="596" ht="56.25" customHeight="1">
      <c r="A596" s="5" t="s">
        <v>13945</v>
      </c>
      <c r="B596" s="6" t="str">
        <f>image("https://storage.googleapis.com/acdb/bottoms/BottomsTexPantsHalfSoccer6.png")</f>
        <v/>
      </c>
      <c r="C596" s="5" t="s">
        <v>142</v>
      </c>
      <c r="D596" s="5" t="s">
        <v>36</v>
      </c>
      <c r="E596" s="6">
        <v>980.0</v>
      </c>
      <c r="F596" s="6">
        <v>245.0</v>
      </c>
      <c r="G596" s="5" t="s">
        <v>142</v>
      </c>
      <c r="H596" s="5" t="s">
        <v>142</v>
      </c>
      <c r="I596" s="6" t="s">
        <v>40</v>
      </c>
      <c r="J596" s="5" t="s">
        <v>8585</v>
      </c>
      <c r="K596" s="5" t="s">
        <v>8586</v>
      </c>
      <c r="L596" s="6" t="s">
        <v>42</v>
      </c>
      <c r="M596" s="5" t="s">
        <v>8746</v>
      </c>
      <c r="N596" s="5" t="s">
        <v>64</v>
      </c>
      <c r="O596" s="5" t="s">
        <v>13966</v>
      </c>
      <c r="P596" s="6">
        <v>12076.0</v>
      </c>
    </row>
    <row r="597" ht="56.25" customHeight="1">
      <c r="A597" s="5" t="s">
        <v>13945</v>
      </c>
      <c r="B597" s="6" t="str">
        <f>image("https://storage.googleapis.com/acdb/bottoms/BottomsTexPantsHalfSoccer7.png")</f>
        <v/>
      </c>
      <c r="C597" s="5" t="s">
        <v>54</v>
      </c>
      <c r="D597" s="5" t="s">
        <v>36</v>
      </c>
      <c r="E597" s="6">
        <v>980.0</v>
      </c>
      <c r="F597" s="6">
        <v>245.0</v>
      </c>
      <c r="G597" s="5" t="s">
        <v>54</v>
      </c>
      <c r="H597" s="5" t="s">
        <v>54</v>
      </c>
      <c r="I597" s="6" t="s">
        <v>40</v>
      </c>
      <c r="J597" s="5" t="s">
        <v>8585</v>
      </c>
      <c r="K597" s="5" t="s">
        <v>8586</v>
      </c>
      <c r="L597" s="6" t="s">
        <v>42</v>
      </c>
      <c r="M597" s="5" t="s">
        <v>8746</v>
      </c>
      <c r="N597" s="5" t="s">
        <v>64</v>
      </c>
      <c r="O597" s="5" t="s">
        <v>13971</v>
      </c>
      <c r="P597" s="6">
        <v>12077.0</v>
      </c>
    </row>
    <row r="598" ht="56.25" customHeight="1">
      <c r="A598" s="5" t="s">
        <v>13972</v>
      </c>
      <c r="B598" s="6" t="str">
        <f>image("https://storage.googleapis.com/acdb/bottoms/BottomsTexPantsHotSequins0.png")</f>
        <v/>
      </c>
      <c r="C598" s="5" t="s">
        <v>52</v>
      </c>
      <c r="D598" s="5" t="s">
        <v>36</v>
      </c>
      <c r="E598" s="6">
        <v>980.0</v>
      </c>
      <c r="F598" s="6">
        <v>245.0</v>
      </c>
      <c r="G598" s="5" t="s">
        <v>52</v>
      </c>
      <c r="H598" s="5" t="s">
        <v>52</v>
      </c>
      <c r="I598" s="6" t="s">
        <v>40</v>
      </c>
      <c r="J598" s="5" t="s">
        <v>8585</v>
      </c>
      <c r="K598" s="5" t="s">
        <v>8586</v>
      </c>
      <c r="L598" s="6" t="s">
        <v>42</v>
      </c>
      <c r="M598" s="5" t="s">
        <v>612</v>
      </c>
      <c r="N598" s="5" t="s">
        <v>64</v>
      </c>
      <c r="O598" s="5" t="s">
        <v>13973</v>
      </c>
      <c r="P598" s="6">
        <v>5723.0</v>
      </c>
    </row>
    <row r="599" ht="56.25" customHeight="1">
      <c r="A599" s="5" t="s">
        <v>13972</v>
      </c>
      <c r="B599" s="6" t="str">
        <f>image("https://storage.googleapis.com/acdb/bottoms/BottomsTexPantsHotSequins1.png")</f>
        <v/>
      </c>
      <c r="C599" s="5" t="s">
        <v>1187</v>
      </c>
      <c r="D599" s="5" t="s">
        <v>36</v>
      </c>
      <c r="E599" s="6">
        <v>980.0</v>
      </c>
      <c r="F599" s="6">
        <v>245.0</v>
      </c>
      <c r="G599" s="5" t="s">
        <v>68</v>
      </c>
      <c r="H599" s="5" t="s">
        <v>68</v>
      </c>
      <c r="I599" s="6" t="s">
        <v>40</v>
      </c>
      <c r="J599" s="5" t="s">
        <v>8585</v>
      </c>
      <c r="K599" s="5" t="s">
        <v>8586</v>
      </c>
      <c r="L599" s="6" t="s">
        <v>42</v>
      </c>
      <c r="M599" s="5" t="s">
        <v>612</v>
      </c>
      <c r="N599" s="5" t="s">
        <v>64</v>
      </c>
      <c r="O599" s="5" t="s">
        <v>13976</v>
      </c>
      <c r="P599" s="6">
        <v>9177.0</v>
      </c>
    </row>
    <row r="600" ht="56.25" customHeight="1">
      <c r="A600" s="5" t="s">
        <v>13972</v>
      </c>
      <c r="B600" s="6" t="str">
        <f>image("https://storage.googleapis.com/acdb/bottoms/BottomsTexPantsHotSequins2.png")</f>
        <v/>
      </c>
      <c r="C600" s="5" t="s">
        <v>151</v>
      </c>
      <c r="D600" s="5" t="s">
        <v>36</v>
      </c>
      <c r="E600" s="6">
        <v>980.0</v>
      </c>
      <c r="F600" s="6">
        <v>245.0</v>
      </c>
      <c r="G600" s="5" t="s">
        <v>114</v>
      </c>
      <c r="H600" s="5" t="s">
        <v>114</v>
      </c>
      <c r="I600" s="6" t="s">
        <v>40</v>
      </c>
      <c r="J600" s="5" t="s">
        <v>8585</v>
      </c>
      <c r="K600" s="5" t="s">
        <v>8586</v>
      </c>
      <c r="L600" s="6" t="s">
        <v>42</v>
      </c>
      <c r="M600" s="5" t="s">
        <v>612</v>
      </c>
      <c r="N600" s="5" t="s">
        <v>64</v>
      </c>
      <c r="O600" s="5" t="s">
        <v>13979</v>
      </c>
      <c r="P600" s="6">
        <v>9178.0</v>
      </c>
    </row>
    <row r="601" ht="56.25" customHeight="1">
      <c r="A601" s="5" t="s">
        <v>13972</v>
      </c>
      <c r="B601" s="6" t="str">
        <f>image("https://storage.googleapis.com/acdb/bottoms/BottomsTexPantsHotSequins3.png")</f>
        <v/>
      </c>
      <c r="C601" s="5" t="s">
        <v>146</v>
      </c>
      <c r="D601" s="5" t="s">
        <v>36</v>
      </c>
      <c r="E601" s="6">
        <v>980.0</v>
      </c>
      <c r="F601" s="6">
        <v>245.0</v>
      </c>
      <c r="G601" s="5" t="s">
        <v>95</v>
      </c>
      <c r="H601" s="5" t="s">
        <v>95</v>
      </c>
      <c r="I601" s="6" t="s">
        <v>40</v>
      </c>
      <c r="J601" s="5" t="s">
        <v>8585</v>
      </c>
      <c r="K601" s="5" t="s">
        <v>8586</v>
      </c>
      <c r="L601" s="6" t="s">
        <v>42</v>
      </c>
      <c r="M601" s="5" t="s">
        <v>612</v>
      </c>
      <c r="N601" s="5" t="s">
        <v>64</v>
      </c>
      <c r="O601" s="5" t="s">
        <v>13981</v>
      </c>
      <c r="P601" s="6">
        <v>9179.0</v>
      </c>
    </row>
    <row r="602" ht="56.25" customHeight="1">
      <c r="A602" s="5" t="s">
        <v>13972</v>
      </c>
      <c r="B602" s="6" t="str">
        <f>image("https://storage.googleapis.com/acdb/bottoms/BottomsTexPantsHotSequins4.png")</f>
        <v/>
      </c>
      <c r="C602" s="5" t="s">
        <v>54</v>
      </c>
      <c r="D602" s="5" t="s">
        <v>36</v>
      </c>
      <c r="E602" s="6">
        <v>980.0</v>
      </c>
      <c r="F602" s="6">
        <v>245.0</v>
      </c>
      <c r="G602" s="5" t="s">
        <v>54</v>
      </c>
      <c r="H602" s="5" t="s">
        <v>54</v>
      </c>
      <c r="I602" s="6" t="s">
        <v>40</v>
      </c>
      <c r="J602" s="5" t="s">
        <v>8585</v>
      </c>
      <c r="K602" s="5" t="s">
        <v>8586</v>
      </c>
      <c r="L602" s="6" t="s">
        <v>42</v>
      </c>
      <c r="M602" s="5" t="s">
        <v>612</v>
      </c>
      <c r="N602" s="5" t="s">
        <v>64</v>
      </c>
      <c r="O602" s="5" t="s">
        <v>13983</v>
      </c>
      <c r="P602" s="6">
        <v>9180.0</v>
      </c>
    </row>
    <row r="603" ht="56.25" customHeight="1">
      <c r="A603" s="5" t="s">
        <v>13972</v>
      </c>
      <c r="B603" s="6" t="str">
        <f>image("https://storage.googleapis.com/acdb/bottoms/BottomsTexPantsHotSequins5.png")</f>
        <v/>
      </c>
      <c r="C603" s="5" t="s">
        <v>69</v>
      </c>
      <c r="D603" s="5" t="s">
        <v>36</v>
      </c>
      <c r="E603" s="6">
        <v>980.0</v>
      </c>
      <c r="F603" s="6">
        <v>245.0</v>
      </c>
      <c r="G603" s="5" t="s">
        <v>69</v>
      </c>
      <c r="H603" s="5" t="s">
        <v>69</v>
      </c>
      <c r="I603" s="6" t="s">
        <v>40</v>
      </c>
      <c r="J603" s="5" t="s">
        <v>8585</v>
      </c>
      <c r="K603" s="5" t="s">
        <v>8586</v>
      </c>
      <c r="L603" s="6" t="s">
        <v>42</v>
      </c>
      <c r="M603" s="5" t="s">
        <v>612</v>
      </c>
      <c r="N603" s="5" t="s">
        <v>64</v>
      </c>
      <c r="O603" s="5" t="s">
        <v>13985</v>
      </c>
      <c r="P603" s="6">
        <v>9181.0</v>
      </c>
    </row>
    <row r="604" ht="56.25" customHeight="1">
      <c r="A604" s="5" t="s">
        <v>13972</v>
      </c>
      <c r="B604" s="6" t="str">
        <f>image("https://storage.googleapis.com/acdb/bottoms/BottomsTexPantsHotSequins6.png")</f>
        <v/>
      </c>
      <c r="C604" s="5" t="s">
        <v>96</v>
      </c>
      <c r="D604" s="5" t="s">
        <v>36</v>
      </c>
      <c r="E604" s="6">
        <v>980.0</v>
      </c>
      <c r="F604" s="6">
        <v>245.0</v>
      </c>
      <c r="G604" s="5" t="s">
        <v>96</v>
      </c>
      <c r="H604" s="5" t="s">
        <v>96</v>
      </c>
      <c r="I604" s="6" t="s">
        <v>40</v>
      </c>
      <c r="J604" s="5" t="s">
        <v>8585</v>
      </c>
      <c r="K604" s="5" t="s">
        <v>8586</v>
      </c>
      <c r="L604" s="6" t="s">
        <v>42</v>
      </c>
      <c r="M604" s="5" t="s">
        <v>612</v>
      </c>
      <c r="N604" s="5" t="s">
        <v>64</v>
      </c>
      <c r="O604" s="5" t="s">
        <v>13988</v>
      </c>
      <c r="P604" s="6">
        <v>9182.0</v>
      </c>
    </row>
    <row r="605" ht="56.25" customHeight="1">
      <c r="A605" s="5" t="s">
        <v>13972</v>
      </c>
      <c r="B605" s="6" t="str">
        <f>image("https://storage.googleapis.com/acdb/bottoms/BottomsTexPantsHotSequins7.png")</f>
        <v/>
      </c>
      <c r="C605" s="5" t="s">
        <v>106</v>
      </c>
      <c r="D605" s="5" t="s">
        <v>36</v>
      </c>
      <c r="E605" s="6">
        <v>980.0</v>
      </c>
      <c r="F605" s="6">
        <v>245.0</v>
      </c>
      <c r="G605" s="5" t="s">
        <v>106</v>
      </c>
      <c r="H605" s="5" t="s">
        <v>106</v>
      </c>
      <c r="I605" s="6" t="s">
        <v>40</v>
      </c>
      <c r="J605" s="5" t="s">
        <v>8585</v>
      </c>
      <c r="K605" s="5" t="s">
        <v>8586</v>
      </c>
      <c r="L605" s="6" t="s">
        <v>42</v>
      </c>
      <c r="M605" s="5" t="s">
        <v>612</v>
      </c>
      <c r="N605" s="5" t="s">
        <v>64</v>
      </c>
      <c r="O605" s="5" t="s">
        <v>13990</v>
      </c>
      <c r="P605" s="6">
        <v>9183.0</v>
      </c>
    </row>
    <row r="606" ht="56.25" customHeight="1">
      <c r="A606" s="5" t="s">
        <v>13992</v>
      </c>
      <c r="B606" s="6" t="str">
        <f>image("https://storage.googleapis.com/acdb/bottoms/BottomsTexSkirtBoxSweat0.png")</f>
        <v/>
      </c>
      <c r="C606" s="5" t="s">
        <v>95</v>
      </c>
      <c r="D606" s="5" t="s">
        <v>36</v>
      </c>
      <c r="E606" s="6">
        <v>800.0</v>
      </c>
      <c r="F606" s="6">
        <v>200.0</v>
      </c>
      <c r="G606" s="5" t="s">
        <v>95</v>
      </c>
      <c r="H606" s="5" t="s">
        <v>95</v>
      </c>
      <c r="I606" s="6" t="s">
        <v>40</v>
      </c>
      <c r="J606" s="5" t="s">
        <v>8585</v>
      </c>
      <c r="K606" s="5" t="s">
        <v>8632</v>
      </c>
      <c r="L606" s="6" t="s">
        <v>42</v>
      </c>
      <c r="M606" s="5" t="s">
        <v>995</v>
      </c>
      <c r="N606" s="5" t="s">
        <v>64</v>
      </c>
      <c r="O606" s="5" t="s">
        <v>13993</v>
      </c>
      <c r="P606" s="6">
        <v>4283.0</v>
      </c>
    </row>
    <row r="607" ht="56.25" customHeight="1">
      <c r="A607" s="5" t="s">
        <v>13992</v>
      </c>
      <c r="B607" s="6" t="str">
        <f>image("https://storage.googleapis.com/acdb/bottoms/BottomsTexSkirtBoxSweat1.png")</f>
        <v/>
      </c>
      <c r="C607" s="5" t="s">
        <v>69</v>
      </c>
      <c r="D607" s="5" t="s">
        <v>36</v>
      </c>
      <c r="E607" s="6">
        <v>800.0</v>
      </c>
      <c r="F607" s="6">
        <v>200.0</v>
      </c>
      <c r="G607" s="5" t="s">
        <v>69</v>
      </c>
      <c r="H607" s="5" t="s">
        <v>69</v>
      </c>
      <c r="I607" s="6" t="s">
        <v>40</v>
      </c>
      <c r="J607" s="5" t="s">
        <v>8585</v>
      </c>
      <c r="K607" s="5" t="s">
        <v>8632</v>
      </c>
      <c r="L607" s="6" t="s">
        <v>42</v>
      </c>
      <c r="M607" s="5" t="s">
        <v>995</v>
      </c>
      <c r="N607" s="5" t="s">
        <v>64</v>
      </c>
      <c r="O607" s="5" t="s">
        <v>13997</v>
      </c>
      <c r="P607" s="6">
        <v>9245.0</v>
      </c>
    </row>
    <row r="608" ht="56.25" customHeight="1">
      <c r="A608" s="5" t="s">
        <v>13992</v>
      </c>
      <c r="B608" s="6" t="str">
        <f>image("https://storage.googleapis.com/acdb/bottoms/BottomsTexSkirtBoxSweat2.png")</f>
        <v/>
      </c>
      <c r="C608" s="5" t="s">
        <v>68</v>
      </c>
      <c r="D608" s="5" t="s">
        <v>36</v>
      </c>
      <c r="E608" s="6">
        <v>800.0</v>
      </c>
      <c r="F608" s="6">
        <v>200.0</v>
      </c>
      <c r="G608" s="5" t="s">
        <v>83</v>
      </c>
      <c r="H608" s="5" t="s">
        <v>83</v>
      </c>
      <c r="I608" s="6" t="s">
        <v>40</v>
      </c>
      <c r="J608" s="5" t="s">
        <v>8585</v>
      </c>
      <c r="K608" s="5" t="s">
        <v>8632</v>
      </c>
      <c r="L608" s="6" t="s">
        <v>42</v>
      </c>
      <c r="M608" s="5" t="s">
        <v>995</v>
      </c>
      <c r="N608" s="5" t="s">
        <v>64</v>
      </c>
      <c r="O608" s="5" t="s">
        <v>14000</v>
      </c>
      <c r="P608" s="6">
        <v>9246.0</v>
      </c>
    </row>
    <row r="609" ht="56.25" customHeight="1">
      <c r="A609" s="5" t="s">
        <v>13992</v>
      </c>
      <c r="B609" s="6" t="str">
        <f>image("https://storage.googleapis.com/acdb/bottoms/BottomsTexSkirtBoxSweat3.png")</f>
        <v/>
      </c>
      <c r="C609" s="5" t="s">
        <v>96</v>
      </c>
      <c r="D609" s="5" t="s">
        <v>36</v>
      </c>
      <c r="E609" s="6">
        <v>800.0</v>
      </c>
      <c r="F609" s="6">
        <v>200.0</v>
      </c>
      <c r="G609" s="5" t="s">
        <v>96</v>
      </c>
      <c r="H609" s="5" t="s">
        <v>96</v>
      </c>
      <c r="I609" s="6" t="s">
        <v>40</v>
      </c>
      <c r="J609" s="5" t="s">
        <v>8585</v>
      </c>
      <c r="K609" s="5" t="s">
        <v>8632</v>
      </c>
      <c r="L609" s="6" t="s">
        <v>42</v>
      </c>
      <c r="M609" s="5" t="s">
        <v>995</v>
      </c>
      <c r="N609" s="5" t="s">
        <v>64</v>
      </c>
      <c r="O609" s="5" t="s">
        <v>14003</v>
      </c>
      <c r="P609" s="6">
        <v>9247.0</v>
      </c>
    </row>
    <row r="610" ht="56.25" customHeight="1">
      <c r="A610" s="5" t="s">
        <v>14005</v>
      </c>
      <c r="B610" s="6" t="str">
        <f>image("https://storage.googleapis.com/acdb/bottoms/BottomsTexPantsWideMultistripe0.png")</f>
        <v/>
      </c>
      <c r="C610" s="5" t="s">
        <v>114</v>
      </c>
      <c r="D610" s="5" t="s">
        <v>36</v>
      </c>
      <c r="E610" s="6">
        <v>1320.0</v>
      </c>
      <c r="F610" s="6">
        <v>330.0</v>
      </c>
      <c r="G610" s="5" t="s">
        <v>114</v>
      </c>
      <c r="H610" s="5" t="s">
        <v>57</v>
      </c>
      <c r="I610" s="6" t="s">
        <v>40</v>
      </c>
      <c r="J610" s="5" t="s">
        <v>8585</v>
      </c>
      <c r="K610" s="5" t="s">
        <v>8586</v>
      </c>
      <c r="L610" s="6" t="s">
        <v>42</v>
      </c>
      <c r="M610" s="5" t="s">
        <v>1059</v>
      </c>
      <c r="N610" s="5" t="s">
        <v>64</v>
      </c>
      <c r="O610" s="5" t="s">
        <v>14007</v>
      </c>
      <c r="P610" s="6">
        <v>5724.0</v>
      </c>
    </row>
    <row r="611" ht="56.25" customHeight="1">
      <c r="A611" s="5" t="s">
        <v>14005</v>
      </c>
      <c r="B611" s="6" t="str">
        <f>image("https://storage.googleapis.com/acdb/bottoms/BottomsTexPantsWideMultistripe1.png")</f>
        <v/>
      </c>
      <c r="C611" s="5" t="s">
        <v>52</v>
      </c>
      <c r="D611" s="5" t="s">
        <v>36</v>
      </c>
      <c r="E611" s="6">
        <v>1320.0</v>
      </c>
      <c r="F611" s="6">
        <v>330.0</v>
      </c>
      <c r="G611" s="5" t="s">
        <v>52</v>
      </c>
      <c r="H611" s="5" t="s">
        <v>68</v>
      </c>
      <c r="I611" s="6" t="s">
        <v>40</v>
      </c>
      <c r="J611" s="5" t="s">
        <v>8585</v>
      </c>
      <c r="K611" s="5" t="s">
        <v>8586</v>
      </c>
      <c r="L611" s="6" t="s">
        <v>42</v>
      </c>
      <c r="M611" s="5" t="s">
        <v>1059</v>
      </c>
      <c r="N611" s="5" t="s">
        <v>64</v>
      </c>
      <c r="O611" s="5" t="s">
        <v>14009</v>
      </c>
      <c r="P611" s="6">
        <v>8851.0</v>
      </c>
    </row>
    <row r="612" ht="56.25" customHeight="1">
      <c r="A612" s="5" t="s">
        <v>14005</v>
      </c>
      <c r="B612" s="6" t="str">
        <f>image("https://storage.googleapis.com/acdb/bottoms/BottomsTexPantsWideMultistripe2.png")</f>
        <v/>
      </c>
      <c r="C612" s="5" t="s">
        <v>96</v>
      </c>
      <c r="D612" s="5" t="s">
        <v>36</v>
      </c>
      <c r="E612" s="6">
        <v>1320.0</v>
      </c>
      <c r="F612" s="6">
        <v>330.0</v>
      </c>
      <c r="G612" s="5" t="s">
        <v>96</v>
      </c>
      <c r="H612" s="5" t="s">
        <v>68</v>
      </c>
      <c r="I612" s="6" t="s">
        <v>40</v>
      </c>
      <c r="J612" s="5" t="s">
        <v>8585</v>
      </c>
      <c r="K612" s="5" t="s">
        <v>8586</v>
      </c>
      <c r="L612" s="6" t="s">
        <v>42</v>
      </c>
      <c r="M612" s="5" t="s">
        <v>1059</v>
      </c>
      <c r="N612" s="5" t="s">
        <v>64</v>
      </c>
      <c r="O612" s="5" t="s">
        <v>14011</v>
      </c>
      <c r="P612" s="6">
        <v>8852.0</v>
      </c>
    </row>
    <row r="613" ht="56.25" customHeight="1">
      <c r="A613" s="5" t="s">
        <v>14005</v>
      </c>
      <c r="B613" s="6" t="str">
        <f>image("https://storage.googleapis.com/acdb/bottoms/BottomsTexPantsWideMultistripe3.png")</f>
        <v/>
      </c>
      <c r="C613" s="5" t="s">
        <v>142</v>
      </c>
      <c r="D613" s="5" t="s">
        <v>36</v>
      </c>
      <c r="E613" s="6">
        <v>1320.0</v>
      </c>
      <c r="F613" s="6">
        <v>330.0</v>
      </c>
      <c r="G613" s="5" t="s">
        <v>142</v>
      </c>
      <c r="H613" s="5" t="s">
        <v>57</v>
      </c>
      <c r="I613" s="6" t="s">
        <v>40</v>
      </c>
      <c r="J613" s="5" t="s">
        <v>8585</v>
      </c>
      <c r="K613" s="5" t="s">
        <v>8586</v>
      </c>
      <c r="L613" s="6" t="s">
        <v>42</v>
      </c>
      <c r="M613" s="5" t="s">
        <v>1059</v>
      </c>
      <c r="N613" s="5" t="s">
        <v>64</v>
      </c>
      <c r="O613" s="5" t="s">
        <v>14014</v>
      </c>
      <c r="P613" s="6">
        <v>8853.0</v>
      </c>
    </row>
    <row r="614" ht="56.25" customHeight="1">
      <c r="A614" s="5" t="s">
        <v>14015</v>
      </c>
      <c r="B614" s="6" t="str">
        <f>image("https://storage.googleapis.com/acdb/bottoms/BottomsTexPantsNormalBoder0.png")</f>
        <v/>
      </c>
      <c r="C614" s="5" t="s">
        <v>68</v>
      </c>
      <c r="D614" s="5" t="s">
        <v>36</v>
      </c>
      <c r="E614" s="6">
        <v>1100.0</v>
      </c>
      <c r="F614" s="6">
        <v>275.0</v>
      </c>
      <c r="G614" s="5" t="s">
        <v>68</v>
      </c>
      <c r="H614" s="5" t="s">
        <v>57</v>
      </c>
      <c r="I614" s="6" t="s">
        <v>40</v>
      </c>
      <c r="J614" s="5" t="s">
        <v>8585</v>
      </c>
      <c r="K614" s="5" t="s">
        <v>8632</v>
      </c>
      <c r="L614" s="6" t="s">
        <v>42</v>
      </c>
      <c r="M614" s="5" t="s">
        <v>995</v>
      </c>
      <c r="N614" s="5" t="s">
        <v>64</v>
      </c>
      <c r="O614" s="5" t="s">
        <v>14017</v>
      </c>
      <c r="P614" s="6">
        <v>3312.0</v>
      </c>
    </row>
    <row r="615" ht="56.25" customHeight="1">
      <c r="A615" s="5" t="s">
        <v>14015</v>
      </c>
      <c r="B615" s="6" t="str">
        <f>image("https://storage.googleapis.com/acdb/bottoms/BottomsTexPantsNormalBoder1.png")</f>
        <v/>
      </c>
      <c r="C615" s="5" t="s">
        <v>142</v>
      </c>
      <c r="D615" s="5" t="s">
        <v>36</v>
      </c>
      <c r="E615" s="6">
        <v>1100.0</v>
      </c>
      <c r="F615" s="6">
        <v>275.0</v>
      </c>
      <c r="G615" s="5" t="s">
        <v>142</v>
      </c>
      <c r="H615" s="5" t="s">
        <v>57</v>
      </c>
      <c r="I615" s="6" t="s">
        <v>40</v>
      </c>
      <c r="J615" s="5" t="s">
        <v>8585</v>
      </c>
      <c r="K615" s="5" t="s">
        <v>8632</v>
      </c>
      <c r="L615" s="6" t="s">
        <v>42</v>
      </c>
      <c r="M615" s="5" t="s">
        <v>995</v>
      </c>
      <c r="N615" s="5" t="s">
        <v>64</v>
      </c>
      <c r="O615" s="5" t="s">
        <v>14020</v>
      </c>
      <c r="P615" s="6">
        <v>9235.0</v>
      </c>
    </row>
    <row r="616" ht="56.25" customHeight="1">
      <c r="A616" s="5" t="s">
        <v>14015</v>
      </c>
      <c r="B616" s="6" t="str">
        <f>image("https://storage.googleapis.com/acdb/bottoms/BottomsTexPantsNormalBoder2.png")</f>
        <v/>
      </c>
      <c r="C616" s="5" t="s">
        <v>96</v>
      </c>
      <c r="D616" s="5" t="s">
        <v>36</v>
      </c>
      <c r="E616" s="6">
        <v>1100.0</v>
      </c>
      <c r="F616" s="6">
        <v>275.0</v>
      </c>
      <c r="G616" s="5" t="s">
        <v>96</v>
      </c>
      <c r="H616" s="5" t="s">
        <v>57</v>
      </c>
      <c r="I616" s="6" t="s">
        <v>40</v>
      </c>
      <c r="J616" s="5" t="s">
        <v>8585</v>
      </c>
      <c r="K616" s="5" t="s">
        <v>8632</v>
      </c>
      <c r="L616" s="6" t="s">
        <v>42</v>
      </c>
      <c r="M616" s="5" t="s">
        <v>995</v>
      </c>
      <c r="N616" s="5" t="s">
        <v>64</v>
      </c>
      <c r="O616" s="5" t="s">
        <v>14025</v>
      </c>
      <c r="P616" s="6">
        <v>9236.0</v>
      </c>
    </row>
    <row r="617" ht="56.25" customHeight="1">
      <c r="A617" s="5" t="s">
        <v>14015</v>
      </c>
      <c r="B617" s="6" t="str">
        <f>image("https://storage.googleapis.com/acdb/bottoms/BottomsTexPantsNormalBoder3.png")</f>
        <v/>
      </c>
      <c r="C617" s="5" t="s">
        <v>52</v>
      </c>
      <c r="D617" s="5" t="s">
        <v>36</v>
      </c>
      <c r="E617" s="6">
        <v>1100.0</v>
      </c>
      <c r="F617" s="6">
        <v>275.0</v>
      </c>
      <c r="G617" s="5" t="s">
        <v>52</v>
      </c>
      <c r="H617" s="5" t="s">
        <v>57</v>
      </c>
      <c r="I617" s="6" t="s">
        <v>40</v>
      </c>
      <c r="J617" s="5" t="s">
        <v>8585</v>
      </c>
      <c r="K617" s="5" t="s">
        <v>8632</v>
      </c>
      <c r="L617" s="6" t="s">
        <v>42</v>
      </c>
      <c r="M617" s="5" t="s">
        <v>995</v>
      </c>
      <c r="N617" s="5" t="s">
        <v>64</v>
      </c>
      <c r="O617" s="5" t="s">
        <v>14026</v>
      </c>
      <c r="P617" s="6">
        <v>9237.0</v>
      </c>
    </row>
    <row r="618" ht="56.25" customHeight="1">
      <c r="A618" s="5" t="s">
        <v>14015</v>
      </c>
      <c r="B618" s="6" t="str">
        <f>image("https://storage.googleapis.com/acdb/bottoms/BottomsTexPantsNormalBoder4.png")</f>
        <v/>
      </c>
      <c r="C618" s="5" t="s">
        <v>54</v>
      </c>
      <c r="D618" s="5" t="s">
        <v>36</v>
      </c>
      <c r="E618" s="6">
        <v>1100.0</v>
      </c>
      <c r="F618" s="6">
        <v>275.0</v>
      </c>
      <c r="G618" s="5" t="s">
        <v>54</v>
      </c>
      <c r="H618" s="5" t="s">
        <v>57</v>
      </c>
      <c r="I618" s="6" t="s">
        <v>40</v>
      </c>
      <c r="J618" s="5" t="s">
        <v>8585</v>
      </c>
      <c r="K618" s="5" t="s">
        <v>8632</v>
      </c>
      <c r="L618" s="6" t="s">
        <v>42</v>
      </c>
      <c r="M618" s="5" t="s">
        <v>995</v>
      </c>
      <c r="N618" s="5" t="s">
        <v>64</v>
      </c>
      <c r="O618" s="5" t="s">
        <v>14029</v>
      </c>
      <c r="P618" s="6">
        <v>9238.0</v>
      </c>
    </row>
    <row r="619" ht="56.25" customHeight="1">
      <c r="A619" s="5" t="s">
        <v>14030</v>
      </c>
      <c r="B619" s="6" t="str">
        <f>image("https://storage.googleapis.com/acdb/bottoms/BottomsTexPantsHotMultistripe0.png")</f>
        <v/>
      </c>
      <c r="C619" s="5" t="s">
        <v>69</v>
      </c>
      <c r="D619" s="5" t="s">
        <v>36</v>
      </c>
      <c r="E619" s="6">
        <v>1320.0</v>
      </c>
      <c r="F619" s="6">
        <v>330.0</v>
      </c>
      <c r="G619" s="5" t="s">
        <v>69</v>
      </c>
      <c r="H619" s="5" t="s">
        <v>58</v>
      </c>
      <c r="I619" s="6" t="s">
        <v>40</v>
      </c>
      <c r="J619" s="5" t="s">
        <v>8585</v>
      </c>
      <c r="K619" s="5" t="s">
        <v>8586</v>
      </c>
      <c r="L619" s="6" t="s">
        <v>42</v>
      </c>
      <c r="M619" s="5" t="s">
        <v>1959</v>
      </c>
      <c r="N619" s="5" t="s">
        <v>64</v>
      </c>
      <c r="O619" s="5" t="s">
        <v>14032</v>
      </c>
      <c r="P619" s="6">
        <v>5705.0</v>
      </c>
    </row>
    <row r="620" ht="56.25" customHeight="1">
      <c r="A620" s="5" t="s">
        <v>14030</v>
      </c>
      <c r="B620" s="6" t="str">
        <f>image("https://storage.googleapis.com/acdb/bottoms/BottomsTexPantsHotMultistripe1.png")</f>
        <v/>
      </c>
      <c r="C620" s="5" t="s">
        <v>68</v>
      </c>
      <c r="D620" s="5" t="s">
        <v>36</v>
      </c>
      <c r="E620" s="6">
        <v>1320.0</v>
      </c>
      <c r="F620" s="6">
        <v>330.0</v>
      </c>
      <c r="G620" s="5" t="s">
        <v>68</v>
      </c>
      <c r="H620" s="5" t="s">
        <v>58</v>
      </c>
      <c r="I620" s="6" t="s">
        <v>40</v>
      </c>
      <c r="J620" s="5" t="s">
        <v>8585</v>
      </c>
      <c r="K620" s="5" t="s">
        <v>8586</v>
      </c>
      <c r="L620" s="6" t="s">
        <v>42</v>
      </c>
      <c r="M620" s="5" t="s">
        <v>1959</v>
      </c>
      <c r="N620" s="5" t="s">
        <v>64</v>
      </c>
      <c r="O620" s="5" t="s">
        <v>14034</v>
      </c>
      <c r="P620" s="6">
        <v>8845.0</v>
      </c>
    </row>
    <row r="621" ht="56.25" customHeight="1">
      <c r="A621" s="5" t="s">
        <v>14030</v>
      </c>
      <c r="B621" s="6" t="str">
        <f>image("https://storage.googleapis.com/acdb/bottoms/BottomsTexPantsHotMultistripe2.png")</f>
        <v/>
      </c>
      <c r="C621" s="5" t="s">
        <v>52</v>
      </c>
      <c r="D621" s="5" t="s">
        <v>36</v>
      </c>
      <c r="E621" s="6">
        <v>1320.0</v>
      </c>
      <c r="F621" s="6">
        <v>330.0</v>
      </c>
      <c r="G621" s="5" t="s">
        <v>52</v>
      </c>
      <c r="H621" s="5" t="s">
        <v>58</v>
      </c>
      <c r="I621" s="6" t="s">
        <v>40</v>
      </c>
      <c r="J621" s="5" t="s">
        <v>8585</v>
      </c>
      <c r="K621" s="5" t="s">
        <v>8586</v>
      </c>
      <c r="L621" s="6" t="s">
        <v>42</v>
      </c>
      <c r="M621" s="5" t="s">
        <v>1959</v>
      </c>
      <c r="N621" s="5" t="s">
        <v>64</v>
      </c>
      <c r="O621" s="5" t="s">
        <v>14037</v>
      </c>
      <c r="P621" s="6">
        <v>8846.0</v>
      </c>
    </row>
    <row r="622" ht="56.25" customHeight="1">
      <c r="A622" s="5" t="s">
        <v>14030</v>
      </c>
      <c r="B622" s="6" t="str">
        <f>image("https://storage.googleapis.com/acdb/bottoms/BottomsTexPantsHotMultistripe3.png")</f>
        <v/>
      </c>
      <c r="C622" s="5" t="s">
        <v>114</v>
      </c>
      <c r="D622" s="5" t="s">
        <v>36</v>
      </c>
      <c r="E622" s="6">
        <v>1320.0</v>
      </c>
      <c r="F622" s="6">
        <v>330.0</v>
      </c>
      <c r="G622" s="5" t="s">
        <v>114</v>
      </c>
      <c r="H622" s="5" t="s">
        <v>58</v>
      </c>
      <c r="I622" s="6" t="s">
        <v>40</v>
      </c>
      <c r="J622" s="5" t="s">
        <v>8585</v>
      </c>
      <c r="K622" s="5" t="s">
        <v>8586</v>
      </c>
      <c r="L622" s="6" t="s">
        <v>42</v>
      </c>
      <c r="M622" s="5" t="s">
        <v>1959</v>
      </c>
      <c r="N622" s="5" t="s">
        <v>64</v>
      </c>
      <c r="O622" s="5" t="s">
        <v>14039</v>
      </c>
      <c r="P622" s="6">
        <v>8847.0</v>
      </c>
    </row>
    <row r="623" ht="56.25" customHeight="1">
      <c r="A623" s="5" t="s">
        <v>14040</v>
      </c>
      <c r="B623" s="6" t="str">
        <f>image("https://storage.googleapis.com/acdb/bottoms/BottomsTexPantsHalfSurf0.png")</f>
        <v/>
      </c>
      <c r="C623" s="5" t="s">
        <v>68</v>
      </c>
      <c r="D623" s="5" t="s">
        <v>36</v>
      </c>
      <c r="E623" s="6">
        <v>700.0</v>
      </c>
      <c r="F623" s="6">
        <v>175.0</v>
      </c>
      <c r="G623" s="5" t="s">
        <v>83</v>
      </c>
      <c r="H623" s="5" t="s">
        <v>68</v>
      </c>
      <c r="I623" s="6" t="s">
        <v>40</v>
      </c>
      <c r="J623" s="5" t="s">
        <v>8585</v>
      </c>
      <c r="K623" s="5" t="s">
        <v>8632</v>
      </c>
      <c r="L623" s="6" t="s">
        <v>42</v>
      </c>
      <c r="M623" s="5" t="s">
        <v>8746</v>
      </c>
      <c r="N623" s="5" t="s">
        <v>64</v>
      </c>
      <c r="O623" s="5" t="s">
        <v>14043</v>
      </c>
      <c r="P623" s="6">
        <v>4515.0</v>
      </c>
    </row>
    <row r="624" ht="56.25" customHeight="1">
      <c r="A624" s="5" t="s">
        <v>14040</v>
      </c>
      <c r="B624" s="6" t="str">
        <f>image("https://storage.googleapis.com/acdb/bottoms/BottomsTexPantsHalfSurf1.png")</f>
        <v/>
      </c>
      <c r="C624" s="5" t="s">
        <v>106</v>
      </c>
      <c r="D624" s="5" t="s">
        <v>36</v>
      </c>
      <c r="E624" s="6">
        <v>700.0</v>
      </c>
      <c r="F624" s="6">
        <v>175.0</v>
      </c>
      <c r="G624" s="5" t="s">
        <v>106</v>
      </c>
      <c r="H624" s="5" t="s">
        <v>106</v>
      </c>
      <c r="I624" s="6" t="s">
        <v>40</v>
      </c>
      <c r="J624" s="5" t="s">
        <v>8585</v>
      </c>
      <c r="K624" s="5" t="s">
        <v>8632</v>
      </c>
      <c r="L624" s="6" t="s">
        <v>42</v>
      </c>
      <c r="M624" s="5" t="s">
        <v>8746</v>
      </c>
      <c r="N624" s="5" t="s">
        <v>64</v>
      </c>
      <c r="O624" s="5" t="s">
        <v>14044</v>
      </c>
      <c r="P624" s="6">
        <v>9103.0</v>
      </c>
    </row>
    <row r="625" ht="56.25" customHeight="1">
      <c r="A625" s="5" t="s">
        <v>14040</v>
      </c>
      <c r="B625" s="6" t="str">
        <f>image("https://storage.googleapis.com/acdb/bottoms/BottomsTexPantsHalfSurf2.png")</f>
        <v/>
      </c>
      <c r="C625" s="5" t="s">
        <v>96</v>
      </c>
      <c r="D625" s="5" t="s">
        <v>36</v>
      </c>
      <c r="E625" s="6">
        <v>700.0</v>
      </c>
      <c r="F625" s="6">
        <v>175.0</v>
      </c>
      <c r="G625" s="5" t="s">
        <v>96</v>
      </c>
      <c r="H625" s="5" t="s">
        <v>96</v>
      </c>
      <c r="I625" s="6" t="s">
        <v>40</v>
      </c>
      <c r="J625" s="5" t="s">
        <v>8585</v>
      </c>
      <c r="K625" s="5" t="s">
        <v>8632</v>
      </c>
      <c r="L625" s="6" t="s">
        <v>42</v>
      </c>
      <c r="M625" s="5" t="s">
        <v>8746</v>
      </c>
      <c r="N625" s="5" t="s">
        <v>64</v>
      </c>
      <c r="O625" s="5" t="s">
        <v>14047</v>
      </c>
      <c r="P625" s="6">
        <v>9104.0</v>
      </c>
    </row>
    <row r="626" ht="56.25" customHeight="1">
      <c r="A626" s="5" t="s">
        <v>14040</v>
      </c>
      <c r="B626" s="6" t="str">
        <f>image("https://storage.googleapis.com/acdb/bottoms/BottomsTexPantsHalfSurf3.png")</f>
        <v/>
      </c>
      <c r="C626" s="5" t="s">
        <v>69</v>
      </c>
      <c r="D626" s="5" t="s">
        <v>36</v>
      </c>
      <c r="E626" s="6">
        <v>700.0</v>
      </c>
      <c r="F626" s="6">
        <v>175.0</v>
      </c>
      <c r="G626" s="5" t="s">
        <v>69</v>
      </c>
      <c r="H626" s="5" t="s">
        <v>52</v>
      </c>
      <c r="I626" s="6" t="s">
        <v>40</v>
      </c>
      <c r="J626" s="5" t="s">
        <v>8585</v>
      </c>
      <c r="K626" s="5" t="s">
        <v>8632</v>
      </c>
      <c r="L626" s="6" t="s">
        <v>42</v>
      </c>
      <c r="M626" s="5" t="s">
        <v>8746</v>
      </c>
      <c r="N626" s="5" t="s">
        <v>64</v>
      </c>
      <c r="O626" s="5" t="s">
        <v>14050</v>
      </c>
      <c r="P626" s="6">
        <v>9105.0</v>
      </c>
    </row>
    <row r="627" ht="56.25" customHeight="1">
      <c r="A627" s="5" t="s">
        <v>14040</v>
      </c>
      <c r="B627" s="6" t="str">
        <f>image("https://storage.googleapis.com/acdb/bottoms/BottomsTexPantsHalfSurf4.png")</f>
        <v/>
      </c>
      <c r="C627" s="5" t="s">
        <v>95</v>
      </c>
      <c r="D627" s="5" t="s">
        <v>36</v>
      </c>
      <c r="E627" s="6">
        <v>700.0</v>
      </c>
      <c r="F627" s="6">
        <v>175.0</v>
      </c>
      <c r="G627" s="5" t="s">
        <v>95</v>
      </c>
      <c r="H627" s="5" t="s">
        <v>54</v>
      </c>
      <c r="I627" s="6" t="s">
        <v>40</v>
      </c>
      <c r="J627" s="5" t="s">
        <v>8585</v>
      </c>
      <c r="K627" s="5" t="s">
        <v>8632</v>
      </c>
      <c r="L627" s="6" t="s">
        <v>42</v>
      </c>
      <c r="M627" s="5" t="s">
        <v>8746</v>
      </c>
      <c r="N627" s="5" t="s">
        <v>64</v>
      </c>
      <c r="O627" s="5" t="s">
        <v>14051</v>
      </c>
      <c r="P627" s="6">
        <v>9106.0</v>
      </c>
    </row>
    <row r="628" ht="56.25" customHeight="1">
      <c r="A628" s="5" t="s">
        <v>14052</v>
      </c>
      <c r="B628" s="6" t="str">
        <f>image("https://storage.googleapis.com/acdb/bottoms/BottomsTexPantsNormalSweat0.png")</f>
        <v/>
      </c>
      <c r="C628" s="5" t="s">
        <v>95</v>
      </c>
      <c r="D628" s="5" t="s">
        <v>36</v>
      </c>
      <c r="E628" s="6">
        <v>800.0</v>
      </c>
      <c r="F628" s="6">
        <v>200.0</v>
      </c>
      <c r="G628" s="5" t="s">
        <v>95</v>
      </c>
      <c r="H628" s="5" t="s">
        <v>95</v>
      </c>
      <c r="I628" s="6" t="s">
        <v>40</v>
      </c>
      <c r="J628" s="5" t="s">
        <v>8585</v>
      </c>
      <c r="K628" s="5" t="s">
        <v>8632</v>
      </c>
      <c r="L628" s="6" t="s">
        <v>42</v>
      </c>
      <c r="M628" s="5" t="s">
        <v>8746</v>
      </c>
      <c r="N628" s="5" t="s">
        <v>64</v>
      </c>
      <c r="O628" s="5" t="s">
        <v>14055</v>
      </c>
      <c r="P628" s="6">
        <v>3296.0</v>
      </c>
    </row>
    <row r="629" ht="56.25" customHeight="1">
      <c r="A629" s="5" t="s">
        <v>14052</v>
      </c>
      <c r="B629" s="6" t="str">
        <f>image("https://storage.googleapis.com/acdb/bottoms/BottomsTexPantsNormalSweat1.png")</f>
        <v/>
      </c>
      <c r="C629" s="5" t="s">
        <v>52</v>
      </c>
      <c r="D629" s="5" t="s">
        <v>36</v>
      </c>
      <c r="E629" s="6">
        <v>800.0</v>
      </c>
      <c r="F629" s="6">
        <v>200.0</v>
      </c>
      <c r="G629" s="5" t="s">
        <v>52</v>
      </c>
      <c r="H629" s="5" t="s">
        <v>52</v>
      </c>
      <c r="I629" s="6" t="s">
        <v>40</v>
      </c>
      <c r="J629" s="5" t="s">
        <v>8585</v>
      </c>
      <c r="K629" s="5" t="s">
        <v>8632</v>
      </c>
      <c r="L629" s="6" t="s">
        <v>42</v>
      </c>
      <c r="M629" s="5" t="s">
        <v>8746</v>
      </c>
      <c r="N629" s="5" t="s">
        <v>64</v>
      </c>
      <c r="O629" s="5" t="s">
        <v>14057</v>
      </c>
      <c r="P629" s="6">
        <v>11270.0</v>
      </c>
    </row>
    <row r="630" ht="56.25" customHeight="1">
      <c r="A630" s="5" t="s">
        <v>14052</v>
      </c>
      <c r="B630" s="6" t="str">
        <f>image("https://storage.googleapis.com/acdb/bottoms/BottomsTexPantsNormalSweat2.png")</f>
        <v/>
      </c>
      <c r="C630" s="5" t="s">
        <v>96</v>
      </c>
      <c r="D630" s="5" t="s">
        <v>36</v>
      </c>
      <c r="E630" s="6">
        <v>800.0</v>
      </c>
      <c r="F630" s="6">
        <v>200.0</v>
      </c>
      <c r="G630" s="5" t="s">
        <v>96</v>
      </c>
      <c r="H630" s="5" t="s">
        <v>96</v>
      </c>
      <c r="I630" s="6" t="s">
        <v>40</v>
      </c>
      <c r="J630" s="5" t="s">
        <v>8585</v>
      </c>
      <c r="K630" s="5" t="s">
        <v>8632</v>
      </c>
      <c r="L630" s="6" t="s">
        <v>42</v>
      </c>
      <c r="M630" s="5" t="s">
        <v>8746</v>
      </c>
      <c r="N630" s="5" t="s">
        <v>64</v>
      </c>
      <c r="O630" s="5" t="s">
        <v>14059</v>
      </c>
      <c r="P630" s="6">
        <v>11271.0</v>
      </c>
    </row>
    <row r="631" ht="56.25" customHeight="1">
      <c r="A631" s="5" t="s">
        <v>14052</v>
      </c>
      <c r="B631" s="6" t="str">
        <f>image("https://storage.googleapis.com/acdb/bottoms/BottomsTexPantsNormalSweat3.png")</f>
        <v/>
      </c>
      <c r="C631" s="5" t="s">
        <v>68</v>
      </c>
      <c r="D631" s="5" t="s">
        <v>36</v>
      </c>
      <c r="E631" s="6">
        <v>800.0</v>
      </c>
      <c r="F631" s="6">
        <v>200.0</v>
      </c>
      <c r="G631" s="5" t="s">
        <v>68</v>
      </c>
      <c r="H631" s="5" t="s">
        <v>68</v>
      </c>
      <c r="I631" s="6" t="s">
        <v>40</v>
      </c>
      <c r="J631" s="5" t="s">
        <v>8585</v>
      </c>
      <c r="K631" s="5" t="s">
        <v>8632</v>
      </c>
      <c r="L631" s="6" t="s">
        <v>42</v>
      </c>
      <c r="M631" s="5" t="s">
        <v>8746</v>
      </c>
      <c r="N631" s="5" t="s">
        <v>64</v>
      </c>
      <c r="O631" s="5" t="s">
        <v>14061</v>
      </c>
      <c r="P631" s="6">
        <v>11272.0</v>
      </c>
    </row>
    <row r="632" ht="56.25" customHeight="1">
      <c r="A632" s="5" t="s">
        <v>14052</v>
      </c>
      <c r="B632" s="6" t="str">
        <f>image("https://storage.googleapis.com/acdb/bottoms/BottomsTexPantsNormalSweat4.png")</f>
        <v/>
      </c>
      <c r="C632" s="5" t="s">
        <v>114</v>
      </c>
      <c r="D632" s="5" t="s">
        <v>36</v>
      </c>
      <c r="E632" s="6">
        <v>800.0</v>
      </c>
      <c r="F632" s="6">
        <v>200.0</v>
      </c>
      <c r="G632" s="5" t="s">
        <v>114</v>
      </c>
      <c r="H632" s="5" t="s">
        <v>114</v>
      </c>
      <c r="I632" s="6" t="s">
        <v>40</v>
      </c>
      <c r="J632" s="5" t="s">
        <v>8585</v>
      </c>
      <c r="K632" s="5" t="s">
        <v>8632</v>
      </c>
      <c r="L632" s="6" t="s">
        <v>42</v>
      </c>
      <c r="M632" s="5" t="s">
        <v>8746</v>
      </c>
      <c r="N632" s="5" t="s">
        <v>64</v>
      </c>
      <c r="O632" s="5" t="s">
        <v>14063</v>
      </c>
      <c r="P632" s="6">
        <v>11273.0</v>
      </c>
    </row>
    <row r="633" ht="56.25" customHeight="1">
      <c r="A633" s="5" t="s">
        <v>14052</v>
      </c>
      <c r="B633" s="6" t="str">
        <f>image("https://storage.googleapis.com/acdb/bottoms/BottomsTexPantsNormalSweat5.png")</f>
        <v/>
      </c>
      <c r="C633" s="5" t="s">
        <v>69</v>
      </c>
      <c r="D633" s="5" t="s">
        <v>36</v>
      </c>
      <c r="E633" s="6">
        <v>800.0</v>
      </c>
      <c r="F633" s="6">
        <v>200.0</v>
      </c>
      <c r="G633" s="5" t="s">
        <v>69</v>
      </c>
      <c r="H633" s="5" t="s">
        <v>69</v>
      </c>
      <c r="I633" s="6" t="s">
        <v>40</v>
      </c>
      <c r="J633" s="5" t="s">
        <v>8585</v>
      </c>
      <c r="K633" s="5" t="s">
        <v>8632</v>
      </c>
      <c r="L633" s="6" t="s">
        <v>42</v>
      </c>
      <c r="M633" s="5" t="s">
        <v>8746</v>
      </c>
      <c r="N633" s="5" t="s">
        <v>64</v>
      </c>
      <c r="O633" s="5" t="s">
        <v>14064</v>
      </c>
      <c r="P633" s="6">
        <v>11274.0</v>
      </c>
    </row>
    <row r="634" ht="56.25" customHeight="1">
      <c r="A634" s="5" t="s">
        <v>14052</v>
      </c>
      <c r="B634" s="6" t="str">
        <f>image("https://storage.googleapis.com/acdb/bottoms/BottomsTexPantsNormalSweat6.png")</f>
        <v/>
      </c>
      <c r="C634" s="5" t="s">
        <v>83</v>
      </c>
      <c r="D634" s="5" t="s">
        <v>36</v>
      </c>
      <c r="E634" s="6">
        <v>800.0</v>
      </c>
      <c r="F634" s="6">
        <v>200.0</v>
      </c>
      <c r="G634" s="5" t="s">
        <v>83</v>
      </c>
      <c r="H634" s="5" t="s">
        <v>83</v>
      </c>
      <c r="I634" s="6" t="s">
        <v>40</v>
      </c>
      <c r="J634" s="5" t="s">
        <v>8585</v>
      </c>
      <c r="K634" s="5" t="s">
        <v>8632</v>
      </c>
      <c r="L634" s="6" t="s">
        <v>42</v>
      </c>
      <c r="M634" s="5" t="s">
        <v>8746</v>
      </c>
      <c r="N634" s="5" t="s">
        <v>64</v>
      </c>
      <c r="O634" s="5" t="s">
        <v>14066</v>
      </c>
      <c r="P634" s="6">
        <v>11275.0</v>
      </c>
    </row>
    <row r="635" ht="56.25" customHeight="1">
      <c r="A635" s="5" t="s">
        <v>14052</v>
      </c>
      <c r="B635" s="6" t="str">
        <f>image("https://storage.googleapis.com/acdb/bottoms/BottomsTexPantsNormalSweat7.png")</f>
        <v/>
      </c>
      <c r="C635" s="5" t="s">
        <v>54</v>
      </c>
      <c r="D635" s="5" t="s">
        <v>36</v>
      </c>
      <c r="E635" s="6">
        <v>800.0</v>
      </c>
      <c r="F635" s="6">
        <v>200.0</v>
      </c>
      <c r="G635" s="5" t="s">
        <v>54</v>
      </c>
      <c r="H635" s="5" t="s">
        <v>54</v>
      </c>
      <c r="I635" s="6" t="s">
        <v>40</v>
      </c>
      <c r="J635" s="5" t="s">
        <v>8585</v>
      </c>
      <c r="K635" s="5" t="s">
        <v>8632</v>
      </c>
      <c r="L635" s="6" t="s">
        <v>42</v>
      </c>
      <c r="M635" s="5" t="s">
        <v>8746</v>
      </c>
      <c r="N635" s="5" t="s">
        <v>64</v>
      </c>
      <c r="O635" s="5" t="s">
        <v>14068</v>
      </c>
      <c r="P635" s="6">
        <v>11276.0</v>
      </c>
    </row>
    <row r="636" ht="56.25" customHeight="1">
      <c r="A636" s="5" t="s">
        <v>14069</v>
      </c>
      <c r="B636" s="6" t="str">
        <f>image("https://storage.googleapis.com/acdb/bottoms/BottomsTexSkirtAlineTennis0.png")</f>
        <v/>
      </c>
      <c r="C636" s="5" t="s">
        <v>57</v>
      </c>
      <c r="D636" s="5" t="s">
        <v>36</v>
      </c>
      <c r="E636" s="6">
        <v>1440.0</v>
      </c>
      <c r="F636" s="6">
        <v>360.0</v>
      </c>
      <c r="G636" s="5" t="s">
        <v>57</v>
      </c>
      <c r="H636" s="5" t="s">
        <v>68</v>
      </c>
      <c r="I636" s="6" t="s">
        <v>40</v>
      </c>
      <c r="J636" s="5" t="s">
        <v>8585</v>
      </c>
      <c r="K636" s="5" t="s">
        <v>8586</v>
      </c>
      <c r="L636" s="6" t="s">
        <v>42</v>
      </c>
      <c r="M636" s="5" t="s">
        <v>8746</v>
      </c>
      <c r="N636" s="5" t="s">
        <v>64</v>
      </c>
      <c r="O636" s="5" t="s">
        <v>14072</v>
      </c>
      <c r="P636" s="6">
        <v>4223.0</v>
      </c>
    </row>
    <row r="637" ht="56.25" customHeight="1">
      <c r="A637" s="5" t="s">
        <v>14069</v>
      </c>
      <c r="B637" s="6" t="str">
        <f>image("https://storage.googleapis.com/acdb/bottoms/BottomsTexSkirtAlineTennis1.png")</f>
        <v/>
      </c>
      <c r="C637" s="5" t="s">
        <v>1187</v>
      </c>
      <c r="D637" s="5" t="s">
        <v>36</v>
      </c>
      <c r="E637" s="6">
        <v>1440.0</v>
      </c>
      <c r="F637" s="6">
        <v>360.0</v>
      </c>
      <c r="G637" s="5" t="s">
        <v>68</v>
      </c>
      <c r="H637" s="5" t="s">
        <v>57</v>
      </c>
      <c r="I637" s="6" t="s">
        <v>40</v>
      </c>
      <c r="J637" s="5" t="s">
        <v>8585</v>
      </c>
      <c r="K637" s="5" t="s">
        <v>8586</v>
      </c>
      <c r="L637" s="6" t="s">
        <v>42</v>
      </c>
      <c r="M637" s="5" t="s">
        <v>8746</v>
      </c>
      <c r="N637" s="5" t="s">
        <v>64</v>
      </c>
      <c r="O637" s="5" t="s">
        <v>14075</v>
      </c>
      <c r="P637" s="6">
        <v>8782.0</v>
      </c>
    </row>
    <row r="638" ht="56.25" customHeight="1">
      <c r="A638" s="5" t="s">
        <v>14069</v>
      </c>
      <c r="B638" s="6" t="str">
        <f>image("https://storage.googleapis.com/acdb/bottoms/BottomsTexSkirtAlineTennis2.png")</f>
        <v/>
      </c>
      <c r="C638" s="5" t="s">
        <v>83</v>
      </c>
      <c r="D638" s="5" t="s">
        <v>36</v>
      </c>
      <c r="E638" s="6">
        <v>1440.0</v>
      </c>
      <c r="F638" s="6">
        <v>360.0</v>
      </c>
      <c r="G638" s="5" t="s">
        <v>83</v>
      </c>
      <c r="H638" s="5" t="s">
        <v>68</v>
      </c>
      <c r="I638" s="6" t="s">
        <v>40</v>
      </c>
      <c r="J638" s="5" t="s">
        <v>8585</v>
      </c>
      <c r="K638" s="5" t="s">
        <v>8586</v>
      </c>
      <c r="L638" s="6" t="s">
        <v>42</v>
      </c>
      <c r="M638" s="5" t="s">
        <v>8746</v>
      </c>
      <c r="N638" s="5" t="s">
        <v>64</v>
      </c>
      <c r="O638" s="5" t="s">
        <v>14077</v>
      </c>
      <c r="P638" s="6">
        <v>8783.0</v>
      </c>
    </row>
    <row r="639" ht="56.25" customHeight="1">
      <c r="A639" s="5" t="s">
        <v>14069</v>
      </c>
      <c r="B639" s="6" t="str">
        <f>image("https://storage.googleapis.com/acdb/bottoms/BottomsTexSkirtAlineTennis3.png")</f>
        <v/>
      </c>
      <c r="C639" s="5" t="s">
        <v>69</v>
      </c>
      <c r="D639" s="5" t="s">
        <v>36</v>
      </c>
      <c r="E639" s="6">
        <v>1440.0</v>
      </c>
      <c r="F639" s="6">
        <v>360.0</v>
      </c>
      <c r="G639" s="5" t="s">
        <v>69</v>
      </c>
      <c r="H639" s="5" t="s">
        <v>57</v>
      </c>
      <c r="I639" s="6" t="s">
        <v>40</v>
      </c>
      <c r="J639" s="5" t="s">
        <v>8585</v>
      </c>
      <c r="K639" s="5" t="s">
        <v>8586</v>
      </c>
      <c r="L639" s="6" t="s">
        <v>42</v>
      </c>
      <c r="M639" s="5" t="s">
        <v>8746</v>
      </c>
      <c r="N639" s="5" t="s">
        <v>64</v>
      </c>
      <c r="O639" s="5" t="s">
        <v>14080</v>
      </c>
      <c r="P639" s="6">
        <v>8784.0</v>
      </c>
    </row>
    <row r="640" ht="56.25" customHeight="1">
      <c r="A640" s="5" t="s">
        <v>14081</v>
      </c>
      <c r="B640" s="6" t="str">
        <f>image("https://storage.googleapis.com/acdb/bottoms/BottomsTexPantsHotFluffy0.png")</f>
        <v/>
      </c>
      <c r="C640" s="5" t="s">
        <v>69</v>
      </c>
      <c r="D640" s="5" t="s">
        <v>36</v>
      </c>
      <c r="E640" s="6">
        <v>1260.0</v>
      </c>
      <c r="F640" s="6">
        <v>315.0</v>
      </c>
      <c r="G640" s="5" t="s">
        <v>69</v>
      </c>
      <c r="H640" s="5" t="s">
        <v>69</v>
      </c>
      <c r="I640" s="6" t="s">
        <v>40</v>
      </c>
      <c r="J640" s="5" t="s">
        <v>8585</v>
      </c>
      <c r="K640" s="5" t="s">
        <v>8632</v>
      </c>
      <c r="L640" s="6" t="s">
        <v>42</v>
      </c>
      <c r="M640" s="5" t="s">
        <v>1959</v>
      </c>
      <c r="N640" s="5" t="s">
        <v>64</v>
      </c>
      <c r="O640" s="5" t="s">
        <v>14082</v>
      </c>
      <c r="P640" s="6">
        <v>5711.0</v>
      </c>
    </row>
    <row r="641" ht="56.25" customHeight="1">
      <c r="A641" s="5" t="s">
        <v>14081</v>
      </c>
      <c r="B641" s="6" t="str">
        <f>image("https://storage.googleapis.com/acdb/bottoms/BottomsTexPantsHotFluffy1.png")</f>
        <v/>
      </c>
      <c r="C641" s="5" t="s">
        <v>68</v>
      </c>
      <c r="D641" s="5" t="s">
        <v>36</v>
      </c>
      <c r="E641" s="6">
        <v>1260.0</v>
      </c>
      <c r="F641" s="6">
        <v>315.0</v>
      </c>
      <c r="G641" s="5" t="s">
        <v>83</v>
      </c>
      <c r="H641" s="5" t="s">
        <v>83</v>
      </c>
      <c r="I641" s="6" t="s">
        <v>40</v>
      </c>
      <c r="J641" s="5" t="s">
        <v>8585</v>
      </c>
      <c r="K641" s="5" t="s">
        <v>8632</v>
      </c>
      <c r="L641" s="6" t="s">
        <v>42</v>
      </c>
      <c r="M641" s="5" t="s">
        <v>1959</v>
      </c>
      <c r="N641" s="5" t="s">
        <v>64</v>
      </c>
      <c r="O641" s="5" t="s">
        <v>14083</v>
      </c>
      <c r="P641" s="6">
        <v>8848.0</v>
      </c>
    </row>
    <row r="642" ht="56.25" customHeight="1">
      <c r="A642" s="5" t="s">
        <v>14081</v>
      </c>
      <c r="B642" s="6" t="str">
        <f>image("https://storage.googleapis.com/acdb/bottoms/BottomsTexPantsHotFluffy2.png")</f>
        <v/>
      </c>
      <c r="C642" s="5" t="s">
        <v>106</v>
      </c>
      <c r="D642" s="5" t="s">
        <v>36</v>
      </c>
      <c r="E642" s="6">
        <v>1260.0</v>
      </c>
      <c r="F642" s="6">
        <v>315.0</v>
      </c>
      <c r="G642" s="5" t="s">
        <v>106</v>
      </c>
      <c r="H642" s="5" t="s">
        <v>106</v>
      </c>
      <c r="I642" s="6" t="s">
        <v>40</v>
      </c>
      <c r="J642" s="5" t="s">
        <v>8585</v>
      </c>
      <c r="K642" s="5" t="s">
        <v>8632</v>
      </c>
      <c r="L642" s="6" t="s">
        <v>42</v>
      </c>
      <c r="M642" s="5" t="s">
        <v>1959</v>
      </c>
      <c r="N642" s="5" t="s">
        <v>64</v>
      </c>
      <c r="O642" s="5" t="s">
        <v>14086</v>
      </c>
      <c r="P642" s="6">
        <v>8849.0</v>
      </c>
    </row>
    <row r="643" ht="56.25" customHeight="1">
      <c r="A643" s="5" t="s">
        <v>14081</v>
      </c>
      <c r="B643" s="6" t="str">
        <f>image("https://storage.googleapis.com/acdb/bottoms/BottomsTexPantsHotFluffy3.png")</f>
        <v/>
      </c>
      <c r="C643" s="5" t="s">
        <v>96</v>
      </c>
      <c r="D643" s="5" t="s">
        <v>36</v>
      </c>
      <c r="E643" s="6">
        <v>1260.0</v>
      </c>
      <c r="F643" s="6">
        <v>315.0</v>
      </c>
      <c r="G643" s="5" t="s">
        <v>96</v>
      </c>
      <c r="H643" s="5" t="s">
        <v>96</v>
      </c>
      <c r="I643" s="6" t="s">
        <v>40</v>
      </c>
      <c r="J643" s="5" t="s">
        <v>8585</v>
      </c>
      <c r="K643" s="5" t="s">
        <v>8632</v>
      </c>
      <c r="L643" s="6" t="s">
        <v>42</v>
      </c>
      <c r="M643" s="5" t="s">
        <v>1959</v>
      </c>
      <c r="N643" s="5" t="s">
        <v>64</v>
      </c>
      <c r="O643" s="5" t="s">
        <v>14088</v>
      </c>
      <c r="P643" s="6">
        <v>8850.0</v>
      </c>
    </row>
    <row r="644" ht="56.25" customHeight="1">
      <c r="A644" s="5" t="s">
        <v>14089</v>
      </c>
      <c r="B644" s="6" t="str">
        <f>image("https://storage.googleapis.com/acdb/bottoms/BottomsTexPantsNormalCroppedsweat0.png")</f>
        <v/>
      </c>
      <c r="C644" s="5" t="s">
        <v>9021</v>
      </c>
      <c r="D644" s="5" t="s">
        <v>36</v>
      </c>
      <c r="E644" s="6">
        <v>1100.0</v>
      </c>
      <c r="F644" s="6">
        <v>275.0</v>
      </c>
      <c r="G644" s="5" t="s">
        <v>96</v>
      </c>
      <c r="H644" s="5" t="s">
        <v>57</v>
      </c>
      <c r="I644" s="6" t="s">
        <v>40</v>
      </c>
      <c r="J644" s="5" t="s">
        <v>8585</v>
      </c>
      <c r="K644" s="5" t="s">
        <v>8632</v>
      </c>
      <c r="L644" s="6" t="s">
        <v>42</v>
      </c>
      <c r="M644" s="5" t="s">
        <v>8746</v>
      </c>
      <c r="N644" s="5" t="s">
        <v>64</v>
      </c>
      <c r="O644" s="5" t="s">
        <v>14090</v>
      </c>
      <c r="P644" s="6">
        <v>5702.0</v>
      </c>
    </row>
    <row r="645" ht="56.25" customHeight="1">
      <c r="A645" s="5" t="s">
        <v>14089</v>
      </c>
      <c r="B645" s="6" t="str">
        <f>image("https://storage.googleapis.com/acdb/bottoms/BottomsTexPantsNormalCroppedsweat1.png")</f>
        <v/>
      </c>
      <c r="C645" s="5" t="s">
        <v>69</v>
      </c>
      <c r="D645" s="5" t="s">
        <v>36</v>
      </c>
      <c r="E645" s="6">
        <v>1100.0</v>
      </c>
      <c r="F645" s="6">
        <v>275.0</v>
      </c>
      <c r="G645" s="5" t="s">
        <v>69</v>
      </c>
      <c r="H645" s="5" t="s">
        <v>57</v>
      </c>
      <c r="I645" s="6" t="s">
        <v>40</v>
      </c>
      <c r="J645" s="5" t="s">
        <v>8585</v>
      </c>
      <c r="K645" s="5" t="s">
        <v>8632</v>
      </c>
      <c r="L645" s="6" t="s">
        <v>42</v>
      </c>
      <c r="M645" s="5" t="s">
        <v>8746</v>
      </c>
      <c r="N645" s="5" t="s">
        <v>64</v>
      </c>
      <c r="O645" s="5" t="s">
        <v>14093</v>
      </c>
      <c r="P645" s="6">
        <v>11365.0</v>
      </c>
    </row>
    <row r="646" ht="56.25" customHeight="1">
      <c r="A646" s="5" t="s">
        <v>14089</v>
      </c>
      <c r="B646" s="6" t="str">
        <f>image("https://storage.googleapis.com/acdb/bottoms/BottomsTexPantsNormalCroppedsweat2.png")</f>
        <v/>
      </c>
      <c r="C646" s="5" t="s">
        <v>83</v>
      </c>
      <c r="D646" s="5" t="s">
        <v>36</v>
      </c>
      <c r="E646" s="6">
        <v>1100.0</v>
      </c>
      <c r="F646" s="6">
        <v>275.0</v>
      </c>
      <c r="G646" s="5" t="s">
        <v>83</v>
      </c>
      <c r="H646" s="5" t="s">
        <v>57</v>
      </c>
      <c r="I646" s="6" t="s">
        <v>40</v>
      </c>
      <c r="J646" s="5" t="s">
        <v>8585</v>
      </c>
      <c r="K646" s="5" t="s">
        <v>8632</v>
      </c>
      <c r="L646" s="6" t="s">
        <v>42</v>
      </c>
      <c r="M646" s="5" t="s">
        <v>8746</v>
      </c>
      <c r="N646" s="5" t="s">
        <v>64</v>
      </c>
      <c r="O646" s="5" t="s">
        <v>14095</v>
      </c>
      <c r="P646" s="6">
        <v>11366.0</v>
      </c>
    </row>
    <row r="647" ht="56.25" customHeight="1">
      <c r="A647" s="5" t="s">
        <v>14089</v>
      </c>
      <c r="B647" s="6" t="str">
        <f>image("https://storage.googleapis.com/acdb/bottoms/BottomsTexPantsNormalCroppedsweat3.png")</f>
        <v/>
      </c>
      <c r="C647" s="5" t="s">
        <v>142</v>
      </c>
      <c r="D647" s="5" t="s">
        <v>36</v>
      </c>
      <c r="E647" s="6">
        <v>1100.0</v>
      </c>
      <c r="F647" s="6">
        <v>275.0</v>
      </c>
      <c r="G647" s="5" t="s">
        <v>142</v>
      </c>
      <c r="H647" s="5" t="s">
        <v>57</v>
      </c>
      <c r="I647" s="6" t="s">
        <v>40</v>
      </c>
      <c r="J647" s="5" t="s">
        <v>8585</v>
      </c>
      <c r="K647" s="5" t="s">
        <v>8632</v>
      </c>
      <c r="L647" s="6" t="s">
        <v>42</v>
      </c>
      <c r="M647" s="5" t="s">
        <v>8746</v>
      </c>
      <c r="N647" s="5" t="s">
        <v>64</v>
      </c>
      <c r="O647" s="5" t="s">
        <v>14098</v>
      </c>
      <c r="P647" s="6">
        <v>11367.0</v>
      </c>
    </row>
    <row r="648" ht="56.25" customHeight="1">
      <c r="A648" s="5" t="s">
        <v>14089</v>
      </c>
      <c r="B648" s="6" t="str">
        <f>image("https://storage.googleapis.com/acdb/bottoms/BottomsTexPantsNormalCroppedsweat4.png")</f>
        <v/>
      </c>
      <c r="C648" s="5" t="s">
        <v>54</v>
      </c>
      <c r="D648" s="5" t="s">
        <v>36</v>
      </c>
      <c r="E648" s="6">
        <v>1100.0</v>
      </c>
      <c r="F648" s="6">
        <v>275.0</v>
      </c>
      <c r="G648" s="5" t="s">
        <v>54</v>
      </c>
      <c r="H648" s="5" t="s">
        <v>57</v>
      </c>
      <c r="I648" s="6" t="s">
        <v>40</v>
      </c>
      <c r="J648" s="5" t="s">
        <v>8585</v>
      </c>
      <c r="K648" s="5" t="s">
        <v>8632</v>
      </c>
      <c r="L648" s="6" t="s">
        <v>42</v>
      </c>
      <c r="M648" s="5" t="s">
        <v>8746</v>
      </c>
      <c r="N648" s="5" t="s">
        <v>64</v>
      </c>
      <c r="O648" s="5" t="s">
        <v>14101</v>
      </c>
      <c r="P648" s="6">
        <v>11368.0</v>
      </c>
    </row>
    <row r="649" ht="56.25" customHeight="1">
      <c r="A649" s="5" t="s">
        <v>14089</v>
      </c>
      <c r="B649" s="6" t="str">
        <f>image("https://storage.googleapis.com/acdb/bottoms/BottomsTexPantsNormalCroppedsweat5.png")</f>
        <v/>
      </c>
      <c r="C649" s="5" t="s">
        <v>114</v>
      </c>
      <c r="D649" s="5" t="s">
        <v>36</v>
      </c>
      <c r="E649" s="6">
        <v>1100.0</v>
      </c>
      <c r="F649" s="6">
        <v>275.0</v>
      </c>
      <c r="G649" s="5" t="s">
        <v>114</v>
      </c>
      <c r="H649" s="5" t="s">
        <v>57</v>
      </c>
      <c r="I649" s="6" t="s">
        <v>40</v>
      </c>
      <c r="J649" s="5" t="s">
        <v>8585</v>
      </c>
      <c r="K649" s="5" t="s">
        <v>8632</v>
      </c>
      <c r="L649" s="6" t="s">
        <v>42</v>
      </c>
      <c r="M649" s="5" t="s">
        <v>8746</v>
      </c>
      <c r="N649" s="5" t="s">
        <v>64</v>
      </c>
      <c r="O649" s="5" t="s">
        <v>14103</v>
      </c>
      <c r="P649" s="6">
        <v>11369.0</v>
      </c>
    </row>
    <row r="650" ht="56.25" customHeight="1">
      <c r="A650" s="5" t="s">
        <v>14089</v>
      </c>
      <c r="B650" s="6" t="str">
        <f>image("https://storage.googleapis.com/acdb/bottoms/BottomsTexPantsNormalCroppedsweat6.png")</f>
        <v/>
      </c>
      <c r="C650" s="5" t="s">
        <v>52</v>
      </c>
      <c r="D650" s="5" t="s">
        <v>36</v>
      </c>
      <c r="E650" s="6">
        <v>1100.0</v>
      </c>
      <c r="F650" s="6">
        <v>275.0</v>
      </c>
      <c r="G650" s="5" t="s">
        <v>52</v>
      </c>
      <c r="H650" s="5" t="s">
        <v>57</v>
      </c>
      <c r="I650" s="6" t="s">
        <v>40</v>
      </c>
      <c r="J650" s="5" t="s">
        <v>8585</v>
      </c>
      <c r="K650" s="5" t="s">
        <v>8632</v>
      </c>
      <c r="L650" s="6" t="s">
        <v>42</v>
      </c>
      <c r="M650" s="5" t="s">
        <v>8746</v>
      </c>
      <c r="N650" s="5" t="s">
        <v>64</v>
      </c>
      <c r="O650" s="5" t="s">
        <v>14105</v>
      </c>
      <c r="P650" s="6">
        <v>11370.0</v>
      </c>
    </row>
    <row r="651" ht="56.25" customHeight="1">
      <c r="A651" s="5" t="s">
        <v>14089</v>
      </c>
      <c r="B651" s="6" t="str">
        <f>image("https://storage.googleapis.com/acdb/bottoms/BottomsTexPantsNormalCroppedsweat7.png")</f>
        <v/>
      </c>
      <c r="C651" s="5" t="s">
        <v>106</v>
      </c>
      <c r="D651" s="5" t="s">
        <v>36</v>
      </c>
      <c r="E651" s="6">
        <v>1100.0</v>
      </c>
      <c r="F651" s="6">
        <v>275.0</v>
      </c>
      <c r="G651" s="5" t="s">
        <v>106</v>
      </c>
      <c r="H651" s="5" t="s">
        <v>57</v>
      </c>
      <c r="I651" s="6" t="s">
        <v>40</v>
      </c>
      <c r="J651" s="5" t="s">
        <v>8585</v>
      </c>
      <c r="K651" s="5" t="s">
        <v>8632</v>
      </c>
      <c r="L651" s="6" t="s">
        <v>42</v>
      </c>
      <c r="M651" s="5" t="s">
        <v>8746</v>
      </c>
      <c r="N651" s="5" t="s">
        <v>64</v>
      </c>
      <c r="O651" s="5" t="s">
        <v>14107</v>
      </c>
      <c r="P651" s="6">
        <v>11371.0</v>
      </c>
    </row>
    <row r="652" ht="56.25" customHeight="1">
      <c r="A652" s="5" t="s">
        <v>14108</v>
      </c>
      <c r="B652" s="6" t="str">
        <f>image("https://storage.googleapis.com/acdb/bottoms/BottomsTexSkirtLongTiedye0.png")</f>
        <v/>
      </c>
      <c r="C652" s="5" t="s">
        <v>52</v>
      </c>
      <c r="D652" s="5" t="s">
        <v>36</v>
      </c>
      <c r="E652" s="6">
        <v>1260.0</v>
      </c>
      <c r="F652" s="6">
        <v>315.0</v>
      </c>
      <c r="G652" s="5" t="s">
        <v>52</v>
      </c>
      <c r="H652" s="5" t="s">
        <v>83</v>
      </c>
      <c r="I652" s="6" t="s">
        <v>40</v>
      </c>
      <c r="J652" s="5" t="s">
        <v>8585</v>
      </c>
      <c r="K652" s="5" t="s">
        <v>8632</v>
      </c>
      <c r="L652" s="6" t="s">
        <v>42</v>
      </c>
      <c r="M652" s="5" t="s">
        <v>8746</v>
      </c>
      <c r="N652" s="5" t="s">
        <v>64</v>
      </c>
      <c r="O652" s="5" t="s">
        <v>14110</v>
      </c>
      <c r="P652" s="6">
        <v>5826.0</v>
      </c>
    </row>
    <row r="653" ht="56.25" customHeight="1">
      <c r="A653" s="5" t="s">
        <v>14108</v>
      </c>
      <c r="B653" s="6" t="str">
        <f>image("https://storage.googleapis.com/acdb/bottoms/BottomsTexSkirtLongTiedye1.png")</f>
        <v/>
      </c>
      <c r="C653" s="5" t="s">
        <v>68</v>
      </c>
      <c r="D653" s="5" t="s">
        <v>36</v>
      </c>
      <c r="E653" s="6">
        <v>1260.0</v>
      </c>
      <c r="F653" s="6">
        <v>315.0</v>
      </c>
      <c r="G653" s="5" t="s">
        <v>68</v>
      </c>
      <c r="H653" s="5" t="s">
        <v>142</v>
      </c>
      <c r="I653" s="6" t="s">
        <v>40</v>
      </c>
      <c r="J653" s="5" t="s">
        <v>8585</v>
      </c>
      <c r="K653" s="5" t="s">
        <v>8632</v>
      </c>
      <c r="L653" s="6" t="s">
        <v>42</v>
      </c>
      <c r="M653" s="5" t="s">
        <v>8746</v>
      </c>
      <c r="N653" s="5" t="s">
        <v>64</v>
      </c>
      <c r="O653" s="5" t="s">
        <v>14113</v>
      </c>
      <c r="P653" s="6">
        <v>8749.0</v>
      </c>
    </row>
    <row r="654" ht="56.25" customHeight="1">
      <c r="A654" s="5" t="s">
        <v>14108</v>
      </c>
      <c r="B654" s="6" t="str">
        <f>image("https://storage.googleapis.com/acdb/bottoms/BottomsTexSkirtLongTiedye2.png")</f>
        <v/>
      </c>
      <c r="C654" s="5" t="s">
        <v>96</v>
      </c>
      <c r="D654" s="5" t="s">
        <v>36</v>
      </c>
      <c r="E654" s="6">
        <v>1260.0</v>
      </c>
      <c r="F654" s="6">
        <v>315.0</v>
      </c>
      <c r="G654" s="5" t="s">
        <v>96</v>
      </c>
      <c r="H654" s="5" t="s">
        <v>69</v>
      </c>
      <c r="I654" s="6" t="s">
        <v>40</v>
      </c>
      <c r="J654" s="5" t="s">
        <v>8585</v>
      </c>
      <c r="K654" s="5" t="s">
        <v>8632</v>
      </c>
      <c r="L654" s="6" t="s">
        <v>42</v>
      </c>
      <c r="M654" s="5" t="s">
        <v>8746</v>
      </c>
      <c r="N654" s="5" t="s">
        <v>64</v>
      </c>
      <c r="O654" s="5" t="s">
        <v>14115</v>
      </c>
      <c r="P654" s="6">
        <v>8750.0</v>
      </c>
    </row>
    <row r="655" ht="56.25" customHeight="1">
      <c r="A655" s="5" t="s">
        <v>14108</v>
      </c>
      <c r="B655" s="6" t="str">
        <f>image("https://storage.googleapis.com/acdb/bottoms/BottomsTexSkirtLongTiedye3.png")</f>
        <v/>
      </c>
      <c r="C655" s="5" t="s">
        <v>106</v>
      </c>
      <c r="D655" s="5" t="s">
        <v>36</v>
      </c>
      <c r="E655" s="6">
        <v>1260.0</v>
      </c>
      <c r="F655" s="6">
        <v>315.0</v>
      </c>
      <c r="G655" s="5" t="s">
        <v>106</v>
      </c>
      <c r="H655" s="5" t="s">
        <v>114</v>
      </c>
      <c r="I655" s="6" t="s">
        <v>40</v>
      </c>
      <c r="J655" s="5" t="s">
        <v>8585</v>
      </c>
      <c r="K655" s="5" t="s">
        <v>8632</v>
      </c>
      <c r="L655" s="6" t="s">
        <v>42</v>
      </c>
      <c r="M655" s="5" t="s">
        <v>8746</v>
      </c>
      <c r="N655" s="5" t="s">
        <v>64</v>
      </c>
      <c r="O655" s="5" t="s">
        <v>14116</v>
      </c>
      <c r="P655" s="6">
        <v>8751.0</v>
      </c>
    </row>
    <row r="656" ht="56.25" customHeight="1">
      <c r="A656" s="5" t="s">
        <v>14108</v>
      </c>
      <c r="B656" s="6" t="str">
        <f>image("https://storage.googleapis.com/acdb/bottoms/BottomsTexSkirtLongTiedye4.png")</f>
        <v/>
      </c>
      <c r="C656" s="5" t="s">
        <v>142</v>
      </c>
      <c r="D656" s="5" t="s">
        <v>36</v>
      </c>
      <c r="E656" s="6">
        <v>1260.0</v>
      </c>
      <c r="F656" s="6">
        <v>315.0</v>
      </c>
      <c r="G656" s="5" t="s">
        <v>142</v>
      </c>
      <c r="H656" s="5" t="s">
        <v>96</v>
      </c>
      <c r="I656" s="6" t="s">
        <v>40</v>
      </c>
      <c r="J656" s="5" t="s">
        <v>8585</v>
      </c>
      <c r="K656" s="5" t="s">
        <v>8632</v>
      </c>
      <c r="L656" s="6" t="s">
        <v>42</v>
      </c>
      <c r="M656" s="5" t="s">
        <v>8746</v>
      </c>
      <c r="N656" s="5" t="s">
        <v>64</v>
      </c>
      <c r="O656" s="5" t="s">
        <v>14119</v>
      </c>
      <c r="P656" s="6">
        <v>8752.0</v>
      </c>
    </row>
    <row r="657" ht="56.25" customHeight="1">
      <c r="A657" s="5" t="s">
        <v>14120</v>
      </c>
      <c r="B657" s="6" t="str">
        <f>image("https://storage.googleapis.com/acdb/bottoms/BottomsTexSkirtLongTiered0.png")</f>
        <v/>
      </c>
      <c r="C657" s="5" t="s">
        <v>106</v>
      </c>
      <c r="D657" s="5" t="s">
        <v>36</v>
      </c>
      <c r="E657" s="6">
        <v>1200.0</v>
      </c>
      <c r="F657" s="6">
        <v>300.0</v>
      </c>
      <c r="G657" s="5" t="s">
        <v>69</v>
      </c>
      <c r="H657" s="5" t="s">
        <v>69</v>
      </c>
      <c r="I657" s="6" t="s">
        <v>40</v>
      </c>
      <c r="J657" s="5" t="s">
        <v>8585</v>
      </c>
      <c r="K657" s="5" t="s">
        <v>8632</v>
      </c>
      <c r="L657" s="6" t="s">
        <v>42</v>
      </c>
      <c r="M657" s="5" t="s">
        <v>995</v>
      </c>
      <c r="N657" s="5" t="s">
        <v>64</v>
      </c>
      <c r="O657" s="5" t="s">
        <v>14122</v>
      </c>
      <c r="P657" s="6">
        <v>4502.0</v>
      </c>
    </row>
    <row r="658" ht="56.25" customHeight="1">
      <c r="A658" s="5" t="s">
        <v>14120</v>
      </c>
      <c r="B658" s="6" t="str">
        <f>image("https://storage.googleapis.com/acdb/bottoms/BottomsTexSkirtLongTiered1.png")</f>
        <v/>
      </c>
      <c r="C658" s="5" t="s">
        <v>9021</v>
      </c>
      <c r="D658" s="5" t="s">
        <v>36</v>
      </c>
      <c r="E658" s="6">
        <v>1200.0</v>
      </c>
      <c r="F658" s="6">
        <v>300.0</v>
      </c>
      <c r="G658" s="5" t="s">
        <v>83</v>
      </c>
      <c r="H658" s="5" t="s">
        <v>83</v>
      </c>
      <c r="I658" s="6" t="s">
        <v>40</v>
      </c>
      <c r="J658" s="5" t="s">
        <v>8585</v>
      </c>
      <c r="K658" s="5" t="s">
        <v>8632</v>
      </c>
      <c r="L658" s="6" t="s">
        <v>42</v>
      </c>
      <c r="M658" s="5" t="s">
        <v>995</v>
      </c>
      <c r="N658" s="5" t="s">
        <v>64</v>
      </c>
      <c r="O658" s="5" t="s">
        <v>14125</v>
      </c>
      <c r="P658" s="6">
        <v>8717.0</v>
      </c>
    </row>
    <row r="659" ht="56.25" customHeight="1">
      <c r="A659" s="5" t="s">
        <v>14120</v>
      </c>
      <c r="B659" s="6" t="str">
        <f>image("https://storage.googleapis.com/acdb/bottoms/BottomsTexSkirtLongTiered2.png")</f>
        <v/>
      </c>
      <c r="C659" s="5" t="s">
        <v>2222</v>
      </c>
      <c r="D659" s="5" t="s">
        <v>36</v>
      </c>
      <c r="E659" s="6">
        <v>1200.0</v>
      </c>
      <c r="F659" s="6">
        <v>300.0</v>
      </c>
      <c r="G659" s="5" t="s">
        <v>96</v>
      </c>
      <c r="H659" s="5" t="s">
        <v>96</v>
      </c>
      <c r="I659" s="6" t="s">
        <v>40</v>
      </c>
      <c r="J659" s="5" t="s">
        <v>8585</v>
      </c>
      <c r="K659" s="5" t="s">
        <v>8632</v>
      </c>
      <c r="L659" s="6" t="s">
        <v>42</v>
      </c>
      <c r="M659" s="5" t="s">
        <v>995</v>
      </c>
      <c r="N659" s="5" t="s">
        <v>64</v>
      </c>
      <c r="O659" s="5" t="s">
        <v>14128</v>
      </c>
      <c r="P659" s="6">
        <v>8718.0</v>
      </c>
    </row>
    <row r="660" ht="56.25" customHeight="1">
      <c r="A660" s="5" t="s">
        <v>14120</v>
      </c>
      <c r="B660" s="6" t="str">
        <f>image("https://storage.googleapis.com/acdb/bottoms/BottomsTexSkirtLongTiered3.png")</f>
        <v/>
      </c>
      <c r="C660" s="5" t="s">
        <v>114</v>
      </c>
      <c r="D660" s="5" t="s">
        <v>36</v>
      </c>
      <c r="E660" s="6">
        <v>1200.0</v>
      </c>
      <c r="F660" s="6">
        <v>300.0</v>
      </c>
      <c r="G660" s="5" t="s">
        <v>114</v>
      </c>
      <c r="H660" s="5" t="s">
        <v>114</v>
      </c>
      <c r="I660" s="6" t="s">
        <v>40</v>
      </c>
      <c r="J660" s="5" t="s">
        <v>8585</v>
      </c>
      <c r="K660" s="5" t="s">
        <v>8632</v>
      </c>
      <c r="L660" s="6" t="s">
        <v>42</v>
      </c>
      <c r="M660" s="5" t="s">
        <v>995</v>
      </c>
      <c r="N660" s="5" t="s">
        <v>64</v>
      </c>
      <c r="O660" s="5" t="s">
        <v>14130</v>
      </c>
      <c r="P660" s="6">
        <v>8719.0</v>
      </c>
    </row>
    <row r="661" ht="56.25" customHeight="1">
      <c r="A661" s="5" t="s">
        <v>14120</v>
      </c>
      <c r="B661" s="6" t="str">
        <f>image("https://storage.googleapis.com/acdb/bottoms/BottomsTexSkirtLongTiered4.png")</f>
        <v/>
      </c>
      <c r="C661" s="5" t="s">
        <v>68</v>
      </c>
      <c r="D661" s="5" t="s">
        <v>36</v>
      </c>
      <c r="E661" s="6">
        <v>1200.0</v>
      </c>
      <c r="F661" s="6">
        <v>300.0</v>
      </c>
      <c r="G661" s="5" t="s">
        <v>68</v>
      </c>
      <c r="H661" s="5" t="s">
        <v>68</v>
      </c>
      <c r="I661" s="6" t="s">
        <v>40</v>
      </c>
      <c r="J661" s="5" t="s">
        <v>8585</v>
      </c>
      <c r="K661" s="5" t="s">
        <v>8632</v>
      </c>
      <c r="L661" s="6" t="s">
        <v>42</v>
      </c>
      <c r="M661" s="5" t="s">
        <v>995</v>
      </c>
      <c r="N661" s="5" t="s">
        <v>64</v>
      </c>
      <c r="O661" s="5" t="s">
        <v>14131</v>
      </c>
      <c r="P661" s="6">
        <v>8720.0</v>
      </c>
    </row>
    <row r="662" ht="56.25" customHeight="1">
      <c r="A662" s="5" t="s">
        <v>14132</v>
      </c>
      <c r="B662" s="6" t="str">
        <f>image("https://storage.googleapis.com/acdb/bottoms/BottomsTexPantsWideTeared0.png")</f>
        <v/>
      </c>
      <c r="C662" s="5" t="s">
        <v>39</v>
      </c>
      <c r="D662" s="5" t="s">
        <v>36</v>
      </c>
      <c r="E662" s="6" t="s">
        <v>37</v>
      </c>
      <c r="F662" s="6">
        <v>10.0</v>
      </c>
      <c r="G662" s="5" t="s">
        <v>39</v>
      </c>
      <c r="H662" s="5" t="s">
        <v>39</v>
      </c>
      <c r="I662" s="6" t="s">
        <v>40</v>
      </c>
      <c r="J662" s="5" t="s">
        <v>8763</v>
      </c>
      <c r="K662" s="5"/>
      <c r="L662" s="6" t="s">
        <v>42</v>
      </c>
      <c r="M662" s="5" t="s">
        <v>995</v>
      </c>
      <c r="N662" s="5" t="s">
        <v>48</v>
      </c>
      <c r="O662" s="5" t="s">
        <v>14136</v>
      </c>
      <c r="P662" s="6">
        <v>5701.0</v>
      </c>
    </row>
    <row r="663" ht="56.25" customHeight="1">
      <c r="A663" s="5" t="s">
        <v>14132</v>
      </c>
      <c r="B663" s="6" t="str">
        <f>image("https://storage.googleapis.com/acdb/bottoms/BottomsTexPantsWideTeared1.png")</f>
        <v/>
      </c>
      <c r="C663" s="5" t="s">
        <v>54</v>
      </c>
      <c r="D663" s="5" t="s">
        <v>36</v>
      </c>
      <c r="E663" s="6" t="s">
        <v>37</v>
      </c>
      <c r="F663" s="6">
        <v>10.0</v>
      </c>
      <c r="G663" s="5" t="s">
        <v>54</v>
      </c>
      <c r="H663" s="5" t="s">
        <v>54</v>
      </c>
      <c r="I663" s="6" t="s">
        <v>40</v>
      </c>
      <c r="J663" s="5" t="s">
        <v>8763</v>
      </c>
      <c r="K663" s="5"/>
      <c r="L663" s="6" t="s">
        <v>42</v>
      </c>
      <c r="M663" s="5" t="s">
        <v>995</v>
      </c>
      <c r="N663" s="5" t="s">
        <v>48</v>
      </c>
      <c r="O663" s="5" t="s">
        <v>14138</v>
      </c>
      <c r="P663" s="6">
        <v>9281.0</v>
      </c>
    </row>
    <row r="664" ht="56.25" customHeight="1">
      <c r="A664" s="5" t="s">
        <v>14132</v>
      </c>
      <c r="B664" s="6" t="str">
        <f>image("https://storage.googleapis.com/acdb/bottoms/BottomsTexPantsWideTeared2.png")</f>
        <v/>
      </c>
      <c r="C664" s="5" t="s">
        <v>95</v>
      </c>
      <c r="D664" s="5" t="s">
        <v>36</v>
      </c>
      <c r="E664" s="6" t="s">
        <v>37</v>
      </c>
      <c r="F664" s="6">
        <v>10.0</v>
      </c>
      <c r="G664" s="5" t="s">
        <v>95</v>
      </c>
      <c r="H664" s="5" t="s">
        <v>95</v>
      </c>
      <c r="I664" s="6" t="s">
        <v>40</v>
      </c>
      <c r="J664" s="5" t="s">
        <v>8763</v>
      </c>
      <c r="K664" s="5"/>
      <c r="L664" s="6" t="s">
        <v>42</v>
      </c>
      <c r="M664" s="5" t="s">
        <v>995</v>
      </c>
      <c r="N664" s="5" t="s">
        <v>48</v>
      </c>
      <c r="O664" s="5" t="s">
        <v>14140</v>
      </c>
      <c r="P664" s="6">
        <v>9282.0</v>
      </c>
    </row>
    <row r="665" ht="56.25" customHeight="1">
      <c r="A665" s="5" t="s">
        <v>14142</v>
      </c>
      <c r="B665" s="6" t="str">
        <f>image("https://storage.googleapis.com/acdb/bottoms/BottomsTexPantsNormalSportsjersey0.png")</f>
        <v/>
      </c>
      <c r="C665" s="5" t="s">
        <v>1187</v>
      </c>
      <c r="D665" s="5" t="s">
        <v>36</v>
      </c>
      <c r="E665" s="6">
        <v>770.0</v>
      </c>
      <c r="F665" s="6">
        <v>192.0</v>
      </c>
      <c r="G665" s="5" t="s">
        <v>68</v>
      </c>
      <c r="H665" s="5" t="s">
        <v>83</v>
      </c>
      <c r="I665" s="6" t="s">
        <v>40</v>
      </c>
      <c r="J665" s="5" t="s">
        <v>8585</v>
      </c>
      <c r="K665" s="5" t="s">
        <v>8632</v>
      </c>
      <c r="L665" s="6" t="s">
        <v>42</v>
      </c>
      <c r="M665" s="5" t="s">
        <v>8746</v>
      </c>
      <c r="N665" s="5" t="s">
        <v>64</v>
      </c>
      <c r="O665" s="5" t="s">
        <v>14144</v>
      </c>
      <c r="P665" s="6">
        <v>3335.0</v>
      </c>
    </row>
    <row r="666" ht="56.25" customHeight="1">
      <c r="A666" s="5" t="s">
        <v>14142</v>
      </c>
      <c r="B666" s="6" t="str">
        <f>image("https://storage.googleapis.com/acdb/bottoms/BottomsTexPantsNormalSportsjersey1.png")</f>
        <v/>
      </c>
      <c r="C666" s="5" t="s">
        <v>95</v>
      </c>
      <c r="D666" s="5" t="s">
        <v>36</v>
      </c>
      <c r="E666" s="6">
        <v>770.0</v>
      </c>
      <c r="F666" s="6">
        <v>192.0</v>
      </c>
      <c r="G666" s="5" t="s">
        <v>95</v>
      </c>
      <c r="H666" s="5" t="s">
        <v>69</v>
      </c>
      <c r="I666" s="6" t="s">
        <v>40</v>
      </c>
      <c r="J666" s="5" t="s">
        <v>8585</v>
      </c>
      <c r="K666" s="5" t="s">
        <v>8632</v>
      </c>
      <c r="L666" s="6" t="s">
        <v>42</v>
      </c>
      <c r="M666" s="5" t="s">
        <v>8746</v>
      </c>
      <c r="N666" s="5" t="s">
        <v>64</v>
      </c>
      <c r="O666" s="5" t="s">
        <v>14146</v>
      </c>
      <c r="P666" s="6">
        <v>11284.0</v>
      </c>
    </row>
    <row r="667" ht="56.25" customHeight="1">
      <c r="A667" s="5" t="s">
        <v>14142</v>
      </c>
      <c r="B667" s="6" t="str">
        <f>image("https://storage.googleapis.com/acdb/bottoms/BottomsTexPantsNormalSportsjersey2.png")</f>
        <v/>
      </c>
      <c r="C667" s="5" t="s">
        <v>57</v>
      </c>
      <c r="D667" s="5" t="s">
        <v>36</v>
      </c>
      <c r="E667" s="6">
        <v>770.0</v>
      </c>
      <c r="F667" s="6">
        <v>192.0</v>
      </c>
      <c r="G667" s="5" t="s">
        <v>57</v>
      </c>
      <c r="H667" s="5" t="s">
        <v>69</v>
      </c>
      <c r="I667" s="6" t="s">
        <v>40</v>
      </c>
      <c r="J667" s="5" t="s">
        <v>8585</v>
      </c>
      <c r="K667" s="5" t="s">
        <v>8632</v>
      </c>
      <c r="L667" s="6" t="s">
        <v>42</v>
      </c>
      <c r="M667" s="5" t="s">
        <v>8746</v>
      </c>
      <c r="N667" s="5" t="s">
        <v>64</v>
      </c>
      <c r="O667" s="5" t="s">
        <v>14149</v>
      </c>
      <c r="P667" s="6">
        <v>11285.0</v>
      </c>
    </row>
    <row r="668" ht="56.25" customHeight="1">
      <c r="A668" s="5" t="s">
        <v>14142</v>
      </c>
      <c r="B668" s="6" t="str">
        <f>image("https://storage.googleapis.com/acdb/bottoms/BottomsTexPantsNormalSportsjersey3.png")</f>
        <v/>
      </c>
      <c r="C668" s="5" t="s">
        <v>52</v>
      </c>
      <c r="D668" s="5" t="s">
        <v>36</v>
      </c>
      <c r="E668" s="6">
        <v>770.0</v>
      </c>
      <c r="F668" s="6">
        <v>192.0</v>
      </c>
      <c r="G668" s="5" t="s">
        <v>142</v>
      </c>
      <c r="H668" s="5" t="s">
        <v>54</v>
      </c>
      <c r="I668" s="6" t="s">
        <v>40</v>
      </c>
      <c r="J668" s="5" t="s">
        <v>8585</v>
      </c>
      <c r="K668" s="5" t="s">
        <v>8632</v>
      </c>
      <c r="L668" s="6" t="s">
        <v>42</v>
      </c>
      <c r="M668" s="5" t="s">
        <v>8746</v>
      </c>
      <c r="N668" s="5" t="s">
        <v>64</v>
      </c>
      <c r="O668" s="5" t="s">
        <v>14152</v>
      </c>
      <c r="P668" s="6">
        <v>11286.0</v>
      </c>
    </row>
    <row r="669" ht="56.25" customHeight="1">
      <c r="A669" s="5" t="s">
        <v>14142</v>
      </c>
      <c r="B669" s="6" t="str">
        <f>image("https://storage.googleapis.com/acdb/bottoms/BottomsTexPantsNormalSportsjersey4.png")</f>
        <v/>
      </c>
      <c r="C669" s="5" t="s">
        <v>83</v>
      </c>
      <c r="D669" s="5" t="s">
        <v>36</v>
      </c>
      <c r="E669" s="6">
        <v>770.0</v>
      </c>
      <c r="F669" s="6">
        <v>192.0</v>
      </c>
      <c r="G669" s="5" t="s">
        <v>68</v>
      </c>
      <c r="H669" s="5" t="s">
        <v>54</v>
      </c>
      <c r="I669" s="6" t="s">
        <v>40</v>
      </c>
      <c r="J669" s="5" t="s">
        <v>8585</v>
      </c>
      <c r="K669" s="5" t="s">
        <v>8632</v>
      </c>
      <c r="L669" s="6" t="s">
        <v>42</v>
      </c>
      <c r="M669" s="5" t="s">
        <v>8746</v>
      </c>
      <c r="N669" s="5" t="s">
        <v>64</v>
      </c>
      <c r="O669" s="5" t="s">
        <v>14155</v>
      </c>
      <c r="P669" s="6">
        <v>11287.0</v>
      </c>
    </row>
    <row r="670" ht="56.25" customHeight="1">
      <c r="A670" s="5" t="s">
        <v>14142</v>
      </c>
      <c r="B670" s="6" t="str">
        <f>image("https://storage.googleapis.com/acdb/bottoms/BottomsTexPantsNormalSportsjersey5.png")</f>
        <v/>
      </c>
      <c r="C670" s="5" t="s">
        <v>96</v>
      </c>
      <c r="D670" s="5" t="s">
        <v>36</v>
      </c>
      <c r="E670" s="6">
        <v>770.0</v>
      </c>
      <c r="F670" s="6">
        <v>192.0</v>
      </c>
      <c r="G670" s="5" t="s">
        <v>96</v>
      </c>
      <c r="H670" s="5" t="s">
        <v>57</v>
      </c>
      <c r="I670" s="6" t="s">
        <v>40</v>
      </c>
      <c r="J670" s="5" t="s">
        <v>8585</v>
      </c>
      <c r="K670" s="5" t="s">
        <v>8632</v>
      </c>
      <c r="L670" s="6" t="s">
        <v>42</v>
      </c>
      <c r="M670" s="5" t="s">
        <v>8746</v>
      </c>
      <c r="N670" s="5" t="s">
        <v>64</v>
      </c>
      <c r="O670" s="5" t="s">
        <v>14157</v>
      </c>
      <c r="P670" s="6">
        <v>11288.0</v>
      </c>
    </row>
    <row r="671" ht="56.25" customHeight="1">
      <c r="A671" s="5" t="s">
        <v>14142</v>
      </c>
      <c r="B671" s="6" t="str">
        <f>image("https://storage.googleapis.com/acdb/bottoms/BottomsTexPantsNormalSportsjersey6.png")</f>
        <v/>
      </c>
      <c r="C671" s="5" t="s">
        <v>68</v>
      </c>
      <c r="D671" s="5" t="s">
        <v>36</v>
      </c>
      <c r="E671" s="6">
        <v>770.0</v>
      </c>
      <c r="F671" s="6">
        <v>192.0</v>
      </c>
      <c r="G671" s="5" t="s">
        <v>68</v>
      </c>
      <c r="H671" s="5" t="s">
        <v>142</v>
      </c>
      <c r="I671" s="6" t="s">
        <v>40</v>
      </c>
      <c r="J671" s="5" t="s">
        <v>8585</v>
      </c>
      <c r="K671" s="5" t="s">
        <v>8632</v>
      </c>
      <c r="L671" s="6" t="s">
        <v>42</v>
      </c>
      <c r="M671" s="5" t="s">
        <v>8746</v>
      </c>
      <c r="N671" s="5" t="s">
        <v>64</v>
      </c>
      <c r="O671" s="5" t="s">
        <v>14159</v>
      </c>
      <c r="P671" s="6">
        <v>11289.0</v>
      </c>
    </row>
    <row r="672" ht="56.25" customHeight="1">
      <c r="A672" s="5" t="s">
        <v>14160</v>
      </c>
      <c r="B672" s="6" t="str">
        <f>image("https://storage.googleapis.com/acdb/bottoms/BottomsTexPantsNormalMonpe0.png")</f>
        <v/>
      </c>
      <c r="C672" s="5" t="s">
        <v>2431</v>
      </c>
      <c r="D672" s="5" t="s">
        <v>36</v>
      </c>
      <c r="E672" s="6">
        <v>1040.0</v>
      </c>
      <c r="F672" s="6">
        <v>260.0</v>
      </c>
      <c r="G672" s="5" t="s">
        <v>68</v>
      </c>
      <c r="H672" s="5" t="s">
        <v>52</v>
      </c>
      <c r="I672" s="6" t="s">
        <v>40</v>
      </c>
      <c r="J672" s="5" t="s">
        <v>8585</v>
      </c>
      <c r="K672" s="5" t="s">
        <v>8586</v>
      </c>
      <c r="L672" s="6" t="s">
        <v>42</v>
      </c>
      <c r="M672" s="5" t="s">
        <v>995</v>
      </c>
      <c r="N672" s="5" t="s">
        <v>64</v>
      </c>
      <c r="O672" s="5" t="s">
        <v>14163</v>
      </c>
      <c r="P672" s="6">
        <v>5412.0</v>
      </c>
    </row>
    <row r="673" ht="56.25" customHeight="1">
      <c r="A673" s="5" t="s">
        <v>14160</v>
      </c>
      <c r="B673" s="6" t="str">
        <f>image("https://storage.googleapis.com/acdb/bottoms/BottomsTexPantsNormalMonpe1.png")</f>
        <v/>
      </c>
      <c r="C673" s="5" t="s">
        <v>68</v>
      </c>
      <c r="D673" s="5" t="s">
        <v>36</v>
      </c>
      <c r="E673" s="6">
        <v>1040.0</v>
      </c>
      <c r="F673" s="6">
        <v>260.0</v>
      </c>
      <c r="G673" s="5" t="s">
        <v>68</v>
      </c>
      <c r="H673" s="5" t="s">
        <v>142</v>
      </c>
      <c r="I673" s="6" t="s">
        <v>40</v>
      </c>
      <c r="J673" s="5" t="s">
        <v>8585</v>
      </c>
      <c r="K673" s="5" t="s">
        <v>8586</v>
      </c>
      <c r="L673" s="6" t="s">
        <v>42</v>
      </c>
      <c r="M673" s="5" t="s">
        <v>995</v>
      </c>
      <c r="N673" s="5" t="s">
        <v>64</v>
      </c>
      <c r="O673" s="5" t="s">
        <v>14164</v>
      </c>
      <c r="P673" s="6">
        <v>9169.0</v>
      </c>
    </row>
    <row r="674" ht="56.25" customHeight="1">
      <c r="A674" s="5" t="s">
        <v>14160</v>
      </c>
      <c r="B674" s="6" t="str">
        <f>image("https://storage.googleapis.com/acdb/bottoms/BottomsTexPantsNormalMonpe2.png")</f>
        <v/>
      </c>
      <c r="C674" s="5" t="s">
        <v>3173</v>
      </c>
      <c r="D674" s="5" t="s">
        <v>36</v>
      </c>
      <c r="E674" s="6">
        <v>1040.0</v>
      </c>
      <c r="F674" s="6">
        <v>260.0</v>
      </c>
      <c r="G674" s="5" t="s">
        <v>142</v>
      </c>
      <c r="H674" s="5" t="s">
        <v>142</v>
      </c>
      <c r="I674" s="6" t="s">
        <v>40</v>
      </c>
      <c r="J674" s="5" t="s">
        <v>8585</v>
      </c>
      <c r="K674" s="5" t="s">
        <v>8586</v>
      </c>
      <c r="L674" s="6" t="s">
        <v>42</v>
      </c>
      <c r="M674" s="5" t="s">
        <v>995</v>
      </c>
      <c r="N674" s="5" t="s">
        <v>64</v>
      </c>
      <c r="O674" s="5" t="s">
        <v>14166</v>
      </c>
      <c r="P674" s="6">
        <v>9170.0</v>
      </c>
    </row>
    <row r="675" ht="56.25" customHeight="1">
      <c r="A675" s="5" t="s">
        <v>14160</v>
      </c>
      <c r="B675" s="6" t="str">
        <f>image("https://storage.googleapis.com/acdb/bottoms/BottomsTexPantsNormalMonpe3.png")</f>
        <v/>
      </c>
      <c r="C675" s="5" t="s">
        <v>3744</v>
      </c>
      <c r="D675" s="5" t="s">
        <v>36</v>
      </c>
      <c r="E675" s="6">
        <v>1040.0</v>
      </c>
      <c r="F675" s="6">
        <v>260.0</v>
      </c>
      <c r="G675" s="5" t="s">
        <v>52</v>
      </c>
      <c r="H675" s="5" t="s">
        <v>142</v>
      </c>
      <c r="I675" s="6" t="s">
        <v>40</v>
      </c>
      <c r="J675" s="5" t="s">
        <v>8585</v>
      </c>
      <c r="K675" s="5" t="s">
        <v>8586</v>
      </c>
      <c r="L675" s="6" t="s">
        <v>42</v>
      </c>
      <c r="M675" s="5" t="s">
        <v>995</v>
      </c>
      <c r="N675" s="5" t="s">
        <v>64</v>
      </c>
      <c r="O675" s="5" t="s">
        <v>14169</v>
      </c>
      <c r="P675" s="6">
        <v>9171.0</v>
      </c>
    </row>
    <row r="676" ht="56.25" customHeight="1">
      <c r="A676" s="5" t="s">
        <v>14170</v>
      </c>
      <c r="B676" s="6" t="str">
        <f>image("https://storage.googleapis.com/acdb/bottoms/BottomsTexPantsWideSuteteko0.png")</f>
        <v/>
      </c>
      <c r="C676" s="5" t="s">
        <v>52</v>
      </c>
      <c r="D676" s="5" t="s">
        <v>36</v>
      </c>
      <c r="E676" s="6">
        <v>560.0</v>
      </c>
      <c r="F676" s="6">
        <v>140.0</v>
      </c>
      <c r="G676" s="5" t="s">
        <v>52</v>
      </c>
      <c r="H676" s="5" t="s">
        <v>52</v>
      </c>
      <c r="I676" s="6" t="s">
        <v>40</v>
      </c>
      <c r="J676" s="5" t="s">
        <v>8585</v>
      </c>
      <c r="K676" s="5" t="s">
        <v>8632</v>
      </c>
      <c r="L676" s="6" t="s">
        <v>42</v>
      </c>
      <c r="M676" s="5" t="s">
        <v>995</v>
      </c>
      <c r="N676" s="5" t="s">
        <v>64</v>
      </c>
      <c r="O676" s="5" t="s">
        <v>14172</v>
      </c>
      <c r="P676" s="6">
        <v>5460.0</v>
      </c>
    </row>
    <row r="677" ht="56.25" customHeight="1">
      <c r="A677" s="5" t="s">
        <v>14170</v>
      </c>
      <c r="B677" s="6" t="str">
        <f>image("https://storage.googleapis.com/acdb/bottoms/BottomsTexPantsWideSuteteko1.png")</f>
        <v/>
      </c>
      <c r="C677" s="5" t="s">
        <v>10398</v>
      </c>
      <c r="D677" s="5" t="s">
        <v>36</v>
      </c>
      <c r="E677" s="6">
        <v>560.0</v>
      </c>
      <c r="F677" s="6">
        <v>140.0</v>
      </c>
      <c r="G677" s="5" t="s">
        <v>96</v>
      </c>
      <c r="H677" s="5" t="s">
        <v>96</v>
      </c>
      <c r="I677" s="6" t="s">
        <v>40</v>
      </c>
      <c r="J677" s="5" t="s">
        <v>8585</v>
      </c>
      <c r="K677" s="5" t="s">
        <v>8632</v>
      </c>
      <c r="L677" s="6" t="s">
        <v>42</v>
      </c>
      <c r="M677" s="5" t="s">
        <v>995</v>
      </c>
      <c r="N677" s="5" t="s">
        <v>64</v>
      </c>
      <c r="O677" s="5" t="s">
        <v>14175</v>
      </c>
      <c r="P677" s="6">
        <v>9172.0</v>
      </c>
    </row>
    <row r="678" ht="56.25" customHeight="1">
      <c r="A678" s="5" t="s">
        <v>14170</v>
      </c>
      <c r="B678" s="6" t="str">
        <f>image("https://storage.googleapis.com/acdb/bottoms/BottomsTexPantsWideSuteteko2.png")</f>
        <v/>
      </c>
      <c r="C678" s="5" t="s">
        <v>3173</v>
      </c>
      <c r="D678" s="5" t="s">
        <v>36</v>
      </c>
      <c r="E678" s="6">
        <v>560.0</v>
      </c>
      <c r="F678" s="6">
        <v>140.0</v>
      </c>
      <c r="G678" s="5" t="s">
        <v>142</v>
      </c>
      <c r="H678" s="5" t="s">
        <v>142</v>
      </c>
      <c r="I678" s="6" t="s">
        <v>40</v>
      </c>
      <c r="J678" s="5" t="s">
        <v>8585</v>
      </c>
      <c r="K678" s="5" t="s">
        <v>8632</v>
      </c>
      <c r="L678" s="6" t="s">
        <v>42</v>
      </c>
      <c r="M678" s="5" t="s">
        <v>995</v>
      </c>
      <c r="N678" s="5" t="s">
        <v>64</v>
      </c>
      <c r="O678" s="5" t="s">
        <v>14178</v>
      </c>
      <c r="P678" s="6">
        <v>9173.0</v>
      </c>
    </row>
    <row r="679" ht="56.25" customHeight="1">
      <c r="A679" s="5" t="s">
        <v>14170</v>
      </c>
      <c r="B679" s="6" t="str">
        <f>image("https://storage.googleapis.com/acdb/bottoms/BottomsTexPantsWideSuteteko3.png")</f>
        <v/>
      </c>
      <c r="C679" s="5" t="s">
        <v>106</v>
      </c>
      <c r="D679" s="5" t="s">
        <v>36</v>
      </c>
      <c r="E679" s="6">
        <v>560.0</v>
      </c>
      <c r="F679" s="6">
        <v>140.0</v>
      </c>
      <c r="G679" s="5" t="s">
        <v>106</v>
      </c>
      <c r="H679" s="5" t="s">
        <v>106</v>
      </c>
      <c r="I679" s="6" t="s">
        <v>40</v>
      </c>
      <c r="J679" s="5" t="s">
        <v>8585</v>
      </c>
      <c r="K679" s="5" t="s">
        <v>8632</v>
      </c>
      <c r="L679" s="6" t="s">
        <v>42</v>
      </c>
      <c r="M679" s="5" t="s">
        <v>995</v>
      </c>
      <c r="N679" s="5" t="s">
        <v>64</v>
      </c>
      <c r="O679" s="5" t="s">
        <v>14180</v>
      </c>
      <c r="P679" s="6">
        <v>9174.0</v>
      </c>
    </row>
    <row r="680" ht="56.25" customHeight="1">
      <c r="A680" s="5" t="s">
        <v>14170</v>
      </c>
      <c r="B680" s="6" t="str">
        <f>image("https://storage.googleapis.com/acdb/bottoms/BottomsTexPantsWideSuteteko4.png")</f>
        <v/>
      </c>
      <c r="C680" s="5" t="s">
        <v>14181</v>
      </c>
      <c r="D680" s="5" t="s">
        <v>36</v>
      </c>
      <c r="E680" s="6">
        <v>560.0</v>
      </c>
      <c r="F680" s="6">
        <v>140.0</v>
      </c>
      <c r="G680" s="5" t="s">
        <v>83</v>
      </c>
      <c r="H680" s="5" t="s">
        <v>83</v>
      </c>
      <c r="I680" s="6" t="s">
        <v>40</v>
      </c>
      <c r="J680" s="5" t="s">
        <v>8585</v>
      </c>
      <c r="K680" s="5" t="s">
        <v>8632</v>
      </c>
      <c r="L680" s="6" t="s">
        <v>42</v>
      </c>
      <c r="M680" s="5" t="s">
        <v>995</v>
      </c>
      <c r="N680" s="5" t="s">
        <v>64</v>
      </c>
      <c r="O680" s="5" t="s">
        <v>14184</v>
      </c>
      <c r="P680" s="6">
        <v>9175.0</v>
      </c>
    </row>
    <row r="681" ht="56.25" customHeight="1">
      <c r="A681" s="5" t="s">
        <v>14170</v>
      </c>
      <c r="B681" s="6" t="str">
        <f>image("https://storage.googleapis.com/acdb/bottoms/BottomsTexPantsWideSuteteko5.png")</f>
        <v/>
      </c>
      <c r="C681" s="5" t="s">
        <v>68</v>
      </c>
      <c r="D681" s="5" t="s">
        <v>36</v>
      </c>
      <c r="E681" s="6">
        <v>560.0</v>
      </c>
      <c r="F681" s="6">
        <v>140.0</v>
      </c>
      <c r="G681" s="5" t="s">
        <v>68</v>
      </c>
      <c r="H681" s="5" t="s">
        <v>68</v>
      </c>
      <c r="I681" s="6" t="s">
        <v>40</v>
      </c>
      <c r="J681" s="5" t="s">
        <v>8585</v>
      </c>
      <c r="K681" s="5" t="s">
        <v>8632</v>
      </c>
      <c r="L681" s="6" t="s">
        <v>42</v>
      </c>
      <c r="M681" s="5" t="s">
        <v>995</v>
      </c>
      <c r="N681" s="5" t="s">
        <v>64</v>
      </c>
      <c r="O681" s="5" t="s">
        <v>14186</v>
      </c>
      <c r="P681" s="6">
        <v>9176.0</v>
      </c>
    </row>
    <row r="682" ht="56.25" customHeight="1">
      <c r="A682" s="5" t="s">
        <v>14187</v>
      </c>
      <c r="B682" s="6" t="str">
        <f>image("https://storage.googleapis.com/acdb/bottoms/BottomsTexSkirtAlineTweedfrill0.png")</f>
        <v/>
      </c>
      <c r="C682" s="5" t="s">
        <v>39</v>
      </c>
      <c r="D682" s="5" t="s">
        <v>36</v>
      </c>
      <c r="E682" s="6">
        <v>1560.0</v>
      </c>
      <c r="F682" s="6">
        <v>390.0</v>
      </c>
      <c r="G682" s="5" t="s">
        <v>39</v>
      </c>
      <c r="H682" s="5" t="s">
        <v>39</v>
      </c>
      <c r="I682" s="6" t="s">
        <v>40</v>
      </c>
      <c r="J682" s="5" t="s">
        <v>8585</v>
      </c>
      <c r="K682" s="5" t="s">
        <v>8586</v>
      </c>
      <c r="L682" s="6" t="s">
        <v>42</v>
      </c>
      <c r="M682" s="5" t="s">
        <v>1959</v>
      </c>
      <c r="N682" s="5" t="s">
        <v>64</v>
      </c>
      <c r="O682" s="5" t="s">
        <v>14189</v>
      </c>
      <c r="P682" s="6">
        <v>4428.0</v>
      </c>
    </row>
    <row r="683" ht="56.25" customHeight="1">
      <c r="A683" s="5" t="s">
        <v>14187</v>
      </c>
      <c r="B683" s="6" t="str">
        <f>image("https://storage.googleapis.com/acdb/bottoms/BottomsTexSkirtAlineTweedfrill1.png")</f>
        <v/>
      </c>
      <c r="C683" s="5" t="s">
        <v>95</v>
      </c>
      <c r="D683" s="5" t="s">
        <v>36</v>
      </c>
      <c r="E683" s="6">
        <v>1560.0</v>
      </c>
      <c r="F683" s="6">
        <v>390.0</v>
      </c>
      <c r="G683" s="5" t="s">
        <v>95</v>
      </c>
      <c r="H683" s="5" t="s">
        <v>54</v>
      </c>
      <c r="I683" s="6" t="s">
        <v>40</v>
      </c>
      <c r="J683" s="5" t="s">
        <v>8585</v>
      </c>
      <c r="K683" s="5" t="s">
        <v>8586</v>
      </c>
      <c r="L683" s="6" t="s">
        <v>42</v>
      </c>
      <c r="M683" s="5" t="s">
        <v>1959</v>
      </c>
      <c r="N683" s="5" t="s">
        <v>64</v>
      </c>
      <c r="O683" s="5" t="s">
        <v>14193</v>
      </c>
      <c r="P683" s="6">
        <v>8908.0</v>
      </c>
    </row>
    <row r="684" ht="56.25" customHeight="1">
      <c r="A684" s="5" t="s">
        <v>14187</v>
      </c>
      <c r="B684" s="6" t="str">
        <f>image("https://storage.googleapis.com/acdb/bottoms/BottomsTexSkirtAlineTweedfrill2.png")</f>
        <v/>
      </c>
      <c r="C684" s="5" t="s">
        <v>69</v>
      </c>
      <c r="D684" s="5" t="s">
        <v>36</v>
      </c>
      <c r="E684" s="6">
        <v>1560.0</v>
      </c>
      <c r="F684" s="6">
        <v>390.0</v>
      </c>
      <c r="G684" s="5" t="s">
        <v>69</v>
      </c>
      <c r="H684" s="5" t="s">
        <v>39</v>
      </c>
      <c r="I684" s="6" t="s">
        <v>40</v>
      </c>
      <c r="J684" s="5" t="s">
        <v>8585</v>
      </c>
      <c r="K684" s="5" t="s">
        <v>8586</v>
      </c>
      <c r="L684" s="6" t="s">
        <v>42</v>
      </c>
      <c r="M684" s="5" t="s">
        <v>1959</v>
      </c>
      <c r="N684" s="5" t="s">
        <v>64</v>
      </c>
      <c r="O684" s="5" t="s">
        <v>14195</v>
      </c>
      <c r="P684" s="6">
        <v>8909.0</v>
      </c>
    </row>
    <row r="685" ht="56.25" customHeight="1">
      <c r="A685" s="5" t="s">
        <v>14187</v>
      </c>
      <c r="B685" s="6" t="str">
        <f>image("https://storage.googleapis.com/acdb/bottoms/BottomsTexSkirtAlineTweedfrill3.png")</f>
        <v/>
      </c>
      <c r="C685" s="5" t="s">
        <v>68</v>
      </c>
      <c r="D685" s="5" t="s">
        <v>36</v>
      </c>
      <c r="E685" s="6">
        <v>1560.0</v>
      </c>
      <c r="F685" s="6">
        <v>390.0</v>
      </c>
      <c r="G685" s="5" t="s">
        <v>83</v>
      </c>
      <c r="H685" s="5" t="s">
        <v>68</v>
      </c>
      <c r="I685" s="6" t="s">
        <v>40</v>
      </c>
      <c r="J685" s="5" t="s">
        <v>8585</v>
      </c>
      <c r="K685" s="5" t="s">
        <v>8586</v>
      </c>
      <c r="L685" s="6" t="s">
        <v>42</v>
      </c>
      <c r="M685" s="5" t="s">
        <v>1959</v>
      </c>
      <c r="N685" s="5" t="s">
        <v>64</v>
      </c>
      <c r="O685" s="5" t="s">
        <v>14197</v>
      </c>
      <c r="P685" s="6">
        <v>8910.0</v>
      </c>
    </row>
    <row r="686" ht="56.25" customHeight="1">
      <c r="A686" s="5" t="s">
        <v>14198</v>
      </c>
      <c r="B686" s="6" t="str">
        <f>image("https://storage.googleapis.com/acdb/bottoms/BottomsTexPantsWideTweed0.png")</f>
        <v/>
      </c>
      <c r="C686" s="5" t="s">
        <v>39</v>
      </c>
      <c r="D686" s="5" t="s">
        <v>36</v>
      </c>
      <c r="E686" s="6">
        <v>1300.0</v>
      </c>
      <c r="F686" s="6">
        <v>325.0</v>
      </c>
      <c r="G686" s="5" t="s">
        <v>39</v>
      </c>
      <c r="H686" s="5" t="s">
        <v>39</v>
      </c>
      <c r="I686" s="6" t="s">
        <v>40</v>
      </c>
      <c r="J686" s="5" t="s">
        <v>8585</v>
      </c>
      <c r="K686" s="5" t="s">
        <v>8632</v>
      </c>
      <c r="L686" s="6" t="s">
        <v>42</v>
      </c>
      <c r="M686" s="5" t="s">
        <v>995</v>
      </c>
      <c r="N686" s="5" t="s">
        <v>64</v>
      </c>
      <c r="O686" s="5" t="s">
        <v>14201</v>
      </c>
      <c r="P686" s="6">
        <v>3708.0</v>
      </c>
    </row>
    <row r="687" ht="56.25" customHeight="1">
      <c r="A687" s="5" t="s">
        <v>14198</v>
      </c>
      <c r="B687" s="6" t="str">
        <f>image("https://storage.googleapis.com/acdb/bottoms/BottomsTexPantsWideTweed1.png")</f>
        <v/>
      </c>
      <c r="C687" s="5" t="s">
        <v>68</v>
      </c>
      <c r="D687" s="5" t="s">
        <v>36</v>
      </c>
      <c r="E687" s="6">
        <v>1300.0</v>
      </c>
      <c r="F687" s="6">
        <v>325.0</v>
      </c>
      <c r="G687" s="5" t="s">
        <v>68</v>
      </c>
      <c r="H687" s="5" t="s">
        <v>68</v>
      </c>
      <c r="I687" s="6" t="s">
        <v>40</v>
      </c>
      <c r="J687" s="5" t="s">
        <v>8585</v>
      </c>
      <c r="K687" s="5" t="s">
        <v>8632</v>
      </c>
      <c r="L687" s="6" t="s">
        <v>42</v>
      </c>
      <c r="M687" s="5" t="s">
        <v>995</v>
      </c>
      <c r="N687" s="5" t="s">
        <v>64</v>
      </c>
      <c r="O687" s="5" t="s">
        <v>14203</v>
      </c>
      <c r="P687" s="6">
        <v>11386.0</v>
      </c>
    </row>
    <row r="688" ht="56.25" customHeight="1">
      <c r="A688" s="5" t="s">
        <v>14198</v>
      </c>
      <c r="B688" s="6" t="str">
        <f>image("https://storage.googleapis.com/acdb/bottoms/BottomsTexPantsWideTweed2.png")</f>
        <v/>
      </c>
      <c r="C688" s="5" t="s">
        <v>38</v>
      </c>
      <c r="D688" s="5" t="s">
        <v>36</v>
      </c>
      <c r="E688" s="6">
        <v>1300.0</v>
      </c>
      <c r="F688" s="6">
        <v>325.0</v>
      </c>
      <c r="G688" s="5" t="s">
        <v>38</v>
      </c>
      <c r="H688" s="5" t="s">
        <v>38</v>
      </c>
      <c r="I688" s="6" t="s">
        <v>40</v>
      </c>
      <c r="J688" s="5" t="s">
        <v>8585</v>
      </c>
      <c r="K688" s="5" t="s">
        <v>8632</v>
      </c>
      <c r="L688" s="6" t="s">
        <v>42</v>
      </c>
      <c r="M688" s="5" t="s">
        <v>995</v>
      </c>
      <c r="N688" s="5" t="s">
        <v>64</v>
      </c>
      <c r="O688" s="5" t="s">
        <v>14207</v>
      </c>
      <c r="P688" s="6">
        <v>11387.0</v>
      </c>
    </row>
    <row r="689" ht="56.25" customHeight="1">
      <c r="A689" s="5" t="s">
        <v>14198</v>
      </c>
      <c r="B689" s="6" t="str">
        <f>image("https://storage.googleapis.com/acdb/bottoms/BottomsTexPantsWideTweed3.png")</f>
        <v/>
      </c>
      <c r="C689" s="5" t="s">
        <v>4883</v>
      </c>
      <c r="D689" s="5" t="s">
        <v>36</v>
      </c>
      <c r="E689" s="6">
        <v>1300.0</v>
      </c>
      <c r="F689" s="6">
        <v>325.0</v>
      </c>
      <c r="G689" s="5" t="s">
        <v>52</v>
      </c>
      <c r="H689" s="5" t="s">
        <v>52</v>
      </c>
      <c r="I689" s="6" t="s">
        <v>40</v>
      </c>
      <c r="J689" s="5" t="s">
        <v>8585</v>
      </c>
      <c r="K689" s="5" t="s">
        <v>8632</v>
      </c>
      <c r="L689" s="6" t="s">
        <v>42</v>
      </c>
      <c r="M689" s="5" t="s">
        <v>995</v>
      </c>
      <c r="N689" s="5" t="s">
        <v>64</v>
      </c>
      <c r="O689" s="5" t="s">
        <v>14209</v>
      </c>
      <c r="P689" s="6">
        <v>11388.0</v>
      </c>
    </row>
    <row r="690" ht="56.25" customHeight="1">
      <c r="A690" s="5" t="s">
        <v>14198</v>
      </c>
      <c r="B690" s="6" t="str">
        <f>image("https://storage.googleapis.com/acdb/bottoms/BottomsTexPantsWideTweed4.png")</f>
        <v/>
      </c>
      <c r="C690" s="5" t="s">
        <v>96</v>
      </c>
      <c r="D690" s="5" t="s">
        <v>36</v>
      </c>
      <c r="E690" s="6">
        <v>1300.0</v>
      </c>
      <c r="F690" s="6">
        <v>325.0</v>
      </c>
      <c r="G690" s="5" t="s">
        <v>96</v>
      </c>
      <c r="H690" s="5" t="s">
        <v>96</v>
      </c>
      <c r="I690" s="6" t="s">
        <v>40</v>
      </c>
      <c r="J690" s="5" t="s">
        <v>8585</v>
      </c>
      <c r="K690" s="5" t="s">
        <v>8632</v>
      </c>
      <c r="L690" s="6" t="s">
        <v>42</v>
      </c>
      <c r="M690" s="5" t="s">
        <v>995</v>
      </c>
      <c r="N690" s="5" t="s">
        <v>64</v>
      </c>
      <c r="O690" s="5" t="s">
        <v>14211</v>
      </c>
      <c r="P690" s="6">
        <v>11389.0</v>
      </c>
    </row>
    <row r="691" ht="56.25" customHeight="1">
      <c r="A691" s="5" t="s">
        <v>14198</v>
      </c>
      <c r="B691" s="6" t="str">
        <f>image("https://storage.googleapis.com/acdb/bottoms/BottomsTexPantsWideTweed5.png")</f>
        <v/>
      </c>
      <c r="C691" s="5" t="s">
        <v>69</v>
      </c>
      <c r="D691" s="5" t="s">
        <v>36</v>
      </c>
      <c r="E691" s="6">
        <v>1300.0</v>
      </c>
      <c r="F691" s="6">
        <v>325.0</v>
      </c>
      <c r="G691" s="5" t="s">
        <v>69</v>
      </c>
      <c r="H691" s="5" t="s">
        <v>69</v>
      </c>
      <c r="I691" s="6" t="s">
        <v>40</v>
      </c>
      <c r="J691" s="5" t="s">
        <v>8585</v>
      </c>
      <c r="K691" s="5" t="s">
        <v>8632</v>
      </c>
      <c r="L691" s="6" t="s">
        <v>42</v>
      </c>
      <c r="M691" s="5" t="s">
        <v>995</v>
      </c>
      <c r="N691" s="5" t="s">
        <v>64</v>
      </c>
      <c r="O691" s="5" t="s">
        <v>14213</v>
      </c>
      <c r="P691" s="6">
        <v>11390.0</v>
      </c>
    </row>
    <row r="692" ht="56.25" customHeight="1">
      <c r="A692" s="5" t="s">
        <v>14215</v>
      </c>
      <c r="B692" s="6" t="str">
        <f>image("https://storage.googleapis.com/acdb/bottoms/BottomsTexSkirtAlineTweed0.png")</f>
        <v/>
      </c>
      <c r="C692" s="5" t="s">
        <v>114</v>
      </c>
      <c r="D692" s="5" t="s">
        <v>36</v>
      </c>
      <c r="E692" s="6">
        <v>1300.0</v>
      </c>
      <c r="F692" s="6">
        <v>325.0</v>
      </c>
      <c r="G692" s="5" t="s">
        <v>114</v>
      </c>
      <c r="H692" s="5" t="s">
        <v>96</v>
      </c>
      <c r="I692" s="6" t="s">
        <v>40</v>
      </c>
      <c r="J692" s="5" t="s">
        <v>8585</v>
      </c>
      <c r="K692" s="5" t="s">
        <v>8632</v>
      </c>
      <c r="L692" s="6" t="s">
        <v>42</v>
      </c>
      <c r="M692" s="5" t="s">
        <v>995</v>
      </c>
      <c r="N692" s="5" t="s">
        <v>64</v>
      </c>
      <c r="O692" s="5" t="s">
        <v>14216</v>
      </c>
      <c r="P692" s="6">
        <v>3297.0</v>
      </c>
    </row>
    <row r="693" ht="56.25" customHeight="1">
      <c r="A693" s="5" t="s">
        <v>14215</v>
      </c>
      <c r="B693" s="6" t="str">
        <f>image("https://storage.googleapis.com/acdb/bottoms/BottomsTexSkirtAlineTweed1.png")</f>
        <v/>
      </c>
      <c r="C693" s="5" t="s">
        <v>69</v>
      </c>
      <c r="D693" s="5" t="s">
        <v>36</v>
      </c>
      <c r="E693" s="6">
        <v>1300.0</v>
      </c>
      <c r="F693" s="6">
        <v>325.0</v>
      </c>
      <c r="G693" s="5" t="s">
        <v>69</v>
      </c>
      <c r="H693" s="5" t="s">
        <v>68</v>
      </c>
      <c r="I693" s="6" t="s">
        <v>40</v>
      </c>
      <c r="J693" s="5" t="s">
        <v>8585</v>
      </c>
      <c r="K693" s="5" t="s">
        <v>8632</v>
      </c>
      <c r="L693" s="6" t="s">
        <v>42</v>
      </c>
      <c r="M693" s="5" t="s">
        <v>995</v>
      </c>
      <c r="N693" s="5" t="s">
        <v>64</v>
      </c>
      <c r="O693" s="5" t="s">
        <v>14219</v>
      </c>
      <c r="P693" s="6">
        <v>11666.0</v>
      </c>
    </row>
    <row r="694" ht="56.25" customHeight="1">
      <c r="A694" s="5" t="s">
        <v>14215</v>
      </c>
      <c r="B694" s="6" t="str">
        <f>image("https://storage.googleapis.com/acdb/bottoms/BottomsTexSkirtAlineTweed2.png")</f>
        <v/>
      </c>
      <c r="C694" s="5" t="s">
        <v>68</v>
      </c>
      <c r="D694" s="5" t="s">
        <v>36</v>
      </c>
      <c r="E694" s="6">
        <v>1300.0</v>
      </c>
      <c r="F694" s="6">
        <v>325.0</v>
      </c>
      <c r="G694" s="5" t="s">
        <v>68</v>
      </c>
      <c r="H694" s="5" t="s">
        <v>114</v>
      </c>
      <c r="I694" s="6" t="s">
        <v>40</v>
      </c>
      <c r="J694" s="5" t="s">
        <v>8585</v>
      </c>
      <c r="K694" s="5" t="s">
        <v>8632</v>
      </c>
      <c r="L694" s="6" t="s">
        <v>42</v>
      </c>
      <c r="M694" s="5" t="s">
        <v>995</v>
      </c>
      <c r="N694" s="5" t="s">
        <v>64</v>
      </c>
      <c r="O694" s="5" t="s">
        <v>14221</v>
      </c>
      <c r="P694" s="6">
        <v>11667.0</v>
      </c>
    </row>
    <row r="695" ht="56.25" customHeight="1">
      <c r="A695" s="5" t="s">
        <v>14222</v>
      </c>
      <c r="B695" s="6" t="str">
        <f>image("https://storage.googleapis.com/acdb/bottoms/BottomsTexPantsNormalTwotoneBlue.png")</f>
        <v/>
      </c>
      <c r="C695" s="5" t="s">
        <v>68</v>
      </c>
      <c r="D695" s="5" t="s">
        <v>36</v>
      </c>
      <c r="E695" s="6">
        <v>880.0</v>
      </c>
      <c r="F695" s="6">
        <v>220.0</v>
      </c>
      <c r="G695" s="5" t="s">
        <v>68</v>
      </c>
      <c r="H695" s="5" t="s">
        <v>54</v>
      </c>
      <c r="I695" s="6" t="s">
        <v>40</v>
      </c>
      <c r="J695" s="5" t="s">
        <v>8585</v>
      </c>
      <c r="K695" s="5" t="s">
        <v>8632</v>
      </c>
      <c r="L695" s="6" t="s">
        <v>42</v>
      </c>
      <c r="M695" s="5" t="s">
        <v>8746</v>
      </c>
      <c r="N695" s="5" t="s">
        <v>64</v>
      </c>
      <c r="O695" s="5" t="s">
        <v>14225</v>
      </c>
      <c r="P695" s="6">
        <v>4185.0</v>
      </c>
    </row>
    <row r="696" ht="56.25" customHeight="1">
      <c r="A696" s="5" t="s">
        <v>14222</v>
      </c>
      <c r="B696" s="6" t="str">
        <f>image("https://storage.googleapis.com/acdb/bottoms/BottomsTexPantsNormalTwotoneMonochrome.png")</f>
        <v/>
      </c>
      <c r="C696" s="5" t="s">
        <v>843</v>
      </c>
      <c r="D696" s="5" t="s">
        <v>36</v>
      </c>
      <c r="E696" s="6">
        <v>880.0</v>
      </c>
      <c r="F696" s="6">
        <v>220.0</v>
      </c>
      <c r="G696" s="5" t="s">
        <v>95</v>
      </c>
      <c r="H696" s="5" t="s">
        <v>54</v>
      </c>
      <c r="I696" s="6" t="s">
        <v>40</v>
      </c>
      <c r="J696" s="5" t="s">
        <v>8585</v>
      </c>
      <c r="K696" s="5" t="s">
        <v>8632</v>
      </c>
      <c r="L696" s="6" t="s">
        <v>42</v>
      </c>
      <c r="M696" s="5" t="s">
        <v>8746</v>
      </c>
      <c r="N696" s="5" t="s">
        <v>64</v>
      </c>
      <c r="O696" s="5" t="s">
        <v>14227</v>
      </c>
      <c r="P696" s="6">
        <v>3317.0</v>
      </c>
    </row>
    <row r="697" ht="56.25" customHeight="1">
      <c r="A697" s="5" t="s">
        <v>14222</v>
      </c>
      <c r="B697" s="6" t="str">
        <f>image("https://storage.googleapis.com/acdb/bottoms/BottomsTexPantsNormalTwotoneRed.png")</f>
        <v/>
      </c>
      <c r="C697" s="5" t="s">
        <v>52</v>
      </c>
      <c r="D697" s="5" t="s">
        <v>36</v>
      </c>
      <c r="E697" s="6">
        <v>880.0</v>
      </c>
      <c r="F697" s="6">
        <v>220.0</v>
      </c>
      <c r="G697" s="5" t="s">
        <v>52</v>
      </c>
      <c r="H697" s="5" t="s">
        <v>54</v>
      </c>
      <c r="I697" s="6" t="s">
        <v>40</v>
      </c>
      <c r="J697" s="5" t="s">
        <v>8585</v>
      </c>
      <c r="K697" s="5" t="s">
        <v>8632</v>
      </c>
      <c r="L697" s="6" t="s">
        <v>42</v>
      </c>
      <c r="M697" s="5" t="s">
        <v>8746</v>
      </c>
      <c r="N697" s="5" t="s">
        <v>64</v>
      </c>
      <c r="O697" s="5" t="s">
        <v>14231</v>
      </c>
      <c r="P697" s="6">
        <v>4184.0</v>
      </c>
    </row>
    <row r="698" ht="56.25" customHeight="1">
      <c r="A698" s="5" t="s">
        <v>14222</v>
      </c>
      <c r="B698" s="6" t="str">
        <f>image("https://storage.googleapis.com/acdb/bottoms/BottomsTexPantsNormalTwotoneYellow.png")</f>
        <v/>
      </c>
      <c r="C698" s="5" t="s">
        <v>114</v>
      </c>
      <c r="D698" s="5" t="s">
        <v>36</v>
      </c>
      <c r="E698" s="6">
        <v>880.0</v>
      </c>
      <c r="F698" s="6">
        <v>220.0</v>
      </c>
      <c r="G698" s="5" t="s">
        <v>114</v>
      </c>
      <c r="H698" s="5" t="s">
        <v>83</v>
      </c>
      <c r="I698" s="6" t="s">
        <v>40</v>
      </c>
      <c r="J698" s="5" t="s">
        <v>8585</v>
      </c>
      <c r="K698" s="5" t="s">
        <v>8632</v>
      </c>
      <c r="L698" s="6" t="s">
        <v>42</v>
      </c>
      <c r="M698" s="5" t="s">
        <v>8746</v>
      </c>
      <c r="N698" s="5" t="s">
        <v>64</v>
      </c>
      <c r="O698" s="5" t="s">
        <v>14233</v>
      </c>
      <c r="P698" s="6">
        <v>4183.0</v>
      </c>
    </row>
    <row r="699" ht="56.25" customHeight="1">
      <c r="A699" s="5" t="s">
        <v>14234</v>
      </c>
      <c r="B699" s="6" t="str">
        <f>image("https://storage.googleapis.com/acdb/bottoms/BottomsTexSkirtAlineShabby0.png")</f>
        <v/>
      </c>
      <c r="C699" s="5" t="s">
        <v>38</v>
      </c>
      <c r="D699" s="5" t="s">
        <v>36</v>
      </c>
      <c r="E699" s="6">
        <v>1320.0</v>
      </c>
      <c r="F699" s="6">
        <v>330.0</v>
      </c>
      <c r="G699" s="5" t="s">
        <v>38</v>
      </c>
      <c r="H699" s="5" t="s">
        <v>57</v>
      </c>
      <c r="I699" s="6" t="s">
        <v>40</v>
      </c>
      <c r="J699" s="5" t="s">
        <v>8585</v>
      </c>
      <c r="K699" s="5" t="s">
        <v>8632</v>
      </c>
      <c r="L699" s="6" t="s">
        <v>42</v>
      </c>
      <c r="M699" s="5" t="s">
        <v>995</v>
      </c>
      <c r="N699" s="5" t="s">
        <v>64</v>
      </c>
      <c r="O699" s="5" t="s">
        <v>14236</v>
      </c>
      <c r="P699" s="6">
        <v>5449.0</v>
      </c>
    </row>
    <row r="700" ht="56.25" customHeight="1">
      <c r="A700" s="5" t="s">
        <v>14234</v>
      </c>
      <c r="B700" s="6" t="str">
        <f>image("https://storage.googleapis.com/acdb/bottoms/BottomsTexSkirtAlineShabby1.png")</f>
        <v/>
      </c>
      <c r="C700" s="5" t="s">
        <v>69</v>
      </c>
      <c r="D700" s="5" t="s">
        <v>36</v>
      </c>
      <c r="E700" s="6">
        <v>1320.0</v>
      </c>
      <c r="F700" s="6">
        <v>330.0</v>
      </c>
      <c r="G700" s="5" t="s">
        <v>69</v>
      </c>
      <c r="H700" s="5" t="s">
        <v>57</v>
      </c>
      <c r="I700" s="6" t="s">
        <v>40</v>
      </c>
      <c r="J700" s="5" t="s">
        <v>8585</v>
      </c>
      <c r="K700" s="5" t="s">
        <v>8632</v>
      </c>
      <c r="L700" s="6" t="s">
        <v>42</v>
      </c>
      <c r="M700" s="5" t="s">
        <v>995</v>
      </c>
      <c r="N700" s="5" t="s">
        <v>64</v>
      </c>
      <c r="O700" s="5" t="s">
        <v>14239</v>
      </c>
      <c r="P700" s="6">
        <v>8918.0</v>
      </c>
    </row>
    <row r="701" ht="56.25" customHeight="1">
      <c r="A701" s="5" t="s">
        <v>14234</v>
      </c>
      <c r="B701" s="6" t="str">
        <f>image("https://storage.googleapis.com/acdb/bottoms/BottomsTexSkirtAlineShabby2.png")</f>
        <v/>
      </c>
      <c r="C701" s="5" t="s">
        <v>9021</v>
      </c>
      <c r="D701" s="5" t="s">
        <v>36</v>
      </c>
      <c r="E701" s="6">
        <v>1320.0</v>
      </c>
      <c r="F701" s="6">
        <v>330.0</v>
      </c>
      <c r="G701" s="5" t="s">
        <v>83</v>
      </c>
      <c r="H701" s="5" t="s">
        <v>57</v>
      </c>
      <c r="I701" s="6" t="s">
        <v>40</v>
      </c>
      <c r="J701" s="5" t="s">
        <v>8585</v>
      </c>
      <c r="K701" s="5" t="s">
        <v>8632</v>
      </c>
      <c r="L701" s="6" t="s">
        <v>42</v>
      </c>
      <c r="M701" s="5" t="s">
        <v>995</v>
      </c>
      <c r="N701" s="5" t="s">
        <v>64</v>
      </c>
      <c r="O701" s="5" t="s">
        <v>14241</v>
      </c>
      <c r="P701" s="6">
        <v>8919.0</v>
      </c>
    </row>
    <row r="702" ht="56.25" customHeight="1">
      <c r="A702" s="5" t="s">
        <v>14242</v>
      </c>
      <c r="B702" s="6" t="str">
        <f>image("https://storage.googleapis.com/acdb/bottoms/BottomsTexPantsHalfEthnic0.png")</f>
        <v/>
      </c>
      <c r="C702" s="5" t="s">
        <v>142</v>
      </c>
      <c r="D702" s="5" t="s">
        <v>36</v>
      </c>
      <c r="E702" s="6">
        <v>980.0</v>
      </c>
      <c r="F702" s="6">
        <v>245.0</v>
      </c>
      <c r="G702" s="5" t="s">
        <v>142</v>
      </c>
      <c r="H702" s="5" t="s">
        <v>96</v>
      </c>
      <c r="I702" s="6" t="s">
        <v>40</v>
      </c>
      <c r="J702" s="5" t="s">
        <v>8585</v>
      </c>
      <c r="K702" s="5" t="s">
        <v>8632</v>
      </c>
      <c r="L702" s="6" t="s">
        <v>42</v>
      </c>
      <c r="M702" s="5" t="s">
        <v>8746</v>
      </c>
      <c r="N702" s="5" t="s">
        <v>64</v>
      </c>
      <c r="O702" s="5" t="s">
        <v>14243</v>
      </c>
      <c r="P702" s="6">
        <v>4487.0</v>
      </c>
    </row>
    <row r="703" ht="56.25" customHeight="1">
      <c r="A703" s="5" t="s">
        <v>14242</v>
      </c>
      <c r="B703" s="6" t="str">
        <f>image("https://storage.googleapis.com/acdb/bottoms/BottomsTexPantsHalfEthnic1.png")</f>
        <v/>
      </c>
      <c r="C703" s="5" t="s">
        <v>2222</v>
      </c>
      <c r="D703" s="5" t="s">
        <v>36</v>
      </c>
      <c r="E703" s="6">
        <v>980.0</v>
      </c>
      <c r="F703" s="6">
        <v>245.0</v>
      </c>
      <c r="G703" s="5" t="s">
        <v>96</v>
      </c>
      <c r="H703" s="5" t="s">
        <v>142</v>
      </c>
      <c r="I703" s="6" t="s">
        <v>40</v>
      </c>
      <c r="J703" s="5" t="s">
        <v>8585</v>
      </c>
      <c r="K703" s="5" t="s">
        <v>8632</v>
      </c>
      <c r="L703" s="6" t="s">
        <v>42</v>
      </c>
      <c r="M703" s="5" t="s">
        <v>8746</v>
      </c>
      <c r="N703" s="5" t="s">
        <v>64</v>
      </c>
      <c r="O703" s="5" t="s">
        <v>14245</v>
      </c>
      <c r="P703" s="6">
        <v>9099.0</v>
      </c>
    </row>
    <row r="704" ht="56.25" customHeight="1">
      <c r="A704" s="5" t="s">
        <v>14242</v>
      </c>
      <c r="B704" s="6" t="str">
        <f>image("https://storage.googleapis.com/acdb/bottoms/BottomsTexPantsHalfEthnic2.png")</f>
        <v/>
      </c>
      <c r="C704" s="5" t="s">
        <v>69</v>
      </c>
      <c r="D704" s="5" t="s">
        <v>36</v>
      </c>
      <c r="E704" s="6">
        <v>980.0</v>
      </c>
      <c r="F704" s="6">
        <v>245.0</v>
      </c>
      <c r="G704" s="5" t="s">
        <v>69</v>
      </c>
      <c r="H704" s="5" t="s">
        <v>96</v>
      </c>
      <c r="I704" s="6" t="s">
        <v>40</v>
      </c>
      <c r="J704" s="5" t="s">
        <v>8585</v>
      </c>
      <c r="K704" s="5" t="s">
        <v>8632</v>
      </c>
      <c r="L704" s="6" t="s">
        <v>42</v>
      </c>
      <c r="M704" s="5" t="s">
        <v>8746</v>
      </c>
      <c r="N704" s="5" t="s">
        <v>64</v>
      </c>
      <c r="O704" s="5" t="s">
        <v>14247</v>
      </c>
      <c r="P704" s="6">
        <v>9100.0</v>
      </c>
    </row>
    <row r="705" ht="56.25" customHeight="1">
      <c r="A705" s="5" t="s">
        <v>14242</v>
      </c>
      <c r="B705" s="6" t="str">
        <f>image("https://storage.googleapis.com/acdb/bottoms/BottomsTexPantsHalfEthnic3.png")</f>
        <v/>
      </c>
      <c r="C705" s="5" t="s">
        <v>68</v>
      </c>
      <c r="D705" s="5" t="s">
        <v>36</v>
      </c>
      <c r="E705" s="6">
        <v>980.0</v>
      </c>
      <c r="F705" s="6">
        <v>245.0</v>
      </c>
      <c r="G705" s="5" t="s">
        <v>68</v>
      </c>
      <c r="H705" s="5" t="s">
        <v>114</v>
      </c>
      <c r="I705" s="6" t="s">
        <v>40</v>
      </c>
      <c r="J705" s="5" t="s">
        <v>8585</v>
      </c>
      <c r="K705" s="5" t="s">
        <v>8632</v>
      </c>
      <c r="L705" s="6" t="s">
        <v>42</v>
      </c>
      <c r="M705" s="5" t="s">
        <v>8746</v>
      </c>
      <c r="N705" s="5" t="s">
        <v>64</v>
      </c>
      <c r="O705" s="5" t="s">
        <v>14250</v>
      </c>
      <c r="P705" s="6">
        <v>9101.0</v>
      </c>
    </row>
    <row r="706" ht="56.25" customHeight="1">
      <c r="A706" s="5" t="s">
        <v>14242</v>
      </c>
      <c r="B706" s="6" t="str">
        <f>image("https://storage.googleapis.com/acdb/bottoms/BottomsTexPantsHalfEthnic4.png")</f>
        <v/>
      </c>
      <c r="C706" s="5" t="s">
        <v>54</v>
      </c>
      <c r="D706" s="5" t="s">
        <v>36</v>
      </c>
      <c r="E706" s="6">
        <v>980.0</v>
      </c>
      <c r="F706" s="6">
        <v>245.0</v>
      </c>
      <c r="G706" s="5" t="s">
        <v>54</v>
      </c>
      <c r="H706" s="5" t="s">
        <v>95</v>
      </c>
      <c r="I706" s="6" t="s">
        <v>40</v>
      </c>
      <c r="J706" s="5" t="s">
        <v>8585</v>
      </c>
      <c r="K706" s="5" t="s">
        <v>8632</v>
      </c>
      <c r="L706" s="6" t="s">
        <v>42</v>
      </c>
      <c r="M706" s="5" t="s">
        <v>8746</v>
      </c>
      <c r="N706" s="5" t="s">
        <v>64</v>
      </c>
      <c r="O706" s="5" t="s">
        <v>14252</v>
      </c>
      <c r="P706" s="6">
        <v>9102.0</v>
      </c>
    </row>
    <row r="707" ht="56.25" customHeight="1">
      <c r="A707" s="5" t="s">
        <v>14253</v>
      </c>
      <c r="B707" s="6" t="str">
        <f>image("https://storage.googleapis.com/acdb/bottoms/BottomsTexPantsWideCowboyBrown.png")</f>
        <v/>
      </c>
      <c r="C707" s="5" t="s">
        <v>39</v>
      </c>
      <c r="D707" s="5" t="s">
        <v>36</v>
      </c>
      <c r="E707" s="6">
        <v>1540.0</v>
      </c>
      <c r="F707" s="6">
        <v>385.0</v>
      </c>
      <c r="G707" s="5" t="s">
        <v>39</v>
      </c>
      <c r="H707" s="5" t="s">
        <v>68</v>
      </c>
      <c r="I707" s="6" t="s">
        <v>40</v>
      </c>
      <c r="J707" s="5" t="s">
        <v>8585</v>
      </c>
      <c r="K707" s="5" t="s">
        <v>8586</v>
      </c>
      <c r="L707" s="6" t="s">
        <v>42</v>
      </c>
      <c r="M707" s="5" t="s">
        <v>8746</v>
      </c>
      <c r="N707" s="5" t="s">
        <v>64</v>
      </c>
      <c r="O707" s="5" t="s">
        <v>14254</v>
      </c>
      <c r="P707" s="6">
        <v>3463.0</v>
      </c>
    </row>
    <row r="708" ht="56.25" customHeight="1">
      <c r="A708" s="5" t="s">
        <v>14255</v>
      </c>
      <c r="B708" s="6" t="str">
        <f>image("https://storage.googleapis.com/acdb/bottoms/BottomsTexPantsWideChino0.png")</f>
        <v/>
      </c>
      <c r="C708" s="5" t="s">
        <v>39</v>
      </c>
      <c r="D708" s="5" t="s">
        <v>36</v>
      </c>
      <c r="E708" s="6">
        <v>1100.0</v>
      </c>
      <c r="F708" s="6">
        <v>275.0</v>
      </c>
      <c r="G708" s="5" t="s">
        <v>39</v>
      </c>
      <c r="H708" s="5" t="s">
        <v>39</v>
      </c>
      <c r="I708" s="6" t="s">
        <v>40</v>
      </c>
      <c r="J708" s="5" t="s">
        <v>8585</v>
      </c>
      <c r="K708" s="5" t="s">
        <v>8632</v>
      </c>
      <c r="L708" s="6" t="s">
        <v>42</v>
      </c>
      <c r="M708" s="5" t="s">
        <v>995</v>
      </c>
      <c r="N708" s="5" t="s">
        <v>64</v>
      </c>
      <c r="O708" s="5" t="s">
        <v>14258</v>
      </c>
      <c r="P708" s="6">
        <v>5285.0</v>
      </c>
    </row>
    <row r="709" ht="56.25" customHeight="1">
      <c r="A709" s="5" t="s">
        <v>14255</v>
      </c>
      <c r="B709" s="6" t="str">
        <f>image("https://storage.googleapis.com/acdb/bottoms/BottomsTexPantsWideChino1.png")</f>
        <v/>
      </c>
      <c r="C709" s="5" t="s">
        <v>38</v>
      </c>
      <c r="D709" s="5" t="s">
        <v>36</v>
      </c>
      <c r="E709" s="6">
        <v>1100.0</v>
      </c>
      <c r="F709" s="6">
        <v>275.0</v>
      </c>
      <c r="G709" s="5" t="s">
        <v>38</v>
      </c>
      <c r="H709" s="5" t="s">
        <v>38</v>
      </c>
      <c r="I709" s="6" t="s">
        <v>40</v>
      </c>
      <c r="J709" s="5" t="s">
        <v>8585</v>
      </c>
      <c r="K709" s="5" t="s">
        <v>8632</v>
      </c>
      <c r="L709" s="6" t="s">
        <v>42</v>
      </c>
      <c r="M709" s="5" t="s">
        <v>995</v>
      </c>
      <c r="N709" s="5" t="s">
        <v>64</v>
      </c>
      <c r="O709" s="5" t="s">
        <v>14260</v>
      </c>
      <c r="P709" s="6">
        <v>11150.0</v>
      </c>
    </row>
    <row r="710" ht="56.25" customHeight="1">
      <c r="A710" s="5" t="s">
        <v>14255</v>
      </c>
      <c r="B710" s="6" t="str">
        <f>image("https://storage.googleapis.com/acdb/bottoms/BottomsTexPantsWideChino2.png")</f>
        <v/>
      </c>
      <c r="C710" s="5" t="s">
        <v>1187</v>
      </c>
      <c r="D710" s="5" t="s">
        <v>36</v>
      </c>
      <c r="E710" s="6">
        <v>1100.0</v>
      </c>
      <c r="F710" s="6">
        <v>275.0</v>
      </c>
      <c r="G710" s="5" t="s">
        <v>68</v>
      </c>
      <c r="H710" s="5" t="s">
        <v>68</v>
      </c>
      <c r="I710" s="6" t="s">
        <v>40</v>
      </c>
      <c r="J710" s="5" t="s">
        <v>8585</v>
      </c>
      <c r="K710" s="5" t="s">
        <v>8632</v>
      </c>
      <c r="L710" s="6" t="s">
        <v>42</v>
      </c>
      <c r="M710" s="5" t="s">
        <v>995</v>
      </c>
      <c r="N710" s="5" t="s">
        <v>64</v>
      </c>
      <c r="O710" s="5" t="s">
        <v>14262</v>
      </c>
      <c r="P710" s="6">
        <v>11151.0</v>
      </c>
    </row>
    <row r="711" ht="56.25" customHeight="1">
      <c r="A711" s="5" t="s">
        <v>14255</v>
      </c>
      <c r="B711" s="6" t="str">
        <f>image("https://storage.googleapis.com/acdb/bottoms/BottomsTexPantsWideChino3.png")</f>
        <v/>
      </c>
      <c r="C711" s="5" t="s">
        <v>2222</v>
      </c>
      <c r="D711" s="5" t="s">
        <v>36</v>
      </c>
      <c r="E711" s="6">
        <v>1100.0</v>
      </c>
      <c r="F711" s="6">
        <v>275.0</v>
      </c>
      <c r="G711" s="5" t="s">
        <v>96</v>
      </c>
      <c r="H711" s="5" t="s">
        <v>96</v>
      </c>
      <c r="I711" s="6" t="s">
        <v>40</v>
      </c>
      <c r="J711" s="5" t="s">
        <v>8585</v>
      </c>
      <c r="K711" s="5" t="s">
        <v>8632</v>
      </c>
      <c r="L711" s="6" t="s">
        <v>42</v>
      </c>
      <c r="M711" s="5" t="s">
        <v>995</v>
      </c>
      <c r="N711" s="5" t="s">
        <v>64</v>
      </c>
      <c r="O711" s="5" t="s">
        <v>14266</v>
      </c>
      <c r="P711" s="6">
        <v>11152.0</v>
      </c>
    </row>
    <row r="712" ht="56.25" customHeight="1">
      <c r="A712" s="5" t="s">
        <v>14255</v>
      </c>
      <c r="B712" s="6" t="str">
        <f>image("https://storage.googleapis.com/acdb/bottoms/BottomsTexPantsWideChino4.png")</f>
        <v/>
      </c>
      <c r="C712" s="5" t="s">
        <v>95</v>
      </c>
      <c r="D712" s="5" t="s">
        <v>36</v>
      </c>
      <c r="E712" s="6">
        <v>1100.0</v>
      </c>
      <c r="F712" s="6">
        <v>275.0</v>
      </c>
      <c r="G712" s="5" t="s">
        <v>95</v>
      </c>
      <c r="H712" s="5" t="s">
        <v>95</v>
      </c>
      <c r="I712" s="6" t="s">
        <v>40</v>
      </c>
      <c r="J712" s="5" t="s">
        <v>8585</v>
      </c>
      <c r="K712" s="5" t="s">
        <v>8632</v>
      </c>
      <c r="L712" s="6" t="s">
        <v>42</v>
      </c>
      <c r="M712" s="5" t="s">
        <v>995</v>
      </c>
      <c r="N712" s="5" t="s">
        <v>64</v>
      </c>
      <c r="O712" s="5" t="s">
        <v>14268</v>
      </c>
      <c r="P712" s="6">
        <v>11153.0</v>
      </c>
    </row>
    <row r="713" ht="56.25" customHeight="1">
      <c r="A713" s="5" t="s">
        <v>14269</v>
      </c>
      <c r="B713" s="6" t="str">
        <f>image("https://storage.googleapis.com/acdb/bottoms/BottomsTexPantsNormalTraining0.png")</f>
        <v/>
      </c>
      <c r="C713" s="5" t="s">
        <v>1458</v>
      </c>
      <c r="D713" s="5" t="s">
        <v>36</v>
      </c>
      <c r="E713" s="6">
        <v>880.0</v>
      </c>
      <c r="F713" s="6">
        <v>220.0</v>
      </c>
      <c r="G713" s="5" t="s">
        <v>54</v>
      </c>
      <c r="H713" s="5" t="s">
        <v>96</v>
      </c>
      <c r="I713" s="6" t="s">
        <v>40</v>
      </c>
      <c r="J713" s="5" t="s">
        <v>8585</v>
      </c>
      <c r="K713" s="5" t="s">
        <v>8632</v>
      </c>
      <c r="L713" s="6" t="s">
        <v>42</v>
      </c>
      <c r="M713" s="5" t="s">
        <v>8746</v>
      </c>
      <c r="N713" s="5" t="s">
        <v>64</v>
      </c>
      <c r="O713" s="5" t="s">
        <v>14272</v>
      </c>
      <c r="P713" s="6">
        <v>5721.0</v>
      </c>
    </row>
    <row r="714" ht="56.25" customHeight="1">
      <c r="A714" s="5" t="s">
        <v>14269</v>
      </c>
      <c r="B714" s="6" t="str">
        <f>image("https://storage.googleapis.com/acdb/bottoms/BottomsTexPantsNormalTraining1.png")</f>
        <v/>
      </c>
      <c r="C714" s="5" t="s">
        <v>69</v>
      </c>
      <c r="D714" s="5" t="s">
        <v>36</v>
      </c>
      <c r="E714" s="6">
        <v>880.0</v>
      </c>
      <c r="F714" s="6">
        <v>220.0</v>
      </c>
      <c r="G714" s="5" t="s">
        <v>54</v>
      </c>
      <c r="H714" s="5" t="s">
        <v>69</v>
      </c>
      <c r="I714" s="6" t="s">
        <v>40</v>
      </c>
      <c r="J714" s="5" t="s">
        <v>8585</v>
      </c>
      <c r="K714" s="5" t="s">
        <v>8632</v>
      </c>
      <c r="L714" s="6" t="s">
        <v>42</v>
      </c>
      <c r="M714" s="5" t="s">
        <v>8746</v>
      </c>
      <c r="N714" s="5" t="s">
        <v>64</v>
      </c>
      <c r="O714" s="5" t="s">
        <v>14273</v>
      </c>
      <c r="P714" s="6">
        <v>11363.0</v>
      </c>
    </row>
    <row r="715" ht="56.25" customHeight="1">
      <c r="A715" s="5" t="s">
        <v>14269</v>
      </c>
      <c r="B715" s="6" t="str">
        <f>image("https://storage.googleapis.com/acdb/bottoms/BottomsTexPantsNormalTraining2.png")</f>
        <v/>
      </c>
      <c r="C715" s="5" t="s">
        <v>142</v>
      </c>
      <c r="D715" s="5" t="s">
        <v>36</v>
      </c>
      <c r="E715" s="6">
        <v>880.0</v>
      </c>
      <c r="F715" s="6">
        <v>220.0</v>
      </c>
      <c r="G715" s="5" t="s">
        <v>54</v>
      </c>
      <c r="H715" s="5" t="s">
        <v>142</v>
      </c>
      <c r="I715" s="6" t="s">
        <v>40</v>
      </c>
      <c r="J715" s="5" t="s">
        <v>8585</v>
      </c>
      <c r="K715" s="5" t="s">
        <v>8632</v>
      </c>
      <c r="L715" s="6" t="s">
        <v>42</v>
      </c>
      <c r="M715" s="5" t="s">
        <v>8746</v>
      </c>
      <c r="N715" s="5" t="s">
        <v>64</v>
      </c>
      <c r="O715" s="5" t="s">
        <v>14275</v>
      </c>
      <c r="P715" s="6">
        <v>11364.0</v>
      </c>
    </row>
    <row r="716" ht="56.25" customHeight="1">
      <c r="A716" s="5" t="s">
        <v>14277</v>
      </c>
      <c r="B716" s="6" t="str">
        <f>image("https://storage.googleapis.com/acdb/bottoms/BottomsTexPantsHotDenimholes0.png")</f>
        <v/>
      </c>
      <c r="C716" s="5" t="s">
        <v>83</v>
      </c>
      <c r="D716" s="5" t="s">
        <v>36</v>
      </c>
      <c r="E716" s="6">
        <v>960.0</v>
      </c>
      <c r="F716" s="6">
        <v>240.0</v>
      </c>
      <c r="G716" s="5" t="s">
        <v>83</v>
      </c>
      <c r="H716" s="5" t="s">
        <v>83</v>
      </c>
      <c r="I716" s="6" t="s">
        <v>40</v>
      </c>
      <c r="J716" s="5" t="s">
        <v>8585</v>
      </c>
      <c r="K716" s="5" t="s">
        <v>8632</v>
      </c>
      <c r="L716" s="6" t="s">
        <v>42</v>
      </c>
      <c r="M716" s="5" t="s">
        <v>1952</v>
      </c>
      <c r="N716" s="5" t="s">
        <v>64</v>
      </c>
      <c r="O716" s="5" t="s">
        <v>14280</v>
      </c>
      <c r="P716" s="6">
        <v>4251.0</v>
      </c>
    </row>
    <row r="717" ht="56.25" customHeight="1">
      <c r="A717" s="5" t="s">
        <v>14277</v>
      </c>
      <c r="B717" s="6" t="str">
        <f>image("https://storage.googleapis.com/acdb/bottoms/BottomsTexPantsHotDenimholes1.png")</f>
        <v/>
      </c>
      <c r="C717" s="5" t="s">
        <v>68</v>
      </c>
      <c r="D717" s="5" t="s">
        <v>36</v>
      </c>
      <c r="E717" s="6">
        <v>960.0</v>
      </c>
      <c r="F717" s="6">
        <v>240.0</v>
      </c>
      <c r="G717" s="5" t="s">
        <v>68</v>
      </c>
      <c r="H717" s="5" t="s">
        <v>68</v>
      </c>
      <c r="I717" s="6" t="s">
        <v>40</v>
      </c>
      <c r="J717" s="5" t="s">
        <v>8585</v>
      </c>
      <c r="K717" s="5" t="s">
        <v>8632</v>
      </c>
      <c r="L717" s="6" t="s">
        <v>42</v>
      </c>
      <c r="M717" s="5" t="s">
        <v>1952</v>
      </c>
      <c r="N717" s="5" t="s">
        <v>64</v>
      </c>
      <c r="O717" s="5" t="s">
        <v>14281</v>
      </c>
      <c r="P717" s="6">
        <v>11434.0</v>
      </c>
    </row>
    <row r="718" ht="56.25" customHeight="1">
      <c r="A718" s="5" t="s">
        <v>14277</v>
      </c>
      <c r="B718" s="6" t="str">
        <f>image("https://storage.googleapis.com/acdb/bottoms/BottomsTexPantsHotDenimholes2.png")</f>
        <v/>
      </c>
      <c r="C718" s="5" t="s">
        <v>57</v>
      </c>
      <c r="D718" s="5" t="s">
        <v>36</v>
      </c>
      <c r="E718" s="6">
        <v>960.0</v>
      </c>
      <c r="F718" s="6">
        <v>240.0</v>
      </c>
      <c r="G718" s="5" t="s">
        <v>57</v>
      </c>
      <c r="H718" s="5" t="s">
        <v>57</v>
      </c>
      <c r="I718" s="6" t="s">
        <v>40</v>
      </c>
      <c r="J718" s="5" t="s">
        <v>8585</v>
      </c>
      <c r="K718" s="5" t="s">
        <v>8632</v>
      </c>
      <c r="L718" s="6" t="s">
        <v>42</v>
      </c>
      <c r="M718" s="5" t="s">
        <v>1952</v>
      </c>
      <c r="N718" s="5" t="s">
        <v>64</v>
      </c>
      <c r="O718" s="5" t="s">
        <v>14284</v>
      </c>
      <c r="P718" s="6">
        <v>11435.0</v>
      </c>
    </row>
    <row r="719" ht="56.25" customHeight="1">
      <c r="A719" s="5" t="s">
        <v>14277</v>
      </c>
      <c r="B719" s="6" t="str">
        <f>image("https://storage.googleapis.com/acdb/bottoms/BottomsTexPantsHotDenimholes3.png")</f>
        <v/>
      </c>
      <c r="C719" s="5" t="s">
        <v>54</v>
      </c>
      <c r="D719" s="5" t="s">
        <v>36</v>
      </c>
      <c r="E719" s="6">
        <v>960.0</v>
      </c>
      <c r="F719" s="6">
        <v>240.0</v>
      </c>
      <c r="G719" s="5" t="s">
        <v>54</v>
      </c>
      <c r="H719" s="5" t="s">
        <v>54</v>
      </c>
      <c r="I719" s="6" t="s">
        <v>40</v>
      </c>
      <c r="J719" s="5" t="s">
        <v>8585</v>
      </c>
      <c r="K719" s="5" t="s">
        <v>8632</v>
      </c>
      <c r="L719" s="6" t="s">
        <v>42</v>
      </c>
      <c r="M719" s="5" t="s">
        <v>1952</v>
      </c>
      <c r="N719" s="5" t="s">
        <v>64</v>
      </c>
      <c r="O719" s="5" t="s">
        <v>14286</v>
      </c>
      <c r="P719" s="6">
        <v>11436.0</v>
      </c>
    </row>
    <row r="720" ht="56.25" customHeight="1">
      <c r="A720" s="5" t="s">
        <v>14287</v>
      </c>
      <c r="B720" s="6" t="str">
        <f>image("https://storage.googleapis.com/acdb/bottoms/BottomsTexPantsNormalDenimholes0.png")</f>
        <v/>
      </c>
      <c r="C720" s="5" t="s">
        <v>83</v>
      </c>
      <c r="D720" s="5" t="s">
        <v>36</v>
      </c>
      <c r="E720" s="6">
        <v>1100.0</v>
      </c>
      <c r="F720" s="6">
        <v>275.0</v>
      </c>
      <c r="G720" s="5" t="s">
        <v>83</v>
      </c>
      <c r="H720" s="5" t="s">
        <v>83</v>
      </c>
      <c r="I720" s="6" t="s">
        <v>40</v>
      </c>
      <c r="J720" s="5" t="s">
        <v>8585</v>
      </c>
      <c r="K720" s="5" t="s">
        <v>8632</v>
      </c>
      <c r="L720" s="6" t="s">
        <v>42</v>
      </c>
      <c r="M720" s="5" t="s">
        <v>1952</v>
      </c>
      <c r="N720" s="5" t="s">
        <v>64</v>
      </c>
      <c r="O720" s="5" t="s">
        <v>14289</v>
      </c>
      <c r="P720" s="6">
        <v>3313.0</v>
      </c>
    </row>
    <row r="721" ht="56.25" customHeight="1">
      <c r="A721" s="5" t="s">
        <v>14287</v>
      </c>
      <c r="B721" s="6" t="str">
        <f>image("https://storage.googleapis.com/acdb/bottoms/BottomsTexPantsNormalDenimholes1.png")</f>
        <v/>
      </c>
      <c r="C721" s="5" t="s">
        <v>68</v>
      </c>
      <c r="D721" s="5" t="s">
        <v>36</v>
      </c>
      <c r="E721" s="6">
        <v>1100.0</v>
      </c>
      <c r="F721" s="6">
        <v>275.0</v>
      </c>
      <c r="G721" s="5" t="s">
        <v>68</v>
      </c>
      <c r="H721" s="5" t="s">
        <v>68</v>
      </c>
      <c r="I721" s="6" t="s">
        <v>40</v>
      </c>
      <c r="J721" s="5" t="s">
        <v>8585</v>
      </c>
      <c r="K721" s="5" t="s">
        <v>8632</v>
      </c>
      <c r="L721" s="6" t="s">
        <v>42</v>
      </c>
      <c r="M721" s="5" t="s">
        <v>1952</v>
      </c>
      <c r="N721" s="5" t="s">
        <v>64</v>
      </c>
      <c r="O721" s="5" t="s">
        <v>14292</v>
      </c>
      <c r="P721" s="6">
        <v>11427.0</v>
      </c>
    </row>
    <row r="722" ht="56.25" customHeight="1">
      <c r="A722" s="5" t="s">
        <v>14287</v>
      </c>
      <c r="B722" s="6" t="str">
        <f>image("https://storage.googleapis.com/acdb/bottoms/BottomsTexPantsNormalDenimholes2.png")</f>
        <v/>
      </c>
      <c r="C722" s="5" t="s">
        <v>57</v>
      </c>
      <c r="D722" s="5" t="s">
        <v>36</v>
      </c>
      <c r="E722" s="6">
        <v>1100.0</v>
      </c>
      <c r="F722" s="6">
        <v>275.0</v>
      </c>
      <c r="G722" s="5" t="s">
        <v>57</v>
      </c>
      <c r="H722" s="5" t="s">
        <v>57</v>
      </c>
      <c r="I722" s="6" t="s">
        <v>40</v>
      </c>
      <c r="J722" s="5" t="s">
        <v>8585</v>
      </c>
      <c r="K722" s="5" t="s">
        <v>8632</v>
      </c>
      <c r="L722" s="6" t="s">
        <v>42</v>
      </c>
      <c r="M722" s="5" t="s">
        <v>1952</v>
      </c>
      <c r="N722" s="5" t="s">
        <v>64</v>
      </c>
      <c r="O722" s="5" t="s">
        <v>14295</v>
      </c>
      <c r="P722" s="6">
        <v>11428.0</v>
      </c>
    </row>
    <row r="723" ht="56.25" customHeight="1">
      <c r="A723" s="5" t="s">
        <v>14287</v>
      </c>
      <c r="B723" s="6" t="str">
        <f>image("https://storage.googleapis.com/acdb/bottoms/BottomsTexPantsNormalDenimholes3.png")</f>
        <v/>
      </c>
      <c r="C723" s="5" t="s">
        <v>54</v>
      </c>
      <c r="D723" s="5" t="s">
        <v>36</v>
      </c>
      <c r="E723" s="6">
        <v>1100.0</v>
      </c>
      <c r="F723" s="6">
        <v>275.0</v>
      </c>
      <c r="G723" s="5" t="s">
        <v>54</v>
      </c>
      <c r="H723" s="5" t="s">
        <v>54</v>
      </c>
      <c r="I723" s="6" t="s">
        <v>40</v>
      </c>
      <c r="J723" s="5" t="s">
        <v>8585</v>
      </c>
      <c r="K723" s="5" t="s">
        <v>8632</v>
      </c>
      <c r="L723" s="6" t="s">
        <v>42</v>
      </c>
      <c r="M723" s="5" t="s">
        <v>1952</v>
      </c>
      <c r="N723" s="5" t="s">
        <v>64</v>
      </c>
      <c r="O723" s="5" t="s">
        <v>14297</v>
      </c>
      <c r="P723" s="6">
        <v>11429.0</v>
      </c>
    </row>
    <row r="724" ht="56.25" customHeight="1">
      <c r="A724" s="5" t="s">
        <v>14298</v>
      </c>
      <c r="B724" s="6" t="str">
        <f>image("https://storage.googleapis.com/acdb/bottoms/BottomsTexPantsHotYacht0.png")</f>
        <v/>
      </c>
      <c r="C724" s="5" t="s">
        <v>83</v>
      </c>
      <c r="D724" s="5" t="s">
        <v>36</v>
      </c>
      <c r="E724" s="6">
        <v>840.0</v>
      </c>
      <c r="F724" s="6">
        <v>210.0</v>
      </c>
      <c r="G724" s="5" t="s">
        <v>83</v>
      </c>
      <c r="H724" s="5" t="s">
        <v>114</v>
      </c>
      <c r="I724" s="6" t="s">
        <v>40</v>
      </c>
      <c r="J724" s="5" t="s">
        <v>8585</v>
      </c>
      <c r="K724" s="5" t="s">
        <v>8632</v>
      </c>
      <c r="L724" s="6" t="s">
        <v>42</v>
      </c>
      <c r="M724" s="5" t="s">
        <v>1959</v>
      </c>
      <c r="N724" s="5" t="s">
        <v>64</v>
      </c>
      <c r="O724" s="5" t="s">
        <v>14301</v>
      </c>
      <c r="P724" s="6">
        <v>4370.0</v>
      </c>
    </row>
    <row r="725" ht="56.25" customHeight="1">
      <c r="A725" s="5" t="s">
        <v>14298</v>
      </c>
      <c r="B725" s="6" t="str">
        <f>image("https://storage.googleapis.com/acdb/bottoms/BottomsTexPantsHotYacht1.png")</f>
        <v/>
      </c>
      <c r="C725" s="5" t="s">
        <v>52</v>
      </c>
      <c r="D725" s="5" t="s">
        <v>36</v>
      </c>
      <c r="E725" s="6">
        <v>840.0</v>
      </c>
      <c r="F725" s="6">
        <v>210.0</v>
      </c>
      <c r="G725" s="5" t="s">
        <v>52</v>
      </c>
      <c r="H725" s="5" t="s">
        <v>96</v>
      </c>
      <c r="I725" s="6" t="s">
        <v>40</v>
      </c>
      <c r="J725" s="5" t="s">
        <v>8585</v>
      </c>
      <c r="K725" s="5" t="s">
        <v>8632</v>
      </c>
      <c r="L725" s="6" t="s">
        <v>42</v>
      </c>
      <c r="M725" s="5" t="s">
        <v>1959</v>
      </c>
      <c r="N725" s="5" t="s">
        <v>64</v>
      </c>
      <c r="O725" s="5" t="s">
        <v>14303</v>
      </c>
      <c r="P725" s="6">
        <v>8861.0</v>
      </c>
    </row>
    <row r="726" ht="56.25" customHeight="1">
      <c r="A726" s="5" t="s">
        <v>14298</v>
      </c>
      <c r="B726" s="6" t="str">
        <f>image("https://storage.googleapis.com/acdb/bottoms/BottomsTexPantsHotYacht2.png")</f>
        <v/>
      </c>
      <c r="C726" s="5" t="s">
        <v>69</v>
      </c>
      <c r="D726" s="5" t="s">
        <v>36</v>
      </c>
      <c r="E726" s="6">
        <v>840.0</v>
      </c>
      <c r="F726" s="6">
        <v>210.0</v>
      </c>
      <c r="G726" s="5" t="s">
        <v>69</v>
      </c>
      <c r="H726" s="5" t="s">
        <v>83</v>
      </c>
      <c r="I726" s="6" t="s">
        <v>40</v>
      </c>
      <c r="J726" s="5" t="s">
        <v>8585</v>
      </c>
      <c r="K726" s="5" t="s">
        <v>8632</v>
      </c>
      <c r="L726" s="6" t="s">
        <v>42</v>
      </c>
      <c r="M726" s="5" t="s">
        <v>1959</v>
      </c>
      <c r="N726" s="5" t="s">
        <v>64</v>
      </c>
      <c r="O726" s="5" t="s">
        <v>14306</v>
      </c>
      <c r="P726" s="6">
        <v>8862.0</v>
      </c>
    </row>
    <row r="727" ht="56.25" customHeight="1">
      <c r="A727" s="5" t="s">
        <v>14298</v>
      </c>
      <c r="B727" s="6" t="str">
        <f>image("https://storage.googleapis.com/acdb/bottoms/BottomsTexPantsHotYacht3.png")</f>
        <v/>
      </c>
      <c r="C727" s="5" t="s">
        <v>106</v>
      </c>
      <c r="D727" s="5" t="s">
        <v>36</v>
      </c>
      <c r="E727" s="6">
        <v>840.0</v>
      </c>
      <c r="F727" s="6">
        <v>210.0</v>
      </c>
      <c r="G727" s="5" t="s">
        <v>106</v>
      </c>
      <c r="H727" s="5" t="s">
        <v>69</v>
      </c>
      <c r="I727" s="6" t="s">
        <v>40</v>
      </c>
      <c r="J727" s="5" t="s">
        <v>8585</v>
      </c>
      <c r="K727" s="5" t="s">
        <v>8632</v>
      </c>
      <c r="L727" s="6" t="s">
        <v>42</v>
      </c>
      <c r="M727" s="5" t="s">
        <v>1959</v>
      </c>
      <c r="N727" s="5" t="s">
        <v>64</v>
      </c>
      <c r="O727" s="5" t="s">
        <v>14308</v>
      </c>
      <c r="P727" s="6">
        <v>8863.0</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3" width="10.86"/>
    <col customWidth="1" min="4" max="4" width="4.43"/>
    <col customWidth="1" min="5" max="6" width="5.86"/>
    <col customWidth="1" min="7" max="8" width="8.0"/>
    <col customWidth="1" min="9" max="9" width="5.14"/>
    <col customWidth="1" min="10" max="10" width="12.29"/>
    <col customWidth="1" min="11" max="11" width="25.14"/>
    <col customWidth="1" min="12" max="12" width="8.0"/>
    <col customWidth="1" min="13" max="13" width="9.43"/>
    <col customWidth="1" min="14" max="15" width="8.0"/>
    <col customWidth="1" min="16" max="16" width="9.43"/>
    <col customWidth="1" min="17" max="17" width="10.86"/>
    <col customWidth="1" min="18" max="18" width="8.0"/>
  </cols>
  <sheetData>
    <row r="1" ht="26.25" customHeight="1">
      <c r="A1" s="1" t="s">
        <v>0</v>
      </c>
      <c r="B1" s="2" t="s">
        <v>1</v>
      </c>
      <c r="C1" s="1" t="s">
        <v>2</v>
      </c>
      <c r="D1" s="1" t="s">
        <v>6</v>
      </c>
      <c r="E1" s="2" t="s">
        <v>10</v>
      </c>
      <c r="F1" s="2" t="s">
        <v>11</v>
      </c>
      <c r="G1" s="1" t="s">
        <v>12</v>
      </c>
      <c r="H1" s="1" t="s">
        <v>13</v>
      </c>
      <c r="I1" s="2" t="s">
        <v>14</v>
      </c>
      <c r="J1" s="1" t="s">
        <v>15</v>
      </c>
      <c r="K1" s="1" t="s">
        <v>16</v>
      </c>
      <c r="L1" s="2" t="s">
        <v>17</v>
      </c>
      <c r="M1" s="1" t="s">
        <v>8575</v>
      </c>
      <c r="N1" s="1" t="s">
        <v>26</v>
      </c>
      <c r="O1" s="1" t="s">
        <v>14326</v>
      </c>
      <c r="P1" s="1" t="s">
        <v>14327</v>
      </c>
      <c r="Q1" s="1" t="s">
        <v>27</v>
      </c>
      <c r="R1" s="2" t="s">
        <v>29</v>
      </c>
    </row>
    <row r="2" ht="56.25" customHeight="1">
      <c r="A2" s="5" t="s">
        <v>14329</v>
      </c>
      <c r="B2" s="6" t="str">
        <f>IMAGE("https://storage.googleapis.com/acdb/dresses/TopsTexOnepieceBoxLYosoiki1.png")</f>
        <v/>
      </c>
      <c r="C2" s="5" t="s">
        <v>95</v>
      </c>
      <c r="D2" s="5" t="s">
        <v>36</v>
      </c>
      <c r="E2" s="6">
        <v>2080.0</v>
      </c>
      <c r="F2" s="6">
        <v>520.0</v>
      </c>
      <c r="G2" s="5" t="s">
        <v>95</v>
      </c>
      <c r="H2" s="5" t="s">
        <v>57</v>
      </c>
      <c r="I2" s="6" t="s">
        <v>40</v>
      </c>
      <c r="J2" s="5" t="s">
        <v>8585</v>
      </c>
      <c r="K2" s="5" t="s">
        <v>8586</v>
      </c>
      <c r="L2" s="6" t="s">
        <v>42</v>
      </c>
      <c r="M2" s="5" t="s">
        <v>1059</v>
      </c>
      <c r="N2" s="5" t="s">
        <v>64</v>
      </c>
      <c r="O2" s="5" t="s">
        <v>14332</v>
      </c>
      <c r="P2" s="5" t="s">
        <v>14333</v>
      </c>
      <c r="Q2" s="5" t="s">
        <v>14334</v>
      </c>
      <c r="R2" s="6">
        <v>9016.0</v>
      </c>
    </row>
    <row r="3" ht="56.25" customHeight="1">
      <c r="A3" s="5" t="s">
        <v>14329</v>
      </c>
      <c r="B3" s="6" t="str">
        <f>IMAGE("https://storage.googleapis.com/acdb/dresses/TopsTexOnepieceBoxLYosoiki2.png")</f>
        <v/>
      </c>
      <c r="C3" s="5" t="s">
        <v>52</v>
      </c>
      <c r="D3" s="5" t="s">
        <v>36</v>
      </c>
      <c r="E3" s="6">
        <v>2080.0</v>
      </c>
      <c r="F3" s="6">
        <v>520.0</v>
      </c>
      <c r="G3" s="5" t="s">
        <v>52</v>
      </c>
      <c r="H3" s="5" t="s">
        <v>57</v>
      </c>
      <c r="I3" s="6" t="s">
        <v>40</v>
      </c>
      <c r="J3" s="5" t="s">
        <v>8585</v>
      </c>
      <c r="K3" s="5" t="s">
        <v>8586</v>
      </c>
      <c r="L3" s="6" t="s">
        <v>42</v>
      </c>
      <c r="M3" s="5" t="s">
        <v>1059</v>
      </c>
      <c r="N3" s="5" t="s">
        <v>64</v>
      </c>
      <c r="O3" s="5" t="s">
        <v>14332</v>
      </c>
      <c r="P3" s="5" t="s">
        <v>14333</v>
      </c>
      <c r="Q3" s="5" t="s">
        <v>14336</v>
      </c>
      <c r="R3" s="6">
        <v>9017.0</v>
      </c>
    </row>
    <row r="4" ht="56.25" customHeight="1">
      <c r="A4" s="5" t="s">
        <v>14329</v>
      </c>
      <c r="B4" s="6" t="str">
        <f>IMAGE("https://storage.googleapis.com/acdb/dresses/TopsTexOnepieceBoxLYosoiki0.png")</f>
        <v/>
      </c>
      <c r="C4" s="5" t="s">
        <v>1187</v>
      </c>
      <c r="D4" s="5" t="s">
        <v>36</v>
      </c>
      <c r="E4" s="6">
        <v>2080.0</v>
      </c>
      <c r="F4" s="6">
        <v>520.0</v>
      </c>
      <c r="G4" s="5" t="s">
        <v>68</v>
      </c>
      <c r="H4" s="5" t="s">
        <v>57</v>
      </c>
      <c r="I4" s="6" t="s">
        <v>40</v>
      </c>
      <c r="J4" s="5" t="s">
        <v>8585</v>
      </c>
      <c r="K4" s="5" t="s">
        <v>8586</v>
      </c>
      <c r="L4" s="6" t="s">
        <v>42</v>
      </c>
      <c r="M4" s="5" t="s">
        <v>1059</v>
      </c>
      <c r="N4" s="5" t="s">
        <v>64</v>
      </c>
      <c r="O4" s="5" t="s">
        <v>14332</v>
      </c>
      <c r="P4" s="5" t="s">
        <v>14333</v>
      </c>
      <c r="Q4" s="5" t="s">
        <v>14340</v>
      </c>
      <c r="R4" s="6">
        <v>2699.0</v>
      </c>
    </row>
    <row r="5" ht="56.25" customHeight="1">
      <c r="A5" s="5" t="s">
        <v>14341</v>
      </c>
      <c r="B5" s="6" t="str">
        <f>IMAGE("https://storage.googleapis.com/acdb/dresses/TopsTexOnepieceBalloonHStrangeBlue.png")</f>
        <v/>
      </c>
      <c r="C5" s="5" t="s">
        <v>68</v>
      </c>
      <c r="D5" s="5" t="s">
        <v>36</v>
      </c>
      <c r="E5" s="6">
        <v>2800.0</v>
      </c>
      <c r="F5" s="6">
        <v>700.0</v>
      </c>
      <c r="G5" s="5" t="s">
        <v>83</v>
      </c>
      <c r="H5" s="5" t="s">
        <v>57</v>
      </c>
      <c r="I5" s="6" t="s">
        <v>40</v>
      </c>
      <c r="J5" s="5" t="s">
        <v>8585</v>
      </c>
      <c r="K5" s="5" t="s">
        <v>8586</v>
      </c>
      <c r="L5" s="6" t="s">
        <v>42</v>
      </c>
      <c r="M5" s="5" t="s">
        <v>1959</v>
      </c>
      <c r="N5" s="5" t="s">
        <v>64</v>
      </c>
      <c r="O5" s="5" t="s">
        <v>14344</v>
      </c>
      <c r="P5" s="5" t="s">
        <v>14345</v>
      </c>
      <c r="Q5" s="5" t="s">
        <v>14346</v>
      </c>
      <c r="R5" s="6">
        <v>3686.0</v>
      </c>
    </row>
    <row r="6" ht="56.25" customHeight="1">
      <c r="A6" s="5" t="s">
        <v>14347</v>
      </c>
      <c r="B6" s="6" t="str">
        <f>IMAGE("https://storage.googleapis.com/acdb/dresses/TopsTexOnepieceBalloonHTyrolean0.png")</f>
        <v/>
      </c>
      <c r="C6" s="5" t="s">
        <v>96</v>
      </c>
      <c r="D6" s="5" t="s">
        <v>36</v>
      </c>
      <c r="E6" s="6">
        <v>2520.0</v>
      </c>
      <c r="F6" s="6">
        <v>630.0</v>
      </c>
      <c r="G6" s="5" t="s">
        <v>96</v>
      </c>
      <c r="H6" s="5" t="s">
        <v>57</v>
      </c>
      <c r="I6" s="6" t="s">
        <v>40</v>
      </c>
      <c r="J6" s="5" t="s">
        <v>8585</v>
      </c>
      <c r="K6" s="5" t="s">
        <v>8586</v>
      </c>
      <c r="L6" s="6" t="s">
        <v>42</v>
      </c>
      <c r="M6" s="5" t="s">
        <v>1959</v>
      </c>
      <c r="N6" s="5" t="s">
        <v>64</v>
      </c>
      <c r="O6" s="5" t="s">
        <v>14344</v>
      </c>
      <c r="P6" s="5" t="s">
        <v>14345</v>
      </c>
      <c r="Q6" s="5" t="s">
        <v>14348</v>
      </c>
      <c r="R6" s="6">
        <v>3168.0</v>
      </c>
    </row>
    <row r="7" ht="56.25" customHeight="1">
      <c r="A7" s="5" t="s">
        <v>14347</v>
      </c>
      <c r="B7" s="6" t="str">
        <f>IMAGE("https://storage.googleapis.com/acdb/dresses/TopsTexOnepieceBalloonHTyrolean1.png")</f>
        <v/>
      </c>
      <c r="C7" s="5" t="s">
        <v>68</v>
      </c>
      <c r="D7" s="5" t="s">
        <v>36</v>
      </c>
      <c r="E7" s="6">
        <v>2520.0</v>
      </c>
      <c r="F7" s="6">
        <v>630.0</v>
      </c>
      <c r="G7" s="5" t="s">
        <v>68</v>
      </c>
      <c r="H7" s="5" t="s">
        <v>57</v>
      </c>
      <c r="I7" s="6" t="s">
        <v>40</v>
      </c>
      <c r="J7" s="5" t="s">
        <v>8585</v>
      </c>
      <c r="K7" s="5" t="s">
        <v>8586</v>
      </c>
      <c r="L7" s="6" t="s">
        <v>42</v>
      </c>
      <c r="M7" s="5" t="s">
        <v>1959</v>
      </c>
      <c r="N7" s="5" t="s">
        <v>64</v>
      </c>
      <c r="O7" s="5" t="s">
        <v>14344</v>
      </c>
      <c r="P7" s="5" t="s">
        <v>14345</v>
      </c>
      <c r="Q7" s="5" t="s">
        <v>14351</v>
      </c>
      <c r="R7" s="6">
        <v>8615.0</v>
      </c>
    </row>
    <row r="8" ht="56.25" customHeight="1">
      <c r="A8" s="5" t="s">
        <v>14347</v>
      </c>
      <c r="B8" s="6" t="str">
        <f>IMAGE("https://storage.googleapis.com/acdb/dresses/TopsTexOnepieceBalloonHTyrolean2.png")</f>
        <v/>
      </c>
      <c r="C8" s="5" t="s">
        <v>52</v>
      </c>
      <c r="D8" s="5" t="s">
        <v>36</v>
      </c>
      <c r="E8" s="6">
        <v>2520.0</v>
      </c>
      <c r="F8" s="6">
        <v>630.0</v>
      </c>
      <c r="G8" s="5" t="s">
        <v>52</v>
      </c>
      <c r="H8" s="5" t="s">
        <v>57</v>
      </c>
      <c r="I8" s="6" t="s">
        <v>40</v>
      </c>
      <c r="J8" s="5" t="s">
        <v>8585</v>
      </c>
      <c r="K8" s="5" t="s">
        <v>8586</v>
      </c>
      <c r="L8" s="6" t="s">
        <v>42</v>
      </c>
      <c r="M8" s="5" t="s">
        <v>1959</v>
      </c>
      <c r="N8" s="5" t="s">
        <v>64</v>
      </c>
      <c r="O8" s="5" t="s">
        <v>14344</v>
      </c>
      <c r="P8" s="5" t="s">
        <v>14345</v>
      </c>
      <c r="Q8" s="5" t="s">
        <v>14353</v>
      </c>
      <c r="R8" s="6">
        <v>8616.0</v>
      </c>
    </row>
    <row r="9" ht="56.25" customHeight="1">
      <c r="A9" s="5" t="s">
        <v>14354</v>
      </c>
      <c r="B9" s="6" t="str">
        <f>IMAGE("https://storage.googleapis.com/acdb/dresses/TopsTexOnepieceOverallHTyrolean1.png")</f>
        <v/>
      </c>
      <c r="C9" s="5" t="s">
        <v>68</v>
      </c>
      <c r="D9" s="5" t="s">
        <v>36</v>
      </c>
      <c r="E9" s="6">
        <v>2520.0</v>
      </c>
      <c r="F9" s="6">
        <v>630.0</v>
      </c>
      <c r="G9" s="5" t="s">
        <v>68</v>
      </c>
      <c r="H9" s="5" t="s">
        <v>83</v>
      </c>
      <c r="I9" s="6" t="s">
        <v>40</v>
      </c>
      <c r="J9" s="5" t="s">
        <v>8585</v>
      </c>
      <c r="K9" s="5" t="s">
        <v>8586</v>
      </c>
      <c r="L9" s="6" t="s">
        <v>42</v>
      </c>
      <c r="M9" s="5" t="s">
        <v>1059</v>
      </c>
      <c r="N9" s="5" t="s">
        <v>64</v>
      </c>
      <c r="O9" s="5" t="s">
        <v>14358</v>
      </c>
      <c r="P9" s="5" t="s">
        <v>14345</v>
      </c>
      <c r="Q9" s="5" t="s">
        <v>14359</v>
      </c>
      <c r="R9" s="6">
        <v>8631.0</v>
      </c>
    </row>
    <row r="10" ht="56.25" customHeight="1">
      <c r="A10" s="5" t="s">
        <v>14354</v>
      </c>
      <c r="B10" s="6" t="str">
        <f>IMAGE("https://storage.googleapis.com/acdb/dresses/TopsTexOnepieceOverallHTyrolean2.png")</f>
        <v/>
      </c>
      <c r="C10" s="5" t="s">
        <v>52</v>
      </c>
      <c r="D10" s="5" t="s">
        <v>36</v>
      </c>
      <c r="E10" s="6">
        <v>2520.0</v>
      </c>
      <c r="F10" s="6">
        <v>630.0</v>
      </c>
      <c r="G10" s="5" t="s">
        <v>52</v>
      </c>
      <c r="H10" s="5" t="s">
        <v>69</v>
      </c>
      <c r="I10" s="6" t="s">
        <v>40</v>
      </c>
      <c r="J10" s="5" t="s">
        <v>8585</v>
      </c>
      <c r="K10" s="5" t="s">
        <v>8586</v>
      </c>
      <c r="L10" s="6" t="s">
        <v>42</v>
      </c>
      <c r="M10" s="5" t="s">
        <v>1059</v>
      </c>
      <c r="N10" s="5" t="s">
        <v>64</v>
      </c>
      <c r="O10" s="5" t="s">
        <v>14358</v>
      </c>
      <c r="P10" s="5" t="s">
        <v>14345</v>
      </c>
      <c r="Q10" s="5" t="s">
        <v>14361</v>
      </c>
      <c r="R10" s="6">
        <v>8632.0</v>
      </c>
    </row>
    <row r="11" ht="56.25" customHeight="1">
      <c r="A11" s="5" t="s">
        <v>14354</v>
      </c>
      <c r="B11" s="6" t="str">
        <f>IMAGE("https://storage.googleapis.com/acdb/dresses/TopsTexOnepieceOverallHTyrolean0.png")</f>
        <v/>
      </c>
      <c r="C11" s="5" t="s">
        <v>96</v>
      </c>
      <c r="D11" s="5" t="s">
        <v>36</v>
      </c>
      <c r="E11" s="6">
        <v>2520.0</v>
      </c>
      <c r="F11" s="6">
        <v>630.0</v>
      </c>
      <c r="G11" s="5" t="s">
        <v>96</v>
      </c>
      <c r="H11" s="5" t="s">
        <v>57</v>
      </c>
      <c r="I11" s="6" t="s">
        <v>40</v>
      </c>
      <c r="J11" s="5" t="s">
        <v>8585</v>
      </c>
      <c r="K11" s="5" t="s">
        <v>8586</v>
      </c>
      <c r="L11" s="6" t="s">
        <v>42</v>
      </c>
      <c r="M11" s="5" t="s">
        <v>1059</v>
      </c>
      <c r="N11" s="5" t="s">
        <v>64</v>
      </c>
      <c r="O11" s="5" t="s">
        <v>14358</v>
      </c>
      <c r="P11" s="5" t="s">
        <v>14345</v>
      </c>
      <c r="Q11" s="5" t="s">
        <v>14365</v>
      </c>
      <c r="R11" s="6">
        <v>4443.0</v>
      </c>
    </row>
    <row r="12" ht="56.25" customHeight="1">
      <c r="A12" s="5" t="s">
        <v>14366</v>
      </c>
      <c r="B12" s="6" t="str">
        <f>IMAGE("https://storage.googleapis.com/acdb/dresses/TopsTexOnepieceKimonoLKanpukumen1.png")</f>
        <v/>
      </c>
      <c r="C12" s="5" t="s">
        <v>96</v>
      </c>
      <c r="D12" s="5" t="s">
        <v>36</v>
      </c>
      <c r="E12" s="6">
        <v>3640.0</v>
      </c>
      <c r="F12" s="6">
        <v>910.0</v>
      </c>
      <c r="G12" s="5" t="s">
        <v>96</v>
      </c>
      <c r="H12" s="5" t="s">
        <v>96</v>
      </c>
      <c r="I12" s="6" t="s">
        <v>40</v>
      </c>
      <c r="J12" s="5" t="s">
        <v>8585</v>
      </c>
      <c r="K12" s="5" t="s">
        <v>8586</v>
      </c>
      <c r="L12" s="6" t="s">
        <v>42</v>
      </c>
      <c r="M12" s="5" t="s">
        <v>1059</v>
      </c>
      <c r="N12" s="5" t="s">
        <v>64</v>
      </c>
      <c r="O12" s="5" t="s">
        <v>6513</v>
      </c>
      <c r="P12" s="5" t="s">
        <v>14333</v>
      </c>
      <c r="Q12" s="5" t="s">
        <v>14368</v>
      </c>
      <c r="R12" s="6">
        <v>9158.0</v>
      </c>
    </row>
    <row r="13" ht="56.25" customHeight="1">
      <c r="A13" s="5" t="s">
        <v>14366</v>
      </c>
      <c r="B13" s="6" t="str">
        <f>IMAGE("https://storage.googleapis.com/acdb/dresses/TopsTexOnepieceKimonoLKanpukumen2.png")</f>
        <v/>
      </c>
      <c r="C13" s="5" t="s">
        <v>38</v>
      </c>
      <c r="D13" s="5" t="s">
        <v>36</v>
      </c>
      <c r="E13" s="6">
        <v>3640.0</v>
      </c>
      <c r="F13" s="6">
        <v>910.0</v>
      </c>
      <c r="G13" s="5" t="s">
        <v>38</v>
      </c>
      <c r="H13" s="5" t="s">
        <v>39</v>
      </c>
      <c r="I13" s="6" t="s">
        <v>40</v>
      </c>
      <c r="J13" s="5" t="s">
        <v>8585</v>
      </c>
      <c r="K13" s="5" t="s">
        <v>8586</v>
      </c>
      <c r="L13" s="6" t="s">
        <v>42</v>
      </c>
      <c r="M13" s="5" t="s">
        <v>1059</v>
      </c>
      <c r="N13" s="5" t="s">
        <v>64</v>
      </c>
      <c r="O13" s="5" t="s">
        <v>6513</v>
      </c>
      <c r="P13" s="5" t="s">
        <v>14333</v>
      </c>
      <c r="Q13" s="5" t="s">
        <v>14371</v>
      </c>
      <c r="R13" s="6">
        <v>9159.0</v>
      </c>
    </row>
    <row r="14" ht="56.25" customHeight="1">
      <c r="A14" s="5" t="s">
        <v>14366</v>
      </c>
      <c r="B14" s="6" t="str">
        <f>IMAGE("https://storage.googleapis.com/acdb/dresses/TopsTexOnepieceKimonoLKanpukumen0.png")</f>
        <v/>
      </c>
      <c r="C14" s="5" t="s">
        <v>68</v>
      </c>
      <c r="D14" s="5" t="s">
        <v>36</v>
      </c>
      <c r="E14" s="6">
        <v>3640.0</v>
      </c>
      <c r="F14" s="6">
        <v>910.0</v>
      </c>
      <c r="G14" s="5" t="s">
        <v>83</v>
      </c>
      <c r="H14" s="5" t="s">
        <v>68</v>
      </c>
      <c r="I14" s="6" t="s">
        <v>40</v>
      </c>
      <c r="J14" s="5" t="s">
        <v>8585</v>
      </c>
      <c r="K14" s="5" t="s">
        <v>8586</v>
      </c>
      <c r="L14" s="6" t="s">
        <v>42</v>
      </c>
      <c r="M14" s="5" t="s">
        <v>1059</v>
      </c>
      <c r="N14" s="5" t="s">
        <v>64</v>
      </c>
      <c r="O14" s="5" t="s">
        <v>6513</v>
      </c>
      <c r="P14" s="5" t="s">
        <v>14333</v>
      </c>
      <c r="Q14" s="5" t="s">
        <v>14373</v>
      </c>
      <c r="R14" s="6">
        <v>5518.0</v>
      </c>
    </row>
    <row r="15" ht="56.25" customHeight="1">
      <c r="A15" s="5" t="s">
        <v>14366</v>
      </c>
      <c r="B15" s="6" t="str">
        <f>IMAGE("https://storage.googleapis.com/acdb/dresses/TopsTexOnepieceKimonoLKanpukumen3.png")</f>
        <v/>
      </c>
      <c r="C15" s="5" t="s">
        <v>57</v>
      </c>
      <c r="D15" s="5" t="s">
        <v>36</v>
      </c>
      <c r="E15" s="6">
        <v>3640.0</v>
      </c>
      <c r="F15" s="6">
        <v>910.0</v>
      </c>
      <c r="G15" s="5" t="s">
        <v>57</v>
      </c>
      <c r="H15" s="5" t="s">
        <v>54</v>
      </c>
      <c r="I15" s="6" t="s">
        <v>40</v>
      </c>
      <c r="J15" s="5" t="s">
        <v>8585</v>
      </c>
      <c r="K15" s="5" t="s">
        <v>8586</v>
      </c>
      <c r="L15" s="6" t="s">
        <v>42</v>
      </c>
      <c r="M15" s="5" t="s">
        <v>1059</v>
      </c>
      <c r="N15" s="5" t="s">
        <v>64</v>
      </c>
      <c r="O15" s="5" t="s">
        <v>6513</v>
      </c>
      <c r="P15" s="5" t="s">
        <v>14333</v>
      </c>
      <c r="Q15" s="5" t="s">
        <v>14375</v>
      </c>
      <c r="R15" s="6">
        <v>9160.0</v>
      </c>
    </row>
    <row r="16" ht="56.25" customHeight="1">
      <c r="A16" s="5" t="s">
        <v>14366</v>
      </c>
      <c r="B16" s="6" t="str">
        <f>IMAGE("https://storage.googleapis.com/acdb/dresses/TopsTexOnepieceKimonoLKanpukumen4.png")</f>
        <v/>
      </c>
      <c r="C16" s="5" t="s">
        <v>106</v>
      </c>
      <c r="D16" s="5" t="s">
        <v>36</v>
      </c>
      <c r="E16" s="6">
        <v>3640.0</v>
      </c>
      <c r="F16" s="6">
        <v>910.0</v>
      </c>
      <c r="G16" s="5" t="s">
        <v>106</v>
      </c>
      <c r="H16" s="5" t="s">
        <v>54</v>
      </c>
      <c r="I16" s="6" t="s">
        <v>40</v>
      </c>
      <c r="J16" s="5" t="s">
        <v>8585</v>
      </c>
      <c r="K16" s="5" t="s">
        <v>8586</v>
      </c>
      <c r="L16" s="6" t="s">
        <v>42</v>
      </c>
      <c r="M16" s="5" t="s">
        <v>1059</v>
      </c>
      <c r="N16" s="5" t="s">
        <v>64</v>
      </c>
      <c r="O16" s="5" t="s">
        <v>6513</v>
      </c>
      <c r="P16" s="5" t="s">
        <v>14333</v>
      </c>
      <c r="Q16" s="5" t="s">
        <v>14378</v>
      </c>
      <c r="R16" s="6">
        <v>9161.0</v>
      </c>
    </row>
    <row r="17" ht="56.25" customHeight="1">
      <c r="A17" s="5" t="s">
        <v>14380</v>
      </c>
      <c r="B17" s="6" t="str">
        <f>IMAGE("https://storage.googleapis.com/acdb/dresses/TopsTexOnepieceKimonoLKanpukuwomen1.png")</f>
        <v/>
      </c>
      <c r="C17" s="5" t="s">
        <v>69</v>
      </c>
      <c r="D17" s="5" t="s">
        <v>36</v>
      </c>
      <c r="E17" s="6">
        <v>2520.0</v>
      </c>
      <c r="F17" s="6">
        <v>630.0</v>
      </c>
      <c r="G17" s="5" t="s">
        <v>69</v>
      </c>
      <c r="H17" s="5" t="s">
        <v>106</v>
      </c>
      <c r="I17" s="6" t="s">
        <v>40</v>
      </c>
      <c r="J17" s="5" t="s">
        <v>8585</v>
      </c>
      <c r="K17" s="5" t="s">
        <v>8586</v>
      </c>
      <c r="L17" s="6" t="s">
        <v>42</v>
      </c>
      <c r="M17" s="5" t="s">
        <v>1059</v>
      </c>
      <c r="N17" s="5" t="s">
        <v>64</v>
      </c>
      <c r="O17" s="5" t="s">
        <v>6513</v>
      </c>
      <c r="P17" s="5" t="s">
        <v>14333</v>
      </c>
      <c r="Q17" s="5" t="s">
        <v>14381</v>
      </c>
      <c r="R17" s="6">
        <v>9162.0</v>
      </c>
    </row>
    <row r="18" ht="56.25" customHeight="1">
      <c r="A18" s="5" t="s">
        <v>14380</v>
      </c>
      <c r="B18" s="6" t="str">
        <f>IMAGE("https://storage.googleapis.com/acdb/dresses/TopsTexOnepieceKimonoLKanpukuwomen2.png")</f>
        <v/>
      </c>
      <c r="C18" s="5" t="s">
        <v>52</v>
      </c>
      <c r="D18" s="5" t="s">
        <v>36</v>
      </c>
      <c r="E18" s="6">
        <v>2520.0</v>
      </c>
      <c r="F18" s="6">
        <v>630.0</v>
      </c>
      <c r="G18" s="5" t="s">
        <v>69</v>
      </c>
      <c r="H18" s="5" t="s">
        <v>52</v>
      </c>
      <c r="I18" s="6" t="s">
        <v>40</v>
      </c>
      <c r="J18" s="5" t="s">
        <v>8585</v>
      </c>
      <c r="K18" s="5" t="s">
        <v>8586</v>
      </c>
      <c r="L18" s="6" t="s">
        <v>42</v>
      </c>
      <c r="M18" s="5" t="s">
        <v>1059</v>
      </c>
      <c r="N18" s="5" t="s">
        <v>64</v>
      </c>
      <c r="O18" s="5" t="s">
        <v>6513</v>
      </c>
      <c r="P18" s="5" t="s">
        <v>14333</v>
      </c>
      <c r="Q18" s="5" t="s">
        <v>14384</v>
      </c>
      <c r="R18" s="6">
        <v>9163.0</v>
      </c>
    </row>
    <row r="19" ht="56.25" customHeight="1">
      <c r="A19" s="5" t="s">
        <v>14380</v>
      </c>
      <c r="B19" s="6" t="str">
        <f>IMAGE("https://storage.googleapis.com/acdb/dresses/TopsTexOnepieceKimonoLKanpukuwomen3.png")</f>
        <v/>
      </c>
      <c r="C19" s="5" t="s">
        <v>68</v>
      </c>
      <c r="D19" s="5" t="s">
        <v>36</v>
      </c>
      <c r="E19" s="6">
        <v>2520.0</v>
      </c>
      <c r="F19" s="6">
        <v>630.0</v>
      </c>
      <c r="G19" s="5" t="s">
        <v>83</v>
      </c>
      <c r="H19" s="5" t="s">
        <v>68</v>
      </c>
      <c r="I19" s="6" t="s">
        <v>40</v>
      </c>
      <c r="J19" s="5" t="s">
        <v>8585</v>
      </c>
      <c r="K19" s="5" t="s">
        <v>8586</v>
      </c>
      <c r="L19" s="6" t="s">
        <v>42</v>
      </c>
      <c r="M19" s="5" t="s">
        <v>1059</v>
      </c>
      <c r="N19" s="5" t="s">
        <v>64</v>
      </c>
      <c r="O19" s="5" t="s">
        <v>6513</v>
      </c>
      <c r="P19" s="5" t="s">
        <v>14333</v>
      </c>
      <c r="Q19" s="5" t="s">
        <v>14388</v>
      </c>
      <c r="R19" s="6">
        <v>9164.0</v>
      </c>
    </row>
    <row r="20" ht="56.25" customHeight="1">
      <c r="A20" s="5" t="s">
        <v>14380</v>
      </c>
      <c r="B20" s="6" t="str">
        <f>IMAGE("https://storage.googleapis.com/acdb/dresses/TopsTexOnepieceKimonoLKanpukuwomen4.png")</f>
        <v/>
      </c>
      <c r="C20" s="5" t="s">
        <v>106</v>
      </c>
      <c r="D20" s="5" t="s">
        <v>36</v>
      </c>
      <c r="E20" s="6">
        <v>2520.0</v>
      </c>
      <c r="F20" s="6">
        <v>630.0</v>
      </c>
      <c r="G20" s="5" t="s">
        <v>106</v>
      </c>
      <c r="H20" s="5" t="s">
        <v>106</v>
      </c>
      <c r="I20" s="6" t="s">
        <v>40</v>
      </c>
      <c r="J20" s="5" t="s">
        <v>8585</v>
      </c>
      <c r="K20" s="5" t="s">
        <v>8586</v>
      </c>
      <c r="L20" s="6" t="s">
        <v>42</v>
      </c>
      <c r="M20" s="5" t="s">
        <v>1059</v>
      </c>
      <c r="N20" s="5" t="s">
        <v>64</v>
      </c>
      <c r="O20" s="5" t="s">
        <v>6513</v>
      </c>
      <c r="P20" s="5" t="s">
        <v>14333</v>
      </c>
      <c r="Q20" s="5" t="s">
        <v>14389</v>
      </c>
      <c r="R20" s="6">
        <v>9165.0</v>
      </c>
    </row>
    <row r="21" ht="56.25" customHeight="1">
      <c r="A21" s="5" t="s">
        <v>14380</v>
      </c>
      <c r="B21" s="6" t="str">
        <f>IMAGE("https://storage.googleapis.com/acdb/dresses/TopsTexOnepieceKimonoLKanpukuwomen0.png")</f>
        <v/>
      </c>
      <c r="C21" s="5" t="s">
        <v>96</v>
      </c>
      <c r="D21" s="5" t="s">
        <v>36</v>
      </c>
      <c r="E21" s="6">
        <v>2520.0</v>
      </c>
      <c r="F21" s="6">
        <v>630.0</v>
      </c>
      <c r="G21" s="5" t="s">
        <v>96</v>
      </c>
      <c r="H21" s="5" t="s">
        <v>52</v>
      </c>
      <c r="I21" s="6" t="s">
        <v>40</v>
      </c>
      <c r="J21" s="5" t="s">
        <v>8585</v>
      </c>
      <c r="K21" s="5" t="s">
        <v>8586</v>
      </c>
      <c r="L21" s="6" t="s">
        <v>42</v>
      </c>
      <c r="M21" s="5" t="s">
        <v>1059</v>
      </c>
      <c r="N21" s="5" t="s">
        <v>64</v>
      </c>
      <c r="O21" s="5" t="s">
        <v>6513</v>
      </c>
      <c r="P21" s="5" t="s">
        <v>14333</v>
      </c>
      <c r="Q21" s="5" t="s">
        <v>14393</v>
      </c>
      <c r="R21" s="6">
        <v>5519.0</v>
      </c>
    </row>
    <row r="22" ht="56.25" customHeight="1">
      <c r="A22" s="5" t="s">
        <v>14394</v>
      </c>
      <c r="B22" s="6" t="str">
        <f>IMAGE("https://storage.googleapis.com/acdb/dresses/TopsTexOnepieceBlongLAodai0.png")</f>
        <v/>
      </c>
      <c r="C22" s="5" t="s">
        <v>57</v>
      </c>
      <c r="D22" s="5" t="s">
        <v>36</v>
      </c>
      <c r="E22" s="6">
        <v>2520.0</v>
      </c>
      <c r="F22" s="6">
        <v>630.0</v>
      </c>
      <c r="G22" s="5" t="s">
        <v>57</v>
      </c>
      <c r="H22" s="5" t="s">
        <v>57</v>
      </c>
      <c r="I22" s="6" t="s">
        <v>40</v>
      </c>
      <c r="J22" s="5" t="s">
        <v>8585</v>
      </c>
      <c r="K22" s="5" t="s">
        <v>8586</v>
      </c>
      <c r="L22" s="6" t="s">
        <v>42</v>
      </c>
      <c r="M22" s="5" t="s">
        <v>1059</v>
      </c>
      <c r="N22" s="5" t="s">
        <v>64</v>
      </c>
      <c r="O22" s="5" t="s">
        <v>14396</v>
      </c>
      <c r="P22" s="5" t="s">
        <v>14333</v>
      </c>
      <c r="Q22" s="5" t="s">
        <v>14397</v>
      </c>
      <c r="R22" s="6">
        <v>3493.0</v>
      </c>
    </row>
    <row r="23" ht="56.25" customHeight="1">
      <c r="A23" s="5" t="s">
        <v>14394</v>
      </c>
      <c r="B23" s="6" t="str">
        <f>IMAGE("https://storage.googleapis.com/acdb/dresses/TopsTexOnepieceBlongLAodai1.png")</f>
        <v/>
      </c>
      <c r="C23" s="5" t="s">
        <v>1187</v>
      </c>
      <c r="D23" s="5" t="s">
        <v>36</v>
      </c>
      <c r="E23" s="6">
        <v>2520.0</v>
      </c>
      <c r="F23" s="6">
        <v>630.0</v>
      </c>
      <c r="G23" s="5" t="s">
        <v>68</v>
      </c>
      <c r="H23" s="5" t="s">
        <v>57</v>
      </c>
      <c r="I23" s="6" t="s">
        <v>40</v>
      </c>
      <c r="J23" s="5" t="s">
        <v>8585</v>
      </c>
      <c r="K23" s="5" t="s">
        <v>8586</v>
      </c>
      <c r="L23" s="6" t="s">
        <v>42</v>
      </c>
      <c r="M23" s="5" t="s">
        <v>1059</v>
      </c>
      <c r="N23" s="5" t="s">
        <v>64</v>
      </c>
      <c r="O23" s="5" t="s">
        <v>14396</v>
      </c>
      <c r="P23" s="5" t="s">
        <v>14333</v>
      </c>
      <c r="Q23" s="5" t="s">
        <v>14399</v>
      </c>
      <c r="R23" s="6">
        <v>9141.0</v>
      </c>
    </row>
    <row r="24" ht="56.25" customHeight="1">
      <c r="A24" s="5" t="s">
        <v>14394</v>
      </c>
      <c r="B24" s="6" t="str">
        <f>IMAGE("https://storage.googleapis.com/acdb/dresses/TopsTexOnepieceBlongLAodai2.png")</f>
        <v/>
      </c>
      <c r="C24" s="5" t="s">
        <v>114</v>
      </c>
      <c r="D24" s="5" t="s">
        <v>36</v>
      </c>
      <c r="E24" s="6">
        <v>2520.0</v>
      </c>
      <c r="F24" s="6">
        <v>630.0</v>
      </c>
      <c r="G24" s="5" t="s">
        <v>114</v>
      </c>
      <c r="H24" s="5" t="s">
        <v>57</v>
      </c>
      <c r="I24" s="6" t="s">
        <v>40</v>
      </c>
      <c r="J24" s="5" t="s">
        <v>8585</v>
      </c>
      <c r="K24" s="5" t="s">
        <v>8586</v>
      </c>
      <c r="L24" s="6" t="s">
        <v>42</v>
      </c>
      <c r="M24" s="5" t="s">
        <v>1059</v>
      </c>
      <c r="N24" s="5" t="s">
        <v>64</v>
      </c>
      <c r="O24" s="5" t="s">
        <v>14396</v>
      </c>
      <c r="P24" s="5" t="s">
        <v>14333</v>
      </c>
      <c r="Q24" s="5" t="s">
        <v>14402</v>
      </c>
      <c r="R24" s="6">
        <v>9142.0</v>
      </c>
    </row>
    <row r="25" ht="56.25" customHeight="1">
      <c r="A25" s="5" t="s">
        <v>14394</v>
      </c>
      <c r="B25" s="6" t="str">
        <f>IMAGE("https://storage.googleapis.com/acdb/dresses/TopsTexOnepieceBlongLAodai3.png")</f>
        <v/>
      </c>
      <c r="C25" s="5" t="s">
        <v>96</v>
      </c>
      <c r="D25" s="5" t="s">
        <v>36</v>
      </c>
      <c r="E25" s="6">
        <v>2520.0</v>
      </c>
      <c r="F25" s="6">
        <v>630.0</v>
      </c>
      <c r="G25" s="5" t="s">
        <v>96</v>
      </c>
      <c r="H25" s="5" t="s">
        <v>57</v>
      </c>
      <c r="I25" s="6" t="s">
        <v>40</v>
      </c>
      <c r="J25" s="5" t="s">
        <v>8585</v>
      </c>
      <c r="K25" s="5" t="s">
        <v>8586</v>
      </c>
      <c r="L25" s="6" t="s">
        <v>42</v>
      </c>
      <c r="M25" s="5" t="s">
        <v>1059</v>
      </c>
      <c r="N25" s="5" t="s">
        <v>64</v>
      </c>
      <c r="O25" s="5" t="s">
        <v>14396</v>
      </c>
      <c r="P25" s="5" t="s">
        <v>14333</v>
      </c>
      <c r="Q25" s="5" t="s">
        <v>14405</v>
      </c>
      <c r="R25" s="6">
        <v>9143.0</v>
      </c>
    </row>
    <row r="26" ht="56.25" customHeight="1">
      <c r="A26" s="5" t="s">
        <v>14394</v>
      </c>
      <c r="B26" s="6" t="str">
        <f>IMAGE("https://storage.googleapis.com/acdb/dresses/TopsTexOnepieceBlongLAodai4.png")</f>
        <v/>
      </c>
      <c r="C26" s="5" t="s">
        <v>69</v>
      </c>
      <c r="D26" s="5" t="s">
        <v>36</v>
      </c>
      <c r="E26" s="6">
        <v>2520.0</v>
      </c>
      <c r="F26" s="6">
        <v>630.0</v>
      </c>
      <c r="G26" s="5" t="s">
        <v>69</v>
      </c>
      <c r="H26" s="5" t="s">
        <v>57</v>
      </c>
      <c r="I26" s="6" t="s">
        <v>40</v>
      </c>
      <c r="J26" s="5" t="s">
        <v>8585</v>
      </c>
      <c r="K26" s="5" t="s">
        <v>8586</v>
      </c>
      <c r="L26" s="6" t="s">
        <v>42</v>
      </c>
      <c r="M26" s="5" t="s">
        <v>1059</v>
      </c>
      <c r="N26" s="5" t="s">
        <v>64</v>
      </c>
      <c r="O26" s="5" t="s">
        <v>14396</v>
      </c>
      <c r="P26" s="5" t="s">
        <v>14333</v>
      </c>
      <c r="Q26" s="5" t="s">
        <v>14408</v>
      </c>
      <c r="R26" s="6">
        <v>9144.0</v>
      </c>
    </row>
    <row r="27" ht="56.25" customHeight="1">
      <c r="A27" s="5" t="s">
        <v>14409</v>
      </c>
      <c r="B27" s="6" t="str">
        <f>IMAGE("https://storage.googleapis.com/acdb/dresses/TopsTexOnepieceAlineNApple0.png")</f>
        <v/>
      </c>
      <c r="C27" s="5" t="s">
        <v>52</v>
      </c>
      <c r="D27" s="5" t="s">
        <v>35</v>
      </c>
      <c r="E27" s="6" t="s">
        <v>37</v>
      </c>
      <c r="F27" s="6">
        <v>1600.0</v>
      </c>
      <c r="G27" s="5" t="s">
        <v>114</v>
      </c>
      <c r="H27" s="5" t="s">
        <v>52</v>
      </c>
      <c r="I27" s="6" t="s">
        <v>40</v>
      </c>
      <c r="J27" s="5" t="s">
        <v>41</v>
      </c>
      <c r="K27" s="5"/>
      <c r="L27" s="6" t="s">
        <v>42</v>
      </c>
      <c r="M27" s="5" t="s">
        <v>1959</v>
      </c>
      <c r="N27" s="5" t="s">
        <v>48</v>
      </c>
      <c r="O27" s="5" t="s">
        <v>14411</v>
      </c>
      <c r="P27" s="5" t="s">
        <v>14412</v>
      </c>
      <c r="Q27" s="5" t="s">
        <v>14413</v>
      </c>
      <c r="R27" s="6">
        <v>9836.0</v>
      </c>
    </row>
    <row r="28" ht="56.25" customHeight="1">
      <c r="A28" s="5" t="s">
        <v>14414</v>
      </c>
      <c r="B28" s="6" t="str">
        <f>IMAGE("https://storage.googleapis.com/acdb/dresses/TopsTexOnepieceAlineNSpace1.png")</f>
        <v/>
      </c>
      <c r="C28" s="5" t="s">
        <v>96</v>
      </c>
      <c r="D28" s="5" t="s">
        <v>36</v>
      </c>
      <c r="E28" s="6">
        <v>2500.0</v>
      </c>
      <c r="F28" s="6">
        <v>625.0</v>
      </c>
      <c r="G28" s="5" t="s">
        <v>95</v>
      </c>
      <c r="H28" s="5" t="s">
        <v>96</v>
      </c>
      <c r="I28" s="6" t="s">
        <v>40</v>
      </c>
      <c r="J28" s="5" t="s">
        <v>8585</v>
      </c>
      <c r="K28" s="5" t="s">
        <v>8586</v>
      </c>
      <c r="L28" s="6" t="s">
        <v>42</v>
      </c>
      <c r="M28" s="5" t="s">
        <v>1952</v>
      </c>
      <c r="N28" s="5" t="s">
        <v>64</v>
      </c>
      <c r="O28" s="5" t="s">
        <v>14411</v>
      </c>
      <c r="P28" s="5" t="s">
        <v>14412</v>
      </c>
      <c r="Q28" s="5" t="s">
        <v>14416</v>
      </c>
      <c r="R28" s="6">
        <v>7890.0</v>
      </c>
    </row>
    <row r="29" ht="56.25" customHeight="1">
      <c r="A29" s="5" t="s">
        <v>14414</v>
      </c>
      <c r="B29" s="6" t="str">
        <f>IMAGE("https://storage.googleapis.com/acdb/dresses/TopsTexOnepieceAlineNSpace2.png")</f>
        <v/>
      </c>
      <c r="C29" s="5" t="s">
        <v>69</v>
      </c>
      <c r="D29" s="5" t="s">
        <v>36</v>
      </c>
      <c r="E29" s="6">
        <v>2500.0</v>
      </c>
      <c r="F29" s="6">
        <v>625.0</v>
      </c>
      <c r="G29" s="5" t="s">
        <v>95</v>
      </c>
      <c r="H29" s="5" t="s">
        <v>69</v>
      </c>
      <c r="I29" s="6" t="s">
        <v>40</v>
      </c>
      <c r="J29" s="5" t="s">
        <v>8585</v>
      </c>
      <c r="K29" s="5" t="s">
        <v>8586</v>
      </c>
      <c r="L29" s="6" t="s">
        <v>42</v>
      </c>
      <c r="M29" s="5" t="s">
        <v>1952</v>
      </c>
      <c r="N29" s="5" t="s">
        <v>64</v>
      </c>
      <c r="O29" s="5" t="s">
        <v>14411</v>
      </c>
      <c r="P29" s="5" t="s">
        <v>14412</v>
      </c>
      <c r="Q29" s="5" t="s">
        <v>14419</v>
      </c>
      <c r="R29" s="6">
        <v>7891.0</v>
      </c>
    </row>
    <row r="30" ht="56.25" customHeight="1">
      <c r="A30" s="5" t="s">
        <v>14414</v>
      </c>
      <c r="B30" s="6" t="str">
        <f>IMAGE("https://storage.googleapis.com/acdb/dresses/TopsTexOnepieceAlineNSpace0.png")</f>
        <v/>
      </c>
      <c r="C30" s="5" t="s">
        <v>68</v>
      </c>
      <c r="D30" s="5" t="s">
        <v>36</v>
      </c>
      <c r="E30" s="6">
        <v>2500.0</v>
      </c>
      <c r="F30" s="6">
        <v>625.0</v>
      </c>
      <c r="G30" s="5" t="s">
        <v>95</v>
      </c>
      <c r="H30" s="5" t="s">
        <v>68</v>
      </c>
      <c r="I30" s="6" t="s">
        <v>40</v>
      </c>
      <c r="J30" s="5" t="s">
        <v>8585</v>
      </c>
      <c r="K30" s="5" t="s">
        <v>8586</v>
      </c>
      <c r="L30" s="6" t="s">
        <v>42</v>
      </c>
      <c r="M30" s="5" t="s">
        <v>1952</v>
      </c>
      <c r="N30" s="5" t="s">
        <v>64</v>
      </c>
      <c r="O30" s="5" t="s">
        <v>14411</v>
      </c>
      <c r="P30" s="5" t="s">
        <v>14412</v>
      </c>
      <c r="Q30" s="5" t="s">
        <v>14421</v>
      </c>
      <c r="R30" s="6">
        <v>5135.0</v>
      </c>
    </row>
    <row r="31" ht="56.25" customHeight="1">
      <c r="A31" s="5" t="s">
        <v>14422</v>
      </c>
      <c r="B31" s="6" t="str">
        <f>IMAGE("https://storage.googleapis.com/acdb/dresses/TopsTexOnepieceBlongLAttoushi0.png")</f>
        <v/>
      </c>
      <c r="C31" s="5" t="s">
        <v>68</v>
      </c>
      <c r="D31" s="5" t="s">
        <v>36</v>
      </c>
      <c r="E31" s="6">
        <v>2520.0</v>
      </c>
      <c r="F31" s="6">
        <v>630.0</v>
      </c>
      <c r="G31" s="5" t="s">
        <v>68</v>
      </c>
      <c r="H31" s="5" t="s">
        <v>38</v>
      </c>
      <c r="I31" s="6" t="s">
        <v>40</v>
      </c>
      <c r="J31" s="5" t="s">
        <v>8585</v>
      </c>
      <c r="K31" s="5" t="s">
        <v>8586</v>
      </c>
      <c r="L31" s="6" t="s">
        <v>42</v>
      </c>
      <c r="M31" s="5" t="s">
        <v>1952</v>
      </c>
      <c r="N31" s="5" t="s">
        <v>64</v>
      </c>
      <c r="O31" s="5" t="s">
        <v>14396</v>
      </c>
      <c r="P31" s="5" t="s">
        <v>14333</v>
      </c>
      <c r="Q31" s="5" t="s">
        <v>14424</v>
      </c>
      <c r="R31" s="6">
        <v>10907.0</v>
      </c>
    </row>
    <row r="32" ht="56.25" customHeight="1">
      <c r="A32" s="5" t="s">
        <v>14422</v>
      </c>
      <c r="B32" s="6" t="str">
        <f>IMAGE("https://storage.googleapis.com/acdb/dresses/TopsTexOnepieceBlongLAttoushi1.png")</f>
        <v/>
      </c>
      <c r="C32" s="5" t="s">
        <v>39</v>
      </c>
      <c r="D32" s="5" t="s">
        <v>36</v>
      </c>
      <c r="E32" s="6">
        <v>2520.0</v>
      </c>
      <c r="F32" s="6">
        <v>630.0</v>
      </c>
      <c r="G32" s="5" t="s">
        <v>39</v>
      </c>
      <c r="H32" s="5" t="s">
        <v>83</v>
      </c>
      <c r="I32" s="6" t="s">
        <v>40</v>
      </c>
      <c r="J32" s="5" t="s">
        <v>8585</v>
      </c>
      <c r="K32" s="5" t="s">
        <v>8586</v>
      </c>
      <c r="L32" s="6" t="s">
        <v>42</v>
      </c>
      <c r="M32" s="5" t="s">
        <v>1952</v>
      </c>
      <c r="N32" s="5" t="s">
        <v>64</v>
      </c>
      <c r="O32" s="5" t="s">
        <v>14396</v>
      </c>
      <c r="P32" s="5" t="s">
        <v>14333</v>
      </c>
      <c r="Q32" s="5" t="s">
        <v>14427</v>
      </c>
      <c r="R32" s="6">
        <v>11998.0</v>
      </c>
    </row>
    <row r="33" ht="56.25" customHeight="1">
      <c r="A33" s="5" t="s">
        <v>14422</v>
      </c>
      <c r="B33" s="6" t="str">
        <f>IMAGE("https://storage.googleapis.com/acdb/dresses/TopsTexOnepieceBlongLAttoushi2.png")</f>
        <v/>
      </c>
      <c r="C33" s="5" t="s">
        <v>52</v>
      </c>
      <c r="D33" s="5" t="s">
        <v>36</v>
      </c>
      <c r="E33" s="6">
        <v>2520.0</v>
      </c>
      <c r="F33" s="6">
        <v>630.0</v>
      </c>
      <c r="G33" s="5" t="s">
        <v>52</v>
      </c>
      <c r="H33" s="5" t="s">
        <v>114</v>
      </c>
      <c r="I33" s="6" t="s">
        <v>40</v>
      </c>
      <c r="J33" s="5" t="s">
        <v>8585</v>
      </c>
      <c r="K33" s="5" t="s">
        <v>8586</v>
      </c>
      <c r="L33" s="6" t="s">
        <v>42</v>
      </c>
      <c r="M33" s="5" t="s">
        <v>1952</v>
      </c>
      <c r="N33" s="5" t="s">
        <v>64</v>
      </c>
      <c r="O33" s="5" t="s">
        <v>14396</v>
      </c>
      <c r="P33" s="5" t="s">
        <v>14333</v>
      </c>
      <c r="Q33" s="5" t="s">
        <v>14430</v>
      </c>
      <c r="R33" s="6">
        <v>11999.0</v>
      </c>
    </row>
    <row r="34" ht="56.25" customHeight="1">
      <c r="A34" s="5" t="s">
        <v>14431</v>
      </c>
      <c r="B34" s="6" t="str">
        <f>IMAGE("https://storage.googleapis.com/acdb/dresses/TopsTexOnepieceOverallLRompers1.png")</f>
        <v/>
      </c>
      <c r="C34" s="5" t="s">
        <v>14432</v>
      </c>
      <c r="D34" s="5" t="s">
        <v>36</v>
      </c>
      <c r="E34" s="6">
        <v>1920.0</v>
      </c>
      <c r="F34" s="6">
        <v>480.0</v>
      </c>
      <c r="G34" s="5" t="s">
        <v>69</v>
      </c>
      <c r="H34" s="5" t="s">
        <v>69</v>
      </c>
      <c r="I34" s="6" t="s">
        <v>40</v>
      </c>
      <c r="J34" s="5" t="s">
        <v>8585</v>
      </c>
      <c r="K34" s="5" t="s">
        <v>8586</v>
      </c>
      <c r="L34" s="6" t="s">
        <v>42</v>
      </c>
      <c r="M34" s="5" t="s">
        <v>1959</v>
      </c>
      <c r="N34" s="5" t="s">
        <v>64</v>
      </c>
      <c r="O34" s="5" t="s">
        <v>14358</v>
      </c>
      <c r="P34" s="5" t="s">
        <v>14333</v>
      </c>
      <c r="Q34" s="5" t="s">
        <v>14434</v>
      </c>
      <c r="R34" s="6">
        <v>7828.0</v>
      </c>
    </row>
    <row r="35" ht="56.25" customHeight="1">
      <c r="A35" s="5" t="s">
        <v>14431</v>
      </c>
      <c r="B35" s="6" t="str">
        <f>IMAGE("https://storage.googleapis.com/acdb/dresses/TopsTexOnepieceOverallLRompers2.png")</f>
        <v/>
      </c>
      <c r="C35" s="5" t="s">
        <v>14436</v>
      </c>
      <c r="D35" s="5" t="s">
        <v>36</v>
      </c>
      <c r="E35" s="6">
        <v>1920.0</v>
      </c>
      <c r="F35" s="6">
        <v>480.0</v>
      </c>
      <c r="G35" s="5" t="s">
        <v>114</v>
      </c>
      <c r="H35" s="5" t="s">
        <v>114</v>
      </c>
      <c r="I35" s="6" t="s">
        <v>40</v>
      </c>
      <c r="J35" s="5" t="s">
        <v>8585</v>
      </c>
      <c r="K35" s="5" t="s">
        <v>8586</v>
      </c>
      <c r="L35" s="6" t="s">
        <v>42</v>
      </c>
      <c r="M35" s="5" t="s">
        <v>1959</v>
      </c>
      <c r="N35" s="5" t="s">
        <v>64</v>
      </c>
      <c r="O35" s="5" t="s">
        <v>14358</v>
      </c>
      <c r="P35" s="5" t="s">
        <v>14333</v>
      </c>
      <c r="Q35" s="5" t="s">
        <v>14439</v>
      </c>
      <c r="R35" s="6">
        <v>7829.0</v>
      </c>
    </row>
    <row r="36" ht="56.25" customHeight="1">
      <c r="A36" s="5" t="s">
        <v>14431</v>
      </c>
      <c r="B36" s="6" t="str">
        <f>IMAGE("https://storage.googleapis.com/acdb/dresses/TopsTexOnepieceOverallLRompers0.png")</f>
        <v/>
      </c>
      <c r="C36" s="5" t="s">
        <v>14440</v>
      </c>
      <c r="D36" s="5" t="s">
        <v>36</v>
      </c>
      <c r="E36" s="6">
        <v>1920.0</v>
      </c>
      <c r="F36" s="6">
        <v>480.0</v>
      </c>
      <c r="G36" s="5" t="s">
        <v>83</v>
      </c>
      <c r="H36" s="5" t="s">
        <v>83</v>
      </c>
      <c r="I36" s="6" t="s">
        <v>40</v>
      </c>
      <c r="J36" s="5" t="s">
        <v>8585</v>
      </c>
      <c r="K36" s="5" t="s">
        <v>8586</v>
      </c>
      <c r="L36" s="6" t="s">
        <v>42</v>
      </c>
      <c r="M36" s="5" t="s">
        <v>1959</v>
      </c>
      <c r="N36" s="5" t="s">
        <v>64</v>
      </c>
      <c r="O36" s="5" t="s">
        <v>14358</v>
      </c>
      <c r="P36" s="5" t="s">
        <v>14333</v>
      </c>
      <c r="Q36" s="5" t="s">
        <v>14443</v>
      </c>
      <c r="R36" s="6">
        <v>4470.0</v>
      </c>
    </row>
    <row r="37" ht="56.25" customHeight="1">
      <c r="A37" s="5" t="s">
        <v>14431</v>
      </c>
      <c r="B37" s="6" t="str">
        <f>IMAGE("https://storage.googleapis.com/acdb/dresses/TopsTexOnepieceOverallLRompers3.png")</f>
        <v/>
      </c>
      <c r="C37" s="5" t="s">
        <v>14444</v>
      </c>
      <c r="D37" s="5" t="s">
        <v>36</v>
      </c>
      <c r="E37" s="6">
        <v>1920.0</v>
      </c>
      <c r="F37" s="6">
        <v>480.0</v>
      </c>
      <c r="G37" s="5" t="s">
        <v>96</v>
      </c>
      <c r="H37" s="5" t="s">
        <v>96</v>
      </c>
      <c r="I37" s="6" t="s">
        <v>40</v>
      </c>
      <c r="J37" s="5" t="s">
        <v>8585</v>
      </c>
      <c r="K37" s="5" t="s">
        <v>8586</v>
      </c>
      <c r="L37" s="6" t="s">
        <v>42</v>
      </c>
      <c r="M37" s="5" t="s">
        <v>1959</v>
      </c>
      <c r="N37" s="5" t="s">
        <v>64</v>
      </c>
      <c r="O37" s="5" t="s">
        <v>14358</v>
      </c>
      <c r="P37" s="5" t="s">
        <v>14333</v>
      </c>
      <c r="Q37" s="5" t="s">
        <v>14445</v>
      </c>
      <c r="R37" s="6">
        <v>7830.0</v>
      </c>
    </row>
    <row r="38" ht="56.25" customHeight="1">
      <c r="A38" s="5" t="s">
        <v>14431</v>
      </c>
      <c r="B38" s="6" t="str">
        <f>IMAGE("https://storage.googleapis.com/acdb/dresses/TopsTexOnepieceOverallLRompers4.png")</f>
        <v/>
      </c>
      <c r="C38" s="5" t="s">
        <v>14447</v>
      </c>
      <c r="D38" s="5" t="s">
        <v>36</v>
      </c>
      <c r="E38" s="6">
        <v>1920.0</v>
      </c>
      <c r="F38" s="6">
        <v>480.0</v>
      </c>
      <c r="G38" s="5" t="s">
        <v>52</v>
      </c>
      <c r="H38" s="5" t="s">
        <v>52</v>
      </c>
      <c r="I38" s="6" t="s">
        <v>40</v>
      </c>
      <c r="J38" s="5" t="s">
        <v>8585</v>
      </c>
      <c r="K38" s="5" t="s">
        <v>8586</v>
      </c>
      <c r="L38" s="6" t="s">
        <v>42</v>
      </c>
      <c r="M38" s="5" t="s">
        <v>1959</v>
      </c>
      <c r="N38" s="5" t="s">
        <v>64</v>
      </c>
      <c r="O38" s="5" t="s">
        <v>14358</v>
      </c>
      <c r="P38" s="5" t="s">
        <v>14333</v>
      </c>
      <c r="Q38" s="5" t="s">
        <v>14448</v>
      </c>
      <c r="R38" s="6">
        <v>7831.0</v>
      </c>
    </row>
    <row r="39" ht="56.25" customHeight="1">
      <c r="A39" s="5" t="s">
        <v>14431</v>
      </c>
      <c r="B39" s="6" t="str">
        <f>IMAGE("https://storage.googleapis.com/acdb/dresses/TopsTexOnepieceOverallLRompers5.png")</f>
        <v/>
      </c>
      <c r="C39" s="5" t="s">
        <v>14449</v>
      </c>
      <c r="D39" s="5" t="s">
        <v>36</v>
      </c>
      <c r="E39" s="6">
        <v>1920.0</v>
      </c>
      <c r="F39" s="6">
        <v>480.0</v>
      </c>
      <c r="G39" s="5" t="s">
        <v>38</v>
      </c>
      <c r="H39" s="5" t="s">
        <v>38</v>
      </c>
      <c r="I39" s="6" t="s">
        <v>40</v>
      </c>
      <c r="J39" s="5" t="s">
        <v>8585</v>
      </c>
      <c r="K39" s="5" t="s">
        <v>8586</v>
      </c>
      <c r="L39" s="6" t="s">
        <v>42</v>
      </c>
      <c r="M39" s="5" t="s">
        <v>1959</v>
      </c>
      <c r="N39" s="5" t="s">
        <v>64</v>
      </c>
      <c r="O39" s="5" t="s">
        <v>14358</v>
      </c>
      <c r="P39" s="5" t="s">
        <v>14333</v>
      </c>
      <c r="Q39" s="5" t="s">
        <v>14453</v>
      </c>
      <c r="R39" s="6">
        <v>7832.0</v>
      </c>
    </row>
    <row r="40" ht="56.25" customHeight="1">
      <c r="A40" s="5" t="s">
        <v>14431</v>
      </c>
      <c r="B40" s="6" t="str">
        <f>IMAGE("https://storage.googleapis.com/acdb/dresses/TopsTexOnepieceOverallLRompers6.png")</f>
        <v/>
      </c>
      <c r="C40" s="5" t="s">
        <v>14454</v>
      </c>
      <c r="D40" s="5" t="s">
        <v>36</v>
      </c>
      <c r="E40" s="6">
        <v>1920.0</v>
      </c>
      <c r="F40" s="6">
        <v>480.0</v>
      </c>
      <c r="G40" s="5" t="s">
        <v>68</v>
      </c>
      <c r="H40" s="5" t="s">
        <v>68</v>
      </c>
      <c r="I40" s="6" t="s">
        <v>40</v>
      </c>
      <c r="J40" s="5" t="s">
        <v>8585</v>
      </c>
      <c r="K40" s="5" t="s">
        <v>8586</v>
      </c>
      <c r="L40" s="6" t="s">
        <v>42</v>
      </c>
      <c r="M40" s="5" t="s">
        <v>1959</v>
      </c>
      <c r="N40" s="5" t="s">
        <v>64</v>
      </c>
      <c r="O40" s="5" t="s">
        <v>14358</v>
      </c>
      <c r="P40" s="5" t="s">
        <v>14333</v>
      </c>
      <c r="Q40" s="5" t="s">
        <v>14456</v>
      </c>
      <c r="R40" s="6">
        <v>7833.0</v>
      </c>
    </row>
    <row r="41" ht="56.25" customHeight="1">
      <c r="A41" s="5" t="s">
        <v>14431</v>
      </c>
      <c r="B41" s="6" t="str">
        <f>IMAGE("https://storage.googleapis.com/acdb/dresses/TopsTexOnepieceOverallLRompers7.png")</f>
        <v/>
      </c>
      <c r="C41" s="5" t="s">
        <v>14457</v>
      </c>
      <c r="D41" s="5" t="s">
        <v>36</v>
      </c>
      <c r="E41" s="6">
        <v>1920.0</v>
      </c>
      <c r="F41" s="6">
        <v>480.0</v>
      </c>
      <c r="G41" s="5" t="s">
        <v>142</v>
      </c>
      <c r="H41" s="5" t="s">
        <v>142</v>
      </c>
      <c r="I41" s="6" t="s">
        <v>40</v>
      </c>
      <c r="J41" s="5" t="s">
        <v>8585</v>
      </c>
      <c r="K41" s="5" t="s">
        <v>8586</v>
      </c>
      <c r="L41" s="6" t="s">
        <v>42</v>
      </c>
      <c r="M41" s="5" t="s">
        <v>1959</v>
      </c>
      <c r="N41" s="5" t="s">
        <v>64</v>
      </c>
      <c r="O41" s="5" t="s">
        <v>14358</v>
      </c>
      <c r="P41" s="5" t="s">
        <v>14333</v>
      </c>
      <c r="Q41" s="5" t="s">
        <v>14459</v>
      </c>
      <c r="R41" s="6">
        <v>7834.0</v>
      </c>
    </row>
    <row r="42" ht="56.25" customHeight="1">
      <c r="A42" s="5" t="s">
        <v>14460</v>
      </c>
      <c r="B42" s="6" t="str">
        <f>IMAGE("https://storage.googleapis.com/acdb/dresses/TopsTexOnepieceRibNChick2.png")</f>
        <v/>
      </c>
      <c r="C42" s="5" t="s">
        <v>38</v>
      </c>
      <c r="D42" s="5" t="s">
        <v>36</v>
      </c>
      <c r="E42" s="6">
        <v>1700.0</v>
      </c>
      <c r="F42" s="6">
        <v>425.0</v>
      </c>
      <c r="G42" s="5" t="s">
        <v>38</v>
      </c>
      <c r="H42" s="5" t="s">
        <v>38</v>
      </c>
      <c r="I42" s="6" t="s">
        <v>40</v>
      </c>
      <c r="J42" s="5" t="s">
        <v>8585</v>
      </c>
      <c r="K42" s="5" t="s">
        <v>8586</v>
      </c>
      <c r="L42" s="6" t="s">
        <v>42</v>
      </c>
      <c r="M42" s="5" t="s">
        <v>1959</v>
      </c>
      <c r="N42" s="5" t="s">
        <v>64</v>
      </c>
      <c r="O42" s="5" t="s">
        <v>14463</v>
      </c>
      <c r="P42" s="5" t="s">
        <v>14412</v>
      </c>
      <c r="Q42" s="5" t="s">
        <v>14464</v>
      </c>
      <c r="R42" s="6">
        <v>9641.0</v>
      </c>
    </row>
    <row r="43" ht="56.25" customHeight="1">
      <c r="A43" s="5" t="s">
        <v>14460</v>
      </c>
      <c r="B43" s="6" t="str">
        <f>IMAGE("https://storage.googleapis.com/acdb/dresses/TopsTexOnepieceRibNChick0.png")</f>
        <v/>
      </c>
      <c r="C43" s="5" t="s">
        <v>114</v>
      </c>
      <c r="D43" s="5" t="s">
        <v>36</v>
      </c>
      <c r="E43" s="6">
        <v>1700.0</v>
      </c>
      <c r="F43" s="6">
        <v>425.0</v>
      </c>
      <c r="G43" s="5" t="s">
        <v>114</v>
      </c>
      <c r="H43" s="5" t="s">
        <v>114</v>
      </c>
      <c r="I43" s="6" t="s">
        <v>40</v>
      </c>
      <c r="J43" s="5" t="s">
        <v>8585</v>
      </c>
      <c r="K43" s="5" t="s">
        <v>8586</v>
      </c>
      <c r="L43" s="6" t="s">
        <v>42</v>
      </c>
      <c r="M43" s="5" t="s">
        <v>1959</v>
      </c>
      <c r="N43" s="5" t="s">
        <v>64</v>
      </c>
      <c r="O43" s="5" t="s">
        <v>14463</v>
      </c>
      <c r="P43" s="5" t="s">
        <v>14412</v>
      </c>
      <c r="Q43" s="5" t="s">
        <v>14466</v>
      </c>
      <c r="R43" s="6">
        <v>5644.0</v>
      </c>
    </row>
    <row r="44" ht="56.25" customHeight="1">
      <c r="A44" s="5" t="s">
        <v>14460</v>
      </c>
      <c r="B44" s="6" t="str">
        <f>IMAGE("https://storage.googleapis.com/acdb/dresses/TopsTexOnepieceRibNChick1.png")</f>
        <v/>
      </c>
      <c r="C44" s="5" t="s">
        <v>68</v>
      </c>
      <c r="D44" s="5" t="s">
        <v>36</v>
      </c>
      <c r="E44" s="6">
        <v>1700.0</v>
      </c>
      <c r="F44" s="6">
        <v>425.0</v>
      </c>
      <c r="G44" s="5" t="s">
        <v>83</v>
      </c>
      <c r="H44" s="5" t="s">
        <v>83</v>
      </c>
      <c r="I44" s="6" t="s">
        <v>40</v>
      </c>
      <c r="J44" s="5" t="s">
        <v>8585</v>
      </c>
      <c r="K44" s="5" t="s">
        <v>8586</v>
      </c>
      <c r="L44" s="6" t="s">
        <v>42</v>
      </c>
      <c r="M44" s="5" t="s">
        <v>1959</v>
      </c>
      <c r="N44" s="5" t="s">
        <v>64</v>
      </c>
      <c r="O44" s="5" t="s">
        <v>14463</v>
      </c>
      <c r="P44" s="5" t="s">
        <v>14412</v>
      </c>
      <c r="Q44" s="5" t="s">
        <v>14468</v>
      </c>
      <c r="R44" s="6">
        <v>9640.0</v>
      </c>
    </row>
    <row r="45" ht="56.25" customHeight="1">
      <c r="A45" s="5" t="s">
        <v>14469</v>
      </c>
      <c r="B45" s="6" t="str">
        <f>IMAGE("https://storage.googleapis.com/acdb/dresses/TopsTexOnepieceKimonoLKorea0.png")</f>
        <v/>
      </c>
      <c r="C45" s="5" t="s">
        <v>68</v>
      </c>
      <c r="D45" s="5" t="s">
        <v>36</v>
      </c>
      <c r="E45" s="6">
        <v>2520.0</v>
      </c>
      <c r="F45" s="6">
        <v>630.0</v>
      </c>
      <c r="G45" s="5" t="s">
        <v>68</v>
      </c>
      <c r="H45" s="5" t="s">
        <v>83</v>
      </c>
      <c r="I45" s="6" t="s">
        <v>40</v>
      </c>
      <c r="J45" s="5" t="s">
        <v>8585</v>
      </c>
      <c r="K45" s="5" t="s">
        <v>8586</v>
      </c>
      <c r="L45" s="6" t="s">
        <v>42</v>
      </c>
      <c r="M45" s="5" t="s">
        <v>1059</v>
      </c>
      <c r="N45" s="5" t="s">
        <v>64</v>
      </c>
      <c r="O45" s="5" t="s">
        <v>6513</v>
      </c>
      <c r="P45" s="5" t="s">
        <v>14333</v>
      </c>
      <c r="Q45" s="5" t="s">
        <v>14471</v>
      </c>
      <c r="R45" s="6">
        <v>5818.0</v>
      </c>
    </row>
    <row r="46" ht="56.25" customHeight="1">
      <c r="A46" s="5" t="s">
        <v>14469</v>
      </c>
      <c r="B46" s="6" t="str">
        <f>IMAGE("https://storage.googleapis.com/acdb/dresses/TopsTexOnepieceKimonoLKorea1.png")</f>
        <v/>
      </c>
      <c r="C46" s="5" t="s">
        <v>106</v>
      </c>
      <c r="D46" s="5" t="s">
        <v>36</v>
      </c>
      <c r="E46" s="6">
        <v>2520.0</v>
      </c>
      <c r="F46" s="6">
        <v>630.0</v>
      </c>
      <c r="G46" s="5" t="s">
        <v>106</v>
      </c>
      <c r="H46" s="5" t="s">
        <v>69</v>
      </c>
      <c r="I46" s="6" t="s">
        <v>40</v>
      </c>
      <c r="J46" s="5" t="s">
        <v>8585</v>
      </c>
      <c r="K46" s="5" t="s">
        <v>8586</v>
      </c>
      <c r="L46" s="6" t="s">
        <v>42</v>
      </c>
      <c r="M46" s="5" t="s">
        <v>1059</v>
      </c>
      <c r="N46" s="5" t="s">
        <v>64</v>
      </c>
      <c r="O46" s="5" t="s">
        <v>6513</v>
      </c>
      <c r="P46" s="5" t="s">
        <v>14333</v>
      </c>
      <c r="Q46" s="5" t="s">
        <v>14473</v>
      </c>
      <c r="R46" s="6">
        <v>9166.0</v>
      </c>
    </row>
    <row r="47" ht="56.25" customHeight="1">
      <c r="A47" s="5" t="s">
        <v>14469</v>
      </c>
      <c r="B47" s="6" t="str">
        <f>IMAGE("https://storage.googleapis.com/acdb/dresses/TopsTexOnepieceKimonoLKorea2.png")</f>
        <v/>
      </c>
      <c r="C47" s="5" t="s">
        <v>14181</v>
      </c>
      <c r="D47" s="5" t="s">
        <v>36</v>
      </c>
      <c r="E47" s="6">
        <v>2520.0</v>
      </c>
      <c r="F47" s="6">
        <v>630.0</v>
      </c>
      <c r="G47" s="5" t="s">
        <v>83</v>
      </c>
      <c r="H47" s="5" t="s">
        <v>69</v>
      </c>
      <c r="I47" s="6" t="s">
        <v>40</v>
      </c>
      <c r="J47" s="5" t="s">
        <v>8585</v>
      </c>
      <c r="K47" s="5" t="s">
        <v>8586</v>
      </c>
      <c r="L47" s="6" t="s">
        <v>42</v>
      </c>
      <c r="M47" s="5" t="s">
        <v>1059</v>
      </c>
      <c r="N47" s="5" t="s">
        <v>64</v>
      </c>
      <c r="O47" s="5" t="s">
        <v>6513</v>
      </c>
      <c r="P47" s="5" t="s">
        <v>14333</v>
      </c>
      <c r="Q47" s="5" t="s">
        <v>14475</v>
      </c>
      <c r="R47" s="6">
        <v>9167.0</v>
      </c>
    </row>
    <row r="48" ht="56.25" customHeight="1">
      <c r="A48" s="5" t="s">
        <v>14469</v>
      </c>
      <c r="B48" s="6" t="str">
        <f>IMAGE("https://storage.googleapis.com/acdb/dresses/TopsTexOnepieceKimonoLKorea3.png")</f>
        <v/>
      </c>
      <c r="C48" s="5" t="s">
        <v>54</v>
      </c>
      <c r="D48" s="5" t="s">
        <v>36</v>
      </c>
      <c r="E48" s="6">
        <v>2520.0</v>
      </c>
      <c r="F48" s="6">
        <v>630.0</v>
      </c>
      <c r="G48" s="5" t="s">
        <v>54</v>
      </c>
      <c r="H48" s="5" t="s">
        <v>95</v>
      </c>
      <c r="I48" s="6" t="s">
        <v>40</v>
      </c>
      <c r="J48" s="5" t="s">
        <v>8585</v>
      </c>
      <c r="K48" s="5" t="s">
        <v>8586</v>
      </c>
      <c r="L48" s="6" t="s">
        <v>42</v>
      </c>
      <c r="M48" s="5" t="s">
        <v>1059</v>
      </c>
      <c r="N48" s="5" t="s">
        <v>64</v>
      </c>
      <c r="O48" s="5" t="s">
        <v>6513</v>
      </c>
      <c r="P48" s="5" t="s">
        <v>14333</v>
      </c>
      <c r="Q48" s="5" t="s">
        <v>14477</v>
      </c>
      <c r="R48" s="6">
        <v>9168.0</v>
      </c>
    </row>
    <row r="49" ht="56.25" customHeight="1">
      <c r="A49" s="5" t="s">
        <v>14478</v>
      </c>
      <c r="B49" s="6" t="str">
        <f>IMAGE("https://storage.googleapis.com/acdb/dresses/TopsTexOnepieceBalloonNBallet0.png")</f>
        <v/>
      </c>
      <c r="C49" s="5" t="s">
        <v>69</v>
      </c>
      <c r="D49" s="5" t="s">
        <v>36</v>
      </c>
      <c r="E49" s="6">
        <v>2880.0</v>
      </c>
      <c r="F49" s="6">
        <v>720.0</v>
      </c>
      <c r="G49" s="5" t="s">
        <v>69</v>
      </c>
      <c r="H49" s="5" t="s">
        <v>114</v>
      </c>
      <c r="I49" s="6" t="s">
        <v>40</v>
      </c>
      <c r="J49" s="5" t="s">
        <v>8585</v>
      </c>
      <c r="K49" s="5" t="s">
        <v>8586</v>
      </c>
      <c r="L49" s="6" t="s">
        <v>42</v>
      </c>
      <c r="M49" s="5" t="s">
        <v>1959</v>
      </c>
      <c r="N49" s="5" t="s">
        <v>64</v>
      </c>
      <c r="O49" s="5" t="s">
        <v>14344</v>
      </c>
      <c r="P49" s="5" t="s">
        <v>14412</v>
      </c>
      <c r="Q49" s="5" t="s">
        <v>14481</v>
      </c>
      <c r="R49" s="6">
        <v>3166.0</v>
      </c>
    </row>
    <row r="50" ht="56.25" customHeight="1">
      <c r="A50" s="5" t="s">
        <v>14478</v>
      </c>
      <c r="B50" s="6" t="str">
        <f>IMAGE("https://storage.googleapis.com/acdb/dresses/TopsTexOnepieceBalloonNBallet1.png")</f>
        <v/>
      </c>
      <c r="C50" s="5" t="s">
        <v>9021</v>
      </c>
      <c r="D50" s="5" t="s">
        <v>36</v>
      </c>
      <c r="E50" s="6">
        <v>2880.0</v>
      </c>
      <c r="F50" s="6">
        <v>720.0</v>
      </c>
      <c r="G50" s="5" t="s">
        <v>96</v>
      </c>
      <c r="H50" s="5" t="s">
        <v>114</v>
      </c>
      <c r="I50" s="6" t="s">
        <v>40</v>
      </c>
      <c r="J50" s="5" t="s">
        <v>8585</v>
      </c>
      <c r="K50" s="5" t="s">
        <v>8586</v>
      </c>
      <c r="L50" s="6" t="s">
        <v>42</v>
      </c>
      <c r="M50" s="5" t="s">
        <v>1959</v>
      </c>
      <c r="N50" s="5" t="s">
        <v>64</v>
      </c>
      <c r="O50" s="5" t="s">
        <v>14344</v>
      </c>
      <c r="P50" s="5" t="s">
        <v>14412</v>
      </c>
      <c r="Q50" s="5" t="s">
        <v>14483</v>
      </c>
      <c r="R50" s="6">
        <v>9412.0</v>
      </c>
    </row>
    <row r="51" ht="56.25" customHeight="1">
      <c r="A51" s="5" t="s">
        <v>14478</v>
      </c>
      <c r="B51" s="6" t="str">
        <f>IMAGE("https://storage.googleapis.com/acdb/dresses/TopsTexOnepieceBalloonNBallet2.png")</f>
        <v/>
      </c>
      <c r="C51" s="5" t="s">
        <v>68</v>
      </c>
      <c r="D51" s="5" t="s">
        <v>36</v>
      </c>
      <c r="E51" s="6">
        <v>2880.0</v>
      </c>
      <c r="F51" s="6">
        <v>720.0</v>
      </c>
      <c r="G51" s="5" t="s">
        <v>68</v>
      </c>
      <c r="H51" s="5" t="s">
        <v>114</v>
      </c>
      <c r="I51" s="6" t="s">
        <v>40</v>
      </c>
      <c r="J51" s="5" t="s">
        <v>8585</v>
      </c>
      <c r="K51" s="5" t="s">
        <v>8586</v>
      </c>
      <c r="L51" s="6" t="s">
        <v>42</v>
      </c>
      <c r="M51" s="5" t="s">
        <v>1959</v>
      </c>
      <c r="N51" s="5" t="s">
        <v>64</v>
      </c>
      <c r="O51" s="5" t="s">
        <v>14344</v>
      </c>
      <c r="P51" s="5" t="s">
        <v>14412</v>
      </c>
      <c r="Q51" s="5" t="s">
        <v>14485</v>
      </c>
      <c r="R51" s="6">
        <v>9413.0</v>
      </c>
    </row>
    <row r="52" ht="56.25" customHeight="1">
      <c r="A52" s="5" t="s">
        <v>14478</v>
      </c>
      <c r="B52" s="6" t="str">
        <f>IMAGE("https://storage.googleapis.com/acdb/dresses/TopsTexOnepieceBalloonNBallet3.png")</f>
        <v/>
      </c>
      <c r="C52" s="5" t="s">
        <v>106</v>
      </c>
      <c r="D52" s="5" t="s">
        <v>36</v>
      </c>
      <c r="E52" s="6">
        <v>2880.0</v>
      </c>
      <c r="F52" s="6">
        <v>720.0</v>
      </c>
      <c r="G52" s="5" t="s">
        <v>106</v>
      </c>
      <c r="H52" s="5" t="s">
        <v>114</v>
      </c>
      <c r="I52" s="6" t="s">
        <v>40</v>
      </c>
      <c r="J52" s="5" t="s">
        <v>8585</v>
      </c>
      <c r="K52" s="5" t="s">
        <v>8586</v>
      </c>
      <c r="L52" s="6" t="s">
        <v>42</v>
      </c>
      <c r="M52" s="5" t="s">
        <v>1959</v>
      </c>
      <c r="N52" s="5" t="s">
        <v>64</v>
      </c>
      <c r="O52" s="5" t="s">
        <v>14344</v>
      </c>
      <c r="P52" s="5" t="s">
        <v>14412</v>
      </c>
      <c r="Q52" s="5" t="s">
        <v>14489</v>
      </c>
      <c r="R52" s="6">
        <v>9414.0</v>
      </c>
    </row>
    <row r="53" ht="56.25" customHeight="1">
      <c r="A53" s="5" t="s">
        <v>14478</v>
      </c>
      <c r="B53" s="6" t="str">
        <f>IMAGE("https://storage.googleapis.com/acdb/dresses/TopsTexOnepieceBalloonNBallet4.png")</f>
        <v/>
      </c>
      <c r="C53" s="5" t="s">
        <v>54</v>
      </c>
      <c r="D53" s="5" t="s">
        <v>36</v>
      </c>
      <c r="E53" s="6">
        <v>2880.0</v>
      </c>
      <c r="F53" s="6">
        <v>720.0</v>
      </c>
      <c r="G53" s="5" t="s">
        <v>54</v>
      </c>
      <c r="H53" s="5" t="s">
        <v>114</v>
      </c>
      <c r="I53" s="6" t="s">
        <v>40</v>
      </c>
      <c r="J53" s="5" t="s">
        <v>8585</v>
      </c>
      <c r="K53" s="5" t="s">
        <v>8586</v>
      </c>
      <c r="L53" s="6" t="s">
        <v>42</v>
      </c>
      <c r="M53" s="5" t="s">
        <v>1959</v>
      </c>
      <c r="N53" s="5" t="s">
        <v>64</v>
      </c>
      <c r="O53" s="5" t="s">
        <v>14344</v>
      </c>
      <c r="P53" s="5" t="s">
        <v>14412</v>
      </c>
      <c r="Q53" s="5" t="s">
        <v>14491</v>
      </c>
      <c r="R53" s="6">
        <v>9415.0</v>
      </c>
    </row>
    <row r="54" ht="56.25" customHeight="1">
      <c r="A54" s="5" t="s">
        <v>14478</v>
      </c>
      <c r="B54" s="6" t="str">
        <f>IMAGE("https://storage.googleapis.com/acdb/dresses/TopsTexOnepieceBalloonNBallet5.png")</f>
        <v/>
      </c>
      <c r="C54" s="5" t="s">
        <v>57</v>
      </c>
      <c r="D54" s="5" t="s">
        <v>36</v>
      </c>
      <c r="E54" s="6">
        <v>2880.0</v>
      </c>
      <c r="F54" s="6">
        <v>720.0</v>
      </c>
      <c r="G54" s="5" t="s">
        <v>57</v>
      </c>
      <c r="H54" s="5" t="s">
        <v>114</v>
      </c>
      <c r="I54" s="6" t="s">
        <v>40</v>
      </c>
      <c r="J54" s="5" t="s">
        <v>8585</v>
      </c>
      <c r="K54" s="5" t="s">
        <v>8586</v>
      </c>
      <c r="L54" s="6" t="s">
        <v>42</v>
      </c>
      <c r="M54" s="5" t="s">
        <v>1959</v>
      </c>
      <c r="N54" s="5" t="s">
        <v>64</v>
      </c>
      <c r="O54" s="5" t="s">
        <v>14344</v>
      </c>
      <c r="P54" s="5" t="s">
        <v>14412</v>
      </c>
      <c r="Q54" s="5" t="s">
        <v>14494</v>
      </c>
      <c r="R54" s="6">
        <v>9416.0</v>
      </c>
    </row>
    <row r="55" ht="56.25" customHeight="1">
      <c r="A55" s="5" t="s">
        <v>14478</v>
      </c>
      <c r="B55" s="6" t="str">
        <f>IMAGE("https://storage.googleapis.com/acdb/dresses/TopsTexOnepieceBalloonNBallet6.png")</f>
        <v/>
      </c>
      <c r="C55" s="5" t="s">
        <v>114</v>
      </c>
      <c r="D55" s="5" t="s">
        <v>36</v>
      </c>
      <c r="E55" s="6">
        <v>2880.0</v>
      </c>
      <c r="F55" s="6">
        <v>720.0</v>
      </c>
      <c r="G55" s="5" t="s">
        <v>114</v>
      </c>
      <c r="H55" s="5" t="s">
        <v>114</v>
      </c>
      <c r="I55" s="6" t="s">
        <v>40</v>
      </c>
      <c r="J55" s="5" t="s">
        <v>8585</v>
      </c>
      <c r="K55" s="5" t="s">
        <v>8586</v>
      </c>
      <c r="L55" s="6" t="s">
        <v>42</v>
      </c>
      <c r="M55" s="5" t="s">
        <v>1959</v>
      </c>
      <c r="N55" s="5" t="s">
        <v>64</v>
      </c>
      <c r="O55" s="5" t="s">
        <v>14344</v>
      </c>
      <c r="P55" s="5" t="s">
        <v>14412</v>
      </c>
      <c r="Q55" s="5" t="s">
        <v>14496</v>
      </c>
      <c r="R55" s="6">
        <v>9417.0</v>
      </c>
    </row>
    <row r="56" ht="56.25" customHeight="1">
      <c r="A56" s="5" t="s">
        <v>14478</v>
      </c>
      <c r="B56" s="6" t="str">
        <f>IMAGE("https://storage.googleapis.com/acdb/dresses/TopsTexOnepieceBalloonNBallet7.png")</f>
        <v/>
      </c>
      <c r="C56" s="5" t="s">
        <v>52</v>
      </c>
      <c r="D56" s="5" t="s">
        <v>36</v>
      </c>
      <c r="E56" s="6">
        <v>2880.0</v>
      </c>
      <c r="F56" s="6">
        <v>720.0</v>
      </c>
      <c r="G56" s="5" t="s">
        <v>52</v>
      </c>
      <c r="H56" s="5" t="s">
        <v>114</v>
      </c>
      <c r="I56" s="6" t="s">
        <v>40</v>
      </c>
      <c r="J56" s="5" t="s">
        <v>8585</v>
      </c>
      <c r="K56" s="5" t="s">
        <v>8586</v>
      </c>
      <c r="L56" s="6" t="s">
        <v>42</v>
      </c>
      <c r="M56" s="5" t="s">
        <v>1959</v>
      </c>
      <c r="N56" s="5" t="s">
        <v>64</v>
      </c>
      <c r="O56" s="5" t="s">
        <v>14344</v>
      </c>
      <c r="P56" s="5" t="s">
        <v>14412</v>
      </c>
      <c r="Q56" s="5" t="s">
        <v>14498</v>
      </c>
      <c r="R56" s="6">
        <v>9418.0</v>
      </c>
    </row>
    <row r="57" ht="56.25" customHeight="1">
      <c r="A57" s="5" t="s">
        <v>14499</v>
      </c>
      <c r="B57" s="6" t="str">
        <f>IMAGE("https://storage.googleapis.com/acdb/dresses/TopsTexOnepieceBlongLBalmakarn0.png")</f>
        <v/>
      </c>
      <c r="C57" s="5" t="s">
        <v>2222</v>
      </c>
      <c r="D57" s="5" t="s">
        <v>36</v>
      </c>
      <c r="E57" s="6">
        <v>1540.0</v>
      </c>
      <c r="F57" s="6">
        <v>385.0</v>
      </c>
      <c r="G57" s="5" t="s">
        <v>96</v>
      </c>
      <c r="H57" s="5" t="s">
        <v>96</v>
      </c>
      <c r="I57" s="6" t="s">
        <v>40</v>
      </c>
      <c r="J57" s="5" t="s">
        <v>8585</v>
      </c>
      <c r="K57" s="5" t="s">
        <v>8586</v>
      </c>
      <c r="L57" s="6" t="s">
        <v>42</v>
      </c>
      <c r="M57" s="5" t="s">
        <v>995</v>
      </c>
      <c r="N57" s="5" t="s">
        <v>64</v>
      </c>
      <c r="O57" s="5" t="s">
        <v>14396</v>
      </c>
      <c r="P57" s="5" t="s">
        <v>14333</v>
      </c>
      <c r="Q57" s="5" t="s">
        <v>14501</v>
      </c>
      <c r="R57" s="6">
        <v>4606.0</v>
      </c>
    </row>
    <row r="58" ht="56.25" customHeight="1">
      <c r="A58" s="5" t="s">
        <v>14499</v>
      </c>
      <c r="B58" s="6" t="str">
        <f>IMAGE("https://storage.googleapis.com/acdb/dresses/TopsTexOnepieceBlongLBalmakarn1.png")</f>
        <v/>
      </c>
      <c r="C58" s="5" t="s">
        <v>38</v>
      </c>
      <c r="D58" s="5" t="s">
        <v>36</v>
      </c>
      <c r="E58" s="6">
        <v>1540.0</v>
      </c>
      <c r="F58" s="6">
        <v>385.0</v>
      </c>
      <c r="G58" s="5" t="s">
        <v>38</v>
      </c>
      <c r="H58" s="5" t="s">
        <v>38</v>
      </c>
      <c r="I58" s="6" t="s">
        <v>40</v>
      </c>
      <c r="J58" s="5" t="s">
        <v>8585</v>
      </c>
      <c r="K58" s="5" t="s">
        <v>8586</v>
      </c>
      <c r="L58" s="6" t="s">
        <v>42</v>
      </c>
      <c r="M58" s="5" t="s">
        <v>995</v>
      </c>
      <c r="N58" s="5" t="s">
        <v>64</v>
      </c>
      <c r="O58" s="5" t="s">
        <v>14396</v>
      </c>
      <c r="P58" s="5" t="s">
        <v>14333</v>
      </c>
      <c r="Q58" s="5" t="s">
        <v>14503</v>
      </c>
      <c r="R58" s="6">
        <v>9306.0</v>
      </c>
    </row>
    <row r="59" ht="56.25" customHeight="1">
      <c r="A59" s="5" t="s">
        <v>14499</v>
      </c>
      <c r="B59" s="6" t="str">
        <f>IMAGE("https://storage.googleapis.com/acdb/dresses/TopsTexOnepieceBlongLBalmakarn2.png")</f>
        <v/>
      </c>
      <c r="C59" s="5" t="s">
        <v>1187</v>
      </c>
      <c r="D59" s="5" t="s">
        <v>36</v>
      </c>
      <c r="E59" s="6">
        <v>1540.0</v>
      </c>
      <c r="F59" s="6">
        <v>385.0</v>
      </c>
      <c r="G59" s="5" t="s">
        <v>68</v>
      </c>
      <c r="H59" s="5" t="s">
        <v>68</v>
      </c>
      <c r="I59" s="6" t="s">
        <v>40</v>
      </c>
      <c r="J59" s="5" t="s">
        <v>8585</v>
      </c>
      <c r="K59" s="5" t="s">
        <v>8586</v>
      </c>
      <c r="L59" s="6" t="s">
        <v>42</v>
      </c>
      <c r="M59" s="5" t="s">
        <v>995</v>
      </c>
      <c r="N59" s="5" t="s">
        <v>64</v>
      </c>
      <c r="O59" s="5" t="s">
        <v>14396</v>
      </c>
      <c r="P59" s="5" t="s">
        <v>14333</v>
      </c>
      <c r="Q59" s="5" t="s">
        <v>14506</v>
      </c>
      <c r="R59" s="6">
        <v>9307.0</v>
      </c>
    </row>
    <row r="60" ht="56.25" customHeight="1">
      <c r="A60" s="5" t="s">
        <v>14508</v>
      </c>
      <c r="B60" s="6" t="str">
        <f>IMAGE("https://storage.googleapis.com/acdb/dresses/TopsTexOnepieceOverallLBaseball1.png")</f>
        <v/>
      </c>
      <c r="C60" s="5" t="s">
        <v>1187</v>
      </c>
      <c r="D60" s="5" t="s">
        <v>36</v>
      </c>
      <c r="E60" s="6">
        <v>1760.0</v>
      </c>
      <c r="F60" s="6">
        <v>440.0</v>
      </c>
      <c r="G60" s="5" t="s">
        <v>68</v>
      </c>
      <c r="H60" s="5" t="s">
        <v>57</v>
      </c>
      <c r="I60" s="6" t="s">
        <v>40</v>
      </c>
      <c r="J60" s="5" t="s">
        <v>8585</v>
      </c>
      <c r="K60" s="5" t="s">
        <v>8586</v>
      </c>
      <c r="L60" s="6" t="s">
        <v>42</v>
      </c>
      <c r="M60" s="5" t="s">
        <v>8746</v>
      </c>
      <c r="N60" s="5" t="s">
        <v>64</v>
      </c>
      <c r="O60" s="5" t="s">
        <v>14358</v>
      </c>
      <c r="P60" s="5" t="s">
        <v>14333</v>
      </c>
      <c r="Q60" s="5" t="s">
        <v>14509</v>
      </c>
      <c r="R60" s="6">
        <v>11106.0</v>
      </c>
    </row>
    <row r="61" ht="56.25" customHeight="1">
      <c r="A61" s="5" t="s">
        <v>14508</v>
      </c>
      <c r="B61" s="6" t="str">
        <f>IMAGE("https://storage.googleapis.com/acdb/dresses/TopsTexOnepieceOverallLBaseball2.png")</f>
        <v/>
      </c>
      <c r="C61" s="5" t="s">
        <v>96</v>
      </c>
      <c r="D61" s="5" t="s">
        <v>36</v>
      </c>
      <c r="E61" s="6">
        <v>1760.0</v>
      </c>
      <c r="F61" s="6">
        <v>440.0</v>
      </c>
      <c r="G61" s="5" t="s">
        <v>96</v>
      </c>
      <c r="H61" s="5" t="s">
        <v>57</v>
      </c>
      <c r="I61" s="6" t="s">
        <v>40</v>
      </c>
      <c r="J61" s="5" t="s">
        <v>8585</v>
      </c>
      <c r="K61" s="5" t="s">
        <v>8586</v>
      </c>
      <c r="L61" s="6" t="s">
        <v>42</v>
      </c>
      <c r="M61" s="5" t="s">
        <v>8746</v>
      </c>
      <c r="N61" s="5" t="s">
        <v>64</v>
      </c>
      <c r="O61" s="5" t="s">
        <v>14358</v>
      </c>
      <c r="P61" s="5" t="s">
        <v>14333</v>
      </c>
      <c r="Q61" s="5" t="s">
        <v>14512</v>
      </c>
      <c r="R61" s="6">
        <v>11107.0</v>
      </c>
    </row>
    <row r="62" ht="56.25" customHeight="1">
      <c r="A62" s="5" t="s">
        <v>14508</v>
      </c>
      <c r="B62" s="6" t="str">
        <f>IMAGE("https://storage.googleapis.com/acdb/dresses/TopsTexOnepieceOverallLBaseball3.png")</f>
        <v/>
      </c>
      <c r="C62" s="5" t="s">
        <v>142</v>
      </c>
      <c r="D62" s="5" t="s">
        <v>36</v>
      </c>
      <c r="E62" s="6">
        <v>1760.0</v>
      </c>
      <c r="F62" s="6">
        <v>440.0</v>
      </c>
      <c r="G62" s="5" t="s">
        <v>54</v>
      </c>
      <c r="H62" s="5" t="s">
        <v>142</v>
      </c>
      <c r="I62" s="6" t="s">
        <v>40</v>
      </c>
      <c r="J62" s="5" t="s">
        <v>8585</v>
      </c>
      <c r="K62" s="5" t="s">
        <v>8586</v>
      </c>
      <c r="L62" s="6" t="s">
        <v>42</v>
      </c>
      <c r="M62" s="5" t="s">
        <v>8746</v>
      </c>
      <c r="N62" s="5" t="s">
        <v>64</v>
      </c>
      <c r="O62" s="5" t="s">
        <v>14358</v>
      </c>
      <c r="P62" s="5" t="s">
        <v>14333</v>
      </c>
      <c r="Q62" s="5" t="s">
        <v>14515</v>
      </c>
      <c r="R62" s="6">
        <v>11108.0</v>
      </c>
    </row>
    <row r="63" ht="56.25" customHeight="1">
      <c r="A63" s="5" t="s">
        <v>14508</v>
      </c>
      <c r="B63" s="6" t="str">
        <f>IMAGE("https://storage.googleapis.com/acdb/dresses/TopsTexOnepieceOverallLBaseball4.png")</f>
        <v/>
      </c>
      <c r="C63" s="5" t="s">
        <v>114</v>
      </c>
      <c r="D63" s="5" t="s">
        <v>36</v>
      </c>
      <c r="E63" s="6">
        <v>1760.0</v>
      </c>
      <c r="F63" s="6">
        <v>440.0</v>
      </c>
      <c r="G63" s="5" t="s">
        <v>54</v>
      </c>
      <c r="H63" s="5" t="s">
        <v>114</v>
      </c>
      <c r="I63" s="6" t="s">
        <v>40</v>
      </c>
      <c r="J63" s="5" t="s">
        <v>8585</v>
      </c>
      <c r="K63" s="5" t="s">
        <v>8586</v>
      </c>
      <c r="L63" s="6" t="s">
        <v>42</v>
      </c>
      <c r="M63" s="5" t="s">
        <v>8746</v>
      </c>
      <c r="N63" s="5" t="s">
        <v>64</v>
      </c>
      <c r="O63" s="5" t="s">
        <v>14358</v>
      </c>
      <c r="P63" s="5" t="s">
        <v>14333</v>
      </c>
      <c r="Q63" s="5" t="s">
        <v>14518</v>
      </c>
      <c r="R63" s="6">
        <v>11109.0</v>
      </c>
    </row>
    <row r="64" ht="56.25" customHeight="1">
      <c r="A64" s="5" t="s">
        <v>14508</v>
      </c>
      <c r="B64" s="6" t="str">
        <f>IMAGE("https://storage.googleapis.com/acdb/dresses/TopsTexOnepieceOverallLBaseball0.png")</f>
        <v/>
      </c>
      <c r="C64" s="5" t="s">
        <v>52</v>
      </c>
      <c r="D64" s="5" t="s">
        <v>36</v>
      </c>
      <c r="E64" s="6">
        <v>1760.0</v>
      </c>
      <c r="F64" s="6">
        <v>440.0</v>
      </c>
      <c r="G64" s="5" t="s">
        <v>52</v>
      </c>
      <c r="H64" s="5" t="s">
        <v>57</v>
      </c>
      <c r="I64" s="6" t="s">
        <v>40</v>
      </c>
      <c r="J64" s="5" t="s">
        <v>8585</v>
      </c>
      <c r="K64" s="5" t="s">
        <v>8586</v>
      </c>
      <c r="L64" s="6" t="s">
        <v>42</v>
      </c>
      <c r="M64" s="5" t="s">
        <v>8746</v>
      </c>
      <c r="N64" s="5" t="s">
        <v>64</v>
      </c>
      <c r="O64" s="5" t="s">
        <v>14358</v>
      </c>
      <c r="P64" s="5" t="s">
        <v>14333</v>
      </c>
      <c r="Q64" s="5" t="s">
        <v>14520</v>
      </c>
      <c r="R64" s="6">
        <v>3611.0</v>
      </c>
    </row>
    <row r="65" ht="56.25" customHeight="1">
      <c r="A65" s="5" t="s">
        <v>14521</v>
      </c>
      <c r="B65" s="6" t="str">
        <f>IMAGE("https://storage.googleapis.com/acdb/dresses/TopsTexOnepieceBoxNBathtowel0.png")</f>
        <v/>
      </c>
      <c r="C65" s="5" t="s">
        <v>69</v>
      </c>
      <c r="D65" s="5" t="s">
        <v>36</v>
      </c>
      <c r="E65" s="6">
        <v>630.0</v>
      </c>
      <c r="F65" s="6">
        <v>157.0</v>
      </c>
      <c r="G65" s="5" t="s">
        <v>69</v>
      </c>
      <c r="H65" s="5" t="s">
        <v>69</v>
      </c>
      <c r="I65" s="6" t="s">
        <v>40</v>
      </c>
      <c r="J65" s="5" t="s">
        <v>8585</v>
      </c>
      <c r="K65" s="5" t="s">
        <v>8586</v>
      </c>
      <c r="L65" s="6" t="s">
        <v>42</v>
      </c>
      <c r="M65" s="5" t="s">
        <v>995</v>
      </c>
      <c r="N65" s="5" t="s">
        <v>64</v>
      </c>
      <c r="O65" s="5" t="s">
        <v>14332</v>
      </c>
      <c r="P65" s="5" t="s">
        <v>14412</v>
      </c>
      <c r="Q65" s="5" t="s">
        <v>14523</v>
      </c>
      <c r="R65" s="6">
        <v>4361.0</v>
      </c>
    </row>
    <row r="66" ht="56.25" customHeight="1">
      <c r="A66" s="5" t="s">
        <v>14521</v>
      </c>
      <c r="B66" s="6" t="str">
        <f>IMAGE("https://storage.googleapis.com/acdb/dresses/TopsTexOnepieceBoxNBathtowel1.png")</f>
        <v/>
      </c>
      <c r="C66" s="5" t="s">
        <v>57</v>
      </c>
      <c r="D66" s="5" t="s">
        <v>36</v>
      </c>
      <c r="E66" s="6">
        <v>630.0</v>
      </c>
      <c r="F66" s="6">
        <v>157.0</v>
      </c>
      <c r="G66" s="5" t="s">
        <v>57</v>
      </c>
      <c r="H66" s="5" t="s">
        <v>57</v>
      </c>
      <c r="I66" s="6" t="s">
        <v>40</v>
      </c>
      <c r="J66" s="5" t="s">
        <v>8585</v>
      </c>
      <c r="K66" s="5" t="s">
        <v>8586</v>
      </c>
      <c r="L66" s="6" t="s">
        <v>42</v>
      </c>
      <c r="M66" s="5" t="s">
        <v>995</v>
      </c>
      <c r="N66" s="5" t="s">
        <v>64</v>
      </c>
      <c r="O66" s="5" t="s">
        <v>14332</v>
      </c>
      <c r="P66" s="5" t="s">
        <v>14412</v>
      </c>
      <c r="Q66" s="5" t="s">
        <v>14526</v>
      </c>
      <c r="R66" s="6">
        <v>7811.0</v>
      </c>
    </row>
    <row r="67" ht="56.25" customHeight="1">
      <c r="A67" s="5" t="s">
        <v>14521</v>
      </c>
      <c r="B67" s="6" t="str">
        <f>IMAGE("https://storage.googleapis.com/acdb/dresses/TopsTexOnepieceBoxNBathtowel2.png")</f>
        <v/>
      </c>
      <c r="C67" s="5" t="s">
        <v>68</v>
      </c>
      <c r="D67" s="5" t="s">
        <v>36</v>
      </c>
      <c r="E67" s="6">
        <v>630.0</v>
      </c>
      <c r="F67" s="6">
        <v>157.0</v>
      </c>
      <c r="G67" s="5" t="s">
        <v>83</v>
      </c>
      <c r="H67" s="5" t="s">
        <v>83</v>
      </c>
      <c r="I67" s="6" t="s">
        <v>40</v>
      </c>
      <c r="J67" s="5" t="s">
        <v>8585</v>
      </c>
      <c r="K67" s="5" t="s">
        <v>8586</v>
      </c>
      <c r="L67" s="6" t="s">
        <v>42</v>
      </c>
      <c r="M67" s="5" t="s">
        <v>995</v>
      </c>
      <c r="N67" s="5" t="s">
        <v>64</v>
      </c>
      <c r="O67" s="5" t="s">
        <v>14332</v>
      </c>
      <c r="P67" s="5" t="s">
        <v>14412</v>
      </c>
      <c r="Q67" s="5" t="s">
        <v>14528</v>
      </c>
      <c r="R67" s="6">
        <v>7812.0</v>
      </c>
    </row>
    <row r="68" ht="56.25" customHeight="1">
      <c r="A68" s="5" t="s">
        <v>14521</v>
      </c>
      <c r="B68" s="6" t="str">
        <f>IMAGE("https://storage.googleapis.com/acdb/dresses/TopsTexOnepieceBoxNBathtowel3.png")</f>
        <v/>
      </c>
      <c r="C68" s="5" t="s">
        <v>96</v>
      </c>
      <c r="D68" s="5" t="s">
        <v>36</v>
      </c>
      <c r="E68" s="6">
        <v>630.0</v>
      </c>
      <c r="F68" s="6">
        <v>157.0</v>
      </c>
      <c r="G68" s="5" t="s">
        <v>96</v>
      </c>
      <c r="H68" s="5" t="s">
        <v>96</v>
      </c>
      <c r="I68" s="6" t="s">
        <v>40</v>
      </c>
      <c r="J68" s="5" t="s">
        <v>8585</v>
      </c>
      <c r="K68" s="5" t="s">
        <v>8586</v>
      </c>
      <c r="L68" s="6" t="s">
        <v>42</v>
      </c>
      <c r="M68" s="5" t="s">
        <v>995</v>
      </c>
      <c r="N68" s="5" t="s">
        <v>64</v>
      </c>
      <c r="O68" s="5" t="s">
        <v>14332</v>
      </c>
      <c r="P68" s="5" t="s">
        <v>14412</v>
      </c>
      <c r="Q68" s="5" t="s">
        <v>14530</v>
      </c>
      <c r="R68" s="6">
        <v>7813.0</v>
      </c>
    </row>
    <row r="69" ht="56.25" customHeight="1">
      <c r="A69" s="5" t="s">
        <v>14521</v>
      </c>
      <c r="B69" s="6" t="str">
        <f>IMAGE("https://storage.googleapis.com/acdb/dresses/TopsTexOnepieceBoxNBathtowel4.png")</f>
        <v/>
      </c>
      <c r="C69" s="5" t="s">
        <v>106</v>
      </c>
      <c r="D69" s="5" t="s">
        <v>36</v>
      </c>
      <c r="E69" s="6">
        <v>630.0</v>
      </c>
      <c r="F69" s="6">
        <v>157.0</v>
      </c>
      <c r="G69" s="5" t="s">
        <v>106</v>
      </c>
      <c r="H69" s="5" t="s">
        <v>106</v>
      </c>
      <c r="I69" s="6" t="s">
        <v>40</v>
      </c>
      <c r="J69" s="5" t="s">
        <v>8585</v>
      </c>
      <c r="K69" s="5" t="s">
        <v>8586</v>
      </c>
      <c r="L69" s="6" t="s">
        <v>42</v>
      </c>
      <c r="M69" s="5" t="s">
        <v>995</v>
      </c>
      <c r="N69" s="5" t="s">
        <v>64</v>
      </c>
      <c r="O69" s="5" t="s">
        <v>14332</v>
      </c>
      <c r="P69" s="5" t="s">
        <v>14412</v>
      </c>
      <c r="Q69" s="5" t="s">
        <v>14532</v>
      </c>
      <c r="R69" s="6">
        <v>7814.0</v>
      </c>
    </row>
    <row r="70" ht="56.25" customHeight="1">
      <c r="A70" s="5" t="s">
        <v>14521</v>
      </c>
      <c r="B70" s="6" t="str">
        <f>IMAGE("https://storage.googleapis.com/acdb/dresses/TopsTexOnepieceBoxNBathtowel5.png")</f>
        <v/>
      </c>
      <c r="C70" s="5" t="s">
        <v>54</v>
      </c>
      <c r="D70" s="5" t="s">
        <v>36</v>
      </c>
      <c r="E70" s="6">
        <v>630.0</v>
      </c>
      <c r="F70" s="6">
        <v>157.0</v>
      </c>
      <c r="G70" s="5" t="s">
        <v>54</v>
      </c>
      <c r="H70" s="5" t="s">
        <v>54</v>
      </c>
      <c r="I70" s="6" t="s">
        <v>40</v>
      </c>
      <c r="J70" s="5" t="s">
        <v>8585</v>
      </c>
      <c r="K70" s="5" t="s">
        <v>8586</v>
      </c>
      <c r="L70" s="6" t="s">
        <v>42</v>
      </c>
      <c r="M70" s="5" t="s">
        <v>995</v>
      </c>
      <c r="N70" s="5" t="s">
        <v>64</v>
      </c>
      <c r="O70" s="5" t="s">
        <v>14332</v>
      </c>
      <c r="P70" s="5" t="s">
        <v>14412</v>
      </c>
      <c r="Q70" s="5" t="s">
        <v>14535</v>
      </c>
      <c r="R70" s="6">
        <v>7815.0</v>
      </c>
    </row>
    <row r="71" ht="56.25" customHeight="1">
      <c r="A71" s="5" t="s">
        <v>14521</v>
      </c>
      <c r="B71" s="6" t="str">
        <f>IMAGE("https://storage.googleapis.com/acdb/dresses/TopsTexOnepieceBoxNBathtowel6.png")</f>
        <v/>
      </c>
      <c r="C71" s="5" t="s">
        <v>39</v>
      </c>
      <c r="D71" s="5" t="s">
        <v>36</v>
      </c>
      <c r="E71" s="6">
        <v>630.0</v>
      </c>
      <c r="F71" s="6">
        <v>157.0</v>
      </c>
      <c r="G71" s="5" t="s">
        <v>39</v>
      </c>
      <c r="H71" s="5" t="s">
        <v>39</v>
      </c>
      <c r="I71" s="6" t="s">
        <v>40</v>
      </c>
      <c r="J71" s="5" t="s">
        <v>8585</v>
      </c>
      <c r="K71" s="5" t="s">
        <v>8586</v>
      </c>
      <c r="L71" s="6" t="s">
        <v>42</v>
      </c>
      <c r="M71" s="5" t="s">
        <v>995</v>
      </c>
      <c r="N71" s="5" t="s">
        <v>64</v>
      </c>
      <c r="O71" s="5" t="s">
        <v>14332</v>
      </c>
      <c r="P71" s="5" t="s">
        <v>14412</v>
      </c>
      <c r="Q71" s="5" t="s">
        <v>14536</v>
      </c>
      <c r="R71" s="6">
        <v>7816.0</v>
      </c>
    </row>
    <row r="72" ht="56.25" customHeight="1">
      <c r="A72" s="5" t="s">
        <v>14537</v>
      </c>
      <c r="B72" s="6" t="str">
        <f>IMAGE("https://storage.googleapis.com/acdb/dresses/TopsTexOnepieceBoxLBathrobes0.png")</f>
        <v/>
      </c>
      <c r="C72" s="5" t="s">
        <v>57</v>
      </c>
      <c r="D72" s="5" t="s">
        <v>36</v>
      </c>
      <c r="E72" s="6">
        <v>720.0</v>
      </c>
      <c r="F72" s="6">
        <v>180.0</v>
      </c>
      <c r="G72" s="5" t="s">
        <v>57</v>
      </c>
      <c r="H72" s="5" t="s">
        <v>57</v>
      </c>
      <c r="I72" s="6" t="s">
        <v>40</v>
      </c>
      <c r="J72" s="5" t="s">
        <v>8585</v>
      </c>
      <c r="K72" s="5" t="s">
        <v>8586</v>
      </c>
      <c r="L72" s="6" t="s">
        <v>42</v>
      </c>
      <c r="M72" s="5" t="s">
        <v>995</v>
      </c>
      <c r="N72" s="5" t="s">
        <v>64</v>
      </c>
      <c r="O72" s="5" t="s">
        <v>14332</v>
      </c>
      <c r="P72" s="5" t="s">
        <v>14333</v>
      </c>
      <c r="Q72" s="5" t="s">
        <v>14541</v>
      </c>
      <c r="R72" s="6">
        <v>3165.0</v>
      </c>
    </row>
    <row r="73" ht="56.25" customHeight="1">
      <c r="A73" s="5" t="s">
        <v>14537</v>
      </c>
      <c r="B73" s="6" t="str">
        <f>IMAGE("https://storage.googleapis.com/acdb/dresses/TopsTexOnepieceBoxLBathrobes4.png")</f>
        <v/>
      </c>
      <c r="C73" s="5" t="s">
        <v>106</v>
      </c>
      <c r="D73" s="5" t="s">
        <v>36</v>
      </c>
      <c r="E73" s="6">
        <v>720.0</v>
      </c>
      <c r="F73" s="6">
        <v>180.0</v>
      </c>
      <c r="G73" s="5" t="s">
        <v>106</v>
      </c>
      <c r="H73" s="5" t="s">
        <v>106</v>
      </c>
      <c r="I73" s="6" t="s">
        <v>40</v>
      </c>
      <c r="J73" s="5" t="s">
        <v>8585</v>
      </c>
      <c r="K73" s="5" t="s">
        <v>8586</v>
      </c>
      <c r="L73" s="6" t="s">
        <v>42</v>
      </c>
      <c r="M73" s="5" t="s">
        <v>995</v>
      </c>
      <c r="N73" s="5" t="s">
        <v>64</v>
      </c>
      <c r="O73" s="5" t="s">
        <v>14332</v>
      </c>
      <c r="P73" s="5" t="s">
        <v>14333</v>
      </c>
      <c r="Q73" s="5" t="s">
        <v>14543</v>
      </c>
      <c r="R73" s="6">
        <v>7820.0</v>
      </c>
    </row>
    <row r="74" ht="56.25" customHeight="1">
      <c r="A74" s="5" t="s">
        <v>14537</v>
      </c>
      <c r="B74" s="6" t="str">
        <f>IMAGE("https://storage.googleapis.com/acdb/dresses/TopsTexOnepieceBoxLBathrobes5.png")</f>
        <v/>
      </c>
      <c r="C74" s="5" t="s">
        <v>54</v>
      </c>
      <c r="D74" s="5" t="s">
        <v>36</v>
      </c>
      <c r="E74" s="6">
        <v>720.0</v>
      </c>
      <c r="F74" s="6">
        <v>180.0</v>
      </c>
      <c r="G74" s="5" t="s">
        <v>54</v>
      </c>
      <c r="H74" s="5" t="s">
        <v>54</v>
      </c>
      <c r="I74" s="6" t="s">
        <v>40</v>
      </c>
      <c r="J74" s="5" t="s">
        <v>8585</v>
      </c>
      <c r="K74" s="5" t="s">
        <v>8586</v>
      </c>
      <c r="L74" s="6" t="s">
        <v>42</v>
      </c>
      <c r="M74" s="5" t="s">
        <v>995</v>
      </c>
      <c r="N74" s="5" t="s">
        <v>64</v>
      </c>
      <c r="O74" s="5" t="s">
        <v>14332</v>
      </c>
      <c r="P74" s="5" t="s">
        <v>14333</v>
      </c>
      <c r="Q74" s="5" t="s">
        <v>14546</v>
      </c>
      <c r="R74" s="6">
        <v>7821.0</v>
      </c>
    </row>
    <row r="75" ht="56.25" customHeight="1">
      <c r="A75" s="5" t="s">
        <v>14537</v>
      </c>
      <c r="B75" s="6" t="str">
        <f>IMAGE("https://storage.googleapis.com/acdb/dresses/TopsTexOnepieceBoxLBathrobes6.png")</f>
        <v/>
      </c>
      <c r="C75" s="5" t="s">
        <v>39</v>
      </c>
      <c r="D75" s="5" t="s">
        <v>36</v>
      </c>
      <c r="E75" s="6">
        <v>720.0</v>
      </c>
      <c r="F75" s="6">
        <v>180.0</v>
      </c>
      <c r="G75" s="5" t="s">
        <v>39</v>
      </c>
      <c r="H75" s="5" t="s">
        <v>39</v>
      </c>
      <c r="I75" s="6" t="s">
        <v>40</v>
      </c>
      <c r="J75" s="5" t="s">
        <v>8585</v>
      </c>
      <c r="K75" s="5" t="s">
        <v>8586</v>
      </c>
      <c r="L75" s="6" t="s">
        <v>42</v>
      </c>
      <c r="M75" s="5" t="s">
        <v>995</v>
      </c>
      <c r="N75" s="5" t="s">
        <v>64</v>
      </c>
      <c r="O75" s="5" t="s">
        <v>14332</v>
      </c>
      <c r="P75" s="5" t="s">
        <v>14333</v>
      </c>
      <c r="Q75" s="5" t="s">
        <v>14548</v>
      </c>
      <c r="R75" s="6">
        <v>7822.0</v>
      </c>
    </row>
    <row r="76" ht="56.25" customHeight="1">
      <c r="A76" s="5" t="s">
        <v>14537</v>
      </c>
      <c r="B76" s="6" t="str">
        <f>IMAGE("https://storage.googleapis.com/acdb/dresses/TopsTexOnepieceBoxLBathrobes1.png")</f>
        <v/>
      </c>
      <c r="C76" s="5" t="s">
        <v>69</v>
      </c>
      <c r="D76" s="5" t="s">
        <v>36</v>
      </c>
      <c r="E76" s="6">
        <v>720.0</v>
      </c>
      <c r="F76" s="6">
        <v>180.0</v>
      </c>
      <c r="G76" s="5" t="s">
        <v>69</v>
      </c>
      <c r="H76" s="5" t="s">
        <v>69</v>
      </c>
      <c r="I76" s="6" t="s">
        <v>40</v>
      </c>
      <c r="J76" s="5" t="s">
        <v>8585</v>
      </c>
      <c r="K76" s="5" t="s">
        <v>8586</v>
      </c>
      <c r="L76" s="6" t="s">
        <v>42</v>
      </c>
      <c r="M76" s="5" t="s">
        <v>995</v>
      </c>
      <c r="N76" s="5" t="s">
        <v>64</v>
      </c>
      <c r="O76" s="5" t="s">
        <v>14332</v>
      </c>
      <c r="P76" s="5" t="s">
        <v>14333</v>
      </c>
      <c r="Q76" s="5" t="s">
        <v>14551</v>
      </c>
      <c r="R76" s="6">
        <v>7817.0</v>
      </c>
    </row>
    <row r="77" ht="56.25" customHeight="1">
      <c r="A77" s="5" t="s">
        <v>14537</v>
      </c>
      <c r="B77" s="6" t="str">
        <f>IMAGE("https://storage.googleapis.com/acdb/dresses/TopsTexOnepieceBoxLBathrobes2.png")</f>
        <v/>
      </c>
      <c r="C77" s="5" t="s">
        <v>68</v>
      </c>
      <c r="D77" s="5" t="s">
        <v>36</v>
      </c>
      <c r="E77" s="6">
        <v>720.0</v>
      </c>
      <c r="F77" s="6">
        <v>180.0</v>
      </c>
      <c r="G77" s="5" t="s">
        <v>83</v>
      </c>
      <c r="H77" s="5" t="s">
        <v>83</v>
      </c>
      <c r="I77" s="6" t="s">
        <v>40</v>
      </c>
      <c r="J77" s="5" t="s">
        <v>8585</v>
      </c>
      <c r="K77" s="5" t="s">
        <v>8586</v>
      </c>
      <c r="L77" s="6" t="s">
        <v>42</v>
      </c>
      <c r="M77" s="5" t="s">
        <v>995</v>
      </c>
      <c r="N77" s="5" t="s">
        <v>64</v>
      </c>
      <c r="O77" s="5" t="s">
        <v>14332</v>
      </c>
      <c r="P77" s="5" t="s">
        <v>14333</v>
      </c>
      <c r="Q77" s="5" t="s">
        <v>14555</v>
      </c>
      <c r="R77" s="6">
        <v>7818.0</v>
      </c>
    </row>
    <row r="78" ht="56.25" customHeight="1">
      <c r="A78" s="5" t="s">
        <v>14537</v>
      </c>
      <c r="B78" s="6" t="str">
        <f>IMAGE("https://storage.googleapis.com/acdb/dresses/TopsTexOnepieceBoxLBathrobes3.png")</f>
        <v/>
      </c>
      <c r="C78" s="5" t="s">
        <v>96</v>
      </c>
      <c r="D78" s="5" t="s">
        <v>36</v>
      </c>
      <c r="E78" s="6">
        <v>720.0</v>
      </c>
      <c r="F78" s="6">
        <v>180.0</v>
      </c>
      <c r="G78" s="5" t="s">
        <v>96</v>
      </c>
      <c r="H78" s="5" t="s">
        <v>96</v>
      </c>
      <c r="I78" s="6" t="s">
        <v>40</v>
      </c>
      <c r="J78" s="5" t="s">
        <v>8585</v>
      </c>
      <c r="K78" s="5" t="s">
        <v>8586</v>
      </c>
      <c r="L78" s="6" t="s">
        <v>42</v>
      </c>
      <c r="M78" s="5" t="s">
        <v>995</v>
      </c>
      <c r="N78" s="5" t="s">
        <v>64</v>
      </c>
      <c r="O78" s="5" t="s">
        <v>14332</v>
      </c>
      <c r="P78" s="5" t="s">
        <v>14333</v>
      </c>
      <c r="Q78" s="5" t="s">
        <v>14556</v>
      </c>
      <c r="R78" s="6">
        <v>7819.0</v>
      </c>
    </row>
    <row r="79" ht="56.25" customHeight="1">
      <c r="A79" s="5" t="s">
        <v>14558</v>
      </c>
      <c r="B79" s="6" t="str">
        <f>IMAGE("https://storage.googleapis.com/acdb/dresses/TopsTexOnepieceOverallLBear1.png")</f>
        <v/>
      </c>
      <c r="C79" s="5" t="s">
        <v>54</v>
      </c>
      <c r="D79" s="5" t="s">
        <v>36</v>
      </c>
      <c r="E79" s="6">
        <v>1700.0</v>
      </c>
      <c r="F79" s="6">
        <v>425.0</v>
      </c>
      <c r="G79" s="5" t="s">
        <v>54</v>
      </c>
      <c r="H79" s="5" t="s">
        <v>38</v>
      </c>
      <c r="I79" s="6" t="s">
        <v>40</v>
      </c>
      <c r="J79" s="5" t="s">
        <v>8585</v>
      </c>
      <c r="K79" s="5" t="s">
        <v>8586</v>
      </c>
      <c r="L79" s="6" t="s">
        <v>42</v>
      </c>
      <c r="M79" s="5" t="s">
        <v>1959</v>
      </c>
      <c r="N79" s="5" t="s">
        <v>64</v>
      </c>
      <c r="O79" s="5" t="s">
        <v>14358</v>
      </c>
      <c r="P79" s="5" t="s">
        <v>14333</v>
      </c>
      <c r="Q79" s="5" t="s">
        <v>14560</v>
      </c>
      <c r="R79" s="6">
        <v>9628.0</v>
      </c>
    </row>
    <row r="80" ht="56.25" customHeight="1">
      <c r="A80" s="5" t="s">
        <v>14558</v>
      </c>
      <c r="B80" s="6" t="str">
        <f>IMAGE("https://storage.googleapis.com/acdb/dresses/TopsTexOnepieceOverallLBear2.png")</f>
        <v/>
      </c>
      <c r="C80" s="5" t="s">
        <v>69</v>
      </c>
      <c r="D80" s="5" t="s">
        <v>36</v>
      </c>
      <c r="E80" s="6">
        <v>1700.0</v>
      </c>
      <c r="F80" s="6">
        <v>425.0</v>
      </c>
      <c r="G80" s="5" t="s">
        <v>69</v>
      </c>
      <c r="H80" s="5" t="s">
        <v>38</v>
      </c>
      <c r="I80" s="6" t="s">
        <v>40</v>
      </c>
      <c r="J80" s="5" t="s">
        <v>8585</v>
      </c>
      <c r="K80" s="5" t="s">
        <v>8586</v>
      </c>
      <c r="L80" s="6" t="s">
        <v>42</v>
      </c>
      <c r="M80" s="5" t="s">
        <v>1959</v>
      </c>
      <c r="N80" s="5" t="s">
        <v>64</v>
      </c>
      <c r="O80" s="5" t="s">
        <v>14358</v>
      </c>
      <c r="P80" s="5" t="s">
        <v>14333</v>
      </c>
      <c r="Q80" s="5" t="s">
        <v>14563</v>
      </c>
      <c r="R80" s="6">
        <v>9629.0</v>
      </c>
    </row>
    <row r="81" ht="56.25" customHeight="1">
      <c r="A81" s="5" t="s">
        <v>14558</v>
      </c>
      <c r="B81" s="6" t="str">
        <f>IMAGE("https://storage.googleapis.com/acdb/dresses/TopsTexOnepieceOverallLBear0.png")</f>
        <v/>
      </c>
      <c r="C81" s="5" t="s">
        <v>39</v>
      </c>
      <c r="D81" s="5" t="s">
        <v>36</v>
      </c>
      <c r="E81" s="6">
        <v>1700.0</v>
      </c>
      <c r="F81" s="6">
        <v>425.0</v>
      </c>
      <c r="G81" s="5" t="s">
        <v>39</v>
      </c>
      <c r="H81" s="5" t="s">
        <v>38</v>
      </c>
      <c r="I81" s="6" t="s">
        <v>40</v>
      </c>
      <c r="J81" s="5" t="s">
        <v>8585</v>
      </c>
      <c r="K81" s="5" t="s">
        <v>8586</v>
      </c>
      <c r="L81" s="6" t="s">
        <v>42</v>
      </c>
      <c r="M81" s="5" t="s">
        <v>1959</v>
      </c>
      <c r="N81" s="5" t="s">
        <v>64</v>
      </c>
      <c r="O81" s="5" t="s">
        <v>14358</v>
      </c>
      <c r="P81" s="5" t="s">
        <v>14333</v>
      </c>
      <c r="Q81" s="5" t="s">
        <v>14566</v>
      </c>
      <c r="R81" s="6">
        <v>3417.0</v>
      </c>
    </row>
    <row r="82" ht="56.25" customHeight="1">
      <c r="A82" s="5" t="s">
        <v>14558</v>
      </c>
      <c r="B82" s="6" t="str">
        <f>IMAGE("https://storage.googleapis.com/acdb/dresses/TopsTexOnepieceOverallLBear3.png")</f>
        <v/>
      </c>
      <c r="C82" s="5" t="s">
        <v>68</v>
      </c>
      <c r="D82" s="5" t="s">
        <v>36</v>
      </c>
      <c r="E82" s="6">
        <v>1700.0</v>
      </c>
      <c r="F82" s="6">
        <v>425.0</v>
      </c>
      <c r="G82" s="5" t="s">
        <v>83</v>
      </c>
      <c r="H82" s="5" t="s">
        <v>57</v>
      </c>
      <c r="I82" s="6" t="s">
        <v>40</v>
      </c>
      <c r="J82" s="5" t="s">
        <v>8585</v>
      </c>
      <c r="K82" s="5" t="s">
        <v>8586</v>
      </c>
      <c r="L82" s="6" t="s">
        <v>42</v>
      </c>
      <c r="M82" s="5" t="s">
        <v>1959</v>
      </c>
      <c r="N82" s="5" t="s">
        <v>64</v>
      </c>
      <c r="O82" s="5" t="s">
        <v>14358</v>
      </c>
      <c r="P82" s="5" t="s">
        <v>14333</v>
      </c>
      <c r="Q82" s="5" t="s">
        <v>14569</v>
      </c>
      <c r="R82" s="6">
        <v>9630.0</v>
      </c>
    </row>
    <row r="83" ht="56.25" customHeight="1">
      <c r="A83" s="5" t="s">
        <v>14572</v>
      </c>
      <c r="B83" s="6" t="str">
        <f>IMAGE("https://storage.googleapis.com/acdb/dresses/TopsTexOnepieceAlongLUzbek1.png")</f>
        <v/>
      </c>
      <c r="C83" s="5" t="s">
        <v>68</v>
      </c>
      <c r="D83" s="5" t="s">
        <v>36</v>
      </c>
      <c r="E83" s="6">
        <v>2520.0</v>
      </c>
      <c r="F83" s="6">
        <v>630.0</v>
      </c>
      <c r="G83" s="5" t="s">
        <v>83</v>
      </c>
      <c r="H83" s="5" t="s">
        <v>68</v>
      </c>
      <c r="I83" s="6" t="s">
        <v>40</v>
      </c>
      <c r="J83" s="5" t="s">
        <v>8585</v>
      </c>
      <c r="K83" s="5" t="s">
        <v>8586</v>
      </c>
      <c r="L83" s="6" t="s">
        <v>42</v>
      </c>
      <c r="M83" s="5" t="s">
        <v>612</v>
      </c>
      <c r="N83" s="5" t="s">
        <v>64</v>
      </c>
      <c r="O83" s="5" t="s">
        <v>14574</v>
      </c>
      <c r="P83" s="5" t="s">
        <v>14333</v>
      </c>
      <c r="Q83" s="5" t="s">
        <v>14575</v>
      </c>
      <c r="R83" s="6">
        <v>11995.0</v>
      </c>
    </row>
    <row r="84" ht="56.25" customHeight="1">
      <c r="A84" s="5" t="s">
        <v>14572</v>
      </c>
      <c r="B84" s="6" t="str">
        <f>IMAGE("https://storage.googleapis.com/acdb/dresses/TopsTexOnepieceAlongLUzbek2.png")</f>
        <v/>
      </c>
      <c r="C84" s="5" t="s">
        <v>2408</v>
      </c>
      <c r="D84" s="5" t="s">
        <v>36</v>
      </c>
      <c r="E84" s="6">
        <v>2520.0</v>
      </c>
      <c r="F84" s="6">
        <v>630.0</v>
      </c>
      <c r="G84" s="5" t="s">
        <v>142</v>
      </c>
      <c r="H84" s="5" t="s">
        <v>39</v>
      </c>
      <c r="I84" s="6" t="s">
        <v>40</v>
      </c>
      <c r="J84" s="5" t="s">
        <v>8585</v>
      </c>
      <c r="K84" s="5" t="s">
        <v>8586</v>
      </c>
      <c r="L84" s="6" t="s">
        <v>42</v>
      </c>
      <c r="M84" s="5" t="s">
        <v>612</v>
      </c>
      <c r="N84" s="5" t="s">
        <v>64</v>
      </c>
      <c r="O84" s="5" t="s">
        <v>14574</v>
      </c>
      <c r="P84" s="5" t="s">
        <v>14333</v>
      </c>
      <c r="Q84" s="5" t="s">
        <v>14578</v>
      </c>
      <c r="R84" s="6">
        <v>11996.0</v>
      </c>
    </row>
    <row r="85" ht="56.25" customHeight="1">
      <c r="A85" s="5" t="s">
        <v>14572</v>
      </c>
      <c r="B85" s="6" t="str">
        <f>IMAGE("https://storage.googleapis.com/acdb/dresses/TopsTexOnepieceAlongLUzbek3.png")</f>
        <v/>
      </c>
      <c r="C85" s="5" t="s">
        <v>106</v>
      </c>
      <c r="D85" s="5" t="s">
        <v>36</v>
      </c>
      <c r="E85" s="6">
        <v>2520.0</v>
      </c>
      <c r="F85" s="6">
        <v>630.0</v>
      </c>
      <c r="G85" s="5" t="s">
        <v>106</v>
      </c>
      <c r="H85" s="5" t="s">
        <v>69</v>
      </c>
      <c r="I85" s="6" t="s">
        <v>40</v>
      </c>
      <c r="J85" s="5" t="s">
        <v>8585</v>
      </c>
      <c r="K85" s="5" t="s">
        <v>8586</v>
      </c>
      <c r="L85" s="6" t="s">
        <v>42</v>
      </c>
      <c r="M85" s="5" t="s">
        <v>612</v>
      </c>
      <c r="N85" s="5" t="s">
        <v>64</v>
      </c>
      <c r="O85" s="5" t="s">
        <v>14574</v>
      </c>
      <c r="P85" s="5" t="s">
        <v>14333</v>
      </c>
      <c r="Q85" s="5" t="s">
        <v>14580</v>
      </c>
      <c r="R85" s="6">
        <v>11997.0</v>
      </c>
    </row>
    <row r="86" ht="56.25" customHeight="1">
      <c r="A86" s="5" t="s">
        <v>14572</v>
      </c>
      <c r="B86" s="6" t="str">
        <f>IMAGE("https://storage.googleapis.com/acdb/dresses/TopsTexOnepieceAlongLUzbek0.png")</f>
        <v/>
      </c>
      <c r="C86" s="5" t="s">
        <v>52</v>
      </c>
      <c r="D86" s="5" t="s">
        <v>36</v>
      </c>
      <c r="E86" s="6">
        <v>2520.0</v>
      </c>
      <c r="F86" s="6">
        <v>630.0</v>
      </c>
      <c r="G86" s="5" t="s">
        <v>52</v>
      </c>
      <c r="H86" s="5" t="s">
        <v>39</v>
      </c>
      <c r="I86" s="6" t="s">
        <v>40</v>
      </c>
      <c r="J86" s="5" t="s">
        <v>8585</v>
      </c>
      <c r="K86" s="5" t="s">
        <v>8586</v>
      </c>
      <c r="L86" s="6" t="s">
        <v>42</v>
      </c>
      <c r="M86" s="5" t="s">
        <v>612</v>
      </c>
      <c r="N86" s="5" t="s">
        <v>64</v>
      </c>
      <c r="O86" s="5" t="s">
        <v>14574</v>
      </c>
      <c r="P86" s="5" t="s">
        <v>14333</v>
      </c>
      <c r="Q86" s="5" t="s">
        <v>14583</v>
      </c>
      <c r="R86" s="6">
        <v>10906.0</v>
      </c>
    </row>
    <row r="87" ht="56.25" customHeight="1">
      <c r="A87" s="5" t="s">
        <v>14585</v>
      </c>
      <c r="B87" s="6" t="str">
        <f>IMAGE("https://storage.googleapis.com/acdb/dresses/TopsTexOnepieceBalloonHPolkadot1.png")</f>
        <v/>
      </c>
      <c r="C87" s="5" t="s">
        <v>69</v>
      </c>
      <c r="D87" s="5" t="s">
        <v>36</v>
      </c>
      <c r="E87" s="6">
        <v>2000.0</v>
      </c>
      <c r="F87" s="6">
        <v>500.0</v>
      </c>
      <c r="G87" s="5" t="s">
        <v>69</v>
      </c>
      <c r="H87" s="5" t="s">
        <v>57</v>
      </c>
      <c r="I87" s="6" t="s">
        <v>40</v>
      </c>
      <c r="J87" s="5" t="s">
        <v>8585</v>
      </c>
      <c r="K87" s="5" t="s">
        <v>8632</v>
      </c>
      <c r="L87" s="6" t="s">
        <v>42</v>
      </c>
      <c r="M87" s="5" t="s">
        <v>1959</v>
      </c>
      <c r="N87" s="5" t="s">
        <v>64</v>
      </c>
      <c r="O87" s="5" t="s">
        <v>14344</v>
      </c>
      <c r="P87" s="5" t="s">
        <v>14345</v>
      </c>
      <c r="Q87" s="5" t="s">
        <v>14587</v>
      </c>
      <c r="R87" s="6">
        <v>8866.0</v>
      </c>
    </row>
    <row r="88" ht="56.25" customHeight="1">
      <c r="A88" s="5" t="s">
        <v>14585</v>
      </c>
      <c r="B88" s="6" t="str">
        <f>IMAGE("https://storage.googleapis.com/acdb/dresses/TopsTexOnepieceBalloonHPolkadot2.png")</f>
        <v/>
      </c>
      <c r="C88" s="5" t="s">
        <v>114</v>
      </c>
      <c r="D88" s="5" t="s">
        <v>36</v>
      </c>
      <c r="E88" s="6">
        <v>2000.0</v>
      </c>
      <c r="F88" s="6">
        <v>500.0</v>
      </c>
      <c r="G88" s="5" t="s">
        <v>114</v>
      </c>
      <c r="H88" s="5" t="s">
        <v>57</v>
      </c>
      <c r="I88" s="6" t="s">
        <v>40</v>
      </c>
      <c r="J88" s="5" t="s">
        <v>8585</v>
      </c>
      <c r="K88" s="5" t="s">
        <v>8632</v>
      </c>
      <c r="L88" s="6" t="s">
        <v>42</v>
      </c>
      <c r="M88" s="5" t="s">
        <v>1959</v>
      </c>
      <c r="N88" s="5" t="s">
        <v>64</v>
      </c>
      <c r="O88" s="5" t="s">
        <v>14344</v>
      </c>
      <c r="P88" s="5" t="s">
        <v>14345</v>
      </c>
      <c r="Q88" s="5" t="s">
        <v>14588</v>
      </c>
      <c r="R88" s="6">
        <v>8867.0</v>
      </c>
    </row>
    <row r="89" ht="56.25" customHeight="1">
      <c r="A89" s="5" t="s">
        <v>14585</v>
      </c>
      <c r="B89" s="6" t="str">
        <f>IMAGE("https://storage.googleapis.com/acdb/dresses/TopsTexOnepieceBalloonHPolkadot3.png")</f>
        <v/>
      </c>
      <c r="C89" s="5" t="s">
        <v>96</v>
      </c>
      <c r="D89" s="5" t="s">
        <v>36</v>
      </c>
      <c r="E89" s="6">
        <v>2000.0</v>
      </c>
      <c r="F89" s="6">
        <v>500.0</v>
      </c>
      <c r="G89" s="5" t="s">
        <v>96</v>
      </c>
      <c r="H89" s="5" t="s">
        <v>57</v>
      </c>
      <c r="I89" s="6" t="s">
        <v>40</v>
      </c>
      <c r="J89" s="5" t="s">
        <v>8585</v>
      </c>
      <c r="K89" s="5" t="s">
        <v>8632</v>
      </c>
      <c r="L89" s="6" t="s">
        <v>42</v>
      </c>
      <c r="M89" s="5" t="s">
        <v>1959</v>
      </c>
      <c r="N89" s="5" t="s">
        <v>64</v>
      </c>
      <c r="O89" s="5" t="s">
        <v>14344</v>
      </c>
      <c r="P89" s="5" t="s">
        <v>14345</v>
      </c>
      <c r="Q89" s="5" t="s">
        <v>14591</v>
      </c>
      <c r="R89" s="6">
        <v>8868.0</v>
      </c>
    </row>
    <row r="90" ht="56.25" customHeight="1">
      <c r="A90" s="5" t="s">
        <v>14585</v>
      </c>
      <c r="B90" s="6" t="str">
        <f>IMAGE("https://storage.googleapis.com/acdb/dresses/TopsTexOnepieceBalloonHPolkadot0.png")</f>
        <v/>
      </c>
      <c r="C90" s="5" t="s">
        <v>83</v>
      </c>
      <c r="D90" s="5" t="s">
        <v>36</v>
      </c>
      <c r="E90" s="6">
        <v>2000.0</v>
      </c>
      <c r="F90" s="6">
        <v>500.0</v>
      </c>
      <c r="G90" s="5" t="s">
        <v>83</v>
      </c>
      <c r="H90" s="5" t="s">
        <v>57</v>
      </c>
      <c r="I90" s="6" t="s">
        <v>40</v>
      </c>
      <c r="J90" s="5" t="s">
        <v>8585</v>
      </c>
      <c r="K90" s="5" t="s">
        <v>8632</v>
      </c>
      <c r="L90" s="6" t="s">
        <v>42</v>
      </c>
      <c r="M90" s="5" t="s">
        <v>1959</v>
      </c>
      <c r="N90" s="5" t="s">
        <v>64</v>
      </c>
      <c r="O90" s="5" t="s">
        <v>14344</v>
      </c>
      <c r="P90" s="5" t="s">
        <v>14345</v>
      </c>
      <c r="Q90" s="5" t="s">
        <v>14593</v>
      </c>
      <c r="R90" s="6">
        <v>3054.0</v>
      </c>
    </row>
    <row r="91" ht="56.25" customHeight="1">
      <c r="A91" s="5" t="s">
        <v>14594</v>
      </c>
      <c r="B91" s="6" t="str">
        <f>IMAGE("https://storage.googleapis.com/acdb/dresses/TopsTexOnepieceKimonoLBingata0.png")</f>
        <v/>
      </c>
      <c r="C91" s="5" t="s">
        <v>114</v>
      </c>
      <c r="D91" s="5" t="s">
        <v>36</v>
      </c>
      <c r="E91" s="6">
        <v>2520.0</v>
      </c>
      <c r="F91" s="6">
        <v>630.0</v>
      </c>
      <c r="G91" s="5" t="s">
        <v>114</v>
      </c>
      <c r="H91" s="5" t="s">
        <v>52</v>
      </c>
      <c r="I91" s="6" t="s">
        <v>40</v>
      </c>
      <c r="J91" s="5" t="s">
        <v>8585</v>
      </c>
      <c r="K91" s="5" t="s">
        <v>8586</v>
      </c>
      <c r="L91" s="6" t="s">
        <v>42</v>
      </c>
      <c r="M91" s="5" t="s">
        <v>1059</v>
      </c>
      <c r="N91" s="5" t="s">
        <v>64</v>
      </c>
      <c r="O91" s="5" t="s">
        <v>6513</v>
      </c>
      <c r="P91" s="5" t="s">
        <v>14333</v>
      </c>
      <c r="Q91" s="5" t="s">
        <v>14597</v>
      </c>
      <c r="R91" s="6">
        <v>10908.0</v>
      </c>
    </row>
    <row r="92" ht="56.25" customHeight="1">
      <c r="A92" s="5" t="s">
        <v>14598</v>
      </c>
      <c r="B92" s="6" t="str">
        <f>IMAGE("https://storage.googleapis.com/acdb/dresses/TopsTexOnepieceAlineHFlower0.png")</f>
        <v/>
      </c>
      <c r="C92" s="5" t="s">
        <v>69</v>
      </c>
      <c r="D92" s="5" t="s">
        <v>36</v>
      </c>
      <c r="E92" s="6">
        <v>1500.0</v>
      </c>
      <c r="F92" s="6">
        <v>375.0</v>
      </c>
      <c r="G92" s="5" t="s">
        <v>69</v>
      </c>
      <c r="H92" s="5" t="s">
        <v>57</v>
      </c>
      <c r="I92" s="6" t="s">
        <v>40</v>
      </c>
      <c r="J92" s="5" t="s">
        <v>8585</v>
      </c>
      <c r="K92" s="5" t="s">
        <v>8632</v>
      </c>
      <c r="L92" s="6" t="s">
        <v>42</v>
      </c>
      <c r="M92" s="5" t="s">
        <v>1959</v>
      </c>
      <c r="N92" s="5" t="s">
        <v>64</v>
      </c>
      <c r="O92" s="5" t="s">
        <v>14411</v>
      </c>
      <c r="P92" s="5" t="s">
        <v>14345</v>
      </c>
      <c r="Q92" s="5" t="s">
        <v>14601</v>
      </c>
      <c r="R92" s="6">
        <v>3069.0</v>
      </c>
    </row>
    <row r="93" ht="56.25" customHeight="1">
      <c r="A93" s="5" t="s">
        <v>14598</v>
      </c>
      <c r="B93" s="6" t="str">
        <f>IMAGE("https://storage.googleapis.com/acdb/dresses/TopsTexOnepieceAlineHFlower1.png")</f>
        <v/>
      </c>
      <c r="C93" s="5" t="s">
        <v>68</v>
      </c>
      <c r="D93" s="5" t="s">
        <v>36</v>
      </c>
      <c r="E93" s="6">
        <v>1500.0</v>
      </c>
      <c r="F93" s="6">
        <v>375.0</v>
      </c>
      <c r="G93" s="5" t="s">
        <v>83</v>
      </c>
      <c r="H93" s="5" t="s">
        <v>57</v>
      </c>
      <c r="I93" s="6" t="s">
        <v>40</v>
      </c>
      <c r="J93" s="5" t="s">
        <v>8585</v>
      </c>
      <c r="K93" s="5" t="s">
        <v>8632</v>
      </c>
      <c r="L93" s="6" t="s">
        <v>42</v>
      </c>
      <c r="M93" s="5" t="s">
        <v>1959</v>
      </c>
      <c r="N93" s="5" t="s">
        <v>64</v>
      </c>
      <c r="O93" s="5" t="s">
        <v>14411</v>
      </c>
      <c r="P93" s="5" t="s">
        <v>14345</v>
      </c>
      <c r="Q93" s="5" t="s">
        <v>14603</v>
      </c>
      <c r="R93" s="6">
        <v>8806.0</v>
      </c>
    </row>
    <row r="94" ht="56.25" customHeight="1">
      <c r="A94" s="5" t="s">
        <v>14598</v>
      </c>
      <c r="B94" s="6" t="str">
        <f>IMAGE("https://storage.googleapis.com/acdb/dresses/TopsTexOnepieceAlineHFlower2.png")</f>
        <v/>
      </c>
      <c r="C94" s="5" t="s">
        <v>114</v>
      </c>
      <c r="D94" s="5" t="s">
        <v>36</v>
      </c>
      <c r="E94" s="6">
        <v>1500.0</v>
      </c>
      <c r="F94" s="6">
        <v>375.0</v>
      </c>
      <c r="G94" s="5" t="s">
        <v>114</v>
      </c>
      <c r="H94" s="5" t="s">
        <v>57</v>
      </c>
      <c r="I94" s="6" t="s">
        <v>40</v>
      </c>
      <c r="J94" s="5" t="s">
        <v>8585</v>
      </c>
      <c r="K94" s="5" t="s">
        <v>8632</v>
      </c>
      <c r="L94" s="6" t="s">
        <v>42</v>
      </c>
      <c r="M94" s="5" t="s">
        <v>1959</v>
      </c>
      <c r="N94" s="5" t="s">
        <v>64</v>
      </c>
      <c r="O94" s="5" t="s">
        <v>14411</v>
      </c>
      <c r="P94" s="5" t="s">
        <v>14345</v>
      </c>
      <c r="Q94" s="5" t="s">
        <v>14606</v>
      </c>
      <c r="R94" s="6">
        <v>8807.0</v>
      </c>
    </row>
    <row r="95" ht="56.25" customHeight="1">
      <c r="A95" s="5" t="s">
        <v>14598</v>
      </c>
      <c r="B95" s="6" t="str">
        <f>IMAGE("https://storage.googleapis.com/acdb/dresses/TopsTexOnepieceAlineHFlower3.png")</f>
        <v/>
      </c>
      <c r="C95" s="5" t="s">
        <v>96</v>
      </c>
      <c r="D95" s="5" t="s">
        <v>36</v>
      </c>
      <c r="E95" s="6">
        <v>1500.0</v>
      </c>
      <c r="F95" s="6">
        <v>375.0</v>
      </c>
      <c r="G95" s="5" t="s">
        <v>96</v>
      </c>
      <c r="H95" s="5" t="s">
        <v>57</v>
      </c>
      <c r="I95" s="6" t="s">
        <v>40</v>
      </c>
      <c r="J95" s="5" t="s">
        <v>8585</v>
      </c>
      <c r="K95" s="5" t="s">
        <v>8632</v>
      </c>
      <c r="L95" s="6" t="s">
        <v>42</v>
      </c>
      <c r="M95" s="5" t="s">
        <v>1959</v>
      </c>
      <c r="N95" s="5" t="s">
        <v>64</v>
      </c>
      <c r="O95" s="5" t="s">
        <v>14411</v>
      </c>
      <c r="P95" s="5" t="s">
        <v>14345</v>
      </c>
      <c r="Q95" s="5" t="s">
        <v>14609</v>
      </c>
      <c r="R95" s="6">
        <v>8808.0</v>
      </c>
    </row>
    <row r="96" ht="56.25" customHeight="1">
      <c r="A96" s="5" t="s">
        <v>14598</v>
      </c>
      <c r="B96" s="6" t="str">
        <f>IMAGE("https://storage.googleapis.com/acdb/dresses/TopsTexOnepieceAlineHFlower4.png")</f>
        <v/>
      </c>
      <c r="C96" s="5" t="s">
        <v>106</v>
      </c>
      <c r="D96" s="5" t="s">
        <v>36</v>
      </c>
      <c r="E96" s="6">
        <v>1500.0</v>
      </c>
      <c r="F96" s="6">
        <v>375.0</v>
      </c>
      <c r="G96" s="5" t="s">
        <v>106</v>
      </c>
      <c r="H96" s="5" t="s">
        <v>57</v>
      </c>
      <c r="I96" s="6" t="s">
        <v>40</v>
      </c>
      <c r="J96" s="5" t="s">
        <v>8585</v>
      </c>
      <c r="K96" s="5" t="s">
        <v>8632</v>
      </c>
      <c r="L96" s="6" t="s">
        <v>42</v>
      </c>
      <c r="M96" s="5" t="s">
        <v>1959</v>
      </c>
      <c r="N96" s="5" t="s">
        <v>64</v>
      </c>
      <c r="O96" s="5" t="s">
        <v>14411</v>
      </c>
      <c r="P96" s="5" t="s">
        <v>14345</v>
      </c>
      <c r="Q96" s="5" t="s">
        <v>14613</v>
      </c>
      <c r="R96" s="6">
        <v>8809.0</v>
      </c>
    </row>
    <row r="97" ht="56.25" customHeight="1">
      <c r="A97" s="5" t="s">
        <v>14614</v>
      </c>
      <c r="B97" s="6" t="str">
        <f>IMAGE("https://storage.googleapis.com/acdb/dresses/TopsTexOnepieceKimonoLUme0.png")</f>
        <v/>
      </c>
      <c r="C97" s="5" t="s">
        <v>69</v>
      </c>
      <c r="D97" s="5" t="s">
        <v>36</v>
      </c>
      <c r="E97" s="6">
        <v>3220.0</v>
      </c>
      <c r="F97" s="6">
        <v>805.0</v>
      </c>
      <c r="G97" s="5" t="s">
        <v>69</v>
      </c>
      <c r="H97" s="5" t="s">
        <v>52</v>
      </c>
      <c r="I97" s="6" t="s">
        <v>40</v>
      </c>
      <c r="J97" s="5" t="s">
        <v>8585</v>
      </c>
      <c r="K97" s="5" t="s">
        <v>8586</v>
      </c>
      <c r="L97" s="6" t="s">
        <v>42</v>
      </c>
      <c r="M97" s="5" t="s">
        <v>1059</v>
      </c>
      <c r="N97" s="5" t="s">
        <v>64</v>
      </c>
      <c r="O97" s="5" t="s">
        <v>6513</v>
      </c>
      <c r="P97" s="5" t="s">
        <v>14333</v>
      </c>
      <c r="Q97" s="5" t="s">
        <v>14616</v>
      </c>
      <c r="R97" s="6">
        <v>3572.0</v>
      </c>
    </row>
    <row r="98" ht="56.25" customHeight="1">
      <c r="A98" s="5" t="s">
        <v>14614</v>
      </c>
      <c r="B98" s="6" t="str">
        <f>IMAGE("https://storage.googleapis.com/acdb/dresses/TopsTexOnepieceKimonoLUme1.png")</f>
        <v/>
      </c>
      <c r="C98" s="5" t="s">
        <v>12421</v>
      </c>
      <c r="D98" s="5" t="s">
        <v>36</v>
      </c>
      <c r="E98" s="6">
        <v>3220.0</v>
      </c>
      <c r="F98" s="6">
        <v>805.0</v>
      </c>
      <c r="G98" s="5" t="s">
        <v>96</v>
      </c>
      <c r="H98" s="5" t="s">
        <v>96</v>
      </c>
      <c r="I98" s="6" t="s">
        <v>40</v>
      </c>
      <c r="J98" s="5" t="s">
        <v>8585</v>
      </c>
      <c r="K98" s="5" t="s">
        <v>8586</v>
      </c>
      <c r="L98" s="6" t="s">
        <v>42</v>
      </c>
      <c r="M98" s="5" t="s">
        <v>1059</v>
      </c>
      <c r="N98" s="5" t="s">
        <v>64</v>
      </c>
      <c r="O98" s="5" t="s">
        <v>6513</v>
      </c>
      <c r="P98" s="5" t="s">
        <v>14333</v>
      </c>
      <c r="Q98" s="5" t="s">
        <v>14619</v>
      </c>
      <c r="R98" s="6">
        <v>8980.0</v>
      </c>
    </row>
    <row r="99" ht="56.25" customHeight="1">
      <c r="A99" s="5" t="s">
        <v>14620</v>
      </c>
      <c r="B99" s="6" t="str">
        <f>IMAGE("https://storage.googleapis.com/acdb/dresses/TopsTexOnepieceRibLBore1.png")</f>
        <v/>
      </c>
      <c r="C99" s="5" t="s">
        <v>106</v>
      </c>
      <c r="D99" s="5" t="s">
        <v>36</v>
      </c>
      <c r="E99" s="6">
        <v>1800.0</v>
      </c>
      <c r="F99" s="6">
        <v>450.0</v>
      </c>
      <c r="G99" s="5" t="s">
        <v>106</v>
      </c>
      <c r="H99" s="5" t="s">
        <v>106</v>
      </c>
      <c r="I99" s="6" t="s">
        <v>40</v>
      </c>
      <c r="J99" s="5" t="s">
        <v>8585</v>
      </c>
      <c r="K99" s="5" t="s">
        <v>8632</v>
      </c>
      <c r="L99" s="6" t="s">
        <v>42</v>
      </c>
      <c r="M99" s="5" t="s">
        <v>995</v>
      </c>
      <c r="N99" s="5" t="s">
        <v>64</v>
      </c>
      <c r="O99" s="5" t="s">
        <v>14463</v>
      </c>
      <c r="P99" s="5" t="s">
        <v>14333</v>
      </c>
      <c r="Q99" s="5" t="s">
        <v>14623</v>
      </c>
      <c r="R99" s="6">
        <v>7981.0</v>
      </c>
    </row>
    <row r="100" ht="56.25" customHeight="1">
      <c r="A100" s="5" t="s">
        <v>14620</v>
      </c>
      <c r="B100" s="6" t="str">
        <f>IMAGE("https://storage.googleapis.com/acdb/dresses/TopsTexOnepieceRibLBore2.png")</f>
        <v/>
      </c>
      <c r="C100" s="5" t="s">
        <v>95</v>
      </c>
      <c r="D100" s="5" t="s">
        <v>36</v>
      </c>
      <c r="E100" s="6">
        <v>1800.0</v>
      </c>
      <c r="F100" s="6">
        <v>450.0</v>
      </c>
      <c r="G100" s="5" t="s">
        <v>95</v>
      </c>
      <c r="H100" s="5" t="s">
        <v>95</v>
      </c>
      <c r="I100" s="6" t="s">
        <v>40</v>
      </c>
      <c r="J100" s="5" t="s">
        <v>8585</v>
      </c>
      <c r="K100" s="5" t="s">
        <v>8632</v>
      </c>
      <c r="L100" s="6" t="s">
        <v>42</v>
      </c>
      <c r="M100" s="5" t="s">
        <v>995</v>
      </c>
      <c r="N100" s="5" t="s">
        <v>64</v>
      </c>
      <c r="O100" s="5" t="s">
        <v>14463</v>
      </c>
      <c r="P100" s="5" t="s">
        <v>14333</v>
      </c>
      <c r="Q100" s="5" t="s">
        <v>14624</v>
      </c>
      <c r="R100" s="6">
        <v>7982.0</v>
      </c>
    </row>
    <row r="101" ht="56.25" customHeight="1">
      <c r="A101" s="5" t="s">
        <v>14620</v>
      </c>
      <c r="B101" s="6" t="str">
        <f>IMAGE("https://storage.googleapis.com/acdb/dresses/TopsTexOnepieceRibLBore3.png")</f>
        <v/>
      </c>
      <c r="C101" s="5" t="s">
        <v>69</v>
      </c>
      <c r="D101" s="5" t="s">
        <v>36</v>
      </c>
      <c r="E101" s="6">
        <v>1800.0</v>
      </c>
      <c r="F101" s="6">
        <v>450.0</v>
      </c>
      <c r="G101" s="5" t="s">
        <v>69</v>
      </c>
      <c r="H101" s="5" t="s">
        <v>69</v>
      </c>
      <c r="I101" s="6" t="s">
        <v>40</v>
      </c>
      <c r="J101" s="5" t="s">
        <v>8585</v>
      </c>
      <c r="K101" s="5" t="s">
        <v>8632</v>
      </c>
      <c r="L101" s="6" t="s">
        <v>42</v>
      </c>
      <c r="M101" s="5" t="s">
        <v>995</v>
      </c>
      <c r="N101" s="5" t="s">
        <v>64</v>
      </c>
      <c r="O101" s="5" t="s">
        <v>14463</v>
      </c>
      <c r="P101" s="5" t="s">
        <v>14333</v>
      </c>
      <c r="Q101" s="5" t="s">
        <v>14627</v>
      </c>
      <c r="R101" s="6">
        <v>7983.0</v>
      </c>
    </row>
    <row r="102" ht="56.25" customHeight="1">
      <c r="A102" s="5" t="s">
        <v>14620</v>
      </c>
      <c r="B102" s="6" t="str">
        <f>IMAGE("https://storage.googleapis.com/acdb/dresses/TopsTexOnepieceRibLBore0.png")</f>
        <v/>
      </c>
      <c r="C102" s="5" t="s">
        <v>9021</v>
      </c>
      <c r="D102" s="5" t="s">
        <v>36</v>
      </c>
      <c r="E102" s="6">
        <v>1800.0</v>
      </c>
      <c r="F102" s="6">
        <v>450.0</v>
      </c>
      <c r="G102" s="5" t="s">
        <v>96</v>
      </c>
      <c r="H102" s="5" t="s">
        <v>96</v>
      </c>
      <c r="I102" s="6" t="s">
        <v>40</v>
      </c>
      <c r="J102" s="5" t="s">
        <v>8585</v>
      </c>
      <c r="K102" s="5" t="s">
        <v>8632</v>
      </c>
      <c r="L102" s="6" t="s">
        <v>42</v>
      </c>
      <c r="M102" s="5" t="s">
        <v>995</v>
      </c>
      <c r="N102" s="5" t="s">
        <v>64</v>
      </c>
      <c r="O102" s="5" t="s">
        <v>14463</v>
      </c>
      <c r="P102" s="5" t="s">
        <v>14333</v>
      </c>
      <c r="Q102" s="5" t="s">
        <v>14630</v>
      </c>
      <c r="R102" s="6">
        <v>4604.0</v>
      </c>
    </row>
    <row r="103" ht="56.25" customHeight="1">
      <c r="A103" s="5" t="s">
        <v>14631</v>
      </c>
      <c r="B103" s="6" t="str">
        <f>IMAGE("https://storage.googleapis.com/acdb/dresses/TopsTexOnepieceBoxLBohemian1.png")</f>
        <v/>
      </c>
      <c r="C103" s="5" t="s">
        <v>1187</v>
      </c>
      <c r="D103" s="5" t="s">
        <v>36</v>
      </c>
      <c r="E103" s="6">
        <v>1900.0</v>
      </c>
      <c r="F103" s="6">
        <v>475.0</v>
      </c>
      <c r="G103" s="5" t="s">
        <v>95</v>
      </c>
      <c r="H103" s="5" t="s">
        <v>68</v>
      </c>
      <c r="I103" s="6" t="s">
        <v>40</v>
      </c>
      <c r="J103" s="5" t="s">
        <v>8585</v>
      </c>
      <c r="K103" s="5" t="s">
        <v>8632</v>
      </c>
      <c r="L103" s="6" t="s">
        <v>42</v>
      </c>
      <c r="M103" s="5" t="s">
        <v>1059</v>
      </c>
      <c r="N103" s="5" t="s">
        <v>64</v>
      </c>
      <c r="O103" s="5" t="s">
        <v>14332</v>
      </c>
      <c r="P103" s="5" t="s">
        <v>14333</v>
      </c>
      <c r="Q103" s="5" t="s">
        <v>14633</v>
      </c>
      <c r="R103" s="6">
        <v>8593.0</v>
      </c>
    </row>
    <row r="104" ht="56.25" customHeight="1">
      <c r="A104" s="5" t="s">
        <v>14631</v>
      </c>
      <c r="B104" s="6" t="str">
        <f>IMAGE("https://storage.googleapis.com/acdb/dresses/TopsTexOnepieceBoxLBohemian2.png")</f>
        <v/>
      </c>
      <c r="C104" s="5" t="s">
        <v>96</v>
      </c>
      <c r="D104" s="5" t="s">
        <v>36</v>
      </c>
      <c r="E104" s="6">
        <v>1900.0</v>
      </c>
      <c r="F104" s="6">
        <v>475.0</v>
      </c>
      <c r="G104" s="5" t="s">
        <v>38</v>
      </c>
      <c r="H104" s="5" t="s">
        <v>96</v>
      </c>
      <c r="I104" s="6" t="s">
        <v>40</v>
      </c>
      <c r="J104" s="5" t="s">
        <v>8585</v>
      </c>
      <c r="K104" s="5" t="s">
        <v>8632</v>
      </c>
      <c r="L104" s="6" t="s">
        <v>42</v>
      </c>
      <c r="M104" s="5" t="s">
        <v>1059</v>
      </c>
      <c r="N104" s="5" t="s">
        <v>64</v>
      </c>
      <c r="O104" s="5" t="s">
        <v>14332</v>
      </c>
      <c r="P104" s="5" t="s">
        <v>14333</v>
      </c>
      <c r="Q104" s="5" t="s">
        <v>14637</v>
      </c>
      <c r="R104" s="6">
        <v>8594.0</v>
      </c>
    </row>
    <row r="105" ht="56.25" customHeight="1">
      <c r="A105" s="5" t="s">
        <v>14631</v>
      </c>
      <c r="B105" s="6" t="str">
        <f>IMAGE("https://storage.googleapis.com/acdb/dresses/TopsTexOnepieceBoxLBohemian0.png")</f>
        <v/>
      </c>
      <c r="C105" s="5" t="s">
        <v>52</v>
      </c>
      <c r="D105" s="5" t="s">
        <v>36</v>
      </c>
      <c r="E105" s="6">
        <v>1900.0</v>
      </c>
      <c r="F105" s="6">
        <v>475.0</v>
      </c>
      <c r="G105" s="5" t="s">
        <v>38</v>
      </c>
      <c r="H105" s="5" t="s">
        <v>52</v>
      </c>
      <c r="I105" s="6" t="s">
        <v>40</v>
      </c>
      <c r="J105" s="5" t="s">
        <v>8585</v>
      </c>
      <c r="K105" s="5" t="s">
        <v>8632</v>
      </c>
      <c r="L105" s="6" t="s">
        <v>42</v>
      </c>
      <c r="M105" s="5" t="s">
        <v>1059</v>
      </c>
      <c r="N105" s="5" t="s">
        <v>64</v>
      </c>
      <c r="O105" s="5" t="s">
        <v>14332</v>
      </c>
      <c r="P105" s="5" t="s">
        <v>14333</v>
      </c>
      <c r="Q105" s="5" t="s">
        <v>14640</v>
      </c>
      <c r="R105" s="6">
        <v>4409.0</v>
      </c>
    </row>
    <row r="106" ht="56.25" customHeight="1">
      <c r="A106" s="5" t="s">
        <v>14641</v>
      </c>
      <c r="B106" s="6" t="str">
        <f>IMAGE("https://storage.googleapis.com/acdb/dresses/TopsTexOnepieceAlineNPolynesia0.png")</f>
        <v/>
      </c>
      <c r="C106" s="5" t="s">
        <v>1187</v>
      </c>
      <c r="D106" s="5" t="s">
        <v>36</v>
      </c>
      <c r="E106" s="6">
        <v>1600.0</v>
      </c>
      <c r="F106" s="6">
        <v>400.0</v>
      </c>
      <c r="G106" s="5" t="s">
        <v>68</v>
      </c>
      <c r="H106" s="5" t="s">
        <v>52</v>
      </c>
      <c r="I106" s="6" t="s">
        <v>40</v>
      </c>
      <c r="J106" s="5" t="s">
        <v>8585</v>
      </c>
      <c r="K106" s="5" t="s">
        <v>8632</v>
      </c>
      <c r="L106" s="6" t="s">
        <v>42</v>
      </c>
      <c r="M106" s="5" t="s">
        <v>8746</v>
      </c>
      <c r="N106" s="5" t="s">
        <v>64</v>
      </c>
      <c r="O106" s="5" t="s">
        <v>14411</v>
      </c>
      <c r="P106" s="5" t="s">
        <v>14412</v>
      </c>
      <c r="Q106" s="5" t="s">
        <v>14643</v>
      </c>
      <c r="R106" s="6">
        <v>8190.0</v>
      </c>
    </row>
    <row r="107" ht="56.25" customHeight="1">
      <c r="A107" s="5" t="s">
        <v>14641</v>
      </c>
      <c r="B107" s="6" t="str">
        <f>IMAGE("https://storage.googleapis.com/acdb/dresses/TopsTexOnepieceAlineNPolynesia1.png")</f>
        <v/>
      </c>
      <c r="C107" s="5" t="s">
        <v>69</v>
      </c>
      <c r="D107" s="5" t="s">
        <v>36</v>
      </c>
      <c r="E107" s="6">
        <v>1600.0</v>
      </c>
      <c r="F107" s="6">
        <v>400.0</v>
      </c>
      <c r="G107" s="5" t="s">
        <v>69</v>
      </c>
      <c r="H107" s="5" t="s">
        <v>83</v>
      </c>
      <c r="I107" s="6" t="s">
        <v>40</v>
      </c>
      <c r="J107" s="5" t="s">
        <v>8585</v>
      </c>
      <c r="K107" s="5" t="s">
        <v>8632</v>
      </c>
      <c r="L107" s="6" t="s">
        <v>42</v>
      </c>
      <c r="M107" s="5" t="s">
        <v>8746</v>
      </c>
      <c r="N107" s="5" t="s">
        <v>64</v>
      </c>
      <c r="O107" s="5" t="s">
        <v>14411</v>
      </c>
      <c r="P107" s="5" t="s">
        <v>14412</v>
      </c>
      <c r="Q107" s="5" t="s">
        <v>14646</v>
      </c>
      <c r="R107" s="6">
        <v>8604.0</v>
      </c>
    </row>
    <row r="108" ht="56.25" customHeight="1">
      <c r="A108" s="5" t="s">
        <v>14647</v>
      </c>
      <c r="B108" s="6" t="str">
        <f>IMAGE("https://storage.googleapis.com/acdb/dresses/TopsTexOnepieceAlineLBolerocoat0.png")</f>
        <v/>
      </c>
      <c r="C108" s="5" t="s">
        <v>69</v>
      </c>
      <c r="D108" s="5" t="s">
        <v>36</v>
      </c>
      <c r="E108" s="6">
        <v>2080.0</v>
      </c>
      <c r="F108" s="6">
        <v>520.0</v>
      </c>
      <c r="G108" s="5" t="s">
        <v>69</v>
      </c>
      <c r="H108" s="5" t="s">
        <v>57</v>
      </c>
      <c r="I108" s="6" t="s">
        <v>40</v>
      </c>
      <c r="J108" s="5" t="s">
        <v>8585</v>
      </c>
      <c r="K108" s="5" t="s">
        <v>8586</v>
      </c>
      <c r="L108" s="6" t="s">
        <v>42</v>
      </c>
      <c r="M108" s="5" t="s">
        <v>1959</v>
      </c>
      <c r="N108" s="5" t="s">
        <v>64</v>
      </c>
      <c r="O108" s="5" t="s">
        <v>14411</v>
      </c>
      <c r="P108" s="5" t="s">
        <v>14333</v>
      </c>
      <c r="Q108" s="5" t="s">
        <v>14650</v>
      </c>
      <c r="R108" s="6">
        <v>4334.0</v>
      </c>
    </row>
    <row r="109" ht="56.25" customHeight="1">
      <c r="A109" s="5" t="s">
        <v>14647</v>
      </c>
      <c r="B109" s="6" t="str">
        <f>IMAGE("https://storage.googleapis.com/acdb/dresses/TopsTexOnepieceAlineLBolerocoat1.png")</f>
        <v/>
      </c>
      <c r="C109" s="5" t="s">
        <v>114</v>
      </c>
      <c r="D109" s="5" t="s">
        <v>36</v>
      </c>
      <c r="E109" s="6">
        <v>2080.0</v>
      </c>
      <c r="F109" s="6">
        <v>520.0</v>
      </c>
      <c r="G109" s="5" t="s">
        <v>114</v>
      </c>
      <c r="H109" s="5" t="s">
        <v>57</v>
      </c>
      <c r="I109" s="6" t="s">
        <v>40</v>
      </c>
      <c r="J109" s="5" t="s">
        <v>8585</v>
      </c>
      <c r="K109" s="5" t="s">
        <v>8586</v>
      </c>
      <c r="L109" s="6" t="s">
        <v>42</v>
      </c>
      <c r="M109" s="5" t="s">
        <v>1959</v>
      </c>
      <c r="N109" s="5" t="s">
        <v>64</v>
      </c>
      <c r="O109" s="5" t="s">
        <v>14411</v>
      </c>
      <c r="P109" s="5" t="s">
        <v>14333</v>
      </c>
      <c r="Q109" s="5" t="s">
        <v>14653</v>
      </c>
      <c r="R109" s="6">
        <v>8441.0</v>
      </c>
    </row>
    <row r="110" ht="56.25" customHeight="1">
      <c r="A110" s="5" t="s">
        <v>14647</v>
      </c>
      <c r="B110" s="6" t="str">
        <f>IMAGE("https://storage.googleapis.com/acdb/dresses/TopsTexOnepieceAlineLBolerocoat2.png")</f>
        <v/>
      </c>
      <c r="C110" s="5" t="s">
        <v>68</v>
      </c>
      <c r="D110" s="5" t="s">
        <v>36</v>
      </c>
      <c r="E110" s="6">
        <v>2080.0</v>
      </c>
      <c r="F110" s="6">
        <v>520.0</v>
      </c>
      <c r="G110" s="5" t="s">
        <v>83</v>
      </c>
      <c r="H110" s="5" t="s">
        <v>57</v>
      </c>
      <c r="I110" s="6" t="s">
        <v>40</v>
      </c>
      <c r="J110" s="5" t="s">
        <v>8585</v>
      </c>
      <c r="K110" s="5" t="s">
        <v>8586</v>
      </c>
      <c r="L110" s="6" t="s">
        <v>42</v>
      </c>
      <c r="M110" s="5" t="s">
        <v>1959</v>
      </c>
      <c r="N110" s="5" t="s">
        <v>64</v>
      </c>
      <c r="O110" s="5" t="s">
        <v>14411</v>
      </c>
      <c r="P110" s="5" t="s">
        <v>14333</v>
      </c>
      <c r="Q110" s="5" t="s">
        <v>14657</v>
      </c>
      <c r="R110" s="6">
        <v>8442.0</v>
      </c>
    </row>
    <row r="111" ht="56.25" customHeight="1">
      <c r="A111" s="5" t="s">
        <v>14647</v>
      </c>
      <c r="B111" s="6" t="str">
        <f>IMAGE("https://storage.googleapis.com/acdb/dresses/TopsTexOnepieceAlineLBolerocoat3.png")</f>
        <v/>
      </c>
      <c r="C111" s="5" t="s">
        <v>96</v>
      </c>
      <c r="D111" s="5" t="s">
        <v>36</v>
      </c>
      <c r="E111" s="6">
        <v>2080.0</v>
      </c>
      <c r="F111" s="6">
        <v>520.0</v>
      </c>
      <c r="G111" s="5" t="s">
        <v>96</v>
      </c>
      <c r="H111" s="5" t="s">
        <v>57</v>
      </c>
      <c r="I111" s="6" t="s">
        <v>40</v>
      </c>
      <c r="J111" s="5" t="s">
        <v>8585</v>
      </c>
      <c r="K111" s="5" t="s">
        <v>8586</v>
      </c>
      <c r="L111" s="6" t="s">
        <v>42</v>
      </c>
      <c r="M111" s="5" t="s">
        <v>1959</v>
      </c>
      <c r="N111" s="5" t="s">
        <v>64</v>
      </c>
      <c r="O111" s="5" t="s">
        <v>14411</v>
      </c>
      <c r="P111" s="5" t="s">
        <v>14333</v>
      </c>
      <c r="Q111" s="5" t="s">
        <v>14662</v>
      </c>
      <c r="R111" s="6">
        <v>8443.0</v>
      </c>
    </row>
    <row r="112" ht="56.25" customHeight="1">
      <c r="A112" s="5" t="s">
        <v>14663</v>
      </c>
      <c r="B112" s="6" t="str">
        <f>IMAGE("https://storage.googleapis.com/acdb/dresses/TopsTexOnepieceOverallLBoneWhite.png")</f>
        <v/>
      </c>
      <c r="C112" s="5" t="s">
        <v>57</v>
      </c>
      <c r="D112" s="5" t="s">
        <v>36</v>
      </c>
      <c r="E112" s="6">
        <v>1280.0</v>
      </c>
      <c r="F112" s="6">
        <v>320.0</v>
      </c>
      <c r="G112" s="5" t="s">
        <v>54</v>
      </c>
      <c r="H112" s="5" t="s">
        <v>57</v>
      </c>
      <c r="I112" s="6" t="s">
        <v>40</v>
      </c>
      <c r="J112" s="5" t="s">
        <v>8585</v>
      </c>
      <c r="K112" s="5" t="s">
        <v>8586</v>
      </c>
      <c r="L112" s="6" t="s">
        <v>42</v>
      </c>
      <c r="M112" s="5" t="s">
        <v>1952</v>
      </c>
      <c r="N112" s="5" t="s">
        <v>64</v>
      </c>
      <c r="O112" s="5" t="s">
        <v>14358</v>
      </c>
      <c r="P112" s="5" t="s">
        <v>14333</v>
      </c>
      <c r="Q112" s="5" t="s">
        <v>14667</v>
      </c>
      <c r="R112" s="6">
        <v>3609.0</v>
      </c>
    </row>
    <row r="113" ht="56.25" customHeight="1">
      <c r="A113" s="5" t="s">
        <v>14669</v>
      </c>
      <c r="B113" s="6" t="str">
        <f>IMAGE("https://storage.googleapis.com/acdb/dresses/TopsTexOnepieceBoxLJumperskirtuniform1.png")</f>
        <v/>
      </c>
      <c r="C113" s="5" t="s">
        <v>54</v>
      </c>
      <c r="D113" s="5" t="s">
        <v>36</v>
      </c>
      <c r="E113" s="6">
        <v>2300.0</v>
      </c>
      <c r="F113" s="6">
        <v>575.0</v>
      </c>
      <c r="G113" s="5" t="s">
        <v>54</v>
      </c>
      <c r="H113" s="5" t="s">
        <v>57</v>
      </c>
      <c r="I113" s="6" t="s">
        <v>40</v>
      </c>
      <c r="J113" s="5" t="s">
        <v>8585</v>
      </c>
      <c r="K113" s="5" t="s">
        <v>8586</v>
      </c>
      <c r="L113" s="6" t="s">
        <v>42</v>
      </c>
      <c r="M113" s="5" t="s">
        <v>995</v>
      </c>
      <c r="N113" s="5" t="s">
        <v>64</v>
      </c>
      <c r="O113" s="5" t="s">
        <v>14332</v>
      </c>
      <c r="P113" s="5" t="s">
        <v>14333</v>
      </c>
      <c r="Q113" s="5" t="s">
        <v>14672</v>
      </c>
      <c r="R113" s="6">
        <v>7572.0</v>
      </c>
    </row>
    <row r="114" ht="56.25" customHeight="1">
      <c r="A114" s="5" t="s">
        <v>14669</v>
      </c>
      <c r="B114" s="6" t="str">
        <f>IMAGE("https://storage.googleapis.com/acdb/dresses/TopsTexOnepieceBoxLJumperskirtuniform2.png")</f>
        <v/>
      </c>
      <c r="C114" s="5" t="s">
        <v>83</v>
      </c>
      <c r="D114" s="5" t="s">
        <v>36</v>
      </c>
      <c r="E114" s="6">
        <v>2300.0</v>
      </c>
      <c r="F114" s="6">
        <v>575.0</v>
      </c>
      <c r="G114" s="5" t="s">
        <v>83</v>
      </c>
      <c r="H114" s="5" t="s">
        <v>57</v>
      </c>
      <c r="I114" s="6" t="s">
        <v>40</v>
      </c>
      <c r="J114" s="5" t="s">
        <v>8585</v>
      </c>
      <c r="K114" s="5" t="s">
        <v>8586</v>
      </c>
      <c r="L114" s="6" t="s">
        <v>42</v>
      </c>
      <c r="M114" s="5" t="s">
        <v>995</v>
      </c>
      <c r="N114" s="5" t="s">
        <v>64</v>
      </c>
      <c r="O114" s="5" t="s">
        <v>14332</v>
      </c>
      <c r="P114" s="5" t="s">
        <v>14333</v>
      </c>
      <c r="Q114" s="5" t="s">
        <v>14676</v>
      </c>
      <c r="R114" s="6">
        <v>7573.0</v>
      </c>
    </row>
    <row r="115" ht="56.25" customHeight="1">
      <c r="A115" s="5" t="s">
        <v>14669</v>
      </c>
      <c r="B115" s="6" t="str">
        <f>IMAGE("https://storage.googleapis.com/acdb/dresses/TopsTexOnepieceBoxLJumperskirtuniform3.png")</f>
        <v/>
      </c>
      <c r="C115" s="5" t="s">
        <v>96</v>
      </c>
      <c r="D115" s="5" t="s">
        <v>36</v>
      </c>
      <c r="E115" s="6">
        <v>2300.0</v>
      </c>
      <c r="F115" s="6">
        <v>575.0</v>
      </c>
      <c r="G115" s="5" t="s">
        <v>96</v>
      </c>
      <c r="H115" s="5" t="s">
        <v>57</v>
      </c>
      <c r="I115" s="6" t="s">
        <v>40</v>
      </c>
      <c r="J115" s="5" t="s">
        <v>8585</v>
      </c>
      <c r="K115" s="5" t="s">
        <v>8586</v>
      </c>
      <c r="L115" s="6" t="s">
        <v>42</v>
      </c>
      <c r="M115" s="5" t="s">
        <v>995</v>
      </c>
      <c r="N115" s="5" t="s">
        <v>64</v>
      </c>
      <c r="O115" s="5" t="s">
        <v>14332</v>
      </c>
      <c r="P115" s="5" t="s">
        <v>14333</v>
      </c>
      <c r="Q115" s="5" t="s">
        <v>14678</v>
      </c>
      <c r="R115" s="6">
        <v>7574.0</v>
      </c>
    </row>
    <row r="116" ht="56.25" customHeight="1">
      <c r="A116" s="5" t="s">
        <v>14669</v>
      </c>
      <c r="B116" s="6" t="str">
        <f>IMAGE("https://storage.googleapis.com/acdb/dresses/TopsTexOnepieceBoxLJumperskirtuniform4.png")</f>
        <v/>
      </c>
      <c r="C116" s="5" t="s">
        <v>95</v>
      </c>
      <c r="D116" s="5" t="s">
        <v>36</v>
      </c>
      <c r="E116" s="6">
        <v>2300.0</v>
      </c>
      <c r="F116" s="6">
        <v>575.0</v>
      </c>
      <c r="G116" s="5" t="s">
        <v>95</v>
      </c>
      <c r="H116" s="5" t="s">
        <v>57</v>
      </c>
      <c r="I116" s="6" t="s">
        <v>40</v>
      </c>
      <c r="J116" s="5" t="s">
        <v>8585</v>
      </c>
      <c r="K116" s="5" t="s">
        <v>8586</v>
      </c>
      <c r="L116" s="6" t="s">
        <v>42</v>
      </c>
      <c r="M116" s="5" t="s">
        <v>995</v>
      </c>
      <c r="N116" s="5" t="s">
        <v>64</v>
      </c>
      <c r="O116" s="5" t="s">
        <v>14332</v>
      </c>
      <c r="P116" s="5" t="s">
        <v>14333</v>
      </c>
      <c r="Q116" s="5" t="s">
        <v>14683</v>
      </c>
      <c r="R116" s="6">
        <v>7575.0</v>
      </c>
    </row>
    <row r="117" ht="56.25" customHeight="1">
      <c r="A117" s="5" t="s">
        <v>14669</v>
      </c>
      <c r="B117" s="6" t="str">
        <f>IMAGE("https://storage.googleapis.com/acdb/dresses/TopsTexOnepieceBoxLJumperskirtuniform5.png")</f>
        <v/>
      </c>
      <c r="C117" s="5" t="s">
        <v>52</v>
      </c>
      <c r="D117" s="5" t="s">
        <v>36</v>
      </c>
      <c r="E117" s="6">
        <v>2300.0</v>
      </c>
      <c r="F117" s="6">
        <v>575.0</v>
      </c>
      <c r="G117" s="5" t="s">
        <v>52</v>
      </c>
      <c r="H117" s="5" t="s">
        <v>57</v>
      </c>
      <c r="I117" s="6" t="s">
        <v>40</v>
      </c>
      <c r="J117" s="5" t="s">
        <v>8585</v>
      </c>
      <c r="K117" s="5" t="s">
        <v>8586</v>
      </c>
      <c r="L117" s="6" t="s">
        <v>42</v>
      </c>
      <c r="M117" s="5" t="s">
        <v>995</v>
      </c>
      <c r="N117" s="5" t="s">
        <v>64</v>
      </c>
      <c r="O117" s="5" t="s">
        <v>14332</v>
      </c>
      <c r="P117" s="5" t="s">
        <v>14333</v>
      </c>
      <c r="Q117" s="5" t="s">
        <v>14686</v>
      </c>
      <c r="R117" s="6">
        <v>7576.0</v>
      </c>
    </row>
    <row r="118" ht="56.25" customHeight="1">
      <c r="A118" s="5" t="s">
        <v>14669</v>
      </c>
      <c r="B118" s="6" t="str">
        <f>IMAGE("https://storage.googleapis.com/acdb/dresses/TopsTexOnepieceBoxLJumperskirtuniform6.png")</f>
        <v/>
      </c>
      <c r="C118" s="5" t="s">
        <v>39</v>
      </c>
      <c r="D118" s="5" t="s">
        <v>36</v>
      </c>
      <c r="E118" s="6">
        <v>2300.0</v>
      </c>
      <c r="F118" s="6">
        <v>575.0</v>
      </c>
      <c r="G118" s="5" t="s">
        <v>39</v>
      </c>
      <c r="H118" s="5" t="s">
        <v>57</v>
      </c>
      <c r="I118" s="6" t="s">
        <v>40</v>
      </c>
      <c r="J118" s="5" t="s">
        <v>8585</v>
      </c>
      <c r="K118" s="5" t="s">
        <v>8586</v>
      </c>
      <c r="L118" s="6" t="s">
        <v>42</v>
      </c>
      <c r="M118" s="5" t="s">
        <v>995</v>
      </c>
      <c r="N118" s="5" t="s">
        <v>64</v>
      </c>
      <c r="O118" s="5" t="s">
        <v>14332</v>
      </c>
      <c r="P118" s="5" t="s">
        <v>14333</v>
      </c>
      <c r="Q118" s="5" t="s">
        <v>14688</v>
      </c>
      <c r="R118" s="6">
        <v>7577.0</v>
      </c>
    </row>
    <row r="119" ht="56.25" customHeight="1">
      <c r="A119" s="5" t="s">
        <v>14669</v>
      </c>
      <c r="B119" s="6" t="str">
        <f>IMAGE("https://storage.googleapis.com/acdb/dresses/TopsTexOnepieceBoxLJumperskirtuniform0.png")</f>
        <v/>
      </c>
      <c r="C119" s="5" t="s">
        <v>1187</v>
      </c>
      <c r="D119" s="5" t="s">
        <v>36</v>
      </c>
      <c r="E119" s="6">
        <v>2300.0</v>
      </c>
      <c r="F119" s="6">
        <v>575.0</v>
      </c>
      <c r="G119" s="5" t="s">
        <v>68</v>
      </c>
      <c r="H119" s="5" t="s">
        <v>57</v>
      </c>
      <c r="I119" s="6" t="s">
        <v>40</v>
      </c>
      <c r="J119" s="5" t="s">
        <v>8585</v>
      </c>
      <c r="K119" s="5" t="s">
        <v>8586</v>
      </c>
      <c r="L119" s="6" t="s">
        <v>42</v>
      </c>
      <c r="M119" s="5" t="s">
        <v>995</v>
      </c>
      <c r="N119" s="5" t="s">
        <v>64</v>
      </c>
      <c r="O119" s="5" t="s">
        <v>14332</v>
      </c>
      <c r="P119" s="5" t="s">
        <v>14333</v>
      </c>
      <c r="Q119" s="5" t="s">
        <v>14690</v>
      </c>
      <c r="R119" s="6">
        <v>3662.0</v>
      </c>
    </row>
    <row r="120" ht="56.25" customHeight="1">
      <c r="A120" s="5" t="s">
        <v>14691</v>
      </c>
      <c r="B120" s="6" t="str">
        <f>IMAGE("https://storage.googleapis.com/acdb/dresses/TopsTexOnepieceAlineLRabbit1.png")</f>
        <v/>
      </c>
      <c r="C120" s="5" t="s">
        <v>114</v>
      </c>
      <c r="D120" s="5" t="s">
        <v>36</v>
      </c>
      <c r="E120" s="6">
        <v>1800.0</v>
      </c>
      <c r="F120" s="6">
        <v>450.0</v>
      </c>
      <c r="G120" s="5" t="s">
        <v>114</v>
      </c>
      <c r="H120" s="5" t="s">
        <v>57</v>
      </c>
      <c r="I120" s="6" t="s">
        <v>40</v>
      </c>
      <c r="J120" s="5" t="s">
        <v>8585</v>
      </c>
      <c r="K120" s="5" t="s">
        <v>8586</v>
      </c>
      <c r="L120" s="6" t="s">
        <v>42</v>
      </c>
      <c r="M120" s="5" t="s">
        <v>1959</v>
      </c>
      <c r="N120" s="5" t="s">
        <v>64</v>
      </c>
      <c r="O120" s="5" t="s">
        <v>14411</v>
      </c>
      <c r="P120" s="5" t="s">
        <v>14333</v>
      </c>
      <c r="Q120" s="5" t="s">
        <v>14694</v>
      </c>
      <c r="R120" s="6">
        <v>9622.0</v>
      </c>
    </row>
    <row r="121" ht="56.25" customHeight="1">
      <c r="A121" s="5" t="s">
        <v>14691</v>
      </c>
      <c r="B121" s="6" t="str">
        <f>IMAGE("https://storage.googleapis.com/acdb/dresses/TopsTexOnepieceAlineLRabbit2.png")</f>
        <v/>
      </c>
      <c r="C121" s="5" t="s">
        <v>57</v>
      </c>
      <c r="D121" s="5" t="s">
        <v>36</v>
      </c>
      <c r="E121" s="6">
        <v>1800.0</v>
      </c>
      <c r="F121" s="6">
        <v>450.0</v>
      </c>
      <c r="G121" s="5" t="s">
        <v>57</v>
      </c>
      <c r="H121" s="5" t="s">
        <v>57</v>
      </c>
      <c r="I121" s="6" t="s">
        <v>40</v>
      </c>
      <c r="J121" s="5" t="s">
        <v>8585</v>
      </c>
      <c r="K121" s="5" t="s">
        <v>8586</v>
      </c>
      <c r="L121" s="6" t="s">
        <v>42</v>
      </c>
      <c r="M121" s="5" t="s">
        <v>1959</v>
      </c>
      <c r="N121" s="5" t="s">
        <v>64</v>
      </c>
      <c r="O121" s="5" t="s">
        <v>14411</v>
      </c>
      <c r="P121" s="5" t="s">
        <v>14333</v>
      </c>
      <c r="Q121" s="5" t="s">
        <v>14696</v>
      </c>
      <c r="R121" s="6">
        <v>9623.0</v>
      </c>
    </row>
    <row r="122" ht="56.25" customHeight="1">
      <c r="A122" s="5" t="s">
        <v>14691</v>
      </c>
      <c r="B122" s="6" t="str">
        <f>IMAGE("https://storage.googleapis.com/acdb/dresses/TopsTexOnepieceAlineLRabbit0.png")</f>
        <v/>
      </c>
      <c r="C122" s="5" t="s">
        <v>69</v>
      </c>
      <c r="D122" s="5" t="s">
        <v>36</v>
      </c>
      <c r="E122" s="6">
        <v>1800.0</v>
      </c>
      <c r="F122" s="6">
        <v>450.0</v>
      </c>
      <c r="G122" s="5" t="s">
        <v>69</v>
      </c>
      <c r="H122" s="5" t="s">
        <v>57</v>
      </c>
      <c r="I122" s="6" t="s">
        <v>40</v>
      </c>
      <c r="J122" s="5" t="s">
        <v>8585</v>
      </c>
      <c r="K122" s="5" t="s">
        <v>8586</v>
      </c>
      <c r="L122" s="6" t="s">
        <v>42</v>
      </c>
      <c r="M122" s="5" t="s">
        <v>1959</v>
      </c>
      <c r="N122" s="5" t="s">
        <v>64</v>
      </c>
      <c r="O122" s="5" t="s">
        <v>14411</v>
      </c>
      <c r="P122" s="5" t="s">
        <v>14333</v>
      </c>
      <c r="Q122" s="5" t="s">
        <v>14699</v>
      </c>
      <c r="R122" s="6">
        <v>3146.0</v>
      </c>
    </row>
    <row r="123" ht="56.25" customHeight="1">
      <c r="A123" s="5" t="s">
        <v>14700</v>
      </c>
      <c r="B123" s="6" t="str">
        <f>IMAGE("https://storage.googleapis.com/acdb/dresses/TopsTexOnepieceKimonoLButterfly0.png")</f>
        <v/>
      </c>
      <c r="C123" s="5" t="s">
        <v>54</v>
      </c>
      <c r="D123" s="5" t="s">
        <v>36</v>
      </c>
      <c r="E123" s="6">
        <v>2660.0</v>
      </c>
      <c r="F123" s="6">
        <v>665.0</v>
      </c>
      <c r="G123" s="5" t="s">
        <v>54</v>
      </c>
      <c r="H123" s="5" t="s">
        <v>114</v>
      </c>
      <c r="I123" s="6" t="s">
        <v>40</v>
      </c>
      <c r="J123" s="5" t="s">
        <v>8585</v>
      </c>
      <c r="K123" s="5" t="s">
        <v>8586</v>
      </c>
      <c r="L123" s="6" t="s">
        <v>42</v>
      </c>
      <c r="M123" s="5" t="s">
        <v>1059</v>
      </c>
      <c r="N123" s="5" t="s">
        <v>64</v>
      </c>
      <c r="O123" s="5" t="s">
        <v>6513</v>
      </c>
      <c r="P123" s="5" t="s">
        <v>14333</v>
      </c>
      <c r="Q123" s="5" t="s">
        <v>14704</v>
      </c>
      <c r="R123" s="6">
        <v>6025.0</v>
      </c>
    </row>
    <row r="124" ht="56.25" customHeight="1">
      <c r="A124" s="5" t="s">
        <v>14700</v>
      </c>
      <c r="B124" s="6" t="str">
        <f>IMAGE("https://storage.googleapis.com/acdb/dresses/TopsTexOnepieceKimonoLButterfly1.png")</f>
        <v/>
      </c>
      <c r="C124" s="5" t="s">
        <v>14705</v>
      </c>
      <c r="D124" s="5" t="s">
        <v>36</v>
      </c>
      <c r="E124" s="6">
        <v>2660.0</v>
      </c>
      <c r="F124" s="6">
        <v>665.0</v>
      </c>
      <c r="G124" s="5" t="s">
        <v>68</v>
      </c>
      <c r="H124" s="5" t="s">
        <v>96</v>
      </c>
      <c r="I124" s="6" t="s">
        <v>40</v>
      </c>
      <c r="J124" s="5" t="s">
        <v>8585</v>
      </c>
      <c r="K124" s="5" t="s">
        <v>8586</v>
      </c>
      <c r="L124" s="6" t="s">
        <v>42</v>
      </c>
      <c r="M124" s="5" t="s">
        <v>1059</v>
      </c>
      <c r="N124" s="5" t="s">
        <v>64</v>
      </c>
      <c r="O124" s="5" t="s">
        <v>6513</v>
      </c>
      <c r="P124" s="5" t="s">
        <v>14333</v>
      </c>
      <c r="Q124" s="5" t="s">
        <v>14707</v>
      </c>
      <c r="R124" s="6">
        <v>9002.0</v>
      </c>
    </row>
    <row r="125" ht="56.25" customHeight="1">
      <c r="A125" s="5" t="s">
        <v>14700</v>
      </c>
      <c r="B125" s="6" t="str">
        <f>IMAGE("https://storage.googleapis.com/acdb/dresses/TopsTexOnepieceKimonoLButterfly2.png")</f>
        <v/>
      </c>
      <c r="C125" s="5" t="s">
        <v>14710</v>
      </c>
      <c r="D125" s="5" t="s">
        <v>36</v>
      </c>
      <c r="E125" s="6">
        <v>2660.0</v>
      </c>
      <c r="F125" s="6">
        <v>665.0</v>
      </c>
      <c r="G125" s="5" t="s">
        <v>106</v>
      </c>
      <c r="H125" s="5" t="s">
        <v>83</v>
      </c>
      <c r="I125" s="6" t="s">
        <v>40</v>
      </c>
      <c r="J125" s="5" t="s">
        <v>8585</v>
      </c>
      <c r="K125" s="5" t="s">
        <v>8586</v>
      </c>
      <c r="L125" s="6" t="s">
        <v>42</v>
      </c>
      <c r="M125" s="5" t="s">
        <v>1059</v>
      </c>
      <c r="N125" s="5" t="s">
        <v>64</v>
      </c>
      <c r="O125" s="5" t="s">
        <v>6513</v>
      </c>
      <c r="P125" s="5" t="s">
        <v>14333</v>
      </c>
      <c r="Q125" s="5" t="s">
        <v>14712</v>
      </c>
      <c r="R125" s="6">
        <v>9003.0</v>
      </c>
    </row>
    <row r="126" ht="56.25" customHeight="1">
      <c r="A126" s="5" t="s">
        <v>14713</v>
      </c>
      <c r="B126" s="6" t="str">
        <f>IMAGE("https://storage.googleapis.com/acdb/dresses/TopsTexOnepieceAlongHCachecoeur1.png")</f>
        <v/>
      </c>
      <c r="C126" s="5" t="s">
        <v>83</v>
      </c>
      <c r="D126" s="5" t="s">
        <v>36</v>
      </c>
      <c r="E126" s="6">
        <v>2400.0</v>
      </c>
      <c r="F126" s="6">
        <v>600.0</v>
      </c>
      <c r="G126" s="5" t="s">
        <v>83</v>
      </c>
      <c r="H126" s="5" t="s">
        <v>57</v>
      </c>
      <c r="I126" s="6" t="s">
        <v>40</v>
      </c>
      <c r="J126" s="5" t="s">
        <v>8585</v>
      </c>
      <c r="K126" s="5" t="s">
        <v>8632</v>
      </c>
      <c r="L126" s="6" t="s">
        <v>42</v>
      </c>
      <c r="M126" s="5" t="s">
        <v>1059</v>
      </c>
      <c r="N126" s="5" t="s">
        <v>64</v>
      </c>
      <c r="O126" s="5" t="s">
        <v>14574</v>
      </c>
      <c r="P126" s="5" t="s">
        <v>14345</v>
      </c>
      <c r="Q126" s="5" t="s">
        <v>14716</v>
      </c>
      <c r="R126" s="6">
        <v>8598.0</v>
      </c>
    </row>
    <row r="127" ht="56.25" customHeight="1">
      <c r="A127" s="5" t="s">
        <v>14713</v>
      </c>
      <c r="B127" s="6" t="str">
        <f>IMAGE("https://storage.googleapis.com/acdb/dresses/TopsTexOnepieceAlongHCachecoeur2.png")</f>
        <v/>
      </c>
      <c r="C127" s="5" t="s">
        <v>69</v>
      </c>
      <c r="D127" s="5" t="s">
        <v>36</v>
      </c>
      <c r="E127" s="6">
        <v>2400.0</v>
      </c>
      <c r="F127" s="6">
        <v>600.0</v>
      </c>
      <c r="G127" s="5" t="s">
        <v>69</v>
      </c>
      <c r="H127" s="5" t="s">
        <v>57</v>
      </c>
      <c r="I127" s="6" t="s">
        <v>40</v>
      </c>
      <c r="J127" s="5" t="s">
        <v>8585</v>
      </c>
      <c r="K127" s="5" t="s">
        <v>8632</v>
      </c>
      <c r="L127" s="6" t="s">
        <v>42</v>
      </c>
      <c r="M127" s="5" t="s">
        <v>1059</v>
      </c>
      <c r="N127" s="5" t="s">
        <v>64</v>
      </c>
      <c r="O127" s="5" t="s">
        <v>14574</v>
      </c>
      <c r="P127" s="5" t="s">
        <v>14345</v>
      </c>
      <c r="Q127" s="5" t="s">
        <v>14717</v>
      </c>
      <c r="R127" s="6">
        <v>8599.0</v>
      </c>
    </row>
    <row r="128" ht="56.25" customHeight="1">
      <c r="A128" s="5" t="s">
        <v>14713</v>
      </c>
      <c r="B128" s="6" t="str">
        <f>IMAGE("https://storage.googleapis.com/acdb/dresses/TopsTexOnepieceAlongHCachecoeur3.png")</f>
        <v/>
      </c>
      <c r="C128" s="5" t="s">
        <v>96</v>
      </c>
      <c r="D128" s="5" t="s">
        <v>36</v>
      </c>
      <c r="E128" s="6">
        <v>2400.0</v>
      </c>
      <c r="F128" s="6">
        <v>600.0</v>
      </c>
      <c r="G128" s="5" t="s">
        <v>96</v>
      </c>
      <c r="H128" s="5" t="s">
        <v>57</v>
      </c>
      <c r="I128" s="6" t="s">
        <v>40</v>
      </c>
      <c r="J128" s="5" t="s">
        <v>8585</v>
      </c>
      <c r="K128" s="5" t="s">
        <v>8632</v>
      </c>
      <c r="L128" s="6" t="s">
        <v>42</v>
      </c>
      <c r="M128" s="5" t="s">
        <v>1059</v>
      </c>
      <c r="N128" s="5" t="s">
        <v>64</v>
      </c>
      <c r="O128" s="5" t="s">
        <v>14574</v>
      </c>
      <c r="P128" s="5" t="s">
        <v>14345</v>
      </c>
      <c r="Q128" s="5" t="s">
        <v>14721</v>
      </c>
      <c r="R128" s="6">
        <v>8600.0</v>
      </c>
    </row>
    <row r="129" ht="56.25" customHeight="1">
      <c r="A129" s="5" t="s">
        <v>14713</v>
      </c>
      <c r="B129" s="6" t="str">
        <f>IMAGE("https://storage.googleapis.com/acdb/dresses/TopsTexOnepieceAlongHCachecoeur4.png")</f>
        <v/>
      </c>
      <c r="C129" s="5" t="s">
        <v>1187</v>
      </c>
      <c r="D129" s="5" t="s">
        <v>36</v>
      </c>
      <c r="E129" s="6">
        <v>2400.0</v>
      </c>
      <c r="F129" s="6">
        <v>600.0</v>
      </c>
      <c r="G129" s="5" t="s">
        <v>68</v>
      </c>
      <c r="H129" s="5" t="s">
        <v>57</v>
      </c>
      <c r="I129" s="6" t="s">
        <v>40</v>
      </c>
      <c r="J129" s="5" t="s">
        <v>8585</v>
      </c>
      <c r="K129" s="5" t="s">
        <v>8632</v>
      </c>
      <c r="L129" s="6" t="s">
        <v>42</v>
      </c>
      <c r="M129" s="5" t="s">
        <v>1059</v>
      </c>
      <c r="N129" s="5" t="s">
        <v>64</v>
      </c>
      <c r="O129" s="5" t="s">
        <v>14574</v>
      </c>
      <c r="P129" s="5" t="s">
        <v>14345</v>
      </c>
      <c r="Q129" s="5" t="s">
        <v>14724</v>
      </c>
      <c r="R129" s="6">
        <v>8601.0</v>
      </c>
    </row>
    <row r="130" ht="56.25" customHeight="1">
      <c r="A130" s="5" t="s">
        <v>14713</v>
      </c>
      <c r="B130" s="6" t="str">
        <f>IMAGE("https://storage.googleapis.com/acdb/dresses/TopsTexOnepieceAlongHCachecoeur5.png")</f>
        <v/>
      </c>
      <c r="C130" s="5" t="s">
        <v>106</v>
      </c>
      <c r="D130" s="5" t="s">
        <v>36</v>
      </c>
      <c r="E130" s="6">
        <v>2400.0</v>
      </c>
      <c r="F130" s="6">
        <v>600.0</v>
      </c>
      <c r="G130" s="5" t="s">
        <v>106</v>
      </c>
      <c r="H130" s="5" t="s">
        <v>57</v>
      </c>
      <c r="I130" s="6" t="s">
        <v>40</v>
      </c>
      <c r="J130" s="5" t="s">
        <v>8585</v>
      </c>
      <c r="K130" s="5" t="s">
        <v>8632</v>
      </c>
      <c r="L130" s="6" t="s">
        <v>42</v>
      </c>
      <c r="M130" s="5" t="s">
        <v>1059</v>
      </c>
      <c r="N130" s="5" t="s">
        <v>64</v>
      </c>
      <c r="O130" s="5" t="s">
        <v>14574</v>
      </c>
      <c r="P130" s="5" t="s">
        <v>14345</v>
      </c>
      <c r="Q130" s="5" t="s">
        <v>14727</v>
      </c>
      <c r="R130" s="6">
        <v>8602.0</v>
      </c>
    </row>
    <row r="131" ht="56.25" customHeight="1">
      <c r="A131" s="5" t="s">
        <v>14713</v>
      </c>
      <c r="B131" s="6" t="str">
        <f>IMAGE("https://storage.googleapis.com/acdb/dresses/TopsTexOnepieceAlongHCachecoeur0.png")</f>
        <v/>
      </c>
      <c r="C131" s="5" t="s">
        <v>114</v>
      </c>
      <c r="D131" s="5" t="s">
        <v>36</v>
      </c>
      <c r="E131" s="6">
        <v>2400.0</v>
      </c>
      <c r="F131" s="6">
        <v>600.0</v>
      </c>
      <c r="G131" s="5" t="s">
        <v>114</v>
      </c>
      <c r="H131" s="5" t="s">
        <v>57</v>
      </c>
      <c r="I131" s="6" t="s">
        <v>40</v>
      </c>
      <c r="J131" s="5" t="s">
        <v>8585</v>
      </c>
      <c r="K131" s="5" t="s">
        <v>8632</v>
      </c>
      <c r="L131" s="6" t="s">
        <v>42</v>
      </c>
      <c r="M131" s="5" t="s">
        <v>1059</v>
      </c>
      <c r="N131" s="5" t="s">
        <v>64</v>
      </c>
      <c r="O131" s="5" t="s">
        <v>14574</v>
      </c>
      <c r="P131" s="5" t="s">
        <v>14345</v>
      </c>
      <c r="Q131" s="5" t="s">
        <v>14730</v>
      </c>
      <c r="R131" s="6">
        <v>4596.0</v>
      </c>
    </row>
    <row r="132" ht="56.25" customHeight="1">
      <c r="A132" s="5" t="s">
        <v>14732</v>
      </c>
      <c r="B132" s="6" t="str">
        <f>IMAGE("https://storage.googleapis.com/acdb/dresses/TopsTexOnepieceKimonoLKinagashi0.png")</f>
        <v/>
      </c>
      <c r="C132" s="5" t="s">
        <v>2431</v>
      </c>
      <c r="D132" s="5" t="s">
        <v>36</v>
      </c>
      <c r="E132" s="6">
        <v>2000.0</v>
      </c>
      <c r="F132" s="6">
        <v>500.0</v>
      </c>
      <c r="G132" s="5" t="s">
        <v>68</v>
      </c>
      <c r="H132" s="5" t="s">
        <v>95</v>
      </c>
      <c r="I132" s="6" t="s">
        <v>40</v>
      </c>
      <c r="J132" s="5" t="s">
        <v>8585</v>
      </c>
      <c r="K132" s="5" t="s">
        <v>8586</v>
      </c>
      <c r="L132" s="6" t="s">
        <v>42</v>
      </c>
      <c r="M132" s="5" t="s">
        <v>1952</v>
      </c>
      <c r="N132" s="5" t="s">
        <v>64</v>
      </c>
      <c r="O132" s="5" t="s">
        <v>6513</v>
      </c>
      <c r="P132" s="5" t="s">
        <v>14333</v>
      </c>
      <c r="Q132" s="5" t="s">
        <v>14734</v>
      </c>
      <c r="R132" s="6">
        <v>4342.0</v>
      </c>
    </row>
    <row r="133" ht="56.25" customHeight="1">
      <c r="A133" s="5" t="s">
        <v>14732</v>
      </c>
      <c r="B133" s="6" t="str">
        <f>IMAGE("https://storage.googleapis.com/acdb/dresses/TopsTexOnepieceKimonoLKinagashi1.png")</f>
        <v/>
      </c>
      <c r="C133" s="5" t="s">
        <v>14181</v>
      </c>
      <c r="D133" s="5" t="s">
        <v>36</v>
      </c>
      <c r="E133" s="6">
        <v>2000.0</v>
      </c>
      <c r="F133" s="6">
        <v>500.0</v>
      </c>
      <c r="G133" s="5" t="s">
        <v>83</v>
      </c>
      <c r="H133" s="5" t="s">
        <v>95</v>
      </c>
      <c r="I133" s="6" t="s">
        <v>40</v>
      </c>
      <c r="J133" s="5" t="s">
        <v>8585</v>
      </c>
      <c r="K133" s="5" t="s">
        <v>8586</v>
      </c>
      <c r="L133" s="6" t="s">
        <v>42</v>
      </c>
      <c r="M133" s="5" t="s">
        <v>1952</v>
      </c>
      <c r="N133" s="5" t="s">
        <v>64</v>
      </c>
      <c r="O133" s="5" t="s">
        <v>6513</v>
      </c>
      <c r="P133" s="5" t="s">
        <v>14333</v>
      </c>
      <c r="Q133" s="5" t="s">
        <v>14737</v>
      </c>
      <c r="R133" s="6">
        <v>9215.0</v>
      </c>
    </row>
    <row r="134" ht="56.25" customHeight="1">
      <c r="A134" s="5" t="s">
        <v>14732</v>
      </c>
      <c r="B134" s="6" t="str">
        <f>IMAGE("https://storage.googleapis.com/acdb/dresses/TopsTexOnepieceKimonoLKinagashi2.png")</f>
        <v/>
      </c>
      <c r="C134" s="5" t="s">
        <v>96</v>
      </c>
      <c r="D134" s="5" t="s">
        <v>36</v>
      </c>
      <c r="E134" s="6">
        <v>2000.0</v>
      </c>
      <c r="F134" s="6">
        <v>500.0</v>
      </c>
      <c r="G134" s="5" t="s">
        <v>96</v>
      </c>
      <c r="H134" s="5" t="s">
        <v>95</v>
      </c>
      <c r="I134" s="6" t="s">
        <v>40</v>
      </c>
      <c r="J134" s="5" t="s">
        <v>8585</v>
      </c>
      <c r="K134" s="5" t="s">
        <v>8586</v>
      </c>
      <c r="L134" s="6" t="s">
        <v>42</v>
      </c>
      <c r="M134" s="5" t="s">
        <v>1952</v>
      </c>
      <c r="N134" s="5" t="s">
        <v>64</v>
      </c>
      <c r="O134" s="5" t="s">
        <v>6513</v>
      </c>
      <c r="P134" s="5" t="s">
        <v>14333</v>
      </c>
      <c r="Q134" s="5" t="s">
        <v>14738</v>
      </c>
      <c r="R134" s="6">
        <v>9216.0</v>
      </c>
    </row>
    <row r="135" ht="56.25" customHeight="1">
      <c r="A135" s="5" t="s">
        <v>14732</v>
      </c>
      <c r="B135" s="6" t="str">
        <f>IMAGE("https://storage.googleapis.com/acdb/dresses/TopsTexOnepieceKimonoLKinagashi3.png")</f>
        <v/>
      </c>
      <c r="C135" s="5" t="s">
        <v>8709</v>
      </c>
      <c r="D135" s="5" t="s">
        <v>36</v>
      </c>
      <c r="E135" s="6">
        <v>2000.0</v>
      </c>
      <c r="F135" s="6">
        <v>500.0</v>
      </c>
      <c r="G135" s="5" t="s">
        <v>39</v>
      </c>
      <c r="H135" s="5" t="s">
        <v>95</v>
      </c>
      <c r="I135" s="6" t="s">
        <v>40</v>
      </c>
      <c r="J135" s="5" t="s">
        <v>8585</v>
      </c>
      <c r="K135" s="5" t="s">
        <v>8586</v>
      </c>
      <c r="L135" s="6" t="s">
        <v>42</v>
      </c>
      <c r="M135" s="5" t="s">
        <v>1952</v>
      </c>
      <c r="N135" s="5" t="s">
        <v>64</v>
      </c>
      <c r="O135" s="5" t="s">
        <v>6513</v>
      </c>
      <c r="P135" s="5" t="s">
        <v>14333</v>
      </c>
      <c r="Q135" s="5" t="s">
        <v>14740</v>
      </c>
      <c r="R135" s="6">
        <v>9217.0</v>
      </c>
    </row>
    <row r="136" ht="56.25" customHeight="1">
      <c r="A136" s="5" t="s">
        <v>14741</v>
      </c>
      <c r="B136" s="6" t="str">
        <f>IMAGE("https://storage.googleapis.com/acdb/dresses/TopsTexOnepieceAlineLCat1.png")</f>
        <v/>
      </c>
      <c r="C136" s="5" t="s">
        <v>39</v>
      </c>
      <c r="D136" s="5" t="s">
        <v>36</v>
      </c>
      <c r="E136" s="6">
        <v>1800.0</v>
      </c>
      <c r="F136" s="6">
        <v>450.0</v>
      </c>
      <c r="G136" s="5" t="s">
        <v>39</v>
      </c>
      <c r="H136" s="5" t="s">
        <v>96</v>
      </c>
      <c r="I136" s="6" t="s">
        <v>40</v>
      </c>
      <c r="J136" s="5" t="s">
        <v>8585</v>
      </c>
      <c r="K136" s="5" t="s">
        <v>8632</v>
      </c>
      <c r="L136" s="6" t="s">
        <v>42</v>
      </c>
      <c r="M136" s="5" t="s">
        <v>1959</v>
      </c>
      <c r="N136" s="5" t="s">
        <v>64</v>
      </c>
      <c r="O136" s="5" t="s">
        <v>14411</v>
      </c>
      <c r="P136" s="5" t="s">
        <v>14333</v>
      </c>
      <c r="Q136" s="5" t="s">
        <v>14744</v>
      </c>
      <c r="R136" s="6">
        <v>9624.0</v>
      </c>
    </row>
    <row r="137" ht="56.25" customHeight="1">
      <c r="A137" s="5" t="s">
        <v>14741</v>
      </c>
      <c r="B137" s="6" t="str">
        <f>IMAGE("https://storage.googleapis.com/acdb/dresses/TopsTexOnepieceAlineLCat2.png")</f>
        <v/>
      </c>
      <c r="C137" s="5" t="s">
        <v>57</v>
      </c>
      <c r="D137" s="5" t="s">
        <v>36</v>
      </c>
      <c r="E137" s="6">
        <v>1800.0</v>
      </c>
      <c r="F137" s="6">
        <v>450.0</v>
      </c>
      <c r="G137" s="5" t="s">
        <v>57</v>
      </c>
      <c r="H137" s="5" t="s">
        <v>68</v>
      </c>
      <c r="I137" s="6" t="s">
        <v>40</v>
      </c>
      <c r="J137" s="5" t="s">
        <v>8585</v>
      </c>
      <c r="K137" s="5" t="s">
        <v>8632</v>
      </c>
      <c r="L137" s="6" t="s">
        <v>42</v>
      </c>
      <c r="M137" s="5" t="s">
        <v>1959</v>
      </c>
      <c r="N137" s="5" t="s">
        <v>64</v>
      </c>
      <c r="O137" s="5" t="s">
        <v>14411</v>
      </c>
      <c r="P137" s="5" t="s">
        <v>14333</v>
      </c>
      <c r="Q137" s="5" t="s">
        <v>14746</v>
      </c>
      <c r="R137" s="6">
        <v>9625.0</v>
      </c>
    </row>
    <row r="138" ht="56.25" customHeight="1">
      <c r="A138" s="5" t="s">
        <v>14741</v>
      </c>
      <c r="B138" s="6" t="str">
        <f>IMAGE("https://storage.googleapis.com/acdb/dresses/TopsTexOnepieceAlineLCat0.png")</f>
        <v/>
      </c>
      <c r="C138" s="5" t="s">
        <v>1187</v>
      </c>
      <c r="D138" s="5" t="s">
        <v>36</v>
      </c>
      <c r="E138" s="6">
        <v>1800.0</v>
      </c>
      <c r="F138" s="6">
        <v>450.0</v>
      </c>
      <c r="G138" s="5" t="s">
        <v>68</v>
      </c>
      <c r="H138" s="5" t="s">
        <v>114</v>
      </c>
      <c r="I138" s="6" t="s">
        <v>40</v>
      </c>
      <c r="J138" s="5" t="s">
        <v>8585</v>
      </c>
      <c r="K138" s="5" t="s">
        <v>8632</v>
      </c>
      <c r="L138" s="6" t="s">
        <v>42</v>
      </c>
      <c r="M138" s="5" t="s">
        <v>1959</v>
      </c>
      <c r="N138" s="5" t="s">
        <v>64</v>
      </c>
      <c r="O138" s="5" t="s">
        <v>14411</v>
      </c>
      <c r="P138" s="5" t="s">
        <v>14333</v>
      </c>
      <c r="Q138" s="5" t="s">
        <v>14749</v>
      </c>
      <c r="R138" s="6">
        <v>3167.0</v>
      </c>
    </row>
    <row r="139" ht="56.25" customHeight="1">
      <c r="A139" s="5" t="s">
        <v>14751</v>
      </c>
      <c r="B139" s="6" t="str">
        <f>IMAGE("https://storage.googleapis.com/acdb/dresses/TopsTexOnepieceRibNCaterpillar1.png")</f>
        <v/>
      </c>
      <c r="C139" s="5" t="s">
        <v>114</v>
      </c>
      <c r="D139" s="5" t="s">
        <v>36</v>
      </c>
      <c r="E139" s="6">
        <v>1700.0</v>
      </c>
      <c r="F139" s="6">
        <v>425.0</v>
      </c>
      <c r="G139" s="5" t="s">
        <v>114</v>
      </c>
      <c r="H139" s="5" t="s">
        <v>142</v>
      </c>
      <c r="I139" s="6" t="s">
        <v>40</v>
      </c>
      <c r="J139" s="5" t="s">
        <v>8585</v>
      </c>
      <c r="K139" s="5" t="s">
        <v>8632</v>
      </c>
      <c r="L139" s="6" t="s">
        <v>42</v>
      </c>
      <c r="M139" s="5" t="s">
        <v>1959</v>
      </c>
      <c r="N139" s="5" t="s">
        <v>64</v>
      </c>
      <c r="O139" s="5" t="s">
        <v>14463</v>
      </c>
      <c r="P139" s="5" t="s">
        <v>14412</v>
      </c>
      <c r="Q139" s="5" t="s">
        <v>14753</v>
      </c>
      <c r="R139" s="6">
        <v>9638.0</v>
      </c>
    </row>
    <row r="140" ht="56.25" customHeight="1">
      <c r="A140" s="5" t="s">
        <v>14751</v>
      </c>
      <c r="B140" s="6" t="str">
        <f>IMAGE("https://storage.googleapis.com/acdb/dresses/TopsTexOnepieceRibNCaterpillar2.png")</f>
        <v/>
      </c>
      <c r="C140" s="5" t="s">
        <v>5876</v>
      </c>
      <c r="D140" s="5" t="s">
        <v>36</v>
      </c>
      <c r="E140" s="6">
        <v>1700.0</v>
      </c>
      <c r="F140" s="6">
        <v>425.0</v>
      </c>
      <c r="G140" s="5" t="s">
        <v>58</v>
      </c>
      <c r="H140" s="5" t="s">
        <v>58</v>
      </c>
      <c r="I140" s="6" t="s">
        <v>40</v>
      </c>
      <c r="J140" s="5" t="s">
        <v>8585</v>
      </c>
      <c r="K140" s="5" t="s">
        <v>8632</v>
      </c>
      <c r="L140" s="6" t="s">
        <v>42</v>
      </c>
      <c r="M140" s="5" t="s">
        <v>1959</v>
      </c>
      <c r="N140" s="5" t="s">
        <v>64</v>
      </c>
      <c r="O140" s="5" t="s">
        <v>14463</v>
      </c>
      <c r="P140" s="5" t="s">
        <v>14412</v>
      </c>
      <c r="Q140" s="5" t="s">
        <v>14756</v>
      </c>
      <c r="R140" s="6">
        <v>9639.0</v>
      </c>
    </row>
    <row r="141" ht="56.25" customHeight="1">
      <c r="A141" s="5" t="s">
        <v>14751</v>
      </c>
      <c r="B141" s="6" t="str">
        <f>IMAGE("https://storage.googleapis.com/acdb/dresses/TopsTexOnepieceRibNCaterpillar0.png")</f>
        <v/>
      </c>
      <c r="C141" s="5" t="s">
        <v>96</v>
      </c>
      <c r="D141" s="5" t="s">
        <v>36</v>
      </c>
      <c r="E141" s="6">
        <v>1700.0</v>
      </c>
      <c r="F141" s="6">
        <v>425.0</v>
      </c>
      <c r="G141" s="5" t="s">
        <v>96</v>
      </c>
      <c r="H141" s="5" t="s">
        <v>96</v>
      </c>
      <c r="I141" s="6" t="s">
        <v>40</v>
      </c>
      <c r="J141" s="5" t="s">
        <v>8585</v>
      </c>
      <c r="K141" s="5" t="s">
        <v>8632</v>
      </c>
      <c r="L141" s="6" t="s">
        <v>42</v>
      </c>
      <c r="M141" s="5" t="s">
        <v>1959</v>
      </c>
      <c r="N141" s="5" t="s">
        <v>64</v>
      </c>
      <c r="O141" s="5" t="s">
        <v>14463</v>
      </c>
      <c r="P141" s="5" t="s">
        <v>14412</v>
      </c>
      <c r="Q141" s="5" t="s">
        <v>14759</v>
      </c>
      <c r="R141" s="6">
        <v>4577.0</v>
      </c>
    </row>
    <row r="142" ht="56.25" customHeight="1">
      <c r="A142" s="5" t="s">
        <v>14760</v>
      </c>
      <c r="B142" s="6" t="str">
        <f>IMAGE("https://storage.googleapis.com/acdb/dresses/TopsTexOnepieceBoxNPrimitive1.png")</f>
        <v/>
      </c>
      <c r="C142" s="5" t="s">
        <v>114</v>
      </c>
      <c r="D142" s="5" t="s">
        <v>36</v>
      </c>
      <c r="E142" s="6">
        <v>1050.0</v>
      </c>
      <c r="F142" s="6">
        <v>262.0</v>
      </c>
      <c r="G142" s="5" t="s">
        <v>114</v>
      </c>
      <c r="H142" s="5" t="s">
        <v>39</v>
      </c>
      <c r="I142" s="6" t="s">
        <v>40</v>
      </c>
      <c r="J142" s="5" t="s">
        <v>8585</v>
      </c>
      <c r="K142" s="5" t="s">
        <v>8632</v>
      </c>
      <c r="L142" s="6" t="s">
        <v>42</v>
      </c>
      <c r="M142" s="5" t="s">
        <v>8746</v>
      </c>
      <c r="N142" s="5" t="s">
        <v>64</v>
      </c>
      <c r="O142" s="5" t="s">
        <v>14332</v>
      </c>
      <c r="P142" s="5" t="s">
        <v>14412</v>
      </c>
      <c r="Q142" s="5" t="s">
        <v>14762</v>
      </c>
      <c r="R142" s="6">
        <v>9626.0</v>
      </c>
    </row>
    <row r="143" ht="56.25" customHeight="1">
      <c r="A143" s="5" t="s">
        <v>14760</v>
      </c>
      <c r="B143" s="6" t="str">
        <f>IMAGE("https://storage.googleapis.com/acdb/dresses/TopsTexOnepieceBoxNPrimitive2.png")</f>
        <v/>
      </c>
      <c r="C143" s="5" t="s">
        <v>95</v>
      </c>
      <c r="D143" s="5" t="s">
        <v>36</v>
      </c>
      <c r="E143" s="6">
        <v>1050.0</v>
      </c>
      <c r="F143" s="6">
        <v>262.0</v>
      </c>
      <c r="G143" s="5" t="s">
        <v>95</v>
      </c>
      <c r="H143" s="5" t="s">
        <v>54</v>
      </c>
      <c r="I143" s="6" t="s">
        <v>40</v>
      </c>
      <c r="J143" s="5" t="s">
        <v>8585</v>
      </c>
      <c r="K143" s="5" t="s">
        <v>8632</v>
      </c>
      <c r="L143" s="6" t="s">
        <v>42</v>
      </c>
      <c r="M143" s="5" t="s">
        <v>8746</v>
      </c>
      <c r="N143" s="5" t="s">
        <v>64</v>
      </c>
      <c r="O143" s="5" t="s">
        <v>14332</v>
      </c>
      <c r="P143" s="5" t="s">
        <v>14412</v>
      </c>
      <c r="Q143" s="5" t="s">
        <v>14764</v>
      </c>
      <c r="R143" s="6">
        <v>9627.0</v>
      </c>
    </row>
    <row r="144" ht="56.25" customHeight="1">
      <c r="A144" s="5" t="s">
        <v>14760</v>
      </c>
      <c r="B144" s="6" t="str">
        <f>IMAGE("https://storage.googleapis.com/acdb/dresses/TopsTexOnepieceBoxNPrimitive0.png")</f>
        <v/>
      </c>
      <c r="C144" s="5" t="s">
        <v>142</v>
      </c>
      <c r="D144" s="5" t="s">
        <v>36</v>
      </c>
      <c r="E144" s="6">
        <v>1050.0</v>
      </c>
      <c r="F144" s="6">
        <v>262.0</v>
      </c>
      <c r="G144" s="5" t="s">
        <v>142</v>
      </c>
      <c r="H144" s="5" t="s">
        <v>39</v>
      </c>
      <c r="I144" s="6" t="s">
        <v>40</v>
      </c>
      <c r="J144" s="5" t="s">
        <v>8585</v>
      </c>
      <c r="K144" s="5" t="s">
        <v>8632</v>
      </c>
      <c r="L144" s="6" t="s">
        <v>42</v>
      </c>
      <c r="M144" s="5" t="s">
        <v>8746</v>
      </c>
      <c r="N144" s="5" t="s">
        <v>64</v>
      </c>
      <c r="O144" s="5" t="s">
        <v>14332</v>
      </c>
      <c r="P144" s="5" t="s">
        <v>14412</v>
      </c>
      <c r="Q144" s="5" t="s">
        <v>14767</v>
      </c>
      <c r="R144" s="6">
        <v>3232.0</v>
      </c>
    </row>
    <row r="145" ht="56.25" customHeight="1">
      <c r="A145" s="5" t="s">
        <v>14768</v>
      </c>
      <c r="B145" s="6" t="str">
        <f>IMAGE("https://storage.googleapis.com/acdb/dresses/TopsTexOnepieceAlineLJumperskirt3.png")</f>
        <v/>
      </c>
      <c r="C145" s="5" t="s">
        <v>38</v>
      </c>
      <c r="D145" s="5" t="s">
        <v>36</v>
      </c>
      <c r="E145" s="6">
        <v>1840.0</v>
      </c>
      <c r="F145" s="6">
        <v>460.0</v>
      </c>
      <c r="G145" s="5" t="s">
        <v>38</v>
      </c>
      <c r="H145" s="5" t="s">
        <v>57</v>
      </c>
      <c r="I145" s="6" t="s">
        <v>40</v>
      </c>
      <c r="J145" s="5" t="s">
        <v>8585</v>
      </c>
      <c r="K145" s="5" t="s">
        <v>8632</v>
      </c>
      <c r="L145" s="6" t="s">
        <v>42</v>
      </c>
      <c r="M145" s="5" t="s">
        <v>1959</v>
      </c>
      <c r="N145" s="5" t="s">
        <v>64</v>
      </c>
      <c r="O145" s="5" t="s">
        <v>14411</v>
      </c>
      <c r="P145" s="5" t="s">
        <v>14333</v>
      </c>
      <c r="Q145" s="5" t="s">
        <v>14770</v>
      </c>
      <c r="R145" s="6">
        <v>8970.0</v>
      </c>
    </row>
    <row r="146" ht="56.25" customHeight="1">
      <c r="A146" s="5" t="s">
        <v>14768</v>
      </c>
      <c r="B146" s="6" t="str">
        <f>IMAGE("https://storage.googleapis.com/acdb/dresses/TopsTexOnepieceAlineLJumperskirt1.png")</f>
        <v/>
      </c>
      <c r="C146" s="5" t="s">
        <v>96</v>
      </c>
      <c r="D146" s="5" t="s">
        <v>36</v>
      </c>
      <c r="E146" s="6">
        <v>1840.0</v>
      </c>
      <c r="F146" s="6">
        <v>460.0</v>
      </c>
      <c r="G146" s="5" t="s">
        <v>38</v>
      </c>
      <c r="H146" s="5" t="s">
        <v>96</v>
      </c>
      <c r="I146" s="6" t="s">
        <v>40</v>
      </c>
      <c r="J146" s="5" t="s">
        <v>8585</v>
      </c>
      <c r="K146" s="5" t="s">
        <v>8632</v>
      </c>
      <c r="L146" s="6" t="s">
        <v>42</v>
      </c>
      <c r="M146" s="5" t="s">
        <v>1959</v>
      </c>
      <c r="N146" s="5" t="s">
        <v>64</v>
      </c>
      <c r="O146" s="5" t="s">
        <v>14411</v>
      </c>
      <c r="P146" s="5" t="s">
        <v>14333</v>
      </c>
      <c r="Q146" s="5" t="s">
        <v>14772</v>
      </c>
      <c r="R146" s="6">
        <v>8968.0</v>
      </c>
    </row>
    <row r="147" ht="56.25" customHeight="1">
      <c r="A147" s="5" t="s">
        <v>14768</v>
      </c>
      <c r="B147" s="6" t="str">
        <f>IMAGE("https://storage.googleapis.com/acdb/dresses/TopsTexOnepieceAlineLJumperskirt2.png")</f>
        <v/>
      </c>
      <c r="C147" s="5" t="s">
        <v>114</v>
      </c>
      <c r="D147" s="5" t="s">
        <v>36</v>
      </c>
      <c r="E147" s="6">
        <v>1840.0</v>
      </c>
      <c r="F147" s="6">
        <v>460.0</v>
      </c>
      <c r="G147" s="5" t="s">
        <v>38</v>
      </c>
      <c r="H147" s="5" t="s">
        <v>114</v>
      </c>
      <c r="I147" s="6" t="s">
        <v>40</v>
      </c>
      <c r="J147" s="5" t="s">
        <v>8585</v>
      </c>
      <c r="K147" s="5" t="s">
        <v>8632</v>
      </c>
      <c r="L147" s="6" t="s">
        <v>42</v>
      </c>
      <c r="M147" s="5" t="s">
        <v>1959</v>
      </c>
      <c r="N147" s="5" t="s">
        <v>64</v>
      </c>
      <c r="O147" s="5" t="s">
        <v>14411</v>
      </c>
      <c r="P147" s="5" t="s">
        <v>14333</v>
      </c>
      <c r="Q147" s="5" t="s">
        <v>14774</v>
      </c>
      <c r="R147" s="6">
        <v>8969.0</v>
      </c>
    </row>
    <row r="148" ht="56.25" customHeight="1">
      <c r="A148" s="5" t="s">
        <v>14768</v>
      </c>
      <c r="B148" s="6" t="str">
        <f>IMAGE("https://storage.googleapis.com/acdb/dresses/TopsTexOnepieceAlineLJumperskirt0.png")</f>
        <v/>
      </c>
      <c r="C148" s="5" t="s">
        <v>52</v>
      </c>
      <c r="D148" s="5" t="s">
        <v>36</v>
      </c>
      <c r="E148" s="6">
        <v>1840.0</v>
      </c>
      <c r="F148" s="6">
        <v>460.0</v>
      </c>
      <c r="G148" s="5" t="s">
        <v>38</v>
      </c>
      <c r="H148" s="5" t="s">
        <v>52</v>
      </c>
      <c r="I148" s="6" t="s">
        <v>40</v>
      </c>
      <c r="J148" s="5" t="s">
        <v>8585</v>
      </c>
      <c r="K148" s="5" t="s">
        <v>8632</v>
      </c>
      <c r="L148" s="6" t="s">
        <v>42</v>
      </c>
      <c r="M148" s="5" t="s">
        <v>1959</v>
      </c>
      <c r="N148" s="5" t="s">
        <v>64</v>
      </c>
      <c r="O148" s="5" t="s">
        <v>14411</v>
      </c>
      <c r="P148" s="5" t="s">
        <v>14333</v>
      </c>
      <c r="Q148" s="5" t="s">
        <v>14776</v>
      </c>
      <c r="R148" s="6">
        <v>4731.0</v>
      </c>
    </row>
    <row r="149" ht="56.25" customHeight="1">
      <c r="A149" s="5" t="s">
        <v>14777</v>
      </c>
      <c r="B149" s="6" t="str">
        <f>IMAGE("https://storage.googleapis.com/acdb/dresses/TopsTexOnepieceAlineNCheer0.png")</f>
        <v/>
      </c>
      <c r="C149" s="5" t="s">
        <v>52</v>
      </c>
      <c r="D149" s="5" t="s">
        <v>36</v>
      </c>
      <c r="E149" s="6">
        <v>1920.0</v>
      </c>
      <c r="F149" s="6">
        <v>480.0</v>
      </c>
      <c r="G149" s="5" t="s">
        <v>57</v>
      </c>
      <c r="H149" s="5" t="s">
        <v>52</v>
      </c>
      <c r="I149" s="6" t="s">
        <v>40</v>
      </c>
      <c r="J149" s="5" t="s">
        <v>8585</v>
      </c>
      <c r="K149" s="5" t="s">
        <v>8586</v>
      </c>
      <c r="L149" s="6" t="s">
        <v>42</v>
      </c>
      <c r="M149" s="5" t="s">
        <v>8746</v>
      </c>
      <c r="N149" s="5" t="s">
        <v>64</v>
      </c>
      <c r="O149" s="5" t="s">
        <v>14411</v>
      </c>
      <c r="P149" s="5" t="s">
        <v>14412</v>
      </c>
      <c r="Q149" s="5" t="s">
        <v>14782</v>
      </c>
      <c r="R149" s="6">
        <v>3058.0</v>
      </c>
    </row>
    <row r="150" ht="56.25" customHeight="1">
      <c r="A150" s="5" t="s">
        <v>14777</v>
      </c>
      <c r="B150" s="6" t="str">
        <f>IMAGE("https://storage.googleapis.com/acdb/dresses/TopsTexOnepieceAlineNCheer6.png")</f>
        <v/>
      </c>
      <c r="C150" s="5" t="s">
        <v>83</v>
      </c>
      <c r="D150" s="5" t="s">
        <v>36</v>
      </c>
      <c r="E150" s="6">
        <v>1920.0</v>
      </c>
      <c r="F150" s="6">
        <v>480.0</v>
      </c>
      <c r="G150" s="5" t="s">
        <v>54</v>
      </c>
      <c r="H150" s="5" t="s">
        <v>83</v>
      </c>
      <c r="I150" s="6" t="s">
        <v>40</v>
      </c>
      <c r="J150" s="5" t="s">
        <v>8585</v>
      </c>
      <c r="K150" s="5" t="s">
        <v>8586</v>
      </c>
      <c r="L150" s="6" t="s">
        <v>42</v>
      </c>
      <c r="M150" s="5" t="s">
        <v>8746</v>
      </c>
      <c r="N150" s="5" t="s">
        <v>64</v>
      </c>
      <c r="O150" s="5" t="s">
        <v>14411</v>
      </c>
      <c r="P150" s="5" t="s">
        <v>14412</v>
      </c>
      <c r="Q150" s="5" t="s">
        <v>14785</v>
      </c>
      <c r="R150" s="6">
        <v>9370.0</v>
      </c>
    </row>
    <row r="151" ht="56.25" customHeight="1">
      <c r="A151" s="5" t="s">
        <v>14777</v>
      </c>
      <c r="B151" s="6" t="str">
        <f>IMAGE("https://storage.googleapis.com/acdb/dresses/TopsTexOnepieceAlineNCheer7.png")</f>
        <v/>
      </c>
      <c r="C151" s="5" t="s">
        <v>114</v>
      </c>
      <c r="D151" s="5" t="s">
        <v>36</v>
      </c>
      <c r="E151" s="6">
        <v>1920.0</v>
      </c>
      <c r="F151" s="6">
        <v>480.0</v>
      </c>
      <c r="G151" s="5" t="s">
        <v>54</v>
      </c>
      <c r="H151" s="5" t="s">
        <v>142</v>
      </c>
      <c r="I151" s="6" t="s">
        <v>40</v>
      </c>
      <c r="J151" s="5" t="s">
        <v>8585</v>
      </c>
      <c r="K151" s="5" t="s">
        <v>8586</v>
      </c>
      <c r="L151" s="6" t="s">
        <v>42</v>
      </c>
      <c r="M151" s="5" t="s">
        <v>8746</v>
      </c>
      <c r="N151" s="5" t="s">
        <v>64</v>
      </c>
      <c r="O151" s="5" t="s">
        <v>14411</v>
      </c>
      <c r="P151" s="5" t="s">
        <v>14412</v>
      </c>
      <c r="Q151" s="5" t="s">
        <v>14787</v>
      </c>
      <c r="R151" s="6">
        <v>9371.0</v>
      </c>
    </row>
    <row r="152" ht="56.25" customHeight="1">
      <c r="A152" s="5" t="s">
        <v>14777</v>
      </c>
      <c r="B152" s="6" t="str">
        <f>IMAGE("https://storage.googleapis.com/acdb/dresses/TopsTexOnepieceAlineNCheer1.png")</f>
        <v/>
      </c>
      <c r="C152" s="5" t="s">
        <v>106</v>
      </c>
      <c r="D152" s="5" t="s">
        <v>36</v>
      </c>
      <c r="E152" s="6">
        <v>1920.0</v>
      </c>
      <c r="F152" s="6">
        <v>480.0</v>
      </c>
      <c r="G152" s="5" t="s">
        <v>57</v>
      </c>
      <c r="H152" s="5" t="s">
        <v>106</v>
      </c>
      <c r="I152" s="6" t="s">
        <v>40</v>
      </c>
      <c r="J152" s="5" t="s">
        <v>8585</v>
      </c>
      <c r="K152" s="5" t="s">
        <v>8586</v>
      </c>
      <c r="L152" s="6" t="s">
        <v>42</v>
      </c>
      <c r="M152" s="5" t="s">
        <v>8746</v>
      </c>
      <c r="N152" s="5" t="s">
        <v>64</v>
      </c>
      <c r="O152" s="5" t="s">
        <v>14411</v>
      </c>
      <c r="P152" s="5" t="s">
        <v>14412</v>
      </c>
      <c r="Q152" s="5" t="s">
        <v>14789</v>
      </c>
      <c r="R152" s="6">
        <v>9365.0</v>
      </c>
    </row>
    <row r="153" ht="56.25" customHeight="1">
      <c r="A153" s="5" t="s">
        <v>14777</v>
      </c>
      <c r="B153" s="6" t="str">
        <f>IMAGE("https://storage.googleapis.com/acdb/dresses/TopsTexOnepieceAlineNCheer2.png")</f>
        <v/>
      </c>
      <c r="C153" s="5" t="s">
        <v>68</v>
      </c>
      <c r="D153" s="5" t="s">
        <v>36</v>
      </c>
      <c r="E153" s="6">
        <v>1920.0</v>
      </c>
      <c r="F153" s="6">
        <v>480.0</v>
      </c>
      <c r="G153" s="5" t="s">
        <v>57</v>
      </c>
      <c r="H153" s="5" t="s">
        <v>68</v>
      </c>
      <c r="I153" s="6" t="s">
        <v>40</v>
      </c>
      <c r="J153" s="5" t="s">
        <v>8585</v>
      </c>
      <c r="K153" s="5" t="s">
        <v>8586</v>
      </c>
      <c r="L153" s="6" t="s">
        <v>42</v>
      </c>
      <c r="M153" s="5" t="s">
        <v>8746</v>
      </c>
      <c r="N153" s="5" t="s">
        <v>64</v>
      </c>
      <c r="O153" s="5" t="s">
        <v>14411</v>
      </c>
      <c r="P153" s="5" t="s">
        <v>14412</v>
      </c>
      <c r="Q153" s="5" t="s">
        <v>14791</v>
      </c>
      <c r="R153" s="6">
        <v>9366.0</v>
      </c>
    </row>
    <row r="154" ht="56.25" customHeight="1">
      <c r="A154" s="5" t="s">
        <v>14777</v>
      </c>
      <c r="B154" s="6" t="str">
        <f>IMAGE("https://storage.googleapis.com/acdb/dresses/TopsTexOnepieceAlineNCheer3.png")</f>
        <v/>
      </c>
      <c r="C154" s="5" t="s">
        <v>4883</v>
      </c>
      <c r="D154" s="5" t="s">
        <v>36</v>
      </c>
      <c r="E154" s="6">
        <v>1920.0</v>
      </c>
      <c r="F154" s="6">
        <v>480.0</v>
      </c>
      <c r="G154" s="5" t="s">
        <v>54</v>
      </c>
      <c r="H154" s="5" t="s">
        <v>52</v>
      </c>
      <c r="I154" s="6" t="s">
        <v>40</v>
      </c>
      <c r="J154" s="5" t="s">
        <v>8585</v>
      </c>
      <c r="K154" s="5" t="s">
        <v>8586</v>
      </c>
      <c r="L154" s="6" t="s">
        <v>42</v>
      </c>
      <c r="M154" s="5" t="s">
        <v>8746</v>
      </c>
      <c r="N154" s="5" t="s">
        <v>64</v>
      </c>
      <c r="O154" s="5" t="s">
        <v>14411</v>
      </c>
      <c r="P154" s="5" t="s">
        <v>14412</v>
      </c>
      <c r="Q154" s="5" t="s">
        <v>14794</v>
      </c>
      <c r="R154" s="6">
        <v>9367.0</v>
      </c>
    </row>
    <row r="155" ht="56.25" customHeight="1">
      <c r="A155" s="5" t="s">
        <v>14777</v>
      </c>
      <c r="B155" s="6" t="str">
        <f>IMAGE("https://storage.googleapis.com/acdb/dresses/TopsTexOnepieceAlineNCheer4.png")</f>
        <v/>
      </c>
      <c r="C155" s="5" t="s">
        <v>96</v>
      </c>
      <c r="D155" s="5" t="s">
        <v>36</v>
      </c>
      <c r="E155" s="6">
        <v>1920.0</v>
      </c>
      <c r="F155" s="6">
        <v>480.0</v>
      </c>
      <c r="G155" s="5" t="s">
        <v>54</v>
      </c>
      <c r="H155" s="5" t="s">
        <v>96</v>
      </c>
      <c r="I155" s="6" t="s">
        <v>40</v>
      </c>
      <c r="J155" s="5" t="s">
        <v>8585</v>
      </c>
      <c r="K155" s="5" t="s">
        <v>8586</v>
      </c>
      <c r="L155" s="6" t="s">
        <v>42</v>
      </c>
      <c r="M155" s="5" t="s">
        <v>8746</v>
      </c>
      <c r="N155" s="5" t="s">
        <v>64</v>
      </c>
      <c r="O155" s="5" t="s">
        <v>14411</v>
      </c>
      <c r="P155" s="5" t="s">
        <v>14412</v>
      </c>
      <c r="Q155" s="5" t="s">
        <v>14797</v>
      </c>
      <c r="R155" s="6">
        <v>9368.0</v>
      </c>
    </row>
    <row r="156" ht="56.25" customHeight="1">
      <c r="A156" s="5" t="s">
        <v>14777</v>
      </c>
      <c r="B156" s="6" t="str">
        <f>IMAGE("https://storage.googleapis.com/acdb/dresses/TopsTexOnepieceAlineNCheer5.png")</f>
        <v/>
      </c>
      <c r="C156" s="5" t="s">
        <v>69</v>
      </c>
      <c r="D156" s="5" t="s">
        <v>36</v>
      </c>
      <c r="E156" s="6">
        <v>1920.0</v>
      </c>
      <c r="F156" s="6">
        <v>480.0</v>
      </c>
      <c r="G156" s="5" t="s">
        <v>54</v>
      </c>
      <c r="H156" s="5" t="s">
        <v>69</v>
      </c>
      <c r="I156" s="6" t="s">
        <v>40</v>
      </c>
      <c r="J156" s="5" t="s">
        <v>8585</v>
      </c>
      <c r="K156" s="5" t="s">
        <v>8586</v>
      </c>
      <c r="L156" s="6" t="s">
        <v>42</v>
      </c>
      <c r="M156" s="5" t="s">
        <v>8746</v>
      </c>
      <c r="N156" s="5" t="s">
        <v>64</v>
      </c>
      <c r="O156" s="5" t="s">
        <v>14411</v>
      </c>
      <c r="P156" s="5" t="s">
        <v>14412</v>
      </c>
      <c r="Q156" s="5" t="s">
        <v>14803</v>
      </c>
      <c r="R156" s="6">
        <v>9369.0</v>
      </c>
    </row>
    <row r="157" ht="56.25" customHeight="1">
      <c r="A157" s="5" t="s">
        <v>14804</v>
      </c>
      <c r="B157" s="6" t="str">
        <f>IMAGE("https://storage.googleapis.com/acdb/dresses/TopsTexOnepieceAlineNCherry0.png")</f>
        <v/>
      </c>
      <c r="C157" s="5" t="s">
        <v>52</v>
      </c>
      <c r="D157" s="5" t="s">
        <v>35</v>
      </c>
      <c r="E157" s="6" t="s">
        <v>37</v>
      </c>
      <c r="F157" s="6">
        <v>1600.0</v>
      </c>
      <c r="G157" s="5" t="s">
        <v>52</v>
      </c>
      <c r="H157" s="5" t="s">
        <v>52</v>
      </c>
      <c r="I157" s="6" t="s">
        <v>40</v>
      </c>
      <c r="J157" s="5" t="s">
        <v>41</v>
      </c>
      <c r="K157" s="5"/>
      <c r="L157" s="6" t="s">
        <v>42</v>
      </c>
      <c r="M157" s="5" t="s">
        <v>1959</v>
      </c>
      <c r="N157" s="5" t="s">
        <v>48</v>
      </c>
      <c r="O157" s="5" t="s">
        <v>14411</v>
      </c>
      <c r="P157" s="5" t="s">
        <v>14412</v>
      </c>
      <c r="Q157" s="5" t="s">
        <v>14807</v>
      </c>
      <c r="R157" s="6">
        <v>9838.0</v>
      </c>
    </row>
    <row r="158" ht="56.25" customHeight="1">
      <c r="A158" s="5" t="s">
        <v>14808</v>
      </c>
      <c r="B158" s="6" t="str">
        <f>IMAGE("https://storage.googleapis.com/acdb/dresses/TopsTexOnepieceBalloonNBunny1.png")</f>
        <v/>
      </c>
      <c r="C158" s="5" t="s">
        <v>69</v>
      </c>
      <c r="D158" s="5" t="s">
        <v>36</v>
      </c>
      <c r="E158" s="6">
        <v>2240.0</v>
      </c>
      <c r="F158" s="6">
        <v>560.0</v>
      </c>
      <c r="G158" s="5" t="s">
        <v>69</v>
      </c>
      <c r="H158" s="5" t="s">
        <v>57</v>
      </c>
      <c r="I158" s="6" t="s">
        <v>40</v>
      </c>
      <c r="J158" s="5" t="s">
        <v>8585</v>
      </c>
      <c r="K158" s="5" t="s">
        <v>8586</v>
      </c>
      <c r="L158" s="6" t="s">
        <v>42</v>
      </c>
      <c r="M158" s="5" t="s">
        <v>1959</v>
      </c>
      <c r="N158" s="5" t="s">
        <v>64</v>
      </c>
      <c r="O158" s="5" t="s">
        <v>14344</v>
      </c>
      <c r="P158" s="5" t="s">
        <v>14412</v>
      </c>
      <c r="Q158" s="5" t="s">
        <v>14811</v>
      </c>
      <c r="R158" s="6">
        <v>8276.0</v>
      </c>
    </row>
    <row r="159" ht="56.25" customHeight="1">
      <c r="A159" s="5" t="s">
        <v>14808</v>
      </c>
      <c r="B159" s="6" t="str">
        <f>IMAGE("https://storage.googleapis.com/acdb/dresses/TopsTexOnepieceBalloonNBunny2.png")</f>
        <v/>
      </c>
      <c r="C159" s="5" t="s">
        <v>52</v>
      </c>
      <c r="D159" s="5" t="s">
        <v>36</v>
      </c>
      <c r="E159" s="6">
        <v>2240.0</v>
      </c>
      <c r="F159" s="6">
        <v>560.0</v>
      </c>
      <c r="G159" s="5" t="s">
        <v>52</v>
      </c>
      <c r="H159" s="5" t="s">
        <v>57</v>
      </c>
      <c r="I159" s="6" t="s">
        <v>40</v>
      </c>
      <c r="J159" s="5" t="s">
        <v>8585</v>
      </c>
      <c r="K159" s="5" t="s">
        <v>8586</v>
      </c>
      <c r="L159" s="6" t="s">
        <v>42</v>
      </c>
      <c r="M159" s="5" t="s">
        <v>1959</v>
      </c>
      <c r="N159" s="5" t="s">
        <v>64</v>
      </c>
      <c r="O159" s="5" t="s">
        <v>14344</v>
      </c>
      <c r="P159" s="5" t="s">
        <v>14412</v>
      </c>
      <c r="Q159" s="5" t="s">
        <v>14814</v>
      </c>
      <c r="R159" s="6">
        <v>8277.0</v>
      </c>
    </row>
    <row r="160" ht="56.25" customHeight="1">
      <c r="A160" s="5" t="s">
        <v>14808</v>
      </c>
      <c r="B160" s="6" t="str">
        <f>IMAGE("https://storage.googleapis.com/acdb/dresses/TopsTexOnepieceBalloonNBunny3.png")</f>
        <v/>
      </c>
      <c r="C160" s="5" t="s">
        <v>83</v>
      </c>
      <c r="D160" s="5" t="s">
        <v>36</v>
      </c>
      <c r="E160" s="6">
        <v>2240.0</v>
      </c>
      <c r="F160" s="6">
        <v>560.0</v>
      </c>
      <c r="G160" s="5" t="s">
        <v>83</v>
      </c>
      <c r="H160" s="5" t="s">
        <v>57</v>
      </c>
      <c r="I160" s="6" t="s">
        <v>40</v>
      </c>
      <c r="J160" s="5" t="s">
        <v>8585</v>
      </c>
      <c r="K160" s="5" t="s">
        <v>8586</v>
      </c>
      <c r="L160" s="6" t="s">
        <v>42</v>
      </c>
      <c r="M160" s="5" t="s">
        <v>1959</v>
      </c>
      <c r="N160" s="5" t="s">
        <v>64</v>
      </c>
      <c r="O160" s="5" t="s">
        <v>14344</v>
      </c>
      <c r="P160" s="5" t="s">
        <v>14412</v>
      </c>
      <c r="Q160" s="5" t="s">
        <v>14817</v>
      </c>
      <c r="R160" s="6">
        <v>8278.0</v>
      </c>
    </row>
    <row r="161" ht="56.25" customHeight="1">
      <c r="A161" s="5" t="s">
        <v>14808</v>
      </c>
      <c r="B161" s="6" t="str">
        <f>IMAGE("https://storage.googleapis.com/acdb/dresses/TopsTexOnepieceBalloonNBunny0.png")</f>
        <v/>
      </c>
      <c r="C161" s="5" t="s">
        <v>54</v>
      </c>
      <c r="D161" s="5" t="s">
        <v>36</v>
      </c>
      <c r="E161" s="6">
        <v>2240.0</v>
      </c>
      <c r="F161" s="6">
        <v>560.0</v>
      </c>
      <c r="G161" s="5" t="s">
        <v>54</v>
      </c>
      <c r="H161" s="5" t="s">
        <v>57</v>
      </c>
      <c r="I161" s="6" t="s">
        <v>40</v>
      </c>
      <c r="J161" s="5" t="s">
        <v>8585</v>
      </c>
      <c r="K161" s="5" t="s">
        <v>8586</v>
      </c>
      <c r="L161" s="6" t="s">
        <v>42</v>
      </c>
      <c r="M161" s="5" t="s">
        <v>1959</v>
      </c>
      <c r="N161" s="5" t="s">
        <v>64</v>
      </c>
      <c r="O161" s="5" t="s">
        <v>14344</v>
      </c>
      <c r="P161" s="5" t="s">
        <v>14412</v>
      </c>
      <c r="Q161" s="5" t="s">
        <v>14820</v>
      </c>
      <c r="R161" s="6">
        <v>4347.0</v>
      </c>
    </row>
    <row r="162" ht="56.25" customHeight="1">
      <c r="A162" s="5" t="s">
        <v>14821</v>
      </c>
      <c r="B162" s="6" t="str">
        <f>IMAGE("https://storage.googleapis.com/acdb/dresses/TopsTexOnepieceAlongLChimachogori0.png")</f>
        <v/>
      </c>
      <c r="C162" s="5" t="s">
        <v>14824</v>
      </c>
      <c r="D162" s="5" t="s">
        <v>36</v>
      </c>
      <c r="E162" s="6">
        <v>2520.0</v>
      </c>
      <c r="F162" s="6">
        <v>630.0</v>
      </c>
      <c r="G162" s="5" t="s">
        <v>52</v>
      </c>
      <c r="H162" s="5" t="s">
        <v>96</v>
      </c>
      <c r="I162" s="6" t="s">
        <v>40</v>
      </c>
      <c r="J162" s="5" t="s">
        <v>8585</v>
      </c>
      <c r="K162" s="5" t="s">
        <v>8586</v>
      </c>
      <c r="L162" s="6" t="s">
        <v>42</v>
      </c>
      <c r="M162" s="5" t="s">
        <v>1059</v>
      </c>
      <c r="N162" s="5" t="s">
        <v>64</v>
      </c>
      <c r="O162" s="5" t="s">
        <v>14574</v>
      </c>
      <c r="P162" s="5" t="s">
        <v>14333</v>
      </c>
      <c r="Q162" s="5" t="s">
        <v>14827</v>
      </c>
      <c r="R162" s="6">
        <v>3538.0</v>
      </c>
    </row>
    <row r="163" ht="56.25" customHeight="1">
      <c r="A163" s="5" t="s">
        <v>14821</v>
      </c>
      <c r="B163" s="6" t="str">
        <f>IMAGE("https://storage.googleapis.com/acdb/dresses/TopsTexOnepieceAlongLChimachogori1.png")</f>
        <v/>
      </c>
      <c r="C163" s="5" t="s">
        <v>10398</v>
      </c>
      <c r="D163" s="5" t="s">
        <v>36</v>
      </c>
      <c r="E163" s="6">
        <v>2520.0</v>
      </c>
      <c r="F163" s="6">
        <v>630.0</v>
      </c>
      <c r="G163" s="5" t="s">
        <v>96</v>
      </c>
      <c r="H163" s="5" t="s">
        <v>69</v>
      </c>
      <c r="I163" s="6" t="s">
        <v>40</v>
      </c>
      <c r="J163" s="5" t="s">
        <v>8585</v>
      </c>
      <c r="K163" s="5" t="s">
        <v>8586</v>
      </c>
      <c r="L163" s="6" t="s">
        <v>42</v>
      </c>
      <c r="M163" s="5" t="s">
        <v>1059</v>
      </c>
      <c r="N163" s="5" t="s">
        <v>64</v>
      </c>
      <c r="O163" s="5" t="s">
        <v>14574</v>
      </c>
      <c r="P163" s="5" t="s">
        <v>14333</v>
      </c>
      <c r="Q163" s="5" t="s">
        <v>14829</v>
      </c>
      <c r="R163" s="6">
        <v>9145.0</v>
      </c>
    </row>
    <row r="164" ht="56.25" customHeight="1">
      <c r="A164" s="5" t="s">
        <v>14821</v>
      </c>
      <c r="B164" s="6" t="str">
        <f>IMAGE("https://storage.googleapis.com/acdb/dresses/TopsTexOnepieceAlongLChimachogori2.png")</f>
        <v/>
      </c>
      <c r="C164" s="5" t="s">
        <v>69</v>
      </c>
      <c r="D164" s="5" t="s">
        <v>36</v>
      </c>
      <c r="E164" s="6">
        <v>2520.0</v>
      </c>
      <c r="F164" s="6">
        <v>630.0</v>
      </c>
      <c r="G164" s="5" t="s">
        <v>69</v>
      </c>
      <c r="H164" s="5" t="s">
        <v>83</v>
      </c>
      <c r="I164" s="6" t="s">
        <v>40</v>
      </c>
      <c r="J164" s="5" t="s">
        <v>8585</v>
      </c>
      <c r="K164" s="5" t="s">
        <v>8586</v>
      </c>
      <c r="L164" s="6" t="s">
        <v>42</v>
      </c>
      <c r="M164" s="5" t="s">
        <v>1059</v>
      </c>
      <c r="N164" s="5" t="s">
        <v>64</v>
      </c>
      <c r="O164" s="5" t="s">
        <v>14574</v>
      </c>
      <c r="P164" s="5" t="s">
        <v>14333</v>
      </c>
      <c r="Q164" s="5" t="s">
        <v>14832</v>
      </c>
      <c r="R164" s="6">
        <v>9146.0</v>
      </c>
    </row>
    <row r="165" ht="56.25" customHeight="1">
      <c r="A165" s="5" t="s">
        <v>14821</v>
      </c>
      <c r="B165" s="6" t="str">
        <f>IMAGE("https://storage.googleapis.com/acdb/dresses/TopsTexOnepieceAlongLChimachogori3.png")</f>
        <v/>
      </c>
      <c r="C165" s="5" t="s">
        <v>68</v>
      </c>
      <c r="D165" s="5" t="s">
        <v>36</v>
      </c>
      <c r="E165" s="6">
        <v>2520.0</v>
      </c>
      <c r="F165" s="6">
        <v>630.0</v>
      </c>
      <c r="G165" s="5" t="s">
        <v>68</v>
      </c>
      <c r="H165" s="5" t="s">
        <v>83</v>
      </c>
      <c r="I165" s="6" t="s">
        <v>40</v>
      </c>
      <c r="J165" s="5" t="s">
        <v>8585</v>
      </c>
      <c r="K165" s="5" t="s">
        <v>8586</v>
      </c>
      <c r="L165" s="6" t="s">
        <v>42</v>
      </c>
      <c r="M165" s="5" t="s">
        <v>1059</v>
      </c>
      <c r="N165" s="5" t="s">
        <v>64</v>
      </c>
      <c r="O165" s="5" t="s">
        <v>14574</v>
      </c>
      <c r="P165" s="5" t="s">
        <v>14333</v>
      </c>
      <c r="Q165" s="5" t="s">
        <v>14835</v>
      </c>
      <c r="R165" s="6">
        <v>9147.0</v>
      </c>
    </row>
    <row r="166" ht="56.25" customHeight="1">
      <c r="A166" s="5" t="s">
        <v>14821</v>
      </c>
      <c r="B166" s="6" t="str">
        <f>IMAGE("https://storage.googleapis.com/acdb/dresses/TopsTexOnepieceAlongLChimachogori4.png")</f>
        <v/>
      </c>
      <c r="C166" s="5" t="s">
        <v>52</v>
      </c>
      <c r="D166" s="5" t="s">
        <v>36</v>
      </c>
      <c r="E166" s="6">
        <v>2520.0</v>
      </c>
      <c r="F166" s="6">
        <v>630.0</v>
      </c>
      <c r="G166" s="5" t="s">
        <v>52</v>
      </c>
      <c r="H166" s="5" t="s">
        <v>114</v>
      </c>
      <c r="I166" s="6" t="s">
        <v>40</v>
      </c>
      <c r="J166" s="5" t="s">
        <v>8585</v>
      </c>
      <c r="K166" s="5" t="s">
        <v>8586</v>
      </c>
      <c r="L166" s="6" t="s">
        <v>42</v>
      </c>
      <c r="M166" s="5" t="s">
        <v>1059</v>
      </c>
      <c r="N166" s="5" t="s">
        <v>64</v>
      </c>
      <c r="O166" s="5" t="s">
        <v>14574</v>
      </c>
      <c r="P166" s="5" t="s">
        <v>14333</v>
      </c>
      <c r="Q166" s="5" t="s">
        <v>14837</v>
      </c>
      <c r="R166" s="6">
        <v>9148.0</v>
      </c>
    </row>
    <row r="167" ht="56.25" customHeight="1">
      <c r="A167" s="5" t="s">
        <v>14838</v>
      </c>
      <c r="B167" s="6" t="str">
        <f>IMAGE("https://storage.googleapis.com/acdb/dresses/TopsTexOnepieceDressHChinapoblanaRed.png")</f>
        <v/>
      </c>
      <c r="C167" s="5" t="s">
        <v>52</v>
      </c>
      <c r="D167" s="5" t="s">
        <v>36</v>
      </c>
      <c r="E167" s="6">
        <v>2520.0</v>
      </c>
      <c r="F167" s="6">
        <v>630.0</v>
      </c>
      <c r="G167" s="5" t="s">
        <v>52</v>
      </c>
      <c r="H167" s="5" t="s">
        <v>96</v>
      </c>
      <c r="I167" s="6" t="s">
        <v>40</v>
      </c>
      <c r="J167" s="5" t="s">
        <v>8585</v>
      </c>
      <c r="K167" s="5" t="s">
        <v>8586</v>
      </c>
      <c r="L167" s="6" t="s">
        <v>42</v>
      </c>
      <c r="M167" s="5" t="s">
        <v>1059</v>
      </c>
      <c r="N167" s="5" t="s">
        <v>64</v>
      </c>
      <c r="O167" s="5" t="s">
        <v>14841</v>
      </c>
      <c r="P167" s="5" t="s">
        <v>14345</v>
      </c>
      <c r="Q167" s="5" t="s">
        <v>14842</v>
      </c>
      <c r="R167" s="6">
        <v>4484.0</v>
      </c>
    </row>
    <row r="168" ht="56.25" customHeight="1">
      <c r="A168" s="5" t="s">
        <v>14843</v>
      </c>
      <c r="B168" s="6" t="str">
        <f>IMAGE("https://storage.googleapis.com/acdb/dresses/TopsTexOnepieceBoxNGreece.png")</f>
        <v/>
      </c>
      <c r="C168" s="5" t="s">
        <v>57</v>
      </c>
      <c r="D168" s="5" t="s">
        <v>36</v>
      </c>
      <c r="E168" s="6">
        <v>2520.0</v>
      </c>
      <c r="F168" s="6">
        <v>630.0</v>
      </c>
      <c r="G168" s="5" t="s">
        <v>57</v>
      </c>
      <c r="H168" s="5" t="s">
        <v>57</v>
      </c>
      <c r="I168" s="6" t="s">
        <v>40</v>
      </c>
      <c r="J168" s="5" t="s">
        <v>8585</v>
      </c>
      <c r="K168" s="5" t="s">
        <v>8586</v>
      </c>
      <c r="L168" s="6" t="s">
        <v>42</v>
      </c>
      <c r="M168" s="5" t="s">
        <v>1059</v>
      </c>
      <c r="N168" s="5" t="s">
        <v>64</v>
      </c>
      <c r="O168" s="5" t="s">
        <v>14332</v>
      </c>
      <c r="P168" s="5" t="s">
        <v>14412</v>
      </c>
      <c r="Q168" s="5" t="s">
        <v>14846</v>
      </c>
      <c r="R168" s="6">
        <v>3574.0</v>
      </c>
    </row>
    <row r="169" ht="56.25" customHeight="1">
      <c r="A169" s="5" t="s">
        <v>14847</v>
      </c>
      <c r="B169" s="6" t="str">
        <f>IMAGE("https://storage.googleapis.com/acdb/dresses/TopsTexOnepieceBalloonNClover1.png")</f>
        <v/>
      </c>
      <c r="C169" s="5" t="s">
        <v>14848</v>
      </c>
      <c r="D169" s="5" t="s">
        <v>36</v>
      </c>
      <c r="E169" s="6">
        <v>1800.0</v>
      </c>
      <c r="F169" s="6">
        <v>450.0</v>
      </c>
      <c r="G169" s="5" t="s">
        <v>96</v>
      </c>
      <c r="H169" s="5" t="s">
        <v>57</v>
      </c>
      <c r="I169" s="6" t="s">
        <v>40</v>
      </c>
      <c r="J169" s="5" t="s">
        <v>8585</v>
      </c>
      <c r="K169" s="5" t="s">
        <v>8632</v>
      </c>
      <c r="L169" s="6" t="s">
        <v>42</v>
      </c>
      <c r="M169" s="5" t="s">
        <v>1959</v>
      </c>
      <c r="N169" s="5" t="s">
        <v>64</v>
      </c>
      <c r="O169" s="5" t="s">
        <v>14344</v>
      </c>
      <c r="P169" s="5" t="s">
        <v>14412</v>
      </c>
      <c r="Q169" s="5" t="s">
        <v>14849</v>
      </c>
      <c r="R169" s="6">
        <v>9430.0</v>
      </c>
    </row>
    <row r="170" ht="56.25" customHeight="1">
      <c r="A170" s="5" t="s">
        <v>14847</v>
      </c>
      <c r="B170" s="6" t="str">
        <f>IMAGE("https://storage.googleapis.com/acdb/dresses/TopsTexOnepieceBalloonNClover0.png")</f>
        <v/>
      </c>
      <c r="C170" s="5" t="s">
        <v>96</v>
      </c>
      <c r="D170" s="5" t="s">
        <v>36</v>
      </c>
      <c r="E170" s="6">
        <v>1800.0</v>
      </c>
      <c r="F170" s="6">
        <v>450.0</v>
      </c>
      <c r="G170" s="5" t="s">
        <v>96</v>
      </c>
      <c r="H170" s="5" t="s">
        <v>96</v>
      </c>
      <c r="I170" s="6" t="s">
        <v>40</v>
      </c>
      <c r="J170" s="5" t="s">
        <v>8585</v>
      </c>
      <c r="K170" s="5" t="s">
        <v>8632</v>
      </c>
      <c r="L170" s="6" t="s">
        <v>42</v>
      </c>
      <c r="M170" s="5" t="s">
        <v>1959</v>
      </c>
      <c r="N170" s="5" t="s">
        <v>64</v>
      </c>
      <c r="O170" s="5" t="s">
        <v>14344</v>
      </c>
      <c r="P170" s="5" t="s">
        <v>14412</v>
      </c>
      <c r="Q170" s="5" t="s">
        <v>14853</v>
      </c>
      <c r="R170" s="6">
        <v>4740.0</v>
      </c>
    </row>
    <row r="171" ht="56.25" customHeight="1">
      <c r="A171" s="5" t="s">
        <v>14854</v>
      </c>
      <c r="B171" s="6" t="str">
        <f>IMAGE("https://storage.googleapis.com/acdb/dresses/TopsTexOnepieceOverallLNordic1.png")</f>
        <v/>
      </c>
      <c r="C171" s="5" t="s">
        <v>96</v>
      </c>
      <c r="D171" s="5" t="s">
        <v>36</v>
      </c>
      <c r="E171" s="6">
        <v>2520.0</v>
      </c>
      <c r="F171" s="6">
        <v>630.0</v>
      </c>
      <c r="G171" s="5" t="s">
        <v>96</v>
      </c>
      <c r="H171" s="5" t="s">
        <v>54</v>
      </c>
      <c r="I171" s="6" t="s">
        <v>40</v>
      </c>
      <c r="J171" s="5" t="s">
        <v>8585</v>
      </c>
      <c r="K171" s="5" t="s">
        <v>8586</v>
      </c>
      <c r="L171" s="6" t="s">
        <v>42</v>
      </c>
      <c r="M171" s="5" t="s">
        <v>1059</v>
      </c>
      <c r="N171" s="5" t="s">
        <v>64</v>
      </c>
      <c r="O171" s="5" t="s">
        <v>14358</v>
      </c>
      <c r="P171" s="5" t="s">
        <v>14333</v>
      </c>
      <c r="Q171" s="5" t="s">
        <v>14856</v>
      </c>
      <c r="R171" s="6">
        <v>8174.0</v>
      </c>
    </row>
    <row r="172" ht="56.25" customHeight="1">
      <c r="A172" s="5" t="s">
        <v>14854</v>
      </c>
      <c r="B172" s="6" t="str">
        <f>IMAGE("https://storage.googleapis.com/acdb/dresses/TopsTexOnepieceOverallLNordic2.png")</f>
        <v/>
      </c>
      <c r="C172" s="5" t="s">
        <v>52</v>
      </c>
      <c r="D172" s="5" t="s">
        <v>36</v>
      </c>
      <c r="E172" s="6">
        <v>2520.0</v>
      </c>
      <c r="F172" s="6">
        <v>630.0</v>
      </c>
      <c r="G172" s="5" t="s">
        <v>52</v>
      </c>
      <c r="H172" s="5" t="s">
        <v>54</v>
      </c>
      <c r="I172" s="6" t="s">
        <v>40</v>
      </c>
      <c r="J172" s="5" t="s">
        <v>8585</v>
      </c>
      <c r="K172" s="5" t="s">
        <v>8586</v>
      </c>
      <c r="L172" s="6" t="s">
        <v>42</v>
      </c>
      <c r="M172" s="5" t="s">
        <v>1059</v>
      </c>
      <c r="N172" s="5" t="s">
        <v>64</v>
      </c>
      <c r="O172" s="5" t="s">
        <v>14358</v>
      </c>
      <c r="P172" s="5" t="s">
        <v>14333</v>
      </c>
      <c r="Q172" s="5" t="s">
        <v>14859</v>
      </c>
      <c r="R172" s="6">
        <v>8175.0</v>
      </c>
    </row>
    <row r="173" ht="56.25" customHeight="1">
      <c r="A173" s="5" t="s">
        <v>14854</v>
      </c>
      <c r="B173" s="6" t="str">
        <f>IMAGE("https://storage.googleapis.com/acdb/dresses/TopsTexOnepieceOverallLNordic0.png")</f>
        <v/>
      </c>
      <c r="C173" s="5" t="s">
        <v>68</v>
      </c>
      <c r="D173" s="5" t="s">
        <v>36</v>
      </c>
      <c r="E173" s="6">
        <v>2520.0</v>
      </c>
      <c r="F173" s="6">
        <v>630.0</v>
      </c>
      <c r="G173" s="5" t="s">
        <v>68</v>
      </c>
      <c r="H173" s="5" t="s">
        <v>54</v>
      </c>
      <c r="I173" s="6" t="s">
        <v>40</v>
      </c>
      <c r="J173" s="5" t="s">
        <v>8585</v>
      </c>
      <c r="K173" s="5" t="s">
        <v>8586</v>
      </c>
      <c r="L173" s="6" t="s">
        <v>42</v>
      </c>
      <c r="M173" s="5" t="s">
        <v>1059</v>
      </c>
      <c r="N173" s="5" t="s">
        <v>64</v>
      </c>
      <c r="O173" s="5" t="s">
        <v>14358</v>
      </c>
      <c r="P173" s="5" t="s">
        <v>14333</v>
      </c>
      <c r="Q173" s="5" t="s">
        <v>14860</v>
      </c>
      <c r="R173" s="6">
        <v>5442.0</v>
      </c>
    </row>
    <row r="174" ht="56.25" customHeight="1">
      <c r="A174" s="5" t="s">
        <v>14861</v>
      </c>
      <c r="B174" s="6" t="str">
        <f>IMAGE("https://storage.googleapis.com/acdb/dresses/TopsTexOnepieceDressLNordic0.png")</f>
        <v/>
      </c>
      <c r="C174" s="5" t="s">
        <v>68</v>
      </c>
      <c r="D174" s="5" t="s">
        <v>36</v>
      </c>
      <c r="E174" s="6">
        <v>2520.0</v>
      </c>
      <c r="F174" s="6">
        <v>630.0</v>
      </c>
      <c r="G174" s="5" t="s">
        <v>68</v>
      </c>
      <c r="H174" s="5" t="s">
        <v>106</v>
      </c>
      <c r="I174" s="6" t="s">
        <v>40</v>
      </c>
      <c r="J174" s="5" t="s">
        <v>8585</v>
      </c>
      <c r="K174" s="5" t="s">
        <v>8586</v>
      </c>
      <c r="L174" s="6" t="s">
        <v>42</v>
      </c>
      <c r="M174" s="5" t="s">
        <v>1059</v>
      </c>
      <c r="N174" s="5" t="s">
        <v>64</v>
      </c>
      <c r="O174" s="5" t="s">
        <v>14841</v>
      </c>
      <c r="P174" s="5" t="s">
        <v>14333</v>
      </c>
      <c r="Q174" s="5" t="s">
        <v>14863</v>
      </c>
      <c r="R174" s="6">
        <v>4650.0</v>
      </c>
    </row>
    <row r="175" ht="56.25" customHeight="1">
      <c r="A175" s="5" t="s">
        <v>14861</v>
      </c>
      <c r="B175" s="6" t="str">
        <f>IMAGE("https://storage.googleapis.com/acdb/dresses/TopsTexOnepieceDressLNordic1.png")</f>
        <v/>
      </c>
      <c r="C175" s="5" t="s">
        <v>96</v>
      </c>
      <c r="D175" s="5" t="s">
        <v>36</v>
      </c>
      <c r="E175" s="6">
        <v>2520.0</v>
      </c>
      <c r="F175" s="6">
        <v>630.0</v>
      </c>
      <c r="G175" s="5" t="s">
        <v>96</v>
      </c>
      <c r="H175" s="5" t="s">
        <v>142</v>
      </c>
      <c r="I175" s="6" t="s">
        <v>40</v>
      </c>
      <c r="J175" s="5" t="s">
        <v>8585</v>
      </c>
      <c r="K175" s="5" t="s">
        <v>8586</v>
      </c>
      <c r="L175" s="6" t="s">
        <v>42</v>
      </c>
      <c r="M175" s="5" t="s">
        <v>1059</v>
      </c>
      <c r="N175" s="5" t="s">
        <v>64</v>
      </c>
      <c r="O175" s="5" t="s">
        <v>14841</v>
      </c>
      <c r="P175" s="5" t="s">
        <v>14333</v>
      </c>
      <c r="Q175" s="5" t="s">
        <v>14865</v>
      </c>
      <c r="R175" s="6">
        <v>8162.0</v>
      </c>
    </row>
    <row r="176" ht="56.25" customHeight="1">
      <c r="A176" s="5" t="s">
        <v>14861</v>
      </c>
      <c r="B176" s="6" t="str">
        <f>IMAGE("https://storage.googleapis.com/acdb/dresses/TopsTexOnepieceDressLNordic2.png")</f>
        <v/>
      </c>
      <c r="C176" s="5" t="s">
        <v>52</v>
      </c>
      <c r="D176" s="5" t="s">
        <v>36</v>
      </c>
      <c r="E176" s="6">
        <v>2520.0</v>
      </c>
      <c r="F176" s="6">
        <v>630.0</v>
      </c>
      <c r="G176" s="5" t="s">
        <v>52</v>
      </c>
      <c r="H176" s="5" t="s">
        <v>96</v>
      </c>
      <c r="I176" s="6" t="s">
        <v>40</v>
      </c>
      <c r="J176" s="5" t="s">
        <v>8585</v>
      </c>
      <c r="K176" s="5" t="s">
        <v>8586</v>
      </c>
      <c r="L176" s="6" t="s">
        <v>42</v>
      </c>
      <c r="M176" s="5" t="s">
        <v>1059</v>
      </c>
      <c r="N176" s="5" t="s">
        <v>64</v>
      </c>
      <c r="O176" s="5" t="s">
        <v>14841</v>
      </c>
      <c r="P176" s="5" t="s">
        <v>14333</v>
      </c>
      <c r="Q176" s="5" t="s">
        <v>14867</v>
      </c>
      <c r="R176" s="6">
        <v>8163.0</v>
      </c>
    </row>
    <row r="177" ht="56.25" customHeight="1">
      <c r="A177" s="5" t="s">
        <v>14868</v>
      </c>
      <c r="B177" s="6" t="str">
        <f>IMAGE("https://storage.googleapis.com/acdb/dresses/TopsTexOnepieceOverallLHotel1.png")</f>
        <v/>
      </c>
      <c r="C177" s="5" t="s">
        <v>52</v>
      </c>
      <c r="D177" s="5" t="s">
        <v>36</v>
      </c>
      <c r="E177" s="6">
        <v>1920.0</v>
      </c>
      <c r="F177" s="6">
        <v>480.0</v>
      </c>
      <c r="G177" s="5" t="s">
        <v>52</v>
      </c>
      <c r="H177" s="5" t="s">
        <v>68</v>
      </c>
      <c r="I177" s="6" t="s">
        <v>40</v>
      </c>
      <c r="J177" s="5" t="s">
        <v>8585</v>
      </c>
      <c r="K177" s="5" t="s">
        <v>8586</v>
      </c>
      <c r="L177" s="6" t="s">
        <v>42</v>
      </c>
      <c r="M177" s="5" t="s">
        <v>995</v>
      </c>
      <c r="N177" s="5" t="s">
        <v>64</v>
      </c>
      <c r="O177" s="5" t="s">
        <v>14358</v>
      </c>
      <c r="P177" s="5" t="s">
        <v>14333</v>
      </c>
      <c r="Q177" s="5" t="s">
        <v>14870</v>
      </c>
      <c r="R177" s="6">
        <v>7445.0</v>
      </c>
    </row>
    <row r="178" ht="56.25" customHeight="1">
      <c r="A178" s="5" t="s">
        <v>14868</v>
      </c>
      <c r="B178" s="6" t="str">
        <f>IMAGE("https://storage.googleapis.com/acdb/dresses/TopsTexOnepieceOverallLHotel0.png")</f>
        <v/>
      </c>
      <c r="C178" s="5" t="s">
        <v>96</v>
      </c>
      <c r="D178" s="5" t="s">
        <v>36</v>
      </c>
      <c r="E178" s="6">
        <v>1920.0</v>
      </c>
      <c r="F178" s="6">
        <v>480.0</v>
      </c>
      <c r="G178" s="5" t="s">
        <v>96</v>
      </c>
      <c r="H178" s="5" t="s">
        <v>68</v>
      </c>
      <c r="I178" s="6" t="s">
        <v>40</v>
      </c>
      <c r="J178" s="5" t="s">
        <v>8585</v>
      </c>
      <c r="K178" s="5" t="s">
        <v>8586</v>
      </c>
      <c r="L178" s="6" t="s">
        <v>42</v>
      </c>
      <c r="M178" s="5" t="s">
        <v>995</v>
      </c>
      <c r="N178" s="5" t="s">
        <v>64</v>
      </c>
      <c r="O178" s="5" t="s">
        <v>14358</v>
      </c>
      <c r="P178" s="5" t="s">
        <v>14333</v>
      </c>
      <c r="Q178" s="5" t="s">
        <v>14872</v>
      </c>
      <c r="R178" s="6">
        <v>3464.0</v>
      </c>
    </row>
    <row r="179" ht="56.25" customHeight="1">
      <c r="A179" s="5" t="s">
        <v>14868</v>
      </c>
      <c r="B179" s="6" t="str">
        <f>IMAGE("https://storage.googleapis.com/acdb/dresses/TopsTexOnepieceOverallLHotel2.png")</f>
        <v/>
      </c>
      <c r="C179" s="5" t="s">
        <v>57</v>
      </c>
      <c r="D179" s="5" t="s">
        <v>36</v>
      </c>
      <c r="E179" s="6">
        <v>1920.0</v>
      </c>
      <c r="F179" s="6">
        <v>480.0</v>
      </c>
      <c r="G179" s="5" t="s">
        <v>57</v>
      </c>
      <c r="H179" s="5" t="s">
        <v>68</v>
      </c>
      <c r="I179" s="6" t="s">
        <v>40</v>
      </c>
      <c r="J179" s="5" t="s">
        <v>8585</v>
      </c>
      <c r="K179" s="5" t="s">
        <v>8586</v>
      </c>
      <c r="L179" s="6" t="s">
        <v>42</v>
      </c>
      <c r="M179" s="5" t="s">
        <v>995</v>
      </c>
      <c r="N179" s="5" t="s">
        <v>64</v>
      </c>
      <c r="O179" s="5" t="s">
        <v>14358</v>
      </c>
      <c r="P179" s="5" t="s">
        <v>14333</v>
      </c>
      <c r="Q179" s="5" t="s">
        <v>14875</v>
      </c>
      <c r="R179" s="6">
        <v>7446.0</v>
      </c>
    </row>
    <row r="180" ht="56.25" customHeight="1">
      <c r="A180" s="5" t="s">
        <v>14868</v>
      </c>
      <c r="B180" s="6" t="str">
        <f>IMAGE("https://storage.googleapis.com/acdb/dresses/TopsTexOnepieceOverallLHotel3.png")</f>
        <v/>
      </c>
      <c r="C180" s="5" t="s">
        <v>39</v>
      </c>
      <c r="D180" s="5" t="s">
        <v>36</v>
      </c>
      <c r="E180" s="6">
        <v>1920.0</v>
      </c>
      <c r="F180" s="6">
        <v>480.0</v>
      </c>
      <c r="G180" s="5" t="s">
        <v>39</v>
      </c>
      <c r="H180" s="5" t="s">
        <v>68</v>
      </c>
      <c r="I180" s="6" t="s">
        <v>40</v>
      </c>
      <c r="J180" s="5" t="s">
        <v>8585</v>
      </c>
      <c r="K180" s="5" t="s">
        <v>8586</v>
      </c>
      <c r="L180" s="6" t="s">
        <v>42</v>
      </c>
      <c r="M180" s="5" t="s">
        <v>995</v>
      </c>
      <c r="N180" s="5" t="s">
        <v>64</v>
      </c>
      <c r="O180" s="5" t="s">
        <v>14358</v>
      </c>
      <c r="P180" s="5" t="s">
        <v>14333</v>
      </c>
      <c r="Q180" s="5" t="s">
        <v>14878</v>
      </c>
      <c r="R180" s="6">
        <v>7447.0</v>
      </c>
    </row>
    <row r="181" ht="56.25" customHeight="1">
      <c r="A181" s="5" t="s">
        <v>14868</v>
      </c>
      <c r="B181" s="6" t="str">
        <f>IMAGE("https://storage.googleapis.com/acdb/dresses/TopsTexOnepieceOverallLHotel4.png")</f>
        <v/>
      </c>
      <c r="C181" s="5" t="s">
        <v>83</v>
      </c>
      <c r="D181" s="5" t="s">
        <v>36</v>
      </c>
      <c r="E181" s="6">
        <v>1920.0</v>
      </c>
      <c r="F181" s="6">
        <v>480.0</v>
      </c>
      <c r="G181" s="5" t="s">
        <v>83</v>
      </c>
      <c r="H181" s="5" t="s">
        <v>68</v>
      </c>
      <c r="I181" s="6" t="s">
        <v>40</v>
      </c>
      <c r="J181" s="5" t="s">
        <v>8585</v>
      </c>
      <c r="K181" s="5" t="s">
        <v>8586</v>
      </c>
      <c r="L181" s="6" t="s">
        <v>42</v>
      </c>
      <c r="M181" s="5" t="s">
        <v>995</v>
      </c>
      <c r="N181" s="5" t="s">
        <v>64</v>
      </c>
      <c r="O181" s="5" t="s">
        <v>14358</v>
      </c>
      <c r="P181" s="5" t="s">
        <v>14333</v>
      </c>
      <c r="Q181" s="5" t="s">
        <v>14882</v>
      </c>
      <c r="R181" s="6">
        <v>7448.0</v>
      </c>
    </row>
    <row r="182" ht="56.25" customHeight="1">
      <c r="A182" s="5" t="s">
        <v>14883</v>
      </c>
      <c r="B182" s="6" t="str">
        <f>IMAGE("https://storage.googleapis.com/acdb/dresses/TopsTexOnepieceOverallLFarmer1.png")</f>
        <v/>
      </c>
      <c r="C182" s="5" t="s">
        <v>68</v>
      </c>
      <c r="D182" s="5" t="s">
        <v>36</v>
      </c>
      <c r="E182" s="6">
        <v>1600.0</v>
      </c>
      <c r="F182" s="6">
        <v>400.0</v>
      </c>
      <c r="G182" s="5" t="s">
        <v>83</v>
      </c>
      <c r="H182" s="5" t="s">
        <v>39</v>
      </c>
      <c r="I182" s="6" t="s">
        <v>40</v>
      </c>
      <c r="J182" s="5" t="s">
        <v>8585</v>
      </c>
      <c r="K182" s="5" t="s">
        <v>8632</v>
      </c>
      <c r="L182" s="6" t="s">
        <v>42</v>
      </c>
      <c r="M182" s="5" t="s">
        <v>8746</v>
      </c>
      <c r="N182" s="5" t="s">
        <v>64</v>
      </c>
      <c r="O182" s="5" t="s">
        <v>14358</v>
      </c>
      <c r="P182" s="5" t="s">
        <v>14333</v>
      </c>
      <c r="Q182" s="5" t="s">
        <v>14886</v>
      </c>
      <c r="R182" s="6">
        <v>9610.0</v>
      </c>
    </row>
    <row r="183" ht="56.25" customHeight="1">
      <c r="A183" s="5" t="s">
        <v>14883</v>
      </c>
      <c r="B183" s="6" t="str">
        <f>IMAGE("https://storage.googleapis.com/acdb/dresses/TopsTexOnepieceOverallLFarmer2.png")</f>
        <v/>
      </c>
      <c r="C183" s="5" t="s">
        <v>142</v>
      </c>
      <c r="D183" s="5" t="s">
        <v>36</v>
      </c>
      <c r="E183" s="6">
        <v>1600.0</v>
      </c>
      <c r="F183" s="6">
        <v>400.0</v>
      </c>
      <c r="G183" s="5" t="s">
        <v>142</v>
      </c>
      <c r="H183" s="5" t="s">
        <v>96</v>
      </c>
      <c r="I183" s="6" t="s">
        <v>40</v>
      </c>
      <c r="J183" s="5" t="s">
        <v>8585</v>
      </c>
      <c r="K183" s="5" t="s">
        <v>8632</v>
      </c>
      <c r="L183" s="6" t="s">
        <v>42</v>
      </c>
      <c r="M183" s="5" t="s">
        <v>8746</v>
      </c>
      <c r="N183" s="5" t="s">
        <v>64</v>
      </c>
      <c r="O183" s="5" t="s">
        <v>14358</v>
      </c>
      <c r="P183" s="5" t="s">
        <v>14333</v>
      </c>
      <c r="Q183" s="5" t="s">
        <v>14889</v>
      </c>
      <c r="R183" s="6">
        <v>9611.0</v>
      </c>
    </row>
    <row r="184" ht="56.25" customHeight="1">
      <c r="A184" s="5" t="s">
        <v>14883</v>
      </c>
      <c r="B184" s="6" t="str">
        <f>IMAGE("https://storage.googleapis.com/acdb/dresses/TopsTexOnepieceOverallLFarmer3.png")</f>
        <v/>
      </c>
      <c r="C184" s="5" t="s">
        <v>69</v>
      </c>
      <c r="D184" s="5" t="s">
        <v>36</v>
      </c>
      <c r="E184" s="6">
        <v>1600.0</v>
      </c>
      <c r="F184" s="6">
        <v>400.0</v>
      </c>
      <c r="G184" s="5" t="s">
        <v>69</v>
      </c>
      <c r="H184" s="5" t="s">
        <v>52</v>
      </c>
      <c r="I184" s="6" t="s">
        <v>40</v>
      </c>
      <c r="J184" s="5" t="s">
        <v>8585</v>
      </c>
      <c r="K184" s="5" t="s">
        <v>8632</v>
      </c>
      <c r="L184" s="6" t="s">
        <v>42</v>
      </c>
      <c r="M184" s="5" t="s">
        <v>8746</v>
      </c>
      <c r="N184" s="5" t="s">
        <v>64</v>
      </c>
      <c r="O184" s="5" t="s">
        <v>14358</v>
      </c>
      <c r="P184" s="5" t="s">
        <v>14333</v>
      </c>
      <c r="Q184" s="5" t="s">
        <v>14892</v>
      </c>
      <c r="R184" s="6">
        <v>9612.0</v>
      </c>
    </row>
    <row r="185" ht="56.25" customHeight="1">
      <c r="A185" s="5" t="s">
        <v>14883</v>
      </c>
      <c r="B185" s="6" t="str">
        <f>IMAGE("https://storage.googleapis.com/acdb/dresses/TopsTexOnepieceOverallLFarmer4.png")</f>
        <v/>
      </c>
      <c r="C185" s="5" t="s">
        <v>106</v>
      </c>
      <c r="D185" s="5" t="s">
        <v>36</v>
      </c>
      <c r="E185" s="6">
        <v>1600.0</v>
      </c>
      <c r="F185" s="6">
        <v>400.0</v>
      </c>
      <c r="G185" s="5" t="s">
        <v>106</v>
      </c>
      <c r="H185" s="5" t="s">
        <v>54</v>
      </c>
      <c r="I185" s="6" t="s">
        <v>40</v>
      </c>
      <c r="J185" s="5" t="s">
        <v>8585</v>
      </c>
      <c r="K185" s="5" t="s">
        <v>8632</v>
      </c>
      <c r="L185" s="6" t="s">
        <v>42</v>
      </c>
      <c r="M185" s="5" t="s">
        <v>8746</v>
      </c>
      <c r="N185" s="5" t="s">
        <v>64</v>
      </c>
      <c r="O185" s="5" t="s">
        <v>14358</v>
      </c>
      <c r="P185" s="5" t="s">
        <v>14333</v>
      </c>
      <c r="Q185" s="5" t="s">
        <v>14894</v>
      </c>
      <c r="R185" s="6">
        <v>9613.0</v>
      </c>
    </row>
    <row r="186" ht="56.25" customHeight="1">
      <c r="A186" s="5" t="s">
        <v>14883</v>
      </c>
      <c r="B186" s="6" t="str">
        <f>IMAGE("https://storage.googleapis.com/acdb/dresses/TopsTexOnepieceOverallLFarmer0.png")</f>
        <v/>
      </c>
      <c r="C186" s="5" t="s">
        <v>96</v>
      </c>
      <c r="D186" s="5" t="s">
        <v>36</v>
      </c>
      <c r="E186" s="6">
        <v>1600.0</v>
      </c>
      <c r="F186" s="6">
        <v>400.0</v>
      </c>
      <c r="G186" s="5" t="s">
        <v>96</v>
      </c>
      <c r="H186" s="5" t="s">
        <v>68</v>
      </c>
      <c r="I186" s="6" t="s">
        <v>40</v>
      </c>
      <c r="J186" s="5" t="s">
        <v>8585</v>
      </c>
      <c r="K186" s="5" t="s">
        <v>8632</v>
      </c>
      <c r="L186" s="6" t="s">
        <v>42</v>
      </c>
      <c r="M186" s="5" t="s">
        <v>8746</v>
      </c>
      <c r="N186" s="5" t="s">
        <v>64</v>
      </c>
      <c r="O186" s="5" t="s">
        <v>14358</v>
      </c>
      <c r="P186" s="5" t="s">
        <v>14333</v>
      </c>
      <c r="Q186" s="5" t="s">
        <v>14896</v>
      </c>
      <c r="R186" s="6">
        <v>5288.0</v>
      </c>
    </row>
    <row r="187" ht="56.25" customHeight="1">
      <c r="A187" s="5" t="s">
        <v>14898</v>
      </c>
      <c r="B187" s="6" t="str">
        <f>IMAGE("https://storage.googleapis.com/acdb/dresses/TopsTexOnepieceOverallLCyber1.png")</f>
        <v/>
      </c>
      <c r="C187" s="5" t="s">
        <v>114</v>
      </c>
      <c r="D187" s="5" t="s">
        <v>36</v>
      </c>
      <c r="E187" s="6">
        <v>3500.0</v>
      </c>
      <c r="F187" s="6">
        <v>875.0</v>
      </c>
      <c r="G187" s="5" t="s">
        <v>54</v>
      </c>
      <c r="H187" s="5" t="s">
        <v>114</v>
      </c>
      <c r="I187" s="6" t="s">
        <v>40</v>
      </c>
      <c r="J187" s="5" t="s">
        <v>8585</v>
      </c>
      <c r="K187" s="5" t="s">
        <v>8586</v>
      </c>
      <c r="L187" s="6" t="s">
        <v>42</v>
      </c>
      <c r="M187" s="5" t="s">
        <v>1952</v>
      </c>
      <c r="N187" s="5" t="s">
        <v>64</v>
      </c>
      <c r="O187" s="5" t="s">
        <v>14358</v>
      </c>
      <c r="P187" s="5" t="s">
        <v>14333</v>
      </c>
      <c r="Q187" s="5" t="s">
        <v>14901</v>
      </c>
      <c r="R187" s="6">
        <v>8658.0</v>
      </c>
    </row>
    <row r="188" ht="56.25" customHeight="1">
      <c r="A188" s="5" t="s">
        <v>14898</v>
      </c>
      <c r="B188" s="6" t="str">
        <f>IMAGE("https://storage.googleapis.com/acdb/dresses/TopsTexOnepieceOverallLCyber2.png")</f>
        <v/>
      </c>
      <c r="C188" s="5" t="s">
        <v>69</v>
      </c>
      <c r="D188" s="5" t="s">
        <v>36</v>
      </c>
      <c r="E188" s="6">
        <v>3500.0</v>
      </c>
      <c r="F188" s="6">
        <v>875.0</v>
      </c>
      <c r="G188" s="5" t="s">
        <v>54</v>
      </c>
      <c r="H188" s="5" t="s">
        <v>69</v>
      </c>
      <c r="I188" s="6" t="s">
        <v>40</v>
      </c>
      <c r="J188" s="5" t="s">
        <v>8585</v>
      </c>
      <c r="K188" s="5" t="s">
        <v>8586</v>
      </c>
      <c r="L188" s="6" t="s">
        <v>42</v>
      </c>
      <c r="M188" s="5" t="s">
        <v>1952</v>
      </c>
      <c r="N188" s="5" t="s">
        <v>64</v>
      </c>
      <c r="O188" s="5" t="s">
        <v>14358</v>
      </c>
      <c r="P188" s="5" t="s">
        <v>14333</v>
      </c>
      <c r="Q188" s="5" t="s">
        <v>14905</v>
      </c>
      <c r="R188" s="6">
        <v>8659.0</v>
      </c>
    </row>
    <row r="189" ht="56.25" customHeight="1">
      <c r="A189" s="5" t="s">
        <v>14898</v>
      </c>
      <c r="B189" s="6" t="str">
        <f>IMAGE("https://storage.googleapis.com/acdb/dresses/TopsTexOnepieceOverallLCyber0.png")</f>
        <v/>
      </c>
      <c r="C189" s="5" t="s">
        <v>68</v>
      </c>
      <c r="D189" s="5" t="s">
        <v>36</v>
      </c>
      <c r="E189" s="6">
        <v>3500.0</v>
      </c>
      <c r="F189" s="6">
        <v>875.0</v>
      </c>
      <c r="G189" s="5" t="s">
        <v>54</v>
      </c>
      <c r="H189" s="5" t="s">
        <v>83</v>
      </c>
      <c r="I189" s="6" t="s">
        <v>40</v>
      </c>
      <c r="J189" s="5" t="s">
        <v>8585</v>
      </c>
      <c r="K189" s="5" t="s">
        <v>8586</v>
      </c>
      <c r="L189" s="6" t="s">
        <v>42</v>
      </c>
      <c r="M189" s="5" t="s">
        <v>1952</v>
      </c>
      <c r="N189" s="5" t="s">
        <v>64</v>
      </c>
      <c r="O189" s="5" t="s">
        <v>14358</v>
      </c>
      <c r="P189" s="5" t="s">
        <v>14333</v>
      </c>
      <c r="Q189" s="5" t="s">
        <v>14908</v>
      </c>
      <c r="R189" s="6">
        <v>5391.0</v>
      </c>
    </row>
    <row r="190" ht="56.25" customHeight="1">
      <c r="A190" s="5" t="s">
        <v>14909</v>
      </c>
      <c r="B190" s="6" t="str">
        <f>IMAGE("https://storage.googleapis.com/acdb/dresses/TopsTexOnepieceAlineNYumeiro1.png")</f>
        <v/>
      </c>
      <c r="C190" s="5" t="s">
        <v>68</v>
      </c>
      <c r="D190" s="5" t="s">
        <v>36</v>
      </c>
      <c r="E190" s="6">
        <v>1600.0</v>
      </c>
      <c r="F190" s="6">
        <v>400.0</v>
      </c>
      <c r="G190" s="5" t="s">
        <v>68</v>
      </c>
      <c r="H190" s="5" t="s">
        <v>83</v>
      </c>
      <c r="I190" s="6" t="s">
        <v>40</v>
      </c>
      <c r="J190" s="5" t="s">
        <v>8585</v>
      </c>
      <c r="K190" s="5" t="s">
        <v>8632</v>
      </c>
      <c r="L190" s="6" t="s">
        <v>42</v>
      </c>
      <c r="M190" s="5" t="s">
        <v>1959</v>
      </c>
      <c r="N190" s="5" t="s">
        <v>64</v>
      </c>
      <c r="O190" s="5" t="s">
        <v>14411</v>
      </c>
      <c r="P190" s="5" t="s">
        <v>14412</v>
      </c>
      <c r="Q190" s="5" t="s">
        <v>14912</v>
      </c>
      <c r="R190" s="6">
        <v>8300.0</v>
      </c>
    </row>
    <row r="191" ht="56.25" customHeight="1">
      <c r="A191" s="5" t="s">
        <v>14909</v>
      </c>
      <c r="B191" s="6" t="str">
        <f>IMAGE("https://storage.googleapis.com/acdb/dresses/TopsTexOnepieceAlineNYumeiro2.png")</f>
        <v/>
      </c>
      <c r="C191" s="5" t="s">
        <v>96</v>
      </c>
      <c r="D191" s="5" t="s">
        <v>36</v>
      </c>
      <c r="E191" s="6">
        <v>1600.0</v>
      </c>
      <c r="F191" s="6">
        <v>400.0</v>
      </c>
      <c r="G191" s="5" t="s">
        <v>96</v>
      </c>
      <c r="H191" s="5" t="s">
        <v>114</v>
      </c>
      <c r="I191" s="6" t="s">
        <v>40</v>
      </c>
      <c r="J191" s="5" t="s">
        <v>8585</v>
      </c>
      <c r="K191" s="5" t="s">
        <v>8632</v>
      </c>
      <c r="L191" s="6" t="s">
        <v>42</v>
      </c>
      <c r="M191" s="5" t="s">
        <v>1959</v>
      </c>
      <c r="N191" s="5" t="s">
        <v>64</v>
      </c>
      <c r="O191" s="5" t="s">
        <v>14411</v>
      </c>
      <c r="P191" s="5" t="s">
        <v>14412</v>
      </c>
      <c r="Q191" s="5" t="s">
        <v>14914</v>
      </c>
      <c r="R191" s="6">
        <v>8301.0</v>
      </c>
    </row>
    <row r="192" ht="56.25" customHeight="1">
      <c r="A192" s="5" t="s">
        <v>14909</v>
      </c>
      <c r="B192" s="6" t="str">
        <f>IMAGE("https://storage.googleapis.com/acdb/dresses/TopsTexOnepieceAlineNYumeiro0.png")</f>
        <v/>
      </c>
      <c r="C192" s="5" t="s">
        <v>69</v>
      </c>
      <c r="D192" s="5" t="s">
        <v>36</v>
      </c>
      <c r="E192" s="6">
        <v>1600.0</v>
      </c>
      <c r="F192" s="6">
        <v>400.0</v>
      </c>
      <c r="G192" s="5" t="s">
        <v>69</v>
      </c>
      <c r="H192" s="5" t="s">
        <v>106</v>
      </c>
      <c r="I192" s="6" t="s">
        <v>40</v>
      </c>
      <c r="J192" s="5" t="s">
        <v>8585</v>
      </c>
      <c r="K192" s="5" t="s">
        <v>8632</v>
      </c>
      <c r="L192" s="6" t="s">
        <v>42</v>
      </c>
      <c r="M192" s="5" t="s">
        <v>1959</v>
      </c>
      <c r="N192" s="5" t="s">
        <v>64</v>
      </c>
      <c r="O192" s="5" t="s">
        <v>14411</v>
      </c>
      <c r="P192" s="5" t="s">
        <v>14412</v>
      </c>
      <c r="Q192" s="5" t="s">
        <v>14917</v>
      </c>
      <c r="R192" s="6">
        <v>2783.0</v>
      </c>
    </row>
    <row r="193" ht="56.25" customHeight="1">
      <c r="A193" s="5" t="s">
        <v>14918</v>
      </c>
      <c r="B193" s="6" t="str">
        <f>IMAGE("https://storage.googleapis.com/acdb/dresses/TopsTexOnepieceOverallLSaropetto2.png")</f>
        <v/>
      </c>
      <c r="C193" s="5" t="s">
        <v>38</v>
      </c>
      <c r="D193" s="5" t="s">
        <v>36</v>
      </c>
      <c r="E193" s="6">
        <v>1600.0</v>
      </c>
      <c r="F193" s="6">
        <v>400.0</v>
      </c>
      <c r="G193" s="5" t="s">
        <v>38</v>
      </c>
      <c r="H193" s="5" t="s">
        <v>57</v>
      </c>
      <c r="I193" s="6" t="s">
        <v>40</v>
      </c>
      <c r="J193" s="5" t="s">
        <v>8585</v>
      </c>
      <c r="K193" s="5" t="s">
        <v>8632</v>
      </c>
      <c r="L193" s="6" t="s">
        <v>42</v>
      </c>
      <c r="M193" s="5" t="s">
        <v>995</v>
      </c>
      <c r="N193" s="5" t="s">
        <v>64</v>
      </c>
      <c r="O193" s="5" t="s">
        <v>14358</v>
      </c>
      <c r="P193" s="5" t="s">
        <v>14333</v>
      </c>
      <c r="Q193" s="5" t="s">
        <v>14921</v>
      </c>
      <c r="R193" s="6">
        <v>9470.0</v>
      </c>
    </row>
    <row r="194" ht="56.25" customHeight="1">
      <c r="A194" s="5" t="s">
        <v>14918</v>
      </c>
      <c r="B194" s="6" t="str">
        <f>IMAGE("https://storage.googleapis.com/acdb/dresses/TopsTexOnepieceOverallLSaropetto3.png")</f>
        <v/>
      </c>
      <c r="C194" s="5" t="s">
        <v>2222</v>
      </c>
      <c r="D194" s="5" t="s">
        <v>36</v>
      </c>
      <c r="E194" s="6">
        <v>1600.0</v>
      </c>
      <c r="F194" s="6">
        <v>400.0</v>
      </c>
      <c r="G194" s="5" t="s">
        <v>96</v>
      </c>
      <c r="H194" s="5" t="s">
        <v>83</v>
      </c>
      <c r="I194" s="6" t="s">
        <v>40</v>
      </c>
      <c r="J194" s="5" t="s">
        <v>8585</v>
      </c>
      <c r="K194" s="5" t="s">
        <v>8632</v>
      </c>
      <c r="L194" s="6" t="s">
        <v>42</v>
      </c>
      <c r="M194" s="5" t="s">
        <v>995</v>
      </c>
      <c r="N194" s="5" t="s">
        <v>64</v>
      </c>
      <c r="O194" s="5" t="s">
        <v>14358</v>
      </c>
      <c r="P194" s="5" t="s">
        <v>14333</v>
      </c>
      <c r="Q194" s="5" t="s">
        <v>14924</v>
      </c>
      <c r="R194" s="6">
        <v>9471.0</v>
      </c>
    </row>
    <row r="195" ht="56.25" customHeight="1">
      <c r="A195" s="5" t="s">
        <v>14918</v>
      </c>
      <c r="B195" s="6" t="str">
        <f>IMAGE("https://storage.googleapis.com/acdb/dresses/TopsTexOnepieceOverallLSaropetto4.png")</f>
        <v/>
      </c>
      <c r="C195" s="5" t="s">
        <v>57</v>
      </c>
      <c r="D195" s="5" t="s">
        <v>36</v>
      </c>
      <c r="E195" s="6">
        <v>1600.0</v>
      </c>
      <c r="F195" s="6">
        <v>400.0</v>
      </c>
      <c r="G195" s="5" t="s">
        <v>57</v>
      </c>
      <c r="H195" s="5" t="s">
        <v>54</v>
      </c>
      <c r="I195" s="6" t="s">
        <v>40</v>
      </c>
      <c r="J195" s="5" t="s">
        <v>8585</v>
      </c>
      <c r="K195" s="5" t="s">
        <v>8632</v>
      </c>
      <c r="L195" s="6" t="s">
        <v>42</v>
      </c>
      <c r="M195" s="5" t="s">
        <v>995</v>
      </c>
      <c r="N195" s="5" t="s">
        <v>64</v>
      </c>
      <c r="O195" s="5" t="s">
        <v>14358</v>
      </c>
      <c r="P195" s="5" t="s">
        <v>14333</v>
      </c>
      <c r="Q195" s="5" t="s">
        <v>14926</v>
      </c>
      <c r="R195" s="6">
        <v>9472.0</v>
      </c>
    </row>
    <row r="196" ht="56.25" customHeight="1">
      <c r="A196" s="5" t="s">
        <v>14918</v>
      </c>
      <c r="B196" s="6" t="str">
        <f>IMAGE("https://storage.googleapis.com/acdb/dresses/TopsTexOnepieceOverallLSaropetto5.png")</f>
        <v/>
      </c>
      <c r="C196" s="5" t="s">
        <v>142</v>
      </c>
      <c r="D196" s="5" t="s">
        <v>36</v>
      </c>
      <c r="E196" s="6">
        <v>1600.0</v>
      </c>
      <c r="F196" s="6">
        <v>400.0</v>
      </c>
      <c r="G196" s="5" t="s">
        <v>142</v>
      </c>
      <c r="H196" s="5" t="s">
        <v>38</v>
      </c>
      <c r="I196" s="6" t="s">
        <v>40</v>
      </c>
      <c r="J196" s="5" t="s">
        <v>8585</v>
      </c>
      <c r="K196" s="5" t="s">
        <v>8632</v>
      </c>
      <c r="L196" s="6" t="s">
        <v>42</v>
      </c>
      <c r="M196" s="5" t="s">
        <v>995</v>
      </c>
      <c r="N196" s="5" t="s">
        <v>64</v>
      </c>
      <c r="O196" s="5" t="s">
        <v>14358</v>
      </c>
      <c r="P196" s="5" t="s">
        <v>14333</v>
      </c>
      <c r="Q196" s="5" t="s">
        <v>14928</v>
      </c>
      <c r="R196" s="6">
        <v>9473.0</v>
      </c>
    </row>
    <row r="197" ht="56.25" customHeight="1">
      <c r="A197" s="5" t="s">
        <v>14918</v>
      </c>
      <c r="B197" s="6" t="str">
        <f>IMAGE("https://storage.googleapis.com/acdb/dresses/TopsTexOnepieceOverallLSaropetto0.png")</f>
        <v/>
      </c>
      <c r="C197" s="5" t="s">
        <v>68</v>
      </c>
      <c r="D197" s="5" t="s">
        <v>36</v>
      </c>
      <c r="E197" s="6">
        <v>1600.0</v>
      </c>
      <c r="F197" s="6">
        <v>400.0</v>
      </c>
      <c r="G197" s="5" t="s">
        <v>83</v>
      </c>
      <c r="H197" s="5" t="s">
        <v>57</v>
      </c>
      <c r="I197" s="6" t="s">
        <v>40</v>
      </c>
      <c r="J197" s="5" t="s">
        <v>8585</v>
      </c>
      <c r="K197" s="5" t="s">
        <v>8632</v>
      </c>
      <c r="L197" s="6" t="s">
        <v>42</v>
      </c>
      <c r="M197" s="5" t="s">
        <v>995</v>
      </c>
      <c r="N197" s="5" t="s">
        <v>64</v>
      </c>
      <c r="O197" s="5" t="s">
        <v>14358</v>
      </c>
      <c r="P197" s="5" t="s">
        <v>14333</v>
      </c>
      <c r="Q197" s="5" t="s">
        <v>14931</v>
      </c>
      <c r="R197" s="6">
        <v>3668.0</v>
      </c>
    </row>
    <row r="198" ht="56.25" customHeight="1">
      <c r="A198" s="5" t="s">
        <v>14918</v>
      </c>
      <c r="B198" s="6" t="str">
        <f>IMAGE("https://storage.googleapis.com/acdb/dresses/TopsTexOnepieceOverallLSaropetto6.png")</f>
        <v/>
      </c>
      <c r="C198" s="5" t="s">
        <v>52</v>
      </c>
      <c r="D198" s="5" t="s">
        <v>36</v>
      </c>
      <c r="E198" s="6">
        <v>1600.0</v>
      </c>
      <c r="F198" s="6">
        <v>400.0</v>
      </c>
      <c r="G198" s="5" t="s">
        <v>52</v>
      </c>
      <c r="H198" s="5" t="s">
        <v>54</v>
      </c>
      <c r="I198" s="6" t="s">
        <v>40</v>
      </c>
      <c r="J198" s="5" t="s">
        <v>8585</v>
      </c>
      <c r="K198" s="5" t="s">
        <v>8632</v>
      </c>
      <c r="L198" s="6" t="s">
        <v>42</v>
      </c>
      <c r="M198" s="5" t="s">
        <v>995</v>
      </c>
      <c r="N198" s="5" t="s">
        <v>64</v>
      </c>
      <c r="O198" s="5" t="s">
        <v>14358</v>
      </c>
      <c r="P198" s="5" t="s">
        <v>14333</v>
      </c>
      <c r="Q198" s="5" t="s">
        <v>14933</v>
      </c>
      <c r="R198" s="6">
        <v>9474.0</v>
      </c>
    </row>
    <row r="199" ht="56.25" customHeight="1">
      <c r="A199" s="5" t="s">
        <v>14918</v>
      </c>
      <c r="B199" s="6" t="str">
        <f>IMAGE("https://storage.googleapis.com/acdb/dresses/TopsTexOnepieceOverallLSaropetto7.png")</f>
        <v/>
      </c>
      <c r="C199" s="5" t="s">
        <v>54</v>
      </c>
      <c r="D199" s="5" t="s">
        <v>36</v>
      </c>
      <c r="E199" s="6">
        <v>1600.0</v>
      </c>
      <c r="F199" s="6">
        <v>400.0</v>
      </c>
      <c r="G199" s="5" t="s">
        <v>54</v>
      </c>
      <c r="H199" s="5" t="s">
        <v>96</v>
      </c>
      <c r="I199" s="6" t="s">
        <v>40</v>
      </c>
      <c r="J199" s="5" t="s">
        <v>8585</v>
      </c>
      <c r="K199" s="5" t="s">
        <v>8632</v>
      </c>
      <c r="L199" s="6" t="s">
        <v>42</v>
      </c>
      <c r="M199" s="5" t="s">
        <v>995</v>
      </c>
      <c r="N199" s="5" t="s">
        <v>64</v>
      </c>
      <c r="O199" s="5" t="s">
        <v>14358</v>
      </c>
      <c r="P199" s="5" t="s">
        <v>14333</v>
      </c>
      <c r="Q199" s="5" t="s">
        <v>14937</v>
      </c>
      <c r="R199" s="6">
        <v>9475.0</v>
      </c>
    </row>
    <row r="200" ht="56.25" customHeight="1">
      <c r="A200" s="5" t="s">
        <v>14918</v>
      </c>
      <c r="B200" s="6" t="str">
        <f>IMAGE("https://storage.googleapis.com/acdb/dresses/TopsTexOnepieceOverallLSaropetto1.png")</f>
        <v/>
      </c>
      <c r="C200" s="5" t="s">
        <v>39</v>
      </c>
      <c r="D200" s="5" t="s">
        <v>36</v>
      </c>
      <c r="E200" s="6">
        <v>1600.0</v>
      </c>
      <c r="F200" s="6">
        <v>400.0</v>
      </c>
      <c r="G200" s="5" t="s">
        <v>39</v>
      </c>
      <c r="H200" s="5" t="s">
        <v>68</v>
      </c>
      <c r="I200" s="6" t="s">
        <v>40</v>
      </c>
      <c r="J200" s="5" t="s">
        <v>8585</v>
      </c>
      <c r="K200" s="5" t="s">
        <v>8632</v>
      </c>
      <c r="L200" s="6" t="s">
        <v>42</v>
      </c>
      <c r="M200" s="5" t="s">
        <v>995</v>
      </c>
      <c r="N200" s="5" t="s">
        <v>64</v>
      </c>
      <c r="O200" s="5" t="s">
        <v>14358</v>
      </c>
      <c r="P200" s="5" t="s">
        <v>14333</v>
      </c>
      <c r="Q200" s="5" t="s">
        <v>14939</v>
      </c>
      <c r="R200" s="6">
        <v>9469.0</v>
      </c>
    </row>
    <row r="201" ht="56.25" customHeight="1">
      <c r="A201" s="5" t="s">
        <v>14941</v>
      </c>
      <c r="B201" s="6" t="str">
        <f>IMAGE("https://storage.googleapis.com/acdb/dresses/TopsTexOnepieceOverallNArabia2.png")</f>
        <v/>
      </c>
      <c r="C201" s="5" t="s">
        <v>69</v>
      </c>
      <c r="D201" s="5" t="s">
        <v>36</v>
      </c>
      <c r="E201" s="6">
        <v>2520.0</v>
      </c>
      <c r="F201" s="6">
        <v>630.0</v>
      </c>
      <c r="G201" s="5" t="s">
        <v>69</v>
      </c>
      <c r="H201" s="5" t="s">
        <v>57</v>
      </c>
      <c r="I201" s="6" t="s">
        <v>40</v>
      </c>
      <c r="J201" s="5" t="s">
        <v>8585</v>
      </c>
      <c r="K201" s="5" t="s">
        <v>8586</v>
      </c>
      <c r="L201" s="6" t="s">
        <v>42</v>
      </c>
      <c r="M201" s="5" t="s">
        <v>1059</v>
      </c>
      <c r="N201" s="5" t="s">
        <v>64</v>
      </c>
      <c r="O201" s="5" t="s">
        <v>14358</v>
      </c>
      <c r="P201" s="5" t="s">
        <v>14412</v>
      </c>
      <c r="Q201" s="5" t="s">
        <v>14942</v>
      </c>
      <c r="R201" s="6">
        <v>8155.0</v>
      </c>
    </row>
    <row r="202" ht="56.25" customHeight="1">
      <c r="A202" s="5" t="s">
        <v>14941</v>
      </c>
      <c r="B202" s="6" t="str">
        <f>IMAGE("https://storage.googleapis.com/acdb/dresses/TopsTexOnepieceOverallNArabia3.png")</f>
        <v/>
      </c>
      <c r="C202" s="5" t="s">
        <v>114</v>
      </c>
      <c r="D202" s="5" t="s">
        <v>36</v>
      </c>
      <c r="E202" s="6">
        <v>2520.0</v>
      </c>
      <c r="F202" s="6">
        <v>630.0</v>
      </c>
      <c r="G202" s="5" t="s">
        <v>114</v>
      </c>
      <c r="H202" s="5" t="s">
        <v>57</v>
      </c>
      <c r="I202" s="6" t="s">
        <v>40</v>
      </c>
      <c r="J202" s="5" t="s">
        <v>8585</v>
      </c>
      <c r="K202" s="5" t="s">
        <v>8586</v>
      </c>
      <c r="L202" s="6" t="s">
        <v>42</v>
      </c>
      <c r="M202" s="5" t="s">
        <v>1059</v>
      </c>
      <c r="N202" s="5" t="s">
        <v>64</v>
      </c>
      <c r="O202" s="5" t="s">
        <v>14358</v>
      </c>
      <c r="P202" s="5" t="s">
        <v>14412</v>
      </c>
      <c r="Q202" s="5" t="s">
        <v>14944</v>
      </c>
      <c r="R202" s="6">
        <v>8156.0</v>
      </c>
    </row>
    <row r="203" ht="56.25" customHeight="1">
      <c r="A203" s="5" t="s">
        <v>14941</v>
      </c>
      <c r="B203" s="6" t="str">
        <f>IMAGE("https://storage.googleapis.com/acdb/dresses/TopsTexOnepieceOverallNArabia0.png")</f>
        <v/>
      </c>
      <c r="C203" s="5" t="s">
        <v>106</v>
      </c>
      <c r="D203" s="5" t="s">
        <v>36</v>
      </c>
      <c r="E203" s="6">
        <v>2520.0</v>
      </c>
      <c r="F203" s="6">
        <v>630.0</v>
      </c>
      <c r="G203" s="5" t="s">
        <v>106</v>
      </c>
      <c r="H203" s="5" t="s">
        <v>57</v>
      </c>
      <c r="I203" s="6" t="s">
        <v>40</v>
      </c>
      <c r="J203" s="5" t="s">
        <v>8585</v>
      </c>
      <c r="K203" s="5" t="s">
        <v>8586</v>
      </c>
      <c r="L203" s="6" t="s">
        <v>42</v>
      </c>
      <c r="M203" s="5" t="s">
        <v>1059</v>
      </c>
      <c r="N203" s="5" t="s">
        <v>64</v>
      </c>
      <c r="O203" s="5" t="s">
        <v>14358</v>
      </c>
      <c r="P203" s="5" t="s">
        <v>14412</v>
      </c>
      <c r="Q203" s="5" t="s">
        <v>14947</v>
      </c>
      <c r="R203" s="6">
        <v>3606.0</v>
      </c>
    </row>
    <row r="204" ht="56.25" customHeight="1">
      <c r="A204" s="5" t="s">
        <v>14941</v>
      </c>
      <c r="B204" s="6" t="str">
        <f>IMAGE("https://storage.googleapis.com/acdb/dresses/TopsTexOnepieceOverallNArabia1.png")</f>
        <v/>
      </c>
      <c r="C204" s="5" t="s">
        <v>68</v>
      </c>
      <c r="D204" s="5" t="s">
        <v>36</v>
      </c>
      <c r="E204" s="6">
        <v>2520.0</v>
      </c>
      <c r="F204" s="6">
        <v>630.0</v>
      </c>
      <c r="G204" s="5" t="s">
        <v>83</v>
      </c>
      <c r="H204" s="5" t="s">
        <v>57</v>
      </c>
      <c r="I204" s="6" t="s">
        <v>40</v>
      </c>
      <c r="J204" s="5" t="s">
        <v>8585</v>
      </c>
      <c r="K204" s="5" t="s">
        <v>8586</v>
      </c>
      <c r="L204" s="6" t="s">
        <v>42</v>
      </c>
      <c r="M204" s="5" t="s">
        <v>1059</v>
      </c>
      <c r="N204" s="5" t="s">
        <v>64</v>
      </c>
      <c r="O204" s="5" t="s">
        <v>14358</v>
      </c>
      <c r="P204" s="5" t="s">
        <v>14412</v>
      </c>
      <c r="Q204" s="5" t="s">
        <v>14949</v>
      </c>
      <c r="R204" s="6">
        <v>8154.0</v>
      </c>
    </row>
    <row r="205" ht="56.25" customHeight="1">
      <c r="A205" s="5" t="s">
        <v>14950</v>
      </c>
      <c r="B205" s="6" t="str">
        <f>IMAGE("https://storage.googleapis.com/acdb/dresses/TopsTexOnepieceOverallHArabia1.png")</f>
        <v/>
      </c>
      <c r="C205" s="5" t="s">
        <v>106</v>
      </c>
      <c r="D205" s="5" t="s">
        <v>36</v>
      </c>
      <c r="E205" s="6">
        <v>2520.0</v>
      </c>
      <c r="F205" s="6">
        <v>630.0</v>
      </c>
      <c r="G205" s="5" t="s">
        <v>106</v>
      </c>
      <c r="H205" s="5" t="s">
        <v>106</v>
      </c>
      <c r="I205" s="6" t="s">
        <v>40</v>
      </c>
      <c r="J205" s="5" t="s">
        <v>8585</v>
      </c>
      <c r="K205" s="5" t="s">
        <v>8586</v>
      </c>
      <c r="L205" s="6" t="s">
        <v>42</v>
      </c>
      <c r="M205" s="5" t="s">
        <v>1059</v>
      </c>
      <c r="N205" s="5" t="s">
        <v>64</v>
      </c>
      <c r="O205" s="5" t="s">
        <v>14358</v>
      </c>
      <c r="P205" s="5" t="s">
        <v>14345</v>
      </c>
      <c r="Q205" s="5" t="s">
        <v>14953</v>
      </c>
      <c r="R205" s="6">
        <v>8159.0</v>
      </c>
    </row>
    <row r="206" ht="56.25" customHeight="1">
      <c r="A206" s="5" t="s">
        <v>14950</v>
      </c>
      <c r="B206" s="6" t="str">
        <f>IMAGE("https://storage.googleapis.com/acdb/dresses/TopsTexOnepieceOverallHArabia2.png")</f>
        <v/>
      </c>
      <c r="C206" s="5" t="s">
        <v>69</v>
      </c>
      <c r="D206" s="5" t="s">
        <v>36</v>
      </c>
      <c r="E206" s="6">
        <v>2520.0</v>
      </c>
      <c r="F206" s="6">
        <v>630.0</v>
      </c>
      <c r="G206" s="5" t="s">
        <v>69</v>
      </c>
      <c r="H206" s="5" t="s">
        <v>69</v>
      </c>
      <c r="I206" s="6" t="s">
        <v>40</v>
      </c>
      <c r="J206" s="5" t="s">
        <v>8585</v>
      </c>
      <c r="K206" s="5" t="s">
        <v>8586</v>
      </c>
      <c r="L206" s="6" t="s">
        <v>42</v>
      </c>
      <c r="M206" s="5" t="s">
        <v>1059</v>
      </c>
      <c r="N206" s="5" t="s">
        <v>64</v>
      </c>
      <c r="O206" s="5" t="s">
        <v>14358</v>
      </c>
      <c r="P206" s="5" t="s">
        <v>14345</v>
      </c>
      <c r="Q206" s="5" t="s">
        <v>14955</v>
      </c>
      <c r="R206" s="6">
        <v>8160.0</v>
      </c>
    </row>
    <row r="207" ht="56.25" customHeight="1">
      <c r="A207" s="5" t="s">
        <v>14950</v>
      </c>
      <c r="B207" s="6" t="str">
        <f>IMAGE("https://storage.googleapis.com/acdb/dresses/TopsTexOnepieceOverallHArabia3.png")</f>
        <v/>
      </c>
      <c r="C207" s="5" t="s">
        <v>114</v>
      </c>
      <c r="D207" s="5" t="s">
        <v>36</v>
      </c>
      <c r="E207" s="6">
        <v>2520.0</v>
      </c>
      <c r="F207" s="6">
        <v>630.0</v>
      </c>
      <c r="G207" s="5" t="s">
        <v>114</v>
      </c>
      <c r="H207" s="5" t="s">
        <v>114</v>
      </c>
      <c r="I207" s="6" t="s">
        <v>40</v>
      </c>
      <c r="J207" s="5" t="s">
        <v>8585</v>
      </c>
      <c r="K207" s="5" t="s">
        <v>8586</v>
      </c>
      <c r="L207" s="6" t="s">
        <v>42</v>
      </c>
      <c r="M207" s="5" t="s">
        <v>1059</v>
      </c>
      <c r="N207" s="5" t="s">
        <v>64</v>
      </c>
      <c r="O207" s="5" t="s">
        <v>14358</v>
      </c>
      <c r="P207" s="5" t="s">
        <v>14345</v>
      </c>
      <c r="Q207" s="5" t="s">
        <v>14957</v>
      </c>
      <c r="R207" s="6">
        <v>8161.0</v>
      </c>
    </row>
    <row r="208" ht="56.25" customHeight="1">
      <c r="A208" s="5" t="s">
        <v>14950</v>
      </c>
      <c r="B208" s="6" t="str">
        <f>IMAGE("https://storage.googleapis.com/acdb/dresses/TopsTexOnepieceOverallHArabia0.png")</f>
        <v/>
      </c>
      <c r="C208" s="5" t="s">
        <v>68</v>
      </c>
      <c r="D208" s="5" t="s">
        <v>36</v>
      </c>
      <c r="E208" s="6">
        <v>2520.0</v>
      </c>
      <c r="F208" s="6">
        <v>630.0</v>
      </c>
      <c r="G208" s="5" t="s">
        <v>83</v>
      </c>
      <c r="H208" s="5" t="s">
        <v>83</v>
      </c>
      <c r="I208" s="6" t="s">
        <v>40</v>
      </c>
      <c r="J208" s="5" t="s">
        <v>8585</v>
      </c>
      <c r="K208" s="5" t="s">
        <v>8586</v>
      </c>
      <c r="L208" s="6" t="s">
        <v>42</v>
      </c>
      <c r="M208" s="5" t="s">
        <v>1059</v>
      </c>
      <c r="N208" s="5" t="s">
        <v>64</v>
      </c>
      <c r="O208" s="5" t="s">
        <v>14358</v>
      </c>
      <c r="P208" s="5" t="s">
        <v>14345</v>
      </c>
      <c r="Q208" s="5" t="s">
        <v>14960</v>
      </c>
      <c r="R208" s="6">
        <v>4611.0</v>
      </c>
    </row>
    <row r="209" ht="56.25" customHeight="1">
      <c r="A209" s="5" t="s">
        <v>14961</v>
      </c>
      <c r="B209" s="6" t="str">
        <f>IMAGE("https://storage.googleapis.com/acdb/dresses/TopsTexOnepieceBalloonHWaitress1.png")</f>
        <v/>
      </c>
      <c r="C209" s="5" t="s">
        <v>52</v>
      </c>
      <c r="D209" s="5" t="s">
        <v>36</v>
      </c>
      <c r="E209" s="6">
        <v>1800.0</v>
      </c>
      <c r="F209" s="6">
        <v>450.0</v>
      </c>
      <c r="G209" s="5" t="s">
        <v>52</v>
      </c>
      <c r="H209" s="5" t="s">
        <v>57</v>
      </c>
      <c r="I209" s="6" t="s">
        <v>40</v>
      </c>
      <c r="J209" s="5" t="s">
        <v>8585</v>
      </c>
      <c r="K209" s="5" t="s">
        <v>8586</v>
      </c>
      <c r="L209" s="6" t="s">
        <v>42</v>
      </c>
      <c r="M209" s="5" t="s">
        <v>1959</v>
      </c>
      <c r="N209" s="5" t="s">
        <v>64</v>
      </c>
      <c r="O209" s="5" t="s">
        <v>14344</v>
      </c>
      <c r="P209" s="5" t="s">
        <v>14345</v>
      </c>
      <c r="Q209" s="5" t="s">
        <v>14964</v>
      </c>
      <c r="R209" s="6">
        <v>8876.0</v>
      </c>
    </row>
    <row r="210" ht="56.25" customHeight="1">
      <c r="A210" s="5" t="s">
        <v>14961</v>
      </c>
      <c r="B210" s="6" t="str">
        <f>IMAGE("https://storage.googleapis.com/acdb/dresses/TopsTexOnepieceBalloonHWaitress2.png")</f>
        <v/>
      </c>
      <c r="C210" s="5" t="s">
        <v>68</v>
      </c>
      <c r="D210" s="5" t="s">
        <v>36</v>
      </c>
      <c r="E210" s="6">
        <v>1800.0</v>
      </c>
      <c r="F210" s="6">
        <v>450.0</v>
      </c>
      <c r="G210" s="5" t="s">
        <v>68</v>
      </c>
      <c r="H210" s="5" t="s">
        <v>57</v>
      </c>
      <c r="I210" s="6" t="s">
        <v>40</v>
      </c>
      <c r="J210" s="5" t="s">
        <v>8585</v>
      </c>
      <c r="K210" s="5" t="s">
        <v>8586</v>
      </c>
      <c r="L210" s="6" t="s">
        <v>42</v>
      </c>
      <c r="M210" s="5" t="s">
        <v>1959</v>
      </c>
      <c r="N210" s="5" t="s">
        <v>64</v>
      </c>
      <c r="O210" s="5" t="s">
        <v>14344</v>
      </c>
      <c r="P210" s="5" t="s">
        <v>14345</v>
      </c>
      <c r="Q210" s="5" t="s">
        <v>14966</v>
      </c>
      <c r="R210" s="6">
        <v>8877.0</v>
      </c>
    </row>
    <row r="211" ht="56.25" customHeight="1">
      <c r="A211" s="5" t="s">
        <v>14961</v>
      </c>
      <c r="B211" s="6" t="str">
        <f>IMAGE("https://storage.googleapis.com/acdb/dresses/TopsTexOnepieceBalloonHWaitress0.png")</f>
        <v/>
      </c>
      <c r="C211" s="5" t="s">
        <v>69</v>
      </c>
      <c r="D211" s="5" t="s">
        <v>36</v>
      </c>
      <c r="E211" s="6">
        <v>1800.0</v>
      </c>
      <c r="F211" s="6">
        <v>450.0</v>
      </c>
      <c r="G211" s="5" t="s">
        <v>69</v>
      </c>
      <c r="H211" s="5" t="s">
        <v>57</v>
      </c>
      <c r="I211" s="6" t="s">
        <v>40</v>
      </c>
      <c r="J211" s="5" t="s">
        <v>8585</v>
      </c>
      <c r="K211" s="5" t="s">
        <v>8586</v>
      </c>
      <c r="L211" s="6" t="s">
        <v>42</v>
      </c>
      <c r="M211" s="5" t="s">
        <v>1959</v>
      </c>
      <c r="N211" s="5" t="s">
        <v>64</v>
      </c>
      <c r="O211" s="5" t="s">
        <v>14344</v>
      </c>
      <c r="P211" s="5" t="s">
        <v>14345</v>
      </c>
      <c r="Q211" s="5" t="s">
        <v>14969</v>
      </c>
      <c r="R211" s="6">
        <v>3142.0</v>
      </c>
    </row>
    <row r="212" ht="56.25" customHeight="1">
      <c r="A212" s="5" t="s">
        <v>14961</v>
      </c>
      <c r="B212" s="6" t="str">
        <f>IMAGE("https://storage.googleapis.com/acdb/dresses/TopsTexOnepieceBalloonHWaitress3.png")</f>
        <v/>
      </c>
      <c r="C212" s="5" t="s">
        <v>114</v>
      </c>
      <c r="D212" s="5" t="s">
        <v>36</v>
      </c>
      <c r="E212" s="6">
        <v>1800.0</v>
      </c>
      <c r="F212" s="6">
        <v>450.0</v>
      </c>
      <c r="G212" s="5" t="s">
        <v>114</v>
      </c>
      <c r="H212" s="5" t="s">
        <v>57</v>
      </c>
      <c r="I212" s="6" t="s">
        <v>40</v>
      </c>
      <c r="J212" s="5" t="s">
        <v>8585</v>
      </c>
      <c r="K212" s="5" t="s">
        <v>8586</v>
      </c>
      <c r="L212" s="6" t="s">
        <v>42</v>
      </c>
      <c r="M212" s="5" t="s">
        <v>1959</v>
      </c>
      <c r="N212" s="5" t="s">
        <v>64</v>
      </c>
      <c r="O212" s="5" t="s">
        <v>14344</v>
      </c>
      <c r="P212" s="5" t="s">
        <v>14345</v>
      </c>
      <c r="Q212" s="5" t="s">
        <v>14972</v>
      </c>
      <c r="R212" s="6">
        <v>8878.0</v>
      </c>
    </row>
    <row r="213" ht="56.25" customHeight="1">
      <c r="A213" s="5" t="s">
        <v>14961</v>
      </c>
      <c r="B213" s="6" t="str">
        <f>IMAGE("https://storage.googleapis.com/acdb/dresses/TopsTexOnepieceBalloonHWaitress4.png")</f>
        <v/>
      </c>
      <c r="C213" s="5" t="s">
        <v>819</v>
      </c>
      <c r="D213" s="5" t="s">
        <v>36</v>
      </c>
      <c r="E213" s="6">
        <v>1800.0</v>
      </c>
      <c r="F213" s="6">
        <v>450.0</v>
      </c>
      <c r="G213" s="5" t="s">
        <v>96</v>
      </c>
      <c r="H213" s="5" t="s">
        <v>57</v>
      </c>
      <c r="I213" s="6" t="s">
        <v>40</v>
      </c>
      <c r="J213" s="5" t="s">
        <v>8585</v>
      </c>
      <c r="K213" s="5" t="s">
        <v>8586</v>
      </c>
      <c r="L213" s="6" t="s">
        <v>42</v>
      </c>
      <c r="M213" s="5" t="s">
        <v>1959</v>
      </c>
      <c r="N213" s="5" t="s">
        <v>64</v>
      </c>
      <c r="O213" s="5" t="s">
        <v>14344</v>
      </c>
      <c r="P213" s="5" t="s">
        <v>14345</v>
      </c>
      <c r="Q213" s="5" t="s">
        <v>14974</v>
      </c>
      <c r="R213" s="6">
        <v>8879.0</v>
      </c>
    </row>
    <row r="214" ht="56.25" customHeight="1">
      <c r="A214" s="5" t="s">
        <v>14961</v>
      </c>
      <c r="B214" s="6" t="str">
        <f>IMAGE("https://storage.googleapis.com/acdb/dresses/TopsTexOnepieceBalloonHWaitress5.png")</f>
        <v/>
      </c>
      <c r="C214" s="5" t="s">
        <v>307</v>
      </c>
      <c r="D214" s="5" t="s">
        <v>36</v>
      </c>
      <c r="E214" s="6">
        <v>1800.0</v>
      </c>
      <c r="F214" s="6">
        <v>450.0</v>
      </c>
      <c r="G214" s="5" t="s">
        <v>38</v>
      </c>
      <c r="H214" s="5" t="s">
        <v>57</v>
      </c>
      <c r="I214" s="6" t="s">
        <v>40</v>
      </c>
      <c r="J214" s="5" t="s">
        <v>8585</v>
      </c>
      <c r="K214" s="5" t="s">
        <v>8586</v>
      </c>
      <c r="L214" s="6" t="s">
        <v>42</v>
      </c>
      <c r="M214" s="5" t="s">
        <v>1959</v>
      </c>
      <c r="N214" s="5" t="s">
        <v>64</v>
      </c>
      <c r="O214" s="5" t="s">
        <v>14344</v>
      </c>
      <c r="P214" s="5" t="s">
        <v>14345</v>
      </c>
      <c r="Q214" s="5" t="s">
        <v>14977</v>
      </c>
      <c r="R214" s="6">
        <v>8880.0</v>
      </c>
    </row>
    <row r="215" ht="56.25" customHeight="1">
      <c r="A215" s="5" t="s">
        <v>14961</v>
      </c>
      <c r="B215" s="6" t="str">
        <f>IMAGE("https://storage.googleapis.com/acdb/dresses/TopsTexOnepieceBalloonHWaitress6.png")</f>
        <v/>
      </c>
      <c r="C215" s="5" t="s">
        <v>54</v>
      </c>
      <c r="D215" s="5" t="s">
        <v>36</v>
      </c>
      <c r="E215" s="6">
        <v>1800.0</v>
      </c>
      <c r="F215" s="6">
        <v>450.0</v>
      </c>
      <c r="G215" s="5" t="s">
        <v>54</v>
      </c>
      <c r="H215" s="5" t="s">
        <v>57</v>
      </c>
      <c r="I215" s="6" t="s">
        <v>40</v>
      </c>
      <c r="J215" s="5" t="s">
        <v>8585</v>
      </c>
      <c r="K215" s="5" t="s">
        <v>8586</v>
      </c>
      <c r="L215" s="6" t="s">
        <v>42</v>
      </c>
      <c r="M215" s="5" t="s">
        <v>1959</v>
      </c>
      <c r="N215" s="5" t="s">
        <v>64</v>
      </c>
      <c r="O215" s="5" t="s">
        <v>14344</v>
      </c>
      <c r="P215" s="5" t="s">
        <v>14345</v>
      </c>
      <c r="Q215" s="5" t="s">
        <v>14980</v>
      </c>
      <c r="R215" s="6">
        <v>8881.0</v>
      </c>
    </row>
    <row r="216" ht="56.25" customHeight="1">
      <c r="A216" s="5" t="s">
        <v>14981</v>
      </c>
      <c r="B216" s="6" t="str">
        <f>IMAGE("https://storage.googleapis.com/acdb/dresses/TopsTexOnepieceBalloonNIdleeightys0.png")</f>
        <v/>
      </c>
      <c r="C216" s="5" t="s">
        <v>114</v>
      </c>
      <c r="D216" s="5" t="s">
        <v>36</v>
      </c>
      <c r="E216" s="6">
        <v>2800.0</v>
      </c>
      <c r="F216" s="6">
        <v>700.0</v>
      </c>
      <c r="G216" s="5" t="s">
        <v>114</v>
      </c>
      <c r="H216" s="5" t="s">
        <v>57</v>
      </c>
      <c r="I216" s="6" t="s">
        <v>40</v>
      </c>
      <c r="J216" s="5" t="s">
        <v>8585</v>
      </c>
      <c r="K216" s="5" t="s">
        <v>8586</v>
      </c>
      <c r="L216" s="6" t="s">
        <v>42</v>
      </c>
      <c r="M216" s="5" t="s">
        <v>1959</v>
      </c>
      <c r="N216" s="5" t="s">
        <v>64</v>
      </c>
      <c r="O216" s="5" t="s">
        <v>14344</v>
      </c>
      <c r="P216" s="5" t="s">
        <v>14412</v>
      </c>
      <c r="Q216" s="5" t="s">
        <v>14984</v>
      </c>
      <c r="R216" s="6">
        <v>4406.0</v>
      </c>
    </row>
    <row r="217" ht="56.25" customHeight="1">
      <c r="A217" s="5" t="s">
        <v>14981</v>
      </c>
      <c r="B217" s="6" t="str">
        <f>IMAGE("https://storage.googleapis.com/acdb/dresses/TopsTexOnepieceBalloonNIdleeightys1.png")</f>
        <v/>
      </c>
      <c r="C217" s="5" t="s">
        <v>52</v>
      </c>
      <c r="D217" s="5" t="s">
        <v>36</v>
      </c>
      <c r="E217" s="6">
        <v>2800.0</v>
      </c>
      <c r="F217" s="6">
        <v>700.0</v>
      </c>
      <c r="G217" s="5" t="s">
        <v>52</v>
      </c>
      <c r="H217" s="5" t="s">
        <v>57</v>
      </c>
      <c r="I217" s="6" t="s">
        <v>40</v>
      </c>
      <c r="J217" s="5" t="s">
        <v>8585</v>
      </c>
      <c r="K217" s="5" t="s">
        <v>8586</v>
      </c>
      <c r="L217" s="6" t="s">
        <v>42</v>
      </c>
      <c r="M217" s="5" t="s">
        <v>1959</v>
      </c>
      <c r="N217" s="5" t="s">
        <v>64</v>
      </c>
      <c r="O217" s="5" t="s">
        <v>14344</v>
      </c>
      <c r="P217" s="5" t="s">
        <v>14412</v>
      </c>
      <c r="Q217" s="5" t="s">
        <v>14987</v>
      </c>
      <c r="R217" s="6">
        <v>9422.0</v>
      </c>
    </row>
    <row r="218" ht="56.25" customHeight="1">
      <c r="A218" s="5" t="s">
        <v>14981</v>
      </c>
      <c r="B218" s="6" t="str">
        <f>IMAGE("https://storage.googleapis.com/acdb/dresses/TopsTexOnepieceBalloonNIdleeightys2.png")</f>
        <v/>
      </c>
      <c r="C218" s="5" t="s">
        <v>96</v>
      </c>
      <c r="D218" s="5" t="s">
        <v>36</v>
      </c>
      <c r="E218" s="6">
        <v>2800.0</v>
      </c>
      <c r="F218" s="6">
        <v>700.0</v>
      </c>
      <c r="G218" s="5" t="s">
        <v>96</v>
      </c>
      <c r="H218" s="5" t="s">
        <v>57</v>
      </c>
      <c r="I218" s="6" t="s">
        <v>40</v>
      </c>
      <c r="J218" s="5" t="s">
        <v>8585</v>
      </c>
      <c r="K218" s="5" t="s">
        <v>8586</v>
      </c>
      <c r="L218" s="6" t="s">
        <v>42</v>
      </c>
      <c r="M218" s="5" t="s">
        <v>1959</v>
      </c>
      <c r="N218" s="5" t="s">
        <v>64</v>
      </c>
      <c r="O218" s="5" t="s">
        <v>14344</v>
      </c>
      <c r="P218" s="5" t="s">
        <v>14412</v>
      </c>
      <c r="Q218" s="5" t="s">
        <v>14990</v>
      </c>
      <c r="R218" s="6">
        <v>9423.0</v>
      </c>
    </row>
    <row r="219" ht="56.25" customHeight="1">
      <c r="A219" s="5" t="s">
        <v>14981</v>
      </c>
      <c r="B219" s="6" t="str">
        <f>IMAGE("https://storage.googleapis.com/acdb/dresses/TopsTexOnepieceBalloonNIdleeightys3.png")</f>
        <v/>
      </c>
      <c r="C219" s="5" t="s">
        <v>69</v>
      </c>
      <c r="D219" s="5" t="s">
        <v>36</v>
      </c>
      <c r="E219" s="6">
        <v>2800.0</v>
      </c>
      <c r="F219" s="6">
        <v>700.0</v>
      </c>
      <c r="G219" s="5" t="s">
        <v>69</v>
      </c>
      <c r="H219" s="5" t="s">
        <v>57</v>
      </c>
      <c r="I219" s="6" t="s">
        <v>40</v>
      </c>
      <c r="J219" s="5" t="s">
        <v>8585</v>
      </c>
      <c r="K219" s="5" t="s">
        <v>8586</v>
      </c>
      <c r="L219" s="6" t="s">
        <v>42</v>
      </c>
      <c r="M219" s="5" t="s">
        <v>1959</v>
      </c>
      <c r="N219" s="5" t="s">
        <v>64</v>
      </c>
      <c r="O219" s="5" t="s">
        <v>14344</v>
      </c>
      <c r="P219" s="5" t="s">
        <v>14412</v>
      </c>
      <c r="Q219" s="5" t="s">
        <v>14992</v>
      </c>
      <c r="R219" s="6">
        <v>9424.0</v>
      </c>
    </row>
    <row r="220" ht="56.25" customHeight="1">
      <c r="A220" s="5" t="s">
        <v>14981</v>
      </c>
      <c r="B220" s="6" t="str">
        <f>IMAGE("https://storage.googleapis.com/acdb/dresses/TopsTexOnepieceBalloonNIdleeightys4.png")</f>
        <v/>
      </c>
      <c r="C220" s="5" t="s">
        <v>106</v>
      </c>
      <c r="D220" s="5" t="s">
        <v>36</v>
      </c>
      <c r="E220" s="6">
        <v>2800.0</v>
      </c>
      <c r="F220" s="6">
        <v>700.0</v>
      </c>
      <c r="G220" s="5" t="s">
        <v>106</v>
      </c>
      <c r="H220" s="5" t="s">
        <v>57</v>
      </c>
      <c r="I220" s="6" t="s">
        <v>40</v>
      </c>
      <c r="J220" s="5" t="s">
        <v>8585</v>
      </c>
      <c r="K220" s="5" t="s">
        <v>8586</v>
      </c>
      <c r="L220" s="6" t="s">
        <v>42</v>
      </c>
      <c r="M220" s="5" t="s">
        <v>1959</v>
      </c>
      <c r="N220" s="5" t="s">
        <v>64</v>
      </c>
      <c r="O220" s="5" t="s">
        <v>14344</v>
      </c>
      <c r="P220" s="5" t="s">
        <v>14412</v>
      </c>
      <c r="Q220" s="5" t="s">
        <v>14995</v>
      </c>
      <c r="R220" s="6">
        <v>9425.0</v>
      </c>
    </row>
    <row r="221" ht="56.25" customHeight="1">
      <c r="A221" s="5" t="s">
        <v>14981</v>
      </c>
      <c r="B221" s="6" t="str">
        <f>IMAGE("https://storage.googleapis.com/acdb/dresses/TopsTexOnepieceBalloonNIdleeightys5.png")</f>
        <v/>
      </c>
      <c r="C221" s="5" t="s">
        <v>708</v>
      </c>
      <c r="D221" s="5" t="s">
        <v>36</v>
      </c>
      <c r="E221" s="6">
        <v>2800.0</v>
      </c>
      <c r="F221" s="6">
        <v>700.0</v>
      </c>
      <c r="G221" s="5" t="s">
        <v>68</v>
      </c>
      <c r="H221" s="5" t="s">
        <v>57</v>
      </c>
      <c r="I221" s="6" t="s">
        <v>40</v>
      </c>
      <c r="J221" s="5" t="s">
        <v>8585</v>
      </c>
      <c r="K221" s="5" t="s">
        <v>8586</v>
      </c>
      <c r="L221" s="6" t="s">
        <v>42</v>
      </c>
      <c r="M221" s="5" t="s">
        <v>1959</v>
      </c>
      <c r="N221" s="5" t="s">
        <v>64</v>
      </c>
      <c r="O221" s="5" t="s">
        <v>14344</v>
      </c>
      <c r="P221" s="5" t="s">
        <v>14412</v>
      </c>
      <c r="Q221" s="5" t="s">
        <v>14998</v>
      </c>
      <c r="R221" s="6">
        <v>9426.0</v>
      </c>
    </row>
    <row r="222" ht="56.25" customHeight="1">
      <c r="A222" s="5" t="s">
        <v>14981</v>
      </c>
      <c r="B222" s="6" t="str">
        <f>IMAGE("https://storage.googleapis.com/acdb/dresses/TopsTexOnepieceBalloonNIdleeightys6.png")</f>
        <v/>
      </c>
      <c r="C222" s="5" t="s">
        <v>83</v>
      </c>
      <c r="D222" s="5" t="s">
        <v>36</v>
      </c>
      <c r="E222" s="6">
        <v>2800.0</v>
      </c>
      <c r="F222" s="6">
        <v>700.0</v>
      </c>
      <c r="G222" s="5" t="s">
        <v>57</v>
      </c>
      <c r="H222" s="5" t="s">
        <v>57</v>
      </c>
      <c r="I222" s="6" t="s">
        <v>40</v>
      </c>
      <c r="J222" s="5" t="s">
        <v>8585</v>
      </c>
      <c r="K222" s="5" t="s">
        <v>8586</v>
      </c>
      <c r="L222" s="6" t="s">
        <v>42</v>
      </c>
      <c r="M222" s="5" t="s">
        <v>1959</v>
      </c>
      <c r="N222" s="5" t="s">
        <v>64</v>
      </c>
      <c r="O222" s="5" t="s">
        <v>14344</v>
      </c>
      <c r="P222" s="5" t="s">
        <v>14412</v>
      </c>
      <c r="Q222" s="5" t="s">
        <v>15001</v>
      </c>
      <c r="R222" s="6">
        <v>9427.0</v>
      </c>
    </row>
    <row r="223" ht="56.25" customHeight="1">
      <c r="A223" s="5" t="s">
        <v>15002</v>
      </c>
      <c r="B223" s="6" t="str">
        <f>IMAGE("https://storage.googleapis.com/acdb/dresses/TopsTexOnepieceOverallLDragonYellow.png")</f>
        <v/>
      </c>
      <c r="C223" s="5" t="s">
        <v>114</v>
      </c>
      <c r="D223" s="5" t="s">
        <v>36</v>
      </c>
      <c r="E223" s="6">
        <v>2500.0</v>
      </c>
      <c r="F223" s="6">
        <v>625.0</v>
      </c>
      <c r="G223" s="5" t="s">
        <v>114</v>
      </c>
      <c r="H223" s="5" t="s">
        <v>54</v>
      </c>
      <c r="I223" s="6" t="s">
        <v>40</v>
      </c>
      <c r="J223" s="5" t="s">
        <v>8585</v>
      </c>
      <c r="K223" s="5" t="s">
        <v>8586</v>
      </c>
      <c r="L223" s="6" t="s">
        <v>42</v>
      </c>
      <c r="M223" s="5" t="s">
        <v>8746</v>
      </c>
      <c r="N223" s="5" t="s">
        <v>64</v>
      </c>
      <c r="O223" s="5" t="s">
        <v>14358</v>
      </c>
      <c r="P223" s="5" t="s">
        <v>14333</v>
      </c>
      <c r="Q223" s="5" t="s">
        <v>15004</v>
      </c>
      <c r="R223" s="6">
        <v>3462.0</v>
      </c>
    </row>
    <row r="224" ht="56.25" customHeight="1">
      <c r="A224" s="5" t="s">
        <v>15005</v>
      </c>
      <c r="B224" s="6" t="str">
        <f>IMAGE("https://storage.googleapis.com/acdb/dresses/TopsTexOnepieceBalloonHYumekawa0.png")</f>
        <v/>
      </c>
      <c r="C224" s="5" t="s">
        <v>69</v>
      </c>
      <c r="D224" s="5" t="s">
        <v>36</v>
      </c>
      <c r="E224" s="6">
        <v>2080.0</v>
      </c>
      <c r="F224" s="6">
        <v>520.0</v>
      </c>
      <c r="G224" s="5" t="s">
        <v>69</v>
      </c>
      <c r="H224" s="5" t="s">
        <v>106</v>
      </c>
      <c r="I224" s="6" t="s">
        <v>40</v>
      </c>
      <c r="J224" s="5" t="s">
        <v>8585</v>
      </c>
      <c r="K224" s="5" t="s">
        <v>8586</v>
      </c>
      <c r="L224" s="6" t="s">
        <v>42</v>
      </c>
      <c r="M224" s="5" t="s">
        <v>1959</v>
      </c>
      <c r="N224" s="5" t="s">
        <v>64</v>
      </c>
      <c r="O224" s="5" t="s">
        <v>14344</v>
      </c>
      <c r="P224" s="5" t="s">
        <v>14345</v>
      </c>
      <c r="Q224" s="5" t="s">
        <v>15007</v>
      </c>
      <c r="R224" s="6">
        <v>5796.0</v>
      </c>
    </row>
    <row r="225" ht="56.25" customHeight="1">
      <c r="A225" s="5" t="s">
        <v>15005</v>
      </c>
      <c r="B225" s="6" t="str">
        <f>IMAGE("https://storage.googleapis.com/acdb/dresses/TopsTexOnepieceBalloonHYumekawa1.png")</f>
        <v/>
      </c>
      <c r="C225" s="5" t="s">
        <v>114</v>
      </c>
      <c r="D225" s="5" t="s">
        <v>36</v>
      </c>
      <c r="E225" s="6">
        <v>2080.0</v>
      </c>
      <c r="F225" s="6">
        <v>520.0</v>
      </c>
      <c r="G225" s="5" t="s">
        <v>114</v>
      </c>
      <c r="H225" s="5" t="s">
        <v>142</v>
      </c>
      <c r="I225" s="6" t="s">
        <v>40</v>
      </c>
      <c r="J225" s="5" t="s">
        <v>8585</v>
      </c>
      <c r="K225" s="5" t="s">
        <v>8586</v>
      </c>
      <c r="L225" s="6" t="s">
        <v>42</v>
      </c>
      <c r="M225" s="5" t="s">
        <v>1959</v>
      </c>
      <c r="N225" s="5" t="s">
        <v>64</v>
      </c>
      <c r="O225" s="5" t="s">
        <v>14344</v>
      </c>
      <c r="P225" s="5" t="s">
        <v>14345</v>
      </c>
      <c r="Q225" s="5" t="s">
        <v>15011</v>
      </c>
      <c r="R225" s="6">
        <v>8699.0</v>
      </c>
    </row>
    <row r="226" ht="56.25" customHeight="1">
      <c r="A226" s="5" t="s">
        <v>15005</v>
      </c>
      <c r="B226" s="6" t="str">
        <f>IMAGE("https://storage.googleapis.com/acdb/dresses/TopsTexOnepieceBalloonHYumekawa2.png")</f>
        <v/>
      </c>
      <c r="C226" s="5" t="s">
        <v>68</v>
      </c>
      <c r="D226" s="5" t="s">
        <v>36</v>
      </c>
      <c r="E226" s="6">
        <v>2080.0</v>
      </c>
      <c r="F226" s="6">
        <v>520.0</v>
      </c>
      <c r="G226" s="5" t="s">
        <v>83</v>
      </c>
      <c r="H226" s="5" t="s">
        <v>68</v>
      </c>
      <c r="I226" s="6" t="s">
        <v>40</v>
      </c>
      <c r="J226" s="5" t="s">
        <v>8585</v>
      </c>
      <c r="K226" s="5" t="s">
        <v>8586</v>
      </c>
      <c r="L226" s="6" t="s">
        <v>42</v>
      </c>
      <c r="M226" s="5" t="s">
        <v>1959</v>
      </c>
      <c r="N226" s="5" t="s">
        <v>64</v>
      </c>
      <c r="O226" s="5" t="s">
        <v>14344</v>
      </c>
      <c r="P226" s="5" t="s">
        <v>14345</v>
      </c>
      <c r="Q226" s="5" t="s">
        <v>15013</v>
      </c>
      <c r="R226" s="6">
        <v>8700.0</v>
      </c>
    </row>
    <row r="227" ht="56.25" customHeight="1">
      <c r="A227" s="5" t="s">
        <v>15005</v>
      </c>
      <c r="B227" s="6" t="str">
        <f>IMAGE("https://storage.googleapis.com/acdb/dresses/TopsTexOnepieceBalloonHYumekawa3.png")</f>
        <v/>
      </c>
      <c r="C227" s="5" t="s">
        <v>96</v>
      </c>
      <c r="D227" s="5" t="s">
        <v>36</v>
      </c>
      <c r="E227" s="6">
        <v>2080.0</v>
      </c>
      <c r="F227" s="6">
        <v>520.0</v>
      </c>
      <c r="G227" s="5" t="s">
        <v>96</v>
      </c>
      <c r="H227" s="5" t="s">
        <v>96</v>
      </c>
      <c r="I227" s="6" t="s">
        <v>40</v>
      </c>
      <c r="J227" s="5" t="s">
        <v>8585</v>
      </c>
      <c r="K227" s="5" t="s">
        <v>8586</v>
      </c>
      <c r="L227" s="6" t="s">
        <v>42</v>
      </c>
      <c r="M227" s="5" t="s">
        <v>1959</v>
      </c>
      <c r="N227" s="5" t="s">
        <v>64</v>
      </c>
      <c r="O227" s="5" t="s">
        <v>14344</v>
      </c>
      <c r="P227" s="5" t="s">
        <v>14345</v>
      </c>
      <c r="Q227" s="5" t="s">
        <v>15016</v>
      </c>
      <c r="R227" s="6">
        <v>8701.0</v>
      </c>
    </row>
    <row r="228" ht="56.25" customHeight="1">
      <c r="A228" s="5" t="s">
        <v>15017</v>
      </c>
      <c r="B228" s="6" t="str">
        <f>IMAGE("https://storage.googleapis.com/acdb/dresses/TopsTexOnepieceRibNEggground0.png")</f>
        <v/>
      </c>
      <c r="C228" s="5" t="s">
        <v>44</v>
      </c>
      <c r="D228" s="5" t="s">
        <v>35</v>
      </c>
      <c r="E228" s="6" t="s">
        <v>37</v>
      </c>
      <c r="F228" s="6">
        <v>1200.0</v>
      </c>
      <c r="G228" s="5" t="s">
        <v>52</v>
      </c>
      <c r="H228" s="5" t="s">
        <v>114</v>
      </c>
      <c r="I228" s="6" t="s">
        <v>40</v>
      </c>
      <c r="J228" s="5" t="s">
        <v>41</v>
      </c>
      <c r="K228" s="5" t="s">
        <v>15019</v>
      </c>
      <c r="L228" s="6" t="s">
        <v>1410</v>
      </c>
      <c r="M228" s="5" t="s">
        <v>8746</v>
      </c>
      <c r="N228" s="5" t="s">
        <v>48</v>
      </c>
      <c r="O228" s="5" t="s">
        <v>14463</v>
      </c>
      <c r="P228" s="5" t="s">
        <v>14412</v>
      </c>
      <c r="Q228" s="5" t="s">
        <v>15020</v>
      </c>
      <c r="R228" s="6">
        <v>12449.0</v>
      </c>
    </row>
    <row r="229" ht="56.25" customHeight="1">
      <c r="A229" s="5" t="s">
        <v>15023</v>
      </c>
      <c r="B229" s="6" t="str">
        <f>IMAGE("https://storage.googleapis.com/acdb/dresses/TopsTexOnepieceBalloonLEgg0.png")</f>
        <v/>
      </c>
      <c r="C229" s="5" t="s">
        <v>44</v>
      </c>
      <c r="D229" s="5" t="s">
        <v>35</v>
      </c>
      <c r="E229" s="6" t="s">
        <v>37</v>
      </c>
      <c r="F229" s="6">
        <v>7200.0</v>
      </c>
      <c r="G229" s="5" t="s">
        <v>58</v>
      </c>
      <c r="H229" s="5" t="s">
        <v>58</v>
      </c>
      <c r="I229" s="6" t="s">
        <v>40</v>
      </c>
      <c r="J229" s="5" t="s">
        <v>41</v>
      </c>
      <c r="K229" s="5" t="s">
        <v>15024</v>
      </c>
      <c r="L229" s="6" t="s">
        <v>1410</v>
      </c>
      <c r="M229" s="5" t="s">
        <v>612</v>
      </c>
      <c r="N229" s="5" t="s">
        <v>48</v>
      </c>
      <c r="O229" s="5" t="s">
        <v>14344</v>
      </c>
      <c r="P229" s="5" t="s">
        <v>14333</v>
      </c>
      <c r="Q229" s="5" t="s">
        <v>15026</v>
      </c>
      <c r="R229" s="6">
        <v>12448.0</v>
      </c>
    </row>
    <row r="230" ht="56.25" customHeight="1">
      <c r="A230" s="5" t="s">
        <v>15027</v>
      </c>
      <c r="B230" s="6" t="str">
        <f>IMAGE("https://storage.googleapis.com/acdb/dresses/TopsTexOnepieceRibNEgg.png")</f>
        <v/>
      </c>
      <c r="C230" s="5" t="s">
        <v>57</v>
      </c>
      <c r="D230" s="5" t="s">
        <v>36</v>
      </c>
      <c r="E230" s="6">
        <v>1600.0</v>
      </c>
      <c r="F230" s="6">
        <v>400.0</v>
      </c>
      <c r="G230" s="5" t="s">
        <v>114</v>
      </c>
      <c r="H230" s="5" t="s">
        <v>57</v>
      </c>
      <c r="I230" s="6" t="s">
        <v>40</v>
      </c>
      <c r="J230" s="5" t="s">
        <v>8585</v>
      </c>
      <c r="K230" s="5" t="s">
        <v>8586</v>
      </c>
      <c r="L230" s="6" t="s">
        <v>42</v>
      </c>
      <c r="M230" s="5" t="s">
        <v>1959</v>
      </c>
      <c r="N230" s="5" t="s">
        <v>64</v>
      </c>
      <c r="O230" s="5" t="s">
        <v>14463</v>
      </c>
      <c r="P230" s="5" t="s">
        <v>14412</v>
      </c>
      <c r="Q230" s="5" t="s">
        <v>15030</v>
      </c>
      <c r="R230" s="6">
        <v>5614.0</v>
      </c>
    </row>
    <row r="231" ht="56.25" customHeight="1">
      <c r="A231" s="5" t="s">
        <v>15031</v>
      </c>
      <c r="B231" s="6" t="str">
        <f>IMAGE("https://storage.googleapis.com/acdb/dresses/TopsTexOnepieceDressLLady1.png")</f>
        <v/>
      </c>
      <c r="C231" s="5" t="s">
        <v>68</v>
      </c>
      <c r="D231" s="5" t="s">
        <v>36</v>
      </c>
      <c r="E231" s="6">
        <v>2400.0</v>
      </c>
      <c r="F231" s="6">
        <v>600.0</v>
      </c>
      <c r="G231" s="5" t="s">
        <v>68</v>
      </c>
      <c r="H231" s="5" t="s">
        <v>57</v>
      </c>
      <c r="I231" s="6" t="s">
        <v>40</v>
      </c>
      <c r="J231" s="5" t="s">
        <v>8585</v>
      </c>
      <c r="K231" s="5" t="s">
        <v>8586</v>
      </c>
      <c r="L231" s="6" t="s">
        <v>42</v>
      </c>
      <c r="M231" s="5" t="s">
        <v>1059</v>
      </c>
      <c r="N231" s="5" t="s">
        <v>64</v>
      </c>
      <c r="O231" s="5" t="s">
        <v>14841</v>
      </c>
      <c r="P231" s="5" t="s">
        <v>14333</v>
      </c>
      <c r="Q231" s="5" t="s">
        <v>15034</v>
      </c>
      <c r="R231" s="6">
        <v>8142.0</v>
      </c>
    </row>
    <row r="232" ht="56.25" customHeight="1">
      <c r="A232" s="5" t="s">
        <v>15031</v>
      </c>
      <c r="B232" s="6" t="str">
        <f>IMAGE("https://storage.googleapis.com/acdb/dresses/TopsTexOnepieceDressLLady2.png")</f>
        <v/>
      </c>
      <c r="C232" s="5" t="s">
        <v>96</v>
      </c>
      <c r="D232" s="5" t="s">
        <v>36</v>
      </c>
      <c r="E232" s="6">
        <v>2400.0</v>
      </c>
      <c r="F232" s="6">
        <v>600.0</v>
      </c>
      <c r="G232" s="5" t="s">
        <v>96</v>
      </c>
      <c r="H232" s="5" t="s">
        <v>57</v>
      </c>
      <c r="I232" s="6" t="s">
        <v>40</v>
      </c>
      <c r="J232" s="5" t="s">
        <v>8585</v>
      </c>
      <c r="K232" s="5" t="s">
        <v>8586</v>
      </c>
      <c r="L232" s="6" t="s">
        <v>42</v>
      </c>
      <c r="M232" s="5" t="s">
        <v>1059</v>
      </c>
      <c r="N232" s="5" t="s">
        <v>64</v>
      </c>
      <c r="O232" s="5" t="s">
        <v>14841</v>
      </c>
      <c r="P232" s="5" t="s">
        <v>14333</v>
      </c>
      <c r="Q232" s="5" t="s">
        <v>15037</v>
      </c>
      <c r="R232" s="6">
        <v>8143.0</v>
      </c>
    </row>
    <row r="233" ht="56.25" customHeight="1">
      <c r="A233" s="5" t="s">
        <v>15031</v>
      </c>
      <c r="B233" s="6" t="str">
        <f>IMAGE("https://storage.googleapis.com/acdb/dresses/TopsTexOnepieceDressLLady3.png")</f>
        <v/>
      </c>
      <c r="C233" s="5" t="s">
        <v>4883</v>
      </c>
      <c r="D233" s="5" t="s">
        <v>36</v>
      </c>
      <c r="E233" s="6">
        <v>2400.0</v>
      </c>
      <c r="F233" s="6">
        <v>600.0</v>
      </c>
      <c r="G233" s="5" t="s">
        <v>52</v>
      </c>
      <c r="H233" s="5" t="s">
        <v>57</v>
      </c>
      <c r="I233" s="6" t="s">
        <v>40</v>
      </c>
      <c r="J233" s="5" t="s">
        <v>8585</v>
      </c>
      <c r="K233" s="5" t="s">
        <v>8586</v>
      </c>
      <c r="L233" s="6" t="s">
        <v>42</v>
      </c>
      <c r="M233" s="5" t="s">
        <v>1059</v>
      </c>
      <c r="N233" s="5" t="s">
        <v>64</v>
      </c>
      <c r="O233" s="5" t="s">
        <v>14841</v>
      </c>
      <c r="P233" s="5" t="s">
        <v>14333</v>
      </c>
      <c r="Q233" s="5" t="s">
        <v>15041</v>
      </c>
      <c r="R233" s="6">
        <v>8144.0</v>
      </c>
    </row>
    <row r="234" ht="56.25" customHeight="1">
      <c r="A234" s="5" t="s">
        <v>15031</v>
      </c>
      <c r="B234" s="6" t="str">
        <f>IMAGE("https://storage.googleapis.com/acdb/dresses/TopsTexOnepieceDressLLady4.png")</f>
        <v/>
      </c>
      <c r="C234" s="5" t="s">
        <v>69</v>
      </c>
      <c r="D234" s="5" t="s">
        <v>36</v>
      </c>
      <c r="E234" s="6">
        <v>2400.0</v>
      </c>
      <c r="F234" s="6">
        <v>600.0</v>
      </c>
      <c r="G234" s="5" t="s">
        <v>69</v>
      </c>
      <c r="H234" s="5" t="s">
        <v>57</v>
      </c>
      <c r="I234" s="6" t="s">
        <v>40</v>
      </c>
      <c r="J234" s="5" t="s">
        <v>8585</v>
      </c>
      <c r="K234" s="5" t="s">
        <v>8586</v>
      </c>
      <c r="L234" s="6" t="s">
        <v>42</v>
      </c>
      <c r="M234" s="5" t="s">
        <v>1059</v>
      </c>
      <c r="N234" s="5" t="s">
        <v>64</v>
      </c>
      <c r="O234" s="5" t="s">
        <v>14841</v>
      </c>
      <c r="P234" s="5" t="s">
        <v>14333</v>
      </c>
      <c r="Q234" s="5" t="s">
        <v>15044</v>
      </c>
      <c r="R234" s="6">
        <v>8145.0</v>
      </c>
    </row>
    <row r="235" ht="56.25" customHeight="1">
      <c r="A235" s="5" t="s">
        <v>15031</v>
      </c>
      <c r="B235" s="6" t="str">
        <f>IMAGE("https://storage.googleapis.com/acdb/dresses/TopsTexOnepieceDressLLady0.png")</f>
        <v/>
      </c>
      <c r="C235" s="5" t="s">
        <v>106</v>
      </c>
      <c r="D235" s="5" t="s">
        <v>36</v>
      </c>
      <c r="E235" s="6">
        <v>2400.0</v>
      </c>
      <c r="F235" s="6">
        <v>600.0</v>
      </c>
      <c r="G235" s="5" t="s">
        <v>106</v>
      </c>
      <c r="H235" s="5" t="s">
        <v>57</v>
      </c>
      <c r="I235" s="6" t="s">
        <v>40</v>
      </c>
      <c r="J235" s="5" t="s">
        <v>8585</v>
      </c>
      <c r="K235" s="5" t="s">
        <v>8586</v>
      </c>
      <c r="L235" s="6" t="s">
        <v>42</v>
      </c>
      <c r="M235" s="5" t="s">
        <v>1059</v>
      </c>
      <c r="N235" s="5" t="s">
        <v>64</v>
      </c>
      <c r="O235" s="5" t="s">
        <v>14841</v>
      </c>
      <c r="P235" s="5" t="s">
        <v>14333</v>
      </c>
      <c r="Q235" s="5" t="s">
        <v>15047</v>
      </c>
      <c r="R235" s="6">
        <v>4791.0</v>
      </c>
    </row>
    <row r="236" ht="56.25" customHeight="1">
      <c r="A236" s="5" t="s">
        <v>15048</v>
      </c>
      <c r="B236" s="6" t="str">
        <f>IMAGE("https://storage.googleapis.com/acdb/dresses/TopsTexOnepieceBalloonNFairy4.png")</f>
        <v/>
      </c>
      <c r="C236" s="5" t="s">
        <v>106</v>
      </c>
      <c r="D236" s="5" t="s">
        <v>36</v>
      </c>
      <c r="E236" s="6">
        <v>3640.0</v>
      </c>
      <c r="F236" s="6">
        <v>910.0</v>
      </c>
      <c r="G236" s="5" t="s">
        <v>106</v>
      </c>
      <c r="H236" s="5" t="s">
        <v>106</v>
      </c>
      <c r="I236" s="6" t="s">
        <v>40</v>
      </c>
      <c r="J236" s="5" t="s">
        <v>8585</v>
      </c>
      <c r="K236" s="5" t="s">
        <v>8586</v>
      </c>
      <c r="L236" s="6" t="s">
        <v>42</v>
      </c>
      <c r="M236" s="5" t="s">
        <v>1959</v>
      </c>
      <c r="N236" s="5" t="s">
        <v>64</v>
      </c>
      <c r="O236" s="5" t="s">
        <v>14344</v>
      </c>
      <c r="P236" s="5" t="s">
        <v>14412</v>
      </c>
      <c r="Q236" s="5" t="s">
        <v>15050</v>
      </c>
      <c r="R236" s="6">
        <v>8130.0</v>
      </c>
    </row>
    <row r="237" ht="56.25" customHeight="1">
      <c r="A237" s="5" t="s">
        <v>15048</v>
      </c>
      <c r="B237" s="6" t="str">
        <f>IMAGE("https://storage.googleapis.com/acdb/dresses/TopsTexOnepieceBalloonNFairy0.png")</f>
        <v/>
      </c>
      <c r="C237" s="5" t="s">
        <v>96</v>
      </c>
      <c r="D237" s="5" t="s">
        <v>36</v>
      </c>
      <c r="E237" s="6">
        <v>3640.0</v>
      </c>
      <c r="F237" s="6">
        <v>910.0</v>
      </c>
      <c r="G237" s="5" t="s">
        <v>96</v>
      </c>
      <c r="H237" s="5" t="s">
        <v>96</v>
      </c>
      <c r="I237" s="6" t="s">
        <v>40</v>
      </c>
      <c r="J237" s="5" t="s">
        <v>8585</v>
      </c>
      <c r="K237" s="5" t="s">
        <v>8586</v>
      </c>
      <c r="L237" s="6" t="s">
        <v>42</v>
      </c>
      <c r="M237" s="5" t="s">
        <v>1959</v>
      </c>
      <c r="N237" s="5" t="s">
        <v>64</v>
      </c>
      <c r="O237" s="5" t="s">
        <v>14344</v>
      </c>
      <c r="P237" s="5" t="s">
        <v>14412</v>
      </c>
      <c r="Q237" s="5" t="s">
        <v>15053</v>
      </c>
      <c r="R237" s="6">
        <v>3703.0</v>
      </c>
    </row>
    <row r="238" ht="56.25" customHeight="1">
      <c r="A238" s="5" t="s">
        <v>15048</v>
      </c>
      <c r="B238" s="6" t="str">
        <f>IMAGE("https://storage.googleapis.com/acdb/dresses/TopsTexOnepieceBalloonNFairy1.png")</f>
        <v/>
      </c>
      <c r="C238" s="5" t="s">
        <v>69</v>
      </c>
      <c r="D238" s="5" t="s">
        <v>36</v>
      </c>
      <c r="E238" s="6">
        <v>3640.0</v>
      </c>
      <c r="F238" s="6">
        <v>910.0</v>
      </c>
      <c r="G238" s="5" t="s">
        <v>69</v>
      </c>
      <c r="H238" s="5" t="s">
        <v>69</v>
      </c>
      <c r="I238" s="6" t="s">
        <v>40</v>
      </c>
      <c r="J238" s="5" t="s">
        <v>8585</v>
      </c>
      <c r="K238" s="5" t="s">
        <v>8586</v>
      </c>
      <c r="L238" s="6" t="s">
        <v>42</v>
      </c>
      <c r="M238" s="5" t="s">
        <v>1959</v>
      </c>
      <c r="N238" s="5" t="s">
        <v>64</v>
      </c>
      <c r="O238" s="5" t="s">
        <v>14344</v>
      </c>
      <c r="P238" s="5" t="s">
        <v>14412</v>
      </c>
      <c r="Q238" s="5" t="s">
        <v>15056</v>
      </c>
      <c r="R238" s="6">
        <v>8127.0</v>
      </c>
    </row>
    <row r="239" ht="56.25" customHeight="1">
      <c r="A239" s="5" t="s">
        <v>15048</v>
      </c>
      <c r="B239" s="6" t="str">
        <f>IMAGE("https://storage.googleapis.com/acdb/dresses/TopsTexOnepieceBalloonNFairy2.png")</f>
        <v/>
      </c>
      <c r="C239" s="5" t="s">
        <v>114</v>
      </c>
      <c r="D239" s="5" t="s">
        <v>36</v>
      </c>
      <c r="E239" s="6">
        <v>3640.0</v>
      </c>
      <c r="F239" s="6">
        <v>910.0</v>
      </c>
      <c r="G239" s="5" t="s">
        <v>114</v>
      </c>
      <c r="H239" s="5" t="s">
        <v>142</v>
      </c>
      <c r="I239" s="6" t="s">
        <v>40</v>
      </c>
      <c r="J239" s="5" t="s">
        <v>8585</v>
      </c>
      <c r="K239" s="5" t="s">
        <v>8586</v>
      </c>
      <c r="L239" s="6" t="s">
        <v>42</v>
      </c>
      <c r="M239" s="5" t="s">
        <v>1959</v>
      </c>
      <c r="N239" s="5" t="s">
        <v>64</v>
      </c>
      <c r="O239" s="5" t="s">
        <v>14344</v>
      </c>
      <c r="P239" s="5" t="s">
        <v>14412</v>
      </c>
      <c r="Q239" s="5" t="s">
        <v>15057</v>
      </c>
      <c r="R239" s="6">
        <v>8128.0</v>
      </c>
    </row>
    <row r="240" ht="56.25" customHeight="1">
      <c r="A240" s="5" t="s">
        <v>15048</v>
      </c>
      <c r="B240" s="6" t="str">
        <f>IMAGE("https://storage.googleapis.com/acdb/dresses/TopsTexOnepieceBalloonNFairy3.png")</f>
        <v/>
      </c>
      <c r="C240" s="5" t="s">
        <v>9021</v>
      </c>
      <c r="D240" s="5" t="s">
        <v>36</v>
      </c>
      <c r="E240" s="6">
        <v>3640.0</v>
      </c>
      <c r="F240" s="6">
        <v>910.0</v>
      </c>
      <c r="G240" s="5" t="s">
        <v>83</v>
      </c>
      <c r="H240" s="5" t="s">
        <v>68</v>
      </c>
      <c r="I240" s="6" t="s">
        <v>40</v>
      </c>
      <c r="J240" s="5" t="s">
        <v>8585</v>
      </c>
      <c r="K240" s="5" t="s">
        <v>8586</v>
      </c>
      <c r="L240" s="6" t="s">
        <v>42</v>
      </c>
      <c r="M240" s="5" t="s">
        <v>1959</v>
      </c>
      <c r="N240" s="5" t="s">
        <v>64</v>
      </c>
      <c r="O240" s="5" t="s">
        <v>14344</v>
      </c>
      <c r="P240" s="5" t="s">
        <v>14412</v>
      </c>
      <c r="Q240" s="5" t="s">
        <v>15061</v>
      </c>
      <c r="R240" s="6">
        <v>8129.0</v>
      </c>
    </row>
    <row r="241" ht="56.25" customHeight="1">
      <c r="A241" s="5" t="s">
        <v>15062</v>
      </c>
      <c r="B241" s="6" t="str">
        <f>IMAGE("https://storage.googleapis.com/acdb/dresses/TopsTexOnepieceBalloonHHood4.png")</f>
        <v/>
      </c>
      <c r="C241" s="5" t="s">
        <v>68</v>
      </c>
      <c r="D241" s="5" t="s">
        <v>36</v>
      </c>
      <c r="E241" s="6">
        <v>2400.0</v>
      </c>
      <c r="F241" s="6">
        <v>600.0</v>
      </c>
      <c r="G241" s="5" t="s">
        <v>68</v>
      </c>
      <c r="H241" s="5" t="s">
        <v>57</v>
      </c>
      <c r="I241" s="6" t="s">
        <v>40</v>
      </c>
      <c r="J241" s="5" t="s">
        <v>8585</v>
      </c>
      <c r="K241" s="5" t="s">
        <v>8586</v>
      </c>
      <c r="L241" s="6" t="s">
        <v>42</v>
      </c>
      <c r="M241" s="5" t="s">
        <v>1959</v>
      </c>
      <c r="N241" s="5" t="s">
        <v>64</v>
      </c>
      <c r="O241" s="5" t="s">
        <v>14344</v>
      </c>
      <c r="P241" s="5" t="s">
        <v>14345</v>
      </c>
      <c r="Q241" s="5" t="s">
        <v>15064</v>
      </c>
      <c r="R241" s="6">
        <v>8872.0</v>
      </c>
    </row>
    <row r="242" ht="56.25" customHeight="1">
      <c r="A242" s="5" t="s">
        <v>15062</v>
      </c>
      <c r="B242" s="6" t="str">
        <f>IMAGE("https://storage.googleapis.com/acdb/dresses/TopsTexOnepieceBalloonHHood5.png")</f>
        <v/>
      </c>
      <c r="C242" s="5" t="s">
        <v>83</v>
      </c>
      <c r="D242" s="5" t="s">
        <v>36</v>
      </c>
      <c r="E242" s="6">
        <v>2400.0</v>
      </c>
      <c r="F242" s="6">
        <v>600.0</v>
      </c>
      <c r="G242" s="5" t="s">
        <v>83</v>
      </c>
      <c r="H242" s="5" t="s">
        <v>57</v>
      </c>
      <c r="I242" s="6" t="s">
        <v>40</v>
      </c>
      <c r="J242" s="5" t="s">
        <v>8585</v>
      </c>
      <c r="K242" s="5" t="s">
        <v>8586</v>
      </c>
      <c r="L242" s="6" t="s">
        <v>42</v>
      </c>
      <c r="M242" s="5" t="s">
        <v>1959</v>
      </c>
      <c r="N242" s="5" t="s">
        <v>64</v>
      </c>
      <c r="O242" s="5" t="s">
        <v>14344</v>
      </c>
      <c r="P242" s="5" t="s">
        <v>14345</v>
      </c>
      <c r="Q242" s="5" t="s">
        <v>15066</v>
      </c>
      <c r="R242" s="6">
        <v>8873.0</v>
      </c>
    </row>
    <row r="243" ht="56.25" customHeight="1">
      <c r="A243" s="5" t="s">
        <v>15062</v>
      </c>
      <c r="B243" s="6" t="str">
        <f>IMAGE("https://storage.googleapis.com/acdb/dresses/TopsTexOnepieceBalloonHHood6.png")</f>
        <v/>
      </c>
      <c r="C243" s="5" t="s">
        <v>1857</v>
      </c>
      <c r="D243" s="5" t="s">
        <v>36</v>
      </c>
      <c r="E243" s="6">
        <v>2400.0</v>
      </c>
      <c r="F243" s="6">
        <v>600.0</v>
      </c>
      <c r="G243" s="5" t="s">
        <v>96</v>
      </c>
      <c r="H243" s="5" t="s">
        <v>57</v>
      </c>
      <c r="I243" s="6" t="s">
        <v>40</v>
      </c>
      <c r="J243" s="5" t="s">
        <v>8585</v>
      </c>
      <c r="K243" s="5" t="s">
        <v>8586</v>
      </c>
      <c r="L243" s="6" t="s">
        <v>42</v>
      </c>
      <c r="M243" s="5" t="s">
        <v>1959</v>
      </c>
      <c r="N243" s="5" t="s">
        <v>64</v>
      </c>
      <c r="O243" s="5" t="s">
        <v>14344</v>
      </c>
      <c r="P243" s="5" t="s">
        <v>14345</v>
      </c>
      <c r="Q243" s="5" t="s">
        <v>15069</v>
      </c>
      <c r="R243" s="6">
        <v>8874.0</v>
      </c>
    </row>
    <row r="244" ht="56.25" customHeight="1">
      <c r="A244" s="5" t="s">
        <v>15062</v>
      </c>
      <c r="B244" s="6" t="str">
        <f>IMAGE("https://storage.googleapis.com/acdb/dresses/TopsTexOnepieceBalloonHHood7.png")</f>
        <v/>
      </c>
      <c r="C244" s="5" t="s">
        <v>142</v>
      </c>
      <c r="D244" s="5" t="s">
        <v>36</v>
      </c>
      <c r="E244" s="6">
        <v>2400.0</v>
      </c>
      <c r="F244" s="6">
        <v>600.0</v>
      </c>
      <c r="G244" s="5" t="s">
        <v>142</v>
      </c>
      <c r="H244" s="5" t="s">
        <v>57</v>
      </c>
      <c r="I244" s="6" t="s">
        <v>40</v>
      </c>
      <c r="J244" s="5" t="s">
        <v>8585</v>
      </c>
      <c r="K244" s="5" t="s">
        <v>8586</v>
      </c>
      <c r="L244" s="6" t="s">
        <v>42</v>
      </c>
      <c r="M244" s="5" t="s">
        <v>1959</v>
      </c>
      <c r="N244" s="5" t="s">
        <v>64</v>
      </c>
      <c r="O244" s="5" t="s">
        <v>14344</v>
      </c>
      <c r="P244" s="5" t="s">
        <v>14345</v>
      </c>
      <c r="Q244" s="5" t="s">
        <v>15072</v>
      </c>
      <c r="R244" s="6">
        <v>8875.0</v>
      </c>
    </row>
    <row r="245" ht="56.25" customHeight="1">
      <c r="A245" s="5" t="s">
        <v>15062</v>
      </c>
      <c r="B245" s="6" t="str">
        <f>IMAGE("https://storage.googleapis.com/acdb/dresses/TopsTexOnepieceBalloonHHood1.png")</f>
        <v/>
      </c>
      <c r="C245" s="5" t="s">
        <v>69</v>
      </c>
      <c r="D245" s="5" t="s">
        <v>36</v>
      </c>
      <c r="E245" s="6">
        <v>2400.0</v>
      </c>
      <c r="F245" s="6">
        <v>600.0</v>
      </c>
      <c r="G245" s="5" t="s">
        <v>69</v>
      </c>
      <c r="H245" s="5" t="s">
        <v>57</v>
      </c>
      <c r="I245" s="6" t="s">
        <v>40</v>
      </c>
      <c r="J245" s="5" t="s">
        <v>8585</v>
      </c>
      <c r="K245" s="5" t="s">
        <v>8586</v>
      </c>
      <c r="L245" s="6" t="s">
        <v>42</v>
      </c>
      <c r="M245" s="5" t="s">
        <v>1959</v>
      </c>
      <c r="N245" s="5" t="s">
        <v>64</v>
      </c>
      <c r="O245" s="5" t="s">
        <v>14344</v>
      </c>
      <c r="P245" s="5" t="s">
        <v>14345</v>
      </c>
      <c r="Q245" s="5" t="s">
        <v>15075</v>
      </c>
      <c r="R245" s="6">
        <v>8869.0</v>
      </c>
    </row>
    <row r="246" ht="56.25" customHeight="1">
      <c r="A246" s="5" t="s">
        <v>15062</v>
      </c>
      <c r="B246" s="6" t="str">
        <f>IMAGE("https://storage.googleapis.com/acdb/dresses/TopsTexOnepieceBalloonHHood0.png")</f>
        <v/>
      </c>
      <c r="C246" s="5" t="s">
        <v>52</v>
      </c>
      <c r="D246" s="5" t="s">
        <v>36</v>
      </c>
      <c r="E246" s="6">
        <v>2400.0</v>
      </c>
      <c r="F246" s="6">
        <v>600.0</v>
      </c>
      <c r="G246" s="5" t="s">
        <v>52</v>
      </c>
      <c r="H246" s="5" t="s">
        <v>57</v>
      </c>
      <c r="I246" s="6" t="s">
        <v>40</v>
      </c>
      <c r="J246" s="5" t="s">
        <v>8585</v>
      </c>
      <c r="K246" s="5" t="s">
        <v>8586</v>
      </c>
      <c r="L246" s="6" t="s">
        <v>42</v>
      </c>
      <c r="M246" s="5" t="s">
        <v>1959</v>
      </c>
      <c r="N246" s="5" t="s">
        <v>64</v>
      </c>
      <c r="O246" s="5" t="s">
        <v>14344</v>
      </c>
      <c r="P246" s="5" t="s">
        <v>14345</v>
      </c>
      <c r="Q246" s="5" t="s">
        <v>15077</v>
      </c>
      <c r="R246" s="6">
        <v>3137.0</v>
      </c>
    </row>
    <row r="247" ht="56.25" customHeight="1">
      <c r="A247" s="5" t="s">
        <v>15062</v>
      </c>
      <c r="B247" s="6" t="str">
        <f>IMAGE("https://storage.googleapis.com/acdb/dresses/TopsTexOnepieceBalloonHHood2.png")</f>
        <v/>
      </c>
      <c r="C247" s="5" t="s">
        <v>114</v>
      </c>
      <c r="D247" s="5" t="s">
        <v>36</v>
      </c>
      <c r="E247" s="6">
        <v>2400.0</v>
      </c>
      <c r="F247" s="6">
        <v>600.0</v>
      </c>
      <c r="G247" s="5" t="s">
        <v>114</v>
      </c>
      <c r="H247" s="5" t="s">
        <v>57</v>
      </c>
      <c r="I247" s="6" t="s">
        <v>40</v>
      </c>
      <c r="J247" s="5" t="s">
        <v>8585</v>
      </c>
      <c r="K247" s="5" t="s">
        <v>8586</v>
      </c>
      <c r="L247" s="6" t="s">
        <v>42</v>
      </c>
      <c r="M247" s="5" t="s">
        <v>1959</v>
      </c>
      <c r="N247" s="5" t="s">
        <v>64</v>
      </c>
      <c r="O247" s="5" t="s">
        <v>14344</v>
      </c>
      <c r="P247" s="5" t="s">
        <v>14345</v>
      </c>
      <c r="Q247" s="5" t="s">
        <v>15080</v>
      </c>
      <c r="R247" s="6">
        <v>8870.0</v>
      </c>
    </row>
    <row r="248" ht="56.25" customHeight="1">
      <c r="A248" s="5" t="s">
        <v>15062</v>
      </c>
      <c r="B248" s="6" t="str">
        <f>IMAGE("https://storage.googleapis.com/acdb/dresses/TopsTexOnepieceBalloonHHood3.png")</f>
        <v/>
      </c>
      <c r="C248" s="5" t="s">
        <v>96</v>
      </c>
      <c r="D248" s="5" t="s">
        <v>36</v>
      </c>
      <c r="E248" s="6">
        <v>2400.0</v>
      </c>
      <c r="F248" s="6">
        <v>600.0</v>
      </c>
      <c r="G248" s="5" t="s">
        <v>96</v>
      </c>
      <c r="H248" s="5" t="s">
        <v>57</v>
      </c>
      <c r="I248" s="6" t="s">
        <v>40</v>
      </c>
      <c r="J248" s="5" t="s">
        <v>8585</v>
      </c>
      <c r="K248" s="5" t="s">
        <v>8586</v>
      </c>
      <c r="L248" s="6" t="s">
        <v>42</v>
      </c>
      <c r="M248" s="5" t="s">
        <v>1959</v>
      </c>
      <c r="N248" s="5" t="s">
        <v>64</v>
      </c>
      <c r="O248" s="5" t="s">
        <v>14344</v>
      </c>
      <c r="P248" s="5" t="s">
        <v>14345</v>
      </c>
      <c r="Q248" s="5" t="s">
        <v>15083</v>
      </c>
      <c r="R248" s="6">
        <v>8871.0</v>
      </c>
    </row>
    <row r="249" ht="56.25" customHeight="1">
      <c r="A249" s="5" t="s">
        <v>15084</v>
      </c>
      <c r="B249" s="6" t="str">
        <f>IMAGE("https://storage.googleapis.com/acdb/dresses/TopsTexOnepieceKimonoLHaregi0.png")</f>
        <v/>
      </c>
      <c r="C249" s="5" t="s">
        <v>14824</v>
      </c>
      <c r="D249" s="5" t="s">
        <v>36</v>
      </c>
      <c r="E249" s="6">
        <v>5200.0</v>
      </c>
      <c r="F249" s="6">
        <v>1300.0</v>
      </c>
      <c r="G249" s="5" t="s">
        <v>52</v>
      </c>
      <c r="H249" s="5" t="s">
        <v>96</v>
      </c>
      <c r="I249" s="6" t="s">
        <v>40</v>
      </c>
      <c r="J249" s="5" t="s">
        <v>8585</v>
      </c>
      <c r="K249" s="5" t="s">
        <v>8586</v>
      </c>
      <c r="L249" s="6" t="s">
        <v>42</v>
      </c>
      <c r="M249" s="5" t="s">
        <v>612</v>
      </c>
      <c r="N249" s="5" t="s">
        <v>64</v>
      </c>
      <c r="O249" s="5" t="s">
        <v>6513</v>
      </c>
      <c r="P249" s="5" t="s">
        <v>14333</v>
      </c>
      <c r="Q249" s="5" t="s">
        <v>15089</v>
      </c>
      <c r="R249" s="6">
        <v>5461.0</v>
      </c>
    </row>
    <row r="250" ht="56.25" customHeight="1">
      <c r="A250" s="5" t="s">
        <v>15084</v>
      </c>
      <c r="B250" s="6" t="str">
        <f>IMAGE("https://storage.googleapis.com/acdb/dresses/TopsTexOnepieceKimonoLHaregi7.png")</f>
        <v/>
      </c>
      <c r="C250" s="5" t="s">
        <v>15091</v>
      </c>
      <c r="D250" s="5" t="s">
        <v>36</v>
      </c>
      <c r="E250" s="6">
        <v>5200.0</v>
      </c>
      <c r="F250" s="6">
        <v>1300.0</v>
      </c>
      <c r="G250" s="5" t="s">
        <v>96</v>
      </c>
      <c r="H250" s="5" t="s">
        <v>68</v>
      </c>
      <c r="I250" s="6" t="s">
        <v>40</v>
      </c>
      <c r="J250" s="5" t="s">
        <v>8585</v>
      </c>
      <c r="K250" s="5" t="s">
        <v>8586</v>
      </c>
      <c r="L250" s="6" t="s">
        <v>42</v>
      </c>
      <c r="M250" s="5" t="s">
        <v>612</v>
      </c>
      <c r="N250" s="5" t="s">
        <v>64</v>
      </c>
      <c r="O250" s="5" t="s">
        <v>6513</v>
      </c>
      <c r="P250" s="5" t="s">
        <v>14333</v>
      </c>
      <c r="Q250" s="5" t="s">
        <v>15093</v>
      </c>
      <c r="R250" s="6">
        <v>8990.0</v>
      </c>
    </row>
    <row r="251" ht="56.25" customHeight="1">
      <c r="A251" s="5" t="s">
        <v>15084</v>
      </c>
      <c r="B251" s="6" t="str">
        <f>IMAGE("https://storage.googleapis.com/acdb/dresses/TopsTexOnepieceKimonoLHaregi1.png")</f>
        <v/>
      </c>
      <c r="C251" s="5" t="s">
        <v>96</v>
      </c>
      <c r="D251" s="5" t="s">
        <v>36</v>
      </c>
      <c r="E251" s="6">
        <v>5200.0</v>
      </c>
      <c r="F251" s="6">
        <v>1300.0</v>
      </c>
      <c r="G251" s="5" t="s">
        <v>96</v>
      </c>
      <c r="H251" s="5" t="s">
        <v>52</v>
      </c>
      <c r="I251" s="6" t="s">
        <v>40</v>
      </c>
      <c r="J251" s="5" t="s">
        <v>8585</v>
      </c>
      <c r="K251" s="5" t="s">
        <v>8586</v>
      </c>
      <c r="L251" s="6" t="s">
        <v>42</v>
      </c>
      <c r="M251" s="5" t="s">
        <v>612</v>
      </c>
      <c r="N251" s="5" t="s">
        <v>64</v>
      </c>
      <c r="O251" s="5" t="s">
        <v>6513</v>
      </c>
      <c r="P251" s="5" t="s">
        <v>14333</v>
      </c>
      <c r="Q251" s="5" t="s">
        <v>15096</v>
      </c>
      <c r="R251" s="6">
        <v>8984.0</v>
      </c>
    </row>
    <row r="252" ht="56.25" customHeight="1">
      <c r="A252" s="5" t="s">
        <v>15084</v>
      </c>
      <c r="B252" s="6" t="str">
        <f>IMAGE("https://storage.googleapis.com/acdb/dresses/TopsTexOnepieceKimonoLHaregi2.png")</f>
        <v/>
      </c>
      <c r="C252" s="5" t="s">
        <v>14705</v>
      </c>
      <c r="D252" s="5" t="s">
        <v>36</v>
      </c>
      <c r="E252" s="6">
        <v>5200.0</v>
      </c>
      <c r="F252" s="6">
        <v>1300.0</v>
      </c>
      <c r="G252" s="5" t="s">
        <v>68</v>
      </c>
      <c r="H252" s="5" t="s">
        <v>57</v>
      </c>
      <c r="I252" s="6" t="s">
        <v>40</v>
      </c>
      <c r="J252" s="5" t="s">
        <v>8585</v>
      </c>
      <c r="K252" s="5" t="s">
        <v>8586</v>
      </c>
      <c r="L252" s="6" t="s">
        <v>42</v>
      </c>
      <c r="M252" s="5" t="s">
        <v>612</v>
      </c>
      <c r="N252" s="5" t="s">
        <v>64</v>
      </c>
      <c r="O252" s="5" t="s">
        <v>6513</v>
      </c>
      <c r="P252" s="5" t="s">
        <v>14333</v>
      </c>
      <c r="Q252" s="5" t="s">
        <v>15099</v>
      </c>
      <c r="R252" s="6">
        <v>8985.0</v>
      </c>
    </row>
    <row r="253" ht="56.25" customHeight="1">
      <c r="A253" s="5" t="s">
        <v>15084</v>
      </c>
      <c r="B253" s="6" t="str">
        <f>IMAGE("https://storage.googleapis.com/acdb/dresses/TopsTexOnepieceKimonoLHaregi3.png")</f>
        <v/>
      </c>
      <c r="C253" s="5" t="s">
        <v>69</v>
      </c>
      <c r="D253" s="5" t="s">
        <v>36</v>
      </c>
      <c r="E253" s="6">
        <v>5200.0</v>
      </c>
      <c r="F253" s="6">
        <v>1300.0</v>
      </c>
      <c r="G253" s="5" t="s">
        <v>69</v>
      </c>
      <c r="H253" s="5" t="s">
        <v>52</v>
      </c>
      <c r="I253" s="6" t="s">
        <v>40</v>
      </c>
      <c r="J253" s="5" t="s">
        <v>8585</v>
      </c>
      <c r="K253" s="5" t="s">
        <v>8586</v>
      </c>
      <c r="L253" s="6" t="s">
        <v>42</v>
      </c>
      <c r="M253" s="5" t="s">
        <v>612</v>
      </c>
      <c r="N253" s="5" t="s">
        <v>64</v>
      </c>
      <c r="O253" s="5" t="s">
        <v>6513</v>
      </c>
      <c r="P253" s="5" t="s">
        <v>14333</v>
      </c>
      <c r="Q253" s="5" t="s">
        <v>15102</v>
      </c>
      <c r="R253" s="6">
        <v>8986.0</v>
      </c>
    </row>
    <row r="254" ht="56.25" customHeight="1">
      <c r="A254" s="5" t="s">
        <v>15084</v>
      </c>
      <c r="B254" s="6" t="str">
        <f>IMAGE("https://storage.googleapis.com/acdb/dresses/TopsTexOnepieceKimonoLHaregi4.png")</f>
        <v/>
      </c>
      <c r="C254" s="5" t="s">
        <v>106</v>
      </c>
      <c r="D254" s="5" t="s">
        <v>36</v>
      </c>
      <c r="E254" s="6">
        <v>5200.0</v>
      </c>
      <c r="F254" s="6">
        <v>1300.0</v>
      </c>
      <c r="G254" s="5" t="s">
        <v>106</v>
      </c>
      <c r="H254" s="5" t="s">
        <v>38</v>
      </c>
      <c r="I254" s="6" t="s">
        <v>40</v>
      </c>
      <c r="J254" s="5" t="s">
        <v>8585</v>
      </c>
      <c r="K254" s="5" t="s">
        <v>8586</v>
      </c>
      <c r="L254" s="6" t="s">
        <v>42</v>
      </c>
      <c r="M254" s="5" t="s">
        <v>612</v>
      </c>
      <c r="N254" s="5" t="s">
        <v>64</v>
      </c>
      <c r="O254" s="5" t="s">
        <v>6513</v>
      </c>
      <c r="P254" s="5" t="s">
        <v>14333</v>
      </c>
      <c r="Q254" s="5" t="s">
        <v>15107</v>
      </c>
      <c r="R254" s="6">
        <v>8987.0</v>
      </c>
    </row>
    <row r="255" ht="56.25" customHeight="1">
      <c r="A255" s="5" t="s">
        <v>15084</v>
      </c>
      <c r="B255" s="6" t="str">
        <f>IMAGE("https://storage.googleapis.com/acdb/dresses/TopsTexOnepieceKimonoLHaregi5.png")</f>
        <v/>
      </c>
      <c r="C255" s="5" t="s">
        <v>14181</v>
      </c>
      <c r="D255" s="5" t="s">
        <v>36</v>
      </c>
      <c r="E255" s="6">
        <v>5200.0</v>
      </c>
      <c r="F255" s="6">
        <v>1300.0</v>
      </c>
      <c r="G255" s="5" t="s">
        <v>83</v>
      </c>
      <c r="H255" s="5" t="s">
        <v>69</v>
      </c>
      <c r="I255" s="6" t="s">
        <v>40</v>
      </c>
      <c r="J255" s="5" t="s">
        <v>8585</v>
      </c>
      <c r="K255" s="5" t="s">
        <v>8586</v>
      </c>
      <c r="L255" s="6" t="s">
        <v>42</v>
      </c>
      <c r="M255" s="5" t="s">
        <v>612</v>
      </c>
      <c r="N255" s="5" t="s">
        <v>64</v>
      </c>
      <c r="O255" s="5" t="s">
        <v>6513</v>
      </c>
      <c r="P255" s="5" t="s">
        <v>14333</v>
      </c>
      <c r="Q255" s="5" t="s">
        <v>15110</v>
      </c>
      <c r="R255" s="6">
        <v>8988.0</v>
      </c>
    </row>
    <row r="256" ht="56.25" customHeight="1">
      <c r="A256" s="5" t="s">
        <v>15084</v>
      </c>
      <c r="B256" s="6" t="str">
        <f>IMAGE("https://storage.googleapis.com/acdb/dresses/TopsTexOnepieceKimonoLHaregi6.png")</f>
        <v/>
      </c>
      <c r="C256" s="5" t="s">
        <v>15113</v>
      </c>
      <c r="D256" s="5" t="s">
        <v>36</v>
      </c>
      <c r="E256" s="6">
        <v>5200.0</v>
      </c>
      <c r="F256" s="6">
        <v>1300.0</v>
      </c>
      <c r="G256" s="5" t="s">
        <v>142</v>
      </c>
      <c r="H256" s="5" t="s">
        <v>83</v>
      </c>
      <c r="I256" s="6" t="s">
        <v>40</v>
      </c>
      <c r="J256" s="5" t="s">
        <v>8585</v>
      </c>
      <c r="K256" s="5" t="s">
        <v>8586</v>
      </c>
      <c r="L256" s="6" t="s">
        <v>42</v>
      </c>
      <c r="M256" s="5" t="s">
        <v>612</v>
      </c>
      <c r="N256" s="5" t="s">
        <v>64</v>
      </c>
      <c r="O256" s="5" t="s">
        <v>6513</v>
      </c>
      <c r="P256" s="5" t="s">
        <v>14333</v>
      </c>
      <c r="Q256" s="5" t="s">
        <v>15114</v>
      </c>
      <c r="R256" s="6">
        <v>8989.0</v>
      </c>
    </row>
    <row r="257" ht="56.25" customHeight="1">
      <c r="A257" s="5" t="s">
        <v>15115</v>
      </c>
      <c r="B257" s="6" t="str">
        <f>IMAGE("https://storage.googleapis.com/acdb/dresses/TopsTexOnepieceBoxHParty0.png")</f>
        <v/>
      </c>
      <c r="C257" s="5" t="s">
        <v>68</v>
      </c>
      <c r="D257" s="5" t="s">
        <v>36</v>
      </c>
      <c r="E257" s="6">
        <v>2400.0</v>
      </c>
      <c r="F257" s="6">
        <v>600.0</v>
      </c>
      <c r="G257" s="5" t="s">
        <v>68</v>
      </c>
      <c r="H257" s="5" t="s">
        <v>54</v>
      </c>
      <c r="I257" s="6" t="s">
        <v>40</v>
      </c>
      <c r="J257" s="5" t="s">
        <v>8585</v>
      </c>
      <c r="K257" s="5" t="s">
        <v>8586</v>
      </c>
      <c r="L257" s="6" t="s">
        <v>42</v>
      </c>
      <c r="M257" s="5" t="s">
        <v>1059</v>
      </c>
      <c r="N257" s="5" t="s">
        <v>64</v>
      </c>
      <c r="O257" s="5" t="s">
        <v>14332</v>
      </c>
      <c r="P257" s="5" t="s">
        <v>14345</v>
      </c>
      <c r="Q257" s="5" t="s">
        <v>15117</v>
      </c>
      <c r="R257" s="6">
        <v>3131.0</v>
      </c>
    </row>
    <row r="258" ht="56.25" customHeight="1">
      <c r="A258" s="5" t="s">
        <v>15115</v>
      </c>
      <c r="B258" s="6" t="str">
        <f>IMAGE("https://storage.googleapis.com/acdb/dresses/TopsTexOnepieceBoxHParty1.png")</f>
        <v/>
      </c>
      <c r="C258" s="5" t="s">
        <v>69</v>
      </c>
      <c r="D258" s="5" t="s">
        <v>36</v>
      </c>
      <c r="E258" s="6">
        <v>2400.0</v>
      </c>
      <c r="F258" s="6">
        <v>600.0</v>
      </c>
      <c r="G258" s="5" t="s">
        <v>69</v>
      </c>
      <c r="H258" s="5" t="s">
        <v>69</v>
      </c>
      <c r="I258" s="6" t="s">
        <v>40</v>
      </c>
      <c r="J258" s="5" t="s">
        <v>8585</v>
      </c>
      <c r="K258" s="5" t="s">
        <v>8586</v>
      </c>
      <c r="L258" s="6" t="s">
        <v>42</v>
      </c>
      <c r="M258" s="5" t="s">
        <v>1059</v>
      </c>
      <c r="N258" s="5" t="s">
        <v>64</v>
      </c>
      <c r="O258" s="5" t="s">
        <v>14332</v>
      </c>
      <c r="P258" s="5" t="s">
        <v>14345</v>
      </c>
      <c r="Q258" s="5" t="s">
        <v>15118</v>
      </c>
      <c r="R258" s="6">
        <v>7922.0</v>
      </c>
    </row>
    <row r="259" ht="56.25" customHeight="1">
      <c r="A259" s="5" t="s">
        <v>15115</v>
      </c>
      <c r="B259" s="6" t="str">
        <f>IMAGE("https://storage.googleapis.com/acdb/dresses/TopsTexOnepieceBoxHParty2.png")</f>
        <v/>
      </c>
      <c r="C259" s="5" t="s">
        <v>96</v>
      </c>
      <c r="D259" s="5" t="s">
        <v>36</v>
      </c>
      <c r="E259" s="6">
        <v>2400.0</v>
      </c>
      <c r="F259" s="6">
        <v>600.0</v>
      </c>
      <c r="G259" s="5" t="s">
        <v>96</v>
      </c>
      <c r="H259" s="5" t="s">
        <v>57</v>
      </c>
      <c r="I259" s="6" t="s">
        <v>40</v>
      </c>
      <c r="J259" s="5" t="s">
        <v>8585</v>
      </c>
      <c r="K259" s="5" t="s">
        <v>8586</v>
      </c>
      <c r="L259" s="6" t="s">
        <v>42</v>
      </c>
      <c r="M259" s="5" t="s">
        <v>1059</v>
      </c>
      <c r="N259" s="5" t="s">
        <v>64</v>
      </c>
      <c r="O259" s="5" t="s">
        <v>14332</v>
      </c>
      <c r="P259" s="5" t="s">
        <v>14345</v>
      </c>
      <c r="Q259" s="5" t="s">
        <v>15120</v>
      </c>
      <c r="R259" s="6">
        <v>7923.0</v>
      </c>
    </row>
    <row r="260" ht="56.25" customHeight="1">
      <c r="A260" s="5" t="s">
        <v>15115</v>
      </c>
      <c r="B260" s="6" t="str">
        <f>IMAGE("https://storage.googleapis.com/acdb/dresses/TopsTexOnepieceBoxHParty3.png")</f>
        <v/>
      </c>
      <c r="C260" s="5" t="s">
        <v>38</v>
      </c>
      <c r="D260" s="5" t="s">
        <v>36</v>
      </c>
      <c r="E260" s="6">
        <v>2400.0</v>
      </c>
      <c r="F260" s="6">
        <v>600.0</v>
      </c>
      <c r="G260" s="5" t="s">
        <v>38</v>
      </c>
      <c r="H260" s="5" t="s">
        <v>39</v>
      </c>
      <c r="I260" s="6" t="s">
        <v>40</v>
      </c>
      <c r="J260" s="5" t="s">
        <v>8585</v>
      </c>
      <c r="K260" s="5" t="s">
        <v>8586</v>
      </c>
      <c r="L260" s="6" t="s">
        <v>42</v>
      </c>
      <c r="M260" s="5" t="s">
        <v>1059</v>
      </c>
      <c r="N260" s="5" t="s">
        <v>64</v>
      </c>
      <c r="O260" s="5" t="s">
        <v>14332</v>
      </c>
      <c r="P260" s="5" t="s">
        <v>14345</v>
      </c>
      <c r="Q260" s="5" t="s">
        <v>15122</v>
      </c>
      <c r="R260" s="6">
        <v>7924.0</v>
      </c>
    </row>
    <row r="261" ht="56.25" customHeight="1">
      <c r="A261" s="5" t="s">
        <v>15124</v>
      </c>
      <c r="B261" s="6" t="str">
        <f>IMAGE("https://storage.googleapis.com/acdb/dresses/TopsTexOnepieceOverallLFarm4.png")</f>
        <v/>
      </c>
      <c r="C261" s="5" t="s">
        <v>95</v>
      </c>
      <c r="D261" s="5" t="s">
        <v>36</v>
      </c>
      <c r="E261" s="6">
        <v>1600.0</v>
      </c>
      <c r="F261" s="6">
        <v>400.0</v>
      </c>
      <c r="G261" s="5" t="s">
        <v>68</v>
      </c>
      <c r="H261" s="5" t="s">
        <v>95</v>
      </c>
      <c r="I261" s="6" t="s">
        <v>40</v>
      </c>
      <c r="J261" s="5" t="s">
        <v>8585</v>
      </c>
      <c r="K261" s="5" t="s">
        <v>8632</v>
      </c>
      <c r="L261" s="6" t="s">
        <v>42</v>
      </c>
      <c r="M261" s="5" t="s">
        <v>8746</v>
      </c>
      <c r="N261" s="5" t="s">
        <v>64</v>
      </c>
      <c r="O261" s="5" t="s">
        <v>14358</v>
      </c>
      <c r="P261" s="5" t="s">
        <v>14333</v>
      </c>
      <c r="Q261" s="5" t="s">
        <v>15125</v>
      </c>
      <c r="R261" s="6">
        <v>9480.0</v>
      </c>
    </row>
    <row r="262" ht="56.25" customHeight="1">
      <c r="A262" s="5" t="s">
        <v>15124</v>
      </c>
      <c r="B262" s="6" t="str">
        <f>IMAGE("https://storage.googleapis.com/acdb/dresses/TopsTexOnepieceOverallLFarm0.png")</f>
        <v/>
      </c>
      <c r="C262" s="5" t="s">
        <v>52</v>
      </c>
      <c r="D262" s="5" t="s">
        <v>36</v>
      </c>
      <c r="E262" s="6">
        <v>1600.0</v>
      </c>
      <c r="F262" s="6">
        <v>400.0</v>
      </c>
      <c r="G262" s="5" t="s">
        <v>68</v>
      </c>
      <c r="H262" s="5" t="s">
        <v>52</v>
      </c>
      <c r="I262" s="6" t="s">
        <v>40</v>
      </c>
      <c r="J262" s="5" t="s">
        <v>8585</v>
      </c>
      <c r="K262" s="5" t="s">
        <v>8632</v>
      </c>
      <c r="L262" s="6" t="s">
        <v>42</v>
      </c>
      <c r="M262" s="5" t="s">
        <v>8746</v>
      </c>
      <c r="N262" s="5" t="s">
        <v>64</v>
      </c>
      <c r="O262" s="5" t="s">
        <v>14358</v>
      </c>
      <c r="P262" s="5" t="s">
        <v>14333</v>
      </c>
      <c r="Q262" s="5" t="s">
        <v>15128</v>
      </c>
      <c r="R262" s="6">
        <v>5830.0</v>
      </c>
    </row>
    <row r="263" ht="56.25" customHeight="1">
      <c r="A263" s="5" t="s">
        <v>15124</v>
      </c>
      <c r="B263" s="6" t="str">
        <f>IMAGE("https://storage.googleapis.com/acdb/dresses/TopsTexOnepieceOverallLFarm1.png")</f>
        <v/>
      </c>
      <c r="C263" s="5" t="s">
        <v>96</v>
      </c>
      <c r="D263" s="5" t="s">
        <v>36</v>
      </c>
      <c r="E263" s="6">
        <v>1600.0</v>
      </c>
      <c r="F263" s="6">
        <v>400.0</v>
      </c>
      <c r="G263" s="5" t="s">
        <v>68</v>
      </c>
      <c r="H263" s="5" t="s">
        <v>96</v>
      </c>
      <c r="I263" s="6" t="s">
        <v>40</v>
      </c>
      <c r="J263" s="5" t="s">
        <v>8585</v>
      </c>
      <c r="K263" s="5" t="s">
        <v>8632</v>
      </c>
      <c r="L263" s="6" t="s">
        <v>42</v>
      </c>
      <c r="M263" s="5" t="s">
        <v>8746</v>
      </c>
      <c r="N263" s="5" t="s">
        <v>64</v>
      </c>
      <c r="O263" s="5" t="s">
        <v>14358</v>
      </c>
      <c r="P263" s="5" t="s">
        <v>14333</v>
      </c>
      <c r="Q263" s="5" t="s">
        <v>15130</v>
      </c>
      <c r="R263" s="6">
        <v>9477.0</v>
      </c>
    </row>
    <row r="264" ht="56.25" customHeight="1">
      <c r="A264" s="5" t="s">
        <v>15124</v>
      </c>
      <c r="B264" s="6" t="str">
        <f>IMAGE("https://storage.googleapis.com/acdb/dresses/TopsTexOnepieceOverallLFarm2.png")</f>
        <v/>
      </c>
      <c r="C264" s="5" t="s">
        <v>68</v>
      </c>
      <c r="D264" s="5" t="s">
        <v>36</v>
      </c>
      <c r="E264" s="6">
        <v>1600.0</v>
      </c>
      <c r="F264" s="6">
        <v>400.0</v>
      </c>
      <c r="G264" s="5" t="s">
        <v>68</v>
      </c>
      <c r="H264" s="5" t="s">
        <v>83</v>
      </c>
      <c r="I264" s="6" t="s">
        <v>40</v>
      </c>
      <c r="J264" s="5" t="s">
        <v>8585</v>
      </c>
      <c r="K264" s="5" t="s">
        <v>8632</v>
      </c>
      <c r="L264" s="6" t="s">
        <v>42</v>
      </c>
      <c r="M264" s="5" t="s">
        <v>8746</v>
      </c>
      <c r="N264" s="5" t="s">
        <v>64</v>
      </c>
      <c r="O264" s="5" t="s">
        <v>14358</v>
      </c>
      <c r="P264" s="5" t="s">
        <v>14333</v>
      </c>
      <c r="Q264" s="5" t="s">
        <v>15132</v>
      </c>
      <c r="R264" s="6">
        <v>9478.0</v>
      </c>
    </row>
    <row r="265" ht="56.25" customHeight="1">
      <c r="A265" s="5" t="s">
        <v>15124</v>
      </c>
      <c r="B265" s="6" t="str">
        <f>IMAGE("https://storage.googleapis.com/acdb/dresses/TopsTexOnepieceOverallLFarm3.png")</f>
        <v/>
      </c>
      <c r="C265" s="5" t="s">
        <v>114</v>
      </c>
      <c r="D265" s="5" t="s">
        <v>36</v>
      </c>
      <c r="E265" s="6">
        <v>1600.0</v>
      </c>
      <c r="F265" s="6">
        <v>400.0</v>
      </c>
      <c r="G265" s="5" t="s">
        <v>68</v>
      </c>
      <c r="H265" s="5" t="s">
        <v>114</v>
      </c>
      <c r="I265" s="6" t="s">
        <v>40</v>
      </c>
      <c r="J265" s="5" t="s">
        <v>8585</v>
      </c>
      <c r="K265" s="5" t="s">
        <v>8632</v>
      </c>
      <c r="L265" s="6" t="s">
        <v>42</v>
      </c>
      <c r="M265" s="5" t="s">
        <v>8746</v>
      </c>
      <c r="N265" s="5" t="s">
        <v>64</v>
      </c>
      <c r="O265" s="5" t="s">
        <v>14358</v>
      </c>
      <c r="P265" s="5" t="s">
        <v>14333</v>
      </c>
      <c r="Q265" s="5" t="s">
        <v>15136</v>
      </c>
      <c r="R265" s="6">
        <v>9479.0</v>
      </c>
    </row>
    <row r="266" ht="56.25" customHeight="1">
      <c r="A266" s="5" t="s">
        <v>15138</v>
      </c>
      <c r="B266" s="6" t="str">
        <f>IMAGE("https://storage.googleapis.com/acdb/dresses/TopsTexOnepieceDressLClassic0.png")</f>
        <v/>
      </c>
      <c r="C266" s="5" t="s">
        <v>96</v>
      </c>
      <c r="D266" s="5" t="s">
        <v>36</v>
      </c>
      <c r="E266" s="6">
        <v>6000.0</v>
      </c>
      <c r="F266" s="6">
        <v>1500.0</v>
      </c>
      <c r="G266" s="5" t="s">
        <v>96</v>
      </c>
      <c r="H266" s="5" t="s">
        <v>96</v>
      </c>
      <c r="I266" s="6" t="s">
        <v>40</v>
      </c>
      <c r="J266" s="5" t="s">
        <v>8585</v>
      </c>
      <c r="K266" s="5" t="s">
        <v>8586</v>
      </c>
      <c r="L266" s="6" t="s">
        <v>42</v>
      </c>
      <c r="M266" s="5" t="s">
        <v>612</v>
      </c>
      <c r="N266" s="5" t="s">
        <v>64</v>
      </c>
      <c r="O266" s="5" t="s">
        <v>14841</v>
      </c>
      <c r="P266" s="5" t="s">
        <v>14333</v>
      </c>
      <c r="Q266" s="5" t="s">
        <v>15140</v>
      </c>
      <c r="R266" s="6">
        <v>3435.0</v>
      </c>
    </row>
    <row r="267" ht="56.25" customHeight="1">
      <c r="A267" s="5" t="s">
        <v>15138</v>
      </c>
      <c r="B267" s="6" t="str">
        <f>IMAGE("https://storage.googleapis.com/acdb/dresses/TopsTexOnepieceDressLClassic1.png")</f>
        <v/>
      </c>
      <c r="C267" s="5" t="s">
        <v>68</v>
      </c>
      <c r="D267" s="5" t="s">
        <v>36</v>
      </c>
      <c r="E267" s="6">
        <v>6000.0</v>
      </c>
      <c r="F267" s="6">
        <v>1500.0</v>
      </c>
      <c r="G267" s="5" t="s">
        <v>68</v>
      </c>
      <c r="H267" s="5" t="s">
        <v>68</v>
      </c>
      <c r="I267" s="6" t="s">
        <v>40</v>
      </c>
      <c r="J267" s="5" t="s">
        <v>8585</v>
      </c>
      <c r="K267" s="5" t="s">
        <v>8586</v>
      </c>
      <c r="L267" s="6" t="s">
        <v>42</v>
      </c>
      <c r="M267" s="5" t="s">
        <v>612</v>
      </c>
      <c r="N267" s="5" t="s">
        <v>64</v>
      </c>
      <c r="O267" s="5" t="s">
        <v>14841</v>
      </c>
      <c r="P267" s="5" t="s">
        <v>14333</v>
      </c>
      <c r="Q267" s="5" t="s">
        <v>15143</v>
      </c>
      <c r="R267" s="6">
        <v>8238.0</v>
      </c>
    </row>
    <row r="268" ht="56.25" customHeight="1">
      <c r="A268" s="5" t="s">
        <v>15138</v>
      </c>
      <c r="B268" s="6" t="str">
        <f>IMAGE("https://storage.googleapis.com/acdb/dresses/TopsTexOnepieceDressLClassic2.png")</f>
        <v/>
      </c>
      <c r="C268" s="5" t="s">
        <v>114</v>
      </c>
      <c r="D268" s="5" t="s">
        <v>36</v>
      </c>
      <c r="E268" s="6">
        <v>6000.0</v>
      </c>
      <c r="F268" s="6">
        <v>1500.0</v>
      </c>
      <c r="G268" s="5" t="s">
        <v>142</v>
      </c>
      <c r="H268" s="5" t="s">
        <v>142</v>
      </c>
      <c r="I268" s="6" t="s">
        <v>40</v>
      </c>
      <c r="J268" s="5" t="s">
        <v>8585</v>
      </c>
      <c r="K268" s="5" t="s">
        <v>8586</v>
      </c>
      <c r="L268" s="6" t="s">
        <v>42</v>
      </c>
      <c r="M268" s="5" t="s">
        <v>612</v>
      </c>
      <c r="N268" s="5" t="s">
        <v>64</v>
      </c>
      <c r="O268" s="5" t="s">
        <v>14841</v>
      </c>
      <c r="P268" s="5" t="s">
        <v>14333</v>
      </c>
      <c r="Q268" s="5" t="s">
        <v>15146</v>
      </c>
      <c r="R268" s="6">
        <v>8239.0</v>
      </c>
    </row>
    <row r="269" ht="56.25" customHeight="1">
      <c r="A269" s="5" t="s">
        <v>15138</v>
      </c>
      <c r="B269" s="6" t="str">
        <f>IMAGE("https://storage.googleapis.com/acdb/dresses/TopsTexOnepieceDressLClassic3.png")</f>
        <v/>
      </c>
      <c r="C269" s="5" t="s">
        <v>69</v>
      </c>
      <c r="D269" s="5" t="s">
        <v>36</v>
      </c>
      <c r="E269" s="6">
        <v>6000.0</v>
      </c>
      <c r="F269" s="6">
        <v>1500.0</v>
      </c>
      <c r="G269" s="5" t="s">
        <v>69</v>
      </c>
      <c r="H269" s="5" t="s">
        <v>69</v>
      </c>
      <c r="I269" s="6" t="s">
        <v>40</v>
      </c>
      <c r="J269" s="5" t="s">
        <v>8585</v>
      </c>
      <c r="K269" s="5" t="s">
        <v>8586</v>
      </c>
      <c r="L269" s="6" t="s">
        <v>42</v>
      </c>
      <c r="M269" s="5" t="s">
        <v>612</v>
      </c>
      <c r="N269" s="5" t="s">
        <v>64</v>
      </c>
      <c r="O269" s="5" t="s">
        <v>14841</v>
      </c>
      <c r="P269" s="5" t="s">
        <v>14333</v>
      </c>
      <c r="Q269" s="5" t="s">
        <v>15150</v>
      </c>
      <c r="R269" s="6">
        <v>8240.0</v>
      </c>
    </row>
    <row r="270" ht="56.25" customHeight="1">
      <c r="A270" s="5" t="s">
        <v>15138</v>
      </c>
      <c r="B270" s="6" t="str">
        <f>IMAGE("https://storage.googleapis.com/acdb/dresses/TopsTexOnepieceDressLClassic4.png")</f>
        <v/>
      </c>
      <c r="C270" s="5" t="s">
        <v>106</v>
      </c>
      <c r="D270" s="5" t="s">
        <v>36</v>
      </c>
      <c r="E270" s="6">
        <v>6000.0</v>
      </c>
      <c r="F270" s="6">
        <v>1500.0</v>
      </c>
      <c r="G270" s="5" t="s">
        <v>106</v>
      </c>
      <c r="H270" s="5" t="s">
        <v>106</v>
      </c>
      <c r="I270" s="6" t="s">
        <v>40</v>
      </c>
      <c r="J270" s="5" t="s">
        <v>8585</v>
      </c>
      <c r="K270" s="5" t="s">
        <v>8586</v>
      </c>
      <c r="L270" s="6" t="s">
        <v>42</v>
      </c>
      <c r="M270" s="5" t="s">
        <v>612</v>
      </c>
      <c r="N270" s="5" t="s">
        <v>64</v>
      </c>
      <c r="O270" s="5" t="s">
        <v>14841</v>
      </c>
      <c r="P270" s="5" t="s">
        <v>14333</v>
      </c>
      <c r="Q270" s="5" t="s">
        <v>15155</v>
      </c>
      <c r="R270" s="6">
        <v>8241.0</v>
      </c>
    </row>
    <row r="271" ht="56.25" customHeight="1">
      <c r="A271" s="5" t="s">
        <v>15156</v>
      </c>
      <c r="B271" s="6" t="str">
        <f>IMAGE("https://storage.googleapis.com/acdb/dresses/TopsTexOnepieceBalloonNXmasRed.png")</f>
        <v/>
      </c>
      <c r="C271" s="5" t="s">
        <v>52</v>
      </c>
      <c r="D271" s="5" t="s">
        <v>36</v>
      </c>
      <c r="E271" s="6">
        <v>2400.0</v>
      </c>
      <c r="F271" s="6">
        <v>600.0</v>
      </c>
      <c r="G271" s="5" t="s">
        <v>52</v>
      </c>
      <c r="H271" s="5" t="s">
        <v>57</v>
      </c>
      <c r="I271" s="6" t="s">
        <v>40</v>
      </c>
      <c r="J271" s="5" t="s">
        <v>8585</v>
      </c>
      <c r="K271" s="5" t="s">
        <v>8586</v>
      </c>
      <c r="L271" s="6" t="s">
        <v>42</v>
      </c>
      <c r="M271" s="5" t="s">
        <v>1959</v>
      </c>
      <c r="N271" s="5" t="s">
        <v>64</v>
      </c>
      <c r="O271" s="5" t="s">
        <v>14344</v>
      </c>
      <c r="P271" s="5" t="s">
        <v>14412</v>
      </c>
      <c r="Q271" s="5" t="s">
        <v>15160</v>
      </c>
      <c r="R271" s="6">
        <v>3135.0</v>
      </c>
    </row>
    <row r="272" ht="56.25" customHeight="1">
      <c r="A272" s="5" t="s">
        <v>15161</v>
      </c>
      <c r="B272" s="6" t="str">
        <f>IMAGE("https://storage.googleapis.com/acdb/dresses/TopsTexOnepieceAlineNXmastreeNormal1.png")</f>
        <v/>
      </c>
      <c r="C272" s="5" t="s">
        <v>7961</v>
      </c>
      <c r="D272" s="5" t="s">
        <v>36</v>
      </c>
      <c r="E272" s="6">
        <v>2240.0</v>
      </c>
      <c r="F272" s="6">
        <v>560.0</v>
      </c>
      <c r="G272" s="5" t="s">
        <v>96</v>
      </c>
      <c r="H272" s="5" t="s">
        <v>68</v>
      </c>
      <c r="I272" s="6" t="s">
        <v>40</v>
      </c>
      <c r="J272" s="5" t="s">
        <v>8585</v>
      </c>
      <c r="K272" s="5" t="s">
        <v>8586</v>
      </c>
      <c r="L272" s="6" t="s">
        <v>42</v>
      </c>
      <c r="M272" s="5" t="s">
        <v>1959</v>
      </c>
      <c r="N272" s="5" t="s">
        <v>64</v>
      </c>
      <c r="O272" s="5" t="s">
        <v>14411</v>
      </c>
      <c r="P272" s="5" t="s">
        <v>14412</v>
      </c>
      <c r="Q272" s="5" t="s">
        <v>15165</v>
      </c>
      <c r="R272" s="6">
        <v>9488.0</v>
      </c>
    </row>
    <row r="273" ht="56.25" customHeight="1">
      <c r="A273" s="5" t="s">
        <v>15161</v>
      </c>
      <c r="B273" s="6" t="str">
        <f>IMAGE("https://storage.googleapis.com/acdb/dresses/TopsTexOnepieceAlineNXmastreeNormal2.png")</f>
        <v/>
      </c>
      <c r="C273" s="5" t="s">
        <v>15166</v>
      </c>
      <c r="D273" s="5" t="s">
        <v>36</v>
      </c>
      <c r="E273" s="6">
        <v>2240.0</v>
      </c>
      <c r="F273" s="6">
        <v>560.0</v>
      </c>
      <c r="G273" s="5" t="s">
        <v>96</v>
      </c>
      <c r="H273" s="5" t="s">
        <v>52</v>
      </c>
      <c r="I273" s="6" t="s">
        <v>40</v>
      </c>
      <c r="J273" s="5" t="s">
        <v>8585</v>
      </c>
      <c r="K273" s="5" t="s">
        <v>8586</v>
      </c>
      <c r="L273" s="6" t="s">
        <v>42</v>
      </c>
      <c r="M273" s="5" t="s">
        <v>1959</v>
      </c>
      <c r="N273" s="5" t="s">
        <v>64</v>
      </c>
      <c r="O273" s="5" t="s">
        <v>14411</v>
      </c>
      <c r="P273" s="5" t="s">
        <v>14412</v>
      </c>
      <c r="Q273" s="5" t="s">
        <v>15169</v>
      </c>
      <c r="R273" s="6">
        <v>9489.0</v>
      </c>
    </row>
    <row r="274" ht="56.25" customHeight="1">
      <c r="A274" s="5" t="s">
        <v>15161</v>
      </c>
      <c r="B274" s="6" t="str">
        <f>IMAGE("https://storage.googleapis.com/acdb/dresses/TopsTexOnepieceAlineNXmastreeNormal0.png")</f>
        <v/>
      </c>
      <c r="C274" s="5" t="s">
        <v>3514</v>
      </c>
      <c r="D274" s="5" t="s">
        <v>36</v>
      </c>
      <c r="E274" s="6">
        <v>2240.0</v>
      </c>
      <c r="F274" s="6">
        <v>560.0</v>
      </c>
      <c r="G274" s="5" t="s">
        <v>96</v>
      </c>
      <c r="H274" s="5" t="s">
        <v>57</v>
      </c>
      <c r="I274" s="6" t="s">
        <v>40</v>
      </c>
      <c r="J274" s="5" t="s">
        <v>8585</v>
      </c>
      <c r="K274" s="5" t="s">
        <v>8586</v>
      </c>
      <c r="L274" s="6" t="s">
        <v>42</v>
      </c>
      <c r="M274" s="5" t="s">
        <v>1959</v>
      </c>
      <c r="N274" s="5" t="s">
        <v>64</v>
      </c>
      <c r="O274" s="5" t="s">
        <v>14411</v>
      </c>
      <c r="P274" s="5" t="s">
        <v>14412</v>
      </c>
      <c r="Q274" s="5" t="s">
        <v>15172</v>
      </c>
      <c r="R274" s="6">
        <v>3169.0</v>
      </c>
    </row>
    <row r="275" ht="56.25" customHeight="1">
      <c r="A275" s="5" t="s">
        <v>15161</v>
      </c>
      <c r="B275" s="6" t="str">
        <f>IMAGE("https://storage.googleapis.com/acdb/dresses/TopsTexOnepieceAlineNXmastreeNormal3.png")</f>
        <v/>
      </c>
      <c r="C275" s="5" t="s">
        <v>69</v>
      </c>
      <c r="D275" s="5" t="s">
        <v>36</v>
      </c>
      <c r="E275" s="6">
        <v>2240.0</v>
      </c>
      <c r="F275" s="6">
        <v>560.0</v>
      </c>
      <c r="G275" s="5" t="s">
        <v>69</v>
      </c>
      <c r="H275" s="5" t="s">
        <v>57</v>
      </c>
      <c r="I275" s="6" t="s">
        <v>40</v>
      </c>
      <c r="J275" s="5" t="s">
        <v>8585</v>
      </c>
      <c r="K275" s="5" t="s">
        <v>8586</v>
      </c>
      <c r="L275" s="6" t="s">
        <v>42</v>
      </c>
      <c r="M275" s="5" t="s">
        <v>1959</v>
      </c>
      <c r="N275" s="5" t="s">
        <v>64</v>
      </c>
      <c r="O275" s="5" t="s">
        <v>14411</v>
      </c>
      <c r="P275" s="5" t="s">
        <v>14412</v>
      </c>
      <c r="Q275" s="5" t="s">
        <v>15176</v>
      </c>
      <c r="R275" s="6">
        <v>9490.0</v>
      </c>
    </row>
    <row r="276" ht="56.25" customHeight="1">
      <c r="A276" s="5" t="s">
        <v>15161</v>
      </c>
      <c r="B276" s="6" t="str">
        <f>IMAGE("https://storage.googleapis.com/acdb/dresses/TopsTexOnepieceAlineNXmastreeNormal4.png")</f>
        <v/>
      </c>
      <c r="C276" s="5" t="s">
        <v>151</v>
      </c>
      <c r="D276" s="5" t="s">
        <v>36</v>
      </c>
      <c r="E276" s="6">
        <v>2240.0</v>
      </c>
      <c r="F276" s="6">
        <v>560.0</v>
      </c>
      <c r="G276" s="5" t="s">
        <v>38</v>
      </c>
      <c r="H276" s="5" t="s">
        <v>57</v>
      </c>
      <c r="I276" s="6" t="s">
        <v>40</v>
      </c>
      <c r="J276" s="5" t="s">
        <v>8585</v>
      </c>
      <c r="K276" s="5" t="s">
        <v>8586</v>
      </c>
      <c r="L276" s="6" t="s">
        <v>42</v>
      </c>
      <c r="M276" s="5" t="s">
        <v>1959</v>
      </c>
      <c r="N276" s="5" t="s">
        <v>64</v>
      </c>
      <c r="O276" s="5" t="s">
        <v>14411</v>
      </c>
      <c r="P276" s="5" t="s">
        <v>14412</v>
      </c>
      <c r="Q276" s="5" t="s">
        <v>15179</v>
      </c>
      <c r="R276" s="6">
        <v>9491.0</v>
      </c>
    </row>
    <row r="277" ht="56.25" customHeight="1">
      <c r="A277" s="5" t="s">
        <v>15161</v>
      </c>
      <c r="B277" s="6" t="str">
        <f>IMAGE("https://storage.googleapis.com/acdb/dresses/TopsTexOnepieceAlineNXmastreeNormal5.png")</f>
        <v/>
      </c>
      <c r="C277" s="5" t="s">
        <v>146</v>
      </c>
      <c r="D277" s="5" t="s">
        <v>36</v>
      </c>
      <c r="E277" s="6">
        <v>2240.0</v>
      </c>
      <c r="F277" s="6">
        <v>560.0</v>
      </c>
      <c r="G277" s="5" t="s">
        <v>95</v>
      </c>
      <c r="H277" s="5" t="s">
        <v>57</v>
      </c>
      <c r="I277" s="6" t="s">
        <v>40</v>
      </c>
      <c r="J277" s="5" t="s">
        <v>8585</v>
      </c>
      <c r="K277" s="5" t="s">
        <v>8586</v>
      </c>
      <c r="L277" s="6" t="s">
        <v>42</v>
      </c>
      <c r="M277" s="5" t="s">
        <v>1959</v>
      </c>
      <c r="N277" s="5" t="s">
        <v>64</v>
      </c>
      <c r="O277" s="5" t="s">
        <v>14411</v>
      </c>
      <c r="P277" s="5" t="s">
        <v>14412</v>
      </c>
      <c r="Q277" s="5" t="s">
        <v>15184</v>
      </c>
      <c r="R277" s="6">
        <v>9492.0</v>
      </c>
    </row>
    <row r="278" ht="56.25" customHeight="1">
      <c r="A278" s="5" t="s">
        <v>15185</v>
      </c>
      <c r="B278" s="6" t="str">
        <f>IMAGE("https://storage.googleapis.com/acdb/dresses/TopsTexOnepieceOverallLFigure0.png")</f>
        <v/>
      </c>
      <c r="C278" s="5" t="s">
        <v>68</v>
      </c>
      <c r="D278" s="5" t="s">
        <v>36</v>
      </c>
      <c r="E278" s="6">
        <v>2880.0</v>
      </c>
      <c r="F278" s="6">
        <v>720.0</v>
      </c>
      <c r="G278" s="5" t="s">
        <v>83</v>
      </c>
      <c r="H278" s="5" t="s">
        <v>54</v>
      </c>
      <c r="I278" s="6" t="s">
        <v>40</v>
      </c>
      <c r="J278" s="5" t="s">
        <v>8585</v>
      </c>
      <c r="K278" s="5" t="s">
        <v>8586</v>
      </c>
      <c r="L278" s="6" t="s">
        <v>42</v>
      </c>
      <c r="M278" s="5" t="s">
        <v>8746</v>
      </c>
      <c r="N278" s="5" t="s">
        <v>64</v>
      </c>
      <c r="O278" s="5" t="s">
        <v>14358</v>
      </c>
      <c r="P278" s="5" t="s">
        <v>14333</v>
      </c>
      <c r="Q278" s="5" t="s">
        <v>15188</v>
      </c>
      <c r="R278" s="6">
        <v>5404.0</v>
      </c>
    </row>
    <row r="279" ht="56.25" customHeight="1">
      <c r="A279" s="5" t="s">
        <v>15185</v>
      </c>
      <c r="B279" s="6" t="str">
        <f>IMAGE("https://storage.googleapis.com/acdb/dresses/TopsTexOnepieceOverallLFigure1.png")</f>
        <v/>
      </c>
      <c r="C279" s="5" t="s">
        <v>52</v>
      </c>
      <c r="D279" s="5" t="s">
        <v>36</v>
      </c>
      <c r="E279" s="6">
        <v>2880.0</v>
      </c>
      <c r="F279" s="6">
        <v>720.0</v>
      </c>
      <c r="G279" s="5" t="s">
        <v>52</v>
      </c>
      <c r="H279" s="5" t="s">
        <v>54</v>
      </c>
      <c r="I279" s="6" t="s">
        <v>40</v>
      </c>
      <c r="J279" s="5" t="s">
        <v>8585</v>
      </c>
      <c r="K279" s="5" t="s">
        <v>8586</v>
      </c>
      <c r="L279" s="6" t="s">
        <v>42</v>
      </c>
      <c r="M279" s="5" t="s">
        <v>8746</v>
      </c>
      <c r="N279" s="5" t="s">
        <v>64</v>
      </c>
      <c r="O279" s="5" t="s">
        <v>14358</v>
      </c>
      <c r="P279" s="5" t="s">
        <v>14333</v>
      </c>
      <c r="Q279" s="5" t="s">
        <v>15190</v>
      </c>
      <c r="R279" s="6">
        <v>9522.0</v>
      </c>
    </row>
    <row r="280" ht="56.25" customHeight="1">
      <c r="A280" s="5" t="s">
        <v>15185</v>
      </c>
      <c r="B280" s="6" t="str">
        <f>IMAGE("https://storage.googleapis.com/acdb/dresses/TopsTexOnepieceOverallLFigure2.png")</f>
        <v/>
      </c>
      <c r="C280" s="5" t="s">
        <v>96</v>
      </c>
      <c r="D280" s="5" t="s">
        <v>36</v>
      </c>
      <c r="E280" s="6">
        <v>2880.0</v>
      </c>
      <c r="F280" s="6">
        <v>720.0</v>
      </c>
      <c r="G280" s="5" t="s">
        <v>96</v>
      </c>
      <c r="H280" s="5" t="s">
        <v>54</v>
      </c>
      <c r="I280" s="6" t="s">
        <v>40</v>
      </c>
      <c r="J280" s="5" t="s">
        <v>8585</v>
      </c>
      <c r="K280" s="5" t="s">
        <v>8586</v>
      </c>
      <c r="L280" s="6" t="s">
        <v>42</v>
      </c>
      <c r="M280" s="5" t="s">
        <v>8746</v>
      </c>
      <c r="N280" s="5" t="s">
        <v>64</v>
      </c>
      <c r="O280" s="5" t="s">
        <v>14358</v>
      </c>
      <c r="P280" s="5" t="s">
        <v>14333</v>
      </c>
      <c r="Q280" s="5" t="s">
        <v>15194</v>
      </c>
      <c r="R280" s="6">
        <v>9523.0</v>
      </c>
    </row>
    <row r="281" ht="56.25" customHeight="1">
      <c r="A281" s="5" t="s">
        <v>15185</v>
      </c>
      <c r="B281" s="6" t="str">
        <f>IMAGE("https://storage.googleapis.com/acdb/dresses/TopsTexOnepieceOverallLFigure3.png")</f>
        <v/>
      </c>
      <c r="C281" s="5" t="s">
        <v>106</v>
      </c>
      <c r="D281" s="5" t="s">
        <v>36</v>
      </c>
      <c r="E281" s="6">
        <v>2880.0</v>
      </c>
      <c r="F281" s="6">
        <v>720.0</v>
      </c>
      <c r="G281" s="5" t="s">
        <v>106</v>
      </c>
      <c r="H281" s="5" t="s">
        <v>54</v>
      </c>
      <c r="I281" s="6" t="s">
        <v>40</v>
      </c>
      <c r="J281" s="5" t="s">
        <v>8585</v>
      </c>
      <c r="K281" s="5" t="s">
        <v>8586</v>
      </c>
      <c r="L281" s="6" t="s">
        <v>42</v>
      </c>
      <c r="M281" s="5" t="s">
        <v>8746</v>
      </c>
      <c r="N281" s="5" t="s">
        <v>64</v>
      </c>
      <c r="O281" s="5" t="s">
        <v>14358</v>
      </c>
      <c r="P281" s="5" t="s">
        <v>14333</v>
      </c>
      <c r="Q281" s="5" t="s">
        <v>15197</v>
      </c>
      <c r="R281" s="6">
        <v>9524.0</v>
      </c>
    </row>
    <row r="282" ht="56.25" customHeight="1">
      <c r="A282" s="5" t="s">
        <v>15185</v>
      </c>
      <c r="B282" s="6" t="str">
        <f>IMAGE("https://storage.googleapis.com/acdb/dresses/TopsTexOnepieceOverallLFigure4.png")</f>
        <v/>
      </c>
      <c r="C282" s="5" t="s">
        <v>69</v>
      </c>
      <c r="D282" s="5" t="s">
        <v>36</v>
      </c>
      <c r="E282" s="6">
        <v>2880.0</v>
      </c>
      <c r="F282" s="6">
        <v>720.0</v>
      </c>
      <c r="G282" s="5" t="s">
        <v>69</v>
      </c>
      <c r="H282" s="5" t="s">
        <v>54</v>
      </c>
      <c r="I282" s="6" t="s">
        <v>40</v>
      </c>
      <c r="J282" s="5" t="s">
        <v>8585</v>
      </c>
      <c r="K282" s="5" t="s">
        <v>8586</v>
      </c>
      <c r="L282" s="6" t="s">
        <v>42</v>
      </c>
      <c r="M282" s="5" t="s">
        <v>8746</v>
      </c>
      <c r="N282" s="5" t="s">
        <v>64</v>
      </c>
      <c r="O282" s="5" t="s">
        <v>14358</v>
      </c>
      <c r="P282" s="5" t="s">
        <v>14333</v>
      </c>
      <c r="Q282" s="5" t="s">
        <v>15200</v>
      </c>
      <c r="R282" s="6">
        <v>9525.0</v>
      </c>
    </row>
    <row r="283" ht="56.25" customHeight="1">
      <c r="A283" s="5" t="s">
        <v>15185</v>
      </c>
      <c r="B283" s="6" t="str">
        <f>IMAGE("https://storage.googleapis.com/acdb/dresses/TopsTexOnepieceOverallLFigure5.png")</f>
        <v/>
      </c>
      <c r="C283" s="5" t="s">
        <v>114</v>
      </c>
      <c r="D283" s="5" t="s">
        <v>36</v>
      </c>
      <c r="E283" s="6">
        <v>2880.0</v>
      </c>
      <c r="F283" s="6">
        <v>720.0</v>
      </c>
      <c r="G283" s="5" t="s">
        <v>114</v>
      </c>
      <c r="H283" s="5" t="s">
        <v>54</v>
      </c>
      <c r="I283" s="6" t="s">
        <v>40</v>
      </c>
      <c r="J283" s="5" t="s">
        <v>8585</v>
      </c>
      <c r="K283" s="5" t="s">
        <v>8586</v>
      </c>
      <c r="L283" s="6" t="s">
        <v>42</v>
      </c>
      <c r="M283" s="5" t="s">
        <v>8746</v>
      </c>
      <c r="N283" s="5" t="s">
        <v>64</v>
      </c>
      <c r="O283" s="5" t="s">
        <v>14358</v>
      </c>
      <c r="P283" s="5" t="s">
        <v>14333</v>
      </c>
      <c r="Q283" s="5" t="s">
        <v>15202</v>
      </c>
      <c r="R283" s="6">
        <v>9526.0</v>
      </c>
    </row>
    <row r="284" ht="56.25" customHeight="1">
      <c r="A284" s="5" t="s">
        <v>15185</v>
      </c>
      <c r="B284" s="6" t="str">
        <f>IMAGE("https://storage.googleapis.com/acdb/dresses/TopsTexOnepieceOverallLFigure6.png")</f>
        <v/>
      </c>
      <c r="C284" s="5" t="s">
        <v>54</v>
      </c>
      <c r="D284" s="5" t="s">
        <v>36</v>
      </c>
      <c r="E284" s="6">
        <v>2880.0</v>
      </c>
      <c r="F284" s="6">
        <v>720.0</v>
      </c>
      <c r="G284" s="5" t="s">
        <v>95</v>
      </c>
      <c r="H284" s="5" t="s">
        <v>54</v>
      </c>
      <c r="I284" s="6" t="s">
        <v>40</v>
      </c>
      <c r="J284" s="5" t="s">
        <v>8585</v>
      </c>
      <c r="K284" s="5" t="s">
        <v>8586</v>
      </c>
      <c r="L284" s="6" t="s">
        <v>42</v>
      </c>
      <c r="M284" s="5" t="s">
        <v>8746</v>
      </c>
      <c r="N284" s="5" t="s">
        <v>64</v>
      </c>
      <c r="O284" s="5" t="s">
        <v>14358</v>
      </c>
      <c r="P284" s="5" t="s">
        <v>14333</v>
      </c>
      <c r="Q284" s="5" t="s">
        <v>15205</v>
      </c>
      <c r="R284" s="6">
        <v>9527.0</v>
      </c>
    </row>
    <row r="285" ht="56.25" customHeight="1">
      <c r="A285" s="5" t="s">
        <v>15206</v>
      </c>
      <c r="B285" s="6" t="str">
        <f>IMAGE("https://storage.googleapis.com/acdb/dresses/TopsTexOnepieceBalloonNFigure1.png")</f>
        <v/>
      </c>
      <c r="C285" s="5" t="s">
        <v>52</v>
      </c>
      <c r="D285" s="5" t="s">
        <v>36</v>
      </c>
      <c r="E285" s="6">
        <v>2880.0</v>
      </c>
      <c r="F285" s="6">
        <v>720.0</v>
      </c>
      <c r="G285" s="5" t="s">
        <v>52</v>
      </c>
      <c r="H285" s="5" t="s">
        <v>52</v>
      </c>
      <c r="I285" s="6" t="s">
        <v>40</v>
      </c>
      <c r="J285" s="5" t="s">
        <v>8585</v>
      </c>
      <c r="K285" s="5" t="s">
        <v>8586</v>
      </c>
      <c r="L285" s="6" t="s">
        <v>42</v>
      </c>
      <c r="M285" s="5" t="s">
        <v>8746</v>
      </c>
      <c r="N285" s="5" t="s">
        <v>64</v>
      </c>
      <c r="O285" s="5" t="s">
        <v>14344</v>
      </c>
      <c r="P285" s="5" t="s">
        <v>14412</v>
      </c>
      <c r="Q285" s="5" t="s">
        <v>15209</v>
      </c>
      <c r="R285" s="6">
        <v>9516.0</v>
      </c>
    </row>
    <row r="286" ht="56.25" customHeight="1">
      <c r="A286" s="5" t="s">
        <v>15206</v>
      </c>
      <c r="B286" s="6" t="str">
        <f>IMAGE("https://storage.googleapis.com/acdb/dresses/TopsTexOnepieceBalloonNFigure2.png")</f>
        <v/>
      </c>
      <c r="C286" s="5" t="s">
        <v>96</v>
      </c>
      <c r="D286" s="5" t="s">
        <v>36</v>
      </c>
      <c r="E286" s="6">
        <v>2880.0</v>
      </c>
      <c r="F286" s="6">
        <v>720.0</v>
      </c>
      <c r="G286" s="5" t="s">
        <v>96</v>
      </c>
      <c r="H286" s="5" t="s">
        <v>96</v>
      </c>
      <c r="I286" s="6" t="s">
        <v>40</v>
      </c>
      <c r="J286" s="5" t="s">
        <v>8585</v>
      </c>
      <c r="K286" s="5" t="s">
        <v>8586</v>
      </c>
      <c r="L286" s="6" t="s">
        <v>42</v>
      </c>
      <c r="M286" s="5" t="s">
        <v>8746</v>
      </c>
      <c r="N286" s="5" t="s">
        <v>64</v>
      </c>
      <c r="O286" s="5" t="s">
        <v>14344</v>
      </c>
      <c r="P286" s="5" t="s">
        <v>14412</v>
      </c>
      <c r="Q286" s="5" t="s">
        <v>15212</v>
      </c>
      <c r="R286" s="6">
        <v>9517.0</v>
      </c>
    </row>
    <row r="287" ht="56.25" customHeight="1">
      <c r="A287" s="5" t="s">
        <v>15206</v>
      </c>
      <c r="B287" s="6" t="str">
        <f>IMAGE("https://storage.googleapis.com/acdb/dresses/TopsTexOnepieceBalloonNFigure3.png")</f>
        <v/>
      </c>
      <c r="C287" s="5" t="s">
        <v>106</v>
      </c>
      <c r="D287" s="5" t="s">
        <v>36</v>
      </c>
      <c r="E287" s="6">
        <v>2880.0</v>
      </c>
      <c r="F287" s="6">
        <v>720.0</v>
      </c>
      <c r="G287" s="5" t="s">
        <v>106</v>
      </c>
      <c r="H287" s="5" t="s">
        <v>106</v>
      </c>
      <c r="I287" s="6" t="s">
        <v>40</v>
      </c>
      <c r="J287" s="5" t="s">
        <v>8585</v>
      </c>
      <c r="K287" s="5" t="s">
        <v>8586</v>
      </c>
      <c r="L287" s="6" t="s">
        <v>42</v>
      </c>
      <c r="M287" s="5" t="s">
        <v>8746</v>
      </c>
      <c r="N287" s="5" t="s">
        <v>64</v>
      </c>
      <c r="O287" s="5" t="s">
        <v>14344</v>
      </c>
      <c r="P287" s="5" t="s">
        <v>14412</v>
      </c>
      <c r="Q287" s="5" t="s">
        <v>15215</v>
      </c>
      <c r="R287" s="6">
        <v>9518.0</v>
      </c>
    </row>
    <row r="288" ht="56.25" customHeight="1">
      <c r="A288" s="5" t="s">
        <v>15206</v>
      </c>
      <c r="B288" s="6" t="str">
        <f>IMAGE("https://storage.googleapis.com/acdb/dresses/TopsTexOnepieceBalloonNFigure4.png")</f>
        <v/>
      </c>
      <c r="C288" s="5" t="s">
        <v>69</v>
      </c>
      <c r="D288" s="5" t="s">
        <v>36</v>
      </c>
      <c r="E288" s="6">
        <v>2880.0</v>
      </c>
      <c r="F288" s="6">
        <v>720.0</v>
      </c>
      <c r="G288" s="5" t="s">
        <v>69</v>
      </c>
      <c r="H288" s="5" t="s">
        <v>69</v>
      </c>
      <c r="I288" s="6" t="s">
        <v>40</v>
      </c>
      <c r="J288" s="5" t="s">
        <v>8585</v>
      </c>
      <c r="K288" s="5" t="s">
        <v>8586</v>
      </c>
      <c r="L288" s="6" t="s">
        <v>42</v>
      </c>
      <c r="M288" s="5" t="s">
        <v>8746</v>
      </c>
      <c r="N288" s="5" t="s">
        <v>64</v>
      </c>
      <c r="O288" s="5" t="s">
        <v>14344</v>
      </c>
      <c r="P288" s="5" t="s">
        <v>14412</v>
      </c>
      <c r="Q288" s="5" t="s">
        <v>15217</v>
      </c>
      <c r="R288" s="6">
        <v>9519.0</v>
      </c>
    </row>
    <row r="289" ht="56.25" customHeight="1">
      <c r="A289" s="5" t="s">
        <v>15206</v>
      </c>
      <c r="B289" s="6" t="str">
        <f>IMAGE("https://storage.googleapis.com/acdb/dresses/TopsTexOnepieceBalloonNFigure5.png")</f>
        <v/>
      </c>
      <c r="C289" s="5" t="s">
        <v>114</v>
      </c>
      <c r="D289" s="5" t="s">
        <v>36</v>
      </c>
      <c r="E289" s="6">
        <v>2880.0</v>
      </c>
      <c r="F289" s="6">
        <v>720.0</v>
      </c>
      <c r="G289" s="5" t="s">
        <v>114</v>
      </c>
      <c r="H289" s="5" t="s">
        <v>142</v>
      </c>
      <c r="I289" s="6" t="s">
        <v>40</v>
      </c>
      <c r="J289" s="5" t="s">
        <v>8585</v>
      </c>
      <c r="K289" s="5" t="s">
        <v>8586</v>
      </c>
      <c r="L289" s="6" t="s">
        <v>42</v>
      </c>
      <c r="M289" s="5" t="s">
        <v>8746</v>
      </c>
      <c r="N289" s="5" t="s">
        <v>64</v>
      </c>
      <c r="O289" s="5" t="s">
        <v>14344</v>
      </c>
      <c r="P289" s="5" t="s">
        <v>14412</v>
      </c>
      <c r="Q289" s="5" t="s">
        <v>15219</v>
      </c>
      <c r="R289" s="6">
        <v>9520.0</v>
      </c>
    </row>
    <row r="290" ht="56.25" customHeight="1">
      <c r="A290" s="5" t="s">
        <v>15206</v>
      </c>
      <c r="B290" s="6" t="str">
        <f>IMAGE("https://storage.googleapis.com/acdb/dresses/TopsTexOnepieceBalloonNFigure6.png")</f>
        <v/>
      </c>
      <c r="C290" s="5" t="s">
        <v>54</v>
      </c>
      <c r="D290" s="5" t="s">
        <v>36</v>
      </c>
      <c r="E290" s="6">
        <v>2880.0</v>
      </c>
      <c r="F290" s="6">
        <v>720.0</v>
      </c>
      <c r="G290" s="5" t="s">
        <v>95</v>
      </c>
      <c r="H290" s="5" t="s">
        <v>54</v>
      </c>
      <c r="I290" s="6" t="s">
        <v>40</v>
      </c>
      <c r="J290" s="5" t="s">
        <v>8585</v>
      </c>
      <c r="K290" s="5" t="s">
        <v>8586</v>
      </c>
      <c r="L290" s="6" t="s">
        <v>42</v>
      </c>
      <c r="M290" s="5" t="s">
        <v>8746</v>
      </c>
      <c r="N290" s="5" t="s">
        <v>64</v>
      </c>
      <c r="O290" s="5" t="s">
        <v>14344</v>
      </c>
      <c r="P290" s="5" t="s">
        <v>14412</v>
      </c>
      <c r="Q290" s="5" t="s">
        <v>15222</v>
      </c>
      <c r="R290" s="6">
        <v>9521.0</v>
      </c>
    </row>
    <row r="291" ht="56.25" customHeight="1">
      <c r="A291" s="5" t="s">
        <v>15206</v>
      </c>
      <c r="B291" s="6" t="str">
        <f>IMAGE("https://storage.googleapis.com/acdb/dresses/TopsTexOnepieceBalloonNFigure0.png")</f>
        <v/>
      </c>
      <c r="C291" s="5" t="s">
        <v>68</v>
      </c>
      <c r="D291" s="5" t="s">
        <v>36</v>
      </c>
      <c r="E291" s="6">
        <v>2880.0</v>
      </c>
      <c r="F291" s="6">
        <v>720.0</v>
      </c>
      <c r="G291" s="5" t="s">
        <v>83</v>
      </c>
      <c r="H291" s="5" t="s">
        <v>68</v>
      </c>
      <c r="I291" s="6" t="s">
        <v>40</v>
      </c>
      <c r="J291" s="5" t="s">
        <v>8585</v>
      </c>
      <c r="K291" s="5" t="s">
        <v>8586</v>
      </c>
      <c r="L291" s="6" t="s">
        <v>42</v>
      </c>
      <c r="M291" s="5" t="s">
        <v>8746</v>
      </c>
      <c r="N291" s="5" t="s">
        <v>64</v>
      </c>
      <c r="O291" s="5" t="s">
        <v>14344</v>
      </c>
      <c r="P291" s="5" t="s">
        <v>14412</v>
      </c>
      <c r="Q291" s="5" t="s">
        <v>15224</v>
      </c>
      <c r="R291" s="6">
        <v>5393.0</v>
      </c>
    </row>
    <row r="292" ht="56.25" customHeight="1">
      <c r="A292" s="5" t="s">
        <v>15226</v>
      </c>
      <c r="B292" s="6" t="str">
        <f>IMAGE("https://storage.googleapis.com/acdb/dresses/TopsTexOnepieceSalopetteLFirefighter1.png")</f>
        <v/>
      </c>
      <c r="C292" s="5" t="s">
        <v>15228</v>
      </c>
      <c r="D292" s="5" t="s">
        <v>36</v>
      </c>
      <c r="E292" s="6">
        <v>2240.0</v>
      </c>
      <c r="F292" s="6">
        <v>560.0</v>
      </c>
      <c r="G292" s="5" t="s">
        <v>142</v>
      </c>
      <c r="H292" s="5" t="s">
        <v>114</v>
      </c>
      <c r="I292" s="6" t="s">
        <v>40</v>
      </c>
      <c r="J292" s="5" t="s">
        <v>8585</v>
      </c>
      <c r="K292" s="5" t="s">
        <v>8586</v>
      </c>
      <c r="L292" s="6" t="s">
        <v>42</v>
      </c>
      <c r="M292" s="5" t="s">
        <v>8746</v>
      </c>
      <c r="N292" s="5" t="s">
        <v>64</v>
      </c>
      <c r="O292" s="5" t="s">
        <v>15229</v>
      </c>
      <c r="P292" s="5" t="s">
        <v>14333</v>
      </c>
      <c r="Q292" s="5" t="s">
        <v>15230</v>
      </c>
      <c r="R292" s="6">
        <v>9455.0</v>
      </c>
    </row>
    <row r="293" ht="56.25" customHeight="1">
      <c r="A293" s="5" t="s">
        <v>15226</v>
      </c>
      <c r="B293" s="6" t="str">
        <f>IMAGE("https://storage.googleapis.com/acdb/dresses/TopsTexOnepieceSalopetteLFirefighter2.png")</f>
        <v/>
      </c>
      <c r="C293" s="5" t="s">
        <v>39</v>
      </c>
      <c r="D293" s="5" t="s">
        <v>36</v>
      </c>
      <c r="E293" s="6">
        <v>2240.0</v>
      </c>
      <c r="F293" s="6">
        <v>560.0</v>
      </c>
      <c r="G293" s="5" t="s">
        <v>39</v>
      </c>
      <c r="H293" s="5" t="s">
        <v>142</v>
      </c>
      <c r="I293" s="6" t="s">
        <v>40</v>
      </c>
      <c r="J293" s="5" t="s">
        <v>8585</v>
      </c>
      <c r="K293" s="5" t="s">
        <v>8586</v>
      </c>
      <c r="L293" s="6" t="s">
        <v>42</v>
      </c>
      <c r="M293" s="5" t="s">
        <v>8746</v>
      </c>
      <c r="N293" s="5" t="s">
        <v>64</v>
      </c>
      <c r="O293" s="5" t="s">
        <v>15229</v>
      </c>
      <c r="P293" s="5" t="s">
        <v>14333</v>
      </c>
      <c r="Q293" s="5" t="s">
        <v>15233</v>
      </c>
      <c r="R293" s="6">
        <v>9456.0</v>
      </c>
    </row>
    <row r="294" ht="56.25" customHeight="1">
      <c r="A294" s="5" t="s">
        <v>15226</v>
      </c>
      <c r="B294" s="6" t="str">
        <f>IMAGE("https://storage.googleapis.com/acdb/dresses/TopsTexOnepieceSalopetteLFirefighter3.png")</f>
        <v/>
      </c>
      <c r="C294" s="5" t="s">
        <v>15236</v>
      </c>
      <c r="D294" s="5" t="s">
        <v>36</v>
      </c>
      <c r="E294" s="6">
        <v>2240.0</v>
      </c>
      <c r="F294" s="6">
        <v>560.0</v>
      </c>
      <c r="G294" s="5" t="s">
        <v>114</v>
      </c>
      <c r="H294" s="5" t="s">
        <v>142</v>
      </c>
      <c r="I294" s="6" t="s">
        <v>40</v>
      </c>
      <c r="J294" s="5" t="s">
        <v>8585</v>
      </c>
      <c r="K294" s="5" t="s">
        <v>8586</v>
      </c>
      <c r="L294" s="6" t="s">
        <v>42</v>
      </c>
      <c r="M294" s="5" t="s">
        <v>8746</v>
      </c>
      <c r="N294" s="5" t="s">
        <v>64</v>
      </c>
      <c r="O294" s="5" t="s">
        <v>15229</v>
      </c>
      <c r="P294" s="5" t="s">
        <v>14333</v>
      </c>
      <c r="Q294" s="5" t="s">
        <v>15237</v>
      </c>
      <c r="R294" s="6">
        <v>9457.0</v>
      </c>
    </row>
    <row r="295" ht="56.25" customHeight="1">
      <c r="A295" s="5" t="s">
        <v>15226</v>
      </c>
      <c r="B295" s="6" t="str">
        <f>IMAGE("https://storage.googleapis.com/acdb/dresses/TopsTexOnepieceSalopetteLFirefighter4.png")</f>
        <v/>
      </c>
      <c r="C295" s="5" t="s">
        <v>2222</v>
      </c>
      <c r="D295" s="5" t="s">
        <v>36</v>
      </c>
      <c r="E295" s="6">
        <v>2240.0</v>
      </c>
      <c r="F295" s="6">
        <v>560.0</v>
      </c>
      <c r="G295" s="5" t="s">
        <v>96</v>
      </c>
      <c r="H295" s="5" t="s">
        <v>114</v>
      </c>
      <c r="I295" s="6" t="s">
        <v>40</v>
      </c>
      <c r="J295" s="5" t="s">
        <v>8585</v>
      </c>
      <c r="K295" s="5" t="s">
        <v>8586</v>
      </c>
      <c r="L295" s="6" t="s">
        <v>42</v>
      </c>
      <c r="M295" s="5" t="s">
        <v>8746</v>
      </c>
      <c r="N295" s="5" t="s">
        <v>64</v>
      </c>
      <c r="O295" s="5" t="s">
        <v>15229</v>
      </c>
      <c r="P295" s="5" t="s">
        <v>14333</v>
      </c>
      <c r="Q295" s="5" t="s">
        <v>15240</v>
      </c>
      <c r="R295" s="6">
        <v>9458.0</v>
      </c>
    </row>
    <row r="296" ht="56.25" customHeight="1">
      <c r="A296" s="5" t="s">
        <v>15226</v>
      </c>
      <c r="B296" s="6" t="str">
        <f>IMAGE("https://storage.googleapis.com/acdb/dresses/TopsTexOnepieceSalopetteLFirefighter0.png")</f>
        <v/>
      </c>
      <c r="C296" s="5" t="s">
        <v>54</v>
      </c>
      <c r="D296" s="5" t="s">
        <v>36</v>
      </c>
      <c r="E296" s="6">
        <v>2240.0</v>
      </c>
      <c r="F296" s="6">
        <v>560.0</v>
      </c>
      <c r="G296" s="5" t="s">
        <v>54</v>
      </c>
      <c r="H296" s="5" t="s">
        <v>114</v>
      </c>
      <c r="I296" s="6" t="s">
        <v>40</v>
      </c>
      <c r="J296" s="5" t="s">
        <v>8585</v>
      </c>
      <c r="K296" s="5" t="s">
        <v>8586</v>
      </c>
      <c r="L296" s="6" t="s">
        <v>42</v>
      </c>
      <c r="M296" s="5" t="s">
        <v>8746</v>
      </c>
      <c r="N296" s="5" t="s">
        <v>64</v>
      </c>
      <c r="O296" s="5" t="s">
        <v>15229</v>
      </c>
      <c r="P296" s="5" t="s">
        <v>14333</v>
      </c>
      <c r="Q296" s="5" t="s">
        <v>15243</v>
      </c>
      <c r="R296" s="6">
        <v>3420.0</v>
      </c>
    </row>
    <row r="297" ht="56.25" customHeight="1">
      <c r="A297" s="5" t="s">
        <v>15244</v>
      </c>
      <c r="B297" s="6" t="str">
        <f>IMAGE("https://storage.googleapis.com/acdb/dresses/TopsTexOnepieceOverallLWaders3.png")</f>
        <v/>
      </c>
      <c r="C297" s="5" t="s">
        <v>95</v>
      </c>
      <c r="D297" s="5" t="s">
        <v>36</v>
      </c>
      <c r="E297" s="6">
        <v>2000.0</v>
      </c>
      <c r="F297" s="6">
        <v>500.0</v>
      </c>
      <c r="G297" s="5" t="s">
        <v>95</v>
      </c>
      <c r="H297" s="5" t="s">
        <v>57</v>
      </c>
      <c r="I297" s="6" t="s">
        <v>40</v>
      </c>
      <c r="J297" s="5" t="s">
        <v>8585</v>
      </c>
      <c r="K297" s="5" t="s">
        <v>8632</v>
      </c>
      <c r="L297" s="6" t="s">
        <v>42</v>
      </c>
      <c r="M297" s="5" t="s">
        <v>995</v>
      </c>
      <c r="N297" s="5" t="s">
        <v>64</v>
      </c>
      <c r="O297" s="5" t="s">
        <v>14358</v>
      </c>
      <c r="P297" s="5" t="s">
        <v>14333</v>
      </c>
      <c r="Q297" s="5" t="s">
        <v>15246</v>
      </c>
      <c r="R297" s="6">
        <v>8630.0</v>
      </c>
    </row>
    <row r="298" ht="56.25" customHeight="1">
      <c r="A298" s="5" t="s">
        <v>15244</v>
      </c>
      <c r="B298" s="6" t="str">
        <f>IMAGE("https://storage.googleapis.com/acdb/dresses/TopsTexOnepieceOverallLWaders1.png")</f>
        <v/>
      </c>
      <c r="C298" s="5" t="s">
        <v>142</v>
      </c>
      <c r="D298" s="5" t="s">
        <v>36</v>
      </c>
      <c r="E298" s="6">
        <v>2000.0</v>
      </c>
      <c r="F298" s="6">
        <v>500.0</v>
      </c>
      <c r="G298" s="5" t="s">
        <v>142</v>
      </c>
      <c r="H298" s="5" t="s">
        <v>57</v>
      </c>
      <c r="I298" s="6" t="s">
        <v>40</v>
      </c>
      <c r="J298" s="5" t="s">
        <v>8585</v>
      </c>
      <c r="K298" s="5" t="s">
        <v>8632</v>
      </c>
      <c r="L298" s="6" t="s">
        <v>42</v>
      </c>
      <c r="M298" s="5" t="s">
        <v>995</v>
      </c>
      <c r="N298" s="5" t="s">
        <v>64</v>
      </c>
      <c r="O298" s="5" t="s">
        <v>14358</v>
      </c>
      <c r="P298" s="5" t="s">
        <v>14333</v>
      </c>
      <c r="Q298" s="5" t="s">
        <v>15248</v>
      </c>
      <c r="R298" s="6">
        <v>8628.0</v>
      </c>
    </row>
    <row r="299" ht="56.25" customHeight="1">
      <c r="A299" s="5" t="s">
        <v>15244</v>
      </c>
      <c r="B299" s="6" t="str">
        <f>IMAGE("https://storage.googleapis.com/acdb/dresses/TopsTexOnepieceOverallLWaders2.png")</f>
        <v/>
      </c>
      <c r="C299" s="5" t="s">
        <v>1187</v>
      </c>
      <c r="D299" s="5" t="s">
        <v>36</v>
      </c>
      <c r="E299" s="6">
        <v>2000.0</v>
      </c>
      <c r="F299" s="6">
        <v>500.0</v>
      </c>
      <c r="G299" s="5" t="s">
        <v>68</v>
      </c>
      <c r="H299" s="5" t="s">
        <v>57</v>
      </c>
      <c r="I299" s="6" t="s">
        <v>40</v>
      </c>
      <c r="J299" s="5" t="s">
        <v>8585</v>
      </c>
      <c r="K299" s="5" t="s">
        <v>8632</v>
      </c>
      <c r="L299" s="6" t="s">
        <v>42</v>
      </c>
      <c r="M299" s="5" t="s">
        <v>995</v>
      </c>
      <c r="N299" s="5" t="s">
        <v>64</v>
      </c>
      <c r="O299" s="5" t="s">
        <v>14358</v>
      </c>
      <c r="P299" s="5" t="s">
        <v>14333</v>
      </c>
      <c r="Q299" s="5" t="s">
        <v>15250</v>
      </c>
      <c r="R299" s="6">
        <v>8629.0</v>
      </c>
    </row>
    <row r="300" ht="56.25" customHeight="1">
      <c r="A300" s="5" t="s">
        <v>15244</v>
      </c>
      <c r="B300" s="6" t="str">
        <f>IMAGE("https://storage.googleapis.com/acdb/dresses/TopsTexOnepieceOverallLWaders0.png")</f>
        <v/>
      </c>
      <c r="C300" s="5" t="s">
        <v>2222</v>
      </c>
      <c r="D300" s="5" t="s">
        <v>36</v>
      </c>
      <c r="E300" s="6">
        <v>2000.0</v>
      </c>
      <c r="F300" s="6">
        <v>500.0</v>
      </c>
      <c r="G300" s="5" t="s">
        <v>96</v>
      </c>
      <c r="H300" s="5" t="s">
        <v>57</v>
      </c>
      <c r="I300" s="6" t="s">
        <v>40</v>
      </c>
      <c r="J300" s="5" t="s">
        <v>8585</v>
      </c>
      <c r="K300" s="5" t="s">
        <v>8632</v>
      </c>
      <c r="L300" s="6" t="s">
        <v>42</v>
      </c>
      <c r="M300" s="5" t="s">
        <v>995</v>
      </c>
      <c r="N300" s="5" t="s">
        <v>64</v>
      </c>
      <c r="O300" s="5" t="s">
        <v>14358</v>
      </c>
      <c r="P300" s="5" t="s">
        <v>14333</v>
      </c>
      <c r="Q300" s="5" t="s">
        <v>15252</v>
      </c>
      <c r="R300" s="6">
        <v>4328.0</v>
      </c>
    </row>
    <row r="301" ht="56.25" customHeight="1">
      <c r="A301" s="5" t="s">
        <v>15253</v>
      </c>
      <c r="B301" s="6" t="str">
        <f>IMAGE("https://storage.googleapis.com/acdb/dresses/TopsTexOnepieceBoxNFlapper1.png")</f>
        <v/>
      </c>
      <c r="C301" s="5" t="s">
        <v>151</v>
      </c>
      <c r="D301" s="5" t="s">
        <v>36</v>
      </c>
      <c r="E301" s="6">
        <v>2600.0</v>
      </c>
      <c r="F301" s="6">
        <v>650.0</v>
      </c>
      <c r="G301" s="5" t="s">
        <v>114</v>
      </c>
      <c r="H301" s="5" t="s">
        <v>114</v>
      </c>
      <c r="I301" s="6" t="s">
        <v>40</v>
      </c>
      <c r="J301" s="5" t="s">
        <v>8585</v>
      </c>
      <c r="K301" s="5" t="s">
        <v>8586</v>
      </c>
      <c r="L301" s="6" t="s">
        <v>42</v>
      </c>
      <c r="M301" s="5" t="s">
        <v>612</v>
      </c>
      <c r="N301" s="5" t="s">
        <v>64</v>
      </c>
      <c r="O301" s="5" t="s">
        <v>14332</v>
      </c>
      <c r="P301" s="5" t="s">
        <v>14412</v>
      </c>
      <c r="Q301" s="5" t="s">
        <v>15256</v>
      </c>
      <c r="R301" s="6">
        <v>7886.0</v>
      </c>
    </row>
    <row r="302" ht="56.25" customHeight="1">
      <c r="A302" s="5" t="s">
        <v>15253</v>
      </c>
      <c r="B302" s="6" t="str">
        <f>IMAGE("https://storage.googleapis.com/acdb/dresses/TopsTexOnepieceBoxNFlapper0.png")</f>
        <v/>
      </c>
      <c r="C302" s="5" t="s">
        <v>146</v>
      </c>
      <c r="D302" s="5" t="s">
        <v>36</v>
      </c>
      <c r="E302" s="6">
        <v>2600.0</v>
      </c>
      <c r="F302" s="6">
        <v>650.0</v>
      </c>
      <c r="G302" s="5" t="s">
        <v>95</v>
      </c>
      <c r="H302" s="5" t="s">
        <v>95</v>
      </c>
      <c r="I302" s="6" t="s">
        <v>40</v>
      </c>
      <c r="J302" s="5" t="s">
        <v>8585</v>
      </c>
      <c r="K302" s="5" t="s">
        <v>8586</v>
      </c>
      <c r="L302" s="6" t="s">
        <v>42</v>
      </c>
      <c r="M302" s="5" t="s">
        <v>612</v>
      </c>
      <c r="N302" s="5" t="s">
        <v>64</v>
      </c>
      <c r="O302" s="5" t="s">
        <v>14332</v>
      </c>
      <c r="P302" s="5" t="s">
        <v>14412</v>
      </c>
      <c r="Q302" s="5" t="s">
        <v>15258</v>
      </c>
      <c r="R302" s="6">
        <v>5817.0</v>
      </c>
    </row>
    <row r="303" ht="56.25" customHeight="1">
      <c r="A303" s="5" t="s">
        <v>15253</v>
      </c>
      <c r="B303" s="6" t="str">
        <f>IMAGE("https://storage.googleapis.com/acdb/dresses/TopsTexOnepieceBoxNFlapper2.png")</f>
        <v/>
      </c>
      <c r="C303" s="5" t="s">
        <v>54</v>
      </c>
      <c r="D303" s="5" t="s">
        <v>36</v>
      </c>
      <c r="E303" s="6">
        <v>2600.0</v>
      </c>
      <c r="F303" s="6">
        <v>650.0</v>
      </c>
      <c r="G303" s="5" t="s">
        <v>54</v>
      </c>
      <c r="H303" s="5" t="s">
        <v>54</v>
      </c>
      <c r="I303" s="6" t="s">
        <v>40</v>
      </c>
      <c r="J303" s="5" t="s">
        <v>8585</v>
      </c>
      <c r="K303" s="5" t="s">
        <v>8586</v>
      </c>
      <c r="L303" s="6" t="s">
        <v>42</v>
      </c>
      <c r="M303" s="5" t="s">
        <v>612</v>
      </c>
      <c r="N303" s="5" t="s">
        <v>64</v>
      </c>
      <c r="O303" s="5" t="s">
        <v>14332</v>
      </c>
      <c r="P303" s="5" t="s">
        <v>14412</v>
      </c>
      <c r="Q303" s="5" t="s">
        <v>15262</v>
      </c>
      <c r="R303" s="6">
        <v>7887.0</v>
      </c>
    </row>
    <row r="304" ht="56.25" customHeight="1">
      <c r="A304" s="5" t="s">
        <v>15253</v>
      </c>
      <c r="B304" s="6" t="str">
        <f>IMAGE("https://storage.googleapis.com/acdb/dresses/TopsTexOnepieceBoxNFlapper3.png")</f>
        <v/>
      </c>
      <c r="C304" s="5" t="s">
        <v>69</v>
      </c>
      <c r="D304" s="5" t="s">
        <v>36</v>
      </c>
      <c r="E304" s="6">
        <v>2600.0</v>
      </c>
      <c r="F304" s="6">
        <v>650.0</v>
      </c>
      <c r="G304" s="5" t="s">
        <v>69</v>
      </c>
      <c r="H304" s="5" t="s">
        <v>69</v>
      </c>
      <c r="I304" s="6" t="s">
        <v>40</v>
      </c>
      <c r="J304" s="5" t="s">
        <v>8585</v>
      </c>
      <c r="K304" s="5" t="s">
        <v>8586</v>
      </c>
      <c r="L304" s="6" t="s">
        <v>42</v>
      </c>
      <c r="M304" s="5" t="s">
        <v>612</v>
      </c>
      <c r="N304" s="5" t="s">
        <v>64</v>
      </c>
      <c r="O304" s="5" t="s">
        <v>14332</v>
      </c>
      <c r="P304" s="5" t="s">
        <v>14412</v>
      </c>
      <c r="Q304" s="5" t="s">
        <v>15265</v>
      </c>
      <c r="R304" s="6">
        <v>7888.0</v>
      </c>
    </row>
    <row r="305" ht="56.25" customHeight="1">
      <c r="A305" s="5" t="s">
        <v>15253</v>
      </c>
      <c r="B305" s="6" t="str">
        <f>IMAGE("https://storage.googleapis.com/acdb/dresses/TopsTexOnepieceBoxNFlapper4.png")</f>
        <v/>
      </c>
      <c r="C305" s="5" t="s">
        <v>96</v>
      </c>
      <c r="D305" s="5" t="s">
        <v>36</v>
      </c>
      <c r="E305" s="6">
        <v>2600.0</v>
      </c>
      <c r="F305" s="6">
        <v>650.0</v>
      </c>
      <c r="G305" s="5" t="s">
        <v>96</v>
      </c>
      <c r="H305" s="5" t="s">
        <v>96</v>
      </c>
      <c r="I305" s="6" t="s">
        <v>40</v>
      </c>
      <c r="J305" s="5" t="s">
        <v>8585</v>
      </c>
      <c r="K305" s="5" t="s">
        <v>8586</v>
      </c>
      <c r="L305" s="6" t="s">
        <v>42</v>
      </c>
      <c r="M305" s="5" t="s">
        <v>612</v>
      </c>
      <c r="N305" s="5" t="s">
        <v>64</v>
      </c>
      <c r="O305" s="5" t="s">
        <v>14332</v>
      </c>
      <c r="P305" s="5" t="s">
        <v>14412</v>
      </c>
      <c r="Q305" s="5" t="s">
        <v>15268</v>
      </c>
      <c r="R305" s="6">
        <v>7889.0</v>
      </c>
    </row>
    <row r="306" ht="56.25" customHeight="1">
      <c r="A306" s="5" t="s">
        <v>15270</v>
      </c>
      <c r="B306" s="6" t="str">
        <f>IMAGE("https://storage.googleapis.com/acdb/dresses/TopsTexOnepieceKimonoLGaudy0.png")</f>
        <v/>
      </c>
      <c r="C306" s="5" t="s">
        <v>96</v>
      </c>
      <c r="D306" s="5" t="s">
        <v>36</v>
      </c>
      <c r="E306" s="6">
        <v>4800.0</v>
      </c>
      <c r="F306" s="6">
        <v>1200.0</v>
      </c>
      <c r="G306" s="5" t="s">
        <v>96</v>
      </c>
      <c r="H306" s="5" t="s">
        <v>54</v>
      </c>
      <c r="I306" s="6" t="s">
        <v>40</v>
      </c>
      <c r="J306" s="5" t="s">
        <v>8585</v>
      </c>
      <c r="K306" s="5" t="s">
        <v>8586</v>
      </c>
      <c r="L306" s="6" t="s">
        <v>42</v>
      </c>
      <c r="M306" s="5" t="s">
        <v>612</v>
      </c>
      <c r="N306" s="5" t="s">
        <v>64</v>
      </c>
      <c r="O306" s="5" t="s">
        <v>6513</v>
      </c>
      <c r="P306" s="5" t="s">
        <v>14333</v>
      </c>
      <c r="Q306" s="5" t="s">
        <v>15273</v>
      </c>
      <c r="R306" s="6">
        <v>5797.0</v>
      </c>
    </row>
    <row r="307" ht="56.25" customHeight="1">
      <c r="A307" s="5" t="s">
        <v>15270</v>
      </c>
      <c r="B307" s="6" t="str">
        <f>IMAGE("https://storage.googleapis.com/acdb/dresses/TopsTexOnepieceKimonoLGaudy1.png")</f>
        <v/>
      </c>
      <c r="C307" s="5" t="s">
        <v>52</v>
      </c>
      <c r="D307" s="5" t="s">
        <v>36</v>
      </c>
      <c r="E307" s="6">
        <v>4800.0</v>
      </c>
      <c r="F307" s="6">
        <v>1200.0</v>
      </c>
      <c r="G307" s="5" t="s">
        <v>52</v>
      </c>
      <c r="H307" s="5" t="s">
        <v>54</v>
      </c>
      <c r="I307" s="6" t="s">
        <v>40</v>
      </c>
      <c r="J307" s="5" t="s">
        <v>8585</v>
      </c>
      <c r="K307" s="5" t="s">
        <v>8586</v>
      </c>
      <c r="L307" s="6" t="s">
        <v>42</v>
      </c>
      <c r="M307" s="5" t="s">
        <v>612</v>
      </c>
      <c r="N307" s="5" t="s">
        <v>64</v>
      </c>
      <c r="O307" s="5" t="s">
        <v>6513</v>
      </c>
      <c r="P307" s="5" t="s">
        <v>14333</v>
      </c>
      <c r="Q307" s="5" t="s">
        <v>15276</v>
      </c>
      <c r="R307" s="6">
        <v>8991.0</v>
      </c>
    </row>
    <row r="308" ht="56.25" customHeight="1">
      <c r="A308" s="5" t="s">
        <v>15270</v>
      </c>
      <c r="B308" s="6" t="str">
        <f>IMAGE("https://storage.googleapis.com/acdb/dresses/TopsTexOnepieceKimonoLGaudy2.png")</f>
        <v/>
      </c>
      <c r="C308" s="5" t="s">
        <v>151</v>
      </c>
      <c r="D308" s="5" t="s">
        <v>36</v>
      </c>
      <c r="E308" s="6">
        <v>4800.0</v>
      </c>
      <c r="F308" s="6">
        <v>1200.0</v>
      </c>
      <c r="G308" s="5" t="s">
        <v>114</v>
      </c>
      <c r="H308" s="5" t="s">
        <v>54</v>
      </c>
      <c r="I308" s="6" t="s">
        <v>40</v>
      </c>
      <c r="J308" s="5" t="s">
        <v>8585</v>
      </c>
      <c r="K308" s="5" t="s">
        <v>8586</v>
      </c>
      <c r="L308" s="6" t="s">
        <v>42</v>
      </c>
      <c r="M308" s="5" t="s">
        <v>612</v>
      </c>
      <c r="N308" s="5" t="s">
        <v>64</v>
      </c>
      <c r="O308" s="5" t="s">
        <v>6513</v>
      </c>
      <c r="P308" s="5" t="s">
        <v>14333</v>
      </c>
      <c r="Q308" s="5" t="s">
        <v>15277</v>
      </c>
      <c r="R308" s="6">
        <v>8992.0</v>
      </c>
    </row>
    <row r="309" ht="56.25" customHeight="1">
      <c r="A309" s="5" t="s">
        <v>15270</v>
      </c>
      <c r="B309" s="6" t="str">
        <f>IMAGE("https://storage.googleapis.com/acdb/dresses/TopsTexOnepieceKimonoLGaudy3.png")</f>
        <v/>
      </c>
      <c r="C309" s="5" t="s">
        <v>68</v>
      </c>
      <c r="D309" s="5" t="s">
        <v>36</v>
      </c>
      <c r="E309" s="6">
        <v>4800.0</v>
      </c>
      <c r="F309" s="6">
        <v>1200.0</v>
      </c>
      <c r="G309" s="5" t="s">
        <v>68</v>
      </c>
      <c r="H309" s="5" t="s">
        <v>54</v>
      </c>
      <c r="I309" s="6" t="s">
        <v>40</v>
      </c>
      <c r="J309" s="5" t="s">
        <v>8585</v>
      </c>
      <c r="K309" s="5" t="s">
        <v>8586</v>
      </c>
      <c r="L309" s="6" t="s">
        <v>42</v>
      </c>
      <c r="M309" s="5" t="s">
        <v>612</v>
      </c>
      <c r="N309" s="5" t="s">
        <v>64</v>
      </c>
      <c r="O309" s="5" t="s">
        <v>6513</v>
      </c>
      <c r="P309" s="5" t="s">
        <v>14333</v>
      </c>
      <c r="Q309" s="5" t="s">
        <v>15280</v>
      </c>
      <c r="R309" s="6">
        <v>8993.0</v>
      </c>
    </row>
    <row r="310" ht="56.25" customHeight="1">
      <c r="A310" s="5" t="s">
        <v>15270</v>
      </c>
      <c r="B310" s="6" t="str">
        <f>IMAGE("https://storage.googleapis.com/acdb/dresses/TopsTexOnepieceKimonoLGaudy4.png")</f>
        <v/>
      </c>
      <c r="C310" s="5" t="s">
        <v>57</v>
      </c>
      <c r="D310" s="5" t="s">
        <v>36</v>
      </c>
      <c r="E310" s="6">
        <v>4800.0</v>
      </c>
      <c r="F310" s="6">
        <v>1200.0</v>
      </c>
      <c r="G310" s="5" t="s">
        <v>57</v>
      </c>
      <c r="H310" s="5" t="s">
        <v>54</v>
      </c>
      <c r="I310" s="6" t="s">
        <v>40</v>
      </c>
      <c r="J310" s="5" t="s">
        <v>8585</v>
      </c>
      <c r="K310" s="5" t="s">
        <v>8586</v>
      </c>
      <c r="L310" s="6" t="s">
        <v>42</v>
      </c>
      <c r="M310" s="5" t="s">
        <v>612</v>
      </c>
      <c r="N310" s="5" t="s">
        <v>64</v>
      </c>
      <c r="O310" s="5" t="s">
        <v>6513</v>
      </c>
      <c r="P310" s="5" t="s">
        <v>14333</v>
      </c>
      <c r="Q310" s="5" t="s">
        <v>15282</v>
      </c>
      <c r="R310" s="6">
        <v>8994.0</v>
      </c>
    </row>
    <row r="311" ht="56.25" customHeight="1">
      <c r="A311" s="5" t="s">
        <v>15270</v>
      </c>
      <c r="B311" s="6" t="str">
        <f>IMAGE("https://storage.googleapis.com/acdb/dresses/TopsTexOnepieceKimonoLGaudy5.png")</f>
        <v/>
      </c>
      <c r="C311" s="5" t="s">
        <v>14710</v>
      </c>
      <c r="D311" s="5" t="s">
        <v>36</v>
      </c>
      <c r="E311" s="6">
        <v>4800.0</v>
      </c>
      <c r="F311" s="6">
        <v>1200.0</v>
      </c>
      <c r="G311" s="5" t="s">
        <v>106</v>
      </c>
      <c r="H311" s="5" t="s">
        <v>54</v>
      </c>
      <c r="I311" s="6" t="s">
        <v>40</v>
      </c>
      <c r="J311" s="5" t="s">
        <v>8585</v>
      </c>
      <c r="K311" s="5" t="s">
        <v>8586</v>
      </c>
      <c r="L311" s="6" t="s">
        <v>42</v>
      </c>
      <c r="M311" s="5" t="s">
        <v>612</v>
      </c>
      <c r="N311" s="5" t="s">
        <v>64</v>
      </c>
      <c r="O311" s="5" t="s">
        <v>6513</v>
      </c>
      <c r="P311" s="5" t="s">
        <v>14333</v>
      </c>
      <c r="Q311" s="5" t="s">
        <v>15286</v>
      </c>
      <c r="R311" s="6">
        <v>8995.0</v>
      </c>
    </row>
    <row r="312" ht="56.25" customHeight="1">
      <c r="A312" s="5" t="s">
        <v>15287</v>
      </c>
      <c r="B312" s="6" t="str">
        <f>IMAGE("https://storage.googleapis.com/acdb/dresses/TopsTexOnepieceOverallLFleecepajama1.png")</f>
        <v/>
      </c>
      <c r="C312" s="5" t="s">
        <v>38</v>
      </c>
      <c r="D312" s="5" t="s">
        <v>36</v>
      </c>
      <c r="E312" s="6">
        <v>1800.0</v>
      </c>
      <c r="F312" s="6">
        <v>450.0</v>
      </c>
      <c r="G312" s="5" t="s">
        <v>38</v>
      </c>
      <c r="H312" s="5" t="s">
        <v>69</v>
      </c>
      <c r="I312" s="6" t="s">
        <v>40</v>
      </c>
      <c r="J312" s="5" t="s">
        <v>8585</v>
      </c>
      <c r="K312" s="5" t="s">
        <v>8632</v>
      </c>
      <c r="L312" s="6" t="s">
        <v>42</v>
      </c>
      <c r="M312" s="5" t="s">
        <v>1959</v>
      </c>
      <c r="N312" s="5" t="s">
        <v>64</v>
      </c>
      <c r="O312" s="5" t="s">
        <v>14358</v>
      </c>
      <c r="P312" s="5" t="s">
        <v>14333</v>
      </c>
      <c r="Q312" s="5" t="s">
        <v>15289</v>
      </c>
      <c r="R312" s="6">
        <v>7827.0</v>
      </c>
    </row>
    <row r="313" ht="56.25" customHeight="1">
      <c r="A313" s="5" t="s">
        <v>15287</v>
      </c>
      <c r="B313" s="6" t="str">
        <f>IMAGE("https://storage.googleapis.com/acdb/dresses/TopsTexOnepieceOverallLFleecepajama0.png")</f>
        <v/>
      </c>
      <c r="C313" s="5" t="s">
        <v>69</v>
      </c>
      <c r="D313" s="5" t="s">
        <v>36</v>
      </c>
      <c r="E313" s="6">
        <v>1800.0</v>
      </c>
      <c r="F313" s="6">
        <v>450.0</v>
      </c>
      <c r="G313" s="5" t="s">
        <v>69</v>
      </c>
      <c r="H313" s="5" t="s">
        <v>69</v>
      </c>
      <c r="I313" s="6" t="s">
        <v>40</v>
      </c>
      <c r="J313" s="5" t="s">
        <v>8585</v>
      </c>
      <c r="K313" s="5" t="s">
        <v>8632</v>
      </c>
      <c r="L313" s="6" t="s">
        <v>42</v>
      </c>
      <c r="M313" s="5" t="s">
        <v>1959</v>
      </c>
      <c r="N313" s="5" t="s">
        <v>64</v>
      </c>
      <c r="O313" s="5" t="s">
        <v>14358</v>
      </c>
      <c r="P313" s="5" t="s">
        <v>14333</v>
      </c>
      <c r="Q313" s="5" t="s">
        <v>15292</v>
      </c>
      <c r="R313" s="6">
        <v>4359.0</v>
      </c>
    </row>
    <row r="314" ht="56.25" customHeight="1">
      <c r="A314" s="5" t="s">
        <v>15293</v>
      </c>
      <c r="B314" s="6" t="str">
        <f>IMAGE("https://storage.googleapis.com/acdb/dresses/TopsTexOnepieceBoxLAttendant0.png")</f>
        <v/>
      </c>
      <c r="C314" s="5" t="s">
        <v>1187</v>
      </c>
      <c r="D314" s="5" t="s">
        <v>36</v>
      </c>
      <c r="E314" s="6">
        <v>2800.0</v>
      </c>
      <c r="F314" s="6">
        <v>700.0</v>
      </c>
      <c r="G314" s="5" t="s">
        <v>68</v>
      </c>
      <c r="H314" s="5" t="s">
        <v>52</v>
      </c>
      <c r="I314" s="6" t="s">
        <v>40</v>
      </c>
      <c r="J314" s="5" t="s">
        <v>8585</v>
      </c>
      <c r="K314" s="5" t="s">
        <v>8586</v>
      </c>
      <c r="L314" s="6" t="s">
        <v>42</v>
      </c>
      <c r="M314" s="5" t="s">
        <v>1059</v>
      </c>
      <c r="N314" s="5" t="s">
        <v>64</v>
      </c>
      <c r="O314" s="5" t="s">
        <v>14332</v>
      </c>
      <c r="P314" s="5" t="s">
        <v>14333</v>
      </c>
      <c r="Q314" s="5" t="s">
        <v>15295</v>
      </c>
      <c r="R314" s="6">
        <v>3475.0</v>
      </c>
    </row>
    <row r="315" ht="56.25" customHeight="1">
      <c r="A315" s="5" t="s">
        <v>15293</v>
      </c>
      <c r="B315" s="6" t="str">
        <f>IMAGE("https://storage.googleapis.com/acdb/dresses/TopsTexOnepieceBoxLAttendant1.png")</f>
        <v/>
      </c>
      <c r="C315" s="5" t="s">
        <v>54</v>
      </c>
      <c r="D315" s="5" t="s">
        <v>36</v>
      </c>
      <c r="E315" s="6">
        <v>2800.0</v>
      </c>
      <c r="F315" s="6">
        <v>700.0</v>
      </c>
      <c r="G315" s="5" t="s">
        <v>54</v>
      </c>
      <c r="H315" s="5" t="s">
        <v>68</v>
      </c>
      <c r="I315" s="6" t="s">
        <v>40</v>
      </c>
      <c r="J315" s="5" t="s">
        <v>8585</v>
      </c>
      <c r="K315" s="5" t="s">
        <v>8586</v>
      </c>
      <c r="L315" s="6" t="s">
        <v>42</v>
      </c>
      <c r="M315" s="5" t="s">
        <v>1059</v>
      </c>
      <c r="N315" s="5" t="s">
        <v>64</v>
      </c>
      <c r="O315" s="5" t="s">
        <v>14332</v>
      </c>
      <c r="P315" s="5" t="s">
        <v>14333</v>
      </c>
      <c r="Q315" s="5" t="s">
        <v>15298</v>
      </c>
      <c r="R315" s="6">
        <v>8112.0</v>
      </c>
    </row>
    <row r="316" ht="56.25" customHeight="1">
      <c r="A316" s="5" t="s">
        <v>15293</v>
      </c>
      <c r="B316" s="6" t="str">
        <f>IMAGE("https://storage.googleapis.com/acdb/dresses/TopsTexOnepieceBoxLAttendant2.png")</f>
        <v/>
      </c>
      <c r="C316" s="5" t="s">
        <v>83</v>
      </c>
      <c r="D316" s="5" t="s">
        <v>36</v>
      </c>
      <c r="E316" s="6">
        <v>2800.0</v>
      </c>
      <c r="F316" s="6">
        <v>700.0</v>
      </c>
      <c r="G316" s="5" t="s">
        <v>83</v>
      </c>
      <c r="H316" s="5" t="s">
        <v>114</v>
      </c>
      <c r="I316" s="6" t="s">
        <v>40</v>
      </c>
      <c r="J316" s="5" t="s">
        <v>8585</v>
      </c>
      <c r="K316" s="5" t="s">
        <v>8586</v>
      </c>
      <c r="L316" s="6" t="s">
        <v>42</v>
      </c>
      <c r="M316" s="5" t="s">
        <v>1059</v>
      </c>
      <c r="N316" s="5" t="s">
        <v>64</v>
      </c>
      <c r="O316" s="5" t="s">
        <v>14332</v>
      </c>
      <c r="P316" s="5" t="s">
        <v>14333</v>
      </c>
      <c r="Q316" s="5" t="s">
        <v>15300</v>
      </c>
      <c r="R316" s="6">
        <v>8113.0</v>
      </c>
    </row>
    <row r="317" ht="56.25" customHeight="1">
      <c r="A317" s="5" t="s">
        <v>15293</v>
      </c>
      <c r="B317" s="6" t="str">
        <f>IMAGE("https://storage.googleapis.com/acdb/dresses/TopsTexOnepieceBoxLAttendant3.png")</f>
        <v/>
      </c>
      <c r="C317" s="5" t="s">
        <v>52</v>
      </c>
      <c r="D317" s="5" t="s">
        <v>36</v>
      </c>
      <c r="E317" s="6">
        <v>2800.0</v>
      </c>
      <c r="F317" s="6">
        <v>700.0</v>
      </c>
      <c r="G317" s="5" t="s">
        <v>52</v>
      </c>
      <c r="H317" s="5" t="s">
        <v>106</v>
      </c>
      <c r="I317" s="6" t="s">
        <v>40</v>
      </c>
      <c r="J317" s="5" t="s">
        <v>8585</v>
      </c>
      <c r="K317" s="5" t="s">
        <v>8586</v>
      </c>
      <c r="L317" s="6" t="s">
        <v>42</v>
      </c>
      <c r="M317" s="5" t="s">
        <v>1059</v>
      </c>
      <c r="N317" s="5" t="s">
        <v>64</v>
      </c>
      <c r="O317" s="5" t="s">
        <v>14332</v>
      </c>
      <c r="P317" s="5" t="s">
        <v>14333</v>
      </c>
      <c r="Q317" s="5" t="s">
        <v>15303</v>
      </c>
      <c r="R317" s="6">
        <v>8114.0</v>
      </c>
    </row>
    <row r="318" ht="56.25" customHeight="1">
      <c r="A318" s="5" t="s">
        <v>15293</v>
      </c>
      <c r="B318" s="6" t="str">
        <f>IMAGE("https://storage.googleapis.com/acdb/dresses/TopsTexOnepieceBoxLAttendant4.png")</f>
        <v/>
      </c>
      <c r="C318" s="5" t="s">
        <v>95</v>
      </c>
      <c r="D318" s="5" t="s">
        <v>36</v>
      </c>
      <c r="E318" s="6">
        <v>2800.0</v>
      </c>
      <c r="F318" s="6">
        <v>700.0</v>
      </c>
      <c r="G318" s="5" t="s">
        <v>95</v>
      </c>
      <c r="H318" s="5" t="s">
        <v>69</v>
      </c>
      <c r="I318" s="6" t="s">
        <v>40</v>
      </c>
      <c r="J318" s="5" t="s">
        <v>8585</v>
      </c>
      <c r="K318" s="5" t="s">
        <v>8586</v>
      </c>
      <c r="L318" s="6" t="s">
        <v>42</v>
      </c>
      <c r="M318" s="5" t="s">
        <v>1059</v>
      </c>
      <c r="N318" s="5" t="s">
        <v>64</v>
      </c>
      <c r="O318" s="5" t="s">
        <v>14332</v>
      </c>
      <c r="P318" s="5" t="s">
        <v>14333</v>
      </c>
      <c r="Q318" s="5" t="s">
        <v>15305</v>
      </c>
      <c r="R318" s="6">
        <v>8115.0</v>
      </c>
    </row>
    <row r="319" ht="56.25" customHeight="1">
      <c r="A319" s="5" t="s">
        <v>15306</v>
      </c>
      <c r="B319" s="6" t="str">
        <f>IMAGE("https://storage.googleapis.com/acdb/dresses/TopsTexOnepieceBalloonHLace1.png")</f>
        <v/>
      </c>
      <c r="C319" s="5" t="s">
        <v>69</v>
      </c>
      <c r="D319" s="5" t="s">
        <v>36</v>
      </c>
      <c r="E319" s="6">
        <v>1820.0</v>
      </c>
      <c r="F319" s="6">
        <v>455.0</v>
      </c>
      <c r="G319" s="5" t="s">
        <v>69</v>
      </c>
      <c r="H319" s="5" t="s">
        <v>69</v>
      </c>
      <c r="I319" s="6" t="s">
        <v>40</v>
      </c>
      <c r="J319" s="5" t="s">
        <v>8585</v>
      </c>
      <c r="K319" s="5" t="s">
        <v>8632</v>
      </c>
      <c r="L319" s="6" t="s">
        <v>42</v>
      </c>
      <c r="M319" s="5" t="s">
        <v>1059</v>
      </c>
      <c r="N319" s="5" t="s">
        <v>64</v>
      </c>
      <c r="O319" s="5" t="s">
        <v>14344</v>
      </c>
      <c r="P319" s="5" t="s">
        <v>14345</v>
      </c>
      <c r="Q319" s="5" t="s">
        <v>15307</v>
      </c>
      <c r="R319" s="6">
        <v>8890.0</v>
      </c>
    </row>
    <row r="320" ht="56.25" customHeight="1">
      <c r="A320" s="5" t="s">
        <v>15306</v>
      </c>
      <c r="B320" s="6" t="str">
        <f>IMAGE("https://storage.googleapis.com/acdb/dresses/TopsTexOnepieceBalloonHLace2.png")</f>
        <v/>
      </c>
      <c r="C320" s="5" t="s">
        <v>68</v>
      </c>
      <c r="D320" s="5" t="s">
        <v>36</v>
      </c>
      <c r="E320" s="6">
        <v>1820.0</v>
      </c>
      <c r="F320" s="6">
        <v>455.0</v>
      </c>
      <c r="G320" s="5" t="s">
        <v>68</v>
      </c>
      <c r="H320" s="5" t="s">
        <v>68</v>
      </c>
      <c r="I320" s="6" t="s">
        <v>40</v>
      </c>
      <c r="J320" s="5" t="s">
        <v>8585</v>
      </c>
      <c r="K320" s="5" t="s">
        <v>8632</v>
      </c>
      <c r="L320" s="6" t="s">
        <v>42</v>
      </c>
      <c r="M320" s="5" t="s">
        <v>1059</v>
      </c>
      <c r="N320" s="5" t="s">
        <v>64</v>
      </c>
      <c r="O320" s="5" t="s">
        <v>14344</v>
      </c>
      <c r="P320" s="5" t="s">
        <v>14345</v>
      </c>
      <c r="Q320" s="5" t="s">
        <v>15312</v>
      </c>
      <c r="R320" s="6">
        <v>8891.0</v>
      </c>
    </row>
    <row r="321" ht="56.25" customHeight="1">
      <c r="A321" s="5" t="s">
        <v>15306</v>
      </c>
      <c r="B321" s="6" t="str">
        <f>IMAGE("https://storage.googleapis.com/acdb/dresses/TopsTexOnepieceBalloonHLace3.png")</f>
        <v/>
      </c>
      <c r="C321" s="5" t="s">
        <v>10410</v>
      </c>
      <c r="D321" s="5" t="s">
        <v>36</v>
      </c>
      <c r="E321" s="6">
        <v>1820.0</v>
      </c>
      <c r="F321" s="6">
        <v>455.0</v>
      </c>
      <c r="G321" s="5" t="s">
        <v>52</v>
      </c>
      <c r="H321" s="5" t="s">
        <v>52</v>
      </c>
      <c r="I321" s="6" t="s">
        <v>40</v>
      </c>
      <c r="J321" s="5" t="s">
        <v>8585</v>
      </c>
      <c r="K321" s="5" t="s">
        <v>8632</v>
      </c>
      <c r="L321" s="6" t="s">
        <v>42</v>
      </c>
      <c r="M321" s="5" t="s">
        <v>1059</v>
      </c>
      <c r="N321" s="5" t="s">
        <v>64</v>
      </c>
      <c r="O321" s="5" t="s">
        <v>14344</v>
      </c>
      <c r="P321" s="5" t="s">
        <v>14345</v>
      </c>
      <c r="Q321" s="5" t="s">
        <v>15313</v>
      </c>
      <c r="R321" s="6">
        <v>8892.0</v>
      </c>
    </row>
    <row r="322" ht="56.25" customHeight="1">
      <c r="A322" s="5" t="s">
        <v>15306</v>
      </c>
      <c r="B322" s="6" t="str">
        <f>IMAGE("https://storage.googleapis.com/acdb/dresses/TopsTexOnepieceBalloonHLace4.png")</f>
        <v/>
      </c>
      <c r="C322" s="5" t="s">
        <v>142</v>
      </c>
      <c r="D322" s="5" t="s">
        <v>36</v>
      </c>
      <c r="E322" s="6">
        <v>1820.0</v>
      </c>
      <c r="F322" s="6">
        <v>455.0</v>
      </c>
      <c r="G322" s="5" t="s">
        <v>142</v>
      </c>
      <c r="H322" s="5" t="s">
        <v>142</v>
      </c>
      <c r="I322" s="6" t="s">
        <v>40</v>
      </c>
      <c r="J322" s="5" t="s">
        <v>8585</v>
      </c>
      <c r="K322" s="5" t="s">
        <v>8632</v>
      </c>
      <c r="L322" s="6" t="s">
        <v>42</v>
      </c>
      <c r="M322" s="5" t="s">
        <v>1059</v>
      </c>
      <c r="N322" s="5" t="s">
        <v>64</v>
      </c>
      <c r="O322" s="5" t="s">
        <v>14344</v>
      </c>
      <c r="P322" s="5" t="s">
        <v>14345</v>
      </c>
      <c r="Q322" s="5" t="s">
        <v>15316</v>
      </c>
      <c r="R322" s="6">
        <v>8893.0</v>
      </c>
    </row>
    <row r="323" ht="56.25" customHeight="1">
      <c r="A323" s="5" t="s">
        <v>15306</v>
      </c>
      <c r="B323" s="6" t="str">
        <f>IMAGE("https://storage.googleapis.com/acdb/dresses/TopsTexOnepieceBalloonHLace5.png")</f>
        <v/>
      </c>
      <c r="C323" s="5" t="s">
        <v>96</v>
      </c>
      <c r="D323" s="5" t="s">
        <v>36</v>
      </c>
      <c r="E323" s="6">
        <v>1820.0</v>
      </c>
      <c r="F323" s="6">
        <v>455.0</v>
      </c>
      <c r="G323" s="5" t="s">
        <v>96</v>
      </c>
      <c r="H323" s="5" t="s">
        <v>96</v>
      </c>
      <c r="I323" s="6" t="s">
        <v>40</v>
      </c>
      <c r="J323" s="5" t="s">
        <v>8585</v>
      </c>
      <c r="K323" s="5" t="s">
        <v>8632</v>
      </c>
      <c r="L323" s="6" t="s">
        <v>42</v>
      </c>
      <c r="M323" s="5" t="s">
        <v>1059</v>
      </c>
      <c r="N323" s="5" t="s">
        <v>64</v>
      </c>
      <c r="O323" s="5" t="s">
        <v>14344</v>
      </c>
      <c r="P323" s="5" t="s">
        <v>14345</v>
      </c>
      <c r="Q323" s="5" t="s">
        <v>15318</v>
      </c>
      <c r="R323" s="6">
        <v>8894.0</v>
      </c>
    </row>
    <row r="324" ht="56.25" customHeight="1">
      <c r="A324" s="5" t="s">
        <v>15306</v>
      </c>
      <c r="B324" s="6" t="str">
        <f>IMAGE("https://storage.googleapis.com/acdb/dresses/TopsTexOnepieceBalloonHLace6.png")</f>
        <v/>
      </c>
      <c r="C324" s="5" t="s">
        <v>106</v>
      </c>
      <c r="D324" s="5" t="s">
        <v>36</v>
      </c>
      <c r="E324" s="6">
        <v>1820.0</v>
      </c>
      <c r="F324" s="6">
        <v>455.0</v>
      </c>
      <c r="G324" s="5" t="s">
        <v>106</v>
      </c>
      <c r="H324" s="5" t="s">
        <v>106</v>
      </c>
      <c r="I324" s="6" t="s">
        <v>40</v>
      </c>
      <c r="J324" s="5" t="s">
        <v>8585</v>
      </c>
      <c r="K324" s="5" t="s">
        <v>8632</v>
      </c>
      <c r="L324" s="6" t="s">
        <v>42</v>
      </c>
      <c r="M324" s="5" t="s">
        <v>1059</v>
      </c>
      <c r="N324" s="5" t="s">
        <v>64</v>
      </c>
      <c r="O324" s="5" t="s">
        <v>14344</v>
      </c>
      <c r="P324" s="5" t="s">
        <v>14345</v>
      </c>
      <c r="Q324" s="5" t="s">
        <v>15321</v>
      </c>
      <c r="R324" s="6">
        <v>8895.0</v>
      </c>
    </row>
    <row r="325" ht="56.25" customHeight="1">
      <c r="A325" s="5" t="s">
        <v>15306</v>
      </c>
      <c r="B325" s="6" t="str">
        <f>IMAGE("https://storage.googleapis.com/acdb/dresses/TopsTexOnepieceBalloonHLace7.png")</f>
        <v/>
      </c>
      <c r="C325" s="5" t="s">
        <v>54</v>
      </c>
      <c r="D325" s="5" t="s">
        <v>36</v>
      </c>
      <c r="E325" s="6">
        <v>1820.0</v>
      </c>
      <c r="F325" s="6">
        <v>455.0</v>
      </c>
      <c r="G325" s="5" t="s">
        <v>54</v>
      </c>
      <c r="H325" s="5" t="s">
        <v>54</v>
      </c>
      <c r="I325" s="6" t="s">
        <v>40</v>
      </c>
      <c r="J325" s="5" t="s">
        <v>8585</v>
      </c>
      <c r="K325" s="5" t="s">
        <v>8632</v>
      </c>
      <c r="L325" s="6" t="s">
        <v>42</v>
      </c>
      <c r="M325" s="5" t="s">
        <v>1059</v>
      </c>
      <c r="N325" s="5" t="s">
        <v>64</v>
      </c>
      <c r="O325" s="5" t="s">
        <v>14344</v>
      </c>
      <c r="P325" s="5" t="s">
        <v>14345</v>
      </c>
      <c r="Q325" s="5" t="s">
        <v>15323</v>
      </c>
      <c r="R325" s="6">
        <v>8896.0</v>
      </c>
    </row>
    <row r="326" ht="56.25" customHeight="1">
      <c r="A326" s="5" t="s">
        <v>15306</v>
      </c>
      <c r="B326" s="6" t="str">
        <f>IMAGE("https://storage.googleapis.com/acdb/dresses/TopsTexOnepieceBalloonHLace0.png")</f>
        <v/>
      </c>
      <c r="C326" s="5" t="s">
        <v>83</v>
      </c>
      <c r="D326" s="5" t="s">
        <v>36</v>
      </c>
      <c r="E326" s="6">
        <v>1820.0</v>
      </c>
      <c r="F326" s="6">
        <v>455.0</v>
      </c>
      <c r="G326" s="5" t="s">
        <v>83</v>
      </c>
      <c r="H326" s="5" t="s">
        <v>83</v>
      </c>
      <c r="I326" s="6" t="s">
        <v>40</v>
      </c>
      <c r="J326" s="5" t="s">
        <v>8585</v>
      </c>
      <c r="K326" s="5" t="s">
        <v>8632</v>
      </c>
      <c r="L326" s="6" t="s">
        <v>42</v>
      </c>
      <c r="M326" s="5" t="s">
        <v>1059</v>
      </c>
      <c r="N326" s="5" t="s">
        <v>64</v>
      </c>
      <c r="O326" s="5" t="s">
        <v>14344</v>
      </c>
      <c r="P326" s="5" t="s">
        <v>14345</v>
      </c>
      <c r="Q326" s="5" t="s">
        <v>15327</v>
      </c>
      <c r="R326" s="6">
        <v>4570.0</v>
      </c>
    </row>
    <row r="327" ht="56.25" customHeight="1">
      <c r="A327" s="5" t="s">
        <v>15328</v>
      </c>
      <c r="B327" s="6" t="str">
        <f>IMAGE("https://storage.googleapis.com/acdb/dresses/TopsTexOnepieceAlineHOneflower1.png")</f>
        <v/>
      </c>
      <c r="C327" s="5" t="s">
        <v>96</v>
      </c>
      <c r="D327" s="5" t="s">
        <v>36</v>
      </c>
      <c r="E327" s="6">
        <v>1200.0</v>
      </c>
      <c r="F327" s="6">
        <v>300.0</v>
      </c>
      <c r="G327" s="5" t="s">
        <v>96</v>
      </c>
      <c r="H327" s="5" t="s">
        <v>57</v>
      </c>
      <c r="I327" s="6" t="s">
        <v>40</v>
      </c>
      <c r="J327" s="5" t="s">
        <v>8585</v>
      </c>
      <c r="K327" s="5" t="s">
        <v>8632</v>
      </c>
      <c r="L327" s="6" t="s">
        <v>42</v>
      </c>
      <c r="M327" s="5" t="s">
        <v>1959</v>
      </c>
      <c r="N327" s="5" t="s">
        <v>64</v>
      </c>
      <c r="O327" s="5" t="s">
        <v>14411</v>
      </c>
      <c r="P327" s="5" t="s">
        <v>14345</v>
      </c>
      <c r="Q327" s="5" t="s">
        <v>15330</v>
      </c>
      <c r="R327" s="6">
        <v>8820.0</v>
      </c>
    </row>
    <row r="328" ht="56.25" customHeight="1">
      <c r="A328" s="5" t="s">
        <v>15328</v>
      </c>
      <c r="B328" s="6" t="str">
        <f>IMAGE("https://storage.googleapis.com/acdb/dresses/TopsTexOnepieceAlineHOneflower0.png")</f>
        <v/>
      </c>
      <c r="C328" s="5" t="s">
        <v>69</v>
      </c>
      <c r="D328" s="5" t="s">
        <v>36</v>
      </c>
      <c r="E328" s="6">
        <v>1200.0</v>
      </c>
      <c r="F328" s="6">
        <v>300.0</v>
      </c>
      <c r="G328" s="5" t="s">
        <v>69</v>
      </c>
      <c r="H328" s="5" t="s">
        <v>57</v>
      </c>
      <c r="I328" s="6" t="s">
        <v>40</v>
      </c>
      <c r="J328" s="5" t="s">
        <v>8585</v>
      </c>
      <c r="K328" s="5" t="s">
        <v>8632</v>
      </c>
      <c r="L328" s="6" t="s">
        <v>42</v>
      </c>
      <c r="M328" s="5" t="s">
        <v>1959</v>
      </c>
      <c r="N328" s="5" t="s">
        <v>64</v>
      </c>
      <c r="O328" s="5" t="s">
        <v>14411</v>
      </c>
      <c r="P328" s="5" t="s">
        <v>14345</v>
      </c>
      <c r="Q328" s="5" t="s">
        <v>15332</v>
      </c>
      <c r="R328" s="6">
        <v>6901.0</v>
      </c>
    </row>
    <row r="329" ht="56.25" customHeight="1">
      <c r="A329" s="5" t="s">
        <v>15333</v>
      </c>
      <c r="B329" s="6" t="str">
        <f>IMAGE("https://storage.googleapis.com/acdb/dresses/TopsTexOnepieceOverallLVolendam.png")</f>
        <v/>
      </c>
      <c r="C329" s="5" t="s">
        <v>52</v>
      </c>
      <c r="D329" s="5" t="s">
        <v>36</v>
      </c>
      <c r="E329" s="6">
        <v>2520.0</v>
      </c>
      <c r="F329" s="6">
        <v>630.0</v>
      </c>
      <c r="G329" s="5" t="s">
        <v>52</v>
      </c>
      <c r="H329" s="5" t="s">
        <v>54</v>
      </c>
      <c r="I329" s="6" t="s">
        <v>40</v>
      </c>
      <c r="J329" s="5" t="s">
        <v>8585</v>
      </c>
      <c r="K329" s="5" t="s">
        <v>8586</v>
      </c>
      <c r="L329" s="6" t="s">
        <v>42</v>
      </c>
      <c r="M329" s="5" t="s">
        <v>1059</v>
      </c>
      <c r="N329" s="5" t="s">
        <v>64</v>
      </c>
      <c r="O329" s="5" t="s">
        <v>14358</v>
      </c>
      <c r="P329" s="5" t="s">
        <v>14333</v>
      </c>
      <c r="Q329" s="5" t="s">
        <v>15337</v>
      </c>
      <c r="R329" s="6">
        <v>4603.0</v>
      </c>
    </row>
    <row r="330" ht="56.25" customHeight="1">
      <c r="A330" s="5" t="s">
        <v>15338</v>
      </c>
      <c r="B330" s="6" t="str">
        <f>IMAGE("https://storage.googleapis.com/acdb/dresses/TopsTexOnepieceBoxLForest1.png")</f>
        <v/>
      </c>
      <c r="C330" s="5" t="s">
        <v>39</v>
      </c>
      <c r="D330" s="5" t="s">
        <v>36</v>
      </c>
      <c r="E330" s="6">
        <v>1540.0</v>
      </c>
      <c r="F330" s="6">
        <v>385.0</v>
      </c>
      <c r="G330" s="5" t="s">
        <v>39</v>
      </c>
      <c r="H330" s="5" t="s">
        <v>39</v>
      </c>
      <c r="I330" s="6" t="s">
        <v>40</v>
      </c>
      <c r="J330" s="5" t="s">
        <v>8585</v>
      </c>
      <c r="K330" s="5" t="s">
        <v>8632</v>
      </c>
      <c r="L330" s="6" t="s">
        <v>42</v>
      </c>
      <c r="M330" s="5" t="s">
        <v>1059</v>
      </c>
      <c r="N330" s="5" t="s">
        <v>64</v>
      </c>
      <c r="O330" s="5" t="s">
        <v>14332</v>
      </c>
      <c r="P330" s="5" t="s">
        <v>14333</v>
      </c>
      <c r="Q330" s="5" t="s">
        <v>15340</v>
      </c>
      <c r="R330" s="6">
        <v>8811.0</v>
      </c>
    </row>
    <row r="331" ht="56.25" customHeight="1">
      <c r="A331" s="5" t="s">
        <v>15338</v>
      </c>
      <c r="B331" s="6" t="str">
        <f>IMAGE("https://storage.googleapis.com/acdb/dresses/TopsTexOnepieceBoxLForest2.png")</f>
        <v/>
      </c>
      <c r="C331" s="5" t="s">
        <v>106</v>
      </c>
      <c r="D331" s="5" t="s">
        <v>36</v>
      </c>
      <c r="E331" s="6">
        <v>1540.0</v>
      </c>
      <c r="F331" s="6">
        <v>385.0</v>
      </c>
      <c r="G331" s="5" t="s">
        <v>106</v>
      </c>
      <c r="H331" s="5" t="s">
        <v>106</v>
      </c>
      <c r="I331" s="6" t="s">
        <v>40</v>
      </c>
      <c r="J331" s="5" t="s">
        <v>8585</v>
      </c>
      <c r="K331" s="5" t="s">
        <v>8632</v>
      </c>
      <c r="L331" s="6" t="s">
        <v>42</v>
      </c>
      <c r="M331" s="5" t="s">
        <v>1059</v>
      </c>
      <c r="N331" s="5" t="s">
        <v>64</v>
      </c>
      <c r="O331" s="5" t="s">
        <v>14332</v>
      </c>
      <c r="P331" s="5" t="s">
        <v>14333</v>
      </c>
      <c r="Q331" s="5" t="s">
        <v>15342</v>
      </c>
      <c r="R331" s="6">
        <v>8812.0</v>
      </c>
    </row>
    <row r="332" ht="56.25" customHeight="1">
      <c r="A332" s="5" t="s">
        <v>15338</v>
      </c>
      <c r="B332" s="6" t="str">
        <f>IMAGE("https://storage.googleapis.com/acdb/dresses/TopsTexOnepieceBoxLForest3.png")</f>
        <v/>
      </c>
      <c r="C332" s="5" t="s">
        <v>69</v>
      </c>
      <c r="D332" s="5" t="s">
        <v>36</v>
      </c>
      <c r="E332" s="6">
        <v>1540.0</v>
      </c>
      <c r="F332" s="6">
        <v>385.0</v>
      </c>
      <c r="G332" s="5" t="s">
        <v>69</v>
      </c>
      <c r="H332" s="5" t="s">
        <v>69</v>
      </c>
      <c r="I332" s="6" t="s">
        <v>40</v>
      </c>
      <c r="J332" s="5" t="s">
        <v>8585</v>
      </c>
      <c r="K332" s="5" t="s">
        <v>8632</v>
      </c>
      <c r="L332" s="6" t="s">
        <v>42</v>
      </c>
      <c r="M332" s="5" t="s">
        <v>1059</v>
      </c>
      <c r="N332" s="5" t="s">
        <v>64</v>
      </c>
      <c r="O332" s="5" t="s">
        <v>14332</v>
      </c>
      <c r="P332" s="5" t="s">
        <v>14333</v>
      </c>
      <c r="Q332" s="5" t="s">
        <v>15345</v>
      </c>
      <c r="R332" s="6">
        <v>8813.0</v>
      </c>
    </row>
    <row r="333" ht="56.25" customHeight="1">
      <c r="A333" s="5" t="s">
        <v>15338</v>
      </c>
      <c r="B333" s="6" t="str">
        <f>IMAGE("https://storage.googleapis.com/acdb/dresses/TopsTexOnepieceBoxLForest4.png")</f>
        <v/>
      </c>
      <c r="C333" s="5" t="s">
        <v>15346</v>
      </c>
      <c r="D333" s="5" t="s">
        <v>36</v>
      </c>
      <c r="E333" s="6">
        <v>1540.0</v>
      </c>
      <c r="F333" s="6">
        <v>385.0</v>
      </c>
      <c r="G333" s="5" t="s">
        <v>83</v>
      </c>
      <c r="H333" s="5" t="s">
        <v>83</v>
      </c>
      <c r="I333" s="6" t="s">
        <v>40</v>
      </c>
      <c r="J333" s="5" t="s">
        <v>8585</v>
      </c>
      <c r="K333" s="5" t="s">
        <v>8632</v>
      </c>
      <c r="L333" s="6" t="s">
        <v>42</v>
      </c>
      <c r="M333" s="5" t="s">
        <v>1059</v>
      </c>
      <c r="N333" s="5" t="s">
        <v>64</v>
      </c>
      <c r="O333" s="5" t="s">
        <v>14332</v>
      </c>
      <c r="P333" s="5" t="s">
        <v>14333</v>
      </c>
      <c r="Q333" s="5" t="s">
        <v>15348</v>
      </c>
      <c r="R333" s="6">
        <v>8814.0</v>
      </c>
    </row>
    <row r="334" ht="56.25" customHeight="1">
      <c r="A334" s="5" t="s">
        <v>15338</v>
      </c>
      <c r="B334" s="6" t="str">
        <f>IMAGE("https://storage.googleapis.com/acdb/dresses/TopsTexOnepieceBoxLForest0.png")</f>
        <v/>
      </c>
      <c r="C334" s="5" t="s">
        <v>96</v>
      </c>
      <c r="D334" s="5" t="s">
        <v>36</v>
      </c>
      <c r="E334" s="6">
        <v>1540.0</v>
      </c>
      <c r="F334" s="6">
        <v>385.0</v>
      </c>
      <c r="G334" s="5" t="s">
        <v>96</v>
      </c>
      <c r="H334" s="5" t="s">
        <v>96</v>
      </c>
      <c r="I334" s="6" t="s">
        <v>40</v>
      </c>
      <c r="J334" s="5" t="s">
        <v>8585</v>
      </c>
      <c r="K334" s="5" t="s">
        <v>8632</v>
      </c>
      <c r="L334" s="6" t="s">
        <v>42</v>
      </c>
      <c r="M334" s="5" t="s">
        <v>1059</v>
      </c>
      <c r="N334" s="5" t="s">
        <v>64</v>
      </c>
      <c r="O334" s="5" t="s">
        <v>14332</v>
      </c>
      <c r="P334" s="5" t="s">
        <v>14333</v>
      </c>
      <c r="Q334" s="5" t="s">
        <v>15350</v>
      </c>
      <c r="R334" s="6">
        <v>4584.0</v>
      </c>
    </row>
    <row r="335" ht="56.25" customHeight="1">
      <c r="A335" s="5" t="s">
        <v>15351</v>
      </c>
      <c r="B335" s="6" t="str">
        <f>IMAGE("https://storage.googleapis.com/acdb/dresses/TopsTexOnepieceAlongLFrilled1.png")</f>
        <v/>
      </c>
      <c r="C335" s="5" t="s">
        <v>39</v>
      </c>
      <c r="D335" s="5" t="s">
        <v>36</v>
      </c>
      <c r="E335" s="6">
        <v>2000.0</v>
      </c>
      <c r="F335" s="6">
        <v>500.0</v>
      </c>
      <c r="G335" s="5" t="s">
        <v>142</v>
      </c>
      <c r="H335" s="5" t="s">
        <v>39</v>
      </c>
      <c r="I335" s="6" t="s">
        <v>40</v>
      </c>
      <c r="J335" s="5" t="s">
        <v>8585</v>
      </c>
      <c r="K335" s="5" t="s">
        <v>8586</v>
      </c>
      <c r="L335" s="6" t="s">
        <v>42</v>
      </c>
      <c r="M335" s="5" t="s">
        <v>1959</v>
      </c>
      <c r="N335" s="5" t="s">
        <v>64</v>
      </c>
      <c r="O335" s="5" t="s">
        <v>14574</v>
      </c>
      <c r="P335" s="5" t="s">
        <v>14333</v>
      </c>
      <c r="Q335" s="5" t="s">
        <v>15353</v>
      </c>
      <c r="R335" s="6">
        <v>8590.0</v>
      </c>
    </row>
    <row r="336" ht="56.25" customHeight="1">
      <c r="A336" s="5" t="s">
        <v>15351</v>
      </c>
      <c r="B336" s="6" t="str">
        <f>IMAGE("https://storage.googleapis.com/acdb/dresses/TopsTexOnepieceAlongLFrilled2.png")</f>
        <v/>
      </c>
      <c r="C336" s="5" t="s">
        <v>96</v>
      </c>
      <c r="D336" s="5" t="s">
        <v>36</v>
      </c>
      <c r="E336" s="6">
        <v>2000.0</v>
      </c>
      <c r="F336" s="6">
        <v>500.0</v>
      </c>
      <c r="G336" s="5" t="s">
        <v>96</v>
      </c>
      <c r="H336" s="5" t="s">
        <v>96</v>
      </c>
      <c r="I336" s="6" t="s">
        <v>40</v>
      </c>
      <c r="J336" s="5" t="s">
        <v>8585</v>
      </c>
      <c r="K336" s="5" t="s">
        <v>8586</v>
      </c>
      <c r="L336" s="6" t="s">
        <v>42</v>
      </c>
      <c r="M336" s="5" t="s">
        <v>1959</v>
      </c>
      <c r="N336" s="5" t="s">
        <v>64</v>
      </c>
      <c r="O336" s="5" t="s">
        <v>14574</v>
      </c>
      <c r="P336" s="5" t="s">
        <v>14333</v>
      </c>
      <c r="Q336" s="5" t="s">
        <v>15355</v>
      </c>
      <c r="R336" s="6">
        <v>8591.0</v>
      </c>
    </row>
    <row r="337" ht="56.25" customHeight="1">
      <c r="A337" s="5" t="s">
        <v>15351</v>
      </c>
      <c r="B337" s="6" t="str">
        <f>IMAGE("https://storage.googleapis.com/acdb/dresses/TopsTexOnepieceAlongLFrilled3.png")</f>
        <v/>
      </c>
      <c r="C337" s="5" t="s">
        <v>114</v>
      </c>
      <c r="D337" s="5" t="s">
        <v>36</v>
      </c>
      <c r="E337" s="6">
        <v>2000.0</v>
      </c>
      <c r="F337" s="6">
        <v>500.0</v>
      </c>
      <c r="G337" s="5" t="s">
        <v>114</v>
      </c>
      <c r="H337" s="5" t="s">
        <v>114</v>
      </c>
      <c r="I337" s="6" t="s">
        <v>40</v>
      </c>
      <c r="J337" s="5" t="s">
        <v>8585</v>
      </c>
      <c r="K337" s="5" t="s">
        <v>8586</v>
      </c>
      <c r="L337" s="6" t="s">
        <v>42</v>
      </c>
      <c r="M337" s="5" t="s">
        <v>1959</v>
      </c>
      <c r="N337" s="5" t="s">
        <v>64</v>
      </c>
      <c r="O337" s="5" t="s">
        <v>14574</v>
      </c>
      <c r="P337" s="5" t="s">
        <v>14333</v>
      </c>
      <c r="Q337" s="5" t="s">
        <v>15357</v>
      </c>
      <c r="R337" s="6">
        <v>8592.0</v>
      </c>
    </row>
    <row r="338" ht="56.25" customHeight="1">
      <c r="A338" s="5" t="s">
        <v>15351</v>
      </c>
      <c r="B338" s="6" t="str">
        <f>IMAGE("https://storage.googleapis.com/acdb/dresses/TopsTexOnepieceAlongLFrilled0.png")</f>
        <v/>
      </c>
      <c r="C338" s="5" t="s">
        <v>69</v>
      </c>
      <c r="D338" s="5" t="s">
        <v>36</v>
      </c>
      <c r="E338" s="6">
        <v>2000.0</v>
      </c>
      <c r="F338" s="6">
        <v>500.0</v>
      </c>
      <c r="G338" s="5" t="s">
        <v>69</v>
      </c>
      <c r="H338" s="5" t="s">
        <v>52</v>
      </c>
      <c r="I338" s="6" t="s">
        <v>40</v>
      </c>
      <c r="J338" s="5" t="s">
        <v>8585</v>
      </c>
      <c r="K338" s="5" t="s">
        <v>8586</v>
      </c>
      <c r="L338" s="6" t="s">
        <v>42</v>
      </c>
      <c r="M338" s="5" t="s">
        <v>1959</v>
      </c>
      <c r="N338" s="5" t="s">
        <v>64</v>
      </c>
      <c r="O338" s="5" t="s">
        <v>14574</v>
      </c>
      <c r="P338" s="5" t="s">
        <v>14333</v>
      </c>
      <c r="Q338" s="5" t="s">
        <v>15360</v>
      </c>
      <c r="R338" s="6">
        <v>4403.0</v>
      </c>
    </row>
    <row r="339" ht="56.25" customHeight="1">
      <c r="A339" s="5" t="s">
        <v>15361</v>
      </c>
      <c r="B339" s="6" t="str">
        <f>IMAGE("https://storage.googleapis.com/acdb/dresses/TopsTexOnepieceOverallLFrog0.png")</f>
        <v/>
      </c>
      <c r="C339" s="5" t="s">
        <v>96</v>
      </c>
      <c r="D339" s="5" t="s">
        <v>36</v>
      </c>
      <c r="E339" s="6">
        <v>1700.0</v>
      </c>
      <c r="F339" s="6">
        <v>425.0</v>
      </c>
      <c r="G339" s="5" t="s">
        <v>96</v>
      </c>
      <c r="H339" s="5" t="s">
        <v>38</v>
      </c>
      <c r="I339" s="6" t="s">
        <v>40</v>
      </c>
      <c r="J339" s="5" t="s">
        <v>8585</v>
      </c>
      <c r="K339" s="5" t="s">
        <v>8586</v>
      </c>
      <c r="L339" s="6" t="s">
        <v>42</v>
      </c>
      <c r="M339" s="5" t="s">
        <v>1959</v>
      </c>
      <c r="N339" s="5" t="s">
        <v>64</v>
      </c>
      <c r="O339" s="5" t="s">
        <v>14358</v>
      </c>
      <c r="P339" s="5" t="s">
        <v>14333</v>
      </c>
      <c r="Q339" s="5" t="s">
        <v>15362</v>
      </c>
      <c r="R339" s="6">
        <v>3421.0</v>
      </c>
    </row>
    <row r="340" ht="56.25" customHeight="1">
      <c r="A340" s="5" t="s">
        <v>15361</v>
      </c>
      <c r="B340" s="6" t="str">
        <f>IMAGE("https://storage.googleapis.com/acdb/dresses/TopsTexOnepieceOverallLFrog1.png")</f>
        <v/>
      </c>
      <c r="C340" s="5" t="s">
        <v>68</v>
      </c>
      <c r="D340" s="5" t="s">
        <v>36</v>
      </c>
      <c r="E340" s="6">
        <v>1700.0</v>
      </c>
      <c r="F340" s="6">
        <v>425.0</v>
      </c>
      <c r="G340" s="5" t="s">
        <v>83</v>
      </c>
      <c r="H340" s="5" t="s">
        <v>38</v>
      </c>
      <c r="I340" s="6" t="s">
        <v>40</v>
      </c>
      <c r="J340" s="5" t="s">
        <v>8585</v>
      </c>
      <c r="K340" s="5" t="s">
        <v>8586</v>
      </c>
      <c r="L340" s="6" t="s">
        <v>42</v>
      </c>
      <c r="M340" s="5" t="s">
        <v>1959</v>
      </c>
      <c r="N340" s="5" t="s">
        <v>64</v>
      </c>
      <c r="O340" s="5" t="s">
        <v>14358</v>
      </c>
      <c r="P340" s="5" t="s">
        <v>14333</v>
      </c>
      <c r="Q340" s="5" t="s">
        <v>15366</v>
      </c>
      <c r="R340" s="6">
        <v>9631.0</v>
      </c>
    </row>
    <row r="341" ht="56.25" customHeight="1">
      <c r="A341" s="5" t="s">
        <v>15361</v>
      </c>
      <c r="B341" s="6" t="str">
        <f>IMAGE("https://storage.googleapis.com/acdb/dresses/TopsTexOnepieceOverallLFrog2.png")</f>
        <v/>
      </c>
      <c r="C341" s="5" t="s">
        <v>52</v>
      </c>
      <c r="D341" s="5" t="s">
        <v>36</v>
      </c>
      <c r="E341" s="6">
        <v>1700.0</v>
      </c>
      <c r="F341" s="6">
        <v>425.0</v>
      </c>
      <c r="G341" s="5" t="s">
        <v>52</v>
      </c>
      <c r="H341" s="5" t="s">
        <v>38</v>
      </c>
      <c r="I341" s="6" t="s">
        <v>40</v>
      </c>
      <c r="J341" s="5" t="s">
        <v>8585</v>
      </c>
      <c r="K341" s="5" t="s">
        <v>8586</v>
      </c>
      <c r="L341" s="6" t="s">
        <v>42</v>
      </c>
      <c r="M341" s="5" t="s">
        <v>1959</v>
      </c>
      <c r="N341" s="5" t="s">
        <v>64</v>
      </c>
      <c r="O341" s="5" t="s">
        <v>14358</v>
      </c>
      <c r="P341" s="5" t="s">
        <v>14333</v>
      </c>
      <c r="Q341" s="5" t="s">
        <v>15370</v>
      </c>
      <c r="R341" s="6">
        <v>9632.0</v>
      </c>
    </row>
    <row r="342" ht="56.25" customHeight="1">
      <c r="A342" s="5" t="s">
        <v>15361</v>
      </c>
      <c r="B342" s="6" t="str">
        <f>IMAGE("https://storage.googleapis.com/acdb/dresses/TopsTexOnepieceOverallLFrog3.png")</f>
        <v/>
      </c>
      <c r="C342" s="5" t="s">
        <v>114</v>
      </c>
      <c r="D342" s="5" t="s">
        <v>36</v>
      </c>
      <c r="E342" s="6">
        <v>1700.0</v>
      </c>
      <c r="F342" s="6">
        <v>425.0</v>
      </c>
      <c r="G342" s="5" t="s">
        <v>114</v>
      </c>
      <c r="H342" s="5" t="s">
        <v>114</v>
      </c>
      <c r="I342" s="6" t="s">
        <v>40</v>
      </c>
      <c r="J342" s="5" t="s">
        <v>8585</v>
      </c>
      <c r="K342" s="5" t="s">
        <v>8586</v>
      </c>
      <c r="L342" s="6" t="s">
        <v>42</v>
      </c>
      <c r="M342" s="5" t="s">
        <v>1959</v>
      </c>
      <c r="N342" s="5" t="s">
        <v>64</v>
      </c>
      <c r="O342" s="5" t="s">
        <v>14358</v>
      </c>
      <c r="P342" s="5" t="s">
        <v>14333</v>
      </c>
      <c r="Q342" s="5" t="s">
        <v>15373</v>
      </c>
      <c r="R342" s="6">
        <v>9633.0</v>
      </c>
    </row>
    <row r="343" ht="56.25" customHeight="1">
      <c r="A343" s="5" t="s">
        <v>15375</v>
      </c>
      <c r="B343" s="6" t="str">
        <f>IMAGE("https://storage.googleapis.com/acdb/dresses/TopsTexOnepieceBalloonHSimple0.png")</f>
        <v/>
      </c>
      <c r="C343" s="5" t="s">
        <v>39</v>
      </c>
      <c r="D343" s="5" t="s">
        <v>36</v>
      </c>
      <c r="E343" s="6">
        <v>490.0</v>
      </c>
      <c r="F343" s="6">
        <v>122.0</v>
      </c>
      <c r="G343" s="5" t="s">
        <v>39</v>
      </c>
      <c r="H343" s="5" t="s">
        <v>38</v>
      </c>
      <c r="I343" s="6" t="s">
        <v>40</v>
      </c>
      <c r="J343" s="5" t="s">
        <v>8585</v>
      </c>
      <c r="K343" s="5" t="s">
        <v>8632</v>
      </c>
      <c r="L343" s="6" t="s">
        <v>42</v>
      </c>
      <c r="M343" s="5" t="s">
        <v>995</v>
      </c>
      <c r="N343" s="5" t="s">
        <v>64</v>
      </c>
      <c r="O343" s="5" t="s">
        <v>14344</v>
      </c>
      <c r="P343" s="5" t="s">
        <v>14345</v>
      </c>
      <c r="Q343" s="5" t="s">
        <v>15378</v>
      </c>
      <c r="R343" s="6">
        <v>4344.0</v>
      </c>
    </row>
    <row r="344" ht="56.25" customHeight="1">
      <c r="A344" s="5" t="s">
        <v>15375</v>
      </c>
      <c r="B344" s="6" t="str">
        <f>IMAGE("https://storage.googleapis.com/acdb/dresses/TopsTexOnepieceBalloonHSimple1.png")</f>
        <v/>
      </c>
      <c r="C344" s="5" t="s">
        <v>96</v>
      </c>
      <c r="D344" s="5" t="s">
        <v>36</v>
      </c>
      <c r="E344" s="6">
        <v>490.0</v>
      </c>
      <c r="F344" s="6">
        <v>122.0</v>
      </c>
      <c r="G344" s="5" t="s">
        <v>96</v>
      </c>
      <c r="H344" s="5" t="s">
        <v>96</v>
      </c>
      <c r="I344" s="6" t="s">
        <v>40</v>
      </c>
      <c r="J344" s="5" t="s">
        <v>8585</v>
      </c>
      <c r="K344" s="5" t="s">
        <v>8632</v>
      </c>
      <c r="L344" s="6" t="s">
        <v>42</v>
      </c>
      <c r="M344" s="5" t="s">
        <v>995</v>
      </c>
      <c r="N344" s="5" t="s">
        <v>64</v>
      </c>
      <c r="O344" s="5" t="s">
        <v>14344</v>
      </c>
      <c r="P344" s="5" t="s">
        <v>14345</v>
      </c>
      <c r="Q344" s="5" t="s">
        <v>15380</v>
      </c>
      <c r="R344" s="6">
        <v>8138.0</v>
      </c>
    </row>
    <row r="345" ht="56.25" customHeight="1">
      <c r="A345" s="5" t="s">
        <v>15375</v>
      </c>
      <c r="B345" s="6" t="str">
        <f>IMAGE("https://storage.googleapis.com/acdb/dresses/TopsTexOnepieceBalloonHSimple2.png")</f>
        <v/>
      </c>
      <c r="C345" s="5" t="s">
        <v>6208</v>
      </c>
      <c r="D345" s="5" t="s">
        <v>36</v>
      </c>
      <c r="E345" s="6">
        <v>490.0</v>
      </c>
      <c r="F345" s="6">
        <v>122.0</v>
      </c>
      <c r="G345" s="5" t="s">
        <v>68</v>
      </c>
      <c r="H345" s="5" t="s">
        <v>68</v>
      </c>
      <c r="I345" s="6" t="s">
        <v>40</v>
      </c>
      <c r="J345" s="5" t="s">
        <v>8585</v>
      </c>
      <c r="K345" s="5" t="s">
        <v>8632</v>
      </c>
      <c r="L345" s="6" t="s">
        <v>42</v>
      </c>
      <c r="M345" s="5" t="s">
        <v>995</v>
      </c>
      <c r="N345" s="5" t="s">
        <v>64</v>
      </c>
      <c r="O345" s="5" t="s">
        <v>14344</v>
      </c>
      <c r="P345" s="5" t="s">
        <v>14345</v>
      </c>
      <c r="Q345" s="5" t="s">
        <v>15385</v>
      </c>
      <c r="R345" s="6">
        <v>8139.0</v>
      </c>
    </row>
    <row r="346" ht="56.25" customHeight="1">
      <c r="A346" s="5" t="s">
        <v>15386</v>
      </c>
      <c r="B346" s="6" t="str">
        <f>IMAGE("https://storage.googleapis.com/acdb/dresses/TopsTexOnepieceOverallLSimple1.png")</f>
        <v/>
      </c>
      <c r="C346" s="5" t="s">
        <v>96</v>
      </c>
      <c r="D346" s="5" t="s">
        <v>36</v>
      </c>
      <c r="E346" s="6">
        <v>450.0</v>
      </c>
      <c r="F346" s="6">
        <v>112.0</v>
      </c>
      <c r="G346" s="5" t="s">
        <v>96</v>
      </c>
      <c r="H346" s="5" t="s">
        <v>96</v>
      </c>
      <c r="I346" s="6" t="s">
        <v>40</v>
      </c>
      <c r="J346" s="5" t="s">
        <v>8585</v>
      </c>
      <c r="K346" s="5" t="s">
        <v>8632</v>
      </c>
      <c r="L346" s="6" t="s">
        <v>42</v>
      </c>
      <c r="M346" s="5" t="s">
        <v>995</v>
      </c>
      <c r="N346" s="5" t="s">
        <v>64</v>
      </c>
      <c r="O346" s="5" t="s">
        <v>14358</v>
      </c>
      <c r="P346" s="5" t="s">
        <v>14333</v>
      </c>
      <c r="Q346" s="5" t="s">
        <v>15390</v>
      </c>
      <c r="R346" s="6">
        <v>8140.0</v>
      </c>
    </row>
    <row r="347" ht="56.25" customHeight="1">
      <c r="A347" s="5" t="s">
        <v>15386</v>
      </c>
      <c r="B347" s="6" t="str">
        <f>IMAGE("https://storage.googleapis.com/acdb/dresses/TopsTexOnepieceOverallLSimple2.png")</f>
        <v/>
      </c>
      <c r="C347" s="5" t="s">
        <v>6208</v>
      </c>
      <c r="D347" s="5" t="s">
        <v>36</v>
      </c>
      <c r="E347" s="6">
        <v>450.0</v>
      </c>
      <c r="F347" s="6">
        <v>112.0</v>
      </c>
      <c r="G347" s="5" t="s">
        <v>83</v>
      </c>
      <c r="H347" s="5" t="s">
        <v>68</v>
      </c>
      <c r="I347" s="6" t="s">
        <v>40</v>
      </c>
      <c r="J347" s="5" t="s">
        <v>8585</v>
      </c>
      <c r="K347" s="5" t="s">
        <v>8632</v>
      </c>
      <c r="L347" s="6" t="s">
        <v>42</v>
      </c>
      <c r="M347" s="5" t="s">
        <v>995</v>
      </c>
      <c r="N347" s="5" t="s">
        <v>64</v>
      </c>
      <c r="O347" s="5" t="s">
        <v>14358</v>
      </c>
      <c r="P347" s="5" t="s">
        <v>14333</v>
      </c>
      <c r="Q347" s="5" t="s">
        <v>15393</v>
      </c>
      <c r="R347" s="6">
        <v>8141.0</v>
      </c>
    </row>
    <row r="348" ht="56.25" customHeight="1">
      <c r="A348" s="5" t="s">
        <v>15386</v>
      </c>
      <c r="B348" s="6" t="str">
        <f>IMAGE("https://storage.googleapis.com/acdb/dresses/TopsTexOnepieceOverallLSimple0.png")</f>
        <v/>
      </c>
      <c r="C348" s="5" t="s">
        <v>39</v>
      </c>
      <c r="D348" s="5" t="s">
        <v>36</v>
      </c>
      <c r="E348" s="6">
        <v>450.0</v>
      </c>
      <c r="F348" s="6">
        <v>112.0</v>
      </c>
      <c r="G348" s="5" t="s">
        <v>38</v>
      </c>
      <c r="H348" s="5" t="s">
        <v>39</v>
      </c>
      <c r="I348" s="6" t="s">
        <v>40</v>
      </c>
      <c r="J348" s="5" t="s">
        <v>8585</v>
      </c>
      <c r="K348" s="5" t="s">
        <v>8632</v>
      </c>
      <c r="L348" s="6" t="s">
        <v>42</v>
      </c>
      <c r="M348" s="5" t="s">
        <v>995</v>
      </c>
      <c r="N348" s="5" t="s">
        <v>64</v>
      </c>
      <c r="O348" s="5" t="s">
        <v>14358</v>
      </c>
      <c r="P348" s="5" t="s">
        <v>14333</v>
      </c>
      <c r="Q348" s="5" t="s">
        <v>15396</v>
      </c>
      <c r="R348" s="6">
        <v>4345.0</v>
      </c>
    </row>
    <row r="349" ht="56.25" customHeight="1">
      <c r="A349" s="5" t="s">
        <v>15397</v>
      </c>
      <c r="B349" s="6" t="str">
        <f>IMAGE("https://storage.googleapis.com/acdb/dresses/TopsTexOnepieceOverallLTights1.png")</f>
        <v/>
      </c>
      <c r="C349" s="5" t="s">
        <v>57</v>
      </c>
      <c r="D349" s="5" t="s">
        <v>36</v>
      </c>
      <c r="E349" s="6">
        <v>1120.0</v>
      </c>
      <c r="F349" s="6">
        <v>280.0</v>
      </c>
      <c r="G349" s="5" t="s">
        <v>57</v>
      </c>
      <c r="H349" s="5" t="s">
        <v>57</v>
      </c>
      <c r="I349" s="6" t="s">
        <v>40</v>
      </c>
      <c r="J349" s="5" t="s">
        <v>8585</v>
      </c>
      <c r="K349" s="5" t="s">
        <v>8586</v>
      </c>
      <c r="L349" s="6" t="s">
        <v>42</v>
      </c>
      <c r="M349" s="5" t="s">
        <v>995</v>
      </c>
      <c r="N349" s="5" t="s">
        <v>64</v>
      </c>
      <c r="O349" s="5" t="s">
        <v>14358</v>
      </c>
      <c r="P349" s="5" t="s">
        <v>14333</v>
      </c>
      <c r="Q349" s="5" t="s">
        <v>15400</v>
      </c>
      <c r="R349" s="6">
        <v>8640.0</v>
      </c>
    </row>
    <row r="350" ht="56.25" customHeight="1">
      <c r="A350" s="5" t="s">
        <v>15397</v>
      </c>
      <c r="B350" s="6" t="str">
        <f>IMAGE("https://storage.googleapis.com/acdb/dresses/TopsTexOnepieceOverallLTights2.png")</f>
        <v/>
      </c>
      <c r="C350" s="5" t="s">
        <v>52</v>
      </c>
      <c r="D350" s="5" t="s">
        <v>36</v>
      </c>
      <c r="E350" s="6">
        <v>1120.0</v>
      </c>
      <c r="F350" s="6">
        <v>280.0</v>
      </c>
      <c r="G350" s="5" t="s">
        <v>52</v>
      </c>
      <c r="H350" s="5" t="s">
        <v>52</v>
      </c>
      <c r="I350" s="6" t="s">
        <v>40</v>
      </c>
      <c r="J350" s="5" t="s">
        <v>8585</v>
      </c>
      <c r="K350" s="5" t="s">
        <v>8586</v>
      </c>
      <c r="L350" s="6" t="s">
        <v>42</v>
      </c>
      <c r="M350" s="5" t="s">
        <v>995</v>
      </c>
      <c r="N350" s="5" t="s">
        <v>64</v>
      </c>
      <c r="O350" s="5" t="s">
        <v>14358</v>
      </c>
      <c r="P350" s="5" t="s">
        <v>14333</v>
      </c>
      <c r="Q350" s="5" t="s">
        <v>15403</v>
      </c>
      <c r="R350" s="6">
        <v>8641.0</v>
      </c>
    </row>
    <row r="351" ht="56.25" customHeight="1">
      <c r="A351" s="5" t="s">
        <v>15397</v>
      </c>
      <c r="B351" s="6" t="str">
        <f>IMAGE("https://storage.googleapis.com/acdb/dresses/TopsTexOnepieceOverallLTights3.png")</f>
        <v/>
      </c>
      <c r="C351" s="5" t="s">
        <v>68</v>
      </c>
      <c r="D351" s="5" t="s">
        <v>36</v>
      </c>
      <c r="E351" s="6">
        <v>1120.0</v>
      </c>
      <c r="F351" s="6">
        <v>280.0</v>
      </c>
      <c r="G351" s="5" t="s">
        <v>68</v>
      </c>
      <c r="H351" s="5" t="s">
        <v>68</v>
      </c>
      <c r="I351" s="6" t="s">
        <v>40</v>
      </c>
      <c r="J351" s="5" t="s">
        <v>8585</v>
      </c>
      <c r="K351" s="5" t="s">
        <v>8586</v>
      </c>
      <c r="L351" s="6" t="s">
        <v>42</v>
      </c>
      <c r="M351" s="5" t="s">
        <v>995</v>
      </c>
      <c r="N351" s="5" t="s">
        <v>64</v>
      </c>
      <c r="O351" s="5" t="s">
        <v>14358</v>
      </c>
      <c r="P351" s="5" t="s">
        <v>14333</v>
      </c>
      <c r="Q351" s="5" t="s">
        <v>15408</v>
      </c>
      <c r="R351" s="6">
        <v>8642.0</v>
      </c>
    </row>
    <row r="352" ht="56.25" customHeight="1">
      <c r="A352" s="5" t="s">
        <v>15397</v>
      </c>
      <c r="B352" s="6" t="str">
        <f>IMAGE("https://storage.googleapis.com/acdb/dresses/TopsTexOnepieceOverallLTights4.png")</f>
        <v/>
      </c>
      <c r="C352" s="5" t="s">
        <v>96</v>
      </c>
      <c r="D352" s="5" t="s">
        <v>36</v>
      </c>
      <c r="E352" s="6">
        <v>1120.0</v>
      </c>
      <c r="F352" s="6">
        <v>280.0</v>
      </c>
      <c r="G352" s="5" t="s">
        <v>96</v>
      </c>
      <c r="H352" s="5" t="s">
        <v>96</v>
      </c>
      <c r="I352" s="6" t="s">
        <v>40</v>
      </c>
      <c r="J352" s="5" t="s">
        <v>8585</v>
      </c>
      <c r="K352" s="5" t="s">
        <v>8586</v>
      </c>
      <c r="L352" s="6" t="s">
        <v>42</v>
      </c>
      <c r="M352" s="5" t="s">
        <v>995</v>
      </c>
      <c r="N352" s="5" t="s">
        <v>64</v>
      </c>
      <c r="O352" s="5" t="s">
        <v>14358</v>
      </c>
      <c r="P352" s="5" t="s">
        <v>14333</v>
      </c>
      <c r="Q352" s="5" t="s">
        <v>15412</v>
      </c>
      <c r="R352" s="6">
        <v>8643.0</v>
      </c>
    </row>
    <row r="353" ht="56.25" customHeight="1">
      <c r="A353" s="5" t="s">
        <v>15397</v>
      </c>
      <c r="B353" s="6" t="str">
        <f>IMAGE("https://storage.googleapis.com/acdb/dresses/TopsTexOnepieceOverallLTights5.png")</f>
        <v/>
      </c>
      <c r="C353" s="5" t="s">
        <v>69</v>
      </c>
      <c r="D353" s="5" t="s">
        <v>36</v>
      </c>
      <c r="E353" s="6">
        <v>1120.0</v>
      </c>
      <c r="F353" s="6">
        <v>280.0</v>
      </c>
      <c r="G353" s="5" t="s">
        <v>69</v>
      </c>
      <c r="H353" s="5" t="s">
        <v>69</v>
      </c>
      <c r="I353" s="6" t="s">
        <v>40</v>
      </c>
      <c r="J353" s="5" t="s">
        <v>8585</v>
      </c>
      <c r="K353" s="5" t="s">
        <v>8586</v>
      </c>
      <c r="L353" s="6" t="s">
        <v>42</v>
      </c>
      <c r="M353" s="5" t="s">
        <v>995</v>
      </c>
      <c r="N353" s="5" t="s">
        <v>64</v>
      </c>
      <c r="O353" s="5" t="s">
        <v>14358</v>
      </c>
      <c r="P353" s="5" t="s">
        <v>14333</v>
      </c>
      <c r="Q353" s="5" t="s">
        <v>15415</v>
      </c>
      <c r="R353" s="6">
        <v>8644.0</v>
      </c>
    </row>
    <row r="354" ht="56.25" customHeight="1">
      <c r="A354" s="5" t="s">
        <v>15397</v>
      </c>
      <c r="B354" s="6" t="str">
        <f>IMAGE("https://storage.googleapis.com/acdb/dresses/TopsTexOnepieceOverallLTights6.png")</f>
        <v/>
      </c>
      <c r="C354" s="5" t="s">
        <v>151</v>
      </c>
      <c r="D354" s="5" t="s">
        <v>36</v>
      </c>
      <c r="E354" s="6">
        <v>1120.0</v>
      </c>
      <c r="F354" s="6">
        <v>280.0</v>
      </c>
      <c r="G354" s="5" t="s">
        <v>114</v>
      </c>
      <c r="H354" s="5" t="s">
        <v>114</v>
      </c>
      <c r="I354" s="6" t="s">
        <v>40</v>
      </c>
      <c r="J354" s="5" t="s">
        <v>8585</v>
      </c>
      <c r="K354" s="5" t="s">
        <v>8586</v>
      </c>
      <c r="L354" s="6" t="s">
        <v>42</v>
      </c>
      <c r="M354" s="5" t="s">
        <v>995</v>
      </c>
      <c r="N354" s="5" t="s">
        <v>64</v>
      </c>
      <c r="O354" s="5" t="s">
        <v>14358</v>
      </c>
      <c r="P354" s="5" t="s">
        <v>14333</v>
      </c>
      <c r="Q354" s="5" t="s">
        <v>15419</v>
      </c>
      <c r="R354" s="6">
        <v>8645.0</v>
      </c>
    </row>
    <row r="355" ht="56.25" customHeight="1">
      <c r="A355" s="5" t="s">
        <v>15397</v>
      </c>
      <c r="B355" s="6" t="str">
        <f>IMAGE("https://storage.googleapis.com/acdb/dresses/TopsTexOnepieceOverallLTights7.png")</f>
        <v/>
      </c>
      <c r="C355" s="5" t="s">
        <v>146</v>
      </c>
      <c r="D355" s="5" t="s">
        <v>36</v>
      </c>
      <c r="E355" s="6">
        <v>1120.0</v>
      </c>
      <c r="F355" s="6">
        <v>280.0</v>
      </c>
      <c r="G355" s="5" t="s">
        <v>95</v>
      </c>
      <c r="H355" s="5" t="s">
        <v>95</v>
      </c>
      <c r="I355" s="6" t="s">
        <v>40</v>
      </c>
      <c r="J355" s="5" t="s">
        <v>8585</v>
      </c>
      <c r="K355" s="5" t="s">
        <v>8586</v>
      </c>
      <c r="L355" s="6" t="s">
        <v>42</v>
      </c>
      <c r="M355" s="5" t="s">
        <v>995</v>
      </c>
      <c r="N355" s="5" t="s">
        <v>64</v>
      </c>
      <c r="O355" s="5" t="s">
        <v>14358</v>
      </c>
      <c r="P355" s="5" t="s">
        <v>14333</v>
      </c>
      <c r="Q355" s="5" t="s">
        <v>15421</v>
      </c>
      <c r="R355" s="6">
        <v>8646.0</v>
      </c>
    </row>
    <row r="356" ht="56.25" customHeight="1">
      <c r="A356" s="5" t="s">
        <v>15397</v>
      </c>
      <c r="B356" s="6" t="str">
        <f>IMAGE("https://storage.googleapis.com/acdb/dresses/TopsTexOnepieceOverallLTights0.png")</f>
        <v/>
      </c>
      <c r="C356" s="5" t="s">
        <v>54</v>
      </c>
      <c r="D356" s="5" t="s">
        <v>36</v>
      </c>
      <c r="E356" s="6">
        <v>1120.0</v>
      </c>
      <c r="F356" s="6">
        <v>280.0</v>
      </c>
      <c r="G356" s="5" t="s">
        <v>54</v>
      </c>
      <c r="H356" s="5" t="s">
        <v>54</v>
      </c>
      <c r="I356" s="6" t="s">
        <v>40</v>
      </c>
      <c r="J356" s="5" t="s">
        <v>8585</v>
      </c>
      <c r="K356" s="5" t="s">
        <v>8586</v>
      </c>
      <c r="L356" s="6" t="s">
        <v>42</v>
      </c>
      <c r="M356" s="5" t="s">
        <v>995</v>
      </c>
      <c r="N356" s="5" t="s">
        <v>64</v>
      </c>
      <c r="O356" s="5" t="s">
        <v>14358</v>
      </c>
      <c r="P356" s="5" t="s">
        <v>14333</v>
      </c>
      <c r="Q356" s="5" t="s">
        <v>15425</v>
      </c>
      <c r="R356" s="6">
        <v>4324.0</v>
      </c>
    </row>
    <row r="357" ht="56.25" customHeight="1">
      <c r="A357" s="5" t="s">
        <v>15426</v>
      </c>
      <c r="B357" s="6" t="str">
        <f>IMAGE("https://storage.googleapis.com/acdb/dresses/TopsTexOnepieceAlongNPearl1.png")</f>
        <v/>
      </c>
      <c r="C357" s="5" t="s">
        <v>4883</v>
      </c>
      <c r="D357" s="5" t="s">
        <v>36</v>
      </c>
      <c r="E357" s="6">
        <v>2600.0</v>
      </c>
      <c r="F357" s="6">
        <v>650.0</v>
      </c>
      <c r="G357" s="5" t="s">
        <v>52</v>
      </c>
      <c r="H357" s="5" t="s">
        <v>57</v>
      </c>
      <c r="I357" s="6" t="s">
        <v>40</v>
      </c>
      <c r="J357" s="5" t="s">
        <v>8585</v>
      </c>
      <c r="K357" s="5" t="s">
        <v>8586</v>
      </c>
      <c r="L357" s="6" t="s">
        <v>42</v>
      </c>
      <c r="M357" s="5" t="s">
        <v>612</v>
      </c>
      <c r="N357" s="5" t="s">
        <v>64</v>
      </c>
      <c r="O357" s="5" t="s">
        <v>14574</v>
      </c>
      <c r="P357" s="5" t="s">
        <v>14412</v>
      </c>
      <c r="Q357" s="5" t="s">
        <v>15429</v>
      </c>
      <c r="R357" s="6">
        <v>7938.0</v>
      </c>
    </row>
    <row r="358" ht="56.25" customHeight="1">
      <c r="A358" s="5" t="s">
        <v>15426</v>
      </c>
      <c r="B358" s="6" t="str">
        <f>IMAGE("https://storage.googleapis.com/acdb/dresses/TopsTexOnepieceAlongNPearl2.png")</f>
        <v/>
      </c>
      <c r="C358" s="5" t="s">
        <v>38</v>
      </c>
      <c r="D358" s="5" t="s">
        <v>36</v>
      </c>
      <c r="E358" s="6">
        <v>2600.0</v>
      </c>
      <c r="F358" s="6">
        <v>650.0</v>
      </c>
      <c r="G358" s="5" t="s">
        <v>38</v>
      </c>
      <c r="H358" s="5" t="s">
        <v>57</v>
      </c>
      <c r="I358" s="6" t="s">
        <v>40</v>
      </c>
      <c r="J358" s="5" t="s">
        <v>8585</v>
      </c>
      <c r="K358" s="5" t="s">
        <v>8586</v>
      </c>
      <c r="L358" s="6" t="s">
        <v>42</v>
      </c>
      <c r="M358" s="5" t="s">
        <v>612</v>
      </c>
      <c r="N358" s="5" t="s">
        <v>64</v>
      </c>
      <c r="O358" s="5" t="s">
        <v>14574</v>
      </c>
      <c r="P358" s="5" t="s">
        <v>14412</v>
      </c>
      <c r="Q358" s="5" t="s">
        <v>15432</v>
      </c>
      <c r="R358" s="6">
        <v>7939.0</v>
      </c>
    </row>
    <row r="359" ht="56.25" customHeight="1">
      <c r="A359" s="5" t="s">
        <v>15426</v>
      </c>
      <c r="B359" s="6" t="str">
        <f>IMAGE("https://storage.googleapis.com/acdb/dresses/TopsTexOnepieceAlongNPearl0.png")</f>
        <v/>
      </c>
      <c r="C359" s="5" t="s">
        <v>54</v>
      </c>
      <c r="D359" s="5" t="s">
        <v>36</v>
      </c>
      <c r="E359" s="6">
        <v>2600.0</v>
      </c>
      <c r="F359" s="6">
        <v>650.0</v>
      </c>
      <c r="G359" s="5" t="s">
        <v>54</v>
      </c>
      <c r="H359" s="5" t="s">
        <v>57</v>
      </c>
      <c r="I359" s="6" t="s">
        <v>40</v>
      </c>
      <c r="J359" s="5" t="s">
        <v>8585</v>
      </c>
      <c r="K359" s="5" t="s">
        <v>8586</v>
      </c>
      <c r="L359" s="6" t="s">
        <v>42</v>
      </c>
      <c r="M359" s="5" t="s">
        <v>612</v>
      </c>
      <c r="N359" s="5" t="s">
        <v>64</v>
      </c>
      <c r="O359" s="5" t="s">
        <v>14574</v>
      </c>
      <c r="P359" s="5" t="s">
        <v>14412</v>
      </c>
      <c r="Q359" s="5" t="s">
        <v>15435</v>
      </c>
      <c r="R359" s="6">
        <v>4341.0</v>
      </c>
    </row>
    <row r="360" ht="56.25" customHeight="1">
      <c r="A360" s="5" t="s">
        <v>15426</v>
      </c>
      <c r="B360" s="6" t="str">
        <f>IMAGE("https://storage.googleapis.com/acdb/dresses/TopsTexOnepieceAlongNPearl3.png")</f>
        <v/>
      </c>
      <c r="C360" s="5" t="s">
        <v>96</v>
      </c>
      <c r="D360" s="5" t="s">
        <v>36</v>
      </c>
      <c r="E360" s="6">
        <v>2600.0</v>
      </c>
      <c r="F360" s="6">
        <v>650.0</v>
      </c>
      <c r="G360" s="5" t="s">
        <v>96</v>
      </c>
      <c r="H360" s="5" t="s">
        <v>57</v>
      </c>
      <c r="I360" s="6" t="s">
        <v>40</v>
      </c>
      <c r="J360" s="5" t="s">
        <v>8585</v>
      </c>
      <c r="K360" s="5" t="s">
        <v>8586</v>
      </c>
      <c r="L360" s="6" t="s">
        <v>42</v>
      </c>
      <c r="M360" s="5" t="s">
        <v>612</v>
      </c>
      <c r="N360" s="5" t="s">
        <v>64</v>
      </c>
      <c r="O360" s="5" t="s">
        <v>14574</v>
      </c>
      <c r="P360" s="5" t="s">
        <v>14412</v>
      </c>
      <c r="Q360" s="5" t="s">
        <v>15437</v>
      </c>
      <c r="R360" s="6">
        <v>7940.0</v>
      </c>
    </row>
    <row r="361" ht="56.25" customHeight="1">
      <c r="A361" s="5" t="s">
        <v>15438</v>
      </c>
      <c r="B361" s="6" t="str">
        <f>IMAGE("https://storage.googleapis.com/acdb/dresses/TopsTexOnepieceRibNKohada.png")</f>
        <v/>
      </c>
      <c r="C361" s="5" t="s">
        <v>57</v>
      </c>
      <c r="D361" s="5" t="s">
        <v>36</v>
      </c>
      <c r="E361" s="6">
        <v>1440.0</v>
      </c>
      <c r="F361" s="6">
        <v>360.0</v>
      </c>
      <c r="G361" s="5" t="s">
        <v>95</v>
      </c>
      <c r="H361" s="5" t="s">
        <v>57</v>
      </c>
      <c r="I361" s="6" t="s">
        <v>40</v>
      </c>
      <c r="J361" s="5" t="s">
        <v>8585</v>
      </c>
      <c r="K361" s="5" t="s">
        <v>8586</v>
      </c>
      <c r="L361" s="6" t="s">
        <v>42</v>
      </c>
      <c r="M361" s="5" t="s">
        <v>1959</v>
      </c>
      <c r="N361" s="5" t="s">
        <v>64</v>
      </c>
      <c r="O361" s="5" t="s">
        <v>14463</v>
      </c>
      <c r="P361" s="5" t="s">
        <v>14412</v>
      </c>
      <c r="Q361" s="5" t="s">
        <v>15441</v>
      </c>
      <c r="R361" s="6">
        <v>5616.0</v>
      </c>
    </row>
    <row r="362" ht="56.25" customHeight="1">
      <c r="A362" s="5" t="s">
        <v>15442</v>
      </c>
      <c r="B362" s="6" t="str">
        <f>IMAGE("https://storage.googleapis.com/acdb/dresses/TopsTexOnepieceOverallLPlatearmorGold.png")</f>
        <v/>
      </c>
      <c r="C362" s="5" t="s">
        <v>151</v>
      </c>
      <c r="D362" s="5" t="s">
        <v>35</v>
      </c>
      <c r="E362" s="6" t="s">
        <v>37</v>
      </c>
      <c r="F362" s="6">
        <v>80000.0</v>
      </c>
      <c r="G362" s="5" t="s">
        <v>114</v>
      </c>
      <c r="H362" s="5" t="s">
        <v>114</v>
      </c>
      <c r="I362" s="6" t="s">
        <v>40</v>
      </c>
      <c r="J362" s="5" t="s">
        <v>41</v>
      </c>
      <c r="K362" s="5"/>
      <c r="L362" s="6" t="s">
        <v>42</v>
      </c>
      <c r="M362" s="5" t="s">
        <v>612</v>
      </c>
      <c r="N362" s="5" t="s">
        <v>48</v>
      </c>
      <c r="O362" s="5" t="s">
        <v>14358</v>
      </c>
      <c r="P362" s="5" t="s">
        <v>14333</v>
      </c>
      <c r="Q362" s="5" t="s">
        <v>15444</v>
      </c>
      <c r="R362" s="6">
        <v>4590.0</v>
      </c>
    </row>
    <row r="363" ht="56.25" customHeight="1">
      <c r="A363" s="5" t="s">
        <v>15446</v>
      </c>
      <c r="B363" s="6" t="str">
        <f>IMAGE("https://storage.googleapis.com/acdb/dresses/TopsTexOnepieceAlineNGrape.png")</f>
        <v/>
      </c>
      <c r="C363" s="5" t="s">
        <v>106</v>
      </c>
      <c r="D363" s="5" t="s">
        <v>36</v>
      </c>
      <c r="E363" s="6">
        <v>1500.0</v>
      </c>
      <c r="F363" s="6">
        <v>375.0</v>
      </c>
      <c r="G363" s="5" t="s">
        <v>106</v>
      </c>
      <c r="H363" s="5" t="s">
        <v>96</v>
      </c>
      <c r="I363" s="6" t="s">
        <v>40</v>
      </c>
      <c r="J363" s="5" t="s">
        <v>8585</v>
      </c>
      <c r="K363" s="5" t="s">
        <v>8632</v>
      </c>
      <c r="L363" s="6" t="s">
        <v>42</v>
      </c>
      <c r="M363" s="5" t="s">
        <v>1959</v>
      </c>
      <c r="N363" s="5" t="s">
        <v>64</v>
      </c>
      <c r="O363" s="5" t="s">
        <v>14411</v>
      </c>
      <c r="P363" s="5" t="s">
        <v>14412</v>
      </c>
      <c r="Q363" s="5" t="s">
        <v>15448</v>
      </c>
      <c r="R363" s="6">
        <v>3290.0</v>
      </c>
    </row>
    <row r="364" ht="56.25" customHeight="1">
      <c r="A364" s="5" t="s">
        <v>15449</v>
      </c>
      <c r="B364" s="6" t="str">
        <f>IMAGE("https://storage.googleapis.com/acdb/dresses/TopsTexOnepieceAlineHPolkadotSpring1.png")</f>
        <v/>
      </c>
      <c r="C364" s="5" t="s">
        <v>1952</v>
      </c>
      <c r="D364" s="5" t="s">
        <v>36</v>
      </c>
      <c r="E364" s="6">
        <v>1800.0</v>
      </c>
      <c r="F364" s="6">
        <v>450.0</v>
      </c>
      <c r="G364" s="5" t="s">
        <v>106</v>
      </c>
      <c r="H364" s="5" t="s">
        <v>83</v>
      </c>
      <c r="I364" s="6" t="s">
        <v>40</v>
      </c>
      <c r="J364" s="5" t="s">
        <v>8585</v>
      </c>
      <c r="K364" s="5" t="s">
        <v>8632</v>
      </c>
      <c r="L364" s="6" t="s">
        <v>42</v>
      </c>
      <c r="M364" s="5" t="s">
        <v>1959</v>
      </c>
      <c r="N364" s="5" t="s">
        <v>64</v>
      </c>
      <c r="O364" s="5" t="s">
        <v>14411</v>
      </c>
      <c r="P364" s="5" t="s">
        <v>14345</v>
      </c>
      <c r="Q364" s="5" t="s">
        <v>15452</v>
      </c>
      <c r="R364" s="6">
        <v>8805.0</v>
      </c>
    </row>
    <row r="365" ht="56.25" customHeight="1">
      <c r="A365" s="5" t="s">
        <v>15449</v>
      </c>
      <c r="B365" s="6" t="str">
        <f>IMAGE("https://storage.googleapis.com/acdb/dresses/TopsTexOnepieceAlineHPolkadotSpring0.png")</f>
        <v/>
      </c>
      <c r="C365" s="5" t="s">
        <v>1167</v>
      </c>
      <c r="D365" s="5" t="s">
        <v>36</v>
      </c>
      <c r="E365" s="6">
        <v>1800.0</v>
      </c>
      <c r="F365" s="6">
        <v>450.0</v>
      </c>
      <c r="G365" s="5" t="s">
        <v>69</v>
      </c>
      <c r="H365" s="5" t="s">
        <v>96</v>
      </c>
      <c r="I365" s="6" t="s">
        <v>40</v>
      </c>
      <c r="J365" s="5" t="s">
        <v>8585</v>
      </c>
      <c r="K365" s="5" t="s">
        <v>8632</v>
      </c>
      <c r="L365" s="6" t="s">
        <v>42</v>
      </c>
      <c r="M365" s="5" t="s">
        <v>1959</v>
      </c>
      <c r="N365" s="5" t="s">
        <v>64</v>
      </c>
      <c r="O365" s="5" t="s">
        <v>14411</v>
      </c>
      <c r="P365" s="5" t="s">
        <v>14345</v>
      </c>
      <c r="Q365" s="5" t="s">
        <v>15456</v>
      </c>
      <c r="R365" s="6">
        <v>2686.0</v>
      </c>
    </row>
    <row r="366" ht="56.25" customHeight="1">
      <c r="A366" s="5" t="s">
        <v>15457</v>
      </c>
      <c r="B366" s="6" t="str">
        <f>IMAGE("https://storage.googleapis.com/acdb/dresses/TopsTexOnepieceKimonoLHakama0.png")</f>
        <v/>
      </c>
      <c r="C366" s="5" t="s">
        <v>11655</v>
      </c>
      <c r="D366" s="5" t="s">
        <v>36</v>
      </c>
      <c r="E366" s="6">
        <v>3180.0</v>
      </c>
      <c r="F366" s="6">
        <v>795.0</v>
      </c>
      <c r="G366" s="5" t="s">
        <v>106</v>
      </c>
      <c r="H366" s="5" t="s">
        <v>52</v>
      </c>
      <c r="I366" s="6" t="s">
        <v>40</v>
      </c>
      <c r="J366" s="5" t="s">
        <v>8585</v>
      </c>
      <c r="K366" s="5" t="s">
        <v>8586</v>
      </c>
      <c r="L366" s="6" t="s">
        <v>42</v>
      </c>
      <c r="M366" s="5" t="s">
        <v>1059</v>
      </c>
      <c r="N366" s="5" t="s">
        <v>64</v>
      </c>
      <c r="O366" s="5" t="s">
        <v>6513</v>
      </c>
      <c r="P366" s="5" t="s">
        <v>14333</v>
      </c>
      <c r="Q366" s="5" t="s">
        <v>15460</v>
      </c>
      <c r="R366" s="6">
        <v>4319.0</v>
      </c>
    </row>
    <row r="367" ht="56.25" customHeight="1">
      <c r="A367" s="5" t="s">
        <v>15457</v>
      </c>
      <c r="B367" s="6" t="str">
        <f>IMAGE("https://storage.googleapis.com/acdb/dresses/TopsTexOnepieceKimonoLHakama1.png")</f>
        <v/>
      </c>
      <c r="C367" s="5" t="s">
        <v>96</v>
      </c>
      <c r="D367" s="5" t="s">
        <v>36</v>
      </c>
      <c r="E367" s="6">
        <v>3180.0</v>
      </c>
      <c r="F367" s="6">
        <v>795.0</v>
      </c>
      <c r="G367" s="5" t="s">
        <v>96</v>
      </c>
      <c r="H367" s="5" t="s">
        <v>106</v>
      </c>
      <c r="I367" s="6" t="s">
        <v>40</v>
      </c>
      <c r="J367" s="5" t="s">
        <v>8585</v>
      </c>
      <c r="K367" s="5" t="s">
        <v>8586</v>
      </c>
      <c r="L367" s="6" t="s">
        <v>42</v>
      </c>
      <c r="M367" s="5" t="s">
        <v>1059</v>
      </c>
      <c r="N367" s="5" t="s">
        <v>64</v>
      </c>
      <c r="O367" s="5" t="s">
        <v>6513</v>
      </c>
      <c r="P367" s="5" t="s">
        <v>14333</v>
      </c>
      <c r="Q367" s="5" t="s">
        <v>15462</v>
      </c>
      <c r="R367" s="6">
        <v>8982.0</v>
      </c>
    </row>
    <row r="368" ht="56.25" customHeight="1">
      <c r="A368" s="5" t="s">
        <v>15457</v>
      </c>
      <c r="B368" s="6" t="str">
        <f>IMAGE("https://storage.googleapis.com/acdb/dresses/TopsTexOnepieceKimonoLHakama2.png")</f>
        <v/>
      </c>
      <c r="C368" s="5" t="s">
        <v>2431</v>
      </c>
      <c r="D368" s="5" t="s">
        <v>36</v>
      </c>
      <c r="E368" s="6">
        <v>3180.0</v>
      </c>
      <c r="F368" s="6">
        <v>795.0</v>
      </c>
      <c r="G368" s="5" t="s">
        <v>68</v>
      </c>
      <c r="H368" s="5" t="s">
        <v>96</v>
      </c>
      <c r="I368" s="6" t="s">
        <v>40</v>
      </c>
      <c r="J368" s="5" t="s">
        <v>8585</v>
      </c>
      <c r="K368" s="5" t="s">
        <v>8586</v>
      </c>
      <c r="L368" s="6" t="s">
        <v>42</v>
      </c>
      <c r="M368" s="5" t="s">
        <v>1059</v>
      </c>
      <c r="N368" s="5" t="s">
        <v>64</v>
      </c>
      <c r="O368" s="5" t="s">
        <v>6513</v>
      </c>
      <c r="P368" s="5" t="s">
        <v>14333</v>
      </c>
      <c r="Q368" s="5" t="s">
        <v>15466</v>
      </c>
      <c r="R368" s="6">
        <v>8983.0</v>
      </c>
    </row>
    <row r="369" ht="56.25" customHeight="1">
      <c r="A369" s="5" t="s">
        <v>15467</v>
      </c>
      <c r="B369" s="6" t="str">
        <f>IMAGE("https://storage.googleapis.com/acdb/dresses/TopsTexOnepieceKimonoLCrested0.png")</f>
        <v/>
      </c>
      <c r="C369" s="5" t="s">
        <v>54</v>
      </c>
      <c r="D369" s="5" t="s">
        <v>36</v>
      </c>
      <c r="E369" s="6">
        <v>4800.0</v>
      </c>
      <c r="F369" s="6">
        <v>1200.0</v>
      </c>
      <c r="G369" s="5" t="s">
        <v>54</v>
      </c>
      <c r="H369" s="5" t="s">
        <v>95</v>
      </c>
      <c r="I369" s="6" t="s">
        <v>40</v>
      </c>
      <c r="J369" s="5" t="s">
        <v>8585</v>
      </c>
      <c r="K369" s="5" t="s">
        <v>8586</v>
      </c>
      <c r="L369" s="6" t="s">
        <v>42</v>
      </c>
      <c r="M369" s="5" t="s">
        <v>1952</v>
      </c>
      <c r="N369" s="5" t="s">
        <v>64</v>
      </c>
      <c r="O369" s="5" t="s">
        <v>6513</v>
      </c>
      <c r="P369" s="5" t="s">
        <v>14333</v>
      </c>
      <c r="Q369" s="5" t="s">
        <v>15469</v>
      </c>
      <c r="R369" s="6">
        <v>9835.0</v>
      </c>
    </row>
    <row r="370" ht="56.25" customHeight="1">
      <c r="A370" s="5" t="s">
        <v>15470</v>
      </c>
      <c r="B370" s="6" t="str">
        <f>IMAGE("https://storage.googleapis.com/acdb/dresses/TopsTexOnepieceAlineNHibiscus1.png")</f>
        <v/>
      </c>
      <c r="C370" s="5" t="s">
        <v>114</v>
      </c>
      <c r="D370" s="5" t="s">
        <v>36</v>
      </c>
      <c r="E370" s="6">
        <v>1800.0</v>
      </c>
      <c r="F370" s="6">
        <v>450.0</v>
      </c>
      <c r="G370" s="5" t="s">
        <v>114</v>
      </c>
      <c r="H370" s="5" t="s">
        <v>57</v>
      </c>
      <c r="I370" s="6" t="s">
        <v>40</v>
      </c>
      <c r="J370" s="5" t="s">
        <v>8585</v>
      </c>
      <c r="K370" s="5" t="s">
        <v>8632</v>
      </c>
      <c r="L370" s="6" t="s">
        <v>42</v>
      </c>
      <c r="M370" s="5" t="s">
        <v>1959</v>
      </c>
      <c r="N370" s="5" t="s">
        <v>64</v>
      </c>
      <c r="O370" s="5" t="s">
        <v>14411</v>
      </c>
      <c r="P370" s="5" t="s">
        <v>14412</v>
      </c>
      <c r="Q370" s="5" t="s">
        <v>15473</v>
      </c>
      <c r="R370" s="6">
        <v>12103.0</v>
      </c>
    </row>
    <row r="371" ht="56.25" customHeight="1">
      <c r="A371" s="5" t="s">
        <v>15470</v>
      </c>
      <c r="B371" s="6" t="str">
        <f>IMAGE("https://storage.googleapis.com/acdb/dresses/TopsTexOnepieceAlineNHibiscus2.png")</f>
        <v/>
      </c>
      <c r="C371" s="5" t="s">
        <v>69</v>
      </c>
      <c r="D371" s="5" t="s">
        <v>36</v>
      </c>
      <c r="E371" s="6">
        <v>1800.0</v>
      </c>
      <c r="F371" s="6">
        <v>450.0</v>
      </c>
      <c r="G371" s="5" t="s">
        <v>69</v>
      </c>
      <c r="H371" s="5" t="s">
        <v>57</v>
      </c>
      <c r="I371" s="6" t="s">
        <v>40</v>
      </c>
      <c r="J371" s="5" t="s">
        <v>8585</v>
      </c>
      <c r="K371" s="5" t="s">
        <v>8632</v>
      </c>
      <c r="L371" s="6" t="s">
        <v>42</v>
      </c>
      <c r="M371" s="5" t="s">
        <v>1959</v>
      </c>
      <c r="N371" s="5" t="s">
        <v>64</v>
      </c>
      <c r="O371" s="5" t="s">
        <v>14411</v>
      </c>
      <c r="P371" s="5" t="s">
        <v>14412</v>
      </c>
      <c r="Q371" s="5" t="s">
        <v>15476</v>
      </c>
      <c r="R371" s="6">
        <v>12104.0</v>
      </c>
    </row>
    <row r="372" ht="56.25" customHeight="1">
      <c r="A372" s="5" t="s">
        <v>15470</v>
      </c>
      <c r="B372" s="6" t="str">
        <f>IMAGE("https://storage.googleapis.com/acdb/dresses/TopsTexOnepieceAlineNHibiscus0.png")</f>
        <v/>
      </c>
      <c r="C372" s="5" t="s">
        <v>52</v>
      </c>
      <c r="D372" s="5" t="s">
        <v>36</v>
      </c>
      <c r="E372" s="6">
        <v>1800.0</v>
      </c>
      <c r="F372" s="6">
        <v>450.0</v>
      </c>
      <c r="G372" s="5" t="s">
        <v>52</v>
      </c>
      <c r="H372" s="5" t="s">
        <v>57</v>
      </c>
      <c r="I372" s="6" t="s">
        <v>40</v>
      </c>
      <c r="J372" s="5" t="s">
        <v>8585</v>
      </c>
      <c r="K372" s="5" t="s">
        <v>8632</v>
      </c>
      <c r="L372" s="6" t="s">
        <v>42</v>
      </c>
      <c r="M372" s="5" t="s">
        <v>1959</v>
      </c>
      <c r="N372" s="5" t="s">
        <v>64</v>
      </c>
      <c r="O372" s="5" t="s">
        <v>14411</v>
      </c>
      <c r="P372" s="5" t="s">
        <v>14412</v>
      </c>
      <c r="Q372" s="5" t="s">
        <v>15479</v>
      </c>
      <c r="R372" s="6">
        <v>8189.0</v>
      </c>
    </row>
    <row r="373" ht="56.25" customHeight="1">
      <c r="A373" s="5" t="s">
        <v>15480</v>
      </c>
      <c r="B373" s="6" t="str">
        <f>IMAGE("https://storage.googleapis.com/acdb/dresses/TopsTexOnepieceRibNHotdogMustard.png")</f>
        <v/>
      </c>
      <c r="C373" s="5" t="s">
        <v>8709</v>
      </c>
      <c r="D373" s="5" t="s">
        <v>36</v>
      </c>
      <c r="E373" s="6">
        <v>1280.0</v>
      </c>
      <c r="F373" s="6">
        <v>320.0</v>
      </c>
      <c r="G373" s="5" t="s">
        <v>52</v>
      </c>
      <c r="H373" s="5" t="s">
        <v>142</v>
      </c>
      <c r="I373" s="6" t="s">
        <v>40</v>
      </c>
      <c r="J373" s="5" t="s">
        <v>8585</v>
      </c>
      <c r="K373" s="5" t="s">
        <v>8586</v>
      </c>
      <c r="L373" s="6" t="s">
        <v>42</v>
      </c>
      <c r="M373" s="5" t="s">
        <v>8746</v>
      </c>
      <c r="N373" s="5" t="s">
        <v>64</v>
      </c>
      <c r="O373" s="5" t="s">
        <v>14463</v>
      </c>
      <c r="P373" s="5" t="s">
        <v>14345</v>
      </c>
      <c r="Q373" s="5" t="s">
        <v>15483</v>
      </c>
      <c r="R373" s="6">
        <v>5287.0</v>
      </c>
    </row>
    <row r="374" ht="56.25" customHeight="1">
      <c r="A374" s="5" t="s">
        <v>15485</v>
      </c>
      <c r="B374" s="6" t="str">
        <f>IMAGE("https://storage.googleapis.com/acdb/dresses/TopsTexOnepieceBoxLHouse0.png")</f>
        <v/>
      </c>
      <c r="C374" s="5" t="s">
        <v>57</v>
      </c>
      <c r="D374" s="5" t="s">
        <v>36</v>
      </c>
      <c r="E374" s="6">
        <v>1600.0</v>
      </c>
      <c r="F374" s="6">
        <v>400.0</v>
      </c>
      <c r="G374" s="5" t="s">
        <v>83</v>
      </c>
      <c r="H374" s="5" t="s">
        <v>69</v>
      </c>
      <c r="I374" s="6" t="s">
        <v>40</v>
      </c>
      <c r="J374" s="5" t="s">
        <v>8585</v>
      </c>
      <c r="K374" s="5" t="s">
        <v>8632</v>
      </c>
      <c r="L374" s="6" t="s">
        <v>42</v>
      </c>
      <c r="M374" s="5" t="s">
        <v>1959</v>
      </c>
      <c r="N374" s="5" t="s">
        <v>64</v>
      </c>
      <c r="O374" s="5" t="s">
        <v>14332</v>
      </c>
      <c r="P374" s="5" t="s">
        <v>14333</v>
      </c>
      <c r="Q374" s="5" t="s">
        <v>15487</v>
      </c>
      <c r="R374" s="6">
        <v>4579.0</v>
      </c>
    </row>
    <row r="375" ht="56.25" customHeight="1">
      <c r="A375" s="5" t="s">
        <v>15485</v>
      </c>
      <c r="B375" s="6" t="str">
        <f>IMAGE("https://storage.googleapis.com/acdb/dresses/TopsTexOnepieceBoxLHouse1.png")</f>
        <v/>
      </c>
      <c r="C375" s="5" t="s">
        <v>114</v>
      </c>
      <c r="D375" s="5" t="s">
        <v>36</v>
      </c>
      <c r="E375" s="6">
        <v>1600.0</v>
      </c>
      <c r="F375" s="6">
        <v>400.0</v>
      </c>
      <c r="G375" s="5" t="s">
        <v>114</v>
      </c>
      <c r="H375" s="5" t="s">
        <v>68</v>
      </c>
      <c r="I375" s="6" t="s">
        <v>40</v>
      </c>
      <c r="J375" s="5" t="s">
        <v>8585</v>
      </c>
      <c r="K375" s="5" t="s">
        <v>8632</v>
      </c>
      <c r="L375" s="6" t="s">
        <v>42</v>
      </c>
      <c r="M375" s="5" t="s">
        <v>1959</v>
      </c>
      <c r="N375" s="5" t="s">
        <v>64</v>
      </c>
      <c r="O375" s="5" t="s">
        <v>14332</v>
      </c>
      <c r="P375" s="5" t="s">
        <v>14333</v>
      </c>
      <c r="Q375" s="5" t="s">
        <v>15490</v>
      </c>
      <c r="R375" s="6">
        <v>8810.0</v>
      </c>
    </row>
    <row r="376" ht="56.25" customHeight="1">
      <c r="A376" s="5" t="s">
        <v>15491</v>
      </c>
      <c r="B376" s="6" t="str">
        <f>IMAGE("https://storage.googleapis.com/acdb/dresses/TopsTexOnepieceSalopetteLHockey1.png")</f>
        <v/>
      </c>
      <c r="C376" s="5" t="s">
        <v>407</v>
      </c>
      <c r="D376" s="5" t="s">
        <v>36</v>
      </c>
      <c r="E376" s="6">
        <v>2640.0</v>
      </c>
      <c r="F376" s="6">
        <v>660.0</v>
      </c>
      <c r="G376" s="5" t="s">
        <v>57</v>
      </c>
      <c r="H376" s="5" t="s">
        <v>68</v>
      </c>
      <c r="I376" s="6" t="s">
        <v>40</v>
      </c>
      <c r="J376" s="5" t="s">
        <v>8585</v>
      </c>
      <c r="K376" s="5" t="s">
        <v>8632</v>
      </c>
      <c r="L376" s="6" t="s">
        <v>42</v>
      </c>
      <c r="M376" s="5" t="s">
        <v>8746</v>
      </c>
      <c r="N376" s="5" t="s">
        <v>64</v>
      </c>
      <c r="O376" s="5" t="s">
        <v>15229</v>
      </c>
      <c r="P376" s="5" t="s">
        <v>14333</v>
      </c>
      <c r="Q376" s="5" t="s">
        <v>15495</v>
      </c>
      <c r="R376" s="6">
        <v>9405.0</v>
      </c>
    </row>
    <row r="377" ht="56.25" customHeight="1">
      <c r="A377" s="5" t="s">
        <v>15491</v>
      </c>
      <c r="B377" s="6" t="str">
        <f>IMAGE("https://storage.googleapis.com/acdb/dresses/TopsTexOnepieceSalopetteLHockey2.png")</f>
        <v/>
      </c>
      <c r="C377" s="5" t="s">
        <v>4883</v>
      </c>
      <c r="D377" s="5" t="s">
        <v>36</v>
      </c>
      <c r="E377" s="6">
        <v>2640.0</v>
      </c>
      <c r="F377" s="6">
        <v>660.0</v>
      </c>
      <c r="G377" s="5" t="s">
        <v>52</v>
      </c>
      <c r="H377" s="5" t="s">
        <v>54</v>
      </c>
      <c r="I377" s="6" t="s">
        <v>40</v>
      </c>
      <c r="J377" s="5" t="s">
        <v>8585</v>
      </c>
      <c r="K377" s="5" t="s">
        <v>8632</v>
      </c>
      <c r="L377" s="6" t="s">
        <v>42</v>
      </c>
      <c r="M377" s="5" t="s">
        <v>8746</v>
      </c>
      <c r="N377" s="5" t="s">
        <v>64</v>
      </c>
      <c r="O377" s="5" t="s">
        <v>15229</v>
      </c>
      <c r="P377" s="5" t="s">
        <v>14333</v>
      </c>
      <c r="Q377" s="5" t="s">
        <v>15498</v>
      </c>
      <c r="R377" s="6">
        <v>9406.0</v>
      </c>
    </row>
    <row r="378" ht="56.25" customHeight="1">
      <c r="A378" s="5" t="s">
        <v>15491</v>
      </c>
      <c r="B378" s="6" t="str">
        <f>IMAGE("https://storage.googleapis.com/acdb/dresses/TopsTexOnepieceSalopetteLHockey3.png")</f>
        <v/>
      </c>
      <c r="C378" s="5" t="s">
        <v>68</v>
      </c>
      <c r="D378" s="5" t="s">
        <v>36</v>
      </c>
      <c r="E378" s="6">
        <v>2640.0</v>
      </c>
      <c r="F378" s="6">
        <v>660.0</v>
      </c>
      <c r="G378" s="5" t="s">
        <v>68</v>
      </c>
      <c r="H378" s="5" t="s">
        <v>54</v>
      </c>
      <c r="I378" s="6" t="s">
        <v>40</v>
      </c>
      <c r="J378" s="5" t="s">
        <v>8585</v>
      </c>
      <c r="K378" s="5" t="s">
        <v>8632</v>
      </c>
      <c r="L378" s="6" t="s">
        <v>42</v>
      </c>
      <c r="M378" s="5" t="s">
        <v>8746</v>
      </c>
      <c r="N378" s="5" t="s">
        <v>64</v>
      </c>
      <c r="O378" s="5" t="s">
        <v>15229</v>
      </c>
      <c r="P378" s="5" t="s">
        <v>14333</v>
      </c>
      <c r="Q378" s="5" t="s">
        <v>15501</v>
      </c>
      <c r="R378" s="6">
        <v>9407.0</v>
      </c>
    </row>
    <row r="379" ht="56.25" customHeight="1">
      <c r="A379" s="5" t="s">
        <v>15491</v>
      </c>
      <c r="B379" s="6" t="str">
        <f>IMAGE("https://storage.googleapis.com/acdb/dresses/TopsTexOnepieceSalopetteLHockey4.png")</f>
        <v/>
      </c>
      <c r="C379" s="5" t="s">
        <v>96</v>
      </c>
      <c r="D379" s="5" t="s">
        <v>36</v>
      </c>
      <c r="E379" s="6">
        <v>2640.0</v>
      </c>
      <c r="F379" s="6">
        <v>660.0</v>
      </c>
      <c r="G379" s="5" t="s">
        <v>96</v>
      </c>
      <c r="H379" s="5" t="s">
        <v>54</v>
      </c>
      <c r="I379" s="6" t="s">
        <v>40</v>
      </c>
      <c r="J379" s="5" t="s">
        <v>8585</v>
      </c>
      <c r="K379" s="5" t="s">
        <v>8632</v>
      </c>
      <c r="L379" s="6" t="s">
        <v>42</v>
      </c>
      <c r="M379" s="5" t="s">
        <v>8746</v>
      </c>
      <c r="N379" s="5" t="s">
        <v>64</v>
      </c>
      <c r="O379" s="5" t="s">
        <v>15229</v>
      </c>
      <c r="P379" s="5" t="s">
        <v>14333</v>
      </c>
      <c r="Q379" s="5" t="s">
        <v>15504</v>
      </c>
      <c r="R379" s="6">
        <v>9408.0</v>
      </c>
    </row>
    <row r="380" ht="56.25" customHeight="1">
      <c r="A380" s="5" t="s">
        <v>15491</v>
      </c>
      <c r="B380" s="6" t="str">
        <f>IMAGE("https://storage.googleapis.com/acdb/dresses/TopsTexOnepieceSalopetteLHockey5.png")</f>
        <v/>
      </c>
      <c r="C380" s="5" t="s">
        <v>142</v>
      </c>
      <c r="D380" s="5" t="s">
        <v>36</v>
      </c>
      <c r="E380" s="6">
        <v>2640.0</v>
      </c>
      <c r="F380" s="6">
        <v>660.0</v>
      </c>
      <c r="G380" s="5" t="s">
        <v>142</v>
      </c>
      <c r="H380" s="5" t="s">
        <v>54</v>
      </c>
      <c r="I380" s="6" t="s">
        <v>40</v>
      </c>
      <c r="J380" s="5" t="s">
        <v>8585</v>
      </c>
      <c r="K380" s="5" t="s">
        <v>8632</v>
      </c>
      <c r="L380" s="6" t="s">
        <v>42</v>
      </c>
      <c r="M380" s="5" t="s">
        <v>8746</v>
      </c>
      <c r="N380" s="5" t="s">
        <v>64</v>
      </c>
      <c r="O380" s="5" t="s">
        <v>15229</v>
      </c>
      <c r="P380" s="5" t="s">
        <v>14333</v>
      </c>
      <c r="Q380" s="5" t="s">
        <v>15506</v>
      </c>
      <c r="R380" s="6">
        <v>9409.0</v>
      </c>
    </row>
    <row r="381" ht="56.25" customHeight="1">
      <c r="A381" s="5" t="s">
        <v>15491</v>
      </c>
      <c r="B381" s="6" t="str">
        <f>IMAGE("https://storage.googleapis.com/acdb/dresses/TopsTexOnepieceSalopetteLHockey0.png")</f>
        <v/>
      </c>
      <c r="C381" s="5" t="s">
        <v>11612</v>
      </c>
      <c r="D381" s="5" t="s">
        <v>36</v>
      </c>
      <c r="E381" s="6">
        <v>2640.0</v>
      </c>
      <c r="F381" s="6">
        <v>660.0</v>
      </c>
      <c r="G381" s="5" t="s">
        <v>57</v>
      </c>
      <c r="H381" s="5" t="s">
        <v>52</v>
      </c>
      <c r="I381" s="6" t="s">
        <v>40</v>
      </c>
      <c r="J381" s="5" t="s">
        <v>8585</v>
      </c>
      <c r="K381" s="5" t="s">
        <v>8632</v>
      </c>
      <c r="L381" s="6" t="s">
        <v>42</v>
      </c>
      <c r="M381" s="5" t="s">
        <v>8746</v>
      </c>
      <c r="N381" s="5" t="s">
        <v>64</v>
      </c>
      <c r="O381" s="5" t="s">
        <v>15229</v>
      </c>
      <c r="P381" s="5" t="s">
        <v>14333</v>
      </c>
      <c r="Q381" s="5" t="s">
        <v>15510</v>
      </c>
      <c r="R381" s="6">
        <v>5831.0</v>
      </c>
    </row>
    <row r="382" ht="56.25" customHeight="1">
      <c r="A382" s="5" t="s">
        <v>15491</v>
      </c>
      <c r="B382" s="6" t="str">
        <f>IMAGE("https://storage.googleapis.com/acdb/dresses/TopsTexOnepieceSalopetteLHockey6.png")</f>
        <v/>
      </c>
      <c r="C382" s="5" t="s">
        <v>83</v>
      </c>
      <c r="D382" s="5" t="s">
        <v>36</v>
      </c>
      <c r="E382" s="6">
        <v>2640.0</v>
      </c>
      <c r="F382" s="6">
        <v>660.0</v>
      </c>
      <c r="G382" s="5" t="s">
        <v>83</v>
      </c>
      <c r="H382" s="5" t="s">
        <v>54</v>
      </c>
      <c r="I382" s="6" t="s">
        <v>40</v>
      </c>
      <c r="J382" s="5" t="s">
        <v>8585</v>
      </c>
      <c r="K382" s="5" t="s">
        <v>8632</v>
      </c>
      <c r="L382" s="6" t="s">
        <v>42</v>
      </c>
      <c r="M382" s="5" t="s">
        <v>8746</v>
      </c>
      <c r="N382" s="5" t="s">
        <v>64</v>
      </c>
      <c r="O382" s="5" t="s">
        <v>15229</v>
      </c>
      <c r="P382" s="5" t="s">
        <v>14333</v>
      </c>
      <c r="Q382" s="5" t="s">
        <v>15513</v>
      </c>
      <c r="R382" s="6">
        <v>9410.0</v>
      </c>
    </row>
    <row r="383" ht="56.25" customHeight="1">
      <c r="A383" s="5" t="s">
        <v>15491</v>
      </c>
      <c r="B383" s="6" t="str">
        <f>IMAGE("https://storage.googleapis.com/acdb/dresses/TopsTexOnepieceSalopetteLHockey7.png")</f>
        <v/>
      </c>
      <c r="C383" s="5" t="s">
        <v>95</v>
      </c>
      <c r="D383" s="5" t="s">
        <v>36</v>
      </c>
      <c r="E383" s="6">
        <v>2640.0</v>
      </c>
      <c r="F383" s="6">
        <v>660.0</v>
      </c>
      <c r="G383" s="5" t="s">
        <v>95</v>
      </c>
      <c r="H383" s="5" t="s">
        <v>54</v>
      </c>
      <c r="I383" s="6" t="s">
        <v>40</v>
      </c>
      <c r="J383" s="5" t="s">
        <v>8585</v>
      </c>
      <c r="K383" s="5" t="s">
        <v>8632</v>
      </c>
      <c r="L383" s="6" t="s">
        <v>42</v>
      </c>
      <c r="M383" s="5" t="s">
        <v>8746</v>
      </c>
      <c r="N383" s="5" t="s">
        <v>64</v>
      </c>
      <c r="O383" s="5" t="s">
        <v>15229</v>
      </c>
      <c r="P383" s="5" t="s">
        <v>14333</v>
      </c>
      <c r="Q383" s="5" t="s">
        <v>15516</v>
      </c>
      <c r="R383" s="6">
        <v>9411.0</v>
      </c>
    </row>
    <row r="384" ht="56.25" customHeight="1">
      <c r="A384" s="5" t="s">
        <v>15517</v>
      </c>
      <c r="B384" s="6" t="str">
        <f>IMAGE("https://storage.googleapis.com/acdb/dresses/TopsTexOnepieceRobeLIcequeen0.png")</f>
        <v/>
      </c>
      <c r="C384" s="5" t="s">
        <v>4751</v>
      </c>
      <c r="D384" s="5" t="s">
        <v>36</v>
      </c>
      <c r="E384" s="6">
        <v>5200.0</v>
      </c>
      <c r="F384" s="6">
        <v>1300.0</v>
      </c>
      <c r="G384" s="5" t="s">
        <v>83</v>
      </c>
      <c r="H384" s="5" t="s">
        <v>83</v>
      </c>
      <c r="I384" s="6" t="s">
        <v>40</v>
      </c>
      <c r="J384" s="5" t="s">
        <v>8585</v>
      </c>
      <c r="K384" s="5" t="s">
        <v>8586</v>
      </c>
      <c r="L384" s="6" t="s">
        <v>42</v>
      </c>
      <c r="M384" s="5" t="s">
        <v>612</v>
      </c>
      <c r="N384" s="5" t="s">
        <v>64</v>
      </c>
      <c r="O384" s="5" t="s">
        <v>15520</v>
      </c>
      <c r="P384" s="5" t="s">
        <v>14333</v>
      </c>
      <c r="Q384" s="5" t="s">
        <v>15521</v>
      </c>
      <c r="R384" s="6">
        <v>4648.0</v>
      </c>
    </row>
    <row r="385" ht="56.25" customHeight="1">
      <c r="A385" s="5" t="s">
        <v>15522</v>
      </c>
      <c r="B385" s="6" t="str">
        <f>IMAGE("https://storage.googleapis.com/acdb/dresses/TopsTexOnepieceOverallLDevil1.png")</f>
        <v/>
      </c>
      <c r="C385" s="5" t="s">
        <v>52</v>
      </c>
      <c r="D385" s="5" t="s">
        <v>36</v>
      </c>
      <c r="E385" s="6">
        <v>2240.0</v>
      </c>
      <c r="F385" s="6">
        <v>560.0</v>
      </c>
      <c r="G385" s="5" t="s">
        <v>52</v>
      </c>
      <c r="H385" s="5" t="s">
        <v>52</v>
      </c>
      <c r="I385" s="6" t="s">
        <v>40</v>
      </c>
      <c r="J385" s="5" t="s">
        <v>8585</v>
      </c>
      <c r="K385" s="5" t="s">
        <v>8586</v>
      </c>
      <c r="L385" s="6" t="s">
        <v>42</v>
      </c>
      <c r="M385" s="5" t="s">
        <v>1952</v>
      </c>
      <c r="N385" s="5" t="s">
        <v>64</v>
      </c>
      <c r="O385" s="5" t="s">
        <v>14358</v>
      </c>
      <c r="P385" s="5" t="s">
        <v>14333</v>
      </c>
      <c r="Q385" s="5" t="s">
        <v>15526</v>
      </c>
      <c r="R385" s="6">
        <v>9497.0</v>
      </c>
    </row>
    <row r="386" ht="56.25" customHeight="1">
      <c r="A386" s="5" t="s">
        <v>15522</v>
      </c>
      <c r="B386" s="6" t="str">
        <f>IMAGE("https://storage.googleapis.com/acdb/dresses/TopsTexOnepieceOverallLDevil0.png")</f>
        <v/>
      </c>
      <c r="C386" s="5" t="s">
        <v>54</v>
      </c>
      <c r="D386" s="5" t="s">
        <v>36</v>
      </c>
      <c r="E386" s="6">
        <v>2240.0</v>
      </c>
      <c r="F386" s="6">
        <v>560.0</v>
      </c>
      <c r="G386" s="5" t="s">
        <v>54</v>
      </c>
      <c r="H386" s="5" t="s">
        <v>54</v>
      </c>
      <c r="I386" s="6" t="s">
        <v>40</v>
      </c>
      <c r="J386" s="5" t="s">
        <v>8585</v>
      </c>
      <c r="K386" s="5" t="s">
        <v>8586</v>
      </c>
      <c r="L386" s="6" t="s">
        <v>42</v>
      </c>
      <c r="M386" s="5" t="s">
        <v>1952</v>
      </c>
      <c r="N386" s="5" t="s">
        <v>64</v>
      </c>
      <c r="O386" s="5" t="s">
        <v>14358</v>
      </c>
      <c r="P386" s="5" t="s">
        <v>14333</v>
      </c>
      <c r="Q386" s="5" t="s">
        <v>15529</v>
      </c>
      <c r="R386" s="6">
        <v>4711.0</v>
      </c>
    </row>
    <row r="387" ht="56.25" customHeight="1">
      <c r="A387" s="5" t="s">
        <v>15530</v>
      </c>
      <c r="B387" s="6" t="str">
        <f>IMAGE("https://storage.googleapis.com/acdb/dresses/TopsTexOnepieceOverallLMuscle0.png")</f>
        <v/>
      </c>
      <c r="C387" s="5" t="s">
        <v>106</v>
      </c>
      <c r="D387" s="5" t="s">
        <v>36</v>
      </c>
      <c r="E387" s="6">
        <v>2280.0</v>
      </c>
      <c r="F387" s="6">
        <v>570.0</v>
      </c>
      <c r="G387" s="5" t="s">
        <v>106</v>
      </c>
      <c r="H387" s="5" t="s">
        <v>54</v>
      </c>
      <c r="I387" s="6" t="s">
        <v>40</v>
      </c>
      <c r="J387" s="5" t="s">
        <v>8585</v>
      </c>
      <c r="K387" s="5" t="s">
        <v>8586</v>
      </c>
      <c r="L387" s="6" t="s">
        <v>42</v>
      </c>
      <c r="M387" s="5" t="s">
        <v>8746</v>
      </c>
      <c r="N387" s="5" t="s">
        <v>64</v>
      </c>
      <c r="O387" s="5" t="s">
        <v>14358</v>
      </c>
      <c r="P387" s="5" t="s">
        <v>14333</v>
      </c>
      <c r="Q387" s="5" t="s">
        <v>15531</v>
      </c>
      <c r="R387" s="6">
        <v>5387.0</v>
      </c>
    </row>
    <row r="388" ht="56.25" customHeight="1">
      <c r="A388" s="5" t="s">
        <v>15530</v>
      </c>
      <c r="B388" s="6" t="str">
        <f>IMAGE("https://storage.googleapis.com/acdb/dresses/TopsTexOnepieceOverallLMuscle1.png")</f>
        <v/>
      </c>
      <c r="C388" s="5" t="s">
        <v>96</v>
      </c>
      <c r="D388" s="5" t="s">
        <v>36</v>
      </c>
      <c r="E388" s="6">
        <v>2280.0</v>
      </c>
      <c r="F388" s="6">
        <v>570.0</v>
      </c>
      <c r="G388" s="5" t="s">
        <v>96</v>
      </c>
      <c r="H388" s="5" t="s">
        <v>54</v>
      </c>
      <c r="I388" s="6" t="s">
        <v>40</v>
      </c>
      <c r="J388" s="5" t="s">
        <v>8585</v>
      </c>
      <c r="K388" s="5" t="s">
        <v>8586</v>
      </c>
      <c r="L388" s="6" t="s">
        <v>42</v>
      </c>
      <c r="M388" s="5" t="s">
        <v>8746</v>
      </c>
      <c r="N388" s="5" t="s">
        <v>64</v>
      </c>
      <c r="O388" s="5" t="s">
        <v>14358</v>
      </c>
      <c r="P388" s="5" t="s">
        <v>14333</v>
      </c>
      <c r="Q388" s="5" t="s">
        <v>15534</v>
      </c>
      <c r="R388" s="6">
        <v>8651.0</v>
      </c>
    </row>
    <row r="389" ht="56.25" customHeight="1">
      <c r="A389" s="5" t="s">
        <v>15530</v>
      </c>
      <c r="B389" s="6" t="str">
        <f>IMAGE("https://storage.googleapis.com/acdb/dresses/TopsTexOnepieceOverallLMuscle2.png")</f>
        <v/>
      </c>
      <c r="C389" s="5" t="s">
        <v>83</v>
      </c>
      <c r="D389" s="5" t="s">
        <v>36</v>
      </c>
      <c r="E389" s="6">
        <v>2280.0</v>
      </c>
      <c r="F389" s="6">
        <v>570.0</v>
      </c>
      <c r="G389" s="5" t="s">
        <v>83</v>
      </c>
      <c r="H389" s="5" t="s">
        <v>54</v>
      </c>
      <c r="I389" s="6" t="s">
        <v>40</v>
      </c>
      <c r="J389" s="5" t="s">
        <v>8585</v>
      </c>
      <c r="K389" s="5" t="s">
        <v>8586</v>
      </c>
      <c r="L389" s="6" t="s">
        <v>42</v>
      </c>
      <c r="M389" s="5" t="s">
        <v>8746</v>
      </c>
      <c r="N389" s="5" t="s">
        <v>64</v>
      </c>
      <c r="O389" s="5" t="s">
        <v>14358</v>
      </c>
      <c r="P389" s="5" t="s">
        <v>14333</v>
      </c>
      <c r="Q389" s="5" t="s">
        <v>15537</v>
      </c>
      <c r="R389" s="6">
        <v>8652.0</v>
      </c>
    </row>
    <row r="390" ht="56.25" customHeight="1">
      <c r="A390" s="5" t="s">
        <v>15530</v>
      </c>
      <c r="B390" s="6" t="str">
        <f>IMAGE("https://storage.googleapis.com/acdb/dresses/TopsTexOnepieceOverallLMuscle3.png")</f>
        <v/>
      </c>
      <c r="C390" s="5" t="s">
        <v>142</v>
      </c>
      <c r="D390" s="5" t="s">
        <v>36</v>
      </c>
      <c r="E390" s="6">
        <v>2280.0</v>
      </c>
      <c r="F390" s="6">
        <v>570.0</v>
      </c>
      <c r="G390" s="5" t="s">
        <v>142</v>
      </c>
      <c r="H390" s="5" t="s">
        <v>54</v>
      </c>
      <c r="I390" s="6" t="s">
        <v>40</v>
      </c>
      <c r="J390" s="5" t="s">
        <v>8585</v>
      </c>
      <c r="K390" s="5" t="s">
        <v>8586</v>
      </c>
      <c r="L390" s="6" t="s">
        <v>42</v>
      </c>
      <c r="M390" s="5" t="s">
        <v>8746</v>
      </c>
      <c r="N390" s="5" t="s">
        <v>64</v>
      </c>
      <c r="O390" s="5" t="s">
        <v>14358</v>
      </c>
      <c r="P390" s="5" t="s">
        <v>14333</v>
      </c>
      <c r="Q390" s="5" t="s">
        <v>15538</v>
      </c>
      <c r="R390" s="6">
        <v>8653.0</v>
      </c>
    </row>
    <row r="391" ht="56.25" customHeight="1">
      <c r="A391" s="5" t="s">
        <v>15530</v>
      </c>
      <c r="B391" s="6" t="str">
        <f>IMAGE("https://storage.googleapis.com/acdb/dresses/TopsTexOnepieceOverallLMuscle4.png")</f>
        <v/>
      </c>
      <c r="C391" s="5" t="s">
        <v>1458</v>
      </c>
      <c r="D391" s="5" t="s">
        <v>36</v>
      </c>
      <c r="E391" s="6">
        <v>2280.0</v>
      </c>
      <c r="F391" s="6">
        <v>570.0</v>
      </c>
      <c r="G391" s="5" t="s">
        <v>96</v>
      </c>
      <c r="H391" s="5" t="s">
        <v>54</v>
      </c>
      <c r="I391" s="6" t="s">
        <v>40</v>
      </c>
      <c r="J391" s="5" t="s">
        <v>8585</v>
      </c>
      <c r="K391" s="5" t="s">
        <v>8586</v>
      </c>
      <c r="L391" s="6" t="s">
        <v>42</v>
      </c>
      <c r="M391" s="5" t="s">
        <v>8746</v>
      </c>
      <c r="N391" s="5" t="s">
        <v>64</v>
      </c>
      <c r="O391" s="5" t="s">
        <v>14358</v>
      </c>
      <c r="P391" s="5" t="s">
        <v>14333</v>
      </c>
      <c r="Q391" s="5" t="s">
        <v>15542</v>
      </c>
      <c r="R391" s="6">
        <v>8654.0</v>
      </c>
    </row>
    <row r="392" ht="56.25" customHeight="1">
      <c r="A392" s="5" t="s">
        <v>15530</v>
      </c>
      <c r="B392" s="6" t="str">
        <f>IMAGE("https://storage.googleapis.com/acdb/dresses/TopsTexOnepieceOverallLMuscle5.png")</f>
        <v/>
      </c>
      <c r="C392" s="5" t="s">
        <v>52</v>
      </c>
      <c r="D392" s="5" t="s">
        <v>36</v>
      </c>
      <c r="E392" s="6">
        <v>2280.0</v>
      </c>
      <c r="F392" s="6">
        <v>570.0</v>
      </c>
      <c r="G392" s="5" t="s">
        <v>52</v>
      </c>
      <c r="H392" s="5" t="s">
        <v>54</v>
      </c>
      <c r="I392" s="6" t="s">
        <v>40</v>
      </c>
      <c r="J392" s="5" t="s">
        <v>8585</v>
      </c>
      <c r="K392" s="5" t="s">
        <v>8586</v>
      </c>
      <c r="L392" s="6" t="s">
        <v>42</v>
      </c>
      <c r="M392" s="5" t="s">
        <v>8746</v>
      </c>
      <c r="N392" s="5" t="s">
        <v>64</v>
      </c>
      <c r="O392" s="5" t="s">
        <v>14358</v>
      </c>
      <c r="P392" s="5" t="s">
        <v>14333</v>
      </c>
      <c r="Q392" s="5" t="s">
        <v>15545</v>
      </c>
      <c r="R392" s="6">
        <v>8655.0</v>
      </c>
    </row>
    <row r="393" ht="56.25" customHeight="1">
      <c r="A393" s="5" t="s">
        <v>15530</v>
      </c>
      <c r="B393" s="6" t="str">
        <f>IMAGE("https://storage.googleapis.com/acdb/dresses/TopsTexOnepieceOverallLMuscle6.png")</f>
        <v/>
      </c>
      <c r="C393" s="5" t="s">
        <v>68</v>
      </c>
      <c r="D393" s="5" t="s">
        <v>36</v>
      </c>
      <c r="E393" s="6">
        <v>2280.0</v>
      </c>
      <c r="F393" s="6">
        <v>570.0</v>
      </c>
      <c r="G393" s="5" t="s">
        <v>68</v>
      </c>
      <c r="H393" s="5" t="s">
        <v>54</v>
      </c>
      <c r="I393" s="6" t="s">
        <v>40</v>
      </c>
      <c r="J393" s="5" t="s">
        <v>8585</v>
      </c>
      <c r="K393" s="5" t="s">
        <v>8586</v>
      </c>
      <c r="L393" s="6" t="s">
        <v>42</v>
      </c>
      <c r="M393" s="5" t="s">
        <v>8746</v>
      </c>
      <c r="N393" s="5" t="s">
        <v>64</v>
      </c>
      <c r="O393" s="5" t="s">
        <v>14358</v>
      </c>
      <c r="P393" s="5" t="s">
        <v>14333</v>
      </c>
      <c r="Q393" s="5" t="s">
        <v>15547</v>
      </c>
      <c r="R393" s="6">
        <v>8656.0</v>
      </c>
    </row>
    <row r="394" ht="56.25" customHeight="1">
      <c r="A394" s="5" t="s">
        <v>15530</v>
      </c>
      <c r="B394" s="6" t="str">
        <f>IMAGE("https://storage.googleapis.com/acdb/dresses/TopsTexOnepieceOverallLMuscle7.png")</f>
        <v/>
      </c>
      <c r="C394" s="5" t="s">
        <v>114</v>
      </c>
      <c r="D394" s="5" t="s">
        <v>36</v>
      </c>
      <c r="E394" s="6">
        <v>2280.0</v>
      </c>
      <c r="F394" s="6">
        <v>570.0</v>
      </c>
      <c r="G394" s="5" t="s">
        <v>114</v>
      </c>
      <c r="H394" s="5" t="s">
        <v>54</v>
      </c>
      <c r="I394" s="6" t="s">
        <v>40</v>
      </c>
      <c r="J394" s="5" t="s">
        <v>8585</v>
      </c>
      <c r="K394" s="5" t="s">
        <v>8586</v>
      </c>
      <c r="L394" s="6" t="s">
        <v>42</v>
      </c>
      <c r="M394" s="5" t="s">
        <v>8746</v>
      </c>
      <c r="N394" s="5" t="s">
        <v>64</v>
      </c>
      <c r="O394" s="5" t="s">
        <v>14358</v>
      </c>
      <c r="P394" s="5" t="s">
        <v>14333</v>
      </c>
      <c r="Q394" s="5" t="s">
        <v>15548</v>
      </c>
      <c r="R394" s="6">
        <v>8657.0</v>
      </c>
    </row>
    <row r="395" ht="56.25" customHeight="1">
      <c r="A395" s="5" t="s">
        <v>15549</v>
      </c>
      <c r="B395" s="6" t="str">
        <f>IMAGE("https://storage.googleapis.com/acdb/dresses/TopsTexOnepieceOverallLPlatearmorIron.png")</f>
        <v/>
      </c>
      <c r="C395" s="5" t="s">
        <v>95</v>
      </c>
      <c r="D395" s="5" t="s">
        <v>35</v>
      </c>
      <c r="E395" s="6" t="s">
        <v>37</v>
      </c>
      <c r="F395" s="6">
        <v>6000.0</v>
      </c>
      <c r="G395" s="5" t="s">
        <v>95</v>
      </c>
      <c r="H395" s="5" t="s">
        <v>95</v>
      </c>
      <c r="I395" s="6" t="s">
        <v>40</v>
      </c>
      <c r="J395" s="5" t="s">
        <v>41</v>
      </c>
      <c r="K395" s="5"/>
      <c r="L395" s="6" t="s">
        <v>42</v>
      </c>
      <c r="M395" s="5" t="s">
        <v>1952</v>
      </c>
      <c r="N395" s="5" t="s">
        <v>48</v>
      </c>
      <c r="O395" s="5" t="s">
        <v>14358</v>
      </c>
      <c r="P395" s="5" t="s">
        <v>14333</v>
      </c>
      <c r="Q395" s="5" t="s">
        <v>15552</v>
      </c>
      <c r="R395" s="6">
        <v>4588.0</v>
      </c>
    </row>
    <row r="396" ht="56.25" customHeight="1">
      <c r="A396" s="5" t="s">
        <v>15554</v>
      </c>
      <c r="B396" s="6" t="str">
        <f>IMAGE("https://storage.googleapis.com/acdb/dresses/TopsTexOnepieceOverallLClown1.png")</f>
        <v/>
      </c>
      <c r="C396" s="5" t="s">
        <v>3399</v>
      </c>
      <c r="D396" s="5" t="s">
        <v>36</v>
      </c>
      <c r="E396" s="6">
        <v>2240.0</v>
      </c>
      <c r="F396" s="6">
        <v>560.0</v>
      </c>
      <c r="G396" s="5" t="s">
        <v>54</v>
      </c>
      <c r="H396" s="5" t="s">
        <v>57</v>
      </c>
      <c r="I396" s="6" t="s">
        <v>40</v>
      </c>
      <c r="J396" s="5" t="s">
        <v>8585</v>
      </c>
      <c r="K396" s="5" t="s">
        <v>8586</v>
      </c>
      <c r="L396" s="6" t="s">
        <v>42</v>
      </c>
      <c r="M396" s="5" t="s">
        <v>8746</v>
      </c>
      <c r="N396" s="5" t="s">
        <v>64</v>
      </c>
      <c r="O396" s="5" t="s">
        <v>14358</v>
      </c>
      <c r="P396" s="5" t="s">
        <v>14333</v>
      </c>
      <c r="Q396" s="5" t="s">
        <v>15555</v>
      </c>
      <c r="R396" s="6">
        <v>9505.0</v>
      </c>
    </row>
    <row r="397" ht="56.25" customHeight="1">
      <c r="A397" s="5" t="s">
        <v>15554</v>
      </c>
      <c r="B397" s="6" t="str">
        <f>IMAGE("https://storage.googleapis.com/acdb/dresses/TopsTexOnepieceOverallLClown2.png")</f>
        <v/>
      </c>
      <c r="C397" s="5" t="s">
        <v>15557</v>
      </c>
      <c r="D397" s="5" t="s">
        <v>36</v>
      </c>
      <c r="E397" s="6">
        <v>2240.0</v>
      </c>
      <c r="F397" s="6">
        <v>560.0</v>
      </c>
      <c r="G397" s="5" t="s">
        <v>52</v>
      </c>
      <c r="H397" s="5" t="s">
        <v>83</v>
      </c>
      <c r="I397" s="6" t="s">
        <v>40</v>
      </c>
      <c r="J397" s="5" t="s">
        <v>8585</v>
      </c>
      <c r="K397" s="5" t="s">
        <v>8586</v>
      </c>
      <c r="L397" s="6" t="s">
        <v>42</v>
      </c>
      <c r="M397" s="5" t="s">
        <v>8746</v>
      </c>
      <c r="N397" s="5" t="s">
        <v>64</v>
      </c>
      <c r="O397" s="5" t="s">
        <v>14358</v>
      </c>
      <c r="P397" s="5" t="s">
        <v>14333</v>
      </c>
      <c r="Q397" s="5" t="s">
        <v>15558</v>
      </c>
      <c r="R397" s="6">
        <v>9506.0</v>
      </c>
    </row>
    <row r="398" ht="56.25" customHeight="1">
      <c r="A398" s="5" t="s">
        <v>15554</v>
      </c>
      <c r="B398" s="6" t="str">
        <f>IMAGE("https://storage.googleapis.com/acdb/dresses/TopsTexOnepieceOverallLClown3.png")</f>
        <v/>
      </c>
      <c r="C398" s="5" t="s">
        <v>15166</v>
      </c>
      <c r="D398" s="5" t="s">
        <v>36</v>
      </c>
      <c r="E398" s="6">
        <v>2240.0</v>
      </c>
      <c r="F398" s="6">
        <v>560.0</v>
      </c>
      <c r="G398" s="5" t="s">
        <v>96</v>
      </c>
      <c r="H398" s="5" t="s">
        <v>142</v>
      </c>
      <c r="I398" s="6" t="s">
        <v>40</v>
      </c>
      <c r="J398" s="5" t="s">
        <v>8585</v>
      </c>
      <c r="K398" s="5" t="s">
        <v>8586</v>
      </c>
      <c r="L398" s="6" t="s">
        <v>42</v>
      </c>
      <c r="M398" s="5" t="s">
        <v>8746</v>
      </c>
      <c r="N398" s="5" t="s">
        <v>64</v>
      </c>
      <c r="O398" s="5" t="s">
        <v>14358</v>
      </c>
      <c r="P398" s="5" t="s">
        <v>14333</v>
      </c>
      <c r="Q398" s="5" t="s">
        <v>15561</v>
      </c>
      <c r="R398" s="6">
        <v>9507.0</v>
      </c>
    </row>
    <row r="399" ht="56.25" customHeight="1">
      <c r="A399" s="5" t="s">
        <v>15554</v>
      </c>
      <c r="B399" s="6" t="str">
        <f>IMAGE("https://storage.googleapis.com/acdb/dresses/TopsTexOnepieceOverallLClown0.png")</f>
        <v/>
      </c>
      <c r="C399" s="5" t="s">
        <v>15562</v>
      </c>
      <c r="D399" s="5" t="s">
        <v>36</v>
      </c>
      <c r="E399" s="6">
        <v>2240.0</v>
      </c>
      <c r="F399" s="6">
        <v>560.0</v>
      </c>
      <c r="G399" s="5" t="s">
        <v>106</v>
      </c>
      <c r="H399" s="5" t="s">
        <v>114</v>
      </c>
      <c r="I399" s="6" t="s">
        <v>40</v>
      </c>
      <c r="J399" s="5" t="s">
        <v>8585</v>
      </c>
      <c r="K399" s="5" t="s">
        <v>8586</v>
      </c>
      <c r="L399" s="6" t="s">
        <v>42</v>
      </c>
      <c r="M399" s="5" t="s">
        <v>8746</v>
      </c>
      <c r="N399" s="5" t="s">
        <v>64</v>
      </c>
      <c r="O399" s="5" t="s">
        <v>14358</v>
      </c>
      <c r="P399" s="5" t="s">
        <v>14333</v>
      </c>
      <c r="Q399" s="5" t="s">
        <v>15564</v>
      </c>
      <c r="R399" s="6">
        <v>3450.0</v>
      </c>
    </row>
    <row r="400" ht="56.25" customHeight="1">
      <c r="A400" s="5" t="s">
        <v>15565</v>
      </c>
      <c r="B400" s="6" t="str">
        <f>IMAGE("https://storage.googleapis.com/acdb/dresses/TopsTexOnepieceOverallHJinbei1.png")</f>
        <v/>
      </c>
      <c r="C400" s="5" t="s">
        <v>14710</v>
      </c>
      <c r="D400" s="5" t="s">
        <v>36</v>
      </c>
      <c r="E400" s="6">
        <v>1820.0</v>
      </c>
      <c r="F400" s="6">
        <v>455.0</v>
      </c>
      <c r="G400" s="5" t="s">
        <v>106</v>
      </c>
      <c r="H400" s="5" t="s">
        <v>106</v>
      </c>
      <c r="I400" s="6" t="s">
        <v>40</v>
      </c>
      <c r="J400" s="5" t="s">
        <v>8585</v>
      </c>
      <c r="K400" s="5" t="s">
        <v>8586</v>
      </c>
      <c r="L400" s="6" t="s">
        <v>42</v>
      </c>
      <c r="M400" s="5" t="s">
        <v>995</v>
      </c>
      <c r="N400" s="5" t="s">
        <v>64</v>
      </c>
      <c r="O400" s="5" t="s">
        <v>14358</v>
      </c>
      <c r="P400" s="5" t="s">
        <v>14345</v>
      </c>
      <c r="Q400" s="5" t="s">
        <v>15567</v>
      </c>
      <c r="R400" s="6">
        <v>9205.0</v>
      </c>
    </row>
    <row r="401" ht="56.25" customHeight="1">
      <c r="A401" s="5" t="s">
        <v>15565</v>
      </c>
      <c r="B401" s="6" t="str">
        <f>IMAGE("https://storage.googleapis.com/acdb/dresses/TopsTexOnepieceOverallHJinbei2.png")</f>
        <v/>
      </c>
      <c r="C401" s="5" t="s">
        <v>95</v>
      </c>
      <c r="D401" s="5" t="s">
        <v>36</v>
      </c>
      <c r="E401" s="6">
        <v>1820.0</v>
      </c>
      <c r="F401" s="6">
        <v>455.0</v>
      </c>
      <c r="G401" s="5" t="s">
        <v>95</v>
      </c>
      <c r="H401" s="5" t="s">
        <v>95</v>
      </c>
      <c r="I401" s="6" t="s">
        <v>40</v>
      </c>
      <c r="J401" s="5" t="s">
        <v>8585</v>
      </c>
      <c r="K401" s="5" t="s">
        <v>8586</v>
      </c>
      <c r="L401" s="6" t="s">
        <v>42</v>
      </c>
      <c r="M401" s="5" t="s">
        <v>995</v>
      </c>
      <c r="N401" s="5" t="s">
        <v>64</v>
      </c>
      <c r="O401" s="5" t="s">
        <v>14358</v>
      </c>
      <c r="P401" s="5" t="s">
        <v>14345</v>
      </c>
      <c r="Q401" s="5" t="s">
        <v>15572</v>
      </c>
      <c r="R401" s="6">
        <v>9206.0</v>
      </c>
    </row>
    <row r="402" ht="56.25" customHeight="1">
      <c r="A402" s="5" t="s">
        <v>15565</v>
      </c>
      <c r="B402" s="6" t="str">
        <f>IMAGE("https://storage.googleapis.com/acdb/dresses/TopsTexOnepieceOverallHJinbei0.png")</f>
        <v/>
      </c>
      <c r="C402" s="5" t="s">
        <v>2431</v>
      </c>
      <c r="D402" s="5" t="s">
        <v>36</v>
      </c>
      <c r="E402" s="6">
        <v>1820.0</v>
      </c>
      <c r="F402" s="6">
        <v>455.0</v>
      </c>
      <c r="G402" s="5" t="s">
        <v>68</v>
      </c>
      <c r="H402" s="5" t="s">
        <v>68</v>
      </c>
      <c r="I402" s="6" t="s">
        <v>40</v>
      </c>
      <c r="J402" s="5" t="s">
        <v>8585</v>
      </c>
      <c r="K402" s="5" t="s">
        <v>8586</v>
      </c>
      <c r="L402" s="6" t="s">
        <v>42</v>
      </c>
      <c r="M402" s="5" t="s">
        <v>995</v>
      </c>
      <c r="N402" s="5" t="s">
        <v>64</v>
      </c>
      <c r="O402" s="5" t="s">
        <v>14358</v>
      </c>
      <c r="P402" s="5" t="s">
        <v>14345</v>
      </c>
      <c r="Q402" s="5" t="s">
        <v>15575</v>
      </c>
      <c r="R402" s="6">
        <v>3452.0</v>
      </c>
    </row>
    <row r="403" ht="56.25" customHeight="1">
      <c r="A403" s="5" t="s">
        <v>15576</v>
      </c>
      <c r="B403" s="6" t="str">
        <f>IMAGE("https://storage.googleapis.com/acdb/dresses/TopsTexOnepieceOverallLJockey0.png")</f>
        <v/>
      </c>
      <c r="C403" s="5" t="s">
        <v>15578</v>
      </c>
      <c r="D403" s="5" t="s">
        <v>36</v>
      </c>
      <c r="E403" s="6">
        <v>1920.0</v>
      </c>
      <c r="F403" s="6">
        <v>480.0</v>
      </c>
      <c r="G403" s="5" t="s">
        <v>69</v>
      </c>
      <c r="H403" s="5" t="s">
        <v>68</v>
      </c>
      <c r="I403" s="6" t="s">
        <v>40</v>
      </c>
      <c r="J403" s="5" t="s">
        <v>8585</v>
      </c>
      <c r="K403" s="5" t="s">
        <v>8586</v>
      </c>
      <c r="L403" s="6" t="s">
        <v>42</v>
      </c>
      <c r="M403" s="5" t="s">
        <v>8746</v>
      </c>
      <c r="N403" s="5" t="s">
        <v>64</v>
      </c>
      <c r="O403" s="5" t="s">
        <v>14358</v>
      </c>
      <c r="P403" s="5" t="s">
        <v>14333</v>
      </c>
      <c r="Q403" s="5" t="s">
        <v>15579</v>
      </c>
      <c r="R403" s="6">
        <v>3409.0</v>
      </c>
    </row>
    <row r="404" ht="56.25" customHeight="1">
      <c r="A404" s="5" t="s">
        <v>15576</v>
      </c>
      <c r="B404" s="6" t="str">
        <f>IMAGE("https://storage.googleapis.com/acdb/dresses/TopsTexOnepieceOverallLJockey1.png")</f>
        <v/>
      </c>
      <c r="C404" s="5" t="s">
        <v>422</v>
      </c>
      <c r="D404" s="5" t="s">
        <v>36</v>
      </c>
      <c r="E404" s="6">
        <v>1920.0</v>
      </c>
      <c r="F404" s="6">
        <v>480.0</v>
      </c>
      <c r="G404" s="5" t="s">
        <v>142</v>
      </c>
      <c r="H404" s="5" t="s">
        <v>114</v>
      </c>
      <c r="I404" s="6" t="s">
        <v>40</v>
      </c>
      <c r="J404" s="5" t="s">
        <v>8585</v>
      </c>
      <c r="K404" s="5" t="s">
        <v>8586</v>
      </c>
      <c r="L404" s="6" t="s">
        <v>42</v>
      </c>
      <c r="M404" s="5" t="s">
        <v>8746</v>
      </c>
      <c r="N404" s="5" t="s">
        <v>64</v>
      </c>
      <c r="O404" s="5" t="s">
        <v>14358</v>
      </c>
      <c r="P404" s="5" t="s">
        <v>14333</v>
      </c>
      <c r="Q404" s="5" t="s">
        <v>15582</v>
      </c>
      <c r="R404" s="6">
        <v>11130.0</v>
      </c>
    </row>
    <row r="405" ht="56.25" customHeight="1">
      <c r="A405" s="5" t="s">
        <v>15576</v>
      </c>
      <c r="B405" s="6" t="str">
        <f>IMAGE("https://storage.googleapis.com/acdb/dresses/TopsTexOnepieceOverallLJockey2.png")</f>
        <v/>
      </c>
      <c r="C405" s="5" t="s">
        <v>15583</v>
      </c>
      <c r="D405" s="5" t="s">
        <v>36</v>
      </c>
      <c r="E405" s="6">
        <v>1920.0</v>
      </c>
      <c r="F405" s="6">
        <v>480.0</v>
      </c>
      <c r="G405" s="5" t="s">
        <v>96</v>
      </c>
      <c r="H405" s="5" t="s">
        <v>68</v>
      </c>
      <c r="I405" s="6" t="s">
        <v>40</v>
      </c>
      <c r="J405" s="5" t="s">
        <v>8585</v>
      </c>
      <c r="K405" s="5" t="s">
        <v>8586</v>
      </c>
      <c r="L405" s="6" t="s">
        <v>42</v>
      </c>
      <c r="M405" s="5" t="s">
        <v>8746</v>
      </c>
      <c r="N405" s="5" t="s">
        <v>64</v>
      </c>
      <c r="O405" s="5" t="s">
        <v>14358</v>
      </c>
      <c r="P405" s="5" t="s">
        <v>14333</v>
      </c>
      <c r="Q405" s="5" t="s">
        <v>15587</v>
      </c>
      <c r="R405" s="6">
        <v>11131.0</v>
      </c>
    </row>
    <row r="406" ht="56.25" customHeight="1">
      <c r="A406" s="5" t="s">
        <v>15576</v>
      </c>
      <c r="B406" s="6" t="str">
        <f>IMAGE("https://storage.googleapis.com/acdb/dresses/TopsTexOnepieceOverallLJockey3.png")</f>
        <v/>
      </c>
      <c r="C406" s="5" t="s">
        <v>15588</v>
      </c>
      <c r="D406" s="5" t="s">
        <v>36</v>
      </c>
      <c r="E406" s="6">
        <v>1920.0</v>
      </c>
      <c r="F406" s="6">
        <v>480.0</v>
      </c>
      <c r="G406" s="5" t="s">
        <v>114</v>
      </c>
      <c r="H406" s="5" t="s">
        <v>83</v>
      </c>
      <c r="I406" s="6" t="s">
        <v>40</v>
      </c>
      <c r="J406" s="5" t="s">
        <v>8585</v>
      </c>
      <c r="K406" s="5" t="s">
        <v>8586</v>
      </c>
      <c r="L406" s="6" t="s">
        <v>42</v>
      </c>
      <c r="M406" s="5" t="s">
        <v>8746</v>
      </c>
      <c r="N406" s="5" t="s">
        <v>64</v>
      </c>
      <c r="O406" s="5" t="s">
        <v>14358</v>
      </c>
      <c r="P406" s="5" t="s">
        <v>14333</v>
      </c>
      <c r="Q406" s="5" t="s">
        <v>15590</v>
      </c>
      <c r="R406" s="6">
        <v>11132.0</v>
      </c>
    </row>
    <row r="407" ht="56.25" customHeight="1">
      <c r="A407" s="5" t="s">
        <v>15576</v>
      </c>
      <c r="B407" s="6" t="str">
        <f>IMAGE("https://storage.googleapis.com/acdb/dresses/TopsTexOnepieceOverallLJockey4.png")</f>
        <v/>
      </c>
      <c r="C407" s="5" t="s">
        <v>15591</v>
      </c>
      <c r="D407" s="5" t="s">
        <v>36</v>
      </c>
      <c r="E407" s="6">
        <v>1920.0</v>
      </c>
      <c r="F407" s="6">
        <v>480.0</v>
      </c>
      <c r="G407" s="5" t="s">
        <v>68</v>
      </c>
      <c r="H407" s="5" t="s">
        <v>69</v>
      </c>
      <c r="I407" s="6" t="s">
        <v>40</v>
      </c>
      <c r="J407" s="5" t="s">
        <v>8585</v>
      </c>
      <c r="K407" s="5" t="s">
        <v>8586</v>
      </c>
      <c r="L407" s="6" t="s">
        <v>42</v>
      </c>
      <c r="M407" s="5" t="s">
        <v>8746</v>
      </c>
      <c r="N407" s="5" t="s">
        <v>64</v>
      </c>
      <c r="O407" s="5" t="s">
        <v>14358</v>
      </c>
      <c r="P407" s="5" t="s">
        <v>14333</v>
      </c>
      <c r="Q407" s="5" t="s">
        <v>15594</v>
      </c>
      <c r="R407" s="6">
        <v>11133.0</v>
      </c>
    </row>
    <row r="408" ht="56.25" customHeight="1">
      <c r="A408" s="5" t="s">
        <v>15576</v>
      </c>
      <c r="B408" s="6" t="str">
        <f>IMAGE("https://storage.googleapis.com/acdb/dresses/TopsTexOnepieceOverallLJockey5.png")</f>
        <v/>
      </c>
      <c r="C408" s="5" t="s">
        <v>15597</v>
      </c>
      <c r="D408" s="5" t="s">
        <v>36</v>
      </c>
      <c r="E408" s="6">
        <v>1920.0</v>
      </c>
      <c r="F408" s="6">
        <v>480.0</v>
      </c>
      <c r="G408" s="5" t="s">
        <v>52</v>
      </c>
      <c r="H408" s="5" t="s">
        <v>96</v>
      </c>
      <c r="I408" s="6" t="s">
        <v>40</v>
      </c>
      <c r="J408" s="5" t="s">
        <v>8585</v>
      </c>
      <c r="K408" s="5" t="s">
        <v>8586</v>
      </c>
      <c r="L408" s="6" t="s">
        <v>42</v>
      </c>
      <c r="M408" s="5" t="s">
        <v>8746</v>
      </c>
      <c r="N408" s="5" t="s">
        <v>64</v>
      </c>
      <c r="O408" s="5" t="s">
        <v>14358</v>
      </c>
      <c r="P408" s="5" t="s">
        <v>14333</v>
      </c>
      <c r="Q408" s="5" t="s">
        <v>15599</v>
      </c>
      <c r="R408" s="6">
        <v>11134.0</v>
      </c>
    </row>
    <row r="409" ht="56.25" customHeight="1">
      <c r="A409" s="5" t="s">
        <v>15576</v>
      </c>
      <c r="B409" s="6" t="str">
        <f>IMAGE("https://storage.googleapis.com/acdb/dresses/TopsTexOnepieceOverallLJockey6.png")</f>
        <v/>
      </c>
      <c r="C409" s="5" t="s">
        <v>15601</v>
      </c>
      <c r="D409" s="5" t="s">
        <v>36</v>
      </c>
      <c r="E409" s="6">
        <v>1920.0</v>
      </c>
      <c r="F409" s="6">
        <v>480.0</v>
      </c>
      <c r="G409" s="5" t="s">
        <v>54</v>
      </c>
      <c r="H409" s="5" t="s">
        <v>114</v>
      </c>
      <c r="I409" s="6" t="s">
        <v>40</v>
      </c>
      <c r="J409" s="5" t="s">
        <v>8585</v>
      </c>
      <c r="K409" s="5" t="s">
        <v>8586</v>
      </c>
      <c r="L409" s="6" t="s">
        <v>42</v>
      </c>
      <c r="M409" s="5" t="s">
        <v>8746</v>
      </c>
      <c r="N409" s="5" t="s">
        <v>64</v>
      </c>
      <c r="O409" s="5" t="s">
        <v>14358</v>
      </c>
      <c r="P409" s="5" t="s">
        <v>14333</v>
      </c>
      <c r="Q409" s="5" t="s">
        <v>15604</v>
      </c>
      <c r="R409" s="6">
        <v>11135.0</v>
      </c>
    </row>
    <row r="410" ht="56.25" customHeight="1">
      <c r="A410" s="5" t="s">
        <v>15576</v>
      </c>
      <c r="B410" s="6" t="str">
        <f>IMAGE("https://storage.googleapis.com/acdb/dresses/TopsTexOnepieceOverallLJockey7.png")</f>
        <v/>
      </c>
      <c r="C410" s="5" t="s">
        <v>15606</v>
      </c>
      <c r="D410" s="5" t="s">
        <v>36</v>
      </c>
      <c r="E410" s="6">
        <v>1920.0</v>
      </c>
      <c r="F410" s="6">
        <v>480.0</v>
      </c>
      <c r="G410" s="5" t="s">
        <v>57</v>
      </c>
      <c r="H410" s="5" t="s">
        <v>142</v>
      </c>
      <c r="I410" s="6" t="s">
        <v>40</v>
      </c>
      <c r="J410" s="5" t="s">
        <v>8585</v>
      </c>
      <c r="K410" s="5" t="s">
        <v>8586</v>
      </c>
      <c r="L410" s="6" t="s">
        <v>42</v>
      </c>
      <c r="M410" s="5" t="s">
        <v>8746</v>
      </c>
      <c r="N410" s="5" t="s">
        <v>64</v>
      </c>
      <c r="O410" s="5" t="s">
        <v>14358</v>
      </c>
      <c r="P410" s="5" t="s">
        <v>14333</v>
      </c>
      <c r="Q410" s="5" t="s">
        <v>15608</v>
      </c>
      <c r="R410" s="6">
        <v>11136.0</v>
      </c>
    </row>
    <row r="411" ht="56.25" customHeight="1">
      <c r="A411" s="5" t="s">
        <v>15609</v>
      </c>
      <c r="B411" s="6" t="str">
        <f>IMAGE("https://storage.googleapis.com/acdb/dresses/TopsTexOnepieceOverallLJudo0.png")</f>
        <v/>
      </c>
      <c r="C411" s="5" t="s">
        <v>57</v>
      </c>
      <c r="D411" s="5" t="s">
        <v>36</v>
      </c>
      <c r="E411" s="6">
        <v>1760.0</v>
      </c>
      <c r="F411" s="6">
        <v>440.0</v>
      </c>
      <c r="G411" s="5" t="s">
        <v>57</v>
      </c>
      <c r="H411" s="5" t="s">
        <v>54</v>
      </c>
      <c r="I411" s="6" t="s">
        <v>40</v>
      </c>
      <c r="J411" s="5" t="s">
        <v>8585</v>
      </c>
      <c r="K411" s="5" t="s">
        <v>8586</v>
      </c>
      <c r="L411" s="6" t="s">
        <v>42</v>
      </c>
      <c r="M411" s="5" t="s">
        <v>8746</v>
      </c>
      <c r="N411" s="5" t="s">
        <v>64</v>
      </c>
      <c r="O411" s="5" t="s">
        <v>14358</v>
      </c>
      <c r="P411" s="5" t="s">
        <v>14333</v>
      </c>
      <c r="Q411" s="5" t="s">
        <v>15612</v>
      </c>
      <c r="R411" s="6">
        <v>4249.0</v>
      </c>
    </row>
    <row r="412" ht="56.25" customHeight="1">
      <c r="A412" s="5" t="s">
        <v>15609</v>
      </c>
      <c r="B412" s="6" t="str">
        <f>IMAGE("https://storage.googleapis.com/acdb/dresses/TopsTexOnepieceOverallLJudo1.png")</f>
        <v/>
      </c>
      <c r="C412" s="5" t="s">
        <v>68</v>
      </c>
      <c r="D412" s="5" t="s">
        <v>36</v>
      </c>
      <c r="E412" s="6">
        <v>1760.0</v>
      </c>
      <c r="F412" s="6">
        <v>440.0</v>
      </c>
      <c r="G412" s="5" t="s">
        <v>68</v>
      </c>
      <c r="H412" s="5" t="s">
        <v>54</v>
      </c>
      <c r="I412" s="6" t="s">
        <v>40</v>
      </c>
      <c r="J412" s="5" t="s">
        <v>8585</v>
      </c>
      <c r="K412" s="5" t="s">
        <v>8586</v>
      </c>
      <c r="L412" s="6" t="s">
        <v>42</v>
      </c>
      <c r="M412" s="5" t="s">
        <v>8746</v>
      </c>
      <c r="N412" s="5" t="s">
        <v>64</v>
      </c>
      <c r="O412" s="5" t="s">
        <v>14358</v>
      </c>
      <c r="P412" s="5" t="s">
        <v>14333</v>
      </c>
      <c r="Q412" s="5" t="s">
        <v>15615</v>
      </c>
      <c r="R412" s="6">
        <v>9214.0</v>
      </c>
    </row>
    <row r="413" ht="56.25" customHeight="1">
      <c r="A413" s="5" t="s">
        <v>15617</v>
      </c>
      <c r="B413" s="6" t="str">
        <f>IMAGE("https://storage.googleapis.com/acdb/dresses/TopsTexOnepieceOverallLWorkwear1.png")</f>
        <v/>
      </c>
      <c r="C413" s="5" t="s">
        <v>52</v>
      </c>
      <c r="D413" s="5" t="s">
        <v>36</v>
      </c>
      <c r="E413" s="6">
        <v>1050.0</v>
      </c>
      <c r="F413" s="6">
        <v>262.0</v>
      </c>
      <c r="G413" s="5" t="s">
        <v>52</v>
      </c>
      <c r="H413" s="5" t="s">
        <v>52</v>
      </c>
      <c r="I413" s="6" t="s">
        <v>40</v>
      </c>
      <c r="J413" s="5" t="s">
        <v>8585</v>
      </c>
      <c r="K413" s="5" t="s">
        <v>8632</v>
      </c>
      <c r="L413" s="6" t="s">
        <v>42</v>
      </c>
      <c r="M413" s="5" t="s">
        <v>8746</v>
      </c>
      <c r="N413" s="5" t="s">
        <v>64</v>
      </c>
      <c r="O413" s="5" t="s">
        <v>14358</v>
      </c>
      <c r="P413" s="5" t="s">
        <v>14333</v>
      </c>
      <c r="Q413" s="5" t="s">
        <v>15618</v>
      </c>
      <c r="R413" s="6">
        <v>9459.0</v>
      </c>
    </row>
    <row r="414" ht="56.25" customHeight="1">
      <c r="A414" s="5" t="s">
        <v>15617</v>
      </c>
      <c r="B414" s="6" t="str">
        <f>IMAGE("https://storage.googleapis.com/acdb/dresses/TopsTexOnepieceOverallLWorkwear0.png")</f>
        <v/>
      </c>
      <c r="C414" s="5" t="s">
        <v>142</v>
      </c>
      <c r="D414" s="5" t="s">
        <v>36</v>
      </c>
      <c r="E414" s="6">
        <v>1050.0</v>
      </c>
      <c r="F414" s="6">
        <v>262.0</v>
      </c>
      <c r="G414" s="5" t="s">
        <v>142</v>
      </c>
      <c r="H414" s="5" t="s">
        <v>142</v>
      </c>
      <c r="I414" s="6" t="s">
        <v>40</v>
      </c>
      <c r="J414" s="5" t="s">
        <v>8585</v>
      </c>
      <c r="K414" s="5" t="s">
        <v>8632</v>
      </c>
      <c r="L414" s="6" t="s">
        <v>42</v>
      </c>
      <c r="M414" s="5" t="s">
        <v>8746</v>
      </c>
      <c r="N414" s="5" t="s">
        <v>64</v>
      </c>
      <c r="O414" s="5" t="s">
        <v>14358</v>
      </c>
      <c r="P414" s="5" t="s">
        <v>14333</v>
      </c>
      <c r="Q414" s="5" t="s">
        <v>15623</v>
      </c>
      <c r="R414" s="6">
        <v>3448.0</v>
      </c>
    </row>
    <row r="415" ht="56.25" customHeight="1">
      <c r="A415" s="5" t="s">
        <v>15617</v>
      </c>
      <c r="B415" s="6" t="str">
        <f>IMAGE("https://storage.googleapis.com/acdb/dresses/TopsTexOnepieceOverallLWorkwear2.png")</f>
        <v/>
      </c>
      <c r="C415" s="5" t="s">
        <v>68</v>
      </c>
      <c r="D415" s="5" t="s">
        <v>36</v>
      </c>
      <c r="E415" s="6">
        <v>1050.0</v>
      </c>
      <c r="F415" s="6">
        <v>262.0</v>
      </c>
      <c r="G415" s="5" t="s">
        <v>68</v>
      </c>
      <c r="H415" s="5" t="s">
        <v>68</v>
      </c>
      <c r="I415" s="6" t="s">
        <v>40</v>
      </c>
      <c r="J415" s="5" t="s">
        <v>8585</v>
      </c>
      <c r="K415" s="5" t="s">
        <v>8632</v>
      </c>
      <c r="L415" s="6" t="s">
        <v>42</v>
      </c>
      <c r="M415" s="5" t="s">
        <v>8746</v>
      </c>
      <c r="N415" s="5" t="s">
        <v>64</v>
      </c>
      <c r="O415" s="5" t="s">
        <v>14358</v>
      </c>
      <c r="P415" s="5" t="s">
        <v>14333</v>
      </c>
      <c r="Q415" s="5" t="s">
        <v>15627</v>
      </c>
      <c r="R415" s="6">
        <v>9460.0</v>
      </c>
    </row>
    <row r="416" ht="56.25" customHeight="1">
      <c r="A416" s="5" t="s">
        <v>15617</v>
      </c>
      <c r="B416" s="6" t="str">
        <f>IMAGE("https://storage.googleapis.com/acdb/dresses/TopsTexOnepieceOverallLWorkwear3.png")</f>
        <v/>
      </c>
      <c r="C416" s="5" t="s">
        <v>114</v>
      </c>
      <c r="D416" s="5" t="s">
        <v>36</v>
      </c>
      <c r="E416" s="6">
        <v>1050.0</v>
      </c>
      <c r="F416" s="6">
        <v>262.0</v>
      </c>
      <c r="G416" s="5" t="s">
        <v>114</v>
      </c>
      <c r="H416" s="5" t="s">
        <v>114</v>
      </c>
      <c r="I416" s="6" t="s">
        <v>40</v>
      </c>
      <c r="J416" s="5" t="s">
        <v>8585</v>
      </c>
      <c r="K416" s="5" t="s">
        <v>8632</v>
      </c>
      <c r="L416" s="6" t="s">
        <v>42</v>
      </c>
      <c r="M416" s="5" t="s">
        <v>8746</v>
      </c>
      <c r="N416" s="5" t="s">
        <v>64</v>
      </c>
      <c r="O416" s="5" t="s">
        <v>14358</v>
      </c>
      <c r="P416" s="5" t="s">
        <v>14333</v>
      </c>
      <c r="Q416" s="5" t="s">
        <v>15630</v>
      </c>
      <c r="R416" s="6">
        <v>9461.0</v>
      </c>
    </row>
    <row r="417" ht="56.25" customHeight="1">
      <c r="A417" s="5" t="s">
        <v>15617</v>
      </c>
      <c r="B417" s="6" t="str">
        <f>IMAGE("https://storage.googleapis.com/acdb/dresses/TopsTexOnepieceOverallLWorkwear4.png")</f>
        <v/>
      </c>
      <c r="C417" s="5" t="s">
        <v>96</v>
      </c>
      <c r="D417" s="5" t="s">
        <v>36</v>
      </c>
      <c r="E417" s="6">
        <v>1050.0</v>
      </c>
      <c r="F417" s="6">
        <v>262.0</v>
      </c>
      <c r="G417" s="5" t="s">
        <v>96</v>
      </c>
      <c r="H417" s="5" t="s">
        <v>96</v>
      </c>
      <c r="I417" s="6" t="s">
        <v>40</v>
      </c>
      <c r="J417" s="5" t="s">
        <v>8585</v>
      </c>
      <c r="K417" s="5" t="s">
        <v>8632</v>
      </c>
      <c r="L417" s="6" t="s">
        <v>42</v>
      </c>
      <c r="M417" s="5" t="s">
        <v>8746</v>
      </c>
      <c r="N417" s="5" t="s">
        <v>64</v>
      </c>
      <c r="O417" s="5" t="s">
        <v>14358</v>
      </c>
      <c r="P417" s="5" t="s">
        <v>14333</v>
      </c>
      <c r="Q417" s="5" t="s">
        <v>15632</v>
      </c>
      <c r="R417" s="6">
        <v>9462.0</v>
      </c>
    </row>
    <row r="418" ht="56.25" customHeight="1">
      <c r="A418" s="5" t="s">
        <v>15617</v>
      </c>
      <c r="B418" s="6" t="str">
        <f>IMAGE("https://storage.googleapis.com/acdb/dresses/TopsTexOnepieceOverallLWorkwear5.png")</f>
        <v/>
      </c>
      <c r="C418" s="5" t="s">
        <v>69</v>
      </c>
      <c r="D418" s="5" t="s">
        <v>36</v>
      </c>
      <c r="E418" s="6">
        <v>1050.0</v>
      </c>
      <c r="F418" s="6">
        <v>262.0</v>
      </c>
      <c r="G418" s="5" t="s">
        <v>69</v>
      </c>
      <c r="H418" s="5" t="s">
        <v>69</v>
      </c>
      <c r="I418" s="6" t="s">
        <v>40</v>
      </c>
      <c r="J418" s="5" t="s">
        <v>8585</v>
      </c>
      <c r="K418" s="5" t="s">
        <v>8632</v>
      </c>
      <c r="L418" s="6" t="s">
        <v>42</v>
      </c>
      <c r="M418" s="5" t="s">
        <v>8746</v>
      </c>
      <c r="N418" s="5" t="s">
        <v>64</v>
      </c>
      <c r="O418" s="5" t="s">
        <v>14358</v>
      </c>
      <c r="P418" s="5" t="s">
        <v>14333</v>
      </c>
      <c r="Q418" s="5" t="s">
        <v>15635</v>
      </c>
      <c r="R418" s="6">
        <v>9463.0</v>
      </c>
    </row>
    <row r="419" ht="56.25" customHeight="1">
      <c r="A419" s="5" t="s">
        <v>15617</v>
      </c>
      <c r="B419" s="6" t="str">
        <f>IMAGE("https://storage.googleapis.com/acdb/dresses/TopsTexOnepieceOverallLWorkwear6.png")</f>
        <v/>
      </c>
      <c r="C419" s="5" t="s">
        <v>39</v>
      </c>
      <c r="D419" s="5" t="s">
        <v>36</v>
      </c>
      <c r="E419" s="6">
        <v>1050.0</v>
      </c>
      <c r="F419" s="6">
        <v>262.0</v>
      </c>
      <c r="G419" s="5" t="s">
        <v>39</v>
      </c>
      <c r="H419" s="5" t="s">
        <v>39</v>
      </c>
      <c r="I419" s="6" t="s">
        <v>40</v>
      </c>
      <c r="J419" s="5" t="s">
        <v>8585</v>
      </c>
      <c r="K419" s="5" t="s">
        <v>8632</v>
      </c>
      <c r="L419" s="6" t="s">
        <v>42</v>
      </c>
      <c r="M419" s="5" t="s">
        <v>8746</v>
      </c>
      <c r="N419" s="5" t="s">
        <v>64</v>
      </c>
      <c r="O419" s="5" t="s">
        <v>14358</v>
      </c>
      <c r="P419" s="5" t="s">
        <v>14333</v>
      </c>
      <c r="Q419" s="5" t="s">
        <v>15636</v>
      </c>
      <c r="R419" s="6">
        <v>9464.0</v>
      </c>
    </row>
    <row r="420" ht="56.25" customHeight="1">
      <c r="A420" s="5" t="s">
        <v>15617</v>
      </c>
      <c r="B420" s="6" t="str">
        <f>IMAGE("https://storage.googleapis.com/acdb/dresses/TopsTexOnepieceOverallLWorkwear7.png")</f>
        <v/>
      </c>
      <c r="C420" s="5" t="s">
        <v>54</v>
      </c>
      <c r="D420" s="5" t="s">
        <v>36</v>
      </c>
      <c r="E420" s="6">
        <v>1050.0</v>
      </c>
      <c r="F420" s="6">
        <v>262.0</v>
      </c>
      <c r="G420" s="5" t="s">
        <v>54</v>
      </c>
      <c r="H420" s="5" t="s">
        <v>54</v>
      </c>
      <c r="I420" s="6" t="s">
        <v>40</v>
      </c>
      <c r="J420" s="5" t="s">
        <v>8585</v>
      </c>
      <c r="K420" s="5" t="s">
        <v>8632</v>
      </c>
      <c r="L420" s="6" t="s">
        <v>42</v>
      </c>
      <c r="M420" s="5" t="s">
        <v>8746</v>
      </c>
      <c r="N420" s="5" t="s">
        <v>64</v>
      </c>
      <c r="O420" s="5" t="s">
        <v>14358</v>
      </c>
      <c r="P420" s="5" t="s">
        <v>14333</v>
      </c>
      <c r="Q420" s="5" t="s">
        <v>15639</v>
      </c>
      <c r="R420" s="6">
        <v>9465.0</v>
      </c>
    </row>
    <row r="421" ht="56.25" customHeight="1">
      <c r="A421" s="5" t="s">
        <v>15642</v>
      </c>
      <c r="B421" s="6" t="str">
        <f>IMAGE("https://storage.googleapis.com/acdb/dresses/TopsTexOnepieceKimonoLTwelve0.png")</f>
        <v/>
      </c>
      <c r="C421" s="5" t="s">
        <v>52</v>
      </c>
      <c r="D421" s="5" t="s">
        <v>36</v>
      </c>
      <c r="E421" s="6">
        <v>7000.0</v>
      </c>
      <c r="F421" s="6">
        <v>1750.0</v>
      </c>
      <c r="G421" s="5" t="s">
        <v>52</v>
      </c>
      <c r="H421" s="5" t="s">
        <v>96</v>
      </c>
      <c r="I421" s="6" t="s">
        <v>40</v>
      </c>
      <c r="J421" s="5" t="s">
        <v>8585</v>
      </c>
      <c r="K421" s="5" t="s">
        <v>8586</v>
      </c>
      <c r="L421" s="6" t="s">
        <v>42</v>
      </c>
      <c r="M421" s="5" t="s">
        <v>612</v>
      </c>
      <c r="N421" s="5" t="s">
        <v>64</v>
      </c>
      <c r="O421" s="5" t="s">
        <v>6513</v>
      </c>
      <c r="P421" s="5" t="s">
        <v>14333</v>
      </c>
      <c r="Q421" s="5" t="s">
        <v>15643</v>
      </c>
      <c r="R421" s="6">
        <v>9833.0</v>
      </c>
    </row>
    <row r="422" ht="56.25" customHeight="1">
      <c r="A422" s="5" t="s">
        <v>15645</v>
      </c>
      <c r="B422" s="6" t="str">
        <f>IMAGE("https://storage.googleapis.com/acdb/dresses/TopsTexOnepieceKimonoLYukatamen2.png")</f>
        <v/>
      </c>
      <c r="C422" s="5" t="s">
        <v>95</v>
      </c>
      <c r="D422" s="5" t="s">
        <v>36</v>
      </c>
      <c r="E422" s="6">
        <v>2400.0</v>
      </c>
      <c r="F422" s="6">
        <v>600.0</v>
      </c>
      <c r="G422" s="5" t="s">
        <v>95</v>
      </c>
      <c r="H422" s="5" t="s">
        <v>38</v>
      </c>
      <c r="I422" s="6" t="s">
        <v>40</v>
      </c>
      <c r="J422" s="5" t="s">
        <v>8585</v>
      </c>
      <c r="K422" s="5" t="s">
        <v>8586</v>
      </c>
      <c r="L422" s="6" t="s">
        <v>42</v>
      </c>
      <c r="M422" s="5" t="s">
        <v>1059</v>
      </c>
      <c r="N422" s="5" t="s">
        <v>64</v>
      </c>
      <c r="O422" s="5" t="s">
        <v>6513</v>
      </c>
      <c r="P422" s="5" t="s">
        <v>14333</v>
      </c>
      <c r="Q422" s="5" t="s">
        <v>15648</v>
      </c>
      <c r="R422" s="6">
        <v>9220.0</v>
      </c>
    </row>
    <row r="423" ht="56.25" customHeight="1">
      <c r="A423" s="5" t="s">
        <v>15645</v>
      </c>
      <c r="B423" s="6" t="str">
        <f>IMAGE("https://storage.googleapis.com/acdb/dresses/TopsTexOnepieceKimonoLYukatamen0.png")</f>
        <v/>
      </c>
      <c r="C423" s="5" t="s">
        <v>14710</v>
      </c>
      <c r="D423" s="5" t="s">
        <v>36</v>
      </c>
      <c r="E423" s="6">
        <v>2400.0</v>
      </c>
      <c r="F423" s="6">
        <v>600.0</v>
      </c>
      <c r="G423" s="5" t="s">
        <v>106</v>
      </c>
      <c r="H423" s="5" t="s">
        <v>38</v>
      </c>
      <c r="I423" s="6" t="s">
        <v>40</v>
      </c>
      <c r="J423" s="5" t="s">
        <v>8585</v>
      </c>
      <c r="K423" s="5" t="s">
        <v>8586</v>
      </c>
      <c r="L423" s="6" t="s">
        <v>42</v>
      </c>
      <c r="M423" s="5" t="s">
        <v>1059</v>
      </c>
      <c r="N423" s="5" t="s">
        <v>64</v>
      </c>
      <c r="O423" s="5" t="s">
        <v>6513</v>
      </c>
      <c r="P423" s="5" t="s">
        <v>14333</v>
      </c>
      <c r="Q423" s="5" t="s">
        <v>15650</v>
      </c>
      <c r="R423" s="6">
        <v>6024.0</v>
      </c>
    </row>
    <row r="424" ht="56.25" customHeight="1">
      <c r="A424" s="5" t="s">
        <v>15645</v>
      </c>
      <c r="B424" s="6" t="str">
        <f>IMAGE("https://storage.googleapis.com/acdb/dresses/TopsTexOnepieceKimonoLYukatamen1.png")</f>
        <v/>
      </c>
      <c r="C424" s="5" t="s">
        <v>2431</v>
      </c>
      <c r="D424" s="5" t="s">
        <v>36</v>
      </c>
      <c r="E424" s="6">
        <v>2400.0</v>
      </c>
      <c r="F424" s="6">
        <v>600.0</v>
      </c>
      <c r="G424" s="5" t="s">
        <v>68</v>
      </c>
      <c r="H424" s="5" t="s">
        <v>38</v>
      </c>
      <c r="I424" s="6" t="s">
        <v>40</v>
      </c>
      <c r="J424" s="5" t="s">
        <v>8585</v>
      </c>
      <c r="K424" s="5" t="s">
        <v>8586</v>
      </c>
      <c r="L424" s="6" t="s">
        <v>42</v>
      </c>
      <c r="M424" s="5" t="s">
        <v>1059</v>
      </c>
      <c r="N424" s="5" t="s">
        <v>64</v>
      </c>
      <c r="O424" s="5" t="s">
        <v>6513</v>
      </c>
      <c r="P424" s="5" t="s">
        <v>14333</v>
      </c>
      <c r="Q424" s="5" t="s">
        <v>15652</v>
      </c>
      <c r="R424" s="6">
        <v>9219.0</v>
      </c>
    </row>
    <row r="425" ht="56.25" customHeight="1">
      <c r="A425" s="5" t="s">
        <v>15653</v>
      </c>
      <c r="B425" s="6" t="str">
        <f>IMAGE("https://storage.googleapis.com/acdb/dresses/TopsTexOnepieceBlongLCandula1.png")</f>
        <v/>
      </c>
      <c r="C425" s="5" t="s">
        <v>39</v>
      </c>
      <c r="D425" s="5" t="s">
        <v>36</v>
      </c>
      <c r="E425" s="6">
        <v>2520.0</v>
      </c>
      <c r="F425" s="6">
        <v>630.0</v>
      </c>
      <c r="G425" s="5" t="s">
        <v>38</v>
      </c>
      <c r="H425" s="5" t="s">
        <v>38</v>
      </c>
      <c r="I425" s="6" t="s">
        <v>40</v>
      </c>
      <c r="J425" s="5" t="s">
        <v>8585</v>
      </c>
      <c r="K425" s="5" t="s">
        <v>8586</v>
      </c>
      <c r="L425" s="6" t="s">
        <v>42</v>
      </c>
      <c r="M425" s="5" t="s">
        <v>995</v>
      </c>
      <c r="N425" s="5" t="s">
        <v>64</v>
      </c>
      <c r="O425" s="5" t="s">
        <v>14396</v>
      </c>
      <c r="P425" s="5" t="s">
        <v>14333</v>
      </c>
      <c r="Q425" s="5" t="s">
        <v>15656</v>
      </c>
      <c r="R425" s="6">
        <v>11985.0</v>
      </c>
    </row>
    <row r="426" ht="56.25" customHeight="1">
      <c r="A426" s="5" t="s">
        <v>15653</v>
      </c>
      <c r="B426" s="6" t="str">
        <f>IMAGE("https://storage.googleapis.com/acdb/dresses/TopsTexOnepieceBlongLCandula2.png")</f>
        <v/>
      </c>
      <c r="C426" s="5" t="s">
        <v>95</v>
      </c>
      <c r="D426" s="5" t="s">
        <v>36</v>
      </c>
      <c r="E426" s="6">
        <v>2520.0</v>
      </c>
      <c r="F426" s="6">
        <v>630.0</v>
      </c>
      <c r="G426" s="5" t="s">
        <v>95</v>
      </c>
      <c r="H426" s="5" t="s">
        <v>95</v>
      </c>
      <c r="I426" s="6" t="s">
        <v>40</v>
      </c>
      <c r="J426" s="5" t="s">
        <v>8585</v>
      </c>
      <c r="K426" s="5" t="s">
        <v>8586</v>
      </c>
      <c r="L426" s="6" t="s">
        <v>42</v>
      </c>
      <c r="M426" s="5" t="s">
        <v>995</v>
      </c>
      <c r="N426" s="5" t="s">
        <v>64</v>
      </c>
      <c r="O426" s="5" t="s">
        <v>14396</v>
      </c>
      <c r="P426" s="5" t="s">
        <v>14333</v>
      </c>
      <c r="Q426" s="5" t="s">
        <v>15657</v>
      </c>
      <c r="R426" s="6">
        <v>11986.0</v>
      </c>
    </row>
    <row r="427" ht="56.25" customHeight="1">
      <c r="A427" s="5" t="s">
        <v>15653</v>
      </c>
      <c r="B427" s="6" t="str">
        <f>IMAGE("https://storage.googleapis.com/acdb/dresses/TopsTexOnepieceBlongLCandula0.png")</f>
        <v/>
      </c>
      <c r="C427" s="5" t="s">
        <v>57</v>
      </c>
      <c r="D427" s="5" t="s">
        <v>36</v>
      </c>
      <c r="E427" s="6">
        <v>2520.0</v>
      </c>
      <c r="F427" s="6">
        <v>630.0</v>
      </c>
      <c r="G427" s="5" t="s">
        <v>57</v>
      </c>
      <c r="H427" s="5" t="s">
        <v>57</v>
      </c>
      <c r="I427" s="6" t="s">
        <v>40</v>
      </c>
      <c r="J427" s="5" t="s">
        <v>8585</v>
      </c>
      <c r="K427" s="5" t="s">
        <v>8586</v>
      </c>
      <c r="L427" s="6" t="s">
        <v>42</v>
      </c>
      <c r="M427" s="5" t="s">
        <v>995</v>
      </c>
      <c r="N427" s="5" t="s">
        <v>64</v>
      </c>
      <c r="O427" s="5" t="s">
        <v>14396</v>
      </c>
      <c r="P427" s="5" t="s">
        <v>14333</v>
      </c>
      <c r="Q427" s="5" t="s">
        <v>15660</v>
      </c>
      <c r="R427" s="6">
        <v>9770.0</v>
      </c>
    </row>
    <row r="428" ht="56.25" customHeight="1">
      <c r="A428" s="5" t="s">
        <v>15661</v>
      </c>
      <c r="B428" s="6" t="str">
        <f>IMAGE("https://storage.googleapis.com/acdb/dresses/TopsTexOnepieceOverallLKappa1.png")</f>
        <v/>
      </c>
      <c r="C428" s="5" t="s">
        <v>69</v>
      </c>
      <c r="D428" s="5" t="s">
        <v>36</v>
      </c>
      <c r="E428" s="6">
        <v>1700.0</v>
      </c>
      <c r="F428" s="6">
        <v>425.0</v>
      </c>
      <c r="G428" s="5" t="s">
        <v>69</v>
      </c>
      <c r="H428" s="5" t="s">
        <v>57</v>
      </c>
      <c r="I428" s="6" t="s">
        <v>40</v>
      </c>
      <c r="J428" s="5" t="s">
        <v>8585</v>
      </c>
      <c r="K428" s="5" t="s">
        <v>8586</v>
      </c>
      <c r="L428" s="6" t="s">
        <v>42</v>
      </c>
      <c r="M428" s="5" t="s">
        <v>1959</v>
      </c>
      <c r="N428" s="5" t="s">
        <v>64</v>
      </c>
      <c r="O428" s="5" t="s">
        <v>14358</v>
      </c>
      <c r="P428" s="5" t="s">
        <v>14333</v>
      </c>
      <c r="Q428" s="5" t="s">
        <v>15663</v>
      </c>
      <c r="R428" s="6">
        <v>9634.0</v>
      </c>
    </row>
    <row r="429" ht="56.25" customHeight="1">
      <c r="A429" s="5" t="s">
        <v>15661</v>
      </c>
      <c r="B429" s="6" t="str">
        <f>IMAGE("https://storage.googleapis.com/acdb/dresses/TopsTexOnepieceOverallLKappa0.png")</f>
        <v/>
      </c>
      <c r="C429" s="5" t="s">
        <v>96</v>
      </c>
      <c r="D429" s="5" t="s">
        <v>36</v>
      </c>
      <c r="E429" s="6">
        <v>1700.0</v>
      </c>
      <c r="F429" s="6">
        <v>425.0</v>
      </c>
      <c r="G429" s="5" t="s">
        <v>96</v>
      </c>
      <c r="H429" s="5" t="s">
        <v>57</v>
      </c>
      <c r="I429" s="6" t="s">
        <v>40</v>
      </c>
      <c r="J429" s="5" t="s">
        <v>8585</v>
      </c>
      <c r="K429" s="5" t="s">
        <v>8586</v>
      </c>
      <c r="L429" s="6" t="s">
        <v>42</v>
      </c>
      <c r="M429" s="5" t="s">
        <v>1959</v>
      </c>
      <c r="N429" s="5" t="s">
        <v>64</v>
      </c>
      <c r="O429" s="5" t="s">
        <v>14358</v>
      </c>
      <c r="P429" s="5" t="s">
        <v>14333</v>
      </c>
      <c r="Q429" s="5" t="s">
        <v>15665</v>
      </c>
      <c r="R429" s="6">
        <v>3424.0</v>
      </c>
    </row>
    <row r="430" ht="56.25" customHeight="1">
      <c r="A430" s="5" t="s">
        <v>15666</v>
      </c>
      <c r="B430" s="6" t="str">
        <f>IMAGE("https://storage.googleapis.com/acdb/dresses/TopsTexOnepieceAlineNKiwi.png")</f>
        <v/>
      </c>
      <c r="C430" s="5" t="s">
        <v>96</v>
      </c>
      <c r="D430" s="5" t="s">
        <v>36</v>
      </c>
      <c r="E430" s="6">
        <v>1500.0</v>
      </c>
      <c r="F430" s="6">
        <v>375.0</v>
      </c>
      <c r="G430" s="5" t="s">
        <v>96</v>
      </c>
      <c r="H430" s="5" t="s">
        <v>39</v>
      </c>
      <c r="I430" s="6" t="s">
        <v>40</v>
      </c>
      <c r="J430" s="5" t="s">
        <v>8585</v>
      </c>
      <c r="K430" s="5" t="s">
        <v>8632</v>
      </c>
      <c r="L430" s="6" t="s">
        <v>42</v>
      </c>
      <c r="M430" s="5" t="s">
        <v>1959</v>
      </c>
      <c r="N430" s="5" t="s">
        <v>64</v>
      </c>
      <c r="O430" s="5" t="s">
        <v>14411</v>
      </c>
      <c r="P430" s="5" t="s">
        <v>14412</v>
      </c>
      <c r="Q430" s="5" t="s">
        <v>15668</v>
      </c>
      <c r="R430" s="6">
        <v>3289.0</v>
      </c>
    </row>
    <row r="431" ht="56.25" customHeight="1">
      <c r="A431" s="5" t="s">
        <v>15670</v>
      </c>
      <c r="B431" s="6" t="str">
        <f>IMAGE("https://storage.googleapis.com/acdb/dresses/TopsTexOnepieceAlineNKate1.png")</f>
        <v/>
      </c>
      <c r="C431" s="5" t="s">
        <v>10061</v>
      </c>
      <c r="D431" s="5" t="s">
        <v>36</v>
      </c>
      <c r="E431" s="6">
        <v>3400.0</v>
      </c>
      <c r="F431" s="6">
        <v>850.0</v>
      </c>
      <c r="G431" s="5" t="s">
        <v>54</v>
      </c>
      <c r="H431" s="5" t="s">
        <v>54</v>
      </c>
      <c r="I431" s="6" t="s">
        <v>40</v>
      </c>
      <c r="J431" s="5" t="s">
        <v>10058</v>
      </c>
      <c r="K431" s="5"/>
      <c r="L431" s="6" t="s">
        <v>42</v>
      </c>
      <c r="M431" s="5" t="s">
        <v>1059</v>
      </c>
      <c r="N431" s="5" t="s">
        <v>64</v>
      </c>
      <c r="O431" s="5" t="s">
        <v>14411</v>
      </c>
      <c r="P431" s="5" t="s">
        <v>14412</v>
      </c>
      <c r="Q431" s="5" t="s">
        <v>15673</v>
      </c>
      <c r="R431" s="6">
        <v>11726.0</v>
      </c>
    </row>
    <row r="432" ht="56.25" customHeight="1">
      <c r="A432" s="5" t="s">
        <v>15670</v>
      </c>
      <c r="B432" s="6" t="str">
        <f>IMAGE("https://storage.googleapis.com/acdb/dresses/TopsTexOnepieceAlineNKate2.png")</f>
        <v/>
      </c>
      <c r="C432" s="5" t="s">
        <v>10065</v>
      </c>
      <c r="D432" s="5" t="s">
        <v>36</v>
      </c>
      <c r="E432" s="6">
        <v>3400.0</v>
      </c>
      <c r="F432" s="6">
        <v>850.0</v>
      </c>
      <c r="G432" s="5" t="s">
        <v>52</v>
      </c>
      <c r="H432" s="5" t="s">
        <v>54</v>
      </c>
      <c r="I432" s="6" t="s">
        <v>40</v>
      </c>
      <c r="J432" s="5" t="s">
        <v>10058</v>
      </c>
      <c r="K432" s="5"/>
      <c r="L432" s="6" t="s">
        <v>42</v>
      </c>
      <c r="M432" s="5" t="s">
        <v>1059</v>
      </c>
      <c r="N432" s="5" t="s">
        <v>64</v>
      </c>
      <c r="O432" s="5" t="s">
        <v>14411</v>
      </c>
      <c r="P432" s="5" t="s">
        <v>14412</v>
      </c>
      <c r="Q432" s="5" t="s">
        <v>15675</v>
      </c>
      <c r="R432" s="6">
        <v>11727.0</v>
      </c>
    </row>
    <row r="433" ht="56.25" customHeight="1">
      <c r="A433" s="5" t="s">
        <v>15670</v>
      </c>
      <c r="B433" s="6" t="str">
        <f>IMAGE("https://storage.googleapis.com/acdb/dresses/TopsTexOnepieceAlineNKate3.png")</f>
        <v/>
      </c>
      <c r="C433" s="5" t="s">
        <v>10069</v>
      </c>
      <c r="D433" s="5" t="s">
        <v>36</v>
      </c>
      <c r="E433" s="6">
        <v>3400.0</v>
      </c>
      <c r="F433" s="6">
        <v>850.0</v>
      </c>
      <c r="G433" s="5" t="s">
        <v>68</v>
      </c>
      <c r="H433" s="5" t="s">
        <v>54</v>
      </c>
      <c r="I433" s="6" t="s">
        <v>40</v>
      </c>
      <c r="J433" s="5" t="s">
        <v>10058</v>
      </c>
      <c r="K433" s="5"/>
      <c r="L433" s="6" t="s">
        <v>42</v>
      </c>
      <c r="M433" s="5" t="s">
        <v>1059</v>
      </c>
      <c r="N433" s="5" t="s">
        <v>64</v>
      </c>
      <c r="O433" s="5" t="s">
        <v>14411</v>
      </c>
      <c r="P433" s="5" t="s">
        <v>14412</v>
      </c>
      <c r="Q433" s="5" t="s">
        <v>15678</v>
      </c>
      <c r="R433" s="6">
        <v>11728.0</v>
      </c>
    </row>
    <row r="434" ht="56.25" customHeight="1">
      <c r="A434" s="5" t="s">
        <v>15670</v>
      </c>
      <c r="B434" s="6" t="str">
        <f>IMAGE("https://storage.googleapis.com/acdb/dresses/TopsTexOnepieceAlineNKate4.png")</f>
        <v/>
      </c>
      <c r="C434" s="5" t="s">
        <v>4665</v>
      </c>
      <c r="D434" s="5" t="s">
        <v>36</v>
      </c>
      <c r="E434" s="6">
        <v>3400.0</v>
      </c>
      <c r="F434" s="6">
        <v>850.0</v>
      </c>
      <c r="G434" s="5" t="s">
        <v>114</v>
      </c>
      <c r="H434" s="5" t="s">
        <v>54</v>
      </c>
      <c r="I434" s="6" t="s">
        <v>40</v>
      </c>
      <c r="J434" s="5" t="s">
        <v>10058</v>
      </c>
      <c r="K434" s="5"/>
      <c r="L434" s="6" t="s">
        <v>42</v>
      </c>
      <c r="M434" s="5" t="s">
        <v>1059</v>
      </c>
      <c r="N434" s="5" t="s">
        <v>64</v>
      </c>
      <c r="O434" s="5" t="s">
        <v>14411</v>
      </c>
      <c r="P434" s="5" t="s">
        <v>14412</v>
      </c>
      <c r="Q434" s="5" t="s">
        <v>15681</v>
      </c>
      <c r="R434" s="6">
        <v>11729.0</v>
      </c>
    </row>
    <row r="435" ht="56.25" customHeight="1">
      <c r="A435" s="5" t="s">
        <v>15670</v>
      </c>
      <c r="B435" s="6" t="str">
        <f>IMAGE("https://storage.googleapis.com/acdb/dresses/TopsTexOnepieceAlineNKate5.png")</f>
        <v/>
      </c>
      <c r="C435" s="5" t="s">
        <v>10075</v>
      </c>
      <c r="D435" s="5" t="s">
        <v>36</v>
      </c>
      <c r="E435" s="6">
        <v>3400.0</v>
      </c>
      <c r="F435" s="6">
        <v>850.0</v>
      </c>
      <c r="G435" s="5" t="s">
        <v>69</v>
      </c>
      <c r="H435" s="5" t="s">
        <v>54</v>
      </c>
      <c r="I435" s="6" t="s">
        <v>40</v>
      </c>
      <c r="J435" s="5" t="s">
        <v>10058</v>
      </c>
      <c r="K435" s="5"/>
      <c r="L435" s="6" t="s">
        <v>42</v>
      </c>
      <c r="M435" s="5" t="s">
        <v>1059</v>
      </c>
      <c r="N435" s="5" t="s">
        <v>64</v>
      </c>
      <c r="O435" s="5" t="s">
        <v>14411</v>
      </c>
      <c r="P435" s="5" t="s">
        <v>14412</v>
      </c>
      <c r="Q435" s="5" t="s">
        <v>15682</v>
      </c>
      <c r="R435" s="6">
        <v>11730.0</v>
      </c>
    </row>
    <row r="436" ht="56.25" customHeight="1">
      <c r="A436" s="5" t="s">
        <v>15670</v>
      </c>
      <c r="B436" s="6" t="str">
        <f>IMAGE("https://storage.googleapis.com/acdb/dresses/TopsTexOnepieceAlineNKate0.png")</f>
        <v/>
      </c>
      <c r="C436" s="5" t="s">
        <v>10055</v>
      </c>
      <c r="D436" s="5" t="s">
        <v>36</v>
      </c>
      <c r="E436" s="6">
        <v>3400.0</v>
      </c>
      <c r="F436" s="6">
        <v>850.0</v>
      </c>
      <c r="G436" s="5" t="s">
        <v>106</v>
      </c>
      <c r="H436" s="5" t="s">
        <v>54</v>
      </c>
      <c r="I436" s="6" t="s">
        <v>40</v>
      </c>
      <c r="J436" s="5" t="s">
        <v>10058</v>
      </c>
      <c r="K436" s="5"/>
      <c r="L436" s="6" t="s">
        <v>42</v>
      </c>
      <c r="M436" s="5" t="s">
        <v>1059</v>
      </c>
      <c r="N436" s="5" t="s">
        <v>64</v>
      </c>
      <c r="O436" s="5" t="s">
        <v>14411</v>
      </c>
      <c r="P436" s="5" t="s">
        <v>14412</v>
      </c>
      <c r="Q436" s="5" t="s">
        <v>15684</v>
      </c>
      <c r="R436" s="6">
        <v>9877.0</v>
      </c>
    </row>
    <row r="437" ht="56.25" customHeight="1">
      <c r="A437" s="5" t="s">
        <v>15686</v>
      </c>
      <c r="B437" s="6" t="str">
        <f>IMAGE("https://storage.googleapis.com/acdb/dresses/TopsTexOnepieceBalloonLLolita2.png")</f>
        <v/>
      </c>
      <c r="C437" s="5" t="s">
        <v>106</v>
      </c>
      <c r="D437" s="5" t="s">
        <v>36</v>
      </c>
      <c r="E437" s="6">
        <v>2500.0</v>
      </c>
      <c r="F437" s="6">
        <v>625.0</v>
      </c>
      <c r="G437" s="5" t="s">
        <v>106</v>
      </c>
      <c r="H437" s="5" t="s">
        <v>57</v>
      </c>
      <c r="I437" s="6" t="s">
        <v>40</v>
      </c>
      <c r="J437" s="5" t="s">
        <v>8585</v>
      </c>
      <c r="K437" s="5" t="s">
        <v>8586</v>
      </c>
      <c r="L437" s="6" t="s">
        <v>42</v>
      </c>
      <c r="M437" s="5" t="s">
        <v>1959</v>
      </c>
      <c r="N437" s="5" t="s">
        <v>64</v>
      </c>
      <c r="O437" s="5" t="s">
        <v>14344</v>
      </c>
      <c r="P437" s="5" t="s">
        <v>14333</v>
      </c>
      <c r="Q437" s="5" t="s">
        <v>15689</v>
      </c>
      <c r="R437" s="6">
        <v>8680.0</v>
      </c>
    </row>
    <row r="438" ht="56.25" customHeight="1">
      <c r="A438" s="5" t="s">
        <v>15686</v>
      </c>
      <c r="B438" s="6" t="str">
        <f>IMAGE("https://storage.googleapis.com/acdb/dresses/TopsTexOnepieceBalloonLLolita1.png")</f>
        <v/>
      </c>
      <c r="C438" s="5" t="s">
        <v>68</v>
      </c>
      <c r="D438" s="5" t="s">
        <v>36</v>
      </c>
      <c r="E438" s="6">
        <v>2500.0</v>
      </c>
      <c r="F438" s="6">
        <v>625.0</v>
      </c>
      <c r="G438" s="5" t="s">
        <v>83</v>
      </c>
      <c r="H438" s="5" t="s">
        <v>57</v>
      </c>
      <c r="I438" s="6" t="s">
        <v>40</v>
      </c>
      <c r="J438" s="5" t="s">
        <v>8585</v>
      </c>
      <c r="K438" s="5" t="s">
        <v>8586</v>
      </c>
      <c r="L438" s="6" t="s">
        <v>42</v>
      </c>
      <c r="M438" s="5" t="s">
        <v>1959</v>
      </c>
      <c r="N438" s="5" t="s">
        <v>64</v>
      </c>
      <c r="O438" s="5" t="s">
        <v>14344</v>
      </c>
      <c r="P438" s="5" t="s">
        <v>14333</v>
      </c>
      <c r="Q438" s="5" t="s">
        <v>15692</v>
      </c>
      <c r="R438" s="6">
        <v>8679.0</v>
      </c>
    </row>
    <row r="439" ht="56.25" customHeight="1">
      <c r="A439" s="5" t="s">
        <v>15686</v>
      </c>
      <c r="B439" s="6" t="str">
        <f>IMAGE("https://storage.googleapis.com/acdb/dresses/TopsTexOnepieceBalloonLLolita0.png")</f>
        <v/>
      </c>
      <c r="C439" s="5" t="s">
        <v>69</v>
      </c>
      <c r="D439" s="5" t="s">
        <v>36</v>
      </c>
      <c r="E439" s="6">
        <v>2500.0</v>
      </c>
      <c r="F439" s="6">
        <v>625.0</v>
      </c>
      <c r="G439" s="5" t="s">
        <v>69</v>
      </c>
      <c r="H439" s="5" t="s">
        <v>57</v>
      </c>
      <c r="I439" s="6" t="s">
        <v>40</v>
      </c>
      <c r="J439" s="5" t="s">
        <v>8585</v>
      </c>
      <c r="K439" s="5" t="s">
        <v>8586</v>
      </c>
      <c r="L439" s="6" t="s">
        <v>42</v>
      </c>
      <c r="M439" s="5" t="s">
        <v>1959</v>
      </c>
      <c r="N439" s="5" t="s">
        <v>64</v>
      </c>
      <c r="O439" s="5" t="s">
        <v>14344</v>
      </c>
      <c r="P439" s="5" t="s">
        <v>14333</v>
      </c>
      <c r="Q439" s="5" t="s">
        <v>15696</v>
      </c>
      <c r="R439" s="6">
        <v>3070.0</v>
      </c>
    </row>
    <row r="440" ht="56.25" customHeight="1">
      <c r="A440" s="5" t="s">
        <v>15697</v>
      </c>
      <c r="B440" s="6" t="str">
        <f>IMAGE("https://storage.googleapis.com/acdb/dresses/TopsTexOnepieceAlineNLace1.png")</f>
        <v/>
      </c>
      <c r="C440" s="5" t="s">
        <v>114</v>
      </c>
      <c r="D440" s="5" t="s">
        <v>36</v>
      </c>
      <c r="E440" s="6">
        <v>1520.0</v>
      </c>
      <c r="F440" s="6">
        <v>380.0</v>
      </c>
      <c r="G440" s="5" t="s">
        <v>114</v>
      </c>
      <c r="H440" s="5" t="s">
        <v>114</v>
      </c>
      <c r="I440" s="6" t="s">
        <v>40</v>
      </c>
      <c r="J440" s="5" t="s">
        <v>8585</v>
      </c>
      <c r="K440" s="5" t="s">
        <v>8632</v>
      </c>
      <c r="L440" s="6" t="s">
        <v>42</v>
      </c>
      <c r="M440" s="5" t="s">
        <v>1959</v>
      </c>
      <c r="N440" s="5" t="s">
        <v>64</v>
      </c>
      <c r="O440" s="5" t="s">
        <v>14411</v>
      </c>
      <c r="P440" s="5" t="s">
        <v>14412</v>
      </c>
      <c r="Q440" s="5" t="s">
        <v>15702</v>
      </c>
      <c r="R440" s="6">
        <v>8364.0</v>
      </c>
    </row>
    <row r="441" ht="56.25" customHeight="1">
      <c r="A441" s="5" t="s">
        <v>15697</v>
      </c>
      <c r="B441" s="6" t="str">
        <f>IMAGE("https://storage.googleapis.com/acdb/dresses/TopsTexOnepieceAlineNLace2.png")</f>
        <v/>
      </c>
      <c r="C441" s="5" t="s">
        <v>69</v>
      </c>
      <c r="D441" s="5" t="s">
        <v>36</v>
      </c>
      <c r="E441" s="6">
        <v>1520.0</v>
      </c>
      <c r="F441" s="6">
        <v>380.0</v>
      </c>
      <c r="G441" s="5" t="s">
        <v>69</v>
      </c>
      <c r="H441" s="5" t="s">
        <v>69</v>
      </c>
      <c r="I441" s="6" t="s">
        <v>40</v>
      </c>
      <c r="J441" s="5" t="s">
        <v>8585</v>
      </c>
      <c r="K441" s="5" t="s">
        <v>8632</v>
      </c>
      <c r="L441" s="6" t="s">
        <v>42</v>
      </c>
      <c r="M441" s="5" t="s">
        <v>1959</v>
      </c>
      <c r="N441" s="5" t="s">
        <v>64</v>
      </c>
      <c r="O441" s="5" t="s">
        <v>14411</v>
      </c>
      <c r="P441" s="5" t="s">
        <v>14412</v>
      </c>
      <c r="Q441" s="5" t="s">
        <v>15705</v>
      </c>
      <c r="R441" s="6">
        <v>8365.0</v>
      </c>
    </row>
    <row r="442" ht="56.25" customHeight="1">
      <c r="A442" s="5" t="s">
        <v>15697</v>
      </c>
      <c r="B442" s="6" t="str">
        <f>IMAGE("https://storage.googleapis.com/acdb/dresses/TopsTexOnepieceAlineNLace0.png")</f>
        <v/>
      </c>
      <c r="C442" s="5" t="s">
        <v>68</v>
      </c>
      <c r="D442" s="5" t="s">
        <v>36</v>
      </c>
      <c r="E442" s="6">
        <v>1520.0</v>
      </c>
      <c r="F442" s="6">
        <v>380.0</v>
      </c>
      <c r="G442" s="5" t="s">
        <v>57</v>
      </c>
      <c r="H442" s="5" t="s">
        <v>57</v>
      </c>
      <c r="I442" s="6" t="s">
        <v>40</v>
      </c>
      <c r="J442" s="5" t="s">
        <v>8585</v>
      </c>
      <c r="K442" s="5" t="s">
        <v>8632</v>
      </c>
      <c r="L442" s="6" t="s">
        <v>42</v>
      </c>
      <c r="M442" s="5" t="s">
        <v>1959</v>
      </c>
      <c r="N442" s="5" t="s">
        <v>64</v>
      </c>
      <c r="O442" s="5" t="s">
        <v>14411</v>
      </c>
      <c r="P442" s="5" t="s">
        <v>14412</v>
      </c>
      <c r="Q442" s="5" t="s">
        <v>15709</v>
      </c>
      <c r="R442" s="6">
        <v>4737.0</v>
      </c>
    </row>
    <row r="443" ht="56.25" customHeight="1">
      <c r="A443" s="5" t="s">
        <v>15710</v>
      </c>
      <c r="B443" s="6" t="str">
        <f>IMAGE("https://storage.googleapis.com/acdb/dresses/TopsTexOnepieceBoxNLayered0.png")</f>
        <v/>
      </c>
      <c r="C443" s="5" t="s">
        <v>9852</v>
      </c>
      <c r="D443" s="5" t="s">
        <v>36</v>
      </c>
      <c r="E443" s="6">
        <v>1200.0</v>
      </c>
      <c r="F443" s="6">
        <v>300.0</v>
      </c>
      <c r="G443" s="5" t="s">
        <v>96</v>
      </c>
      <c r="H443" s="5" t="s">
        <v>57</v>
      </c>
      <c r="I443" s="6" t="s">
        <v>40</v>
      </c>
      <c r="J443" s="5" t="s">
        <v>8585</v>
      </c>
      <c r="K443" s="5" t="s">
        <v>8632</v>
      </c>
      <c r="L443" s="6" t="s">
        <v>42</v>
      </c>
      <c r="M443" s="5" t="s">
        <v>995</v>
      </c>
      <c r="N443" s="5" t="s">
        <v>64</v>
      </c>
      <c r="O443" s="5" t="s">
        <v>14332</v>
      </c>
      <c r="P443" s="5" t="s">
        <v>14412</v>
      </c>
      <c r="Q443" s="5" t="s">
        <v>15713</v>
      </c>
      <c r="R443" s="6">
        <v>4466.0</v>
      </c>
    </row>
    <row r="444" ht="56.25" customHeight="1">
      <c r="A444" s="5" t="s">
        <v>15710</v>
      </c>
      <c r="B444" s="6" t="str">
        <f>IMAGE("https://storage.googleapis.com/acdb/dresses/TopsTexOnepieceBoxNLayered1.png")</f>
        <v/>
      </c>
      <c r="C444" s="5" t="s">
        <v>142</v>
      </c>
      <c r="D444" s="5" t="s">
        <v>36</v>
      </c>
      <c r="E444" s="6">
        <v>1200.0</v>
      </c>
      <c r="F444" s="6">
        <v>300.0</v>
      </c>
      <c r="G444" s="5" t="s">
        <v>142</v>
      </c>
      <c r="H444" s="5" t="s">
        <v>57</v>
      </c>
      <c r="I444" s="6" t="s">
        <v>40</v>
      </c>
      <c r="J444" s="5" t="s">
        <v>8585</v>
      </c>
      <c r="K444" s="5" t="s">
        <v>8632</v>
      </c>
      <c r="L444" s="6" t="s">
        <v>42</v>
      </c>
      <c r="M444" s="5" t="s">
        <v>995</v>
      </c>
      <c r="N444" s="5" t="s">
        <v>64</v>
      </c>
      <c r="O444" s="5" t="s">
        <v>14332</v>
      </c>
      <c r="P444" s="5" t="s">
        <v>14412</v>
      </c>
      <c r="Q444" s="5" t="s">
        <v>15717</v>
      </c>
      <c r="R444" s="6">
        <v>8377.0</v>
      </c>
    </row>
    <row r="445" ht="56.25" customHeight="1">
      <c r="A445" s="5" t="s">
        <v>15710</v>
      </c>
      <c r="B445" s="6" t="str">
        <f>IMAGE("https://storage.googleapis.com/acdb/dresses/TopsTexOnepieceBoxNLayered2.png")</f>
        <v/>
      </c>
      <c r="C445" s="5" t="s">
        <v>69</v>
      </c>
      <c r="D445" s="5" t="s">
        <v>36</v>
      </c>
      <c r="E445" s="6">
        <v>1200.0</v>
      </c>
      <c r="F445" s="6">
        <v>300.0</v>
      </c>
      <c r="G445" s="5" t="s">
        <v>69</v>
      </c>
      <c r="H445" s="5" t="s">
        <v>57</v>
      </c>
      <c r="I445" s="6" t="s">
        <v>40</v>
      </c>
      <c r="J445" s="5" t="s">
        <v>8585</v>
      </c>
      <c r="K445" s="5" t="s">
        <v>8632</v>
      </c>
      <c r="L445" s="6" t="s">
        <v>42</v>
      </c>
      <c r="M445" s="5" t="s">
        <v>995</v>
      </c>
      <c r="N445" s="5" t="s">
        <v>64</v>
      </c>
      <c r="O445" s="5" t="s">
        <v>14332</v>
      </c>
      <c r="P445" s="5" t="s">
        <v>14412</v>
      </c>
      <c r="Q445" s="5" t="s">
        <v>15720</v>
      </c>
      <c r="R445" s="6">
        <v>8378.0</v>
      </c>
    </row>
    <row r="446" ht="56.25" customHeight="1">
      <c r="A446" s="5" t="s">
        <v>15721</v>
      </c>
      <c r="B446" s="6" t="str">
        <f>IMAGE("https://storage.googleapis.com/acdb/dresses/TopsTexOnepieceBoxHLayercamisoleBeige.png")</f>
        <v/>
      </c>
      <c r="C446" s="5" t="s">
        <v>38</v>
      </c>
      <c r="D446" s="5" t="s">
        <v>36</v>
      </c>
      <c r="E446" s="6">
        <v>1200.0</v>
      </c>
      <c r="F446" s="6">
        <v>300.0</v>
      </c>
      <c r="G446" s="5" t="s">
        <v>38</v>
      </c>
      <c r="H446" s="5" t="s">
        <v>57</v>
      </c>
      <c r="I446" s="6" t="s">
        <v>40</v>
      </c>
      <c r="J446" s="5" t="s">
        <v>8585</v>
      </c>
      <c r="K446" s="5" t="s">
        <v>8632</v>
      </c>
      <c r="L446" s="6" t="s">
        <v>42</v>
      </c>
      <c r="M446" s="5" t="s">
        <v>995</v>
      </c>
      <c r="N446" s="5" t="s">
        <v>64</v>
      </c>
      <c r="O446" s="5" t="s">
        <v>14332</v>
      </c>
      <c r="P446" s="5" t="s">
        <v>14345</v>
      </c>
      <c r="Q446" s="5" t="s">
        <v>15725</v>
      </c>
      <c r="R446" s="6">
        <v>4167.0</v>
      </c>
    </row>
    <row r="447" ht="56.25" customHeight="1">
      <c r="A447" s="5" t="s">
        <v>15721</v>
      </c>
      <c r="B447" s="6" t="str">
        <f>IMAGE("https://storage.googleapis.com/acdb/dresses/TopsTexOnepieceBoxHLayercamisoleBlue.png")</f>
        <v/>
      </c>
      <c r="C447" s="5" t="s">
        <v>68</v>
      </c>
      <c r="D447" s="5" t="s">
        <v>36</v>
      </c>
      <c r="E447" s="6">
        <v>1200.0</v>
      </c>
      <c r="F447" s="6">
        <v>300.0</v>
      </c>
      <c r="G447" s="5" t="s">
        <v>68</v>
      </c>
      <c r="H447" s="5" t="s">
        <v>54</v>
      </c>
      <c r="I447" s="6" t="s">
        <v>40</v>
      </c>
      <c r="J447" s="5" t="s">
        <v>8585</v>
      </c>
      <c r="K447" s="5" t="s">
        <v>8632</v>
      </c>
      <c r="L447" s="6" t="s">
        <v>42</v>
      </c>
      <c r="M447" s="5" t="s">
        <v>995</v>
      </c>
      <c r="N447" s="5" t="s">
        <v>64</v>
      </c>
      <c r="O447" s="5" t="s">
        <v>14332</v>
      </c>
      <c r="P447" s="5" t="s">
        <v>14345</v>
      </c>
      <c r="Q447" s="5" t="s">
        <v>15729</v>
      </c>
      <c r="R447" s="6">
        <v>4168.0</v>
      </c>
    </row>
    <row r="448" ht="56.25" customHeight="1">
      <c r="A448" s="5" t="s">
        <v>15721</v>
      </c>
      <c r="B448" s="6" t="str">
        <f>IMAGE("https://storage.googleapis.com/acdb/dresses/TopsTexOnepieceBoxHLayercamisoleBrown.png")</f>
        <v/>
      </c>
      <c r="C448" s="5" t="s">
        <v>39</v>
      </c>
      <c r="D448" s="5" t="s">
        <v>36</v>
      </c>
      <c r="E448" s="6">
        <v>1200.0</v>
      </c>
      <c r="F448" s="6">
        <v>300.0</v>
      </c>
      <c r="G448" s="5" t="s">
        <v>39</v>
      </c>
      <c r="H448" s="5" t="s">
        <v>54</v>
      </c>
      <c r="I448" s="6" t="s">
        <v>40</v>
      </c>
      <c r="J448" s="5" t="s">
        <v>8585</v>
      </c>
      <c r="K448" s="5" t="s">
        <v>8632</v>
      </c>
      <c r="L448" s="6" t="s">
        <v>42</v>
      </c>
      <c r="M448" s="5" t="s">
        <v>995</v>
      </c>
      <c r="N448" s="5" t="s">
        <v>64</v>
      </c>
      <c r="O448" s="5" t="s">
        <v>14332</v>
      </c>
      <c r="P448" s="5" t="s">
        <v>14345</v>
      </c>
      <c r="Q448" s="5" t="s">
        <v>15732</v>
      </c>
      <c r="R448" s="6">
        <v>4169.0</v>
      </c>
    </row>
    <row r="449" ht="56.25" customHeight="1">
      <c r="A449" s="5" t="s">
        <v>15721</v>
      </c>
      <c r="B449" s="6" t="str">
        <f>IMAGE("https://storage.googleapis.com/acdb/dresses/TopsTexOnepieceBoxHLayercamisoleRouge.png")</f>
        <v/>
      </c>
      <c r="C449" s="5" t="s">
        <v>4883</v>
      </c>
      <c r="D449" s="5" t="s">
        <v>36</v>
      </c>
      <c r="E449" s="6">
        <v>1200.0</v>
      </c>
      <c r="F449" s="6">
        <v>300.0</v>
      </c>
      <c r="G449" s="5" t="s">
        <v>52</v>
      </c>
      <c r="H449" s="5" t="s">
        <v>57</v>
      </c>
      <c r="I449" s="6" t="s">
        <v>40</v>
      </c>
      <c r="J449" s="5" t="s">
        <v>8585</v>
      </c>
      <c r="K449" s="5" t="s">
        <v>8632</v>
      </c>
      <c r="L449" s="6" t="s">
        <v>42</v>
      </c>
      <c r="M449" s="5" t="s">
        <v>995</v>
      </c>
      <c r="N449" s="5" t="s">
        <v>64</v>
      </c>
      <c r="O449" s="5" t="s">
        <v>14332</v>
      </c>
      <c r="P449" s="5" t="s">
        <v>14345</v>
      </c>
      <c r="Q449" s="5" t="s">
        <v>15735</v>
      </c>
      <c r="R449" s="6">
        <v>2704.0</v>
      </c>
    </row>
    <row r="450" ht="56.25" customHeight="1">
      <c r="A450" s="5" t="s">
        <v>15737</v>
      </c>
      <c r="B450" s="6" t="str">
        <f>IMAGE("https://storage.googleapis.com/acdb/dresses/TopsTexOnepieceRibNEggleaf0.png")</f>
        <v/>
      </c>
      <c r="C450" s="5" t="s">
        <v>44</v>
      </c>
      <c r="D450" s="5" t="s">
        <v>35</v>
      </c>
      <c r="E450" s="6" t="s">
        <v>37</v>
      </c>
      <c r="F450" s="6">
        <v>1200.0</v>
      </c>
      <c r="G450" s="5" t="s">
        <v>96</v>
      </c>
      <c r="H450" s="5" t="s">
        <v>96</v>
      </c>
      <c r="I450" s="6" t="s">
        <v>40</v>
      </c>
      <c r="J450" s="5" t="s">
        <v>41</v>
      </c>
      <c r="K450" s="5" t="s">
        <v>15739</v>
      </c>
      <c r="L450" s="6" t="s">
        <v>1410</v>
      </c>
      <c r="M450" s="5" t="s">
        <v>8746</v>
      </c>
      <c r="N450" s="5" t="s">
        <v>48</v>
      </c>
      <c r="O450" s="5" t="s">
        <v>14463</v>
      </c>
      <c r="P450" s="5" t="s">
        <v>14412</v>
      </c>
      <c r="Q450" s="5" t="s">
        <v>15741</v>
      </c>
      <c r="R450" s="6">
        <v>12451.0</v>
      </c>
    </row>
    <row r="451" ht="56.25" customHeight="1">
      <c r="A451" s="5" t="s">
        <v>15742</v>
      </c>
      <c r="B451" s="6" t="str">
        <f>IMAGE("https://storage.googleapis.com/acdb/dresses/TopsTexOnepieceAlineHLinen0.png")</f>
        <v/>
      </c>
      <c r="C451" s="5" t="s">
        <v>54</v>
      </c>
      <c r="D451" s="5" t="s">
        <v>36</v>
      </c>
      <c r="E451" s="6">
        <v>1600.0</v>
      </c>
      <c r="F451" s="6">
        <v>400.0</v>
      </c>
      <c r="G451" s="5" t="s">
        <v>54</v>
      </c>
      <c r="H451" s="5" t="s">
        <v>54</v>
      </c>
      <c r="I451" s="6" t="s">
        <v>40</v>
      </c>
      <c r="J451" s="5" t="s">
        <v>8585</v>
      </c>
      <c r="K451" s="5" t="s">
        <v>8632</v>
      </c>
      <c r="L451" s="6" t="s">
        <v>42</v>
      </c>
      <c r="M451" s="5" t="s">
        <v>995</v>
      </c>
      <c r="N451" s="5" t="s">
        <v>64</v>
      </c>
      <c r="O451" s="5" t="s">
        <v>14411</v>
      </c>
      <c r="P451" s="5" t="s">
        <v>14345</v>
      </c>
      <c r="Q451" s="5" t="s">
        <v>15744</v>
      </c>
      <c r="R451" s="6">
        <v>4265.0</v>
      </c>
    </row>
    <row r="452" ht="56.25" customHeight="1">
      <c r="A452" s="5" t="s">
        <v>15742</v>
      </c>
      <c r="B452" s="6" t="str">
        <f>IMAGE("https://storage.googleapis.com/acdb/dresses/TopsTexOnepieceAlineHLinen1.png")</f>
        <v/>
      </c>
      <c r="C452" s="5" t="s">
        <v>52</v>
      </c>
      <c r="D452" s="5" t="s">
        <v>36</v>
      </c>
      <c r="E452" s="6">
        <v>1600.0</v>
      </c>
      <c r="F452" s="6">
        <v>400.0</v>
      </c>
      <c r="G452" s="5" t="s">
        <v>52</v>
      </c>
      <c r="H452" s="5" t="s">
        <v>52</v>
      </c>
      <c r="I452" s="6" t="s">
        <v>40</v>
      </c>
      <c r="J452" s="5" t="s">
        <v>8585</v>
      </c>
      <c r="K452" s="5" t="s">
        <v>8632</v>
      </c>
      <c r="L452" s="6" t="s">
        <v>42</v>
      </c>
      <c r="M452" s="5" t="s">
        <v>995</v>
      </c>
      <c r="N452" s="5" t="s">
        <v>64</v>
      </c>
      <c r="O452" s="5" t="s">
        <v>14411</v>
      </c>
      <c r="P452" s="5" t="s">
        <v>14345</v>
      </c>
      <c r="Q452" s="5" t="s">
        <v>15748</v>
      </c>
      <c r="R452" s="6">
        <v>8586.0</v>
      </c>
    </row>
    <row r="453" ht="56.25" customHeight="1">
      <c r="A453" s="5" t="s">
        <v>15742</v>
      </c>
      <c r="B453" s="6" t="str">
        <f>IMAGE("https://storage.googleapis.com/acdb/dresses/TopsTexOnepieceAlineHLinen2.png")</f>
        <v/>
      </c>
      <c r="C453" s="5" t="s">
        <v>8709</v>
      </c>
      <c r="D453" s="5" t="s">
        <v>36</v>
      </c>
      <c r="E453" s="6">
        <v>1600.0</v>
      </c>
      <c r="F453" s="6">
        <v>400.0</v>
      </c>
      <c r="G453" s="5" t="s">
        <v>114</v>
      </c>
      <c r="H453" s="5" t="s">
        <v>114</v>
      </c>
      <c r="I453" s="6" t="s">
        <v>40</v>
      </c>
      <c r="J453" s="5" t="s">
        <v>8585</v>
      </c>
      <c r="K453" s="5" t="s">
        <v>8632</v>
      </c>
      <c r="L453" s="6" t="s">
        <v>42</v>
      </c>
      <c r="M453" s="5" t="s">
        <v>995</v>
      </c>
      <c r="N453" s="5" t="s">
        <v>64</v>
      </c>
      <c r="O453" s="5" t="s">
        <v>14411</v>
      </c>
      <c r="P453" s="5" t="s">
        <v>14345</v>
      </c>
      <c r="Q453" s="5" t="s">
        <v>15751</v>
      </c>
      <c r="R453" s="6">
        <v>8587.0</v>
      </c>
    </row>
    <row r="454" ht="56.25" customHeight="1">
      <c r="A454" s="5" t="s">
        <v>15742</v>
      </c>
      <c r="B454" s="6" t="str">
        <f>IMAGE("https://storage.googleapis.com/acdb/dresses/TopsTexOnepieceAlineHLinen3.png")</f>
        <v/>
      </c>
      <c r="C454" s="5" t="s">
        <v>57</v>
      </c>
      <c r="D454" s="5" t="s">
        <v>36</v>
      </c>
      <c r="E454" s="6">
        <v>1600.0</v>
      </c>
      <c r="F454" s="6">
        <v>400.0</v>
      </c>
      <c r="G454" s="5" t="s">
        <v>57</v>
      </c>
      <c r="H454" s="5" t="s">
        <v>57</v>
      </c>
      <c r="I454" s="6" t="s">
        <v>40</v>
      </c>
      <c r="J454" s="5" t="s">
        <v>8585</v>
      </c>
      <c r="K454" s="5" t="s">
        <v>8632</v>
      </c>
      <c r="L454" s="6" t="s">
        <v>42</v>
      </c>
      <c r="M454" s="5" t="s">
        <v>995</v>
      </c>
      <c r="N454" s="5" t="s">
        <v>64</v>
      </c>
      <c r="O454" s="5" t="s">
        <v>14411</v>
      </c>
      <c r="P454" s="5" t="s">
        <v>14345</v>
      </c>
      <c r="Q454" s="5" t="s">
        <v>15754</v>
      </c>
      <c r="R454" s="6">
        <v>8588.0</v>
      </c>
    </row>
    <row r="455" ht="56.25" customHeight="1">
      <c r="A455" s="5" t="s">
        <v>15742</v>
      </c>
      <c r="B455" s="6" t="str">
        <f>IMAGE("https://storage.googleapis.com/acdb/dresses/TopsTexOnepieceAlineHLinen4.png")</f>
        <v/>
      </c>
      <c r="C455" s="5" t="s">
        <v>68</v>
      </c>
      <c r="D455" s="5" t="s">
        <v>36</v>
      </c>
      <c r="E455" s="6">
        <v>1600.0</v>
      </c>
      <c r="F455" s="6">
        <v>400.0</v>
      </c>
      <c r="G455" s="5" t="s">
        <v>68</v>
      </c>
      <c r="H455" s="5" t="s">
        <v>68</v>
      </c>
      <c r="I455" s="6" t="s">
        <v>40</v>
      </c>
      <c r="J455" s="5" t="s">
        <v>8585</v>
      </c>
      <c r="K455" s="5" t="s">
        <v>8632</v>
      </c>
      <c r="L455" s="6" t="s">
        <v>42</v>
      </c>
      <c r="M455" s="5" t="s">
        <v>995</v>
      </c>
      <c r="N455" s="5" t="s">
        <v>64</v>
      </c>
      <c r="O455" s="5" t="s">
        <v>14411</v>
      </c>
      <c r="P455" s="5" t="s">
        <v>14345</v>
      </c>
      <c r="Q455" s="5" t="s">
        <v>15756</v>
      </c>
      <c r="R455" s="6">
        <v>8589.0</v>
      </c>
    </row>
    <row r="456" ht="56.25" customHeight="1">
      <c r="A456" s="5" t="s">
        <v>15757</v>
      </c>
      <c r="B456" s="6" t="str">
        <f>IMAGE("https://storage.googleapis.com/acdb/dresses/TopsTexOnepieceAlineHPlaid0.png")</f>
        <v/>
      </c>
      <c r="C456" s="5" t="s">
        <v>96</v>
      </c>
      <c r="D456" s="5" t="s">
        <v>36</v>
      </c>
      <c r="E456" s="6">
        <v>1800.0</v>
      </c>
      <c r="F456" s="6">
        <v>450.0</v>
      </c>
      <c r="G456" s="5" t="s">
        <v>96</v>
      </c>
      <c r="H456" s="5" t="s">
        <v>114</v>
      </c>
      <c r="I456" s="6" t="s">
        <v>40</v>
      </c>
      <c r="J456" s="5" t="s">
        <v>8585</v>
      </c>
      <c r="K456" s="5" t="s">
        <v>8632</v>
      </c>
      <c r="L456" s="6" t="s">
        <v>42</v>
      </c>
      <c r="M456" s="5" t="s">
        <v>1959</v>
      </c>
      <c r="N456" s="5" t="s">
        <v>64</v>
      </c>
      <c r="O456" s="5" t="s">
        <v>14411</v>
      </c>
      <c r="P456" s="5" t="s">
        <v>14345</v>
      </c>
      <c r="Q456" s="5" t="s">
        <v>15759</v>
      </c>
      <c r="R456" s="6">
        <v>9504.0</v>
      </c>
    </row>
    <row r="457" ht="56.25" customHeight="1">
      <c r="A457" s="5" t="s">
        <v>15761</v>
      </c>
      <c r="B457" s="6" t="str">
        <f>IMAGE("https://storage.googleapis.com/acdb/dresses/TopsTexOnepieceRibLCardigan1.png")</f>
        <v/>
      </c>
      <c r="C457" s="5" t="s">
        <v>68</v>
      </c>
      <c r="D457" s="5" t="s">
        <v>36</v>
      </c>
      <c r="E457" s="6">
        <v>2000.0</v>
      </c>
      <c r="F457" s="6">
        <v>500.0</v>
      </c>
      <c r="G457" s="5" t="s">
        <v>68</v>
      </c>
      <c r="H457" s="5" t="s">
        <v>106</v>
      </c>
      <c r="I457" s="6" t="s">
        <v>40</v>
      </c>
      <c r="J457" s="5" t="s">
        <v>8585</v>
      </c>
      <c r="K457" s="5" t="s">
        <v>8632</v>
      </c>
      <c r="L457" s="6" t="s">
        <v>42</v>
      </c>
      <c r="M457" s="5" t="s">
        <v>995</v>
      </c>
      <c r="N457" s="5" t="s">
        <v>64</v>
      </c>
      <c r="O457" s="5" t="s">
        <v>14463</v>
      </c>
      <c r="P457" s="5" t="s">
        <v>14333</v>
      </c>
      <c r="Q457" s="5" t="s">
        <v>15763</v>
      </c>
      <c r="R457" s="6">
        <v>8026.0</v>
      </c>
    </row>
    <row r="458" ht="56.25" customHeight="1">
      <c r="A458" s="5" t="s">
        <v>15761</v>
      </c>
      <c r="B458" s="6" t="str">
        <f>IMAGE("https://storage.googleapis.com/acdb/dresses/TopsTexOnepieceRibLCardigan2.png")</f>
        <v/>
      </c>
      <c r="C458" s="5" t="s">
        <v>69</v>
      </c>
      <c r="D458" s="5" t="s">
        <v>36</v>
      </c>
      <c r="E458" s="6">
        <v>2000.0</v>
      </c>
      <c r="F458" s="6">
        <v>500.0</v>
      </c>
      <c r="G458" s="5" t="s">
        <v>69</v>
      </c>
      <c r="H458" s="5" t="s">
        <v>52</v>
      </c>
      <c r="I458" s="6" t="s">
        <v>40</v>
      </c>
      <c r="J458" s="5" t="s">
        <v>8585</v>
      </c>
      <c r="K458" s="5" t="s">
        <v>8632</v>
      </c>
      <c r="L458" s="6" t="s">
        <v>42</v>
      </c>
      <c r="M458" s="5" t="s">
        <v>995</v>
      </c>
      <c r="N458" s="5" t="s">
        <v>64</v>
      </c>
      <c r="O458" s="5" t="s">
        <v>14463</v>
      </c>
      <c r="P458" s="5" t="s">
        <v>14333</v>
      </c>
      <c r="Q458" s="5" t="s">
        <v>15765</v>
      </c>
      <c r="R458" s="6">
        <v>8027.0</v>
      </c>
    </row>
    <row r="459" ht="56.25" customHeight="1">
      <c r="A459" s="5" t="s">
        <v>15761</v>
      </c>
      <c r="B459" s="6" t="str">
        <f>IMAGE("https://storage.googleapis.com/acdb/dresses/TopsTexOnepieceRibLCardigan3.png")</f>
        <v/>
      </c>
      <c r="C459" s="5" t="s">
        <v>96</v>
      </c>
      <c r="D459" s="5" t="s">
        <v>36</v>
      </c>
      <c r="E459" s="6">
        <v>2000.0</v>
      </c>
      <c r="F459" s="6">
        <v>500.0</v>
      </c>
      <c r="G459" s="5" t="s">
        <v>96</v>
      </c>
      <c r="H459" s="5" t="s">
        <v>54</v>
      </c>
      <c r="I459" s="6" t="s">
        <v>40</v>
      </c>
      <c r="J459" s="5" t="s">
        <v>8585</v>
      </c>
      <c r="K459" s="5" t="s">
        <v>8632</v>
      </c>
      <c r="L459" s="6" t="s">
        <v>42</v>
      </c>
      <c r="M459" s="5" t="s">
        <v>995</v>
      </c>
      <c r="N459" s="5" t="s">
        <v>64</v>
      </c>
      <c r="O459" s="5" t="s">
        <v>14463</v>
      </c>
      <c r="P459" s="5" t="s">
        <v>14333</v>
      </c>
      <c r="Q459" s="5" t="s">
        <v>15767</v>
      </c>
      <c r="R459" s="6">
        <v>8028.0</v>
      </c>
    </row>
    <row r="460" ht="56.25" customHeight="1">
      <c r="A460" s="5" t="s">
        <v>15761</v>
      </c>
      <c r="B460" s="6" t="str">
        <f>IMAGE("https://storage.googleapis.com/acdb/dresses/TopsTexOnepieceRibLCardigan0.png")</f>
        <v/>
      </c>
      <c r="C460" s="5" t="s">
        <v>8709</v>
      </c>
      <c r="D460" s="5" t="s">
        <v>36</v>
      </c>
      <c r="E460" s="6">
        <v>2000.0</v>
      </c>
      <c r="F460" s="6">
        <v>500.0</v>
      </c>
      <c r="G460" s="5" t="s">
        <v>114</v>
      </c>
      <c r="H460" s="5" t="s">
        <v>52</v>
      </c>
      <c r="I460" s="6" t="s">
        <v>40</v>
      </c>
      <c r="J460" s="5" t="s">
        <v>8585</v>
      </c>
      <c r="K460" s="5" t="s">
        <v>8632</v>
      </c>
      <c r="L460" s="6" t="s">
        <v>42</v>
      </c>
      <c r="M460" s="5" t="s">
        <v>995</v>
      </c>
      <c r="N460" s="5" t="s">
        <v>64</v>
      </c>
      <c r="O460" s="5" t="s">
        <v>14463</v>
      </c>
      <c r="P460" s="5" t="s">
        <v>14333</v>
      </c>
      <c r="Q460" s="5" t="s">
        <v>15770</v>
      </c>
      <c r="R460" s="6">
        <v>4674.0</v>
      </c>
    </row>
    <row r="461" ht="56.25" customHeight="1">
      <c r="A461" s="5" t="s">
        <v>15771</v>
      </c>
      <c r="B461" s="6" t="str">
        <f>IMAGE("https://storage.googleapis.com/acdb/dresses/TopsTexOnepieceBoxLMuffler0.png")</f>
        <v/>
      </c>
      <c r="C461" s="5" t="s">
        <v>95</v>
      </c>
      <c r="D461" s="5" t="s">
        <v>36</v>
      </c>
      <c r="E461" s="6">
        <v>2000.0</v>
      </c>
      <c r="F461" s="6">
        <v>500.0</v>
      </c>
      <c r="G461" s="5" t="s">
        <v>68</v>
      </c>
      <c r="H461" s="5" t="s">
        <v>95</v>
      </c>
      <c r="I461" s="6" t="s">
        <v>40</v>
      </c>
      <c r="J461" s="5" t="s">
        <v>8585</v>
      </c>
      <c r="K461" s="5" t="s">
        <v>8632</v>
      </c>
      <c r="L461" s="6" t="s">
        <v>42</v>
      </c>
      <c r="M461" s="5" t="s">
        <v>995</v>
      </c>
      <c r="N461" s="5" t="s">
        <v>64</v>
      </c>
      <c r="O461" s="5" t="s">
        <v>14332</v>
      </c>
      <c r="P461" s="5" t="s">
        <v>14333</v>
      </c>
      <c r="Q461" s="5" t="s">
        <v>15772</v>
      </c>
      <c r="R461" s="6">
        <v>4555.0</v>
      </c>
    </row>
    <row r="462" ht="56.25" customHeight="1">
      <c r="A462" s="5" t="s">
        <v>15771</v>
      </c>
      <c r="B462" s="6" t="str">
        <f>IMAGE("https://storage.googleapis.com/acdb/dresses/TopsTexOnepieceBoxLMuffler1.png")</f>
        <v/>
      </c>
      <c r="C462" s="5" t="s">
        <v>69</v>
      </c>
      <c r="D462" s="5" t="s">
        <v>36</v>
      </c>
      <c r="E462" s="6">
        <v>2000.0</v>
      </c>
      <c r="F462" s="6">
        <v>500.0</v>
      </c>
      <c r="G462" s="5" t="s">
        <v>68</v>
      </c>
      <c r="H462" s="5" t="s">
        <v>69</v>
      </c>
      <c r="I462" s="6" t="s">
        <v>40</v>
      </c>
      <c r="J462" s="5" t="s">
        <v>8585</v>
      </c>
      <c r="K462" s="5" t="s">
        <v>8632</v>
      </c>
      <c r="L462" s="6" t="s">
        <v>42</v>
      </c>
      <c r="M462" s="5" t="s">
        <v>995</v>
      </c>
      <c r="N462" s="5" t="s">
        <v>64</v>
      </c>
      <c r="O462" s="5" t="s">
        <v>14332</v>
      </c>
      <c r="P462" s="5" t="s">
        <v>14333</v>
      </c>
      <c r="Q462" s="5" t="s">
        <v>15775</v>
      </c>
      <c r="R462" s="6">
        <v>8504.0</v>
      </c>
    </row>
    <row r="463" ht="56.25" customHeight="1">
      <c r="A463" s="5" t="s">
        <v>15771</v>
      </c>
      <c r="B463" s="6" t="str">
        <f>IMAGE("https://storage.googleapis.com/acdb/dresses/TopsTexOnepieceBoxLMuffler2.png")</f>
        <v/>
      </c>
      <c r="C463" s="5" t="s">
        <v>114</v>
      </c>
      <c r="D463" s="5" t="s">
        <v>36</v>
      </c>
      <c r="E463" s="6">
        <v>2000.0</v>
      </c>
      <c r="F463" s="6">
        <v>500.0</v>
      </c>
      <c r="G463" s="5" t="s">
        <v>83</v>
      </c>
      <c r="H463" s="5" t="s">
        <v>114</v>
      </c>
      <c r="I463" s="6" t="s">
        <v>40</v>
      </c>
      <c r="J463" s="5" t="s">
        <v>8585</v>
      </c>
      <c r="K463" s="5" t="s">
        <v>8632</v>
      </c>
      <c r="L463" s="6" t="s">
        <v>42</v>
      </c>
      <c r="M463" s="5" t="s">
        <v>995</v>
      </c>
      <c r="N463" s="5" t="s">
        <v>64</v>
      </c>
      <c r="O463" s="5" t="s">
        <v>14332</v>
      </c>
      <c r="P463" s="5" t="s">
        <v>14333</v>
      </c>
      <c r="Q463" s="5" t="s">
        <v>15777</v>
      </c>
      <c r="R463" s="6">
        <v>8505.0</v>
      </c>
    </row>
    <row r="464" ht="56.25" customHeight="1">
      <c r="A464" s="5" t="s">
        <v>15779</v>
      </c>
      <c r="B464" s="6" t="str">
        <f>IMAGE("https://storage.googleapis.com/acdb/dresses/TopsTexOnepieceAlongLDowncoat4.png")</f>
        <v/>
      </c>
      <c r="C464" s="5" t="s">
        <v>38</v>
      </c>
      <c r="D464" s="5" t="s">
        <v>36</v>
      </c>
      <c r="E464" s="6">
        <v>1900.0</v>
      </c>
      <c r="F464" s="6">
        <v>475.0</v>
      </c>
      <c r="G464" s="5" t="s">
        <v>38</v>
      </c>
      <c r="H464" s="5" t="s">
        <v>54</v>
      </c>
      <c r="I464" s="6" t="s">
        <v>40</v>
      </c>
      <c r="J464" s="5" t="s">
        <v>8585</v>
      </c>
      <c r="K464" s="5" t="s">
        <v>8632</v>
      </c>
      <c r="L464" s="6" t="s">
        <v>42</v>
      </c>
      <c r="M464" s="5" t="s">
        <v>995</v>
      </c>
      <c r="N464" s="5" t="s">
        <v>64</v>
      </c>
      <c r="O464" s="5" t="s">
        <v>14574</v>
      </c>
      <c r="P464" s="5" t="s">
        <v>14333</v>
      </c>
      <c r="Q464" s="5" t="s">
        <v>15781</v>
      </c>
      <c r="R464" s="6">
        <v>8329.0</v>
      </c>
    </row>
    <row r="465" ht="56.25" customHeight="1">
      <c r="A465" s="5" t="s">
        <v>15779</v>
      </c>
      <c r="B465" s="6" t="str">
        <f>IMAGE("https://storage.googleapis.com/acdb/dresses/TopsTexOnepieceAlongLDowncoat0.png")</f>
        <v/>
      </c>
      <c r="C465" s="5" t="s">
        <v>54</v>
      </c>
      <c r="D465" s="5" t="s">
        <v>36</v>
      </c>
      <c r="E465" s="6">
        <v>1900.0</v>
      </c>
      <c r="F465" s="6">
        <v>475.0</v>
      </c>
      <c r="G465" s="5" t="s">
        <v>54</v>
      </c>
      <c r="H465" s="5" t="s">
        <v>54</v>
      </c>
      <c r="I465" s="6" t="s">
        <v>40</v>
      </c>
      <c r="J465" s="5" t="s">
        <v>8585</v>
      </c>
      <c r="K465" s="5" t="s">
        <v>8632</v>
      </c>
      <c r="L465" s="6" t="s">
        <v>42</v>
      </c>
      <c r="M465" s="5" t="s">
        <v>995</v>
      </c>
      <c r="N465" s="5" t="s">
        <v>64</v>
      </c>
      <c r="O465" s="5" t="s">
        <v>14574</v>
      </c>
      <c r="P465" s="5" t="s">
        <v>14333</v>
      </c>
      <c r="Q465" s="5" t="s">
        <v>15783</v>
      </c>
      <c r="R465" s="6">
        <v>4589.0</v>
      </c>
    </row>
    <row r="466" ht="56.25" customHeight="1">
      <c r="A466" s="5" t="s">
        <v>15779</v>
      </c>
      <c r="B466" s="6" t="str">
        <f>IMAGE("https://storage.googleapis.com/acdb/dresses/TopsTexOnepieceAlongLDowncoat1.png")</f>
        <v/>
      </c>
      <c r="C466" s="5" t="s">
        <v>96</v>
      </c>
      <c r="D466" s="5" t="s">
        <v>36</v>
      </c>
      <c r="E466" s="6">
        <v>1900.0</v>
      </c>
      <c r="F466" s="6">
        <v>475.0</v>
      </c>
      <c r="G466" s="5" t="s">
        <v>96</v>
      </c>
      <c r="H466" s="5" t="s">
        <v>54</v>
      </c>
      <c r="I466" s="6" t="s">
        <v>40</v>
      </c>
      <c r="J466" s="5" t="s">
        <v>8585</v>
      </c>
      <c r="K466" s="5" t="s">
        <v>8632</v>
      </c>
      <c r="L466" s="6" t="s">
        <v>42</v>
      </c>
      <c r="M466" s="5" t="s">
        <v>995</v>
      </c>
      <c r="N466" s="5" t="s">
        <v>64</v>
      </c>
      <c r="O466" s="5" t="s">
        <v>14574</v>
      </c>
      <c r="P466" s="5" t="s">
        <v>14333</v>
      </c>
      <c r="Q466" s="5" t="s">
        <v>15784</v>
      </c>
      <c r="R466" s="6">
        <v>8326.0</v>
      </c>
    </row>
    <row r="467" ht="56.25" customHeight="1">
      <c r="A467" s="5" t="s">
        <v>15779</v>
      </c>
      <c r="B467" s="6" t="str">
        <f>IMAGE("https://storage.googleapis.com/acdb/dresses/TopsTexOnepieceAlongLDowncoat2.png")</f>
        <v/>
      </c>
      <c r="C467" s="5" t="s">
        <v>57</v>
      </c>
      <c r="D467" s="5" t="s">
        <v>36</v>
      </c>
      <c r="E467" s="6">
        <v>1900.0</v>
      </c>
      <c r="F467" s="6">
        <v>475.0</v>
      </c>
      <c r="G467" s="5" t="s">
        <v>57</v>
      </c>
      <c r="H467" s="5" t="s">
        <v>54</v>
      </c>
      <c r="I467" s="6" t="s">
        <v>40</v>
      </c>
      <c r="J467" s="5" t="s">
        <v>8585</v>
      </c>
      <c r="K467" s="5" t="s">
        <v>8632</v>
      </c>
      <c r="L467" s="6" t="s">
        <v>42</v>
      </c>
      <c r="M467" s="5" t="s">
        <v>995</v>
      </c>
      <c r="N467" s="5" t="s">
        <v>64</v>
      </c>
      <c r="O467" s="5" t="s">
        <v>14574</v>
      </c>
      <c r="P467" s="5" t="s">
        <v>14333</v>
      </c>
      <c r="Q467" s="5" t="s">
        <v>15787</v>
      </c>
      <c r="R467" s="6">
        <v>8327.0</v>
      </c>
    </row>
    <row r="468" ht="56.25" customHeight="1">
      <c r="A468" s="5" t="s">
        <v>15779</v>
      </c>
      <c r="B468" s="6" t="str">
        <f>IMAGE("https://storage.googleapis.com/acdb/dresses/TopsTexOnepieceAlongLDowncoat3.png")</f>
        <v/>
      </c>
      <c r="C468" s="5" t="s">
        <v>106</v>
      </c>
      <c r="D468" s="5" t="s">
        <v>36</v>
      </c>
      <c r="E468" s="6">
        <v>1900.0</v>
      </c>
      <c r="F468" s="6">
        <v>475.0</v>
      </c>
      <c r="G468" s="5" t="s">
        <v>106</v>
      </c>
      <c r="H468" s="5" t="s">
        <v>54</v>
      </c>
      <c r="I468" s="6" t="s">
        <v>40</v>
      </c>
      <c r="J468" s="5" t="s">
        <v>8585</v>
      </c>
      <c r="K468" s="5" t="s">
        <v>8632</v>
      </c>
      <c r="L468" s="6" t="s">
        <v>42</v>
      </c>
      <c r="M468" s="5" t="s">
        <v>995</v>
      </c>
      <c r="N468" s="5" t="s">
        <v>64</v>
      </c>
      <c r="O468" s="5" t="s">
        <v>14574</v>
      </c>
      <c r="P468" s="5" t="s">
        <v>14333</v>
      </c>
      <c r="Q468" s="5" t="s">
        <v>15788</v>
      </c>
      <c r="R468" s="6">
        <v>8328.0</v>
      </c>
    </row>
    <row r="469" ht="56.25" customHeight="1">
      <c r="A469" s="5" t="s">
        <v>15789</v>
      </c>
      <c r="B469" s="6" t="str">
        <f>IMAGE("https://storage.googleapis.com/acdb/dresses/TopsTexOnepieceAlongLLeathercoat0.png")</f>
        <v/>
      </c>
      <c r="C469" s="5" t="s">
        <v>54</v>
      </c>
      <c r="D469" s="5" t="s">
        <v>36</v>
      </c>
      <c r="E469" s="6">
        <v>1840.0</v>
      </c>
      <c r="F469" s="6">
        <v>460.0</v>
      </c>
      <c r="G469" s="5" t="s">
        <v>54</v>
      </c>
      <c r="H469" s="5" t="s">
        <v>54</v>
      </c>
      <c r="I469" s="6" t="s">
        <v>40</v>
      </c>
      <c r="J469" s="5" t="s">
        <v>8585</v>
      </c>
      <c r="K469" s="5" t="s">
        <v>8632</v>
      </c>
      <c r="L469" s="6" t="s">
        <v>42</v>
      </c>
      <c r="M469" s="5" t="s">
        <v>1952</v>
      </c>
      <c r="N469" s="5" t="s">
        <v>64</v>
      </c>
      <c r="O469" s="5" t="s">
        <v>14574</v>
      </c>
      <c r="P469" s="5" t="s">
        <v>14333</v>
      </c>
      <c r="Q469" s="5" t="s">
        <v>15792</v>
      </c>
      <c r="R469" s="6">
        <v>4360.0</v>
      </c>
    </row>
    <row r="470" ht="56.25" customHeight="1">
      <c r="A470" s="5" t="s">
        <v>15789</v>
      </c>
      <c r="B470" s="6" t="str">
        <f>IMAGE("https://storage.googleapis.com/acdb/dresses/TopsTexOnepieceAlongLLeathercoat1.png")</f>
        <v/>
      </c>
      <c r="C470" s="5" t="s">
        <v>106</v>
      </c>
      <c r="D470" s="5" t="s">
        <v>36</v>
      </c>
      <c r="E470" s="6">
        <v>1840.0</v>
      </c>
      <c r="F470" s="6">
        <v>460.0</v>
      </c>
      <c r="G470" s="5" t="s">
        <v>106</v>
      </c>
      <c r="H470" s="5" t="s">
        <v>106</v>
      </c>
      <c r="I470" s="6" t="s">
        <v>40</v>
      </c>
      <c r="J470" s="5" t="s">
        <v>8585</v>
      </c>
      <c r="K470" s="5" t="s">
        <v>8632</v>
      </c>
      <c r="L470" s="6" t="s">
        <v>42</v>
      </c>
      <c r="M470" s="5" t="s">
        <v>1952</v>
      </c>
      <c r="N470" s="5" t="s">
        <v>64</v>
      </c>
      <c r="O470" s="5" t="s">
        <v>14574</v>
      </c>
      <c r="P470" s="5" t="s">
        <v>14333</v>
      </c>
      <c r="Q470" s="5" t="s">
        <v>15793</v>
      </c>
      <c r="R470" s="6">
        <v>9301.0</v>
      </c>
    </row>
    <row r="471" ht="56.25" customHeight="1">
      <c r="A471" s="5" t="s">
        <v>15789</v>
      </c>
      <c r="B471" s="6" t="str">
        <f>IMAGE("https://storage.googleapis.com/acdb/dresses/TopsTexOnepieceAlongLLeathercoat2.png")</f>
        <v/>
      </c>
      <c r="C471" s="5" t="s">
        <v>39</v>
      </c>
      <c r="D471" s="5" t="s">
        <v>36</v>
      </c>
      <c r="E471" s="6">
        <v>1840.0</v>
      </c>
      <c r="F471" s="6">
        <v>460.0</v>
      </c>
      <c r="G471" s="5" t="s">
        <v>39</v>
      </c>
      <c r="H471" s="5" t="s">
        <v>39</v>
      </c>
      <c r="I471" s="6" t="s">
        <v>40</v>
      </c>
      <c r="J471" s="5" t="s">
        <v>8585</v>
      </c>
      <c r="K471" s="5" t="s">
        <v>8632</v>
      </c>
      <c r="L471" s="6" t="s">
        <v>42</v>
      </c>
      <c r="M471" s="5" t="s">
        <v>1952</v>
      </c>
      <c r="N471" s="5" t="s">
        <v>64</v>
      </c>
      <c r="O471" s="5" t="s">
        <v>14574</v>
      </c>
      <c r="P471" s="5" t="s">
        <v>14333</v>
      </c>
      <c r="Q471" s="5" t="s">
        <v>15796</v>
      </c>
      <c r="R471" s="6">
        <v>9302.0</v>
      </c>
    </row>
    <row r="472" ht="56.25" customHeight="1">
      <c r="A472" s="5" t="s">
        <v>15797</v>
      </c>
      <c r="B472" s="6" t="str">
        <f>IMAGE("https://storage.googleapis.com/acdb/dresses/TopsTexOnepieceBoxLAutumncheck1.png")</f>
        <v/>
      </c>
      <c r="C472" s="5" t="s">
        <v>10689</v>
      </c>
      <c r="D472" s="5" t="s">
        <v>36</v>
      </c>
      <c r="E472" s="6">
        <v>1800.0</v>
      </c>
      <c r="F472" s="6">
        <v>450.0</v>
      </c>
      <c r="G472" s="5" t="s">
        <v>96</v>
      </c>
      <c r="H472" s="5" t="s">
        <v>54</v>
      </c>
      <c r="I472" s="6" t="s">
        <v>40</v>
      </c>
      <c r="J472" s="5" t="s">
        <v>8585</v>
      </c>
      <c r="K472" s="5" t="s">
        <v>8632</v>
      </c>
      <c r="L472" s="6" t="s">
        <v>42</v>
      </c>
      <c r="M472" s="5" t="s">
        <v>1059</v>
      </c>
      <c r="N472" s="5" t="s">
        <v>64</v>
      </c>
      <c r="O472" s="5" t="s">
        <v>14332</v>
      </c>
      <c r="P472" s="5" t="s">
        <v>14333</v>
      </c>
      <c r="Q472" s="5" t="s">
        <v>15798</v>
      </c>
      <c r="R472" s="6">
        <v>8954.0</v>
      </c>
    </row>
    <row r="473" ht="56.25" customHeight="1">
      <c r="A473" s="5" t="s">
        <v>15797</v>
      </c>
      <c r="B473" s="6" t="str">
        <f>IMAGE("https://storage.googleapis.com/acdb/dresses/TopsTexOnepieceBoxLAutumncheck2.png")</f>
        <v/>
      </c>
      <c r="C473" s="5" t="s">
        <v>142</v>
      </c>
      <c r="D473" s="5" t="s">
        <v>36</v>
      </c>
      <c r="E473" s="6">
        <v>1800.0</v>
      </c>
      <c r="F473" s="6">
        <v>450.0</v>
      </c>
      <c r="G473" s="5" t="s">
        <v>142</v>
      </c>
      <c r="H473" s="5" t="s">
        <v>54</v>
      </c>
      <c r="I473" s="6" t="s">
        <v>40</v>
      </c>
      <c r="J473" s="5" t="s">
        <v>8585</v>
      </c>
      <c r="K473" s="5" t="s">
        <v>8632</v>
      </c>
      <c r="L473" s="6" t="s">
        <v>42</v>
      </c>
      <c r="M473" s="5" t="s">
        <v>1059</v>
      </c>
      <c r="N473" s="5" t="s">
        <v>64</v>
      </c>
      <c r="O473" s="5" t="s">
        <v>14332</v>
      </c>
      <c r="P473" s="5" t="s">
        <v>14333</v>
      </c>
      <c r="Q473" s="5" t="s">
        <v>15801</v>
      </c>
      <c r="R473" s="6">
        <v>8955.0</v>
      </c>
    </row>
    <row r="474" ht="56.25" customHeight="1">
      <c r="A474" s="5" t="s">
        <v>15797</v>
      </c>
      <c r="B474" s="6" t="str">
        <f>IMAGE("https://storage.googleapis.com/acdb/dresses/TopsTexOnepieceBoxLAutumncheck3.png")</f>
        <v/>
      </c>
      <c r="C474" s="5" t="s">
        <v>68</v>
      </c>
      <c r="D474" s="5" t="s">
        <v>36</v>
      </c>
      <c r="E474" s="6">
        <v>1800.0</v>
      </c>
      <c r="F474" s="6">
        <v>450.0</v>
      </c>
      <c r="G474" s="5" t="s">
        <v>68</v>
      </c>
      <c r="H474" s="5" t="s">
        <v>54</v>
      </c>
      <c r="I474" s="6" t="s">
        <v>40</v>
      </c>
      <c r="J474" s="5" t="s">
        <v>8585</v>
      </c>
      <c r="K474" s="5" t="s">
        <v>8632</v>
      </c>
      <c r="L474" s="6" t="s">
        <v>42</v>
      </c>
      <c r="M474" s="5" t="s">
        <v>1059</v>
      </c>
      <c r="N474" s="5" t="s">
        <v>64</v>
      </c>
      <c r="O474" s="5" t="s">
        <v>14332</v>
      </c>
      <c r="P474" s="5" t="s">
        <v>14333</v>
      </c>
      <c r="Q474" s="5" t="s">
        <v>15803</v>
      </c>
      <c r="R474" s="6">
        <v>8956.0</v>
      </c>
    </row>
    <row r="475" ht="56.25" customHeight="1">
      <c r="A475" s="5" t="s">
        <v>15797</v>
      </c>
      <c r="B475" s="6" t="str">
        <f>IMAGE("https://storage.googleapis.com/acdb/dresses/TopsTexOnepieceBoxLAutumncheck0.png")</f>
        <v/>
      </c>
      <c r="C475" s="5" t="s">
        <v>52</v>
      </c>
      <c r="D475" s="5" t="s">
        <v>36</v>
      </c>
      <c r="E475" s="6">
        <v>1800.0</v>
      </c>
      <c r="F475" s="6">
        <v>450.0</v>
      </c>
      <c r="G475" s="5" t="s">
        <v>52</v>
      </c>
      <c r="H475" s="5" t="s">
        <v>54</v>
      </c>
      <c r="I475" s="6" t="s">
        <v>40</v>
      </c>
      <c r="J475" s="5" t="s">
        <v>8585</v>
      </c>
      <c r="K475" s="5" t="s">
        <v>8632</v>
      </c>
      <c r="L475" s="6" t="s">
        <v>42</v>
      </c>
      <c r="M475" s="5" t="s">
        <v>1059</v>
      </c>
      <c r="N475" s="5" t="s">
        <v>64</v>
      </c>
      <c r="O475" s="5" t="s">
        <v>14332</v>
      </c>
      <c r="P475" s="5" t="s">
        <v>14333</v>
      </c>
      <c r="Q475" s="5" t="s">
        <v>15804</v>
      </c>
      <c r="R475" s="6">
        <v>4396.0</v>
      </c>
    </row>
    <row r="476" ht="56.25" customHeight="1">
      <c r="A476" s="5" t="s">
        <v>15805</v>
      </c>
      <c r="B476" s="6" t="str">
        <f>IMAGE("https://storage.googleapis.com/acdb/dresses/TopsTexOnepieceAlongLWitch0.png")</f>
        <v/>
      </c>
      <c r="C476" s="5" t="s">
        <v>54</v>
      </c>
      <c r="D476" s="5" t="s">
        <v>36</v>
      </c>
      <c r="E476" s="6">
        <v>4000.0</v>
      </c>
      <c r="F476" s="6">
        <v>1000.0</v>
      </c>
      <c r="G476" s="5" t="s">
        <v>54</v>
      </c>
      <c r="H476" s="5" t="s">
        <v>106</v>
      </c>
      <c r="I476" s="6" t="s">
        <v>40</v>
      </c>
      <c r="J476" s="5" t="s">
        <v>8585</v>
      </c>
      <c r="K476" s="5" t="s">
        <v>8586</v>
      </c>
      <c r="L476" s="6" t="s">
        <v>42</v>
      </c>
      <c r="M476" s="5" t="s">
        <v>1952</v>
      </c>
      <c r="N476" s="5" t="s">
        <v>64</v>
      </c>
      <c r="O476" s="5" t="s">
        <v>14574</v>
      </c>
      <c r="P476" s="5" t="s">
        <v>14333</v>
      </c>
      <c r="Q476" s="5" t="s">
        <v>15808</v>
      </c>
      <c r="R476" s="6">
        <v>3492.0</v>
      </c>
    </row>
    <row r="477" ht="56.25" customHeight="1">
      <c r="A477" s="5" t="s">
        <v>15805</v>
      </c>
      <c r="B477" s="6" t="str">
        <f>IMAGE("https://storage.googleapis.com/acdb/dresses/TopsTexOnepieceAlongLWitch1.png")</f>
        <v/>
      </c>
      <c r="C477" s="5" t="s">
        <v>68</v>
      </c>
      <c r="D477" s="5" t="s">
        <v>36</v>
      </c>
      <c r="E477" s="6">
        <v>4000.0</v>
      </c>
      <c r="F477" s="6">
        <v>1000.0</v>
      </c>
      <c r="G477" s="5" t="s">
        <v>68</v>
      </c>
      <c r="H477" s="5" t="s">
        <v>83</v>
      </c>
      <c r="I477" s="6" t="s">
        <v>40</v>
      </c>
      <c r="J477" s="5" t="s">
        <v>8585</v>
      </c>
      <c r="K477" s="5" t="s">
        <v>8586</v>
      </c>
      <c r="L477" s="6" t="s">
        <v>42</v>
      </c>
      <c r="M477" s="5" t="s">
        <v>1952</v>
      </c>
      <c r="N477" s="5" t="s">
        <v>64</v>
      </c>
      <c r="O477" s="5" t="s">
        <v>14574</v>
      </c>
      <c r="P477" s="5" t="s">
        <v>14333</v>
      </c>
      <c r="Q477" s="5" t="s">
        <v>15809</v>
      </c>
      <c r="R477" s="6">
        <v>8686.0</v>
      </c>
    </row>
    <row r="478" ht="56.25" customHeight="1">
      <c r="A478" s="5" t="s">
        <v>15805</v>
      </c>
      <c r="B478" s="6" t="str">
        <f>IMAGE("https://storage.googleapis.com/acdb/dresses/TopsTexOnepieceAlongLWitch2.png")</f>
        <v/>
      </c>
      <c r="C478" s="5" t="s">
        <v>57</v>
      </c>
      <c r="D478" s="5" t="s">
        <v>36</v>
      </c>
      <c r="E478" s="6">
        <v>4000.0</v>
      </c>
      <c r="F478" s="6">
        <v>1000.0</v>
      </c>
      <c r="G478" s="5" t="s">
        <v>57</v>
      </c>
      <c r="H478" s="5" t="s">
        <v>95</v>
      </c>
      <c r="I478" s="6" t="s">
        <v>40</v>
      </c>
      <c r="J478" s="5" t="s">
        <v>8585</v>
      </c>
      <c r="K478" s="5" t="s">
        <v>8586</v>
      </c>
      <c r="L478" s="6" t="s">
        <v>42</v>
      </c>
      <c r="M478" s="5" t="s">
        <v>1952</v>
      </c>
      <c r="N478" s="5" t="s">
        <v>64</v>
      </c>
      <c r="O478" s="5" t="s">
        <v>14574</v>
      </c>
      <c r="P478" s="5" t="s">
        <v>14333</v>
      </c>
      <c r="Q478" s="5" t="s">
        <v>15813</v>
      </c>
      <c r="R478" s="6">
        <v>8687.0</v>
      </c>
    </row>
    <row r="479" ht="56.25" customHeight="1">
      <c r="A479" s="5" t="s">
        <v>15805</v>
      </c>
      <c r="B479" s="6" t="str">
        <f>IMAGE("https://storage.googleapis.com/acdb/dresses/TopsTexOnepieceAlongLWitch3.png")</f>
        <v/>
      </c>
      <c r="C479" s="5" t="s">
        <v>52</v>
      </c>
      <c r="D479" s="5" t="s">
        <v>36</v>
      </c>
      <c r="E479" s="6">
        <v>4000.0</v>
      </c>
      <c r="F479" s="6">
        <v>1000.0</v>
      </c>
      <c r="G479" s="5" t="s">
        <v>52</v>
      </c>
      <c r="H479" s="5" t="s">
        <v>52</v>
      </c>
      <c r="I479" s="6" t="s">
        <v>40</v>
      </c>
      <c r="J479" s="5" t="s">
        <v>8585</v>
      </c>
      <c r="K479" s="5" t="s">
        <v>8586</v>
      </c>
      <c r="L479" s="6" t="s">
        <v>42</v>
      </c>
      <c r="M479" s="5" t="s">
        <v>1952</v>
      </c>
      <c r="N479" s="5" t="s">
        <v>64</v>
      </c>
      <c r="O479" s="5" t="s">
        <v>14574</v>
      </c>
      <c r="P479" s="5" t="s">
        <v>14333</v>
      </c>
      <c r="Q479" s="5" t="s">
        <v>15814</v>
      </c>
      <c r="R479" s="6">
        <v>8688.0</v>
      </c>
    </row>
    <row r="480" ht="56.25" customHeight="1">
      <c r="A480" s="5" t="s">
        <v>15815</v>
      </c>
      <c r="B480" s="6" t="str">
        <f>IMAGE("https://storage.googleapis.com/acdb/dresses/TopsTexOnepieceBalloonHMagical1.png")</f>
        <v/>
      </c>
      <c r="C480" s="5" t="s">
        <v>114</v>
      </c>
      <c r="D480" s="5" t="s">
        <v>36</v>
      </c>
      <c r="E480" s="6">
        <v>3180.0</v>
      </c>
      <c r="F480" s="6">
        <v>795.0</v>
      </c>
      <c r="G480" s="5" t="s">
        <v>114</v>
      </c>
      <c r="H480" s="5" t="s">
        <v>57</v>
      </c>
      <c r="I480" s="6" t="s">
        <v>40</v>
      </c>
      <c r="J480" s="5" t="s">
        <v>8585</v>
      </c>
      <c r="K480" s="5" t="s">
        <v>8586</v>
      </c>
      <c r="L480" s="6" t="s">
        <v>42</v>
      </c>
      <c r="M480" s="5" t="s">
        <v>1959</v>
      </c>
      <c r="N480" s="5" t="s">
        <v>64</v>
      </c>
      <c r="O480" s="5" t="s">
        <v>14344</v>
      </c>
      <c r="P480" s="5" t="s">
        <v>14345</v>
      </c>
      <c r="Q480" s="5" t="s">
        <v>15817</v>
      </c>
      <c r="R480" s="6">
        <v>8692.0</v>
      </c>
    </row>
    <row r="481" ht="56.25" customHeight="1">
      <c r="A481" s="5" t="s">
        <v>15815</v>
      </c>
      <c r="B481" s="6" t="str">
        <f>IMAGE("https://storage.googleapis.com/acdb/dresses/TopsTexOnepieceBalloonHMagical2.png")</f>
        <v/>
      </c>
      <c r="C481" s="5" t="s">
        <v>96</v>
      </c>
      <c r="D481" s="5" t="s">
        <v>36</v>
      </c>
      <c r="E481" s="6">
        <v>3180.0</v>
      </c>
      <c r="F481" s="6">
        <v>795.0</v>
      </c>
      <c r="G481" s="5" t="s">
        <v>96</v>
      </c>
      <c r="H481" s="5" t="s">
        <v>57</v>
      </c>
      <c r="I481" s="6" t="s">
        <v>40</v>
      </c>
      <c r="J481" s="5" t="s">
        <v>8585</v>
      </c>
      <c r="K481" s="5" t="s">
        <v>8586</v>
      </c>
      <c r="L481" s="6" t="s">
        <v>42</v>
      </c>
      <c r="M481" s="5" t="s">
        <v>1959</v>
      </c>
      <c r="N481" s="5" t="s">
        <v>64</v>
      </c>
      <c r="O481" s="5" t="s">
        <v>14344</v>
      </c>
      <c r="P481" s="5" t="s">
        <v>14345</v>
      </c>
      <c r="Q481" s="5" t="s">
        <v>15820</v>
      </c>
      <c r="R481" s="6">
        <v>8693.0</v>
      </c>
    </row>
    <row r="482" ht="56.25" customHeight="1">
      <c r="A482" s="5" t="s">
        <v>15815</v>
      </c>
      <c r="B482" s="6" t="str">
        <f>IMAGE("https://storage.googleapis.com/acdb/dresses/TopsTexOnepieceBalloonHMagical3.png")</f>
        <v/>
      </c>
      <c r="C482" s="5" t="s">
        <v>68</v>
      </c>
      <c r="D482" s="5" t="s">
        <v>36</v>
      </c>
      <c r="E482" s="6">
        <v>3180.0</v>
      </c>
      <c r="F482" s="6">
        <v>795.0</v>
      </c>
      <c r="G482" s="5" t="s">
        <v>68</v>
      </c>
      <c r="H482" s="5" t="s">
        <v>57</v>
      </c>
      <c r="I482" s="6" t="s">
        <v>40</v>
      </c>
      <c r="J482" s="5" t="s">
        <v>8585</v>
      </c>
      <c r="K482" s="5" t="s">
        <v>8586</v>
      </c>
      <c r="L482" s="6" t="s">
        <v>42</v>
      </c>
      <c r="M482" s="5" t="s">
        <v>1959</v>
      </c>
      <c r="N482" s="5" t="s">
        <v>64</v>
      </c>
      <c r="O482" s="5" t="s">
        <v>14344</v>
      </c>
      <c r="P482" s="5" t="s">
        <v>14345</v>
      </c>
      <c r="Q482" s="5" t="s">
        <v>15821</v>
      </c>
      <c r="R482" s="6">
        <v>8694.0</v>
      </c>
    </row>
    <row r="483" ht="56.25" customHeight="1">
      <c r="A483" s="5" t="s">
        <v>15815</v>
      </c>
      <c r="B483" s="6" t="str">
        <f>IMAGE("https://storage.googleapis.com/acdb/dresses/TopsTexOnepieceBalloonHMagical4.png")</f>
        <v/>
      </c>
      <c r="C483" s="5" t="s">
        <v>52</v>
      </c>
      <c r="D483" s="5" t="s">
        <v>36</v>
      </c>
      <c r="E483" s="6">
        <v>3180.0</v>
      </c>
      <c r="F483" s="6">
        <v>795.0</v>
      </c>
      <c r="G483" s="5" t="s">
        <v>52</v>
      </c>
      <c r="H483" s="5" t="s">
        <v>57</v>
      </c>
      <c r="I483" s="6" t="s">
        <v>40</v>
      </c>
      <c r="J483" s="5" t="s">
        <v>8585</v>
      </c>
      <c r="K483" s="5" t="s">
        <v>8586</v>
      </c>
      <c r="L483" s="6" t="s">
        <v>42</v>
      </c>
      <c r="M483" s="5" t="s">
        <v>1959</v>
      </c>
      <c r="N483" s="5" t="s">
        <v>64</v>
      </c>
      <c r="O483" s="5" t="s">
        <v>14344</v>
      </c>
      <c r="P483" s="5" t="s">
        <v>14345</v>
      </c>
      <c r="Q483" s="5" t="s">
        <v>15824</v>
      </c>
      <c r="R483" s="6">
        <v>8695.0</v>
      </c>
    </row>
    <row r="484" ht="56.25" customHeight="1">
      <c r="A484" s="5" t="s">
        <v>15815</v>
      </c>
      <c r="B484" s="6" t="str">
        <f>IMAGE("https://storage.googleapis.com/acdb/dresses/TopsTexOnepieceBalloonHMagical5.png")</f>
        <v/>
      </c>
      <c r="C484" s="5" t="s">
        <v>106</v>
      </c>
      <c r="D484" s="5" t="s">
        <v>36</v>
      </c>
      <c r="E484" s="6">
        <v>3180.0</v>
      </c>
      <c r="F484" s="6">
        <v>795.0</v>
      </c>
      <c r="G484" s="5" t="s">
        <v>106</v>
      </c>
      <c r="H484" s="5" t="s">
        <v>57</v>
      </c>
      <c r="I484" s="6" t="s">
        <v>40</v>
      </c>
      <c r="J484" s="5" t="s">
        <v>8585</v>
      </c>
      <c r="K484" s="5" t="s">
        <v>8586</v>
      </c>
      <c r="L484" s="6" t="s">
        <v>42</v>
      </c>
      <c r="M484" s="5" t="s">
        <v>1959</v>
      </c>
      <c r="N484" s="5" t="s">
        <v>64</v>
      </c>
      <c r="O484" s="5" t="s">
        <v>14344</v>
      </c>
      <c r="P484" s="5" t="s">
        <v>14345</v>
      </c>
      <c r="Q484" s="5" t="s">
        <v>15825</v>
      </c>
      <c r="R484" s="6">
        <v>8696.0</v>
      </c>
    </row>
    <row r="485" ht="56.25" customHeight="1">
      <c r="A485" s="5" t="s">
        <v>15815</v>
      </c>
      <c r="B485" s="6" t="str">
        <f>IMAGE("https://storage.googleapis.com/acdb/dresses/TopsTexOnepieceBalloonHMagical6.png")</f>
        <v/>
      </c>
      <c r="C485" s="5" t="s">
        <v>54</v>
      </c>
      <c r="D485" s="5" t="s">
        <v>36</v>
      </c>
      <c r="E485" s="6">
        <v>3180.0</v>
      </c>
      <c r="F485" s="6">
        <v>795.0</v>
      </c>
      <c r="G485" s="5" t="s">
        <v>54</v>
      </c>
      <c r="H485" s="5" t="s">
        <v>57</v>
      </c>
      <c r="I485" s="6" t="s">
        <v>40</v>
      </c>
      <c r="J485" s="5" t="s">
        <v>8585</v>
      </c>
      <c r="K485" s="5" t="s">
        <v>8586</v>
      </c>
      <c r="L485" s="6" t="s">
        <v>42</v>
      </c>
      <c r="M485" s="5" t="s">
        <v>1959</v>
      </c>
      <c r="N485" s="5" t="s">
        <v>64</v>
      </c>
      <c r="O485" s="5" t="s">
        <v>14344</v>
      </c>
      <c r="P485" s="5" t="s">
        <v>14345</v>
      </c>
      <c r="Q485" s="5" t="s">
        <v>15826</v>
      </c>
      <c r="R485" s="6">
        <v>8697.0</v>
      </c>
    </row>
    <row r="486" ht="56.25" customHeight="1">
      <c r="A486" s="5" t="s">
        <v>15815</v>
      </c>
      <c r="B486" s="6" t="str">
        <f>IMAGE("https://storage.googleapis.com/acdb/dresses/TopsTexOnepieceBalloonHMagical7.png")</f>
        <v/>
      </c>
      <c r="C486" s="5" t="s">
        <v>83</v>
      </c>
      <c r="D486" s="5" t="s">
        <v>36</v>
      </c>
      <c r="E486" s="6">
        <v>3180.0</v>
      </c>
      <c r="F486" s="6">
        <v>795.0</v>
      </c>
      <c r="G486" s="5" t="s">
        <v>83</v>
      </c>
      <c r="H486" s="5" t="s">
        <v>57</v>
      </c>
      <c r="I486" s="6" t="s">
        <v>40</v>
      </c>
      <c r="J486" s="5" t="s">
        <v>8585</v>
      </c>
      <c r="K486" s="5" t="s">
        <v>8586</v>
      </c>
      <c r="L486" s="6" t="s">
        <v>42</v>
      </c>
      <c r="M486" s="5" t="s">
        <v>1959</v>
      </c>
      <c r="N486" s="5" t="s">
        <v>64</v>
      </c>
      <c r="O486" s="5" t="s">
        <v>14344</v>
      </c>
      <c r="P486" s="5" t="s">
        <v>14345</v>
      </c>
      <c r="Q486" s="5" t="s">
        <v>15829</v>
      </c>
      <c r="R486" s="6">
        <v>8698.0</v>
      </c>
    </row>
    <row r="487" ht="56.25" customHeight="1">
      <c r="A487" s="5" t="s">
        <v>15815</v>
      </c>
      <c r="B487" s="6" t="str">
        <f>IMAGE("https://storage.googleapis.com/acdb/dresses/TopsTexOnepieceBalloonHMagical0.png")</f>
        <v/>
      </c>
      <c r="C487" s="5" t="s">
        <v>69</v>
      </c>
      <c r="D487" s="5" t="s">
        <v>36</v>
      </c>
      <c r="E487" s="6">
        <v>3180.0</v>
      </c>
      <c r="F487" s="6">
        <v>795.0</v>
      </c>
      <c r="G487" s="5" t="s">
        <v>69</v>
      </c>
      <c r="H487" s="5" t="s">
        <v>57</v>
      </c>
      <c r="I487" s="6" t="s">
        <v>40</v>
      </c>
      <c r="J487" s="5" t="s">
        <v>8585</v>
      </c>
      <c r="K487" s="5" t="s">
        <v>8586</v>
      </c>
      <c r="L487" s="6" t="s">
        <v>42</v>
      </c>
      <c r="M487" s="5" t="s">
        <v>1959</v>
      </c>
      <c r="N487" s="5" t="s">
        <v>64</v>
      </c>
      <c r="O487" s="5" t="s">
        <v>14344</v>
      </c>
      <c r="P487" s="5" t="s">
        <v>14345</v>
      </c>
      <c r="Q487" s="5" t="s">
        <v>15830</v>
      </c>
      <c r="R487" s="6">
        <v>4332.0</v>
      </c>
    </row>
    <row r="488" ht="56.25" customHeight="1">
      <c r="A488" s="5" t="s">
        <v>15831</v>
      </c>
      <c r="B488" s="6" t="str">
        <f>IMAGE("https://storage.googleapis.com/acdb/dresses/TopsTexOnepieceBalloonHMaid2.png")</f>
        <v/>
      </c>
      <c r="C488" s="5" t="s">
        <v>52</v>
      </c>
      <c r="D488" s="5" t="s">
        <v>36</v>
      </c>
      <c r="E488" s="6">
        <v>2320.0</v>
      </c>
      <c r="F488" s="6">
        <v>580.0</v>
      </c>
      <c r="G488" s="5" t="s">
        <v>52</v>
      </c>
      <c r="H488" s="5" t="s">
        <v>57</v>
      </c>
      <c r="I488" s="6" t="s">
        <v>40</v>
      </c>
      <c r="J488" s="5" t="s">
        <v>8585</v>
      </c>
      <c r="K488" s="5" t="s">
        <v>8586</v>
      </c>
      <c r="L488" s="6" t="s">
        <v>42</v>
      </c>
      <c r="M488" s="5" t="s">
        <v>1959</v>
      </c>
      <c r="N488" s="5" t="s">
        <v>64</v>
      </c>
      <c r="O488" s="5" t="s">
        <v>14344</v>
      </c>
      <c r="P488" s="5" t="s">
        <v>14345</v>
      </c>
      <c r="Q488" s="5" t="s">
        <v>15835</v>
      </c>
      <c r="R488" s="6">
        <v>8257.0</v>
      </c>
    </row>
    <row r="489" ht="56.25" customHeight="1">
      <c r="A489" s="5" t="s">
        <v>15831</v>
      </c>
      <c r="B489" s="6" t="str">
        <f>IMAGE("https://storage.googleapis.com/acdb/dresses/TopsTexOnepieceBalloonHMaid3.png")</f>
        <v/>
      </c>
      <c r="C489" s="5" t="s">
        <v>39</v>
      </c>
      <c r="D489" s="5" t="s">
        <v>36</v>
      </c>
      <c r="E489" s="6">
        <v>2320.0</v>
      </c>
      <c r="F489" s="6">
        <v>580.0</v>
      </c>
      <c r="G489" s="5" t="s">
        <v>39</v>
      </c>
      <c r="H489" s="5" t="s">
        <v>57</v>
      </c>
      <c r="I489" s="6" t="s">
        <v>40</v>
      </c>
      <c r="J489" s="5" t="s">
        <v>8585</v>
      </c>
      <c r="K489" s="5" t="s">
        <v>8586</v>
      </c>
      <c r="L489" s="6" t="s">
        <v>42</v>
      </c>
      <c r="M489" s="5" t="s">
        <v>1959</v>
      </c>
      <c r="N489" s="5" t="s">
        <v>64</v>
      </c>
      <c r="O489" s="5" t="s">
        <v>14344</v>
      </c>
      <c r="P489" s="5" t="s">
        <v>14345</v>
      </c>
      <c r="Q489" s="5" t="s">
        <v>15836</v>
      </c>
      <c r="R489" s="6">
        <v>8258.0</v>
      </c>
    </row>
    <row r="490" ht="56.25" customHeight="1">
      <c r="A490" s="5" t="s">
        <v>15831</v>
      </c>
      <c r="B490" s="6" t="str">
        <f>IMAGE("https://storage.googleapis.com/acdb/dresses/TopsTexOnepieceBalloonHMaid4.png")</f>
        <v/>
      </c>
      <c r="C490" s="5" t="s">
        <v>9021</v>
      </c>
      <c r="D490" s="5" t="s">
        <v>36</v>
      </c>
      <c r="E490" s="6">
        <v>2320.0</v>
      </c>
      <c r="F490" s="6">
        <v>580.0</v>
      </c>
      <c r="G490" s="5" t="s">
        <v>83</v>
      </c>
      <c r="H490" s="5" t="s">
        <v>57</v>
      </c>
      <c r="I490" s="6" t="s">
        <v>40</v>
      </c>
      <c r="J490" s="5" t="s">
        <v>8585</v>
      </c>
      <c r="K490" s="5" t="s">
        <v>8586</v>
      </c>
      <c r="L490" s="6" t="s">
        <v>42</v>
      </c>
      <c r="M490" s="5" t="s">
        <v>1959</v>
      </c>
      <c r="N490" s="5" t="s">
        <v>64</v>
      </c>
      <c r="O490" s="5" t="s">
        <v>14344</v>
      </c>
      <c r="P490" s="5" t="s">
        <v>14345</v>
      </c>
      <c r="Q490" s="5" t="s">
        <v>15839</v>
      </c>
      <c r="R490" s="6">
        <v>8259.0</v>
      </c>
    </row>
    <row r="491" ht="56.25" customHeight="1">
      <c r="A491" s="5" t="s">
        <v>15831</v>
      </c>
      <c r="B491" s="6" t="str">
        <f>IMAGE("https://storage.googleapis.com/acdb/dresses/TopsTexOnepieceBalloonHMaid0.png")</f>
        <v/>
      </c>
      <c r="C491" s="5" t="s">
        <v>54</v>
      </c>
      <c r="D491" s="5" t="s">
        <v>36</v>
      </c>
      <c r="E491" s="6">
        <v>2320.0</v>
      </c>
      <c r="F491" s="6">
        <v>580.0</v>
      </c>
      <c r="G491" s="5" t="s">
        <v>54</v>
      </c>
      <c r="H491" s="5" t="s">
        <v>57</v>
      </c>
      <c r="I491" s="6" t="s">
        <v>40</v>
      </c>
      <c r="J491" s="5" t="s">
        <v>8585</v>
      </c>
      <c r="K491" s="5" t="s">
        <v>8586</v>
      </c>
      <c r="L491" s="6" t="s">
        <v>42</v>
      </c>
      <c r="M491" s="5" t="s">
        <v>1959</v>
      </c>
      <c r="N491" s="5" t="s">
        <v>64</v>
      </c>
      <c r="O491" s="5" t="s">
        <v>14344</v>
      </c>
      <c r="P491" s="5" t="s">
        <v>14345</v>
      </c>
      <c r="Q491" s="5" t="s">
        <v>15841</v>
      </c>
      <c r="R491" s="6">
        <v>3138.0</v>
      </c>
    </row>
    <row r="492" ht="56.25" customHeight="1">
      <c r="A492" s="5" t="s">
        <v>15831</v>
      </c>
      <c r="B492" s="6" t="str">
        <f>IMAGE("https://storage.googleapis.com/acdb/dresses/TopsTexOnepieceBalloonHMaid5.png")</f>
        <v/>
      </c>
      <c r="C492" s="5" t="s">
        <v>69</v>
      </c>
      <c r="D492" s="5" t="s">
        <v>36</v>
      </c>
      <c r="E492" s="6">
        <v>2320.0</v>
      </c>
      <c r="F492" s="6">
        <v>580.0</v>
      </c>
      <c r="G492" s="5" t="s">
        <v>69</v>
      </c>
      <c r="H492" s="5" t="s">
        <v>57</v>
      </c>
      <c r="I492" s="6" t="s">
        <v>40</v>
      </c>
      <c r="J492" s="5" t="s">
        <v>8585</v>
      </c>
      <c r="K492" s="5" t="s">
        <v>8586</v>
      </c>
      <c r="L492" s="6" t="s">
        <v>42</v>
      </c>
      <c r="M492" s="5" t="s">
        <v>1959</v>
      </c>
      <c r="N492" s="5" t="s">
        <v>64</v>
      </c>
      <c r="O492" s="5" t="s">
        <v>14344</v>
      </c>
      <c r="P492" s="5" t="s">
        <v>14345</v>
      </c>
      <c r="Q492" s="5" t="s">
        <v>15845</v>
      </c>
      <c r="R492" s="6">
        <v>8260.0</v>
      </c>
    </row>
    <row r="493" ht="56.25" customHeight="1">
      <c r="A493" s="5" t="s">
        <v>15831</v>
      </c>
      <c r="B493" s="6" t="str">
        <f>IMAGE("https://storage.googleapis.com/acdb/dresses/TopsTexOnepieceBalloonHMaid6.png")</f>
        <v/>
      </c>
      <c r="C493" s="5" t="s">
        <v>106</v>
      </c>
      <c r="D493" s="5" t="s">
        <v>36</v>
      </c>
      <c r="E493" s="6">
        <v>2320.0</v>
      </c>
      <c r="F493" s="6">
        <v>580.0</v>
      </c>
      <c r="G493" s="5" t="s">
        <v>106</v>
      </c>
      <c r="H493" s="5" t="s">
        <v>57</v>
      </c>
      <c r="I493" s="6" t="s">
        <v>40</v>
      </c>
      <c r="J493" s="5" t="s">
        <v>8585</v>
      </c>
      <c r="K493" s="5" t="s">
        <v>8586</v>
      </c>
      <c r="L493" s="6" t="s">
        <v>42</v>
      </c>
      <c r="M493" s="5" t="s">
        <v>1959</v>
      </c>
      <c r="N493" s="5" t="s">
        <v>64</v>
      </c>
      <c r="O493" s="5" t="s">
        <v>14344</v>
      </c>
      <c r="P493" s="5" t="s">
        <v>14345</v>
      </c>
      <c r="Q493" s="5" t="s">
        <v>15848</v>
      </c>
      <c r="R493" s="6">
        <v>8261.0</v>
      </c>
    </row>
    <row r="494" ht="56.25" customHeight="1">
      <c r="A494" s="5" t="s">
        <v>15831</v>
      </c>
      <c r="B494" s="6" t="str">
        <f>IMAGE("https://storage.googleapis.com/acdb/dresses/TopsTexOnepieceBalloonHMaid7.png")</f>
        <v/>
      </c>
      <c r="C494" s="5" t="s">
        <v>114</v>
      </c>
      <c r="D494" s="5" t="s">
        <v>36</v>
      </c>
      <c r="E494" s="6">
        <v>2320.0</v>
      </c>
      <c r="F494" s="6">
        <v>580.0</v>
      </c>
      <c r="G494" s="5" t="s">
        <v>114</v>
      </c>
      <c r="H494" s="5" t="s">
        <v>57</v>
      </c>
      <c r="I494" s="6" t="s">
        <v>40</v>
      </c>
      <c r="J494" s="5" t="s">
        <v>8585</v>
      </c>
      <c r="K494" s="5" t="s">
        <v>8586</v>
      </c>
      <c r="L494" s="6" t="s">
        <v>42</v>
      </c>
      <c r="M494" s="5" t="s">
        <v>1959</v>
      </c>
      <c r="N494" s="5" t="s">
        <v>64</v>
      </c>
      <c r="O494" s="5" t="s">
        <v>14344</v>
      </c>
      <c r="P494" s="5" t="s">
        <v>14345</v>
      </c>
      <c r="Q494" s="5" t="s">
        <v>15851</v>
      </c>
      <c r="R494" s="6">
        <v>8262.0</v>
      </c>
    </row>
    <row r="495" ht="56.25" customHeight="1">
      <c r="A495" s="5" t="s">
        <v>15831</v>
      </c>
      <c r="B495" s="6" t="str">
        <f>IMAGE("https://storage.googleapis.com/acdb/dresses/TopsTexOnepieceBalloonHMaid1.png")</f>
        <v/>
      </c>
      <c r="C495" s="5" t="s">
        <v>96</v>
      </c>
      <c r="D495" s="5" t="s">
        <v>36</v>
      </c>
      <c r="E495" s="6">
        <v>2320.0</v>
      </c>
      <c r="F495" s="6">
        <v>580.0</v>
      </c>
      <c r="G495" s="5" t="s">
        <v>96</v>
      </c>
      <c r="H495" s="5" t="s">
        <v>57</v>
      </c>
      <c r="I495" s="6" t="s">
        <v>40</v>
      </c>
      <c r="J495" s="5" t="s">
        <v>8585</v>
      </c>
      <c r="K495" s="5" t="s">
        <v>8586</v>
      </c>
      <c r="L495" s="6" t="s">
        <v>42</v>
      </c>
      <c r="M495" s="5" t="s">
        <v>1959</v>
      </c>
      <c r="N495" s="5" t="s">
        <v>64</v>
      </c>
      <c r="O495" s="5" t="s">
        <v>14344</v>
      </c>
      <c r="P495" s="5" t="s">
        <v>14345</v>
      </c>
      <c r="Q495" s="5" t="s">
        <v>15853</v>
      </c>
      <c r="R495" s="6">
        <v>8256.0</v>
      </c>
    </row>
    <row r="496" ht="56.25" customHeight="1">
      <c r="A496" s="5" t="s">
        <v>15854</v>
      </c>
      <c r="B496" s="6" t="str">
        <f>IMAGE("https://storage.googleapis.com/acdb/dresses/TopsTexOnepieceAlineNMarbledot0.png")</f>
        <v/>
      </c>
      <c r="C496" s="5" t="s">
        <v>54</v>
      </c>
      <c r="D496" s="5" t="s">
        <v>36</v>
      </c>
      <c r="E496" s="6">
        <v>1500.0</v>
      </c>
      <c r="F496" s="6">
        <v>375.0</v>
      </c>
      <c r="G496" s="5" t="s">
        <v>54</v>
      </c>
      <c r="H496" s="5" t="s">
        <v>58</v>
      </c>
      <c r="I496" s="6" t="s">
        <v>40</v>
      </c>
      <c r="J496" s="5" t="s">
        <v>8585</v>
      </c>
      <c r="K496" s="5" t="s">
        <v>8632</v>
      </c>
      <c r="L496" s="6" t="s">
        <v>42</v>
      </c>
      <c r="M496" s="5" t="s">
        <v>8746</v>
      </c>
      <c r="N496" s="5" t="s">
        <v>64</v>
      </c>
      <c r="O496" s="5" t="s">
        <v>14411</v>
      </c>
      <c r="P496" s="5" t="s">
        <v>14412</v>
      </c>
      <c r="Q496" s="5" t="s">
        <v>15856</v>
      </c>
      <c r="R496" s="6">
        <v>8187.0</v>
      </c>
    </row>
    <row r="497" ht="56.25" customHeight="1">
      <c r="A497" s="5" t="s">
        <v>15854</v>
      </c>
      <c r="B497" s="6" t="str">
        <f>IMAGE("https://storage.googleapis.com/acdb/dresses/TopsTexOnepieceAlineNMarbledot1.png")</f>
        <v/>
      </c>
      <c r="C497" s="5" t="s">
        <v>57</v>
      </c>
      <c r="D497" s="5" t="s">
        <v>36</v>
      </c>
      <c r="E497" s="6">
        <v>1500.0</v>
      </c>
      <c r="F497" s="6">
        <v>375.0</v>
      </c>
      <c r="G497" s="5" t="s">
        <v>57</v>
      </c>
      <c r="H497" s="5" t="s">
        <v>58</v>
      </c>
      <c r="I497" s="6" t="s">
        <v>40</v>
      </c>
      <c r="J497" s="5" t="s">
        <v>8585</v>
      </c>
      <c r="K497" s="5" t="s">
        <v>8632</v>
      </c>
      <c r="L497" s="6" t="s">
        <v>42</v>
      </c>
      <c r="M497" s="5" t="s">
        <v>8746</v>
      </c>
      <c r="N497" s="5" t="s">
        <v>64</v>
      </c>
      <c r="O497" s="5" t="s">
        <v>14411</v>
      </c>
      <c r="P497" s="5" t="s">
        <v>14412</v>
      </c>
      <c r="Q497" s="5" t="s">
        <v>15860</v>
      </c>
      <c r="R497" s="6">
        <v>8295.0</v>
      </c>
    </row>
    <row r="498" ht="56.25" customHeight="1">
      <c r="A498" s="5" t="s">
        <v>15861</v>
      </c>
      <c r="B498" s="6" t="str">
        <f>IMAGE("https://storage.googleapis.com/acdb/dresses/TopsTexOnepieceBoxLMarble1.png")</f>
        <v/>
      </c>
      <c r="C498" s="5" t="s">
        <v>69</v>
      </c>
      <c r="D498" s="5" t="s">
        <v>36</v>
      </c>
      <c r="E498" s="6">
        <v>1500.0</v>
      </c>
      <c r="F498" s="6">
        <v>375.0</v>
      </c>
      <c r="G498" s="5" t="s">
        <v>69</v>
      </c>
      <c r="H498" s="5" t="s">
        <v>69</v>
      </c>
      <c r="I498" s="6" t="s">
        <v>40</v>
      </c>
      <c r="J498" s="5" t="s">
        <v>8585</v>
      </c>
      <c r="K498" s="5" t="s">
        <v>8632</v>
      </c>
      <c r="L498" s="6" t="s">
        <v>42</v>
      </c>
      <c r="M498" s="5" t="s">
        <v>1059</v>
      </c>
      <c r="N498" s="5" t="s">
        <v>64</v>
      </c>
      <c r="O498" s="5" t="s">
        <v>14332</v>
      </c>
      <c r="P498" s="5" t="s">
        <v>14333</v>
      </c>
      <c r="Q498" s="5" t="s">
        <v>15862</v>
      </c>
      <c r="R498" s="6">
        <v>7926.0</v>
      </c>
    </row>
    <row r="499" ht="56.25" customHeight="1">
      <c r="A499" s="5" t="s">
        <v>15861</v>
      </c>
      <c r="B499" s="6" t="str">
        <f>IMAGE("https://storage.googleapis.com/acdb/dresses/TopsTexOnepieceBoxLMarble2.png")</f>
        <v/>
      </c>
      <c r="C499" s="5" t="s">
        <v>96</v>
      </c>
      <c r="D499" s="5" t="s">
        <v>36</v>
      </c>
      <c r="E499" s="6">
        <v>1500.0</v>
      </c>
      <c r="F499" s="6">
        <v>375.0</v>
      </c>
      <c r="G499" s="5" t="s">
        <v>96</v>
      </c>
      <c r="H499" s="5" t="s">
        <v>96</v>
      </c>
      <c r="I499" s="6" t="s">
        <v>40</v>
      </c>
      <c r="J499" s="5" t="s">
        <v>8585</v>
      </c>
      <c r="K499" s="5" t="s">
        <v>8632</v>
      </c>
      <c r="L499" s="6" t="s">
        <v>42</v>
      </c>
      <c r="M499" s="5" t="s">
        <v>1059</v>
      </c>
      <c r="N499" s="5" t="s">
        <v>64</v>
      </c>
      <c r="O499" s="5" t="s">
        <v>14332</v>
      </c>
      <c r="P499" s="5" t="s">
        <v>14333</v>
      </c>
      <c r="Q499" s="5" t="s">
        <v>15865</v>
      </c>
      <c r="R499" s="6">
        <v>7927.0</v>
      </c>
    </row>
    <row r="500" ht="56.25" customHeight="1">
      <c r="A500" s="5" t="s">
        <v>15861</v>
      </c>
      <c r="B500" s="6" t="str">
        <f>IMAGE("https://storage.googleapis.com/acdb/dresses/TopsTexOnepieceBoxLMarble3.png")</f>
        <v/>
      </c>
      <c r="C500" s="5" t="s">
        <v>142</v>
      </c>
      <c r="D500" s="5" t="s">
        <v>36</v>
      </c>
      <c r="E500" s="6">
        <v>1500.0</v>
      </c>
      <c r="F500" s="6">
        <v>375.0</v>
      </c>
      <c r="G500" s="5" t="s">
        <v>142</v>
      </c>
      <c r="H500" s="5" t="s">
        <v>39</v>
      </c>
      <c r="I500" s="6" t="s">
        <v>40</v>
      </c>
      <c r="J500" s="5" t="s">
        <v>8585</v>
      </c>
      <c r="K500" s="5" t="s">
        <v>8632</v>
      </c>
      <c r="L500" s="6" t="s">
        <v>42</v>
      </c>
      <c r="M500" s="5" t="s">
        <v>1059</v>
      </c>
      <c r="N500" s="5" t="s">
        <v>64</v>
      </c>
      <c r="O500" s="5" t="s">
        <v>14332</v>
      </c>
      <c r="P500" s="5" t="s">
        <v>14333</v>
      </c>
      <c r="Q500" s="5" t="s">
        <v>15866</v>
      </c>
      <c r="R500" s="6">
        <v>7928.0</v>
      </c>
    </row>
    <row r="501" ht="56.25" customHeight="1">
      <c r="A501" s="5" t="s">
        <v>15861</v>
      </c>
      <c r="B501" s="6" t="str">
        <f>IMAGE("https://storage.googleapis.com/acdb/dresses/TopsTexOnepieceBoxLMarble4.png")</f>
        <v/>
      </c>
      <c r="C501" s="5" t="s">
        <v>106</v>
      </c>
      <c r="D501" s="5" t="s">
        <v>36</v>
      </c>
      <c r="E501" s="6">
        <v>1500.0</v>
      </c>
      <c r="F501" s="6">
        <v>375.0</v>
      </c>
      <c r="G501" s="5" t="s">
        <v>106</v>
      </c>
      <c r="H501" s="5" t="s">
        <v>106</v>
      </c>
      <c r="I501" s="6" t="s">
        <v>40</v>
      </c>
      <c r="J501" s="5" t="s">
        <v>8585</v>
      </c>
      <c r="K501" s="5" t="s">
        <v>8632</v>
      </c>
      <c r="L501" s="6" t="s">
        <v>42</v>
      </c>
      <c r="M501" s="5" t="s">
        <v>1059</v>
      </c>
      <c r="N501" s="5" t="s">
        <v>64</v>
      </c>
      <c r="O501" s="5" t="s">
        <v>14332</v>
      </c>
      <c r="P501" s="5" t="s">
        <v>14333</v>
      </c>
      <c r="Q501" s="5" t="s">
        <v>15869</v>
      </c>
      <c r="R501" s="6">
        <v>7929.0</v>
      </c>
    </row>
    <row r="502" ht="56.25" customHeight="1">
      <c r="A502" s="5" t="s">
        <v>15861</v>
      </c>
      <c r="B502" s="6" t="str">
        <f>IMAGE("https://storage.googleapis.com/acdb/dresses/TopsTexOnepieceBoxLMarble0.png")</f>
        <v/>
      </c>
      <c r="C502" s="5" t="s">
        <v>68</v>
      </c>
      <c r="D502" s="5" t="s">
        <v>36</v>
      </c>
      <c r="E502" s="6">
        <v>1500.0</v>
      </c>
      <c r="F502" s="6">
        <v>375.0</v>
      </c>
      <c r="G502" s="5" t="s">
        <v>68</v>
      </c>
      <c r="H502" s="5" t="s">
        <v>83</v>
      </c>
      <c r="I502" s="6" t="s">
        <v>40</v>
      </c>
      <c r="J502" s="5" t="s">
        <v>8585</v>
      </c>
      <c r="K502" s="5" t="s">
        <v>8632</v>
      </c>
      <c r="L502" s="6" t="s">
        <v>42</v>
      </c>
      <c r="M502" s="5" t="s">
        <v>1059</v>
      </c>
      <c r="N502" s="5" t="s">
        <v>64</v>
      </c>
      <c r="O502" s="5" t="s">
        <v>14332</v>
      </c>
      <c r="P502" s="5" t="s">
        <v>14333</v>
      </c>
      <c r="Q502" s="5" t="s">
        <v>15870</v>
      </c>
      <c r="R502" s="6">
        <v>4655.0</v>
      </c>
    </row>
    <row r="503" ht="56.25" customHeight="1">
      <c r="A503" s="5" t="s">
        <v>15871</v>
      </c>
      <c r="B503" s="6" t="str">
        <f>IMAGE("https://storage.googleapis.com/acdb/dresses/TopsTexOnepieceOverallLMariachi0.png")</f>
        <v/>
      </c>
      <c r="C503" s="5" t="s">
        <v>1187</v>
      </c>
      <c r="D503" s="5" t="s">
        <v>36</v>
      </c>
      <c r="E503" s="6">
        <v>2520.0</v>
      </c>
      <c r="F503" s="6">
        <v>630.0</v>
      </c>
      <c r="G503" s="5" t="s">
        <v>68</v>
      </c>
      <c r="H503" s="5" t="s">
        <v>52</v>
      </c>
      <c r="I503" s="6" t="s">
        <v>40</v>
      </c>
      <c r="J503" s="5" t="s">
        <v>8585</v>
      </c>
      <c r="K503" s="5" t="s">
        <v>8586</v>
      </c>
      <c r="L503" s="6" t="s">
        <v>42</v>
      </c>
      <c r="M503" s="5" t="s">
        <v>1059</v>
      </c>
      <c r="N503" s="5" t="s">
        <v>64</v>
      </c>
      <c r="O503" s="5" t="s">
        <v>14358</v>
      </c>
      <c r="P503" s="5" t="s">
        <v>14333</v>
      </c>
      <c r="Q503" s="5" t="s">
        <v>15874</v>
      </c>
      <c r="R503" s="6">
        <v>4653.0</v>
      </c>
    </row>
    <row r="504" ht="56.25" customHeight="1">
      <c r="A504" s="5" t="s">
        <v>15871</v>
      </c>
      <c r="B504" s="6" t="str">
        <f>IMAGE("https://storage.googleapis.com/acdb/dresses/TopsTexOnepieceOverallLMariachi1.png")</f>
        <v/>
      </c>
      <c r="C504" s="5" t="s">
        <v>96</v>
      </c>
      <c r="D504" s="5" t="s">
        <v>36</v>
      </c>
      <c r="E504" s="6">
        <v>2520.0</v>
      </c>
      <c r="F504" s="6">
        <v>630.0</v>
      </c>
      <c r="G504" s="5" t="s">
        <v>96</v>
      </c>
      <c r="H504" s="5" t="s">
        <v>142</v>
      </c>
      <c r="I504" s="6" t="s">
        <v>40</v>
      </c>
      <c r="J504" s="5" t="s">
        <v>8585</v>
      </c>
      <c r="K504" s="5" t="s">
        <v>8586</v>
      </c>
      <c r="L504" s="6" t="s">
        <v>42</v>
      </c>
      <c r="M504" s="5" t="s">
        <v>1059</v>
      </c>
      <c r="N504" s="5" t="s">
        <v>64</v>
      </c>
      <c r="O504" s="5" t="s">
        <v>14358</v>
      </c>
      <c r="P504" s="5" t="s">
        <v>14333</v>
      </c>
      <c r="Q504" s="5" t="s">
        <v>15877</v>
      </c>
      <c r="R504" s="6">
        <v>8164.0</v>
      </c>
    </row>
    <row r="505" ht="56.25" customHeight="1">
      <c r="A505" s="5" t="s">
        <v>15871</v>
      </c>
      <c r="B505" s="6" t="str">
        <f>IMAGE("https://storage.googleapis.com/acdb/dresses/TopsTexOnepieceOverallLMariachi2.png")</f>
        <v/>
      </c>
      <c r="C505" s="5" t="s">
        <v>38</v>
      </c>
      <c r="D505" s="5" t="s">
        <v>36</v>
      </c>
      <c r="E505" s="6">
        <v>2520.0</v>
      </c>
      <c r="F505" s="6">
        <v>630.0</v>
      </c>
      <c r="G505" s="5" t="s">
        <v>38</v>
      </c>
      <c r="H505" s="5" t="s">
        <v>39</v>
      </c>
      <c r="I505" s="6" t="s">
        <v>40</v>
      </c>
      <c r="J505" s="5" t="s">
        <v>8585</v>
      </c>
      <c r="K505" s="5" t="s">
        <v>8586</v>
      </c>
      <c r="L505" s="6" t="s">
        <v>42</v>
      </c>
      <c r="M505" s="5" t="s">
        <v>1059</v>
      </c>
      <c r="N505" s="5" t="s">
        <v>64</v>
      </c>
      <c r="O505" s="5" t="s">
        <v>14358</v>
      </c>
      <c r="P505" s="5" t="s">
        <v>14333</v>
      </c>
      <c r="Q505" s="5" t="s">
        <v>15881</v>
      </c>
      <c r="R505" s="6">
        <v>8165.0</v>
      </c>
    </row>
    <row r="506" ht="56.25" customHeight="1">
      <c r="A506" s="5" t="s">
        <v>15871</v>
      </c>
      <c r="B506" s="6" t="str">
        <f>IMAGE("https://storage.googleapis.com/acdb/dresses/TopsTexOnepieceOverallLMariachi3.png")</f>
        <v/>
      </c>
      <c r="C506" s="5" t="s">
        <v>52</v>
      </c>
      <c r="D506" s="5" t="s">
        <v>36</v>
      </c>
      <c r="E506" s="6">
        <v>2520.0</v>
      </c>
      <c r="F506" s="6">
        <v>630.0</v>
      </c>
      <c r="G506" s="5" t="s">
        <v>52</v>
      </c>
      <c r="H506" s="5" t="s">
        <v>114</v>
      </c>
      <c r="I506" s="6" t="s">
        <v>40</v>
      </c>
      <c r="J506" s="5" t="s">
        <v>8585</v>
      </c>
      <c r="K506" s="5" t="s">
        <v>8586</v>
      </c>
      <c r="L506" s="6" t="s">
        <v>42</v>
      </c>
      <c r="M506" s="5" t="s">
        <v>1059</v>
      </c>
      <c r="N506" s="5" t="s">
        <v>64</v>
      </c>
      <c r="O506" s="5" t="s">
        <v>14358</v>
      </c>
      <c r="P506" s="5" t="s">
        <v>14333</v>
      </c>
      <c r="Q506" s="5" t="s">
        <v>15885</v>
      </c>
      <c r="R506" s="6">
        <v>8166.0</v>
      </c>
    </row>
    <row r="507" ht="56.25" customHeight="1">
      <c r="A507" s="5" t="s">
        <v>15871</v>
      </c>
      <c r="B507" s="6" t="str">
        <f>IMAGE("https://storage.googleapis.com/acdb/dresses/TopsTexOnepieceOverallLMariachi4.png")</f>
        <v/>
      </c>
      <c r="C507" s="5" t="s">
        <v>68</v>
      </c>
      <c r="D507" s="5" t="s">
        <v>36</v>
      </c>
      <c r="E507" s="6">
        <v>2520.0</v>
      </c>
      <c r="F507" s="6">
        <v>630.0</v>
      </c>
      <c r="G507" s="5" t="s">
        <v>68</v>
      </c>
      <c r="H507" s="5" t="s">
        <v>96</v>
      </c>
      <c r="I507" s="6" t="s">
        <v>40</v>
      </c>
      <c r="J507" s="5" t="s">
        <v>8585</v>
      </c>
      <c r="K507" s="5" t="s">
        <v>8586</v>
      </c>
      <c r="L507" s="6" t="s">
        <v>42</v>
      </c>
      <c r="M507" s="5" t="s">
        <v>1059</v>
      </c>
      <c r="N507" s="5" t="s">
        <v>64</v>
      </c>
      <c r="O507" s="5" t="s">
        <v>14358</v>
      </c>
      <c r="P507" s="5" t="s">
        <v>14333</v>
      </c>
      <c r="Q507" s="5" t="s">
        <v>15889</v>
      </c>
      <c r="R507" s="6">
        <v>8167.0</v>
      </c>
    </row>
    <row r="508" ht="56.25" customHeight="1">
      <c r="A508" s="5" t="s">
        <v>15871</v>
      </c>
      <c r="B508" s="6" t="str">
        <f>IMAGE("https://storage.googleapis.com/acdb/dresses/TopsTexOnepieceOverallLMariachi5.png")</f>
        <v/>
      </c>
      <c r="C508" s="5" t="s">
        <v>142</v>
      </c>
      <c r="D508" s="5" t="s">
        <v>36</v>
      </c>
      <c r="E508" s="6">
        <v>2520.0</v>
      </c>
      <c r="F508" s="6">
        <v>630.0</v>
      </c>
      <c r="G508" s="5" t="s">
        <v>142</v>
      </c>
      <c r="H508" s="5" t="s">
        <v>68</v>
      </c>
      <c r="I508" s="6" t="s">
        <v>40</v>
      </c>
      <c r="J508" s="5" t="s">
        <v>8585</v>
      </c>
      <c r="K508" s="5" t="s">
        <v>8586</v>
      </c>
      <c r="L508" s="6" t="s">
        <v>42</v>
      </c>
      <c r="M508" s="5" t="s">
        <v>1059</v>
      </c>
      <c r="N508" s="5" t="s">
        <v>64</v>
      </c>
      <c r="O508" s="5" t="s">
        <v>14358</v>
      </c>
      <c r="P508" s="5" t="s">
        <v>14333</v>
      </c>
      <c r="Q508" s="5" t="s">
        <v>15891</v>
      </c>
      <c r="R508" s="6">
        <v>8168.0</v>
      </c>
    </row>
    <row r="509" ht="56.25" customHeight="1">
      <c r="A509" s="5" t="s">
        <v>15893</v>
      </c>
      <c r="B509" s="6" t="str">
        <f>IMAGE("https://storage.googleapis.com/acdb/dresses/TopsTexOnepieceBlongLShirt0.png")</f>
        <v/>
      </c>
      <c r="C509" s="5" t="s">
        <v>114</v>
      </c>
      <c r="D509" s="5" t="s">
        <v>36</v>
      </c>
      <c r="E509" s="6">
        <v>2000.0</v>
      </c>
      <c r="F509" s="6">
        <v>500.0</v>
      </c>
      <c r="G509" s="5" t="s">
        <v>114</v>
      </c>
      <c r="H509" s="5" t="s">
        <v>106</v>
      </c>
      <c r="I509" s="6" t="s">
        <v>40</v>
      </c>
      <c r="J509" s="5" t="s">
        <v>8585</v>
      </c>
      <c r="K509" s="5" t="s">
        <v>8632</v>
      </c>
      <c r="L509" s="6" t="s">
        <v>42</v>
      </c>
      <c r="M509" s="5" t="s">
        <v>995</v>
      </c>
      <c r="N509" s="5" t="s">
        <v>64</v>
      </c>
      <c r="O509" s="5" t="s">
        <v>14396</v>
      </c>
      <c r="P509" s="5" t="s">
        <v>14333</v>
      </c>
      <c r="Q509" s="5" t="s">
        <v>15897</v>
      </c>
      <c r="R509" s="6">
        <v>4520.0</v>
      </c>
    </row>
    <row r="510" ht="56.25" customHeight="1">
      <c r="A510" s="5" t="s">
        <v>15893</v>
      </c>
      <c r="B510" s="6" t="str">
        <f>IMAGE("https://storage.googleapis.com/acdb/dresses/TopsTexOnepieceBlongLShirt1.png")</f>
        <v/>
      </c>
      <c r="C510" s="5" t="s">
        <v>52</v>
      </c>
      <c r="D510" s="5" t="s">
        <v>36</v>
      </c>
      <c r="E510" s="6">
        <v>2000.0</v>
      </c>
      <c r="F510" s="6">
        <v>500.0</v>
      </c>
      <c r="G510" s="5" t="s">
        <v>52</v>
      </c>
      <c r="H510" s="5" t="s">
        <v>68</v>
      </c>
      <c r="I510" s="6" t="s">
        <v>40</v>
      </c>
      <c r="J510" s="5" t="s">
        <v>8585</v>
      </c>
      <c r="K510" s="5" t="s">
        <v>8632</v>
      </c>
      <c r="L510" s="6" t="s">
        <v>42</v>
      </c>
      <c r="M510" s="5" t="s">
        <v>995</v>
      </c>
      <c r="N510" s="5" t="s">
        <v>64</v>
      </c>
      <c r="O510" s="5" t="s">
        <v>14396</v>
      </c>
      <c r="P510" s="5" t="s">
        <v>14333</v>
      </c>
      <c r="Q510" s="5" t="s">
        <v>15900</v>
      </c>
      <c r="R510" s="6">
        <v>8957.0</v>
      </c>
    </row>
    <row r="511" ht="56.25" customHeight="1">
      <c r="A511" s="5" t="s">
        <v>15893</v>
      </c>
      <c r="B511" s="6" t="str">
        <f>IMAGE("https://storage.googleapis.com/acdb/dresses/TopsTexOnepieceBlongLShirt3.png")</f>
        <v/>
      </c>
      <c r="C511" s="5" t="s">
        <v>83</v>
      </c>
      <c r="D511" s="5" t="s">
        <v>36</v>
      </c>
      <c r="E511" s="6">
        <v>2000.0</v>
      </c>
      <c r="F511" s="6">
        <v>500.0</v>
      </c>
      <c r="G511" s="5" t="s">
        <v>83</v>
      </c>
      <c r="H511" s="5" t="s">
        <v>57</v>
      </c>
      <c r="I511" s="6" t="s">
        <v>40</v>
      </c>
      <c r="J511" s="5" t="s">
        <v>8585</v>
      </c>
      <c r="K511" s="5" t="s">
        <v>8632</v>
      </c>
      <c r="L511" s="6" t="s">
        <v>42</v>
      </c>
      <c r="M511" s="5" t="s">
        <v>995</v>
      </c>
      <c r="N511" s="5" t="s">
        <v>64</v>
      </c>
      <c r="O511" s="5" t="s">
        <v>14396</v>
      </c>
      <c r="P511" s="5" t="s">
        <v>14333</v>
      </c>
      <c r="Q511" s="5" t="s">
        <v>15902</v>
      </c>
      <c r="R511" s="6">
        <v>8959.0</v>
      </c>
    </row>
    <row r="512" ht="56.25" customHeight="1">
      <c r="A512" s="5" t="s">
        <v>15893</v>
      </c>
      <c r="B512" s="6" t="str">
        <f>IMAGE("https://storage.googleapis.com/acdb/dresses/TopsTexOnepieceBlongLShirt4.png")</f>
        <v/>
      </c>
      <c r="C512" s="5" t="s">
        <v>57</v>
      </c>
      <c r="D512" s="5" t="s">
        <v>36</v>
      </c>
      <c r="E512" s="6">
        <v>2000.0</v>
      </c>
      <c r="F512" s="6">
        <v>500.0</v>
      </c>
      <c r="G512" s="5" t="s">
        <v>38</v>
      </c>
      <c r="H512" s="5" t="s">
        <v>54</v>
      </c>
      <c r="I512" s="6" t="s">
        <v>40</v>
      </c>
      <c r="J512" s="5" t="s">
        <v>8585</v>
      </c>
      <c r="K512" s="5" t="s">
        <v>8632</v>
      </c>
      <c r="L512" s="6" t="s">
        <v>42</v>
      </c>
      <c r="M512" s="5" t="s">
        <v>995</v>
      </c>
      <c r="N512" s="5" t="s">
        <v>64</v>
      </c>
      <c r="O512" s="5" t="s">
        <v>14396</v>
      </c>
      <c r="P512" s="5" t="s">
        <v>14333</v>
      </c>
      <c r="Q512" s="5" t="s">
        <v>15906</v>
      </c>
      <c r="R512" s="6">
        <v>8960.0</v>
      </c>
    </row>
    <row r="513" ht="56.25" customHeight="1">
      <c r="A513" s="5" t="s">
        <v>15893</v>
      </c>
      <c r="B513" s="6" t="str">
        <f>IMAGE("https://storage.googleapis.com/acdb/dresses/TopsTexOnepieceBlongLShirt5.png")</f>
        <v/>
      </c>
      <c r="C513" s="5" t="s">
        <v>69</v>
      </c>
      <c r="D513" s="5" t="s">
        <v>36</v>
      </c>
      <c r="E513" s="6">
        <v>2000.0</v>
      </c>
      <c r="F513" s="6">
        <v>500.0</v>
      </c>
      <c r="G513" s="5" t="s">
        <v>69</v>
      </c>
      <c r="H513" s="5" t="s">
        <v>68</v>
      </c>
      <c r="I513" s="6" t="s">
        <v>40</v>
      </c>
      <c r="J513" s="5" t="s">
        <v>8585</v>
      </c>
      <c r="K513" s="5" t="s">
        <v>8632</v>
      </c>
      <c r="L513" s="6" t="s">
        <v>42</v>
      </c>
      <c r="M513" s="5" t="s">
        <v>995</v>
      </c>
      <c r="N513" s="5" t="s">
        <v>64</v>
      </c>
      <c r="O513" s="5" t="s">
        <v>14396</v>
      </c>
      <c r="P513" s="5" t="s">
        <v>14333</v>
      </c>
      <c r="Q513" s="5" t="s">
        <v>15909</v>
      </c>
      <c r="R513" s="6">
        <v>8961.0</v>
      </c>
    </row>
    <row r="514" ht="56.25" customHeight="1">
      <c r="A514" s="5" t="s">
        <v>15893</v>
      </c>
      <c r="B514" s="6" t="str">
        <f>IMAGE("https://storage.googleapis.com/acdb/dresses/TopsTexOnepieceBlongLShirt2.png")</f>
        <v/>
      </c>
      <c r="C514" s="5" t="s">
        <v>96</v>
      </c>
      <c r="D514" s="5" t="s">
        <v>36</v>
      </c>
      <c r="E514" s="6">
        <v>2000.0</v>
      </c>
      <c r="F514" s="6">
        <v>500.0</v>
      </c>
      <c r="G514" s="5" t="s">
        <v>96</v>
      </c>
      <c r="H514" s="5" t="s">
        <v>68</v>
      </c>
      <c r="I514" s="6" t="s">
        <v>40</v>
      </c>
      <c r="J514" s="5" t="s">
        <v>8585</v>
      </c>
      <c r="K514" s="5" t="s">
        <v>8632</v>
      </c>
      <c r="L514" s="6" t="s">
        <v>42</v>
      </c>
      <c r="M514" s="5" t="s">
        <v>995</v>
      </c>
      <c r="N514" s="5" t="s">
        <v>64</v>
      </c>
      <c r="O514" s="5" t="s">
        <v>14396</v>
      </c>
      <c r="P514" s="5" t="s">
        <v>14333</v>
      </c>
      <c r="Q514" s="5" t="s">
        <v>15913</v>
      </c>
      <c r="R514" s="6">
        <v>8958.0</v>
      </c>
    </row>
    <row r="515" ht="56.25" customHeight="1">
      <c r="A515" s="5" t="s">
        <v>15914</v>
      </c>
      <c r="B515" s="6" t="str">
        <f>IMAGE("https://storage.googleapis.com/acdb/dresses/TopsTexOnepieceKimonoLMiko0.png")</f>
        <v/>
      </c>
      <c r="C515" s="5" t="s">
        <v>14824</v>
      </c>
      <c r="D515" s="5" t="s">
        <v>36</v>
      </c>
      <c r="E515" s="6">
        <v>2240.0</v>
      </c>
      <c r="F515" s="6">
        <v>560.0</v>
      </c>
      <c r="G515" s="5" t="s">
        <v>52</v>
      </c>
      <c r="H515" s="5" t="s">
        <v>57</v>
      </c>
      <c r="I515" s="6" t="s">
        <v>40</v>
      </c>
      <c r="J515" s="5" t="s">
        <v>8585</v>
      </c>
      <c r="K515" s="5" t="s">
        <v>8586</v>
      </c>
      <c r="L515" s="6" t="s">
        <v>42</v>
      </c>
      <c r="M515" s="5" t="s">
        <v>1059</v>
      </c>
      <c r="N515" s="5" t="s">
        <v>64</v>
      </c>
      <c r="O515" s="5" t="s">
        <v>6513</v>
      </c>
      <c r="P515" s="5" t="s">
        <v>14333</v>
      </c>
      <c r="Q515" s="5" t="s">
        <v>15917</v>
      </c>
      <c r="R515" s="6">
        <v>4292.0</v>
      </c>
    </row>
    <row r="516" ht="56.25" customHeight="1">
      <c r="A516" s="5" t="s">
        <v>15914</v>
      </c>
      <c r="B516" s="6" t="str">
        <f>IMAGE("https://storage.googleapis.com/acdb/dresses/TopsTexOnepieceKimonoLMiko1.png")</f>
        <v/>
      </c>
      <c r="C516" s="5" t="s">
        <v>14181</v>
      </c>
      <c r="D516" s="5" t="s">
        <v>36</v>
      </c>
      <c r="E516" s="6">
        <v>2240.0</v>
      </c>
      <c r="F516" s="6">
        <v>560.0</v>
      </c>
      <c r="G516" s="5" t="s">
        <v>83</v>
      </c>
      <c r="H516" s="5" t="s">
        <v>57</v>
      </c>
      <c r="I516" s="6" t="s">
        <v>40</v>
      </c>
      <c r="J516" s="5" t="s">
        <v>8585</v>
      </c>
      <c r="K516" s="5" t="s">
        <v>8586</v>
      </c>
      <c r="L516" s="6" t="s">
        <v>42</v>
      </c>
      <c r="M516" s="5" t="s">
        <v>1059</v>
      </c>
      <c r="N516" s="5" t="s">
        <v>64</v>
      </c>
      <c r="O516" s="5" t="s">
        <v>6513</v>
      </c>
      <c r="P516" s="5" t="s">
        <v>14333</v>
      </c>
      <c r="Q516" s="5" t="s">
        <v>15923</v>
      </c>
      <c r="R516" s="6">
        <v>8981.0</v>
      </c>
    </row>
    <row r="517" ht="56.25" customHeight="1">
      <c r="A517" s="5" t="s">
        <v>15924</v>
      </c>
      <c r="B517" s="6" t="str">
        <f>IMAGE("https://storage.googleapis.com/acdb/dresses/TopsTexOnepieceDressHHolland1.png")</f>
        <v/>
      </c>
      <c r="C517" s="5" t="s">
        <v>96</v>
      </c>
      <c r="D517" s="5" t="s">
        <v>36</v>
      </c>
      <c r="E517" s="6">
        <v>2520.0</v>
      </c>
      <c r="F517" s="6">
        <v>630.0</v>
      </c>
      <c r="G517" s="5" t="s">
        <v>54</v>
      </c>
      <c r="H517" s="5" t="s">
        <v>96</v>
      </c>
      <c r="I517" s="6" t="s">
        <v>40</v>
      </c>
      <c r="J517" s="5" t="s">
        <v>8585</v>
      </c>
      <c r="K517" s="5" t="s">
        <v>8586</v>
      </c>
      <c r="L517" s="6" t="s">
        <v>42</v>
      </c>
      <c r="M517" s="5" t="s">
        <v>1059</v>
      </c>
      <c r="N517" s="5" t="s">
        <v>64</v>
      </c>
      <c r="O517" s="5" t="s">
        <v>14841</v>
      </c>
      <c r="P517" s="5" t="s">
        <v>14345</v>
      </c>
      <c r="Q517" s="5" t="s">
        <v>15925</v>
      </c>
      <c r="R517" s="6">
        <v>8157.0</v>
      </c>
    </row>
    <row r="518" ht="56.25" customHeight="1">
      <c r="A518" s="5" t="s">
        <v>15924</v>
      </c>
      <c r="B518" s="6" t="str">
        <f>IMAGE("https://storage.googleapis.com/acdb/dresses/TopsTexOnepieceDressHHolland2.png")</f>
        <v/>
      </c>
      <c r="C518" s="5" t="s">
        <v>68</v>
      </c>
      <c r="D518" s="5" t="s">
        <v>36</v>
      </c>
      <c r="E518" s="6">
        <v>2520.0</v>
      </c>
      <c r="F518" s="6">
        <v>630.0</v>
      </c>
      <c r="G518" s="5" t="s">
        <v>54</v>
      </c>
      <c r="H518" s="5" t="s">
        <v>68</v>
      </c>
      <c r="I518" s="6" t="s">
        <v>40</v>
      </c>
      <c r="J518" s="5" t="s">
        <v>8585</v>
      </c>
      <c r="K518" s="5" t="s">
        <v>8586</v>
      </c>
      <c r="L518" s="6" t="s">
        <v>42</v>
      </c>
      <c r="M518" s="5" t="s">
        <v>1059</v>
      </c>
      <c r="N518" s="5" t="s">
        <v>64</v>
      </c>
      <c r="O518" s="5" t="s">
        <v>14841</v>
      </c>
      <c r="P518" s="5" t="s">
        <v>14345</v>
      </c>
      <c r="Q518" s="5" t="s">
        <v>15928</v>
      </c>
      <c r="R518" s="6">
        <v>8158.0</v>
      </c>
    </row>
    <row r="519" ht="56.25" customHeight="1">
      <c r="A519" s="5" t="s">
        <v>15924</v>
      </c>
      <c r="B519" s="6" t="str">
        <f>IMAGE("https://storage.googleapis.com/acdb/dresses/TopsTexOnepieceDressHHolland0.png")</f>
        <v/>
      </c>
      <c r="C519" s="5" t="s">
        <v>52</v>
      </c>
      <c r="D519" s="5" t="s">
        <v>36</v>
      </c>
      <c r="E519" s="6">
        <v>2520.0</v>
      </c>
      <c r="F519" s="6">
        <v>630.0</v>
      </c>
      <c r="G519" s="5" t="s">
        <v>54</v>
      </c>
      <c r="H519" s="5" t="s">
        <v>52</v>
      </c>
      <c r="I519" s="6" t="s">
        <v>40</v>
      </c>
      <c r="J519" s="5" t="s">
        <v>8585</v>
      </c>
      <c r="K519" s="5" t="s">
        <v>8586</v>
      </c>
      <c r="L519" s="6" t="s">
        <v>42</v>
      </c>
      <c r="M519" s="5" t="s">
        <v>1059</v>
      </c>
      <c r="N519" s="5" t="s">
        <v>64</v>
      </c>
      <c r="O519" s="5" t="s">
        <v>14841</v>
      </c>
      <c r="P519" s="5" t="s">
        <v>14345</v>
      </c>
      <c r="Q519" s="5" t="s">
        <v>15931</v>
      </c>
      <c r="R519" s="6">
        <v>3614.0</v>
      </c>
    </row>
    <row r="520" ht="56.25" customHeight="1">
      <c r="A520" s="5" t="s">
        <v>15933</v>
      </c>
      <c r="B520" s="6" t="str">
        <f>IMAGE("https://storage.googleapis.com/acdb/dresses/TopsTexOnepieceAlineLMold.png")</f>
        <v/>
      </c>
      <c r="C520" s="5" t="s">
        <v>38</v>
      </c>
      <c r="D520" s="5" t="s">
        <v>36</v>
      </c>
      <c r="E520" s="6" t="s">
        <v>37</v>
      </c>
      <c r="F520" s="6">
        <v>10.0</v>
      </c>
      <c r="G520" s="5" t="s">
        <v>38</v>
      </c>
      <c r="H520" s="5" t="s">
        <v>38</v>
      </c>
      <c r="I520" s="6" t="s">
        <v>40</v>
      </c>
      <c r="J520" s="5" t="s">
        <v>8763</v>
      </c>
      <c r="K520" s="5"/>
      <c r="L520" s="6" t="s">
        <v>42</v>
      </c>
      <c r="M520" s="5" t="s">
        <v>995</v>
      </c>
      <c r="N520" s="5" t="s">
        <v>48</v>
      </c>
      <c r="O520" s="5" t="s">
        <v>14411</v>
      </c>
      <c r="P520" s="5" t="s">
        <v>14333</v>
      </c>
      <c r="Q520" s="5" t="s">
        <v>15935</v>
      </c>
      <c r="R520" s="6">
        <v>3576.0</v>
      </c>
    </row>
    <row r="521" ht="56.25" customHeight="1">
      <c r="A521" s="5" t="s">
        <v>15937</v>
      </c>
      <c r="B521" s="6" t="str">
        <f>IMAGE("https://storage.googleapis.com/acdb/dresses/TopsTexOnepieceKimonoLAsagao0.png")</f>
        <v/>
      </c>
      <c r="C521" s="5" t="s">
        <v>14181</v>
      </c>
      <c r="D521" s="5" t="s">
        <v>36</v>
      </c>
      <c r="E521" s="6">
        <v>2280.0</v>
      </c>
      <c r="F521" s="6">
        <v>570.0</v>
      </c>
      <c r="G521" s="5" t="s">
        <v>83</v>
      </c>
      <c r="H521" s="5" t="s">
        <v>114</v>
      </c>
      <c r="I521" s="6" t="s">
        <v>40</v>
      </c>
      <c r="J521" s="5" t="s">
        <v>8585</v>
      </c>
      <c r="K521" s="5" t="s">
        <v>8632</v>
      </c>
      <c r="L521" s="6" t="s">
        <v>42</v>
      </c>
      <c r="M521" s="5" t="s">
        <v>1059</v>
      </c>
      <c r="N521" s="5" t="s">
        <v>64</v>
      </c>
      <c r="O521" s="5" t="s">
        <v>6513</v>
      </c>
      <c r="P521" s="5" t="s">
        <v>14333</v>
      </c>
      <c r="Q521" s="5" t="s">
        <v>15939</v>
      </c>
      <c r="R521" s="6">
        <v>5823.0</v>
      </c>
    </row>
    <row r="522" ht="56.25" customHeight="1">
      <c r="A522" s="5" t="s">
        <v>15937</v>
      </c>
      <c r="B522" s="6" t="str">
        <f>IMAGE("https://storage.googleapis.com/acdb/dresses/TopsTexOnepieceKimonoLAsagao2.png")</f>
        <v/>
      </c>
      <c r="C522" s="5" t="s">
        <v>5744</v>
      </c>
      <c r="D522" s="5" t="s">
        <v>36</v>
      </c>
      <c r="E522" s="6">
        <v>2280.0</v>
      </c>
      <c r="F522" s="6">
        <v>570.0</v>
      </c>
      <c r="G522" s="5" t="s">
        <v>83</v>
      </c>
      <c r="H522" s="5" t="s">
        <v>96</v>
      </c>
      <c r="I522" s="6" t="s">
        <v>40</v>
      </c>
      <c r="J522" s="5" t="s">
        <v>8585</v>
      </c>
      <c r="K522" s="5" t="s">
        <v>8632</v>
      </c>
      <c r="L522" s="6" t="s">
        <v>42</v>
      </c>
      <c r="M522" s="5" t="s">
        <v>1059</v>
      </c>
      <c r="N522" s="5" t="s">
        <v>64</v>
      </c>
      <c r="O522" s="5" t="s">
        <v>6513</v>
      </c>
      <c r="P522" s="5" t="s">
        <v>14333</v>
      </c>
      <c r="Q522" s="5" t="s">
        <v>15943</v>
      </c>
      <c r="R522" s="6">
        <v>9000.0</v>
      </c>
    </row>
    <row r="523" ht="56.25" customHeight="1">
      <c r="A523" s="5" t="s">
        <v>15937</v>
      </c>
      <c r="B523" s="6" t="str">
        <f>IMAGE("https://storage.googleapis.com/acdb/dresses/TopsTexOnepieceKimonoLAsagao3.png")</f>
        <v/>
      </c>
      <c r="C523" s="5" t="s">
        <v>2431</v>
      </c>
      <c r="D523" s="5" t="s">
        <v>36</v>
      </c>
      <c r="E523" s="6">
        <v>2280.0</v>
      </c>
      <c r="F523" s="6">
        <v>570.0</v>
      </c>
      <c r="G523" s="5" t="s">
        <v>68</v>
      </c>
      <c r="H523" s="5" t="s">
        <v>106</v>
      </c>
      <c r="I523" s="6" t="s">
        <v>40</v>
      </c>
      <c r="J523" s="5" t="s">
        <v>8585</v>
      </c>
      <c r="K523" s="5" t="s">
        <v>8632</v>
      </c>
      <c r="L523" s="6" t="s">
        <v>42</v>
      </c>
      <c r="M523" s="5" t="s">
        <v>1059</v>
      </c>
      <c r="N523" s="5" t="s">
        <v>64</v>
      </c>
      <c r="O523" s="5" t="s">
        <v>6513</v>
      </c>
      <c r="P523" s="5" t="s">
        <v>14333</v>
      </c>
      <c r="Q523" s="5" t="s">
        <v>15948</v>
      </c>
      <c r="R523" s="6">
        <v>9001.0</v>
      </c>
    </row>
    <row r="524" ht="56.25" customHeight="1">
      <c r="A524" s="5" t="s">
        <v>15937</v>
      </c>
      <c r="B524" s="6" t="str">
        <f>IMAGE("https://storage.googleapis.com/acdb/dresses/TopsTexOnepieceKimonoLAsagao1.png")</f>
        <v/>
      </c>
      <c r="C524" s="5" t="s">
        <v>57</v>
      </c>
      <c r="D524" s="5" t="s">
        <v>36</v>
      </c>
      <c r="E524" s="6">
        <v>2280.0</v>
      </c>
      <c r="F524" s="6">
        <v>570.0</v>
      </c>
      <c r="G524" s="5" t="s">
        <v>57</v>
      </c>
      <c r="H524" s="5" t="s">
        <v>69</v>
      </c>
      <c r="I524" s="6" t="s">
        <v>40</v>
      </c>
      <c r="J524" s="5" t="s">
        <v>8585</v>
      </c>
      <c r="K524" s="5" t="s">
        <v>8632</v>
      </c>
      <c r="L524" s="6" t="s">
        <v>42</v>
      </c>
      <c r="M524" s="5" t="s">
        <v>1059</v>
      </c>
      <c r="N524" s="5" t="s">
        <v>64</v>
      </c>
      <c r="O524" s="5" t="s">
        <v>6513</v>
      </c>
      <c r="P524" s="5" t="s">
        <v>14333</v>
      </c>
      <c r="Q524" s="5" t="s">
        <v>15950</v>
      </c>
      <c r="R524" s="6">
        <v>8999.0</v>
      </c>
    </row>
    <row r="525" ht="56.25" customHeight="1">
      <c r="A525" s="5" t="s">
        <v>15951</v>
      </c>
      <c r="B525" s="6" t="str">
        <f>IMAGE("https://storage.googleapis.com/acdb/dresses/TopsTexOnepieceOverallLMummyWhite.png")</f>
        <v/>
      </c>
      <c r="C525" s="5" t="s">
        <v>57</v>
      </c>
      <c r="D525" s="5" t="s">
        <v>36</v>
      </c>
      <c r="E525" s="6">
        <v>700.0</v>
      </c>
      <c r="F525" s="6">
        <v>175.0</v>
      </c>
      <c r="G525" s="5" t="s">
        <v>57</v>
      </c>
      <c r="H525" s="5" t="s">
        <v>57</v>
      </c>
      <c r="I525" s="6" t="s">
        <v>40</v>
      </c>
      <c r="J525" s="5" t="s">
        <v>8585</v>
      </c>
      <c r="K525" s="5" t="s">
        <v>8586</v>
      </c>
      <c r="L525" s="6" t="s">
        <v>42</v>
      </c>
      <c r="M525" s="5" t="s">
        <v>1952</v>
      </c>
      <c r="N525" s="5" t="s">
        <v>64</v>
      </c>
      <c r="O525" s="5" t="s">
        <v>14358</v>
      </c>
      <c r="P525" s="5" t="s">
        <v>14333</v>
      </c>
      <c r="Q525" s="5" t="s">
        <v>15953</v>
      </c>
      <c r="R525" s="6">
        <v>3607.0</v>
      </c>
    </row>
    <row r="526" ht="56.25" customHeight="1">
      <c r="A526" s="5" t="s">
        <v>15954</v>
      </c>
      <c r="B526" s="6" t="str">
        <f>IMAGE("https://storage.googleapis.com/acdb/dresses/TopsTexOnepieceAlongLGothic2.png")</f>
        <v/>
      </c>
      <c r="C526" s="5" t="s">
        <v>52</v>
      </c>
      <c r="D526" s="5" t="s">
        <v>36</v>
      </c>
      <c r="E526" s="6">
        <v>3120.0</v>
      </c>
      <c r="F526" s="6">
        <v>780.0</v>
      </c>
      <c r="G526" s="5" t="s">
        <v>52</v>
      </c>
      <c r="H526" s="5" t="s">
        <v>52</v>
      </c>
      <c r="I526" s="6" t="s">
        <v>40</v>
      </c>
      <c r="J526" s="5" t="s">
        <v>8585</v>
      </c>
      <c r="K526" s="5" t="s">
        <v>8632</v>
      </c>
      <c r="L526" s="6" t="s">
        <v>42</v>
      </c>
      <c r="M526" s="5" t="s">
        <v>1952</v>
      </c>
      <c r="N526" s="5" t="s">
        <v>64</v>
      </c>
      <c r="O526" s="5" t="s">
        <v>14574</v>
      </c>
      <c r="P526" s="5" t="s">
        <v>14333</v>
      </c>
      <c r="Q526" s="5" t="s">
        <v>15956</v>
      </c>
      <c r="R526" s="6">
        <v>8690.0</v>
      </c>
    </row>
    <row r="527" ht="56.25" customHeight="1">
      <c r="A527" s="5" t="s">
        <v>15954</v>
      </c>
      <c r="B527" s="6" t="str">
        <f>IMAGE("https://storage.googleapis.com/acdb/dresses/TopsTexOnepieceAlongLGothic0.png")</f>
        <v/>
      </c>
      <c r="C527" s="5" t="s">
        <v>106</v>
      </c>
      <c r="D527" s="5" t="s">
        <v>36</v>
      </c>
      <c r="E527" s="6">
        <v>3120.0</v>
      </c>
      <c r="F527" s="6">
        <v>780.0</v>
      </c>
      <c r="G527" s="5" t="s">
        <v>106</v>
      </c>
      <c r="H527" s="5" t="s">
        <v>106</v>
      </c>
      <c r="I527" s="6" t="s">
        <v>40</v>
      </c>
      <c r="J527" s="5" t="s">
        <v>8585</v>
      </c>
      <c r="K527" s="5" t="s">
        <v>8632</v>
      </c>
      <c r="L527" s="6" t="s">
        <v>42</v>
      </c>
      <c r="M527" s="5" t="s">
        <v>1952</v>
      </c>
      <c r="N527" s="5" t="s">
        <v>64</v>
      </c>
      <c r="O527" s="5" t="s">
        <v>14574</v>
      </c>
      <c r="P527" s="5" t="s">
        <v>14333</v>
      </c>
      <c r="Q527" s="5" t="s">
        <v>15958</v>
      </c>
      <c r="R527" s="6">
        <v>3573.0</v>
      </c>
    </row>
    <row r="528" ht="56.25" customHeight="1">
      <c r="A528" s="5" t="s">
        <v>15954</v>
      </c>
      <c r="B528" s="6" t="str">
        <f>IMAGE("https://storage.googleapis.com/acdb/dresses/TopsTexOnepieceAlongLGothic1.png")</f>
        <v/>
      </c>
      <c r="C528" s="5" t="s">
        <v>54</v>
      </c>
      <c r="D528" s="5" t="s">
        <v>36</v>
      </c>
      <c r="E528" s="6">
        <v>3120.0</v>
      </c>
      <c r="F528" s="6">
        <v>780.0</v>
      </c>
      <c r="G528" s="5" t="s">
        <v>54</v>
      </c>
      <c r="H528" s="5" t="s">
        <v>95</v>
      </c>
      <c r="I528" s="6" t="s">
        <v>40</v>
      </c>
      <c r="J528" s="5" t="s">
        <v>8585</v>
      </c>
      <c r="K528" s="5" t="s">
        <v>8632</v>
      </c>
      <c r="L528" s="6" t="s">
        <v>42</v>
      </c>
      <c r="M528" s="5" t="s">
        <v>1952</v>
      </c>
      <c r="N528" s="5" t="s">
        <v>64</v>
      </c>
      <c r="O528" s="5" t="s">
        <v>14574</v>
      </c>
      <c r="P528" s="5" t="s">
        <v>14333</v>
      </c>
      <c r="Q528" s="5" t="s">
        <v>15960</v>
      </c>
      <c r="R528" s="6">
        <v>8689.0</v>
      </c>
    </row>
    <row r="529" ht="56.25" customHeight="1">
      <c r="A529" s="5" t="s">
        <v>15961</v>
      </c>
      <c r="B529" s="6" t="str">
        <f>IMAGE("https://storage.googleapis.com/acdb/dresses/TopsTexOnepieceAlongHNegligee1.png")</f>
        <v/>
      </c>
      <c r="C529" s="5" t="s">
        <v>69</v>
      </c>
      <c r="D529" s="5" t="s">
        <v>36</v>
      </c>
      <c r="E529" s="6">
        <v>2100.0</v>
      </c>
      <c r="F529" s="6">
        <v>525.0</v>
      </c>
      <c r="G529" s="5" t="s">
        <v>69</v>
      </c>
      <c r="H529" s="5" t="s">
        <v>69</v>
      </c>
      <c r="I529" s="6" t="s">
        <v>40</v>
      </c>
      <c r="J529" s="5" t="s">
        <v>8585</v>
      </c>
      <c r="K529" s="5" t="s">
        <v>8586</v>
      </c>
      <c r="L529" s="6" t="s">
        <v>42</v>
      </c>
      <c r="M529" s="5" t="s">
        <v>1059</v>
      </c>
      <c r="N529" s="5" t="s">
        <v>64</v>
      </c>
      <c r="O529" s="5" t="s">
        <v>14574</v>
      </c>
      <c r="P529" s="5" t="s">
        <v>14345</v>
      </c>
      <c r="Q529" s="5" t="s">
        <v>15962</v>
      </c>
      <c r="R529" s="6">
        <v>8137.0</v>
      </c>
    </row>
    <row r="530" ht="56.25" customHeight="1">
      <c r="A530" s="5" t="s">
        <v>15961</v>
      </c>
      <c r="B530" s="6" t="str">
        <f>IMAGE("https://storage.googleapis.com/acdb/dresses/TopsTexOnepieceAlongHNegligee0.png")</f>
        <v/>
      </c>
      <c r="C530" s="5" t="s">
        <v>68</v>
      </c>
      <c r="D530" s="5" t="s">
        <v>36</v>
      </c>
      <c r="E530" s="6">
        <v>2100.0</v>
      </c>
      <c r="F530" s="6">
        <v>525.0</v>
      </c>
      <c r="G530" s="5" t="s">
        <v>83</v>
      </c>
      <c r="H530" s="5" t="s">
        <v>83</v>
      </c>
      <c r="I530" s="6" t="s">
        <v>40</v>
      </c>
      <c r="J530" s="5" t="s">
        <v>8585</v>
      </c>
      <c r="K530" s="5" t="s">
        <v>8586</v>
      </c>
      <c r="L530" s="6" t="s">
        <v>42</v>
      </c>
      <c r="M530" s="5" t="s">
        <v>1059</v>
      </c>
      <c r="N530" s="5" t="s">
        <v>64</v>
      </c>
      <c r="O530" s="5" t="s">
        <v>14574</v>
      </c>
      <c r="P530" s="5" t="s">
        <v>14345</v>
      </c>
      <c r="Q530" s="5" t="s">
        <v>15964</v>
      </c>
      <c r="R530" s="6">
        <v>4248.0</v>
      </c>
    </row>
    <row r="531" ht="56.25" customHeight="1">
      <c r="A531" s="5" t="s">
        <v>15961</v>
      </c>
      <c r="B531" s="6" t="str">
        <f>IMAGE("https://storage.googleapis.com/acdb/dresses/TopsTexOnepieceAlongHNegligee2.png")</f>
        <v/>
      </c>
      <c r="C531" s="5" t="s">
        <v>106</v>
      </c>
      <c r="D531" s="5" t="s">
        <v>36</v>
      </c>
      <c r="E531" s="6">
        <v>2100.0</v>
      </c>
      <c r="F531" s="6">
        <v>525.0</v>
      </c>
      <c r="G531" s="5" t="s">
        <v>106</v>
      </c>
      <c r="H531" s="5" t="s">
        <v>106</v>
      </c>
      <c r="I531" s="6" t="s">
        <v>40</v>
      </c>
      <c r="J531" s="5" t="s">
        <v>8585</v>
      </c>
      <c r="K531" s="5" t="s">
        <v>8586</v>
      </c>
      <c r="L531" s="6" t="s">
        <v>42</v>
      </c>
      <c r="M531" s="5" t="s">
        <v>1059</v>
      </c>
      <c r="N531" s="5" t="s">
        <v>64</v>
      </c>
      <c r="O531" s="5" t="s">
        <v>14574</v>
      </c>
      <c r="P531" s="5" t="s">
        <v>14345</v>
      </c>
      <c r="Q531" s="5" t="s">
        <v>15966</v>
      </c>
      <c r="R531" s="6">
        <v>11935.0</v>
      </c>
    </row>
    <row r="532" ht="56.25" customHeight="1">
      <c r="A532" s="5" t="s">
        <v>15961</v>
      </c>
      <c r="B532" s="6" t="str">
        <f>IMAGE("https://storage.googleapis.com/acdb/dresses/TopsTexOnepieceAlongHNegligee3.png")</f>
        <v/>
      </c>
      <c r="C532" s="5" t="s">
        <v>38</v>
      </c>
      <c r="D532" s="5" t="s">
        <v>36</v>
      </c>
      <c r="E532" s="6">
        <v>2100.0</v>
      </c>
      <c r="F532" s="6">
        <v>525.0</v>
      </c>
      <c r="G532" s="5" t="s">
        <v>38</v>
      </c>
      <c r="H532" s="5" t="s">
        <v>38</v>
      </c>
      <c r="I532" s="6" t="s">
        <v>40</v>
      </c>
      <c r="J532" s="5" t="s">
        <v>8585</v>
      </c>
      <c r="K532" s="5" t="s">
        <v>8586</v>
      </c>
      <c r="L532" s="6" t="s">
        <v>42</v>
      </c>
      <c r="M532" s="5" t="s">
        <v>1059</v>
      </c>
      <c r="N532" s="5" t="s">
        <v>64</v>
      </c>
      <c r="O532" s="5" t="s">
        <v>14574</v>
      </c>
      <c r="P532" s="5" t="s">
        <v>14345</v>
      </c>
      <c r="Q532" s="5" t="s">
        <v>15968</v>
      </c>
      <c r="R532" s="6">
        <v>11936.0</v>
      </c>
    </row>
    <row r="533" ht="56.25" customHeight="1">
      <c r="A533" s="5" t="s">
        <v>15961</v>
      </c>
      <c r="B533" s="6" t="str">
        <f>IMAGE("https://storage.googleapis.com/acdb/dresses/TopsTexOnepieceAlongHNegligee4.png")</f>
        <v/>
      </c>
      <c r="C533" s="5" t="s">
        <v>57</v>
      </c>
      <c r="D533" s="5" t="s">
        <v>36</v>
      </c>
      <c r="E533" s="6">
        <v>2100.0</v>
      </c>
      <c r="F533" s="6">
        <v>525.0</v>
      </c>
      <c r="G533" s="5" t="s">
        <v>57</v>
      </c>
      <c r="H533" s="5" t="s">
        <v>57</v>
      </c>
      <c r="I533" s="6" t="s">
        <v>40</v>
      </c>
      <c r="J533" s="5" t="s">
        <v>8585</v>
      </c>
      <c r="K533" s="5" t="s">
        <v>8586</v>
      </c>
      <c r="L533" s="6" t="s">
        <v>42</v>
      </c>
      <c r="M533" s="5" t="s">
        <v>1059</v>
      </c>
      <c r="N533" s="5" t="s">
        <v>64</v>
      </c>
      <c r="O533" s="5" t="s">
        <v>14574</v>
      </c>
      <c r="P533" s="5" t="s">
        <v>14345</v>
      </c>
      <c r="Q533" s="5" t="s">
        <v>15971</v>
      </c>
      <c r="R533" s="6">
        <v>11937.0</v>
      </c>
    </row>
    <row r="534" ht="56.25" customHeight="1">
      <c r="A534" s="5" t="s">
        <v>15972</v>
      </c>
      <c r="B534" s="6" t="str">
        <f>IMAGE("https://storage.googleapis.com/acdb/dresses/TopsTexOnepieceOverallLNinja4.png")</f>
        <v/>
      </c>
      <c r="C534" s="5" t="s">
        <v>14181</v>
      </c>
      <c r="D534" s="5" t="s">
        <v>36</v>
      </c>
      <c r="E534" s="6">
        <v>2240.0</v>
      </c>
      <c r="F534" s="6">
        <v>560.0</v>
      </c>
      <c r="G534" s="5" t="s">
        <v>83</v>
      </c>
      <c r="H534" s="5" t="s">
        <v>95</v>
      </c>
      <c r="I534" s="6" t="s">
        <v>40</v>
      </c>
      <c r="J534" s="5" t="s">
        <v>8585</v>
      </c>
      <c r="K534" s="5" t="s">
        <v>8586</v>
      </c>
      <c r="L534" s="6" t="s">
        <v>42</v>
      </c>
      <c r="M534" s="5" t="s">
        <v>8746</v>
      </c>
      <c r="N534" s="5" t="s">
        <v>64</v>
      </c>
      <c r="O534" s="5" t="s">
        <v>14358</v>
      </c>
      <c r="P534" s="5" t="s">
        <v>14333</v>
      </c>
      <c r="Q534" s="5" t="s">
        <v>15974</v>
      </c>
      <c r="R534" s="6">
        <v>9210.0</v>
      </c>
    </row>
    <row r="535" ht="56.25" customHeight="1">
      <c r="A535" s="5" t="s">
        <v>15972</v>
      </c>
      <c r="B535" s="6" t="str">
        <f>IMAGE("https://storage.googleapis.com/acdb/dresses/TopsTexOnepieceOverallLNinja5.png")</f>
        <v/>
      </c>
      <c r="C535" s="5" t="s">
        <v>96</v>
      </c>
      <c r="D535" s="5" t="s">
        <v>36</v>
      </c>
      <c r="E535" s="6">
        <v>2240.0</v>
      </c>
      <c r="F535" s="6">
        <v>560.0</v>
      </c>
      <c r="G535" s="5" t="s">
        <v>96</v>
      </c>
      <c r="H535" s="5" t="s">
        <v>95</v>
      </c>
      <c r="I535" s="6" t="s">
        <v>40</v>
      </c>
      <c r="J535" s="5" t="s">
        <v>8585</v>
      </c>
      <c r="K535" s="5" t="s">
        <v>8586</v>
      </c>
      <c r="L535" s="6" t="s">
        <v>42</v>
      </c>
      <c r="M535" s="5" t="s">
        <v>8746</v>
      </c>
      <c r="N535" s="5" t="s">
        <v>64</v>
      </c>
      <c r="O535" s="5" t="s">
        <v>14358</v>
      </c>
      <c r="P535" s="5" t="s">
        <v>14333</v>
      </c>
      <c r="Q535" s="5" t="s">
        <v>15976</v>
      </c>
      <c r="R535" s="6">
        <v>9211.0</v>
      </c>
    </row>
    <row r="536" ht="56.25" customHeight="1">
      <c r="A536" s="5" t="s">
        <v>15972</v>
      </c>
      <c r="B536" s="6" t="str">
        <f>IMAGE("https://storage.googleapis.com/acdb/dresses/TopsTexOnepieceOverallLNinja6.png")</f>
        <v/>
      </c>
      <c r="C536" s="5" t="s">
        <v>114</v>
      </c>
      <c r="D536" s="5" t="s">
        <v>36</v>
      </c>
      <c r="E536" s="6">
        <v>2240.0</v>
      </c>
      <c r="F536" s="6">
        <v>560.0</v>
      </c>
      <c r="G536" s="5" t="s">
        <v>114</v>
      </c>
      <c r="H536" s="5" t="s">
        <v>95</v>
      </c>
      <c r="I536" s="6" t="s">
        <v>40</v>
      </c>
      <c r="J536" s="5" t="s">
        <v>8585</v>
      </c>
      <c r="K536" s="5" t="s">
        <v>8586</v>
      </c>
      <c r="L536" s="6" t="s">
        <v>42</v>
      </c>
      <c r="M536" s="5" t="s">
        <v>8746</v>
      </c>
      <c r="N536" s="5" t="s">
        <v>64</v>
      </c>
      <c r="O536" s="5" t="s">
        <v>14358</v>
      </c>
      <c r="P536" s="5" t="s">
        <v>14333</v>
      </c>
      <c r="Q536" s="5" t="s">
        <v>15977</v>
      </c>
      <c r="R536" s="6">
        <v>9212.0</v>
      </c>
    </row>
    <row r="537" ht="56.25" customHeight="1">
      <c r="A537" s="5" t="s">
        <v>15972</v>
      </c>
      <c r="B537" s="6" t="str">
        <f>IMAGE("https://storage.googleapis.com/acdb/dresses/TopsTexOnepieceOverallLNinja7.png")</f>
        <v/>
      </c>
      <c r="C537" s="5" t="s">
        <v>142</v>
      </c>
      <c r="D537" s="5" t="s">
        <v>36</v>
      </c>
      <c r="E537" s="6">
        <v>2240.0</v>
      </c>
      <c r="F537" s="6">
        <v>560.0</v>
      </c>
      <c r="G537" s="5" t="s">
        <v>142</v>
      </c>
      <c r="H537" s="5" t="s">
        <v>95</v>
      </c>
      <c r="I537" s="6" t="s">
        <v>40</v>
      </c>
      <c r="J537" s="5" t="s">
        <v>8585</v>
      </c>
      <c r="K537" s="5" t="s">
        <v>8586</v>
      </c>
      <c r="L537" s="6" t="s">
        <v>42</v>
      </c>
      <c r="M537" s="5" t="s">
        <v>8746</v>
      </c>
      <c r="N537" s="5" t="s">
        <v>64</v>
      </c>
      <c r="O537" s="5" t="s">
        <v>14358</v>
      </c>
      <c r="P537" s="5" t="s">
        <v>14333</v>
      </c>
      <c r="Q537" s="5" t="s">
        <v>15980</v>
      </c>
      <c r="R537" s="6">
        <v>9213.0</v>
      </c>
    </row>
    <row r="538" ht="56.25" customHeight="1">
      <c r="A538" s="5" t="s">
        <v>15972</v>
      </c>
      <c r="B538" s="6" t="str">
        <f>IMAGE("https://storage.googleapis.com/acdb/dresses/TopsTexOnepieceOverallLNinja0.png")</f>
        <v/>
      </c>
      <c r="C538" s="5" t="s">
        <v>2431</v>
      </c>
      <c r="D538" s="5" t="s">
        <v>36</v>
      </c>
      <c r="E538" s="6">
        <v>2240.0</v>
      </c>
      <c r="F538" s="6">
        <v>560.0</v>
      </c>
      <c r="G538" s="5" t="s">
        <v>68</v>
      </c>
      <c r="H538" s="5" t="s">
        <v>95</v>
      </c>
      <c r="I538" s="6" t="s">
        <v>40</v>
      </c>
      <c r="J538" s="5" t="s">
        <v>8585</v>
      </c>
      <c r="K538" s="5" t="s">
        <v>8586</v>
      </c>
      <c r="L538" s="6" t="s">
        <v>42</v>
      </c>
      <c r="M538" s="5" t="s">
        <v>8746</v>
      </c>
      <c r="N538" s="5" t="s">
        <v>64</v>
      </c>
      <c r="O538" s="5" t="s">
        <v>14358</v>
      </c>
      <c r="P538" s="5" t="s">
        <v>14333</v>
      </c>
      <c r="Q538" s="5" t="s">
        <v>15983</v>
      </c>
      <c r="R538" s="6">
        <v>3460.0</v>
      </c>
    </row>
    <row r="539" ht="56.25" customHeight="1">
      <c r="A539" s="5" t="s">
        <v>15972</v>
      </c>
      <c r="B539" s="6" t="str">
        <f>IMAGE("https://storage.googleapis.com/acdb/dresses/TopsTexOnepieceOverallLNinja1.png")</f>
        <v/>
      </c>
      <c r="C539" s="5" t="s">
        <v>95</v>
      </c>
      <c r="D539" s="5" t="s">
        <v>36</v>
      </c>
      <c r="E539" s="6">
        <v>2240.0</v>
      </c>
      <c r="F539" s="6">
        <v>560.0</v>
      </c>
      <c r="G539" s="5" t="s">
        <v>54</v>
      </c>
      <c r="H539" s="5" t="s">
        <v>95</v>
      </c>
      <c r="I539" s="6" t="s">
        <v>40</v>
      </c>
      <c r="J539" s="5" t="s">
        <v>8585</v>
      </c>
      <c r="K539" s="5" t="s">
        <v>8586</v>
      </c>
      <c r="L539" s="6" t="s">
        <v>42</v>
      </c>
      <c r="M539" s="5" t="s">
        <v>8746</v>
      </c>
      <c r="N539" s="5" t="s">
        <v>64</v>
      </c>
      <c r="O539" s="5" t="s">
        <v>14358</v>
      </c>
      <c r="P539" s="5" t="s">
        <v>14333</v>
      </c>
      <c r="Q539" s="5" t="s">
        <v>15985</v>
      </c>
      <c r="R539" s="6">
        <v>9207.0</v>
      </c>
    </row>
    <row r="540" ht="56.25" customHeight="1">
      <c r="A540" s="5" t="s">
        <v>15972</v>
      </c>
      <c r="B540" s="6" t="str">
        <f>IMAGE("https://storage.googleapis.com/acdb/dresses/TopsTexOnepieceOverallLNinja2.png")</f>
        <v/>
      </c>
      <c r="C540" s="5" t="s">
        <v>52</v>
      </c>
      <c r="D540" s="5" t="s">
        <v>36</v>
      </c>
      <c r="E540" s="6">
        <v>2240.0</v>
      </c>
      <c r="F540" s="6">
        <v>560.0</v>
      </c>
      <c r="G540" s="5" t="s">
        <v>52</v>
      </c>
      <c r="H540" s="5" t="s">
        <v>95</v>
      </c>
      <c r="I540" s="6" t="s">
        <v>40</v>
      </c>
      <c r="J540" s="5" t="s">
        <v>8585</v>
      </c>
      <c r="K540" s="5" t="s">
        <v>8586</v>
      </c>
      <c r="L540" s="6" t="s">
        <v>42</v>
      </c>
      <c r="M540" s="5" t="s">
        <v>8746</v>
      </c>
      <c r="N540" s="5" t="s">
        <v>64</v>
      </c>
      <c r="O540" s="5" t="s">
        <v>14358</v>
      </c>
      <c r="P540" s="5" t="s">
        <v>14333</v>
      </c>
      <c r="Q540" s="5" t="s">
        <v>15988</v>
      </c>
      <c r="R540" s="6">
        <v>9208.0</v>
      </c>
    </row>
    <row r="541" ht="56.25" customHeight="1">
      <c r="A541" s="5" t="s">
        <v>15972</v>
      </c>
      <c r="B541" s="6" t="str">
        <f>IMAGE("https://storage.googleapis.com/acdb/dresses/TopsTexOnepieceOverallLNinja3.png")</f>
        <v/>
      </c>
      <c r="C541" s="5" t="s">
        <v>106</v>
      </c>
      <c r="D541" s="5" t="s">
        <v>36</v>
      </c>
      <c r="E541" s="6">
        <v>2240.0</v>
      </c>
      <c r="F541" s="6">
        <v>560.0</v>
      </c>
      <c r="G541" s="5" t="s">
        <v>106</v>
      </c>
      <c r="H541" s="5" t="s">
        <v>95</v>
      </c>
      <c r="I541" s="6" t="s">
        <v>40</v>
      </c>
      <c r="J541" s="5" t="s">
        <v>8585</v>
      </c>
      <c r="K541" s="5" t="s">
        <v>8586</v>
      </c>
      <c r="L541" s="6" t="s">
        <v>42</v>
      </c>
      <c r="M541" s="5" t="s">
        <v>8746</v>
      </c>
      <c r="N541" s="5" t="s">
        <v>64</v>
      </c>
      <c r="O541" s="5" t="s">
        <v>14358</v>
      </c>
      <c r="P541" s="5" t="s">
        <v>14333</v>
      </c>
      <c r="Q541" s="5" t="s">
        <v>15990</v>
      </c>
      <c r="R541" s="6">
        <v>9209.0</v>
      </c>
    </row>
    <row r="542" ht="56.25" customHeight="1">
      <c r="A542" s="5" t="s">
        <v>15991</v>
      </c>
      <c r="B542" s="6" t="str">
        <f>IMAGE("https://storage.googleapis.com/acdb/dresses/TopsTexOnepieceDressLNoble0.png")</f>
        <v/>
      </c>
      <c r="C542" s="5" t="s">
        <v>96</v>
      </c>
      <c r="D542" s="5" t="s">
        <v>36</v>
      </c>
      <c r="E542" s="6">
        <v>5200.0</v>
      </c>
      <c r="F542" s="6">
        <v>1300.0</v>
      </c>
      <c r="G542" s="5" t="s">
        <v>96</v>
      </c>
      <c r="H542" s="5" t="s">
        <v>57</v>
      </c>
      <c r="I542" s="6" t="s">
        <v>40</v>
      </c>
      <c r="J542" s="5" t="s">
        <v>8585</v>
      </c>
      <c r="K542" s="5" t="s">
        <v>8586</v>
      </c>
      <c r="L542" s="6" t="s">
        <v>42</v>
      </c>
      <c r="M542" s="5" t="s">
        <v>612</v>
      </c>
      <c r="N542" s="5" t="s">
        <v>64</v>
      </c>
      <c r="O542" s="5" t="s">
        <v>14841</v>
      </c>
      <c r="P542" s="5" t="s">
        <v>14333</v>
      </c>
      <c r="Q542" s="5" t="s">
        <v>15994</v>
      </c>
      <c r="R542" s="6">
        <v>5798.0</v>
      </c>
    </row>
    <row r="543" ht="56.25" customHeight="1">
      <c r="A543" s="5" t="s">
        <v>15991</v>
      </c>
      <c r="B543" s="6" t="str">
        <f>IMAGE("https://storage.googleapis.com/acdb/dresses/TopsTexOnepieceDressLNoble5.png")</f>
        <v/>
      </c>
      <c r="C543" s="5" t="s">
        <v>106</v>
      </c>
      <c r="D543" s="5" t="s">
        <v>36</v>
      </c>
      <c r="E543" s="6">
        <v>5200.0</v>
      </c>
      <c r="F543" s="6">
        <v>1300.0</v>
      </c>
      <c r="G543" s="5" t="s">
        <v>106</v>
      </c>
      <c r="H543" s="5" t="s">
        <v>57</v>
      </c>
      <c r="I543" s="6" t="s">
        <v>40</v>
      </c>
      <c r="J543" s="5" t="s">
        <v>8585</v>
      </c>
      <c r="K543" s="5" t="s">
        <v>8586</v>
      </c>
      <c r="L543" s="6" t="s">
        <v>42</v>
      </c>
      <c r="M543" s="5" t="s">
        <v>612</v>
      </c>
      <c r="N543" s="5" t="s">
        <v>64</v>
      </c>
      <c r="O543" s="5" t="s">
        <v>14841</v>
      </c>
      <c r="P543" s="5" t="s">
        <v>14333</v>
      </c>
      <c r="Q543" s="5" t="s">
        <v>15998</v>
      </c>
      <c r="R543" s="6">
        <v>7430.0</v>
      </c>
    </row>
    <row r="544" ht="56.25" customHeight="1">
      <c r="A544" s="5" t="s">
        <v>15991</v>
      </c>
      <c r="B544" s="6" t="str">
        <f>IMAGE("https://storage.googleapis.com/acdb/dresses/TopsTexOnepieceDressLNoble6.png")</f>
        <v/>
      </c>
      <c r="C544" s="5" t="s">
        <v>114</v>
      </c>
      <c r="D544" s="5" t="s">
        <v>36</v>
      </c>
      <c r="E544" s="6">
        <v>5200.0</v>
      </c>
      <c r="F544" s="6">
        <v>1300.0</v>
      </c>
      <c r="G544" s="5" t="s">
        <v>114</v>
      </c>
      <c r="H544" s="5" t="s">
        <v>57</v>
      </c>
      <c r="I544" s="6" t="s">
        <v>40</v>
      </c>
      <c r="J544" s="5" t="s">
        <v>8585</v>
      </c>
      <c r="K544" s="5" t="s">
        <v>8586</v>
      </c>
      <c r="L544" s="6" t="s">
        <v>42</v>
      </c>
      <c r="M544" s="5" t="s">
        <v>612</v>
      </c>
      <c r="N544" s="5" t="s">
        <v>64</v>
      </c>
      <c r="O544" s="5" t="s">
        <v>14841</v>
      </c>
      <c r="P544" s="5" t="s">
        <v>14333</v>
      </c>
      <c r="Q544" s="5" t="s">
        <v>16000</v>
      </c>
      <c r="R544" s="6">
        <v>7431.0</v>
      </c>
    </row>
    <row r="545" ht="56.25" customHeight="1">
      <c r="A545" s="5" t="s">
        <v>15991</v>
      </c>
      <c r="B545" s="6" t="str">
        <f>IMAGE("https://storage.googleapis.com/acdb/dresses/TopsTexOnepieceDressLNoble7.png")</f>
        <v/>
      </c>
      <c r="C545" s="5" t="s">
        <v>52</v>
      </c>
      <c r="D545" s="5" t="s">
        <v>36</v>
      </c>
      <c r="E545" s="6">
        <v>5200.0</v>
      </c>
      <c r="F545" s="6">
        <v>1300.0</v>
      </c>
      <c r="G545" s="5" t="s">
        <v>52</v>
      </c>
      <c r="H545" s="5" t="s">
        <v>57</v>
      </c>
      <c r="I545" s="6" t="s">
        <v>40</v>
      </c>
      <c r="J545" s="5" t="s">
        <v>8585</v>
      </c>
      <c r="K545" s="5" t="s">
        <v>8586</v>
      </c>
      <c r="L545" s="6" t="s">
        <v>42</v>
      </c>
      <c r="M545" s="5" t="s">
        <v>612</v>
      </c>
      <c r="N545" s="5" t="s">
        <v>64</v>
      </c>
      <c r="O545" s="5" t="s">
        <v>14841</v>
      </c>
      <c r="P545" s="5" t="s">
        <v>14333</v>
      </c>
      <c r="Q545" s="5" t="s">
        <v>16004</v>
      </c>
      <c r="R545" s="6">
        <v>7432.0</v>
      </c>
    </row>
    <row r="546" ht="56.25" customHeight="1">
      <c r="A546" s="5" t="s">
        <v>15991</v>
      </c>
      <c r="B546" s="6" t="str">
        <f>IMAGE("https://storage.googleapis.com/acdb/dresses/TopsTexOnepieceDressLNoble1.png")</f>
        <v/>
      </c>
      <c r="C546" s="5" t="s">
        <v>10410</v>
      </c>
      <c r="D546" s="5" t="s">
        <v>36</v>
      </c>
      <c r="E546" s="6">
        <v>5200.0</v>
      </c>
      <c r="F546" s="6">
        <v>1300.0</v>
      </c>
      <c r="G546" s="5" t="s">
        <v>69</v>
      </c>
      <c r="H546" s="5" t="s">
        <v>57</v>
      </c>
      <c r="I546" s="6" t="s">
        <v>40</v>
      </c>
      <c r="J546" s="5" t="s">
        <v>8585</v>
      </c>
      <c r="K546" s="5" t="s">
        <v>8586</v>
      </c>
      <c r="L546" s="6" t="s">
        <v>42</v>
      </c>
      <c r="M546" s="5" t="s">
        <v>612</v>
      </c>
      <c r="N546" s="5" t="s">
        <v>64</v>
      </c>
      <c r="O546" s="5" t="s">
        <v>14841</v>
      </c>
      <c r="P546" s="5" t="s">
        <v>14333</v>
      </c>
      <c r="Q546" s="5" t="s">
        <v>16007</v>
      </c>
      <c r="R546" s="6">
        <v>7426.0</v>
      </c>
    </row>
    <row r="547" ht="56.25" customHeight="1">
      <c r="A547" s="5" t="s">
        <v>15991</v>
      </c>
      <c r="B547" s="6" t="str">
        <f>IMAGE("https://storage.googleapis.com/acdb/dresses/TopsTexOnepieceDressLNoble2.png")</f>
        <v/>
      </c>
      <c r="C547" s="5" t="s">
        <v>57</v>
      </c>
      <c r="D547" s="5" t="s">
        <v>36</v>
      </c>
      <c r="E547" s="6">
        <v>5200.0</v>
      </c>
      <c r="F547" s="6">
        <v>1300.0</v>
      </c>
      <c r="G547" s="5" t="s">
        <v>57</v>
      </c>
      <c r="H547" s="5" t="s">
        <v>57</v>
      </c>
      <c r="I547" s="6" t="s">
        <v>40</v>
      </c>
      <c r="J547" s="5" t="s">
        <v>8585</v>
      </c>
      <c r="K547" s="5" t="s">
        <v>8586</v>
      </c>
      <c r="L547" s="6" t="s">
        <v>42</v>
      </c>
      <c r="M547" s="5" t="s">
        <v>612</v>
      </c>
      <c r="N547" s="5" t="s">
        <v>64</v>
      </c>
      <c r="O547" s="5" t="s">
        <v>14841</v>
      </c>
      <c r="P547" s="5" t="s">
        <v>14333</v>
      </c>
      <c r="Q547" s="5" t="s">
        <v>16009</v>
      </c>
      <c r="R547" s="6">
        <v>7427.0</v>
      </c>
    </row>
    <row r="548" ht="56.25" customHeight="1">
      <c r="A548" s="5" t="s">
        <v>15991</v>
      </c>
      <c r="B548" s="6" t="str">
        <f>IMAGE("https://storage.googleapis.com/acdb/dresses/TopsTexOnepieceDressLNoble3.png")</f>
        <v/>
      </c>
      <c r="C548" s="5" t="s">
        <v>68</v>
      </c>
      <c r="D548" s="5" t="s">
        <v>36</v>
      </c>
      <c r="E548" s="6">
        <v>5200.0</v>
      </c>
      <c r="F548" s="6">
        <v>1300.0</v>
      </c>
      <c r="G548" s="5" t="s">
        <v>68</v>
      </c>
      <c r="H548" s="5" t="s">
        <v>57</v>
      </c>
      <c r="I548" s="6" t="s">
        <v>40</v>
      </c>
      <c r="J548" s="5" t="s">
        <v>8585</v>
      </c>
      <c r="K548" s="5" t="s">
        <v>8586</v>
      </c>
      <c r="L548" s="6" t="s">
        <v>42</v>
      </c>
      <c r="M548" s="5" t="s">
        <v>612</v>
      </c>
      <c r="N548" s="5" t="s">
        <v>64</v>
      </c>
      <c r="O548" s="5" t="s">
        <v>14841</v>
      </c>
      <c r="P548" s="5" t="s">
        <v>14333</v>
      </c>
      <c r="Q548" s="5" t="s">
        <v>16011</v>
      </c>
      <c r="R548" s="6">
        <v>7428.0</v>
      </c>
    </row>
    <row r="549" ht="56.25" customHeight="1">
      <c r="A549" s="5" t="s">
        <v>15991</v>
      </c>
      <c r="B549" s="6" t="str">
        <f>IMAGE("https://storage.googleapis.com/acdb/dresses/TopsTexOnepieceDressLNoble4.png")</f>
        <v/>
      </c>
      <c r="C549" s="5" t="s">
        <v>54</v>
      </c>
      <c r="D549" s="5" t="s">
        <v>36</v>
      </c>
      <c r="E549" s="6">
        <v>5200.0</v>
      </c>
      <c r="F549" s="6">
        <v>1300.0</v>
      </c>
      <c r="G549" s="5" t="s">
        <v>54</v>
      </c>
      <c r="H549" s="5" t="s">
        <v>57</v>
      </c>
      <c r="I549" s="6" t="s">
        <v>40</v>
      </c>
      <c r="J549" s="5" t="s">
        <v>8585</v>
      </c>
      <c r="K549" s="5" t="s">
        <v>8586</v>
      </c>
      <c r="L549" s="6" t="s">
        <v>42</v>
      </c>
      <c r="M549" s="5" t="s">
        <v>612</v>
      </c>
      <c r="N549" s="5" t="s">
        <v>64</v>
      </c>
      <c r="O549" s="5" t="s">
        <v>14841</v>
      </c>
      <c r="P549" s="5" t="s">
        <v>14333</v>
      </c>
      <c r="Q549" s="5" t="s">
        <v>16014</v>
      </c>
      <c r="R549" s="6">
        <v>7429.0</v>
      </c>
    </row>
    <row r="550" ht="56.25" customHeight="1">
      <c r="A550" s="5" t="s">
        <v>16016</v>
      </c>
      <c r="B550" s="6" t="str">
        <f>IMAGE("https://storage.googleapis.com/acdb/dresses/TopsTexOnepieceAlineLHeroine0.png")</f>
        <v/>
      </c>
      <c r="C550" s="5" t="s">
        <v>69</v>
      </c>
      <c r="D550" s="5" t="s">
        <v>36</v>
      </c>
      <c r="E550" s="6">
        <v>2760.0</v>
      </c>
      <c r="F550" s="6">
        <v>690.0</v>
      </c>
      <c r="G550" s="5" t="s">
        <v>69</v>
      </c>
      <c r="H550" s="5" t="s">
        <v>57</v>
      </c>
      <c r="I550" s="6" t="s">
        <v>40</v>
      </c>
      <c r="J550" s="5" t="s">
        <v>8585</v>
      </c>
      <c r="K550" s="5" t="s">
        <v>8586</v>
      </c>
      <c r="L550" s="6" t="s">
        <v>42</v>
      </c>
      <c r="M550" s="5" t="s">
        <v>8746</v>
      </c>
      <c r="N550" s="5" t="s">
        <v>64</v>
      </c>
      <c r="O550" s="5" t="s">
        <v>14411</v>
      </c>
      <c r="P550" s="5" t="s">
        <v>14333</v>
      </c>
      <c r="Q550" s="5" t="s">
        <v>16018</v>
      </c>
      <c r="R550" s="6">
        <v>3159.0</v>
      </c>
    </row>
    <row r="551" ht="56.25" customHeight="1">
      <c r="A551" s="5" t="s">
        <v>16016</v>
      </c>
      <c r="B551" s="6" t="str">
        <f>IMAGE("https://storage.googleapis.com/acdb/dresses/TopsTexOnepieceAlineLHeroine1.png")</f>
        <v/>
      </c>
      <c r="C551" s="5" t="s">
        <v>68</v>
      </c>
      <c r="D551" s="5" t="s">
        <v>36</v>
      </c>
      <c r="E551" s="6">
        <v>2760.0</v>
      </c>
      <c r="F551" s="6">
        <v>690.0</v>
      </c>
      <c r="G551" s="5" t="s">
        <v>68</v>
      </c>
      <c r="H551" s="5" t="s">
        <v>57</v>
      </c>
      <c r="I551" s="6" t="s">
        <v>40</v>
      </c>
      <c r="J551" s="5" t="s">
        <v>8585</v>
      </c>
      <c r="K551" s="5" t="s">
        <v>8586</v>
      </c>
      <c r="L551" s="6" t="s">
        <v>42</v>
      </c>
      <c r="M551" s="5" t="s">
        <v>8746</v>
      </c>
      <c r="N551" s="5" t="s">
        <v>64</v>
      </c>
      <c r="O551" s="5" t="s">
        <v>14411</v>
      </c>
      <c r="P551" s="5" t="s">
        <v>14333</v>
      </c>
      <c r="Q551" s="5" t="s">
        <v>16022</v>
      </c>
      <c r="R551" s="6">
        <v>9481.0</v>
      </c>
    </row>
    <row r="552" ht="56.25" customHeight="1">
      <c r="A552" s="5" t="s">
        <v>16016</v>
      </c>
      <c r="B552" s="6" t="str">
        <f>IMAGE("https://storage.googleapis.com/acdb/dresses/TopsTexOnepieceAlineLHeroine2.png")</f>
        <v/>
      </c>
      <c r="C552" s="5" t="s">
        <v>96</v>
      </c>
      <c r="D552" s="5" t="s">
        <v>36</v>
      </c>
      <c r="E552" s="6">
        <v>2760.0</v>
      </c>
      <c r="F552" s="6">
        <v>690.0</v>
      </c>
      <c r="G552" s="5" t="s">
        <v>96</v>
      </c>
      <c r="H552" s="5" t="s">
        <v>57</v>
      </c>
      <c r="I552" s="6" t="s">
        <v>40</v>
      </c>
      <c r="J552" s="5" t="s">
        <v>8585</v>
      </c>
      <c r="K552" s="5" t="s">
        <v>8586</v>
      </c>
      <c r="L552" s="6" t="s">
        <v>42</v>
      </c>
      <c r="M552" s="5" t="s">
        <v>8746</v>
      </c>
      <c r="N552" s="5" t="s">
        <v>64</v>
      </c>
      <c r="O552" s="5" t="s">
        <v>14411</v>
      </c>
      <c r="P552" s="5" t="s">
        <v>14333</v>
      </c>
      <c r="Q552" s="5" t="s">
        <v>16024</v>
      </c>
      <c r="R552" s="6">
        <v>9482.0</v>
      </c>
    </row>
    <row r="553" ht="56.25" customHeight="1">
      <c r="A553" s="5" t="s">
        <v>16016</v>
      </c>
      <c r="B553" s="6" t="str">
        <f>IMAGE("https://storage.googleapis.com/acdb/dresses/TopsTexOnepieceAlineLHeroine3.png")</f>
        <v/>
      </c>
      <c r="C553" s="5" t="s">
        <v>52</v>
      </c>
      <c r="D553" s="5" t="s">
        <v>36</v>
      </c>
      <c r="E553" s="6">
        <v>2760.0</v>
      </c>
      <c r="F553" s="6">
        <v>690.0</v>
      </c>
      <c r="G553" s="5" t="s">
        <v>52</v>
      </c>
      <c r="H553" s="5" t="s">
        <v>57</v>
      </c>
      <c r="I553" s="6" t="s">
        <v>40</v>
      </c>
      <c r="J553" s="5" t="s">
        <v>8585</v>
      </c>
      <c r="K553" s="5" t="s">
        <v>8586</v>
      </c>
      <c r="L553" s="6" t="s">
        <v>42</v>
      </c>
      <c r="M553" s="5" t="s">
        <v>8746</v>
      </c>
      <c r="N553" s="5" t="s">
        <v>64</v>
      </c>
      <c r="O553" s="5" t="s">
        <v>14411</v>
      </c>
      <c r="P553" s="5" t="s">
        <v>14333</v>
      </c>
      <c r="Q553" s="5" t="s">
        <v>16027</v>
      </c>
      <c r="R553" s="6">
        <v>9483.0</v>
      </c>
    </row>
    <row r="554" ht="56.25" customHeight="1">
      <c r="A554" s="5" t="s">
        <v>16016</v>
      </c>
      <c r="B554" s="6" t="str">
        <f>IMAGE("https://storage.googleapis.com/acdb/dresses/TopsTexOnepieceAlineLHeroine4.png")</f>
        <v/>
      </c>
      <c r="C554" s="5" t="s">
        <v>114</v>
      </c>
      <c r="D554" s="5" t="s">
        <v>36</v>
      </c>
      <c r="E554" s="6">
        <v>2760.0</v>
      </c>
      <c r="F554" s="6">
        <v>690.0</v>
      </c>
      <c r="G554" s="5" t="s">
        <v>114</v>
      </c>
      <c r="H554" s="5" t="s">
        <v>57</v>
      </c>
      <c r="I554" s="6" t="s">
        <v>40</v>
      </c>
      <c r="J554" s="5" t="s">
        <v>8585</v>
      </c>
      <c r="K554" s="5" t="s">
        <v>8586</v>
      </c>
      <c r="L554" s="6" t="s">
        <v>42</v>
      </c>
      <c r="M554" s="5" t="s">
        <v>8746</v>
      </c>
      <c r="N554" s="5" t="s">
        <v>64</v>
      </c>
      <c r="O554" s="5" t="s">
        <v>14411</v>
      </c>
      <c r="P554" s="5" t="s">
        <v>14333</v>
      </c>
      <c r="Q554" s="5" t="s">
        <v>16031</v>
      </c>
      <c r="R554" s="6">
        <v>9484.0</v>
      </c>
    </row>
    <row r="555" ht="56.25" customHeight="1">
      <c r="A555" s="5" t="s">
        <v>16016</v>
      </c>
      <c r="B555" s="6" t="str">
        <f>IMAGE("https://storage.googleapis.com/acdb/dresses/TopsTexOnepieceAlineLHeroine5.png")</f>
        <v/>
      </c>
      <c r="C555" s="5" t="s">
        <v>54</v>
      </c>
      <c r="D555" s="5" t="s">
        <v>36</v>
      </c>
      <c r="E555" s="6">
        <v>2760.0</v>
      </c>
      <c r="F555" s="6">
        <v>690.0</v>
      </c>
      <c r="G555" s="5" t="s">
        <v>54</v>
      </c>
      <c r="H555" s="5" t="s">
        <v>57</v>
      </c>
      <c r="I555" s="6" t="s">
        <v>40</v>
      </c>
      <c r="J555" s="5" t="s">
        <v>8585</v>
      </c>
      <c r="K555" s="5" t="s">
        <v>8586</v>
      </c>
      <c r="L555" s="6" t="s">
        <v>42</v>
      </c>
      <c r="M555" s="5" t="s">
        <v>8746</v>
      </c>
      <c r="N555" s="5" t="s">
        <v>64</v>
      </c>
      <c r="O555" s="5" t="s">
        <v>14411</v>
      </c>
      <c r="P555" s="5" t="s">
        <v>14333</v>
      </c>
      <c r="Q555" s="5" t="s">
        <v>16034</v>
      </c>
      <c r="R555" s="6">
        <v>9485.0</v>
      </c>
    </row>
    <row r="556" ht="56.25" customHeight="1">
      <c r="A556" s="5" t="s">
        <v>16016</v>
      </c>
      <c r="B556" s="6" t="str">
        <f>IMAGE("https://storage.googleapis.com/acdb/dresses/TopsTexOnepieceAlineLHeroine6.png")</f>
        <v/>
      </c>
      <c r="C556" s="5" t="s">
        <v>146</v>
      </c>
      <c r="D556" s="5" t="s">
        <v>36</v>
      </c>
      <c r="E556" s="6">
        <v>2760.0</v>
      </c>
      <c r="F556" s="6">
        <v>690.0</v>
      </c>
      <c r="G556" s="5" t="s">
        <v>95</v>
      </c>
      <c r="H556" s="5" t="s">
        <v>57</v>
      </c>
      <c r="I556" s="6" t="s">
        <v>40</v>
      </c>
      <c r="J556" s="5" t="s">
        <v>8585</v>
      </c>
      <c r="K556" s="5" t="s">
        <v>8586</v>
      </c>
      <c r="L556" s="6" t="s">
        <v>42</v>
      </c>
      <c r="M556" s="5" t="s">
        <v>8746</v>
      </c>
      <c r="N556" s="5" t="s">
        <v>64</v>
      </c>
      <c r="O556" s="5" t="s">
        <v>14411</v>
      </c>
      <c r="P556" s="5" t="s">
        <v>14333</v>
      </c>
      <c r="Q556" s="5" t="s">
        <v>16035</v>
      </c>
      <c r="R556" s="6">
        <v>9486.0</v>
      </c>
    </row>
    <row r="557" ht="56.25" customHeight="1">
      <c r="A557" s="5" t="s">
        <v>16016</v>
      </c>
      <c r="B557" s="6" t="str">
        <f>IMAGE("https://storage.googleapis.com/acdb/dresses/TopsTexOnepieceAlineLHeroine7.png")</f>
        <v/>
      </c>
      <c r="C557" s="5" t="s">
        <v>57</v>
      </c>
      <c r="D557" s="5" t="s">
        <v>36</v>
      </c>
      <c r="E557" s="6">
        <v>2760.0</v>
      </c>
      <c r="F557" s="6">
        <v>690.0</v>
      </c>
      <c r="G557" s="5" t="s">
        <v>57</v>
      </c>
      <c r="H557" s="5" t="s">
        <v>57</v>
      </c>
      <c r="I557" s="6" t="s">
        <v>40</v>
      </c>
      <c r="J557" s="5" t="s">
        <v>8585</v>
      </c>
      <c r="K557" s="5" t="s">
        <v>8586</v>
      </c>
      <c r="L557" s="6" t="s">
        <v>42</v>
      </c>
      <c r="M557" s="5" t="s">
        <v>8746</v>
      </c>
      <c r="N557" s="5" t="s">
        <v>64</v>
      </c>
      <c r="O557" s="5" t="s">
        <v>14411</v>
      </c>
      <c r="P557" s="5" t="s">
        <v>14333</v>
      </c>
      <c r="Q557" s="5" t="s">
        <v>16039</v>
      </c>
      <c r="R557" s="6">
        <v>9487.0</v>
      </c>
    </row>
    <row r="558" ht="56.25" customHeight="1">
      <c r="A558" s="5" t="s">
        <v>16040</v>
      </c>
      <c r="B558" s="6" t="str">
        <f>IMAGE("https://storage.googleapis.com/acdb/dresses/TopsTexOnepieceBoxHNurse1.png")</f>
        <v/>
      </c>
      <c r="C558" s="5" t="s">
        <v>57</v>
      </c>
      <c r="D558" s="5" t="s">
        <v>36</v>
      </c>
      <c r="E558" s="6">
        <v>2200.0</v>
      </c>
      <c r="F558" s="6">
        <v>550.0</v>
      </c>
      <c r="G558" s="5" t="s">
        <v>57</v>
      </c>
      <c r="H558" s="5" t="s">
        <v>57</v>
      </c>
      <c r="I558" s="6" t="s">
        <v>40</v>
      </c>
      <c r="J558" s="5" t="s">
        <v>8585</v>
      </c>
      <c r="K558" s="5" t="s">
        <v>8586</v>
      </c>
      <c r="L558" s="6" t="s">
        <v>42</v>
      </c>
      <c r="M558" s="5" t="s">
        <v>995</v>
      </c>
      <c r="N558" s="5" t="s">
        <v>64</v>
      </c>
      <c r="O558" s="5" t="s">
        <v>14332</v>
      </c>
      <c r="P558" s="5" t="s">
        <v>14345</v>
      </c>
      <c r="Q558" s="5" t="s">
        <v>16042</v>
      </c>
      <c r="R558" s="6">
        <v>7792.0</v>
      </c>
    </row>
    <row r="559" ht="56.25" customHeight="1">
      <c r="A559" s="5" t="s">
        <v>16040</v>
      </c>
      <c r="B559" s="6" t="str">
        <f>IMAGE("https://storage.googleapis.com/acdb/dresses/TopsTexOnepieceBoxHNurse2.png")</f>
        <v/>
      </c>
      <c r="C559" s="5" t="s">
        <v>68</v>
      </c>
      <c r="D559" s="5" t="s">
        <v>36</v>
      </c>
      <c r="E559" s="6">
        <v>2200.0</v>
      </c>
      <c r="F559" s="6">
        <v>550.0</v>
      </c>
      <c r="G559" s="5" t="s">
        <v>68</v>
      </c>
      <c r="H559" s="5" t="s">
        <v>68</v>
      </c>
      <c r="I559" s="6" t="s">
        <v>40</v>
      </c>
      <c r="J559" s="5" t="s">
        <v>8585</v>
      </c>
      <c r="K559" s="5" t="s">
        <v>8586</v>
      </c>
      <c r="L559" s="6" t="s">
        <v>42</v>
      </c>
      <c r="M559" s="5" t="s">
        <v>995</v>
      </c>
      <c r="N559" s="5" t="s">
        <v>64</v>
      </c>
      <c r="O559" s="5" t="s">
        <v>14332</v>
      </c>
      <c r="P559" s="5" t="s">
        <v>14345</v>
      </c>
      <c r="Q559" s="5" t="s">
        <v>16045</v>
      </c>
      <c r="R559" s="6">
        <v>7793.0</v>
      </c>
    </row>
    <row r="560" ht="56.25" customHeight="1">
      <c r="A560" s="5" t="s">
        <v>16040</v>
      </c>
      <c r="B560" s="6" t="str">
        <f>IMAGE("https://storage.googleapis.com/acdb/dresses/TopsTexOnepieceBoxHNurse0.png")</f>
        <v/>
      </c>
      <c r="C560" s="5" t="s">
        <v>69</v>
      </c>
      <c r="D560" s="5" t="s">
        <v>36</v>
      </c>
      <c r="E560" s="6">
        <v>2200.0</v>
      </c>
      <c r="F560" s="6">
        <v>550.0</v>
      </c>
      <c r="G560" s="5" t="s">
        <v>69</v>
      </c>
      <c r="H560" s="5" t="s">
        <v>69</v>
      </c>
      <c r="I560" s="6" t="s">
        <v>40</v>
      </c>
      <c r="J560" s="5" t="s">
        <v>8585</v>
      </c>
      <c r="K560" s="5" t="s">
        <v>8586</v>
      </c>
      <c r="L560" s="6" t="s">
        <v>42</v>
      </c>
      <c r="M560" s="5" t="s">
        <v>995</v>
      </c>
      <c r="N560" s="5" t="s">
        <v>64</v>
      </c>
      <c r="O560" s="5" t="s">
        <v>14332</v>
      </c>
      <c r="P560" s="5" t="s">
        <v>14345</v>
      </c>
      <c r="Q560" s="5" t="s">
        <v>16047</v>
      </c>
      <c r="R560" s="6">
        <v>3347.0</v>
      </c>
    </row>
    <row r="561" ht="56.25" customHeight="1">
      <c r="A561" s="5" t="s">
        <v>16048</v>
      </c>
      <c r="B561" s="6" t="str">
        <f>IMAGE("https://storage.googleapis.com/acdb/dresses/TopsTexOnepieceBoxLOffice0.png")</f>
        <v/>
      </c>
      <c r="C561" s="5" t="s">
        <v>68</v>
      </c>
      <c r="D561" s="5" t="s">
        <v>36</v>
      </c>
      <c r="E561" s="6">
        <v>1600.0</v>
      </c>
      <c r="F561" s="6">
        <v>400.0</v>
      </c>
      <c r="G561" s="5" t="s">
        <v>68</v>
      </c>
      <c r="H561" s="5" t="s">
        <v>57</v>
      </c>
      <c r="I561" s="6" t="s">
        <v>40</v>
      </c>
      <c r="J561" s="5" t="s">
        <v>8585</v>
      </c>
      <c r="K561" s="5" t="s">
        <v>8586</v>
      </c>
      <c r="L561" s="6" t="s">
        <v>42</v>
      </c>
      <c r="M561" s="5" t="s">
        <v>995</v>
      </c>
      <c r="N561" s="5" t="s">
        <v>64</v>
      </c>
      <c r="O561" s="5" t="s">
        <v>14332</v>
      </c>
      <c r="P561" s="5" t="s">
        <v>14333</v>
      </c>
      <c r="Q561" s="5" t="s">
        <v>16050</v>
      </c>
      <c r="R561" s="6">
        <v>4336.0</v>
      </c>
    </row>
    <row r="562" ht="56.25" customHeight="1">
      <c r="A562" s="5" t="s">
        <v>16048</v>
      </c>
      <c r="B562" s="6" t="str">
        <f>IMAGE("https://storage.googleapis.com/acdb/dresses/TopsTexOnepieceBoxLOffice1.png")</f>
        <v/>
      </c>
      <c r="C562" s="5" t="s">
        <v>69</v>
      </c>
      <c r="D562" s="5" t="s">
        <v>36</v>
      </c>
      <c r="E562" s="6">
        <v>1600.0</v>
      </c>
      <c r="F562" s="6">
        <v>400.0</v>
      </c>
      <c r="G562" s="5" t="s">
        <v>69</v>
      </c>
      <c r="H562" s="5" t="s">
        <v>57</v>
      </c>
      <c r="I562" s="6" t="s">
        <v>40</v>
      </c>
      <c r="J562" s="5" t="s">
        <v>8585</v>
      </c>
      <c r="K562" s="5" t="s">
        <v>8586</v>
      </c>
      <c r="L562" s="6" t="s">
        <v>42</v>
      </c>
      <c r="M562" s="5" t="s">
        <v>995</v>
      </c>
      <c r="N562" s="5" t="s">
        <v>64</v>
      </c>
      <c r="O562" s="5" t="s">
        <v>14332</v>
      </c>
      <c r="P562" s="5" t="s">
        <v>14333</v>
      </c>
      <c r="Q562" s="5" t="s">
        <v>16053</v>
      </c>
      <c r="R562" s="6">
        <v>9030.0</v>
      </c>
    </row>
    <row r="563" ht="56.25" customHeight="1">
      <c r="A563" s="5" t="s">
        <v>16048</v>
      </c>
      <c r="B563" s="6" t="str">
        <f>IMAGE("https://storage.googleapis.com/acdb/dresses/TopsTexOnepieceBoxLOffice2.png")</f>
        <v/>
      </c>
      <c r="C563" s="5" t="s">
        <v>95</v>
      </c>
      <c r="D563" s="5" t="s">
        <v>36</v>
      </c>
      <c r="E563" s="6">
        <v>1600.0</v>
      </c>
      <c r="F563" s="6">
        <v>400.0</v>
      </c>
      <c r="G563" s="5" t="s">
        <v>95</v>
      </c>
      <c r="H563" s="5" t="s">
        <v>57</v>
      </c>
      <c r="I563" s="6" t="s">
        <v>40</v>
      </c>
      <c r="J563" s="5" t="s">
        <v>8585</v>
      </c>
      <c r="K563" s="5" t="s">
        <v>8586</v>
      </c>
      <c r="L563" s="6" t="s">
        <v>42</v>
      </c>
      <c r="M563" s="5" t="s">
        <v>995</v>
      </c>
      <c r="N563" s="5" t="s">
        <v>64</v>
      </c>
      <c r="O563" s="5" t="s">
        <v>14332</v>
      </c>
      <c r="P563" s="5" t="s">
        <v>14333</v>
      </c>
      <c r="Q563" s="5" t="s">
        <v>16054</v>
      </c>
      <c r="R563" s="6">
        <v>9031.0</v>
      </c>
    </row>
    <row r="564" ht="56.25" customHeight="1">
      <c r="A564" s="5" t="s">
        <v>16056</v>
      </c>
      <c r="B564" s="6" t="str">
        <f>IMAGE("https://storage.googleapis.com/acdb/dresses/TopsTexOnepieceKimonoLShitamachi1.png")</f>
        <v/>
      </c>
      <c r="C564" s="5" t="s">
        <v>68</v>
      </c>
      <c r="D564" s="5" t="s">
        <v>36</v>
      </c>
      <c r="E564" s="6">
        <v>1920.0</v>
      </c>
      <c r="F564" s="6">
        <v>480.0</v>
      </c>
      <c r="G564" s="5" t="s">
        <v>68</v>
      </c>
      <c r="H564" s="5" t="s">
        <v>52</v>
      </c>
      <c r="I564" s="6" t="s">
        <v>40</v>
      </c>
      <c r="J564" s="5" t="s">
        <v>8585</v>
      </c>
      <c r="K564" s="5" t="s">
        <v>8632</v>
      </c>
      <c r="L564" s="6" t="s">
        <v>42</v>
      </c>
      <c r="M564" s="5" t="s">
        <v>995</v>
      </c>
      <c r="N564" s="5" t="s">
        <v>64</v>
      </c>
      <c r="O564" s="5" t="s">
        <v>6513</v>
      </c>
      <c r="P564" s="5" t="s">
        <v>14333</v>
      </c>
      <c r="Q564" s="5" t="s">
        <v>16058</v>
      </c>
      <c r="R564" s="6">
        <v>8996.0</v>
      </c>
    </row>
    <row r="565" ht="56.25" customHeight="1">
      <c r="A565" s="5" t="s">
        <v>16056</v>
      </c>
      <c r="B565" s="6" t="str">
        <f>IMAGE("https://storage.googleapis.com/acdb/dresses/TopsTexOnepieceKimonoLShitamachi2.png")</f>
        <v/>
      </c>
      <c r="C565" s="5" t="s">
        <v>96</v>
      </c>
      <c r="D565" s="5" t="s">
        <v>36</v>
      </c>
      <c r="E565" s="6">
        <v>1920.0</v>
      </c>
      <c r="F565" s="6">
        <v>480.0</v>
      </c>
      <c r="G565" s="5" t="s">
        <v>96</v>
      </c>
      <c r="H565" s="5" t="s">
        <v>114</v>
      </c>
      <c r="I565" s="6" t="s">
        <v>40</v>
      </c>
      <c r="J565" s="5" t="s">
        <v>8585</v>
      </c>
      <c r="K565" s="5" t="s">
        <v>8632</v>
      </c>
      <c r="L565" s="6" t="s">
        <v>42</v>
      </c>
      <c r="M565" s="5" t="s">
        <v>995</v>
      </c>
      <c r="N565" s="5" t="s">
        <v>64</v>
      </c>
      <c r="O565" s="5" t="s">
        <v>6513</v>
      </c>
      <c r="P565" s="5" t="s">
        <v>14333</v>
      </c>
      <c r="Q565" s="5" t="s">
        <v>16061</v>
      </c>
      <c r="R565" s="6">
        <v>8997.0</v>
      </c>
    </row>
    <row r="566" ht="56.25" customHeight="1">
      <c r="A566" s="5" t="s">
        <v>16056</v>
      </c>
      <c r="B566" s="6" t="str">
        <f>IMAGE("https://storage.googleapis.com/acdb/dresses/TopsTexOnepieceKimonoLShitamachi3.png")</f>
        <v/>
      </c>
      <c r="C566" s="5" t="s">
        <v>52</v>
      </c>
      <c r="D566" s="5" t="s">
        <v>36</v>
      </c>
      <c r="E566" s="6">
        <v>1920.0</v>
      </c>
      <c r="F566" s="6">
        <v>480.0</v>
      </c>
      <c r="G566" s="5" t="s">
        <v>52</v>
      </c>
      <c r="H566" s="5" t="s">
        <v>114</v>
      </c>
      <c r="I566" s="6" t="s">
        <v>40</v>
      </c>
      <c r="J566" s="5" t="s">
        <v>8585</v>
      </c>
      <c r="K566" s="5" t="s">
        <v>8632</v>
      </c>
      <c r="L566" s="6" t="s">
        <v>42</v>
      </c>
      <c r="M566" s="5" t="s">
        <v>995</v>
      </c>
      <c r="N566" s="5" t="s">
        <v>64</v>
      </c>
      <c r="O566" s="5" t="s">
        <v>6513</v>
      </c>
      <c r="P566" s="5" t="s">
        <v>14333</v>
      </c>
      <c r="Q566" s="5" t="s">
        <v>16064</v>
      </c>
      <c r="R566" s="6">
        <v>8998.0</v>
      </c>
    </row>
    <row r="567" ht="56.25" customHeight="1">
      <c r="A567" s="5" t="s">
        <v>16056</v>
      </c>
      <c r="B567" s="6" t="str">
        <f>IMAGE("https://storage.googleapis.com/acdb/dresses/TopsTexOnepieceKimonoLShitamachi0.png")</f>
        <v/>
      </c>
      <c r="C567" s="5" t="s">
        <v>3173</v>
      </c>
      <c r="D567" s="5" t="s">
        <v>36</v>
      </c>
      <c r="E567" s="6">
        <v>1920.0</v>
      </c>
      <c r="F567" s="6">
        <v>480.0</v>
      </c>
      <c r="G567" s="5" t="s">
        <v>114</v>
      </c>
      <c r="H567" s="5" t="s">
        <v>52</v>
      </c>
      <c r="I567" s="6" t="s">
        <v>40</v>
      </c>
      <c r="J567" s="5" t="s">
        <v>8585</v>
      </c>
      <c r="K567" s="5" t="s">
        <v>8632</v>
      </c>
      <c r="L567" s="6" t="s">
        <v>42</v>
      </c>
      <c r="M567" s="5" t="s">
        <v>995</v>
      </c>
      <c r="N567" s="5" t="s">
        <v>64</v>
      </c>
      <c r="O567" s="5" t="s">
        <v>6513</v>
      </c>
      <c r="P567" s="5" t="s">
        <v>14333</v>
      </c>
      <c r="Q567" s="5" t="s">
        <v>16067</v>
      </c>
      <c r="R567" s="6">
        <v>5801.0</v>
      </c>
    </row>
    <row r="568" ht="56.25" customHeight="1">
      <c r="A568" s="5" t="s">
        <v>16069</v>
      </c>
      <c r="B568" s="6" t="str">
        <f>IMAGE("https://storage.googleapis.com/acdb/dresses/TopsTexOnepieceAlineNOrange.png")</f>
        <v/>
      </c>
      <c r="C568" s="5" t="s">
        <v>142</v>
      </c>
      <c r="D568" s="5" t="s">
        <v>35</v>
      </c>
      <c r="E568" s="6" t="s">
        <v>37</v>
      </c>
      <c r="F568" s="6">
        <v>1600.0</v>
      </c>
      <c r="G568" s="5" t="s">
        <v>142</v>
      </c>
      <c r="H568" s="5" t="s">
        <v>114</v>
      </c>
      <c r="I568" s="6" t="s">
        <v>40</v>
      </c>
      <c r="J568" s="5" t="s">
        <v>41</v>
      </c>
      <c r="K568" s="5"/>
      <c r="L568" s="6" t="s">
        <v>42</v>
      </c>
      <c r="M568" s="5" t="s">
        <v>1959</v>
      </c>
      <c r="N568" s="5" t="s">
        <v>48</v>
      </c>
      <c r="O568" s="5" t="s">
        <v>14411</v>
      </c>
      <c r="P568" s="5" t="s">
        <v>14412</v>
      </c>
      <c r="Q568" s="5" t="s">
        <v>16072</v>
      </c>
      <c r="R568" s="6">
        <v>3288.0</v>
      </c>
    </row>
    <row r="569" ht="56.25" customHeight="1">
      <c r="A569" s="5" t="s">
        <v>16074</v>
      </c>
      <c r="B569" s="6" t="str">
        <f>IMAGE("https://storage.googleapis.com/acdb/dresses/TopsTexOnepieceBoxHJumperskirt1.png")</f>
        <v/>
      </c>
      <c r="C569" s="5" t="s">
        <v>114</v>
      </c>
      <c r="D569" s="5" t="s">
        <v>36</v>
      </c>
      <c r="E569" s="6">
        <v>2000.0</v>
      </c>
      <c r="F569" s="6">
        <v>500.0</v>
      </c>
      <c r="G569" s="5" t="s">
        <v>114</v>
      </c>
      <c r="H569" s="5" t="s">
        <v>96</v>
      </c>
      <c r="I569" s="6" t="s">
        <v>40</v>
      </c>
      <c r="J569" s="5" t="s">
        <v>8585</v>
      </c>
      <c r="K569" s="5" t="s">
        <v>8632</v>
      </c>
      <c r="L569" s="6" t="s">
        <v>42</v>
      </c>
      <c r="M569" s="5" t="s">
        <v>8746</v>
      </c>
      <c r="N569" s="5" t="s">
        <v>64</v>
      </c>
      <c r="O569" s="5" t="s">
        <v>14332</v>
      </c>
      <c r="P569" s="5" t="s">
        <v>14345</v>
      </c>
      <c r="Q569" s="5" t="s">
        <v>16076</v>
      </c>
      <c r="R569" s="6">
        <v>4164.0</v>
      </c>
    </row>
    <row r="570" ht="56.25" customHeight="1">
      <c r="A570" s="5" t="s">
        <v>16074</v>
      </c>
      <c r="B570" s="6" t="str">
        <f>IMAGE("https://storage.googleapis.com/acdb/dresses/TopsTexOnepieceBoxHJumperskirt2.png")</f>
        <v/>
      </c>
      <c r="C570" s="5" t="s">
        <v>38</v>
      </c>
      <c r="D570" s="5" t="s">
        <v>36</v>
      </c>
      <c r="E570" s="6">
        <v>2000.0</v>
      </c>
      <c r="F570" s="6">
        <v>500.0</v>
      </c>
      <c r="G570" s="5" t="s">
        <v>38</v>
      </c>
      <c r="H570" s="5" t="s">
        <v>68</v>
      </c>
      <c r="I570" s="6" t="s">
        <v>40</v>
      </c>
      <c r="J570" s="5" t="s">
        <v>8585</v>
      </c>
      <c r="K570" s="5" t="s">
        <v>8632</v>
      </c>
      <c r="L570" s="6" t="s">
        <v>42</v>
      </c>
      <c r="M570" s="5" t="s">
        <v>8746</v>
      </c>
      <c r="N570" s="5" t="s">
        <v>64</v>
      </c>
      <c r="O570" s="5" t="s">
        <v>14332</v>
      </c>
      <c r="P570" s="5" t="s">
        <v>14345</v>
      </c>
      <c r="Q570" s="5" t="s">
        <v>16079</v>
      </c>
      <c r="R570" s="6">
        <v>4165.0</v>
      </c>
    </row>
    <row r="571" ht="56.25" customHeight="1">
      <c r="A571" s="5" t="s">
        <v>16074</v>
      </c>
      <c r="B571" s="6" t="str">
        <f>IMAGE("https://storage.googleapis.com/acdb/dresses/TopsTexOnepieceBoxHJumperskirt3.png")</f>
        <v/>
      </c>
      <c r="C571" s="5" t="s">
        <v>52</v>
      </c>
      <c r="D571" s="5" t="s">
        <v>36</v>
      </c>
      <c r="E571" s="6">
        <v>2000.0</v>
      </c>
      <c r="F571" s="6">
        <v>500.0</v>
      </c>
      <c r="G571" s="5" t="s">
        <v>52</v>
      </c>
      <c r="H571" s="5" t="s">
        <v>83</v>
      </c>
      <c r="I571" s="6" t="s">
        <v>40</v>
      </c>
      <c r="J571" s="5" t="s">
        <v>8585</v>
      </c>
      <c r="K571" s="5" t="s">
        <v>8632</v>
      </c>
      <c r="L571" s="6" t="s">
        <v>42</v>
      </c>
      <c r="M571" s="5" t="s">
        <v>8746</v>
      </c>
      <c r="N571" s="5" t="s">
        <v>64</v>
      </c>
      <c r="O571" s="5" t="s">
        <v>14332</v>
      </c>
      <c r="P571" s="5" t="s">
        <v>14345</v>
      </c>
      <c r="Q571" s="5" t="s">
        <v>16080</v>
      </c>
      <c r="R571" s="6">
        <v>4166.0</v>
      </c>
    </row>
    <row r="572" ht="56.25" customHeight="1">
      <c r="A572" s="5" t="s">
        <v>16074</v>
      </c>
      <c r="B572" s="6" t="str">
        <f>IMAGE("https://storage.googleapis.com/acdb/dresses/TopsTexOnepieceBoxHJumperskirt4.png")</f>
        <v/>
      </c>
      <c r="C572" s="5" t="s">
        <v>96</v>
      </c>
      <c r="D572" s="5" t="s">
        <v>36</v>
      </c>
      <c r="E572" s="6">
        <v>2000.0</v>
      </c>
      <c r="F572" s="6">
        <v>500.0</v>
      </c>
      <c r="G572" s="5" t="s">
        <v>96</v>
      </c>
      <c r="H572" s="5" t="s">
        <v>142</v>
      </c>
      <c r="I572" s="6" t="s">
        <v>40</v>
      </c>
      <c r="J572" s="5" t="s">
        <v>8585</v>
      </c>
      <c r="K572" s="5" t="s">
        <v>8632</v>
      </c>
      <c r="L572" s="6" t="s">
        <v>42</v>
      </c>
      <c r="M572" s="5" t="s">
        <v>8746</v>
      </c>
      <c r="N572" s="5" t="s">
        <v>64</v>
      </c>
      <c r="O572" s="5" t="s">
        <v>14332</v>
      </c>
      <c r="P572" s="5" t="s">
        <v>14345</v>
      </c>
      <c r="Q572" s="5" t="s">
        <v>16084</v>
      </c>
      <c r="R572" s="6">
        <v>9012.0</v>
      </c>
    </row>
    <row r="573" ht="56.25" customHeight="1">
      <c r="A573" s="5" t="s">
        <v>16074</v>
      </c>
      <c r="B573" s="6" t="str">
        <f>IMAGE("https://storage.googleapis.com/acdb/dresses/TopsTexOnepieceBoxHJumperskirt0.png")</f>
        <v/>
      </c>
      <c r="C573" s="5" t="s">
        <v>3400</v>
      </c>
      <c r="D573" s="5" t="s">
        <v>36</v>
      </c>
      <c r="E573" s="6">
        <v>2000.0</v>
      </c>
      <c r="F573" s="6">
        <v>500.0</v>
      </c>
      <c r="G573" s="5" t="s">
        <v>68</v>
      </c>
      <c r="H573" s="5" t="s">
        <v>52</v>
      </c>
      <c r="I573" s="6" t="s">
        <v>40</v>
      </c>
      <c r="J573" s="5" t="s">
        <v>8585</v>
      </c>
      <c r="K573" s="5" t="s">
        <v>8632</v>
      </c>
      <c r="L573" s="6" t="s">
        <v>42</v>
      </c>
      <c r="M573" s="5" t="s">
        <v>8746</v>
      </c>
      <c r="N573" s="5" t="s">
        <v>64</v>
      </c>
      <c r="O573" s="5" t="s">
        <v>14332</v>
      </c>
      <c r="P573" s="5" t="s">
        <v>14345</v>
      </c>
      <c r="Q573" s="5" t="s">
        <v>16088</v>
      </c>
      <c r="R573" s="6">
        <v>3059.0</v>
      </c>
    </row>
    <row r="574" ht="56.25" customHeight="1">
      <c r="A574" s="5" t="s">
        <v>16089</v>
      </c>
      <c r="B574" s="6" t="str">
        <f>IMAGE("https://storage.googleapis.com/acdb/dresses/TopsTexOnepieceBoxNStandard1.png")</f>
        <v/>
      </c>
      <c r="C574" s="5" t="s">
        <v>68</v>
      </c>
      <c r="D574" s="5" t="s">
        <v>36</v>
      </c>
      <c r="E574" s="6">
        <v>1800.0</v>
      </c>
      <c r="F574" s="6">
        <v>450.0</v>
      </c>
      <c r="G574" s="5" t="s">
        <v>68</v>
      </c>
      <c r="H574" s="5" t="s">
        <v>83</v>
      </c>
      <c r="I574" s="6" t="s">
        <v>40</v>
      </c>
      <c r="J574" s="5" t="s">
        <v>8585</v>
      </c>
      <c r="K574" s="5" t="s">
        <v>8632</v>
      </c>
      <c r="L574" s="6" t="s">
        <v>42</v>
      </c>
      <c r="M574" s="5" t="s">
        <v>1959</v>
      </c>
      <c r="N574" s="5" t="s">
        <v>64</v>
      </c>
      <c r="O574" s="5" t="s">
        <v>14332</v>
      </c>
      <c r="P574" s="5" t="s">
        <v>14412</v>
      </c>
      <c r="Q574" s="5" t="s">
        <v>16092</v>
      </c>
      <c r="R574" s="6">
        <v>7917.0</v>
      </c>
    </row>
    <row r="575" ht="56.25" customHeight="1">
      <c r="A575" s="5" t="s">
        <v>16089</v>
      </c>
      <c r="B575" s="6" t="str">
        <f>IMAGE("https://storage.googleapis.com/acdb/dresses/TopsTexOnepieceBoxNStandard2.png")</f>
        <v/>
      </c>
      <c r="C575" s="5" t="s">
        <v>96</v>
      </c>
      <c r="D575" s="5" t="s">
        <v>36</v>
      </c>
      <c r="E575" s="6">
        <v>1800.0</v>
      </c>
      <c r="F575" s="6">
        <v>450.0</v>
      </c>
      <c r="G575" s="5" t="s">
        <v>96</v>
      </c>
      <c r="H575" s="5" t="s">
        <v>96</v>
      </c>
      <c r="I575" s="6" t="s">
        <v>40</v>
      </c>
      <c r="J575" s="5" t="s">
        <v>8585</v>
      </c>
      <c r="K575" s="5" t="s">
        <v>8632</v>
      </c>
      <c r="L575" s="6" t="s">
        <v>42</v>
      </c>
      <c r="M575" s="5" t="s">
        <v>1959</v>
      </c>
      <c r="N575" s="5" t="s">
        <v>64</v>
      </c>
      <c r="O575" s="5" t="s">
        <v>14332</v>
      </c>
      <c r="P575" s="5" t="s">
        <v>14412</v>
      </c>
      <c r="Q575" s="5" t="s">
        <v>16094</v>
      </c>
      <c r="R575" s="6">
        <v>7918.0</v>
      </c>
    </row>
    <row r="576" ht="56.25" customHeight="1">
      <c r="A576" s="5" t="s">
        <v>16089</v>
      </c>
      <c r="B576" s="6" t="str">
        <f>IMAGE("https://storage.googleapis.com/acdb/dresses/TopsTexOnepieceBoxNStandard3.png")</f>
        <v/>
      </c>
      <c r="C576" s="5" t="s">
        <v>39</v>
      </c>
      <c r="D576" s="5" t="s">
        <v>36</v>
      </c>
      <c r="E576" s="6">
        <v>1800.0</v>
      </c>
      <c r="F576" s="6">
        <v>450.0</v>
      </c>
      <c r="G576" s="5" t="s">
        <v>39</v>
      </c>
      <c r="H576" s="5" t="s">
        <v>142</v>
      </c>
      <c r="I576" s="6" t="s">
        <v>40</v>
      </c>
      <c r="J576" s="5" t="s">
        <v>8585</v>
      </c>
      <c r="K576" s="5" t="s">
        <v>8632</v>
      </c>
      <c r="L576" s="6" t="s">
        <v>42</v>
      </c>
      <c r="M576" s="5" t="s">
        <v>1959</v>
      </c>
      <c r="N576" s="5" t="s">
        <v>64</v>
      </c>
      <c r="O576" s="5" t="s">
        <v>14332</v>
      </c>
      <c r="P576" s="5" t="s">
        <v>14412</v>
      </c>
      <c r="Q576" s="5" t="s">
        <v>16097</v>
      </c>
      <c r="R576" s="6">
        <v>7919.0</v>
      </c>
    </row>
    <row r="577" ht="56.25" customHeight="1">
      <c r="A577" s="5" t="s">
        <v>16089</v>
      </c>
      <c r="B577" s="6" t="str">
        <f>IMAGE("https://storage.googleapis.com/acdb/dresses/TopsTexOnepieceBoxNStandard4.png")</f>
        <v/>
      </c>
      <c r="C577" s="5" t="s">
        <v>142</v>
      </c>
      <c r="D577" s="5" t="s">
        <v>36</v>
      </c>
      <c r="E577" s="6">
        <v>1800.0</v>
      </c>
      <c r="F577" s="6">
        <v>450.0</v>
      </c>
      <c r="G577" s="5" t="s">
        <v>142</v>
      </c>
      <c r="H577" s="5" t="s">
        <v>142</v>
      </c>
      <c r="I577" s="6" t="s">
        <v>40</v>
      </c>
      <c r="J577" s="5" t="s">
        <v>8585</v>
      </c>
      <c r="K577" s="5" t="s">
        <v>8632</v>
      </c>
      <c r="L577" s="6" t="s">
        <v>42</v>
      </c>
      <c r="M577" s="5" t="s">
        <v>1959</v>
      </c>
      <c r="N577" s="5" t="s">
        <v>64</v>
      </c>
      <c r="O577" s="5" t="s">
        <v>14332</v>
      </c>
      <c r="P577" s="5" t="s">
        <v>14412</v>
      </c>
      <c r="Q577" s="5" t="s">
        <v>16100</v>
      </c>
      <c r="R577" s="6">
        <v>7920.0</v>
      </c>
    </row>
    <row r="578" ht="56.25" customHeight="1">
      <c r="A578" s="5" t="s">
        <v>16089</v>
      </c>
      <c r="B578" s="6" t="str">
        <f>IMAGE("https://storage.googleapis.com/acdb/dresses/TopsTexOnepieceBoxNStandard5.png")</f>
        <v/>
      </c>
      <c r="C578" s="5" t="s">
        <v>38</v>
      </c>
      <c r="D578" s="5" t="s">
        <v>36</v>
      </c>
      <c r="E578" s="6">
        <v>1800.0</v>
      </c>
      <c r="F578" s="6">
        <v>450.0</v>
      </c>
      <c r="G578" s="5" t="s">
        <v>38</v>
      </c>
      <c r="H578" s="5" t="s">
        <v>95</v>
      </c>
      <c r="I578" s="6" t="s">
        <v>40</v>
      </c>
      <c r="J578" s="5" t="s">
        <v>8585</v>
      </c>
      <c r="K578" s="5" t="s">
        <v>8632</v>
      </c>
      <c r="L578" s="6" t="s">
        <v>42</v>
      </c>
      <c r="M578" s="5" t="s">
        <v>1959</v>
      </c>
      <c r="N578" s="5" t="s">
        <v>64</v>
      </c>
      <c r="O578" s="5" t="s">
        <v>14332</v>
      </c>
      <c r="P578" s="5" t="s">
        <v>14412</v>
      </c>
      <c r="Q578" s="5" t="s">
        <v>16103</v>
      </c>
      <c r="R578" s="6">
        <v>7921.0</v>
      </c>
    </row>
    <row r="579" ht="56.25" customHeight="1">
      <c r="A579" s="5" t="s">
        <v>16089</v>
      </c>
      <c r="B579" s="6" t="str">
        <f>IMAGE("https://storage.googleapis.com/acdb/dresses/TopsTexOnepieceBoxNStandard0.png")</f>
        <v/>
      </c>
      <c r="C579" s="5" t="s">
        <v>69</v>
      </c>
      <c r="D579" s="5" t="s">
        <v>36</v>
      </c>
      <c r="E579" s="6">
        <v>1800.0</v>
      </c>
      <c r="F579" s="6">
        <v>450.0</v>
      </c>
      <c r="G579" s="5" t="s">
        <v>69</v>
      </c>
      <c r="H579" s="5" t="s">
        <v>142</v>
      </c>
      <c r="I579" s="6" t="s">
        <v>40</v>
      </c>
      <c r="J579" s="5" t="s">
        <v>8585</v>
      </c>
      <c r="K579" s="5" t="s">
        <v>8632</v>
      </c>
      <c r="L579" s="6" t="s">
        <v>42</v>
      </c>
      <c r="M579" s="5" t="s">
        <v>1959</v>
      </c>
      <c r="N579" s="5" t="s">
        <v>64</v>
      </c>
      <c r="O579" s="5" t="s">
        <v>14332</v>
      </c>
      <c r="P579" s="5" t="s">
        <v>14412</v>
      </c>
      <c r="Q579" s="5" t="s">
        <v>16106</v>
      </c>
      <c r="R579" s="6">
        <v>4556.0</v>
      </c>
    </row>
    <row r="580" ht="56.25" customHeight="1">
      <c r="A580" s="5" t="s">
        <v>16107</v>
      </c>
      <c r="B580" s="6" t="str">
        <f>IMAGE("https://storage.googleapis.com/acdb/dresses/TopsTexOnepieceRibLSwitchsweat1.png")</f>
        <v/>
      </c>
      <c r="C580" s="5" t="s">
        <v>83</v>
      </c>
      <c r="D580" s="5" t="s">
        <v>36</v>
      </c>
      <c r="E580" s="6">
        <v>1500.0</v>
      </c>
      <c r="F580" s="6">
        <v>375.0</v>
      </c>
      <c r="G580" s="5" t="s">
        <v>83</v>
      </c>
      <c r="H580" s="5" t="s">
        <v>106</v>
      </c>
      <c r="I580" s="6" t="s">
        <v>40</v>
      </c>
      <c r="J580" s="5" t="s">
        <v>8585</v>
      </c>
      <c r="K580" s="5" t="s">
        <v>8586</v>
      </c>
      <c r="L580" s="6" t="s">
        <v>42</v>
      </c>
      <c r="M580" s="5" t="s">
        <v>8746</v>
      </c>
      <c r="N580" s="5" t="s">
        <v>64</v>
      </c>
      <c r="O580" s="5" t="s">
        <v>14463</v>
      </c>
      <c r="P580" s="5" t="s">
        <v>14333</v>
      </c>
      <c r="Q580" s="5" t="s">
        <v>16110</v>
      </c>
      <c r="R580" s="6">
        <v>7988.0</v>
      </c>
    </row>
    <row r="581" ht="56.25" customHeight="1">
      <c r="A581" s="5" t="s">
        <v>16107</v>
      </c>
      <c r="B581" s="6" t="str">
        <f>IMAGE("https://storage.googleapis.com/acdb/dresses/TopsTexOnepieceRibLSwitchsweat2.png")</f>
        <v/>
      </c>
      <c r="C581" s="5" t="s">
        <v>114</v>
      </c>
      <c r="D581" s="5" t="s">
        <v>36</v>
      </c>
      <c r="E581" s="6">
        <v>1500.0</v>
      </c>
      <c r="F581" s="6">
        <v>375.0</v>
      </c>
      <c r="G581" s="5" t="s">
        <v>114</v>
      </c>
      <c r="H581" s="5" t="s">
        <v>68</v>
      </c>
      <c r="I581" s="6" t="s">
        <v>40</v>
      </c>
      <c r="J581" s="5" t="s">
        <v>8585</v>
      </c>
      <c r="K581" s="5" t="s">
        <v>8586</v>
      </c>
      <c r="L581" s="6" t="s">
        <v>42</v>
      </c>
      <c r="M581" s="5" t="s">
        <v>8746</v>
      </c>
      <c r="N581" s="5" t="s">
        <v>64</v>
      </c>
      <c r="O581" s="5" t="s">
        <v>14463</v>
      </c>
      <c r="P581" s="5" t="s">
        <v>14333</v>
      </c>
      <c r="Q581" s="5" t="s">
        <v>16112</v>
      </c>
      <c r="R581" s="6">
        <v>7989.0</v>
      </c>
    </row>
    <row r="582" ht="56.25" customHeight="1">
      <c r="A582" s="5" t="s">
        <v>16107</v>
      </c>
      <c r="B582" s="6" t="str">
        <f>IMAGE("https://storage.googleapis.com/acdb/dresses/TopsTexOnepieceRibLSwitchsweat0.png")</f>
        <v/>
      </c>
      <c r="C582" s="5" t="s">
        <v>52</v>
      </c>
      <c r="D582" s="5" t="s">
        <v>36</v>
      </c>
      <c r="E582" s="6">
        <v>1500.0</v>
      </c>
      <c r="F582" s="6">
        <v>375.0</v>
      </c>
      <c r="G582" s="5" t="s">
        <v>52</v>
      </c>
      <c r="H582" s="5" t="s">
        <v>68</v>
      </c>
      <c r="I582" s="6" t="s">
        <v>40</v>
      </c>
      <c r="J582" s="5" t="s">
        <v>8585</v>
      </c>
      <c r="K582" s="5" t="s">
        <v>8586</v>
      </c>
      <c r="L582" s="6" t="s">
        <v>42</v>
      </c>
      <c r="M582" s="5" t="s">
        <v>8746</v>
      </c>
      <c r="N582" s="5" t="s">
        <v>64</v>
      </c>
      <c r="O582" s="5" t="s">
        <v>14463</v>
      </c>
      <c r="P582" s="5" t="s">
        <v>14333</v>
      </c>
      <c r="Q582" s="5" t="s">
        <v>16116</v>
      </c>
      <c r="R582" s="6">
        <v>4424.0</v>
      </c>
    </row>
    <row r="583" ht="56.25" customHeight="1">
      <c r="A583" s="5" t="s">
        <v>16107</v>
      </c>
      <c r="B583" s="6" t="str">
        <f>IMAGE("https://storage.googleapis.com/acdb/dresses/TopsTexOnepieceRibLSwitchsweat3.png")</f>
        <v/>
      </c>
      <c r="C583" s="5" t="s">
        <v>142</v>
      </c>
      <c r="D583" s="5" t="s">
        <v>36</v>
      </c>
      <c r="E583" s="6">
        <v>1500.0</v>
      </c>
      <c r="F583" s="6">
        <v>375.0</v>
      </c>
      <c r="G583" s="5" t="s">
        <v>142</v>
      </c>
      <c r="H583" s="5" t="s">
        <v>96</v>
      </c>
      <c r="I583" s="6" t="s">
        <v>40</v>
      </c>
      <c r="J583" s="5" t="s">
        <v>8585</v>
      </c>
      <c r="K583" s="5" t="s">
        <v>8586</v>
      </c>
      <c r="L583" s="6" t="s">
        <v>42</v>
      </c>
      <c r="M583" s="5" t="s">
        <v>8746</v>
      </c>
      <c r="N583" s="5" t="s">
        <v>64</v>
      </c>
      <c r="O583" s="5" t="s">
        <v>14463</v>
      </c>
      <c r="P583" s="5" t="s">
        <v>14333</v>
      </c>
      <c r="Q583" s="5" t="s">
        <v>16118</v>
      </c>
      <c r="R583" s="6">
        <v>7990.0</v>
      </c>
    </row>
    <row r="584" ht="56.25" customHeight="1">
      <c r="A584" s="5" t="s">
        <v>16107</v>
      </c>
      <c r="B584" s="6" t="str">
        <f>IMAGE("https://storage.googleapis.com/acdb/dresses/TopsTexOnepieceRibLSwitchsweat4.png")</f>
        <v/>
      </c>
      <c r="C584" s="5" t="s">
        <v>69</v>
      </c>
      <c r="D584" s="5" t="s">
        <v>36</v>
      </c>
      <c r="E584" s="6">
        <v>1500.0</v>
      </c>
      <c r="F584" s="6">
        <v>375.0</v>
      </c>
      <c r="G584" s="5" t="s">
        <v>69</v>
      </c>
      <c r="H584" s="5" t="s">
        <v>68</v>
      </c>
      <c r="I584" s="6" t="s">
        <v>40</v>
      </c>
      <c r="J584" s="5" t="s">
        <v>8585</v>
      </c>
      <c r="K584" s="5" t="s">
        <v>8586</v>
      </c>
      <c r="L584" s="6" t="s">
        <v>42</v>
      </c>
      <c r="M584" s="5" t="s">
        <v>8746</v>
      </c>
      <c r="N584" s="5" t="s">
        <v>64</v>
      </c>
      <c r="O584" s="5" t="s">
        <v>14463</v>
      </c>
      <c r="P584" s="5" t="s">
        <v>14333</v>
      </c>
      <c r="Q584" s="5" t="s">
        <v>16120</v>
      </c>
      <c r="R584" s="6">
        <v>7991.0</v>
      </c>
    </row>
    <row r="585" ht="56.25" customHeight="1">
      <c r="A585" s="5" t="s">
        <v>16121</v>
      </c>
      <c r="B585" s="6" t="str">
        <f>IMAGE("https://storage.googleapis.com/acdb/dresses/TopsTexOnepieceOverallLPaint0.png")</f>
        <v/>
      </c>
      <c r="C585" s="5" t="s">
        <v>38</v>
      </c>
      <c r="D585" s="5" t="s">
        <v>36</v>
      </c>
      <c r="E585" s="6">
        <v>1600.0</v>
      </c>
      <c r="F585" s="6">
        <v>400.0</v>
      </c>
      <c r="G585" s="5" t="s">
        <v>38</v>
      </c>
      <c r="H585" s="5" t="s">
        <v>58</v>
      </c>
      <c r="I585" s="6" t="s">
        <v>40</v>
      </c>
      <c r="J585" s="5" t="s">
        <v>8585</v>
      </c>
      <c r="K585" s="5" t="s">
        <v>8632</v>
      </c>
      <c r="L585" s="6" t="s">
        <v>42</v>
      </c>
      <c r="M585" s="5" t="s">
        <v>8746</v>
      </c>
      <c r="N585" s="5" t="s">
        <v>64</v>
      </c>
      <c r="O585" s="5" t="s">
        <v>14358</v>
      </c>
      <c r="P585" s="5" t="s">
        <v>14333</v>
      </c>
      <c r="Q585" s="5" t="s">
        <v>16124</v>
      </c>
      <c r="R585" s="6">
        <v>10910.0</v>
      </c>
    </row>
    <row r="586" ht="56.25" customHeight="1">
      <c r="A586" s="5" t="s">
        <v>16121</v>
      </c>
      <c r="B586" s="6" t="str">
        <f>IMAGE("https://storage.googleapis.com/acdb/dresses/TopsTexOnepieceOverallLPaint1.png")</f>
        <v/>
      </c>
      <c r="C586" s="5" t="s">
        <v>96</v>
      </c>
      <c r="D586" s="5" t="s">
        <v>36</v>
      </c>
      <c r="E586" s="6">
        <v>1600.0</v>
      </c>
      <c r="F586" s="6">
        <v>400.0</v>
      </c>
      <c r="G586" s="5" t="s">
        <v>96</v>
      </c>
      <c r="H586" s="5" t="s">
        <v>58</v>
      </c>
      <c r="I586" s="6" t="s">
        <v>40</v>
      </c>
      <c r="J586" s="5" t="s">
        <v>8585</v>
      </c>
      <c r="K586" s="5" t="s">
        <v>8632</v>
      </c>
      <c r="L586" s="6" t="s">
        <v>42</v>
      </c>
      <c r="M586" s="5" t="s">
        <v>8746</v>
      </c>
      <c r="N586" s="5" t="s">
        <v>64</v>
      </c>
      <c r="O586" s="5" t="s">
        <v>14358</v>
      </c>
      <c r="P586" s="5" t="s">
        <v>14333</v>
      </c>
      <c r="Q586" s="5" t="s">
        <v>16127</v>
      </c>
      <c r="R586" s="6">
        <v>12021.0</v>
      </c>
    </row>
    <row r="587" ht="56.25" customHeight="1">
      <c r="A587" s="5" t="s">
        <v>16121</v>
      </c>
      <c r="B587" s="6" t="str">
        <f>IMAGE("https://storage.googleapis.com/acdb/dresses/TopsTexOnepieceOverallLPaint2.png")</f>
        <v/>
      </c>
      <c r="C587" s="5" t="s">
        <v>57</v>
      </c>
      <c r="D587" s="5" t="s">
        <v>36</v>
      </c>
      <c r="E587" s="6">
        <v>1600.0</v>
      </c>
      <c r="F587" s="6">
        <v>400.0</v>
      </c>
      <c r="G587" s="5" t="s">
        <v>57</v>
      </c>
      <c r="H587" s="5" t="s">
        <v>58</v>
      </c>
      <c r="I587" s="6" t="s">
        <v>40</v>
      </c>
      <c r="J587" s="5" t="s">
        <v>8585</v>
      </c>
      <c r="K587" s="5" t="s">
        <v>8632</v>
      </c>
      <c r="L587" s="6" t="s">
        <v>42</v>
      </c>
      <c r="M587" s="5" t="s">
        <v>8746</v>
      </c>
      <c r="N587" s="5" t="s">
        <v>64</v>
      </c>
      <c r="O587" s="5" t="s">
        <v>14358</v>
      </c>
      <c r="P587" s="5" t="s">
        <v>14333</v>
      </c>
      <c r="Q587" s="5" t="s">
        <v>16131</v>
      </c>
      <c r="R587" s="6">
        <v>12022.0</v>
      </c>
    </row>
    <row r="588" ht="56.25" customHeight="1">
      <c r="A588" s="5" t="s">
        <v>16132</v>
      </c>
      <c r="B588" s="6" t="str">
        <f>IMAGE("https://storage.googleapis.com/acdb/dresses/TopsTexOnepieceBoxLPajamas1.png")</f>
        <v/>
      </c>
      <c r="C588" s="5" t="s">
        <v>96</v>
      </c>
      <c r="D588" s="5" t="s">
        <v>36</v>
      </c>
      <c r="E588" s="6">
        <v>1200.0</v>
      </c>
      <c r="F588" s="6">
        <v>300.0</v>
      </c>
      <c r="G588" s="5" t="s">
        <v>96</v>
      </c>
      <c r="H588" s="5" t="s">
        <v>57</v>
      </c>
      <c r="I588" s="6" t="s">
        <v>40</v>
      </c>
      <c r="J588" s="5" t="s">
        <v>8585</v>
      </c>
      <c r="K588" s="5" t="s">
        <v>8632</v>
      </c>
      <c r="L588" s="6" t="s">
        <v>42</v>
      </c>
      <c r="M588" s="5" t="s">
        <v>995</v>
      </c>
      <c r="N588" s="5" t="s">
        <v>64</v>
      </c>
      <c r="O588" s="5" t="s">
        <v>14332</v>
      </c>
      <c r="P588" s="5" t="s">
        <v>14333</v>
      </c>
      <c r="Q588" s="5" t="s">
        <v>16133</v>
      </c>
      <c r="R588" s="6">
        <v>11931.0</v>
      </c>
    </row>
    <row r="589" ht="56.25" customHeight="1">
      <c r="A589" s="5" t="s">
        <v>16132</v>
      </c>
      <c r="B589" s="6" t="str">
        <f>IMAGE("https://storage.googleapis.com/acdb/dresses/TopsTexOnepieceBoxLPajamas2.png")</f>
        <v/>
      </c>
      <c r="C589" s="5" t="s">
        <v>95</v>
      </c>
      <c r="D589" s="5" t="s">
        <v>36</v>
      </c>
      <c r="E589" s="6">
        <v>1200.0</v>
      </c>
      <c r="F589" s="6">
        <v>300.0</v>
      </c>
      <c r="G589" s="5" t="s">
        <v>95</v>
      </c>
      <c r="H589" s="5" t="s">
        <v>57</v>
      </c>
      <c r="I589" s="6" t="s">
        <v>40</v>
      </c>
      <c r="J589" s="5" t="s">
        <v>8585</v>
      </c>
      <c r="K589" s="5" t="s">
        <v>8632</v>
      </c>
      <c r="L589" s="6" t="s">
        <v>42</v>
      </c>
      <c r="M589" s="5" t="s">
        <v>995</v>
      </c>
      <c r="N589" s="5" t="s">
        <v>64</v>
      </c>
      <c r="O589" s="5" t="s">
        <v>14332</v>
      </c>
      <c r="P589" s="5" t="s">
        <v>14333</v>
      </c>
      <c r="Q589" s="5" t="s">
        <v>16137</v>
      </c>
      <c r="R589" s="6">
        <v>11932.0</v>
      </c>
    </row>
    <row r="590" ht="56.25" customHeight="1">
      <c r="A590" s="5" t="s">
        <v>16132</v>
      </c>
      <c r="B590" s="6" t="str">
        <f>IMAGE("https://storage.googleapis.com/acdb/dresses/TopsTexOnepieceBoxLPajamas3.png")</f>
        <v/>
      </c>
      <c r="C590" s="5" t="s">
        <v>4883</v>
      </c>
      <c r="D590" s="5" t="s">
        <v>36</v>
      </c>
      <c r="E590" s="6">
        <v>1200.0</v>
      </c>
      <c r="F590" s="6">
        <v>300.0</v>
      </c>
      <c r="G590" s="5" t="s">
        <v>52</v>
      </c>
      <c r="H590" s="5" t="s">
        <v>57</v>
      </c>
      <c r="I590" s="6" t="s">
        <v>40</v>
      </c>
      <c r="J590" s="5" t="s">
        <v>8585</v>
      </c>
      <c r="K590" s="5" t="s">
        <v>8632</v>
      </c>
      <c r="L590" s="6" t="s">
        <v>42</v>
      </c>
      <c r="M590" s="5" t="s">
        <v>995</v>
      </c>
      <c r="N590" s="5" t="s">
        <v>64</v>
      </c>
      <c r="O590" s="5" t="s">
        <v>14332</v>
      </c>
      <c r="P590" s="5" t="s">
        <v>14333</v>
      </c>
      <c r="Q590" s="5" t="s">
        <v>16140</v>
      </c>
      <c r="R590" s="6">
        <v>11933.0</v>
      </c>
    </row>
    <row r="591" ht="56.25" customHeight="1">
      <c r="A591" s="5" t="s">
        <v>16132</v>
      </c>
      <c r="B591" s="6" t="str">
        <f>IMAGE("https://storage.googleapis.com/acdb/dresses/TopsTexOnepieceBoxLPajamas4.png")</f>
        <v/>
      </c>
      <c r="C591" s="5" t="s">
        <v>39</v>
      </c>
      <c r="D591" s="5" t="s">
        <v>36</v>
      </c>
      <c r="E591" s="6">
        <v>1200.0</v>
      </c>
      <c r="F591" s="6">
        <v>300.0</v>
      </c>
      <c r="G591" s="5" t="s">
        <v>39</v>
      </c>
      <c r="H591" s="5" t="s">
        <v>57</v>
      </c>
      <c r="I591" s="6" t="s">
        <v>40</v>
      </c>
      <c r="J591" s="5" t="s">
        <v>8585</v>
      </c>
      <c r="K591" s="5" t="s">
        <v>8632</v>
      </c>
      <c r="L591" s="6" t="s">
        <v>42</v>
      </c>
      <c r="M591" s="5" t="s">
        <v>995</v>
      </c>
      <c r="N591" s="5" t="s">
        <v>64</v>
      </c>
      <c r="O591" s="5" t="s">
        <v>14332</v>
      </c>
      <c r="P591" s="5" t="s">
        <v>14333</v>
      </c>
      <c r="Q591" s="5" t="s">
        <v>16143</v>
      </c>
      <c r="R591" s="6">
        <v>11934.0</v>
      </c>
    </row>
    <row r="592" ht="56.25" customHeight="1">
      <c r="A592" s="5" t="s">
        <v>16132</v>
      </c>
      <c r="B592" s="6" t="str">
        <f>IMAGE("https://storage.googleapis.com/acdb/dresses/TopsTexOnepieceBoxLPajamas0.png")</f>
        <v/>
      </c>
      <c r="C592" s="5" t="s">
        <v>1187</v>
      </c>
      <c r="D592" s="5" t="s">
        <v>36</v>
      </c>
      <c r="E592" s="6">
        <v>1200.0</v>
      </c>
      <c r="F592" s="6">
        <v>300.0</v>
      </c>
      <c r="G592" s="5" t="s">
        <v>68</v>
      </c>
      <c r="H592" s="5" t="s">
        <v>57</v>
      </c>
      <c r="I592" s="6" t="s">
        <v>40</v>
      </c>
      <c r="J592" s="5" t="s">
        <v>8585</v>
      </c>
      <c r="K592" s="5" t="s">
        <v>8632</v>
      </c>
      <c r="L592" s="6" t="s">
        <v>42</v>
      </c>
      <c r="M592" s="5" t="s">
        <v>995</v>
      </c>
      <c r="N592" s="5" t="s">
        <v>64</v>
      </c>
      <c r="O592" s="5" t="s">
        <v>14332</v>
      </c>
      <c r="P592" s="5" t="s">
        <v>14333</v>
      </c>
      <c r="Q592" s="5" t="s">
        <v>16144</v>
      </c>
      <c r="R592" s="6">
        <v>11096.0</v>
      </c>
    </row>
    <row r="593" ht="56.25" customHeight="1">
      <c r="A593" s="5" t="s">
        <v>16146</v>
      </c>
      <c r="B593" s="6" t="str">
        <f>IMAGE("https://storage.googleapis.com/acdb/dresses/TopsTexOnepieceAlongNNile.png")</f>
        <v/>
      </c>
      <c r="C593" s="5" t="s">
        <v>57</v>
      </c>
      <c r="D593" s="5" t="s">
        <v>36</v>
      </c>
      <c r="E593" s="6">
        <v>2520.0</v>
      </c>
      <c r="F593" s="6">
        <v>630.0</v>
      </c>
      <c r="G593" s="5" t="s">
        <v>57</v>
      </c>
      <c r="H593" s="5" t="s">
        <v>58</v>
      </c>
      <c r="I593" s="6" t="s">
        <v>40</v>
      </c>
      <c r="J593" s="5" t="s">
        <v>8585</v>
      </c>
      <c r="K593" s="5" t="s">
        <v>8586</v>
      </c>
      <c r="L593" s="6" t="s">
        <v>42</v>
      </c>
      <c r="M593" s="5" t="s">
        <v>612</v>
      </c>
      <c r="N593" s="5" t="s">
        <v>64</v>
      </c>
      <c r="O593" s="5" t="s">
        <v>14574</v>
      </c>
      <c r="P593" s="5" t="s">
        <v>14412</v>
      </c>
      <c r="Q593" s="5" t="s">
        <v>16148</v>
      </c>
      <c r="R593" s="6">
        <v>3441.0</v>
      </c>
    </row>
    <row r="594" ht="56.25" customHeight="1">
      <c r="A594" s="5" t="s">
        <v>16150</v>
      </c>
      <c r="B594" s="6" t="str">
        <f>IMAGE("https://storage.googleapis.com/acdb/dresses/TopsTexOnepieceRibLParkershirt1.png")</f>
        <v/>
      </c>
      <c r="C594" s="5" t="s">
        <v>114</v>
      </c>
      <c r="D594" s="5" t="s">
        <v>36</v>
      </c>
      <c r="E594" s="6">
        <v>1600.0</v>
      </c>
      <c r="F594" s="6">
        <v>400.0</v>
      </c>
      <c r="G594" s="5" t="s">
        <v>54</v>
      </c>
      <c r="H594" s="5" t="s">
        <v>114</v>
      </c>
      <c r="I594" s="6" t="s">
        <v>40</v>
      </c>
      <c r="J594" s="5" t="s">
        <v>8585</v>
      </c>
      <c r="K594" s="5" t="s">
        <v>8632</v>
      </c>
      <c r="L594" s="6" t="s">
        <v>42</v>
      </c>
      <c r="M594" s="5" t="s">
        <v>1952</v>
      </c>
      <c r="N594" s="5" t="s">
        <v>64</v>
      </c>
      <c r="O594" s="5" t="s">
        <v>14463</v>
      </c>
      <c r="P594" s="5" t="s">
        <v>14333</v>
      </c>
      <c r="Q594" s="5" t="s">
        <v>16151</v>
      </c>
      <c r="R594" s="6">
        <v>7992.0</v>
      </c>
    </row>
    <row r="595" ht="56.25" customHeight="1">
      <c r="A595" s="5" t="s">
        <v>16150</v>
      </c>
      <c r="B595" s="6" t="str">
        <f>IMAGE("https://storage.googleapis.com/acdb/dresses/TopsTexOnepieceRibLParkershirt2.png")</f>
        <v/>
      </c>
      <c r="C595" s="5" t="s">
        <v>52</v>
      </c>
      <c r="D595" s="5" t="s">
        <v>36</v>
      </c>
      <c r="E595" s="6">
        <v>1600.0</v>
      </c>
      <c r="F595" s="6">
        <v>400.0</v>
      </c>
      <c r="G595" s="5" t="s">
        <v>54</v>
      </c>
      <c r="H595" s="5" t="s">
        <v>52</v>
      </c>
      <c r="I595" s="6" t="s">
        <v>40</v>
      </c>
      <c r="J595" s="5" t="s">
        <v>8585</v>
      </c>
      <c r="K595" s="5" t="s">
        <v>8632</v>
      </c>
      <c r="L595" s="6" t="s">
        <v>42</v>
      </c>
      <c r="M595" s="5" t="s">
        <v>1952</v>
      </c>
      <c r="N595" s="5" t="s">
        <v>64</v>
      </c>
      <c r="O595" s="5" t="s">
        <v>14463</v>
      </c>
      <c r="P595" s="5" t="s">
        <v>14333</v>
      </c>
      <c r="Q595" s="5" t="s">
        <v>16156</v>
      </c>
      <c r="R595" s="6">
        <v>7993.0</v>
      </c>
    </row>
    <row r="596" ht="56.25" customHeight="1">
      <c r="A596" s="5" t="s">
        <v>16150</v>
      </c>
      <c r="B596" s="6" t="str">
        <f>IMAGE("https://storage.googleapis.com/acdb/dresses/TopsTexOnepieceRibLParkershirt0.png")</f>
        <v/>
      </c>
      <c r="C596" s="5" t="s">
        <v>68</v>
      </c>
      <c r="D596" s="5" t="s">
        <v>36</v>
      </c>
      <c r="E596" s="6">
        <v>1600.0</v>
      </c>
      <c r="F596" s="6">
        <v>400.0</v>
      </c>
      <c r="G596" s="5" t="s">
        <v>54</v>
      </c>
      <c r="H596" s="5" t="s">
        <v>96</v>
      </c>
      <c r="I596" s="6" t="s">
        <v>40</v>
      </c>
      <c r="J596" s="5" t="s">
        <v>8585</v>
      </c>
      <c r="K596" s="5" t="s">
        <v>8632</v>
      </c>
      <c r="L596" s="6" t="s">
        <v>42</v>
      </c>
      <c r="M596" s="5" t="s">
        <v>1952</v>
      </c>
      <c r="N596" s="5" t="s">
        <v>64</v>
      </c>
      <c r="O596" s="5" t="s">
        <v>14463</v>
      </c>
      <c r="P596" s="5" t="s">
        <v>14333</v>
      </c>
      <c r="Q596" s="5" t="s">
        <v>16157</v>
      </c>
      <c r="R596" s="6">
        <v>4468.0</v>
      </c>
    </row>
    <row r="597" ht="56.25" customHeight="1">
      <c r="A597" s="5" t="s">
        <v>16159</v>
      </c>
      <c r="B597" s="6" t="str">
        <f>IMAGE("https://storage.googleapis.com/acdb/dresses/TopsTexOnepieceRibLParka0.png")</f>
        <v/>
      </c>
      <c r="C597" s="5" t="s">
        <v>114</v>
      </c>
      <c r="D597" s="5" t="s">
        <v>36</v>
      </c>
      <c r="E597" s="6">
        <v>1600.0</v>
      </c>
      <c r="F597" s="6">
        <v>400.0</v>
      </c>
      <c r="G597" s="5" t="s">
        <v>114</v>
      </c>
      <c r="H597" s="5" t="s">
        <v>114</v>
      </c>
      <c r="I597" s="6" t="s">
        <v>40</v>
      </c>
      <c r="J597" s="5" t="s">
        <v>8585</v>
      </c>
      <c r="K597" s="5" t="s">
        <v>8632</v>
      </c>
      <c r="L597" s="6" t="s">
        <v>42</v>
      </c>
      <c r="M597" s="5" t="s">
        <v>8746</v>
      </c>
      <c r="N597" s="5" t="s">
        <v>64</v>
      </c>
      <c r="O597" s="5" t="s">
        <v>14463</v>
      </c>
      <c r="P597" s="5" t="s">
        <v>14333</v>
      </c>
      <c r="Q597" s="5" t="s">
        <v>16162</v>
      </c>
      <c r="R597" s="6">
        <v>3226.0</v>
      </c>
    </row>
    <row r="598" ht="56.25" customHeight="1">
      <c r="A598" s="5" t="s">
        <v>16159</v>
      </c>
      <c r="B598" s="6" t="str">
        <f>IMAGE("https://storage.googleapis.com/acdb/dresses/TopsTexOnepieceRibLParka1.png")</f>
        <v/>
      </c>
      <c r="C598" s="5" t="s">
        <v>142</v>
      </c>
      <c r="D598" s="5" t="s">
        <v>36</v>
      </c>
      <c r="E598" s="6">
        <v>1600.0</v>
      </c>
      <c r="F598" s="6">
        <v>400.0</v>
      </c>
      <c r="G598" s="5" t="s">
        <v>142</v>
      </c>
      <c r="H598" s="5" t="s">
        <v>142</v>
      </c>
      <c r="I598" s="6" t="s">
        <v>40</v>
      </c>
      <c r="J598" s="5" t="s">
        <v>8585</v>
      </c>
      <c r="K598" s="5" t="s">
        <v>8632</v>
      </c>
      <c r="L598" s="6" t="s">
        <v>42</v>
      </c>
      <c r="M598" s="5" t="s">
        <v>8746</v>
      </c>
      <c r="N598" s="5" t="s">
        <v>64</v>
      </c>
      <c r="O598" s="5" t="s">
        <v>14463</v>
      </c>
      <c r="P598" s="5" t="s">
        <v>14333</v>
      </c>
      <c r="Q598" s="5" t="s">
        <v>16165</v>
      </c>
      <c r="R598" s="6">
        <v>4160.0</v>
      </c>
    </row>
    <row r="599" ht="56.25" customHeight="1">
      <c r="A599" s="5" t="s">
        <v>16159</v>
      </c>
      <c r="B599" s="6" t="str">
        <f>IMAGE("https://storage.googleapis.com/acdb/dresses/TopsTexOnepieceRibLParka2.png")</f>
        <v/>
      </c>
      <c r="C599" s="5" t="s">
        <v>68</v>
      </c>
      <c r="D599" s="5" t="s">
        <v>36</v>
      </c>
      <c r="E599" s="6">
        <v>1600.0</v>
      </c>
      <c r="F599" s="6">
        <v>400.0</v>
      </c>
      <c r="G599" s="5" t="s">
        <v>68</v>
      </c>
      <c r="H599" s="5" t="s">
        <v>68</v>
      </c>
      <c r="I599" s="6" t="s">
        <v>40</v>
      </c>
      <c r="J599" s="5" t="s">
        <v>8585</v>
      </c>
      <c r="K599" s="5" t="s">
        <v>8632</v>
      </c>
      <c r="L599" s="6" t="s">
        <v>42</v>
      </c>
      <c r="M599" s="5" t="s">
        <v>8746</v>
      </c>
      <c r="N599" s="5" t="s">
        <v>64</v>
      </c>
      <c r="O599" s="5" t="s">
        <v>14463</v>
      </c>
      <c r="P599" s="5" t="s">
        <v>14333</v>
      </c>
      <c r="Q599" s="5" t="s">
        <v>16168</v>
      </c>
      <c r="R599" s="6">
        <v>4161.0</v>
      </c>
    </row>
    <row r="600" ht="56.25" customHeight="1">
      <c r="A600" s="5" t="s">
        <v>16159</v>
      </c>
      <c r="B600" s="6" t="str">
        <f>IMAGE("https://storage.googleapis.com/acdb/dresses/TopsTexOnepieceRibLParka3.png")</f>
        <v/>
      </c>
      <c r="C600" s="5" t="s">
        <v>96</v>
      </c>
      <c r="D600" s="5" t="s">
        <v>36</v>
      </c>
      <c r="E600" s="6">
        <v>1600.0</v>
      </c>
      <c r="F600" s="6">
        <v>400.0</v>
      </c>
      <c r="G600" s="5" t="s">
        <v>96</v>
      </c>
      <c r="H600" s="5" t="s">
        <v>96</v>
      </c>
      <c r="I600" s="6" t="s">
        <v>40</v>
      </c>
      <c r="J600" s="5" t="s">
        <v>8585</v>
      </c>
      <c r="K600" s="5" t="s">
        <v>8632</v>
      </c>
      <c r="L600" s="6" t="s">
        <v>42</v>
      </c>
      <c r="M600" s="5" t="s">
        <v>8746</v>
      </c>
      <c r="N600" s="5" t="s">
        <v>64</v>
      </c>
      <c r="O600" s="5" t="s">
        <v>14463</v>
      </c>
      <c r="P600" s="5" t="s">
        <v>14333</v>
      </c>
      <c r="Q600" s="5" t="s">
        <v>16171</v>
      </c>
      <c r="R600" s="6">
        <v>4162.0</v>
      </c>
    </row>
    <row r="601" ht="56.25" customHeight="1">
      <c r="A601" s="5" t="s">
        <v>16159</v>
      </c>
      <c r="B601" s="6" t="str">
        <f>IMAGE("https://storage.googleapis.com/acdb/dresses/TopsTexOnepieceRibLParka4.png")</f>
        <v/>
      </c>
      <c r="C601" s="5" t="s">
        <v>69</v>
      </c>
      <c r="D601" s="5" t="s">
        <v>36</v>
      </c>
      <c r="E601" s="6">
        <v>1600.0</v>
      </c>
      <c r="F601" s="6">
        <v>400.0</v>
      </c>
      <c r="G601" s="5" t="s">
        <v>69</v>
      </c>
      <c r="H601" s="5" t="s">
        <v>69</v>
      </c>
      <c r="I601" s="6" t="s">
        <v>40</v>
      </c>
      <c r="J601" s="5" t="s">
        <v>8585</v>
      </c>
      <c r="K601" s="5" t="s">
        <v>8632</v>
      </c>
      <c r="L601" s="6" t="s">
        <v>42</v>
      </c>
      <c r="M601" s="5" t="s">
        <v>8746</v>
      </c>
      <c r="N601" s="5" t="s">
        <v>64</v>
      </c>
      <c r="O601" s="5" t="s">
        <v>14463</v>
      </c>
      <c r="P601" s="5" t="s">
        <v>14333</v>
      </c>
      <c r="Q601" s="5" t="s">
        <v>16173</v>
      </c>
      <c r="R601" s="6">
        <v>4163.0</v>
      </c>
    </row>
    <row r="602" ht="56.25" customHeight="1">
      <c r="A602" s="5" t="s">
        <v>16174</v>
      </c>
      <c r="B602" s="6" t="str">
        <f>IMAGE("https://storage.googleapis.com/acdb/dresses/TopsTexOnepieceAlineNPeach0.png")</f>
        <v/>
      </c>
      <c r="C602" s="5" t="s">
        <v>4501</v>
      </c>
      <c r="D602" s="5" t="s">
        <v>35</v>
      </c>
      <c r="E602" s="6" t="s">
        <v>37</v>
      </c>
      <c r="F602" s="6">
        <v>1600.0</v>
      </c>
      <c r="G602" s="5" t="s">
        <v>69</v>
      </c>
      <c r="H602" s="5" t="s">
        <v>96</v>
      </c>
      <c r="I602" s="6" t="s">
        <v>40</v>
      </c>
      <c r="J602" s="5" t="s">
        <v>41</v>
      </c>
      <c r="K602" s="5"/>
      <c r="L602" s="6" t="s">
        <v>42</v>
      </c>
      <c r="M602" s="5" t="s">
        <v>1959</v>
      </c>
      <c r="N602" s="5" t="s">
        <v>48</v>
      </c>
      <c r="O602" s="5" t="s">
        <v>14411</v>
      </c>
      <c r="P602" s="5" t="s">
        <v>14412</v>
      </c>
      <c r="Q602" s="5" t="s">
        <v>16177</v>
      </c>
      <c r="R602" s="6">
        <v>9839.0</v>
      </c>
    </row>
    <row r="603" ht="56.25" customHeight="1">
      <c r="A603" s="5" t="s">
        <v>16178</v>
      </c>
      <c r="B603" s="6" t="str">
        <f>IMAGE("https://storage.googleapis.com/acdb/dresses/TopsTexOnepieceAlineLPcoat0.png")</f>
        <v/>
      </c>
      <c r="C603" s="5" t="s">
        <v>68</v>
      </c>
      <c r="D603" s="5" t="s">
        <v>36</v>
      </c>
      <c r="E603" s="6">
        <v>2400.0</v>
      </c>
      <c r="F603" s="6">
        <v>600.0</v>
      </c>
      <c r="G603" s="5" t="s">
        <v>68</v>
      </c>
      <c r="H603" s="5" t="s">
        <v>95</v>
      </c>
      <c r="I603" s="6" t="s">
        <v>40</v>
      </c>
      <c r="J603" s="5" t="s">
        <v>8585</v>
      </c>
      <c r="K603" s="5" t="s">
        <v>8586</v>
      </c>
      <c r="L603" s="6" t="s">
        <v>42</v>
      </c>
      <c r="M603" s="5" t="s">
        <v>1959</v>
      </c>
      <c r="N603" s="5" t="s">
        <v>64</v>
      </c>
      <c r="O603" s="5" t="s">
        <v>14411</v>
      </c>
      <c r="P603" s="5" t="s">
        <v>14333</v>
      </c>
      <c r="Q603" s="5" t="s">
        <v>16182</v>
      </c>
      <c r="R603" s="6">
        <v>4594.0</v>
      </c>
    </row>
    <row r="604" ht="56.25" customHeight="1">
      <c r="A604" s="5" t="s">
        <v>16178</v>
      </c>
      <c r="B604" s="6" t="str">
        <f>IMAGE("https://storage.googleapis.com/acdb/dresses/TopsTexOnepieceAlineLPcoat1.png")</f>
        <v/>
      </c>
      <c r="C604" s="5" t="s">
        <v>52</v>
      </c>
      <c r="D604" s="5" t="s">
        <v>36</v>
      </c>
      <c r="E604" s="6">
        <v>2400.0</v>
      </c>
      <c r="F604" s="6">
        <v>600.0</v>
      </c>
      <c r="G604" s="5" t="s">
        <v>52</v>
      </c>
      <c r="H604" s="5" t="s">
        <v>95</v>
      </c>
      <c r="I604" s="6" t="s">
        <v>40</v>
      </c>
      <c r="J604" s="5" t="s">
        <v>8585</v>
      </c>
      <c r="K604" s="5" t="s">
        <v>8586</v>
      </c>
      <c r="L604" s="6" t="s">
        <v>42</v>
      </c>
      <c r="M604" s="5" t="s">
        <v>1959</v>
      </c>
      <c r="N604" s="5" t="s">
        <v>64</v>
      </c>
      <c r="O604" s="5" t="s">
        <v>14411</v>
      </c>
      <c r="P604" s="5" t="s">
        <v>14333</v>
      </c>
      <c r="Q604" s="5" t="s">
        <v>16188</v>
      </c>
      <c r="R604" s="6">
        <v>8962.0</v>
      </c>
    </row>
    <row r="605" ht="56.25" customHeight="1">
      <c r="A605" s="5" t="s">
        <v>16189</v>
      </c>
      <c r="B605" s="6" t="str">
        <f>IMAGE("https://storage.googleapis.com/acdb/dresses/TopsTexOnepieceAlineNPear0.png")</f>
        <v/>
      </c>
      <c r="C605" s="5" t="s">
        <v>38</v>
      </c>
      <c r="D605" s="5" t="s">
        <v>35</v>
      </c>
      <c r="E605" s="6" t="s">
        <v>37</v>
      </c>
      <c r="F605" s="6">
        <v>1600.0</v>
      </c>
      <c r="G605" s="5" t="s">
        <v>114</v>
      </c>
      <c r="H605" s="5" t="s">
        <v>96</v>
      </c>
      <c r="I605" s="6" t="s">
        <v>40</v>
      </c>
      <c r="J605" s="5" t="s">
        <v>41</v>
      </c>
      <c r="K605" s="5"/>
      <c r="L605" s="6" t="s">
        <v>42</v>
      </c>
      <c r="M605" s="5" t="s">
        <v>1959</v>
      </c>
      <c r="N605" s="5" t="s">
        <v>48</v>
      </c>
      <c r="O605" s="5" t="s">
        <v>14411</v>
      </c>
      <c r="P605" s="5" t="s">
        <v>14412</v>
      </c>
      <c r="Q605" s="5" t="s">
        <v>16192</v>
      </c>
      <c r="R605" s="6">
        <v>9837.0</v>
      </c>
    </row>
    <row r="606" ht="56.25" customHeight="1">
      <c r="A606" s="5" t="s">
        <v>16193</v>
      </c>
      <c r="B606" s="6" t="str">
        <f>IMAGE("https://storage.googleapis.com/acdb/dresses/TopsTexOnepieceBlongHEgypt.png")</f>
        <v/>
      </c>
      <c r="C606" s="5" t="s">
        <v>57</v>
      </c>
      <c r="D606" s="5" t="s">
        <v>36</v>
      </c>
      <c r="E606" s="6">
        <v>2520.0</v>
      </c>
      <c r="F606" s="6">
        <v>630.0</v>
      </c>
      <c r="G606" s="5" t="s">
        <v>57</v>
      </c>
      <c r="H606" s="5" t="s">
        <v>58</v>
      </c>
      <c r="I606" s="6" t="s">
        <v>40</v>
      </c>
      <c r="J606" s="5" t="s">
        <v>8585</v>
      </c>
      <c r="K606" s="5" t="s">
        <v>8586</v>
      </c>
      <c r="L606" s="6" t="s">
        <v>42</v>
      </c>
      <c r="M606" s="5" t="s">
        <v>612</v>
      </c>
      <c r="N606" s="5" t="s">
        <v>64</v>
      </c>
      <c r="O606" s="5" t="s">
        <v>14396</v>
      </c>
      <c r="P606" s="5" t="s">
        <v>14345</v>
      </c>
      <c r="Q606" s="5" t="s">
        <v>16195</v>
      </c>
      <c r="R606" s="6">
        <v>3577.0</v>
      </c>
    </row>
    <row r="607" ht="56.25" customHeight="1">
      <c r="A607" s="5" t="s">
        <v>16196</v>
      </c>
      <c r="B607" s="6" t="str">
        <f>IMAGE("https://storage.googleapis.com/acdb/dresses/TopsTexOnepieceOverallLPilot2.png")</f>
        <v/>
      </c>
      <c r="C607" s="5" t="s">
        <v>83</v>
      </c>
      <c r="D607" s="5" t="s">
        <v>36</v>
      </c>
      <c r="E607" s="6">
        <v>2240.0</v>
      </c>
      <c r="F607" s="6">
        <v>560.0</v>
      </c>
      <c r="G607" s="5" t="s">
        <v>83</v>
      </c>
      <c r="H607" s="5" t="s">
        <v>114</v>
      </c>
      <c r="I607" s="6" t="s">
        <v>40</v>
      </c>
      <c r="J607" s="5" t="s">
        <v>8585</v>
      </c>
      <c r="K607" s="5" t="s">
        <v>8586</v>
      </c>
      <c r="L607" s="6" t="s">
        <v>42</v>
      </c>
      <c r="M607" s="5" t="s">
        <v>8746</v>
      </c>
      <c r="N607" s="5" t="s">
        <v>64</v>
      </c>
      <c r="O607" s="5" t="s">
        <v>14358</v>
      </c>
      <c r="P607" s="5" t="s">
        <v>14333</v>
      </c>
      <c r="Q607" s="5" t="s">
        <v>16199</v>
      </c>
      <c r="R607" s="6">
        <v>8120.0</v>
      </c>
    </row>
    <row r="608" ht="56.25" customHeight="1">
      <c r="A608" s="5" t="s">
        <v>16196</v>
      </c>
      <c r="B608" s="6" t="str">
        <f>IMAGE("https://storage.googleapis.com/acdb/dresses/TopsTexOnepieceOverallLPilot0.png")</f>
        <v/>
      </c>
      <c r="C608" s="5" t="s">
        <v>1187</v>
      </c>
      <c r="D608" s="5" t="s">
        <v>36</v>
      </c>
      <c r="E608" s="6">
        <v>2240.0</v>
      </c>
      <c r="F608" s="6">
        <v>560.0</v>
      </c>
      <c r="G608" s="5" t="s">
        <v>68</v>
      </c>
      <c r="H608" s="5" t="s">
        <v>114</v>
      </c>
      <c r="I608" s="6" t="s">
        <v>40</v>
      </c>
      <c r="J608" s="5" t="s">
        <v>8585</v>
      </c>
      <c r="K608" s="5" t="s">
        <v>8586</v>
      </c>
      <c r="L608" s="6" t="s">
        <v>42</v>
      </c>
      <c r="M608" s="5" t="s">
        <v>8746</v>
      </c>
      <c r="N608" s="5" t="s">
        <v>64</v>
      </c>
      <c r="O608" s="5" t="s">
        <v>14358</v>
      </c>
      <c r="P608" s="5" t="s">
        <v>14333</v>
      </c>
      <c r="Q608" s="5" t="s">
        <v>16202</v>
      </c>
      <c r="R608" s="6">
        <v>3612.0</v>
      </c>
    </row>
    <row r="609" ht="56.25" customHeight="1">
      <c r="A609" s="5" t="s">
        <v>16196</v>
      </c>
      <c r="B609" s="6" t="str">
        <f>IMAGE("https://storage.googleapis.com/acdb/dresses/TopsTexOnepieceOverallLPilot1.png")</f>
        <v/>
      </c>
      <c r="C609" s="5" t="s">
        <v>54</v>
      </c>
      <c r="D609" s="5" t="s">
        <v>36</v>
      </c>
      <c r="E609" s="6">
        <v>2240.0</v>
      </c>
      <c r="F609" s="6">
        <v>560.0</v>
      </c>
      <c r="G609" s="5" t="s">
        <v>54</v>
      </c>
      <c r="H609" s="5" t="s">
        <v>114</v>
      </c>
      <c r="I609" s="6" t="s">
        <v>40</v>
      </c>
      <c r="J609" s="5" t="s">
        <v>8585</v>
      </c>
      <c r="K609" s="5" t="s">
        <v>8586</v>
      </c>
      <c r="L609" s="6" t="s">
        <v>42</v>
      </c>
      <c r="M609" s="5" t="s">
        <v>8746</v>
      </c>
      <c r="N609" s="5" t="s">
        <v>64</v>
      </c>
      <c r="O609" s="5" t="s">
        <v>14358</v>
      </c>
      <c r="P609" s="5" t="s">
        <v>14333</v>
      </c>
      <c r="Q609" s="5" t="s">
        <v>16204</v>
      </c>
      <c r="R609" s="6">
        <v>8119.0</v>
      </c>
    </row>
    <row r="610" ht="56.25" customHeight="1">
      <c r="A610" s="5" t="s">
        <v>16205</v>
      </c>
      <c r="B610" s="6" t="str">
        <f>IMAGE("https://storage.googleapis.com/acdb/dresses/TopsTexOnepieceBlongLKappogi1.png")</f>
        <v/>
      </c>
      <c r="C610" s="5" t="s">
        <v>69</v>
      </c>
      <c r="D610" s="5" t="s">
        <v>36</v>
      </c>
      <c r="E610" s="6">
        <v>1600.0</v>
      </c>
      <c r="F610" s="6">
        <v>400.0</v>
      </c>
      <c r="G610" s="5" t="s">
        <v>69</v>
      </c>
      <c r="H610" s="5" t="s">
        <v>57</v>
      </c>
      <c r="I610" s="6" t="s">
        <v>40</v>
      </c>
      <c r="J610" s="5" t="s">
        <v>8585</v>
      </c>
      <c r="K610" s="5" t="s">
        <v>8586</v>
      </c>
      <c r="L610" s="6" t="s">
        <v>42</v>
      </c>
      <c r="M610" s="5" t="s">
        <v>995</v>
      </c>
      <c r="N610" s="5" t="s">
        <v>64</v>
      </c>
      <c r="O610" s="5" t="s">
        <v>14396</v>
      </c>
      <c r="P610" s="5" t="s">
        <v>14333</v>
      </c>
      <c r="Q610" s="5" t="s">
        <v>16208</v>
      </c>
      <c r="R610" s="6">
        <v>8978.0</v>
      </c>
    </row>
    <row r="611" ht="56.25" customHeight="1">
      <c r="A611" s="5" t="s">
        <v>16205</v>
      </c>
      <c r="B611" s="6" t="str">
        <f>IMAGE("https://storage.googleapis.com/acdb/dresses/TopsTexOnepieceBlongLKappogi2.png")</f>
        <v/>
      </c>
      <c r="C611" s="5" t="s">
        <v>16209</v>
      </c>
      <c r="D611" s="5" t="s">
        <v>36</v>
      </c>
      <c r="E611" s="6">
        <v>1600.0</v>
      </c>
      <c r="F611" s="6">
        <v>400.0</v>
      </c>
      <c r="G611" s="5" t="s">
        <v>38</v>
      </c>
      <c r="H611" s="5" t="s">
        <v>57</v>
      </c>
      <c r="I611" s="6" t="s">
        <v>40</v>
      </c>
      <c r="J611" s="5" t="s">
        <v>8585</v>
      </c>
      <c r="K611" s="5" t="s">
        <v>8586</v>
      </c>
      <c r="L611" s="6" t="s">
        <v>42</v>
      </c>
      <c r="M611" s="5" t="s">
        <v>995</v>
      </c>
      <c r="N611" s="5" t="s">
        <v>64</v>
      </c>
      <c r="O611" s="5" t="s">
        <v>14396</v>
      </c>
      <c r="P611" s="5" t="s">
        <v>14333</v>
      </c>
      <c r="Q611" s="5" t="s">
        <v>16212</v>
      </c>
      <c r="R611" s="6">
        <v>8979.0</v>
      </c>
    </row>
    <row r="612" ht="56.25" customHeight="1">
      <c r="A612" s="5" t="s">
        <v>16205</v>
      </c>
      <c r="B612" s="6" t="str">
        <f>IMAGE("https://storage.googleapis.com/acdb/dresses/TopsTexOnepieceBlongLKappogi0.png")</f>
        <v/>
      </c>
      <c r="C612" s="5" t="s">
        <v>2431</v>
      </c>
      <c r="D612" s="5" t="s">
        <v>36</v>
      </c>
      <c r="E612" s="6">
        <v>1600.0</v>
      </c>
      <c r="F612" s="6">
        <v>400.0</v>
      </c>
      <c r="G612" s="5" t="s">
        <v>68</v>
      </c>
      <c r="H612" s="5" t="s">
        <v>57</v>
      </c>
      <c r="I612" s="6" t="s">
        <v>40</v>
      </c>
      <c r="J612" s="5" t="s">
        <v>8585</v>
      </c>
      <c r="K612" s="5" t="s">
        <v>8586</v>
      </c>
      <c r="L612" s="6" t="s">
        <v>42</v>
      </c>
      <c r="M612" s="5" t="s">
        <v>995</v>
      </c>
      <c r="N612" s="5" t="s">
        <v>64</v>
      </c>
      <c r="O612" s="5" t="s">
        <v>14396</v>
      </c>
      <c r="P612" s="5" t="s">
        <v>14333</v>
      </c>
      <c r="Q612" s="5" t="s">
        <v>16214</v>
      </c>
      <c r="R612" s="6">
        <v>3536.0</v>
      </c>
    </row>
    <row r="613" ht="56.25" customHeight="1">
      <c r="A613" s="5" t="s">
        <v>16216</v>
      </c>
      <c r="B613" s="6" t="str">
        <f>IMAGE("https://storage.googleapis.com/acdb/dresses/TopsTexOnepieceAlineNPineapple.png")</f>
        <v/>
      </c>
      <c r="C613" s="5" t="s">
        <v>114</v>
      </c>
      <c r="D613" s="5" t="s">
        <v>36</v>
      </c>
      <c r="E613" s="6">
        <v>1500.0</v>
      </c>
      <c r="F613" s="6">
        <v>375.0</v>
      </c>
      <c r="G613" s="5" t="s">
        <v>114</v>
      </c>
      <c r="H613" s="5" t="s">
        <v>96</v>
      </c>
      <c r="I613" s="6" t="s">
        <v>40</v>
      </c>
      <c r="J613" s="5" t="s">
        <v>8585</v>
      </c>
      <c r="K613" s="5" t="s">
        <v>8632</v>
      </c>
      <c r="L613" s="6" t="s">
        <v>42</v>
      </c>
      <c r="M613" s="5" t="s">
        <v>1959</v>
      </c>
      <c r="N613" s="5" t="s">
        <v>64</v>
      </c>
      <c r="O613" s="5" t="s">
        <v>14411</v>
      </c>
      <c r="P613" s="5" t="s">
        <v>14412</v>
      </c>
      <c r="Q613" s="5" t="s">
        <v>16218</v>
      </c>
      <c r="R613" s="6">
        <v>3293.0</v>
      </c>
    </row>
    <row r="614" ht="56.25" customHeight="1">
      <c r="A614" s="5" t="s">
        <v>16219</v>
      </c>
      <c r="B614" s="6" t="str">
        <f>IMAGE("https://storage.googleapis.com/acdb/dresses/TopsTexOnepieceBalloonHDolly0.png")</f>
        <v/>
      </c>
      <c r="C614" s="5" t="s">
        <v>69</v>
      </c>
      <c r="D614" s="5" t="s">
        <v>36</v>
      </c>
      <c r="E614" s="6">
        <v>1600.0</v>
      </c>
      <c r="F614" s="6">
        <v>400.0</v>
      </c>
      <c r="G614" s="5" t="s">
        <v>69</v>
      </c>
      <c r="H614" s="5" t="s">
        <v>69</v>
      </c>
      <c r="I614" s="6" t="s">
        <v>40</v>
      </c>
      <c r="J614" s="5" t="s">
        <v>8585</v>
      </c>
      <c r="K614" s="5" t="s">
        <v>8632</v>
      </c>
      <c r="L614" s="6" t="s">
        <v>42</v>
      </c>
      <c r="M614" s="5" t="s">
        <v>1959</v>
      </c>
      <c r="N614" s="5" t="s">
        <v>64</v>
      </c>
      <c r="O614" s="5" t="s">
        <v>14344</v>
      </c>
      <c r="P614" s="5" t="s">
        <v>14345</v>
      </c>
      <c r="Q614" s="5" t="s">
        <v>16222</v>
      </c>
      <c r="R614" s="6">
        <v>4506.0</v>
      </c>
    </row>
    <row r="615" ht="56.25" customHeight="1">
      <c r="A615" s="5" t="s">
        <v>16219</v>
      </c>
      <c r="B615" s="6" t="str">
        <f>IMAGE("https://storage.googleapis.com/acdb/dresses/TopsTexOnepieceBalloonHDolly1.png")</f>
        <v/>
      </c>
      <c r="C615" s="5" t="s">
        <v>1458</v>
      </c>
      <c r="D615" s="5" t="s">
        <v>36</v>
      </c>
      <c r="E615" s="6">
        <v>1600.0</v>
      </c>
      <c r="F615" s="6">
        <v>400.0</v>
      </c>
      <c r="G615" s="5" t="s">
        <v>114</v>
      </c>
      <c r="H615" s="5" t="s">
        <v>142</v>
      </c>
      <c r="I615" s="6" t="s">
        <v>40</v>
      </c>
      <c r="J615" s="5" t="s">
        <v>8585</v>
      </c>
      <c r="K615" s="5" t="s">
        <v>8632</v>
      </c>
      <c r="L615" s="6" t="s">
        <v>42</v>
      </c>
      <c r="M615" s="5" t="s">
        <v>1959</v>
      </c>
      <c r="N615" s="5" t="s">
        <v>64</v>
      </c>
      <c r="O615" s="5" t="s">
        <v>14344</v>
      </c>
      <c r="P615" s="5" t="s">
        <v>14345</v>
      </c>
      <c r="Q615" s="5" t="s">
        <v>16225</v>
      </c>
      <c r="R615" s="6">
        <v>8885.0</v>
      </c>
    </row>
    <row r="616" ht="56.25" customHeight="1">
      <c r="A616" s="5" t="s">
        <v>16219</v>
      </c>
      <c r="B616" s="6" t="str">
        <f>IMAGE("https://storage.googleapis.com/acdb/dresses/TopsTexOnepieceBalloonHDolly2.png")</f>
        <v/>
      </c>
      <c r="C616" s="5" t="s">
        <v>96</v>
      </c>
      <c r="D616" s="5" t="s">
        <v>36</v>
      </c>
      <c r="E616" s="6">
        <v>1600.0</v>
      </c>
      <c r="F616" s="6">
        <v>400.0</v>
      </c>
      <c r="G616" s="5" t="s">
        <v>96</v>
      </c>
      <c r="H616" s="5" t="s">
        <v>96</v>
      </c>
      <c r="I616" s="6" t="s">
        <v>40</v>
      </c>
      <c r="J616" s="5" t="s">
        <v>8585</v>
      </c>
      <c r="K616" s="5" t="s">
        <v>8632</v>
      </c>
      <c r="L616" s="6" t="s">
        <v>42</v>
      </c>
      <c r="M616" s="5" t="s">
        <v>1959</v>
      </c>
      <c r="N616" s="5" t="s">
        <v>64</v>
      </c>
      <c r="O616" s="5" t="s">
        <v>14344</v>
      </c>
      <c r="P616" s="5" t="s">
        <v>14345</v>
      </c>
      <c r="Q616" s="5" t="s">
        <v>16228</v>
      </c>
      <c r="R616" s="6">
        <v>8886.0</v>
      </c>
    </row>
    <row r="617" ht="56.25" customHeight="1">
      <c r="A617" s="5" t="s">
        <v>16219</v>
      </c>
      <c r="B617" s="6" t="str">
        <f>IMAGE("https://storage.googleapis.com/acdb/dresses/TopsTexOnepieceBalloonHDolly3.png")</f>
        <v/>
      </c>
      <c r="C617" s="5" t="s">
        <v>106</v>
      </c>
      <c r="D617" s="5" t="s">
        <v>36</v>
      </c>
      <c r="E617" s="6">
        <v>1600.0</v>
      </c>
      <c r="F617" s="6">
        <v>400.0</v>
      </c>
      <c r="G617" s="5" t="s">
        <v>106</v>
      </c>
      <c r="H617" s="5" t="s">
        <v>106</v>
      </c>
      <c r="I617" s="6" t="s">
        <v>40</v>
      </c>
      <c r="J617" s="5" t="s">
        <v>8585</v>
      </c>
      <c r="K617" s="5" t="s">
        <v>8632</v>
      </c>
      <c r="L617" s="6" t="s">
        <v>42</v>
      </c>
      <c r="M617" s="5" t="s">
        <v>1959</v>
      </c>
      <c r="N617" s="5" t="s">
        <v>64</v>
      </c>
      <c r="O617" s="5" t="s">
        <v>14344</v>
      </c>
      <c r="P617" s="5" t="s">
        <v>14345</v>
      </c>
      <c r="Q617" s="5" t="s">
        <v>16231</v>
      </c>
      <c r="R617" s="6">
        <v>8887.0</v>
      </c>
    </row>
    <row r="618" ht="56.25" customHeight="1">
      <c r="A618" s="5" t="s">
        <v>16219</v>
      </c>
      <c r="B618" s="6" t="str">
        <f>IMAGE("https://storage.googleapis.com/acdb/dresses/TopsTexOnepieceBalloonHDolly4.png")</f>
        <v/>
      </c>
      <c r="C618" s="5" t="s">
        <v>83</v>
      </c>
      <c r="D618" s="5" t="s">
        <v>36</v>
      </c>
      <c r="E618" s="6">
        <v>1600.0</v>
      </c>
      <c r="F618" s="6">
        <v>400.0</v>
      </c>
      <c r="G618" s="5" t="s">
        <v>83</v>
      </c>
      <c r="H618" s="5" t="s">
        <v>68</v>
      </c>
      <c r="I618" s="6" t="s">
        <v>40</v>
      </c>
      <c r="J618" s="5" t="s">
        <v>8585</v>
      </c>
      <c r="K618" s="5" t="s">
        <v>8632</v>
      </c>
      <c r="L618" s="6" t="s">
        <v>42</v>
      </c>
      <c r="M618" s="5" t="s">
        <v>1959</v>
      </c>
      <c r="N618" s="5" t="s">
        <v>64</v>
      </c>
      <c r="O618" s="5" t="s">
        <v>14344</v>
      </c>
      <c r="P618" s="5" t="s">
        <v>14345</v>
      </c>
      <c r="Q618" s="5" t="s">
        <v>16234</v>
      </c>
      <c r="R618" s="6">
        <v>8888.0</v>
      </c>
    </row>
    <row r="619" ht="56.25" customHeight="1">
      <c r="A619" s="5" t="s">
        <v>16219</v>
      </c>
      <c r="B619" s="6" t="str">
        <f>IMAGE("https://storage.googleapis.com/acdb/dresses/TopsTexOnepieceBalloonHDolly5.png")</f>
        <v/>
      </c>
      <c r="C619" s="5" t="s">
        <v>39</v>
      </c>
      <c r="D619" s="5" t="s">
        <v>36</v>
      </c>
      <c r="E619" s="6">
        <v>1600.0</v>
      </c>
      <c r="F619" s="6">
        <v>400.0</v>
      </c>
      <c r="G619" s="5" t="s">
        <v>39</v>
      </c>
      <c r="H619" s="5" t="s">
        <v>39</v>
      </c>
      <c r="I619" s="6" t="s">
        <v>40</v>
      </c>
      <c r="J619" s="5" t="s">
        <v>8585</v>
      </c>
      <c r="K619" s="5" t="s">
        <v>8632</v>
      </c>
      <c r="L619" s="6" t="s">
        <v>42</v>
      </c>
      <c r="M619" s="5" t="s">
        <v>1959</v>
      </c>
      <c r="N619" s="5" t="s">
        <v>64</v>
      </c>
      <c r="O619" s="5" t="s">
        <v>14344</v>
      </c>
      <c r="P619" s="5" t="s">
        <v>14345</v>
      </c>
      <c r="Q619" s="5" t="s">
        <v>16236</v>
      </c>
      <c r="R619" s="6">
        <v>8889.0</v>
      </c>
    </row>
    <row r="620" ht="56.25" customHeight="1">
      <c r="A620" s="5" t="s">
        <v>16237</v>
      </c>
      <c r="B620" s="6" t="str">
        <f>IMAGE("https://storage.googleapis.com/acdb/dresses/TopsTexOnepieceOverallLPajama1.png")</f>
        <v/>
      </c>
      <c r="C620" s="5" t="s">
        <v>1187</v>
      </c>
      <c r="D620" s="5" t="s">
        <v>36</v>
      </c>
      <c r="E620" s="6">
        <v>1050.0</v>
      </c>
      <c r="F620" s="6">
        <v>262.0</v>
      </c>
      <c r="G620" s="5" t="s">
        <v>68</v>
      </c>
      <c r="H620" s="5" t="s">
        <v>57</v>
      </c>
      <c r="I620" s="6" t="s">
        <v>40</v>
      </c>
      <c r="J620" s="5" t="s">
        <v>8585</v>
      </c>
      <c r="K620" s="5" t="s">
        <v>8632</v>
      </c>
      <c r="L620" s="6" t="s">
        <v>42</v>
      </c>
      <c r="M620" s="5" t="s">
        <v>995</v>
      </c>
      <c r="N620" s="5" t="s">
        <v>64</v>
      </c>
      <c r="O620" s="5" t="s">
        <v>14358</v>
      </c>
      <c r="P620" s="5" t="s">
        <v>14333</v>
      </c>
      <c r="Q620" s="5" t="s">
        <v>16240</v>
      </c>
      <c r="R620" s="6">
        <v>7823.0</v>
      </c>
    </row>
    <row r="621" ht="56.25" customHeight="1">
      <c r="A621" s="5" t="s">
        <v>16237</v>
      </c>
      <c r="B621" s="6" t="str">
        <f>IMAGE("https://storage.googleapis.com/acdb/dresses/TopsTexOnepieceOverallLPajama2.png")</f>
        <v/>
      </c>
      <c r="C621" s="5" t="s">
        <v>95</v>
      </c>
      <c r="D621" s="5" t="s">
        <v>36</v>
      </c>
      <c r="E621" s="6">
        <v>1050.0</v>
      </c>
      <c r="F621" s="6">
        <v>262.0</v>
      </c>
      <c r="G621" s="5" t="s">
        <v>95</v>
      </c>
      <c r="H621" s="5" t="s">
        <v>57</v>
      </c>
      <c r="I621" s="6" t="s">
        <v>40</v>
      </c>
      <c r="J621" s="5" t="s">
        <v>8585</v>
      </c>
      <c r="K621" s="5" t="s">
        <v>8632</v>
      </c>
      <c r="L621" s="6" t="s">
        <v>42</v>
      </c>
      <c r="M621" s="5" t="s">
        <v>995</v>
      </c>
      <c r="N621" s="5" t="s">
        <v>64</v>
      </c>
      <c r="O621" s="5" t="s">
        <v>14358</v>
      </c>
      <c r="P621" s="5" t="s">
        <v>14333</v>
      </c>
      <c r="Q621" s="5" t="s">
        <v>16241</v>
      </c>
      <c r="R621" s="6">
        <v>7824.0</v>
      </c>
    </row>
    <row r="622" ht="56.25" customHeight="1">
      <c r="A622" s="5" t="s">
        <v>16237</v>
      </c>
      <c r="B622" s="6" t="str">
        <f>IMAGE("https://storage.googleapis.com/acdb/dresses/TopsTexOnepieceOverallLPajama3.png")</f>
        <v/>
      </c>
      <c r="C622" s="5" t="s">
        <v>96</v>
      </c>
      <c r="D622" s="5" t="s">
        <v>36</v>
      </c>
      <c r="E622" s="6">
        <v>1050.0</v>
      </c>
      <c r="F622" s="6">
        <v>262.0</v>
      </c>
      <c r="G622" s="5" t="s">
        <v>96</v>
      </c>
      <c r="H622" s="5" t="s">
        <v>57</v>
      </c>
      <c r="I622" s="6" t="s">
        <v>40</v>
      </c>
      <c r="J622" s="5" t="s">
        <v>8585</v>
      </c>
      <c r="K622" s="5" t="s">
        <v>8632</v>
      </c>
      <c r="L622" s="6" t="s">
        <v>42</v>
      </c>
      <c r="M622" s="5" t="s">
        <v>995</v>
      </c>
      <c r="N622" s="5" t="s">
        <v>64</v>
      </c>
      <c r="O622" s="5" t="s">
        <v>14358</v>
      </c>
      <c r="P622" s="5" t="s">
        <v>14333</v>
      </c>
      <c r="Q622" s="5" t="s">
        <v>16244</v>
      </c>
      <c r="R622" s="6">
        <v>7825.0</v>
      </c>
    </row>
    <row r="623" ht="56.25" customHeight="1">
      <c r="A623" s="5" t="s">
        <v>16237</v>
      </c>
      <c r="B623" s="6" t="str">
        <f>IMAGE("https://storage.googleapis.com/acdb/dresses/TopsTexOnepieceOverallLPajama4.png")</f>
        <v/>
      </c>
      <c r="C623" s="5" t="s">
        <v>52</v>
      </c>
      <c r="D623" s="5" t="s">
        <v>36</v>
      </c>
      <c r="E623" s="6">
        <v>1050.0</v>
      </c>
      <c r="F623" s="6">
        <v>262.0</v>
      </c>
      <c r="G623" s="5" t="s">
        <v>52</v>
      </c>
      <c r="H623" s="5" t="s">
        <v>57</v>
      </c>
      <c r="I623" s="6" t="s">
        <v>40</v>
      </c>
      <c r="J623" s="5" t="s">
        <v>8585</v>
      </c>
      <c r="K623" s="5" t="s">
        <v>8632</v>
      </c>
      <c r="L623" s="6" t="s">
        <v>42</v>
      </c>
      <c r="M623" s="5" t="s">
        <v>995</v>
      </c>
      <c r="N623" s="5" t="s">
        <v>64</v>
      </c>
      <c r="O623" s="5" t="s">
        <v>14358</v>
      </c>
      <c r="P623" s="5" t="s">
        <v>14333</v>
      </c>
      <c r="Q623" s="5" t="s">
        <v>16245</v>
      </c>
      <c r="R623" s="6">
        <v>7826.0</v>
      </c>
    </row>
    <row r="624" ht="56.25" customHeight="1">
      <c r="A624" s="5" t="s">
        <v>16237</v>
      </c>
      <c r="B624" s="6" t="str">
        <f>IMAGE("https://storage.googleapis.com/acdb/dresses/TopsTexOnepieceOverallLPajama0.png")</f>
        <v/>
      </c>
      <c r="C624" s="5" t="s">
        <v>68</v>
      </c>
      <c r="D624" s="5" t="s">
        <v>36</v>
      </c>
      <c r="E624" s="6">
        <v>1050.0</v>
      </c>
      <c r="F624" s="6">
        <v>262.0</v>
      </c>
      <c r="G624" s="5" t="s">
        <v>83</v>
      </c>
      <c r="H624" s="5" t="s">
        <v>57</v>
      </c>
      <c r="I624" s="6" t="s">
        <v>40</v>
      </c>
      <c r="J624" s="5" t="s">
        <v>8585</v>
      </c>
      <c r="K624" s="5" t="s">
        <v>8632</v>
      </c>
      <c r="L624" s="6" t="s">
        <v>42</v>
      </c>
      <c r="M624" s="5" t="s">
        <v>995</v>
      </c>
      <c r="N624" s="5" t="s">
        <v>64</v>
      </c>
      <c r="O624" s="5" t="s">
        <v>14358</v>
      </c>
      <c r="P624" s="5" t="s">
        <v>14333</v>
      </c>
      <c r="Q624" s="5" t="s">
        <v>16248</v>
      </c>
      <c r="R624" s="6">
        <v>3354.0</v>
      </c>
    </row>
    <row r="625" ht="56.25" customHeight="1">
      <c r="A625" s="5" t="s">
        <v>16249</v>
      </c>
      <c r="B625" s="6" t="str">
        <f>IMAGE("https://storage.googleapis.com/acdb/dresses/TopsTexOnepieceBalloonNBlockcheck1.png")</f>
        <v/>
      </c>
      <c r="C625" s="5" t="s">
        <v>10587</v>
      </c>
      <c r="D625" s="5" t="s">
        <v>36</v>
      </c>
      <c r="E625" s="6">
        <v>2000.0</v>
      </c>
      <c r="F625" s="6">
        <v>500.0</v>
      </c>
      <c r="G625" s="5" t="s">
        <v>142</v>
      </c>
      <c r="H625" s="5" t="s">
        <v>83</v>
      </c>
      <c r="I625" s="6" t="s">
        <v>40</v>
      </c>
      <c r="J625" s="5" t="s">
        <v>8585</v>
      </c>
      <c r="K625" s="5" t="s">
        <v>8632</v>
      </c>
      <c r="L625" s="6" t="s">
        <v>42</v>
      </c>
      <c r="M625" s="5" t="s">
        <v>1959</v>
      </c>
      <c r="N625" s="5" t="s">
        <v>64</v>
      </c>
      <c r="O625" s="5" t="s">
        <v>14344</v>
      </c>
      <c r="P625" s="5" t="s">
        <v>14412</v>
      </c>
      <c r="Q625" s="5" t="s">
        <v>16253</v>
      </c>
      <c r="R625" s="6">
        <v>9419.0</v>
      </c>
    </row>
    <row r="626" ht="56.25" customHeight="1">
      <c r="A626" s="5" t="s">
        <v>16249</v>
      </c>
      <c r="B626" s="6" t="str">
        <f>IMAGE("https://storage.googleapis.com/acdb/dresses/TopsTexOnepieceBalloonNBlockcheck0.png")</f>
        <v/>
      </c>
      <c r="C626" s="5" t="s">
        <v>10584</v>
      </c>
      <c r="D626" s="5" t="s">
        <v>36</v>
      </c>
      <c r="E626" s="6">
        <v>2000.0</v>
      </c>
      <c r="F626" s="6">
        <v>500.0</v>
      </c>
      <c r="G626" s="5" t="s">
        <v>83</v>
      </c>
      <c r="H626" s="5" t="s">
        <v>52</v>
      </c>
      <c r="I626" s="6" t="s">
        <v>40</v>
      </c>
      <c r="J626" s="5" t="s">
        <v>8585</v>
      </c>
      <c r="K626" s="5" t="s">
        <v>8632</v>
      </c>
      <c r="L626" s="6" t="s">
        <v>42</v>
      </c>
      <c r="M626" s="5" t="s">
        <v>1959</v>
      </c>
      <c r="N626" s="5" t="s">
        <v>64</v>
      </c>
      <c r="O626" s="5" t="s">
        <v>14344</v>
      </c>
      <c r="P626" s="5" t="s">
        <v>14412</v>
      </c>
      <c r="Q626" s="5" t="s">
        <v>16256</v>
      </c>
      <c r="R626" s="6">
        <v>4399.0</v>
      </c>
    </row>
    <row r="627" ht="56.25" customHeight="1">
      <c r="A627" s="5" t="s">
        <v>16249</v>
      </c>
      <c r="B627" s="6" t="str">
        <f>IMAGE("https://storage.googleapis.com/acdb/dresses/TopsTexOnepieceBalloonNBlockcheck2.png")</f>
        <v/>
      </c>
      <c r="C627" s="5" t="s">
        <v>10591</v>
      </c>
      <c r="D627" s="5" t="s">
        <v>36</v>
      </c>
      <c r="E627" s="6">
        <v>2000.0</v>
      </c>
      <c r="F627" s="6">
        <v>500.0</v>
      </c>
      <c r="G627" s="5" t="s">
        <v>106</v>
      </c>
      <c r="H627" s="5" t="s">
        <v>68</v>
      </c>
      <c r="I627" s="6" t="s">
        <v>40</v>
      </c>
      <c r="J627" s="5" t="s">
        <v>8585</v>
      </c>
      <c r="K627" s="5" t="s">
        <v>8632</v>
      </c>
      <c r="L627" s="6" t="s">
        <v>42</v>
      </c>
      <c r="M627" s="5" t="s">
        <v>1959</v>
      </c>
      <c r="N627" s="5" t="s">
        <v>64</v>
      </c>
      <c r="O627" s="5" t="s">
        <v>14344</v>
      </c>
      <c r="P627" s="5" t="s">
        <v>14412</v>
      </c>
      <c r="Q627" s="5" t="s">
        <v>16257</v>
      </c>
      <c r="R627" s="6">
        <v>9420.0</v>
      </c>
    </row>
    <row r="628" ht="56.25" customHeight="1">
      <c r="A628" s="5" t="s">
        <v>16249</v>
      </c>
      <c r="B628" s="6" t="str">
        <f>IMAGE("https://storage.googleapis.com/acdb/dresses/TopsTexOnepieceBalloonNBlockcheck3.png")</f>
        <v/>
      </c>
      <c r="C628" s="5" t="s">
        <v>10594</v>
      </c>
      <c r="D628" s="5" t="s">
        <v>36</v>
      </c>
      <c r="E628" s="6">
        <v>2000.0</v>
      </c>
      <c r="F628" s="6">
        <v>500.0</v>
      </c>
      <c r="G628" s="5" t="s">
        <v>96</v>
      </c>
      <c r="H628" s="5" t="s">
        <v>39</v>
      </c>
      <c r="I628" s="6" t="s">
        <v>40</v>
      </c>
      <c r="J628" s="5" t="s">
        <v>8585</v>
      </c>
      <c r="K628" s="5" t="s">
        <v>8632</v>
      </c>
      <c r="L628" s="6" t="s">
        <v>42</v>
      </c>
      <c r="M628" s="5" t="s">
        <v>1959</v>
      </c>
      <c r="N628" s="5" t="s">
        <v>64</v>
      </c>
      <c r="O628" s="5" t="s">
        <v>14344</v>
      </c>
      <c r="P628" s="5" t="s">
        <v>14412</v>
      </c>
      <c r="Q628" s="5" t="s">
        <v>16259</v>
      </c>
      <c r="R628" s="6">
        <v>9421.0</v>
      </c>
    </row>
    <row r="629" ht="56.25" customHeight="1">
      <c r="A629" s="5" t="s">
        <v>16260</v>
      </c>
      <c r="B629" s="6" t="str">
        <f>IMAGE("https://storage.googleapis.com/acdb/dresses/TopsTexOnepieceBoxLChidori1.png")</f>
        <v/>
      </c>
      <c r="C629" s="5" t="s">
        <v>95</v>
      </c>
      <c r="D629" s="5" t="s">
        <v>36</v>
      </c>
      <c r="E629" s="6">
        <v>1600.0</v>
      </c>
      <c r="F629" s="6">
        <v>400.0</v>
      </c>
      <c r="G629" s="5" t="s">
        <v>95</v>
      </c>
      <c r="H629" s="5" t="s">
        <v>54</v>
      </c>
      <c r="I629" s="6" t="s">
        <v>40</v>
      </c>
      <c r="J629" s="5" t="s">
        <v>8585</v>
      </c>
      <c r="K629" s="5" t="s">
        <v>8632</v>
      </c>
      <c r="L629" s="6" t="s">
        <v>42</v>
      </c>
      <c r="M629" s="5" t="s">
        <v>1059</v>
      </c>
      <c r="N629" s="5" t="s">
        <v>64</v>
      </c>
      <c r="O629" s="5" t="s">
        <v>14332</v>
      </c>
      <c r="P629" s="5" t="s">
        <v>14333</v>
      </c>
      <c r="Q629" s="5" t="s">
        <v>16262</v>
      </c>
      <c r="R629" s="6">
        <v>9020.0</v>
      </c>
    </row>
    <row r="630" ht="56.25" customHeight="1">
      <c r="A630" s="5" t="s">
        <v>16260</v>
      </c>
      <c r="B630" s="6" t="str">
        <f>IMAGE("https://storage.googleapis.com/acdb/dresses/TopsTexOnepieceBoxLChidori2.png")</f>
        <v/>
      </c>
      <c r="C630" s="5" t="s">
        <v>96</v>
      </c>
      <c r="D630" s="5" t="s">
        <v>36</v>
      </c>
      <c r="E630" s="6">
        <v>1600.0</v>
      </c>
      <c r="F630" s="6">
        <v>400.0</v>
      </c>
      <c r="G630" s="5" t="s">
        <v>96</v>
      </c>
      <c r="H630" s="5" t="s">
        <v>54</v>
      </c>
      <c r="I630" s="6" t="s">
        <v>40</v>
      </c>
      <c r="J630" s="5" t="s">
        <v>8585</v>
      </c>
      <c r="K630" s="5" t="s">
        <v>8632</v>
      </c>
      <c r="L630" s="6" t="s">
        <v>42</v>
      </c>
      <c r="M630" s="5" t="s">
        <v>1059</v>
      </c>
      <c r="N630" s="5" t="s">
        <v>64</v>
      </c>
      <c r="O630" s="5" t="s">
        <v>14332</v>
      </c>
      <c r="P630" s="5" t="s">
        <v>14333</v>
      </c>
      <c r="Q630" s="5" t="s">
        <v>16264</v>
      </c>
      <c r="R630" s="6">
        <v>9021.0</v>
      </c>
    </row>
    <row r="631" ht="56.25" customHeight="1">
      <c r="A631" s="5" t="s">
        <v>16260</v>
      </c>
      <c r="B631" s="6" t="str">
        <f>IMAGE("https://storage.googleapis.com/acdb/dresses/TopsTexOnepieceBoxLChidori0.png")</f>
        <v/>
      </c>
      <c r="C631" s="5" t="s">
        <v>39</v>
      </c>
      <c r="D631" s="5" t="s">
        <v>36</v>
      </c>
      <c r="E631" s="6">
        <v>1600.0</v>
      </c>
      <c r="F631" s="6">
        <v>400.0</v>
      </c>
      <c r="G631" s="5" t="s">
        <v>39</v>
      </c>
      <c r="H631" s="5" t="s">
        <v>54</v>
      </c>
      <c r="I631" s="6" t="s">
        <v>40</v>
      </c>
      <c r="J631" s="5" t="s">
        <v>8585</v>
      </c>
      <c r="K631" s="5" t="s">
        <v>8632</v>
      </c>
      <c r="L631" s="6" t="s">
        <v>42</v>
      </c>
      <c r="M631" s="5" t="s">
        <v>1059</v>
      </c>
      <c r="N631" s="5" t="s">
        <v>64</v>
      </c>
      <c r="O631" s="5" t="s">
        <v>14332</v>
      </c>
      <c r="P631" s="5" t="s">
        <v>14333</v>
      </c>
      <c r="Q631" s="5" t="s">
        <v>16266</v>
      </c>
      <c r="R631" s="6">
        <v>3128.0</v>
      </c>
    </row>
    <row r="632" ht="56.25" customHeight="1">
      <c r="A632" s="5" t="s">
        <v>16267</v>
      </c>
      <c r="B632" s="6" t="str">
        <f>IMAGE("https://storage.googleapis.com/acdb/dresses/TopsTexOnepieceOverallLPowered1.png")</f>
        <v/>
      </c>
      <c r="C632" s="5" t="s">
        <v>68</v>
      </c>
      <c r="D632" s="5" t="s">
        <v>36</v>
      </c>
      <c r="E632" s="6">
        <v>3780.0</v>
      </c>
      <c r="F632" s="6">
        <v>945.0</v>
      </c>
      <c r="G632" s="5" t="s">
        <v>68</v>
      </c>
      <c r="H632" s="5" t="s">
        <v>96</v>
      </c>
      <c r="I632" s="6" t="s">
        <v>40</v>
      </c>
      <c r="J632" s="5" t="s">
        <v>8585</v>
      </c>
      <c r="K632" s="5" t="s">
        <v>8586</v>
      </c>
      <c r="L632" s="6" t="s">
        <v>42</v>
      </c>
      <c r="M632" s="5" t="s">
        <v>8746</v>
      </c>
      <c r="N632" s="5" t="s">
        <v>64</v>
      </c>
      <c r="O632" s="5" t="s">
        <v>14358</v>
      </c>
      <c r="P632" s="5" t="s">
        <v>14333</v>
      </c>
      <c r="Q632" s="5" t="s">
        <v>16269</v>
      </c>
      <c r="R632" s="6">
        <v>11564.0</v>
      </c>
    </row>
    <row r="633" ht="56.25" customHeight="1">
      <c r="A633" s="5" t="s">
        <v>16267</v>
      </c>
      <c r="B633" s="6" t="str">
        <f>IMAGE("https://storage.googleapis.com/acdb/dresses/TopsTexOnepieceOverallLPowered2.png")</f>
        <v/>
      </c>
      <c r="C633" s="5" t="s">
        <v>96</v>
      </c>
      <c r="D633" s="5" t="s">
        <v>36</v>
      </c>
      <c r="E633" s="6">
        <v>3780.0</v>
      </c>
      <c r="F633" s="6">
        <v>945.0</v>
      </c>
      <c r="G633" s="5" t="s">
        <v>96</v>
      </c>
      <c r="H633" s="5" t="s">
        <v>106</v>
      </c>
      <c r="I633" s="6" t="s">
        <v>40</v>
      </c>
      <c r="J633" s="5" t="s">
        <v>8585</v>
      </c>
      <c r="K633" s="5" t="s">
        <v>8586</v>
      </c>
      <c r="L633" s="6" t="s">
        <v>42</v>
      </c>
      <c r="M633" s="5" t="s">
        <v>8746</v>
      </c>
      <c r="N633" s="5" t="s">
        <v>64</v>
      </c>
      <c r="O633" s="5" t="s">
        <v>14358</v>
      </c>
      <c r="P633" s="5" t="s">
        <v>14333</v>
      </c>
      <c r="Q633" s="5" t="s">
        <v>16270</v>
      </c>
      <c r="R633" s="6">
        <v>11565.0</v>
      </c>
    </row>
    <row r="634" ht="56.25" customHeight="1">
      <c r="A634" s="5" t="s">
        <v>16267</v>
      </c>
      <c r="B634" s="6" t="str">
        <f>IMAGE("https://storage.googleapis.com/acdb/dresses/TopsTexOnepieceOverallLPoweredRed.png")</f>
        <v/>
      </c>
      <c r="C634" s="5" t="s">
        <v>52</v>
      </c>
      <c r="D634" s="5" t="s">
        <v>36</v>
      </c>
      <c r="E634" s="6">
        <v>3780.0</v>
      </c>
      <c r="F634" s="6">
        <v>945.0</v>
      </c>
      <c r="G634" s="5" t="s">
        <v>52</v>
      </c>
      <c r="H634" s="5" t="s">
        <v>95</v>
      </c>
      <c r="I634" s="6" t="s">
        <v>40</v>
      </c>
      <c r="J634" s="5" t="s">
        <v>8585</v>
      </c>
      <c r="K634" s="5" t="s">
        <v>8586</v>
      </c>
      <c r="L634" s="6" t="s">
        <v>42</v>
      </c>
      <c r="M634" s="5" t="s">
        <v>8746</v>
      </c>
      <c r="N634" s="5" t="s">
        <v>64</v>
      </c>
      <c r="O634" s="5" t="s">
        <v>14358</v>
      </c>
      <c r="P634" s="5" t="s">
        <v>14333</v>
      </c>
      <c r="Q634" s="5" t="s">
        <v>16273</v>
      </c>
      <c r="R634" s="6">
        <v>5424.0</v>
      </c>
    </row>
    <row r="635" ht="56.25" customHeight="1">
      <c r="A635" s="5" t="s">
        <v>16267</v>
      </c>
      <c r="B635" s="6" t="str">
        <f>IMAGE("https://storage.googleapis.com/acdb/dresses/TopsTexOnepieceOverallLPowered3.png")</f>
        <v/>
      </c>
      <c r="C635" s="5" t="s">
        <v>54</v>
      </c>
      <c r="D635" s="5" t="s">
        <v>36</v>
      </c>
      <c r="E635" s="6">
        <v>3780.0</v>
      </c>
      <c r="F635" s="6">
        <v>945.0</v>
      </c>
      <c r="G635" s="5" t="s">
        <v>54</v>
      </c>
      <c r="H635" s="5" t="s">
        <v>52</v>
      </c>
      <c r="I635" s="6" t="s">
        <v>40</v>
      </c>
      <c r="J635" s="5" t="s">
        <v>8585</v>
      </c>
      <c r="K635" s="5" t="s">
        <v>8586</v>
      </c>
      <c r="L635" s="6" t="s">
        <v>42</v>
      </c>
      <c r="M635" s="5" t="s">
        <v>8746</v>
      </c>
      <c r="N635" s="5" t="s">
        <v>64</v>
      </c>
      <c r="O635" s="5" t="s">
        <v>14358</v>
      </c>
      <c r="P635" s="5" t="s">
        <v>14333</v>
      </c>
      <c r="Q635" s="5" t="s">
        <v>16276</v>
      </c>
      <c r="R635" s="6">
        <v>11566.0</v>
      </c>
    </row>
    <row r="636" ht="56.25" customHeight="1">
      <c r="A636" s="5" t="s">
        <v>16277</v>
      </c>
      <c r="B636" s="6" t="str">
        <f>IMAGE("https://storage.googleapis.com/acdb/dresses/TopsTexOnepieceBoxLEnsemble1.png")</f>
        <v/>
      </c>
      <c r="C636" s="5" t="s">
        <v>95</v>
      </c>
      <c r="D636" s="5" t="s">
        <v>36</v>
      </c>
      <c r="E636" s="6">
        <v>1920.0</v>
      </c>
      <c r="F636" s="6">
        <v>480.0</v>
      </c>
      <c r="G636" s="5" t="s">
        <v>95</v>
      </c>
      <c r="H636" s="5" t="s">
        <v>54</v>
      </c>
      <c r="I636" s="6" t="s">
        <v>40</v>
      </c>
      <c r="J636" s="5" t="s">
        <v>8585</v>
      </c>
      <c r="K636" s="5" t="s">
        <v>8586</v>
      </c>
      <c r="L636" s="6" t="s">
        <v>42</v>
      </c>
      <c r="M636" s="5" t="s">
        <v>1059</v>
      </c>
      <c r="N636" s="5" t="s">
        <v>64</v>
      </c>
      <c r="O636" s="5" t="s">
        <v>14332</v>
      </c>
      <c r="P636" s="5" t="s">
        <v>14333</v>
      </c>
      <c r="Q636" s="5" t="s">
        <v>16279</v>
      </c>
      <c r="R636" s="6">
        <v>9018.0</v>
      </c>
    </row>
    <row r="637" ht="56.25" customHeight="1">
      <c r="A637" s="5" t="s">
        <v>16277</v>
      </c>
      <c r="B637" s="6" t="str">
        <f>IMAGE("https://storage.googleapis.com/acdb/dresses/TopsTexOnepieceBoxLEnsemble2.png")</f>
        <v/>
      </c>
      <c r="C637" s="5" t="s">
        <v>69</v>
      </c>
      <c r="D637" s="5" t="s">
        <v>36</v>
      </c>
      <c r="E637" s="6">
        <v>1920.0</v>
      </c>
      <c r="F637" s="6">
        <v>480.0</v>
      </c>
      <c r="G637" s="5" t="s">
        <v>69</v>
      </c>
      <c r="H637" s="5" t="s">
        <v>69</v>
      </c>
      <c r="I637" s="6" t="s">
        <v>40</v>
      </c>
      <c r="J637" s="5" t="s">
        <v>8585</v>
      </c>
      <c r="K637" s="5" t="s">
        <v>8586</v>
      </c>
      <c r="L637" s="6" t="s">
        <v>42</v>
      </c>
      <c r="M637" s="5" t="s">
        <v>1059</v>
      </c>
      <c r="N637" s="5" t="s">
        <v>64</v>
      </c>
      <c r="O637" s="5" t="s">
        <v>14332</v>
      </c>
      <c r="P637" s="5" t="s">
        <v>14333</v>
      </c>
      <c r="Q637" s="5" t="s">
        <v>16280</v>
      </c>
      <c r="R637" s="6">
        <v>9019.0</v>
      </c>
    </row>
    <row r="638" ht="56.25" customHeight="1">
      <c r="A638" s="5" t="s">
        <v>16277</v>
      </c>
      <c r="B638" s="6" t="str">
        <f>IMAGE("https://storage.googleapis.com/acdb/dresses/TopsTexOnepieceBoxLEnsemble0.png")</f>
        <v/>
      </c>
      <c r="C638" s="5" t="s">
        <v>68</v>
      </c>
      <c r="D638" s="5" t="s">
        <v>36</v>
      </c>
      <c r="E638" s="6">
        <v>1920.0</v>
      </c>
      <c r="F638" s="6">
        <v>480.0</v>
      </c>
      <c r="G638" s="5" t="s">
        <v>83</v>
      </c>
      <c r="H638" s="5" t="s">
        <v>68</v>
      </c>
      <c r="I638" s="6" t="s">
        <v>40</v>
      </c>
      <c r="J638" s="5" t="s">
        <v>8585</v>
      </c>
      <c r="K638" s="5" t="s">
        <v>8586</v>
      </c>
      <c r="L638" s="6" t="s">
        <v>42</v>
      </c>
      <c r="M638" s="5" t="s">
        <v>1059</v>
      </c>
      <c r="N638" s="5" t="s">
        <v>64</v>
      </c>
      <c r="O638" s="5" t="s">
        <v>14332</v>
      </c>
      <c r="P638" s="5" t="s">
        <v>14333</v>
      </c>
      <c r="Q638" s="5" t="s">
        <v>16283</v>
      </c>
      <c r="R638" s="6">
        <v>2784.0</v>
      </c>
    </row>
    <row r="639" ht="56.25" customHeight="1">
      <c r="A639" s="5" t="s">
        <v>16284</v>
      </c>
      <c r="B639" s="6" t="str">
        <f>IMAGE("https://storage.googleapis.com/acdb/dresses/TopsTexOnepieceDressLPrincess0.png")</f>
        <v/>
      </c>
      <c r="C639" s="5" t="s">
        <v>68</v>
      </c>
      <c r="D639" s="5" t="s">
        <v>36</v>
      </c>
      <c r="E639" s="6">
        <v>5500.0</v>
      </c>
      <c r="F639" s="6">
        <v>1375.0</v>
      </c>
      <c r="G639" s="5" t="s">
        <v>83</v>
      </c>
      <c r="H639" s="5" t="s">
        <v>68</v>
      </c>
      <c r="I639" s="6" t="s">
        <v>40</v>
      </c>
      <c r="J639" s="5" t="s">
        <v>8585</v>
      </c>
      <c r="K639" s="5" t="s">
        <v>8586</v>
      </c>
      <c r="L639" s="6" t="s">
        <v>42</v>
      </c>
      <c r="M639" s="5" t="s">
        <v>1059</v>
      </c>
      <c r="N639" s="5" t="s">
        <v>64</v>
      </c>
      <c r="O639" s="5" t="s">
        <v>14841</v>
      </c>
      <c r="P639" s="5" t="s">
        <v>14333</v>
      </c>
      <c r="Q639" s="5" t="s">
        <v>16286</v>
      </c>
      <c r="R639" s="6">
        <v>3260.0</v>
      </c>
    </row>
    <row r="640" ht="56.25" customHeight="1">
      <c r="A640" s="5" t="s">
        <v>16284</v>
      </c>
      <c r="B640" s="6" t="str">
        <f>IMAGE("https://storage.googleapis.com/acdb/dresses/TopsTexOnepieceDressLPrincess1.png")</f>
        <v/>
      </c>
      <c r="C640" s="5" t="s">
        <v>96</v>
      </c>
      <c r="D640" s="5" t="s">
        <v>36</v>
      </c>
      <c r="E640" s="6">
        <v>5500.0</v>
      </c>
      <c r="F640" s="6">
        <v>1375.0</v>
      </c>
      <c r="G640" s="5" t="s">
        <v>96</v>
      </c>
      <c r="H640" s="5" t="s">
        <v>96</v>
      </c>
      <c r="I640" s="6" t="s">
        <v>40</v>
      </c>
      <c r="J640" s="5" t="s">
        <v>8585</v>
      </c>
      <c r="K640" s="5" t="s">
        <v>8586</v>
      </c>
      <c r="L640" s="6" t="s">
        <v>42</v>
      </c>
      <c r="M640" s="5" t="s">
        <v>1059</v>
      </c>
      <c r="N640" s="5" t="s">
        <v>64</v>
      </c>
      <c r="O640" s="5" t="s">
        <v>14841</v>
      </c>
      <c r="P640" s="5" t="s">
        <v>14333</v>
      </c>
      <c r="Q640" s="5" t="s">
        <v>16288</v>
      </c>
      <c r="R640" s="6">
        <v>8231.0</v>
      </c>
    </row>
    <row r="641" ht="56.25" customHeight="1">
      <c r="A641" s="5" t="s">
        <v>16284</v>
      </c>
      <c r="B641" s="6" t="str">
        <f>IMAGE("https://storage.googleapis.com/acdb/dresses/TopsTexOnepieceDressLPrincess2.png")</f>
        <v/>
      </c>
      <c r="C641" s="5" t="s">
        <v>114</v>
      </c>
      <c r="D641" s="5" t="s">
        <v>36</v>
      </c>
      <c r="E641" s="6">
        <v>5500.0</v>
      </c>
      <c r="F641" s="6">
        <v>1375.0</v>
      </c>
      <c r="G641" s="5" t="s">
        <v>114</v>
      </c>
      <c r="H641" s="5" t="s">
        <v>142</v>
      </c>
      <c r="I641" s="6" t="s">
        <v>40</v>
      </c>
      <c r="J641" s="5" t="s">
        <v>8585</v>
      </c>
      <c r="K641" s="5" t="s">
        <v>8586</v>
      </c>
      <c r="L641" s="6" t="s">
        <v>42</v>
      </c>
      <c r="M641" s="5" t="s">
        <v>1059</v>
      </c>
      <c r="N641" s="5" t="s">
        <v>64</v>
      </c>
      <c r="O641" s="5" t="s">
        <v>14841</v>
      </c>
      <c r="P641" s="5" t="s">
        <v>14333</v>
      </c>
      <c r="Q641" s="5" t="s">
        <v>16293</v>
      </c>
      <c r="R641" s="6">
        <v>8232.0</v>
      </c>
    </row>
    <row r="642" ht="56.25" customHeight="1">
      <c r="A642" s="5" t="s">
        <v>16284</v>
      </c>
      <c r="B642" s="6" t="str">
        <f>IMAGE("https://storage.googleapis.com/acdb/dresses/TopsTexOnepieceDressLPrincess3.png")</f>
        <v/>
      </c>
      <c r="C642" s="5" t="s">
        <v>69</v>
      </c>
      <c r="D642" s="5" t="s">
        <v>36</v>
      </c>
      <c r="E642" s="6">
        <v>5500.0</v>
      </c>
      <c r="F642" s="6">
        <v>1375.0</v>
      </c>
      <c r="G642" s="5" t="s">
        <v>69</v>
      </c>
      <c r="H642" s="5" t="s">
        <v>69</v>
      </c>
      <c r="I642" s="6" t="s">
        <v>40</v>
      </c>
      <c r="J642" s="5" t="s">
        <v>8585</v>
      </c>
      <c r="K642" s="5" t="s">
        <v>8586</v>
      </c>
      <c r="L642" s="6" t="s">
        <v>42</v>
      </c>
      <c r="M642" s="5" t="s">
        <v>1059</v>
      </c>
      <c r="N642" s="5" t="s">
        <v>64</v>
      </c>
      <c r="O642" s="5" t="s">
        <v>14841</v>
      </c>
      <c r="P642" s="5" t="s">
        <v>14333</v>
      </c>
      <c r="Q642" s="5" t="s">
        <v>16294</v>
      </c>
      <c r="R642" s="6">
        <v>8233.0</v>
      </c>
    </row>
    <row r="643" ht="56.25" customHeight="1">
      <c r="A643" s="5" t="s">
        <v>16284</v>
      </c>
      <c r="B643" s="6" t="str">
        <f>IMAGE("https://storage.googleapis.com/acdb/dresses/TopsTexOnepieceDressLPrincess4.png")</f>
        <v/>
      </c>
      <c r="C643" s="5" t="s">
        <v>106</v>
      </c>
      <c r="D643" s="5" t="s">
        <v>36</v>
      </c>
      <c r="E643" s="6">
        <v>5500.0</v>
      </c>
      <c r="F643" s="6">
        <v>1375.0</v>
      </c>
      <c r="G643" s="5" t="s">
        <v>106</v>
      </c>
      <c r="H643" s="5" t="s">
        <v>106</v>
      </c>
      <c r="I643" s="6" t="s">
        <v>40</v>
      </c>
      <c r="J643" s="5" t="s">
        <v>8585</v>
      </c>
      <c r="K643" s="5" t="s">
        <v>8586</v>
      </c>
      <c r="L643" s="6" t="s">
        <v>42</v>
      </c>
      <c r="M643" s="5" t="s">
        <v>1059</v>
      </c>
      <c r="N643" s="5" t="s">
        <v>64</v>
      </c>
      <c r="O643" s="5" t="s">
        <v>14841</v>
      </c>
      <c r="P643" s="5" t="s">
        <v>14333</v>
      </c>
      <c r="Q643" s="5" t="s">
        <v>16298</v>
      </c>
      <c r="R643" s="6">
        <v>8234.0</v>
      </c>
    </row>
    <row r="644" ht="56.25" customHeight="1">
      <c r="A644" s="5" t="s">
        <v>16284</v>
      </c>
      <c r="B644" s="6" t="str">
        <f>IMAGE("https://storage.googleapis.com/acdb/dresses/TopsTexOnepieceDressLPrincess5.png")</f>
        <v/>
      </c>
      <c r="C644" s="5" t="s">
        <v>9021</v>
      </c>
      <c r="D644" s="5" t="s">
        <v>36</v>
      </c>
      <c r="E644" s="6">
        <v>5500.0</v>
      </c>
      <c r="F644" s="6">
        <v>1375.0</v>
      </c>
      <c r="G644" s="5" t="s">
        <v>96</v>
      </c>
      <c r="H644" s="5" t="s">
        <v>96</v>
      </c>
      <c r="I644" s="6" t="s">
        <v>40</v>
      </c>
      <c r="J644" s="5" t="s">
        <v>8585</v>
      </c>
      <c r="K644" s="5" t="s">
        <v>8586</v>
      </c>
      <c r="L644" s="6" t="s">
        <v>42</v>
      </c>
      <c r="M644" s="5" t="s">
        <v>1059</v>
      </c>
      <c r="N644" s="5" t="s">
        <v>64</v>
      </c>
      <c r="O644" s="5" t="s">
        <v>14841</v>
      </c>
      <c r="P644" s="5" t="s">
        <v>14333</v>
      </c>
      <c r="Q644" s="5" t="s">
        <v>16302</v>
      </c>
      <c r="R644" s="6">
        <v>8235.0</v>
      </c>
    </row>
    <row r="645" ht="56.25" customHeight="1">
      <c r="A645" s="5" t="s">
        <v>16284</v>
      </c>
      <c r="B645" s="6" t="str">
        <f>IMAGE("https://storage.googleapis.com/acdb/dresses/TopsTexOnepieceDressLPrincess6.png")</f>
        <v/>
      </c>
      <c r="C645" s="5" t="s">
        <v>142</v>
      </c>
      <c r="D645" s="5" t="s">
        <v>36</v>
      </c>
      <c r="E645" s="6">
        <v>5500.0</v>
      </c>
      <c r="F645" s="6">
        <v>1375.0</v>
      </c>
      <c r="G645" s="5" t="s">
        <v>142</v>
      </c>
      <c r="H645" s="5" t="s">
        <v>142</v>
      </c>
      <c r="I645" s="6" t="s">
        <v>40</v>
      </c>
      <c r="J645" s="5" t="s">
        <v>8585</v>
      </c>
      <c r="K645" s="5" t="s">
        <v>8586</v>
      </c>
      <c r="L645" s="6" t="s">
        <v>42</v>
      </c>
      <c r="M645" s="5" t="s">
        <v>1059</v>
      </c>
      <c r="N645" s="5" t="s">
        <v>64</v>
      </c>
      <c r="O645" s="5" t="s">
        <v>14841</v>
      </c>
      <c r="P645" s="5" t="s">
        <v>14333</v>
      </c>
      <c r="Q645" s="5" t="s">
        <v>16308</v>
      </c>
      <c r="R645" s="6">
        <v>8236.0</v>
      </c>
    </row>
    <row r="646" ht="56.25" customHeight="1">
      <c r="A646" s="5" t="s">
        <v>16284</v>
      </c>
      <c r="B646" s="6" t="str">
        <f>IMAGE("https://storage.googleapis.com/acdb/dresses/TopsTexOnepieceDressLPrincess7.png")</f>
        <v/>
      </c>
      <c r="C646" s="5" t="s">
        <v>95</v>
      </c>
      <c r="D646" s="5" t="s">
        <v>36</v>
      </c>
      <c r="E646" s="6">
        <v>5500.0</v>
      </c>
      <c r="F646" s="6">
        <v>1375.0</v>
      </c>
      <c r="G646" s="5" t="s">
        <v>54</v>
      </c>
      <c r="H646" s="5" t="s">
        <v>95</v>
      </c>
      <c r="I646" s="6" t="s">
        <v>40</v>
      </c>
      <c r="J646" s="5" t="s">
        <v>8585</v>
      </c>
      <c r="K646" s="5" t="s">
        <v>8586</v>
      </c>
      <c r="L646" s="6" t="s">
        <v>42</v>
      </c>
      <c r="M646" s="5" t="s">
        <v>1059</v>
      </c>
      <c r="N646" s="5" t="s">
        <v>64</v>
      </c>
      <c r="O646" s="5" t="s">
        <v>14841</v>
      </c>
      <c r="P646" s="5" t="s">
        <v>14333</v>
      </c>
      <c r="Q646" s="5" t="s">
        <v>16311</v>
      </c>
      <c r="R646" s="6">
        <v>8237.0</v>
      </c>
    </row>
    <row r="647" ht="56.25" customHeight="1">
      <c r="A647" s="5" t="s">
        <v>16312</v>
      </c>
      <c r="B647" s="6" t="str">
        <f>IMAGE("https://storage.googleapis.com/acdb/dresses/TopsTexOnepieceOverallLRacer1.png")</f>
        <v/>
      </c>
      <c r="C647" s="5" t="s">
        <v>68</v>
      </c>
      <c r="D647" s="5" t="s">
        <v>36</v>
      </c>
      <c r="E647" s="6">
        <v>2450.0</v>
      </c>
      <c r="F647" s="6">
        <v>612.0</v>
      </c>
      <c r="G647" s="5" t="s">
        <v>68</v>
      </c>
      <c r="H647" s="5" t="s">
        <v>57</v>
      </c>
      <c r="I647" s="6" t="s">
        <v>40</v>
      </c>
      <c r="J647" s="5" t="s">
        <v>8585</v>
      </c>
      <c r="K647" s="5" t="s">
        <v>8586</v>
      </c>
      <c r="L647" s="6" t="s">
        <v>42</v>
      </c>
      <c r="M647" s="5" t="s">
        <v>8746</v>
      </c>
      <c r="N647" s="5" t="s">
        <v>64</v>
      </c>
      <c r="O647" s="5" t="s">
        <v>14358</v>
      </c>
      <c r="P647" s="5" t="s">
        <v>14333</v>
      </c>
      <c r="Q647" s="5" t="s">
        <v>16315</v>
      </c>
      <c r="R647" s="6">
        <v>9466.0</v>
      </c>
    </row>
    <row r="648" ht="56.25" customHeight="1">
      <c r="A648" s="5" t="s">
        <v>16312</v>
      </c>
      <c r="B648" s="6" t="str">
        <f>IMAGE("https://storage.googleapis.com/acdb/dresses/TopsTexOnepieceOverallLRacer2.png")</f>
        <v/>
      </c>
      <c r="C648" s="5" t="s">
        <v>114</v>
      </c>
      <c r="D648" s="5" t="s">
        <v>36</v>
      </c>
      <c r="E648" s="6">
        <v>2450.0</v>
      </c>
      <c r="F648" s="6">
        <v>612.0</v>
      </c>
      <c r="G648" s="5" t="s">
        <v>114</v>
      </c>
      <c r="H648" s="5" t="s">
        <v>57</v>
      </c>
      <c r="I648" s="6" t="s">
        <v>40</v>
      </c>
      <c r="J648" s="5" t="s">
        <v>8585</v>
      </c>
      <c r="K648" s="5" t="s">
        <v>8586</v>
      </c>
      <c r="L648" s="6" t="s">
        <v>42</v>
      </c>
      <c r="M648" s="5" t="s">
        <v>8746</v>
      </c>
      <c r="N648" s="5" t="s">
        <v>64</v>
      </c>
      <c r="O648" s="5" t="s">
        <v>14358</v>
      </c>
      <c r="P648" s="5" t="s">
        <v>14333</v>
      </c>
      <c r="Q648" s="5" t="s">
        <v>16320</v>
      </c>
      <c r="R648" s="6">
        <v>9467.0</v>
      </c>
    </row>
    <row r="649" ht="56.25" customHeight="1">
      <c r="A649" s="5" t="s">
        <v>16312</v>
      </c>
      <c r="B649" s="6" t="str">
        <f>IMAGE("https://storage.googleapis.com/acdb/dresses/TopsTexOnepieceOverallLRacer3.png")</f>
        <v/>
      </c>
      <c r="C649" s="5" t="s">
        <v>54</v>
      </c>
      <c r="D649" s="5" t="s">
        <v>36</v>
      </c>
      <c r="E649" s="6">
        <v>2450.0</v>
      </c>
      <c r="F649" s="6">
        <v>612.0</v>
      </c>
      <c r="G649" s="5" t="s">
        <v>54</v>
      </c>
      <c r="H649" s="5" t="s">
        <v>57</v>
      </c>
      <c r="I649" s="6" t="s">
        <v>40</v>
      </c>
      <c r="J649" s="5" t="s">
        <v>8585</v>
      </c>
      <c r="K649" s="5" t="s">
        <v>8586</v>
      </c>
      <c r="L649" s="6" t="s">
        <v>42</v>
      </c>
      <c r="M649" s="5" t="s">
        <v>8746</v>
      </c>
      <c r="N649" s="5" t="s">
        <v>64</v>
      </c>
      <c r="O649" s="5" t="s">
        <v>14358</v>
      </c>
      <c r="P649" s="5" t="s">
        <v>14333</v>
      </c>
      <c r="Q649" s="5" t="s">
        <v>16323</v>
      </c>
      <c r="R649" s="6">
        <v>9468.0</v>
      </c>
    </row>
    <row r="650" ht="56.25" customHeight="1">
      <c r="A650" s="5" t="s">
        <v>16312</v>
      </c>
      <c r="B650" s="6" t="str">
        <f>IMAGE("https://storage.googleapis.com/acdb/dresses/TopsTexOnepieceOverallLRacer0.png")</f>
        <v/>
      </c>
      <c r="C650" s="5" t="s">
        <v>52</v>
      </c>
      <c r="D650" s="5" t="s">
        <v>36</v>
      </c>
      <c r="E650" s="6">
        <v>2450.0</v>
      </c>
      <c r="F650" s="6">
        <v>612.0</v>
      </c>
      <c r="G650" s="5" t="s">
        <v>52</v>
      </c>
      <c r="H650" s="5" t="s">
        <v>57</v>
      </c>
      <c r="I650" s="6" t="s">
        <v>40</v>
      </c>
      <c r="J650" s="5" t="s">
        <v>8585</v>
      </c>
      <c r="K650" s="5" t="s">
        <v>8586</v>
      </c>
      <c r="L650" s="6" t="s">
        <v>42</v>
      </c>
      <c r="M650" s="5" t="s">
        <v>8746</v>
      </c>
      <c r="N650" s="5" t="s">
        <v>64</v>
      </c>
      <c r="O650" s="5" t="s">
        <v>14358</v>
      </c>
      <c r="P650" s="5" t="s">
        <v>14333</v>
      </c>
      <c r="Q650" s="5" t="s">
        <v>16326</v>
      </c>
      <c r="R650" s="6">
        <v>3655.0</v>
      </c>
    </row>
    <row r="651" ht="56.25" customHeight="1">
      <c r="A651" s="5" t="s">
        <v>16327</v>
      </c>
      <c r="B651" s="6" t="str">
        <f>IMAGE("https://storage.googleapis.com/acdb/dresses/TopsTexOnepieceBoxLBubbly0.png")</f>
        <v/>
      </c>
      <c r="C651" s="5" t="s">
        <v>52</v>
      </c>
      <c r="D651" s="5" t="s">
        <v>36</v>
      </c>
      <c r="E651" s="6">
        <v>2240.0</v>
      </c>
      <c r="F651" s="6">
        <v>560.0</v>
      </c>
      <c r="G651" s="5" t="s">
        <v>52</v>
      </c>
      <c r="H651" s="5" t="s">
        <v>54</v>
      </c>
      <c r="I651" s="6" t="s">
        <v>40</v>
      </c>
      <c r="J651" s="5" t="s">
        <v>8585</v>
      </c>
      <c r="K651" s="5" t="s">
        <v>8586</v>
      </c>
      <c r="L651" s="6" t="s">
        <v>42</v>
      </c>
      <c r="M651" s="5" t="s">
        <v>612</v>
      </c>
      <c r="N651" s="5" t="s">
        <v>64</v>
      </c>
      <c r="O651" s="5" t="s">
        <v>14332</v>
      </c>
      <c r="P651" s="5" t="s">
        <v>14333</v>
      </c>
      <c r="Q651" s="5" t="s">
        <v>16331</v>
      </c>
      <c r="R651" s="6">
        <v>3134.0</v>
      </c>
    </row>
    <row r="652" ht="56.25" customHeight="1">
      <c r="A652" s="5" t="s">
        <v>16327</v>
      </c>
      <c r="B652" s="6" t="str">
        <f>IMAGE("https://storage.googleapis.com/acdb/dresses/TopsTexOnepieceBoxLBubbly1.png")</f>
        <v/>
      </c>
      <c r="C652" s="5" t="s">
        <v>69</v>
      </c>
      <c r="D652" s="5" t="s">
        <v>36</v>
      </c>
      <c r="E652" s="6">
        <v>2240.0</v>
      </c>
      <c r="F652" s="6">
        <v>560.0</v>
      </c>
      <c r="G652" s="5" t="s">
        <v>69</v>
      </c>
      <c r="H652" s="5" t="s">
        <v>54</v>
      </c>
      <c r="I652" s="6" t="s">
        <v>40</v>
      </c>
      <c r="J652" s="5" t="s">
        <v>8585</v>
      </c>
      <c r="K652" s="5" t="s">
        <v>8586</v>
      </c>
      <c r="L652" s="6" t="s">
        <v>42</v>
      </c>
      <c r="M652" s="5" t="s">
        <v>612</v>
      </c>
      <c r="N652" s="5" t="s">
        <v>64</v>
      </c>
      <c r="O652" s="5" t="s">
        <v>14332</v>
      </c>
      <c r="P652" s="5" t="s">
        <v>14333</v>
      </c>
      <c r="Q652" s="5" t="s">
        <v>16336</v>
      </c>
      <c r="R652" s="6">
        <v>7901.0</v>
      </c>
    </row>
    <row r="653" ht="56.25" customHeight="1">
      <c r="A653" s="5" t="s">
        <v>16327</v>
      </c>
      <c r="B653" s="6" t="str">
        <f>IMAGE("https://storage.googleapis.com/acdb/dresses/TopsTexOnepieceBoxLBubbly2.png")</f>
        <v/>
      </c>
      <c r="C653" s="5" t="s">
        <v>106</v>
      </c>
      <c r="D653" s="5" t="s">
        <v>36</v>
      </c>
      <c r="E653" s="6">
        <v>2240.0</v>
      </c>
      <c r="F653" s="6">
        <v>560.0</v>
      </c>
      <c r="G653" s="5" t="s">
        <v>106</v>
      </c>
      <c r="H653" s="5" t="s">
        <v>54</v>
      </c>
      <c r="I653" s="6" t="s">
        <v>40</v>
      </c>
      <c r="J653" s="5" t="s">
        <v>8585</v>
      </c>
      <c r="K653" s="5" t="s">
        <v>8586</v>
      </c>
      <c r="L653" s="6" t="s">
        <v>42</v>
      </c>
      <c r="M653" s="5" t="s">
        <v>612</v>
      </c>
      <c r="N653" s="5" t="s">
        <v>64</v>
      </c>
      <c r="O653" s="5" t="s">
        <v>14332</v>
      </c>
      <c r="P653" s="5" t="s">
        <v>14333</v>
      </c>
      <c r="Q653" s="5" t="s">
        <v>16340</v>
      </c>
      <c r="R653" s="6">
        <v>7902.0</v>
      </c>
    </row>
    <row r="654" ht="56.25" customHeight="1">
      <c r="A654" s="5" t="s">
        <v>16327</v>
      </c>
      <c r="B654" s="6" t="str">
        <f>IMAGE("https://storage.googleapis.com/acdb/dresses/TopsTexOnepieceBoxLBubbly3.png")</f>
        <v/>
      </c>
      <c r="C654" s="5" t="s">
        <v>68</v>
      </c>
      <c r="D654" s="5" t="s">
        <v>36</v>
      </c>
      <c r="E654" s="6">
        <v>2240.0</v>
      </c>
      <c r="F654" s="6">
        <v>560.0</v>
      </c>
      <c r="G654" s="5" t="s">
        <v>68</v>
      </c>
      <c r="H654" s="5" t="s">
        <v>54</v>
      </c>
      <c r="I654" s="6" t="s">
        <v>40</v>
      </c>
      <c r="J654" s="5" t="s">
        <v>8585</v>
      </c>
      <c r="K654" s="5" t="s">
        <v>8586</v>
      </c>
      <c r="L654" s="6" t="s">
        <v>42</v>
      </c>
      <c r="M654" s="5" t="s">
        <v>612</v>
      </c>
      <c r="N654" s="5" t="s">
        <v>64</v>
      </c>
      <c r="O654" s="5" t="s">
        <v>14332</v>
      </c>
      <c r="P654" s="5" t="s">
        <v>14333</v>
      </c>
      <c r="Q654" s="5" t="s">
        <v>16345</v>
      </c>
      <c r="R654" s="6">
        <v>7903.0</v>
      </c>
    </row>
    <row r="655" ht="56.25" customHeight="1">
      <c r="A655" s="5" t="s">
        <v>16327</v>
      </c>
      <c r="B655" s="6" t="str">
        <f>IMAGE("https://storage.googleapis.com/acdb/dresses/TopsTexOnepieceBoxLBubbly4.png")</f>
        <v/>
      </c>
      <c r="C655" s="5" t="s">
        <v>96</v>
      </c>
      <c r="D655" s="5" t="s">
        <v>36</v>
      </c>
      <c r="E655" s="6">
        <v>2240.0</v>
      </c>
      <c r="F655" s="6">
        <v>560.0</v>
      </c>
      <c r="G655" s="5" t="s">
        <v>96</v>
      </c>
      <c r="H655" s="5" t="s">
        <v>54</v>
      </c>
      <c r="I655" s="6" t="s">
        <v>40</v>
      </c>
      <c r="J655" s="5" t="s">
        <v>8585</v>
      </c>
      <c r="K655" s="5" t="s">
        <v>8586</v>
      </c>
      <c r="L655" s="6" t="s">
        <v>42</v>
      </c>
      <c r="M655" s="5" t="s">
        <v>612</v>
      </c>
      <c r="N655" s="5" t="s">
        <v>64</v>
      </c>
      <c r="O655" s="5" t="s">
        <v>14332</v>
      </c>
      <c r="P655" s="5" t="s">
        <v>14333</v>
      </c>
      <c r="Q655" s="5" t="s">
        <v>16349</v>
      </c>
      <c r="R655" s="6">
        <v>7904.0</v>
      </c>
    </row>
    <row r="656" ht="56.25" customHeight="1">
      <c r="A656" s="5" t="s">
        <v>16327</v>
      </c>
      <c r="B656" s="6" t="str">
        <f>IMAGE("https://storage.googleapis.com/acdb/dresses/TopsTexOnepieceBoxLBubbly5.png")</f>
        <v/>
      </c>
      <c r="C656" s="5" t="s">
        <v>114</v>
      </c>
      <c r="D656" s="5" t="s">
        <v>36</v>
      </c>
      <c r="E656" s="6">
        <v>2240.0</v>
      </c>
      <c r="F656" s="6">
        <v>560.0</v>
      </c>
      <c r="G656" s="5" t="s">
        <v>114</v>
      </c>
      <c r="H656" s="5" t="s">
        <v>54</v>
      </c>
      <c r="I656" s="6" t="s">
        <v>40</v>
      </c>
      <c r="J656" s="5" t="s">
        <v>8585</v>
      </c>
      <c r="K656" s="5" t="s">
        <v>8586</v>
      </c>
      <c r="L656" s="6" t="s">
        <v>42</v>
      </c>
      <c r="M656" s="5" t="s">
        <v>612</v>
      </c>
      <c r="N656" s="5" t="s">
        <v>64</v>
      </c>
      <c r="O656" s="5" t="s">
        <v>14332</v>
      </c>
      <c r="P656" s="5" t="s">
        <v>14333</v>
      </c>
      <c r="Q656" s="5" t="s">
        <v>16356</v>
      </c>
      <c r="R656" s="6">
        <v>7905.0</v>
      </c>
    </row>
    <row r="657" ht="56.25" customHeight="1">
      <c r="A657" s="5" t="s">
        <v>16327</v>
      </c>
      <c r="B657" s="6" t="str">
        <f>IMAGE("https://storage.googleapis.com/acdb/dresses/TopsTexOnepieceBoxLBubbly6.png")</f>
        <v/>
      </c>
      <c r="C657" s="5" t="s">
        <v>83</v>
      </c>
      <c r="D657" s="5" t="s">
        <v>36</v>
      </c>
      <c r="E657" s="6">
        <v>2240.0</v>
      </c>
      <c r="F657" s="6">
        <v>560.0</v>
      </c>
      <c r="G657" s="5" t="s">
        <v>83</v>
      </c>
      <c r="H657" s="5" t="s">
        <v>54</v>
      </c>
      <c r="I657" s="6" t="s">
        <v>40</v>
      </c>
      <c r="J657" s="5" t="s">
        <v>8585</v>
      </c>
      <c r="K657" s="5" t="s">
        <v>8586</v>
      </c>
      <c r="L657" s="6" t="s">
        <v>42</v>
      </c>
      <c r="M657" s="5" t="s">
        <v>612</v>
      </c>
      <c r="N657" s="5" t="s">
        <v>64</v>
      </c>
      <c r="O657" s="5" t="s">
        <v>14332</v>
      </c>
      <c r="P657" s="5" t="s">
        <v>14333</v>
      </c>
      <c r="Q657" s="5" t="s">
        <v>16361</v>
      </c>
      <c r="R657" s="6">
        <v>7906.0</v>
      </c>
    </row>
    <row r="658" ht="56.25" customHeight="1">
      <c r="A658" s="5" t="s">
        <v>16362</v>
      </c>
      <c r="B658" s="6" t="str">
        <f>IMAGE("https://storage.googleapis.com/acdb/dresses/TopsTexOnepieceAlongLRenaissance2.png")</f>
        <v/>
      </c>
      <c r="C658" s="5" t="s">
        <v>68</v>
      </c>
      <c r="D658" s="5" t="s">
        <v>36</v>
      </c>
      <c r="E658" s="6">
        <v>6000.0</v>
      </c>
      <c r="F658" s="6">
        <v>1500.0</v>
      </c>
      <c r="G658" s="5" t="s">
        <v>68</v>
      </c>
      <c r="H658" s="5" t="s">
        <v>38</v>
      </c>
      <c r="I658" s="6" t="s">
        <v>40</v>
      </c>
      <c r="J658" s="5" t="s">
        <v>8585</v>
      </c>
      <c r="K658" s="5" t="s">
        <v>8586</v>
      </c>
      <c r="L658" s="6" t="s">
        <v>42</v>
      </c>
      <c r="M658" s="5" t="s">
        <v>612</v>
      </c>
      <c r="N658" s="5" t="s">
        <v>64</v>
      </c>
      <c r="O658" s="5" t="s">
        <v>14574</v>
      </c>
      <c r="P658" s="5" t="s">
        <v>14333</v>
      </c>
      <c r="Q658" s="5" t="s">
        <v>16367</v>
      </c>
      <c r="R658" s="6">
        <v>8170.0</v>
      </c>
    </row>
    <row r="659" ht="56.25" customHeight="1">
      <c r="A659" s="5" t="s">
        <v>16362</v>
      </c>
      <c r="B659" s="6" t="str">
        <f>IMAGE("https://storage.googleapis.com/acdb/dresses/TopsTexOnepieceAlongLRenaissance3.png")</f>
        <v/>
      </c>
      <c r="C659" s="5" t="s">
        <v>1187</v>
      </c>
      <c r="D659" s="5" t="s">
        <v>36</v>
      </c>
      <c r="E659" s="6">
        <v>6000.0</v>
      </c>
      <c r="F659" s="6">
        <v>1500.0</v>
      </c>
      <c r="G659" s="5" t="s">
        <v>68</v>
      </c>
      <c r="H659" s="5" t="s">
        <v>95</v>
      </c>
      <c r="I659" s="6" t="s">
        <v>40</v>
      </c>
      <c r="J659" s="5" t="s">
        <v>8585</v>
      </c>
      <c r="K659" s="5" t="s">
        <v>8586</v>
      </c>
      <c r="L659" s="6" t="s">
        <v>42</v>
      </c>
      <c r="M659" s="5" t="s">
        <v>612</v>
      </c>
      <c r="N659" s="5" t="s">
        <v>64</v>
      </c>
      <c r="O659" s="5" t="s">
        <v>14574</v>
      </c>
      <c r="P659" s="5" t="s">
        <v>14333</v>
      </c>
      <c r="Q659" s="5" t="s">
        <v>16372</v>
      </c>
      <c r="R659" s="6">
        <v>8171.0</v>
      </c>
    </row>
    <row r="660" ht="56.25" customHeight="1">
      <c r="A660" s="5" t="s">
        <v>16362</v>
      </c>
      <c r="B660" s="6" t="str">
        <f>IMAGE("https://storage.googleapis.com/acdb/dresses/TopsTexOnepieceAlongLRenaissance4.png")</f>
        <v/>
      </c>
      <c r="C660" s="5" t="s">
        <v>69</v>
      </c>
      <c r="D660" s="5" t="s">
        <v>36</v>
      </c>
      <c r="E660" s="6">
        <v>6000.0</v>
      </c>
      <c r="F660" s="6">
        <v>1500.0</v>
      </c>
      <c r="G660" s="5" t="s">
        <v>69</v>
      </c>
      <c r="H660" s="5" t="s">
        <v>38</v>
      </c>
      <c r="I660" s="6" t="s">
        <v>40</v>
      </c>
      <c r="J660" s="5" t="s">
        <v>8585</v>
      </c>
      <c r="K660" s="5" t="s">
        <v>8586</v>
      </c>
      <c r="L660" s="6" t="s">
        <v>42</v>
      </c>
      <c r="M660" s="5" t="s">
        <v>612</v>
      </c>
      <c r="N660" s="5" t="s">
        <v>64</v>
      </c>
      <c r="O660" s="5" t="s">
        <v>14574</v>
      </c>
      <c r="P660" s="5" t="s">
        <v>14333</v>
      </c>
      <c r="Q660" s="5" t="s">
        <v>16377</v>
      </c>
      <c r="R660" s="6">
        <v>8172.0</v>
      </c>
    </row>
    <row r="661" ht="56.25" customHeight="1">
      <c r="A661" s="5" t="s">
        <v>16362</v>
      </c>
      <c r="B661" s="6" t="str">
        <f>IMAGE("https://storage.googleapis.com/acdb/dresses/TopsTexOnepieceAlongLRenaissance5.png")</f>
        <v/>
      </c>
      <c r="C661" s="5" t="s">
        <v>106</v>
      </c>
      <c r="D661" s="5" t="s">
        <v>36</v>
      </c>
      <c r="E661" s="6">
        <v>6000.0</v>
      </c>
      <c r="F661" s="6">
        <v>1500.0</v>
      </c>
      <c r="G661" s="5" t="s">
        <v>106</v>
      </c>
      <c r="H661" s="5" t="s">
        <v>38</v>
      </c>
      <c r="I661" s="6" t="s">
        <v>40</v>
      </c>
      <c r="J661" s="5" t="s">
        <v>8585</v>
      </c>
      <c r="K661" s="5" t="s">
        <v>8586</v>
      </c>
      <c r="L661" s="6" t="s">
        <v>42</v>
      </c>
      <c r="M661" s="5" t="s">
        <v>612</v>
      </c>
      <c r="N661" s="5" t="s">
        <v>64</v>
      </c>
      <c r="O661" s="5" t="s">
        <v>14574</v>
      </c>
      <c r="P661" s="5" t="s">
        <v>14333</v>
      </c>
      <c r="Q661" s="5" t="s">
        <v>16381</v>
      </c>
      <c r="R661" s="6">
        <v>8173.0</v>
      </c>
    </row>
    <row r="662" ht="56.25" customHeight="1">
      <c r="A662" s="5" t="s">
        <v>16362</v>
      </c>
      <c r="B662" s="6" t="str">
        <f>IMAGE("https://storage.googleapis.com/acdb/dresses/TopsTexOnepieceAlongLRenaissance0.png")</f>
        <v/>
      </c>
      <c r="C662" s="5" t="s">
        <v>52</v>
      </c>
      <c r="D662" s="5" t="s">
        <v>36</v>
      </c>
      <c r="E662" s="6">
        <v>6000.0</v>
      </c>
      <c r="F662" s="6">
        <v>1500.0</v>
      </c>
      <c r="G662" s="5" t="s">
        <v>52</v>
      </c>
      <c r="H662" s="5" t="s">
        <v>38</v>
      </c>
      <c r="I662" s="6" t="s">
        <v>40</v>
      </c>
      <c r="J662" s="5" t="s">
        <v>8585</v>
      </c>
      <c r="K662" s="5" t="s">
        <v>8586</v>
      </c>
      <c r="L662" s="6" t="s">
        <v>42</v>
      </c>
      <c r="M662" s="5" t="s">
        <v>612</v>
      </c>
      <c r="N662" s="5" t="s">
        <v>64</v>
      </c>
      <c r="O662" s="5" t="s">
        <v>14574</v>
      </c>
      <c r="P662" s="5" t="s">
        <v>14333</v>
      </c>
      <c r="Q662" s="5" t="s">
        <v>16386</v>
      </c>
      <c r="R662" s="6">
        <v>5432.0</v>
      </c>
    </row>
    <row r="663" ht="56.25" customHeight="1">
      <c r="A663" s="5" t="s">
        <v>16362</v>
      </c>
      <c r="B663" s="6" t="str">
        <f>IMAGE("https://storage.googleapis.com/acdb/dresses/TopsTexOnepieceAlongLRenaissance1.png")</f>
        <v/>
      </c>
      <c r="C663" s="5" t="s">
        <v>96</v>
      </c>
      <c r="D663" s="5" t="s">
        <v>36</v>
      </c>
      <c r="E663" s="6">
        <v>6000.0</v>
      </c>
      <c r="F663" s="6">
        <v>1500.0</v>
      </c>
      <c r="G663" s="5" t="s">
        <v>96</v>
      </c>
      <c r="H663" s="5" t="s">
        <v>38</v>
      </c>
      <c r="I663" s="6" t="s">
        <v>40</v>
      </c>
      <c r="J663" s="5" t="s">
        <v>8585</v>
      </c>
      <c r="K663" s="5" t="s">
        <v>8586</v>
      </c>
      <c r="L663" s="6" t="s">
        <v>42</v>
      </c>
      <c r="M663" s="5" t="s">
        <v>612</v>
      </c>
      <c r="N663" s="5" t="s">
        <v>64</v>
      </c>
      <c r="O663" s="5" t="s">
        <v>14574</v>
      </c>
      <c r="P663" s="5" t="s">
        <v>14333</v>
      </c>
      <c r="Q663" s="5" t="s">
        <v>16391</v>
      </c>
      <c r="R663" s="6">
        <v>8169.0</v>
      </c>
    </row>
    <row r="664" ht="56.25" customHeight="1">
      <c r="A664" s="5" t="s">
        <v>16392</v>
      </c>
      <c r="B664" s="6" t="str">
        <f>IMAGE("https://storage.googleapis.com/acdb/dresses/TopsTexOnepieceAlineLRetro3.png")</f>
        <v/>
      </c>
      <c r="C664" s="5" t="s">
        <v>114</v>
      </c>
      <c r="D664" s="5" t="s">
        <v>36</v>
      </c>
      <c r="E664" s="6">
        <v>2550.0</v>
      </c>
      <c r="F664" s="6">
        <v>637.0</v>
      </c>
      <c r="G664" s="5" t="s">
        <v>96</v>
      </c>
      <c r="H664" s="5" t="s">
        <v>114</v>
      </c>
      <c r="I664" s="6" t="s">
        <v>40</v>
      </c>
      <c r="J664" s="5" t="s">
        <v>8585</v>
      </c>
      <c r="K664" s="5" t="s">
        <v>8586</v>
      </c>
      <c r="L664" s="6" t="s">
        <v>42</v>
      </c>
      <c r="M664" s="5" t="s">
        <v>1959</v>
      </c>
      <c r="N664" s="5" t="s">
        <v>64</v>
      </c>
      <c r="O664" s="5" t="s">
        <v>14411</v>
      </c>
      <c r="P664" s="5" t="s">
        <v>14333</v>
      </c>
      <c r="Q664" s="5" t="s">
        <v>16398</v>
      </c>
      <c r="R664" s="6">
        <v>7910.0</v>
      </c>
    </row>
    <row r="665" ht="56.25" customHeight="1">
      <c r="A665" s="5" t="s">
        <v>16392</v>
      </c>
      <c r="B665" s="6" t="str">
        <f>IMAGE("https://storage.googleapis.com/acdb/dresses/TopsTexOnepieceAlineLRetro4.png")</f>
        <v/>
      </c>
      <c r="C665" s="5" t="s">
        <v>54</v>
      </c>
      <c r="D665" s="5" t="s">
        <v>36</v>
      </c>
      <c r="E665" s="6">
        <v>2550.0</v>
      </c>
      <c r="F665" s="6">
        <v>637.0</v>
      </c>
      <c r="G665" s="5" t="s">
        <v>52</v>
      </c>
      <c r="H665" s="5" t="s">
        <v>54</v>
      </c>
      <c r="I665" s="6" t="s">
        <v>40</v>
      </c>
      <c r="J665" s="5" t="s">
        <v>8585</v>
      </c>
      <c r="K665" s="5" t="s">
        <v>8586</v>
      </c>
      <c r="L665" s="6" t="s">
        <v>42</v>
      </c>
      <c r="M665" s="5" t="s">
        <v>1959</v>
      </c>
      <c r="N665" s="5" t="s">
        <v>64</v>
      </c>
      <c r="O665" s="5" t="s">
        <v>14411</v>
      </c>
      <c r="P665" s="5" t="s">
        <v>14333</v>
      </c>
      <c r="Q665" s="5" t="s">
        <v>16404</v>
      </c>
      <c r="R665" s="6">
        <v>7911.0</v>
      </c>
    </row>
    <row r="666" ht="56.25" customHeight="1">
      <c r="A666" s="5" t="s">
        <v>16392</v>
      </c>
      <c r="B666" s="6" t="str">
        <f>IMAGE("https://storage.googleapis.com/acdb/dresses/TopsTexOnepieceAlineLRetro1.png")</f>
        <v/>
      </c>
      <c r="C666" s="5" t="s">
        <v>68</v>
      </c>
      <c r="D666" s="5" t="s">
        <v>36</v>
      </c>
      <c r="E666" s="6">
        <v>2550.0</v>
      </c>
      <c r="F666" s="6">
        <v>637.0</v>
      </c>
      <c r="G666" s="5" t="s">
        <v>114</v>
      </c>
      <c r="H666" s="5" t="s">
        <v>68</v>
      </c>
      <c r="I666" s="6" t="s">
        <v>40</v>
      </c>
      <c r="J666" s="5" t="s">
        <v>8585</v>
      </c>
      <c r="K666" s="5" t="s">
        <v>8586</v>
      </c>
      <c r="L666" s="6" t="s">
        <v>42</v>
      </c>
      <c r="M666" s="5" t="s">
        <v>1959</v>
      </c>
      <c r="N666" s="5" t="s">
        <v>64</v>
      </c>
      <c r="O666" s="5" t="s">
        <v>14411</v>
      </c>
      <c r="P666" s="5" t="s">
        <v>14333</v>
      </c>
      <c r="Q666" s="5" t="s">
        <v>16408</v>
      </c>
      <c r="R666" s="6">
        <v>7908.0</v>
      </c>
    </row>
    <row r="667" ht="56.25" customHeight="1">
      <c r="A667" s="5" t="s">
        <v>16392</v>
      </c>
      <c r="B667" s="6" t="str">
        <f>IMAGE("https://storage.googleapis.com/acdb/dresses/TopsTexOnepieceAlineLRetro2.png")</f>
        <v/>
      </c>
      <c r="C667" s="5" t="s">
        <v>83</v>
      </c>
      <c r="D667" s="5" t="s">
        <v>36</v>
      </c>
      <c r="E667" s="6">
        <v>2550.0</v>
      </c>
      <c r="F667" s="6">
        <v>637.0</v>
      </c>
      <c r="G667" s="5" t="s">
        <v>57</v>
      </c>
      <c r="H667" s="5" t="s">
        <v>83</v>
      </c>
      <c r="I667" s="6" t="s">
        <v>40</v>
      </c>
      <c r="J667" s="5" t="s">
        <v>8585</v>
      </c>
      <c r="K667" s="5" t="s">
        <v>8586</v>
      </c>
      <c r="L667" s="6" t="s">
        <v>42</v>
      </c>
      <c r="M667" s="5" t="s">
        <v>1959</v>
      </c>
      <c r="N667" s="5" t="s">
        <v>64</v>
      </c>
      <c r="O667" s="5" t="s">
        <v>14411</v>
      </c>
      <c r="P667" s="5" t="s">
        <v>14333</v>
      </c>
      <c r="Q667" s="5" t="s">
        <v>16413</v>
      </c>
      <c r="R667" s="6">
        <v>7909.0</v>
      </c>
    </row>
    <row r="668" ht="56.25" customHeight="1">
      <c r="A668" s="5" t="s">
        <v>16392</v>
      </c>
      <c r="B668" s="6" t="str">
        <f>IMAGE("https://storage.googleapis.com/acdb/dresses/TopsTexOnepieceAlineLRetro0.png")</f>
        <v/>
      </c>
      <c r="C668" s="5" t="s">
        <v>69</v>
      </c>
      <c r="D668" s="5" t="s">
        <v>36</v>
      </c>
      <c r="E668" s="6">
        <v>2550.0</v>
      </c>
      <c r="F668" s="6">
        <v>637.0</v>
      </c>
      <c r="G668" s="5" t="s">
        <v>142</v>
      </c>
      <c r="H668" s="5" t="s">
        <v>69</v>
      </c>
      <c r="I668" s="6" t="s">
        <v>40</v>
      </c>
      <c r="J668" s="5" t="s">
        <v>8585</v>
      </c>
      <c r="K668" s="5" t="s">
        <v>8586</v>
      </c>
      <c r="L668" s="6" t="s">
        <v>42</v>
      </c>
      <c r="M668" s="5" t="s">
        <v>1959</v>
      </c>
      <c r="N668" s="5" t="s">
        <v>64</v>
      </c>
      <c r="O668" s="5" t="s">
        <v>14411</v>
      </c>
      <c r="P668" s="5" t="s">
        <v>14333</v>
      </c>
      <c r="Q668" s="5" t="s">
        <v>16419</v>
      </c>
      <c r="R668" s="6">
        <v>4557.0</v>
      </c>
    </row>
    <row r="669" ht="56.25" customHeight="1">
      <c r="A669" s="5" t="s">
        <v>16420</v>
      </c>
      <c r="B669" s="6" t="str">
        <f>IMAGE("https://storage.googleapis.com/acdb/dresses/TopsTexOnepieceBoxNRetro1.png")</f>
        <v/>
      </c>
      <c r="C669" s="5" t="s">
        <v>54</v>
      </c>
      <c r="D669" s="5" t="s">
        <v>36</v>
      </c>
      <c r="E669" s="6">
        <v>2550.0</v>
      </c>
      <c r="F669" s="6">
        <v>637.0</v>
      </c>
      <c r="G669" s="5" t="s">
        <v>54</v>
      </c>
      <c r="H669" s="5" t="s">
        <v>57</v>
      </c>
      <c r="I669" s="6" t="s">
        <v>40</v>
      </c>
      <c r="J669" s="5" t="s">
        <v>8585</v>
      </c>
      <c r="K669" s="5" t="s">
        <v>8586</v>
      </c>
      <c r="L669" s="6" t="s">
        <v>42</v>
      </c>
      <c r="M669" s="5" t="s">
        <v>1059</v>
      </c>
      <c r="N669" s="5" t="s">
        <v>64</v>
      </c>
      <c r="O669" s="5" t="s">
        <v>14332</v>
      </c>
      <c r="P669" s="5" t="s">
        <v>14412</v>
      </c>
      <c r="Q669" s="5" t="s">
        <v>16425</v>
      </c>
      <c r="R669" s="6">
        <v>7912.0</v>
      </c>
    </row>
    <row r="670" ht="56.25" customHeight="1">
      <c r="A670" s="5" t="s">
        <v>16420</v>
      </c>
      <c r="B670" s="6" t="str">
        <f>IMAGE("https://storage.googleapis.com/acdb/dresses/TopsTexOnepieceBoxNRetro2.png")</f>
        <v/>
      </c>
      <c r="C670" s="5" t="s">
        <v>142</v>
      </c>
      <c r="D670" s="5" t="s">
        <v>36</v>
      </c>
      <c r="E670" s="6">
        <v>2550.0</v>
      </c>
      <c r="F670" s="6">
        <v>637.0</v>
      </c>
      <c r="G670" s="5" t="s">
        <v>142</v>
      </c>
      <c r="H670" s="5" t="s">
        <v>57</v>
      </c>
      <c r="I670" s="6" t="s">
        <v>40</v>
      </c>
      <c r="J670" s="5" t="s">
        <v>8585</v>
      </c>
      <c r="K670" s="5" t="s">
        <v>8586</v>
      </c>
      <c r="L670" s="6" t="s">
        <v>42</v>
      </c>
      <c r="M670" s="5" t="s">
        <v>1059</v>
      </c>
      <c r="N670" s="5" t="s">
        <v>64</v>
      </c>
      <c r="O670" s="5" t="s">
        <v>14332</v>
      </c>
      <c r="P670" s="5" t="s">
        <v>14412</v>
      </c>
      <c r="Q670" s="5" t="s">
        <v>16429</v>
      </c>
      <c r="R670" s="6">
        <v>7913.0</v>
      </c>
    </row>
    <row r="671" ht="56.25" customHeight="1">
      <c r="A671" s="5" t="s">
        <v>16420</v>
      </c>
      <c r="B671" s="6" t="str">
        <f>IMAGE("https://storage.googleapis.com/acdb/dresses/TopsTexOnepieceBoxNRetro3.png")</f>
        <v/>
      </c>
      <c r="C671" s="5" t="s">
        <v>69</v>
      </c>
      <c r="D671" s="5" t="s">
        <v>36</v>
      </c>
      <c r="E671" s="6">
        <v>2550.0</v>
      </c>
      <c r="F671" s="6">
        <v>637.0</v>
      </c>
      <c r="G671" s="5" t="s">
        <v>69</v>
      </c>
      <c r="H671" s="5" t="s">
        <v>57</v>
      </c>
      <c r="I671" s="6" t="s">
        <v>40</v>
      </c>
      <c r="J671" s="5" t="s">
        <v>8585</v>
      </c>
      <c r="K671" s="5" t="s">
        <v>8586</v>
      </c>
      <c r="L671" s="6" t="s">
        <v>42</v>
      </c>
      <c r="M671" s="5" t="s">
        <v>1059</v>
      </c>
      <c r="N671" s="5" t="s">
        <v>64</v>
      </c>
      <c r="O671" s="5" t="s">
        <v>14332</v>
      </c>
      <c r="P671" s="5" t="s">
        <v>14412</v>
      </c>
      <c r="Q671" s="5" t="s">
        <v>16433</v>
      </c>
      <c r="R671" s="6">
        <v>7914.0</v>
      </c>
    </row>
    <row r="672" ht="56.25" customHeight="1">
      <c r="A672" s="5" t="s">
        <v>16420</v>
      </c>
      <c r="B672" s="6" t="str">
        <f>IMAGE("https://storage.googleapis.com/acdb/dresses/TopsTexOnepieceBoxNRetro4.png")</f>
        <v/>
      </c>
      <c r="C672" s="5" t="s">
        <v>114</v>
      </c>
      <c r="D672" s="5" t="s">
        <v>36</v>
      </c>
      <c r="E672" s="6">
        <v>2550.0</v>
      </c>
      <c r="F672" s="6">
        <v>637.0</v>
      </c>
      <c r="G672" s="5" t="s">
        <v>114</v>
      </c>
      <c r="H672" s="5" t="s">
        <v>57</v>
      </c>
      <c r="I672" s="6" t="s">
        <v>40</v>
      </c>
      <c r="J672" s="5" t="s">
        <v>8585</v>
      </c>
      <c r="K672" s="5" t="s">
        <v>8586</v>
      </c>
      <c r="L672" s="6" t="s">
        <v>42</v>
      </c>
      <c r="M672" s="5" t="s">
        <v>1059</v>
      </c>
      <c r="N672" s="5" t="s">
        <v>64</v>
      </c>
      <c r="O672" s="5" t="s">
        <v>14332</v>
      </c>
      <c r="P672" s="5" t="s">
        <v>14412</v>
      </c>
      <c r="Q672" s="5" t="s">
        <v>16435</v>
      </c>
      <c r="R672" s="6">
        <v>7915.0</v>
      </c>
    </row>
    <row r="673" ht="56.25" customHeight="1">
      <c r="A673" s="5" t="s">
        <v>16420</v>
      </c>
      <c r="B673" s="6" t="str">
        <f>IMAGE("https://storage.googleapis.com/acdb/dresses/TopsTexOnepieceBoxNRetro5.png")</f>
        <v/>
      </c>
      <c r="C673" s="5" t="s">
        <v>83</v>
      </c>
      <c r="D673" s="5" t="s">
        <v>36</v>
      </c>
      <c r="E673" s="6">
        <v>2550.0</v>
      </c>
      <c r="F673" s="6">
        <v>637.0</v>
      </c>
      <c r="G673" s="5" t="s">
        <v>83</v>
      </c>
      <c r="H673" s="5" t="s">
        <v>57</v>
      </c>
      <c r="I673" s="6" t="s">
        <v>40</v>
      </c>
      <c r="J673" s="5" t="s">
        <v>8585</v>
      </c>
      <c r="K673" s="5" t="s">
        <v>8586</v>
      </c>
      <c r="L673" s="6" t="s">
        <v>42</v>
      </c>
      <c r="M673" s="5" t="s">
        <v>1059</v>
      </c>
      <c r="N673" s="5" t="s">
        <v>64</v>
      </c>
      <c r="O673" s="5" t="s">
        <v>14332</v>
      </c>
      <c r="P673" s="5" t="s">
        <v>14412</v>
      </c>
      <c r="Q673" s="5" t="s">
        <v>16438</v>
      </c>
      <c r="R673" s="6">
        <v>7916.0</v>
      </c>
    </row>
    <row r="674" ht="56.25" customHeight="1">
      <c r="A674" s="5" t="s">
        <v>16420</v>
      </c>
      <c r="B674" s="6" t="str">
        <f>IMAGE("https://storage.googleapis.com/acdb/dresses/TopsTexOnepieceBoxNRetro0.png")</f>
        <v/>
      </c>
      <c r="C674" s="5" t="s">
        <v>96</v>
      </c>
      <c r="D674" s="5" t="s">
        <v>36</v>
      </c>
      <c r="E674" s="6">
        <v>2550.0</v>
      </c>
      <c r="F674" s="6">
        <v>637.0</v>
      </c>
      <c r="G674" s="5" t="s">
        <v>96</v>
      </c>
      <c r="H674" s="5" t="s">
        <v>57</v>
      </c>
      <c r="I674" s="6" t="s">
        <v>40</v>
      </c>
      <c r="J674" s="5" t="s">
        <v>8585</v>
      </c>
      <c r="K674" s="5" t="s">
        <v>8586</v>
      </c>
      <c r="L674" s="6" t="s">
        <v>42</v>
      </c>
      <c r="M674" s="5" t="s">
        <v>1059</v>
      </c>
      <c r="N674" s="5" t="s">
        <v>64</v>
      </c>
      <c r="O674" s="5" t="s">
        <v>14332</v>
      </c>
      <c r="P674" s="5" t="s">
        <v>14412</v>
      </c>
      <c r="Q674" s="5" t="s">
        <v>16441</v>
      </c>
      <c r="R674" s="6">
        <v>2706.0</v>
      </c>
    </row>
    <row r="675" ht="56.25" customHeight="1">
      <c r="A675" s="5" t="s">
        <v>16443</v>
      </c>
      <c r="B675" s="6" t="str">
        <f>IMAGE("https://storage.googleapis.com/acdb/dresses/TopsTexOnepieceBoxNModern4.png")</f>
        <v/>
      </c>
      <c r="C675" s="5" t="s">
        <v>68</v>
      </c>
      <c r="D675" s="5" t="s">
        <v>36</v>
      </c>
      <c r="E675" s="6">
        <v>1600.0</v>
      </c>
      <c r="F675" s="6">
        <v>400.0</v>
      </c>
      <c r="G675" s="5" t="s">
        <v>68</v>
      </c>
      <c r="H675" s="5" t="s">
        <v>68</v>
      </c>
      <c r="I675" s="6" t="s">
        <v>40</v>
      </c>
      <c r="J675" s="5" t="s">
        <v>8585</v>
      </c>
      <c r="K675" s="5" t="s">
        <v>8586</v>
      </c>
      <c r="L675" s="6" t="s">
        <v>42</v>
      </c>
      <c r="M675" s="5" t="s">
        <v>1059</v>
      </c>
      <c r="N675" s="5" t="s">
        <v>64</v>
      </c>
      <c r="O675" s="5" t="s">
        <v>14332</v>
      </c>
      <c r="P675" s="5" t="s">
        <v>14412</v>
      </c>
      <c r="Q675" s="5" t="s">
        <v>16446</v>
      </c>
      <c r="R675" s="6">
        <v>7880.0</v>
      </c>
    </row>
    <row r="676" ht="56.25" customHeight="1">
      <c r="A676" s="5" t="s">
        <v>16443</v>
      </c>
      <c r="B676" s="6" t="str">
        <f>IMAGE("https://storage.googleapis.com/acdb/dresses/TopsTexOnepieceBoxNModern0.png")</f>
        <v/>
      </c>
      <c r="C676" s="5" t="s">
        <v>114</v>
      </c>
      <c r="D676" s="5" t="s">
        <v>36</v>
      </c>
      <c r="E676" s="6">
        <v>1600.0</v>
      </c>
      <c r="F676" s="6">
        <v>400.0</v>
      </c>
      <c r="G676" s="5" t="s">
        <v>114</v>
      </c>
      <c r="H676" s="5" t="s">
        <v>114</v>
      </c>
      <c r="I676" s="6" t="s">
        <v>40</v>
      </c>
      <c r="J676" s="5" t="s">
        <v>8585</v>
      </c>
      <c r="K676" s="5" t="s">
        <v>8586</v>
      </c>
      <c r="L676" s="6" t="s">
        <v>42</v>
      </c>
      <c r="M676" s="5" t="s">
        <v>1059</v>
      </c>
      <c r="N676" s="5" t="s">
        <v>64</v>
      </c>
      <c r="O676" s="5" t="s">
        <v>14332</v>
      </c>
      <c r="P676" s="5" t="s">
        <v>14412</v>
      </c>
      <c r="Q676" s="5" t="s">
        <v>16449</v>
      </c>
      <c r="R676" s="6">
        <v>4300.0</v>
      </c>
    </row>
    <row r="677" ht="56.25" customHeight="1">
      <c r="A677" s="5" t="s">
        <v>16443</v>
      </c>
      <c r="B677" s="6" t="str">
        <f>IMAGE("https://storage.googleapis.com/acdb/dresses/TopsTexOnepieceBoxNModern1.png")</f>
        <v/>
      </c>
      <c r="C677" s="5" t="s">
        <v>96</v>
      </c>
      <c r="D677" s="5" t="s">
        <v>36</v>
      </c>
      <c r="E677" s="6">
        <v>1600.0</v>
      </c>
      <c r="F677" s="6">
        <v>400.0</v>
      </c>
      <c r="G677" s="5" t="s">
        <v>96</v>
      </c>
      <c r="H677" s="5" t="s">
        <v>96</v>
      </c>
      <c r="I677" s="6" t="s">
        <v>40</v>
      </c>
      <c r="J677" s="5" t="s">
        <v>8585</v>
      </c>
      <c r="K677" s="5" t="s">
        <v>8586</v>
      </c>
      <c r="L677" s="6" t="s">
        <v>42</v>
      </c>
      <c r="M677" s="5" t="s">
        <v>1059</v>
      </c>
      <c r="N677" s="5" t="s">
        <v>64</v>
      </c>
      <c r="O677" s="5" t="s">
        <v>14332</v>
      </c>
      <c r="P677" s="5" t="s">
        <v>14412</v>
      </c>
      <c r="Q677" s="5" t="s">
        <v>16451</v>
      </c>
      <c r="R677" s="6">
        <v>7877.0</v>
      </c>
    </row>
    <row r="678" ht="56.25" customHeight="1">
      <c r="A678" s="5" t="s">
        <v>16443</v>
      </c>
      <c r="B678" s="6" t="str">
        <f>IMAGE("https://storage.googleapis.com/acdb/dresses/TopsTexOnepieceBoxNModern2.png")</f>
        <v/>
      </c>
      <c r="C678" s="5" t="s">
        <v>52</v>
      </c>
      <c r="D678" s="5" t="s">
        <v>36</v>
      </c>
      <c r="E678" s="6">
        <v>1600.0</v>
      </c>
      <c r="F678" s="6">
        <v>400.0</v>
      </c>
      <c r="G678" s="5" t="s">
        <v>52</v>
      </c>
      <c r="H678" s="5" t="s">
        <v>52</v>
      </c>
      <c r="I678" s="6" t="s">
        <v>40</v>
      </c>
      <c r="J678" s="5" t="s">
        <v>8585</v>
      </c>
      <c r="K678" s="5" t="s">
        <v>8586</v>
      </c>
      <c r="L678" s="6" t="s">
        <v>42</v>
      </c>
      <c r="M678" s="5" t="s">
        <v>1059</v>
      </c>
      <c r="N678" s="5" t="s">
        <v>64</v>
      </c>
      <c r="O678" s="5" t="s">
        <v>14332</v>
      </c>
      <c r="P678" s="5" t="s">
        <v>14412</v>
      </c>
      <c r="Q678" s="5" t="s">
        <v>16454</v>
      </c>
      <c r="R678" s="6">
        <v>7878.0</v>
      </c>
    </row>
    <row r="679" ht="56.25" customHeight="1">
      <c r="A679" s="5" t="s">
        <v>16443</v>
      </c>
      <c r="B679" s="6" t="str">
        <f>IMAGE("https://storage.googleapis.com/acdb/dresses/TopsTexOnepieceBoxNModern3.png")</f>
        <v/>
      </c>
      <c r="C679" s="5" t="s">
        <v>69</v>
      </c>
      <c r="D679" s="5" t="s">
        <v>36</v>
      </c>
      <c r="E679" s="6">
        <v>1600.0</v>
      </c>
      <c r="F679" s="6">
        <v>400.0</v>
      </c>
      <c r="G679" s="5" t="s">
        <v>69</v>
      </c>
      <c r="H679" s="5" t="s">
        <v>69</v>
      </c>
      <c r="I679" s="6" t="s">
        <v>40</v>
      </c>
      <c r="J679" s="5" t="s">
        <v>8585</v>
      </c>
      <c r="K679" s="5" t="s">
        <v>8586</v>
      </c>
      <c r="L679" s="6" t="s">
        <v>42</v>
      </c>
      <c r="M679" s="5" t="s">
        <v>1059</v>
      </c>
      <c r="N679" s="5" t="s">
        <v>64</v>
      </c>
      <c r="O679" s="5" t="s">
        <v>14332</v>
      </c>
      <c r="P679" s="5" t="s">
        <v>14412</v>
      </c>
      <c r="Q679" s="5" t="s">
        <v>16457</v>
      </c>
      <c r="R679" s="6">
        <v>7879.0</v>
      </c>
    </row>
    <row r="680" ht="56.25" customHeight="1">
      <c r="A680" s="5" t="s">
        <v>16458</v>
      </c>
      <c r="B680" s="6" t="str">
        <f>IMAGE("https://storage.googleapis.com/acdb/dresses/TopsTexOnepieceBalloonLCorset1.png")</f>
        <v/>
      </c>
      <c r="C680" s="5" t="s">
        <v>54</v>
      </c>
      <c r="D680" s="5" t="s">
        <v>36</v>
      </c>
      <c r="E680" s="6">
        <v>4240.0</v>
      </c>
      <c r="F680" s="6">
        <v>1060.0</v>
      </c>
      <c r="G680" s="5" t="s">
        <v>54</v>
      </c>
      <c r="H680" s="5" t="s">
        <v>95</v>
      </c>
      <c r="I680" s="6" t="s">
        <v>40</v>
      </c>
      <c r="J680" s="5" t="s">
        <v>8585</v>
      </c>
      <c r="K680" s="5" t="s">
        <v>8586</v>
      </c>
      <c r="L680" s="6" t="s">
        <v>42</v>
      </c>
      <c r="M680" s="5" t="s">
        <v>1959</v>
      </c>
      <c r="N680" s="5" t="s">
        <v>64</v>
      </c>
      <c r="O680" s="5" t="s">
        <v>14344</v>
      </c>
      <c r="P680" s="5" t="s">
        <v>14333</v>
      </c>
      <c r="Q680" s="5" t="s">
        <v>16461</v>
      </c>
      <c r="R680" s="6">
        <v>8684.0</v>
      </c>
    </row>
    <row r="681" ht="56.25" customHeight="1">
      <c r="A681" s="5" t="s">
        <v>16458</v>
      </c>
      <c r="B681" s="6" t="str">
        <f>IMAGE("https://storage.googleapis.com/acdb/dresses/TopsTexOnepieceBalloonLCorset2.png")</f>
        <v/>
      </c>
      <c r="C681" s="5" t="s">
        <v>52</v>
      </c>
      <c r="D681" s="5" t="s">
        <v>36</v>
      </c>
      <c r="E681" s="6">
        <v>4240.0</v>
      </c>
      <c r="F681" s="6">
        <v>1060.0</v>
      </c>
      <c r="G681" s="5" t="s">
        <v>52</v>
      </c>
      <c r="H681" s="5" t="s">
        <v>52</v>
      </c>
      <c r="I681" s="6" t="s">
        <v>40</v>
      </c>
      <c r="J681" s="5" t="s">
        <v>8585</v>
      </c>
      <c r="K681" s="5" t="s">
        <v>8586</v>
      </c>
      <c r="L681" s="6" t="s">
        <v>42</v>
      </c>
      <c r="M681" s="5" t="s">
        <v>1959</v>
      </c>
      <c r="N681" s="5" t="s">
        <v>64</v>
      </c>
      <c r="O681" s="5" t="s">
        <v>14344</v>
      </c>
      <c r="P681" s="5" t="s">
        <v>14333</v>
      </c>
      <c r="Q681" s="5" t="s">
        <v>16464</v>
      </c>
      <c r="R681" s="6">
        <v>8685.0</v>
      </c>
    </row>
    <row r="682" ht="56.25" customHeight="1">
      <c r="A682" s="5" t="s">
        <v>16458</v>
      </c>
      <c r="B682" s="6" t="str">
        <f>IMAGE("https://storage.googleapis.com/acdb/dresses/TopsTexOnepieceBalloonLCorset0.png")</f>
        <v/>
      </c>
      <c r="C682" s="5" t="s">
        <v>106</v>
      </c>
      <c r="D682" s="5" t="s">
        <v>36</v>
      </c>
      <c r="E682" s="6">
        <v>4240.0</v>
      </c>
      <c r="F682" s="6">
        <v>1060.0</v>
      </c>
      <c r="G682" s="5" t="s">
        <v>106</v>
      </c>
      <c r="H682" s="5" t="s">
        <v>106</v>
      </c>
      <c r="I682" s="6" t="s">
        <v>40</v>
      </c>
      <c r="J682" s="5" t="s">
        <v>8585</v>
      </c>
      <c r="K682" s="5" t="s">
        <v>8586</v>
      </c>
      <c r="L682" s="6" t="s">
        <v>42</v>
      </c>
      <c r="M682" s="5" t="s">
        <v>1959</v>
      </c>
      <c r="N682" s="5" t="s">
        <v>64</v>
      </c>
      <c r="O682" s="5" t="s">
        <v>14344</v>
      </c>
      <c r="P682" s="5" t="s">
        <v>14333</v>
      </c>
      <c r="Q682" s="5" t="s">
        <v>16467</v>
      </c>
      <c r="R682" s="6">
        <v>3385.0</v>
      </c>
    </row>
    <row r="683" ht="56.25" customHeight="1">
      <c r="A683" s="5" t="s">
        <v>16468</v>
      </c>
      <c r="B683" s="6" t="str">
        <f>IMAGE("https://storage.googleapis.com/acdb/dresses/TopsTexOnepieceOverallHRugby1.png")</f>
        <v/>
      </c>
      <c r="C683" s="5" t="s">
        <v>9272</v>
      </c>
      <c r="D683" s="5" t="s">
        <v>36</v>
      </c>
      <c r="E683" s="6">
        <v>1760.0</v>
      </c>
      <c r="F683" s="6">
        <v>440.0</v>
      </c>
      <c r="G683" s="5" t="s">
        <v>57</v>
      </c>
      <c r="H683" s="5" t="s">
        <v>68</v>
      </c>
      <c r="I683" s="6" t="s">
        <v>40</v>
      </c>
      <c r="J683" s="5" t="s">
        <v>8585</v>
      </c>
      <c r="K683" s="5" t="s">
        <v>8586</v>
      </c>
      <c r="L683" s="6" t="s">
        <v>42</v>
      </c>
      <c r="M683" s="5" t="s">
        <v>8746</v>
      </c>
      <c r="N683" s="5" t="s">
        <v>64</v>
      </c>
      <c r="O683" s="5" t="s">
        <v>14358</v>
      </c>
      <c r="P683" s="5" t="s">
        <v>14345</v>
      </c>
      <c r="Q683" s="5" t="s">
        <v>16473</v>
      </c>
      <c r="R683" s="6">
        <v>7629.0</v>
      </c>
    </row>
    <row r="684" ht="56.25" customHeight="1">
      <c r="A684" s="5" t="s">
        <v>16468</v>
      </c>
      <c r="B684" s="6" t="str">
        <f>IMAGE("https://storage.googleapis.com/acdb/dresses/TopsTexOnepieceOverallHRugby0.png")</f>
        <v/>
      </c>
      <c r="C684" s="5" t="s">
        <v>651</v>
      </c>
      <c r="D684" s="5" t="s">
        <v>36</v>
      </c>
      <c r="E684" s="6">
        <v>1760.0</v>
      </c>
      <c r="F684" s="6">
        <v>440.0</v>
      </c>
      <c r="G684" s="5" t="s">
        <v>57</v>
      </c>
      <c r="H684" s="5" t="s">
        <v>52</v>
      </c>
      <c r="I684" s="6" t="s">
        <v>40</v>
      </c>
      <c r="J684" s="5" t="s">
        <v>8585</v>
      </c>
      <c r="K684" s="5" t="s">
        <v>8586</v>
      </c>
      <c r="L684" s="6" t="s">
        <v>42</v>
      </c>
      <c r="M684" s="5" t="s">
        <v>8746</v>
      </c>
      <c r="N684" s="5" t="s">
        <v>64</v>
      </c>
      <c r="O684" s="5" t="s">
        <v>14358</v>
      </c>
      <c r="P684" s="5" t="s">
        <v>14345</v>
      </c>
      <c r="Q684" s="5" t="s">
        <v>16477</v>
      </c>
      <c r="R684" s="6">
        <v>4586.0</v>
      </c>
    </row>
    <row r="685" ht="56.25" customHeight="1">
      <c r="A685" s="5" t="s">
        <v>16468</v>
      </c>
      <c r="B685" s="6" t="str">
        <f>IMAGE("https://storage.googleapis.com/acdb/dresses/TopsTexOnepieceOverallHRugby2.png")</f>
        <v/>
      </c>
      <c r="C685" s="5" t="s">
        <v>3514</v>
      </c>
      <c r="D685" s="5" t="s">
        <v>36</v>
      </c>
      <c r="E685" s="6">
        <v>1760.0</v>
      </c>
      <c r="F685" s="6">
        <v>440.0</v>
      </c>
      <c r="G685" s="5" t="s">
        <v>57</v>
      </c>
      <c r="H685" s="5" t="s">
        <v>96</v>
      </c>
      <c r="I685" s="6" t="s">
        <v>40</v>
      </c>
      <c r="J685" s="5" t="s">
        <v>8585</v>
      </c>
      <c r="K685" s="5" t="s">
        <v>8586</v>
      </c>
      <c r="L685" s="6" t="s">
        <v>42</v>
      </c>
      <c r="M685" s="5" t="s">
        <v>8746</v>
      </c>
      <c r="N685" s="5" t="s">
        <v>64</v>
      </c>
      <c r="O685" s="5" t="s">
        <v>14358</v>
      </c>
      <c r="P685" s="5" t="s">
        <v>14345</v>
      </c>
      <c r="Q685" s="5" t="s">
        <v>16480</v>
      </c>
      <c r="R685" s="6">
        <v>7630.0</v>
      </c>
    </row>
    <row r="686" ht="56.25" customHeight="1">
      <c r="A686" s="5" t="s">
        <v>16468</v>
      </c>
      <c r="B686" s="6" t="str">
        <f>IMAGE("https://storage.googleapis.com/acdb/dresses/TopsTexOnepieceOverallHRugby3.png")</f>
        <v/>
      </c>
      <c r="C686" s="5" t="s">
        <v>16481</v>
      </c>
      <c r="D686" s="5" t="s">
        <v>36</v>
      </c>
      <c r="E686" s="6">
        <v>1760.0</v>
      </c>
      <c r="F686" s="6">
        <v>440.0</v>
      </c>
      <c r="G686" s="5" t="s">
        <v>57</v>
      </c>
      <c r="H686" s="5" t="s">
        <v>142</v>
      </c>
      <c r="I686" s="6" t="s">
        <v>40</v>
      </c>
      <c r="J686" s="5" t="s">
        <v>8585</v>
      </c>
      <c r="K686" s="5" t="s">
        <v>8586</v>
      </c>
      <c r="L686" s="6" t="s">
        <v>42</v>
      </c>
      <c r="M686" s="5" t="s">
        <v>8746</v>
      </c>
      <c r="N686" s="5" t="s">
        <v>64</v>
      </c>
      <c r="O686" s="5" t="s">
        <v>14358</v>
      </c>
      <c r="P686" s="5" t="s">
        <v>14345</v>
      </c>
      <c r="Q686" s="5" t="s">
        <v>16483</v>
      </c>
      <c r="R686" s="6">
        <v>7631.0</v>
      </c>
    </row>
    <row r="687" ht="56.25" customHeight="1">
      <c r="A687" s="5" t="s">
        <v>16468</v>
      </c>
      <c r="B687" s="6" t="str">
        <f>IMAGE("https://storage.googleapis.com/acdb/dresses/TopsTexOnepieceOverallHRugby4.png")</f>
        <v/>
      </c>
      <c r="C687" s="5" t="s">
        <v>397</v>
      </c>
      <c r="D687" s="5" t="s">
        <v>36</v>
      </c>
      <c r="E687" s="6">
        <v>1760.0</v>
      </c>
      <c r="F687" s="6">
        <v>440.0</v>
      </c>
      <c r="G687" s="5" t="s">
        <v>54</v>
      </c>
      <c r="H687" s="5" t="s">
        <v>52</v>
      </c>
      <c r="I687" s="6" t="s">
        <v>40</v>
      </c>
      <c r="J687" s="5" t="s">
        <v>8585</v>
      </c>
      <c r="K687" s="5" t="s">
        <v>8586</v>
      </c>
      <c r="L687" s="6" t="s">
        <v>42</v>
      </c>
      <c r="M687" s="5" t="s">
        <v>8746</v>
      </c>
      <c r="N687" s="5" t="s">
        <v>64</v>
      </c>
      <c r="O687" s="5" t="s">
        <v>14358</v>
      </c>
      <c r="P687" s="5" t="s">
        <v>14345</v>
      </c>
      <c r="Q687" s="5" t="s">
        <v>16485</v>
      </c>
      <c r="R687" s="6">
        <v>7632.0</v>
      </c>
    </row>
    <row r="688" ht="56.25" customHeight="1">
      <c r="A688" s="5" t="s">
        <v>16468</v>
      </c>
      <c r="B688" s="6" t="str">
        <f>IMAGE("https://storage.googleapis.com/acdb/dresses/TopsTexOnepieceOverallHRugby5.png")</f>
        <v/>
      </c>
      <c r="C688" s="5" t="s">
        <v>16487</v>
      </c>
      <c r="D688" s="5" t="s">
        <v>36</v>
      </c>
      <c r="E688" s="6">
        <v>1760.0</v>
      </c>
      <c r="F688" s="6">
        <v>440.0</v>
      </c>
      <c r="G688" s="5" t="s">
        <v>54</v>
      </c>
      <c r="H688" s="5" t="s">
        <v>68</v>
      </c>
      <c r="I688" s="6" t="s">
        <v>40</v>
      </c>
      <c r="J688" s="5" t="s">
        <v>8585</v>
      </c>
      <c r="K688" s="5" t="s">
        <v>8586</v>
      </c>
      <c r="L688" s="6" t="s">
        <v>42</v>
      </c>
      <c r="M688" s="5" t="s">
        <v>8746</v>
      </c>
      <c r="N688" s="5" t="s">
        <v>64</v>
      </c>
      <c r="O688" s="5" t="s">
        <v>14358</v>
      </c>
      <c r="P688" s="5" t="s">
        <v>14345</v>
      </c>
      <c r="Q688" s="5" t="s">
        <v>16488</v>
      </c>
      <c r="R688" s="6">
        <v>7633.0</v>
      </c>
    </row>
    <row r="689" ht="56.25" customHeight="1">
      <c r="A689" s="5" t="s">
        <v>16468</v>
      </c>
      <c r="B689" s="6" t="str">
        <f>IMAGE("https://storage.googleapis.com/acdb/dresses/TopsTexOnepieceOverallHRugby6.png")</f>
        <v/>
      </c>
      <c r="C689" s="5" t="s">
        <v>16490</v>
      </c>
      <c r="D689" s="5" t="s">
        <v>36</v>
      </c>
      <c r="E689" s="6">
        <v>1760.0</v>
      </c>
      <c r="F689" s="6">
        <v>440.0</v>
      </c>
      <c r="G689" s="5" t="s">
        <v>54</v>
      </c>
      <c r="H689" s="5" t="s">
        <v>96</v>
      </c>
      <c r="I689" s="6" t="s">
        <v>40</v>
      </c>
      <c r="J689" s="5" t="s">
        <v>8585</v>
      </c>
      <c r="K689" s="5" t="s">
        <v>8586</v>
      </c>
      <c r="L689" s="6" t="s">
        <v>42</v>
      </c>
      <c r="M689" s="5" t="s">
        <v>8746</v>
      </c>
      <c r="N689" s="5" t="s">
        <v>64</v>
      </c>
      <c r="O689" s="5" t="s">
        <v>14358</v>
      </c>
      <c r="P689" s="5" t="s">
        <v>14345</v>
      </c>
      <c r="Q689" s="5" t="s">
        <v>16493</v>
      </c>
      <c r="R689" s="6">
        <v>7634.0</v>
      </c>
    </row>
    <row r="690" ht="56.25" customHeight="1">
      <c r="A690" s="5" t="s">
        <v>16468</v>
      </c>
      <c r="B690" s="6" t="str">
        <f>IMAGE("https://storage.googleapis.com/acdb/dresses/TopsTexOnepieceOverallHRugby7.png")</f>
        <v/>
      </c>
      <c r="C690" s="5" t="s">
        <v>1899</v>
      </c>
      <c r="D690" s="5" t="s">
        <v>36</v>
      </c>
      <c r="E690" s="6">
        <v>1760.0</v>
      </c>
      <c r="F690" s="6">
        <v>440.0</v>
      </c>
      <c r="G690" s="5" t="s">
        <v>54</v>
      </c>
      <c r="H690" s="5" t="s">
        <v>142</v>
      </c>
      <c r="I690" s="6" t="s">
        <v>40</v>
      </c>
      <c r="J690" s="5" t="s">
        <v>8585</v>
      </c>
      <c r="K690" s="5" t="s">
        <v>8586</v>
      </c>
      <c r="L690" s="6" t="s">
        <v>42</v>
      </c>
      <c r="M690" s="5" t="s">
        <v>8746</v>
      </c>
      <c r="N690" s="5" t="s">
        <v>64</v>
      </c>
      <c r="O690" s="5" t="s">
        <v>14358</v>
      </c>
      <c r="P690" s="5" t="s">
        <v>14345</v>
      </c>
      <c r="Q690" s="5" t="s">
        <v>16496</v>
      </c>
      <c r="R690" s="6">
        <v>7635.0</v>
      </c>
    </row>
    <row r="691" ht="56.25" customHeight="1">
      <c r="A691" s="5" t="s">
        <v>16497</v>
      </c>
      <c r="B691" s="6" t="str">
        <f>IMAGE("https://storage.googleapis.com/acdb/dresses/TopsTexOnepieceSalopetteLRumba0.png")</f>
        <v/>
      </c>
      <c r="C691" s="5" t="s">
        <v>52</v>
      </c>
      <c r="D691" s="5" t="s">
        <v>36</v>
      </c>
      <c r="E691" s="6">
        <v>2600.0</v>
      </c>
      <c r="F691" s="6">
        <v>650.0</v>
      </c>
      <c r="G691" s="5" t="s">
        <v>52</v>
      </c>
      <c r="H691" s="5" t="s">
        <v>114</v>
      </c>
      <c r="I691" s="6" t="s">
        <v>40</v>
      </c>
      <c r="J691" s="5" t="s">
        <v>8585</v>
      </c>
      <c r="K691" s="5" t="s">
        <v>8586</v>
      </c>
      <c r="L691" s="6" t="s">
        <v>42</v>
      </c>
      <c r="M691" s="5" t="s">
        <v>1059</v>
      </c>
      <c r="N691" s="5" t="s">
        <v>64</v>
      </c>
      <c r="O691" s="5" t="s">
        <v>15229</v>
      </c>
      <c r="P691" s="5" t="s">
        <v>14333</v>
      </c>
      <c r="Q691" s="5" t="s">
        <v>16499</v>
      </c>
      <c r="R691" s="6">
        <v>5610.0</v>
      </c>
    </row>
    <row r="692" ht="56.25" customHeight="1">
      <c r="A692" s="5" t="s">
        <v>16497</v>
      </c>
      <c r="B692" s="6" t="str">
        <f>IMAGE("https://storage.googleapis.com/acdb/dresses/TopsTexOnepieceSalopetteLRumba1.png")</f>
        <v/>
      </c>
      <c r="C692" s="5" t="s">
        <v>142</v>
      </c>
      <c r="D692" s="5" t="s">
        <v>36</v>
      </c>
      <c r="E692" s="6">
        <v>2600.0</v>
      </c>
      <c r="F692" s="6">
        <v>650.0</v>
      </c>
      <c r="G692" s="5" t="s">
        <v>142</v>
      </c>
      <c r="H692" s="5" t="s">
        <v>96</v>
      </c>
      <c r="I692" s="6" t="s">
        <v>40</v>
      </c>
      <c r="J692" s="5" t="s">
        <v>8585</v>
      </c>
      <c r="K692" s="5" t="s">
        <v>8586</v>
      </c>
      <c r="L692" s="6" t="s">
        <v>42</v>
      </c>
      <c r="M692" s="5" t="s">
        <v>1059</v>
      </c>
      <c r="N692" s="5" t="s">
        <v>64</v>
      </c>
      <c r="O692" s="5" t="s">
        <v>15229</v>
      </c>
      <c r="P692" s="5" t="s">
        <v>14333</v>
      </c>
      <c r="Q692" s="5" t="s">
        <v>16503</v>
      </c>
      <c r="R692" s="6">
        <v>11578.0</v>
      </c>
    </row>
    <row r="693" ht="56.25" customHeight="1">
      <c r="A693" s="5" t="s">
        <v>16497</v>
      </c>
      <c r="B693" s="6" t="str">
        <f>IMAGE("https://storage.googleapis.com/acdb/dresses/TopsTexOnepieceSalopetteLRumba2.png")</f>
        <v/>
      </c>
      <c r="C693" s="5" t="s">
        <v>69</v>
      </c>
      <c r="D693" s="5" t="s">
        <v>36</v>
      </c>
      <c r="E693" s="6">
        <v>2600.0</v>
      </c>
      <c r="F693" s="6">
        <v>650.0</v>
      </c>
      <c r="G693" s="5" t="s">
        <v>69</v>
      </c>
      <c r="H693" s="5" t="s">
        <v>83</v>
      </c>
      <c r="I693" s="6" t="s">
        <v>40</v>
      </c>
      <c r="J693" s="5" t="s">
        <v>8585</v>
      </c>
      <c r="K693" s="5" t="s">
        <v>8586</v>
      </c>
      <c r="L693" s="6" t="s">
        <v>42</v>
      </c>
      <c r="M693" s="5" t="s">
        <v>1059</v>
      </c>
      <c r="N693" s="5" t="s">
        <v>64</v>
      </c>
      <c r="O693" s="5" t="s">
        <v>15229</v>
      </c>
      <c r="P693" s="5" t="s">
        <v>14333</v>
      </c>
      <c r="Q693" s="5" t="s">
        <v>16507</v>
      </c>
      <c r="R693" s="6">
        <v>11579.0</v>
      </c>
    </row>
    <row r="694" ht="56.25" customHeight="1">
      <c r="A694" s="5" t="s">
        <v>16508</v>
      </c>
      <c r="B694" s="6" t="str">
        <f>IMAGE("https://storage.googleapis.com/acdb/dresses/TopsTexOnepieceAlongHRumba1.png")</f>
        <v/>
      </c>
      <c r="C694" s="5" t="s">
        <v>142</v>
      </c>
      <c r="D694" s="5" t="s">
        <v>36</v>
      </c>
      <c r="E694" s="6">
        <v>2600.0</v>
      </c>
      <c r="F694" s="6">
        <v>650.0</v>
      </c>
      <c r="G694" s="5" t="s">
        <v>142</v>
      </c>
      <c r="H694" s="5" t="s">
        <v>54</v>
      </c>
      <c r="I694" s="6" t="s">
        <v>40</v>
      </c>
      <c r="J694" s="5" t="s">
        <v>8585</v>
      </c>
      <c r="K694" s="5" t="s">
        <v>8586</v>
      </c>
      <c r="L694" s="6" t="s">
        <v>42</v>
      </c>
      <c r="M694" s="5" t="s">
        <v>1059</v>
      </c>
      <c r="N694" s="5" t="s">
        <v>64</v>
      </c>
      <c r="O694" s="5" t="s">
        <v>14574</v>
      </c>
      <c r="P694" s="5" t="s">
        <v>14345</v>
      </c>
      <c r="Q694" s="5" t="s">
        <v>16513</v>
      </c>
      <c r="R694" s="6">
        <v>9528.0</v>
      </c>
    </row>
    <row r="695" ht="56.25" customHeight="1">
      <c r="A695" s="5" t="s">
        <v>16508</v>
      </c>
      <c r="B695" s="6" t="str">
        <f>IMAGE("https://storage.googleapis.com/acdb/dresses/TopsTexOnepieceAlongHRumba2.png")</f>
        <v/>
      </c>
      <c r="C695" s="5" t="s">
        <v>69</v>
      </c>
      <c r="D695" s="5" t="s">
        <v>36</v>
      </c>
      <c r="E695" s="6">
        <v>2600.0</v>
      </c>
      <c r="F695" s="6">
        <v>650.0</v>
      </c>
      <c r="G695" s="5" t="s">
        <v>69</v>
      </c>
      <c r="H695" s="5" t="s">
        <v>54</v>
      </c>
      <c r="I695" s="6" t="s">
        <v>40</v>
      </c>
      <c r="J695" s="5" t="s">
        <v>8585</v>
      </c>
      <c r="K695" s="5" t="s">
        <v>8586</v>
      </c>
      <c r="L695" s="6" t="s">
        <v>42</v>
      </c>
      <c r="M695" s="5" t="s">
        <v>1059</v>
      </c>
      <c r="N695" s="5" t="s">
        <v>64</v>
      </c>
      <c r="O695" s="5" t="s">
        <v>14574</v>
      </c>
      <c r="P695" s="5" t="s">
        <v>14345</v>
      </c>
      <c r="Q695" s="5" t="s">
        <v>16517</v>
      </c>
      <c r="R695" s="6">
        <v>9529.0</v>
      </c>
    </row>
    <row r="696" ht="56.25" customHeight="1">
      <c r="A696" s="5" t="s">
        <v>16508</v>
      </c>
      <c r="B696" s="6" t="str">
        <f>IMAGE("https://storage.googleapis.com/acdb/dresses/TopsTexOnepieceAlongHRumba0.png")</f>
        <v/>
      </c>
      <c r="C696" s="5" t="s">
        <v>52</v>
      </c>
      <c r="D696" s="5" t="s">
        <v>36</v>
      </c>
      <c r="E696" s="6">
        <v>2600.0</v>
      </c>
      <c r="F696" s="6">
        <v>650.0</v>
      </c>
      <c r="G696" s="5" t="s">
        <v>52</v>
      </c>
      <c r="H696" s="5" t="s">
        <v>54</v>
      </c>
      <c r="I696" s="6" t="s">
        <v>40</v>
      </c>
      <c r="J696" s="5" t="s">
        <v>8585</v>
      </c>
      <c r="K696" s="5" t="s">
        <v>8586</v>
      </c>
      <c r="L696" s="6" t="s">
        <v>42</v>
      </c>
      <c r="M696" s="5" t="s">
        <v>1059</v>
      </c>
      <c r="N696" s="5" t="s">
        <v>64</v>
      </c>
      <c r="O696" s="5" t="s">
        <v>14574</v>
      </c>
      <c r="P696" s="5" t="s">
        <v>14345</v>
      </c>
      <c r="Q696" s="5" t="s">
        <v>16520</v>
      </c>
      <c r="R696" s="6">
        <v>5645.0</v>
      </c>
    </row>
    <row r="697" ht="56.25" customHeight="1">
      <c r="A697" s="5" t="s">
        <v>16522</v>
      </c>
      <c r="B697" s="6" t="str">
        <f>IMAGE("https://storage.googleapis.com/acdb/dresses/TopsTexOnepieceBalloonHMarine1.png")</f>
        <v/>
      </c>
      <c r="C697" s="5" t="s">
        <v>1187</v>
      </c>
      <c r="D697" s="5" t="s">
        <v>36</v>
      </c>
      <c r="E697" s="6">
        <v>1920.0</v>
      </c>
      <c r="F697" s="6">
        <v>480.0</v>
      </c>
      <c r="G697" s="5" t="s">
        <v>68</v>
      </c>
      <c r="H697" s="5" t="s">
        <v>57</v>
      </c>
      <c r="I697" s="6" t="s">
        <v>40</v>
      </c>
      <c r="J697" s="5" t="s">
        <v>8585</v>
      </c>
      <c r="K697" s="5" t="s">
        <v>8586</v>
      </c>
      <c r="L697" s="6" t="s">
        <v>42</v>
      </c>
      <c r="M697" s="5" t="s">
        <v>1959</v>
      </c>
      <c r="N697" s="5" t="s">
        <v>64</v>
      </c>
      <c r="O697" s="5" t="s">
        <v>14344</v>
      </c>
      <c r="P697" s="5" t="s">
        <v>14345</v>
      </c>
      <c r="Q697" s="5" t="s">
        <v>16525</v>
      </c>
      <c r="R697" s="6">
        <v>8882.0</v>
      </c>
    </row>
    <row r="698" ht="56.25" customHeight="1">
      <c r="A698" s="5" t="s">
        <v>16522</v>
      </c>
      <c r="B698" s="6" t="str">
        <f>IMAGE("https://storage.googleapis.com/acdb/dresses/TopsTexOnepieceBalloonHMarine2.png")</f>
        <v/>
      </c>
      <c r="C698" s="5" t="s">
        <v>68</v>
      </c>
      <c r="D698" s="5" t="s">
        <v>36</v>
      </c>
      <c r="E698" s="6">
        <v>1920.0</v>
      </c>
      <c r="F698" s="6">
        <v>480.0</v>
      </c>
      <c r="G698" s="5" t="s">
        <v>83</v>
      </c>
      <c r="H698" s="5" t="s">
        <v>68</v>
      </c>
      <c r="I698" s="6" t="s">
        <v>40</v>
      </c>
      <c r="J698" s="5" t="s">
        <v>8585</v>
      </c>
      <c r="K698" s="5" t="s">
        <v>8586</v>
      </c>
      <c r="L698" s="6" t="s">
        <v>42</v>
      </c>
      <c r="M698" s="5" t="s">
        <v>1959</v>
      </c>
      <c r="N698" s="5" t="s">
        <v>64</v>
      </c>
      <c r="O698" s="5" t="s">
        <v>14344</v>
      </c>
      <c r="P698" s="5" t="s">
        <v>14345</v>
      </c>
      <c r="Q698" s="5" t="s">
        <v>16530</v>
      </c>
      <c r="R698" s="6">
        <v>8883.0</v>
      </c>
    </row>
    <row r="699" ht="56.25" customHeight="1">
      <c r="A699" s="5" t="s">
        <v>16522</v>
      </c>
      <c r="B699" s="6" t="str">
        <f>IMAGE("https://storage.googleapis.com/acdb/dresses/TopsTexOnepieceBalloonHMarine3.png")</f>
        <v/>
      </c>
      <c r="C699" s="5" t="s">
        <v>69</v>
      </c>
      <c r="D699" s="5" t="s">
        <v>36</v>
      </c>
      <c r="E699" s="6">
        <v>1920.0</v>
      </c>
      <c r="F699" s="6">
        <v>480.0</v>
      </c>
      <c r="G699" s="5" t="s">
        <v>69</v>
      </c>
      <c r="H699" s="5" t="s">
        <v>68</v>
      </c>
      <c r="I699" s="6" t="s">
        <v>40</v>
      </c>
      <c r="J699" s="5" t="s">
        <v>8585</v>
      </c>
      <c r="K699" s="5" t="s">
        <v>8586</v>
      </c>
      <c r="L699" s="6" t="s">
        <v>42</v>
      </c>
      <c r="M699" s="5" t="s">
        <v>1959</v>
      </c>
      <c r="N699" s="5" t="s">
        <v>64</v>
      </c>
      <c r="O699" s="5" t="s">
        <v>14344</v>
      </c>
      <c r="P699" s="5" t="s">
        <v>14345</v>
      </c>
      <c r="Q699" s="5" t="s">
        <v>16533</v>
      </c>
      <c r="R699" s="6">
        <v>8884.0</v>
      </c>
    </row>
    <row r="700" ht="56.25" customHeight="1">
      <c r="A700" s="5" t="s">
        <v>16522</v>
      </c>
      <c r="B700" s="6" t="str">
        <f>IMAGE("https://storage.googleapis.com/acdb/dresses/TopsTexOnepieceBalloonHMarine0.png")</f>
        <v/>
      </c>
      <c r="C700" s="5" t="s">
        <v>57</v>
      </c>
      <c r="D700" s="5" t="s">
        <v>36</v>
      </c>
      <c r="E700" s="6">
        <v>1920.0</v>
      </c>
      <c r="F700" s="6">
        <v>480.0</v>
      </c>
      <c r="G700" s="5" t="s">
        <v>57</v>
      </c>
      <c r="H700" s="5" t="s">
        <v>68</v>
      </c>
      <c r="I700" s="6" t="s">
        <v>40</v>
      </c>
      <c r="J700" s="5" t="s">
        <v>8585</v>
      </c>
      <c r="K700" s="5" t="s">
        <v>8586</v>
      </c>
      <c r="L700" s="6" t="s">
        <v>42</v>
      </c>
      <c r="M700" s="5" t="s">
        <v>1959</v>
      </c>
      <c r="N700" s="5" t="s">
        <v>64</v>
      </c>
      <c r="O700" s="5" t="s">
        <v>14344</v>
      </c>
      <c r="P700" s="5" t="s">
        <v>14345</v>
      </c>
      <c r="Q700" s="5" t="s">
        <v>16537</v>
      </c>
      <c r="R700" s="6">
        <v>3673.0</v>
      </c>
    </row>
    <row r="701" ht="56.25" customHeight="1">
      <c r="A701" s="5" t="s">
        <v>16539</v>
      </c>
      <c r="B701" s="6" t="str">
        <f>IMAGE("https://storage.googleapis.com/acdb/dresses/TopsTexOnepieceBlongHSally1.png")</f>
        <v/>
      </c>
      <c r="C701" s="5" t="s">
        <v>819</v>
      </c>
      <c r="D701" s="5" t="s">
        <v>36</v>
      </c>
      <c r="E701" s="6">
        <v>2520.0</v>
      </c>
      <c r="F701" s="6">
        <v>630.0</v>
      </c>
      <c r="G701" s="5" t="s">
        <v>96</v>
      </c>
      <c r="H701" s="5" t="s">
        <v>96</v>
      </c>
      <c r="I701" s="6" t="s">
        <v>40</v>
      </c>
      <c r="J701" s="5" t="s">
        <v>8585</v>
      </c>
      <c r="K701" s="5" t="s">
        <v>8586</v>
      </c>
      <c r="L701" s="6" t="s">
        <v>42</v>
      </c>
      <c r="M701" s="5" t="s">
        <v>1059</v>
      </c>
      <c r="N701" s="5" t="s">
        <v>64</v>
      </c>
      <c r="O701" s="5" t="s">
        <v>14396</v>
      </c>
      <c r="P701" s="5" t="s">
        <v>14345</v>
      </c>
      <c r="Q701" s="5" t="s">
        <v>16542</v>
      </c>
      <c r="R701" s="6">
        <v>9149.0</v>
      </c>
    </row>
    <row r="702" ht="56.25" customHeight="1">
      <c r="A702" s="5" t="s">
        <v>16539</v>
      </c>
      <c r="B702" s="6" t="str">
        <f>IMAGE("https://storage.googleapis.com/acdb/dresses/TopsTexOnepieceBlongHSally0.png")</f>
        <v/>
      </c>
      <c r="C702" s="5" t="s">
        <v>16544</v>
      </c>
      <c r="D702" s="5" t="s">
        <v>36</v>
      </c>
      <c r="E702" s="6">
        <v>2520.0</v>
      </c>
      <c r="F702" s="6">
        <v>630.0</v>
      </c>
      <c r="G702" s="5" t="s">
        <v>52</v>
      </c>
      <c r="H702" s="5" t="s">
        <v>52</v>
      </c>
      <c r="I702" s="6" t="s">
        <v>40</v>
      </c>
      <c r="J702" s="5" t="s">
        <v>8585</v>
      </c>
      <c r="K702" s="5" t="s">
        <v>8586</v>
      </c>
      <c r="L702" s="6" t="s">
        <v>42</v>
      </c>
      <c r="M702" s="5" t="s">
        <v>1059</v>
      </c>
      <c r="N702" s="5" t="s">
        <v>64</v>
      </c>
      <c r="O702" s="5" t="s">
        <v>14396</v>
      </c>
      <c r="P702" s="5" t="s">
        <v>14345</v>
      </c>
      <c r="Q702" s="5" t="s">
        <v>16546</v>
      </c>
      <c r="R702" s="6">
        <v>3685.0</v>
      </c>
    </row>
    <row r="703" ht="56.25" customHeight="1">
      <c r="A703" s="5" t="s">
        <v>16539</v>
      </c>
      <c r="B703" s="6" t="str">
        <f>IMAGE("https://storage.googleapis.com/acdb/dresses/TopsTexOnepieceBlongHSally2.png")</f>
        <v/>
      </c>
      <c r="C703" s="5" t="s">
        <v>16549</v>
      </c>
      <c r="D703" s="5" t="s">
        <v>36</v>
      </c>
      <c r="E703" s="6">
        <v>2520.0</v>
      </c>
      <c r="F703" s="6">
        <v>630.0</v>
      </c>
      <c r="G703" s="5" t="s">
        <v>142</v>
      </c>
      <c r="H703" s="5" t="s">
        <v>142</v>
      </c>
      <c r="I703" s="6" t="s">
        <v>40</v>
      </c>
      <c r="J703" s="5" t="s">
        <v>8585</v>
      </c>
      <c r="K703" s="5" t="s">
        <v>8586</v>
      </c>
      <c r="L703" s="6" t="s">
        <v>42</v>
      </c>
      <c r="M703" s="5" t="s">
        <v>1059</v>
      </c>
      <c r="N703" s="5" t="s">
        <v>64</v>
      </c>
      <c r="O703" s="5" t="s">
        <v>14396</v>
      </c>
      <c r="P703" s="5" t="s">
        <v>14345</v>
      </c>
      <c r="Q703" s="5" t="s">
        <v>16550</v>
      </c>
      <c r="R703" s="6">
        <v>9150.0</v>
      </c>
    </row>
    <row r="704" ht="56.25" customHeight="1">
      <c r="A704" s="5" t="s">
        <v>16539</v>
      </c>
      <c r="B704" s="6" t="str">
        <f>IMAGE("https://storage.googleapis.com/acdb/dresses/TopsTexOnepieceBlongHSally3.png")</f>
        <v/>
      </c>
      <c r="C704" s="5" t="s">
        <v>16555</v>
      </c>
      <c r="D704" s="5" t="s">
        <v>36</v>
      </c>
      <c r="E704" s="6">
        <v>2520.0</v>
      </c>
      <c r="F704" s="6">
        <v>630.0</v>
      </c>
      <c r="G704" s="5" t="s">
        <v>106</v>
      </c>
      <c r="H704" s="5" t="s">
        <v>114</v>
      </c>
      <c r="I704" s="6" t="s">
        <v>40</v>
      </c>
      <c r="J704" s="5" t="s">
        <v>8585</v>
      </c>
      <c r="K704" s="5" t="s">
        <v>8586</v>
      </c>
      <c r="L704" s="6" t="s">
        <v>42</v>
      </c>
      <c r="M704" s="5" t="s">
        <v>1059</v>
      </c>
      <c r="N704" s="5" t="s">
        <v>64</v>
      </c>
      <c r="O704" s="5" t="s">
        <v>14396</v>
      </c>
      <c r="P704" s="5" t="s">
        <v>14345</v>
      </c>
      <c r="Q704" s="5" t="s">
        <v>16559</v>
      </c>
      <c r="R704" s="6">
        <v>9151.0</v>
      </c>
    </row>
    <row r="705" ht="56.25" customHeight="1">
      <c r="A705" s="5" t="s">
        <v>16560</v>
      </c>
      <c r="B705" s="6" t="str">
        <f>IMAGE("https://storage.googleapis.com/acdb/dresses/TopsTexOnepieceBalloonNSatin1.png")</f>
        <v/>
      </c>
      <c r="C705" s="5" t="s">
        <v>68</v>
      </c>
      <c r="D705" s="5" t="s">
        <v>36</v>
      </c>
      <c r="E705" s="6">
        <v>1600.0</v>
      </c>
      <c r="F705" s="6">
        <v>400.0</v>
      </c>
      <c r="G705" s="5" t="s">
        <v>68</v>
      </c>
      <c r="H705" s="5" t="s">
        <v>68</v>
      </c>
      <c r="I705" s="6" t="s">
        <v>40</v>
      </c>
      <c r="J705" s="5" t="s">
        <v>8585</v>
      </c>
      <c r="K705" s="5" t="s">
        <v>8586</v>
      </c>
      <c r="L705" s="6" t="s">
        <v>42</v>
      </c>
      <c r="M705" s="5" t="s">
        <v>612</v>
      </c>
      <c r="N705" s="5" t="s">
        <v>64</v>
      </c>
      <c r="O705" s="5" t="s">
        <v>14344</v>
      </c>
      <c r="P705" s="5" t="s">
        <v>14412</v>
      </c>
      <c r="Q705" s="5" t="s">
        <v>16566</v>
      </c>
      <c r="R705" s="6">
        <v>7942.0</v>
      </c>
    </row>
    <row r="706" ht="56.25" customHeight="1">
      <c r="A706" s="5" t="s">
        <v>16560</v>
      </c>
      <c r="B706" s="6" t="str">
        <f>IMAGE("https://storage.googleapis.com/acdb/dresses/TopsTexOnepieceBalloonNSatin2.png")</f>
        <v/>
      </c>
      <c r="C706" s="5" t="s">
        <v>4883</v>
      </c>
      <c r="D706" s="5" t="s">
        <v>36</v>
      </c>
      <c r="E706" s="6">
        <v>1600.0</v>
      </c>
      <c r="F706" s="6">
        <v>400.0</v>
      </c>
      <c r="G706" s="5" t="s">
        <v>52</v>
      </c>
      <c r="H706" s="5" t="s">
        <v>52</v>
      </c>
      <c r="I706" s="6" t="s">
        <v>40</v>
      </c>
      <c r="J706" s="5" t="s">
        <v>8585</v>
      </c>
      <c r="K706" s="5" t="s">
        <v>8586</v>
      </c>
      <c r="L706" s="6" t="s">
        <v>42</v>
      </c>
      <c r="M706" s="5" t="s">
        <v>612</v>
      </c>
      <c r="N706" s="5" t="s">
        <v>64</v>
      </c>
      <c r="O706" s="5" t="s">
        <v>14344</v>
      </c>
      <c r="P706" s="5" t="s">
        <v>14412</v>
      </c>
      <c r="Q706" s="5" t="s">
        <v>16570</v>
      </c>
      <c r="R706" s="6">
        <v>7943.0</v>
      </c>
    </row>
    <row r="707" ht="56.25" customHeight="1">
      <c r="A707" s="5" t="s">
        <v>16560</v>
      </c>
      <c r="B707" s="6" t="str">
        <f>IMAGE("https://storage.googleapis.com/acdb/dresses/TopsTexOnepieceBalloonNSatin3.png")</f>
        <v/>
      </c>
      <c r="C707" s="5" t="s">
        <v>106</v>
      </c>
      <c r="D707" s="5" t="s">
        <v>36</v>
      </c>
      <c r="E707" s="6">
        <v>1600.0</v>
      </c>
      <c r="F707" s="6">
        <v>400.0</v>
      </c>
      <c r="G707" s="5" t="s">
        <v>106</v>
      </c>
      <c r="H707" s="5" t="s">
        <v>106</v>
      </c>
      <c r="I707" s="6" t="s">
        <v>40</v>
      </c>
      <c r="J707" s="5" t="s">
        <v>8585</v>
      </c>
      <c r="K707" s="5" t="s">
        <v>8586</v>
      </c>
      <c r="L707" s="6" t="s">
        <v>42</v>
      </c>
      <c r="M707" s="5" t="s">
        <v>612</v>
      </c>
      <c r="N707" s="5" t="s">
        <v>64</v>
      </c>
      <c r="O707" s="5" t="s">
        <v>14344</v>
      </c>
      <c r="P707" s="5" t="s">
        <v>14412</v>
      </c>
      <c r="Q707" s="5" t="s">
        <v>16575</v>
      </c>
      <c r="R707" s="6">
        <v>7944.0</v>
      </c>
    </row>
    <row r="708" ht="56.25" customHeight="1">
      <c r="A708" s="5" t="s">
        <v>16560</v>
      </c>
      <c r="B708" s="6" t="str">
        <f>IMAGE("https://storage.googleapis.com/acdb/dresses/TopsTexOnepieceBalloonNSatin4.png")</f>
        <v/>
      </c>
      <c r="C708" s="5" t="s">
        <v>69</v>
      </c>
      <c r="D708" s="5" t="s">
        <v>36</v>
      </c>
      <c r="E708" s="6">
        <v>1600.0</v>
      </c>
      <c r="F708" s="6">
        <v>400.0</v>
      </c>
      <c r="G708" s="5" t="s">
        <v>69</v>
      </c>
      <c r="H708" s="5" t="s">
        <v>69</v>
      </c>
      <c r="I708" s="6" t="s">
        <v>40</v>
      </c>
      <c r="J708" s="5" t="s">
        <v>8585</v>
      </c>
      <c r="K708" s="5" t="s">
        <v>8586</v>
      </c>
      <c r="L708" s="6" t="s">
        <v>42</v>
      </c>
      <c r="M708" s="5" t="s">
        <v>612</v>
      </c>
      <c r="N708" s="5" t="s">
        <v>64</v>
      </c>
      <c r="O708" s="5" t="s">
        <v>14344</v>
      </c>
      <c r="P708" s="5" t="s">
        <v>14412</v>
      </c>
      <c r="Q708" s="5" t="s">
        <v>16579</v>
      </c>
      <c r="R708" s="6">
        <v>7945.0</v>
      </c>
    </row>
    <row r="709" ht="56.25" customHeight="1">
      <c r="A709" s="5" t="s">
        <v>16560</v>
      </c>
      <c r="B709" s="6" t="str">
        <f>IMAGE("https://storage.googleapis.com/acdb/dresses/TopsTexOnepieceBalloonNSatin0.png")</f>
        <v/>
      </c>
      <c r="C709" s="5" t="s">
        <v>96</v>
      </c>
      <c r="D709" s="5" t="s">
        <v>36</v>
      </c>
      <c r="E709" s="6">
        <v>1600.0</v>
      </c>
      <c r="F709" s="6">
        <v>400.0</v>
      </c>
      <c r="G709" s="5" t="s">
        <v>96</v>
      </c>
      <c r="H709" s="5" t="s">
        <v>96</v>
      </c>
      <c r="I709" s="6" t="s">
        <v>40</v>
      </c>
      <c r="J709" s="5" t="s">
        <v>8585</v>
      </c>
      <c r="K709" s="5" t="s">
        <v>8586</v>
      </c>
      <c r="L709" s="6" t="s">
        <v>42</v>
      </c>
      <c r="M709" s="5" t="s">
        <v>612</v>
      </c>
      <c r="N709" s="5" t="s">
        <v>64</v>
      </c>
      <c r="O709" s="5" t="s">
        <v>14344</v>
      </c>
      <c r="P709" s="5" t="s">
        <v>14412</v>
      </c>
      <c r="Q709" s="5" t="s">
        <v>16584</v>
      </c>
      <c r="R709" s="6">
        <v>2599.0</v>
      </c>
    </row>
    <row r="710" ht="56.25" customHeight="1">
      <c r="A710" s="5" t="s">
        <v>16586</v>
      </c>
      <c r="B710" s="6" t="str">
        <f>IMAGE("https://storage.googleapis.com/acdb/dresses/TopsTexOnepieceBoxLSchoolsmockNavy.png")</f>
        <v/>
      </c>
      <c r="C710" s="5" t="s">
        <v>68</v>
      </c>
      <c r="D710" s="5" t="s">
        <v>36</v>
      </c>
      <c r="E710" s="6">
        <v>2000.0</v>
      </c>
      <c r="F710" s="6">
        <v>500.0</v>
      </c>
      <c r="G710" s="5" t="s">
        <v>68</v>
      </c>
      <c r="H710" s="5" t="s">
        <v>57</v>
      </c>
      <c r="I710" s="6" t="s">
        <v>40</v>
      </c>
      <c r="J710" s="5" t="s">
        <v>8585</v>
      </c>
      <c r="K710" s="5" t="s">
        <v>8586</v>
      </c>
      <c r="L710" s="6" t="s">
        <v>42</v>
      </c>
      <c r="M710" s="5" t="s">
        <v>995</v>
      </c>
      <c r="N710" s="5" t="s">
        <v>64</v>
      </c>
      <c r="O710" s="5" t="s">
        <v>14332</v>
      </c>
      <c r="P710" s="5" t="s">
        <v>14333</v>
      </c>
      <c r="Q710" s="5" t="s">
        <v>16592</v>
      </c>
      <c r="R710" s="6">
        <v>5567.0</v>
      </c>
    </row>
    <row r="711" ht="56.25" customHeight="1">
      <c r="A711" s="5" t="s">
        <v>16593</v>
      </c>
      <c r="B711" s="6" t="str">
        <f>IMAGE("https://storage.googleapis.com/acdb/dresses/TopsTexOnepieceOverallLPoliceNavy.png")</f>
        <v/>
      </c>
      <c r="C711" s="5" t="s">
        <v>1187</v>
      </c>
      <c r="D711" s="5" t="s">
        <v>36</v>
      </c>
      <c r="E711" s="6">
        <v>2240.0</v>
      </c>
      <c r="F711" s="6">
        <v>560.0</v>
      </c>
      <c r="G711" s="5" t="s">
        <v>68</v>
      </c>
      <c r="H711" s="5" t="s">
        <v>83</v>
      </c>
      <c r="I711" s="6" t="s">
        <v>40</v>
      </c>
      <c r="J711" s="5" t="s">
        <v>8585</v>
      </c>
      <c r="K711" s="5" t="s">
        <v>8586</v>
      </c>
      <c r="L711" s="6" t="s">
        <v>42</v>
      </c>
      <c r="M711" s="5" t="s">
        <v>8746</v>
      </c>
      <c r="N711" s="5" t="s">
        <v>64</v>
      </c>
      <c r="O711" s="5" t="s">
        <v>14358</v>
      </c>
      <c r="P711" s="5" t="s">
        <v>14333</v>
      </c>
      <c r="Q711" s="5" t="s">
        <v>16597</v>
      </c>
      <c r="R711" s="6">
        <v>3565.0</v>
      </c>
    </row>
    <row r="712" ht="56.25" customHeight="1">
      <c r="A712" s="5" t="s">
        <v>16598</v>
      </c>
      <c r="B712" s="6" t="str">
        <f>IMAGE("https://storage.googleapis.com/acdb/dresses/TopsTexOnepieceRibLShawl0.png")</f>
        <v/>
      </c>
      <c r="C712" s="5" t="s">
        <v>54</v>
      </c>
      <c r="D712" s="5" t="s">
        <v>36</v>
      </c>
      <c r="E712" s="6">
        <v>2000.0</v>
      </c>
      <c r="F712" s="6">
        <v>500.0</v>
      </c>
      <c r="G712" s="5" t="s">
        <v>54</v>
      </c>
      <c r="H712" s="5" t="s">
        <v>95</v>
      </c>
      <c r="I712" s="6" t="s">
        <v>40</v>
      </c>
      <c r="J712" s="5" t="s">
        <v>8585</v>
      </c>
      <c r="K712" s="5" t="s">
        <v>8632</v>
      </c>
      <c r="L712" s="6" t="s">
        <v>42</v>
      </c>
      <c r="M712" s="5" t="s">
        <v>1059</v>
      </c>
      <c r="N712" s="5" t="s">
        <v>64</v>
      </c>
      <c r="O712" s="5" t="s">
        <v>14463</v>
      </c>
      <c r="P712" s="5" t="s">
        <v>14333</v>
      </c>
      <c r="Q712" s="5" t="s">
        <v>16605</v>
      </c>
      <c r="R712" s="6">
        <v>4489.0</v>
      </c>
    </row>
    <row r="713" ht="56.25" customHeight="1">
      <c r="A713" s="5" t="s">
        <v>16598</v>
      </c>
      <c r="B713" s="6" t="str">
        <f>IMAGE("https://storage.googleapis.com/acdb/dresses/TopsTexOnepieceRibLShawl1.png")</f>
        <v/>
      </c>
      <c r="C713" s="5" t="s">
        <v>9911</v>
      </c>
      <c r="D713" s="5" t="s">
        <v>36</v>
      </c>
      <c r="E713" s="6">
        <v>2000.0</v>
      </c>
      <c r="F713" s="6">
        <v>500.0</v>
      </c>
      <c r="G713" s="5" t="s">
        <v>142</v>
      </c>
      <c r="H713" s="5" t="s">
        <v>96</v>
      </c>
      <c r="I713" s="6" t="s">
        <v>40</v>
      </c>
      <c r="J713" s="5" t="s">
        <v>8585</v>
      </c>
      <c r="K713" s="5" t="s">
        <v>8632</v>
      </c>
      <c r="L713" s="6" t="s">
        <v>42</v>
      </c>
      <c r="M713" s="5" t="s">
        <v>1059</v>
      </c>
      <c r="N713" s="5" t="s">
        <v>64</v>
      </c>
      <c r="O713" s="5" t="s">
        <v>14463</v>
      </c>
      <c r="P713" s="5" t="s">
        <v>14333</v>
      </c>
      <c r="Q713" s="5" t="s">
        <v>16611</v>
      </c>
      <c r="R713" s="6">
        <v>8595.0</v>
      </c>
    </row>
    <row r="714" ht="56.25" customHeight="1">
      <c r="A714" s="5" t="s">
        <v>16598</v>
      </c>
      <c r="B714" s="6" t="str">
        <f>IMAGE("https://storage.googleapis.com/acdb/dresses/TopsTexOnepieceRibLShawl2.png")</f>
        <v/>
      </c>
      <c r="C714" s="5" t="s">
        <v>96</v>
      </c>
      <c r="D714" s="5" t="s">
        <v>36</v>
      </c>
      <c r="E714" s="6">
        <v>2000.0</v>
      </c>
      <c r="F714" s="6">
        <v>500.0</v>
      </c>
      <c r="G714" s="5" t="s">
        <v>96</v>
      </c>
      <c r="H714" s="5" t="s">
        <v>106</v>
      </c>
      <c r="I714" s="6" t="s">
        <v>40</v>
      </c>
      <c r="J714" s="5" t="s">
        <v>8585</v>
      </c>
      <c r="K714" s="5" t="s">
        <v>8632</v>
      </c>
      <c r="L714" s="6" t="s">
        <v>42</v>
      </c>
      <c r="M714" s="5" t="s">
        <v>1059</v>
      </c>
      <c r="N714" s="5" t="s">
        <v>64</v>
      </c>
      <c r="O714" s="5" t="s">
        <v>14463</v>
      </c>
      <c r="P714" s="5" t="s">
        <v>14333</v>
      </c>
      <c r="Q714" s="5" t="s">
        <v>16618</v>
      </c>
      <c r="R714" s="6">
        <v>8596.0</v>
      </c>
    </row>
    <row r="715" ht="56.25" customHeight="1">
      <c r="A715" s="5" t="s">
        <v>16598</v>
      </c>
      <c r="B715" s="6" t="str">
        <f>IMAGE("https://storage.googleapis.com/acdb/dresses/TopsTexOnepieceRibLShawl3.png")</f>
        <v/>
      </c>
      <c r="C715" s="5" t="s">
        <v>52</v>
      </c>
      <c r="D715" s="5" t="s">
        <v>36</v>
      </c>
      <c r="E715" s="6">
        <v>2000.0</v>
      </c>
      <c r="F715" s="6">
        <v>500.0</v>
      </c>
      <c r="G715" s="5" t="s">
        <v>52</v>
      </c>
      <c r="H715" s="5" t="s">
        <v>96</v>
      </c>
      <c r="I715" s="6" t="s">
        <v>40</v>
      </c>
      <c r="J715" s="5" t="s">
        <v>8585</v>
      </c>
      <c r="K715" s="5" t="s">
        <v>8632</v>
      </c>
      <c r="L715" s="6" t="s">
        <v>42</v>
      </c>
      <c r="M715" s="5" t="s">
        <v>1059</v>
      </c>
      <c r="N715" s="5" t="s">
        <v>64</v>
      </c>
      <c r="O715" s="5" t="s">
        <v>14463</v>
      </c>
      <c r="P715" s="5" t="s">
        <v>14333</v>
      </c>
      <c r="Q715" s="5" t="s">
        <v>16622</v>
      </c>
      <c r="R715" s="6">
        <v>8597.0</v>
      </c>
    </row>
    <row r="716" ht="56.25" customHeight="1">
      <c r="A716" s="5" t="s">
        <v>16623</v>
      </c>
      <c r="B716" s="6" t="str">
        <f>IMAGE("https://storage.googleapis.com/acdb/dresses/TopsTexOnepieceRibNSheep1.png")</f>
        <v/>
      </c>
      <c r="C716" s="5" t="s">
        <v>69</v>
      </c>
      <c r="D716" s="5" t="s">
        <v>36</v>
      </c>
      <c r="E716" s="6">
        <v>1700.0</v>
      </c>
      <c r="F716" s="6">
        <v>425.0</v>
      </c>
      <c r="G716" s="5" t="s">
        <v>69</v>
      </c>
      <c r="H716" s="5" t="s">
        <v>38</v>
      </c>
      <c r="I716" s="6" t="s">
        <v>40</v>
      </c>
      <c r="J716" s="5" t="s">
        <v>8585</v>
      </c>
      <c r="K716" s="5" t="s">
        <v>8586</v>
      </c>
      <c r="L716" s="6" t="s">
        <v>42</v>
      </c>
      <c r="M716" s="5" t="s">
        <v>1959</v>
      </c>
      <c r="N716" s="5" t="s">
        <v>64</v>
      </c>
      <c r="O716" s="5" t="s">
        <v>14463</v>
      </c>
      <c r="P716" s="5" t="s">
        <v>14412</v>
      </c>
      <c r="Q716" s="5" t="s">
        <v>16627</v>
      </c>
      <c r="R716" s="6">
        <v>9635.0</v>
      </c>
    </row>
    <row r="717" ht="56.25" customHeight="1">
      <c r="A717" s="5" t="s">
        <v>16623</v>
      </c>
      <c r="B717" s="6" t="str">
        <f>IMAGE("https://storage.googleapis.com/acdb/dresses/TopsTexOnepieceRibNSheep2.png")</f>
        <v/>
      </c>
      <c r="C717" s="5" t="s">
        <v>83</v>
      </c>
      <c r="D717" s="5" t="s">
        <v>36</v>
      </c>
      <c r="E717" s="6">
        <v>1700.0</v>
      </c>
      <c r="F717" s="6">
        <v>425.0</v>
      </c>
      <c r="G717" s="5" t="s">
        <v>83</v>
      </c>
      <c r="H717" s="5" t="s">
        <v>57</v>
      </c>
      <c r="I717" s="6" t="s">
        <v>40</v>
      </c>
      <c r="J717" s="5" t="s">
        <v>8585</v>
      </c>
      <c r="K717" s="5" t="s">
        <v>8586</v>
      </c>
      <c r="L717" s="6" t="s">
        <v>42</v>
      </c>
      <c r="M717" s="5" t="s">
        <v>1959</v>
      </c>
      <c r="N717" s="5" t="s">
        <v>64</v>
      </c>
      <c r="O717" s="5" t="s">
        <v>14463</v>
      </c>
      <c r="P717" s="5" t="s">
        <v>14412</v>
      </c>
      <c r="Q717" s="5" t="s">
        <v>16629</v>
      </c>
      <c r="R717" s="6">
        <v>9636.0</v>
      </c>
    </row>
    <row r="718" ht="56.25" customHeight="1">
      <c r="A718" s="5" t="s">
        <v>16623</v>
      </c>
      <c r="B718" s="6" t="str">
        <f>IMAGE("https://storage.googleapis.com/acdb/dresses/TopsTexOnepieceRibNSheep3.png")</f>
        <v/>
      </c>
      <c r="C718" s="5" t="s">
        <v>39</v>
      </c>
      <c r="D718" s="5" t="s">
        <v>36</v>
      </c>
      <c r="E718" s="6">
        <v>1700.0</v>
      </c>
      <c r="F718" s="6">
        <v>425.0</v>
      </c>
      <c r="G718" s="5" t="s">
        <v>39</v>
      </c>
      <c r="H718" s="5" t="s">
        <v>54</v>
      </c>
      <c r="I718" s="6" t="s">
        <v>40</v>
      </c>
      <c r="J718" s="5" t="s">
        <v>8585</v>
      </c>
      <c r="K718" s="5" t="s">
        <v>8586</v>
      </c>
      <c r="L718" s="6" t="s">
        <v>42</v>
      </c>
      <c r="M718" s="5" t="s">
        <v>1959</v>
      </c>
      <c r="N718" s="5" t="s">
        <v>64</v>
      </c>
      <c r="O718" s="5" t="s">
        <v>14463</v>
      </c>
      <c r="P718" s="5" t="s">
        <v>14412</v>
      </c>
      <c r="Q718" s="5" t="s">
        <v>16634</v>
      </c>
      <c r="R718" s="6">
        <v>9637.0</v>
      </c>
    </row>
    <row r="719" ht="56.25" customHeight="1">
      <c r="A719" s="5" t="s">
        <v>16623</v>
      </c>
      <c r="B719" s="6" t="str">
        <f>IMAGE("https://storage.googleapis.com/acdb/dresses/TopsTexOnepieceRibNSheep0.png")</f>
        <v/>
      </c>
      <c r="C719" s="5" t="s">
        <v>57</v>
      </c>
      <c r="D719" s="5" t="s">
        <v>36</v>
      </c>
      <c r="E719" s="6">
        <v>1700.0</v>
      </c>
      <c r="F719" s="6">
        <v>425.0</v>
      </c>
      <c r="G719" s="5" t="s">
        <v>57</v>
      </c>
      <c r="H719" s="5" t="s">
        <v>69</v>
      </c>
      <c r="I719" s="6" t="s">
        <v>40</v>
      </c>
      <c r="J719" s="5" t="s">
        <v>8585</v>
      </c>
      <c r="K719" s="5" t="s">
        <v>8586</v>
      </c>
      <c r="L719" s="6" t="s">
        <v>42</v>
      </c>
      <c r="M719" s="5" t="s">
        <v>1959</v>
      </c>
      <c r="N719" s="5" t="s">
        <v>64</v>
      </c>
      <c r="O719" s="5" t="s">
        <v>14463</v>
      </c>
      <c r="P719" s="5" t="s">
        <v>14412</v>
      </c>
      <c r="Q719" s="5" t="s">
        <v>16638</v>
      </c>
      <c r="R719" s="6">
        <v>4431.0</v>
      </c>
    </row>
    <row r="720" ht="56.25" customHeight="1">
      <c r="A720" s="5" t="s">
        <v>16639</v>
      </c>
      <c r="B720" s="6" t="str">
        <f>IMAGE("https://storage.googleapis.com/acdb/dresses/TopsTexOnepieceAlongNMermaid5.png")</f>
        <v/>
      </c>
      <c r="C720" s="5" t="s">
        <v>106</v>
      </c>
      <c r="D720" s="5" t="s">
        <v>36</v>
      </c>
      <c r="E720" s="6">
        <v>3500.0</v>
      </c>
      <c r="F720" s="6">
        <v>875.0</v>
      </c>
      <c r="G720" s="5" t="s">
        <v>106</v>
      </c>
      <c r="H720" s="5" t="s">
        <v>57</v>
      </c>
      <c r="I720" s="6" t="s">
        <v>40</v>
      </c>
      <c r="J720" s="5" t="s">
        <v>8585</v>
      </c>
      <c r="K720" s="5" t="s">
        <v>8586</v>
      </c>
      <c r="L720" s="6" t="s">
        <v>42</v>
      </c>
      <c r="M720" s="5" t="s">
        <v>612</v>
      </c>
      <c r="N720" s="5" t="s">
        <v>64</v>
      </c>
      <c r="O720" s="5" t="s">
        <v>14574</v>
      </c>
      <c r="P720" s="5" t="s">
        <v>14412</v>
      </c>
      <c r="Q720" s="5" t="s">
        <v>16641</v>
      </c>
      <c r="R720" s="6">
        <v>8250.0</v>
      </c>
    </row>
    <row r="721" ht="56.25" customHeight="1">
      <c r="A721" s="5" t="s">
        <v>16639</v>
      </c>
      <c r="B721" s="6" t="str">
        <f>IMAGE("https://storage.googleapis.com/acdb/dresses/TopsTexOnepieceAlongNMermaid0.png")</f>
        <v/>
      </c>
      <c r="C721" s="5" t="s">
        <v>69</v>
      </c>
      <c r="D721" s="5" t="s">
        <v>36</v>
      </c>
      <c r="E721" s="6">
        <v>3500.0</v>
      </c>
      <c r="F721" s="6">
        <v>875.0</v>
      </c>
      <c r="G721" s="5" t="s">
        <v>69</v>
      </c>
      <c r="H721" s="5" t="s">
        <v>57</v>
      </c>
      <c r="I721" s="6" t="s">
        <v>40</v>
      </c>
      <c r="J721" s="5" t="s">
        <v>8585</v>
      </c>
      <c r="K721" s="5" t="s">
        <v>8586</v>
      </c>
      <c r="L721" s="6" t="s">
        <v>42</v>
      </c>
      <c r="M721" s="5" t="s">
        <v>612</v>
      </c>
      <c r="N721" s="5" t="s">
        <v>64</v>
      </c>
      <c r="O721" s="5" t="s">
        <v>14574</v>
      </c>
      <c r="P721" s="5" t="s">
        <v>14412</v>
      </c>
      <c r="Q721" s="5" t="s">
        <v>16644</v>
      </c>
      <c r="R721" s="6">
        <v>4657.0</v>
      </c>
    </row>
    <row r="722" ht="56.25" customHeight="1">
      <c r="A722" s="5" t="s">
        <v>16639</v>
      </c>
      <c r="B722" s="6" t="str">
        <f>IMAGE("https://storage.googleapis.com/acdb/dresses/TopsTexOnepieceAlongNMermaid1.png")</f>
        <v/>
      </c>
      <c r="C722" s="5" t="s">
        <v>68</v>
      </c>
      <c r="D722" s="5" t="s">
        <v>36</v>
      </c>
      <c r="E722" s="6">
        <v>3500.0</v>
      </c>
      <c r="F722" s="6">
        <v>875.0</v>
      </c>
      <c r="G722" s="5" t="s">
        <v>68</v>
      </c>
      <c r="H722" s="5" t="s">
        <v>57</v>
      </c>
      <c r="I722" s="6" t="s">
        <v>40</v>
      </c>
      <c r="J722" s="5" t="s">
        <v>8585</v>
      </c>
      <c r="K722" s="5" t="s">
        <v>8586</v>
      </c>
      <c r="L722" s="6" t="s">
        <v>42</v>
      </c>
      <c r="M722" s="5" t="s">
        <v>612</v>
      </c>
      <c r="N722" s="5" t="s">
        <v>64</v>
      </c>
      <c r="O722" s="5" t="s">
        <v>14574</v>
      </c>
      <c r="P722" s="5" t="s">
        <v>14412</v>
      </c>
      <c r="Q722" s="5" t="s">
        <v>16646</v>
      </c>
      <c r="R722" s="6">
        <v>8246.0</v>
      </c>
    </row>
    <row r="723" ht="56.25" customHeight="1">
      <c r="A723" s="5" t="s">
        <v>16639</v>
      </c>
      <c r="B723" s="6" t="str">
        <f>IMAGE("https://storage.googleapis.com/acdb/dresses/TopsTexOnepieceAlongNMermaid2.png")</f>
        <v/>
      </c>
      <c r="C723" s="5" t="s">
        <v>114</v>
      </c>
      <c r="D723" s="5" t="s">
        <v>36</v>
      </c>
      <c r="E723" s="6">
        <v>3500.0</v>
      </c>
      <c r="F723" s="6">
        <v>875.0</v>
      </c>
      <c r="G723" s="5" t="s">
        <v>114</v>
      </c>
      <c r="H723" s="5" t="s">
        <v>57</v>
      </c>
      <c r="I723" s="6" t="s">
        <v>40</v>
      </c>
      <c r="J723" s="5" t="s">
        <v>8585</v>
      </c>
      <c r="K723" s="5" t="s">
        <v>8586</v>
      </c>
      <c r="L723" s="6" t="s">
        <v>42</v>
      </c>
      <c r="M723" s="5" t="s">
        <v>612</v>
      </c>
      <c r="N723" s="5" t="s">
        <v>64</v>
      </c>
      <c r="O723" s="5" t="s">
        <v>14574</v>
      </c>
      <c r="P723" s="5" t="s">
        <v>14412</v>
      </c>
      <c r="Q723" s="5" t="s">
        <v>16650</v>
      </c>
      <c r="R723" s="6">
        <v>8247.0</v>
      </c>
    </row>
    <row r="724" ht="56.25" customHeight="1">
      <c r="A724" s="5" t="s">
        <v>16639</v>
      </c>
      <c r="B724" s="6" t="str">
        <f>IMAGE("https://storage.googleapis.com/acdb/dresses/TopsTexOnepieceAlongNMermaid3.png")</f>
        <v/>
      </c>
      <c r="C724" s="5" t="s">
        <v>9021</v>
      </c>
      <c r="D724" s="5" t="s">
        <v>36</v>
      </c>
      <c r="E724" s="6">
        <v>3500.0</v>
      </c>
      <c r="F724" s="6">
        <v>875.0</v>
      </c>
      <c r="G724" s="5" t="s">
        <v>96</v>
      </c>
      <c r="H724" s="5" t="s">
        <v>57</v>
      </c>
      <c r="I724" s="6" t="s">
        <v>40</v>
      </c>
      <c r="J724" s="5" t="s">
        <v>8585</v>
      </c>
      <c r="K724" s="5" t="s">
        <v>8586</v>
      </c>
      <c r="L724" s="6" t="s">
        <v>42</v>
      </c>
      <c r="M724" s="5" t="s">
        <v>612</v>
      </c>
      <c r="N724" s="5" t="s">
        <v>64</v>
      </c>
      <c r="O724" s="5" t="s">
        <v>14574</v>
      </c>
      <c r="P724" s="5" t="s">
        <v>14412</v>
      </c>
      <c r="Q724" s="5" t="s">
        <v>16652</v>
      </c>
      <c r="R724" s="6">
        <v>8248.0</v>
      </c>
    </row>
    <row r="725" ht="56.25" customHeight="1">
      <c r="A725" s="5" t="s">
        <v>16639</v>
      </c>
      <c r="B725" s="6" t="str">
        <f>IMAGE("https://storage.googleapis.com/acdb/dresses/TopsTexOnepieceAlongNMermaid4.png")</f>
        <v/>
      </c>
      <c r="C725" s="5" t="s">
        <v>52</v>
      </c>
      <c r="D725" s="5" t="s">
        <v>36</v>
      </c>
      <c r="E725" s="6">
        <v>3500.0</v>
      </c>
      <c r="F725" s="6">
        <v>875.0</v>
      </c>
      <c r="G725" s="5" t="s">
        <v>52</v>
      </c>
      <c r="H725" s="5" t="s">
        <v>57</v>
      </c>
      <c r="I725" s="6" t="s">
        <v>40</v>
      </c>
      <c r="J725" s="5" t="s">
        <v>8585</v>
      </c>
      <c r="K725" s="5" t="s">
        <v>8586</v>
      </c>
      <c r="L725" s="6" t="s">
        <v>42</v>
      </c>
      <c r="M725" s="5" t="s">
        <v>612</v>
      </c>
      <c r="N725" s="5" t="s">
        <v>64</v>
      </c>
      <c r="O725" s="5" t="s">
        <v>14574</v>
      </c>
      <c r="P725" s="5" t="s">
        <v>14412</v>
      </c>
      <c r="Q725" s="5" t="s">
        <v>16656</v>
      </c>
      <c r="R725" s="6">
        <v>8249.0</v>
      </c>
    </row>
    <row r="726" ht="56.25" customHeight="1">
      <c r="A726" s="5" t="s">
        <v>16657</v>
      </c>
      <c r="B726" s="6" t="str">
        <f>IMAGE("https://storage.googleapis.com/acdb/dresses/TopsTexOnepieceBoxLShirt1.png")</f>
        <v/>
      </c>
      <c r="C726" s="5" t="s">
        <v>38</v>
      </c>
      <c r="D726" s="5" t="s">
        <v>36</v>
      </c>
      <c r="E726" s="6">
        <v>1600.0</v>
      </c>
      <c r="F726" s="6">
        <v>400.0</v>
      </c>
      <c r="G726" s="5" t="s">
        <v>38</v>
      </c>
      <c r="H726" s="5" t="s">
        <v>38</v>
      </c>
      <c r="I726" s="6" t="s">
        <v>40</v>
      </c>
      <c r="J726" s="5" t="s">
        <v>8585</v>
      </c>
      <c r="K726" s="5" t="s">
        <v>8632</v>
      </c>
      <c r="L726" s="6" t="s">
        <v>42</v>
      </c>
      <c r="M726" s="5" t="s">
        <v>995</v>
      </c>
      <c r="N726" s="5" t="s">
        <v>64</v>
      </c>
      <c r="O726" s="5" t="s">
        <v>14332</v>
      </c>
      <c r="P726" s="5" t="s">
        <v>14333</v>
      </c>
      <c r="Q726" s="5" t="s">
        <v>16660</v>
      </c>
      <c r="R726" s="6">
        <v>8949.0</v>
      </c>
    </row>
    <row r="727" ht="56.25" customHeight="1">
      <c r="A727" s="5" t="s">
        <v>16657</v>
      </c>
      <c r="B727" s="6" t="str">
        <f>IMAGE("https://storage.googleapis.com/acdb/dresses/TopsTexOnepieceBoxLShirt2.png")</f>
        <v/>
      </c>
      <c r="C727" s="5" t="s">
        <v>10757</v>
      </c>
      <c r="D727" s="5" t="s">
        <v>36</v>
      </c>
      <c r="E727" s="6">
        <v>1600.0</v>
      </c>
      <c r="F727" s="6">
        <v>400.0</v>
      </c>
      <c r="G727" s="5" t="s">
        <v>96</v>
      </c>
      <c r="H727" s="5" t="s">
        <v>96</v>
      </c>
      <c r="I727" s="6" t="s">
        <v>40</v>
      </c>
      <c r="J727" s="5" t="s">
        <v>8585</v>
      </c>
      <c r="K727" s="5" t="s">
        <v>8632</v>
      </c>
      <c r="L727" s="6" t="s">
        <v>42</v>
      </c>
      <c r="M727" s="5" t="s">
        <v>995</v>
      </c>
      <c r="N727" s="5" t="s">
        <v>64</v>
      </c>
      <c r="O727" s="5" t="s">
        <v>14332</v>
      </c>
      <c r="P727" s="5" t="s">
        <v>14333</v>
      </c>
      <c r="Q727" s="5" t="s">
        <v>16661</v>
      </c>
      <c r="R727" s="6">
        <v>8950.0</v>
      </c>
    </row>
    <row r="728" ht="56.25" customHeight="1">
      <c r="A728" s="5" t="s">
        <v>16657</v>
      </c>
      <c r="B728" s="6" t="str">
        <f>IMAGE("https://storage.googleapis.com/acdb/dresses/TopsTexOnepieceBoxLShirt0.png")</f>
        <v/>
      </c>
      <c r="C728" s="5" t="s">
        <v>1187</v>
      </c>
      <c r="D728" s="5" t="s">
        <v>36</v>
      </c>
      <c r="E728" s="6">
        <v>1600.0</v>
      </c>
      <c r="F728" s="6">
        <v>400.0</v>
      </c>
      <c r="G728" s="5" t="s">
        <v>68</v>
      </c>
      <c r="H728" s="5" t="s">
        <v>68</v>
      </c>
      <c r="I728" s="6" t="s">
        <v>40</v>
      </c>
      <c r="J728" s="5" t="s">
        <v>8585</v>
      </c>
      <c r="K728" s="5" t="s">
        <v>8632</v>
      </c>
      <c r="L728" s="6" t="s">
        <v>42</v>
      </c>
      <c r="M728" s="5" t="s">
        <v>995</v>
      </c>
      <c r="N728" s="5" t="s">
        <v>64</v>
      </c>
      <c r="O728" s="5" t="s">
        <v>14332</v>
      </c>
      <c r="P728" s="5" t="s">
        <v>14333</v>
      </c>
      <c r="Q728" s="5" t="s">
        <v>16664</v>
      </c>
      <c r="R728" s="6">
        <v>3386.0</v>
      </c>
    </row>
    <row r="729" ht="56.25" customHeight="1">
      <c r="A729" s="5" t="s">
        <v>16665</v>
      </c>
      <c r="B729" s="6" t="str">
        <f>IMAGE("https://storage.googleapis.com/acdb/dresses/TopsTexOnepieceSalopetteNCombinaison1.png")</f>
        <v/>
      </c>
      <c r="C729" s="5" t="s">
        <v>83</v>
      </c>
      <c r="D729" s="5" t="s">
        <v>36</v>
      </c>
      <c r="E729" s="6">
        <v>1680.0</v>
      </c>
      <c r="F729" s="6">
        <v>420.0</v>
      </c>
      <c r="G729" s="5" t="s">
        <v>83</v>
      </c>
      <c r="H729" s="5" t="s">
        <v>83</v>
      </c>
      <c r="I729" s="6" t="s">
        <v>40</v>
      </c>
      <c r="J729" s="5" t="s">
        <v>8585</v>
      </c>
      <c r="K729" s="5" t="s">
        <v>8632</v>
      </c>
      <c r="L729" s="6" t="s">
        <v>42</v>
      </c>
      <c r="M729" s="5" t="s">
        <v>1059</v>
      </c>
      <c r="N729" s="5" t="s">
        <v>64</v>
      </c>
      <c r="O729" s="5" t="s">
        <v>15229</v>
      </c>
      <c r="P729" s="5" t="s">
        <v>14412</v>
      </c>
      <c r="Q729" s="5" t="s">
        <v>16668</v>
      </c>
      <c r="R729" s="6">
        <v>8022.0</v>
      </c>
    </row>
    <row r="730" ht="56.25" customHeight="1">
      <c r="A730" s="5" t="s">
        <v>16665</v>
      </c>
      <c r="B730" s="6" t="str">
        <f>IMAGE("https://storage.googleapis.com/acdb/dresses/TopsTexOnepieceSalopetteNCombinaison2.png")</f>
        <v/>
      </c>
      <c r="C730" s="5" t="s">
        <v>68</v>
      </c>
      <c r="D730" s="5" t="s">
        <v>36</v>
      </c>
      <c r="E730" s="6">
        <v>1680.0</v>
      </c>
      <c r="F730" s="6">
        <v>420.0</v>
      </c>
      <c r="G730" s="5" t="s">
        <v>68</v>
      </c>
      <c r="H730" s="5" t="s">
        <v>68</v>
      </c>
      <c r="I730" s="6" t="s">
        <v>40</v>
      </c>
      <c r="J730" s="5" t="s">
        <v>8585</v>
      </c>
      <c r="K730" s="5" t="s">
        <v>8632</v>
      </c>
      <c r="L730" s="6" t="s">
        <v>42</v>
      </c>
      <c r="M730" s="5" t="s">
        <v>1059</v>
      </c>
      <c r="N730" s="5" t="s">
        <v>64</v>
      </c>
      <c r="O730" s="5" t="s">
        <v>15229</v>
      </c>
      <c r="P730" s="5" t="s">
        <v>14412</v>
      </c>
      <c r="Q730" s="5" t="s">
        <v>16670</v>
      </c>
      <c r="R730" s="6">
        <v>8023.0</v>
      </c>
    </row>
    <row r="731" ht="56.25" customHeight="1">
      <c r="A731" s="5" t="s">
        <v>16665</v>
      </c>
      <c r="B731" s="6" t="str">
        <f>IMAGE("https://storage.googleapis.com/acdb/dresses/TopsTexOnepieceSalopetteNCombinaison3.png")</f>
        <v/>
      </c>
      <c r="C731" s="5" t="s">
        <v>69</v>
      </c>
      <c r="D731" s="5" t="s">
        <v>36</v>
      </c>
      <c r="E731" s="6">
        <v>1680.0</v>
      </c>
      <c r="F731" s="6">
        <v>420.0</v>
      </c>
      <c r="G731" s="5" t="s">
        <v>69</v>
      </c>
      <c r="H731" s="5" t="s">
        <v>69</v>
      </c>
      <c r="I731" s="6" t="s">
        <v>40</v>
      </c>
      <c r="J731" s="5" t="s">
        <v>8585</v>
      </c>
      <c r="K731" s="5" t="s">
        <v>8632</v>
      </c>
      <c r="L731" s="6" t="s">
        <v>42</v>
      </c>
      <c r="M731" s="5" t="s">
        <v>1059</v>
      </c>
      <c r="N731" s="5" t="s">
        <v>64</v>
      </c>
      <c r="O731" s="5" t="s">
        <v>15229</v>
      </c>
      <c r="P731" s="5" t="s">
        <v>14412</v>
      </c>
      <c r="Q731" s="5" t="s">
        <v>16673</v>
      </c>
      <c r="R731" s="6">
        <v>8024.0</v>
      </c>
    </row>
    <row r="732" ht="56.25" customHeight="1">
      <c r="A732" s="5" t="s">
        <v>16665</v>
      </c>
      <c r="B732" s="6" t="str">
        <f>IMAGE("https://storage.googleapis.com/acdb/dresses/TopsTexOnepieceSalopetteNCombinaison4.png")</f>
        <v/>
      </c>
      <c r="C732" s="5" t="s">
        <v>54</v>
      </c>
      <c r="D732" s="5" t="s">
        <v>36</v>
      </c>
      <c r="E732" s="6">
        <v>1680.0</v>
      </c>
      <c r="F732" s="6">
        <v>420.0</v>
      </c>
      <c r="G732" s="5" t="s">
        <v>54</v>
      </c>
      <c r="H732" s="5" t="s">
        <v>54</v>
      </c>
      <c r="I732" s="6" t="s">
        <v>40</v>
      </c>
      <c r="J732" s="5" t="s">
        <v>8585</v>
      </c>
      <c r="K732" s="5" t="s">
        <v>8632</v>
      </c>
      <c r="L732" s="6" t="s">
        <v>42</v>
      </c>
      <c r="M732" s="5" t="s">
        <v>1059</v>
      </c>
      <c r="N732" s="5" t="s">
        <v>64</v>
      </c>
      <c r="O732" s="5" t="s">
        <v>15229</v>
      </c>
      <c r="P732" s="5" t="s">
        <v>14412</v>
      </c>
      <c r="Q732" s="5" t="s">
        <v>16676</v>
      </c>
      <c r="R732" s="6">
        <v>8025.0</v>
      </c>
    </row>
    <row r="733" ht="56.25" customHeight="1">
      <c r="A733" s="5" t="s">
        <v>16665</v>
      </c>
      <c r="B733" s="6" t="str">
        <f>IMAGE("https://storage.googleapis.com/acdb/dresses/TopsTexOnepieceSalopetteNCombinaison0.png")</f>
        <v/>
      </c>
      <c r="C733" s="5" t="s">
        <v>39</v>
      </c>
      <c r="D733" s="5" t="s">
        <v>36</v>
      </c>
      <c r="E733" s="6">
        <v>1680.0</v>
      </c>
      <c r="F733" s="6">
        <v>420.0</v>
      </c>
      <c r="G733" s="5" t="s">
        <v>39</v>
      </c>
      <c r="H733" s="5" t="s">
        <v>39</v>
      </c>
      <c r="I733" s="6" t="s">
        <v>40</v>
      </c>
      <c r="J733" s="5" t="s">
        <v>8585</v>
      </c>
      <c r="K733" s="5" t="s">
        <v>8632</v>
      </c>
      <c r="L733" s="6" t="s">
        <v>42</v>
      </c>
      <c r="M733" s="5" t="s">
        <v>1059</v>
      </c>
      <c r="N733" s="5" t="s">
        <v>64</v>
      </c>
      <c r="O733" s="5" t="s">
        <v>15229</v>
      </c>
      <c r="P733" s="5" t="s">
        <v>14412</v>
      </c>
      <c r="Q733" s="5" t="s">
        <v>16679</v>
      </c>
      <c r="R733" s="6">
        <v>4617.0</v>
      </c>
    </row>
    <row r="734" ht="56.25" customHeight="1">
      <c r="A734" s="5" t="s">
        <v>16680</v>
      </c>
      <c r="B734" s="6" t="str">
        <f>IMAGE("https://storage.googleapis.com/acdb/dresses/TopsTexOnepieceAlineNPlaid1.png")</f>
        <v/>
      </c>
      <c r="C734" s="5" t="s">
        <v>96</v>
      </c>
      <c r="D734" s="5" t="s">
        <v>36</v>
      </c>
      <c r="E734" s="6">
        <v>1200.0</v>
      </c>
      <c r="F734" s="6">
        <v>300.0</v>
      </c>
      <c r="G734" s="5" t="s">
        <v>96</v>
      </c>
      <c r="H734" s="5" t="s">
        <v>96</v>
      </c>
      <c r="I734" s="6" t="s">
        <v>40</v>
      </c>
      <c r="J734" s="5" t="s">
        <v>8585</v>
      </c>
      <c r="K734" s="5" t="s">
        <v>8632</v>
      </c>
      <c r="L734" s="6" t="s">
        <v>42</v>
      </c>
      <c r="M734" s="5" t="s">
        <v>995</v>
      </c>
      <c r="N734" s="5" t="s">
        <v>64</v>
      </c>
      <c r="O734" s="5" t="s">
        <v>14411</v>
      </c>
      <c r="P734" s="5" t="s">
        <v>14412</v>
      </c>
      <c r="Q734" s="5" t="s">
        <v>16683</v>
      </c>
      <c r="R734" s="6">
        <v>12096.0</v>
      </c>
    </row>
    <row r="735" ht="56.25" customHeight="1">
      <c r="A735" s="5" t="s">
        <v>16680</v>
      </c>
      <c r="B735" s="6" t="str">
        <f>IMAGE("https://storage.googleapis.com/acdb/dresses/TopsTexOnepieceAlineNPlaid2.png")</f>
        <v/>
      </c>
      <c r="C735" s="5" t="s">
        <v>38</v>
      </c>
      <c r="D735" s="5" t="s">
        <v>36</v>
      </c>
      <c r="E735" s="6">
        <v>1200.0</v>
      </c>
      <c r="F735" s="6">
        <v>300.0</v>
      </c>
      <c r="G735" s="5" t="s">
        <v>38</v>
      </c>
      <c r="H735" s="5" t="s">
        <v>38</v>
      </c>
      <c r="I735" s="6" t="s">
        <v>40</v>
      </c>
      <c r="J735" s="5" t="s">
        <v>8585</v>
      </c>
      <c r="K735" s="5" t="s">
        <v>8632</v>
      </c>
      <c r="L735" s="6" t="s">
        <v>42</v>
      </c>
      <c r="M735" s="5" t="s">
        <v>995</v>
      </c>
      <c r="N735" s="5" t="s">
        <v>64</v>
      </c>
      <c r="O735" s="5" t="s">
        <v>14411</v>
      </c>
      <c r="P735" s="5" t="s">
        <v>14412</v>
      </c>
      <c r="Q735" s="5" t="s">
        <v>16687</v>
      </c>
      <c r="R735" s="6">
        <v>12097.0</v>
      </c>
    </row>
    <row r="736" ht="56.25" customHeight="1">
      <c r="A736" s="5" t="s">
        <v>16680</v>
      </c>
      <c r="B736" s="6" t="str">
        <f>IMAGE("https://storage.googleapis.com/acdb/dresses/TopsTexOnepieceAlineNPlaid0.png")</f>
        <v/>
      </c>
      <c r="C736" s="5" t="s">
        <v>69</v>
      </c>
      <c r="D736" s="5" t="s">
        <v>36</v>
      </c>
      <c r="E736" s="6">
        <v>1200.0</v>
      </c>
      <c r="F736" s="6">
        <v>300.0</v>
      </c>
      <c r="G736" s="5" t="s">
        <v>69</v>
      </c>
      <c r="H736" s="5" t="s">
        <v>69</v>
      </c>
      <c r="I736" s="6" t="s">
        <v>40</v>
      </c>
      <c r="J736" s="5" t="s">
        <v>8585</v>
      </c>
      <c r="K736" s="5" t="s">
        <v>8632</v>
      </c>
      <c r="L736" s="6" t="s">
        <v>42</v>
      </c>
      <c r="M736" s="5" t="s">
        <v>995</v>
      </c>
      <c r="N736" s="5" t="s">
        <v>64</v>
      </c>
      <c r="O736" s="5" t="s">
        <v>14411</v>
      </c>
      <c r="P736" s="5" t="s">
        <v>14412</v>
      </c>
      <c r="Q736" s="5" t="s">
        <v>16692</v>
      </c>
      <c r="R736" s="6">
        <v>8509.0</v>
      </c>
    </row>
    <row r="737" ht="56.25" customHeight="1">
      <c r="A737" s="5" t="s">
        <v>16694</v>
      </c>
      <c r="B737" s="6" t="str">
        <f>IMAGE("https://storage.googleapis.com/acdb/dresses/TopsTexOnepieceKimonoLHomongi0.png")</f>
        <v/>
      </c>
      <c r="C737" s="5" t="s">
        <v>5744</v>
      </c>
      <c r="D737" s="5" t="s">
        <v>36</v>
      </c>
      <c r="E737" s="6">
        <v>2480.0</v>
      </c>
      <c r="F737" s="6">
        <v>620.0</v>
      </c>
      <c r="G737" s="5" t="s">
        <v>96</v>
      </c>
      <c r="H737" s="5" t="s">
        <v>69</v>
      </c>
      <c r="I737" s="6" t="s">
        <v>40</v>
      </c>
      <c r="J737" s="5" t="s">
        <v>8585</v>
      </c>
      <c r="K737" s="5" t="s">
        <v>8632</v>
      </c>
      <c r="L737" s="6" t="s">
        <v>42</v>
      </c>
      <c r="M737" s="5" t="s">
        <v>1059</v>
      </c>
      <c r="N737" s="5" t="s">
        <v>64</v>
      </c>
      <c r="O737" s="5" t="s">
        <v>6513</v>
      </c>
      <c r="P737" s="5" t="s">
        <v>14333</v>
      </c>
      <c r="Q737" s="5" t="s">
        <v>16698</v>
      </c>
      <c r="R737" s="6">
        <v>6026.0</v>
      </c>
    </row>
    <row r="738" ht="56.25" customHeight="1">
      <c r="A738" s="5" t="s">
        <v>16694</v>
      </c>
      <c r="B738" s="6" t="str">
        <f>IMAGE("https://storage.googleapis.com/acdb/dresses/TopsTexOnepieceKimonoLHomongi7.png")</f>
        <v/>
      </c>
      <c r="C738" s="5" t="s">
        <v>95</v>
      </c>
      <c r="D738" s="5" t="s">
        <v>36</v>
      </c>
      <c r="E738" s="6">
        <v>2480.0</v>
      </c>
      <c r="F738" s="6">
        <v>620.0</v>
      </c>
      <c r="G738" s="5" t="s">
        <v>95</v>
      </c>
      <c r="H738" s="5" t="s">
        <v>96</v>
      </c>
      <c r="I738" s="6" t="s">
        <v>40</v>
      </c>
      <c r="J738" s="5" t="s">
        <v>8585</v>
      </c>
      <c r="K738" s="5" t="s">
        <v>8632</v>
      </c>
      <c r="L738" s="6" t="s">
        <v>42</v>
      </c>
      <c r="M738" s="5" t="s">
        <v>1059</v>
      </c>
      <c r="N738" s="5" t="s">
        <v>64</v>
      </c>
      <c r="O738" s="5" t="s">
        <v>6513</v>
      </c>
      <c r="P738" s="5" t="s">
        <v>14333</v>
      </c>
      <c r="Q738" s="5" t="s">
        <v>16701</v>
      </c>
      <c r="R738" s="6">
        <v>9010.0</v>
      </c>
    </row>
    <row r="739" ht="56.25" customHeight="1">
      <c r="A739" s="5" t="s">
        <v>16694</v>
      </c>
      <c r="B739" s="6" t="str">
        <f>IMAGE("https://storage.googleapis.com/acdb/dresses/TopsTexOnepieceKimonoLHomongi1.png")</f>
        <v/>
      </c>
      <c r="C739" s="5" t="s">
        <v>3689</v>
      </c>
      <c r="D739" s="5" t="s">
        <v>36</v>
      </c>
      <c r="E739" s="6">
        <v>2480.0</v>
      </c>
      <c r="F739" s="6">
        <v>620.0</v>
      </c>
      <c r="G739" s="5" t="s">
        <v>106</v>
      </c>
      <c r="H739" s="5" t="s">
        <v>83</v>
      </c>
      <c r="I739" s="6" t="s">
        <v>40</v>
      </c>
      <c r="J739" s="5" t="s">
        <v>8585</v>
      </c>
      <c r="K739" s="5" t="s">
        <v>8632</v>
      </c>
      <c r="L739" s="6" t="s">
        <v>42</v>
      </c>
      <c r="M739" s="5" t="s">
        <v>1059</v>
      </c>
      <c r="N739" s="5" t="s">
        <v>64</v>
      </c>
      <c r="O739" s="5" t="s">
        <v>6513</v>
      </c>
      <c r="P739" s="5" t="s">
        <v>14333</v>
      </c>
      <c r="Q739" s="5" t="s">
        <v>16705</v>
      </c>
      <c r="R739" s="6">
        <v>9004.0</v>
      </c>
    </row>
    <row r="740" ht="56.25" customHeight="1">
      <c r="A740" s="5" t="s">
        <v>16694</v>
      </c>
      <c r="B740" s="6" t="str">
        <f>IMAGE("https://storage.googleapis.com/acdb/dresses/TopsTexOnepieceKimonoLHomongi2.png")</f>
        <v/>
      </c>
      <c r="C740" s="5" t="s">
        <v>69</v>
      </c>
      <c r="D740" s="5" t="s">
        <v>36</v>
      </c>
      <c r="E740" s="6">
        <v>2480.0</v>
      </c>
      <c r="F740" s="6">
        <v>620.0</v>
      </c>
      <c r="G740" s="5" t="s">
        <v>69</v>
      </c>
      <c r="H740" s="5" t="s">
        <v>114</v>
      </c>
      <c r="I740" s="6" t="s">
        <v>40</v>
      </c>
      <c r="J740" s="5" t="s">
        <v>8585</v>
      </c>
      <c r="K740" s="5" t="s">
        <v>8632</v>
      </c>
      <c r="L740" s="6" t="s">
        <v>42</v>
      </c>
      <c r="M740" s="5" t="s">
        <v>1059</v>
      </c>
      <c r="N740" s="5" t="s">
        <v>64</v>
      </c>
      <c r="O740" s="5" t="s">
        <v>6513</v>
      </c>
      <c r="P740" s="5" t="s">
        <v>14333</v>
      </c>
      <c r="Q740" s="5" t="s">
        <v>16707</v>
      </c>
      <c r="R740" s="6">
        <v>9005.0</v>
      </c>
    </row>
    <row r="741" ht="56.25" customHeight="1">
      <c r="A741" s="5" t="s">
        <v>16694</v>
      </c>
      <c r="B741" s="6" t="str">
        <f>IMAGE("https://storage.googleapis.com/acdb/dresses/TopsTexOnepieceKimonoLHomongi3.png")</f>
        <v/>
      </c>
      <c r="C741" s="5" t="s">
        <v>14705</v>
      </c>
      <c r="D741" s="5" t="s">
        <v>36</v>
      </c>
      <c r="E741" s="6">
        <v>2480.0</v>
      </c>
      <c r="F741" s="6">
        <v>620.0</v>
      </c>
      <c r="G741" s="5" t="s">
        <v>68</v>
      </c>
      <c r="H741" s="5" t="s">
        <v>69</v>
      </c>
      <c r="I741" s="6" t="s">
        <v>40</v>
      </c>
      <c r="J741" s="5" t="s">
        <v>8585</v>
      </c>
      <c r="K741" s="5" t="s">
        <v>8632</v>
      </c>
      <c r="L741" s="6" t="s">
        <v>42</v>
      </c>
      <c r="M741" s="5" t="s">
        <v>1059</v>
      </c>
      <c r="N741" s="5" t="s">
        <v>64</v>
      </c>
      <c r="O741" s="5" t="s">
        <v>6513</v>
      </c>
      <c r="P741" s="5" t="s">
        <v>14333</v>
      </c>
      <c r="Q741" s="5" t="s">
        <v>16712</v>
      </c>
      <c r="R741" s="6">
        <v>9006.0</v>
      </c>
    </row>
    <row r="742" ht="56.25" customHeight="1">
      <c r="A742" s="5" t="s">
        <v>16694</v>
      </c>
      <c r="B742" s="6" t="str">
        <f>IMAGE("https://storage.googleapis.com/acdb/dresses/TopsTexOnepieceKimonoLHomongi4.png")</f>
        <v/>
      </c>
      <c r="C742" s="5" t="s">
        <v>142</v>
      </c>
      <c r="D742" s="5" t="s">
        <v>36</v>
      </c>
      <c r="E742" s="6">
        <v>2480.0</v>
      </c>
      <c r="F742" s="6">
        <v>620.0</v>
      </c>
      <c r="G742" s="5" t="s">
        <v>142</v>
      </c>
      <c r="H742" s="5" t="s">
        <v>96</v>
      </c>
      <c r="I742" s="6" t="s">
        <v>40</v>
      </c>
      <c r="J742" s="5" t="s">
        <v>8585</v>
      </c>
      <c r="K742" s="5" t="s">
        <v>8632</v>
      </c>
      <c r="L742" s="6" t="s">
        <v>42</v>
      </c>
      <c r="M742" s="5" t="s">
        <v>1059</v>
      </c>
      <c r="N742" s="5" t="s">
        <v>64</v>
      </c>
      <c r="O742" s="5" t="s">
        <v>6513</v>
      </c>
      <c r="P742" s="5" t="s">
        <v>14333</v>
      </c>
      <c r="Q742" s="5" t="s">
        <v>16715</v>
      </c>
      <c r="R742" s="6">
        <v>9007.0</v>
      </c>
    </row>
    <row r="743" ht="56.25" customHeight="1">
      <c r="A743" s="5" t="s">
        <v>16694</v>
      </c>
      <c r="B743" s="6" t="str">
        <f>IMAGE("https://storage.googleapis.com/acdb/dresses/TopsTexOnepieceKimonoLHomongi5.png")</f>
        <v/>
      </c>
      <c r="C743" s="5" t="s">
        <v>14181</v>
      </c>
      <c r="D743" s="5" t="s">
        <v>36</v>
      </c>
      <c r="E743" s="6">
        <v>2480.0</v>
      </c>
      <c r="F743" s="6">
        <v>620.0</v>
      </c>
      <c r="G743" s="5" t="s">
        <v>83</v>
      </c>
      <c r="H743" s="5" t="s">
        <v>38</v>
      </c>
      <c r="I743" s="6" t="s">
        <v>40</v>
      </c>
      <c r="J743" s="5" t="s">
        <v>8585</v>
      </c>
      <c r="K743" s="5" t="s">
        <v>8632</v>
      </c>
      <c r="L743" s="6" t="s">
        <v>42</v>
      </c>
      <c r="M743" s="5" t="s">
        <v>1059</v>
      </c>
      <c r="N743" s="5" t="s">
        <v>64</v>
      </c>
      <c r="O743" s="5" t="s">
        <v>6513</v>
      </c>
      <c r="P743" s="5" t="s">
        <v>14333</v>
      </c>
      <c r="Q743" s="5" t="s">
        <v>16717</v>
      </c>
      <c r="R743" s="6">
        <v>9008.0</v>
      </c>
    </row>
    <row r="744" ht="56.25" customHeight="1">
      <c r="A744" s="5" t="s">
        <v>16694</v>
      </c>
      <c r="B744" s="6" t="str">
        <f>IMAGE("https://storage.googleapis.com/acdb/dresses/TopsTexOnepieceKimonoLHomongi6.png")</f>
        <v/>
      </c>
      <c r="C744" s="5" t="s">
        <v>114</v>
      </c>
      <c r="D744" s="5" t="s">
        <v>36</v>
      </c>
      <c r="E744" s="6">
        <v>2480.0</v>
      </c>
      <c r="F744" s="6">
        <v>620.0</v>
      </c>
      <c r="G744" s="5" t="s">
        <v>114</v>
      </c>
      <c r="H744" s="5" t="s">
        <v>69</v>
      </c>
      <c r="I744" s="6" t="s">
        <v>40</v>
      </c>
      <c r="J744" s="5" t="s">
        <v>8585</v>
      </c>
      <c r="K744" s="5" t="s">
        <v>8632</v>
      </c>
      <c r="L744" s="6" t="s">
        <v>42</v>
      </c>
      <c r="M744" s="5" t="s">
        <v>1059</v>
      </c>
      <c r="N744" s="5" t="s">
        <v>64</v>
      </c>
      <c r="O744" s="5" t="s">
        <v>6513</v>
      </c>
      <c r="P744" s="5" t="s">
        <v>14333</v>
      </c>
      <c r="Q744" s="5" t="s">
        <v>16720</v>
      </c>
      <c r="R744" s="6">
        <v>9009.0</v>
      </c>
    </row>
    <row r="745" ht="56.25" customHeight="1">
      <c r="A745" s="5" t="s">
        <v>16721</v>
      </c>
      <c r="B745" s="6" t="str">
        <f>IMAGE("https://storage.googleapis.com/acdb/dresses/TopsTexOnepieceAlineNSimpledot0.png")</f>
        <v/>
      </c>
      <c r="C745" s="5" t="s">
        <v>52</v>
      </c>
      <c r="D745" s="5" t="s">
        <v>36</v>
      </c>
      <c r="E745" s="6">
        <v>1200.0</v>
      </c>
      <c r="F745" s="6">
        <v>300.0</v>
      </c>
      <c r="G745" s="5" t="s">
        <v>52</v>
      </c>
      <c r="H745" s="5" t="s">
        <v>57</v>
      </c>
      <c r="I745" s="6" t="s">
        <v>40</v>
      </c>
      <c r="J745" s="5" t="s">
        <v>8585</v>
      </c>
      <c r="K745" s="5" t="s">
        <v>8632</v>
      </c>
      <c r="L745" s="6" t="s">
        <v>42</v>
      </c>
      <c r="M745" s="5" t="s">
        <v>995</v>
      </c>
      <c r="N745" s="5" t="s">
        <v>64</v>
      </c>
      <c r="O745" s="5" t="s">
        <v>14411</v>
      </c>
      <c r="P745" s="5" t="s">
        <v>14412</v>
      </c>
      <c r="Q745" s="5" t="s">
        <v>16724</v>
      </c>
      <c r="R745" s="6">
        <v>8188.0</v>
      </c>
    </row>
    <row r="746" ht="56.25" customHeight="1">
      <c r="A746" s="5" t="s">
        <v>16721</v>
      </c>
      <c r="B746" s="6" t="str">
        <f>IMAGE("https://storage.googleapis.com/acdb/dresses/TopsTexOnepieceAlineNSimpledot1.png")</f>
        <v/>
      </c>
      <c r="C746" s="5" t="s">
        <v>114</v>
      </c>
      <c r="D746" s="5" t="s">
        <v>36</v>
      </c>
      <c r="E746" s="6">
        <v>1200.0</v>
      </c>
      <c r="F746" s="6">
        <v>300.0</v>
      </c>
      <c r="G746" s="5" t="s">
        <v>114</v>
      </c>
      <c r="H746" s="5" t="s">
        <v>57</v>
      </c>
      <c r="I746" s="6" t="s">
        <v>40</v>
      </c>
      <c r="J746" s="5" t="s">
        <v>8585</v>
      </c>
      <c r="K746" s="5" t="s">
        <v>8632</v>
      </c>
      <c r="L746" s="6" t="s">
        <v>42</v>
      </c>
      <c r="M746" s="5" t="s">
        <v>995</v>
      </c>
      <c r="N746" s="5" t="s">
        <v>64</v>
      </c>
      <c r="O746" s="5" t="s">
        <v>14411</v>
      </c>
      <c r="P746" s="5" t="s">
        <v>14412</v>
      </c>
      <c r="Q746" s="5" t="s">
        <v>16726</v>
      </c>
      <c r="R746" s="6">
        <v>12106.0</v>
      </c>
    </row>
    <row r="747" ht="56.25" customHeight="1">
      <c r="A747" s="5" t="s">
        <v>16721</v>
      </c>
      <c r="B747" s="6" t="str">
        <f>IMAGE("https://storage.googleapis.com/acdb/dresses/TopsTexOnepieceAlineNSimpledot2.png")</f>
        <v/>
      </c>
      <c r="C747" s="5" t="s">
        <v>83</v>
      </c>
      <c r="D747" s="5" t="s">
        <v>36</v>
      </c>
      <c r="E747" s="6">
        <v>1200.0</v>
      </c>
      <c r="F747" s="6">
        <v>300.0</v>
      </c>
      <c r="G747" s="5" t="s">
        <v>83</v>
      </c>
      <c r="H747" s="5" t="s">
        <v>57</v>
      </c>
      <c r="I747" s="6" t="s">
        <v>40</v>
      </c>
      <c r="J747" s="5" t="s">
        <v>8585</v>
      </c>
      <c r="K747" s="5" t="s">
        <v>8632</v>
      </c>
      <c r="L747" s="6" t="s">
        <v>42</v>
      </c>
      <c r="M747" s="5" t="s">
        <v>995</v>
      </c>
      <c r="N747" s="5" t="s">
        <v>64</v>
      </c>
      <c r="O747" s="5" t="s">
        <v>14411</v>
      </c>
      <c r="P747" s="5" t="s">
        <v>14412</v>
      </c>
      <c r="Q747" s="5" t="s">
        <v>16729</v>
      </c>
      <c r="R747" s="6">
        <v>12107.0</v>
      </c>
    </row>
    <row r="748" ht="56.25" customHeight="1">
      <c r="A748" s="5" t="s">
        <v>16721</v>
      </c>
      <c r="B748" s="6" t="str">
        <f>IMAGE("https://storage.googleapis.com/acdb/dresses/TopsTexOnepieceAlineNSimpledot3.png")</f>
        <v/>
      </c>
      <c r="C748" s="5" t="s">
        <v>96</v>
      </c>
      <c r="D748" s="5" t="s">
        <v>36</v>
      </c>
      <c r="E748" s="6">
        <v>1200.0</v>
      </c>
      <c r="F748" s="6">
        <v>300.0</v>
      </c>
      <c r="G748" s="5" t="s">
        <v>96</v>
      </c>
      <c r="H748" s="5" t="s">
        <v>57</v>
      </c>
      <c r="I748" s="6" t="s">
        <v>40</v>
      </c>
      <c r="J748" s="5" t="s">
        <v>8585</v>
      </c>
      <c r="K748" s="5" t="s">
        <v>8632</v>
      </c>
      <c r="L748" s="6" t="s">
        <v>42</v>
      </c>
      <c r="M748" s="5" t="s">
        <v>995</v>
      </c>
      <c r="N748" s="5" t="s">
        <v>64</v>
      </c>
      <c r="O748" s="5" t="s">
        <v>14411</v>
      </c>
      <c r="P748" s="5" t="s">
        <v>14412</v>
      </c>
      <c r="Q748" s="5" t="s">
        <v>16734</v>
      </c>
      <c r="R748" s="6">
        <v>12108.0</v>
      </c>
    </row>
    <row r="749" ht="56.25" customHeight="1">
      <c r="A749" s="5" t="s">
        <v>16721</v>
      </c>
      <c r="B749" s="6" t="str">
        <f>IMAGE("https://storage.googleapis.com/acdb/dresses/TopsTexOnepieceAlineNSimpledot4.png")</f>
        <v/>
      </c>
      <c r="C749" s="5" t="s">
        <v>54</v>
      </c>
      <c r="D749" s="5" t="s">
        <v>36</v>
      </c>
      <c r="E749" s="6">
        <v>1200.0</v>
      </c>
      <c r="F749" s="6">
        <v>300.0</v>
      </c>
      <c r="G749" s="5" t="s">
        <v>54</v>
      </c>
      <c r="H749" s="5" t="s">
        <v>57</v>
      </c>
      <c r="I749" s="6" t="s">
        <v>40</v>
      </c>
      <c r="J749" s="5" t="s">
        <v>8585</v>
      </c>
      <c r="K749" s="5" t="s">
        <v>8632</v>
      </c>
      <c r="L749" s="6" t="s">
        <v>42</v>
      </c>
      <c r="M749" s="5" t="s">
        <v>995</v>
      </c>
      <c r="N749" s="5" t="s">
        <v>64</v>
      </c>
      <c r="O749" s="5" t="s">
        <v>14411</v>
      </c>
      <c r="P749" s="5" t="s">
        <v>14412</v>
      </c>
      <c r="Q749" s="5" t="s">
        <v>16738</v>
      </c>
      <c r="R749" s="6">
        <v>12109.0</v>
      </c>
    </row>
    <row r="750" ht="56.25" customHeight="1">
      <c r="A750" s="5" t="s">
        <v>16739</v>
      </c>
      <c r="B750" s="6" t="str">
        <f>IMAGE("https://storage.googleapis.com/acdb/dresses/TopsTexOnepieceAlineHSuspendersskirt0.png")</f>
        <v/>
      </c>
      <c r="C750" s="5" t="s">
        <v>52</v>
      </c>
      <c r="D750" s="5" t="s">
        <v>36</v>
      </c>
      <c r="E750" s="6">
        <v>1600.0</v>
      </c>
      <c r="F750" s="6">
        <v>400.0</v>
      </c>
      <c r="G750" s="5" t="s">
        <v>52</v>
      </c>
      <c r="H750" s="5" t="s">
        <v>57</v>
      </c>
      <c r="I750" s="6" t="s">
        <v>40</v>
      </c>
      <c r="J750" s="5" t="s">
        <v>8585</v>
      </c>
      <c r="K750" s="5" t="s">
        <v>8632</v>
      </c>
      <c r="L750" s="6" t="s">
        <v>42</v>
      </c>
      <c r="M750" s="5" t="s">
        <v>1959</v>
      </c>
      <c r="N750" s="5" t="s">
        <v>64</v>
      </c>
      <c r="O750" s="5" t="s">
        <v>14411</v>
      </c>
      <c r="P750" s="5" t="s">
        <v>14345</v>
      </c>
      <c r="Q750" s="5" t="s">
        <v>16741</v>
      </c>
      <c r="R750" s="6">
        <v>3660.0</v>
      </c>
    </row>
    <row r="751" ht="56.25" customHeight="1">
      <c r="A751" s="5" t="s">
        <v>16739</v>
      </c>
      <c r="B751" s="6" t="str">
        <f>IMAGE("https://storage.googleapis.com/acdb/dresses/TopsTexOnepieceAlineHSuspendersskirt1.png")</f>
        <v/>
      </c>
      <c r="C751" s="5" t="s">
        <v>142</v>
      </c>
      <c r="D751" s="5" t="s">
        <v>36</v>
      </c>
      <c r="E751" s="6">
        <v>1600.0</v>
      </c>
      <c r="F751" s="6">
        <v>400.0</v>
      </c>
      <c r="G751" s="5" t="s">
        <v>142</v>
      </c>
      <c r="H751" s="5" t="s">
        <v>57</v>
      </c>
      <c r="I751" s="6" t="s">
        <v>40</v>
      </c>
      <c r="J751" s="5" t="s">
        <v>8585</v>
      </c>
      <c r="K751" s="5" t="s">
        <v>8632</v>
      </c>
      <c r="L751" s="6" t="s">
        <v>42</v>
      </c>
      <c r="M751" s="5" t="s">
        <v>1959</v>
      </c>
      <c r="N751" s="5" t="s">
        <v>64</v>
      </c>
      <c r="O751" s="5" t="s">
        <v>14411</v>
      </c>
      <c r="P751" s="5" t="s">
        <v>14345</v>
      </c>
      <c r="Q751" s="5" t="s">
        <v>16744</v>
      </c>
      <c r="R751" s="6">
        <v>9022.0</v>
      </c>
    </row>
    <row r="752" ht="56.25" customHeight="1">
      <c r="A752" s="5" t="s">
        <v>16739</v>
      </c>
      <c r="B752" s="6" t="str">
        <f>IMAGE("https://storage.googleapis.com/acdb/dresses/TopsTexOnepieceAlineHSuspendersskirt2.png")</f>
        <v/>
      </c>
      <c r="C752" s="5" t="s">
        <v>69</v>
      </c>
      <c r="D752" s="5" t="s">
        <v>36</v>
      </c>
      <c r="E752" s="6">
        <v>1600.0</v>
      </c>
      <c r="F752" s="6">
        <v>400.0</v>
      </c>
      <c r="G752" s="5" t="s">
        <v>69</v>
      </c>
      <c r="H752" s="5" t="s">
        <v>57</v>
      </c>
      <c r="I752" s="6" t="s">
        <v>40</v>
      </c>
      <c r="J752" s="5" t="s">
        <v>8585</v>
      </c>
      <c r="K752" s="5" t="s">
        <v>8632</v>
      </c>
      <c r="L752" s="6" t="s">
        <v>42</v>
      </c>
      <c r="M752" s="5" t="s">
        <v>1959</v>
      </c>
      <c r="N752" s="5" t="s">
        <v>64</v>
      </c>
      <c r="O752" s="5" t="s">
        <v>14411</v>
      </c>
      <c r="P752" s="5" t="s">
        <v>14345</v>
      </c>
      <c r="Q752" s="5" t="s">
        <v>16746</v>
      </c>
      <c r="R752" s="6">
        <v>9023.0</v>
      </c>
    </row>
    <row r="753" ht="56.25" customHeight="1">
      <c r="A753" s="5" t="s">
        <v>16739</v>
      </c>
      <c r="B753" s="6" t="str">
        <f>IMAGE("https://storage.googleapis.com/acdb/dresses/TopsTexOnepieceAlineHSuspendersskirt3.png")</f>
        <v/>
      </c>
      <c r="C753" s="5" t="s">
        <v>68</v>
      </c>
      <c r="D753" s="5" t="s">
        <v>36</v>
      </c>
      <c r="E753" s="6">
        <v>1600.0</v>
      </c>
      <c r="F753" s="6">
        <v>400.0</v>
      </c>
      <c r="G753" s="5" t="s">
        <v>68</v>
      </c>
      <c r="H753" s="5" t="s">
        <v>57</v>
      </c>
      <c r="I753" s="6" t="s">
        <v>40</v>
      </c>
      <c r="J753" s="5" t="s">
        <v>8585</v>
      </c>
      <c r="K753" s="5" t="s">
        <v>8632</v>
      </c>
      <c r="L753" s="6" t="s">
        <v>42</v>
      </c>
      <c r="M753" s="5" t="s">
        <v>1959</v>
      </c>
      <c r="N753" s="5" t="s">
        <v>64</v>
      </c>
      <c r="O753" s="5" t="s">
        <v>14411</v>
      </c>
      <c r="P753" s="5" t="s">
        <v>14345</v>
      </c>
      <c r="Q753" s="5" t="s">
        <v>16748</v>
      </c>
      <c r="R753" s="6">
        <v>9024.0</v>
      </c>
    </row>
    <row r="754" ht="56.25" customHeight="1">
      <c r="A754" s="5" t="s">
        <v>16739</v>
      </c>
      <c r="B754" s="6" t="str">
        <f>IMAGE("https://storage.googleapis.com/acdb/dresses/TopsTexOnepieceAlineHSuspendersskirt4.png")</f>
        <v/>
      </c>
      <c r="C754" s="5" t="s">
        <v>95</v>
      </c>
      <c r="D754" s="5" t="s">
        <v>36</v>
      </c>
      <c r="E754" s="6">
        <v>1600.0</v>
      </c>
      <c r="F754" s="6">
        <v>400.0</v>
      </c>
      <c r="G754" s="5" t="s">
        <v>95</v>
      </c>
      <c r="H754" s="5" t="s">
        <v>57</v>
      </c>
      <c r="I754" s="6" t="s">
        <v>40</v>
      </c>
      <c r="J754" s="5" t="s">
        <v>8585</v>
      </c>
      <c r="K754" s="5" t="s">
        <v>8632</v>
      </c>
      <c r="L754" s="6" t="s">
        <v>42</v>
      </c>
      <c r="M754" s="5" t="s">
        <v>1959</v>
      </c>
      <c r="N754" s="5" t="s">
        <v>64</v>
      </c>
      <c r="O754" s="5" t="s">
        <v>14411</v>
      </c>
      <c r="P754" s="5" t="s">
        <v>14345</v>
      </c>
      <c r="Q754" s="5" t="s">
        <v>16753</v>
      </c>
      <c r="R754" s="6">
        <v>9025.0</v>
      </c>
    </row>
    <row r="755" ht="56.25" customHeight="1">
      <c r="A755" s="5" t="s">
        <v>16754</v>
      </c>
      <c r="B755" s="6" t="str">
        <f>IMAGE("https://storage.googleapis.com/acdb/dresses/TopsTexOnepieceRibNEggsky0.png")</f>
        <v/>
      </c>
      <c r="C755" s="5" t="s">
        <v>44</v>
      </c>
      <c r="D755" s="5" t="s">
        <v>35</v>
      </c>
      <c r="E755" s="6" t="s">
        <v>37</v>
      </c>
      <c r="F755" s="6">
        <v>1200.0</v>
      </c>
      <c r="G755" s="5" t="s">
        <v>83</v>
      </c>
      <c r="H755" s="5" t="s">
        <v>52</v>
      </c>
      <c r="I755" s="6" t="s">
        <v>40</v>
      </c>
      <c r="J755" s="5" t="s">
        <v>41</v>
      </c>
      <c r="K755" s="5" t="s">
        <v>16755</v>
      </c>
      <c r="L755" s="6" t="s">
        <v>1410</v>
      </c>
      <c r="M755" s="5" t="s">
        <v>8746</v>
      </c>
      <c r="N755" s="5" t="s">
        <v>48</v>
      </c>
      <c r="O755" s="5" t="s">
        <v>14463</v>
      </c>
      <c r="P755" s="5" t="s">
        <v>14412</v>
      </c>
      <c r="Q755" s="5" t="s">
        <v>16759</v>
      </c>
      <c r="R755" s="6">
        <v>12453.0</v>
      </c>
    </row>
    <row r="756" ht="56.25" customHeight="1">
      <c r="A756" s="5" t="s">
        <v>16760</v>
      </c>
      <c r="B756" s="6" t="str">
        <f>IMAGE("https://storage.googleapis.com/acdb/dresses/TopsTexOnepieceAlineNShirt1.png")</f>
        <v/>
      </c>
      <c r="C756" s="5" t="s">
        <v>57</v>
      </c>
      <c r="D756" s="5" t="s">
        <v>36</v>
      </c>
      <c r="E756" s="6">
        <v>1600.0</v>
      </c>
      <c r="F756" s="6">
        <v>400.0</v>
      </c>
      <c r="G756" s="5" t="s">
        <v>57</v>
      </c>
      <c r="H756" s="5" t="s">
        <v>95</v>
      </c>
      <c r="I756" s="6" t="s">
        <v>40</v>
      </c>
      <c r="J756" s="5" t="s">
        <v>8585</v>
      </c>
      <c r="K756" s="5" t="s">
        <v>8632</v>
      </c>
      <c r="L756" s="6" t="s">
        <v>42</v>
      </c>
      <c r="M756" s="5" t="s">
        <v>995</v>
      </c>
      <c r="N756" s="5" t="s">
        <v>64</v>
      </c>
      <c r="O756" s="5" t="s">
        <v>14411</v>
      </c>
      <c r="P756" s="5" t="s">
        <v>14412</v>
      </c>
      <c r="Q756" s="5" t="s">
        <v>16761</v>
      </c>
      <c r="R756" s="6">
        <v>8951.0</v>
      </c>
    </row>
    <row r="757" ht="56.25" customHeight="1">
      <c r="A757" s="5" t="s">
        <v>16760</v>
      </c>
      <c r="B757" s="6" t="str">
        <f>IMAGE("https://storage.googleapis.com/acdb/dresses/TopsTexOnepieceAlineNShirt2.png")</f>
        <v/>
      </c>
      <c r="C757" s="5" t="s">
        <v>69</v>
      </c>
      <c r="D757" s="5" t="s">
        <v>36</v>
      </c>
      <c r="E757" s="6">
        <v>1600.0</v>
      </c>
      <c r="F757" s="6">
        <v>400.0</v>
      </c>
      <c r="G757" s="5" t="s">
        <v>69</v>
      </c>
      <c r="H757" s="5" t="s">
        <v>69</v>
      </c>
      <c r="I757" s="6" t="s">
        <v>40</v>
      </c>
      <c r="J757" s="5" t="s">
        <v>8585</v>
      </c>
      <c r="K757" s="5" t="s">
        <v>8632</v>
      </c>
      <c r="L757" s="6" t="s">
        <v>42</v>
      </c>
      <c r="M757" s="5" t="s">
        <v>995</v>
      </c>
      <c r="N757" s="5" t="s">
        <v>64</v>
      </c>
      <c r="O757" s="5" t="s">
        <v>14411</v>
      </c>
      <c r="P757" s="5" t="s">
        <v>14412</v>
      </c>
      <c r="Q757" s="5" t="s">
        <v>16764</v>
      </c>
      <c r="R757" s="6">
        <v>8952.0</v>
      </c>
    </row>
    <row r="758" ht="56.25" customHeight="1">
      <c r="A758" s="5" t="s">
        <v>16760</v>
      </c>
      <c r="B758" s="6" t="str">
        <f>IMAGE("https://storage.googleapis.com/acdb/dresses/TopsTexOnepieceAlineNShirt3.png")</f>
        <v/>
      </c>
      <c r="C758" s="5" t="s">
        <v>1458</v>
      </c>
      <c r="D758" s="5" t="s">
        <v>36</v>
      </c>
      <c r="E758" s="6">
        <v>1600.0</v>
      </c>
      <c r="F758" s="6">
        <v>400.0</v>
      </c>
      <c r="G758" s="5" t="s">
        <v>96</v>
      </c>
      <c r="H758" s="5" t="s">
        <v>96</v>
      </c>
      <c r="I758" s="6" t="s">
        <v>40</v>
      </c>
      <c r="J758" s="5" t="s">
        <v>8585</v>
      </c>
      <c r="K758" s="5" t="s">
        <v>8632</v>
      </c>
      <c r="L758" s="6" t="s">
        <v>42</v>
      </c>
      <c r="M758" s="5" t="s">
        <v>995</v>
      </c>
      <c r="N758" s="5" t="s">
        <v>64</v>
      </c>
      <c r="O758" s="5" t="s">
        <v>14411</v>
      </c>
      <c r="P758" s="5" t="s">
        <v>14412</v>
      </c>
      <c r="Q758" s="5" t="s">
        <v>16767</v>
      </c>
      <c r="R758" s="6">
        <v>8953.0</v>
      </c>
    </row>
    <row r="759" ht="56.25" customHeight="1">
      <c r="A759" s="5" t="s">
        <v>16760</v>
      </c>
      <c r="B759" s="6" t="str">
        <f>IMAGE("https://storage.googleapis.com/acdb/dresses/TopsTexOnepieceAlineNShirt0.png")</f>
        <v/>
      </c>
      <c r="C759" s="5" t="s">
        <v>68</v>
      </c>
      <c r="D759" s="5" t="s">
        <v>36</v>
      </c>
      <c r="E759" s="6">
        <v>1600.0</v>
      </c>
      <c r="F759" s="6">
        <v>400.0</v>
      </c>
      <c r="G759" s="5" t="s">
        <v>68</v>
      </c>
      <c r="H759" s="5" t="s">
        <v>68</v>
      </c>
      <c r="I759" s="6" t="s">
        <v>40</v>
      </c>
      <c r="J759" s="5" t="s">
        <v>8585</v>
      </c>
      <c r="K759" s="5" t="s">
        <v>8632</v>
      </c>
      <c r="L759" s="6" t="s">
        <v>42</v>
      </c>
      <c r="M759" s="5" t="s">
        <v>995</v>
      </c>
      <c r="N759" s="5" t="s">
        <v>64</v>
      </c>
      <c r="O759" s="5" t="s">
        <v>14411</v>
      </c>
      <c r="P759" s="5" t="s">
        <v>14412</v>
      </c>
      <c r="Q759" s="5" t="s">
        <v>16768</v>
      </c>
      <c r="R759" s="6">
        <v>3387.0</v>
      </c>
    </row>
    <row r="760" ht="56.25" customHeight="1">
      <c r="A760" s="5" t="s">
        <v>16769</v>
      </c>
      <c r="B760" s="6" t="str">
        <f>IMAGE("https://storage.googleapis.com/acdb/dresses/TopsTexOnepieceBlongLChina0.png")</f>
        <v/>
      </c>
      <c r="C760" s="5" t="s">
        <v>52</v>
      </c>
      <c r="D760" s="5" t="s">
        <v>36</v>
      </c>
      <c r="E760" s="6">
        <v>2520.0</v>
      </c>
      <c r="F760" s="6">
        <v>630.0</v>
      </c>
      <c r="G760" s="5" t="s">
        <v>52</v>
      </c>
      <c r="H760" s="5" t="s">
        <v>114</v>
      </c>
      <c r="I760" s="6" t="s">
        <v>40</v>
      </c>
      <c r="J760" s="5" t="s">
        <v>8585</v>
      </c>
      <c r="K760" s="28" t="s">
        <v>8586</v>
      </c>
      <c r="L760" s="6" t="s">
        <v>42</v>
      </c>
      <c r="M760" s="5" t="s">
        <v>1059</v>
      </c>
      <c r="N760" s="5" t="s">
        <v>64</v>
      </c>
      <c r="O760" s="5" t="s">
        <v>14396</v>
      </c>
      <c r="P760" s="5"/>
      <c r="Q760" s="5" t="s">
        <v>16776</v>
      </c>
      <c r="R760" s="6">
        <v>5131.0</v>
      </c>
    </row>
    <row r="761" ht="56.25" customHeight="1">
      <c r="A761" s="5" t="s">
        <v>16769</v>
      </c>
      <c r="B761" s="6" t="str">
        <f>IMAGE("https://storage.googleapis.com/acdb/dresses/TopsTexOnepieceBlongLChina1.png")</f>
        <v/>
      </c>
      <c r="C761" s="5" t="s">
        <v>96</v>
      </c>
      <c r="D761" s="5" t="s">
        <v>36</v>
      </c>
      <c r="E761" s="6">
        <v>2520.0</v>
      </c>
      <c r="F761" s="6">
        <v>630.0</v>
      </c>
      <c r="G761" s="5" t="s">
        <v>96</v>
      </c>
      <c r="H761" s="5" t="s">
        <v>114</v>
      </c>
      <c r="I761" s="6" t="s">
        <v>40</v>
      </c>
      <c r="J761" s="5" t="s">
        <v>8585</v>
      </c>
      <c r="K761" s="28" t="s">
        <v>8586</v>
      </c>
      <c r="L761" s="6" t="s">
        <v>42</v>
      </c>
      <c r="M761" s="5" t="s">
        <v>1059</v>
      </c>
      <c r="N761" s="5" t="s">
        <v>64</v>
      </c>
      <c r="O761" s="5" t="s">
        <v>14396</v>
      </c>
      <c r="P761" s="5"/>
      <c r="Q761" s="5" t="s">
        <v>16780</v>
      </c>
      <c r="R761" s="6">
        <v>9152.0</v>
      </c>
    </row>
    <row r="762" ht="56.25" customHeight="1">
      <c r="A762" s="5" t="s">
        <v>16769</v>
      </c>
      <c r="B762" s="6" t="str">
        <f>IMAGE("https://storage.googleapis.com/acdb/dresses/TopsTexOnepieceBlongLChina2.png")</f>
        <v/>
      </c>
      <c r="C762" s="5" t="s">
        <v>1187</v>
      </c>
      <c r="D762" s="5" t="s">
        <v>36</v>
      </c>
      <c r="E762" s="6">
        <v>2520.0</v>
      </c>
      <c r="F762" s="6">
        <v>630.0</v>
      </c>
      <c r="G762" s="5" t="s">
        <v>68</v>
      </c>
      <c r="H762" s="5" t="s">
        <v>114</v>
      </c>
      <c r="I762" s="6" t="s">
        <v>40</v>
      </c>
      <c r="J762" s="5" t="s">
        <v>8585</v>
      </c>
      <c r="K762" s="28" t="s">
        <v>8586</v>
      </c>
      <c r="L762" s="6" t="s">
        <v>42</v>
      </c>
      <c r="M762" s="5" t="s">
        <v>1059</v>
      </c>
      <c r="N762" s="5" t="s">
        <v>64</v>
      </c>
      <c r="O762" s="5" t="s">
        <v>14396</v>
      </c>
      <c r="P762" s="5"/>
      <c r="Q762" s="5" t="s">
        <v>16783</v>
      </c>
      <c r="R762" s="6">
        <v>9153.0</v>
      </c>
    </row>
    <row r="763" ht="56.25" customHeight="1">
      <c r="A763" s="5" t="s">
        <v>16769</v>
      </c>
      <c r="B763" s="6" t="str">
        <f>IMAGE("https://storage.googleapis.com/acdb/dresses/TopsTexOnepieceBlongLChina3.png")</f>
        <v/>
      </c>
      <c r="C763" s="5" t="s">
        <v>57</v>
      </c>
      <c r="D763" s="5" t="s">
        <v>36</v>
      </c>
      <c r="E763" s="6">
        <v>2520.0</v>
      </c>
      <c r="F763" s="6">
        <v>630.0</v>
      </c>
      <c r="G763" s="5" t="s">
        <v>57</v>
      </c>
      <c r="H763" s="5" t="s">
        <v>114</v>
      </c>
      <c r="I763" s="6" t="s">
        <v>40</v>
      </c>
      <c r="J763" s="5" t="s">
        <v>8585</v>
      </c>
      <c r="K763" s="28" t="s">
        <v>8586</v>
      </c>
      <c r="L763" s="6" t="s">
        <v>42</v>
      </c>
      <c r="M763" s="5" t="s">
        <v>1059</v>
      </c>
      <c r="N763" s="5" t="s">
        <v>64</v>
      </c>
      <c r="O763" s="5" t="s">
        <v>14396</v>
      </c>
      <c r="P763" s="5"/>
      <c r="Q763" s="5" t="s">
        <v>16785</v>
      </c>
      <c r="R763" s="6">
        <v>9154.0</v>
      </c>
    </row>
    <row r="764" ht="56.25" customHeight="1">
      <c r="A764" s="5" t="s">
        <v>16769</v>
      </c>
      <c r="B764" s="6" t="str">
        <f>IMAGE("https://storage.googleapis.com/acdb/dresses/TopsTexOnepieceBlongLChina4.png")</f>
        <v/>
      </c>
      <c r="C764" s="5" t="s">
        <v>69</v>
      </c>
      <c r="D764" s="5" t="s">
        <v>36</v>
      </c>
      <c r="E764" s="6">
        <v>2520.0</v>
      </c>
      <c r="F764" s="6">
        <v>630.0</v>
      </c>
      <c r="G764" s="5" t="s">
        <v>69</v>
      </c>
      <c r="H764" s="5" t="s">
        <v>114</v>
      </c>
      <c r="I764" s="6" t="s">
        <v>40</v>
      </c>
      <c r="J764" s="5" t="s">
        <v>8585</v>
      </c>
      <c r="K764" s="28" t="s">
        <v>8586</v>
      </c>
      <c r="L764" s="6" t="s">
        <v>42</v>
      </c>
      <c r="M764" s="5" t="s">
        <v>1059</v>
      </c>
      <c r="N764" s="5" t="s">
        <v>64</v>
      </c>
      <c r="O764" s="5" t="s">
        <v>14396</v>
      </c>
      <c r="P764" s="5"/>
      <c r="Q764" s="5" t="s">
        <v>16787</v>
      </c>
      <c r="R764" s="6">
        <v>9155.0</v>
      </c>
    </row>
    <row r="765" ht="56.25" customHeight="1">
      <c r="A765" s="5" t="s">
        <v>16769</v>
      </c>
      <c r="B765" s="6" t="str">
        <f>IMAGE("https://storage.googleapis.com/acdb/dresses/TopsTexOnepieceBlongLChina5.png")</f>
        <v/>
      </c>
      <c r="C765" s="5" t="s">
        <v>83</v>
      </c>
      <c r="D765" s="5" t="s">
        <v>36</v>
      </c>
      <c r="E765" s="6">
        <v>2520.0</v>
      </c>
      <c r="F765" s="6">
        <v>630.0</v>
      </c>
      <c r="G765" s="5" t="s">
        <v>83</v>
      </c>
      <c r="H765" s="5" t="s">
        <v>114</v>
      </c>
      <c r="I765" s="6" t="s">
        <v>40</v>
      </c>
      <c r="J765" s="5" t="s">
        <v>8585</v>
      </c>
      <c r="K765" s="28" t="s">
        <v>8586</v>
      </c>
      <c r="L765" s="6" t="s">
        <v>42</v>
      </c>
      <c r="M765" s="5" t="s">
        <v>1059</v>
      </c>
      <c r="N765" s="5" t="s">
        <v>64</v>
      </c>
      <c r="O765" s="5" t="s">
        <v>14396</v>
      </c>
      <c r="P765" s="5"/>
      <c r="Q765" s="5" t="s">
        <v>16791</v>
      </c>
      <c r="R765" s="6">
        <v>9156.0</v>
      </c>
    </row>
    <row r="766" ht="56.25" customHeight="1">
      <c r="A766" s="5" t="s">
        <v>16769</v>
      </c>
      <c r="B766" s="6" t="str">
        <f>IMAGE("https://storage.googleapis.com/acdb/dresses/TopsTexOnepieceBlongLChina6.png")</f>
        <v/>
      </c>
      <c r="C766" s="5" t="s">
        <v>114</v>
      </c>
      <c r="D766" s="5" t="s">
        <v>36</v>
      </c>
      <c r="E766" s="6">
        <v>2520.0</v>
      </c>
      <c r="F766" s="6">
        <v>630.0</v>
      </c>
      <c r="G766" s="5" t="s">
        <v>114</v>
      </c>
      <c r="H766" s="5" t="s">
        <v>114</v>
      </c>
      <c r="I766" s="6" t="s">
        <v>40</v>
      </c>
      <c r="J766" s="5" t="s">
        <v>8585</v>
      </c>
      <c r="K766" s="28" t="s">
        <v>8586</v>
      </c>
      <c r="L766" s="6" t="s">
        <v>42</v>
      </c>
      <c r="M766" s="5" t="s">
        <v>1059</v>
      </c>
      <c r="N766" s="5" t="s">
        <v>64</v>
      </c>
      <c r="O766" s="5" t="s">
        <v>14396</v>
      </c>
      <c r="P766" s="5"/>
      <c r="Q766" s="5" t="s">
        <v>16793</v>
      </c>
      <c r="R766" s="6">
        <v>9157.0</v>
      </c>
    </row>
    <row r="767" ht="56.25" customHeight="1">
      <c r="A767" s="5" t="s">
        <v>16794</v>
      </c>
      <c r="B767" s="6" t="str">
        <f>IMAGE("https://storage.googleapis.com/acdb/dresses/TopsTexOnepieceRibNKnit0.png")</f>
        <v/>
      </c>
      <c r="C767" s="5" t="s">
        <v>95</v>
      </c>
      <c r="D767" s="5" t="s">
        <v>36</v>
      </c>
      <c r="E767" s="6">
        <v>1600.0</v>
      </c>
      <c r="F767" s="6">
        <v>400.0</v>
      </c>
      <c r="G767" s="5" t="s">
        <v>95</v>
      </c>
      <c r="H767" s="5" t="s">
        <v>95</v>
      </c>
      <c r="I767" s="6" t="s">
        <v>40</v>
      </c>
      <c r="J767" s="5" t="s">
        <v>8585</v>
      </c>
      <c r="K767" s="5" t="s">
        <v>8632</v>
      </c>
      <c r="L767" s="6" t="s">
        <v>42</v>
      </c>
      <c r="M767" s="5" t="s">
        <v>8746</v>
      </c>
      <c r="N767" s="5" t="s">
        <v>64</v>
      </c>
      <c r="O767" s="5" t="s">
        <v>14463</v>
      </c>
      <c r="P767" s="5" t="s">
        <v>14412</v>
      </c>
      <c r="Q767" s="5" t="s">
        <v>16796</v>
      </c>
      <c r="R767" s="6">
        <v>3261.0</v>
      </c>
    </row>
    <row r="768" ht="56.25" customHeight="1">
      <c r="A768" s="5" t="s">
        <v>16794</v>
      </c>
      <c r="B768" s="6" t="str">
        <f>IMAGE("https://storage.googleapis.com/acdb/dresses/TopsTexOnepieceRibNKnit1.png")</f>
        <v/>
      </c>
      <c r="C768" s="5" t="s">
        <v>54</v>
      </c>
      <c r="D768" s="5" t="s">
        <v>36</v>
      </c>
      <c r="E768" s="6">
        <v>1600.0</v>
      </c>
      <c r="F768" s="6">
        <v>400.0</v>
      </c>
      <c r="G768" s="5" t="s">
        <v>54</v>
      </c>
      <c r="H768" s="5" t="s">
        <v>54</v>
      </c>
      <c r="I768" s="6" t="s">
        <v>40</v>
      </c>
      <c r="J768" s="5" t="s">
        <v>8585</v>
      </c>
      <c r="K768" s="5" t="s">
        <v>8632</v>
      </c>
      <c r="L768" s="6" t="s">
        <v>42</v>
      </c>
      <c r="M768" s="5" t="s">
        <v>8746</v>
      </c>
      <c r="N768" s="5" t="s">
        <v>64</v>
      </c>
      <c r="O768" s="5" t="s">
        <v>14463</v>
      </c>
      <c r="P768" s="5" t="s">
        <v>14412</v>
      </c>
      <c r="Q768" s="5" t="s">
        <v>16799</v>
      </c>
      <c r="R768" s="6">
        <v>8010.0</v>
      </c>
    </row>
    <row r="769" ht="56.25" customHeight="1">
      <c r="A769" s="5" t="s">
        <v>16794</v>
      </c>
      <c r="B769" s="6" t="str">
        <f>IMAGE("https://storage.googleapis.com/acdb/dresses/TopsTexOnepieceRibNKnit2.png")</f>
        <v/>
      </c>
      <c r="C769" s="5" t="s">
        <v>57</v>
      </c>
      <c r="D769" s="5" t="s">
        <v>36</v>
      </c>
      <c r="E769" s="6">
        <v>1600.0</v>
      </c>
      <c r="F769" s="6">
        <v>400.0</v>
      </c>
      <c r="G769" s="5" t="s">
        <v>57</v>
      </c>
      <c r="H769" s="5" t="s">
        <v>57</v>
      </c>
      <c r="I769" s="6" t="s">
        <v>40</v>
      </c>
      <c r="J769" s="5" t="s">
        <v>8585</v>
      </c>
      <c r="K769" s="5" t="s">
        <v>8632</v>
      </c>
      <c r="L769" s="6" t="s">
        <v>42</v>
      </c>
      <c r="M769" s="5" t="s">
        <v>8746</v>
      </c>
      <c r="N769" s="5" t="s">
        <v>64</v>
      </c>
      <c r="O769" s="5" t="s">
        <v>14463</v>
      </c>
      <c r="P769" s="5" t="s">
        <v>14412</v>
      </c>
      <c r="Q769" s="5" t="s">
        <v>16802</v>
      </c>
      <c r="R769" s="6">
        <v>8011.0</v>
      </c>
    </row>
    <row r="770" ht="56.25" customHeight="1">
      <c r="A770" s="5" t="s">
        <v>16794</v>
      </c>
      <c r="B770" s="6" t="str">
        <f>IMAGE("https://storage.googleapis.com/acdb/dresses/TopsTexOnepieceRibNKnit3.png")</f>
        <v/>
      </c>
      <c r="C770" s="5" t="s">
        <v>106</v>
      </c>
      <c r="D770" s="5" t="s">
        <v>36</v>
      </c>
      <c r="E770" s="6">
        <v>1600.0</v>
      </c>
      <c r="F770" s="6">
        <v>400.0</v>
      </c>
      <c r="G770" s="5" t="s">
        <v>106</v>
      </c>
      <c r="H770" s="5" t="s">
        <v>106</v>
      </c>
      <c r="I770" s="6" t="s">
        <v>40</v>
      </c>
      <c r="J770" s="5" t="s">
        <v>8585</v>
      </c>
      <c r="K770" s="5" t="s">
        <v>8632</v>
      </c>
      <c r="L770" s="6" t="s">
        <v>42</v>
      </c>
      <c r="M770" s="5" t="s">
        <v>8746</v>
      </c>
      <c r="N770" s="5" t="s">
        <v>64</v>
      </c>
      <c r="O770" s="5" t="s">
        <v>14463</v>
      </c>
      <c r="P770" s="5" t="s">
        <v>14412</v>
      </c>
      <c r="Q770" s="5" t="s">
        <v>16805</v>
      </c>
      <c r="R770" s="6">
        <v>8012.0</v>
      </c>
    </row>
    <row r="771" ht="56.25" customHeight="1">
      <c r="A771" s="5" t="s">
        <v>16794</v>
      </c>
      <c r="B771" s="6" t="str">
        <f>IMAGE("https://storage.googleapis.com/acdb/dresses/TopsTexOnepieceRibNKnit4.png")</f>
        <v/>
      </c>
      <c r="C771" s="5" t="s">
        <v>83</v>
      </c>
      <c r="D771" s="5" t="s">
        <v>36</v>
      </c>
      <c r="E771" s="6">
        <v>1600.0</v>
      </c>
      <c r="F771" s="6">
        <v>400.0</v>
      </c>
      <c r="G771" s="5" t="s">
        <v>83</v>
      </c>
      <c r="H771" s="5" t="s">
        <v>83</v>
      </c>
      <c r="I771" s="6" t="s">
        <v>40</v>
      </c>
      <c r="J771" s="5" t="s">
        <v>8585</v>
      </c>
      <c r="K771" s="5" t="s">
        <v>8632</v>
      </c>
      <c r="L771" s="6" t="s">
        <v>42</v>
      </c>
      <c r="M771" s="5" t="s">
        <v>8746</v>
      </c>
      <c r="N771" s="5" t="s">
        <v>64</v>
      </c>
      <c r="O771" s="5" t="s">
        <v>14463</v>
      </c>
      <c r="P771" s="5" t="s">
        <v>14412</v>
      </c>
      <c r="Q771" s="5" t="s">
        <v>16808</v>
      </c>
      <c r="R771" s="6">
        <v>8013.0</v>
      </c>
    </row>
    <row r="772" ht="56.25" customHeight="1">
      <c r="A772" s="5" t="s">
        <v>16794</v>
      </c>
      <c r="B772" s="6" t="str">
        <f>IMAGE("https://storage.googleapis.com/acdb/dresses/TopsTexOnepieceRibNKnit5.png")</f>
        <v/>
      </c>
      <c r="C772" s="5" t="s">
        <v>1458</v>
      </c>
      <c r="D772" s="5" t="s">
        <v>36</v>
      </c>
      <c r="E772" s="6">
        <v>1600.0</v>
      </c>
      <c r="F772" s="6">
        <v>400.0</v>
      </c>
      <c r="G772" s="5" t="s">
        <v>96</v>
      </c>
      <c r="H772" s="5" t="s">
        <v>96</v>
      </c>
      <c r="I772" s="6" t="s">
        <v>40</v>
      </c>
      <c r="J772" s="5" t="s">
        <v>8585</v>
      </c>
      <c r="K772" s="5" t="s">
        <v>8632</v>
      </c>
      <c r="L772" s="6" t="s">
        <v>42</v>
      </c>
      <c r="M772" s="5" t="s">
        <v>8746</v>
      </c>
      <c r="N772" s="5" t="s">
        <v>64</v>
      </c>
      <c r="O772" s="5" t="s">
        <v>14463</v>
      </c>
      <c r="P772" s="5" t="s">
        <v>14412</v>
      </c>
      <c r="Q772" s="5" t="s">
        <v>16809</v>
      </c>
      <c r="R772" s="6">
        <v>8014.0</v>
      </c>
    </row>
    <row r="773" ht="56.25" customHeight="1">
      <c r="A773" s="5" t="s">
        <v>16811</v>
      </c>
      <c r="B773" s="6" t="str">
        <f>IMAGE("https://storage.googleapis.com/acdb/dresses/TopsTexOnepieceOverallLSpaceWhite.png")</f>
        <v/>
      </c>
      <c r="C773" s="5" t="s">
        <v>57</v>
      </c>
      <c r="D773" s="5" t="s">
        <v>36</v>
      </c>
      <c r="E773" s="6">
        <v>5000.0</v>
      </c>
      <c r="F773" s="6">
        <v>1250.0</v>
      </c>
      <c r="G773" s="5" t="s">
        <v>57</v>
      </c>
      <c r="H773" s="5" t="s">
        <v>52</v>
      </c>
      <c r="I773" s="6" t="s">
        <v>40</v>
      </c>
      <c r="J773" s="5" t="s">
        <v>8585</v>
      </c>
      <c r="K773" s="5" t="s">
        <v>8586</v>
      </c>
      <c r="L773" s="6" t="s">
        <v>42</v>
      </c>
      <c r="M773" s="5" t="s">
        <v>1952</v>
      </c>
      <c r="N773" s="5" t="s">
        <v>64</v>
      </c>
      <c r="O773" s="5" t="s">
        <v>14358</v>
      </c>
      <c r="P773" s="5" t="s">
        <v>14333</v>
      </c>
      <c r="Q773" s="5" t="s">
        <v>16813</v>
      </c>
      <c r="R773" s="6">
        <v>3636.0</v>
      </c>
    </row>
    <row r="774" ht="56.25" customHeight="1">
      <c r="A774" s="5" t="s">
        <v>16815</v>
      </c>
      <c r="B774" s="6" t="str">
        <f>IMAGE("https://storage.googleapis.com/acdb/dresses/TopsTexOnepieceOverallHDwarf1.png")</f>
        <v/>
      </c>
      <c r="C774" s="5" t="s">
        <v>52</v>
      </c>
      <c r="D774" s="5" t="s">
        <v>36</v>
      </c>
      <c r="E774" s="6">
        <v>2500.0</v>
      </c>
      <c r="F774" s="6">
        <v>625.0</v>
      </c>
      <c r="G774" s="5" t="s">
        <v>52</v>
      </c>
      <c r="H774" s="5" t="s">
        <v>39</v>
      </c>
      <c r="I774" s="6" t="s">
        <v>40</v>
      </c>
      <c r="J774" s="5" t="s">
        <v>8585</v>
      </c>
      <c r="K774" s="5" t="s">
        <v>8586</v>
      </c>
      <c r="L774" s="6" t="s">
        <v>42</v>
      </c>
      <c r="M774" s="5" t="s">
        <v>1959</v>
      </c>
      <c r="N774" s="5" t="s">
        <v>64</v>
      </c>
      <c r="O774" s="5" t="s">
        <v>14358</v>
      </c>
      <c r="P774" s="5" t="s">
        <v>14345</v>
      </c>
      <c r="Q774" s="5" t="s">
        <v>16818</v>
      </c>
      <c r="R774" s="6">
        <v>8131.0</v>
      </c>
    </row>
    <row r="775" ht="56.25" customHeight="1">
      <c r="A775" s="5" t="s">
        <v>16815</v>
      </c>
      <c r="B775" s="6" t="str">
        <f>IMAGE("https://storage.googleapis.com/acdb/dresses/TopsTexOnepieceOverallHDwarf2.png")</f>
        <v/>
      </c>
      <c r="C775" s="5" t="s">
        <v>39</v>
      </c>
      <c r="D775" s="5" t="s">
        <v>36</v>
      </c>
      <c r="E775" s="6">
        <v>2500.0</v>
      </c>
      <c r="F775" s="6">
        <v>625.0</v>
      </c>
      <c r="G775" s="5" t="s">
        <v>39</v>
      </c>
      <c r="H775" s="5" t="s">
        <v>39</v>
      </c>
      <c r="I775" s="6" t="s">
        <v>40</v>
      </c>
      <c r="J775" s="5" t="s">
        <v>8585</v>
      </c>
      <c r="K775" s="5" t="s">
        <v>8586</v>
      </c>
      <c r="L775" s="6" t="s">
        <v>42</v>
      </c>
      <c r="M775" s="5" t="s">
        <v>1959</v>
      </c>
      <c r="N775" s="5" t="s">
        <v>64</v>
      </c>
      <c r="O775" s="5" t="s">
        <v>14358</v>
      </c>
      <c r="P775" s="5" t="s">
        <v>14345</v>
      </c>
      <c r="Q775" s="5" t="s">
        <v>16822</v>
      </c>
      <c r="R775" s="6">
        <v>8132.0</v>
      </c>
    </row>
    <row r="776" ht="56.25" customHeight="1">
      <c r="A776" s="5" t="s">
        <v>16815</v>
      </c>
      <c r="B776" s="6" t="str">
        <f>IMAGE("https://storage.googleapis.com/acdb/dresses/TopsTexOnepieceOverallHDwarf3.png")</f>
        <v/>
      </c>
      <c r="C776" s="5" t="s">
        <v>68</v>
      </c>
      <c r="D776" s="5" t="s">
        <v>36</v>
      </c>
      <c r="E776" s="6">
        <v>2500.0</v>
      </c>
      <c r="F776" s="6">
        <v>625.0</v>
      </c>
      <c r="G776" s="5" t="s">
        <v>68</v>
      </c>
      <c r="H776" s="5" t="s">
        <v>39</v>
      </c>
      <c r="I776" s="6" t="s">
        <v>40</v>
      </c>
      <c r="J776" s="5" t="s">
        <v>8585</v>
      </c>
      <c r="K776" s="5" t="s">
        <v>8586</v>
      </c>
      <c r="L776" s="6" t="s">
        <v>42</v>
      </c>
      <c r="M776" s="5" t="s">
        <v>1959</v>
      </c>
      <c r="N776" s="5" t="s">
        <v>64</v>
      </c>
      <c r="O776" s="5" t="s">
        <v>14358</v>
      </c>
      <c r="P776" s="5" t="s">
        <v>14345</v>
      </c>
      <c r="Q776" s="5" t="s">
        <v>16825</v>
      </c>
      <c r="R776" s="6">
        <v>8133.0</v>
      </c>
    </row>
    <row r="777" ht="56.25" customHeight="1">
      <c r="A777" s="5" t="s">
        <v>16815</v>
      </c>
      <c r="B777" s="6" t="str">
        <f>IMAGE("https://storage.googleapis.com/acdb/dresses/TopsTexOnepieceOverallHDwarf4.png")</f>
        <v/>
      </c>
      <c r="C777" s="5" t="s">
        <v>114</v>
      </c>
      <c r="D777" s="5" t="s">
        <v>36</v>
      </c>
      <c r="E777" s="6">
        <v>2500.0</v>
      </c>
      <c r="F777" s="6">
        <v>625.0</v>
      </c>
      <c r="G777" s="5" t="s">
        <v>114</v>
      </c>
      <c r="H777" s="5" t="s">
        <v>39</v>
      </c>
      <c r="I777" s="6" t="s">
        <v>40</v>
      </c>
      <c r="J777" s="5" t="s">
        <v>8585</v>
      </c>
      <c r="K777" s="5" t="s">
        <v>8586</v>
      </c>
      <c r="L777" s="6" t="s">
        <v>42</v>
      </c>
      <c r="M777" s="5" t="s">
        <v>1959</v>
      </c>
      <c r="N777" s="5" t="s">
        <v>64</v>
      </c>
      <c r="O777" s="5" t="s">
        <v>14358</v>
      </c>
      <c r="P777" s="5" t="s">
        <v>14345</v>
      </c>
      <c r="Q777" s="5" t="s">
        <v>16826</v>
      </c>
      <c r="R777" s="6">
        <v>8134.0</v>
      </c>
    </row>
    <row r="778" ht="56.25" customHeight="1">
      <c r="A778" s="5" t="s">
        <v>16815</v>
      </c>
      <c r="B778" s="6" t="str">
        <f>IMAGE("https://storage.googleapis.com/acdb/dresses/TopsTexOnepieceOverallHDwarf5.png")</f>
        <v/>
      </c>
      <c r="C778" s="5" t="s">
        <v>69</v>
      </c>
      <c r="D778" s="5" t="s">
        <v>36</v>
      </c>
      <c r="E778" s="6">
        <v>2500.0</v>
      </c>
      <c r="F778" s="6">
        <v>625.0</v>
      </c>
      <c r="G778" s="5" t="s">
        <v>69</v>
      </c>
      <c r="H778" s="5" t="s">
        <v>39</v>
      </c>
      <c r="I778" s="6" t="s">
        <v>40</v>
      </c>
      <c r="J778" s="5" t="s">
        <v>8585</v>
      </c>
      <c r="K778" s="5" t="s">
        <v>8586</v>
      </c>
      <c r="L778" s="6" t="s">
        <v>42</v>
      </c>
      <c r="M778" s="5" t="s">
        <v>1959</v>
      </c>
      <c r="N778" s="5" t="s">
        <v>64</v>
      </c>
      <c r="O778" s="5" t="s">
        <v>14358</v>
      </c>
      <c r="P778" s="5" t="s">
        <v>14345</v>
      </c>
      <c r="Q778" s="5" t="s">
        <v>16829</v>
      </c>
      <c r="R778" s="6">
        <v>8135.0</v>
      </c>
    </row>
    <row r="779" ht="56.25" customHeight="1">
      <c r="A779" s="5" t="s">
        <v>16815</v>
      </c>
      <c r="B779" s="6" t="str">
        <f>IMAGE("https://storage.googleapis.com/acdb/dresses/TopsTexOnepieceOverallHDwarf6.png")</f>
        <v/>
      </c>
      <c r="C779" s="5" t="s">
        <v>9021</v>
      </c>
      <c r="D779" s="5" t="s">
        <v>36</v>
      </c>
      <c r="E779" s="6">
        <v>2500.0</v>
      </c>
      <c r="F779" s="6">
        <v>625.0</v>
      </c>
      <c r="G779" s="5" t="s">
        <v>83</v>
      </c>
      <c r="H779" s="5" t="s">
        <v>39</v>
      </c>
      <c r="I779" s="6" t="s">
        <v>40</v>
      </c>
      <c r="J779" s="5" t="s">
        <v>8585</v>
      </c>
      <c r="K779" s="5" t="s">
        <v>8586</v>
      </c>
      <c r="L779" s="6" t="s">
        <v>42</v>
      </c>
      <c r="M779" s="5" t="s">
        <v>1959</v>
      </c>
      <c r="N779" s="5" t="s">
        <v>64</v>
      </c>
      <c r="O779" s="5" t="s">
        <v>14358</v>
      </c>
      <c r="P779" s="5" t="s">
        <v>14345</v>
      </c>
      <c r="Q779" s="5" t="s">
        <v>16832</v>
      </c>
      <c r="R779" s="6">
        <v>8136.0</v>
      </c>
    </row>
    <row r="780" ht="56.25" customHeight="1">
      <c r="A780" s="5" t="s">
        <v>16815</v>
      </c>
      <c r="B780" s="6" t="str">
        <f>IMAGE("https://storage.googleapis.com/acdb/dresses/TopsTexOnepieceOverallHDwarf0.png")</f>
        <v/>
      </c>
      <c r="C780" s="5" t="s">
        <v>96</v>
      </c>
      <c r="D780" s="5" t="s">
        <v>36</v>
      </c>
      <c r="E780" s="6">
        <v>2500.0</v>
      </c>
      <c r="F780" s="6">
        <v>625.0</v>
      </c>
      <c r="G780" s="5" t="s">
        <v>96</v>
      </c>
      <c r="H780" s="5" t="s">
        <v>39</v>
      </c>
      <c r="I780" s="6" t="s">
        <v>40</v>
      </c>
      <c r="J780" s="5" t="s">
        <v>8585</v>
      </c>
      <c r="K780" s="5" t="s">
        <v>8586</v>
      </c>
      <c r="L780" s="6" t="s">
        <v>42</v>
      </c>
      <c r="M780" s="5" t="s">
        <v>1959</v>
      </c>
      <c r="N780" s="5" t="s">
        <v>64</v>
      </c>
      <c r="O780" s="5" t="s">
        <v>14358</v>
      </c>
      <c r="P780" s="5" t="s">
        <v>14345</v>
      </c>
      <c r="Q780" s="5" t="s">
        <v>16834</v>
      </c>
      <c r="R780" s="6">
        <v>4171.0</v>
      </c>
    </row>
    <row r="781" ht="56.25" customHeight="1">
      <c r="A781" s="5" t="s">
        <v>16835</v>
      </c>
      <c r="B781" s="6" t="str">
        <f>IMAGE("https://storage.googleapis.com/acdb/dresses/TopsTexOnepieceOverallLStarsinger0.png")</f>
        <v/>
      </c>
      <c r="C781" s="5" t="s">
        <v>57</v>
      </c>
      <c r="D781" s="5" t="s">
        <v>36</v>
      </c>
      <c r="E781" s="6">
        <v>2800.0</v>
      </c>
      <c r="F781" s="6">
        <v>700.0</v>
      </c>
      <c r="G781" s="5" t="s">
        <v>57</v>
      </c>
      <c r="H781" s="5" t="s">
        <v>52</v>
      </c>
      <c r="I781" s="6" t="s">
        <v>40</v>
      </c>
      <c r="J781" s="5" t="s">
        <v>8585</v>
      </c>
      <c r="K781" s="5" t="s">
        <v>8586</v>
      </c>
      <c r="L781" s="6" t="s">
        <v>42</v>
      </c>
      <c r="M781" s="5" t="s">
        <v>612</v>
      </c>
      <c r="N781" s="5" t="s">
        <v>64</v>
      </c>
      <c r="O781" s="5" t="s">
        <v>14358</v>
      </c>
      <c r="P781" s="5" t="s">
        <v>14333</v>
      </c>
      <c r="Q781" s="5" t="s">
        <v>16839</v>
      </c>
      <c r="R781" s="6">
        <v>4449.0</v>
      </c>
    </row>
    <row r="782" ht="56.25" customHeight="1">
      <c r="A782" s="5" t="s">
        <v>16835</v>
      </c>
      <c r="B782" s="6" t="str">
        <f>IMAGE("https://storage.googleapis.com/acdb/dresses/TopsTexOnepieceOverallLStarsinger1.png")</f>
        <v/>
      </c>
      <c r="C782" s="5" t="s">
        <v>54</v>
      </c>
      <c r="D782" s="5" t="s">
        <v>36</v>
      </c>
      <c r="E782" s="6">
        <v>2800.0</v>
      </c>
      <c r="F782" s="6">
        <v>700.0</v>
      </c>
      <c r="G782" s="5" t="s">
        <v>54</v>
      </c>
      <c r="H782" s="5" t="s">
        <v>106</v>
      </c>
      <c r="I782" s="6" t="s">
        <v>40</v>
      </c>
      <c r="J782" s="5" t="s">
        <v>8585</v>
      </c>
      <c r="K782" s="5" t="s">
        <v>8586</v>
      </c>
      <c r="L782" s="6" t="s">
        <v>42</v>
      </c>
      <c r="M782" s="5" t="s">
        <v>612</v>
      </c>
      <c r="N782" s="5" t="s">
        <v>64</v>
      </c>
      <c r="O782" s="5" t="s">
        <v>14358</v>
      </c>
      <c r="P782" s="5" t="s">
        <v>14333</v>
      </c>
      <c r="Q782" s="5" t="s">
        <v>16840</v>
      </c>
      <c r="R782" s="6">
        <v>9512.0</v>
      </c>
    </row>
    <row r="783" ht="56.25" customHeight="1">
      <c r="A783" s="5" t="s">
        <v>16835</v>
      </c>
      <c r="B783" s="6" t="str">
        <f>IMAGE("https://storage.googleapis.com/acdb/dresses/TopsTexOnepieceOverallLStarsinger2.png")</f>
        <v/>
      </c>
      <c r="C783" s="5" t="s">
        <v>52</v>
      </c>
      <c r="D783" s="5" t="s">
        <v>36</v>
      </c>
      <c r="E783" s="6">
        <v>2800.0</v>
      </c>
      <c r="F783" s="6">
        <v>700.0</v>
      </c>
      <c r="G783" s="5" t="s">
        <v>52</v>
      </c>
      <c r="H783" s="5" t="s">
        <v>114</v>
      </c>
      <c r="I783" s="6" t="s">
        <v>40</v>
      </c>
      <c r="J783" s="5" t="s">
        <v>8585</v>
      </c>
      <c r="K783" s="5" t="s">
        <v>8586</v>
      </c>
      <c r="L783" s="6" t="s">
        <v>42</v>
      </c>
      <c r="M783" s="5" t="s">
        <v>612</v>
      </c>
      <c r="N783" s="5" t="s">
        <v>64</v>
      </c>
      <c r="O783" s="5" t="s">
        <v>14358</v>
      </c>
      <c r="P783" s="5" t="s">
        <v>14333</v>
      </c>
      <c r="Q783" s="5" t="s">
        <v>16843</v>
      </c>
      <c r="R783" s="6">
        <v>9513.0</v>
      </c>
    </row>
    <row r="784" ht="56.25" customHeight="1">
      <c r="A784" s="5" t="s">
        <v>16835</v>
      </c>
      <c r="B784" s="6" t="str">
        <f>IMAGE("https://storage.googleapis.com/acdb/dresses/TopsTexOnepieceOverallLStarsinger3.png")</f>
        <v/>
      </c>
      <c r="C784" s="5" t="s">
        <v>1187</v>
      </c>
      <c r="D784" s="5" t="s">
        <v>36</v>
      </c>
      <c r="E784" s="6">
        <v>2800.0</v>
      </c>
      <c r="F784" s="6">
        <v>700.0</v>
      </c>
      <c r="G784" s="5" t="s">
        <v>68</v>
      </c>
      <c r="H784" s="5" t="s">
        <v>142</v>
      </c>
      <c r="I784" s="6" t="s">
        <v>40</v>
      </c>
      <c r="J784" s="5" t="s">
        <v>8585</v>
      </c>
      <c r="K784" s="5" t="s">
        <v>8586</v>
      </c>
      <c r="L784" s="6" t="s">
        <v>42</v>
      </c>
      <c r="M784" s="5" t="s">
        <v>612</v>
      </c>
      <c r="N784" s="5" t="s">
        <v>64</v>
      </c>
      <c r="O784" s="5" t="s">
        <v>14358</v>
      </c>
      <c r="P784" s="5" t="s">
        <v>14333</v>
      </c>
      <c r="Q784" s="5" t="s">
        <v>16846</v>
      </c>
      <c r="R784" s="6">
        <v>9514.0</v>
      </c>
    </row>
    <row r="785" ht="56.25" customHeight="1">
      <c r="A785" s="5" t="s">
        <v>16835</v>
      </c>
      <c r="B785" s="6" t="str">
        <f>IMAGE("https://storage.googleapis.com/acdb/dresses/TopsTexOnepieceOverallLStarsinger4.png")</f>
        <v/>
      </c>
      <c r="C785" s="5" t="s">
        <v>114</v>
      </c>
      <c r="D785" s="5" t="s">
        <v>36</v>
      </c>
      <c r="E785" s="6">
        <v>2800.0</v>
      </c>
      <c r="F785" s="6">
        <v>700.0</v>
      </c>
      <c r="G785" s="5" t="s">
        <v>114</v>
      </c>
      <c r="H785" s="5" t="s">
        <v>68</v>
      </c>
      <c r="I785" s="6" t="s">
        <v>40</v>
      </c>
      <c r="J785" s="5" t="s">
        <v>8585</v>
      </c>
      <c r="K785" s="5" t="s">
        <v>8586</v>
      </c>
      <c r="L785" s="6" t="s">
        <v>42</v>
      </c>
      <c r="M785" s="5" t="s">
        <v>612</v>
      </c>
      <c r="N785" s="5" t="s">
        <v>64</v>
      </c>
      <c r="O785" s="5" t="s">
        <v>14358</v>
      </c>
      <c r="P785" s="5" t="s">
        <v>14333</v>
      </c>
      <c r="Q785" s="5" t="s">
        <v>16850</v>
      </c>
      <c r="R785" s="6">
        <v>9515.0</v>
      </c>
    </row>
    <row r="786" ht="56.25" customHeight="1">
      <c r="A786" s="5" t="s">
        <v>16851</v>
      </c>
      <c r="B786" s="6" t="str">
        <f>IMAGE("https://storage.googleapis.com/acdb/dresses/TopsTexOnepieceOverallLSteampunk1.png")</f>
        <v/>
      </c>
      <c r="C786" s="5" t="s">
        <v>106</v>
      </c>
      <c r="D786" s="5" t="s">
        <v>36</v>
      </c>
      <c r="E786" s="6">
        <v>2240.0</v>
      </c>
      <c r="F786" s="6">
        <v>560.0</v>
      </c>
      <c r="G786" s="5" t="s">
        <v>39</v>
      </c>
      <c r="H786" s="5" t="s">
        <v>106</v>
      </c>
      <c r="I786" s="6" t="s">
        <v>40</v>
      </c>
      <c r="J786" s="5" t="s">
        <v>8585</v>
      </c>
      <c r="K786" s="5" t="s">
        <v>8586</v>
      </c>
      <c r="L786" s="6" t="s">
        <v>42</v>
      </c>
      <c r="M786" s="5" t="s">
        <v>1952</v>
      </c>
      <c r="N786" s="5" t="s">
        <v>64</v>
      </c>
      <c r="O786" s="5" t="s">
        <v>14358</v>
      </c>
      <c r="P786" s="5" t="s">
        <v>14333</v>
      </c>
      <c r="Q786" s="5" t="s">
        <v>16855</v>
      </c>
      <c r="R786" s="6">
        <v>9534.0</v>
      </c>
    </row>
    <row r="787" ht="56.25" customHeight="1">
      <c r="A787" s="5" t="s">
        <v>16851</v>
      </c>
      <c r="B787" s="6" t="str">
        <f>IMAGE("https://storage.googleapis.com/acdb/dresses/TopsTexOnepieceOverallLSteampunk0.png")</f>
        <v/>
      </c>
      <c r="C787" s="5" t="s">
        <v>52</v>
      </c>
      <c r="D787" s="5" t="s">
        <v>36</v>
      </c>
      <c r="E787" s="6">
        <v>2240.0</v>
      </c>
      <c r="F787" s="6">
        <v>560.0</v>
      </c>
      <c r="G787" s="5" t="s">
        <v>39</v>
      </c>
      <c r="H787" s="5" t="s">
        <v>52</v>
      </c>
      <c r="I787" s="6" t="s">
        <v>40</v>
      </c>
      <c r="J787" s="5" t="s">
        <v>8585</v>
      </c>
      <c r="K787" s="5" t="s">
        <v>8586</v>
      </c>
      <c r="L787" s="6" t="s">
        <v>42</v>
      </c>
      <c r="M787" s="5" t="s">
        <v>1952</v>
      </c>
      <c r="N787" s="5" t="s">
        <v>64</v>
      </c>
      <c r="O787" s="5" t="s">
        <v>14358</v>
      </c>
      <c r="P787" s="5" t="s">
        <v>14333</v>
      </c>
      <c r="Q787" s="5" t="s">
        <v>16858</v>
      </c>
      <c r="R787" s="6">
        <v>5825.0</v>
      </c>
    </row>
    <row r="788" ht="56.25" customHeight="1">
      <c r="A788" s="5" t="s">
        <v>16859</v>
      </c>
      <c r="B788" s="6" t="str">
        <f>IMAGE("https://storage.googleapis.com/acdb/dresses/TopsTexOnepieceSalopetteLPsychedelic1.png")</f>
        <v/>
      </c>
      <c r="C788" s="5" t="s">
        <v>68</v>
      </c>
      <c r="D788" s="5" t="s">
        <v>36</v>
      </c>
      <c r="E788" s="6">
        <v>1600.0</v>
      </c>
      <c r="F788" s="6">
        <v>400.0</v>
      </c>
      <c r="G788" s="5" t="s">
        <v>68</v>
      </c>
      <c r="H788" s="5" t="s">
        <v>106</v>
      </c>
      <c r="I788" s="6" t="s">
        <v>40</v>
      </c>
      <c r="J788" s="5" t="s">
        <v>8585</v>
      </c>
      <c r="K788" s="5" t="s">
        <v>8586</v>
      </c>
      <c r="L788" s="6" t="s">
        <v>42</v>
      </c>
      <c r="M788" s="5" t="s">
        <v>8746</v>
      </c>
      <c r="N788" s="5" t="s">
        <v>64</v>
      </c>
      <c r="O788" s="5" t="s">
        <v>15229</v>
      </c>
      <c r="P788" s="5" t="s">
        <v>14333</v>
      </c>
      <c r="Q788" s="5" t="s">
        <v>16863</v>
      </c>
      <c r="R788" s="6">
        <v>9530.0</v>
      </c>
    </row>
    <row r="789" ht="56.25" customHeight="1">
      <c r="A789" s="5" t="s">
        <v>16859</v>
      </c>
      <c r="B789" s="6" t="str">
        <f>IMAGE("https://storage.googleapis.com/acdb/dresses/TopsTexOnepieceSalopetteLPsychedelic2.png")</f>
        <v/>
      </c>
      <c r="C789" s="5" t="s">
        <v>3744</v>
      </c>
      <c r="D789" s="5" t="s">
        <v>36</v>
      </c>
      <c r="E789" s="6">
        <v>1600.0</v>
      </c>
      <c r="F789" s="6">
        <v>400.0</v>
      </c>
      <c r="G789" s="5" t="s">
        <v>54</v>
      </c>
      <c r="H789" s="5" t="s">
        <v>52</v>
      </c>
      <c r="I789" s="6" t="s">
        <v>40</v>
      </c>
      <c r="J789" s="5" t="s">
        <v>8585</v>
      </c>
      <c r="K789" s="5" t="s">
        <v>8586</v>
      </c>
      <c r="L789" s="6" t="s">
        <v>42</v>
      </c>
      <c r="M789" s="5" t="s">
        <v>8746</v>
      </c>
      <c r="N789" s="5" t="s">
        <v>64</v>
      </c>
      <c r="O789" s="5" t="s">
        <v>15229</v>
      </c>
      <c r="P789" s="5" t="s">
        <v>14333</v>
      </c>
      <c r="Q789" s="5" t="s">
        <v>16867</v>
      </c>
      <c r="R789" s="6">
        <v>9531.0</v>
      </c>
    </row>
    <row r="790" ht="56.25" customHeight="1">
      <c r="A790" s="5" t="s">
        <v>16859</v>
      </c>
      <c r="B790" s="6" t="str">
        <f>IMAGE("https://storage.googleapis.com/acdb/dresses/TopsTexOnepieceSalopetteLPsychedelic3.png")</f>
        <v/>
      </c>
      <c r="C790" s="5" t="s">
        <v>106</v>
      </c>
      <c r="D790" s="5" t="s">
        <v>36</v>
      </c>
      <c r="E790" s="6">
        <v>1600.0</v>
      </c>
      <c r="F790" s="6">
        <v>400.0</v>
      </c>
      <c r="G790" s="5" t="s">
        <v>106</v>
      </c>
      <c r="H790" s="5" t="s">
        <v>69</v>
      </c>
      <c r="I790" s="6" t="s">
        <v>40</v>
      </c>
      <c r="J790" s="5" t="s">
        <v>8585</v>
      </c>
      <c r="K790" s="5" t="s">
        <v>8586</v>
      </c>
      <c r="L790" s="6" t="s">
        <v>42</v>
      </c>
      <c r="M790" s="5" t="s">
        <v>8746</v>
      </c>
      <c r="N790" s="5" t="s">
        <v>64</v>
      </c>
      <c r="O790" s="5" t="s">
        <v>15229</v>
      </c>
      <c r="P790" s="5" t="s">
        <v>14333</v>
      </c>
      <c r="Q790" s="5" t="s">
        <v>16871</v>
      </c>
      <c r="R790" s="6">
        <v>9532.0</v>
      </c>
    </row>
    <row r="791" ht="56.25" customHeight="1">
      <c r="A791" s="5" t="s">
        <v>16859</v>
      </c>
      <c r="B791" s="6" t="str">
        <f>IMAGE("https://storage.googleapis.com/acdb/dresses/TopsTexOnepieceSalopetteLPsychedelic4.png")</f>
        <v/>
      </c>
      <c r="C791" s="5" t="s">
        <v>52</v>
      </c>
      <c r="D791" s="5" t="s">
        <v>36</v>
      </c>
      <c r="E791" s="6">
        <v>1600.0</v>
      </c>
      <c r="F791" s="6">
        <v>400.0</v>
      </c>
      <c r="G791" s="5" t="s">
        <v>52</v>
      </c>
      <c r="H791" s="5" t="s">
        <v>68</v>
      </c>
      <c r="I791" s="6" t="s">
        <v>40</v>
      </c>
      <c r="J791" s="5" t="s">
        <v>8585</v>
      </c>
      <c r="K791" s="5" t="s">
        <v>8586</v>
      </c>
      <c r="L791" s="6" t="s">
        <v>42</v>
      </c>
      <c r="M791" s="5" t="s">
        <v>8746</v>
      </c>
      <c r="N791" s="5" t="s">
        <v>64</v>
      </c>
      <c r="O791" s="5" t="s">
        <v>15229</v>
      </c>
      <c r="P791" s="5" t="s">
        <v>14333</v>
      </c>
      <c r="Q791" s="5" t="s">
        <v>16875</v>
      </c>
      <c r="R791" s="6">
        <v>9533.0</v>
      </c>
    </row>
    <row r="792" ht="56.25" customHeight="1">
      <c r="A792" s="5" t="s">
        <v>16859</v>
      </c>
      <c r="B792" s="6" t="str">
        <f>IMAGE("https://storage.googleapis.com/acdb/dresses/TopsTexOnepieceSalopetteLPsychedelic0.png")</f>
        <v/>
      </c>
      <c r="C792" s="5" t="s">
        <v>96</v>
      </c>
      <c r="D792" s="5" t="s">
        <v>36</v>
      </c>
      <c r="E792" s="6">
        <v>1600.0</v>
      </c>
      <c r="F792" s="6">
        <v>400.0</v>
      </c>
      <c r="G792" s="5" t="s">
        <v>96</v>
      </c>
      <c r="H792" s="5" t="s">
        <v>142</v>
      </c>
      <c r="I792" s="6" t="s">
        <v>40</v>
      </c>
      <c r="J792" s="5" t="s">
        <v>8585</v>
      </c>
      <c r="K792" s="5" t="s">
        <v>8586</v>
      </c>
      <c r="L792" s="6" t="s">
        <v>42</v>
      </c>
      <c r="M792" s="5" t="s">
        <v>8746</v>
      </c>
      <c r="N792" s="5" t="s">
        <v>64</v>
      </c>
      <c r="O792" s="5" t="s">
        <v>15229</v>
      </c>
      <c r="P792" s="5" t="s">
        <v>14333</v>
      </c>
      <c r="Q792" s="5" t="s">
        <v>16879</v>
      </c>
      <c r="R792" s="6">
        <v>5799.0</v>
      </c>
    </row>
    <row r="793" ht="56.25" customHeight="1">
      <c r="A793" s="5" t="s">
        <v>16880</v>
      </c>
      <c r="B793" s="6" t="str">
        <f>IMAGE("https://storage.googleapis.com/acdb/dresses/TopsTexOnepieceRibNEggrock0.png")</f>
        <v/>
      </c>
      <c r="C793" s="5" t="s">
        <v>44</v>
      </c>
      <c r="D793" s="5" t="s">
        <v>35</v>
      </c>
      <c r="E793" s="6" t="s">
        <v>37</v>
      </c>
      <c r="F793" s="6">
        <v>1200.0</v>
      </c>
      <c r="G793" s="5" t="s">
        <v>114</v>
      </c>
      <c r="H793" s="5" t="s">
        <v>142</v>
      </c>
      <c r="I793" s="6" t="s">
        <v>40</v>
      </c>
      <c r="J793" s="5" t="s">
        <v>41</v>
      </c>
      <c r="K793" s="5" t="s">
        <v>16881</v>
      </c>
      <c r="L793" s="6" t="s">
        <v>1410</v>
      </c>
      <c r="M793" s="5" t="s">
        <v>8746</v>
      </c>
      <c r="N793" s="5" t="s">
        <v>48</v>
      </c>
      <c r="O793" s="5" t="s">
        <v>14463</v>
      </c>
      <c r="P793" s="5" t="s">
        <v>14412</v>
      </c>
      <c r="Q793" s="5" t="s">
        <v>16882</v>
      </c>
      <c r="R793" s="6">
        <v>12450.0</v>
      </c>
    </row>
    <row r="794" ht="56.25" customHeight="1">
      <c r="A794" s="5" t="s">
        <v>16884</v>
      </c>
      <c r="B794" s="6" t="str">
        <f>IMAGE("https://storage.googleapis.com/acdb/dresses/TopsTexOnepieceAlineNStrawberry.png")</f>
        <v/>
      </c>
      <c r="C794" s="5" t="s">
        <v>52</v>
      </c>
      <c r="D794" s="5" t="s">
        <v>36</v>
      </c>
      <c r="E794" s="6">
        <v>1800.0</v>
      </c>
      <c r="F794" s="6">
        <v>450.0</v>
      </c>
      <c r="G794" s="5" t="s">
        <v>69</v>
      </c>
      <c r="H794" s="5" t="s">
        <v>96</v>
      </c>
      <c r="I794" s="6" t="s">
        <v>40</v>
      </c>
      <c r="J794" s="5" t="s">
        <v>8585</v>
      </c>
      <c r="K794" s="5" t="s">
        <v>8632</v>
      </c>
      <c r="L794" s="6" t="s">
        <v>42</v>
      </c>
      <c r="M794" s="5" t="s">
        <v>1959</v>
      </c>
      <c r="N794" s="5" t="s">
        <v>64</v>
      </c>
      <c r="O794" s="5" t="s">
        <v>14411</v>
      </c>
      <c r="P794" s="5" t="s">
        <v>14412</v>
      </c>
      <c r="Q794" s="5" t="s">
        <v>16887</v>
      </c>
      <c r="R794" s="6">
        <v>3286.0</v>
      </c>
    </row>
    <row r="795" ht="56.25" customHeight="1">
      <c r="A795" s="5" t="s">
        <v>16888</v>
      </c>
      <c r="B795" s="6" t="str">
        <f>IMAGE("https://storage.googleapis.com/acdb/dresses/TopsTexOnepieceAlineLBorder0.png")</f>
        <v/>
      </c>
      <c r="C795" s="5" t="s">
        <v>54</v>
      </c>
      <c r="D795" s="5" t="s">
        <v>36</v>
      </c>
      <c r="E795" s="6">
        <v>1600.0</v>
      </c>
      <c r="F795" s="6">
        <v>400.0</v>
      </c>
      <c r="G795" s="5" t="s">
        <v>54</v>
      </c>
      <c r="H795" s="5" t="s">
        <v>57</v>
      </c>
      <c r="I795" s="6" t="s">
        <v>40</v>
      </c>
      <c r="J795" s="5" t="s">
        <v>8585</v>
      </c>
      <c r="K795" s="5" t="s">
        <v>8632</v>
      </c>
      <c r="L795" s="6" t="s">
        <v>42</v>
      </c>
      <c r="M795" s="5" t="s">
        <v>995</v>
      </c>
      <c r="N795" s="5" t="s">
        <v>64</v>
      </c>
      <c r="O795" s="5" t="s">
        <v>14411</v>
      </c>
      <c r="P795" s="5" t="s">
        <v>14333</v>
      </c>
      <c r="Q795" s="5" t="s">
        <v>16892</v>
      </c>
      <c r="R795" s="6">
        <v>4262.0</v>
      </c>
    </row>
    <row r="796" ht="56.25" customHeight="1">
      <c r="A796" s="5" t="s">
        <v>16888</v>
      </c>
      <c r="B796" s="6" t="str">
        <f>IMAGE("https://storage.googleapis.com/acdb/dresses/TopsTexOnepieceAlineLBorder1.png")</f>
        <v/>
      </c>
      <c r="C796" s="5" t="s">
        <v>142</v>
      </c>
      <c r="D796" s="5" t="s">
        <v>36</v>
      </c>
      <c r="E796" s="6">
        <v>1600.0</v>
      </c>
      <c r="F796" s="6">
        <v>400.0</v>
      </c>
      <c r="G796" s="5" t="s">
        <v>142</v>
      </c>
      <c r="H796" s="5" t="s">
        <v>57</v>
      </c>
      <c r="I796" s="6" t="s">
        <v>40</v>
      </c>
      <c r="J796" s="5" t="s">
        <v>8585</v>
      </c>
      <c r="K796" s="5" t="s">
        <v>8632</v>
      </c>
      <c r="L796" s="6" t="s">
        <v>42</v>
      </c>
      <c r="M796" s="5" t="s">
        <v>995</v>
      </c>
      <c r="N796" s="5" t="s">
        <v>64</v>
      </c>
      <c r="O796" s="5" t="s">
        <v>14411</v>
      </c>
      <c r="P796" s="5" t="s">
        <v>14333</v>
      </c>
      <c r="Q796" s="5" t="s">
        <v>16896</v>
      </c>
      <c r="R796" s="6">
        <v>7769.0</v>
      </c>
    </row>
    <row r="797" ht="56.25" customHeight="1">
      <c r="A797" s="5" t="s">
        <v>16888</v>
      </c>
      <c r="B797" s="6" t="str">
        <f>IMAGE("https://storage.googleapis.com/acdb/dresses/TopsTexOnepieceAlineLBorder2.png")</f>
        <v/>
      </c>
      <c r="C797" s="5" t="s">
        <v>68</v>
      </c>
      <c r="D797" s="5" t="s">
        <v>36</v>
      </c>
      <c r="E797" s="6">
        <v>1600.0</v>
      </c>
      <c r="F797" s="6">
        <v>400.0</v>
      </c>
      <c r="G797" s="5" t="s">
        <v>68</v>
      </c>
      <c r="H797" s="5" t="s">
        <v>57</v>
      </c>
      <c r="I797" s="6" t="s">
        <v>40</v>
      </c>
      <c r="J797" s="5" t="s">
        <v>8585</v>
      </c>
      <c r="K797" s="5" t="s">
        <v>8632</v>
      </c>
      <c r="L797" s="6" t="s">
        <v>42</v>
      </c>
      <c r="M797" s="5" t="s">
        <v>995</v>
      </c>
      <c r="N797" s="5" t="s">
        <v>64</v>
      </c>
      <c r="O797" s="5" t="s">
        <v>14411</v>
      </c>
      <c r="P797" s="5" t="s">
        <v>14333</v>
      </c>
      <c r="Q797" s="5" t="s">
        <v>16899</v>
      </c>
      <c r="R797" s="6">
        <v>7770.0</v>
      </c>
    </row>
    <row r="798" ht="56.25" customHeight="1">
      <c r="A798" s="5" t="s">
        <v>16888</v>
      </c>
      <c r="B798" s="6" t="str">
        <f>IMAGE("https://storage.googleapis.com/acdb/dresses/TopsTexOnepieceAlineLBorder3.png")</f>
        <v/>
      </c>
      <c r="C798" s="5" t="s">
        <v>114</v>
      </c>
      <c r="D798" s="5" t="s">
        <v>36</v>
      </c>
      <c r="E798" s="6">
        <v>1600.0</v>
      </c>
      <c r="F798" s="6">
        <v>400.0</v>
      </c>
      <c r="G798" s="5" t="s">
        <v>114</v>
      </c>
      <c r="H798" s="5" t="s">
        <v>57</v>
      </c>
      <c r="I798" s="6" t="s">
        <v>40</v>
      </c>
      <c r="J798" s="5" t="s">
        <v>8585</v>
      </c>
      <c r="K798" s="5" t="s">
        <v>8632</v>
      </c>
      <c r="L798" s="6" t="s">
        <v>42</v>
      </c>
      <c r="M798" s="5" t="s">
        <v>995</v>
      </c>
      <c r="N798" s="5" t="s">
        <v>64</v>
      </c>
      <c r="O798" s="5" t="s">
        <v>14411</v>
      </c>
      <c r="P798" s="5" t="s">
        <v>14333</v>
      </c>
      <c r="Q798" s="5" t="s">
        <v>16901</v>
      </c>
      <c r="R798" s="6">
        <v>7771.0</v>
      </c>
    </row>
    <row r="799" ht="56.25" customHeight="1">
      <c r="A799" s="5" t="s">
        <v>16888</v>
      </c>
      <c r="B799" s="6" t="str">
        <f>IMAGE("https://storage.googleapis.com/acdb/dresses/TopsTexOnepieceAlineLBorder4.png")</f>
        <v/>
      </c>
      <c r="C799" s="5" t="s">
        <v>52</v>
      </c>
      <c r="D799" s="5" t="s">
        <v>36</v>
      </c>
      <c r="E799" s="6">
        <v>1600.0</v>
      </c>
      <c r="F799" s="6">
        <v>400.0</v>
      </c>
      <c r="G799" s="5" t="s">
        <v>52</v>
      </c>
      <c r="H799" s="5" t="s">
        <v>57</v>
      </c>
      <c r="I799" s="6" t="s">
        <v>40</v>
      </c>
      <c r="J799" s="5" t="s">
        <v>8585</v>
      </c>
      <c r="K799" s="5" t="s">
        <v>8632</v>
      </c>
      <c r="L799" s="6" t="s">
        <v>42</v>
      </c>
      <c r="M799" s="5" t="s">
        <v>995</v>
      </c>
      <c r="N799" s="5" t="s">
        <v>64</v>
      </c>
      <c r="O799" s="5" t="s">
        <v>14411</v>
      </c>
      <c r="P799" s="5" t="s">
        <v>14333</v>
      </c>
      <c r="Q799" s="5" t="s">
        <v>16905</v>
      </c>
      <c r="R799" s="6">
        <v>7772.0</v>
      </c>
    </row>
    <row r="800" ht="56.25" customHeight="1">
      <c r="A800" s="5" t="s">
        <v>16888</v>
      </c>
      <c r="B800" s="6" t="str">
        <f>IMAGE("https://storage.googleapis.com/acdb/dresses/TopsTexOnepieceAlineLBorder5.png")</f>
        <v/>
      </c>
      <c r="C800" s="5" t="s">
        <v>95</v>
      </c>
      <c r="D800" s="5" t="s">
        <v>36</v>
      </c>
      <c r="E800" s="6">
        <v>1600.0</v>
      </c>
      <c r="F800" s="6">
        <v>400.0</v>
      </c>
      <c r="G800" s="5" t="s">
        <v>95</v>
      </c>
      <c r="H800" s="5" t="s">
        <v>57</v>
      </c>
      <c r="I800" s="6" t="s">
        <v>40</v>
      </c>
      <c r="J800" s="5" t="s">
        <v>8585</v>
      </c>
      <c r="K800" s="5" t="s">
        <v>8632</v>
      </c>
      <c r="L800" s="6" t="s">
        <v>42</v>
      </c>
      <c r="M800" s="5" t="s">
        <v>995</v>
      </c>
      <c r="N800" s="5" t="s">
        <v>64</v>
      </c>
      <c r="O800" s="5" t="s">
        <v>14411</v>
      </c>
      <c r="P800" s="5" t="s">
        <v>14333</v>
      </c>
      <c r="Q800" s="5" t="s">
        <v>16907</v>
      </c>
      <c r="R800" s="6">
        <v>7773.0</v>
      </c>
    </row>
    <row r="801" ht="56.25" customHeight="1">
      <c r="A801" s="5" t="s">
        <v>16888</v>
      </c>
      <c r="B801" s="6" t="str">
        <f>IMAGE("https://storage.googleapis.com/acdb/dresses/TopsTexOnepieceAlineLBorder6.png")</f>
        <v/>
      </c>
      <c r="C801" s="5" t="s">
        <v>96</v>
      </c>
      <c r="D801" s="5" t="s">
        <v>36</v>
      </c>
      <c r="E801" s="6">
        <v>1600.0</v>
      </c>
      <c r="F801" s="6">
        <v>400.0</v>
      </c>
      <c r="G801" s="5" t="s">
        <v>96</v>
      </c>
      <c r="H801" s="5" t="s">
        <v>57</v>
      </c>
      <c r="I801" s="6" t="s">
        <v>40</v>
      </c>
      <c r="J801" s="5" t="s">
        <v>8585</v>
      </c>
      <c r="K801" s="5" t="s">
        <v>8632</v>
      </c>
      <c r="L801" s="6" t="s">
        <v>42</v>
      </c>
      <c r="M801" s="5" t="s">
        <v>995</v>
      </c>
      <c r="N801" s="5" t="s">
        <v>64</v>
      </c>
      <c r="O801" s="5" t="s">
        <v>14411</v>
      </c>
      <c r="P801" s="5" t="s">
        <v>14333</v>
      </c>
      <c r="Q801" s="5" t="s">
        <v>16910</v>
      </c>
      <c r="R801" s="6">
        <v>7774.0</v>
      </c>
    </row>
    <row r="802" ht="56.25" customHeight="1">
      <c r="A802" s="5" t="s">
        <v>16888</v>
      </c>
      <c r="B802" s="6" t="str">
        <f>IMAGE("https://storage.googleapis.com/acdb/dresses/TopsTexOnepieceAlineLBorder7.png")</f>
        <v/>
      </c>
      <c r="C802" s="5" t="s">
        <v>69</v>
      </c>
      <c r="D802" s="5" t="s">
        <v>36</v>
      </c>
      <c r="E802" s="6">
        <v>1600.0</v>
      </c>
      <c r="F802" s="6">
        <v>400.0</v>
      </c>
      <c r="G802" s="5" t="s">
        <v>69</v>
      </c>
      <c r="H802" s="5" t="s">
        <v>57</v>
      </c>
      <c r="I802" s="6" t="s">
        <v>40</v>
      </c>
      <c r="J802" s="5" t="s">
        <v>8585</v>
      </c>
      <c r="K802" s="5" t="s">
        <v>8632</v>
      </c>
      <c r="L802" s="6" t="s">
        <v>42</v>
      </c>
      <c r="M802" s="5" t="s">
        <v>995</v>
      </c>
      <c r="N802" s="5" t="s">
        <v>64</v>
      </c>
      <c r="O802" s="5" t="s">
        <v>14411</v>
      </c>
      <c r="P802" s="5" t="s">
        <v>14333</v>
      </c>
      <c r="Q802" s="5" t="s">
        <v>16914</v>
      </c>
      <c r="R802" s="6">
        <v>7775.0</v>
      </c>
    </row>
    <row r="803" ht="56.25" customHeight="1">
      <c r="A803" s="5" t="s">
        <v>16915</v>
      </c>
      <c r="B803" s="6" t="str">
        <f>IMAGE("https://storage.googleapis.com/acdb/dresses/TopsTexOnepieceAlineNHalterneckstripe1.png")</f>
        <v/>
      </c>
      <c r="C803" s="5" t="s">
        <v>96</v>
      </c>
      <c r="D803" s="5" t="s">
        <v>36</v>
      </c>
      <c r="E803" s="6">
        <v>1500.0</v>
      </c>
      <c r="F803" s="6">
        <v>375.0</v>
      </c>
      <c r="G803" s="5" t="s">
        <v>96</v>
      </c>
      <c r="H803" s="5" t="s">
        <v>57</v>
      </c>
      <c r="I803" s="6" t="s">
        <v>40</v>
      </c>
      <c r="J803" s="5" t="s">
        <v>8585</v>
      </c>
      <c r="K803" s="5" t="s">
        <v>8632</v>
      </c>
      <c r="L803" s="6" t="s">
        <v>42</v>
      </c>
      <c r="M803" s="5" t="s">
        <v>1059</v>
      </c>
      <c r="N803" s="5" t="s">
        <v>64</v>
      </c>
      <c r="O803" s="5" t="s">
        <v>14411</v>
      </c>
      <c r="P803" s="5" t="s">
        <v>14412</v>
      </c>
      <c r="Q803" s="5" t="s">
        <v>16918</v>
      </c>
      <c r="R803" s="6">
        <v>7785.0</v>
      </c>
    </row>
    <row r="804" ht="56.25" customHeight="1">
      <c r="A804" s="5" t="s">
        <v>16915</v>
      </c>
      <c r="B804" s="6" t="str">
        <f>IMAGE("https://storage.googleapis.com/acdb/dresses/TopsTexOnepieceAlineNHalterneckstripe2.png")</f>
        <v/>
      </c>
      <c r="C804" s="5" t="s">
        <v>142</v>
      </c>
      <c r="D804" s="5" t="s">
        <v>36</v>
      </c>
      <c r="E804" s="6">
        <v>1500.0</v>
      </c>
      <c r="F804" s="6">
        <v>375.0</v>
      </c>
      <c r="G804" s="5" t="s">
        <v>142</v>
      </c>
      <c r="H804" s="5" t="s">
        <v>57</v>
      </c>
      <c r="I804" s="6" t="s">
        <v>40</v>
      </c>
      <c r="J804" s="5" t="s">
        <v>8585</v>
      </c>
      <c r="K804" s="5" t="s">
        <v>8632</v>
      </c>
      <c r="L804" s="6" t="s">
        <v>42</v>
      </c>
      <c r="M804" s="5" t="s">
        <v>1059</v>
      </c>
      <c r="N804" s="5" t="s">
        <v>64</v>
      </c>
      <c r="O804" s="5" t="s">
        <v>14411</v>
      </c>
      <c r="P804" s="5" t="s">
        <v>14412</v>
      </c>
      <c r="Q804" s="5" t="s">
        <v>16922</v>
      </c>
      <c r="R804" s="6">
        <v>7786.0</v>
      </c>
    </row>
    <row r="805" ht="56.25" customHeight="1">
      <c r="A805" s="5" t="s">
        <v>16915</v>
      </c>
      <c r="B805" s="6" t="str">
        <f>IMAGE("https://storage.googleapis.com/acdb/dresses/TopsTexOnepieceAlineNHalterneckstripe3.png")</f>
        <v/>
      </c>
      <c r="C805" s="5" t="s">
        <v>83</v>
      </c>
      <c r="D805" s="5" t="s">
        <v>36</v>
      </c>
      <c r="E805" s="6">
        <v>1500.0</v>
      </c>
      <c r="F805" s="6">
        <v>375.0</v>
      </c>
      <c r="G805" s="5" t="s">
        <v>83</v>
      </c>
      <c r="H805" s="5" t="s">
        <v>57</v>
      </c>
      <c r="I805" s="6" t="s">
        <v>40</v>
      </c>
      <c r="J805" s="5" t="s">
        <v>8585</v>
      </c>
      <c r="K805" s="5" t="s">
        <v>8632</v>
      </c>
      <c r="L805" s="6" t="s">
        <v>42</v>
      </c>
      <c r="M805" s="5" t="s">
        <v>1059</v>
      </c>
      <c r="N805" s="5" t="s">
        <v>64</v>
      </c>
      <c r="O805" s="5" t="s">
        <v>14411</v>
      </c>
      <c r="P805" s="5" t="s">
        <v>14412</v>
      </c>
      <c r="Q805" s="5" t="s">
        <v>16925</v>
      </c>
      <c r="R805" s="6">
        <v>7787.0</v>
      </c>
    </row>
    <row r="806" ht="56.25" customHeight="1">
      <c r="A806" s="5" t="s">
        <v>16915</v>
      </c>
      <c r="B806" s="6" t="str">
        <f>IMAGE("https://storage.googleapis.com/acdb/dresses/TopsTexOnepieceAlineNHalterneckstripe0.png")</f>
        <v/>
      </c>
      <c r="C806" s="5" t="s">
        <v>69</v>
      </c>
      <c r="D806" s="5" t="s">
        <v>36</v>
      </c>
      <c r="E806" s="6">
        <v>1500.0</v>
      </c>
      <c r="F806" s="6">
        <v>375.0</v>
      </c>
      <c r="G806" s="5" t="s">
        <v>69</v>
      </c>
      <c r="H806" s="5" t="s">
        <v>57</v>
      </c>
      <c r="I806" s="6" t="s">
        <v>40</v>
      </c>
      <c r="J806" s="5" t="s">
        <v>8585</v>
      </c>
      <c r="K806" s="5" t="s">
        <v>8632</v>
      </c>
      <c r="L806" s="6" t="s">
        <v>42</v>
      </c>
      <c r="M806" s="5" t="s">
        <v>1059</v>
      </c>
      <c r="N806" s="5" t="s">
        <v>64</v>
      </c>
      <c r="O806" s="5" t="s">
        <v>14411</v>
      </c>
      <c r="P806" s="5" t="s">
        <v>14412</v>
      </c>
      <c r="Q806" s="5" t="s">
        <v>16928</v>
      </c>
      <c r="R806" s="6">
        <v>4290.0</v>
      </c>
    </row>
    <row r="807" ht="56.25" customHeight="1">
      <c r="A807" s="5" t="s">
        <v>16930</v>
      </c>
      <c r="B807" s="6" t="str">
        <f>IMAGE("https://storage.googleapis.com/acdb/dresses/TopsTexOnepieceAlongNStripe0.png")</f>
        <v/>
      </c>
      <c r="C807" s="5" t="s">
        <v>52</v>
      </c>
      <c r="D807" s="5" t="s">
        <v>36</v>
      </c>
      <c r="E807" s="6">
        <v>1400.0</v>
      </c>
      <c r="F807" s="6">
        <v>350.0</v>
      </c>
      <c r="G807" s="5" t="s">
        <v>52</v>
      </c>
      <c r="H807" s="5" t="s">
        <v>83</v>
      </c>
      <c r="I807" s="6" t="s">
        <v>40</v>
      </c>
      <c r="J807" s="5" t="s">
        <v>8585</v>
      </c>
      <c r="K807" s="5" t="s">
        <v>8632</v>
      </c>
      <c r="L807" s="6" t="s">
        <v>42</v>
      </c>
      <c r="M807" s="5" t="s">
        <v>1059</v>
      </c>
      <c r="N807" s="5" t="s">
        <v>64</v>
      </c>
      <c r="O807" s="5" t="s">
        <v>14574</v>
      </c>
      <c r="P807" s="5" t="s">
        <v>14412</v>
      </c>
      <c r="Q807" s="5" t="s">
        <v>16934</v>
      </c>
      <c r="R807" s="6">
        <v>4729.0</v>
      </c>
    </row>
    <row r="808" ht="56.25" customHeight="1">
      <c r="A808" s="5" t="s">
        <v>16930</v>
      </c>
      <c r="B808" s="6" t="str">
        <f>IMAGE("https://storage.googleapis.com/acdb/dresses/TopsTexOnepieceAlongNStripe1.png")</f>
        <v/>
      </c>
      <c r="C808" s="5" t="s">
        <v>68</v>
      </c>
      <c r="D808" s="5" t="s">
        <v>36</v>
      </c>
      <c r="E808" s="6">
        <v>1400.0</v>
      </c>
      <c r="F808" s="6">
        <v>350.0</v>
      </c>
      <c r="G808" s="5" t="s">
        <v>68</v>
      </c>
      <c r="H808" s="5" t="s">
        <v>106</v>
      </c>
      <c r="I808" s="6" t="s">
        <v>40</v>
      </c>
      <c r="J808" s="5" t="s">
        <v>8585</v>
      </c>
      <c r="K808" s="5" t="s">
        <v>8632</v>
      </c>
      <c r="L808" s="6" t="s">
        <v>42</v>
      </c>
      <c r="M808" s="5" t="s">
        <v>1059</v>
      </c>
      <c r="N808" s="5" t="s">
        <v>64</v>
      </c>
      <c r="O808" s="5" t="s">
        <v>14574</v>
      </c>
      <c r="P808" s="5" t="s">
        <v>14412</v>
      </c>
      <c r="Q808" s="5" t="s">
        <v>16939</v>
      </c>
      <c r="R808" s="6">
        <v>7782.0</v>
      </c>
    </row>
    <row r="809" ht="56.25" customHeight="1">
      <c r="A809" s="5" t="s">
        <v>16930</v>
      </c>
      <c r="B809" s="6" t="str">
        <f>IMAGE("https://storage.googleapis.com/acdb/dresses/TopsTexOnepieceAlongNStripe2.png")</f>
        <v/>
      </c>
      <c r="C809" s="5" t="s">
        <v>96</v>
      </c>
      <c r="D809" s="5" t="s">
        <v>36</v>
      </c>
      <c r="E809" s="6">
        <v>1400.0</v>
      </c>
      <c r="F809" s="6">
        <v>350.0</v>
      </c>
      <c r="G809" s="5" t="s">
        <v>96</v>
      </c>
      <c r="H809" s="5" t="s">
        <v>69</v>
      </c>
      <c r="I809" s="6" t="s">
        <v>40</v>
      </c>
      <c r="J809" s="5" t="s">
        <v>8585</v>
      </c>
      <c r="K809" s="5" t="s">
        <v>8632</v>
      </c>
      <c r="L809" s="6" t="s">
        <v>42</v>
      </c>
      <c r="M809" s="5" t="s">
        <v>1059</v>
      </c>
      <c r="N809" s="5" t="s">
        <v>64</v>
      </c>
      <c r="O809" s="5" t="s">
        <v>14574</v>
      </c>
      <c r="P809" s="5" t="s">
        <v>14412</v>
      </c>
      <c r="Q809" s="5" t="s">
        <v>16944</v>
      </c>
      <c r="R809" s="6">
        <v>7783.0</v>
      </c>
    </row>
    <row r="810" ht="56.25" customHeight="1">
      <c r="A810" s="5" t="s">
        <v>16930</v>
      </c>
      <c r="B810" s="6" t="str">
        <f>IMAGE("https://storage.googleapis.com/acdb/dresses/TopsTexOnepieceAlongNStripe3.png")</f>
        <v/>
      </c>
      <c r="C810" s="5" t="s">
        <v>142</v>
      </c>
      <c r="D810" s="5" t="s">
        <v>36</v>
      </c>
      <c r="E810" s="6">
        <v>1400.0</v>
      </c>
      <c r="F810" s="6">
        <v>350.0</v>
      </c>
      <c r="G810" s="5" t="s">
        <v>142</v>
      </c>
      <c r="H810" s="5" t="s">
        <v>83</v>
      </c>
      <c r="I810" s="6" t="s">
        <v>40</v>
      </c>
      <c r="J810" s="5" t="s">
        <v>8585</v>
      </c>
      <c r="K810" s="5" t="s">
        <v>8632</v>
      </c>
      <c r="L810" s="6" t="s">
        <v>42</v>
      </c>
      <c r="M810" s="5" t="s">
        <v>1059</v>
      </c>
      <c r="N810" s="5" t="s">
        <v>64</v>
      </c>
      <c r="O810" s="5" t="s">
        <v>14574</v>
      </c>
      <c r="P810" s="5" t="s">
        <v>14412</v>
      </c>
      <c r="Q810" s="5" t="s">
        <v>16949</v>
      </c>
      <c r="R810" s="6">
        <v>7784.0</v>
      </c>
    </row>
    <row r="811" ht="56.25" customHeight="1">
      <c r="A811" s="5" t="s">
        <v>16950</v>
      </c>
      <c r="B811" s="6" t="str">
        <f>IMAGE("https://storage.googleapis.com/acdb/dresses/TopsTexOnepieceSalopetteLAllinone0.png")</f>
        <v/>
      </c>
      <c r="C811" s="5" t="s">
        <v>54</v>
      </c>
      <c r="D811" s="5" t="s">
        <v>36</v>
      </c>
      <c r="E811" s="6">
        <v>2100.0</v>
      </c>
      <c r="F811" s="6">
        <v>525.0</v>
      </c>
      <c r="G811" s="5" t="s">
        <v>54</v>
      </c>
      <c r="H811" s="5" t="s">
        <v>57</v>
      </c>
      <c r="I811" s="6" t="s">
        <v>40</v>
      </c>
      <c r="J811" s="5" t="s">
        <v>8585</v>
      </c>
      <c r="K811" s="5" t="s">
        <v>8632</v>
      </c>
      <c r="L811" s="6" t="s">
        <v>42</v>
      </c>
      <c r="M811" s="5" t="s">
        <v>1059</v>
      </c>
      <c r="N811" s="5" t="s">
        <v>64</v>
      </c>
      <c r="O811" s="5" t="s">
        <v>15229</v>
      </c>
      <c r="P811" s="5" t="s">
        <v>14333</v>
      </c>
      <c r="Q811" s="5" t="s">
        <v>16952</v>
      </c>
      <c r="R811" s="6">
        <v>5350.0</v>
      </c>
    </row>
    <row r="812" ht="56.25" customHeight="1">
      <c r="A812" s="5" t="s">
        <v>16950</v>
      </c>
      <c r="B812" s="6" t="str">
        <f>IMAGE("https://storage.googleapis.com/acdb/dresses/TopsTexOnepieceSalopetteLAllinone1.png")</f>
        <v/>
      </c>
      <c r="C812" s="5" t="s">
        <v>95</v>
      </c>
      <c r="D812" s="5" t="s">
        <v>36</v>
      </c>
      <c r="E812" s="6">
        <v>2100.0</v>
      </c>
      <c r="F812" s="6">
        <v>525.0</v>
      </c>
      <c r="G812" s="5" t="s">
        <v>95</v>
      </c>
      <c r="H812" s="5" t="s">
        <v>57</v>
      </c>
      <c r="I812" s="6" t="s">
        <v>40</v>
      </c>
      <c r="J812" s="5" t="s">
        <v>8585</v>
      </c>
      <c r="K812" s="5" t="s">
        <v>8632</v>
      </c>
      <c r="L812" s="6" t="s">
        <v>42</v>
      </c>
      <c r="M812" s="5" t="s">
        <v>1059</v>
      </c>
      <c r="N812" s="5" t="s">
        <v>64</v>
      </c>
      <c r="O812" s="5" t="s">
        <v>15229</v>
      </c>
      <c r="P812" s="5" t="s">
        <v>14333</v>
      </c>
      <c r="Q812" s="5" t="s">
        <v>16955</v>
      </c>
      <c r="R812" s="6">
        <v>9039.0</v>
      </c>
    </row>
    <row r="813" ht="56.25" customHeight="1">
      <c r="A813" s="5" t="s">
        <v>16950</v>
      </c>
      <c r="B813" s="6" t="str">
        <f>IMAGE("https://storage.googleapis.com/acdb/dresses/TopsTexOnepieceSalopetteLAllinone2.png")</f>
        <v/>
      </c>
      <c r="C813" s="5" t="s">
        <v>38</v>
      </c>
      <c r="D813" s="5" t="s">
        <v>36</v>
      </c>
      <c r="E813" s="6">
        <v>2100.0</v>
      </c>
      <c r="F813" s="6">
        <v>525.0</v>
      </c>
      <c r="G813" s="5" t="s">
        <v>38</v>
      </c>
      <c r="H813" s="5" t="s">
        <v>57</v>
      </c>
      <c r="I813" s="6" t="s">
        <v>40</v>
      </c>
      <c r="J813" s="5" t="s">
        <v>8585</v>
      </c>
      <c r="K813" s="5" t="s">
        <v>8632</v>
      </c>
      <c r="L813" s="6" t="s">
        <v>42</v>
      </c>
      <c r="M813" s="5" t="s">
        <v>1059</v>
      </c>
      <c r="N813" s="5" t="s">
        <v>64</v>
      </c>
      <c r="O813" s="5" t="s">
        <v>15229</v>
      </c>
      <c r="P813" s="5" t="s">
        <v>14333</v>
      </c>
      <c r="Q813" s="5" t="s">
        <v>16957</v>
      </c>
      <c r="R813" s="6">
        <v>9040.0</v>
      </c>
    </row>
    <row r="814" ht="56.25" customHeight="1">
      <c r="A814" s="5" t="s">
        <v>16950</v>
      </c>
      <c r="B814" s="6" t="str">
        <f>IMAGE("https://storage.googleapis.com/acdb/dresses/TopsTexOnepieceSalopetteLAllinone3.png")</f>
        <v/>
      </c>
      <c r="C814" s="5" t="s">
        <v>2222</v>
      </c>
      <c r="D814" s="5" t="s">
        <v>36</v>
      </c>
      <c r="E814" s="6">
        <v>2100.0</v>
      </c>
      <c r="F814" s="6">
        <v>525.0</v>
      </c>
      <c r="G814" s="5" t="s">
        <v>96</v>
      </c>
      <c r="H814" s="5" t="s">
        <v>57</v>
      </c>
      <c r="I814" s="6" t="s">
        <v>40</v>
      </c>
      <c r="J814" s="5" t="s">
        <v>8585</v>
      </c>
      <c r="K814" s="5" t="s">
        <v>8632</v>
      </c>
      <c r="L814" s="6" t="s">
        <v>42</v>
      </c>
      <c r="M814" s="5" t="s">
        <v>1059</v>
      </c>
      <c r="N814" s="5" t="s">
        <v>64</v>
      </c>
      <c r="O814" s="5" t="s">
        <v>15229</v>
      </c>
      <c r="P814" s="5" t="s">
        <v>14333</v>
      </c>
      <c r="Q814" s="5" t="s">
        <v>16960</v>
      </c>
      <c r="R814" s="6">
        <v>9041.0</v>
      </c>
    </row>
    <row r="815" ht="56.25" customHeight="1">
      <c r="A815" s="5" t="s">
        <v>16950</v>
      </c>
      <c r="B815" s="6" t="str">
        <f>IMAGE("https://storage.googleapis.com/acdb/dresses/TopsTexOnepieceSalopetteLAllinone4.png")</f>
        <v/>
      </c>
      <c r="C815" s="5" t="s">
        <v>69</v>
      </c>
      <c r="D815" s="5" t="s">
        <v>36</v>
      </c>
      <c r="E815" s="6">
        <v>2100.0</v>
      </c>
      <c r="F815" s="6">
        <v>525.0</v>
      </c>
      <c r="G815" s="5" t="s">
        <v>69</v>
      </c>
      <c r="H815" s="5" t="s">
        <v>57</v>
      </c>
      <c r="I815" s="6" t="s">
        <v>40</v>
      </c>
      <c r="J815" s="5" t="s">
        <v>8585</v>
      </c>
      <c r="K815" s="5" t="s">
        <v>8632</v>
      </c>
      <c r="L815" s="6" t="s">
        <v>42</v>
      </c>
      <c r="M815" s="5" t="s">
        <v>1059</v>
      </c>
      <c r="N815" s="5" t="s">
        <v>64</v>
      </c>
      <c r="O815" s="5" t="s">
        <v>15229</v>
      </c>
      <c r="P815" s="5" t="s">
        <v>14333</v>
      </c>
      <c r="Q815" s="5" t="s">
        <v>16963</v>
      </c>
      <c r="R815" s="6">
        <v>9042.0</v>
      </c>
    </row>
    <row r="816" ht="56.25" customHeight="1">
      <c r="A816" s="5" t="s">
        <v>16964</v>
      </c>
      <c r="B816" s="6" t="str">
        <f>IMAGE("https://storage.googleapis.com/acdb/dresses/TopsTexOnepieceOverallLBull3.png")</f>
        <v/>
      </c>
      <c r="C816" s="5" t="s">
        <v>96</v>
      </c>
      <c r="D816" s="5" t="s">
        <v>36</v>
      </c>
      <c r="E816" s="6">
        <v>2520.0</v>
      </c>
      <c r="F816" s="6">
        <v>630.0</v>
      </c>
      <c r="G816" s="5" t="s">
        <v>96</v>
      </c>
      <c r="H816" s="5" t="s">
        <v>114</v>
      </c>
      <c r="I816" s="6" t="s">
        <v>40</v>
      </c>
      <c r="J816" s="5" t="s">
        <v>8585</v>
      </c>
      <c r="K816" s="5" t="s">
        <v>8586</v>
      </c>
      <c r="L816" s="6" t="s">
        <v>42</v>
      </c>
      <c r="M816" s="5" t="s">
        <v>8746</v>
      </c>
      <c r="N816" s="5" t="s">
        <v>64</v>
      </c>
      <c r="O816" s="5" t="s">
        <v>14358</v>
      </c>
      <c r="P816" s="5" t="s">
        <v>14333</v>
      </c>
      <c r="Q816" s="5" t="s">
        <v>16966</v>
      </c>
      <c r="R816" s="6">
        <v>9510.0</v>
      </c>
    </row>
    <row r="817" ht="56.25" customHeight="1">
      <c r="A817" s="5" t="s">
        <v>16964</v>
      </c>
      <c r="B817" s="6" t="str">
        <f>IMAGE("https://storage.googleapis.com/acdb/dresses/TopsTexOnepieceOverallLBull4.png")</f>
        <v/>
      </c>
      <c r="C817" s="5" t="s">
        <v>69</v>
      </c>
      <c r="D817" s="5" t="s">
        <v>36</v>
      </c>
      <c r="E817" s="6">
        <v>2520.0</v>
      </c>
      <c r="F817" s="6">
        <v>630.0</v>
      </c>
      <c r="G817" s="5" t="s">
        <v>69</v>
      </c>
      <c r="H817" s="5" t="s">
        <v>114</v>
      </c>
      <c r="I817" s="6" t="s">
        <v>40</v>
      </c>
      <c r="J817" s="5" t="s">
        <v>8585</v>
      </c>
      <c r="K817" s="5" t="s">
        <v>8586</v>
      </c>
      <c r="L817" s="6" t="s">
        <v>42</v>
      </c>
      <c r="M817" s="5" t="s">
        <v>8746</v>
      </c>
      <c r="N817" s="5" t="s">
        <v>64</v>
      </c>
      <c r="O817" s="5" t="s">
        <v>14358</v>
      </c>
      <c r="P817" s="5" t="s">
        <v>14333</v>
      </c>
      <c r="Q817" s="5" t="s">
        <v>16968</v>
      </c>
      <c r="R817" s="6">
        <v>9511.0</v>
      </c>
    </row>
    <row r="818" ht="56.25" customHeight="1">
      <c r="A818" s="5" t="s">
        <v>16964</v>
      </c>
      <c r="B818" s="6" t="str">
        <f>IMAGE("https://storage.googleapis.com/acdb/dresses/TopsTexOnepieceOverallLBull0.png")</f>
        <v/>
      </c>
      <c r="C818" s="5" t="s">
        <v>54</v>
      </c>
      <c r="D818" s="5" t="s">
        <v>36</v>
      </c>
      <c r="E818" s="6">
        <v>2520.0</v>
      </c>
      <c r="F818" s="6">
        <v>630.0</v>
      </c>
      <c r="G818" s="5" t="s">
        <v>54</v>
      </c>
      <c r="H818" s="5" t="s">
        <v>114</v>
      </c>
      <c r="I818" s="6" t="s">
        <v>40</v>
      </c>
      <c r="J818" s="5" t="s">
        <v>8585</v>
      </c>
      <c r="K818" s="5" t="s">
        <v>8586</v>
      </c>
      <c r="L818" s="6" t="s">
        <v>42</v>
      </c>
      <c r="M818" s="5" t="s">
        <v>8746</v>
      </c>
      <c r="N818" s="5" t="s">
        <v>64</v>
      </c>
      <c r="O818" s="5" t="s">
        <v>14358</v>
      </c>
      <c r="P818" s="5" t="s">
        <v>14333</v>
      </c>
      <c r="Q818" s="5" t="s">
        <v>16973</v>
      </c>
      <c r="R818" s="6">
        <v>3613.0</v>
      </c>
    </row>
    <row r="819" ht="56.25" customHeight="1">
      <c r="A819" s="5" t="s">
        <v>16964</v>
      </c>
      <c r="B819" s="6" t="str">
        <f>IMAGE("https://storage.googleapis.com/acdb/dresses/TopsTexOnepieceOverallLBull1.png")</f>
        <v/>
      </c>
      <c r="C819" s="5" t="s">
        <v>52</v>
      </c>
      <c r="D819" s="5" t="s">
        <v>36</v>
      </c>
      <c r="E819" s="6">
        <v>2520.0</v>
      </c>
      <c r="F819" s="6">
        <v>630.0</v>
      </c>
      <c r="G819" s="5" t="s">
        <v>52</v>
      </c>
      <c r="H819" s="5" t="s">
        <v>114</v>
      </c>
      <c r="I819" s="6" t="s">
        <v>40</v>
      </c>
      <c r="J819" s="5" t="s">
        <v>8585</v>
      </c>
      <c r="K819" s="5" t="s">
        <v>8586</v>
      </c>
      <c r="L819" s="6" t="s">
        <v>42</v>
      </c>
      <c r="M819" s="5" t="s">
        <v>8746</v>
      </c>
      <c r="N819" s="5" t="s">
        <v>64</v>
      </c>
      <c r="O819" s="5" t="s">
        <v>14358</v>
      </c>
      <c r="P819" s="5" t="s">
        <v>14333</v>
      </c>
      <c r="Q819" s="5" t="s">
        <v>16979</v>
      </c>
      <c r="R819" s="6">
        <v>9508.0</v>
      </c>
    </row>
    <row r="820" ht="56.25" customHeight="1">
      <c r="A820" s="5" t="s">
        <v>16964</v>
      </c>
      <c r="B820" s="6" t="str">
        <f>IMAGE("https://storage.googleapis.com/acdb/dresses/TopsTexOnepieceOverallLBull2.png")</f>
        <v/>
      </c>
      <c r="C820" s="5" t="s">
        <v>68</v>
      </c>
      <c r="D820" s="5" t="s">
        <v>36</v>
      </c>
      <c r="E820" s="6">
        <v>2520.0</v>
      </c>
      <c r="F820" s="6">
        <v>630.0</v>
      </c>
      <c r="G820" s="5" t="s">
        <v>68</v>
      </c>
      <c r="H820" s="5" t="s">
        <v>114</v>
      </c>
      <c r="I820" s="6" t="s">
        <v>40</v>
      </c>
      <c r="J820" s="5" t="s">
        <v>8585</v>
      </c>
      <c r="K820" s="5" t="s">
        <v>8586</v>
      </c>
      <c r="L820" s="6" t="s">
        <v>42</v>
      </c>
      <c r="M820" s="5" t="s">
        <v>8746</v>
      </c>
      <c r="N820" s="5" t="s">
        <v>64</v>
      </c>
      <c r="O820" s="5" t="s">
        <v>14358</v>
      </c>
      <c r="P820" s="5" t="s">
        <v>14333</v>
      </c>
      <c r="Q820" s="5" t="s">
        <v>16982</v>
      </c>
      <c r="R820" s="6">
        <v>9509.0</v>
      </c>
    </row>
    <row r="821" ht="56.25" customHeight="1">
      <c r="A821" s="5" t="s">
        <v>16983</v>
      </c>
      <c r="B821" s="6" t="str">
        <f>IMAGE("https://storage.googleapis.com/acdb/dresses/TopsTexOnepieceOverallLHighcollar2.png")</f>
        <v/>
      </c>
      <c r="C821" s="5" t="s">
        <v>57</v>
      </c>
      <c r="D821" s="5" t="s">
        <v>36</v>
      </c>
      <c r="E821" s="6">
        <v>1800.0</v>
      </c>
      <c r="F821" s="6">
        <v>450.0</v>
      </c>
      <c r="G821" s="5" t="s">
        <v>57</v>
      </c>
      <c r="H821" s="5" t="s">
        <v>57</v>
      </c>
      <c r="I821" s="6" t="s">
        <v>40</v>
      </c>
      <c r="J821" s="5" t="s">
        <v>8585</v>
      </c>
      <c r="K821" s="5" t="s">
        <v>8586</v>
      </c>
      <c r="L821" s="6" t="s">
        <v>42</v>
      </c>
      <c r="M821" s="5" t="s">
        <v>1952</v>
      </c>
      <c r="N821" s="5" t="s">
        <v>64</v>
      </c>
      <c r="O821" s="5" t="s">
        <v>14358</v>
      </c>
      <c r="P821" s="5" t="s">
        <v>14333</v>
      </c>
      <c r="Q821" s="5" t="s">
        <v>16985</v>
      </c>
      <c r="R821" s="6">
        <v>7570.0</v>
      </c>
    </row>
    <row r="822" ht="56.25" customHeight="1">
      <c r="A822" s="5" t="s">
        <v>16983</v>
      </c>
      <c r="B822" s="6" t="str">
        <f>IMAGE("https://storage.googleapis.com/acdb/dresses/TopsTexOnepieceOverallLHighcollar3.png")</f>
        <v/>
      </c>
      <c r="C822" s="5" t="s">
        <v>38</v>
      </c>
      <c r="D822" s="5" t="s">
        <v>36</v>
      </c>
      <c r="E822" s="6">
        <v>1800.0</v>
      </c>
      <c r="F822" s="6">
        <v>450.0</v>
      </c>
      <c r="G822" s="5" t="s">
        <v>38</v>
      </c>
      <c r="H822" s="5" t="s">
        <v>38</v>
      </c>
      <c r="I822" s="6" t="s">
        <v>40</v>
      </c>
      <c r="J822" s="5" t="s">
        <v>8585</v>
      </c>
      <c r="K822" s="5" t="s">
        <v>8586</v>
      </c>
      <c r="L822" s="6" t="s">
        <v>42</v>
      </c>
      <c r="M822" s="5" t="s">
        <v>1952</v>
      </c>
      <c r="N822" s="5" t="s">
        <v>64</v>
      </c>
      <c r="O822" s="5" t="s">
        <v>14358</v>
      </c>
      <c r="P822" s="5" t="s">
        <v>14333</v>
      </c>
      <c r="Q822" s="5" t="s">
        <v>16988</v>
      </c>
      <c r="R822" s="6">
        <v>7571.0</v>
      </c>
    </row>
    <row r="823" ht="56.25" customHeight="1">
      <c r="A823" s="5" t="s">
        <v>16983</v>
      </c>
      <c r="B823" s="6" t="str">
        <f>IMAGE("https://storage.googleapis.com/acdb/dresses/TopsTexOnepieceOverallLHighcollar0.png")</f>
        <v/>
      </c>
      <c r="C823" s="5" t="s">
        <v>54</v>
      </c>
      <c r="D823" s="5" t="s">
        <v>36</v>
      </c>
      <c r="E823" s="6">
        <v>1800.0</v>
      </c>
      <c r="F823" s="6">
        <v>450.0</v>
      </c>
      <c r="G823" s="5" t="s">
        <v>54</v>
      </c>
      <c r="H823" s="5" t="s">
        <v>54</v>
      </c>
      <c r="I823" s="6" t="s">
        <v>40</v>
      </c>
      <c r="J823" s="5" t="s">
        <v>8585</v>
      </c>
      <c r="K823" s="5" t="s">
        <v>8586</v>
      </c>
      <c r="L823" s="6" t="s">
        <v>42</v>
      </c>
      <c r="M823" s="5" t="s">
        <v>1952</v>
      </c>
      <c r="N823" s="5" t="s">
        <v>64</v>
      </c>
      <c r="O823" s="5" t="s">
        <v>14358</v>
      </c>
      <c r="P823" s="5" t="s">
        <v>14333</v>
      </c>
      <c r="Q823" s="5" t="s">
        <v>16991</v>
      </c>
      <c r="R823" s="6">
        <v>5653.0</v>
      </c>
    </row>
    <row r="824" ht="56.25" customHeight="1">
      <c r="A824" s="5" t="s">
        <v>16983</v>
      </c>
      <c r="B824" s="6" t="str">
        <f>IMAGE("https://storage.googleapis.com/acdb/dresses/TopsTexOnepieceOverallLHighcollar1.png")</f>
        <v/>
      </c>
      <c r="C824" s="5" t="s">
        <v>2222</v>
      </c>
      <c r="D824" s="5" t="s">
        <v>36</v>
      </c>
      <c r="E824" s="6">
        <v>1800.0</v>
      </c>
      <c r="F824" s="6">
        <v>450.0</v>
      </c>
      <c r="G824" s="5" t="s">
        <v>96</v>
      </c>
      <c r="H824" s="5" t="s">
        <v>96</v>
      </c>
      <c r="I824" s="6" t="s">
        <v>40</v>
      </c>
      <c r="J824" s="5" t="s">
        <v>8585</v>
      </c>
      <c r="K824" s="5" t="s">
        <v>8586</v>
      </c>
      <c r="L824" s="6" t="s">
        <v>42</v>
      </c>
      <c r="M824" s="5" t="s">
        <v>1952</v>
      </c>
      <c r="N824" s="5" t="s">
        <v>64</v>
      </c>
      <c r="O824" s="5" t="s">
        <v>14358</v>
      </c>
      <c r="P824" s="5" t="s">
        <v>14333</v>
      </c>
      <c r="Q824" s="5" t="s">
        <v>16996</v>
      </c>
      <c r="R824" s="6">
        <v>7569.0</v>
      </c>
    </row>
    <row r="825" ht="56.25" customHeight="1">
      <c r="A825" s="5" t="s">
        <v>16997</v>
      </c>
      <c r="B825" s="6" t="str">
        <f>IMAGE("https://storage.googleapis.com/acdb/dresses/TopsTexOnepieceBalloonNSunflower0.png")</f>
        <v/>
      </c>
      <c r="C825" s="5" t="s">
        <v>57</v>
      </c>
      <c r="D825" s="5" t="s">
        <v>36</v>
      </c>
      <c r="E825" s="6">
        <v>1500.0</v>
      </c>
      <c r="F825" s="6">
        <v>375.0</v>
      </c>
      <c r="G825" s="5" t="s">
        <v>57</v>
      </c>
      <c r="H825" s="5" t="s">
        <v>114</v>
      </c>
      <c r="I825" s="6" t="s">
        <v>40</v>
      </c>
      <c r="J825" s="5" t="s">
        <v>8585</v>
      </c>
      <c r="K825" s="5" t="s">
        <v>8632</v>
      </c>
      <c r="L825" s="6" t="s">
        <v>42</v>
      </c>
      <c r="M825" s="5" t="s">
        <v>1959</v>
      </c>
      <c r="N825" s="5" t="s">
        <v>64</v>
      </c>
      <c r="O825" s="5" t="s">
        <v>14344</v>
      </c>
      <c r="P825" s="5" t="s">
        <v>14412</v>
      </c>
      <c r="Q825" s="5" t="s">
        <v>17000</v>
      </c>
      <c r="R825" s="6">
        <v>4432.0</v>
      </c>
    </row>
    <row r="826" ht="56.25" customHeight="1">
      <c r="A826" s="5" t="s">
        <v>16997</v>
      </c>
      <c r="B826" s="6" t="str">
        <f>IMAGE("https://storage.googleapis.com/acdb/dresses/TopsTexOnepieceBalloonNSunflower1.png")</f>
        <v/>
      </c>
      <c r="C826" s="5" t="s">
        <v>142</v>
      </c>
      <c r="D826" s="5" t="s">
        <v>36</v>
      </c>
      <c r="E826" s="6">
        <v>1500.0</v>
      </c>
      <c r="F826" s="6">
        <v>375.0</v>
      </c>
      <c r="G826" s="5" t="s">
        <v>142</v>
      </c>
      <c r="H826" s="5" t="s">
        <v>114</v>
      </c>
      <c r="I826" s="6" t="s">
        <v>40</v>
      </c>
      <c r="J826" s="5" t="s">
        <v>8585</v>
      </c>
      <c r="K826" s="5" t="s">
        <v>8632</v>
      </c>
      <c r="L826" s="6" t="s">
        <v>42</v>
      </c>
      <c r="M826" s="5" t="s">
        <v>1959</v>
      </c>
      <c r="N826" s="5" t="s">
        <v>64</v>
      </c>
      <c r="O826" s="5" t="s">
        <v>14344</v>
      </c>
      <c r="P826" s="5" t="s">
        <v>14412</v>
      </c>
      <c r="Q826" s="5" t="s">
        <v>17008</v>
      </c>
      <c r="R826" s="6">
        <v>9428.0</v>
      </c>
    </row>
    <row r="827" ht="56.25" customHeight="1">
      <c r="A827" s="5" t="s">
        <v>16997</v>
      </c>
      <c r="B827" s="6" t="str">
        <f>IMAGE("https://storage.googleapis.com/acdb/dresses/TopsTexOnepieceBalloonNSunflower2.png")</f>
        <v/>
      </c>
      <c r="C827" s="5" t="s">
        <v>1187</v>
      </c>
      <c r="D827" s="5" t="s">
        <v>36</v>
      </c>
      <c r="E827" s="6">
        <v>1500.0</v>
      </c>
      <c r="F827" s="6">
        <v>375.0</v>
      </c>
      <c r="G827" s="5" t="s">
        <v>68</v>
      </c>
      <c r="H827" s="5" t="s">
        <v>114</v>
      </c>
      <c r="I827" s="6" t="s">
        <v>40</v>
      </c>
      <c r="J827" s="5" t="s">
        <v>8585</v>
      </c>
      <c r="K827" s="5" t="s">
        <v>8632</v>
      </c>
      <c r="L827" s="6" t="s">
        <v>42</v>
      </c>
      <c r="M827" s="5" t="s">
        <v>1959</v>
      </c>
      <c r="N827" s="5" t="s">
        <v>64</v>
      </c>
      <c r="O827" s="5" t="s">
        <v>14344</v>
      </c>
      <c r="P827" s="5" t="s">
        <v>14412</v>
      </c>
      <c r="Q827" s="5" t="s">
        <v>17011</v>
      </c>
      <c r="R827" s="6">
        <v>9429.0</v>
      </c>
    </row>
    <row r="828" ht="56.25" customHeight="1">
      <c r="A828" s="5" t="s">
        <v>17012</v>
      </c>
      <c r="B828" s="6" t="str">
        <f>IMAGE("https://storage.googleapis.com/acdb/dresses/TopsTexOnepieceOverallLSuper0.png")</f>
        <v/>
      </c>
      <c r="C828" s="5" t="s">
        <v>68</v>
      </c>
      <c r="D828" s="5" t="s">
        <v>36</v>
      </c>
      <c r="E828" s="6">
        <v>3640.0</v>
      </c>
      <c r="F828" s="6">
        <v>910.0</v>
      </c>
      <c r="G828" s="5" t="s">
        <v>68</v>
      </c>
      <c r="H828" s="5" t="s">
        <v>52</v>
      </c>
      <c r="I828" s="6" t="s">
        <v>40</v>
      </c>
      <c r="J828" s="5" t="s">
        <v>8585</v>
      </c>
      <c r="K828" s="5" t="s">
        <v>8586</v>
      </c>
      <c r="L828" s="6" t="s">
        <v>42</v>
      </c>
      <c r="M828" s="5" t="s">
        <v>8746</v>
      </c>
      <c r="N828" s="5" t="s">
        <v>64</v>
      </c>
      <c r="O828" s="5" t="s">
        <v>14358</v>
      </c>
      <c r="P828" s="5" t="s">
        <v>14333</v>
      </c>
      <c r="Q828" s="5" t="s">
        <v>17015</v>
      </c>
      <c r="R828" s="6">
        <v>4475.0</v>
      </c>
    </row>
    <row r="829" ht="56.25" customHeight="1">
      <c r="A829" s="5" t="s">
        <v>17012</v>
      </c>
      <c r="B829" s="6" t="str">
        <f>IMAGE("https://storage.googleapis.com/acdb/dresses/TopsTexOnepieceOverallLSuper1.png")</f>
        <v/>
      </c>
      <c r="C829" s="5" t="s">
        <v>52</v>
      </c>
      <c r="D829" s="5" t="s">
        <v>36</v>
      </c>
      <c r="E829" s="6">
        <v>3640.0</v>
      </c>
      <c r="F829" s="6">
        <v>910.0</v>
      </c>
      <c r="G829" s="5" t="s">
        <v>52</v>
      </c>
      <c r="H829" s="5" t="s">
        <v>54</v>
      </c>
      <c r="I829" s="6" t="s">
        <v>40</v>
      </c>
      <c r="J829" s="5" t="s">
        <v>8585</v>
      </c>
      <c r="K829" s="5" t="s">
        <v>8586</v>
      </c>
      <c r="L829" s="6" t="s">
        <v>42</v>
      </c>
      <c r="M829" s="5" t="s">
        <v>8746</v>
      </c>
      <c r="N829" s="5" t="s">
        <v>64</v>
      </c>
      <c r="O829" s="5" t="s">
        <v>14358</v>
      </c>
      <c r="P829" s="5" t="s">
        <v>14333</v>
      </c>
      <c r="Q829" s="5" t="s">
        <v>17019</v>
      </c>
      <c r="R829" s="6">
        <v>9493.0</v>
      </c>
    </row>
    <row r="830" ht="56.25" customHeight="1">
      <c r="A830" s="5" t="s">
        <v>17012</v>
      </c>
      <c r="B830" s="6" t="str">
        <f>IMAGE("https://storage.googleapis.com/acdb/dresses/TopsTexOnepieceOverallLSuper2.png")</f>
        <v/>
      </c>
      <c r="C830" s="5" t="s">
        <v>54</v>
      </c>
      <c r="D830" s="5" t="s">
        <v>36</v>
      </c>
      <c r="E830" s="6">
        <v>3640.0</v>
      </c>
      <c r="F830" s="6">
        <v>910.0</v>
      </c>
      <c r="G830" s="5" t="s">
        <v>95</v>
      </c>
      <c r="H830" s="5" t="s">
        <v>54</v>
      </c>
      <c r="I830" s="6" t="s">
        <v>40</v>
      </c>
      <c r="J830" s="5" t="s">
        <v>8585</v>
      </c>
      <c r="K830" s="5" t="s">
        <v>8586</v>
      </c>
      <c r="L830" s="6" t="s">
        <v>42</v>
      </c>
      <c r="M830" s="5" t="s">
        <v>8746</v>
      </c>
      <c r="N830" s="5" t="s">
        <v>64</v>
      </c>
      <c r="O830" s="5" t="s">
        <v>14358</v>
      </c>
      <c r="P830" s="5" t="s">
        <v>14333</v>
      </c>
      <c r="Q830" s="5" t="s">
        <v>17021</v>
      </c>
      <c r="R830" s="6">
        <v>9494.0</v>
      </c>
    </row>
    <row r="831" ht="56.25" customHeight="1">
      <c r="A831" s="5" t="s">
        <v>17012</v>
      </c>
      <c r="B831" s="6" t="str">
        <f>IMAGE("https://storage.googleapis.com/acdb/dresses/TopsTexOnepieceOverallLSuper3.png")</f>
        <v/>
      </c>
      <c r="C831" s="5" t="s">
        <v>96</v>
      </c>
      <c r="D831" s="5" t="s">
        <v>36</v>
      </c>
      <c r="E831" s="6">
        <v>3640.0</v>
      </c>
      <c r="F831" s="6">
        <v>910.0</v>
      </c>
      <c r="G831" s="5" t="s">
        <v>96</v>
      </c>
      <c r="H831" s="5" t="s">
        <v>52</v>
      </c>
      <c r="I831" s="6" t="s">
        <v>40</v>
      </c>
      <c r="J831" s="5" t="s">
        <v>8585</v>
      </c>
      <c r="K831" s="5" t="s">
        <v>8586</v>
      </c>
      <c r="L831" s="6" t="s">
        <v>42</v>
      </c>
      <c r="M831" s="5" t="s">
        <v>8746</v>
      </c>
      <c r="N831" s="5" t="s">
        <v>64</v>
      </c>
      <c r="O831" s="5" t="s">
        <v>14358</v>
      </c>
      <c r="P831" s="5" t="s">
        <v>14333</v>
      </c>
      <c r="Q831" s="5" t="s">
        <v>17026</v>
      </c>
      <c r="R831" s="6">
        <v>9495.0</v>
      </c>
    </row>
    <row r="832" ht="56.25" customHeight="1">
      <c r="A832" s="5" t="s">
        <v>17027</v>
      </c>
      <c r="B832" s="6" t="str">
        <f>IMAGE("https://storage.googleapis.com/acdb/dresses/TopsTexOnepieceOverallLSuspenders1.png")</f>
        <v/>
      </c>
      <c r="C832" s="5" t="s">
        <v>95</v>
      </c>
      <c r="D832" s="5" t="s">
        <v>36</v>
      </c>
      <c r="E832" s="6">
        <v>1900.0</v>
      </c>
      <c r="F832" s="6">
        <v>475.0</v>
      </c>
      <c r="G832" s="5" t="s">
        <v>83</v>
      </c>
      <c r="H832" s="5" t="s">
        <v>68</v>
      </c>
      <c r="I832" s="6" t="s">
        <v>40</v>
      </c>
      <c r="J832" s="5" t="s">
        <v>8585</v>
      </c>
      <c r="K832" s="5" t="s">
        <v>8632</v>
      </c>
      <c r="L832" s="6" t="s">
        <v>42</v>
      </c>
      <c r="M832" s="5" t="s">
        <v>1059</v>
      </c>
      <c r="N832" s="5" t="s">
        <v>64</v>
      </c>
      <c r="O832" s="5" t="s">
        <v>14358</v>
      </c>
      <c r="P832" s="5" t="s">
        <v>14333</v>
      </c>
      <c r="Q832" s="5" t="s">
        <v>17029</v>
      </c>
      <c r="R832" s="6">
        <v>8624.0</v>
      </c>
    </row>
    <row r="833" ht="56.25" customHeight="1">
      <c r="A833" s="5" t="s">
        <v>17027</v>
      </c>
      <c r="B833" s="6" t="str">
        <f>IMAGE("https://storage.googleapis.com/acdb/dresses/TopsTexOnepieceOverallLSuspenders2.png")</f>
        <v/>
      </c>
      <c r="C833" s="5" t="s">
        <v>69</v>
      </c>
      <c r="D833" s="5" t="s">
        <v>36</v>
      </c>
      <c r="E833" s="6">
        <v>1900.0</v>
      </c>
      <c r="F833" s="6">
        <v>475.0</v>
      </c>
      <c r="G833" s="5" t="s">
        <v>69</v>
      </c>
      <c r="H833" s="5" t="s">
        <v>95</v>
      </c>
      <c r="I833" s="6" t="s">
        <v>40</v>
      </c>
      <c r="J833" s="5" t="s">
        <v>8585</v>
      </c>
      <c r="K833" s="5" t="s">
        <v>8632</v>
      </c>
      <c r="L833" s="6" t="s">
        <v>42</v>
      </c>
      <c r="M833" s="5" t="s">
        <v>1059</v>
      </c>
      <c r="N833" s="5" t="s">
        <v>64</v>
      </c>
      <c r="O833" s="5" t="s">
        <v>14358</v>
      </c>
      <c r="P833" s="5" t="s">
        <v>14333</v>
      </c>
      <c r="Q833" s="5" t="s">
        <v>17032</v>
      </c>
      <c r="R833" s="6">
        <v>8625.0</v>
      </c>
    </row>
    <row r="834" ht="56.25" customHeight="1">
      <c r="A834" s="5" t="s">
        <v>17027</v>
      </c>
      <c r="B834" s="6" t="str">
        <f>IMAGE("https://storage.googleapis.com/acdb/dresses/TopsTexOnepieceOverallLSuspenders3.png")</f>
        <v/>
      </c>
      <c r="C834" s="5" t="s">
        <v>54</v>
      </c>
      <c r="D834" s="5" t="s">
        <v>36</v>
      </c>
      <c r="E834" s="6">
        <v>1900.0</v>
      </c>
      <c r="F834" s="6">
        <v>475.0</v>
      </c>
      <c r="G834" s="5" t="s">
        <v>54</v>
      </c>
      <c r="H834" s="5" t="s">
        <v>57</v>
      </c>
      <c r="I834" s="6" t="s">
        <v>40</v>
      </c>
      <c r="J834" s="5" t="s">
        <v>8585</v>
      </c>
      <c r="K834" s="5" t="s">
        <v>8632</v>
      </c>
      <c r="L834" s="6" t="s">
        <v>42</v>
      </c>
      <c r="M834" s="5" t="s">
        <v>1059</v>
      </c>
      <c r="N834" s="5" t="s">
        <v>64</v>
      </c>
      <c r="O834" s="5" t="s">
        <v>14358</v>
      </c>
      <c r="P834" s="5" t="s">
        <v>14333</v>
      </c>
      <c r="Q834" s="5" t="s">
        <v>17034</v>
      </c>
      <c r="R834" s="6">
        <v>8626.0</v>
      </c>
    </row>
    <row r="835" ht="56.25" customHeight="1">
      <c r="A835" s="5" t="s">
        <v>17027</v>
      </c>
      <c r="B835" s="6" t="str">
        <f>IMAGE("https://storage.googleapis.com/acdb/dresses/TopsTexOnepieceOverallLSuspenders4.png")</f>
        <v/>
      </c>
      <c r="C835" s="5" t="s">
        <v>1857</v>
      </c>
      <c r="D835" s="5" t="s">
        <v>36</v>
      </c>
      <c r="E835" s="6">
        <v>1900.0</v>
      </c>
      <c r="F835" s="6">
        <v>475.0</v>
      </c>
      <c r="G835" s="5" t="s">
        <v>96</v>
      </c>
      <c r="H835" s="5" t="s">
        <v>38</v>
      </c>
      <c r="I835" s="6" t="s">
        <v>40</v>
      </c>
      <c r="J835" s="5" t="s">
        <v>8585</v>
      </c>
      <c r="K835" s="5" t="s">
        <v>8632</v>
      </c>
      <c r="L835" s="6" t="s">
        <v>42</v>
      </c>
      <c r="M835" s="5" t="s">
        <v>1059</v>
      </c>
      <c r="N835" s="5" t="s">
        <v>64</v>
      </c>
      <c r="O835" s="5" t="s">
        <v>14358</v>
      </c>
      <c r="P835" s="5" t="s">
        <v>14333</v>
      </c>
      <c r="Q835" s="5" t="s">
        <v>17038</v>
      </c>
      <c r="R835" s="6">
        <v>8627.0</v>
      </c>
    </row>
    <row r="836" ht="56.25" customHeight="1">
      <c r="A836" s="5" t="s">
        <v>17027</v>
      </c>
      <c r="B836" s="6" t="str">
        <f>IMAGE("https://storage.googleapis.com/acdb/dresses/TopsTexOnepieceOverallLSuspenders0.png")</f>
        <v/>
      </c>
      <c r="C836" s="5" t="s">
        <v>68</v>
      </c>
      <c r="D836" s="5" t="s">
        <v>36</v>
      </c>
      <c r="E836" s="6">
        <v>1900.0</v>
      </c>
      <c r="F836" s="6">
        <v>475.0</v>
      </c>
      <c r="G836" s="5" t="s">
        <v>68</v>
      </c>
      <c r="H836" s="5" t="s">
        <v>38</v>
      </c>
      <c r="I836" s="6" t="s">
        <v>40</v>
      </c>
      <c r="J836" s="5" t="s">
        <v>8585</v>
      </c>
      <c r="K836" s="5" t="s">
        <v>8632</v>
      </c>
      <c r="L836" s="6" t="s">
        <v>42</v>
      </c>
      <c r="M836" s="5" t="s">
        <v>1059</v>
      </c>
      <c r="N836" s="5" t="s">
        <v>64</v>
      </c>
      <c r="O836" s="5" t="s">
        <v>14358</v>
      </c>
      <c r="P836" s="5" t="s">
        <v>14333</v>
      </c>
      <c r="Q836" s="5" t="s">
        <v>17041</v>
      </c>
      <c r="R836" s="6">
        <v>3707.0</v>
      </c>
    </row>
    <row r="837" ht="56.25" customHeight="1">
      <c r="A837" s="5" t="s">
        <v>17042</v>
      </c>
      <c r="B837" s="6" t="str">
        <f>IMAGE("https://storage.googleapis.com/acdb/dresses/TopsTexOnepieceRibLKnit2.png")</f>
        <v/>
      </c>
      <c r="C837" s="5" t="s">
        <v>387</v>
      </c>
      <c r="D837" s="5" t="s">
        <v>36</v>
      </c>
      <c r="E837" s="6">
        <v>1470.0</v>
      </c>
      <c r="F837" s="6">
        <v>367.0</v>
      </c>
      <c r="G837" s="5" t="s">
        <v>39</v>
      </c>
      <c r="H837" s="5" t="s">
        <v>39</v>
      </c>
      <c r="I837" s="6" t="s">
        <v>40</v>
      </c>
      <c r="J837" s="5" t="s">
        <v>8585</v>
      </c>
      <c r="K837" s="5" t="s">
        <v>8632</v>
      </c>
      <c r="L837" s="6" t="s">
        <v>42</v>
      </c>
      <c r="M837" s="5" t="s">
        <v>995</v>
      </c>
      <c r="N837" s="5" t="s">
        <v>64</v>
      </c>
      <c r="O837" s="5" t="s">
        <v>14463</v>
      </c>
      <c r="P837" s="5" t="s">
        <v>14333</v>
      </c>
      <c r="Q837" s="5" t="s">
        <v>17046</v>
      </c>
      <c r="R837" s="6">
        <v>4159.0</v>
      </c>
    </row>
    <row r="838" ht="56.25" customHeight="1">
      <c r="A838" s="5" t="s">
        <v>17042</v>
      </c>
      <c r="B838" s="6" t="str">
        <f>IMAGE("https://storage.googleapis.com/acdb/dresses/TopsTexOnepieceRibLKnit0.png")</f>
        <v/>
      </c>
      <c r="C838" s="5" t="s">
        <v>10757</v>
      </c>
      <c r="D838" s="5" t="s">
        <v>36</v>
      </c>
      <c r="E838" s="6">
        <v>1470.0</v>
      </c>
      <c r="F838" s="6">
        <v>367.0</v>
      </c>
      <c r="G838" s="5" t="s">
        <v>96</v>
      </c>
      <c r="H838" s="5" t="s">
        <v>96</v>
      </c>
      <c r="I838" s="6" t="s">
        <v>40</v>
      </c>
      <c r="J838" s="5" t="s">
        <v>8585</v>
      </c>
      <c r="K838" s="5" t="s">
        <v>8632</v>
      </c>
      <c r="L838" s="6" t="s">
        <v>42</v>
      </c>
      <c r="M838" s="5" t="s">
        <v>995</v>
      </c>
      <c r="N838" s="5" t="s">
        <v>64</v>
      </c>
      <c r="O838" s="5" t="s">
        <v>14463</v>
      </c>
      <c r="P838" s="5" t="s">
        <v>14333</v>
      </c>
      <c r="Q838" s="5" t="s">
        <v>17049</v>
      </c>
      <c r="R838" s="6">
        <v>3234.0</v>
      </c>
    </row>
    <row r="839" ht="56.25" customHeight="1">
      <c r="A839" s="5" t="s">
        <v>17042</v>
      </c>
      <c r="B839" s="6" t="str">
        <f>IMAGE("https://storage.googleapis.com/acdb/dresses/TopsTexOnepieceRibLKnit1.png")</f>
        <v/>
      </c>
      <c r="C839" s="5" t="s">
        <v>38</v>
      </c>
      <c r="D839" s="5" t="s">
        <v>36</v>
      </c>
      <c r="E839" s="6">
        <v>1470.0</v>
      </c>
      <c r="F839" s="6">
        <v>367.0</v>
      </c>
      <c r="G839" s="5" t="s">
        <v>38</v>
      </c>
      <c r="H839" s="5" t="s">
        <v>38</v>
      </c>
      <c r="I839" s="6" t="s">
        <v>40</v>
      </c>
      <c r="J839" s="5" t="s">
        <v>8585</v>
      </c>
      <c r="K839" s="5" t="s">
        <v>8632</v>
      </c>
      <c r="L839" s="6" t="s">
        <v>42</v>
      </c>
      <c r="M839" s="5" t="s">
        <v>995</v>
      </c>
      <c r="N839" s="5" t="s">
        <v>64</v>
      </c>
      <c r="O839" s="5" t="s">
        <v>14463</v>
      </c>
      <c r="P839" s="5" t="s">
        <v>14333</v>
      </c>
      <c r="Q839" s="5" t="s">
        <v>17053</v>
      </c>
      <c r="R839" s="6">
        <v>4158.0</v>
      </c>
    </row>
    <row r="840" ht="56.25" customHeight="1">
      <c r="A840" s="5" t="s">
        <v>17054</v>
      </c>
      <c r="B840" s="6" t="str">
        <f>IMAGE("https://storage.googleapis.com/acdb/dresses/TopsTexOnepieceBalloonHAngel1.png")</f>
        <v/>
      </c>
      <c r="C840" s="5" t="s">
        <v>106</v>
      </c>
      <c r="D840" s="5" t="s">
        <v>36</v>
      </c>
      <c r="E840" s="6">
        <v>2700.0</v>
      </c>
      <c r="F840" s="6">
        <v>675.0</v>
      </c>
      <c r="G840" s="5" t="s">
        <v>106</v>
      </c>
      <c r="H840" s="5" t="s">
        <v>106</v>
      </c>
      <c r="I840" s="6" t="s">
        <v>40</v>
      </c>
      <c r="J840" s="5" t="s">
        <v>8585</v>
      </c>
      <c r="K840" s="5" t="s">
        <v>8586</v>
      </c>
      <c r="L840" s="6" t="s">
        <v>42</v>
      </c>
      <c r="M840" s="5" t="s">
        <v>995</v>
      </c>
      <c r="N840" s="5" t="s">
        <v>64</v>
      </c>
      <c r="O840" s="5" t="s">
        <v>14344</v>
      </c>
      <c r="P840" s="5" t="s">
        <v>14345</v>
      </c>
      <c r="Q840" s="5" t="s">
        <v>17058</v>
      </c>
      <c r="R840" s="6">
        <v>9496.0</v>
      </c>
    </row>
    <row r="841" ht="56.25" customHeight="1">
      <c r="A841" s="5" t="s">
        <v>17054</v>
      </c>
      <c r="B841" s="6" t="str">
        <f>IMAGE("https://storage.googleapis.com/acdb/dresses/TopsTexOnepieceBalloonHAngel0.png")</f>
        <v/>
      </c>
      <c r="C841" s="5" t="s">
        <v>57</v>
      </c>
      <c r="D841" s="5" t="s">
        <v>36</v>
      </c>
      <c r="E841" s="6">
        <v>2700.0</v>
      </c>
      <c r="F841" s="6">
        <v>675.0</v>
      </c>
      <c r="G841" s="5" t="s">
        <v>57</v>
      </c>
      <c r="H841" s="5" t="s">
        <v>57</v>
      </c>
      <c r="I841" s="6" t="s">
        <v>40</v>
      </c>
      <c r="J841" s="5" t="s">
        <v>8585</v>
      </c>
      <c r="K841" s="5" t="s">
        <v>8586</v>
      </c>
      <c r="L841" s="6" t="s">
        <v>42</v>
      </c>
      <c r="M841" s="5" t="s">
        <v>995</v>
      </c>
      <c r="N841" s="5" t="s">
        <v>64</v>
      </c>
      <c r="O841" s="5" t="s">
        <v>14344</v>
      </c>
      <c r="P841" s="5" t="s">
        <v>14345</v>
      </c>
      <c r="Q841" s="5" t="s">
        <v>17062</v>
      </c>
      <c r="R841" s="6">
        <v>4686.0</v>
      </c>
    </row>
    <row r="842" ht="56.25" customHeight="1">
      <c r="A842" s="5" t="s">
        <v>17065</v>
      </c>
      <c r="B842" s="6" t="str">
        <f>IMAGE("https://storage.googleapis.com/acdb/dresses/TopsTexOnepieceAlongLBustier0.png")</f>
        <v/>
      </c>
      <c r="C842" s="5" t="s">
        <v>1187</v>
      </c>
      <c r="D842" s="5" t="s">
        <v>36</v>
      </c>
      <c r="E842" s="6">
        <v>1600.0</v>
      </c>
      <c r="F842" s="6">
        <v>400.0</v>
      </c>
      <c r="G842" s="5" t="s">
        <v>68</v>
      </c>
      <c r="H842" s="5" t="s">
        <v>54</v>
      </c>
      <c r="I842" s="6" t="s">
        <v>40</v>
      </c>
      <c r="J842" s="5" t="s">
        <v>8585</v>
      </c>
      <c r="K842" s="5" t="s">
        <v>8632</v>
      </c>
      <c r="L842" s="6" t="s">
        <v>42</v>
      </c>
      <c r="M842" s="5" t="s">
        <v>995</v>
      </c>
      <c r="N842" s="5" t="s">
        <v>64</v>
      </c>
      <c r="O842" s="5" t="s">
        <v>14574</v>
      </c>
      <c r="P842" s="5" t="s">
        <v>14333</v>
      </c>
      <c r="Q842" s="5" t="s">
        <v>17069</v>
      </c>
      <c r="R842" s="6">
        <v>3696.0</v>
      </c>
    </row>
    <row r="843" ht="56.25" customHeight="1">
      <c r="A843" s="5" t="s">
        <v>17065</v>
      </c>
      <c r="B843" s="6" t="str">
        <f>IMAGE("https://storage.googleapis.com/acdb/dresses/TopsTexOnepieceAlongLBustier1.png")</f>
        <v/>
      </c>
      <c r="C843" s="5" t="s">
        <v>10689</v>
      </c>
      <c r="D843" s="5" t="s">
        <v>36</v>
      </c>
      <c r="E843" s="6">
        <v>1600.0</v>
      </c>
      <c r="F843" s="6">
        <v>400.0</v>
      </c>
      <c r="G843" s="5" t="s">
        <v>96</v>
      </c>
      <c r="H843" s="5" t="s">
        <v>142</v>
      </c>
      <c r="I843" s="6" t="s">
        <v>40</v>
      </c>
      <c r="J843" s="5" t="s">
        <v>8585</v>
      </c>
      <c r="K843" s="5" t="s">
        <v>8632</v>
      </c>
      <c r="L843" s="6" t="s">
        <v>42</v>
      </c>
      <c r="M843" s="5" t="s">
        <v>995</v>
      </c>
      <c r="N843" s="5" t="s">
        <v>64</v>
      </c>
      <c r="O843" s="5" t="s">
        <v>14574</v>
      </c>
      <c r="P843" s="5" t="s">
        <v>14333</v>
      </c>
      <c r="Q843" s="5" t="s">
        <v>17076</v>
      </c>
      <c r="R843" s="6">
        <v>9026.0</v>
      </c>
    </row>
    <row r="844" ht="56.25" customHeight="1">
      <c r="A844" s="5" t="s">
        <v>17065</v>
      </c>
      <c r="B844" s="6" t="str">
        <f>IMAGE("https://storage.googleapis.com/acdb/dresses/TopsTexOnepieceAlongLBustier2.png")</f>
        <v/>
      </c>
      <c r="C844" s="5" t="s">
        <v>38</v>
      </c>
      <c r="D844" s="5" t="s">
        <v>36</v>
      </c>
      <c r="E844" s="6">
        <v>1600.0</v>
      </c>
      <c r="F844" s="6">
        <v>400.0</v>
      </c>
      <c r="G844" s="5" t="s">
        <v>38</v>
      </c>
      <c r="H844" s="5" t="s">
        <v>57</v>
      </c>
      <c r="I844" s="6" t="s">
        <v>40</v>
      </c>
      <c r="J844" s="5" t="s">
        <v>8585</v>
      </c>
      <c r="K844" s="5" t="s">
        <v>8632</v>
      </c>
      <c r="L844" s="6" t="s">
        <v>42</v>
      </c>
      <c r="M844" s="5" t="s">
        <v>995</v>
      </c>
      <c r="N844" s="5" t="s">
        <v>64</v>
      </c>
      <c r="O844" s="5" t="s">
        <v>14574</v>
      </c>
      <c r="P844" s="5" t="s">
        <v>14333</v>
      </c>
      <c r="Q844" s="5" t="s">
        <v>17081</v>
      </c>
      <c r="R844" s="6">
        <v>9027.0</v>
      </c>
    </row>
    <row r="845" ht="56.25" customHeight="1">
      <c r="A845" s="5" t="s">
        <v>17065</v>
      </c>
      <c r="B845" s="6" t="str">
        <f>IMAGE("https://storage.googleapis.com/acdb/dresses/TopsTexOnepieceAlongLBustier3.png")</f>
        <v/>
      </c>
      <c r="C845" s="5" t="s">
        <v>17082</v>
      </c>
      <c r="D845" s="5" t="s">
        <v>36</v>
      </c>
      <c r="E845" s="6">
        <v>1600.0</v>
      </c>
      <c r="F845" s="6">
        <v>400.0</v>
      </c>
      <c r="G845" s="5" t="s">
        <v>95</v>
      </c>
      <c r="H845" s="5" t="s">
        <v>52</v>
      </c>
      <c r="I845" s="6" t="s">
        <v>40</v>
      </c>
      <c r="J845" s="5" t="s">
        <v>8585</v>
      </c>
      <c r="K845" s="5" t="s">
        <v>8632</v>
      </c>
      <c r="L845" s="6" t="s">
        <v>42</v>
      </c>
      <c r="M845" s="5" t="s">
        <v>995</v>
      </c>
      <c r="N845" s="5" t="s">
        <v>64</v>
      </c>
      <c r="O845" s="5" t="s">
        <v>14574</v>
      </c>
      <c r="P845" s="5" t="s">
        <v>14333</v>
      </c>
      <c r="Q845" s="5" t="s">
        <v>17086</v>
      </c>
      <c r="R845" s="6">
        <v>9028.0</v>
      </c>
    </row>
    <row r="846" ht="56.25" customHeight="1">
      <c r="A846" s="5" t="s">
        <v>17065</v>
      </c>
      <c r="B846" s="6" t="str">
        <f>IMAGE("https://storage.googleapis.com/acdb/dresses/TopsTexOnepieceAlongLBustier4.png")</f>
        <v/>
      </c>
      <c r="C846" s="5" t="s">
        <v>9852</v>
      </c>
      <c r="D846" s="5" t="s">
        <v>36</v>
      </c>
      <c r="E846" s="6">
        <v>1600.0</v>
      </c>
      <c r="F846" s="6">
        <v>400.0</v>
      </c>
      <c r="G846" s="5" t="s">
        <v>96</v>
      </c>
      <c r="H846" s="5" t="s">
        <v>57</v>
      </c>
      <c r="I846" s="6" t="s">
        <v>40</v>
      </c>
      <c r="J846" s="5" t="s">
        <v>8585</v>
      </c>
      <c r="K846" s="5" t="s">
        <v>8632</v>
      </c>
      <c r="L846" s="6" t="s">
        <v>42</v>
      </c>
      <c r="M846" s="5" t="s">
        <v>995</v>
      </c>
      <c r="N846" s="5" t="s">
        <v>64</v>
      </c>
      <c r="O846" s="5" t="s">
        <v>14574</v>
      </c>
      <c r="P846" s="5" t="s">
        <v>14333</v>
      </c>
      <c r="Q846" s="5" t="s">
        <v>17089</v>
      </c>
      <c r="R846" s="6">
        <v>9029.0</v>
      </c>
    </row>
    <row r="847" ht="56.25" customHeight="1">
      <c r="A847" s="5" t="s">
        <v>17090</v>
      </c>
      <c r="B847" s="6" t="str">
        <f>IMAGE("https://storage.googleapis.com/acdb/dresses/TopsTexOnepieceBoxNTango0.png")</f>
        <v/>
      </c>
      <c r="C847" s="5" t="s">
        <v>52</v>
      </c>
      <c r="D847" s="5" t="s">
        <v>36</v>
      </c>
      <c r="E847" s="6">
        <v>2600.0</v>
      </c>
      <c r="F847" s="6">
        <v>650.0</v>
      </c>
      <c r="G847" s="5" t="s">
        <v>52</v>
      </c>
      <c r="H847" s="5" t="s">
        <v>52</v>
      </c>
      <c r="I847" s="6" t="s">
        <v>40</v>
      </c>
      <c r="J847" s="5" t="s">
        <v>8585</v>
      </c>
      <c r="K847" s="5" t="s">
        <v>8586</v>
      </c>
      <c r="L847" s="6" t="s">
        <v>42</v>
      </c>
      <c r="M847" s="5" t="s">
        <v>612</v>
      </c>
      <c r="N847" s="5" t="s">
        <v>64</v>
      </c>
      <c r="O847" s="5" t="s">
        <v>14332</v>
      </c>
      <c r="P847" s="5" t="s">
        <v>14412</v>
      </c>
      <c r="Q847" s="5" t="s">
        <v>17092</v>
      </c>
      <c r="R847" s="6">
        <v>5815.0</v>
      </c>
    </row>
    <row r="848" ht="56.25" customHeight="1">
      <c r="A848" s="5" t="s">
        <v>17090</v>
      </c>
      <c r="B848" s="6" t="str">
        <f>IMAGE("https://storage.googleapis.com/acdb/dresses/TopsTexOnepieceBoxNTango1.png")</f>
        <v/>
      </c>
      <c r="C848" s="5" t="s">
        <v>54</v>
      </c>
      <c r="D848" s="5" t="s">
        <v>36</v>
      </c>
      <c r="E848" s="6">
        <v>2600.0</v>
      </c>
      <c r="F848" s="6">
        <v>650.0</v>
      </c>
      <c r="G848" s="5" t="s">
        <v>54</v>
      </c>
      <c r="H848" s="5" t="s">
        <v>54</v>
      </c>
      <c r="I848" s="6" t="s">
        <v>40</v>
      </c>
      <c r="J848" s="5" t="s">
        <v>8585</v>
      </c>
      <c r="K848" s="5" t="s">
        <v>8586</v>
      </c>
      <c r="L848" s="6" t="s">
        <v>42</v>
      </c>
      <c r="M848" s="5" t="s">
        <v>612</v>
      </c>
      <c r="N848" s="5" t="s">
        <v>64</v>
      </c>
      <c r="O848" s="5" t="s">
        <v>14332</v>
      </c>
      <c r="P848" s="5" t="s">
        <v>14412</v>
      </c>
      <c r="Q848" s="5" t="s">
        <v>17096</v>
      </c>
      <c r="R848" s="6">
        <v>7881.0</v>
      </c>
    </row>
    <row r="849" ht="56.25" customHeight="1">
      <c r="A849" s="5" t="s">
        <v>17090</v>
      </c>
      <c r="B849" s="6" t="str">
        <f>IMAGE("https://storage.googleapis.com/acdb/dresses/TopsTexOnepieceBoxNTango2.png")</f>
        <v/>
      </c>
      <c r="C849" s="5" t="s">
        <v>69</v>
      </c>
      <c r="D849" s="5" t="s">
        <v>36</v>
      </c>
      <c r="E849" s="6">
        <v>2600.0</v>
      </c>
      <c r="F849" s="6">
        <v>650.0</v>
      </c>
      <c r="G849" s="5" t="s">
        <v>69</v>
      </c>
      <c r="H849" s="5" t="s">
        <v>69</v>
      </c>
      <c r="I849" s="6" t="s">
        <v>40</v>
      </c>
      <c r="J849" s="5" t="s">
        <v>8585</v>
      </c>
      <c r="K849" s="5" t="s">
        <v>8586</v>
      </c>
      <c r="L849" s="6" t="s">
        <v>42</v>
      </c>
      <c r="M849" s="5" t="s">
        <v>612</v>
      </c>
      <c r="N849" s="5" t="s">
        <v>64</v>
      </c>
      <c r="O849" s="5" t="s">
        <v>14332</v>
      </c>
      <c r="P849" s="5" t="s">
        <v>14412</v>
      </c>
      <c r="Q849" s="5" t="s">
        <v>17099</v>
      </c>
      <c r="R849" s="6">
        <v>7882.0</v>
      </c>
    </row>
    <row r="850" ht="56.25" customHeight="1">
      <c r="A850" s="5" t="s">
        <v>17090</v>
      </c>
      <c r="B850" s="6" t="str">
        <f>IMAGE("https://storage.googleapis.com/acdb/dresses/TopsTexOnepieceBoxNTango3.png")</f>
        <v/>
      </c>
      <c r="C850" s="5" t="s">
        <v>68</v>
      </c>
      <c r="D850" s="5" t="s">
        <v>36</v>
      </c>
      <c r="E850" s="6">
        <v>2600.0</v>
      </c>
      <c r="F850" s="6">
        <v>650.0</v>
      </c>
      <c r="G850" s="5" t="s">
        <v>68</v>
      </c>
      <c r="H850" s="5" t="s">
        <v>68</v>
      </c>
      <c r="I850" s="6" t="s">
        <v>40</v>
      </c>
      <c r="J850" s="5" t="s">
        <v>8585</v>
      </c>
      <c r="K850" s="5" t="s">
        <v>8586</v>
      </c>
      <c r="L850" s="6" t="s">
        <v>42</v>
      </c>
      <c r="M850" s="5" t="s">
        <v>612</v>
      </c>
      <c r="N850" s="5" t="s">
        <v>64</v>
      </c>
      <c r="O850" s="5" t="s">
        <v>14332</v>
      </c>
      <c r="P850" s="5" t="s">
        <v>14412</v>
      </c>
      <c r="Q850" s="5" t="s">
        <v>17103</v>
      </c>
      <c r="R850" s="6">
        <v>7883.0</v>
      </c>
    </row>
    <row r="851" ht="56.25" customHeight="1">
      <c r="A851" s="5" t="s">
        <v>17090</v>
      </c>
      <c r="B851" s="6" t="str">
        <f>IMAGE("https://storage.googleapis.com/acdb/dresses/TopsTexOnepieceBoxNTango4.png")</f>
        <v/>
      </c>
      <c r="C851" s="5" t="s">
        <v>106</v>
      </c>
      <c r="D851" s="5" t="s">
        <v>36</v>
      </c>
      <c r="E851" s="6">
        <v>2600.0</v>
      </c>
      <c r="F851" s="6">
        <v>650.0</v>
      </c>
      <c r="G851" s="5" t="s">
        <v>106</v>
      </c>
      <c r="H851" s="5" t="s">
        <v>106</v>
      </c>
      <c r="I851" s="6" t="s">
        <v>40</v>
      </c>
      <c r="J851" s="5" t="s">
        <v>8585</v>
      </c>
      <c r="K851" s="5" t="s">
        <v>8586</v>
      </c>
      <c r="L851" s="6" t="s">
        <v>42</v>
      </c>
      <c r="M851" s="5" t="s">
        <v>612</v>
      </c>
      <c r="N851" s="5" t="s">
        <v>64</v>
      </c>
      <c r="O851" s="5" t="s">
        <v>14332</v>
      </c>
      <c r="P851" s="5" t="s">
        <v>14412</v>
      </c>
      <c r="Q851" s="5" t="s">
        <v>17106</v>
      </c>
      <c r="R851" s="6">
        <v>7884.0</v>
      </c>
    </row>
    <row r="852" ht="56.25" customHeight="1">
      <c r="A852" s="5" t="s">
        <v>17090</v>
      </c>
      <c r="B852" s="6" t="str">
        <f>IMAGE("https://storage.googleapis.com/acdb/dresses/TopsTexOnepieceBoxNTango5.png")</f>
        <v/>
      </c>
      <c r="C852" s="5" t="s">
        <v>96</v>
      </c>
      <c r="D852" s="5" t="s">
        <v>36</v>
      </c>
      <c r="E852" s="6">
        <v>2600.0</v>
      </c>
      <c r="F852" s="6">
        <v>650.0</v>
      </c>
      <c r="G852" s="5" t="s">
        <v>96</v>
      </c>
      <c r="H852" s="5" t="s">
        <v>96</v>
      </c>
      <c r="I852" s="6" t="s">
        <v>40</v>
      </c>
      <c r="J852" s="5" t="s">
        <v>8585</v>
      </c>
      <c r="K852" s="5" t="s">
        <v>8586</v>
      </c>
      <c r="L852" s="6" t="s">
        <v>42</v>
      </c>
      <c r="M852" s="5" t="s">
        <v>612</v>
      </c>
      <c r="N852" s="5" t="s">
        <v>64</v>
      </c>
      <c r="O852" s="5" t="s">
        <v>14332</v>
      </c>
      <c r="P852" s="5" t="s">
        <v>14412</v>
      </c>
      <c r="Q852" s="5" t="s">
        <v>17110</v>
      </c>
      <c r="R852" s="6">
        <v>7885.0</v>
      </c>
    </row>
    <row r="853" ht="56.25" customHeight="1">
      <c r="A853" s="5" t="s">
        <v>17111</v>
      </c>
      <c r="B853" s="6" t="str">
        <f>IMAGE("https://storage.googleapis.com/acdb/dresses/TopsTexOnepieceBoxHTshirts1.png")</f>
        <v/>
      </c>
      <c r="C853" s="5" t="s">
        <v>38</v>
      </c>
      <c r="D853" s="5" t="s">
        <v>36</v>
      </c>
      <c r="E853" s="6">
        <v>1500.0</v>
      </c>
      <c r="F853" s="6">
        <v>375.0</v>
      </c>
      <c r="G853" s="5" t="s">
        <v>38</v>
      </c>
      <c r="H853" s="5" t="s">
        <v>57</v>
      </c>
      <c r="I853" s="6" t="s">
        <v>40</v>
      </c>
      <c r="J853" s="5" t="s">
        <v>8585</v>
      </c>
      <c r="K853" s="5" t="s">
        <v>8632</v>
      </c>
      <c r="L853" s="6" t="s">
        <v>42</v>
      </c>
      <c r="M853" s="5" t="s">
        <v>995</v>
      </c>
      <c r="N853" s="5" t="s">
        <v>64</v>
      </c>
      <c r="O853" s="5" t="s">
        <v>14332</v>
      </c>
      <c r="P853" s="5" t="s">
        <v>14345</v>
      </c>
      <c r="Q853" s="5" t="s">
        <v>17115</v>
      </c>
      <c r="R853" s="6">
        <v>8383.0</v>
      </c>
    </row>
    <row r="854" ht="56.25" customHeight="1">
      <c r="A854" s="5" t="s">
        <v>17111</v>
      </c>
      <c r="B854" s="6" t="str">
        <f>IMAGE("https://storage.googleapis.com/acdb/dresses/TopsTexOnepieceBoxHTshirts2.png")</f>
        <v/>
      </c>
      <c r="C854" s="5" t="s">
        <v>1187</v>
      </c>
      <c r="D854" s="5" t="s">
        <v>36</v>
      </c>
      <c r="E854" s="6">
        <v>1500.0</v>
      </c>
      <c r="F854" s="6">
        <v>375.0</v>
      </c>
      <c r="G854" s="5" t="s">
        <v>68</v>
      </c>
      <c r="H854" s="5" t="s">
        <v>57</v>
      </c>
      <c r="I854" s="6" t="s">
        <v>40</v>
      </c>
      <c r="J854" s="5" t="s">
        <v>8585</v>
      </c>
      <c r="K854" s="5" t="s">
        <v>8632</v>
      </c>
      <c r="L854" s="6" t="s">
        <v>42</v>
      </c>
      <c r="M854" s="5" t="s">
        <v>995</v>
      </c>
      <c r="N854" s="5" t="s">
        <v>64</v>
      </c>
      <c r="O854" s="5" t="s">
        <v>14332</v>
      </c>
      <c r="P854" s="5" t="s">
        <v>14345</v>
      </c>
      <c r="Q854" s="5" t="s">
        <v>17120</v>
      </c>
      <c r="R854" s="6">
        <v>8384.0</v>
      </c>
    </row>
    <row r="855" ht="56.25" customHeight="1">
      <c r="A855" s="5" t="s">
        <v>17111</v>
      </c>
      <c r="B855" s="6" t="str">
        <f>IMAGE("https://storage.googleapis.com/acdb/dresses/TopsTexOnepieceBoxHTshirts3.png")</f>
        <v/>
      </c>
      <c r="C855" s="5" t="s">
        <v>57</v>
      </c>
      <c r="D855" s="5" t="s">
        <v>36</v>
      </c>
      <c r="E855" s="6">
        <v>1500.0</v>
      </c>
      <c r="F855" s="6">
        <v>375.0</v>
      </c>
      <c r="G855" s="5" t="s">
        <v>57</v>
      </c>
      <c r="H855" s="5" t="s">
        <v>54</v>
      </c>
      <c r="I855" s="6" t="s">
        <v>40</v>
      </c>
      <c r="J855" s="5" t="s">
        <v>8585</v>
      </c>
      <c r="K855" s="5" t="s">
        <v>8632</v>
      </c>
      <c r="L855" s="6" t="s">
        <v>42</v>
      </c>
      <c r="M855" s="5" t="s">
        <v>995</v>
      </c>
      <c r="N855" s="5" t="s">
        <v>64</v>
      </c>
      <c r="O855" s="5" t="s">
        <v>14332</v>
      </c>
      <c r="P855" s="5" t="s">
        <v>14345</v>
      </c>
      <c r="Q855" s="5" t="s">
        <v>17123</v>
      </c>
      <c r="R855" s="6">
        <v>8385.0</v>
      </c>
    </row>
    <row r="856" ht="56.25" customHeight="1">
      <c r="A856" s="5" t="s">
        <v>17111</v>
      </c>
      <c r="B856" s="6" t="str">
        <f>IMAGE("https://storage.googleapis.com/acdb/dresses/TopsTexOnepieceBoxHTshirts4.png")</f>
        <v/>
      </c>
      <c r="C856" s="5" t="s">
        <v>10757</v>
      </c>
      <c r="D856" s="5" t="s">
        <v>36</v>
      </c>
      <c r="E856" s="6">
        <v>1500.0</v>
      </c>
      <c r="F856" s="6">
        <v>375.0</v>
      </c>
      <c r="G856" s="5" t="s">
        <v>96</v>
      </c>
      <c r="H856" s="5" t="s">
        <v>54</v>
      </c>
      <c r="I856" s="6" t="s">
        <v>40</v>
      </c>
      <c r="J856" s="5" t="s">
        <v>8585</v>
      </c>
      <c r="K856" s="5" t="s">
        <v>8632</v>
      </c>
      <c r="L856" s="6" t="s">
        <v>42</v>
      </c>
      <c r="M856" s="5" t="s">
        <v>995</v>
      </c>
      <c r="N856" s="5" t="s">
        <v>64</v>
      </c>
      <c r="O856" s="5" t="s">
        <v>14332</v>
      </c>
      <c r="P856" s="5" t="s">
        <v>14345</v>
      </c>
      <c r="Q856" s="5" t="s">
        <v>17127</v>
      </c>
      <c r="R856" s="6">
        <v>8386.0</v>
      </c>
    </row>
    <row r="857" ht="56.25" customHeight="1">
      <c r="A857" s="5" t="s">
        <v>17111</v>
      </c>
      <c r="B857" s="6" t="str">
        <f>IMAGE("https://storage.googleapis.com/acdb/dresses/TopsTexOnepieceBoxHTshirts5.png")</f>
        <v/>
      </c>
      <c r="C857" s="5" t="s">
        <v>52</v>
      </c>
      <c r="D857" s="5" t="s">
        <v>36</v>
      </c>
      <c r="E857" s="6">
        <v>1500.0</v>
      </c>
      <c r="F857" s="6">
        <v>375.0</v>
      </c>
      <c r="G857" s="5" t="s">
        <v>52</v>
      </c>
      <c r="H857" s="5" t="s">
        <v>54</v>
      </c>
      <c r="I857" s="6" t="s">
        <v>40</v>
      </c>
      <c r="J857" s="5" t="s">
        <v>8585</v>
      </c>
      <c r="K857" s="5" t="s">
        <v>8632</v>
      </c>
      <c r="L857" s="6" t="s">
        <v>42</v>
      </c>
      <c r="M857" s="5" t="s">
        <v>995</v>
      </c>
      <c r="N857" s="5" t="s">
        <v>64</v>
      </c>
      <c r="O857" s="5" t="s">
        <v>14332</v>
      </c>
      <c r="P857" s="5" t="s">
        <v>14345</v>
      </c>
      <c r="Q857" s="5" t="s">
        <v>17131</v>
      </c>
      <c r="R857" s="6">
        <v>8387.0</v>
      </c>
    </row>
    <row r="858" ht="56.25" customHeight="1">
      <c r="A858" s="5" t="s">
        <v>17111</v>
      </c>
      <c r="B858" s="6" t="str">
        <f>IMAGE("https://storage.googleapis.com/acdb/dresses/TopsTexOnepieceBoxHTshirts0.png")</f>
        <v/>
      </c>
      <c r="C858" s="5" t="s">
        <v>54</v>
      </c>
      <c r="D858" s="5" t="s">
        <v>36</v>
      </c>
      <c r="E858" s="6">
        <v>1500.0</v>
      </c>
      <c r="F858" s="6">
        <v>375.0</v>
      </c>
      <c r="G858" s="5" t="s">
        <v>54</v>
      </c>
      <c r="H858" s="5" t="s">
        <v>57</v>
      </c>
      <c r="I858" s="6" t="s">
        <v>40</v>
      </c>
      <c r="J858" s="5" t="s">
        <v>8585</v>
      </c>
      <c r="K858" s="5" t="s">
        <v>8632</v>
      </c>
      <c r="L858" s="6" t="s">
        <v>42</v>
      </c>
      <c r="M858" s="5" t="s">
        <v>995</v>
      </c>
      <c r="N858" s="5" t="s">
        <v>64</v>
      </c>
      <c r="O858" s="5" t="s">
        <v>14332</v>
      </c>
      <c r="P858" s="5" t="s">
        <v>14345</v>
      </c>
      <c r="Q858" s="5" t="s">
        <v>17135</v>
      </c>
      <c r="R858" s="6">
        <v>4559.0</v>
      </c>
    </row>
    <row r="859" ht="56.25" customHeight="1">
      <c r="A859" s="5" t="s">
        <v>17136</v>
      </c>
      <c r="B859" s="6" t="str">
        <f>IMAGE("https://storage.googleapis.com/acdb/dresses/TopsTexOnepieceBoxHTiger2.png")</f>
        <v/>
      </c>
      <c r="C859" s="5" t="s">
        <v>106</v>
      </c>
      <c r="D859" s="5" t="s">
        <v>36</v>
      </c>
      <c r="E859" s="6">
        <v>1200.0</v>
      </c>
      <c r="F859" s="6">
        <v>300.0</v>
      </c>
      <c r="G859" s="5" t="s">
        <v>142</v>
      </c>
      <c r="H859" s="5" t="s">
        <v>106</v>
      </c>
      <c r="I859" s="6" t="s">
        <v>40</v>
      </c>
      <c r="J859" s="5" t="s">
        <v>8585</v>
      </c>
      <c r="K859" s="5" t="s">
        <v>8632</v>
      </c>
      <c r="L859" s="6" t="s">
        <v>42</v>
      </c>
      <c r="M859" s="5" t="s">
        <v>612</v>
      </c>
      <c r="N859" s="5" t="s">
        <v>64</v>
      </c>
      <c r="O859" s="5" t="s">
        <v>14332</v>
      </c>
      <c r="P859" s="5" t="s">
        <v>14345</v>
      </c>
      <c r="Q859" s="5" t="s">
        <v>17139</v>
      </c>
      <c r="R859" s="6">
        <v>8380.0</v>
      </c>
    </row>
    <row r="860" ht="56.25" customHeight="1">
      <c r="A860" s="5" t="s">
        <v>17136</v>
      </c>
      <c r="B860" s="6" t="str">
        <f>IMAGE("https://storage.googleapis.com/acdb/dresses/TopsTexOnepieceBoxHTiger3.png")</f>
        <v/>
      </c>
      <c r="C860" s="5" t="s">
        <v>69</v>
      </c>
      <c r="D860" s="5" t="s">
        <v>36</v>
      </c>
      <c r="E860" s="6">
        <v>1200.0</v>
      </c>
      <c r="F860" s="6">
        <v>300.0</v>
      </c>
      <c r="G860" s="5" t="s">
        <v>142</v>
      </c>
      <c r="H860" s="5" t="s">
        <v>69</v>
      </c>
      <c r="I860" s="6" t="s">
        <v>40</v>
      </c>
      <c r="J860" s="5" t="s">
        <v>8585</v>
      </c>
      <c r="K860" s="5" t="s">
        <v>8632</v>
      </c>
      <c r="L860" s="6" t="s">
        <v>42</v>
      </c>
      <c r="M860" s="5" t="s">
        <v>612</v>
      </c>
      <c r="N860" s="5" t="s">
        <v>64</v>
      </c>
      <c r="O860" s="5" t="s">
        <v>14332</v>
      </c>
      <c r="P860" s="5" t="s">
        <v>14345</v>
      </c>
      <c r="Q860" s="5" t="s">
        <v>17143</v>
      </c>
      <c r="R860" s="6">
        <v>8381.0</v>
      </c>
    </row>
    <row r="861" ht="56.25" customHeight="1">
      <c r="A861" s="5" t="s">
        <v>17136</v>
      </c>
      <c r="B861" s="6" t="str">
        <f>IMAGE("https://storage.googleapis.com/acdb/dresses/TopsTexOnepieceBoxHTiger4.png")</f>
        <v/>
      </c>
      <c r="C861" s="5" t="s">
        <v>114</v>
      </c>
      <c r="D861" s="5" t="s">
        <v>36</v>
      </c>
      <c r="E861" s="6">
        <v>1200.0</v>
      </c>
      <c r="F861" s="6">
        <v>300.0</v>
      </c>
      <c r="G861" s="5" t="s">
        <v>142</v>
      </c>
      <c r="H861" s="5" t="s">
        <v>114</v>
      </c>
      <c r="I861" s="6" t="s">
        <v>40</v>
      </c>
      <c r="J861" s="5" t="s">
        <v>8585</v>
      </c>
      <c r="K861" s="5" t="s">
        <v>8632</v>
      </c>
      <c r="L861" s="6" t="s">
        <v>42</v>
      </c>
      <c r="M861" s="5" t="s">
        <v>612</v>
      </c>
      <c r="N861" s="5" t="s">
        <v>64</v>
      </c>
      <c r="O861" s="5" t="s">
        <v>14332</v>
      </c>
      <c r="P861" s="5" t="s">
        <v>14345</v>
      </c>
      <c r="Q861" s="5" t="s">
        <v>17147</v>
      </c>
      <c r="R861" s="6">
        <v>8382.0</v>
      </c>
    </row>
    <row r="862" ht="56.25" customHeight="1">
      <c r="A862" s="5" t="s">
        <v>17136</v>
      </c>
      <c r="B862" s="6" t="str">
        <f>IMAGE("https://storage.googleapis.com/acdb/dresses/TopsTexOnepieceBoxHTiger0.png")</f>
        <v/>
      </c>
      <c r="C862" s="5" t="s">
        <v>54</v>
      </c>
      <c r="D862" s="5" t="s">
        <v>36</v>
      </c>
      <c r="E862" s="6">
        <v>1200.0</v>
      </c>
      <c r="F862" s="6">
        <v>300.0</v>
      </c>
      <c r="G862" s="5" t="s">
        <v>142</v>
      </c>
      <c r="H862" s="5" t="s">
        <v>54</v>
      </c>
      <c r="I862" s="6" t="s">
        <v>40</v>
      </c>
      <c r="J862" s="5" t="s">
        <v>8585</v>
      </c>
      <c r="K862" s="5" t="s">
        <v>8632</v>
      </c>
      <c r="L862" s="6" t="s">
        <v>42</v>
      </c>
      <c r="M862" s="5" t="s">
        <v>612</v>
      </c>
      <c r="N862" s="5" t="s">
        <v>64</v>
      </c>
      <c r="O862" s="5" t="s">
        <v>14332</v>
      </c>
      <c r="P862" s="5" t="s">
        <v>14345</v>
      </c>
      <c r="Q862" s="5" t="s">
        <v>17149</v>
      </c>
      <c r="R862" s="6">
        <v>4467.0</v>
      </c>
    </row>
    <row r="863" ht="56.25" customHeight="1">
      <c r="A863" s="5" t="s">
        <v>17136</v>
      </c>
      <c r="B863" s="6" t="str">
        <f>IMAGE("https://storage.googleapis.com/acdb/dresses/TopsTexOnepieceBoxHTiger1.png")</f>
        <v/>
      </c>
      <c r="C863" s="5" t="s">
        <v>57</v>
      </c>
      <c r="D863" s="5" t="s">
        <v>36</v>
      </c>
      <c r="E863" s="6">
        <v>1200.0</v>
      </c>
      <c r="F863" s="6">
        <v>300.0</v>
      </c>
      <c r="G863" s="5" t="s">
        <v>95</v>
      </c>
      <c r="H863" s="5" t="s">
        <v>57</v>
      </c>
      <c r="I863" s="6" t="s">
        <v>40</v>
      </c>
      <c r="J863" s="5" t="s">
        <v>8585</v>
      </c>
      <c r="K863" s="5" t="s">
        <v>8632</v>
      </c>
      <c r="L863" s="6" t="s">
        <v>42</v>
      </c>
      <c r="M863" s="5" t="s">
        <v>612</v>
      </c>
      <c r="N863" s="5" t="s">
        <v>64</v>
      </c>
      <c r="O863" s="5" t="s">
        <v>14332</v>
      </c>
      <c r="P863" s="5" t="s">
        <v>14345</v>
      </c>
      <c r="Q863" s="5" t="s">
        <v>17153</v>
      </c>
      <c r="R863" s="6">
        <v>8379.0</v>
      </c>
    </row>
    <row r="864" ht="56.25" customHeight="1">
      <c r="A864" s="5" t="s">
        <v>17154</v>
      </c>
      <c r="B864" s="6" t="str">
        <f>IMAGE("https://storage.googleapis.com/acdb/dresses/TopsTexOnepieceOverallLBondage1.png")</f>
        <v/>
      </c>
      <c r="C864" s="5" t="s">
        <v>52</v>
      </c>
      <c r="D864" s="5" t="s">
        <v>36</v>
      </c>
      <c r="E864" s="6">
        <v>1920.0</v>
      </c>
      <c r="F864" s="6">
        <v>480.0</v>
      </c>
      <c r="G864" s="5" t="s">
        <v>52</v>
      </c>
      <c r="H864" s="5" t="s">
        <v>52</v>
      </c>
      <c r="I864" s="6" t="s">
        <v>40</v>
      </c>
      <c r="J864" s="5" t="s">
        <v>8585</v>
      </c>
      <c r="K864" s="5" t="s">
        <v>8586</v>
      </c>
      <c r="L864" s="6" t="s">
        <v>42</v>
      </c>
      <c r="M864" s="5" t="s">
        <v>1952</v>
      </c>
      <c r="N864" s="5" t="s">
        <v>64</v>
      </c>
      <c r="O864" s="5" t="s">
        <v>14358</v>
      </c>
      <c r="P864" s="5" t="s">
        <v>14333</v>
      </c>
      <c r="Q864" s="5" t="s">
        <v>17156</v>
      </c>
      <c r="R864" s="6">
        <v>8571.0</v>
      </c>
    </row>
    <row r="865" ht="56.25" customHeight="1">
      <c r="A865" s="5" t="s">
        <v>17154</v>
      </c>
      <c r="B865" s="6" t="str">
        <f>IMAGE("https://storage.googleapis.com/acdb/dresses/TopsTexOnepieceOverallLBondage0.png")</f>
        <v/>
      </c>
      <c r="C865" s="5" t="s">
        <v>54</v>
      </c>
      <c r="D865" s="5" t="s">
        <v>36</v>
      </c>
      <c r="E865" s="6">
        <v>1920.0</v>
      </c>
      <c r="F865" s="6">
        <v>480.0</v>
      </c>
      <c r="G865" s="5" t="s">
        <v>54</v>
      </c>
      <c r="H865" s="5" t="s">
        <v>54</v>
      </c>
      <c r="I865" s="6" t="s">
        <v>40</v>
      </c>
      <c r="J865" s="5" t="s">
        <v>8585</v>
      </c>
      <c r="K865" s="5" t="s">
        <v>8586</v>
      </c>
      <c r="L865" s="6" t="s">
        <v>42</v>
      </c>
      <c r="M865" s="5" t="s">
        <v>1952</v>
      </c>
      <c r="N865" s="5" t="s">
        <v>64</v>
      </c>
      <c r="O865" s="5" t="s">
        <v>14358</v>
      </c>
      <c r="P865" s="5" t="s">
        <v>14333</v>
      </c>
      <c r="Q865" s="5" t="s">
        <v>17158</v>
      </c>
      <c r="R865" s="6">
        <v>4471.0</v>
      </c>
    </row>
    <row r="866" ht="56.25" customHeight="1">
      <c r="A866" s="5" t="s">
        <v>17159</v>
      </c>
      <c r="B866" s="6" t="str">
        <f>IMAGE("https://storage.googleapis.com/acdb/dresses/TopsTexOnepieceBlongHToga0.png")</f>
        <v/>
      </c>
      <c r="C866" s="5" t="s">
        <v>52</v>
      </c>
      <c r="D866" s="5" t="s">
        <v>36</v>
      </c>
      <c r="E866" s="6">
        <v>2520.0</v>
      </c>
      <c r="F866" s="6">
        <v>630.0</v>
      </c>
      <c r="G866" s="5" t="s">
        <v>52</v>
      </c>
      <c r="H866" s="5" t="s">
        <v>57</v>
      </c>
      <c r="I866" s="6" t="s">
        <v>40</v>
      </c>
      <c r="J866" s="5" t="s">
        <v>8585</v>
      </c>
      <c r="K866" s="5" t="s">
        <v>8586</v>
      </c>
      <c r="L866" s="6" t="s">
        <v>42</v>
      </c>
      <c r="M866" s="5" t="s">
        <v>1059</v>
      </c>
      <c r="N866" s="5" t="s">
        <v>64</v>
      </c>
      <c r="O866" s="5" t="s">
        <v>14396</v>
      </c>
      <c r="P866" s="5" t="s">
        <v>14345</v>
      </c>
      <c r="Q866" s="5" t="s">
        <v>17162</v>
      </c>
      <c r="R866" s="6">
        <v>3570.0</v>
      </c>
    </row>
    <row r="867" ht="56.25" customHeight="1">
      <c r="A867" s="5" t="s">
        <v>17159</v>
      </c>
      <c r="B867" s="6" t="str">
        <f>IMAGE("https://storage.googleapis.com/acdb/dresses/TopsTexOnepieceBlongHToga1.png")</f>
        <v/>
      </c>
      <c r="C867" s="5" t="s">
        <v>106</v>
      </c>
      <c r="D867" s="5" t="s">
        <v>36</v>
      </c>
      <c r="E867" s="6">
        <v>2520.0</v>
      </c>
      <c r="F867" s="6">
        <v>630.0</v>
      </c>
      <c r="G867" s="5" t="s">
        <v>106</v>
      </c>
      <c r="H867" s="5" t="s">
        <v>57</v>
      </c>
      <c r="I867" s="6" t="s">
        <v>40</v>
      </c>
      <c r="J867" s="5" t="s">
        <v>8585</v>
      </c>
      <c r="K867" s="5" t="s">
        <v>8586</v>
      </c>
      <c r="L867" s="6" t="s">
        <v>42</v>
      </c>
      <c r="M867" s="5" t="s">
        <v>1059</v>
      </c>
      <c r="N867" s="5" t="s">
        <v>64</v>
      </c>
      <c r="O867" s="5" t="s">
        <v>14396</v>
      </c>
      <c r="P867" s="5" t="s">
        <v>14345</v>
      </c>
      <c r="Q867" s="5" t="s">
        <v>17163</v>
      </c>
      <c r="R867" s="6">
        <v>8126.0</v>
      </c>
    </row>
    <row r="868" ht="56.25" customHeight="1">
      <c r="A868" s="5" t="s">
        <v>17164</v>
      </c>
      <c r="B868" s="6" t="str">
        <f>IMAGE("https://storage.googleapis.com/acdb/dresses/TopsTexOnepieceAlineNMuumuu1.png")</f>
        <v/>
      </c>
      <c r="C868" s="5" t="s">
        <v>57</v>
      </c>
      <c r="D868" s="5" t="s">
        <v>36</v>
      </c>
      <c r="E868" s="6">
        <v>1800.0</v>
      </c>
      <c r="F868" s="6">
        <v>450.0</v>
      </c>
      <c r="G868" s="5" t="s">
        <v>57</v>
      </c>
      <c r="H868" s="5" t="s">
        <v>114</v>
      </c>
      <c r="I868" s="6" t="s">
        <v>40</v>
      </c>
      <c r="J868" s="5" t="s">
        <v>8585</v>
      </c>
      <c r="K868" s="5" t="s">
        <v>8632</v>
      </c>
      <c r="L868" s="6" t="s">
        <v>42</v>
      </c>
      <c r="M868" s="5" t="s">
        <v>8746</v>
      </c>
      <c r="N868" s="5" t="s">
        <v>64</v>
      </c>
      <c r="O868" s="5" t="s">
        <v>14411</v>
      </c>
      <c r="P868" s="5" t="s">
        <v>14412</v>
      </c>
      <c r="Q868" s="5" t="s">
        <v>17167</v>
      </c>
      <c r="R868" s="6">
        <v>9576.0</v>
      </c>
    </row>
    <row r="869" ht="56.25" customHeight="1">
      <c r="A869" s="5" t="s">
        <v>17164</v>
      </c>
      <c r="B869" s="6" t="str">
        <f>IMAGE("https://storage.googleapis.com/acdb/dresses/TopsTexOnepieceAlineNMuumuu2.png")</f>
        <v/>
      </c>
      <c r="C869" s="5" t="s">
        <v>68</v>
      </c>
      <c r="D869" s="5" t="s">
        <v>36</v>
      </c>
      <c r="E869" s="6">
        <v>1800.0</v>
      </c>
      <c r="F869" s="6">
        <v>450.0</v>
      </c>
      <c r="G869" s="5" t="s">
        <v>68</v>
      </c>
      <c r="H869" s="5" t="s">
        <v>114</v>
      </c>
      <c r="I869" s="6" t="s">
        <v>40</v>
      </c>
      <c r="J869" s="5" t="s">
        <v>8585</v>
      </c>
      <c r="K869" s="5" t="s">
        <v>8632</v>
      </c>
      <c r="L869" s="6" t="s">
        <v>42</v>
      </c>
      <c r="M869" s="5" t="s">
        <v>8746</v>
      </c>
      <c r="N869" s="5" t="s">
        <v>64</v>
      </c>
      <c r="O869" s="5" t="s">
        <v>14411</v>
      </c>
      <c r="P869" s="5" t="s">
        <v>14412</v>
      </c>
      <c r="Q869" s="5" t="s">
        <v>17169</v>
      </c>
      <c r="R869" s="6">
        <v>9577.0</v>
      </c>
    </row>
    <row r="870" ht="56.25" customHeight="1">
      <c r="A870" s="5" t="s">
        <v>17164</v>
      </c>
      <c r="B870" s="6" t="str">
        <f>IMAGE("https://storage.googleapis.com/acdb/dresses/TopsTexOnepieceAlineNMuumuu3.png")</f>
        <v/>
      </c>
      <c r="C870" s="5" t="s">
        <v>114</v>
      </c>
      <c r="D870" s="5" t="s">
        <v>36</v>
      </c>
      <c r="E870" s="6">
        <v>1800.0</v>
      </c>
      <c r="F870" s="6">
        <v>450.0</v>
      </c>
      <c r="G870" s="5" t="s">
        <v>114</v>
      </c>
      <c r="H870" s="5" t="s">
        <v>114</v>
      </c>
      <c r="I870" s="6" t="s">
        <v>40</v>
      </c>
      <c r="J870" s="5" t="s">
        <v>8585</v>
      </c>
      <c r="K870" s="5" t="s">
        <v>8632</v>
      </c>
      <c r="L870" s="6" t="s">
        <v>42</v>
      </c>
      <c r="M870" s="5" t="s">
        <v>8746</v>
      </c>
      <c r="N870" s="5" t="s">
        <v>64</v>
      </c>
      <c r="O870" s="5" t="s">
        <v>14411</v>
      </c>
      <c r="P870" s="5" t="s">
        <v>14412</v>
      </c>
      <c r="Q870" s="5" t="s">
        <v>17173</v>
      </c>
      <c r="R870" s="6">
        <v>9578.0</v>
      </c>
    </row>
    <row r="871" ht="56.25" customHeight="1">
      <c r="A871" s="5" t="s">
        <v>17164</v>
      </c>
      <c r="B871" s="6" t="str">
        <f>IMAGE("https://storage.googleapis.com/acdb/dresses/TopsTexOnepieceAlineNMuumuu4.png")</f>
        <v/>
      </c>
      <c r="C871" s="5" t="s">
        <v>69</v>
      </c>
      <c r="D871" s="5" t="s">
        <v>36</v>
      </c>
      <c r="E871" s="6">
        <v>1800.0</v>
      </c>
      <c r="F871" s="6">
        <v>450.0</v>
      </c>
      <c r="G871" s="5" t="s">
        <v>69</v>
      </c>
      <c r="H871" s="5" t="s">
        <v>114</v>
      </c>
      <c r="I871" s="6" t="s">
        <v>40</v>
      </c>
      <c r="J871" s="5" t="s">
        <v>8585</v>
      </c>
      <c r="K871" s="5" t="s">
        <v>8632</v>
      </c>
      <c r="L871" s="6" t="s">
        <v>42</v>
      </c>
      <c r="M871" s="5" t="s">
        <v>8746</v>
      </c>
      <c r="N871" s="5" t="s">
        <v>64</v>
      </c>
      <c r="O871" s="5" t="s">
        <v>14411</v>
      </c>
      <c r="P871" s="5" t="s">
        <v>14412</v>
      </c>
      <c r="Q871" s="5" t="s">
        <v>17175</v>
      </c>
      <c r="R871" s="6">
        <v>9579.0</v>
      </c>
    </row>
    <row r="872" ht="56.25" customHeight="1">
      <c r="A872" s="5" t="s">
        <v>17164</v>
      </c>
      <c r="B872" s="6" t="str">
        <f>IMAGE("https://storage.googleapis.com/acdb/dresses/TopsTexOnepieceAlineNMuumuu0.png")</f>
        <v/>
      </c>
      <c r="C872" s="5" t="s">
        <v>9021</v>
      </c>
      <c r="D872" s="5" t="s">
        <v>36</v>
      </c>
      <c r="E872" s="6">
        <v>1800.0</v>
      </c>
      <c r="F872" s="6">
        <v>450.0</v>
      </c>
      <c r="G872" s="5" t="s">
        <v>96</v>
      </c>
      <c r="H872" s="5" t="s">
        <v>114</v>
      </c>
      <c r="I872" s="6" t="s">
        <v>40</v>
      </c>
      <c r="J872" s="5" t="s">
        <v>8585</v>
      </c>
      <c r="K872" s="5" t="s">
        <v>8632</v>
      </c>
      <c r="L872" s="6" t="s">
        <v>42</v>
      </c>
      <c r="M872" s="5" t="s">
        <v>8746</v>
      </c>
      <c r="N872" s="5" t="s">
        <v>64</v>
      </c>
      <c r="O872" s="5" t="s">
        <v>14411</v>
      </c>
      <c r="P872" s="5" t="s">
        <v>14412</v>
      </c>
      <c r="Q872" s="5" t="s">
        <v>17178</v>
      </c>
      <c r="R872" s="6">
        <v>2687.0</v>
      </c>
    </row>
    <row r="873" ht="56.25" customHeight="1">
      <c r="A873" s="5" t="s">
        <v>17179</v>
      </c>
      <c r="B873" s="6" t="str">
        <f>IMAGE("https://storage.googleapis.com/acdb/dresses/TopsTexOnepieceRibNTuna.png")</f>
        <v/>
      </c>
      <c r="C873" s="5" t="s">
        <v>57</v>
      </c>
      <c r="D873" s="5" t="s">
        <v>36</v>
      </c>
      <c r="E873" s="6">
        <v>1920.0</v>
      </c>
      <c r="F873" s="6">
        <v>480.0</v>
      </c>
      <c r="G873" s="5" t="s">
        <v>52</v>
      </c>
      <c r="H873" s="5" t="s">
        <v>57</v>
      </c>
      <c r="I873" s="6" t="s">
        <v>40</v>
      </c>
      <c r="J873" s="5" t="s">
        <v>8585</v>
      </c>
      <c r="K873" s="5" t="s">
        <v>8586</v>
      </c>
      <c r="L873" s="6" t="s">
        <v>42</v>
      </c>
      <c r="M873" s="5" t="s">
        <v>1959</v>
      </c>
      <c r="N873" s="5" t="s">
        <v>64</v>
      </c>
      <c r="O873" s="5" t="s">
        <v>14463</v>
      </c>
      <c r="P873" s="5" t="s">
        <v>14412</v>
      </c>
      <c r="Q873" s="5" t="s">
        <v>17181</v>
      </c>
      <c r="R873" s="6">
        <v>5615.0</v>
      </c>
    </row>
    <row r="874" ht="56.25" customHeight="1">
      <c r="A874" s="5" t="s">
        <v>17182</v>
      </c>
      <c r="B874" s="6" t="str">
        <f>IMAGE("https://storage.googleapis.com/acdb/dresses/TopsTexOnepieceAlineLTweed1.png")</f>
        <v/>
      </c>
      <c r="C874" s="5" t="s">
        <v>69</v>
      </c>
      <c r="D874" s="5" t="s">
        <v>36</v>
      </c>
      <c r="E874" s="6">
        <v>1600.0</v>
      </c>
      <c r="F874" s="6">
        <v>400.0</v>
      </c>
      <c r="G874" s="5" t="s">
        <v>69</v>
      </c>
      <c r="H874" s="5" t="s">
        <v>68</v>
      </c>
      <c r="I874" s="6" t="s">
        <v>40</v>
      </c>
      <c r="J874" s="5" t="s">
        <v>8585</v>
      </c>
      <c r="K874" s="5" t="s">
        <v>8632</v>
      </c>
      <c r="L874" s="6" t="s">
        <v>42</v>
      </c>
      <c r="M874" s="5" t="s">
        <v>1959</v>
      </c>
      <c r="N874" s="5" t="s">
        <v>64</v>
      </c>
      <c r="O874" s="5" t="s">
        <v>14411</v>
      </c>
      <c r="P874" s="5" t="s">
        <v>14333</v>
      </c>
      <c r="Q874" s="5" t="s">
        <v>17185</v>
      </c>
      <c r="R874" s="6">
        <v>8803.0</v>
      </c>
    </row>
    <row r="875" ht="56.25" customHeight="1">
      <c r="A875" s="5" t="s">
        <v>17182</v>
      </c>
      <c r="B875" s="6" t="str">
        <f>IMAGE("https://storage.googleapis.com/acdb/dresses/TopsTexOnepieceAlineLTweed2.png")</f>
        <v/>
      </c>
      <c r="C875" s="5" t="s">
        <v>68</v>
      </c>
      <c r="D875" s="5" t="s">
        <v>36</v>
      </c>
      <c r="E875" s="6">
        <v>1600.0</v>
      </c>
      <c r="F875" s="6">
        <v>400.0</v>
      </c>
      <c r="G875" s="5" t="s">
        <v>68</v>
      </c>
      <c r="H875" s="5" t="s">
        <v>114</v>
      </c>
      <c r="I875" s="6" t="s">
        <v>40</v>
      </c>
      <c r="J875" s="5" t="s">
        <v>8585</v>
      </c>
      <c r="K875" s="5" t="s">
        <v>8632</v>
      </c>
      <c r="L875" s="6" t="s">
        <v>42</v>
      </c>
      <c r="M875" s="5" t="s">
        <v>1959</v>
      </c>
      <c r="N875" s="5" t="s">
        <v>64</v>
      </c>
      <c r="O875" s="5" t="s">
        <v>14411</v>
      </c>
      <c r="P875" s="5" t="s">
        <v>14333</v>
      </c>
      <c r="Q875" s="5" t="s">
        <v>17187</v>
      </c>
      <c r="R875" s="6">
        <v>8804.0</v>
      </c>
    </row>
    <row r="876" ht="56.25" customHeight="1">
      <c r="A876" s="5" t="s">
        <v>17182</v>
      </c>
      <c r="B876" s="6" t="str">
        <f>IMAGE("https://storage.googleapis.com/acdb/dresses/TopsTexOnepieceAlineLTweed0.png")</f>
        <v/>
      </c>
      <c r="C876" s="5" t="s">
        <v>114</v>
      </c>
      <c r="D876" s="5" t="s">
        <v>36</v>
      </c>
      <c r="E876" s="6">
        <v>1600.0</v>
      </c>
      <c r="F876" s="6">
        <v>400.0</v>
      </c>
      <c r="G876" s="5" t="s">
        <v>114</v>
      </c>
      <c r="H876" s="5" t="s">
        <v>96</v>
      </c>
      <c r="I876" s="6" t="s">
        <v>40</v>
      </c>
      <c r="J876" s="5" t="s">
        <v>8585</v>
      </c>
      <c r="K876" s="5" t="s">
        <v>8632</v>
      </c>
      <c r="L876" s="6" t="s">
        <v>42</v>
      </c>
      <c r="M876" s="5" t="s">
        <v>1959</v>
      </c>
      <c r="N876" s="5" t="s">
        <v>64</v>
      </c>
      <c r="O876" s="5" t="s">
        <v>14411</v>
      </c>
      <c r="P876" s="5" t="s">
        <v>14333</v>
      </c>
      <c r="Q876" s="5" t="s">
        <v>17189</v>
      </c>
      <c r="R876" s="6">
        <v>2677.0</v>
      </c>
    </row>
    <row r="877" ht="56.25" customHeight="1">
      <c r="A877" s="5" t="s">
        <v>17190</v>
      </c>
      <c r="B877" s="6" t="str">
        <f>IMAGE("https://storage.googleapis.com/acdb/dresses/TopsTexOnepieceDressLMexico0.png")</f>
        <v/>
      </c>
      <c r="C877" s="5" t="s">
        <v>1187</v>
      </c>
      <c r="D877" s="5" t="s">
        <v>36</v>
      </c>
      <c r="E877" s="6">
        <v>2520.0</v>
      </c>
      <c r="F877" s="6">
        <v>630.0</v>
      </c>
      <c r="G877" s="5" t="s">
        <v>68</v>
      </c>
      <c r="H877" s="5" t="s">
        <v>54</v>
      </c>
      <c r="I877" s="6" t="s">
        <v>40</v>
      </c>
      <c r="J877" s="5" t="s">
        <v>8585</v>
      </c>
      <c r="K877" s="5" t="s">
        <v>8586</v>
      </c>
      <c r="L877" s="6" t="s">
        <v>42</v>
      </c>
      <c r="M877" s="5" t="s">
        <v>612</v>
      </c>
      <c r="N877" s="5" t="s">
        <v>64</v>
      </c>
      <c r="O877" s="5" t="s">
        <v>14841</v>
      </c>
      <c r="P877" s="5" t="s">
        <v>14333</v>
      </c>
      <c r="Q877" s="5" t="s">
        <v>17192</v>
      </c>
      <c r="R877" s="6">
        <v>9834.0</v>
      </c>
    </row>
    <row r="878" ht="56.25" customHeight="1">
      <c r="A878" s="5" t="s">
        <v>17190</v>
      </c>
      <c r="B878" s="6" t="str">
        <f>IMAGE("https://storage.googleapis.com/acdb/dresses/TopsTexOnepieceDressLMexico1.png")</f>
        <v/>
      </c>
      <c r="C878" s="5" t="s">
        <v>96</v>
      </c>
      <c r="D878" s="5" t="s">
        <v>36</v>
      </c>
      <c r="E878" s="6">
        <v>2520.0</v>
      </c>
      <c r="F878" s="6">
        <v>630.0</v>
      </c>
      <c r="G878" s="5" t="s">
        <v>96</v>
      </c>
      <c r="H878" s="5" t="s">
        <v>54</v>
      </c>
      <c r="I878" s="6" t="s">
        <v>40</v>
      </c>
      <c r="J878" s="5" t="s">
        <v>8585</v>
      </c>
      <c r="K878" s="5" t="s">
        <v>8586</v>
      </c>
      <c r="L878" s="6" t="s">
        <v>42</v>
      </c>
      <c r="M878" s="5" t="s">
        <v>612</v>
      </c>
      <c r="N878" s="5" t="s">
        <v>64</v>
      </c>
      <c r="O878" s="5" t="s">
        <v>14841</v>
      </c>
      <c r="P878" s="5" t="s">
        <v>14333</v>
      </c>
      <c r="Q878" s="5" t="s">
        <v>17193</v>
      </c>
      <c r="R878" s="6">
        <v>12078.0</v>
      </c>
    </row>
    <row r="879" ht="56.25" customHeight="1">
      <c r="A879" s="5" t="s">
        <v>17190</v>
      </c>
      <c r="B879" s="6" t="str">
        <f>IMAGE("https://storage.googleapis.com/acdb/dresses/TopsTexOnepieceDressLMexico2.png")</f>
        <v/>
      </c>
      <c r="C879" s="5" t="s">
        <v>38</v>
      </c>
      <c r="D879" s="5" t="s">
        <v>36</v>
      </c>
      <c r="E879" s="6">
        <v>2520.0</v>
      </c>
      <c r="F879" s="6">
        <v>630.0</v>
      </c>
      <c r="G879" s="5" t="s">
        <v>38</v>
      </c>
      <c r="H879" s="5" t="s">
        <v>54</v>
      </c>
      <c r="I879" s="6" t="s">
        <v>40</v>
      </c>
      <c r="J879" s="5" t="s">
        <v>8585</v>
      </c>
      <c r="K879" s="5" t="s">
        <v>8586</v>
      </c>
      <c r="L879" s="6" t="s">
        <v>42</v>
      </c>
      <c r="M879" s="5" t="s">
        <v>612</v>
      </c>
      <c r="N879" s="5" t="s">
        <v>64</v>
      </c>
      <c r="O879" s="5" t="s">
        <v>14841</v>
      </c>
      <c r="P879" s="5" t="s">
        <v>14333</v>
      </c>
      <c r="Q879" s="5" t="s">
        <v>17195</v>
      </c>
      <c r="R879" s="6">
        <v>12079.0</v>
      </c>
    </row>
    <row r="880" ht="56.25" customHeight="1">
      <c r="A880" s="5" t="s">
        <v>17190</v>
      </c>
      <c r="B880" s="6" t="str">
        <f>IMAGE("https://storage.googleapis.com/acdb/dresses/TopsTexOnepieceDressLMexico3.png")</f>
        <v/>
      </c>
      <c r="C880" s="5" t="s">
        <v>52</v>
      </c>
      <c r="D880" s="5" t="s">
        <v>36</v>
      </c>
      <c r="E880" s="6">
        <v>2520.0</v>
      </c>
      <c r="F880" s="6">
        <v>630.0</v>
      </c>
      <c r="G880" s="5" t="s">
        <v>52</v>
      </c>
      <c r="H880" s="5" t="s">
        <v>54</v>
      </c>
      <c r="I880" s="6" t="s">
        <v>40</v>
      </c>
      <c r="J880" s="5" t="s">
        <v>8585</v>
      </c>
      <c r="K880" s="5" t="s">
        <v>8586</v>
      </c>
      <c r="L880" s="6" t="s">
        <v>42</v>
      </c>
      <c r="M880" s="5" t="s">
        <v>612</v>
      </c>
      <c r="N880" s="5" t="s">
        <v>64</v>
      </c>
      <c r="O880" s="5" t="s">
        <v>14841</v>
      </c>
      <c r="P880" s="5" t="s">
        <v>14333</v>
      </c>
      <c r="Q880" s="5" t="s">
        <v>17197</v>
      </c>
      <c r="R880" s="6">
        <v>12080.0</v>
      </c>
    </row>
    <row r="881" ht="56.25" customHeight="1">
      <c r="A881" s="5" t="s">
        <v>17190</v>
      </c>
      <c r="B881" s="6" t="str">
        <f>IMAGE("https://storage.googleapis.com/acdb/dresses/TopsTexOnepieceDressLMexico4.png")</f>
        <v/>
      </c>
      <c r="C881" s="5" t="s">
        <v>68</v>
      </c>
      <c r="D881" s="5" t="s">
        <v>36</v>
      </c>
      <c r="E881" s="6">
        <v>2520.0</v>
      </c>
      <c r="F881" s="6">
        <v>630.0</v>
      </c>
      <c r="G881" s="5" t="s">
        <v>68</v>
      </c>
      <c r="H881" s="5" t="s">
        <v>54</v>
      </c>
      <c r="I881" s="6" t="s">
        <v>40</v>
      </c>
      <c r="J881" s="5" t="s">
        <v>8585</v>
      </c>
      <c r="K881" s="5" t="s">
        <v>8586</v>
      </c>
      <c r="L881" s="6" t="s">
        <v>42</v>
      </c>
      <c r="M881" s="5" t="s">
        <v>612</v>
      </c>
      <c r="N881" s="5" t="s">
        <v>64</v>
      </c>
      <c r="O881" s="5" t="s">
        <v>14841</v>
      </c>
      <c r="P881" s="5" t="s">
        <v>14333</v>
      </c>
      <c r="Q881" s="5" t="s">
        <v>17198</v>
      </c>
      <c r="R881" s="6">
        <v>12081.0</v>
      </c>
    </row>
    <row r="882" ht="56.25" customHeight="1">
      <c r="A882" s="5" t="s">
        <v>17190</v>
      </c>
      <c r="B882" s="6" t="str">
        <f>IMAGE("https://storage.googleapis.com/acdb/dresses/TopsTexOnepieceDressLMexico5.png")</f>
        <v/>
      </c>
      <c r="C882" s="5" t="s">
        <v>142</v>
      </c>
      <c r="D882" s="5" t="s">
        <v>36</v>
      </c>
      <c r="E882" s="6">
        <v>2520.0</v>
      </c>
      <c r="F882" s="6">
        <v>630.0</v>
      </c>
      <c r="G882" s="5" t="s">
        <v>142</v>
      </c>
      <c r="H882" s="5" t="s">
        <v>54</v>
      </c>
      <c r="I882" s="6" t="s">
        <v>40</v>
      </c>
      <c r="J882" s="5" t="s">
        <v>8585</v>
      </c>
      <c r="K882" s="5" t="s">
        <v>8586</v>
      </c>
      <c r="L882" s="6" t="s">
        <v>42</v>
      </c>
      <c r="M882" s="5" t="s">
        <v>612</v>
      </c>
      <c r="N882" s="5" t="s">
        <v>64</v>
      </c>
      <c r="O882" s="5" t="s">
        <v>14841</v>
      </c>
      <c r="P882" s="5" t="s">
        <v>14333</v>
      </c>
      <c r="Q882" s="5" t="s">
        <v>17202</v>
      </c>
      <c r="R882" s="6">
        <v>12082.0</v>
      </c>
    </row>
    <row r="883" ht="56.25" customHeight="1">
      <c r="A883" s="5" t="s">
        <v>17204</v>
      </c>
      <c r="B883" s="6" t="str">
        <f>IMAGE("https://storage.googleapis.com/acdb/dresses/TopsTexOnepieceBalloonHVisual0.png")</f>
        <v/>
      </c>
      <c r="C883" s="5" t="s">
        <v>54</v>
      </c>
      <c r="D883" s="5" t="s">
        <v>36</v>
      </c>
      <c r="E883" s="6">
        <v>2040.0</v>
      </c>
      <c r="F883" s="6">
        <v>510.0</v>
      </c>
      <c r="G883" s="5" t="s">
        <v>54</v>
      </c>
      <c r="H883" s="5" t="s">
        <v>54</v>
      </c>
      <c r="I883" s="6" t="s">
        <v>40</v>
      </c>
      <c r="J883" s="5" t="s">
        <v>8585</v>
      </c>
      <c r="K883" s="5" t="s">
        <v>8586</v>
      </c>
      <c r="L883" s="6" t="s">
        <v>42</v>
      </c>
      <c r="M883" s="5" t="s">
        <v>1952</v>
      </c>
      <c r="N883" s="5" t="s">
        <v>64</v>
      </c>
      <c r="O883" s="5" t="s">
        <v>14344</v>
      </c>
      <c r="P883" s="5" t="s">
        <v>14345</v>
      </c>
      <c r="Q883" s="5" t="s">
        <v>17207</v>
      </c>
      <c r="R883" s="6">
        <v>11179.0</v>
      </c>
    </row>
    <row r="884" ht="56.25" customHeight="1">
      <c r="A884" s="5" t="s">
        <v>17208</v>
      </c>
      <c r="B884" s="6" t="str">
        <f>IMAGE("https://storage.googleapis.com/acdb/dresses/TopsTexOnepieceOverallLVisualBlack.png")</f>
        <v/>
      </c>
      <c r="C884" s="5" t="s">
        <v>54</v>
      </c>
      <c r="D884" s="5" t="s">
        <v>36</v>
      </c>
      <c r="E884" s="6">
        <v>2040.0</v>
      </c>
      <c r="F884" s="6">
        <v>510.0</v>
      </c>
      <c r="G884" s="5" t="s">
        <v>54</v>
      </c>
      <c r="H884" s="5" t="s">
        <v>54</v>
      </c>
      <c r="I884" s="6" t="s">
        <v>40</v>
      </c>
      <c r="J884" s="5" t="s">
        <v>8585</v>
      </c>
      <c r="K884" s="5" t="s">
        <v>8586</v>
      </c>
      <c r="L884" s="6" t="s">
        <v>42</v>
      </c>
      <c r="M884" s="5" t="s">
        <v>1952</v>
      </c>
      <c r="N884" s="5" t="s">
        <v>64</v>
      </c>
      <c r="O884" s="5" t="s">
        <v>14358</v>
      </c>
      <c r="P884" s="5" t="s">
        <v>14333</v>
      </c>
      <c r="Q884" s="5" t="s">
        <v>17213</v>
      </c>
      <c r="R884" s="6">
        <v>4563.0</v>
      </c>
    </row>
    <row r="885" ht="56.25" customHeight="1">
      <c r="A885" s="5" t="s">
        <v>17214</v>
      </c>
      <c r="B885" s="6" t="str">
        <f>IMAGE("https://storage.googleapis.com/acdb/dresses/TopsTexOnepieceRibNEggfish0.png")</f>
        <v/>
      </c>
      <c r="C885" s="5" t="s">
        <v>44</v>
      </c>
      <c r="D885" s="5" t="s">
        <v>35</v>
      </c>
      <c r="E885" s="6" t="s">
        <v>37</v>
      </c>
      <c r="F885" s="6">
        <v>1200.0</v>
      </c>
      <c r="G885" s="5" t="s">
        <v>106</v>
      </c>
      <c r="H885" s="5" t="s">
        <v>38</v>
      </c>
      <c r="I885" s="6" t="s">
        <v>40</v>
      </c>
      <c r="J885" s="5" t="s">
        <v>41</v>
      </c>
      <c r="K885" s="5" t="s">
        <v>17218</v>
      </c>
      <c r="L885" s="6" t="s">
        <v>1410</v>
      </c>
      <c r="M885" s="5" t="s">
        <v>8746</v>
      </c>
      <c r="N885" s="5" t="s">
        <v>48</v>
      </c>
      <c r="O885" s="5" t="s">
        <v>14463</v>
      </c>
      <c r="P885" s="5" t="s">
        <v>14412</v>
      </c>
      <c r="Q885" s="5" t="s">
        <v>17220</v>
      </c>
      <c r="R885" s="6">
        <v>12454.0</v>
      </c>
    </row>
    <row r="886" ht="56.25" customHeight="1">
      <c r="A886" s="5" t="s">
        <v>17221</v>
      </c>
      <c r="B886" s="6" t="str">
        <f>IMAGE("https://storage.googleapis.com/acdb/dresses/TopsTexOnepieceAlineNWatermelon.png")</f>
        <v/>
      </c>
      <c r="C886" s="5" t="s">
        <v>52</v>
      </c>
      <c r="D886" s="5" t="s">
        <v>36</v>
      </c>
      <c r="E886" s="6">
        <v>1500.0</v>
      </c>
      <c r="F886" s="6">
        <v>375.0</v>
      </c>
      <c r="G886" s="5" t="s">
        <v>52</v>
      </c>
      <c r="H886" s="5" t="s">
        <v>96</v>
      </c>
      <c r="I886" s="6" t="s">
        <v>40</v>
      </c>
      <c r="J886" s="5" t="s">
        <v>8585</v>
      </c>
      <c r="K886" s="5" t="s">
        <v>8632</v>
      </c>
      <c r="L886" s="6" t="s">
        <v>42</v>
      </c>
      <c r="M886" s="5" t="s">
        <v>1959</v>
      </c>
      <c r="N886" s="5" t="s">
        <v>64</v>
      </c>
      <c r="O886" s="5" t="s">
        <v>14411</v>
      </c>
      <c r="P886" s="5" t="s">
        <v>14412</v>
      </c>
      <c r="Q886" s="5" t="s">
        <v>17226</v>
      </c>
      <c r="R886" s="6">
        <v>3287.0</v>
      </c>
    </row>
    <row r="887" ht="56.25" customHeight="1">
      <c r="A887" s="5" t="s">
        <v>17228</v>
      </c>
      <c r="B887" s="6" t="str">
        <f>IMAGE("https://storage.googleapis.com/acdb/dresses/TopsTexOnepieceRobeLWizard1.png")</f>
        <v/>
      </c>
      <c r="C887" s="5" t="s">
        <v>106</v>
      </c>
      <c r="D887" s="5" t="s">
        <v>36</v>
      </c>
      <c r="E887" s="6">
        <v>4000.0</v>
      </c>
      <c r="F887" s="6">
        <v>1000.0</v>
      </c>
      <c r="G887" s="5" t="s">
        <v>106</v>
      </c>
      <c r="H887" s="5" t="s">
        <v>114</v>
      </c>
      <c r="I887" s="6" t="s">
        <v>40</v>
      </c>
      <c r="J887" s="5" t="s">
        <v>8585</v>
      </c>
      <c r="K887" s="5" t="s">
        <v>8586</v>
      </c>
      <c r="L887" s="6" t="s">
        <v>42</v>
      </c>
      <c r="M887" s="5" t="s">
        <v>612</v>
      </c>
      <c r="N887" s="5" t="s">
        <v>64</v>
      </c>
      <c r="O887" s="5" t="s">
        <v>15520</v>
      </c>
      <c r="P887" s="5" t="s">
        <v>14333</v>
      </c>
      <c r="Q887" s="5" t="s">
        <v>17234</v>
      </c>
      <c r="R887" s="6">
        <v>8691.0</v>
      </c>
    </row>
    <row r="888" ht="56.25" customHeight="1">
      <c r="A888" s="5" t="s">
        <v>17228</v>
      </c>
      <c r="B888" s="6" t="str">
        <f>IMAGE("https://storage.googleapis.com/acdb/dresses/TopsTexOnepieceRobeLWizard0.png")</f>
        <v/>
      </c>
      <c r="C888" s="5" t="s">
        <v>68</v>
      </c>
      <c r="D888" s="5" t="s">
        <v>36</v>
      </c>
      <c r="E888" s="6">
        <v>4000.0</v>
      </c>
      <c r="F888" s="6">
        <v>1000.0</v>
      </c>
      <c r="G888" s="5" t="s">
        <v>68</v>
      </c>
      <c r="H888" s="5" t="s">
        <v>114</v>
      </c>
      <c r="I888" s="6" t="s">
        <v>40</v>
      </c>
      <c r="J888" s="5" t="s">
        <v>8585</v>
      </c>
      <c r="K888" s="5" t="s">
        <v>8586</v>
      </c>
      <c r="L888" s="6" t="s">
        <v>42</v>
      </c>
      <c r="M888" s="5" t="s">
        <v>612</v>
      </c>
      <c r="N888" s="5" t="s">
        <v>64</v>
      </c>
      <c r="O888" s="5" t="s">
        <v>15520</v>
      </c>
      <c r="P888" s="5" t="s">
        <v>14333</v>
      </c>
      <c r="Q888" s="5" t="s">
        <v>17238</v>
      </c>
      <c r="R888" s="6">
        <v>4273.0</v>
      </c>
    </row>
    <row r="889" ht="56.25" customHeight="1">
      <c r="A889" s="5" t="s">
        <v>17239</v>
      </c>
      <c r="B889" s="6" t="str">
        <f>IMAGE("https://storage.googleapis.com/acdb/dresses/TopsTexOnepieceRibNEggforest0.png")</f>
        <v/>
      </c>
      <c r="C889" s="5" t="s">
        <v>44</v>
      </c>
      <c r="D889" s="5" t="s">
        <v>35</v>
      </c>
      <c r="E889" s="6" t="s">
        <v>37</v>
      </c>
      <c r="F889" s="6">
        <v>1200.0</v>
      </c>
      <c r="G889" s="5" t="s">
        <v>142</v>
      </c>
      <c r="H889" s="5" t="s">
        <v>39</v>
      </c>
      <c r="I889" s="6" t="s">
        <v>40</v>
      </c>
      <c r="J889" s="5" t="s">
        <v>41</v>
      </c>
      <c r="K889" s="5" t="s">
        <v>17242</v>
      </c>
      <c r="L889" s="6" t="s">
        <v>1410</v>
      </c>
      <c r="M889" s="5" t="s">
        <v>8746</v>
      </c>
      <c r="N889" s="5" t="s">
        <v>48</v>
      </c>
      <c r="O889" s="5" t="s">
        <v>14463</v>
      </c>
      <c r="P889" s="5" t="s">
        <v>14412</v>
      </c>
      <c r="Q889" s="5" t="s">
        <v>17244</v>
      </c>
      <c r="R889" s="6">
        <v>12452.0</v>
      </c>
    </row>
    <row r="890" ht="56.25" customHeight="1">
      <c r="A890" s="5" t="s">
        <v>17245</v>
      </c>
      <c r="B890" s="6" t="str">
        <f>IMAGE("https://storage.googleapis.com/acdb/dresses/TopsTexOnepieceOverallNWrestling0.png")</f>
        <v/>
      </c>
      <c r="C890" s="5" t="s">
        <v>52</v>
      </c>
      <c r="D890" s="5" t="s">
        <v>36</v>
      </c>
      <c r="E890" s="6">
        <v>1600.0</v>
      </c>
      <c r="F890" s="6">
        <v>400.0</v>
      </c>
      <c r="G890" s="5" t="s">
        <v>52</v>
      </c>
      <c r="H890" s="5" t="s">
        <v>83</v>
      </c>
      <c r="I890" s="6" t="s">
        <v>40</v>
      </c>
      <c r="J890" s="5" t="s">
        <v>8585</v>
      </c>
      <c r="K890" s="5" t="s">
        <v>8586</v>
      </c>
      <c r="L890" s="6" t="s">
        <v>42</v>
      </c>
      <c r="M890" s="5" t="s">
        <v>8746</v>
      </c>
      <c r="N890" s="5" t="s">
        <v>64</v>
      </c>
      <c r="O890" s="5" t="s">
        <v>14358</v>
      </c>
      <c r="P890" s="5" t="s">
        <v>14412</v>
      </c>
      <c r="Q890" s="5" t="s">
        <v>17249</v>
      </c>
      <c r="R890" s="6">
        <v>3610.0</v>
      </c>
    </row>
    <row r="891" ht="56.25" customHeight="1">
      <c r="A891" s="5" t="s">
        <v>17245</v>
      </c>
      <c r="B891" s="6" t="str">
        <f>IMAGE("https://storage.googleapis.com/acdb/dresses/TopsTexOnepieceOverallNWrestling1.png")</f>
        <v/>
      </c>
      <c r="C891" s="5" t="s">
        <v>68</v>
      </c>
      <c r="D891" s="5" t="s">
        <v>36</v>
      </c>
      <c r="E891" s="6">
        <v>1600.0</v>
      </c>
      <c r="F891" s="6">
        <v>400.0</v>
      </c>
      <c r="G891" s="5" t="s">
        <v>68</v>
      </c>
      <c r="H891" s="5" t="s">
        <v>96</v>
      </c>
      <c r="I891" s="6" t="s">
        <v>40</v>
      </c>
      <c r="J891" s="5" t="s">
        <v>8585</v>
      </c>
      <c r="K891" s="5" t="s">
        <v>8586</v>
      </c>
      <c r="L891" s="6" t="s">
        <v>42</v>
      </c>
      <c r="M891" s="5" t="s">
        <v>8746</v>
      </c>
      <c r="N891" s="5" t="s">
        <v>64</v>
      </c>
      <c r="O891" s="5" t="s">
        <v>14358</v>
      </c>
      <c r="P891" s="5" t="s">
        <v>14412</v>
      </c>
      <c r="Q891" s="5" t="s">
        <v>17254</v>
      </c>
      <c r="R891" s="6">
        <v>8635.0</v>
      </c>
    </row>
    <row r="892" ht="56.25" customHeight="1">
      <c r="A892" s="5" t="s">
        <v>17245</v>
      </c>
      <c r="B892" s="6" t="str">
        <f>IMAGE("https://storage.googleapis.com/acdb/dresses/TopsTexOnepieceOverallNWrestling2.png")</f>
        <v/>
      </c>
      <c r="C892" s="5" t="s">
        <v>96</v>
      </c>
      <c r="D892" s="5" t="s">
        <v>36</v>
      </c>
      <c r="E892" s="6">
        <v>1600.0</v>
      </c>
      <c r="F892" s="6">
        <v>400.0</v>
      </c>
      <c r="G892" s="5" t="s">
        <v>96</v>
      </c>
      <c r="H892" s="5" t="s">
        <v>114</v>
      </c>
      <c r="I892" s="6" t="s">
        <v>40</v>
      </c>
      <c r="J892" s="5" t="s">
        <v>8585</v>
      </c>
      <c r="K892" s="5" t="s">
        <v>8586</v>
      </c>
      <c r="L892" s="6" t="s">
        <v>42</v>
      </c>
      <c r="M892" s="5" t="s">
        <v>8746</v>
      </c>
      <c r="N892" s="5" t="s">
        <v>64</v>
      </c>
      <c r="O892" s="5" t="s">
        <v>14358</v>
      </c>
      <c r="P892" s="5" t="s">
        <v>14412</v>
      </c>
      <c r="Q892" s="5" t="s">
        <v>17260</v>
      </c>
      <c r="R892" s="6">
        <v>8636.0</v>
      </c>
    </row>
    <row r="893" ht="56.25" customHeight="1">
      <c r="A893" s="5" t="s">
        <v>17245</v>
      </c>
      <c r="B893" s="6" t="str">
        <f>IMAGE("https://storage.googleapis.com/acdb/dresses/TopsTexOnepieceOverallNWrestling3.png")</f>
        <v/>
      </c>
      <c r="C893" s="5" t="s">
        <v>69</v>
      </c>
      <c r="D893" s="5" t="s">
        <v>36</v>
      </c>
      <c r="E893" s="6">
        <v>1600.0</v>
      </c>
      <c r="F893" s="6">
        <v>400.0</v>
      </c>
      <c r="G893" s="5" t="s">
        <v>69</v>
      </c>
      <c r="H893" s="5" t="s">
        <v>106</v>
      </c>
      <c r="I893" s="6" t="s">
        <v>40</v>
      </c>
      <c r="J893" s="5" t="s">
        <v>8585</v>
      </c>
      <c r="K893" s="5" t="s">
        <v>8586</v>
      </c>
      <c r="L893" s="6" t="s">
        <v>42</v>
      </c>
      <c r="M893" s="5" t="s">
        <v>8746</v>
      </c>
      <c r="N893" s="5" t="s">
        <v>64</v>
      </c>
      <c r="O893" s="5" t="s">
        <v>14358</v>
      </c>
      <c r="P893" s="5" t="s">
        <v>14412</v>
      </c>
      <c r="Q893" s="5" t="s">
        <v>17266</v>
      </c>
      <c r="R893" s="6">
        <v>8637.0</v>
      </c>
    </row>
    <row r="894" ht="56.25" customHeight="1">
      <c r="A894" s="5" t="s">
        <v>17245</v>
      </c>
      <c r="B894" s="6" t="str">
        <f>IMAGE("https://storage.googleapis.com/acdb/dresses/TopsTexOnepieceOverallNWrestling4.png")</f>
        <v/>
      </c>
      <c r="C894" s="5" t="s">
        <v>54</v>
      </c>
      <c r="D894" s="5" t="s">
        <v>36</v>
      </c>
      <c r="E894" s="6">
        <v>1600.0</v>
      </c>
      <c r="F894" s="6">
        <v>400.0</v>
      </c>
      <c r="G894" s="5" t="s">
        <v>54</v>
      </c>
      <c r="H894" s="5" t="s">
        <v>95</v>
      </c>
      <c r="I894" s="6" t="s">
        <v>40</v>
      </c>
      <c r="J894" s="5" t="s">
        <v>8585</v>
      </c>
      <c r="K894" s="5" t="s">
        <v>8586</v>
      </c>
      <c r="L894" s="6" t="s">
        <v>42</v>
      </c>
      <c r="M894" s="5" t="s">
        <v>8746</v>
      </c>
      <c r="N894" s="5" t="s">
        <v>64</v>
      </c>
      <c r="O894" s="5" t="s">
        <v>14358</v>
      </c>
      <c r="P894" s="5" t="s">
        <v>14412</v>
      </c>
      <c r="Q894" s="5" t="s">
        <v>17270</v>
      </c>
      <c r="R894" s="6">
        <v>8638.0</v>
      </c>
    </row>
    <row r="895" ht="56.25" customHeight="1">
      <c r="A895" s="5" t="s">
        <v>17245</v>
      </c>
      <c r="B895" s="6" t="str">
        <f>IMAGE("https://storage.googleapis.com/acdb/dresses/TopsTexOnepieceOverallNWrestling5.png")</f>
        <v/>
      </c>
      <c r="C895" s="5" t="s">
        <v>114</v>
      </c>
      <c r="D895" s="5" t="s">
        <v>36</v>
      </c>
      <c r="E895" s="6">
        <v>1600.0</v>
      </c>
      <c r="F895" s="6">
        <v>400.0</v>
      </c>
      <c r="G895" s="5" t="s">
        <v>114</v>
      </c>
      <c r="H895" s="5" t="s">
        <v>54</v>
      </c>
      <c r="I895" s="6" t="s">
        <v>40</v>
      </c>
      <c r="J895" s="5" t="s">
        <v>8585</v>
      </c>
      <c r="K895" s="5" t="s">
        <v>8586</v>
      </c>
      <c r="L895" s="6" t="s">
        <v>42</v>
      </c>
      <c r="M895" s="5" t="s">
        <v>8746</v>
      </c>
      <c r="N895" s="5" t="s">
        <v>64</v>
      </c>
      <c r="O895" s="5" t="s">
        <v>14358</v>
      </c>
      <c r="P895" s="5" t="s">
        <v>14412</v>
      </c>
      <c r="Q895" s="5" t="s">
        <v>17275</v>
      </c>
      <c r="R895" s="6">
        <v>8639.0</v>
      </c>
    </row>
    <row r="896" ht="56.25" customHeight="1">
      <c r="A896" s="5" t="s">
        <v>17276</v>
      </c>
      <c r="B896" s="6" t="str">
        <f>IMAGE("https://storage.googleapis.com/acdb/dresses/TopsTexOnepieceOverallNWrestler0.png")</f>
        <v/>
      </c>
      <c r="C896" s="5" t="s">
        <v>52</v>
      </c>
      <c r="D896" s="5" t="s">
        <v>36</v>
      </c>
      <c r="E896" s="6">
        <v>1540.0</v>
      </c>
      <c r="F896" s="6">
        <v>385.0</v>
      </c>
      <c r="G896" s="5" t="s">
        <v>52</v>
      </c>
      <c r="H896" s="5" t="s">
        <v>57</v>
      </c>
      <c r="I896" s="6" t="s">
        <v>40</v>
      </c>
      <c r="J896" s="5" t="s">
        <v>8585</v>
      </c>
      <c r="K896" s="5" t="s">
        <v>8586</v>
      </c>
      <c r="L896" s="6" t="s">
        <v>42</v>
      </c>
      <c r="M896" s="5" t="s">
        <v>8746</v>
      </c>
      <c r="N896" s="5" t="s">
        <v>64</v>
      </c>
      <c r="O896" s="5" t="s">
        <v>14358</v>
      </c>
      <c r="P896" s="5" t="s">
        <v>14412</v>
      </c>
      <c r="Q896" s="5" t="s">
        <v>17281</v>
      </c>
      <c r="R896" s="6">
        <v>5127.0</v>
      </c>
    </row>
    <row r="897" ht="56.25" customHeight="1">
      <c r="A897" s="5" t="s">
        <v>17276</v>
      </c>
      <c r="B897" s="6" t="str">
        <f>IMAGE("https://storage.googleapis.com/acdb/dresses/TopsTexOnepieceOverallNWrestler1.png")</f>
        <v/>
      </c>
      <c r="C897" s="5" t="s">
        <v>68</v>
      </c>
      <c r="D897" s="5" t="s">
        <v>36</v>
      </c>
      <c r="E897" s="6">
        <v>1540.0</v>
      </c>
      <c r="F897" s="6">
        <v>385.0</v>
      </c>
      <c r="G897" s="5" t="s">
        <v>68</v>
      </c>
      <c r="H897" s="5" t="s">
        <v>57</v>
      </c>
      <c r="I897" s="6" t="s">
        <v>40</v>
      </c>
      <c r="J897" s="5" t="s">
        <v>8585</v>
      </c>
      <c r="K897" s="5" t="s">
        <v>8586</v>
      </c>
      <c r="L897" s="6" t="s">
        <v>42</v>
      </c>
      <c r="M897" s="5" t="s">
        <v>8746</v>
      </c>
      <c r="N897" s="5" t="s">
        <v>64</v>
      </c>
      <c r="O897" s="5" t="s">
        <v>14358</v>
      </c>
      <c r="P897" s="5" t="s">
        <v>14412</v>
      </c>
      <c r="Q897" s="5" t="s">
        <v>17286</v>
      </c>
      <c r="R897" s="6">
        <v>8647.0</v>
      </c>
    </row>
    <row r="898" ht="56.25" customHeight="1">
      <c r="A898" s="5" t="s">
        <v>17276</v>
      </c>
      <c r="B898" s="6" t="str">
        <f>IMAGE("https://storage.googleapis.com/acdb/dresses/TopsTexOnepieceOverallNWrestler2.png")</f>
        <v/>
      </c>
      <c r="C898" s="5" t="s">
        <v>96</v>
      </c>
      <c r="D898" s="5" t="s">
        <v>36</v>
      </c>
      <c r="E898" s="6">
        <v>1540.0</v>
      </c>
      <c r="F898" s="6">
        <v>385.0</v>
      </c>
      <c r="G898" s="5" t="s">
        <v>96</v>
      </c>
      <c r="H898" s="5" t="s">
        <v>57</v>
      </c>
      <c r="I898" s="6" t="s">
        <v>40</v>
      </c>
      <c r="J898" s="5" t="s">
        <v>8585</v>
      </c>
      <c r="K898" s="5" t="s">
        <v>8586</v>
      </c>
      <c r="L898" s="6" t="s">
        <v>42</v>
      </c>
      <c r="M898" s="5" t="s">
        <v>8746</v>
      </c>
      <c r="N898" s="5" t="s">
        <v>64</v>
      </c>
      <c r="O898" s="5" t="s">
        <v>14358</v>
      </c>
      <c r="P898" s="5" t="s">
        <v>14412</v>
      </c>
      <c r="Q898" s="5" t="s">
        <v>17290</v>
      </c>
      <c r="R898" s="6">
        <v>8648.0</v>
      </c>
    </row>
    <row r="899" ht="56.25" customHeight="1">
      <c r="A899" s="5" t="s">
        <v>17292</v>
      </c>
      <c r="B899" s="6" t="str">
        <f>IMAGE("https://storage.googleapis.com/acdb/dresses/TopsTexOnepieceOverallLHero1.png")</f>
        <v/>
      </c>
      <c r="C899" s="5" t="s">
        <v>68</v>
      </c>
      <c r="D899" s="5" t="s">
        <v>36</v>
      </c>
      <c r="E899" s="6">
        <v>2760.0</v>
      </c>
      <c r="F899" s="6">
        <v>690.0</v>
      </c>
      <c r="G899" s="5" t="s">
        <v>68</v>
      </c>
      <c r="H899" s="5" t="s">
        <v>57</v>
      </c>
      <c r="I899" s="6" t="s">
        <v>40</v>
      </c>
      <c r="J899" s="5" t="s">
        <v>8585</v>
      </c>
      <c r="K899" s="5" t="s">
        <v>8632</v>
      </c>
      <c r="L899" s="6" t="s">
        <v>42</v>
      </c>
      <c r="M899" s="5" t="s">
        <v>8746</v>
      </c>
      <c r="N899" s="5" t="s">
        <v>64</v>
      </c>
      <c r="O899" s="5" t="s">
        <v>14358</v>
      </c>
      <c r="P899" s="5" t="s">
        <v>14333</v>
      </c>
      <c r="Q899" s="5" t="s">
        <v>17297</v>
      </c>
      <c r="R899" s="6">
        <v>11571.0</v>
      </c>
    </row>
    <row r="900" ht="56.25" customHeight="1">
      <c r="A900" s="5" t="s">
        <v>17292</v>
      </c>
      <c r="B900" s="6" t="str">
        <f>IMAGE("https://storage.googleapis.com/acdb/dresses/TopsTexOnepieceOverallLHero2.png")</f>
        <v/>
      </c>
      <c r="C900" s="5" t="s">
        <v>96</v>
      </c>
      <c r="D900" s="5" t="s">
        <v>36</v>
      </c>
      <c r="E900" s="6">
        <v>2760.0</v>
      </c>
      <c r="F900" s="6">
        <v>690.0</v>
      </c>
      <c r="G900" s="5" t="s">
        <v>96</v>
      </c>
      <c r="H900" s="5" t="s">
        <v>57</v>
      </c>
      <c r="I900" s="6" t="s">
        <v>40</v>
      </c>
      <c r="J900" s="5" t="s">
        <v>8585</v>
      </c>
      <c r="K900" s="5" t="s">
        <v>8632</v>
      </c>
      <c r="L900" s="6" t="s">
        <v>42</v>
      </c>
      <c r="M900" s="5" t="s">
        <v>8746</v>
      </c>
      <c r="N900" s="5" t="s">
        <v>64</v>
      </c>
      <c r="O900" s="5" t="s">
        <v>14358</v>
      </c>
      <c r="P900" s="5" t="s">
        <v>14333</v>
      </c>
      <c r="Q900" s="5" t="s">
        <v>17302</v>
      </c>
      <c r="R900" s="6">
        <v>11572.0</v>
      </c>
    </row>
    <row r="901" ht="56.25" customHeight="1">
      <c r="A901" s="5" t="s">
        <v>17292</v>
      </c>
      <c r="B901" s="6" t="str">
        <f>IMAGE("https://storage.googleapis.com/acdb/dresses/TopsTexOnepieceOverallLHero3.png")</f>
        <v/>
      </c>
      <c r="C901" s="5" t="s">
        <v>52</v>
      </c>
      <c r="D901" s="5" t="s">
        <v>36</v>
      </c>
      <c r="E901" s="6">
        <v>2760.0</v>
      </c>
      <c r="F901" s="6">
        <v>690.0</v>
      </c>
      <c r="G901" s="5" t="s">
        <v>52</v>
      </c>
      <c r="H901" s="5" t="s">
        <v>57</v>
      </c>
      <c r="I901" s="6" t="s">
        <v>40</v>
      </c>
      <c r="J901" s="5" t="s">
        <v>8585</v>
      </c>
      <c r="K901" s="5" t="s">
        <v>8632</v>
      </c>
      <c r="L901" s="6" t="s">
        <v>42</v>
      </c>
      <c r="M901" s="5" t="s">
        <v>8746</v>
      </c>
      <c r="N901" s="5" t="s">
        <v>64</v>
      </c>
      <c r="O901" s="5" t="s">
        <v>14358</v>
      </c>
      <c r="P901" s="5" t="s">
        <v>14333</v>
      </c>
      <c r="Q901" s="5" t="s">
        <v>17305</v>
      </c>
      <c r="R901" s="6">
        <v>11573.0</v>
      </c>
    </row>
    <row r="902" ht="56.25" customHeight="1">
      <c r="A902" s="5" t="s">
        <v>17292</v>
      </c>
      <c r="B902" s="6" t="str">
        <f>IMAGE("https://storage.googleapis.com/acdb/dresses/TopsTexOnepieceOverallLHero4.png")</f>
        <v/>
      </c>
      <c r="C902" s="5" t="s">
        <v>114</v>
      </c>
      <c r="D902" s="5" t="s">
        <v>36</v>
      </c>
      <c r="E902" s="6">
        <v>2760.0</v>
      </c>
      <c r="F902" s="6">
        <v>690.0</v>
      </c>
      <c r="G902" s="5" t="s">
        <v>114</v>
      </c>
      <c r="H902" s="5" t="s">
        <v>57</v>
      </c>
      <c r="I902" s="6" t="s">
        <v>40</v>
      </c>
      <c r="J902" s="5" t="s">
        <v>8585</v>
      </c>
      <c r="K902" s="5" t="s">
        <v>8632</v>
      </c>
      <c r="L902" s="6" t="s">
        <v>42</v>
      </c>
      <c r="M902" s="5" t="s">
        <v>8746</v>
      </c>
      <c r="N902" s="5" t="s">
        <v>64</v>
      </c>
      <c r="O902" s="5" t="s">
        <v>14358</v>
      </c>
      <c r="P902" s="5" t="s">
        <v>14333</v>
      </c>
      <c r="Q902" s="5" t="s">
        <v>17308</v>
      </c>
      <c r="R902" s="6">
        <v>11574.0</v>
      </c>
    </row>
    <row r="903" ht="56.25" customHeight="1">
      <c r="A903" s="5" t="s">
        <v>17292</v>
      </c>
      <c r="B903" s="6" t="str">
        <f>IMAGE("https://storage.googleapis.com/acdb/dresses/TopsTexOnepieceOverallLHero5.png")</f>
        <v/>
      </c>
      <c r="C903" s="5" t="s">
        <v>54</v>
      </c>
      <c r="D903" s="5" t="s">
        <v>36</v>
      </c>
      <c r="E903" s="6">
        <v>2760.0</v>
      </c>
      <c r="F903" s="6">
        <v>690.0</v>
      </c>
      <c r="G903" s="5" t="s">
        <v>54</v>
      </c>
      <c r="H903" s="5" t="s">
        <v>57</v>
      </c>
      <c r="I903" s="6" t="s">
        <v>40</v>
      </c>
      <c r="J903" s="5" t="s">
        <v>8585</v>
      </c>
      <c r="K903" s="5" t="s">
        <v>8632</v>
      </c>
      <c r="L903" s="6" t="s">
        <v>42</v>
      </c>
      <c r="M903" s="5" t="s">
        <v>8746</v>
      </c>
      <c r="N903" s="5" t="s">
        <v>64</v>
      </c>
      <c r="O903" s="5" t="s">
        <v>14358</v>
      </c>
      <c r="P903" s="5" t="s">
        <v>14333</v>
      </c>
      <c r="Q903" s="5" t="s">
        <v>17310</v>
      </c>
      <c r="R903" s="6">
        <v>11575.0</v>
      </c>
    </row>
    <row r="904" ht="56.25" customHeight="1">
      <c r="A904" s="5" t="s">
        <v>17292</v>
      </c>
      <c r="B904" s="6" t="str">
        <f>IMAGE("https://storage.googleapis.com/acdb/dresses/TopsTexOnepieceOverallLHero6.png")</f>
        <v/>
      </c>
      <c r="C904" s="5" t="s">
        <v>146</v>
      </c>
      <c r="D904" s="5" t="s">
        <v>36</v>
      </c>
      <c r="E904" s="6">
        <v>2760.0</v>
      </c>
      <c r="F904" s="6">
        <v>690.0</v>
      </c>
      <c r="G904" s="5" t="s">
        <v>95</v>
      </c>
      <c r="H904" s="5" t="s">
        <v>57</v>
      </c>
      <c r="I904" s="6" t="s">
        <v>40</v>
      </c>
      <c r="J904" s="5" t="s">
        <v>8585</v>
      </c>
      <c r="K904" s="5" t="s">
        <v>8632</v>
      </c>
      <c r="L904" s="6" t="s">
        <v>42</v>
      </c>
      <c r="M904" s="5" t="s">
        <v>8746</v>
      </c>
      <c r="N904" s="5" t="s">
        <v>64</v>
      </c>
      <c r="O904" s="5" t="s">
        <v>14358</v>
      </c>
      <c r="P904" s="5" t="s">
        <v>14333</v>
      </c>
      <c r="Q904" s="5" t="s">
        <v>17314</v>
      </c>
      <c r="R904" s="6">
        <v>11576.0</v>
      </c>
    </row>
    <row r="905" ht="56.25" customHeight="1">
      <c r="A905" s="5" t="s">
        <v>17292</v>
      </c>
      <c r="B905" s="6" t="str">
        <f>IMAGE("https://storage.googleapis.com/acdb/dresses/TopsTexOnepieceOverallLHero7.png")</f>
        <v/>
      </c>
      <c r="C905" s="5" t="s">
        <v>57</v>
      </c>
      <c r="D905" s="5" t="s">
        <v>36</v>
      </c>
      <c r="E905" s="6">
        <v>2760.0</v>
      </c>
      <c r="F905" s="6">
        <v>690.0</v>
      </c>
      <c r="G905" s="5" t="s">
        <v>57</v>
      </c>
      <c r="H905" s="5" t="s">
        <v>57</v>
      </c>
      <c r="I905" s="6" t="s">
        <v>40</v>
      </c>
      <c r="J905" s="5" t="s">
        <v>8585</v>
      </c>
      <c r="K905" s="5" t="s">
        <v>8632</v>
      </c>
      <c r="L905" s="6" t="s">
        <v>42</v>
      </c>
      <c r="M905" s="5" t="s">
        <v>8746</v>
      </c>
      <c r="N905" s="5" t="s">
        <v>64</v>
      </c>
      <c r="O905" s="5" t="s">
        <v>14358</v>
      </c>
      <c r="P905" s="5" t="s">
        <v>14333</v>
      </c>
      <c r="Q905" s="5" t="s">
        <v>17317</v>
      </c>
      <c r="R905" s="6">
        <v>11577.0</v>
      </c>
    </row>
    <row r="906" ht="56.25" customHeight="1">
      <c r="A906" s="5" t="s">
        <v>17292</v>
      </c>
      <c r="B906" s="6" t="str">
        <f>IMAGE("https://storage.googleapis.com/acdb/dresses/TopsTexOnepieceOverallLHero0.png")</f>
        <v/>
      </c>
      <c r="C906" s="5" t="s">
        <v>69</v>
      </c>
      <c r="D906" s="5" t="s">
        <v>36</v>
      </c>
      <c r="E906" s="6">
        <v>2760.0</v>
      </c>
      <c r="F906" s="6">
        <v>690.0</v>
      </c>
      <c r="G906" s="5" t="s">
        <v>69</v>
      </c>
      <c r="H906" s="5" t="s">
        <v>57</v>
      </c>
      <c r="I906" s="6" t="s">
        <v>40</v>
      </c>
      <c r="J906" s="5" t="s">
        <v>8585</v>
      </c>
      <c r="K906" s="5" t="s">
        <v>8632</v>
      </c>
      <c r="L906" s="6" t="s">
        <v>42</v>
      </c>
      <c r="M906" s="5" t="s">
        <v>8746</v>
      </c>
      <c r="N906" s="5" t="s">
        <v>64</v>
      </c>
      <c r="O906" s="5" t="s">
        <v>14358</v>
      </c>
      <c r="P906" s="5" t="s">
        <v>14333</v>
      </c>
      <c r="Q906" s="5" t="s">
        <v>17321</v>
      </c>
      <c r="R906" s="6">
        <v>3451.0</v>
      </c>
    </row>
    <row r="907" ht="56.25" customHeight="1">
      <c r="A907" s="5" t="s">
        <v>17322</v>
      </c>
      <c r="B907" s="6" t="str">
        <f>IMAGE("https://storage.googleapis.com/acdb/dresses/TopsTexOnepieceAlongNEthnic0.png")</f>
        <v/>
      </c>
      <c r="C907" s="5" t="s">
        <v>106</v>
      </c>
      <c r="D907" s="5" t="s">
        <v>36</v>
      </c>
      <c r="E907" s="6">
        <v>2000.0</v>
      </c>
      <c r="F907" s="6">
        <v>500.0</v>
      </c>
      <c r="G907" s="5" t="s">
        <v>106</v>
      </c>
      <c r="H907" s="5" t="s">
        <v>68</v>
      </c>
      <c r="I907" s="6" t="s">
        <v>40</v>
      </c>
      <c r="J907" s="5" t="s">
        <v>8585</v>
      </c>
      <c r="K907" s="5" t="s">
        <v>8632</v>
      </c>
      <c r="L907" s="6" t="s">
        <v>42</v>
      </c>
      <c r="M907" s="5" t="s">
        <v>1059</v>
      </c>
      <c r="N907" s="5" t="s">
        <v>64</v>
      </c>
      <c r="O907" s="5" t="s">
        <v>14574</v>
      </c>
      <c r="P907" s="5" t="s">
        <v>14412</v>
      </c>
      <c r="Q907" s="5" t="s">
        <v>17328</v>
      </c>
      <c r="R907" s="6">
        <v>4616.0</v>
      </c>
    </row>
    <row r="908" ht="56.25" customHeight="1">
      <c r="A908" s="5" t="s">
        <v>17322</v>
      </c>
      <c r="B908" s="6" t="str">
        <f>IMAGE("https://storage.googleapis.com/acdb/dresses/TopsTexOnepieceAlongNEthnic1.png")</f>
        <v/>
      </c>
      <c r="C908" s="5" t="s">
        <v>96</v>
      </c>
      <c r="D908" s="5" t="s">
        <v>36</v>
      </c>
      <c r="E908" s="6">
        <v>2000.0</v>
      </c>
      <c r="F908" s="6">
        <v>500.0</v>
      </c>
      <c r="G908" s="5" t="s">
        <v>96</v>
      </c>
      <c r="H908" s="5" t="s">
        <v>69</v>
      </c>
      <c r="I908" s="6" t="s">
        <v>40</v>
      </c>
      <c r="J908" s="5" t="s">
        <v>8585</v>
      </c>
      <c r="K908" s="5" t="s">
        <v>8632</v>
      </c>
      <c r="L908" s="6" t="s">
        <v>42</v>
      </c>
      <c r="M908" s="5" t="s">
        <v>1059</v>
      </c>
      <c r="N908" s="5" t="s">
        <v>64</v>
      </c>
      <c r="O908" s="5" t="s">
        <v>14574</v>
      </c>
      <c r="P908" s="5" t="s">
        <v>14412</v>
      </c>
      <c r="Q908" s="5" t="s">
        <v>17333</v>
      </c>
      <c r="R908" s="6">
        <v>8815.0</v>
      </c>
    </row>
    <row r="909" ht="56.25" customHeight="1">
      <c r="A909" s="5" t="s">
        <v>17322</v>
      </c>
      <c r="B909" s="6" t="str">
        <f>IMAGE("https://storage.googleapis.com/acdb/dresses/TopsTexOnepieceAlongNEthnic2.png")</f>
        <v/>
      </c>
      <c r="C909" s="5" t="s">
        <v>142</v>
      </c>
      <c r="D909" s="5" t="s">
        <v>36</v>
      </c>
      <c r="E909" s="6">
        <v>2000.0</v>
      </c>
      <c r="F909" s="6">
        <v>500.0</v>
      </c>
      <c r="G909" s="5" t="s">
        <v>142</v>
      </c>
      <c r="H909" s="5" t="s">
        <v>114</v>
      </c>
      <c r="I909" s="6" t="s">
        <v>40</v>
      </c>
      <c r="J909" s="5" t="s">
        <v>8585</v>
      </c>
      <c r="K909" s="5" t="s">
        <v>8632</v>
      </c>
      <c r="L909" s="6" t="s">
        <v>42</v>
      </c>
      <c r="M909" s="5" t="s">
        <v>1059</v>
      </c>
      <c r="N909" s="5" t="s">
        <v>64</v>
      </c>
      <c r="O909" s="5" t="s">
        <v>14574</v>
      </c>
      <c r="P909" s="5" t="s">
        <v>14412</v>
      </c>
      <c r="Q909" s="5" t="s">
        <v>17336</v>
      </c>
      <c r="R909" s="6">
        <v>8816.0</v>
      </c>
    </row>
    <row r="910" ht="56.25" customHeight="1">
      <c r="A910" s="5" t="s">
        <v>17322</v>
      </c>
      <c r="B910" s="6" t="str">
        <f>IMAGE("https://storage.googleapis.com/acdb/dresses/TopsTexOnepieceAlongNEthnic3.png")</f>
        <v/>
      </c>
      <c r="C910" s="5" t="s">
        <v>10486</v>
      </c>
      <c r="D910" s="5" t="s">
        <v>36</v>
      </c>
      <c r="E910" s="6">
        <v>2000.0</v>
      </c>
      <c r="F910" s="6">
        <v>500.0</v>
      </c>
      <c r="G910" s="5" t="s">
        <v>52</v>
      </c>
      <c r="H910" s="5" t="s">
        <v>57</v>
      </c>
      <c r="I910" s="6" t="s">
        <v>40</v>
      </c>
      <c r="J910" s="5" t="s">
        <v>8585</v>
      </c>
      <c r="K910" s="5" t="s">
        <v>8632</v>
      </c>
      <c r="L910" s="6" t="s">
        <v>42</v>
      </c>
      <c r="M910" s="5" t="s">
        <v>1059</v>
      </c>
      <c r="N910" s="5" t="s">
        <v>64</v>
      </c>
      <c r="O910" s="5" t="s">
        <v>14574</v>
      </c>
      <c r="P910" s="5" t="s">
        <v>14412</v>
      </c>
      <c r="Q910" s="5" t="s">
        <v>17340</v>
      </c>
      <c r="R910" s="6">
        <v>8817.0</v>
      </c>
    </row>
    <row r="911" ht="56.25" customHeight="1">
      <c r="A911" s="5" t="s">
        <v>17322</v>
      </c>
      <c r="B911" s="6" t="str">
        <f>IMAGE("https://storage.googleapis.com/acdb/dresses/TopsTexOnepieceAlongNEthnic4.png")</f>
        <v/>
      </c>
      <c r="C911" s="5" t="s">
        <v>1458</v>
      </c>
      <c r="D911" s="5" t="s">
        <v>36</v>
      </c>
      <c r="E911" s="6">
        <v>2000.0</v>
      </c>
      <c r="F911" s="6">
        <v>500.0</v>
      </c>
      <c r="G911" s="5" t="s">
        <v>96</v>
      </c>
      <c r="H911" s="5" t="s">
        <v>57</v>
      </c>
      <c r="I911" s="6" t="s">
        <v>40</v>
      </c>
      <c r="J911" s="5" t="s">
        <v>8585</v>
      </c>
      <c r="K911" s="5" t="s">
        <v>8632</v>
      </c>
      <c r="L911" s="6" t="s">
        <v>42</v>
      </c>
      <c r="M911" s="5" t="s">
        <v>1059</v>
      </c>
      <c r="N911" s="5" t="s">
        <v>64</v>
      </c>
      <c r="O911" s="5" t="s">
        <v>14574</v>
      </c>
      <c r="P911" s="5" t="s">
        <v>14412</v>
      </c>
      <c r="Q911" s="5" t="s">
        <v>17344</v>
      </c>
      <c r="R911" s="6">
        <v>8818.0</v>
      </c>
    </row>
    <row r="912" ht="56.25" customHeight="1">
      <c r="A912" s="5" t="s">
        <v>17322</v>
      </c>
      <c r="B912" s="6" t="str">
        <f>IMAGE("https://storage.googleapis.com/acdb/dresses/TopsTexOnepieceAlongNEthnic5.png")</f>
        <v/>
      </c>
      <c r="C912" s="5" t="s">
        <v>39</v>
      </c>
      <c r="D912" s="5" t="s">
        <v>36</v>
      </c>
      <c r="E912" s="6">
        <v>2000.0</v>
      </c>
      <c r="F912" s="6">
        <v>500.0</v>
      </c>
      <c r="G912" s="5" t="s">
        <v>39</v>
      </c>
      <c r="H912" s="5" t="s">
        <v>38</v>
      </c>
      <c r="I912" s="6" t="s">
        <v>40</v>
      </c>
      <c r="J912" s="5" t="s">
        <v>8585</v>
      </c>
      <c r="K912" s="5" t="s">
        <v>8632</v>
      </c>
      <c r="L912" s="6" t="s">
        <v>42</v>
      </c>
      <c r="M912" s="5" t="s">
        <v>1059</v>
      </c>
      <c r="N912" s="5" t="s">
        <v>64</v>
      </c>
      <c r="O912" s="5" t="s">
        <v>14574</v>
      </c>
      <c r="P912" s="5" t="s">
        <v>14412</v>
      </c>
      <c r="Q912" s="5" t="s">
        <v>17347</v>
      </c>
      <c r="R912" s="6">
        <v>8819.0</v>
      </c>
    </row>
  </sheetData>
  <customSheetViews>
    <customSheetView guid="{1655269C-F103-43E0-9DA3-959AAED839AC}" filter="1" showAutoFilter="1">
      <autoFilter ref="$A$1:$R$912">
        <filterColumn colId="14">
          <filters>
            <filter val="Dress"/>
          </filters>
        </filterColumn>
        <sortState ref="A1:R912">
          <sortCondition ref="A1:A912"/>
          <sortCondition ref="Q1:Q912"/>
        </sortState>
      </autoFilter>
    </customSheetView>
  </customSheetView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0"/>
  <cols>
    <col customWidth="1" min="1" max="1" width="14.43"/>
    <col customWidth="1" min="2" max="3" width="10.86"/>
    <col customWidth="1" min="4" max="4" width="4.43"/>
    <col customWidth="1" min="5" max="6" width="5.86"/>
    <col customWidth="1" min="7" max="8" width="8.0"/>
    <col customWidth="1" min="9" max="9" width="5.14"/>
    <col customWidth="1" min="10" max="10" width="12.29"/>
    <col customWidth="1" min="11" max="11" width="25.14"/>
    <col customWidth="1" min="12" max="12" width="8.0"/>
    <col customWidth="1" min="13" max="13" width="9.43"/>
    <col customWidth="1" min="14" max="14" width="8.0"/>
    <col customWidth="1" min="15" max="15" width="10.86"/>
    <col customWidth="1" min="16" max="16" width="8.0"/>
  </cols>
  <sheetData>
    <row r="1" ht="26.25" customHeight="1">
      <c r="A1" s="1" t="s">
        <v>0</v>
      </c>
      <c r="B1" s="2" t="s">
        <v>1</v>
      </c>
      <c r="C1" s="1" t="s">
        <v>2</v>
      </c>
      <c r="D1" s="1" t="s">
        <v>6</v>
      </c>
      <c r="E1" s="2" t="s">
        <v>10</v>
      </c>
      <c r="F1" s="2" t="s">
        <v>11</v>
      </c>
      <c r="G1" s="1" t="s">
        <v>12</v>
      </c>
      <c r="H1" s="1" t="s">
        <v>13</v>
      </c>
      <c r="I1" s="2" t="s">
        <v>14</v>
      </c>
      <c r="J1" s="1" t="s">
        <v>15</v>
      </c>
      <c r="K1" s="1" t="s">
        <v>16</v>
      </c>
      <c r="L1" s="2" t="s">
        <v>17</v>
      </c>
      <c r="M1" s="1" t="s">
        <v>8575</v>
      </c>
      <c r="N1" s="1" t="s">
        <v>26</v>
      </c>
      <c r="O1" s="1" t="s">
        <v>27</v>
      </c>
      <c r="P1" s="2" t="s">
        <v>29</v>
      </c>
    </row>
    <row r="2" ht="56.25" customHeight="1">
      <c r="A2" s="5" t="s">
        <v>15978</v>
      </c>
      <c r="B2" s="6" t="str">
        <f>IMAGE("https://storage.googleapis.com/acdb/headwear/CapHatAcorn1.png")</f>
        <v/>
      </c>
      <c r="C2" s="5" t="s">
        <v>8709</v>
      </c>
      <c r="D2" s="5" t="s">
        <v>36</v>
      </c>
      <c r="E2" s="6">
        <v>880.0</v>
      </c>
      <c r="F2" s="6">
        <v>220.0</v>
      </c>
      <c r="G2" s="5" t="s">
        <v>114</v>
      </c>
      <c r="H2" s="5" t="s">
        <v>114</v>
      </c>
      <c r="I2" s="6" t="s">
        <v>40</v>
      </c>
      <c r="J2" s="5" t="s">
        <v>8585</v>
      </c>
      <c r="K2" s="5" t="s">
        <v>8632</v>
      </c>
      <c r="L2" s="6" t="s">
        <v>42</v>
      </c>
      <c r="M2" s="5" t="s">
        <v>1959</v>
      </c>
      <c r="N2" s="5" t="s">
        <v>64</v>
      </c>
      <c r="O2" s="5" t="s">
        <v>15982</v>
      </c>
      <c r="P2" s="6">
        <v>10933.0</v>
      </c>
    </row>
    <row r="3" ht="56.25" customHeight="1">
      <c r="A3" s="5" t="s">
        <v>15978</v>
      </c>
      <c r="B3" s="6" t="str">
        <f>IMAGE("https://storage.googleapis.com/acdb/headwear/CapHatAcorn2.png")</f>
        <v/>
      </c>
      <c r="C3" s="5" t="s">
        <v>2222</v>
      </c>
      <c r="D3" s="5" t="s">
        <v>36</v>
      </c>
      <c r="E3" s="6">
        <v>880.0</v>
      </c>
      <c r="F3" s="6">
        <v>220.0</v>
      </c>
      <c r="G3" s="5" t="s">
        <v>96</v>
      </c>
      <c r="H3" s="5" t="s">
        <v>96</v>
      </c>
      <c r="I3" s="6" t="s">
        <v>40</v>
      </c>
      <c r="J3" s="5" t="s">
        <v>8585</v>
      </c>
      <c r="K3" s="5" t="s">
        <v>8632</v>
      </c>
      <c r="L3" s="6" t="s">
        <v>42</v>
      </c>
      <c r="M3" s="5" t="s">
        <v>1959</v>
      </c>
      <c r="N3" s="5" t="s">
        <v>64</v>
      </c>
      <c r="O3" s="5" t="s">
        <v>15986</v>
      </c>
      <c r="P3" s="6">
        <v>10934.0</v>
      </c>
    </row>
    <row r="4" ht="56.25" customHeight="1">
      <c r="A4" s="5" t="s">
        <v>15978</v>
      </c>
      <c r="B4" s="6" t="str">
        <f>IMAGE("https://storage.googleapis.com/acdb/headwear/CapHatAcorn3.png")</f>
        <v/>
      </c>
      <c r="C4" s="5" t="s">
        <v>4883</v>
      </c>
      <c r="D4" s="5" t="s">
        <v>36</v>
      </c>
      <c r="E4" s="6">
        <v>880.0</v>
      </c>
      <c r="F4" s="6">
        <v>220.0</v>
      </c>
      <c r="G4" s="5" t="s">
        <v>52</v>
      </c>
      <c r="H4" s="5" t="s">
        <v>52</v>
      </c>
      <c r="I4" s="6" t="s">
        <v>40</v>
      </c>
      <c r="J4" s="5" t="s">
        <v>8585</v>
      </c>
      <c r="K4" s="5" t="s">
        <v>8632</v>
      </c>
      <c r="L4" s="6" t="s">
        <v>42</v>
      </c>
      <c r="M4" s="5" t="s">
        <v>1959</v>
      </c>
      <c r="N4" s="5" t="s">
        <v>64</v>
      </c>
      <c r="O4" s="5" t="s">
        <v>15989</v>
      </c>
      <c r="P4" s="6">
        <v>10935.0</v>
      </c>
    </row>
    <row r="5" ht="56.25" customHeight="1">
      <c r="A5" s="5" t="s">
        <v>15978</v>
      </c>
      <c r="B5" s="6" t="str">
        <f>IMAGE("https://storage.googleapis.com/acdb/headwear/CapHatAcorn4.png")</f>
        <v/>
      </c>
      <c r="C5" s="5" t="s">
        <v>1187</v>
      </c>
      <c r="D5" s="5" t="s">
        <v>36</v>
      </c>
      <c r="E5" s="6">
        <v>880.0</v>
      </c>
      <c r="F5" s="6">
        <v>220.0</v>
      </c>
      <c r="G5" s="5" t="s">
        <v>68</v>
      </c>
      <c r="H5" s="5" t="s">
        <v>68</v>
      </c>
      <c r="I5" s="6" t="s">
        <v>40</v>
      </c>
      <c r="J5" s="5" t="s">
        <v>8585</v>
      </c>
      <c r="K5" s="5" t="s">
        <v>8632</v>
      </c>
      <c r="L5" s="6" t="s">
        <v>42</v>
      </c>
      <c r="M5" s="5" t="s">
        <v>1959</v>
      </c>
      <c r="N5" s="5" t="s">
        <v>64</v>
      </c>
      <c r="O5" s="5" t="s">
        <v>15993</v>
      </c>
      <c r="P5" s="6">
        <v>10936.0</v>
      </c>
    </row>
    <row r="6" ht="56.25" customHeight="1">
      <c r="A6" s="5" t="s">
        <v>15978</v>
      </c>
      <c r="B6" s="6" t="str">
        <f>IMAGE("https://storage.googleapis.com/acdb/headwear/CapHatAcorn5.png")</f>
        <v/>
      </c>
      <c r="C6" s="5" t="s">
        <v>307</v>
      </c>
      <c r="D6" s="5" t="s">
        <v>36</v>
      </c>
      <c r="E6" s="6">
        <v>880.0</v>
      </c>
      <c r="F6" s="6">
        <v>220.0</v>
      </c>
      <c r="G6" s="5" t="s">
        <v>38</v>
      </c>
      <c r="H6" s="5" t="s">
        <v>38</v>
      </c>
      <c r="I6" s="6" t="s">
        <v>40</v>
      </c>
      <c r="J6" s="5" t="s">
        <v>8585</v>
      </c>
      <c r="K6" s="5" t="s">
        <v>8632</v>
      </c>
      <c r="L6" s="6" t="s">
        <v>42</v>
      </c>
      <c r="M6" s="5" t="s">
        <v>1959</v>
      </c>
      <c r="N6" s="5" t="s">
        <v>64</v>
      </c>
      <c r="O6" s="5" t="s">
        <v>15997</v>
      </c>
      <c r="P6" s="6">
        <v>10937.0</v>
      </c>
    </row>
    <row r="7" ht="56.25" customHeight="1">
      <c r="A7" s="5" t="s">
        <v>15978</v>
      </c>
      <c r="B7" s="6" t="str">
        <f>IMAGE("https://storage.googleapis.com/acdb/headwear/CapHatAcorn0.png")</f>
        <v/>
      </c>
      <c r="C7" s="5" t="s">
        <v>15999</v>
      </c>
      <c r="D7" s="5" t="s">
        <v>36</v>
      </c>
      <c r="E7" s="6">
        <v>880.0</v>
      </c>
      <c r="F7" s="6">
        <v>220.0</v>
      </c>
      <c r="G7" s="5" t="s">
        <v>39</v>
      </c>
      <c r="H7" s="5" t="s">
        <v>39</v>
      </c>
      <c r="I7" s="6" t="s">
        <v>40</v>
      </c>
      <c r="J7" s="5" t="s">
        <v>8585</v>
      </c>
      <c r="K7" s="5" t="s">
        <v>8632</v>
      </c>
      <c r="L7" s="6" t="s">
        <v>42</v>
      </c>
      <c r="M7" s="5" t="s">
        <v>1959</v>
      </c>
      <c r="N7" s="5" t="s">
        <v>64</v>
      </c>
      <c r="O7" s="5" t="s">
        <v>16002</v>
      </c>
      <c r="P7" s="6">
        <v>5315.0</v>
      </c>
    </row>
    <row r="8" ht="56.25" customHeight="1">
      <c r="A8" s="5" t="s">
        <v>16003</v>
      </c>
      <c r="B8" s="6" t="str">
        <f>IMAGE("https://storage.googleapis.com/acdb/headwear/CapHatTyrolean1.png")</f>
        <v/>
      </c>
      <c r="C8" s="5" t="s">
        <v>68</v>
      </c>
      <c r="D8" s="5" t="s">
        <v>36</v>
      </c>
      <c r="E8" s="6" t="s">
        <v>37</v>
      </c>
      <c r="F8" s="6">
        <v>500.0</v>
      </c>
      <c r="G8" s="5" t="s">
        <v>68</v>
      </c>
      <c r="H8" s="5" t="s">
        <v>83</v>
      </c>
      <c r="I8" s="6" t="s">
        <v>40</v>
      </c>
      <c r="J8" s="5" t="s">
        <v>1284</v>
      </c>
      <c r="K8" s="5"/>
      <c r="L8" s="6" t="s">
        <v>42</v>
      </c>
      <c r="M8" s="5" t="s">
        <v>995</v>
      </c>
      <c r="N8" s="5" t="s">
        <v>48</v>
      </c>
      <c r="O8" s="5" t="s">
        <v>16006</v>
      </c>
      <c r="P8" s="6">
        <v>11884.0</v>
      </c>
    </row>
    <row r="9" ht="56.25" customHeight="1">
      <c r="A9" s="5" t="s">
        <v>16003</v>
      </c>
      <c r="B9" s="6" t="str">
        <f>IMAGE("https://storage.googleapis.com/acdb/headwear/CapHatTyrolean2.png")</f>
        <v/>
      </c>
      <c r="C9" s="5" t="s">
        <v>52</v>
      </c>
      <c r="D9" s="5" t="s">
        <v>36</v>
      </c>
      <c r="E9" s="6" t="s">
        <v>37</v>
      </c>
      <c r="F9" s="6">
        <v>500.0</v>
      </c>
      <c r="G9" s="5" t="s">
        <v>52</v>
      </c>
      <c r="H9" s="5" t="s">
        <v>69</v>
      </c>
      <c r="I9" s="6" t="s">
        <v>40</v>
      </c>
      <c r="J9" s="5" t="s">
        <v>1284</v>
      </c>
      <c r="K9" s="5"/>
      <c r="L9" s="6" t="s">
        <v>42</v>
      </c>
      <c r="M9" s="5" t="s">
        <v>995</v>
      </c>
      <c r="N9" s="5" t="s">
        <v>48</v>
      </c>
      <c r="O9" s="5" t="s">
        <v>16010</v>
      </c>
      <c r="P9" s="6">
        <v>11885.0</v>
      </c>
    </row>
    <row r="10" ht="56.25" customHeight="1">
      <c r="A10" s="5" t="s">
        <v>16003</v>
      </c>
      <c r="B10" s="6" t="str">
        <f>IMAGE("https://storage.googleapis.com/acdb/headwear/CapHatTyrolean0.png")</f>
        <v/>
      </c>
      <c r="C10" s="5" t="s">
        <v>96</v>
      </c>
      <c r="D10" s="5" t="s">
        <v>36</v>
      </c>
      <c r="E10" s="6" t="s">
        <v>37</v>
      </c>
      <c r="F10" s="6">
        <v>500.0</v>
      </c>
      <c r="G10" s="5" t="s">
        <v>96</v>
      </c>
      <c r="H10" s="5" t="s">
        <v>96</v>
      </c>
      <c r="I10" s="6" t="s">
        <v>40</v>
      </c>
      <c r="J10" s="5" t="s">
        <v>1284</v>
      </c>
      <c r="K10" s="5"/>
      <c r="L10" s="6" t="s">
        <v>42</v>
      </c>
      <c r="M10" s="5" t="s">
        <v>995</v>
      </c>
      <c r="N10" s="5" t="s">
        <v>48</v>
      </c>
      <c r="O10" s="5" t="s">
        <v>16013</v>
      </c>
      <c r="P10" s="6">
        <v>5295.0</v>
      </c>
    </row>
    <row r="11" ht="56.25" customHeight="1">
      <c r="A11" s="5" t="s">
        <v>16015</v>
      </c>
      <c r="B11" s="6" t="str">
        <f>IMAGE("https://storage.googleapis.com/acdb/headwear/CapHatKanboBlack.png")</f>
        <v/>
      </c>
      <c r="C11" s="5" t="s">
        <v>54</v>
      </c>
      <c r="D11" s="5" t="s">
        <v>36</v>
      </c>
      <c r="E11" s="6" t="s">
        <v>37</v>
      </c>
      <c r="F11" s="6">
        <v>800.0</v>
      </c>
      <c r="G11" s="5" t="s">
        <v>54</v>
      </c>
      <c r="H11" s="5" t="s">
        <v>54</v>
      </c>
      <c r="I11" s="6" t="s">
        <v>40</v>
      </c>
      <c r="J11" s="5" t="s">
        <v>1284</v>
      </c>
      <c r="K11" s="5"/>
      <c r="L11" s="6" t="s">
        <v>42</v>
      </c>
      <c r="M11" s="5" t="s">
        <v>1059</v>
      </c>
      <c r="N11" s="5" t="s">
        <v>48</v>
      </c>
      <c r="O11" s="5" t="s">
        <v>16019</v>
      </c>
      <c r="P11" s="6">
        <v>6048.0</v>
      </c>
    </row>
    <row r="12" ht="56.25" customHeight="1">
      <c r="A12" s="5" t="s">
        <v>16020</v>
      </c>
      <c r="B12" s="6" t="str">
        <f>IMAGE("https://storage.googleapis.com/acdb/headwear/CapHatApple0.png")</f>
        <v/>
      </c>
      <c r="C12" s="5" t="s">
        <v>52</v>
      </c>
      <c r="D12" s="5" t="s">
        <v>35</v>
      </c>
      <c r="E12" s="6" t="s">
        <v>37</v>
      </c>
      <c r="F12" s="6">
        <v>1000.0</v>
      </c>
      <c r="G12" s="5" t="s">
        <v>52</v>
      </c>
      <c r="H12" s="5" t="s">
        <v>114</v>
      </c>
      <c r="I12" s="6" t="s">
        <v>40</v>
      </c>
      <c r="J12" s="5" t="s">
        <v>41</v>
      </c>
      <c r="K12" s="5"/>
      <c r="L12" s="6" t="s">
        <v>42</v>
      </c>
      <c r="M12" s="5" t="s">
        <v>1959</v>
      </c>
      <c r="N12" s="5" t="s">
        <v>48</v>
      </c>
      <c r="O12" s="5" t="s">
        <v>16023</v>
      </c>
      <c r="P12" s="6">
        <v>9871.0</v>
      </c>
    </row>
    <row r="13" ht="56.25" customHeight="1">
      <c r="A13" s="5" t="s">
        <v>16025</v>
      </c>
      <c r="B13" s="6" t="str">
        <f>IMAGE("https://storage.googleapis.com/acdb/headwear/CapHatAlan1.png")</f>
        <v/>
      </c>
      <c r="C13" s="5" t="s">
        <v>52</v>
      </c>
      <c r="D13" s="5" t="s">
        <v>36</v>
      </c>
      <c r="E13" s="6">
        <v>880.0</v>
      </c>
      <c r="F13" s="6">
        <v>220.0</v>
      </c>
      <c r="G13" s="5" t="s">
        <v>52</v>
      </c>
      <c r="H13" s="5" t="s">
        <v>52</v>
      </c>
      <c r="I13" s="6" t="s">
        <v>40</v>
      </c>
      <c r="J13" s="5" t="s">
        <v>8585</v>
      </c>
      <c r="K13" s="5" t="s">
        <v>8632</v>
      </c>
      <c r="L13" s="6" t="s">
        <v>42</v>
      </c>
      <c r="M13" s="5" t="s">
        <v>995</v>
      </c>
      <c r="N13" s="5" t="s">
        <v>64</v>
      </c>
      <c r="O13" s="5" t="s">
        <v>16028</v>
      </c>
      <c r="P13" s="6">
        <v>12045.0</v>
      </c>
    </row>
    <row r="14" ht="56.25" customHeight="1">
      <c r="A14" s="5" t="s">
        <v>16025</v>
      </c>
      <c r="B14" s="6" t="str">
        <f>IMAGE("https://storage.googleapis.com/acdb/headwear/CapHatAlan2.png")</f>
        <v/>
      </c>
      <c r="C14" s="5" t="s">
        <v>68</v>
      </c>
      <c r="D14" s="5" t="s">
        <v>36</v>
      </c>
      <c r="E14" s="6">
        <v>880.0</v>
      </c>
      <c r="F14" s="6">
        <v>220.0</v>
      </c>
      <c r="G14" s="5" t="s">
        <v>68</v>
      </c>
      <c r="H14" s="5" t="s">
        <v>68</v>
      </c>
      <c r="I14" s="6" t="s">
        <v>40</v>
      </c>
      <c r="J14" s="5" t="s">
        <v>8585</v>
      </c>
      <c r="K14" s="5" t="s">
        <v>8632</v>
      </c>
      <c r="L14" s="6" t="s">
        <v>42</v>
      </c>
      <c r="M14" s="5" t="s">
        <v>995</v>
      </c>
      <c r="N14" s="5" t="s">
        <v>64</v>
      </c>
      <c r="O14" s="5" t="s">
        <v>16032</v>
      </c>
      <c r="P14" s="6">
        <v>12046.0</v>
      </c>
    </row>
    <row r="15" ht="56.25" customHeight="1">
      <c r="A15" s="5" t="s">
        <v>16025</v>
      </c>
      <c r="B15" s="6" t="str">
        <f>IMAGE("https://storage.googleapis.com/acdb/headwear/CapHatAlan3.png")</f>
        <v/>
      </c>
      <c r="C15" s="5" t="s">
        <v>96</v>
      </c>
      <c r="D15" s="5" t="s">
        <v>36</v>
      </c>
      <c r="E15" s="6">
        <v>880.0</v>
      </c>
      <c r="F15" s="6">
        <v>220.0</v>
      </c>
      <c r="G15" s="5" t="s">
        <v>96</v>
      </c>
      <c r="H15" s="5" t="s">
        <v>96</v>
      </c>
      <c r="I15" s="6" t="s">
        <v>40</v>
      </c>
      <c r="J15" s="5" t="s">
        <v>8585</v>
      </c>
      <c r="K15" s="5" t="s">
        <v>8632</v>
      </c>
      <c r="L15" s="6" t="s">
        <v>42</v>
      </c>
      <c r="M15" s="5" t="s">
        <v>995</v>
      </c>
      <c r="N15" s="5" t="s">
        <v>64</v>
      </c>
      <c r="O15" s="5" t="s">
        <v>16033</v>
      </c>
      <c r="P15" s="6">
        <v>12047.0</v>
      </c>
    </row>
    <row r="16" ht="56.25" customHeight="1">
      <c r="A16" s="5" t="s">
        <v>16025</v>
      </c>
      <c r="B16" s="6" t="str">
        <f>IMAGE("https://storage.googleapis.com/acdb/headwear/CapHatAlan0.png")</f>
        <v/>
      </c>
      <c r="C16" s="5" t="s">
        <v>57</v>
      </c>
      <c r="D16" s="5" t="s">
        <v>36</v>
      </c>
      <c r="E16" s="6">
        <v>880.0</v>
      </c>
      <c r="F16" s="6">
        <v>220.0</v>
      </c>
      <c r="G16" s="5" t="s">
        <v>57</v>
      </c>
      <c r="H16" s="5" t="s">
        <v>57</v>
      </c>
      <c r="I16" s="6" t="s">
        <v>40</v>
      </c>
      <c r="J16" s="5" t="s">
        <v>8585</v>
      </c>
      <c r="K16" s="5" t="s">
        <v>8632</v>
      </c>
      <c r="L16" s="6" t="s">
        <v>42</v>
      </c>
      <c r="M16" s="5" t="s">
        <v>995</v>
      </c>
      <c r="N16" s="5" t="s">
        <v>64</v>
      </c>
      <c r="O16" s="5" t="s">
        <v>16036</v>
      </c>
      <c r="P16" s="6">
        <v>9864.0</v>
      </c>
    </row>
    <row r="17" ht="56.25" customHeight="1">
      <c r="A17" s="5" t="s">
        <v>16038</v>
      </c>
      <c r="B17" s="6" t="str">
        <f>IMAGE("https://storage.googleapis.com/acdb/headwear/CapBangsBonnet1.png")</f>
        <v/>
      </c>
      <c r="C17" s="5" t="s">
        <v>14432</v>
      </c>
      <c r="D17" s="5" t="s">
        <v>36</v>
      </c>
      <c r="E17" s="6">
        <v>560.0</v>
      </c>
      <c r="F17" s="6">
        <v>140.0</v>
      </c>
      <c r="G17" s="5" t="s">
        <v>69</v>
      </c>
      <c r="H17" s="5" t="s">
        <v>57</v>
      </c>
      <c r="I17" s="6" t="s">
        <v>40</v>
      </c>
      <c r="J17" s="5" t="s">
        <v>8585</v>
      </c>
      <c r="K17" s="5" t="s">
        <v>8586</v>
      </c>
      <c r="L17" s="6" t="s">
        <v>42</v>
      </c>
      <c r="M17" s="5" t="s">
        <v>1959</v>
      </c>
      <c r="N17" s="5" t="s">
        <v>64</v>
      </c>
      <c r="O17" s="5" t="s">
        <v>16041</v>
      </c>
      <c r="P17" s="6">
        <v>11853.0</v>
      </c>
    </row>
    <row r="18" ht="56.25" customHeight="1">
      <c r="A18" s="5" t="s">
        <v>16038</v>
      </c>
      <c r="B18" s="6" t="str">
        <f>IMAGE("https://storage.googleapis.com/acdb/headwear/CapBangsBonnet2.png")</f>
        <v/>
      </c>
      <c r="C18" s="5" t="s">
        <v>14436</v>
      </c>
      <c r="D18" s="5" t="s">
        <v>36</v>
      </c>
      <c r="E18" s="6">
        <v>560.0</v>
      </c>
      <c r="F18" s="6">
        <v>140.0</v>
      </c>
      <c r="G18" s="5" t="s">
        <v>114</v>
      </c>
      <c r="H18" s="5" t="s">
        <v>57</v>
      </c>
      <c r="I18" s="6" t="s">
        <v>40</v>
      </c>
      <c r="J18" s="5" t="s">
        <v>8585</v>
      </c>
      <c r="K18" s="5" t="s">
        <v>8586</v>
      </c>
      <c r="L18" s="6" t="s">
        <v>42</v>
      </c>
      <c r="M18" s="5" t="s">
        <v>1959</v>
      </c>
      <c r="N18" s="5" t="s">
        <v>64</v>
      </c>
      <c r="O18" s="5" t="s">
        <v>16044</v>
      </c>
      <c r="P18" s="6">
        <v>11854.0</v>
      </c>
    </row>
    <row r="19" ht="56.25" customHeight="1">
      <c r="A19" s="5" t="s">
        <v>16038</v>
      </c>
      <c r="B19" s="6" t="str">
        <f>IMAGE("https://storage.googleapis.com/acdb/headwear/CapBangsBonnet3.png")</f>
        <v/>
      </c>
      <c r="C19" s="5" t="s">
        <v>14444</v>
      </c>
      <c r="D19" s="5" t="s">
        <v>36</v>
      </c>
      <c r="E19" s="6">
        <v>560.0</v>
      </c>
      <c r="F19" s="6">
        <v>140.0</v>
      </c>
      <c r="G19" s="5" t="s">
        <v>96</v>
      </c>
      <c r="H19" s="5" t="s">
        <v>57</v>
      </c>
      <c r="I19" s="6" t="s">
        <v>40</v>
      </c>
      <c r="J19" s="5" t="s">
        <v>8585</v>
      </c>
      <c r="K19" s="5" t="s">
        <v>8586</v>
      </c>
      <c r="L19" s="6" t="s">
        <v>42</v>
      </c>
      <c r="M19" s="5" t="s">
        <v>1959</v>
      </c>
      <c r="N19" s="5" t="s">
        <v>64</v>
      </c>
      <c r="O19" s="5" t="s">
        <v>16049</v>
      </c>
      <c r="P19" s="6">
        <v>11855.0</v>
      </c>
    </row>
    <row r="20" ht="56.25" customHeight="1">
      <c r="A20" s="5" t="s">
        <v>16038</v>
      </c>
      <c r="B20" s="6" t="str">
        <f>IMAGE("https://storage.googleapis.com/acdb/headwear/CapBangsBonnet4.png")</f>
        <v/>
      </c>
      <c r="C20" s="5" t="s">
        <v>14447</v>
      </c>
      <c r="D20" s="5" t="s">
        <v>36</v>
      </c>
      <c r="E20" s="6">
        <v>560.0</v>
      </c>
      <c r="F20" s="6">
        <v>140.0</v>
      </c>
      <c r="G20" s="5" t="s">
        <v>52</v>
      </c>
      <c r="H20" s="5" t="s">
        <v>57</v>
      </c>
      <c r="I20" s="6" t="s">
        <v>40</v>
      </c>
      <c r="J20" s="5" t="s">
        <v>8585</v>
      </c>
      <c r="K20" s="5" t="s">
        <v>8586</v>
      </c>
      <c r="L20" s="6" t="s">
        <v>42</v>
      </c>
      <c r="M20" s="5" t="s">
        <v>1959</v>
      </c>
      <c r="N20" s="5" t="s">
        <v>64</v>
      </c>
      <c r="O20" s="5" t="s">
        <v>16051</v>
      </c>
      <c r="P20" s="6">
        <v>11856.0</v>
      </c>
    </row>
    <row r="21" ht="56.25" customHeight="1">
      <c r="A21" s="5" t="s">
        <v>16038</v>
      </c>
      <c r="B21" s="6" t="str">
        <f>IMAGE("https://storage.googleapis.com/acdb/headwear/CapBangsBonnet5.png")</f>
        <v/>
      </c>
      <c r="C21" s="5" t="s">
        <v>14449</v>
      </c>
      <c r="D21" s="5" t="s">
        <v>36</v>
      </c>
      <c r="E21" s="6">
        <v>560.0</v>
      </c>
      <c r="F21" s="6">
        <v>140.0</v>
      </c>
      <c r="G21" s="5" t="s">
        <v>38</v>
      </c>
      <c r="H21" s="5" t="s">
        <v>57</v>
      </c>
      <c r="I21" s="6" t="s">
        <v>40</v>
      </c>
      <c r="J21" s="5" t="s">
        <v>8585</v>
      </c>
      <c r="K21" s="5" t="s">
        <v>8586</v>
      </c>
      <c r="L21" s="6" t="s">
        <v>42</v>
      </c>
      <c r="M21" s="5" t="s">
        <v>1959</v>
      </c>
      <c r="N21" s="5" t="s">
        <v>64</v>
      </c>
      <c r="O21" s="5" t="s">
        <v>16055</v>
      </c>
      <c r="P21" s="6">
        <v>11857.0</v>
      </c>
    </row>
    <row r="22" ht="56.25" customHeight="1">
      <c r="A22" s="5" t="s">
        <v>16038</v>
      </c>
      <c r="B22" s="6" t="str">
        <f>IMAGE("https://storage.googleapis.com/acdb/headwear/CapBangsBonnet6.png")</f>
        <v/>
      </c>
      <c r="C22" s="5" t="s">
        <v>14454</v>
      </c>
      <c r="D22" s="5" t="s">
        <v>36</v>
      </c>
      <c r="E22" s="6">
        <v>560.0</v>
      </c>
      <c r="F22" s="6">
        <v>140.0</v>
      </c>
      <c r="G22" s="5" t="s">
        <v>68</v>
      </c>
      <c r="H22" s="5" t="s">
        <v>57</v>
      </c>
      <c r="I22" s="6" t="s">
        <v>40</v>
      </c>
      <c r="J22" s="5" t="s">
        <v>8585</v>
      </c>
      <c r="K22" s="5" t="s">
        <v>8586</v>
      </c>
      <c r="L22" s="6" t="s">
        <v>42</v>
      </c>
      <c r="M22" s="5" t="s">
        <v>1959</v>
      </c>
      <c r="N22" s="5" t="s">
        <v>64</v>
      </c>
      <c r="O22" s="5" t="s">
        <v>16059</v>
      </c>
      <c r="P22" s="6">
        <v>11858.0</v>
      </c>
    </row>
    <row r="23" ht="56.25" customHeight="1">
      <c r="A23" s="5" t="s">
        <v>16038</v>
      </c>
      <c r="B23" s="6" t="str">
        <f>IMAGE("https://storage.googleapis.com/acdb/headwear/CapBangsBonnet7.png")</f>
        <v/>
      </c>
      <c r="C23" s="5" t="s">
        <v>14457</v>
      </c>
      <c r="D23" s="5" t="s">
        <v>36</v>
      </c>
      <c r="E23" s="6">
        <v>560.0</v>
      </c>
      <c r="F23" s="6">
        <v>140.0</v>
      </c>
      <c r="G23" s="5" t="s">
        <v>142</v>
      </c>
      <c r="H23" s="5" t="s">
        <v>57</v>
      </c>
      <c r="I23" s="6" t="s">
        <v>40</v>
      </c>
      <c r="J23" s="5" t="s">
        <v>8585</v>
      </c>
      <c r="K23" s="5" t="s">
        <v>8586</v>
      </c>
      <c r="L23" s="6" t="s">
        <v>42</v>
      </c>
      <c r="M23" s="5" t="s">
        <v>1959</v>
      </c>
      <c r="N23" s="5" t="s">
        <v>64</v>
      </c>
      <c r="O23" s="5" t="s">
        <v>16062</v>
      </c>
      <c r="P23" s="6">
        <v>11859.0</v>
      </c>
    </row>
    <row r="24" ht="56.25" customHeight="1">
      <c r="A24" s="5" t="s">
        <v>16038</v>
      </c>
      <c r="B24" s="6" t="str">
        <f>IMAGE("https://storage.googleapis.com/acdb/headwear/CapBangsBonnet0.png")</f>
        <v/>
      </c>
      <c r="C24" s="5" t="s">
        <v>14440</v>
      </c>
      <c r="D24" s="5" t="s">
        <v>36</v>
      </c>
      <c r="E24" s="6">
        <v>560.0</v>
      </c>
      <c r="F24" s="6">
        <v>140.0</v>
      </c>
      <c r="G24" s="5" t="s">
        <v>83</v>
      </c>
      <c r="H24" s="5" t="s">
        <v>57</v>
      </c>
      <c r="I24" s="6" t="s">
        <v>40</v>
      </c>
      <c r="J24" s="5" t="s">
        <v>8585</v>
      </c>
      <c r="K24" s="5" t="s">
        <v>8586</v>
      </c>
      <c r="L24" s="6" t="s">
        <v>42</v>
      </c>
      <c r="M24" s="5" t="s">
        <v>1959</v>
      </c>
      <c r="N24" s="5" t="s">
        <v>64</v>
      </c>
      <c r="O24" s="5" t="s">
        <v>16065</v>
      </c>
      <c r="P24" s="6">
        <v>5363.0</v>
      </c>
    </row>
    <row r="25" ht="56.25" customHeight="1">
      <c r="A25" s="5" t="s">
        <v>16066</v>
      </c>
      <c r="B25" s="6" t="str">
        <f>IMAGE("https://storage.googleapis.com/acdb/headwear/CapHatBalloon3.png")</f>
        <v/>
      </c>
      <c r="C25" s="5" t="s">
        <v>96</v>
      </c>
      <c r="D25" s="5" t="s">
        <v>36</v>
      </c>
      <c r="E25" s="6">
        <v>1120.0</v>
      </c>
      <c r="F25" s="6">
        <v>280.0</v>
      </c>
      <c r="G25" s="5" t="s">
        <v>96</v>
      </c>
      <c r="H25" s="5" t="s">
        <v>114</v>
      </c>
      <c r="I25" s="6" t="s">
        <v>40</v>
      </c>
      <c r="J25" s="5" t="s">
        <v>8585</v>
      </c>
      <c r="K25" s="5" t="s">
        <v>8586</v>
      </c>
      <c r="L25" s="6" t="s">
        <v>42</v>
      </c>
      <c r="M25" s="5" t="s">
        <v>8746</v>
      </c>
      <c r="N25" s="5" t="s">
        <v>64</v>
      </c>
      <c r="O25" s="5" t="s">
        <v>16071</v>
      </c>
      <c r="P25" s="6">
        <v>11052.0</v>
      </c>
    </row>
    <row r="26" ht="56.25" customHeight="1">
      <c r="A26" s="5" t="s">
        <v>16066</v>
      </c>
      <c r="B26" s="6" t="str">
        <f>IMAGE("https://storage.googleapis.com/acdb/headwear/CapHatBalloon0.png")</f>
        <v/>
      </c>
      <c r="C26" s="5" t="s">
        <v>5876</v>
      </c>
      <c r="D26" s="5" t="s">
        <v>36</v>
      </c>
      <c r="E26" s="6">
        <v>1120.0</v>
      </c>
      <c r="F26" s="6">
        <v>280.0</v>
      </c>
      <c r="G26" s="5" t="s">
        <v>58</v>
      </c>
      <c r="H26" s="5" t="s">
        <v>58</v>
      </c>
      <c r="I26" s="6" t="s">
        <v>40</v>
      </c>
      <c r="J26" s="5" t="s">
        <v>8585</v>
      </c>
      <c r="K26" s="5" t="s">
        <v>8586</v>
      </c>
      <c r="L26" s="6" t="s">
        <v>42</v>
      </c>
      <c r="M26" s="5" t="s">
        <v>8746</v>
      </c>
      <c r="N26" s="5" t="s">
        <v>64</v>
      </c>
      <c r="O26" s="5" t="s">
        <v>16075</v>
      </c>
      <c r="P26" s="6">
        <v>5340.0</v>
      </c>
    </row>
    <row r="27" ht="56.25" customHeight="1">
      <c r="A27" s="5" t="s">
        <v>16066</v>
      </c>
      <c r="B27" s="6" t="str">
        <f>IMAGE("https://storage.googleapis.com/acdb/headwear/CapHatBalloon1.png")</f>
        <v/>
      </c>
      <c r="C27" s="5" t="s">
        <v>142</v>
      </c>
      <c r="D27" s="5" t="s">
        <v>36</v>
      </c>
      <c r="E27" s="6">
        <v>1120.0</v>
      </c>
      <c r="F27" s="6">
        <v>280.0</v>
      </c>
      <c r="G27" s="5" t="s">
        <v>142</v>
      </c>
      <c r="H27" s="5" t="s">
        <v>69</v>
      </c>
      <c r="I27" s="6" t="s">
        <v>40</v>
      </c>
      <c r="J27" s="5" t="s">
        <v>8585</v>
      </c>
      <c r="K27" s="5" t="s">
        <v>8586</v>
      </c>
      <c r="L27" s="6" t="s">
        <v>42</v>
      </c>
      <c r="M27" s="5" t="s">
        <v>8746</v>
      </c>
      <c r="N27" s="5" t="s">
        <v>64</v>
      </c>
      <c r="O27" s="5" t="s">
        <v>16078</v>
      </c>
      <c r="P27" s="6">
        <v>11050.0</v>
      </c>
    </row>
    <row r="28" ht="56.25" customHeight="1">
      <c r="A28" s="5" t="s">
        <v>16066</v>
      </c>
      <c r="B28" s="6" t="str">
        <f>IMAGE("https://storage.googleapis.com/acdb/headwear/CapHatBalloon2.png")</f>
        <v/>
      </c>
      <c r="C28" s="5" t="s">
        <v>68</v>
      </c>
      <c r="D28" s="5" t="s">
        <v>36</v>
      </c>
      <c r="E28" s="6">
        <v>1120.0</v>
      </c>
      <c r="F28" s="6">
        <v>280.0</v>
      </c>
      <c r="G28" s="5" t="s">
        <v>68</v>
      </c>
      <c r="H28" s="5" t="s">
        <v>106</v>
      </c>
      <c r="I28" s="6" t="s">
        <v>40</v>
      </c>
      <c r="J28" s="5" t="s">
        <v>8585</v>
      </c>
      <c r="K28" s="5" t="s">
        <v>8586</v>
      </c>
      <c r="L28" s="6" t="s">
        <v>42</v>
      </c>
      <c r="M28" s="5" t="s">
        <v>8746</v>
      </c>
      <c r="N28" s="5" t="s">
        <v>64</v>
      </c>
      <c r="O28" s="5" t="s">
        <v>16082</v>
      </c>
      <c r="P28" s="6">
        <v>11051.0</v>
      </c>
    </row>
    <row r="29" ht="56.25" customHeight="1">
      <c r="A29" s="5" t="s">
        <v>16083</v>
      </c>
      <c r="B29" s="6" t="str">
        <f>IMAGE("https://storage.googleapis.com/acdb/headwear/CapHatAjiroBeige.png")</f>
        <v/>
      </c>
      <c r="C29" s="5" t="s">
        <v>38</v>
      </c>
      <c r="D29" s="5" t="s">
        <v>35</v>
      </c>
      <c r="E29" s="6" t="s">
        <v>37</v>
      </c>
      <c r="F29" s="6">
        <v>200.0</v>
      </c>
      <c r="G29" s="5" t="s">
        <v>38</v>
      </c>
      <c r="H29" s="5" t="s">
        <v>38</v>
      </c>
      <c r="I29" s="6" t="s">
        <v>40</v>
      </c>
      <c r="J29" s="5" t="s">
        <v>41</v>
      </c>
      <c r="K29" s="5"/>
      <c r="L29" s="6" t="s">
        <v>42</v>
      </c>
      <c r="M29" s="5" t="s">
        <v>995</v>
      </c>
      <c r="N29" s="5" t="s">
        <v>48</v>
      </c>
      <c r="O29" s="5" t="s">
        <v>16085</v>
      </c>
      <c r="P29" s="6">
        <v>5143.0</v>
      </c>
    </row>
    <row r="30" ht="56.25" customHeight="1">
      <c r="A30" s="5" t="s">
        <v>16086</v>
      </c>
      <c r="B30" s="6" t="str">
        <f>IMAGE("https://storage.googleapis.com/acdb/headwear/CapOrnamentTBarrette0.png")</f>
        <v/>
      </c>
      <c r="C30" s="5" t="s">
        <v>69</v>
      </c>
      <c r="D30" s="5" t="s">
        <v>36</v>
      </c>
      <c r="E30" s="6">
        <v>490.0</v>
      </c>
      <c r="F30" s="6">
        <v>122.0</v>
      </c>
      <c r="G30" s="5" t="s">
        <v>69</v>
      </c>
      <c r="H30" s="5" t="s">
        <v>57</v>
      </c>
      <c r="I30" s="6" t="s">
        <v>40</v>
      </c>
      <c r="J30" s="5" t="s">
        <v>8585</v>
      </c>
      <c r="K30" s="5" t="s">
        <v>8632</v>
      </c>
      <c r="L30" s="6" t="s">
        <v>42</v>
      </c>
      <c r="M30" s="5" t="s">
        <v>1059</v>
      </c>
      <c r="N30" s="5" t="s">
        <v>64</v>
      </c>
      <c r="O30" s="5" t="s">
        <v>16090</v>
      </c>
      <c r="P30" s="6">
        <v>9860.0</v>
      </c>
    </row>
    <row r="31" ht="56.25" customHeight="1">
      <c r="A31" s="5" t="s">
        <v>16093</v>
      </c>
      <c r="B31" s="6" t="str">
        <f>IMAGE("https://storage.googleapis.com/acdb/headwear/CapHatBaseball1.png")</f>
        <v/>
      </c>
      <c r="C31" s="5" t="s">
        <v>1187</v>
      </c>
      <c r="D31" s="5" t="s">
        <v>36</v>
      </c>
      <c r="E31" s="6">
        <v>840.0</v>
      </c>
      <c r="F31" s="6">
        <v>210.0</v>
      </c>
      <c r="G31" s="5" t="s">
        <v>68</v>
      </c>
      <c r="H31" s="5" t="s">
        <v>68</v>
      </c>
      <c r="I31" s="6" t="s">
        <v>40</v>
      </c>
      <c r="J31" s="5" t="s">
        <v>8585</v>
      </c>
      <c r="K31" s="5" t="s">
        <v>8632</v>
      </c>
      <c r="L31" s="6" t="s">
        <v>42</v>
      </c>
      <c r="M31" s="5" t="s">
        <v>8746</v>
      </c>
      <c r="N31" s="5" t="s">
        <v>64</v>
      </c>
      <c r="O31" s="5" t="s">
        <v>16096</v>
      </c>
      <c r="P31" s="6">
        <v>12092.0</v>
      </c>
    </row>
    <row r="32" ht="56.25" customHeight="1">
      <c r="A32" s="5" t="s">
        <v>16093</v>
      </c>
      <c r="B32" s="6" t="str">
        <f>IMAGE("https://storage.googleapis.com/acdb/headwear/CapHatBaseball2.png")</f>
        <v/>
      </c>
      <c r="C32" s="5" t="s">
        <v>96</v>
      </c>
      <c r="D32" s="5" t="s">
        <v>36</v>
      </c>
      <c r="E32" s="6">
        <v>840.0</v>
      </c>
      <c r="F32" s="6">
        <v>210.0</v>
      </c>
      <c r="G32" s="5" t="s">
        <v>96</v>
      </c>
      <c r="H32" s="5" t="s">
        <v>96</v>
      </c>
      <c r="I32" s="6" t="s">
        <v>40</v>
      </c>
      <c r="J32" s="5" t="s">
        <v>8585</v>
      </c>
      <c r="K32" s="5" t="s">
        <v>8632</v>
      </c>
      <c r="L32" s="6" t="s">
        <v>42</v>
      </c>
      <c r="M32" s="5" t="s">
        <v>8746</v>
      </c>
      <c r="N32" s="5" t="s">
        <v>64</v>
      </c>
      <c r="O32" s="5" t="s">
        <v>16099</v>
      </c>
      <c r="P32" s="6">
        <v>12093.0</v>
      </c>
    </row>
    <row r="33" ht="56.25" customHeight="1">
      <c r="A33" s="5" t="s">
        <v>16093</v>
      </c>
      <c r="B33" s="6" t="str">
        <f>IMAGE("https://storage.googleapis.com/acdb/headwear/CapHatBaseball3.png")</f>
        <v/>
      </c>
      <c r="C33" s="5" t="s">
        <v>142</v>
      </c>
      <c r="D33" s="5" t="s">
        <v>36</v>
      </c>
      <c r="E33" s="6">
        <v>840.0</v>
      </c>
      <c r="F33" s="6">
        <v>210.0</v>
      </c>
      <c r="G33" s="5" t="s">
        <v>54</v>
      </c>
      <c r="H33" s="5" t="s">
        <v>142</v>
      </c>
      <c r="I33" s="6" t="s">
        <v>40</v>
      </c>
      <c r="J33" s="5" t="s">
        <v>8585</v>
      </c>
      <c r="K33" s="5" t="s">
        <v>8632</v>
      </c>
      <c r="L33" s="6" t="s">
        <v>42</v>
      </c>
      <c r="M33" s="5" t="s">
        <v>8746</v>
      </c>
      <c r="N33" s="5" t="s">
        <v>64</v>
      </c>
      <c r="O33" s="5" t="s">
        <v>16104</v>
      </c>
      <c r="P33" s="6">
        <v>12094.0</v>
      </c>
    </row>
    <row r="34" ht="56.25" customHeight="1">
      <c r="A34" s="5" t="s">
        <v>16093</v>
      </c>
      <c r="B34" s="6" t="str">
        <f>IMAGE("https://storage.googleapis.com/acdb/headwear/CapHatBaseball0.png")</f>
        <v/>
      </c>
      <c r="C34" s="5" t="s">
        <v>52</v>
      </c>
      <c r="D34" s="5" t="s">
        <v>36</v>
      </c>
      <c r="E34" s="6">
        <v>840.0</v>
      </c>
      <c r="F34" s="6">
        <v>210.0</v>
      </c>
      <c r="G34" s="5" t="s">
        <v>52</v>
      </c>
      <c r="H34" s="5" t="s">
        <v>52</v>
      </c>
      <c r="I34" s="6" t="s">
        <v>40</v>
      </c>
      <c r="J34" s="5" t="s">
        <v>8585</v>
      </c>
      <c r="K34" s="5" t="s">
        <v>8632</v>
      </c>
      <c r="L34" s="6" t="s">
        <v>42</v>
      </c>
      <c r="M34" s="5" t="s">
        <v>8746</v>
      </c>
      <c r="N34" s="5" t="s">
        <v>64</v>
      </c>
      <c r="O34" s="5" t="s">
        <v>16108</v>
      </c>
      <c r="P34" s="6">
        <v>9763.0</v>
      </c>
    </row>
    <row r="35" ht="56.25" customHeight="1">
      <c r="A35" s="5" t="s">
        <v>16093</v>
      </c>
      <c r="B35" s="6" t="str">
        <f>IMAGE("https://storage.googleapis.com/acdb/headwear/CapHatBaseball4.png")</f>
        <v/>
      </c>
      <c r="C35" s="5" t="s">
        <v>114</v>
      </c>
      <c r="D35" s="5" t="s">
        <v>36</v>
      </c>
      <c r="E35" s="6">
        <v>840.0</v>
      </c>
      <c r="F35" s="6">
        <v>210.0</v>
      </c>
      <c r="G35" s="5" t="s">
        <v>54</v>
      </c>
      <c r="H35" s="5" t="s">
        <v>114</v>
      </c>
      <c r="I35" s="6" t="s">
        <v>40</v>
      </c>
      <c r="J35" s="5" t="s">
        <v>8585</v>
      </c>
      <c r="K35" s="5" t="s">
        <v>8632</v>
      </c>
      <c r="L35" s="6" t="s">
        <v>42</v>
      </c>
      <c r="M35" s="5" t="s">
        <v>8746</v>
      </c>
      <c r="N35" s="5" t="s">
        <v>64</v>
      </c>
      <c r="O35" s="5" t="s">
        <v>16113</v>
      </c>
      <c r="P35" s="6">
        <v>12095.0</v>
      </c>
    </row>
    <row r="36" ht="56.25" customHeight="1">
      <c r="A36" s="5" t="s">
        <v>16114</v>
      </c>
      <c r="B36" s="6" t="str">
        <f>IMAGE("https://storage.googleapis.com/acdb/headwear/CapHelmetBaseball1.png")</f>
        <v/>
      </c>
      <c r="C36" s="5" t="s">
        <v>1187</v>
      </c>
      <c r="D36" s="5" t="s">
        <v>36</v>
      </c>
      <c r="E36" s="6">
        <v>1040.0</v>
      </c>
      <c r="F36" s="6">
        <v>260.0</v>
      </c>
      <c r="G36" s="5" t="s">
        <v>68</v>
      </c>
      <c r="H36" s="5" t="s">
        <v>68</v>
      </c>
      <c r="I36" s="6" t="s">
        <v>40</v>
      </c>
      <c r="J36" s="5" t="s">
        <v>8585</v>
      </c>
      <c r="K36" s="5" t="s">
        <v>8586</v>
      </c>
      <c r="L36" s="6" t="s">
        <v>42</v>
      </c>
      <c r="M36" s="5" t="s">
        <v>8746</v>
      </c>
      <c r="N36" s="5" t="s">
        <v>64</v>
      </c>
      <c r="O36" s="5" t="s">
        <v>16117</v>
      </c>
      <c r="P36" s="6">
        <v>11596.0</v>
      </c>
    </row>
    <row r="37" ht="56.25" customHeight="1">
      <c r="A37" s="5" t="s">
        <v>16114</v>
      </c>
      <c r="B37" s="6" t="str">
        <f>IMAGE("https://storage.googleapis.com/acdb/headwear/CapHelmetBaseball2.png")</f>
        <v/>
      </c>
      <c r="C37" s="5" t="s">
        <v>96</v>
      </c>
      <c r="D37" s="5" t="s">
        <v>36</v>
      </c>
      <c r="E37" s="6">
        <v>1040.0</v>
      </c>
      <c r="F37" s="6">
        <v>260.0</v>
      </c>
      <c r="G37" s="5" t="s">
        <v>96</v>
      </c>
      <c r="H37" s="5" t="s">
        <v>96</v>
      </c>
      <c r="I37" s="6" t="s">
        <v>40</v>
      </c>
      <c r="J37" s="5" t="s">
        <v>8585</v>
      </c>
      <c r="K37" s="5" t="s">
        <v>8586</v>
      </c>
      <c r="L37" s="6" t="s">
        <v>42</v>
      </c>
      <c r="M37" s="5" t="s">
        <v>8746</v>
      </c>
      <c r="N37" s="5" t="s">
        <v>64</v>
      </c>
      <c r="O37" s="5" t="s">
        <v>16122</v>
      </c>
      <c r="P37" s="6">
        <v>11597.0</v>
      </c>
    </row>
    <row r="38" ht="56.25" customHeight="1">
      <c r="A38" s="5" t="s">
        <v>16114</v>
      </c>
      <c r="B38" s="6" t="str">
        <f>IMAGE("https://storage.googleapis.com/acdb/headwear/CapHelmetBaseball3.png")</f>
        <v/>
      </c>
      <c r="C38" s="5" t="s">
        <v>142</v>
      </c>
      <c r="D38" s="5" t="s">
        <v>36</v>
      </c>
      <c r="E38" s="6">
        <v>1040.0</v>
      </c>
      <c r="F38" s="6">
        <v>260.0</v>
      </c>
      <c r="G38" s="5" t="s">
        <v>54</v>
      </c>
      <c r="H38" s="5" t="s">
        <v>142</v>
      </c>
      <c r="I38" s="6" t="s">
        <v>40</v>
      </c>
      <c r="J38" s="5" t="s">
        <v>8585</v>
      </c>
      <c r="K38" s="5" t="s">
        <v>8586</v>
      </c>
      <c r="L38" s="6" t="s">
        <v>42</v>
      </c>
      <c r="M38" s="5" t="s">
        <v>8746</v>
      </c>
      <c r="N38" s="5" t="s">
        <v>64</v>
      </c>
      <c r="O38" s="5" t="s">
        <v>16126</v>
      </c>
      <c r="P38" s="6">
        <v>11598.0</v>
      </c>
    </row>
    <row r="39" ht="56.25" customHeight="1">
      <c r="A39" s="5" t="s">
        <v>16114</v>
      </c>
      <c r="B39" s="6" t="str">
        <f>IMAGE("https://storage.googleapis.com/acdb/headwear/CapHelmetBaseball4.png")</f>
        <v/>
      </c>
      <c r="C39" s="5" t="s">
        <v>114</v>
      </c>
      <c r="D39" s="5" t="s">
        <v>36</v>
      </c>
      <c r="E39" s="6">
        <v>1040.0</v>
      </c>
      <c r="F39" s="6">
        <v>260.0</v>
      </c>
      <c r="G39" s="5" t="s">
        <v>54</v>
      </c>
      <c r="H39" s="5" t="s">
        <v>114</v>
      </c>
      <c r="I39" s="6" t="s">
        <v>40</v>
      </c>
      <c r="J39" s="5" t="s">
        <v>8585</v>
      </c>
      <c r="K39" s="5" t="s">
        <v>8586</v>
      </c>
      <c r="L39" s="6" t="s">
        <v>42</v>
      </c>
      <c r="M39" s="5" t="s">
        <v>8746</v>
      </c>
      <c r="N39" s="5" t="s">
        <v>64</v>
      </c>
      <c r="O39" s="5" t="s">
        <v>16130</v>
      </c>
      <c r="P39" s="6">
        <v>11599.0</v>
      </c>
    </row>
    <row r="40" ht="56.25" customHeight="1">
      <c r="A40" s="5" t="s">
        <v>16114</v>
      </c>
      <c r="B40" s="6" t="str">
        <f>IMAGE("https://storage.googleapis.com/acdb/headwear/CapHelmetBaseball0.png")</f>
        <v/>
      </c>
      <c r="C40" s="5" t="s">
        <v>52</v>
      </c>
      <c r="D40" s="5" t="s">
        <v>36</v>
      </c>
      <c r="E40" s="6">
        <v>1040.0</v>
      </c>
      <c r="F40" s="6">
        <v>260.0</v>
      </c>
      <c r="G40" s="5" t="s">
        <v>52</v>
      </c>
      <c r="H40" s="5" t="s">
        <v>52</v>
      </c>
      <c r="I40" s="6" t="s">
        <v>40</v>
      </c>
      <c r="J40" s="5" t="s">
        <v>8585</v>
      </c>
      <c r="K40" s="5" t="s">
        <v>8586</v>
      </c>
      <c r="L40" s="6" t="s">
        <v>42</v>
      </c>
      <c r="M40" s="5" t="s">
        <v>8746</v>
      </c>
      <c r="N40" s="5" t="s">
        <v>64</v>
      </c>
      <c r="O40" s="5" t="s">
        <v>16135</v>
      </c>
      <c r="P40" s="6">
        <v>5366.0</v>
      </c>
    </row>
    <row r="41" ht="56.25" customHeight="1">
      <c r="A41" s="5" t="s">
        <v>16136</v>
      </c>
      <c r="B41" s="6" t="str">
        <f>IMAGE("https://storage.googleapis.com/acdb/headwear/CapBangsBear0.png")</f>
        <v/>
      </c>
      <c r="C41" s="5" t="s">
        <v>39</v>
      </c>
      <c r="D41" s="5" t="s">
        <v>36</v>
      </c>
      <c r="E41" s="6">
        <v>1120.0</v>
      </c>
      <c r="F41" s="6">
        <v>280.0</v>
      </c>
      <c r="G41" s="5" t="s">
        <v>39</v>
      </c>
      <c r="H41" s="5" t="s">
        <v>38</v>
      </c>
      <c r="I41" s="6" t="s">
        <v>40</v>
      </c>
      <c r="J41" s="5" t="s">
        <v>8585</v>
      </c>
      <c r="K41" s="5" t="s">
        <v>8586</v>
      </c>
      <c r="L41" s="6" t="s">
        <v>42</v>
      </c>
      <c r="M41" s="5" t="s">
        <v>1959</v>
      </c>
      <c r="N41" s="5" t="s">
        <v>64</v>
      </c>
      <c r="O41" s="5" t="s">
        <v>16138</v>
      </c>
      <c r="P41" s="6">
        <v>5330.0</v>
      </c>
    </row>
    <row r="42" ht="56.25" customHeight="1">
      <c r="A42" s="5" t="s">
        <v>16136</v>
      </c>
      <c r="B42" s="6" t="str">
        <f>IMAGE("https://storage.googleapis.com/acdb/headwear/CapBangsBear1.png")</f>
        <v/>
      </c>
      <c r="C42" s="5" t="s">
        <v>54</v>
      </c>
      <c r="D42" s="5" t="s">
        <v>36</v>
      </c>
      <c r="E42" s="6">
        <v>1120.0</v>
      </c>
      <c r="F42" s="6">
        <v>280.0</v>
      </c>
      <c r="G42" s="5" t="s">
        <v>54</v>
      </c>
      <c r="H42" s="5" t="s">
        <v>38</v>
      </c>
      <c r="I42" s="6" t="s">
        <v>40</v>
      </c>
      <c r="J42" s="5" t="s">
        <v>8585</v>
      </c>
      <c r="K42" s="5" t="s">
        <v>8586</v>
      </c>
      <c r="L42" s="6" t="s">
        <v>42</v>
      </c>
      <c r="M42" s="5" t="s">
        <v>1959</v>
      </c>
      <c r="N42" s="5" t="s">
        <v>64</v>
      </c>
      <c r="O42" s="5" t="s">
        <v>16141</v>
      </c>
      <c r="P42" s="6">
        <v>11704.0</v>
      </c>
    </row>
    <row r="43" ht="56.25" customHeight="1">
      <c r="A43" s="5" t="s">
        <v>16136</v>
      </c>
      <c r="B43" s="6" t="str">
        <f>IMAGE("https://storage.googleapis.com/acdb/headwear/CapBangsBear2.png")</f>
        <v/>
      </c>
      <c r="C43" s="5" t="s">
        <v>69</v>
      </c>
      <c r="D43" s="5" t="s">
        <v>36</v>
      </c>
      <c r="E43" s="6">
        <v>1120.0</v>
      </c>
      <c r="F43" s="6">
        <v>280.0</v>
      </c>
      <c r="G43" s="5" t="s">
        <v>69</v>
      </c>
      <c r="H43" s="5" t="s">
        <v>38</v>
      </c>
      <c r="I43" s="6" t="s">
        <v>40</v>
      </c>
      <c r="J43" s="5" t="s">
        <v>8585</v>
      </c>
      <c r="K43" s="5" t="s">
        <v>8586</v>
      </c>
      <c r="L43" s="6" t="s">
        <v>42</v>
      </c>
      <c r="M43" s="5" t="s">
        <v>1959</v>
      </c>
      <c r="N43" s="5" t="s">
        <v>64</v>
      </c>
      <c r="O43" s="5" t="s">
        <v>16147</v>
      </c>
      <c r="P43" s="6">
        <v>11705.0</v>
      </c>
    </row>
    <row r="44" ht="56.25" customHeight="1">
      <c r="A44" s="5" t="s">
        <v>16136</v>
      </c>
      <c r="B44" s="6" t="str">
        <f>IMAGE("https://storage.googleapis.com/acdb/headwear/CapBangsBear3.png")</f>
        <v/>
      </c>
      <c r="C44" s="5" t="s">
        <v>68</v>
      </c>
      <c r="D44" s="5" t="s">
        <v>36</v>
      </c>
      <c r="E44" s="6">
        <v>1120.0</v>
      </c>
      <c r="F44" s="6">
        <v>280.0</v>
      </c>
      <c r="G44" s="5" t="s">
        <v>83</v>
      </c>
      <c r="H44" s="5" t="s">
        <v>57</v>
      </c>
      <c r="I44" s="6" t="s">
        <v>40</v>
      </c>
      <c r="J44" s="5" t="s">
        <v>8585</v>
      </c>
      <c r="K44" s="5" t="s">
        <v>8586</v>
      </c>
      <c r="L44" s="6" t="s">
        <v>42</v>
      </c>
      <c r="M44" s="5" t="s">
        <v>1959</v>
      </c>
      <c r="N44" s="5" t="s">
        <v>64</v>
      </c>
      <c r="O44" s="5" t="s">
        <v>16153</v>
      </c>
      <c r="P44" s="6">
        <v>11706.0</v>
      </c>
    </row>
    <row r="45" ht="56.25" customHeight="1">
      <c r="A45" s="5" t="s">
        <v>16154</v>
      </c>
      <c r="B45" s="6" t="str">
        <f>IMAGE("https://storage.googleapis.com/acdb/headwear/CapHatBeret0.png")</f>
        <v/>
      </c>
      <c r="C45" s="5" t="s">
        <v>4883</v>
      </c>
      <c r="D45" s="5" t="s">
        <v>36</v>
      </c>
      <c r="E45" s="6">
        <v>880.0</v>
      </c>
      <c r="F45" s="6">
        <v>220.0</v>
      </c>
      <c r="G45" s="5" t="s">
        <v>52</v>
      </c>
      <c r="H45" s="5" t="s">
        <v>52</v>
      </c>
      <c r="I45" s="6" t="s">
        <v>40</v>
      </c>
      <c r="J45" s="5" t="s">
        <v>8585</v>
      </c>
      <c r="K45" s="5" t="s">
        <v>8586</v>
      </c>
      <c r="L45" s="6" t="s">
        <v>42</v>
      </c>
      <c r="M45" s="5" t="s">
        <v>1059</v>
      </c>
      <c r="N45" s="5" t="s">
        <v>64</v>
      </c>
      <c r="O45" s="5" t="s">
        <v>16158</v>
      </c>
      <c r="P45" s="6">
        <v>5260.0</v>
      </c>
    </row>
    <row r="46" ht="56.25" customHeight="1">
      <c r="A46" s="5" t="s">
        <v>16154</v>
      </c>
      <c r="B46" s="6" t="str">
        <f>IMAGE("https://storage.googleapis.com/acdb/headwear/CapHatBeret1.png")</f>
        <v/>
      </c>
      <c r="C46" s="5" t="s">
        <v>68</v>
      </c>
      <c r="D46" s="5" t="s">
        <v>36</v>
      </c>
      <c r="E46" s="6">
        <v>880.0</v>
      </c>
      <c r="F46" s="6">
        <v>220.0</v>
      </c>
      <c r="G46" s="5" t="s">
        <v>68</v>
      </c>
      <c r="H46" s="5" t="s">
        <v>68</v>
      </c>
      <c r="I46" s="6" t="s">
        <v>40</v>
      </c>
      <c r="J46" s="5" t="s">
        <v>8585</v>
      </c>
      <c r="K46" s="5" t="s">
        <v>8586</v>
      </c>
      <c r="L46" s="6" t="s">
        <v>42</v>
      </c>
      <c r="M46" s="5" t="s">
        <v>1059</v>
      </c>
      <c r="N46" s="5" t="s">
        <v>64</v>
      </c>
      <c r="O46" s="5" t="s">
        <v>16164</v>
      </c>
      <c r="P46" s="6">
        <v>11523.0</v>
      </c>
    </row>
    <row r="47" ht="56.25" customHeight="1">
      <c r="A47" s="5" t="s">
        <v>16154</v>
      </c>
      <c r="B47" s="6" t="str">
        <f>IMAGE("https://storage.googleapis.com/acdb/headwear/CapHatBeret2.png")</f>
        <v/>
      </c>
      <c r="C47" s="5" t="s">
        <v>96</v>
      </c>
      <c r="D47" s="5" t="s">
        <v>36</v>
      </c>
      <c r="E47" s="6">
        <v>880.0</v>
      </c>
      <c r="F47" s="6">
        <v>220.0</v>
      </c>
      <c r="G47" s="5" t="s">
        <v>96</v>
      </c>
      <c r="H47" s="5" t="s">
        <v>96</v>
      </c>
      <c r="I47" s="6" t="s">
        <v>40</v>
      </c>
      <c r="J47" s="5" t="s">
        <v>8585</v>
      </c>
      <c r="K47" s="5" t="s">
        <v>8586</v>
      </c>
      <c r="L47" s="6" t="s">
        <v>42</v>
      </c>
      <c r="M47" s="5" t="s">
        <v>1059</v>
      </c>
      <c r="N47" s="5" t="s">
        <v>64</v>
      </c>
      <c r="O47" s="5" t="s">
        <v>16167</v>
      </c>
      <c r="P47" s="6">
        <v>11524.0</v>
      </c>
    </row>
    <row r="48" ht="56.25" customHeight="1">
      <c r="A48" s="5" t="s">
        <v>16154</v>
      </c>
      <c r="B48" s="6" t="str">
        <f>IMAGE("https://storage.googleapis.com/acdb/headwear/CapHatBeret3.png")</f>
        <v/>
      </c>
      <c r="C48" s="5" t="s">
        <v>8709</v>
      </c>
      <c r="D48" s="5" t="s">
        <v>36</v>
      </c>
      <c r="E48" s="6">
        <v>880.0</v>
      </c>
      <c r="F48" s="6">
        <v>220.0</v>
      </c>
      <c r="G48" s="5" t="s">
        <v>114</v>
      </c>
      <c r="H48" s="5" t="s">
        <v>114</v>
      </c>
      <c r="I48" s="6" t="s">
        <v>40</v>
      </c>
      <c r="J48" s="5" t="s">
        <v>8585</v>
      </c>
      <c r="K48" s="5" t="s">
        <v>8586</v>
      </c>
      <c r="L48" s="6" t="s">
        <v>42</v>
      </c>
      <c r="M48" s="5" t="s">
        <v>1059</v>
      </c>
      <c r="N48" s="5" t="s">
        <v>64</v>
      </c>
      <c r="O48" s="5" t="s">
        <v>16170</v>
      </c>
      <c r="P48" s="6">
        <v>11525.0</v>
      </c>
    </row>
    <row r="49" ht="56.25" customHeight="1">
      <c r="A49" s="5" t="s">
        <v>16154</v>
      </c>
      <c r="B49" s="6" t="str">
        <f>IMAGE("https://storage.googleapis.com/acdb/headwear/CapHatBeret4.png")</f>
        <v/>
      </c>
      <c r="C49" s="5" t="s">
        <v>95</v>
      </c>
      <c r="D49" s="5" t="s">
        <v>36</v>
      </c>
      <c r="E49" s="6">
        <v>880.0</v>
      </c>
      <c r="F49" s="6">
        <v>220.0</v>
      </c>
      <c r="G49" s="5" t="s">
        <v>95</v>
      </c>
      <c r="H49" s="5" t="s">
        <v>95</v>
      </c>
      <c r="I49" s="6" t="s">
        <v>40</v>
      </c>
      <c r="J49" s="5" t="s">
        <v>8585</v>
      </c>
      <c r="K49" s="5" t="s">
        <v>8586</v>
      </c>
      <c r="L49" s="6" t="s">
        <v>42</v>
      </c>
      <c r="M49" s="5" t="s">
        <v>1059</v>
      </c>
      <c r="N49" s="5" t="s">
        <v>64</v>
      </c>
      <c r="O49" s="5" t="s">
        <v>16175</v>
      </c>
      <c r="P49" s="6">
        <v>11526.0</v>
      </c>
    </row>
    <row r="50" ht="56.25" customHeight="1">
      <c r="A50" s="5" t="s">
        <v>16154</v>
      </c>
      <c r="B50" s="6" t="str">
        <f>IMAGE("https://storage.googleapis.com/acdb/headwear/CapHatBeret5.png")</f>
        <v/>
      </c>
      <c r="C50" s="5" t="s">
        <v>57</v>
      </c>
      <c r="D50" s="5" t="s">
        <v>36</v>
      </c>
      <c r="E50" s="6">
        <v>880.0</v>
      </c>
      <c r="F50" s="6">
        <v>220.0</v>
      </c>
      <c r="G50" s="5" t="s">
        <v>57</v>
      </c>
      <c r="H50" s="5" t="s">
        <v>57</v>
      </c>
      <c r="I50" s="6" t="s">
        <v>40</v>
      </c>
      <c r="J50" s="5" t="s">
        <v>8585</v>
      </c>
      <c r="K50" s="5" t="s">
        <v>8586</v>
      </c>
      <c r="L50" s="6" t="s">
        <v>42</v>
      </c>
      <c r="M50" s="5" t="s">
        <v>1059</v>
      </c>
      <c r="N50" s="5" t="s">
        <v>64</v>
      </c>
      <c r="O50" s="5" t="s">
        <v>16179</v>
      </c>
      <c r="P50" s="6">
        <v>11527.0</v>
      </c>
    </row>
    <row r="51" ht="56.25" customHeight="1">
      <c r="A51" s="5" t="s">
        <v>16180</v>
      </c>
      <c r="B51" s="6" t="str">
        <f>IMAGE("https://storage.googleapis.com/acdb/headwear/CapHatCyclemet2.png")</f>
        <v/>
      </c>
      <c r="C51" s="5" t="s">
        <v>52</v>
      </c>
      <c r="D51" s="5" t="s">
        <v>36</v>
      </c>
      <c r="E51" s="6">
        <v>1100.0</v>
      </c>
      <c r="F51" s="6">
        <v>275.0</v>
      </c>
      <c r="G51" s="5" t="s">
        <v>52</v>
      </c>
      <c r="H51" s="5" t="s">
        <v>54</v>
      </c>
      <c r="I51" s="6" t="s">
        <v>40</v>
      </c>
      <c r="J51" s="5" t="s">
        <v>8585</v>
      </c>
      <c r="K51" s="5" t="s">
        <v>8586</v>
      </c>
      <c r="L51" s="6" t="s">
        <v>42</v>
      </c>
      <c r="M51" s="5" t="s">
        <v>8746</v>
      </c>
      <c r="N51" s="5" t="s">
        <v>64</v>
      </c>
      <c r="O51" s="5" t="s">
        <v>16183</v>
      </c>
      <c r="P51" s="6">
        <v>10220.0</v>
      </c>
    </row>
    <row r="52" ht="56.25" customHeight="1">
      <c r="A52" s="5" t="s">
        <v>16180</v>
      </c>
      <c r="B52" s="6" t="str">
        <f>IMAGE("https://storage.googleapis.com/acdb/headwear/CapHatCyclemet3.png")</f>
        <v/>
      </c>
      <c r="C52" s="5" t="s">
        <v>1458</v>
      </c>
      <c r="D52" s="5" t="s">
        <v>36</v>
      </c>
      <c r="E52" s="6">
        <v>1100.0</v>
      </c>
      <c r="F52" s="6">
        <v>275.0</v>
      </c>
      <c r="G52" s="5" t="s">
        <v>114</v>
      </c>
      <c r="H52" s="5" t="s">
        <v>54</v>
      </c>
      <c r="I52" s="6" t="s">
        <v>40</v>
      </c>
      <c r="J52" s="5" t="s">
        <v>8585</v>
      </c>
      <c r="K52" s="5" t="s">
        <v>8586</v>
      </c>
      <c r="L52" s="6" t="s">
        <v>42</v>
      </c>
      <c r="M52" s="5" t="s">
        <v>8746</v>
      </c>
      <c r="N52" s="5" t="s">
        <v>64</v>
      </c>
      <c r="O52" s="5" t="s">
        <v>16186</v>
      </c>
      <c r="P52" s="6">
        <v>10221.0</v>
      </c>
    </row>
    <row r="53" ht="56.25" customHeight="1">
      <c r="A53" s="5" t="s">
        <v>16180</v>
      </c>
      <c r="B53" s="6" t="str">
        <f>IMAGE("https://storage.googleapis.com/acdb/headwear/CapHatCyclemet4.png")</f>
        <v/>
      </c>
      <c r="C53" s="5" t="s">
        <v>96</v>
      </c>
      <c r="D53" s="5" t="s">
        <v>36</v>
      </c>
      <c r="E53" s="6">
        <v>1100.0</v>
      </c>
      <c r="F53" s="6">
        <v>275.0</v>
      </c>
      <c r="G53" s="5" t="s">
        <v>96</v>
      </c>
      <c r="H53" s="5" t="s">
        <v>54</v>
      </c>
      <c r="I53" s="6" t="s">
        <v>40</v>
      </c>
      <c r="J53" s="5" t="s">
        <v>8585</v>
      </c>
      <c r="K53" s="5" t="s">
        <v>8586</v>
      </c>
      <c r="L53" s="6" t="s">
        <v>42</v>
      </c>
      <c r="M53" s="5" t="s">
        <v>8746</v>
      </c>
      <c r="N53" s="5" t="s">
        <v>64</v>
      </c>
      <c r="O53" s="5" t="s">
        <v>16191</v>
      </c>
      <c r="P53" s="6">
        <v>10222.0</v>
      </c>
    </row>
    <row r="54" ht="56.25" customHeight="1">
      <c r="A54" s="5" t="s">
        <v>16180</v>
      </c>
      <c r="B54" s="6" t="str">
        <f>IMAGE("https://storage.googleapis.com/acdb/headwear/CapHatCyclemet5.png")</f>
        <v/>
      </c>
      <c r="C54" s="5" t="s">
        <v>142</v>
      </c>
      <c r="D54" s="5" t="s">
        <v>36</v>
      </c>
      <c r="E54" s="6">
        <v>1100.0</v>
      </c>
      <c r="F54" s="6">
        <v>275.0</v>
      </c>
      <c r="G54" s="5" t="s">
        <v>142</v>
      </c>
      <c r="H54" s="5" t="s">
        <v>54</v>
      </c>
      <c r="I54" s="6" t="s">
        <v>40</v>
      </c>
      <c r="J54" s="5" t="s">
        <v>8585</v>
      </c>
      <c r="K54" s="5" t="s">
        <v>8586</v>
      </c>
      <c r="L54" s="6" t="s">
        <v>42</v>
      </c>
      <c r="M54" s="5" t="s">
        <v>8746</v>
      </c>
      <c r="N54" s="5" t="s">
        <v>64</v>
      </c>
      <c r="O54" s="5" t="s">
        <v>16197</v>
      </c>
      <c r="P54" s="6">
        <v>10223.0</v>
      </c>
    </row>
    <row r="55" ht="56.25" customHeight="1">
      <c r="A55" s="5" t="s">
        <v>16180</v>
      </c>
      <c r="B55" s="6" t="str">
        <f>IMAGE("https://storage.googleapis.com/acdb/headwear/CapHatCyclemet6.png")</f>
        <v/>
      </c>
      <c r="C55" s="5" t="s">
        <v>106</v>
      </c>
      <c r="D55" s="5" t="s">
        <v>36</v>
      </c>
      <c r="E55" s="6">
        <v>1100.0</v>
      </c>
      <c r="F55" s="6">
        <v>275.0</v>
      </c>
      <c r="G55" s="5" t="s">
        <v>106</v>
      </c>
      <c r="H55" s="5" t="s">
        <v>54</v>
      </c>
      <c r="I55" s="6" t="s">
        <v>40</v>
      </c>
      <c r="J55" s="5" t="s">
        <v>8585</v>
      </c>
      <c r="K55" s="5" t="s">
        <v>8586</v>
      </c>
      <c r="L55" s="6" t="s">
        <v>42</v>
      </c>
      <c r="M55" s="5" t="s">
        <v>8746</v>
      </c>
      <c r="N55" s="5" t="s">
        <v>64</v>
      </c>
      <c r="O55" s="5" t="s">
        <v>16200</v>
      </c>
      <c r="P55" s="6">
        <v>10224.0</v>
      </c>
    </row>
    <row r="56" ht="56.25" customHeight="1">
      <c r="A56" s="5" t="s">
        <v>16180</v>
      </c>
      <c r="B56" s="6" t="str">
        <f>IMAGE("https://storage.googleapis.com/acdb/headwear/CapHatCyclemet7.png")</f>
        <v/>
      </c>
      <c r="C56" s="5" t="s">
        <v>69</v>
      </c>
      <c r="D56" s="5" t="s">
        <v>36</v>
      </c>
      <c r="E56" s="6">
        <v>1100.0</v>
      </c>
      <c r="F56" s="6">
        <v>275.0</v>
      </c>
      <c r="G56" s="5" t="s">
        <v>69</v>
      </c>
      <c r="H56" s="5" t="s">
        <v>54</v>
      </c>
      <c r="I56" s="6" t="s">
        <v>40</v>
      </c>
      <c r="J56" s="5" t="s">
        <v>8585</v>
      </c>
      <c r="K56" s="5" t="s">
        <v>8586</v>
      </c>
      <c r="L56" s="6" t="s">
        <v>42</v>
      </c>
      <c r="M56" s="5" t="s">
        <v>8746</v>
      </c>
      <c r="N56" s="5" t="s">
        <v>64</v>
      </c>
      <c r="O56" s="5" t="s">
        <v>16206</v>
      </c>
      <c r="P56" s="6">
        <v>10225.0</v>
      </c>
    </row>
    <row r="57" ht="56.25" customHeight="1">
      <c r="A57" s="5" t="s">
        <v>16180</v>
      </c>
      <c r="B57" s="6" t="str">
        <f>IMAGE("https://storage.googleapis.com/acdb/headwear/CapHatCyclemet1.png")</f>
        <v/>
      </c>
      <c r="C57" s="5" t="s">
        <v>1187</v>
      </c>
      <c r="D57" s="5" t="s">
        <v>36</v>
      </c>
      <c r="E57" s="6">
        <v>1100.0</v>
      </c>
      <c r="F57" s="6">
        <v>275.0</v>
      </c>
      <c r="G57" s="5" t="s">
        <v>68</v>
      </c>
      <c r="H57" s="5" t="s">
        <v>54</v>
      </c>
      <c r="I57" s="6" t="s">
        <v>40</v>
      </c>
      <c r="J57" s="5" t="s">
        <v>8585</v>
      </c>
      <c r="K57" s="5" t="s">
        <v>8586</v>
      </c>
      <c r="L57" s="6" t="s">
        <v>42</v>
      </c>
      <c r="M57" s="5" t="s">
        <v>8746</v>
      </c>
      <c r="N57" s="5" t="s">
        <v>64</v>
      </c>
      <c r="O57" s="5" t="s">
        <v>16210</v>
      </c>
      <c r="P57" s="6">
        <v>10219.0</v>
      </c>
    </row>
    <row r="58" ht="56.25" customHeight="1">
      <c r="A58" s="5" t="s">
        <v>16180</v>
      </c>
      <c r="B58" s="6" t="str">
        <f>IMAGE("https://storage.googleapis.com/acdb/headwear/CapHatCyclemet0.png")</f>
        <v/>
      </c>
      <c r="C58" s="5" t="s">
        <v>68</v>
      </c>
      <c r="D58" s="5" t="s">
        <v>36</v>
      </c>
      <c r="E58" s="6">
        <v>1100.0</v>
      </c>
      <c r="F58" s="6">
        <v>275.0</v>
      </c>
      <c r="G58" s="5" t="s">
        <v>83</v>
      </c>
      <c r="H58" s="5" t="s">
        <v>54</v>
      </c>
      <c r="I58" s="6" t="s">
        <v>40</v>
      </c>
      <c r="J58" s="5" t="s">
        <v>8585</v>
      </c>
      <c r="K58" s="5" t="s">
        <v>8586</v>
      </c>
      <c r="L58" s="6" t="s">
        <v>42</v>
      </c>
      <c r="M58" s="5" t="s">
        <v>8746</v>
      </c>
      <c r="N58" s="5" t="s">
        <v>64</v>
      </c>
      <c r="O58" s="5" t="s">
        <v>16213</v>
      </c>
      <c r="P58" s="6">
        <v>5282.0</v>
      </c>
    </row>
    <row r="59" ht="56.25" customHeight="1">
      <c r="A59" s="5" t="s">
        <v>16215</v>
      </c>
      <c r="B59" s="6" t="str">
        <f>IMAGE("https://storage.googleapis.com/acdb/headwear/CapHatBirthday0.png")</f>
        <v/>
      </c>
      <c r="C59" s="5" t="s">
        <v>68</v>
      </c>
      <c r="D59" s="5" t="s">
        <v>36</v>
      </c>
      <c r="E59" s="6" t="s">
        <v>37</v>
      </c>
      <c r="F59" s="6">
        <v>600.0</v>
      </c>
      <c r="G59" s="5" t="s">
        <v>83</v>
      </c>
      <c r="H59" s="5" t="s">
        <v>57</v>
      </c>
      <c r="I59" s="6" t="s">
        <v>40</v>
      </c>
      <c r="J59" s="5" t="s">
        <v>588</v>
      </c>
      <c r="K59" s="5"/>
      <c r="L59" s="6" t="s">
        <v>42</v>
      </c>
      <c r="M59" s="5" t="s">
        <v>612</v>
      </c>
      <c r="N59" s="5" t="s">
        <v>48</v>
      </c>
      <c r="O59" s="5" t="s">
        <v>16220</v>
      </c>
      <c r="P59" s="6">
        <v>4800.0</v>
      </c>
    </row>
    <row r="60" ht="56.25" customHeight="1">
      <c r="A60" s="5" t="s">
        <v>16215</v>
      </c>
      <c r="B60" s="6" t="str">
        <f>IMAGE("https://storage.googleapis.com/acdb/headwear/CapHatBirthday1.png")</f>
        <v/>
      </c>
      <c r="C60" s="5" t="s">
        <v>114</v>
      </c>
      <c r="D60" s="5" t="s">
        <v>36</v>
      </c>
      <c r="E60" s="6" t="s">
        <v>37</v>
      </c>
      <c r="F60" s="6">
        <v>600.0</v>
      </c>
      <c r="G60" s="5" t="s">
        <v>114</v>
      </c>
      <c r="H60" s="5" t="s">
        <v>57</v>
      </c>
      <c r="I60" s="6" t="s">
        <v>40</v>
      </c>
      <c r="J60" s="5" t="s">
        <v>588</v>
      </c>
      <c r="K60" s="5"/>
      <c r="L60" s="6" t="s">
        <v>42</v>
      </c>
      <c r="M60" s="5" t="s">
        <v>612</v>
      </c>
      <c r="N60" s="5" t="s">
        <v>48</v>
      </c>
      <c r="O60" s="5" t="s">
        <v>16223</v>
      </c>
      <c r="P60" s="6">
        <v>11031.0</v>
      </c>
    </row>
    <row r="61" ht="56.25" customHeight="1">
      <c r="A61" s="5" t="s">
        <v>16215</v>
      </c>
      <c r="B61" s="6" t="str">
        <f>IMAGE("https://storage.googleapis.com/acdb/headwear/CapHatBirthday2.png")</f>
        <v/>
      </c>
      <c r="C61" s="5" t="s">
        <v>69</v>
      </c>
      <c r="D61" s="5" t="s">
        <v>36</v>
      </c>
      <c r="E61" s="6" t="s">
        <v>37</v>
      </c>
      <c r="F61" s="6">
        <v>600.0</v>
      </c>
      <c r="G61" s="5" t="s">
        <v>69</v>
      </c>
      <c r="H61" s="5" t="s">
        <v>57</v>
      </c>
      <c r="I61" s="6" t="s">
        <v>40</v>
      </c>
      <c r="J61" s="5" t="s">
        <v>588</v>
      </c>
      <c r="K61" s="5"/>
      <c r="L61" s="6" t="s">
        <v>42</v>
      </c>
      <c r="M61" s="5" t="s">
        <v>612</v>
      </c>
      <c r="N61" s="5" t="s">
        <v>48</v>
      </c>
      <c r="O61" s="5" t="s">
        <v>16226</v>
      </c>
      <c r="P61" s="6">
        <v>11032.0</v>
      </c>
    </row>
    <row r="62" ht="56.25" customHeight="1">
      <c r="A62" s="5" t="s">
        <v>16227</v>
      </c>
      <c r="B62" s="6" t="str">
        <f>IMAGE("https://storage.googleapis.com/acdb/headwear/CapOrnamentRose4.png")</f>
        <v/>
      </c>
      <c r="C62" s="5" t="s">
        <v>68</v>
      </c>
      <c r="D62" s="5" t="s">
        <v>35</v>
      </c>
      <c r="E62" s="6" t="s">
        <v>37</v>
      </c>
      <c r="F62" s="6">
        <v>12000.0</v>
      </c>
      <c r="G62" s="5" t="s">
        <v>68</v>
      </c>
      <c r="H62" s="5" t="s">
        <v>68</v>
      </c>
      <c r="I62" s="6" t="s">
        <v>40</v>
      </c>
      <c r="J62" s="5" t="s">
        <v>41</v>
      </c>
      <c r="K62" s="5"/>
      <c r="L62" s="6" t="s">
        <v>42</v>
      </c>
      <c r="M62" s="5" t="s">
        <v>1959</v>
      </c>
      <c r="N62" s="5" t="s">
        <v>48</v>
      </c>
      <c r="O62" s="5" t="s">
        <v>16230</v>
      </c>
      <c r="P62" s="6">
        <v>7377.0</v>
      </c>
    </row>
    <row r="63" ht="56.25" customHeight="1">
      <c r="A63" s="5" t="s">
        <v>16232</v>
      </c>
      <c r="B63" s="6" t="str">
        <f>IMAGE("https://storage.googleapis.com/acdb/headwear/CapHatBowler1.png")</f>
        <v/>
      </c>
      <c r="C63" s="5" t="s">
        <v>38</v>
      </c>
      <c r="D63" s="5" t="s">
        <v>36</v>
      </c>
      <c r="E63" s="6">
        <v>1100.0</v>
      </c>
      <c r="F63" s="6">
        <v>275.0</v>
      </c>
      <c r="G63" s="5" t="s">
        <v>38</v>
      </c>
      <c r="H63" s="5" t="s">
        <v>38</v>
      </c>
      <c r="I63" s="6" t="s">
        <v>40</v>
      </c>
      <c r="J63" s="5" t="s">
        <v>8585</v>
      </c>
      <c r="K63" s="5" t="s">
        <v>8632</v>
      </c>
      <c r="L63" s="6" t="s">
        <v>42</v>
      </c>
      <c r="M63" s="5" t="s">
        <v>1059</v>
      </c>
      <c r="N63" s="5" t="s">
        <v>64</v>
      </c>
      <c r="O63" s="5" t="s">
        <v>16235</v>
      </c>
      <c r="P63" s="6">
        <v>10882.0</v>
      </c>
    </row>
    <row r="64" ht="56.25" customHeight="1">
      <c r="A64" s="5" t="s">
        <v>16232</v>
      </c>
      <c r="B64" s="6" t="str">
        <f>IMAGE("https://storage.googleapis.com/acdb/headwear/CapHatBowler2.png")</f>
        <v/>
      </c>
      <c r="C64" s="5" t="s">
        <v>96</v>
      </c>
      <c r="D64" s="5" t="s">
        <v>36</v>
      </c>
      <c r="E64" s="6">
        <v>1100.0</v>
      </c>
      <c r="F64" s="6">
        <v>275.0</v>
      </c>
      <c r="G64" s="5" t="s">
        <v>96</v>
      </c>
      <c r="H64" s="5" t="s">
        <v>96</v>
      </c>
      <c r="I64" s="6" t="s">
        <v>40</v>
      </c>
      <c r="J64" s="5" t="s">
        <v>8585</v>
      </c>
      <c r="K64" s="5" t="s">
        <v>8632</v>
      </c>
      <c r="L64" s="6" t="s">
        <v>42</v>
      </c>
      <c r="M64" s="5" t="s">
        <v>1059</v>
      </c>
      <c r="N64" s="5" t="s">
        <v>64</v>
      </c>
      <c r="O64" s="5" t="s">
        <v>16238</v>
      </c>
      <c r="P64" s="6">
        <v>10883.0</v>
      </c>
    </row>
    <row r="65" ht="56.25" customHeight="1">
      <c r="A65" s="5" t="s">
        <v>16232</v>
      </c>
      <c r="B65" s="6" t="str">
        <f>IMAGE("https://storage.googleapis.com/acdb/headwear/CapHatBowler3.png")</f>
        <v/>
      </c>
      <c r="C65" s="5" t="s">
        <v>52</v>
      </c>
      <c r="D65" s="5" t="s">
        <v>36</v>
      </c>
      <c r="E65" s="6">
        <v>1100.0</v>
      </c>
      <c r="F65" s="6">
        <v>275.0</v>
      </c>
      <c r="G65" s="5" t="s">
        <v>52</v>
      </c>
      <c r="H65" s="5" t="s">
        <v>52</v>
      </c>
      <c r="I65" s="6" t="s">
        <v>40</v>
      </c>
      <c r="J65" s="5" t="s">
        <v>8585</v>
      </c>
      <c r="K65" s="5" t="s">
        <v>8632</v>
      </c>
      <c r="L65" s="6" t="s">
        <v>42</v>
      </c>
      <c r="M65" s="5" t="s">
        <v>1059</v>
      </c>
      <c r="N65" s="5" t="s">
        <v>64</v>
      </c>
      <c r="O65" s="5" t="s">
        <v>16242</v>
      </c>
      <c r="P65" s="6">
        <v>10884.0</v>
      </c>
    </row>
    <row r="66" ht="56.25" customHeight="1">
      <c r="A66" s="5" t="s">
        <v>16232</v>
      </c>
      <c r="B66" s="6" t="str">
        <f>IMAGE("https://storage.googleapis.com/acdb/headwear/CapHatBowler4.png")</f>
        <v/>
      </c>
      <c r="C66" s="5" t="s">
        <v>69</v>
      </c>
      <c r="D66" s="5" t="s">
        <v>36</v>
      </c>
      <c r="E66" s="6">
        <v>1100.0</v>
      </c>
      <c r="F66" s="6">
        <v>275.0</v>
      </c>
      <c r="G66" s="5" t="s">
        <v>69</v>
      </c>
      <c r="H66" s="5" t="s">
        <v>69</v>
      </c>
      <c r="I66" s="6" t="s">
        <v>40</v>
      </c>
      <c r="J66" s="5" t="s">
        <v>8585</v>
      </c>
      <c r="K66" s="5" t="s">
        <v>8632</v>
      </c>
      <c r="L66" s="6" t="s">
        <v>42</v>
      </c>
      <c r="M66" s="5" t="s">
        <v>1059</v>
      </c>
      <c r="N66" s="5" t="s">
        <v>64</v>
      </c>
      <c r="O66" s="5" t="s">
        <v>16247</v>
      </c>
      <c r="P66" s="6">
        <v>10885.0</v>
      </c>
    </row>
    <row r="67" ht="56.25" customHeight="1">
      <c r="A67" s="5" t="s">
        <v>16232</v>
      </c>
      <c r="B67" s="6" t="str">
        <f>IMAGE("https://storage.googleapis.com/acdb/headwear/CapHatBowler0.png")</f>
        <v/>
      </c>
      <c r="C67" s="5" t="s">
        <v>68</v>
      </c>
      <c r="D67" s="5" t="s">
        <v>36</v>
      </c>
      <c r="E67" s="6">
        <v>1100.0</v>
      </c>
      <c r="F67" s="6">
        <v>275.0</v>
      </c>
      <c r="G67" s="5" t="s">
        <v>83</v>
      </c>
      <c r="H67" s="5" t="s">
        <v>83</v>
      </c>
      <c r="I67" s="6" t="s">
        <v>40</v>
      </c>
      <c r="J67" s="5" t="s">
        <v>8585</v>
      </c>
      <c r="K67" s="5" t="s">
        <v>8632</v>
      </c>
      <c r="L67" s="6" t="s">
        <v>42</v>
      </c>
      <c r="M67" s="5" t="s">
        <v>1059</v>
      </c>
      <c r="N67" s="5" t="s">
        <v>64</v>
      </c>
      <c r="O67" s="5" t="s">
        <v>16251</v>
      </c>
      <c r="P67" s="6">
        <v>5296.0</v>
      </c>
    </row>
    <row r="68" ht="56.25" customHeight="1">
      <c r="A68" s="5" t="s">
        <v>16252</v>
      </c>
      <c r="B68" s="6" t="str">
        <f>IMAGE("https://storage.googleapis.com/acdb/headwear/CapWigDoublebun0.png")</f>
        <v/>
      </c>
      <c r="C68" s="5" t="s">
        <v>69</v>
      </c>
      <c r="D68" s="5" t="s">
        <v>36</v>
      </c>
      <c r="E68" s="6">
        <v>1440.0</v>
      </c>
      <c r="F68" s="6">
        <v>360.0</v>
      </c>
      <c r="G68" s="5" t="s">
        <v>69</v>
      </c>
      <c r="H68" s="5" t="s">
        <v>58</v>
      </c>
      <c r="I68" s="6" t="s">
        <v>40</v>
      </c>
      <c r="J68" s="5" t="s">
        <v>8585</v>
      </c>
      <c r="K68" s="5" t="s">
        <v>8586</v>
      </c>
      <c r="L68" s="6" t="s">
        <v>42</v>
      </c>
      <c r="M68" s="5" t="s">
        <v>1959</v>
      </c>
      <c r="N68" s="5" t="s">
        <v>64</v>
      </c>
      <c r="O68" s="5" t="s">
        <v>16255</v>
      </c>
      <c r="P68" s="6">
        <v>5693.0</v>
      </c>
    </row>
    <row r="69" ht="56.25" customHeight="1">
      <c r="A69" s="5" t="s">
        <v>16252</v>
      </c>
      <c r="B69" s="6" t="str">
        <f>IMAGE("https://storage.googleapis.com/acdb/headwear/CapWigDoublebun3.png")</f>
        <v/>
      </c>
      <c r="C69" s="5" t="s">
        <v>57</v>
      </c>
      <c r="D69" s="5" t="s">
        <v>36</v>
      </c>
      <c r="E69" s="6">
        <v>1440.0</v>
      </c>
      <c r="F69" s="6">
        <v>360.0</v>
      </c>
      <c r="G69" s="5" t="s">
        <v>57</v>
      </c>
      <c r="H69" s="5" t="s">
        <v>58</v>
      </c>
      <c r="I69" s="6" t="s">
        <v>40</v>
      </c>
      <c r="J69" s="5" t="s">
        <v>8585</v>
      </c>
      <c r="K69" s="5" t="s">
        <v>8586</v>
      </c>
      <c r="L69" s="6" t="s">
        <v>42</v>
      </c>
      <c r="M69" s="5" t="s">
        <v>1959</v>
      </c>
      <c r="N69" s="5" t="s">
        <v>64</v>
      </c>
      <c r="O69" s="5" t="s">
        <v>16258</v>
      </c>
      <c r="P69" s="6">
        <v>11890.0</v>
      </c>
    </row>
    <row r="70" ht="56.25" customHeight="1">
      <c r="A70" s="5" t="s">
        <v>16252</v>
      </c>
      <c r="B70" s="6" t="str">
        <f>IMAGE("https://storage.googleapis.com/acdb/headwear/CapWigDoublebun4.png")</f>
        <v/>
      </c>
      <c r="C70" s="5" t="s">
        <v>106</v>
      </c>
      <c r="D70" s="5" t="s">
        <v>36</v>
      </c>
      <c r="E70" s="6">
        <v>1440.0</v>
      </c>
      <c r="F70" s="6">
        <v>360.0</v>
      </c>
      <c r="G70" s="5" t="s">
        <v>106</v>
      </c>
      <c r="H70" s="5" t="s">
        <v>58</v>
      </c>
      <c r="I70" s="6" t="s">
        <v>40</v>
      </c>
      <c r="J70" s="5" t="s">
        <v>8585</v>
      </c>
      <c r="K70" s="5" t="s">
        <v>8586</v>
      </c>
      <c r="L70" s="6" t="s">
        <v>42</v>
      </c>
      <c r="M70" s="5" t="s">
        <v>1959</v>
      </c>
      <c r="N70" s="5" t="s">
        <v>64</v>
      </c>
      <c r="O70" s="5" t="s">
        <v>16261</v>
      </c>
      <c r="P70" s="6">
        <v>11891.0</v>
      </c>
    </row>
    <row r="71" ht="56.25" customHeight="1">
      <c r="A71" s="5" t="s">
        <v>16252</v>
      </c>
      <c r="B71" s="6" t="str">
        <f>IMAGE("https://storage.googleapis.com/acdb/headwear/CapWigDoublebun5.png")</f>
        <v/>
      </c>
      <c r="C71" s="5" t="s">
        <v>96</v>
      </c>
      <c r="D71" s="5" t="s">
        <v>36</v>
      </c>
      <c r="E71" s="6">
        <v>1440.0</v>
      </c>
      <c r="F71" s="6">
        <v>360.0</v>
      </c>
      <c r="G71" s="5" t="s">
        <v>96</v>
      </c>
      <c r="H71" s="5" t="s">
        <v>58</v>
      </c>
      <c r="I71" s="6" t="s">
        <v>40</v>
      </c>
      <c r="J71" s="5" t="s">
        <v>8585</v>
      </c>
      <c r="K71" s="5" t="s">
        <v>8586</v>
      </c>
      <c r="L71" s="6" t="s">
        <v>42</v>
      </c>
      <c r="M71" s="5" t="s">
        <v>1959</v>
      </c>
      <c r="N71" s="5" t="s">
        <v>64</v>
      </c>
      <c r="O71" s="5" t="s">
        <v>16263</v>
      </c>
      <c r="P71" s="6">
        <v>11892.0</v>
      </c>
    </row>
    <row r="72" ht="56.25" customHeight="1">
      <c r="A72" s="5" t="s">
        <v>16252</v>
      </c>
      <c r="B72" s="6" t="str">
        <f>IMAGE("https://storage.googleapis.com/acdb/headwear/CapWigDoublebun6.png")</f>
        <v/>
      </c>
      <c r="C72" s="5" t="s">
        <v>142</v>
      </c>
      <c r="D72" s="5" t="s">
        <v>36</v>
      </c>
      <c r="E72" s="6">
        <v>1440.0</v>
      </c>
      <c r="F72" s="6">
        <v>360.0</v>
      </c>
      <c r="G72" s="5" t="s">
        <v>142</v>
      </c>
      <c r="H72" s="5" t="s">
        <v>58</v>
      </c>
      <c r="I72" s="6" t="s">
        <v>40</v>
      </c>
      <c r="J72" s="5" t="s">
        <v>8585</v>
      </c>
      <c r="K72" s="5" t="s">
        <v>8586</v>
      </c>
      <c r="L72" s="6" t="s">
        <v>42</v>
      </c>
      <c r="M72" s="5" t="s">
        <v>1959</v>
      </c>
      <c r="N72" s="5" t="s">
        <v>64</v>
      </c>
      <c r="O72" s="5" t="s">
        <v>16265</v>
      </c>
      <c r="P72" s="6">
        <v>11893.0</v>
      </c>
    </row>
    <row r="73" ht="56.25" customHeight="1">
      <c r="A73" s="5" t="s">
        <v>16252</v>
      </c>
      <c r="B73" s="6" t="str">
        <f>IMAGE("https://storage.googleapis.com/acdb/headwear/CapWigDoublebun1.png")</f>
        <v/>
      </c>
      <c r="C73" s="5" t="s">
        <v>68</v>
      </c>
      <c r="D73" s="5" t="s">
        <v>36</v>
      </c>
      <c r="E73" s="6">
        <v>1440.0</v>
      </c>
      <c r="F73" s="6">
        <v>360.0</v>
      </c>
      <c r="G73" s="5" t="s">
        <v>68</v>
      </c>
      <c r="H73" s="5" t="s">
        <v>58</v>
      </c>
      <c r="I73" s="6" t="s">
        <v>40</v>
      </c>
      <c r="J73" s="5" t="s">
        <v>8585</v>
      </c>
      <c r="K73" s="5" t="s">
        <v>8586</v>
      </c>
      <c r="L73" s="6" t="s">
        <v>42</v>
      </c>
      <c r="M73" s="5" t="s">
        <v>1959</v>
      </c>
      <c r="N73" s="5" t="s">
        <v>64</v>
      </c>
      <c r="O73" s="5" t="s">
        <v>16268</v>
      </c>
      <c r="P73" s="6">
        <v>11888.0</v>
      </c>
    </row>
    <row r="74" ht="56.25" customHeight="1">
      <c r="A74" s="5" t="s">
        <v>16252</v>
      </c>
      <c r="B74" s="6" t="str">
        <f>IMAGE("https://storage.googleapis.com/acdb/headwear/CapWigDoublebun2.png")</f>
        <v/>
      </c>
      <c r="C74" s="5" t="s">
        <v>8709</v>
      </c>
      <c r="D74" s="5" t="s">
        <v>36</v>
      </c>
      <c r="E74" s="6">
        <v>1440.0</v>
      </c>
      <c r="F74" s="6">
        <v>360.0</v>
      </c>
      <c r="G74" s="5" t="s">
        <v>114</v>
      </c>
      <c r="H74" s="5" t="s">
        <v>58</v>
      </c>
      <c r="I74" s="6" t="s">
        <v>40</v>
      </c>
      <c r="J74" s="5" t="s">
        <v>8585</v>
      </c>
      <c r="K74" s="5" t="s">
        <v>8586</v>
      </c>
      <c r="L74" s="6" t="s">
        <v>42</v>
      </c>
      <c r="M74" s="5" t="s">
        <v>1959</v>
      </c>
      <c r="N74" s="5" t="s">
        <v>64</v>
      </c>
      <c r="O74" s="5" t="s">
        <v>16271</v>
      </c>
      <c r="P74" s="6">
        <v>11889.0</v>
      </c>
    </row>
    <row r="75" ht="56.25" customHeight="1">
      <c r="A75" s="18" t="s">
        <v>16272</v>
      </c>
      <c r="B75" s="6" t="str">
        <f>IMAGE("https://storage.googleapis.com/acdb/headwear/CapOrnamentCEgg0.png")</f>
        <v/>
      </c>
      <c r="C75" s="5" t="s">
        <v>34</v>
      </c>
      <c r="D75" s="5" t="s">
        <v>35</v>
      </c>
      <c r="E75" s="6" t="s">
        <v>37</v>
      </c>
      <c r="F75" s="6">
        <v>2400.0</v>
      </c>
      <c r="G75" s="5" t="s">
        <v>58</v>
      </c>
      <c r="H75" s="5" t="s">
        <v>58</v>
      </c>
      <c r="I75" s="6" t="s">
        <v>40</v>
      </c>
      <c r="J75" s="5" t="s">
        <v>41</v>
      </c>
      <c r="K75" s="5" t="s">
        <v>461</v>
      </c>
      <c r="L75" s="6" t="s">
        <v>1410</v>
      </c>
      <c r="M75" s="5" t="s">
        <v>1059</v>
      </c>
      <c r="N75" s="5" t="s">
        <v>48</v>
      </c>
      <c r="O75" s="5" t="s">
        <v>16274</v>
      </c>
      <c r="P75" s="6">
        <v>12445.0</v>
      </c>
    </row>
    <row r="76" ht="56.25" customHeight="1">
      <c r="A76" s="5" t="s">
        <v>16275</v>
      </c>
      <c r="B76" s="6" t="str">
        <f>IMAGE("https://storage.googleapis.com/acdb/headwear/CapOrnamentFBunny1.png")</f>
        <v/>
      </c>
      <c r="C76" s="5" t="s">
        <v>69</v>
      </c>
      <c r="D76" s="5" t="s">
        <v>36</v>
      </c>
      <c r="E76" s="6">
        <v>1120.0</v>
      </c>
      <c r="F76" s="6">
        <v>280.0</v>
      </c>
      <c r="G76" s="5" t="s">
        <v>69</v>
      </c>
      <c r="H76" s="5" t="s">
        <v>69</v>
      </c>
      <c r="I76" s="6" t="s">
        <v>40</v>
      </c>
      <c r="J76" s="5" t="s">
        <v>8585</v>
      </c>
      <c r="K76" s="5" t="s">
        <v>8586</v>
      </c>
      <c r="L76" s="6" t="s">
        <v>42</v>
      </c>
      <c r="M76" s="5" t="s">
        <v>1959</v>
      </c>
      <c r="N76" s="5" t="s">
        <v>64</v>
      </c>
      <c r="O76" s="5" t="s">
        <v>16278</v>
      </c>
      <c r="P76" s="6">
        <v>11902.0</v>
      </c>
    </row>
    <row r="77" ht="56.25" customHeight="1">
      <c r="A77" s="5" t="s">
        <v>16275</v>
      </c>
      <c r="B77" s="6" t="str">
        <f>IMAGE("https://storage.googleapis.com/acdb/headwear/CapOrnamentFBunny2.png")</f>
        <v/>
      </c>
      <c r="C77" s="5" t="s">
        <v>52</v>
      </c>
      <c r="D77" s="5" t="s">
        <v>36</v>
      </c>
      <c r="E77" s="6">
        <v>1120.0</v>
      </c>
      <c r="F77" s="6">
        <v>280.0</v>
      </c>
      <c r="G77" s="5" t="s">
        <v>52</v>
      </c>
      <c r="H77" s="5" t="s">
        <v>52</v>
      </c>
      <c r="I77" s="6" t="s">
        <v>40</v>
      </c>
      <c r="J77" s="5" t="s">
        <v>8585</v>
      </c>
      <c r="K77" s="5" t="s">
        <v>8586</v>
      </c>
      <c r="L77" s="6" t="s">
        <v>42</v>
      </c>
      <c r="M77" s="5" t="s">
        <v>1959</v>
      </c>
      <c r="N77" s="5" t="s">
        <v>64</v>
      </c>
      <c r="O77" s="5" t="s">
        <v>16282</v>
      </c>
      <c r="P77" s="6">
        <v>11903.0</v>
      </c>
    </row>
    <row r="78" ht="56.25" customHeight="1">
      <c r="A78" s="5" t="s">
        <v>16275</v>
      </c>
      <c r="B78" s="6" t="str">
        <f>IMAGE("https://storage.googleapis.com/acdb/headwear/CapOrnamentFBunny3.png")</f>
        <v/>
      </c>
      <c r="C78" s="5" t="s">
        <v>83</v>
      </c>
      <c r="D78" s="5" t="s">
        <v>36</v>
      </c>
      <c r="E78" s="6">
        <v>1120.0</v>
      </c>
      <c r="F78" s="6">
        <v>280.0</v>
      </c>
      <c r="G78" s="5" t="s">
        <v>83</v>
      </c>
      <c r="H78" s="5" t="s">
        <v>83</v>
      </c>
      <c r="I78" s="6" t="s">
        <v>40</v>
      </c>
      <c r="J78" s="5" t="s">
        <v>8585</v>
      </c>
      <c r="K78" s="5" t="s">
        <v>8586</v>
      </c>
      <c r="L78" s="6" t="s">
        <v>42</v>
      </c>
      <c r="M78" s="5" t="s">
        <v>1959</v>
      </c>
      <c r="N78" s="5" t="s">
        <v>64</v>
      </c>
      <c r="O78" s="5" t="s">
        <v>16287</v>
      </c>
      <c r="P78" s="6">
        <v>11904.0</v>
      </c>
    </row>
    <row r="79" ht="56.25" customHeight="1">
      <c r="A79" s="5" t="s">
        <v>16275</v>
      </c>
      <c r="B79" s="6" t="str">
        <f>IMAGE("https://storage.googleapis.com/acdb/headwear/CapOrnamentFBunny0.png")</f>
        <v/>
      </c>
      <c r="C79" s="5" t="s">
        <v>54</v>
      </c>
      <c r="D79" s="5" t="s">
        <v>36</v>
      </c>
      <c r="E79" s="6">
        <v>1120.0</v>
      </c>
      <c r="F79" s="6">
        <v>280.0</v>
      </c>
      <c r="G79" s="5" t="s">
        <v>54</v>
      </c>
      <c r="H79" s="5" t="s">
        <v>54</v>
      </c>
      <c r="I79" s="6" t="s">
        <v>40</v>
      </c>
      <c r="J79" s="5" t="s">
        <v>8585</v>
      </c>
      <c r="K79" s="5" t="s">
        <v>8586</v>
      </c>
      <c r="L79" s="6" t="s">
        <v>42</v>
      </c>
      <c r="M79" s="5" t="s">
        <v>1959</v>
      </c>
      <c r="N79" s="5" t="s">
        <v>64</v>
      </c>
      <c r="O79" s="5" t="s">
        <v>16291</v>
      </c>
      <c r="P79" s="6">
        <v>7209.0</v>
      </c>
    </row>
    <row r="80" ht="56.25" customHeight="1">
      <c r="A80" s="5" t="s">
        <v>16292</v>
      </c>
      <c r="B80" s="6" t="str">
        <f>IMAGE("https://storage.googleapis.com/acdb/headwear/CapBangsRabbit1.png")</f>
        <v/>
      </c>
      <c r="C80" s="5" t="s">
        <v>114</v>
      </c>
      <c r="D80" s="5" t="s">
        <v>36</v>
      </c>
      <c r="E80" s="6">
        <v>1120.0</v>
      </c>
      <c r="F80" s="6">
        <v>280.0</v>
      </c>
      <c r="G80" s="5" t="s">
        <v>114</v>
      </c>
      <c r="H80" s="5" t="s">
        <v>114</v>
      </c>
      <c r="I80" s="6" t="s">
        <v>40</v>
      </c>
      <c r="J80" s="5" t="s">
        <v>8585</v>
      </c>
      <c r="K80" s="5" t="s">
        <v>8586</v>
      </c>
      <c r="L80" s="6" t="s">
        <v>42</v>
      </c>
      <c r="M80" s="5" t="s">
        <v>1959</v>
      </c>
      <c r="N80" s="5" t="s">
        <v>64</v>
      </c>
      <c r="O80" s="5" t="s">
        <v>16295</v>
      </c>
      <c r="P80" s="6">
        <v>11700.0</v>
      </c>
    </row>
    <row r="81" ht="56.25" customHeight="1">
      <c r="A81" s="5" t="s">
        <v>16292</v>
      </c>
      <c r="B81" s="6" t="str">
        <f>IMAGE("https://storage.googleapis.com/acdb/headwear/CapBangsRabbit2.png")</f>
        <v/>
      </c>
      <c r="C81" s="5" t="s">
        <v>57</v>
      </c>
      <c r="D81" s="5" t="s">
        <v>36</v>
      </c>
      <c r="E81" s="6">
        <v>1120.0</v>
      </c>
      <c r="F81" s="6">
        <v>280.0</v>
      </c>
      <c r="G81" s="5" t="s">
        <v>57</v>
      </c>
      <c r="H81" s="5" t="s">
        <v>83</v>
      </c>
      <c r="I81" s="6" t="s">
        <v>40</v>
      </c>
      <c r="J81" s="5" t="s">
        <v>8585</v>
      </c>
      <c r="K81" s="5" t="s">
        <v>8586</v>
      </c>
      <c r="L81" s="6" t="s">
        <v>42</v>
      </c>
      <c r="M81" s="5" t="s">
        <v>1959</v>
      </c>
      <c r="N81" s="5" t="s">
        <v>64</v>
      </c>
      <c r="O81" s="5" t="s">
        <v>16299</v>
      </c>
      <c r="P81" s="6">
        <v>11701.0</v>
      </c>
    </row>
    <row r="82" ht="56.25" customHeight="1">
      <c r="A82" s="5" t="s">
        <v>16292</v>
      </c>
      <c r="B82" s="6" t="str">
        <f>IMAGE("https://storage.googleapis.com/acdb/headwear/CapBangsRabbit0.png")</f>
        <v/>
      </c>
      <c r="C82" s="5" t="s">
        <v>69</v>
      </c>
      <c r="D82" s="5" t="s">
        <v>36</v>
      </c>
      <c r="E82" s="6">
        <v>1120.0</v>
      </c>
      <c r="F82" s="6">
        <v>280.0</v>
      </c>
      <c r="G82" s="5" t="s">
        <v>69</v>
      </c>
      <c r="H82" s="5" t="s">
        <v>69</v>
      </c>
      <c r="I82" s="6" t="s">
        <v>40</v>
      </c>
      <c r="J82" s="5" t="s">
        <v>8585</v>
      </c>
      <c r="K82" s="5" t="s">
        <v>8586</v>
      </c>
      <c r="L82" s="6" t="s">
        <v>42</v>
      </c>
      <c r="M82" s="5" t="s">
        <v>1959</v>
      </c>
      <c r="N82" s="5" t="s">
        <v>64</v>
      </c>
      <c r="O82" s="5" t="s">
        <v>16303</v>
      </c>
      <c r="P82" s="6">
        <v>5325.0</v>
      </c>
    </row>
    <row r="83" ht="56.25" customHeight="1">
      <c r="A83" s="5" t="s">
        <v>16304</v>
      </c>
      <c r="B83" s="6" t="str">
        <f>IMAGE("https://storage.googleapis.com/acdb/headwear/CapHatCaptainWhite.png")</f>
        <v/>
      </c>
      <c r="C83" s="5" t="s">
        <v>57</v>
      </c>
      <c r="D83" s="5" t="s">
        <v>36</v>
      </c>
      <c r="E83" s="6">
        <v>1680.0</v>
      </c>
      <c r="F83" s="6">
        <v>420.0</v>
      </c>
      <c r="G83" s="5" t="s">
        <v>57</v>
      </c>
      <c r="H83" s="5" t="s">
        <v>54</v>
      </c>
      <c r="I83" s="6" t="s">
        <v>40</v>
      </c>
      <c r="J83" s="5" t="s">
        <v>8585</v>
      </c>
      <c r="K83" s="5" t="s">
        <v>8586</v>
      </c>
      <c r="L83" s="6" t="s">
        <v>42</v>
      </c>
      <c r="M83" s="5" t="s">
        <v>1952</v>
      </c>
      <c r="N83" s="5" t="s">
        <v>64</v>
      </c>
      <c r="O83" s="5" t="s">
        <v>16306</v>
      </c>
      <c r="P83" s="6">
        <v>5332.0</v>
      </c>
    </row>
    <row r="84" ht="56.25" customHeight="1">
      <c r="A84" s="5" t="s">
        <v>16307</v>
      </c>
      <c r="B84" s="6" t="str">
        <f>IMAGE("https://storage.googleapis.com/acdb/headwear/CapBangsCat1.png")</f>
        <v/>
      </c>
      <c r="C84" s="5" t="s">
        <v>39</v>
      </c>
      <c r="D84" s="5" t="s">
        <v>36</v>
      </c>
      <c r="E84" s="6">
        <v>980.0</v>
      </c>
      <c r="F84" s="6">
        <v>245.0</v>
      </c>
      <c r="G84" s="5" t="s">
        <v>39</v>
      </c>
      <c r="H84" s="5" t="s">
        <v>69</v>
      </c>
      <c r="I84" s="6" t="s">
        <v>40</v>
      </c>
      <c r="J84" s="5" t="s">
        <v>8585</v>
      </c>
      <c r="K84" s="5" t="s">
        <v>8586</v>
      </c>
      <c r="L84" s="6" t="s">
        <v>42</v>
      </c>
      <c r="M84" s="5" t="s">
        <v>1959</v>
      </c>
      <c r="N84" s="5" t="s">
        <v>64</v>
      </c>
      <c r="O84" s="5" t="s">
        <v>16310</v>
      </c>
      <c r="P84" s="6">
        <v>11702.0</v>
      </c>
    </row>
    <row r="85" ht="56.25" customHeight="1">
      <c r="A85" s="5" t="s">
        <v>16307</v>
      </c>
      <c r="B85" s="6" t="str">
        <f>IMAGE("https://storage.googleapis.com/acdb/headwear/CapBangsCat2.png")</f>
        <v/>
      </c>
      <c r="C85" s="5" t="s">
        <v>57</v>
      </c>
      <c r="D85" s="5" t="s">
        <v>36</v>
      </c>
      <c r="E85" s="6">
        <v>980.0</v>
      </c>
      <c r="F85" s="6">
        <v>245.0</v>
      </c>
      <c r="G85" s="5" t="s">
        <v>57</v>
      </c>
      <c r="H85" s="5" t="s">
        <v>69</v>
      </c>
      <c r="I85" s="6" t="s">
        <v>40</v>
      </c>
      <c r="J85" s="5" t="s">
        <v>8585</v>
      </c>
      <c r="K85" s="5" t="s">
        <v>8586</v>
      </c>
      <c r="L85" s="6" t="s">
        <v>42</v>
      </c>
      <c r="M85" s="5" t="s">
        <v>1959</v>
      </c>
      <c r="N85" s="5" t="s">
        <v>64</v>
      </c>
      <c r="O85" s="5" t="s">
        <v>16314</v>
      </c>
      <c r="P85" s="6">
        <v>11703.0</v>
      </c>
    </row>
    <row r="86" ht="56.25" customHeight="1">
      <c r="A86" s="5" t="s">
        <v>16307</v>
      </c>
      <c r="B86" s="6" t="str">
        <f>IMAGE("https://storage.googleapis.com/acdb/headwear/CapBangsCat0.png")</f>
        <v/>
      </c>
      <c r="C86" s="5" t="s">
        <v>1187</v>
      </c>
      <c r="D86" s="5" t="s">
        <v>36</v>
      </c>
      <c r="E86" s="6">
        <v>980.0</v>
      </c>
      <c r="F86" s="6">
        <v>245.0</v>
      </c>
      <c r="G86" s="5" t="s">
        <v>68</v>
      </c>
      <c r="H86" s="5" t="s">
        <v>69</v>
      </c>
      <c r="I86" s="6" t="s">
        <v>40</v>
      </c>
      <c r="J86" s="5" t="s">
        <v>8585</v>
      </c>
      <c r="K86" s="5" t="s">
        <v>8586</v>
      </c>
      <c r="L86" s="6" t="s">
        <v>42</v>
      </c>
      <c r="M86" s="5" t="s">
        <v>1959</v>
      </c>
      <c r="N86" s="5" t="s">
        <v>64</v>
      </c>
      <c r="O86" s="5" t="s">
        <v>16318</v>
      </c>
      <c r="P86" s="6">
        <v>5326.0</v>
      </c>
    </row>
    <row r="87" ht="56.25" customHeight="1">
      <c r="A87" s="5" t="s">
        <v>16319</v>
      </c>
      <c r="B87" s="6" t="str">
        <f>IMAGE("https://storage.googleapis.com/acdb/headwear/CapFullfaceCatcher1.png")</f>
        <v/>
      </c>
      <c r="C87" s="5" t="s">
        <v>1187</v>
      </c>
      <c r="D87" s="5" t="s">
        <v>36</v>
      </c>
      <c r="E87" s="6">
        <v>1560.0</v>
      </c>
      <c r="F87" s="6">
        <v>390.0</v>
      </c>
      <c r="G87" s="5" t="s">
        <v>68</v>
      </c>
      <c r="H87" s="5" t="s">
        <v>68</v>
      </c>
      <c r="I87" s="6" t="s">
        <v>40</v>
      </c>
      <c r="J87" s="5" t="s">
        <v>8585</v>
      </c>
      <c r="K87" s="5" t="s">
        <v>8586</v>
      </c>
      <c r="L87" s="6" t="s">
        <v>42</v>
      </c>
      <c r="M87" s="5" t="s">
        <v>8746</v>
      </c>
      <c r="N87" s="5" t="s">
        <v>64</v>
      </c>
      <c r="O87" s="5" t="s">
        <v>16322</v>
      </c>
      <c r="P87" s="6">
        <v>11600.0</v>
      </c>
    </row>
    <row r="88" ht="56.25" customHeight="1">
      <c r="A88" s="5" t="s">
        <v>16319</v>
      </c>
      <c r="B88" s="6" t="str">
        <f>IMAGE("https://storage.googleapis.com/acdb/headwear/CapFullfaceCatcher2.png")</f>
        <v/>
      </c>
      <c r="C88" s="5" t="s">
        <v>96</v>
      </c>
      <c r="D88" s="5" t="s">
        <v>36</v>
      </c>
      <c r="E88" s="6">
        <v>1560.0</v>
      </c>
      <c r="F88" s="6">
        <v>390.0</v>
      </c>
      <c r="G88" s="5" t="s">
        <v>96</v>
      </c>
      <c r="H88" s="5" t="s">
        <v>96</v>
      </c>
      <c r="I88" s="6" t="s">
        <v>40</v>
      </c>
      <c r="J88" s="5" t="s">
        <v>8585</v>
      </c>
      <c r="K88" s="5" t="s">
        <v>8586</v>
      </c>
      <c r="L88" s="6" t="s">
        <v>42</v>
      </c>
      <c r="M88" s="5" t="s">
        <v>8746</v>
      </c>
      <c r="N88" s="5" t="s">
        <v>64</v>
      </c>
      <c r="O88" s="5" t="s">
        <v>16325</v>
      </c>
      <c r="P88" s="6">
        <v>11601.0</v>
      </c>
    </row>
    <row r="89" ht="56.25" customHeight="1">
      <c r="A89" s="5" t="s">
        <v>16319</v>
      </c>
      <c r="B89" s="6" t="str">
        <f>IMAGE("https://storage.googleapis.com/acdb/headwear/CapFullfaceCatcher3.png")</f>
        <v/>
      </c>
      <c r="C89" s="5" t="s">
        <v>142</v>
      </c>
      <c r="D89" s="5" t="s">
        <v>36</v>
      </c>
      <c r="E89" s="6">
        <v>1560.0</v>
      </c>
      <c r="F89" s="6">
        <v>390.0</v>
      </c>
      <c r="G89" s="5" t="s">
        <v>54</v>
      </c>
      <c r="H89" s="5" t="s">
        <v>142</v>
      </c>
      <c r="I89" s="6" t="s">
        <v>40</v>
      </c>
      <c r="J89" s="5" t="s">
        <v>8585</v>
      </c>
      <c r="K89" s="5" t="s">
        <v>8586</v>
      </c>
      <c r="L89" s="6" t="s">
        <v>42</v>
      </c>
      <c r="M89" s="5" t="s">
        <v>8746</v>
      </c>
      <c r="N89" s="5" t="s">
        <v>64</v>
      </c>
      <c r="O89" s="5" t="s">
        <v>16328</v>
      </c>
      <c r="P89" s="6">
        <v>11602.0</v>
      </c>
    </row>
    <row r="90" ht="56.25" customHeight="1">
      <c r="A90" s="5" t="s">
        <v>16319</v>
      </c>
      <c r="B90" s="6" t="str">
        <f>IMAGE("https://storage.googleapis.com/acdb/headwear/CapFullfaceCatcher4.png")</f>
        <v/>
      </c>
      <c r="C90" s="5" t="s">
        <v>114</v>
      </c>
      <c r="D90" s="5" t="s">
        <v>36</v>
      </c>
      <c r="E90" s="6">
        <v>1560.0</v>
      </c>
      <c r="F90" s="6">
        <v>390.0</v>
      </c>
      <c r="G90" s="5" t="s">
        <v>54</v>
      </c>
      <c r="H90" s="5" t="s">
        <v>114</v>
      </c>
      <c r="I90" s="6" t="s">
        <v>40</v>
      </c>
      <c r="J90" s="5" t="s">
        <v>8585</v>
      </c>
      <c r="K90" s="5" t="s">
        <v>8586</v>
      </c>
      <c r="L90" s="6" t="s">
        <v>42</v>
      </c>
      <c r="M90" s="5" t="s">
        <v>8746</v>
      </c>
      <c r="N90" s="5" t="s">
        <v>64</v>
      </c>
      <c r="O90" s="5" t="s">
        <v>16330</v>
      </c>
      <c r="P90" s="6">
        <v>11603.0</v>
      </c>
    </row>
    <row r="91" ht="56.25" customHeight="1">
      <c r="A91" s="5" t="s">
        <v>16319</v>
      </c>
      <c r="B91" s="6" t="str">
        <f>IMAGE("https://storage.googleapis.com/acdb/headwear/CapFullfaceCatcher0.png")</f>
        <v/>
      </c>
      <c r="C91" s="5" t="s">
        <v>52</v>
      </c>
      <c r="D91" s="5" t="s">
        <v>36</v>
      </c>
      <c r="E91" s="6">
        <v>1560.0</v>
      </c>
      <c r="F91" s="6">
        <v>390.0</v>
      </c>
      <c r="G91" s="5" t="s">
        <v>52</v>
      </c>
      <c r="H91" s="5" t="s">
        <v>52</v>
      </c>
      <c r="I91" s="6" t="s">
        <v>40</v>
      </c>
      <c r="J91" s="5" t="s">
        <v>8585</v>
      </c>
      <c r="K91" s="5" t="s">
        <v>8586</v>
      </c>
      <c r="L91" s="6" t="s">
        <v>42</v>
      </c>
      <c r="M91" s="5" t="s">
        <v>8746</v>
      </c>
      <c r="N91" s="5" t="s">
        <v>64</v>
      </c>
      <c r="O91" s="5" t="s">
        <v>16333</v>
      </c>
      <c r="P91" s="6">
        <v>6050.0</v>
      </c>
    </row>
    <row r="92" ht="56.25" customHeight="1">
      <c r="A92" s="5" t="s">
        <v>16334</v>
      </c>
      <c r="B92" s="6" t="str">
        <f>IMAGE("https://storage.googleapis.com/acdb/headwear/CapHatCavalier1.png")</f>
        <v/>
      </c>
      <c r="C92" s="5" t="s">
        <v>52</v>
      </c>
      <c r="D92" s="5" t="s">
        <v>36</v>
      </c>
      <c r="E92" s="6">
        <v>1600.0</v>
      </c>
      <c r="F92" s="6">
        <v>400.0</v>
      </c>
      <c r="G92" s="5" t="s">
        <v>52</v>
      </c>
      <c r="H92" s="5" t="s">
        <v>114</v>
      </c>
      <c r="I92" s="6" t="s">
        <v>40</v>
      </c>
      <c r="J92" s="5" t="s">
        <v>8585</v>
      </c>
      <c r="K92" s="5" t="s">
        <v>8586</v>
      </c>
      <c r="L92" s="6" t="s">
        <v>42</v>
      </c>
      <c r="M92" s="5" t="s">
        <v>1059</v>
      </c>
      <c r="N92" s="5" t="s">
        <v>64</v>
      </c>
      <c r="O92" s="5" t="s">
        <v>16337</v>
      </c>
      <c r="P92" s="6">
        <v>11807.0</v>
      </c>
    </row>
    <row r="93" ht="56.25" customHeight="1">
      <c r="A93" s="5" t="s">
        <v>16334</v>
      </c>
      <c r="B93" s="6" t="str">
        <f>IMAGE("https://storage.googleapis.com/acdb/headwear/CapHatCavalier2.png")</f>
        <v/>
      </c>
      <c r="C93" s="5" t="s">
        <v>96</v>
      </c>
      <c r="D93" s="5" t="s">
        <v>36</v>
      </c>
      <c r="E93" s="6">
        <v>1600.0</v>
      </c>
      <c r="F93" s="6">
        <v>400.0</v>
      </c>
      <c r="G93" s="5" t="s">
        <v>96</v>
      </c>
      <c r="H93" s="5" t="s">
        <v>114</v>
      </c>
      <c r="I93" s="6" t="s">
        <v>40</v>
      </c>
      <c r="J93" s="5" t="s">
        <v>8585</v>
      </c>
      <c r="K93" s="5" t="s">
        <v>8586</v>
      </c>
      <c r="L93" s="6" t="s">
        <v>42</v>
      </c>
      <c r="M93" s="5" t="s">
        <v>1059</v>
      </c>
      <c r="N93" s="5" t="s">
        <v>64</v>
      </c>
      <c r="O93" s="5" t="s">
        <v>16339</v>
      </c>
      <c r="P93" s="6">
        <v>11808.0</v>
      </c>
    </row>
    <row r="94" ht="56.25" customHeight="1">
      <c r="A94" s="5" t="s">
        <v>16334</v>
      </c>
      <c r="B94" s="6" t="str">
        <f>IMAGE("https://storage.googleapis.com/acdb/headwear/CapHatCavalier0.png")</f>
        <v/>
      </c>
      <c r="C94" s="5" t="s">
        <v>68</v>
      </c>
      <c r="D94" s="5" t="s">
        <v>36</v>
      </c>
      <c r="E94" s="6">
        <v>1600.0</v>
      </c>
      <c r="F94" s="6">
        <v>400.0</v>
      </c>
      <c r="G94" s="5" t="s">
        <v>68</v>
      </c>
      <c r="H94" s="5" t="s">
        <v>114</v>
      </c>
      <c r="I94" s="6" t="s">
        <v>40</v>
      </c>
      <c r="J94" s="5" t="s">
        <v>8585</v>
      </c>
      <c r="K94" s="5" t="s">
        <v>8586</v>
      </c>
      <c r="L94" s="6" t="s">
        <v>42</v>
      </c>
      <c r="M94" s="5" t="s">
        <v>1059</v>
      </c>
      <c r="N94" s="5" t="s">
        <v>64</v>
      </c>
      <c r="O94" s="5" t="s">
        <v>16341</v>
      </c>
      <c r="P94" s="6">
        <v>5663.0</v>
      </c>
    </row>
    <row r="95" ht="56.25" customHeight="1">
      <c r="A95" s="5" t="s">
        <v>16342</v>
      </c>
      <c r="B95" s="6" t="str">
        <f>IMAGE("https://storage.googleapis.com/acdb/headwear/CapHatCockWhite.png")</f>
        <v/>
      </c>
      <c r="C95" s="5" t="s">
        <v>57</v>
      </c>
      <c r="D95" s="5" t="s">
        <v>36</v>
      </c>
      <c r="E95" s="6">
        <v>840.0</v>
      </c>
      <c r="F95" s="6">
        <v>210.0</v>
      </c>
      <c r="G95" s="5" t="s">
        <v>57</v>
      </c>
      <c r="H95" s="5" t="s">
        <v>57</v>
      </c>
      <c r="I95" s="6" t="s">
        <v>40</v>
      </c>
      <c r="J95" s="5" t="s">
        <v>8585</v>
      </c>
      <c r="K95" s="5" t="s">
        <v>8586</v>
      </c>
      <c r="L95" s="6" t="s">
        <v>42</v>
      </c>
      <c r="M95" s="5" t="s">
        <v>995</v>
      </c>
      <c r="N95" s="5" t="s">
        <v>64</v>
      </c>
      <c r="O95" s="5" t="s">
        <v>16346</v>
      </c>
      <c r="P95" s="6">
        <v>5140.0</v>
      </c>
    </row>
    <row r="96" ht="56.25" customHeight="1">
      <c r="A96" s="5" t="s">
        <v>16347</v>
      </c>
      <c r="B96" s="6" t="str">
        <f>IMAGE("https://storage.googleapis.com/acdb/headwear/CapHatCherry0.png")</f>
        <v/>
      </c>
      <c r="C96" s="5" t="s">
        <v>52</v>
      </c>
      <c r="D96" s="5" t="s">
        <v>35</v>
      </c>
      <c r="E96" s="6" t="s">
        <v>37</v>
      </c>
      <c r="F96" s="6">
        <v>1000.0</v>
      </c>
      <c r="G96" s="5" t="s">
        <v>52</v>
      </c>
      <c r="H96" s="5" t="s">
        <v>96</v>
      </c>
      <c r="I96" s="6" t="s">
        <v>40</v>
      </c>
      <c r="J96" s="5" t="s">
        <v>41</v>
      </c>
      <c r="K96" s="5"/>
      <c r="L96" s="6" t="s">
        <v>42</v>
      </c>
      <c r="M96" s="5" t="s">
        <v>1959</v>
      </c>
      <c r="N96" s="5" t="s">
        <v>48</v>
      </c>
      <c r="O96" s="5" t="s">
        <v>16350</v>
      </c>
      <c r="P96" s="6">
        <v>9873.0</v>
      </c>
    </row>
    <row r="97" ht="56.25" customHeight="1">
      <c r="A97" s="5" t="s">
        <v>16351</v>
      </c>
      <c r="B97" s="6" t="str">
        <f>IMAGE("https://storage.googleapis.com/acdb/headwear/CapOrnamentMum2.png")</f>
        <v/>
      </c>
      <c r="C97" s="5" t="s">
        <v>58</v>
      </c>
      <c r="D97" s="5" t="s">
        <v>35</v>
      </c>
      <c r="E97" s="6" t="s">
        <v>37</v>
      </c>
      <c r="F97" s="6">
        <v>960.0</v>
      </c>
      <c r="G97" s="5" t="s">
        <v>69</v>
      </c>
      <c r="H97" s="5" t="s">
        <v>106</v>
      </c>
      <c r="I97" s="6" t="s">
        <v>40</v>
      </c>
      <c r="J97" s="5" t="s">
        <v>41</v>
      </c>
      <c r="K97" s="5"/>
      <c r="L97" s="6" t="s">
        <v>42</v>
      </c>
      <c r="M97" s="5" t="s">
        <v>1959</v>
      </c>
      <c r="N97" s="5" t="s">
        <v>48</v>
      </c>
      <c r="O97" s="5" t="s">
        <v>16353</v>
      </c>
      <c r="P97" s="6">
        <v>5118.0</v>
      </c>
    </row>
    <row r="98" ht="56.25" customHeight="1">
      <c r="A98" s="5" t="s">
        <v>16355</v>
      </c>
      <c r="B98" s="6" t="str">
        <f>IMAGE("https://storage.googleapis.com/acdb/headwear/CapOrnamentRose3.png")</f>
        <v/>
      </c>
      <c r="C98" s="5" t="s">
        <v>106</v>
      </c>
      <c r="D98" s="5" t="s">
        <v>35</v>
      </c>
      <c r="E98" s="6" t="s">
        <v>37</v>
      </c>
      <c r="F98" s="6">
        <v>2880.0</v>
      </c>
      <c r="G98" s="5" t="s">
        <v>106</v>
      </c>
      <c r="H98" s="5" t="s">
        <v>54</v>
      </c>
      <c r="I98" s="6" t="s">
        <v>40</v>
      </c>
      <c r="J98" s="5" t="s">
        <v>41</v>
      </c>
      <c r="K98" s="5"/>
      <c r="L98" s="6" t="s">
        <v>42</v>
      </c>
      <c r="M98" s="5" t="s">
        <v>1959</v>
      </c>
      <c r="N98" s="5" t="s">
        <v>48</v>
      </c>
      <c r="O98" s="5" t="s">
        <v>16359</v>
      </c>
      <c r="P98" s="6">
        <v>5113.0</v>
      </c>
    </row>
    <row r="99" ht="56.25" customHeight="1">
      <c r="A99" s="5" t="s">
        <v>16360</v>
      </c>
      <c r="B99" s="6" t="str">
        <f>IMAGE("https://storage.googleapis.com/acdb/headwear/CapOrnamentTulip2.png")</f>
        <v/>
      </c>
      <c r="C99" s="5" t="s">
        <v>58</v>
      </c>
      <c r="D99" s="5" t="s">
        <v>35</v>
      </c>
      <c r="E99" s="6" t="s">
        <v>37</v>
      </c>
      <c r="F99" s="6">
        <v>1440.0</v>
      </c>
      <c r="G99" s="5" t="s">
        <v>106</v>
      </c>
      <c r="H99" s="5" t="s">
        <v>69</v>
      </c>
      <c r="I99" s="6" t="s">
        <v>40</v>
      </c>
      <c r="J99" s="5" t="s">
        <v>41</v>
      </c>
      <c r="K99" s="5"/>
      <c r="L99" s="6" t="s">
        <v>42</v>
      </c>
      <c r="M99" s="5" t="s">
        <v>1959</v>
      </c>
      <c r="N99" s="5" t="s">
        <v>48</v>
      </c>
      <c r="O99" s="5" t="s">
        <v>16364</v>
      </c>
      <c r="P99" s="6">
        <v>5103.0</v>
      </c>
    </row>
    <row r="100" ht="56.25" customHeight="1">
      <c r="A100" s="5" t="s">
        <v>16365</v>
      </c>
      <c r="B100" s="6" t="str">
        <f>IMAGE("https://storage.googleapis.com/acdb/headwear/CapHelmetCoinGold.png")</f>
        <v/>
      </c>
      <c r="C100" s="5" t="s">
        <v>151</v>
      </c>
      <c r="D100" s="5" t="s">
        <v>36</v>
      </c>
      <c r="E100" s="6" t="s">
        <v>37</v>
      </c>
      <c r="F100" s="6">
        <v>1350.0</v>
      </c>
      <c r="G100" s="5" t="s">
        <v>114</v>
      </c>
      <c r="H100" s="5" t="s">
        <v>58</v>
      </c>
      <c r="I100" s="6" t="s">
        <v>40</v>
      </c>
      <c r="J100" s="5" t="s">
        <v>1284</v>
      </c>
      <c r="K100" s="5"/>
      <c r="L100" s="6" t="s">
        <v>42</v>
      </c>
      <c r="M100" s="5" t="s">
        <v>612</v>
      </c>
      <c r="N100" s="5" t="s">
        <v>48</v>
      </c>
      <c r="O100" s="5" t="s">
        <v>16369</v>
      </c>
      <c r="P100" s="6">
        <v>6091.0</v>
      </c>
    </row>
    <row r="101" ht="56.25" customHeight="1">
      <c r="A101" s="5" t="s">
        <v>16370</v>
      </c>
      <c r="B101" s="6" t="str">
        <f>IMAGE("https://storage.googleapis.com/acdb/headwear/CapHatColorful1.png")</f>
        <v/>
      </c>
      <c r="C101" s="5" t="s">
        <v>68</v>
      </c>
      <c r="D101" s="5" t="s">
        <v>36</v>
      </c>
      <c r="E101" s="6">
        <v>880.0</v>
      </c>
      <c r="F101" s="6">
        <v>220.0</v>
      </c>
      <c r="G101" s="5" t="s">
        <v>68</v>
      </c>
      <c r="H101" s="5" t="s">
        <v>58</v>
      </c>
      <c r="I101" s="6" t="s">
        <v>40</v>
      </c>
      <c r="J101" s="5" t="s">
        <v>8585</v>
      </c>
      <c r="K101" s="5" t="s">
        <v>8632</v>
      </c>
      <c r="L101" s="6" t="s">
        <v>42</v>
      </c>
      <c r="M101" s="5" t="s">
        <v>1959</v>
      </c>
      <c r="N101" s="5" t="s">
        <v>64</v>
      </c>
      <c r="O101" s="5" t="s">
        <v>16373</v>
      </c>
      <c r="P101" s="6">
        <v>10957.0</v>
      </c>
    </row>
    <row r="102" ht="56.25" customHeight="1">
      <c r="A102" s="5" t="s">
        <v>16370</v>
      </c>
      <c r="B102" s="6" t="str">
        <f>IMAGE("https://storage.googleapis.com/acdb/headwear/CapHatColorful2.png")</f>
        <v/>
      </c>
      <c r="C102" s="5" t="s">
        <v>96</v>
      </c>
      <c r="D102" s="5" t="s">
        <v>36</v>
      </c>
      <c r="E102" s="6">
        <v>880.0</v>
      </c>
      <c r="F102" s="6">
        <v>220.0</v>
      </c>
      <c r="G102" s="5" t="s">
        <v>96</v>
      </c>
      <c r="H102" s="5" t="s">
        <v>58</v>
      </c>
      <c r="I102" s="6" t="s">
        <v>40</v>
      </c>
      <c r="J102" s="5" t="s">
        <v>8585</v>
      </c>
      <c r="K102" s="5" t="s">
        <v>8632</v>
      </c>
      <c r="L102" s="6" t="s">
        <v>42</v>
      </c>
      <c r="M102" s="5" t="s">
        <v>1959</v>
      </c>
      <c r="N102" s="5" t="s">
        <v>64</v>
      </c>
      <c r="O102" s="5" t="s">
        <v>16376</v>
      </c>
      <c r="P102" s="6">
        <v>10958.0</v>
      </c>
    </row>
    <row r="103" ht="56.25" customHeight="1">
      <c r="A103" s="5" t="s">
        <v>16370</v>
      </c>
      <c r="B103" s="6" t="str">
        <f>IMAGE("https://storage.googleapis.com/acdb/headwear/CapHatColorful3.png")</f>
        <v/>
      </c>
      <c r="C103" s="5" t="s">
        <v>114</v>
      </c>
      <c r="D103" s="5" t="s">
        <v>36</v>
      </c>
      <c r="E103" s="6">
        <v>880.0</v>
      </c>
      <c r="F103" s="6">
        <v>220.0</v>
      </c>
      <c r="G103" s="5" t="s">
        <v>114</v>
      </c>
      <c r="H103" s="5" t="s">
        <v>58</v>
      </c>
      <c r="I103" s="6" t="s">
        <v>40</v>
      </c>
      <c r="J103" s="5" t="s">
        <v>8585</v>
      </c>
      <c r="K103" s="5" t="s">
        <v>8632</v>
      </c>
      <c r="L103" s="6" t="s">
        <v>42</v>
      </c>
      <c r="M103" s="5" t="s">
        <v>1959</v>
      </c>
      <c r="N103" s="5" t="s">
        <v>64</v>
      </c>
      <c r="O103" s="5" t="s">
        <v>16380</v>
      </c>
      <c r="P103" s="6">
        <v>10959.0</v>
      </c>
    </row>
    <row r="104" ht="56.25" customHeight="1">
      <c r="A104" s="5" t="s">
        <v>16370</v>
      </c>
      <c r="B104" s="6" t="str">
        <f>IMAGE("https://storage.googleapis.com/acdb/headwear/CapHatColorful0.png")</f>
        <v/>
      </c>
      <c r="C104" s="5" t="s">
        <v>52</v>
      </c>
      <c r="D104" s="5" t="s">
        <v>36</v>
      </c>
      <c r="E104" s="6">
        <v>880.0</v>
      </c>
      <c r="F104" s="6">
        <v>220.0</v>
      </c>
      <c r="G104" s="5" t="s">
        <v>52</v>
      </c>
      <c r="H104" s="5" t="s">
        <v>58</v>
      </c>
      <c r="I104" s="6" t="s">
        <v>40</v>
      </c>
      <c r="J104" s="5" t="s">
        <v>8585</v>
      </c>
      <c r="K104" s="5" t="s">
        <v>8632</v>
      </c>
      <c r="L104" s="6" t="s">
        <v>42</v>
      </c>
      <c r="M104" s="5" t="s">
        <v>1959</v>
      </c>
      <c r="N104" s="5" t="s">
        <v>64</v>
      </c>
      <c r="O104" s="5" t="s">
        <v>16384</v>
      </c>
      <c r="P104" s="6">
        <v>5409.0</v>
      </c>
    </row>
    <row r="105" ht="56.25" customHeight="1">
      <c r="A105" s="5" t="s">
        <v>16370</v>
      </c>
      <c r="B105" s="6" t="str">
        <f>IMAGE("https://storage.googleapis.com/acdb/headwear/CapHatColorful4.png")</f>
        <v/>
      </c>
      <c r="C105" s="5" t="s">
        <v>106</v>
      </c>
      <c r="D105" s="5" t="s">
        <v>36</v>
      </c>
      <c r="E105" s="6">
        <v>880.0</v>
      </c>
      <c r="F105" s="6">
        <v>220.0</v>
      </c>
      <c r="G105" s="5" t="s">
        <v>106</v>
      </c>
      <c r="H105" s="5" t="s">
        <v>58</v>
      </c>
      <c r="I105" s="6" t="s">
        <v>40</v>
      </c>
      <c r="J105" s="5" t="s">
        <v>8585</v>
      </c>
      <c r="K105" s="5" t="s">
        <v>8632</v>
      </c>
      <c r="L105" s="6" t="s">
        <v>42</v>
      </c>
      <c r="M105" s="5" t="s">
        <v>1959</v>
      </c>
      <c r="N105" s="5" t="s">
        <v>64</v>
      </c>
      <c r="O105" s="5" t="s">
        <v>16387</v>
      </c>
      <c r="P105" s="6">
        <v>10960.0</v>
      </c>
    </row>
    <row r="106" ht="56.25" customHeight="1">
      <c r="A106" s="5" t="s">
        <v>16370</v>
      </c>
      <c r="B106" s="6" t="str">
        <f>IMAGE("https://storage.googleapis.com/acdb/headwear/CapHatColorful5.png")</f>
        <v/>
      </c>
      <c r="C106" s="5" t="s">
        <v>83</v>
      </c>
      <c r="D106" s="5" t="s">
        <v>36</v>
      </c>
      <c r="E106" s="6">
        <v>880.0</v>
      </c>
      <c r="F106" s="6">
        <v>220.0</v>
      </c>
      <c r="G106" s="5" t="s">
        <v>83</v>
      </c>
      <c r="H106" s="5" t="s">
        <v>58</v>
      </c>
      <c r="I106" s="6" t="s">
        <v>40</v>
      </c>
      <c r="J106" s="5" t="s">
        <v>8585</v>
      </c>
      <c r="K106" s="5" t="s">
        <v>8632</v>
      </c>
      <c r="L106" s="6" t="s">
        <v>42</v>
      </c>
      <c r="M106" s="5" t="s">
        <v>1959</v>
      </c>
      <c r="N106" s="5" t="s">
        <v>64</v>
      </c>
      <c r="O106" s="5" t="s">
        <v>16393</v>
      </c>
      <c r="P106" s="6">
        <v>10961.0</v>
      </c>
    </row>
    <row r="107" ht="56.25" customHeight="1">
      <c r="A107" s="5" t="s">
        <v>16394</v>
      </c>
      <c r="B107" s="6" t="str">
        <f>IMAGE("https://storage.googleapis.com/acdb/headwear/CapHatCombat0.png")</f>
        <v/>
      </c>
      <c r="C107" s="5" t="s">
        <v>2222</v>
      </c>
      <c r="D107" s="5" t="s">
        <v>36</v>
      </c>
      <c r="E107" s="6">
        <v>1120.0</v>
      </c>
      <c r="F107" s="6">
        <v>280.0</v>
      </c>
      <c r="G107" s="5" t="s">
        <v>96</v>
      </c>
      <c r="H107" s="5" t="s">
        <v>96</v>
      </c>
      <c r="I107" s="6" t="s">
        <v>40</v>
      </c>
      <c r="J107" s="5" t="s">
        <v>8585</v>
      </c>
      <c r="K107" s="5" t="s">
        <v>8586</v>
      </c>
      <c r="L107" s="6" t="s">
        <v>42</v>
      </c>
      <c r="M107" s="5" t="s">
        <v>8746</v>
      </c>
      <c r="N107" s="5" t="s">
        <v>64</v>
      </c>
      <c r="O107" s="5" t="s">
        <v>16396</v>
      </c>
      <c r="P107" s="6">
        <v>5316.0</v>
      </c>
    </row>
    <row r="108" ht="56.25" customHeight="1">
      <c r="A108" s="5" t="s">
        <v>16394</v>
      </c>
      <c r="B108" s="6" t="str">
        <f>IMAGE("https://storage.googleapis.com/acdb/headwear/CapHatCombat1.png")</f>
        <v/>
      </c>
      <c r="C108" s="5" t="s">
        <v>39</v>
      </c>
      <c r="D108" s="5" t="s">
        <v>36</v>
      </c>
      <c r="E108" s="6">
        <v>1120.0</v>
      </c>
      <c r="F108" s="6">
        <v>280.0</v>
      </c>
      <c r="G108" s="5" t="s">
        <v>54</v>
      </c>
      <c r="H108" s="5" t="s">
        <v>39</v>
      </c>
      <c r="I108" s="6" t="s">
        <v>40</v>
      </c>
      <c r="J108" s="5" t="s">
        <v>8585</v>
      </c>
      <c r="K108" s="5" t="s">
        <v>8586</v>
      </c>
      <c r="L108" s="6" t="s">
        <v>42</v>
      </c>
      <c r="M108" s="5" t="s">
        <v>8746</v>
      </c>
      <c r="N108" s="5" t="s">
        <v>64</v>
      </c>
      <c r="O108" s="5" t="s">
        <v>16399</v>
      </c>
      <c r="P108" s="6">
        <v>10226.0</v>
      </c>
    </row>
    <row r="109" ht="56.25" customHeight="1">
      <c r="A109" s="5" t="s">
        <v>16400</v>
      </c>
      <c r="B109" s="6" t="str">
        <f>IMAGE("https://storage.googleapis.com/acdb/headwear/CapHelmetMusicBlack.png")</f>
        <v/>
      </c>
      <c r="C109" s="5" t="s">
        <v>16403</v>
      </c>
      <c r="D109" s="5" t="s">
        <v>36</v>
      </c>
      <c r="E109" s="6">
        <v>1680.0</v>
      </c>
      <c r="F109" s="6">
        <v>420.0</v>
      </c>
      <c r="G109" s="5" t="s">
        <v>58</v>
      </c>
      <c r="H109" s="5" t="s">
        <v>58</v>
      </c>
      <c r="I109" s="6" t="s">
        <v>40</v>
      </c>
      <c r="J109" s="5" t="s">
        <v>8585</v>
      </c>
      <c r="K109" s="5" t="s">
        <v>8586</v>
      </c>
      <c r="L109" s="6" t="s">
        <v>42</v>
      </c>
      <c r="M109" s="5" t="s">
        <v>1059</v>
      </c>
      <c r="N109" s="5" t="s">
        <v>64</v>
      </c>
      <c r="O109" s="5" t="s">
        <v>16405</v>
      </c>
      <c r="P109" s="6">
        <v>5696.0</v>
      </c>
    </row>
    <row r="110" ht="56.25" customHeight="1">
      <c r="A110" s="5" t="s">
        <v>16406</v>
      </c>
      <c r="B110" s="6" t="str">
        <f>IMAGE("https://storage.googleapis.com/acdb/headwear/CapOrnamentHyacinth2.png")</f>
        <v/>
      </c>
      <c r="C110" s="5" t="s">
        <v>68</v>
      </c>
      <c r="D110" s="5" t="s">
        <v>35</v>
      </c>
      <c r="E110" s="6" t="s">
        <v>37</v>
      </c>
      <c r="F110" s="6">
        <v>1280.0</v>
      </c>
      <c r="G110" s="5" t="s">
        <v>68</v>
      </c>
      <c r="H110" s="5" t="s">
        <v>142</v>
      </c>
      <c r="I110" s="6" t="s">
        <v>40</v>
      </c>
      <c r="J110" s="5" t="s">
        <v>41</v>
      </c>
      <c r="K110" s="5"/>
      <c r="L110" s="6" t="s">
        <v>42</v>
      </c>
      <c r="M110" s="5" t="s">
        <v>1959</v>
      </c>
      <c r="N110" s="5" t="s">
        <v>48</v>
      </c>
      <c r="O110" s="5" t="s">
        <v>16409</v>
      </c>
      <c r="P110" s="6">
        <v>5097.0</v>
      </c>
    </row>
    <row r="111" ht="56.25" customHeight="1">
      <c r="A111" s="5" t="s">
        <v>16410</v>
      </c>
      <c r="B111" s="6" t="str">
        <f>IMAGE("https://storage.googleapis.com/acdb/headwear/CapOrnamentPansy2.png")</f>
        <v/>
      </c>
      <c r="C111" s="5" t="s">
        <v>58</v>
      </c>
      <c r="D111" s="5" t="s">
        <v>35</v>
      </c>
      <c r="E111" s="6" t="s">
        <v>37</v>
      </c>
      <c r="F111" s="6">
        <v>960.0</v>
      </c>
      <c r="G111" s="5" t="s">
        <v>52</v>
      </c>
      <c r="H111" s="5" t="s">
        <v>68</v>
      </c>
      <c r="I111" s="6" t="s">
        <v>40</v>
      </c>
      <c r="J111" s="5" t="s">
        <v>41</v>
      </c>
      <c r="K111" s="5"/>
      <c r="L111" s="6" t="s">
        <v>42</v>
      </c>
      <c r="M111" s="5" t="s">
        <v>1959</v>
      </c>
      <c r="N111" s="5" t="s">
        <v>48</v>
      </c>
      <c r="O111" s="5" t="s">
        <v>16412</v>
      </c>
      <c r="P111" s="6">
        <v>5106.0</v>
      </c>
    </row>
    <row r="112" ht="56.25" customHeight="1">
      <c r="A112" s="5" t="s">
        <v>16414</v>
      </c>
      <c r="B112" s="6" t="str">
        <f>IMAGE("https://storage.googleapis.com/acdb/headwear/CapOrnamentAnemone2.png")</f>
        <v/>
      </c>
      <c r="C112" s="5" t="s">
        <v>58</v>
      </c>
      <c r="D112" s="5" t="s">
        <v>35</v>
      </c>
      <c r="E112" s="6" t="s">
        <v>37</v>
      </c>
      <c r="F112" s="6">
        <v>960.0</v>
      </c>
      <c r="G112" s="5" t="s">
        <v>69</v>
      </c>
      <c r="H112" s="5" t="s">
        <v>68</v>
      </c>
      <c r="I112" s="6" t="s">
        <v>40</v>
      </c>
      <c r="J112" s="5" t="s">
        <v>41</v>
      </c>
      <c r="K112" s="5"/>
      <c r="L112" s="6" t="s">
        <v>42</v>
      </c>
      <c r="M112" s="5" t="s">
        <v>1959</v>
      </c>
      <c r="N112" s="5" t="s">
        <v>48</v>
      </c>
      <c r="O112" s="5" t="s">
        <v>16417</v>
      </c>
      <c r="P112" s="6">
        <v>5100.0</v>
      </c>
    </row>
    <row r="113" ht="56.25" customHeight="1">
      <c r="A113" s="5" t="s">
        <v>16418</v>
      </c>
      <c r="B113" s="6" t="str">
        <f>IMAGE("https://storage.googleapis.com/acdb/headwear/CapOrnamentCosmos1.png")</f>
        <v/>
      </c>
      <c r="C113" s="5" t="s">
        <v>58</v>
      </c>
      <c r="D113" s="5" t="s">
        <v>35</v>
      </c>
      <c r="E113" s="6" t="s">
        <v>37</v>
      </c>
      <c r="F113" s="6">
        <v>480.0</v>
      </c>
      <c r="G113" s="5" t="s">
        <v>58</v>
      </c>
      <c r="H113" s="5" t="s">
        <v>58</v>
      </c>
      <c r="I113" s="6" t="s">
        <v>40</v>
      </c>
      <c r="J113" s="5" t="s">
        <v>41</v>
      </c>
      <c r="K113" s="5"/>
      <c r="L113" s="6" t="s">
        <v>42</v>
      </c>
      <c r="M113" s="5" t="s">
        <v>1959</v>
      </c>
      <c r="N113" s="5" t="s">
        <v>48</v>
      </c>
      <c r="O113" s="5" t="s">
        <v>16421</v>
      </c>
      <c r="P113" s="6">
        <v>5108.0</v>
      </c>
    </row>
    <row r="114" ht="56.25" customHeight="1">
      <c r="A114" s="5" t="s">
        <v>16423</v>
      </c>
      <c r="B114" s="6" t="str">
        <f>IMAGE("https://storage.googleapis.com/acdb/headwear/CapOrnamentAQueen0.png")</f>
        <v/>
      </c>
      <c r="C114" s="5" t="s">
        <v>151</v>
      </c>
      <c r="D114" s="5" t="s">
        <v>36</v>
      </c>
      <c r="E114" s="6">
        <v>1000000.0</v>
      </c>
      <c r="F114" s="18">
        <v>250000.0</v>
      </c>
      <c r="G114" s="5" t="s">
        <v>114</v>
      </c>
      <c r="H114" s="5" t="s">
        <v>114</v>
      </c>
      <c r="I114" s="6" t="s">
        <v>40</v>
      </c>
      <c r="J114" s="5" t="s">
        <v>8585</v>
      </c>
      <c r="K114" s="5" t="s">
        <v>8586</v>
      </c>
      <c r="L114" s="6" t="s">
        <v>42</v>
      </c>
      <c r="M114" s="5" t="s">
        <v>612</v>
      </c>
      <c r="N114" s="5" t="s">
        <v>64</v>
      </c>
      <c r="O114" s="5" t="s">
        <v>16426</v>
      </c>
      <c r="P114" s="6">
        <v>8000.0</v>
      </c>
    </row>
    <row r="115" ht="56.25" customHeight="1">
      <c r="A115" s="5" t="s">
        <v>16427</v>
      </c>
      <c r="B115" s="6" t="str">
        <f>IMAGE("https://storage.googleapis.com/acdb/headwear/CapOrnamentYuri2.png")</f>
        <v/>
      </c>
      <c r="C115" s="5" t="s">
        <v>58</v>
      </c>
      <c r="D115" s="5" t="s">
        <v>35</v>
      </c>
      <c r="E115" s="6" t="s">
        <v>37</v>
      </c>
      <c r="F115" s="6">
        <v>800.0</v>
      </c>
      <c r="G115" s="5" t="s">
        <v>69</v>
      </c>
      <c r="H115" s="5" t="s">
        <v>142</v>
      </c>
      <c r="I115" s="6" t="s">
        <v>40</v>
      </c>
      <c r="J115" s="5" t="s">
        <v>41</v>
      </c>
      <c r="K115" s="5"/>
      <c r="L115" s="6" t="s">
        <v>42</v>
      </c>
      <c r="M115" s="5" t="s">
        <v>1959</v>
      </c>
      <c r="N115" s="5" t="s">
        <v>48</v>
      </c>
      <c r="O115" s="5" t="s">
        <v>16431</v>
      </c>
      <c r="P115" s="6">
        <v>5115.0</v>
      </c>
    </row>
    <row r="116" ht="56.25" customHeight="1">
      <c r="A116" s="5" t="s">
        <v>16432</v>
      </c>
      <c r="B116" s="6" t="str">
        <f>IMAGE("https://storage.googleapis.com/acdb/headwear/CapOrnamentRose2.png")</f>
        <v/>
      </c>
      <c r="C116" s="5" t="s">
        <v>58</v>
      </c>
      <c r="D116" s="5" t="s">
        <v>35</v>
      </c>
      <c r="E116" s="6" t="s">
        <v>37</v>
      </c>
      <c r="F116" s="6">
        <v>960.0</v>
      </c>
      <c r="G116" s="5" t="s">
        <v>69</v>
      </c>
      <c r="H116" s="5" t="s">
        <v>142</v>
      </c>
      <c r="I116" s="6" t="s">
        <v>40</v>
      </c>
      <c r="J116" s="5" t="s">
        <v>41</v>
      </c>
      <c r="K116" s="5"/>
      <c r="L116" s="6" t="s">
        <v>42</v>
      </c>
      <c r="M116" s="5" t="s">
        <v>1959</v>
      </c>
      <c r="N116" s="5" t="s">
        <v>48</v>
      </c>
      <c r="O116" s="5" t="s">
        <v>16436</v>
      </c>
      <c r="P116" s="6">
        <v>5112.0</v>
      </c>
    </row>
    <row r="117" ht="56.25" customHeight="1">
      <c r="A117" s="5" t="s">
        <v>16437</v>
      </c>
      <c r="B117" s="6" t="str">
        <f>IMAGE("https://storage.googleapis.com/acdb/headwear/CapHatCycle0.png")</f>
        <v/>
      </c>
      <c r="C117" s="5" t="s">
        <v>68</v>
      </c>
      <c r="D117" s="5" t="s">
        <v>36</v>
      </c>
      <c r="E117" s="6">
        <v>1100.0</v>
      </c>
      <c r="F117" s="6">
        <v>275.0</v>
      </c>
      <c r="G117" s="5" t="s">
        <v>57</v>
      </c>
      <c r="H117" s="5" t="s">
        <v>68</v>
      </c>
      <c r="I117" s="6" t="s">
        <v>40</v>
      </c>
      <c r="J117" s="5" t="s">
        <v>8585</v>
      </c>
      <c r="K117" s="5" t="s">
        <v>8586</v>
      </c>
      <c r="L117" s="6" t="s">
        <v>42</v>
      </c>
      <c r="M117" s="5" t="s">
        <v>8746</v>
      </c>
      <c r="N117" s="5" t="s">
        <v>64</v>
      </c>
      <c r="O117" s="5" t="s">
        <v>16440</v>
      </c>
      <c r="P117" s="6">
        <v>5257.0</v>
      </c>
    </row>
    <row r="118" ht="56.25" customHeight="1">
      <c r="A118" s="5" t="s">
        <v>16437</v>
      </c>
      <c r="B118" s="6" t="str">
        <f>IMAGE("https://storage.googleapis.com/acdb/headwear/CapHatCycle3.png")</f>
        <v/>
      </c>
      <c r="C118" s="5" t="s">
        <v>16442</v>
      </c>
      <c r="D118" s="5" t="s">
        <v>36</v>
      </c>
      <c r="E118" s="6">
        <v>1100.0</v>
      </c>
      <c r="F118" s="6">
        <v>275.0</v>
      </c>
      <c r="G118" s="5" t="s">
        <v>54</v>
      </c>
      <c r="H118" s="5" t="s">
        <v>114</v>
      </c>
      <c r="I118" s="6" t="s">
        <v>40</v>
      </c>
      <c r="J118" s="5" t="s">
        <v>8585</v>
      </c>
      <c r="K118" s="5" t="s">
        <v>8586</v>
      </c>
      <c r="L118" s="6" t="s">
        <v>42</v>
      </c>
      <c r="M118" s="5" t="s">
        <v>8746</v>
      </c>
      <c r="N118" s="5" t="s">
        <v>64</v>
      </c>
      <c r="O118" s="5" t="s">
        <v>16444</v>
      </c>
      <c r="P118" s="6">
        <v>11670.0</v>
      </c>
    </row>
    <row r="119" ht="56.25" customHeight="1">
      <c r="A119" s="5" t="s">
        <v>16437</v>
      </c>
      <c r="B119" s="6" t="str">
        <f>IMAGE("https://storage.googleapis.com/acdb/headwear/CapHatCycle4.png")</f>
        <v/>
      </c>
      <c r="C119" s="5" t="s">
        <v>9268</v>
      </c>
      <c r="D119" s="5" t="s">
        <v>36</v>
      </c>
      <c r="E119" s="6">
        <v>1100.0</v>
      </c>
      <c r="F119" s="6">
        <v>275.0</v>
      </c>
      <c r="G119" s="5" t="s">
        <v>96</v>
      </c>
      <c r="H119" s="5" t="s">
        <v>52</v>
      </c>
      <c r="I119" s="6" t="s">
        <v>40</v>
      </c>
      <c r="J119" s="5" t="s">
        <v>8585</v>
      </c>
      <c r="K119" s="5" t="s">
        <v>8586</v>
      </c>
      <c r="L119" s="6" t="s">
        <v>42</v>
      </c>
      <c r="M119" s="5" t="s">
        <v>8746</v>
      </c>
      <c r="N119" s="5" t="s">
        <v>64</v>
      </c>
      <c r="O119" s="5" t="s">
        <v>16447</v>
      </c>
      <c r="P119" s="6">
        <v>11671.0</v>
      </c>
    </row>
    <row r="120" ht="56.25" customHeight="1">
      <c r="A120" s="5" t="s">
        <v>16437</v>
      </c>
      <c r="B120" s="6" t="str">
        <f>IMAGE("https://storage.googleapis.com/acdb/headwear/CapHatCycle5.png")</f>
        <v/>
      </c>
      <c r="C120" s="5" t="s">
        <v>52</v>
      </c>
      <c r="D120" s="5" t="s">
        <v>36</v>
      </c>
      <c r="E120" s="6">
        <v>1100.0</v>
      </c>
      <c r="F120" s="6">
        <v>275.0</v>
      </c>
      <c r="G120" s="5" t="s">
        <v>52</v>
      </c>
      <c r="H120" s="5" t="s">
        <v>142</v>
      </c>
      <c r="I120" s="6" t="s">
        <v>40</v>
      </c>
      <c r="J120" s="5" t="s">
        <v>8585</v>
      </c>
      <c r="K120" s="5" t="s">
        <v>8586</v>
      </c>
      <c r="L120" s="6" t="s">
        <v>42</v>
      </c>
      <c r="M120" s="5" t="s">
        <v>8746</v>
      </c>
      <c r="N120" s="5" t="s">
        <v>64</v>
      </c>
      <c r="O120" s="5" t="s">
        <v>16450</v>
      </c>
      <c r="P120" s="6">
        <v>11672.0</v>
      </c>
    </row>
    <row r="121" ht="56.25" customHeight="1">
      <c r="A121" s="5" t="s">
        <v>16437</v>
      </c>
      <c r="B121" s="6" t="str">
        <f>IMAGE("https://storage.googleapis.com/acdb/headwear/CapHatCycle6.png")</f>
        <v/>
      </c>
      <c r="C121" s="5" t="s">
        <v>16452</v>
      </c>
      <c r="D121" s="5" t="s">
        <v>36</v>
      </c>
      <c r="E121" s="6">
        <v>1100.0</v>
      </c>
      <c r="F121" s="6">
        <v>275.0</v>
      </c>
      <c r="G121" s="5" t="s">
        <v>106</v>
      </c>
      <c r="H121" s="5" t="s">
        <v>96</v>
      </c>
      <c r="I121" s="6" t="s">
        <v>40</v>
      </c>
      <c r="J121" s="5" t="s">
        <v>8585</v>
      </c>
      <c r="K121" s="5" t="s">
        <v>8586</v>
      </c>
      <c r="L121" s="6" t="s">
        <v>42</v>
      </c>
      <c r="M121" s="5" t="s">
        <v>8746</v>
      </c>
      <c r="N121" s="5" t="s">
        <v>64</v>
      </c>
      <c r="O121" s="5" t="s">
        <v>16455</v>
      </c>
      <c r="P121" s="6">
        <v>11673.0</v>
      </c>
    </row>
    <row r="122" ht="56.25" customHeight="1">
      <c r="A122" s="5" t="s">
        <v>16437</v>
      </c>
      <c r="B122" s="6" t="str">
        <f>IMAGE("https://storage.googleapis.com/acdb/headwear/CapHatCycle7.png")</f>
        <v/>
      </c>
      <c r="C122" s="5" t="s">
        <v>16456</v>
      </c>
      <c r="D122" s="5" t="s">
        <v>36</v>
      </c>
      <c r="E122" s="6">
        <v>1100.0</v>
      </c>
      <c r="F122" s="6">
        <v>275.0</v>
      </c>
      <c r="G122" s="5" t="s">
        <v>69</v>
      </c>
      <c r="H122" s="5" t="s">
        <v>106</v>
      </c>
      <c r="I122" s="6" t="s">
        <v>40</v>
      </c>
      <c r="J122" s="5" t="s">
        <v>8585</v>
      </c>
      <c r="K122" s="5" t="s">
        <v>8586</v>
      </c>
      <c r="L122" s="6" t="s">
        <v>42</v>
      </c>
      <c r="M122" s="5" t="s">
        <v>8746</v>
      </c>
      <c r="N122" s="5" t="s">
        <v>64</v>
      </c>
      <c r="O122" s="5" t="s">
        <v>16459</v>
      </c>
      <c r="P122" s="6">
        <v>11674.0</v>
      </c>
    </row>
    <row r="123" ht="56.25" customHeight="1">
      <c r="A123" s="5" t="s">
        <v>16437</v>
      </c>
      <c r="B123" s="6" t="str">
        <f>IMAGE("https://storage.googleapis.com/acdb/headwear/CapHatCycle1.png")</f>
        <v/>
      </c>
      <c r="C123" s="5" t="s">
        <v>9260</v>
      </c>
      <c r="D123" s="5" t="s">
        <v>36</v>
      </c>
      <c r="E123" s="6">
        <v>1100.0</v>
      </c>
      <c r="F123" s="6">
        <v>275.0</v>
      </c>
      <c r="G123" s="5" t="s">
        <v>68</v>
      </c>
      <c r="H123" s="5" t="s">
        <v>54</v>
      </c>
      <c r="I123" s="6" t="s">
        <v>40</v>
      </c>
      <c r="J123" s="5" t="s">
        <v>8585</v>
      </c>
      <c r="K123" s="5" t="s">
        <v>8586</v>
      </c>
      <c r="L123" s="6" t="s">
        <v>42</v>
      </c>
      <c r="M123" s="5" t="s">
        <v>8746</v>
      </c>
      <c r="N123" s="5" t="s">
        <v>64</v>
      </c>
      <c r="O123" s="5" t="s">
        <v>16463</v>
      </c>
      <c r="P123" s="6">
        <v>11668.0</v>
      </c>
    </row>
    <row r="124" ht="56.25" customHeight="1">
      <c r="A124" s="5" t="s">
        <v>16437</v>
      </c>
      <c r="B124" s="6" t="str">
        <f>IMAGE("https://storage.googleapis.com/acdb/headwear/CapHatCycle2.png")</f>
        <v/>
      </c>
      <c r="C124" s="5" t="s">
        <v>2093</v>
      </c>
      <c r="D124" s="5" t="s">
        <v>36</v>
      </c>
      <c r="E124" s="6">
        <v>1100.0</v>
      </c>
      <c r="F124" s="6">
        <v>275.0</v>
      </c>
      <c r="G124" s="5" t="s">
        <v>52</v>
      </c>
      <c r="H124" s="5" t="s">
        <v>54</v>
      </c>
      <c r="I124" s="6" t="s">
        <v>40</v>
      </c>
      <c r="J124" s="5" t="s">
        <v>8585</v>
      </c>
      <c r="K124" s="5" t="s">
        <v>8586</v>
      </c>
      <c r="L124" s="6" t="s">
        <v>42</v>
      </c>
      <c r="M124" s="5" t="s">
        <v>8746</v>
      </c>
      <c r="N124" s="5" t="s">
        <v>64</v>
      </c>
      <c r="O124" s="5" t="s">
        <v>16469</v>
      </c>
      <c r="P124" s="6">
        <v>11669.0</v>
      </c>
    </row>
    <row r="125" ht="56.25" customHeight="1">
      <c r="A125" s="5" t="s">
        <v>16471</v>
      </c>
      <c r="B125" s="6" t="str">
        <f>IMAGE("https://storage.googleapis.com/acdb/headwear/CapHatDal0.png")</f>
        <v/>
      </c>
      <c r="C125" s="5" t="s">
        <v>68</v>
      </c>
      <c r="D125" s="5" t="s">
        <v>36</v>
      </c>
      <c r="E125" s="6" t="s">
        <v>37</v>
      </c>
      <c r="F125" s="6">
        <v>1010.0</v>
      </c>
      <c r="G125" s="5" t="s">
        <v>68</v>
      </c>
      <c r="H125" s="5" t="s">
        <v>114</v>
      </c>
      <c r="I125" s="6" t="s">
        <v>40</v>
      </c>
      <c r="J125" s="5" t="s">
        <v>1263</v>
      </c>
      <c r="K125" s="5" t="s">
        <v>1264</v>
      </c>
      <c r="L125" s="6" t="s">
        <v>42</v>
      </c>
      <c r="M125" s="5" t="s">
        <v>995</v>
      </c>
      <c r="N125" s="5" t="s">
        <v>48</v>
      </c>
      <c r="O125" s="5" t="s">
        <v>16476</v>
      </c>
      <c r="P125" s="6">
        <v>12132.0</v>
      </c>
    </row>
    <row r="126" ht="56.25" customHeight="1">
      <c r="A126" s="5" t="s">
        <v>16478</v>
      </c>
      <c r="B126" s="6" t="str">
        <f>IMAGE("https://storage.googleapis.com/acdb/headwear/CapHatCasquette1.png")</f>
        <v/>
      </c>
      <c r="C126" s="5" t="s">
        <v>68</v>
      </c>
      <c r="D126" s="5" t="s">
        <v>36</v>
      </c>
      <c r="E126" s="6">
        <v>1100.0</v>
      </c>
      <c r="F126" s="6">
        <v>275.0</v>
      </c>
      <c r="G126" s="5" t="s">
        <v>83</v>
      </c>
      <c r="H126" s="5" t="s">
        <v>83</v>
      </c>
      <c r="I126" s="6" t="s">
        <v>40</v>
      </c>
      <c r="J126" s="5" t="s">
        <v>8585</v>
      </c>
      <c r="K126" s="5" t="s">
        <v>8632</v>
      </c>
      <c r="L126" s="6" t="s">
        <v>42</v>
      </c>
      <c r="M126" s="5" t="s">
        <v>1059</v>
      </c>
      <c r="N126" s="5" t="s">
        <v>64</v>
      </c>
      <c r="O126" s="5" t="s">
        <v>16482</v>
      </c>
      <c r="P126" s="6">
        <v>11531.0</v>
      </c>
    </row>
    <row r="127" ht="56.25" customHeight="1">
      <c r="A127" s="5" t="s">
        <v>16478</v>
      </c>
      <c r="B127" s="6" t="str">
        <f>IMAGE("https://storage.googleapis.com/acdb/headwear/CapHatCasquette2.png")</f>
        <v/>
      </c>
      <c r="C127" s="5" t="s">
        <v>96</v>
      </c>
      <c r="D127" s="5" t="s">
        <v>36</v>
      </c>
      <c r="E127" s="6">
        <v>1100.0</v>
      </c>
      <c r="F127" s="6">
        <v>275.0</v>
      </c>
      <c r="G127" s="5" t="s">
        <v>96</v>
      </c>
      <c r="H127" s="5" t="s">
        <v>96</v>
      </c>
      <c r="I127" s="6" t="s">
        <v>40</v>
      </c>
      <c r="J127" s="5" t="s">
        <v>8585</v>
      </c>
      <c r="K127" s="5" t="s">
        <v>8632</v>
      </c>
      <c r="L127" s="6" t="s">
        <v>42</v>
      </c>
      <c r="M127" s="5" t="s">
        <v>1059</v>
      </c>
      <c r="N127" s="5" t="s">
        <v>64</v>
      </c>
      <c r="O127" s="5" t="s">
        <v>16486</v>
      </c>
      <c r="P127" s="6">
        <v>11532.0</v>
      </c>
    </row>
    <row r="128" ht="56.25" customHeight="1">
      <c r="A128" s="5" t="s">
        <v>16478</v>
      </c>
      <c r="B128" s="6" t="str">
        <f>IMAGE("https://storage.googleapis.com/acdb/headwear/CapHatCasquette3.png")</f>
        <v/>
      </c>
      <c r="C128" s="5" t="s">
        <v>106</v>
      </c>
      <c r="D128" s="5" t="s">
        <v>36</v>
      </c>
      <c r="E128" s="6">
        <v>1100.0</v>
      </c>
      <c r="F128" s="6">
        <v>275.0</v>
      </c>
      <c r="G128" s="5" t="s">
        <v>106</v>
      </c>
      <c r="H128" s="5" t="s">
        <v>106</v>
      </c>
      <c r="I128" s="6" t="s">
        <v>40</v>
      </c>
      <c r="J128" s="5" t="s">
        <v>8585</v>
      </c>
      <c r="K128" s="5" t="s">
        <v>8632</v>
      </c>
      <c r="L128" s="6" t="s">
        <v>42</v>
      </c>
      <c r="M128" s="5" t="s">
        <v>1059</v>
      </c>
      <c r="N128" s="5" t="s">
        <v>64</v>
      </c>
      <c r="O128" s="5" t="s">
        <v>16489</v>
      </c>
      <c r="P128" s="6">
        <v>11533.0</v>
      </c>
    </row>
    <row r="129" ht="56.25" customHeight="1">
      <c r="A129" s="5" t="s">
        <v>16478</v>
      </c>
      <c r="B129" s="6" t="str">
        <f>IMAGE("https://storage.googleapis.com/acdb/headwear/CapHatCasquette4.png")</f>
        <v/>
      </c>
      <c r="C129" s="5" t="s">
        <v>95</v>
      </c>
      <c r="D129" s="5" t="s">
        <v>36</v>
      </c>
      <c r="E129" s="6">
        <v>1100.0</v>
      </c>
      <c r="F129" s="6">
        <v>275.0</v>
      </c>
      <c r="G129" s="5" t="s">
        <v>95</v>
      </c>
      <c r="H129" s="5" t="s">
        <v>95</v>
      </c>
      <c r="I129" s="6" t="s">
        <v>40</v>
      </c>
      <c r="J129" s="5" t="s">
        <v>8585</v>
      </c>
      <c r="K129" s="5" t="s">
        <v>8632</v>
      </c>
      <c r="L129" s="6" t="s">
        <v>42</v>
      </c>
      <c r="M129" s="5" t="s">
        <v>1059</v>
      </c>
      <c r="N129" s="5" t="s">
        <v>64</v>
      </c>
      <c r="O129" s="5" t="s">
        <v>16494</v>
      </c>
      <c r="P129" s="6">
        <v>11534.0</v>
      </c>
    </row>
    <row r="130" ht="56.25" customHeight="1">
      <c r="A130" s="5" t="s">
        <v>16478</v>
      </c>
      <c r="B130" s="6" t="str">
        <f>IMAGE("https://storage.googleapis.com/acdb/headwear/CapHatCasquette5.png")</f>
        <v/>
      </c>
      <c r="C130" s="5" t="s">
        <v>57</v>
      </c>
      <c r="D130" s="5" t="s">
        <v>36</v>
      </c>
      <c r="E130" s="6">
        <v>1100.0</v>
      </c>
      <c r="F130" s="6">
        <v>275.0</v>
      </c>
      <c r="G130" s="5" t="s">
        <v>57</v>
      </c>
      <c r="H130" s="5" t="s">
        <v>57</v>
      </c>
      <c r="I130" s="6" t="s">
        <v>40</v>
      </c>
      <c r="J130" s="5" t="s">
        <v>8585</v>
      </c>
      <c r="K130" s="5" t="s">
        <v>8632</v>
      </c>
      <c r="L130" s="6" t="s">
        <v>42</v>
      </c>
      <c r="M130" s="5" t="s">
        <v>1059</v>
      </c>
      <c r="N130" s="5" t="s">
        <v>64</v>
      </c>
      <c r="O130" s="5" t="s">
        <v>16498</v>
      </c>
      <c r="P130" s="6">
        <v>11535.0</v>
      </c>
    </row>
    <row r="131" ht="56.25" customHeight="1">
      <c r="A131" s="5" t="s">
        <v>16478</v>
      </c>
      <c r="B131" s="6" t="str">
        <f>IMAGE("https://storage.googleapis.com/acdb/headwear/CapHatCasquette0.png")</f>
        <v/>
      </c>
      <c r="C131" s="5" t="s">
        <v>2408</v>
      </c>
      <c r="D131" s="5" t="s">
        <v>36</v>
      </c>
      <c r="E131" s="6">
        <v>1100.0</v>
      </c>
      <c r="F131" s="6">
        <v>275.0</v>
      </c>
      <c r="G131" s="5" t="s">
        <v>39</v>
      </c>
      <c r="H131" s="5" t="s">
        <v>39</v>
      </c>
      <c r="I131" s="6" t="s">
        <v>40</v>
      </c>
      <c r="J131" s="5" t="s">
        <v>8585</v>
      </c>
      <c r="K131" s="5" t="s">
        <v>8632</v>
      </c>
      <c r="L131" s="6" t="s">
        <v>42</v>
      </c>
      <c r="M131" s="5" t="s">
        <v>1059</v>
      </c>
      <c r="N131" s="5" t="s">
        <v>64</v>
      </c>
      <c r="O131" s="5" t="s">
        <v>16501</v>
      </c>
      <c r="P131" s="6">
        <v>5333.0</v>
      </c>
    </row>
    <row r="132" ht="56.25" customHeight="1">
      <c r="A132" s="5" t="s">
        <v>16502</v>
      </c>
      <c r="B132" s="6" t="str">
        <f>IMAGE("https://storage.googleapis.com/acdb/headwear/CapOrnamentCosmos3.png")</f>
        <v/>
      </c>
      <c r="C132" s="5" t="s">
        <v>3744</v>
      </c>
      <c r="D132" s="5" t="s">
        <v>35</v>
      </c>
      <c r="E132" s="6" t="s">
        <v>37</v>
      </c>
      <c r="F132" s="6">
        <v>3360.0</v>
      </c>
      <c r="G132" s="5" t="s">
        <v>52</v>
      </c>
      <c r="H132" s="5" t="s">
        <v>52</v>
      </c>
      <c r="I132" s="6" t="s">
        <v>40</v>
      </c>
      <c r="J132" s="5" t="s">
        <v>41</v>
      </c>
      <c r="K132" s="5"/>
      <c r="L132" s="6" t="s">
        <v>42</v>
      </c>
      <c r="M132" s="5" t="s">
        <v>1959</v>
      </c>
      <c r="N132" s="5" t="s">
        <v>48</v>
      </c>
      <c r="O132" s="5" t="s">
        <v>16505</v>
      </c>
      <c r="P132" s="6">
        <v>5110.0</v>
      </c>
    </row>
    <row r="133" ht="56.25" customHeight="1">
      <c r="A133" s="5" t="s">
        <v>16506</v>
      </c>
      <c r="B133" s="6" t="str">
        <f>IMAGE("https://storage.googleapis.com/acdb/headwear/CapOrnamentYuri3.png")</f>
        <v/>
      </c>
      <c r="C133" s="5" t="s">
        <v>3744</v>
      </c>
      <c r="D133" s="5" t="s">
        <v>35</v>
      </c>
      <c r="E133" s="6" t="s">
        <v>37</v>
      </c>
      <c r="F133" s="6">
        <v>960.0</v>
      </c>
      <c r="G133" s="5" t="s">
        <v>52</v>
      </c>
      <c r="H133" s="5" t="s">
        <v>54</v>
      </c>
      <c r="I133" s="6" t="s">
        <v>40</v>
      </c>
      <c r="J133" s="5" t="s">
        <v>41</v>
      </c>
      <c r="K133" s="5"/>
      <c r="L133" s="6" t="s">
        <v>42</v>
      </c>
      <c r="M133" s="5" t="s">
        <v>1959</v>
      </c>
      <c r="N133" s="5" t="s">
        <v>48</v>
      </c>
      <c r="O133" s="5" t="s">
        <v>16509</v>
      </c>
      <c r="P133" s="6">
        <v>5116.0</v>
      </c>
    </row>
    <row r="134" ht="56.25" customHeight="1">
      <c r="A134" s="5" t="s">
        <v>16510</v>
      </c>
      <c r="B134" s="6" t="str">
        <f>IMAGE("https://storage.googleapis.com/acdb/headwear/CapOrnamentTulip3.png")</f>
        <v/>
      </c>
      <c r="C134" s="5" t="s">
        <v>3744</v>
      </c>
      <c r="D134" s="5" t="s">
        <v>35</v>
      </c>
      <c r="E134" s="6" t="s">
        <v>37</v>
      </c>
      <c r="F134" s="6">
        <v>800.0</v>
      </c>
      <c r="G134" s="5" t="s">
        <v>52</v>
      </c>
      <c r="H134" s="5" t="s">
        <v>54</v>
      </c>
      <c r="I134" s="6" t="s">
        <v>40</v>
      </c>
      <c r="J134" s="5" t="s">
        <v>41</v>
      </c>
      <c r="K134" s="5"/>
      <c r="L134" s="6" t="s">
        <v>42</v>
      </c>
      <c r="M134" s="5" t="s">
        <v>1959</v>
      </c>
      <c r="N134" s="5" t="s">
        <v>48</v>
      </c>
      <c r="O134" s="5" t="s">
        <v>16515</v>
      </c>
      <c r="P134" s="6">
        <v>5104.0</v>
      </c>
    </row>
    <row r="135" ht="56.25" customHeight="1">
      <c r="A135" s="5" t="s">
        <v>16516</v>
      </c>
      <c r="B135" s="6" t="str">
        <f>IMAGE("https://storage.googleapis.com/acdb/headwear/CapHatDenim0.png")</f>
        <v/>
      </c>
      <c r="C135" s="5" t="s">
        <v>68</v>
      </c>
      <c r="D135" s="5" t="s">
        <v>36</v>
      </c>
      <c r="E135" s="6">
        <v>770.0</v>
      </c>
      <c r="F135" s="6">
        <v>192.0</v>
      </c>
      <c r="G135" s="5" t="s">
        <v>68</v>
      </c>
      <c r="H135" s="5" t="s">
        <v>68</v>
      </c>
      <c r="I135" s="6" t="s">
        <v>40</v>
      </c>
      <c r="J135" s="5" t="s">
        <v>8585</v>
      </c>
      <c r="K135" s="5" t="s">
        <v>8632</v>
      </c>
      <c r="L135" s="6" t="s">
        <v>42</v>
      </c>
      <c r="M135" s="5" t="s">
        <v>995</v>
      </c>
      <c r="N135" s="5" t="s">
        <v>64</v>
      </c>
      <c r="O135" s="5" t="s">
        <v>16518</v>
      </c>
      <c r="P135" s="6">
        <v>5256.0</v>
      </c>
    </row>
    <row r="136" ht="56.25" customHeight="1">
      <c r="A136" s="5" t="s">
        <v>16516</v>
      </c>
      <c r="B136" s="6" t="str">
        <f>IMAGE("https://storage.googleapis.com/acdb/headwear/CapHatDenim1.png")</f>
        <v/>
      </c>
      <c r="C136" s="5" t="s">
        <v>83</v>
      </c>
      <c r="D136" s="5" t="s">
        <v>36</v>
      </c>
      <c r="E136" s="6">
        <v>770.0</v>
      </c>
      <c r="F136" s="6">
        <v>192.0</v>
      </c>
      <c r="G136" s="5" t="s">
        <v>83</v>
      </c>
      <c r="H136" s="5" t="s">
        <v>83</v>
      </c>
      <c r="I136" s="6" t="s">
        <v>40</v>
      </c>
      <c r="J136" s="5" t="s">
        <v>8585</v>
      </c>
      <c r="K136" s="5" t="s">
        <v>8632</v>
      </c>
      <c r="L136" s="6" t="s">
        <v>42</v>
      </c>
      <c r="M136" s="5" t="s">
        <v>995</v>
      </c>
      <c r="N136" s="5" t="s">
        <v>64</v>
      </c>
      <c r="O136" s="5" t="s">
        <v>16521</v>
      </c>
      <c r="P136" s="6">
        <v>11520.0</v>
      </c>
    </row>
    <row r="137" ht="56.25" customHeight="1">
      <c r="A137" s="5" t="s">
        <v>16516</v>
      </c>
      <c r="B137" s="6" t="str">
        <f>IMAGE("https://storage.googleapis.com/acdb/headwear/CapHatDenim2.png")</f>
        <v/>
      </c>
      <c r="C137" s="5" t="s">
        <v>54</v>
      </c>
      <c r="D137" s="5" t="s">
        <v>36</v>
      </c>
      <c r="E137" s="6">
        <v>770.0</v>
      </c>
      <c r="F137" s="6">
        <v>192.0</v>
      </c>
      <c r="G137" s="5" t="s">
        <v>54</v>
      </c>
      <c r="H137" s="5" t="s">
        <v>54</v>
      </c>
      <c r="I137" s="6" t="s">
        <v>40</v>
      </c>
      <c r="J137" s="5" t="s">
        <v>8585</v>
      </c>
      <c r="K137" s="5" t="s">
        <v>8632</v>
      </c>
      <c r="L137" s="6" t="s">
        <v>42</v>
      </c>
      <c r="M137" s="5" t="s">
        <v>995</v>
      </c>
      <c r="N137" s="5" t="s">
        <v>64</v>
      </c>
      <c r="O137" s="5" t="s">
        <v>16524</v>
      </c>
      <c r="P137" s="6">
        <v>11521.0</v>
      </c>
    </row>
    <row r="138" ht="56.25" customHeight="1">
      <c r="A138" s="5" t="s">
        <v>16516</v>
      </c>
      <c r="B138" s="6" t="str">
        <f>IMAGE("https://storage.googleapis.com/acdb/headwear/CapHatDenim3.png")</f>
        <v/>
      </c>
      <c r="C138" s="5" t="s">
        <v>57</v>
      </c>
      <c r="D138" s="5" t="s">
        <v>36</v>
      </c>
      <c r="E138" s="6">
        <v>770.0</v>
      </c>
      <c r="F138" s="6">
        <v>192.0</v>
      </c>
      <c r="G138" s="5" t="s">
        <v>57</v>
      </c>
      <c r="H138" s="5" t="s">
        <v>57</v>
      </c>
      <c r="I138" s="6" t="s">
        <v>40</v>
      </c>
      <c r="J138" s="5" t="s">
        <v>8585</v>
      </c>
      <c r="K138" s="5" t="s">
        <v>8632</v>
      </c>
      <c r="L138" s="6" t="s">
        <v>42</v>
      </c>
      <c r="M138" s="5" t="s">
        <v>995</v>
      </c>
      <c r="N138" s="5" t="s">
        <v>64</v>
      </c>
      <c r="O138" s="5" t="s">
        <v>16528</v>
      </c>
      <c r="P138" s="6">
        <v>11522.0</v>
      </c>
    </row>
    <row r="139" ht="56.25" customHeight="1">
      <c r="A139" s="5" t="s">
        <v>16529</v>
      </c>
      <c r="B139" s="6" t="str">
        <f>IMAGE("https://storage.googleapis.com/acdb/headwear/CapHatDetective0.png")</f>
        <v/>
      </c>
      <c r="C139" s="5" t="s">
        <v>39</v>
      </c>
      <c r="D139" s="5" t="s">
        <v>36</v>
      </c>
      <c r="E139" s="6">
        <v>2100.0</v>
      </c>
      <c r="F139" s="6">
        <v>525.0</v>
      </c>
      <c r="G139" s="5" t="s">
        <v>39</v>
      </c>
      <c r="H139" s="5" t="s">
        <v>39</v>
      </c>
      <c r="I139" s="6" t="s">
        <v>40</v>
      </c>
      <c r="J139" s="5" t="s">
        <v>8585</v>
      </c>
      <c r="K139" s="5" t="s">
        <v>8586</v>
      </c>
      <c r="L139" s="6" t="s">
        <v>42</v>
      </c>
      <c r="M139" s="5" t="s">
        <v>1059</v>
      </c>
      <c r="N139" s="5" t="s">
        <v>64</v>
      </c>
      <c r="O139" s="5" t="s">
        <v>16531</v>
      </c>
      <c r="P139" s="6">
        <v>5371.0</v>
      </c>
    </row>
    <row r="140" ht="56.25" customHeight="1">
      <c r="A140" s="5" t="s">
        <v>16529</v>
      </c>
      <c r="B140" s="6" t="str">
        <f>IMAGE("https://storage.googleapis.com/acdb/headwear/CapHatDetective1.png")</f>
        <v/>
      </c>
      <c r="C140" s="5" t="s">
        <v>95</v>
      </c>
      <c r="D140" s="5" t="s">
        <v>36</v>
      </c>
      <c r="E140" s="6">
        <v>2100.0</v>
      </c>
      <c r="F140" s="6">
        <v>525.0</v>
      </c>
      <c r="G140" s="5" t="s">
        <v>95</v>
      </c>
      <c r="H140" s="5" t="s">
        <v>95</v>
      </c>
      <c r="I140" s="6" t="s">
        <v>40</v>
      </c>
      <c r="J140" s="5" t="s">
        <v>8585</v>
      </c>
      <c r="K140" s="5" t="s">
        <v>8586</v>
      </c>
      <c r="L140" s="6" t="s">
        <v>42</v>
      </c>
      <c r="M140" s="5" t="s">
        <v>1059</v>
      </c>
      <c r="N140" s="5" t="s">
        <v>64</v>
      </c>
      <c r="O140" s="5" t="s">
        <v>16534</v>
      </c>
      <c r="P140" s="6">
        <v>11819.0</v>
      </c>
    </row>
    <row r="141" ht="56.25" customHeight="1">
      <c r="A141" s="5" t="s">
        <v>16529</v>
      </c>
      <c r="B141" s="6" t="str">
        <f>IMAGE("https://storage.googleapis.com/acdb/headwear/CapHatDetective2.png")</f>
        <v/>
      </c>
      <c r="C141" s="5" t="s">
        <v>38</v>
      </c>
      <c r="D141" s="5" t="s">
        <v>36</v>
      </c>
      <c r="E141" s="6">
        <v>2100.0</v>
      </c>
      <c r="F141" s="6">
        <v>525.0</v>
      </c>
      <c r="G141" s="5" t="s">
        <v>38</v>
      </c>
      <c r="H141" s="5" t="s">
        <v>38</v>
      </c>
      <c r="I141" s="6" t="s">
        <v>40</v>
      </c>
      <c r="J141" s="5" t="s">
        <v>8585</v>
      </c>
      <c r="K141" s="5" t="s">
        <v>8586</v>
      </c>
      <c r="L141" s="6" t="s">
        <v>42</v>
      </c>
      <c r="M141" s="5" t="s">
        <v>1059</v>
      </c>
      <c r="N141" s="5" t="s">
        <v>64</v>
      </c>
      <c r="O141" s="5" t="s">
        <v>16536</v>
      </c>
      <c r="P141" s="6">
        <v>11820.0</v>
      </c>
    </row>
    <row r="142" ht="56.25" customHeight="1">
      <c r="A142" s="5" t="s">
        <v>16538</v>
      </c>
      <c r="B142" s="6" t="str">
        <f>IMAGE("https://storage.googleapis.com/acdb/headwear/CapBangsHeadphone0.png")</f>
        <v/>
      </c>
      <c r="C142" s="5" t="s">
        <v>68</v>
      </c>
      <c r="D142" s="5" t="s">
        <v>36</v>
      </c>
      <c r="E142" s="6">
        <v>770.0</v>
      </c>
      <c r="F142" s="6">
        <v>192.0</v>
      </c>
      <c r="G142" s="5" t="s">
        <v>68</v>
      </c>
      <c r="H142" s="5" t="s">
        <v>95</v>
      </c>
      <c r="I142" s="6" t="s">
        <v>40</v>
      </c>
      <c r="J142" s="5" t="s">
        <v>8585</v>
      </c>
      <c r="K142" s="5" t="s">
        <v>8586</v>
      </c>
      <c r="L142" s="6" t="s">
        <v>42</v>
      </c>
      <c r="M142" s="5" t="s">
        <v>995</v>
      </c>
      <c r="N142" s="5" t="s">
        <v>64</v>
      </c>
      <c r="O142" s="5" t="s">
        <v>16541</v>
      </c>
      <c r="P142" s="6">
        <v>5682.0</v>
      </c>
    </row>
    <row r="143" ht="56.25" customHeight="1">
      <c r="A143" s="5" t="s">
        <v>16538</v>
      </c>
      <c r="B143" s="6" t="str">
        <f>IMAGE("https://storage.googleapis.com/acdb/headwear/CapBangsHeadphone1.png")</f>
        <v/>
      </c>
      <c r="C143" s="5" t="s">
        <v>69</v>
      </c>
      <c r="D143" s="5" t="s">
        <v>36</v>
      </c>
      <c r="E143" s="6">
        <v>770.0</v>
      </c>
      <c r="F143" s="6">
        <v>192.0</v>
      </c>
      <c r="G143" s="5" t="s">
        <v>69</v>
      </c>
      <c r="H143" s="5" t="s">
        <v>95</v>
      </c>
      <c r="I143" s="6" t="s">
        <v>40</v>
      </c>
      <c r="J143" s="5" t="s">
        <v>8585</v>
      </c>
      <c r="K143" s="5" t="s">
        <v>8586</v>
      </c>
      <c r="L143" s="6" t="s">
        <v>42</v>
      </c>
      <c r="M143" s="5" t="s">
        <v>995</v>
      </c>
      <c r="N143" s="5" t="s">
        <v>64</v>
      </c>
      <c r="O143" s="5" t="s">
        <v>16545</v>
      </c>
      <c r="P143" s="6">
        <v>11536.0</v>
      </c>
    </row>
    <row r="144" ht="56.25" customHeight="1">
      <c r="A144" s="5" t="s">
        <v>16538</v>
      </c>
      <c r="B144" s="6" t="str">
        <f>IMAGE("https://storage.googleapis.com/acdb/headwear/CapBangsHeadphone2.png")</f>
        <v/>
      </c>
      <c r="C144" s="5" t="s">
        <v>142</v>
      </c>
      <c r="D144" s="5" t="s">
        <v>36</v>
      </c>
      <c r="E144" s="6">
        <v>770.0</v>
      </c>
      <c r="F144" s="6">
        <v>192.0</v>
      </c>
      <c r="G144" s="5" t="s">
        <v>142</v>
      </c>
      <c r="H144" s="5" t="s">
        <v>95</v>
      </c>
      <c r="I144" s="6" t="s">
        <v>40</v>
      </c>
      <c r="J144" s="5" t="s">
        <v>8585</v>
      </c>
      <c r="K144" s="5" t="s">
        <v>8586</v>
      </c>
      <c r="L144" s="6" t="s">
        <v>42</v>
      </c>
      <c r="M144" s="5" t="s">
        <v>995</v>
      </c>
      <c r="N144" s="5" t="s">
        <v>64</v>
      </c>
      <c r="O144" s="5" t="s">
        <v>16548</v>
      </c>
      <c r="P144" s="6">
        <v>11537.0</v>
      </c>
    </row>
    <row r="145" ht="56.25" customHeight="1">
      <c r="A145" s="5" t="s">
        <v>16538</v>
      </c>
      <c r="B145" s="6" t="str">
        <f>IMAGE("https://storage.googleapis.com/acdb/headwear/CapBangsHeadphone3.png")</f>
        <v/>
      </c>
      <c r="C145" s="5" t="s">
        <v>54</v>
      </c>
      <c r="D145" s="5" t="s">
        <v>36</v>
      </c>
      <c r="E145" s="6">
        <v>770.0</v>
      </c>
      <c r="F145" s="6">
        <v>192.0</v>
      </c>
      <c r="G145" s="5" t="s">
        <v>54</v>
      </c>
      <c r="H145" s="5" t="s">
        <v>95</v>
      </c>
      <c r="I145" s="6" t="s">
        <v>40</v>
      </c>
      <c r="J145" s="5" t="s">
        <v>8585</v>
      </c>
      <c r="K145" s="5" t="s">
        <v>8586</v>
      </c>
      <c r="L145" s="6" t="s">
        <v>42</v>
      </c>
      <c r="M145" s="5" t="s">
        <v>995</v>
      </c>
      <c r="N145" s="5" t="s">
        <v>64</v>
      </c>
      <c r="O145" s="5" t="s">
        <v>16551</v>
      </c>
      <c r="P145" s="6">
        <v>11538.0</v>
      </c>
    </row>
    <row r="146" ht="56.25" customHeight="1">
      <c r="A146" s="5" t="s">
        <v>16553</v>
      </c>
      <c r="B146" s="6" t="str">
        <f>IMAGE("https://storage.googleapis.com/acdb/headwear/CapHatTriangle1.png")</f>
        <v/>
      </c>
      <c r="C146" s="5" t="s">
        <v>68</v>
      </c>
      <c r="D146" s="5" t="s">
        <v>36</v>
      </c>
      <c r="E146" s="6">
        <v>560.0</v>
      </c>
      <c r="F146" s="6">
        <v>140.0</v>
      </c>
      <c r="G146" s="5" t="s">
        <v>68</v>
      </c>
      <c r="H146" s="5" t="s">
        <v>57</v>
      </c>
      <c r="I146" s="6" t="s">
        <v>40</v>
      </c>
      <c r="J146" s="5" t="s">
        <v>8585</v>
      </c>
      <c r="K146" s="5" t="s">
        <v>8632</v>
      </c>
      <c r="L146" s="6" t="s">
        <v>42</v>
      </c>
      <c r="M146" s="5" t="s">
        <v>995</v>
      </c>
      <c r="N146" s="5" t="s">
        <v>64</v>
      </c>
      <c r="O146" s="5" t="s">
        <v>16558</v>
      </c>
      <c r="P146" s="6">
        <v>10744.0</v>
      </c>
    </row>
    <row r="147" ht="56.25" customHeight="1">
      <c r="A147" s="5" t="s">
        <v>16553</v>
      </c>
      <c r="B147" s="6" t="str">
        <f>IMAGE("https://storage.googleapis.com/acdb/headwear/CapHatTriangle2.png")</f>
        <v/>
      </c>
      <c r="C147" s="5" t="s">
        <v>52</v>
      </c>
      <c r="D147" s="5" t="s">
        <v>36</v>
      </c>
      <c r="E147" s="6">
        <v>560.0</v>
      </c>
      <c r="F147" s="6">
        <v>140.0</v>
      </c>
      <c r="G147" s="5" t="s">
        <v>52</v>
      </c>
      <c r="H147" s="5" t="s">
        <v>57</v>
      </c>
      <c r="I147" s="6" t="s">
        <v>40</v>
      </c>
      <c r="J147" s="5" t="s">
        <v>8585</v>
      </c>
      <c r="K147" s="5" t="s">
        <v>8632</v>
      </c>
      <c r="L147" s="6" t="s">
        <v>42</v>
      </c>
      <c r="M147" s="5" t="s">
        <v>995</v>
      </c>
      <c r="N147" s="5" t="s">
        <v>64</v>
      </c>
      <c r="O147" s="5" t="s">
        <v>16563</v>
      </c>
      <c r="P147" s="6">
        <v>10745.0</v>
      </c>
    </row>
    <row r="148" ht="56.25" customHeight="1">
      <c r="A148" s="5" t="s">
        <v>16553</v>
      </c>
      <c r="B148" s="6" t="str">
        <f>IMAGE("https://storage.googleapis.com/acdb/headwear/CapHatTriangle3.png")</f>
        <v/>
      </c>
      <c r="C148" s="5" t="s">
        <v>69</v>
      </c>
      <c r="D148" s="5" t="s">
        <v>36</v>
      </c>
      <c r="E148" s="6">
        <v>560.0</v>
      </c>
      <c r="F148" s="6">
        <v>140.0</v>
      </c>
      <c r="G148" s="5" t="s">
        <v>69</v>
      </c>
      <c r="H148" s="5" t="s">
        <v>57</v>
      </c>
      <c r="I148" s="6" t="s">
        <v>40</v>
      </c>
      <c r="J148" s="5" t="s">
        <v>8585</v>
      </c>
      <c r="K148" s="5" t="s">
        <v>8632</v>
      </c>
      <c r="L148" s="6" t="s">
        <v>42</v>
      </c>
      <c r="M148" s="5" t="s">
        <v>995</v>
      </c>
      <c r="N148" s="5" t="s">
        <v>64</v>
      </c>
      <c r="O148" s="5" t="s">
        <v>16568</v>
      </c>
      <c r="P148" s="6">
        <v>10746.0</v>
      </c>
    </row>
    <row r="149" ht="56.25" customHeight="1">
      <c r="A149" s="5" t="s">
        <v>16553</v>
      </c>
      <c r="B149" s="6" t="str">
        <f>IMAGE("https://storage.googleapis.com/acdb/headwear/CapHatTriangle4.png")</f>
        <v/>
      </c>
      <c r="C149" s="5" t="s">
        <v>54</v>
      </c>
      <c r="D149" s="5" t="s">
        <v>36</v>
      </c>
      <c r="E149" s="6">
        <v>560.0</v>
      </c>
      <c r="F149" s="6">
        <v>140.0</v>
      </c>
      <c r="G149" s="5" t="s">
        <v>54</v>
      </c>
      <c r="H149" s="5" t="s">
        <v>57</v>
      </c>
      <c r="I149" s="6" t="s">
        <v>40</v>
      </c>
      <c r="J149" s="5" t="s">
        <v>8585</v>
      </c>
      <c r="K149" s="5" t="s">
        <v>8632</v>
      </c>
      <c r="L149" s="6" t="s">
        <v>42</v>
      </c>
      <c r="M149" s="5" t="s">
        <v>995</v>
      </c>
      <c r="N149" s="5" t="s">
        <v>64</v>
      </c>
      <c r="O149" s="5" t="s">
        <v>16571</v>
      </c>
      <c r="P149" s="6">
        <v>10747.0</v>
      </c>
    </row>
    <row r="150" ht="56.25" customHeight="1">
      <c r="A150" s="5" t="s">
        <v>16553</v>
      </c>
      <c r="B150" s="6" t="str">
        <f>IMAGE("https://storage.googleapis.com/acdb/headwear/CapHatTriangle5.png")</f>
        <v/>
      </c>
      <c r="C150" s="5" t="s">
        <v>106</v>
      </c>
      <c r="D150" s="5" t="s">
        <v>36</v>
      </c>
      <c r="E150" s="6">
        <v>560.0</v>
      </c>
      <c r="F150" s="24">
        <v>140.0</v>
      </c>
      <c r="G150" s="5" t="s">
        <v>106</v>
      </c>
      <c r="H150" s="5" t="s">
        <v>57</v>
      </c>
      <c r="I150" s="6" t="s">
        <v>40</v>
      </c>
      <c r="J150" s="5" t="s">
        <v>8585</v>
      </c>
      <c r="K150" s="5" t="s">
        <v>8632</v>
      </c>
      <c r="L150" s="6" t="s">
        <v>42</v>
      </c>
      <c r="M150" s="5" t="s">
        <v>995</v>
      </c>
      <c r="N150" s="5" t="s">
        <v>64</v>
      </c>
      <c r="O150" s="5" t="s">
        <v>16574</v>
      </c>
      <c r="P150" s="6">
        <v>10748.0</v>
      </c>
    </row>
    <row r="151" ht="56.25" customHeight="1">
      <c r="A151" s="5" t="s">
        <v>16553</v>
      </c>
      <c r="B151" s="6" t="str">
        <f>IMAGE("https://storage.googleapis.com/acdb/headwear/CapHatTriangle6.png")</f>
        <v/>
      </c>
      <c r="C151" s="5" t="s">
        <v>96</v>
      </c>
      <c r="D151" s="5" t="s">
        <v>36</v>
      </c>
      <c r="E151" s="6">
        <v>560.0</v>
      </c>
      <c r="F151" s="6">
        <v>140.0</v>
      </c>
      <c r="G151" s="5" t="s">
        <v>96</v>
      </c>
      <c r="H151" s="5" t="s">
        <v>57</v>
      </c>
      <c r="I151" s="6" t="s">
        <v>40</v>
      </c>
      <c r="J151" s="5" t="s">
        <v>8585</v>
      </c>
      <c r="K151" s="5" t="s">
        <v>8632</v>
      </c>
      <c r="L151" s="6" t="s">
        <v>42</v>
      </c>
      <c r="M151" s="5" t="s">
        <v>995</v>
      </c>
      <c r="N151" s="5" t="s">
        <v>64</v>
      </c>
      <c r="O151" s="5" t="s">
        <v>16577</v>
      </c>
      <c r="P151" s="6">
        <v>10749.0</v>
      </c>
    </row>
    <row r="152" ht="56.25" customHeight="1">
      <c r="A152" s="5" t="s">
        <v>16553</v>
      </c>
      <c r="B152" s="6" t="str">
        <f>IMAGE("https://storage.googleapis.com/acdb/headwear/CapHatTriangle0.png")</f>
        <v/>
      </c>
      <c r="C152" s="5" t="s">
        <v>114</v>
      </c>
      <c r="D152" s="5" t="s">
        <v>36</v>
      </c>
      <c r="E152" s="6">
        <v>560.0</v>
      </c>
      <c r="F152" s="6">
        <v>140.0</v>
      </c>
      <c r="G152" s="5" t="s">
        <v>114</v>
      </c>
      <c r="H152" s="5" t="s">
        <v>57</v>
      </c>
      <c r="I152" s="6" t="s">
        <v>40</v>
      </c>
      <c r="J152" s="5" t="s">
        <v>8585</v>
      </c>
      <c r="K152" s="5" t="s">
        <v>8632</v>
      </c>
      <c r="L152" s="6" t="s">
        <v>42</v>
      </c>
      <c r="M152" s="5" t="s">
        <v>995</v>
      </c>
      <c r="N152" s="5" t="s">
        <v>64</v>
      </c>
      <c r="O152" s="5" t="s">
        <v>16582</v>
      </c>
      <c r="P152" s="6">
        <v>5145.0</v>
      </c>
    </row>
    <row r="153" ht="56.25" customHeight="1">
      <c r="A153" s="5" t="s">
        <v>16553</v>
      </c>
      <c r="B153" s="6" t="str">
        <f>IMAGE("https://storage.googleapis.com/acdb/headwear/CapHatTriangle7.png")</f>
        <v/>
      </c>
      <c r="C153" s="5" t="s">
        <v>38</v>
      </c>
      <c r="D153" s="5" t="s">
        <v>36</v>
      </c>
      <c r="E153" s="6">
        <v>560.0</v>
      </c>
      <c r="F153" s="6">
        <v>140.0</v>
      </c>
      <c r="G153" s="5" t="s">
        <v>38</v>
      </c>
      <c r="H153" s="5" t="s">
        <v>57</v>
      </c>
      <c r="I153" s="6" t="s">
        <v>40</v>
      </c>
      <c r="J153" s="5" t="s">
        <v>8585</v>
      </c>
      <c r="K153" s="5" t="s">
        <v>8632</v>
      </c>
      <c r="L153" s="6" t="s">
        <v>42</v>
      </c>
      <c r="M153" s="5" t="s">
        <v>995</v>
      </c>
      <c r="N153" s="5" t="s">
        <v>64</v>
      </c>
      <c r="O153" s="5" t="s">
        <v>16585</v>
      </c>
      <c r="P153" s="6">
        <v>10750.0</v>
      </c>
    </row>
    <row r="154" ht="56.25" customHeight="1">
      <c r="A154" s="5" t="s">
        <v>16587</v>
      </c>
      <c r="B154" s="6" t="str">
        <f>IMAGE("https://storage.googleapis.com/acdb/headwear/CapHatShowercap0.png")</f>
        <v/>
      </c>
      <c r="C154" s="5" t="s">
        <v>69</v>
      </c>
      <c r="D154" s="5" t="s">
        <v>36</v>
      </c>
      <c r="E154" s="6">
        <v>560.0</v>
      </c>
      <c r="F154" s="6">
        <v>140.0</v>
      </c>
      <c r="G154" s="5" t="s">
        <v>69</v>
      </c>
      <c r="H154" s="5" t="s">
        <v>69</v>
      </c>
      <c r="I154" s="6" t="s">
        <v>40</v>
      </c>
      <c r="J154" s="5" t="s">
        <v>8585</v>
      </c>
      <c r="K154" s="5" t="s">
        <v>8586</v>
      </c>
      <c r="L154" s="6" t="s">
        <v>42</v>
      </c>
      <c r="M154" s="5" t="s">
        <v>995</v>
      </c>
      <c r="N154" s="5" t="s">
        <v>64</v>
      </c>
      <c r="O154" s="5" t="s">
        <v>16591</v>
      </c>
      <c r="P154" s="6">
        <v>5298.0</v>
      </c>
    </row>
    <row r="155" ht="56.25" customHeight="1">
      <c r="A155" s="5" t="s">
        <v>16587</v>
      </c>
      <c r="B155" s="6" t="str">
        <f>IMAGE("https://storage.googleapis.com/acdb/headwear/CapHatShowercap1.png")</f>
        <v/>
      </c>
      <c r="C155" s="5" t="s">
        <v>68</v>
      </c>
      <c r="D155" s="5" t="s">
        <v>36</v>
      </c>
      <c r="E155" s="6">
        <v>560.0</v>
      </c>
      <c r="F155" s="6">
        <v>140.0</v>
      </c>
      <c r="G155" s="5" t="s">
        <v>83</v>
      </c>
      <c r="H155" s="5" t="s">
        <v>83</v>
      </c>
      <c r="I155" s="6" t="s">
        <v>40</v>
      </c>
      <c r="J155" s="5" t="s">
        <v>8585</v>
      </c>
      <c r="K155" s="5" t="s">
        <v>8586</v>
      </c>
      <c r="L155" s="6" t="s">
        <v>42</v>
      </c>
      <c r="M155" s="5" t="s">
        <v>995</v>
      </c>
      <c r="N155" s="5" t="s">
        <v>64</v>
      </c>
      <c r="O155" s="5" t="s">
        <v>16595</v>
      </c>
      <c r="P155" s="6">
        <v>10825.0</v>
      </c>
    </row>
    <row r="156" ht="56.25" customHeight="1">
      <c r="A156" s="5" t="s">
        <v>16596</v>
      </c>
      <c r="B156" s="6" t="str">
        <f>IMAGE("https://storage.googleapis.com/acdb/headwear/CapHatEggground0.png")</f>
        <v/>
      </c>
      <c r="C156" s="5" t="s">
        <v>44</v>
      </c>
      <c r="D156" s="5" t="s">
        <v>35</v>
      </c>
      <c r="E156" s="6" t="s">
        <v>37</v>
      </c>
      <c r="F156" s="6">
        <v>800.0</v>
      </c>
      <c r="G156" s="5" t="s">
        <v>52</v>
      </c>
      <c r="H156" s="5" t="s">
        <v>114</v>
      </c>
      <c r="I156" s="6" t="s">
        <v>40</v>
      </c>
      <c r="J156" s="5" t="s">
        <v>41</v>
      </c>
      <c r="K156" s="5" t="s">
        <v>15019</v>
      </c>
      <c r="L156" s="6" t="s">
        <v>1410</v>
      </c>
      <c r="M156" s="5" t="s">
        <v>8746</v>
      </c>
      <c r="N156" s="5" t="s">
        <v>48</v>
      </c>
      <c r="O156" s="5" t="s">
        <v>16601</v>
      </c>
      <c r="P156" s="6">
        <v>12439.0</v>
      </c>
    </row>
    <row r="157" ht="56.25" customHeight="1">
      <c r="A157" s="5" t="s">
        <v>16602</v>
      </c>
      <c r="B157" s="6" t="str">
        <f>IMAGE("https://storage.googleapis.com/acdb/headwear/CapHatEggparty0.png")</f>
        <v/>
      </c>
      <c r="C157" s="5" t="s">
        <v>44</v>
      </c>
      <c r="D157" s="5" t="s">
        <v>35</v>
      </c>
      <c r="E157" s="6" t="s">
        <v>37</v>
      </c>
      <c r="F157" s="6">
        <v>4800.0</v>
      </c>
      <c r="G157" s="5" t="s">
        <v>58</v>
      </c>
      <c r="H157" s="5" t="s">
        <v>58</v>
      </c>
      <c r="I157" s="6" t="s">
        <v>40</v>
      </c>
      <c r="J157" s="5" t="s">
        <v>41</v>
      </c>
      <c r="K157" s="5" t="s">
        <v>15024</v>
      </c>
      <c r="L157" s="6" t="s">
        <v>1410</v>
      </c>
      <c r="M157" s="5" t="s">
        <v>612</v>
      </c>
      <c r="N157" s="5" t="s">
        <v>48</v>
      </c>
      <c r="O157" s="5" t="s">
        <v>16606</v>
      </c>
      <c r="P157" s="6">
        <v>12446.0</v>
      </c>
    </row>
    <row r="158" ht="56.25" customHeight="1">
      <c r="A158" s="5" t="s">
        <v>16608</v>
      </c>
      <c r="B158" s="6" t="str">
        <f>IMAGE("https://storage.googleapis.com/acdb/headwear/CapHatEggWhite.png")</f>
        <v/>
      </c>
      <c r="C158" s="5" t="s">
        <v>57</v>
      </c>
      <c r="D158" s="5" t="s">
        <v>36</v>
      </c>
      <c r="E158" s="6">
        <v>560.0</v>
      </c>
      <c r="F158" s="6">
        <v>140.0</v>
      </c>
      <c r="G158" s="5" t="s">
        <v>57</v>
      </c>
      <c r="H158" s="5" t="s">
        <v>57</v>
      </c>
      <c r="I158" s="6" t="s">
        <v>40</v>
      </c>
      <c r="J158" s="5" t="s">
        <v>8585</v>
      </c>
      <c r="K158" s="5" t="s">
        <v>8586</v>
      </c>
      <c r="L158" s="6" t="s">
        <v>42</v>
      </c>
      <c r="M158" s="5" t="s">
        <v>995</v>
      </c>
      <c r="N158" s="5" t="s">
        <v>64</v>
      </c>
      <c r="O158" s="5" t="s">
        <v>16612</v>
      </c>
      <c r="P158" s="6">
        <v>5642.0</v>
      </c>
    </row>
    <row r="159" ht="56.25" customHeight="1">
      <c r="A159" s="5" t="s">
        <v>16613</v>
      </c>
      <c r="B159" s="6" t="str">
        <f>IMAGE("https://storage.googleapis.com/acdb/headwear/CapMaskOkinaWhite.png")</f>
        <v/>
      </c>
      <c r="C159" s="5" t="s">
        <v>57</v>
      </c>
      <c r="D159" s="5" t="s">
        <v>36</v>
      </c>
      <c r="E159" s="6" t="s">
        <v>37</v>
      </c>
      <c r="F159" s="6">
        <v>1500.0</v>
      </c>
      <c r="G159" s="5" t="s">
        <v>38</v>
      </c>
      <c r="H159" s="5" t="s">
        <v>54</v>
      </c>
      <c r="I159" s="6" t="s">
        <v>40</v>
      </c>
      <c r="J159" s="5" t="s">
        <v>1284</v>
      </c>
      <c r="K159" s="5"/>
      <c r="L159" s="6" t="s">
        <v>42</v>
      </c>
      <c r="M159" s="5" t="s">
        <v>1059</v>
      </c>
      <c r="N159" s="5" t="s">
        <v>48</v>
      </c>
      <c r="O159" s="5" t="s">
        <v>16615</v>
      </c>
      <c r="P159" s="6">
        <v>6035.0</v>
      </c>
    </row>
    <row r="160" ht="56.25" customHeight="1">
      <c r="A160" s="5" t="s">
        <v>16617</v>
      </c>
      <c r="B160" s="6" t="str">
        <f>IMAGE("https://storage.googleapis.com/acdb/headwear/CapHatElegant0.png")</f>
        <v/>
      </c>
      <c r="C160" s="5" t="s">
        <v>106</v>
      </c>
      <c r="D160" s="5" t="s">
        <v>36</v>
      </c>
      <c r="E160" s="6">
        <v>2100.0</v>
      </c>
      <c r="F160" s="6">
        <v>525.0</v>
      </c>
      <c r="G160" s="5" t="s">
        <v>106</v>
      </c>
      <c r="H160" s="5" t="s">
        <v>106</v>
      </c>
      <c r="I160" s="6" t="s">
        <v>40</v>
      </c>
      <c r="J160" s="5" t="s">
        <v>8585</v>
      </c>
      <c r="K160" s="5" t="s">
        <v>8586</v>
      </c>
      <c r="L160" s="6" t="s">
        <v>42</v>
      </c>
      <c r="M160" s="5" t="s">
        <v>1059</v>
      </c>
      <c r="N160" s="5" t="s">
        <v>64</v>
      </c>
      <c r="O160" s="5" t="s">
        <v>16620</v>
      </c>
      <c r="P160" s="6">
        <v>5351.0</v>
      </c>
    </row>
    <row r="161" ht="56.25" customHeight="1">
      <c r="A161" s="5" t="s">
        <v>16617</v>
      </c>
      <c r="B161" s="6" t="str">
        <f>IMAGE("https://storage.googleapis.com/acdb/headwear/CapHatElegant3.png")</f>
        <v/>
      </c>
      <c r="C161" s="5" t="s">
        <v>57</v>
      </c>
      <c r="D161" s="5" t="s">
        <v>36</v>
      </c>
      <c r="E161" s="6">
        <v>2100.0</v>
      </c>
      <c r="F161" s="6">
        <v>525.0</v>
      </c>
      <c r="G161" s="5" t="s">
        <v>57</v>
      </c>
      <c r="H161" s="5" t="s">
        <v>57</v>
      </c>
      <c r="I161" s="6" t="s">
        <v>40</v>
      </c>
      <c r="J161" s="5" t="s">
        <v>8585</v>
      </c>
      <c r="K161" s="5" t="s">
        <v>8586</v>
      </c>
      <c r="L161" s="6" t="s">
        <v>42</v>
      </c>
      <c r="M161" s="5" t="s">
        <v>1059</v>
      </c>
      <c r="N161" s="5" t="s">
        <v>64</v>
      </c>
      <c r="O161" s="5" t="s">
        <v>16624</v>
      </c>
      <c r="P161" s="6">
        <v>10890.0</v>
      </c>
    </row>
    <row r="162" ht="56.25" customHeight="1">
      <c r="A162" s="5" t="s">
        <v>16617</v>
      </c>
      <c r="B162" s="6" t="str">
        <f>IMAGE("https://storage.googleapis.com/acdb/headwear/CapHatElegant4.png")</f>
        <v/>
      </c>
      <c r="C162" s="5" t="s">
        <v>54</v>
      </c>
      <c r="D162" s="5" t="s">
        <v>36</v>
      </c>
      <c r="E162" s="6">
        <v>2100.0</v>
      </c>
      <c r="F162" s="6">
        <v>525.0</v>
      </c>
      <c r="G162" s="5" t="s">
        <v>54</v>
      </c>
      <c r="H162" s="5" t="s">
        <v>54</v>
      </c>
      <c r="I162" s="6" t="s">
        <v>40</v>
      </c>
      <c r="J162" s="5" t="s">
        <v>8585</v>
      </c>
      <c r="K162" s="5" t="s">
        <v>8586</v>
      </c>
      <c r="L162" s="6" t="s">
        <v>42</v>
      </c>
      <c r="M162" s="5" t="s">
        <v>1059</v>
      </c>
      <c r="N162" s="5" t="s">
        <v>64</v>
      </c>
      <c r="O162" s="5" t="s">
        <v>16628</v>
      </c>
      <c r="P162" s="6">
        <v>10891.0</v>
      </c>
    </row>
    <row r="163" ht="56.25" customHeight="1">
      <c r="A163" s="5" t="s">
        <v>16617</v>
      </c>
      <c r="B163" s="6" t="str">
        <f>IMAGE("https://storage.googleapis.com/acdb/headwear/CapHatElegant1.png")</f>
        <v/>
      </c>
      <c r="C163" s="5" t="s">
        <v>96</v>
      </c>
      <c r="D163" s="5" t="s">
        <v>36</v>
      </c>
      <c r="E163" s="6">
        <v>2100.0</v>
      </c>
      <c r="F163" s="6">
        <v>525.0</v>
      </c>
      <c r="G163" s="5" t="s">
        <v>96</v>
      </c>
      <c r="H163" s="5" t="s">
        <v>96</v>
      </c>
      <c r="I163" s="6" t="s">
        <v>40</v>
      </c>
      <c r="J163" s="5" t="s">
        <v>8585</v>
      </c>
      <c r="K163" s="5" t="s">
        <v>8586</v>
      </c>
      <c r="L163" s="6" t="s">
        <v>42</v>
      </c>
      <c r="M163" s="5" t="s">
        <v>1059</v>
      </c>
      <c r="N163" s="5" t="s">
        <v>64</v>
      </c>
      <c r="O163" s="5" t="s">
        <v>16632</v>
      </c>
      <c r="P163" s="6">
        <v>10888.0</v>
      </c>
    </row>
    <row r="164" ht="56.25" customHeight="1">
      <c r="A164" s="5" t="s">
        <v>16617</v>
      </c>
      <c r="B164" s="6" t="str">
        <f>IMAGE("https://storage.googleapis.com/acdb/headwear/CapHatElegant2.png")</f>
        <v/>
      </c>
      <c r="C164" s="5" t="s">
        <v>52</v>
      </c>
      <c r="D164" s="5" t="s">
        <v>36</v>
      </c>
      <c r="E164" s="6">
        <v>2100.0</v>
      </c>
      <c r="F164" s="6">
        <v>525.0</v>
      </c>
      <c r="G164" s="5" t="s">
        <v>52</v>
      </c>
      <c r="H164" s="5" t="s">
        <v>52</v>
      </c>
      <c r="I164" s="6" t="s">
        <v>40</v>
      </c>
      <c r="J164" s="5" t="s">
        <v>8585</v>
      </c>
      <c r="K164" s="5" t="s">
        <v>8586</v>
      </c>
      <c r="L164" s="6" t="s">
        <v>42</v>
      </c>
      <c r="M164" s="5" t="s">
        <v>1059</v>
      </c>
      <c r="N164" s="5" t="s">
        <v>64</v>
      </c>
      <c r="O164" s="5" t="s">
        <v>16635</v>
      </c>
      <c r="P164" s="6">
        <v>10889.0</v>
      </c>
    </row>
    <row r="165" ht="56.25" customHeight="1">
      <c r="A165" s="5" t="s">
        <v>16637</v>
      </c>
      <c r="B165" s="6" t="str">
        <f>IMAGE("https://storage.googleapis.com/acdb/headwear/CapHatExpedition2.png")</f>
        <v/>
      </c>
      <c r="C165" s="5" t="s">
        <v>38</v>
      </c>
      <c r="D165" s="5" t="s">
        <v>36</v>
      </c>
      <c r="E165" s="6">
        <v>1040.0</v>
      </c>
      <c r="F165" s="6">
        <v>260.0</v>
      </c>
      <c r="G165" s="5" t="s">
        <v>95</v>
      </c>
      <c r="H165" s="5" t="s">
        <v>95</v>
      </c>
      <c r="I165" s="6" t="s">
        <v>40</v>
      </c>
      <c r="J165" s="5" t="s">
        <v>8585</v>
      </c>
      <c r="K165" s="5" t="s">
        <v>8632</v>
      </c>
      <c r="L165" s="6" t="s">
        <v>42</v>
      </c>
      <c r="M165" s="5" t="s">
        <v>8746</v>
      </c>
      <c r="N165" s="5" t="s">
        <v>64</v>
      </c>
      <c r="O165" s="5" t="s">
        <v>16642</v>
      </c>
      <c r="P165" s="6">
        <v>11810.0</v>
      </c>
    </row>
    <row r="166" ht="56.25" customHeight="1">
      <c r="A166" s="5" t="s">
        <v>16637</v>
      </c>
      <c r="B166" s="6" t="str">
        <f>IMAGE("https://storage.googleapis.com/acdb/headwear/CapHatExpedition3.png")</f>
        <v/>
      </c>
      <c r="C166" s="5" t="s">
        <v>68</v>
      </c>
      <c r="D166" s="5" t="s">
        <v>36</v>
      </c>
      <c r="E166" s="6">
        <v>1040.0</v>
      </c>
      <c r="F166" s="6">
        <v>260.0</v>
      </c>
      <c r="G166" s="5" t="s">
        <v>68</v>
      </c>
      <c r="H166" s="5" t="s">
        <v>68</v>
      </c>
      <c r="I166" s="6" t="s">
        <v>40</v>
      </c>
      <c r="J166" s="5" t="s">
        <v>8585</v>
      </c>
      <c r="K166" s="5" t="s">
        <v>8632</v>
      </c>
      <c r="L166" s="6" t="s">
        <v>42</v>
      </c>
      <c r="M166" s="5" t="s">
        <v>8746</v>
      </c>
      <c r="N166" s="5" t="s">
        <v>64</v>
      </c>
      <c r="O166" s="5" t="s">
        <v>16645</v>
      </c>
      <c r="P166" s="6">
        <v>11811.0</v>
      </c>
    </row>
    <row r="167" ht="56.25" customHeight="1">
      <c r="A167" s="5" t="s">
        <v>16637</v>
      </c>
      <c r="B167" s="6" t="str">
        <f>IMAGE("https://storage.googleapis.com/acdb/headwear/CapHatExpedition1.png")</f>
        <v/>
      </c>
      <c r="C167" s="5" t="s">
        <v>2222</v>
      </c>
      <c r="D167" s="5" t="s">
        <v>36</v>
      </c>
      <c r="E167" s="6">
        <v>1040.0</v>
      </c>
      <c r="F167" s="6">
        <v>260.0</v>
      </c>
      <c r="G167" s="5" t="s">
        <v>96</v>
      </c>
      <c r="H167" s="5" t="s">
        <v>96</v>
      </c>
      <c r="I167" s="6" t="s">
        <v>40</v>
      </c>
      <c r="J167" s="5" t="s">
        <v>8585</v>
      </c>
      <c r="K167" s="5" t="s">
        <v>8632</v>
      </c>
      <c r="L167" s="6" t="s">
        <v>42</v>
      </c>
      <c r="M167" s="5" t="s">
        <v>8746</v>
      </c>
      <c r="N167" s="5" t="s">
        <v>64</v>
      </c>
      <c r="O167" s="5" t="s">
        <v>16649</v>
      </c>
      <c r="P167" s="6">
        <v>11809.0</v>
      </c>
    </row>
    <row r="168" ht="56.25" customHeight="1">
      <c r="A168" s="5" t="s">
        <v>16637</v>
      </c>
      <c r="B168" s="6" t="str">
        <f>IMAGE("https://storage.googleapis.com/acdb/headwear/CapHatExpedition0.png")</f>
        <v/>
      </c>
      <c r="C168" s="5" t="s">
        <v>2408</v>
      </c>
      <c r="D168" s="5" t="s">
        <v>36</v>
      </c>
      <c r="E168" s="6">
        <v>1040.0</v>
      </c>
      <c r="F168" s="6">
        <v>260.0</v>
      </c>
      <c r="G168" s="5" t="s">
        <v>38</v>
      </c>
      <c r="H168" s="5" t="s">
        <v>38</v>
      </c>
      <c r="I168" s="6" t="s">
        <v>40</v>
      </c>
      <c r="J168" s="5" t="s">
        <v>8585</v>
      </c>
      <c r="K168" s="5" t="s">
        <v>8632</v>
      </c>
      <c r="L168" s="6" t="s">
        <v>42</v>
      </c>
      <c r="M168" s="5" t="s">
        <v>8746</v>
      </c>
      <c r="N168" s="5" t="s">
        <v>64</v>
      </c>
      <c r="O168" s="5" t="s">
        <v>16654</v>
      </c>
      <c r="P168" s="6">
        <v>5136.0</v>
      </c>
    </row>
    <row r="169" ht="56.25" customHeight="1">
      <c r="A169" s="5" t="s">
        <v>16655</v>
      </c>
      <c r="B169" s="6" t="str">
        <f>IMAGE("https://storage.googleapis.com/acdb/headwear/CapBangsCowl1.png")</f>
        <v/>
      </c>
      <c r="C169" s="5" t="s">
        <v>69</v>
      </c>
      <c r="D169" s="5" t="s">
        <v>36</v>
      </c>
      <c r="E169" s="6">
        <v>1560.0</v>
      </c>
      <c r="F169" s="6">
        <v>390.0</v>
      </c>
      <c r="G169" s="5" t="s">
        <v>69</v>
      </c>
      <c r="H169" s="5" t="s">
        <v>69</v>
      </c>
      <c r="I169" s="6" t="s">
        <v>40</v>
      </c>
      <c r="J169" s="5" t="s">
        <v>8585</v>
      </c>
      <c r="K169" s="5" t="s">
        <v>8586</v>
      </c>
      <c r="L169" s="6" t="s">
        <v>42</v>
      </c>
      <c r="M169" s="5" t="s">
        <v>1959</v>
      </c>
      <c r="N169" s="5" t="s">
        <v>64</v>
      </c>
      <c r="O169" s="5" t="s">
        <v>16659</v>
      </c>
      <c r="P169" s="6">
        <v>11836.0</v>
      </c>
    </row>
    <row r="170" ht="56.25" customHeight="1">
      <c r="A170" s="5" t="s">
        <v>16655</v>
      </c>
      <c r="B170" s="6" t="str">
        <f>IMAGE("https://storage.googleapis.com/acdb/headwear/CapBangsCowl2.png")</f>
        <v/>
      </c>
      <c r="C170" s="5" t="s">
        <v>114</v>
      </c>
      <c r="D170" s="5" t="s">
        <v>36</v>
      </c>
      <c r="E170" s="6">
        <v>1560.0</v>
      </c>
      <c r="F170" s="6">
        <v>390.0</v>
      </c>
      <c r="G170" s="5" t="s">
        <v>114</v>
      </c>
      <c r="H170" s="5" t="s">
        <v>114</v>
      </c>
      <c r="I170" s="6" t="s">
        <v>40</v>
      </c>
      <c r="J170" s="5" t="s">
        <v>8585</v>
      </c>
      <c r="K170" s="5" t="s">
        <v>8586</v>
      </c>
      <c r="L170" s="6" t="s">
        <v>42</v>
      </c>
      <c r="M170" s="5" t="s">
        <v>1959</v>
      </c>
      <c r="N170" s="5" t="s">
        <v>64</v>
      </c>
      <c r="O170" s="5" t="s">
        <v>16663</v>
      </c>
      <c r="P170" s="6">
        <v>11837.0</v>
      </c>
    </row>
    <row r="171" ht="56.25" customHeight="1">
      <c r="A171" s="5" t="s">
        <v>16655</v>
      </c>
      <c r="B171" s="6" t="str">
        <f>IMAGE("https://storage.googleapis.com/acdb/headwear/CapBangsCowl3.png")</f>
        <v/>
      </c>
      <c r="C171" s="5" t="s">
        <v>96</v>
      </c>
      <c r="D171" s="5" t="s">
        <v>36</v>
      </c>
      <c r="E171" s="6">
        <v>1560.0</v>
      </c>
      <c r="F171" s="6">
        <v>390.0</v>
      </c>
      <c r="G171" s="5" t="s">
        <v>96</v>
      </c>
      <c r="H171" s="5" t="s">
        <v>96</v>
      </c>
      <c r="I171" s="6" t="s">
        <v>40</v>
      </c>
      <c r="J171" s="5" t="s">
        <v>8585</v>
      </c>
      <c r="K171" s="5" t="s">
        <v>8586</v>
      </c>
      <c r="L171" s="6" t="s">
        <v>42</v>
      </c>
      <c r="M171" s="5" t="s">
        <v>1959</v>
      </c>
      <c r="N171" s="5" t="s">
        <v>64</v>
      </c>
      <c r="O171" s="5" t="s">
        <v>16667</v>
      </c>
      <c r="P171" s="6">
        <v>11838.0</v>
      </c>
    </row>
    <row r="172" ht="56.25" customHeight="1">
      <c r="A172" s="5" t="s">
        <v>16655</v>
      </c>
      <c r="B172" s="6" t="str">
        <f>IMAGE("https://storage.googleapis.com/acdb/headwear/CapBangsCowl4.png")</f>
        <v/>
      </c>
      <c r="C172" s="5" t="s">
        <v>68</v>
      </c>
      <c r="D172" s="5" t="s">
        <v>36</v>
      </c>
      <c r="E172" s="6">
        <v>1560.0</v>
      </c>
      <c r="F172" s="6">
        <v>390.0</v>
      </c>
      <c r="G172" s="5" t="s">
        <v>68</v>
      </c>
      <c r="H172" s="5" t="s">
        <v>68</v>
      </c>
      <c r="I172" s="6" t="s">
        <v>40</v>
      </c>
      <c r="J172" s="5" t="s">
        <v>8585</v>
      </c>
      <c r="K172" s="5" t="s">
        <v>8586</v>
      </c>
      <c r="L172" s="6" t="s">
        <v>42</v>
      </c>
      <c r="M172" s="5" t="s">
        <v>1959</v>
      </c>
      <c r="N172" s="5" t="s">
        <v>64</v>
      </c>
      <c r="O172" s="5" t="s">
        <v>16672</v>
      </c>
      <c r="P172" s="6">
        <v>11839.0</v>
      </c>
    </row>
    <row r="173" ht="56.25" customHeight="1">
      <c r="A173" s="5" t="s">
        <v>16655</v>
      </c>
      <c r="B173" s="6" t="str">
        <f>IMAGE("https://storage.googleapis.com/acdb/headwear/CapBangsCowl0.png")</f>
        <v/>
      </c>
      <c r="C173" s="5" t="s">
        <v>52</v>
      </c>
      <c r="D173" s="5" t="s">
        <v>36</v>
      </c>
      <c r="E173" s="6">
        <v>1560.0</v>
      </c>
      <c r="F173" s="6">
        <v>390.0</v>
      </c>
      <c r="G173" s="5" t="s">
        <v>52</v>
      </c>
      <c r="H173" s="5" t="s">
        <v>52</v>
      </c>
      <c r="I173" s="6" t="s">
        <v>40</v>
      </c>
      <c r="J173" s="5" t="s">
        <v>8585</v>
      </c>
      <c r="K173" s="5" t="s">
        <v>8586</v>
      </c>
      <c r="L173" s="6" t="s">
        <v>42</v>
      </c>
      <c r="M173" s="5" t="s">
        <v>1959</v>
      </c>
      <c r="N173" s="5" t="s">
        <v>64</v>
      </c>
      <c r="O173" s="5" t="s">
        <v>16675</v>
      </c>
      <c r="P173" s="6">
        <v>5323.0</v>
      </c>
    </row>
    <row r="174" ht="56.25" customHeight="1">
      <c r="A174" s="5" t="s">
        <v>16655</v>
      </c>
      <c r="B174" s="6" t="str">
        <f>IMAGE("https://storage.googleapis.com/acdb/headwear/CapBangsCowl5.png")</f>
        <v/>
      </c>
      <c r="C174" s="5" t="s">
        <v>83</v>
      </c>
      <c r="D174" s="5" t="s">
        <v>36</v>
      </c>
      <c r="E174" s="6">
        <v>1560.0</v>
      </c>
      <c r="F174" s="6">
        <v>390.0</v>
      </c>
      <c r="G174" s="5" t="s">
        <v>83</v>
      </c>
      <c r="H174" s="5" t="s">
        <v>83</v>
      </c>
      <c r="I174" s="6" t="s">
        <v>40</v>
      </c>
      <c r="J174" s="5" t="s">
        <v>8585</v>
      </c>
      <c r="K174" s="5" t="s">
        <v>8586</v>
      </c>
      <c r="L174" s="6" t="s">
        <v>42</v>
      </c>
      <c r="M174" s="5" t="s">
        <v>1959</v>
      </c>
      <c r="N174" s="5" t="s">
        <v>64</v>
      </c>
      <c r="O174" s="5" t="s">
        <v>16677</v>
      </c>
      <c r="P174" s="6">
        <v>11840.0</v>
      </c>
    </row>
    <row r="175" ht="56.25" customHeight="1">
      <c r="A175" s="5" t="s">
        <v>16655</v>
      </c>
      <c r="B175" s="6" t="str">
        <f>IMAGE("https://storage.googleapis.com/acdb/headwear/CapBangsCowl6.png")</f>
        <v/>
      </c>
      <c r="C175" s="5" t="s">
        <v>1857</v>
      </c>
      <c r="D175" s="5" t="s">
        <v>36</v>
      </c>
      <c r="E175" s="6">
        <v>1560.0</v>
      </c>
      <c r="F175" s="6">
        <v>390.0</v>
      </c>
      <c r="G175" s="5" t="s">
        <v>96</v>
      </c>
      <c r="H175" s="5" t="s">
        <v>96</v>
      </c>
      <c r="I175" s="6" t="s">
        <v>40</v>
      </c>
      <c r="J175" s="5" t="s">
        <v>8585</v>
      </c>
      <c r="K175" s="5" t="s">
        <v>8586</v>
      </c>
      <c r="L175" s="6" t="s">
        <v>42</v>
      </c>
      <c r="M175" s="5" t="s">
        <v>1959</v>
      </c>
      <c r="N175" s="5" t="s">
        <v>64</v>
      </c>
      <c r="O175" s="5" t="s">
        <v>16682</v>
      </c>
      <c r="P175" s="6">
        <v>11841.0</v>
      </c>
    </row>
    <row r="176" ht="56.25" customHeight="1">
      <c r="A176" s="5" t="s">
        <v>16655</v>
      </c>
      <c r="B176" s="6" t="str">
        <f>IMAGE("https://storage.googleapis.com/acdb/headwear/CapBangsCowl7.png")</f>
        <v/>
      </c>
      <c r="C176" s="5" t="s">
        <v>142</v>
      </c>
      <c r="D176" s="5" t="s">
        <v>36</v>
      </c>
      <c r="E176" s="6">
        <v>1560.0</v>
      </c>
      <c r="F176" s="6">
        <v>390.0</v>
      </c>
      <c r="G176" s="5" t="s">
        <v>142</v>
      </c>
      <c r="H176" s="5" t="s">
        <v>142</v>
      </c>
      <c r="I176" s="6" t="s">
        <v>40</v>
      </c>
      <c r="J176" s="5" t="s">
        <v>8585</v>
      </c>
      <c r="K176" s="5" t="s">
        <v>8586</v>
      </c>
      <c r="L176" s="6" t="s">
        <v>42</v>
      </c>
      <c r="M176" s="5" t="s">
        <v>1959</v>
      </c>
      <c r="N176" s="5" t="s">
        <v>64</v>
      </c>
      <c r="O176" s="5" t="s">
        <v>16684</v>
      </c>
      <c r="P176" s="6">
        <v>11842.0</v>
      </c>
    </row>
    <row r="177" ht="56.25" customHeight="1">
      <c r="A177" s="5" t="s">
        <v>16685</v>
      </c>
      <c r="B177" s="6" t="str">
        <f>IMAGE("https://storage.googleapis.com/acdb/headwear/CapHatUshanka0.png")</f>
        <v/>
      </c>
      <c r="C177" s="5" t="s">
        <v>38</v>
      </c>
      <c r="D177" s="5" t="s">
        <v>36</v>
      </c>
      <c r="E177" s="6">
        <v>1300.0</v>
      </c>
      <c r="F177" s="6">
        <v>325.0</v>
      </c>
      <c r="G177" s="5" t="s">
        <v>38</v>
      </c>
      <c r="H177" s="5" t="s">
        <v>38</v>
      </c>
      <c r="I177" s="6" t="s">
        <v>40</v>
      </c>
      <c r="J177" s="5" t="s">
        <v>8585</v>
      </c>
      <c r="K177" s="5" t="s">
        <v>8586</v>
      </c>
      <c r="L177" s="6" t="s">
        <v>42</v>
      </c>
      <c r="M177" s="5" t="s">
        <v>1059</v>
      </c>
      <c r="N177" s="5" t="s">
        <v>64</v>
      </c>
      <c r="O177" s="5" t="s">
        <v>16688</v>
      </c>
      <c r="P177" s="6">
        <v>5144.0</v>
      </c>
    </row>
    <row r="178" ht="56.25" customHeight="1">
      <c r="A178" s="5" t="s">
        <v>16685</v>
      </c>
      <c r="B178" s="6" t="str">
        <f>IMAGE("https://storage.googleapis.com/acdb/headwear/CapHatUshanka1.png")</f>
        <v/>
      </c>
      <c r="C178" s="5" t="s">
        <v>39</v>
      </c>
      <c r="D178" s="5" t="s">
        <v>36</v>
      </c>
      <c r="E178" s="6">
        <v>1300.0</v>
      </c>
      <c r="F178" s="6">
        <v>325.0</v>
      </c>
      <c r="G178" s="5" t="s">
        <v>39</v>
      </c>
      <c r="H178" s="5" t="s">
        <v>39</v>
      </c>
      <c r="I178" s="6" t="s">
        <v>40</v>
      </c>
      <c r="J178" s="5" t="s">
        <v>8585</v>
      </c>
      <c r="K178" s="5" t="s">
        <v>8586</v>
      </c>
      <c r="L178" s="6" t="s">
        <v>42</v>
      </c>
      <c r="M178" s="5" t="s">
        <v>1059</v>
      </c>
      <c r="N178" s="5" t="s">
        <v>64</v>
      </c>
      <c r="O178" s="5" t="s">
        <v>16691</v>
      </c>
      <c r="P178" s="6">
        <v>10920.0</v>
      </c>
    </row>
    <row r="179" ht="56.25" customHeight="1">
      <c r="A179" s="5" t="s">
        <v>16685</v>
      </c>
      <c r="B179" s="6" t="str">
        <f>IMAGE("https://storage.googleapis.com/acdb/headwear/CapHatUshanka2.png")</f>
        <v/>
      </c>
      <c r="C179" s="5" t="s">
        <v>95</v>
      </c>
      <c r="D179" s="5" t="s">
        <v>36</v>
      </c>
      <c r="E179" s="6">
        <v>1300.0</v>
      </c>
      <c r="F179" s="6">
        <v>325.0</v>
      </c>
      <c r="G179" s="5" t="s">
        <v>95</v>
      </c>
      <c r="H179" s="5" t="s">
        <v>95</v>
      </c>
      <c r="I179" s="6" t="s">
        <v>40</v>
      </c>
      <c r="J179" s="5" t="s">
        <v>8585</v>
      </c>
      <c r="K179" s="5" t="s">
        <v>8586</v>
      </c>
      <c r="L179" s="6" t="s">
        <v>42</v>
      </c>
      <c r="M179" s="5" t="s">
        <v>1059</v>
      </c>
      <c r="N179" s="5" t="s">
        <v>64</v>
      </c>
      <c r="O179" s="5" t="s">
        <v>16696</v>
      </c>
      <c r="P179" s="6">
        <v>10921.0</v>
      </c>
    </row>
    <row r="180" ht="56.25" customHeight="1">
      <c r="A180" s="5" t="s">
        <v>16685</v>
      </c>
      <c r="B180" s="6" t="str">
        <f>IMAGE("https://storage.googleapis.com/acdb/headwear/CapHatUshanka3.png")</f>
        <v/>
      </c>
      <c r="C180" s="5" t="s">
        <v>54</v>
      </c>
      <c r="D180" s="5" t="s">
        <v>36</v>
      </c>
      <c r="E180" s="6">
        <v>1300.0</v>
      </c>
      <c r="F180" s="6">
        <v>325.0</v>
      </c>
      <c r="G180" s="5" t="s">
        <v>54</v>
      </c>
      <c r="H180" s="5" t="s">
        <v>54</v>
      </c>
      <c r="I180" s="6" t="s">
        <v>40</v>
      </c>
      <c r="J180" s="5" t="s">
        <v>8585</v>
      </c>
      <c r="K180" s="5" t="s">
        <v>8586</v>
      </c>
      <c r="L180" s="6" t="s">
        <v>42</v>
      </c>
      <c r="M180" s="5" t="s">
        <v>1059</v>
      </c>
      <c r="N180" s="5" t="s">
        <v>64</v>
      </c>
      <c r="O180" s="5" t="s">
        <v>16699</v>
      </c>
      <c r="P180" s="6">
        <v>10922.0</v>
      </c>
    </row>
    <row r="181" ht="56.25" customHeight="1">
      <c r="A181" s="5" t="s">
        <v>16685</v>
      </c>
      <c r="B181" s="6" t="str">
        <f>IMAGE("https://storage.googleapis.com/acdb/headwear/CapHatUshanka4.png")</f>
        <v/>
      </c>
      <c r="C181" s="5" t="s">
        <v>69</v>
      </c>
      <c r="D181" s="5" t="s">
        <v>36</v>
      </c>
      <c r="E181" s="6">
        <v>1300.0</v>
      </c>
      <c r="F181" s="6">
        <v>325.0</v>
      </c>
      <c r="G181" s="5" t="s">
        <v>69</v>
      </c>
      <c r="H181" s="5" t="s">
        <v>69</v>
      </c>
      <c r="I181" s="6" t="s">
        <v>40</v>
      </c>
      <c r="J181" s="5" t="s">
        <v>8585</v>
      </c>
      <c r="K181" s="5" t="s">
        <v>8586</v>
      </c>
      <c r="L181" s="6" t="s">
        <v>42</v>
      </c>
      <c r="M181" s="5" t="s">
        <v>1059</v>
      </c>
      <c r="N181" s="5" t="s">
        <v>64</v>
      </c>
      <c r="O181" s="5" t="s">
        <v>16702</v>
      </c>
      <c r="P181" s="6">
        <v>10923.0</v>
      </c>
    </row>
    <row r="182" ht="56.25" customHeight="1">
      <c r="A182" s="5" t="s">
        <v>16685</v>
      </c>
      <c r="B182" s="6" t="str">
        <f>IMAGE("https://storage.googleapis.com/acdb/headwear/CapHatUshanka5.png")</f>
        <v/>
      </c>
      <c r="C182" s="5" t="s">
        <v>57</v>
      </c>
      <c r="D182" s="5" t="s">
        <v>36</v>
      </c>
      <c r="E182" s="6">
        <v>1300.0</v>
      </c>
      <c r="F182" s="6">
        <v>325.0</v>
      </c>
      <c r="G182" s="5" t="s">
        <v>57</v>
      </c>
      <c r="H182" s="5" t="s">
        <v>57</v>
      </c>
      <c r="I182" s="6" t="s">
        <v>40</v>
      </c>
      <c r="J182" s="5" t="s">
        <v>8585</v>
      </c>
      <c r="K182" s="5" t="s">
        <v>8586</v>
      </c>
      <c r="L182" s="6" t="s">
        <v>42</v>
      </c>
      <c r="M182" s="5" t="s">
        <v>1059</v>
      </c>
      <c r="N182" s="5" t="s">
        <v>64</v>
      </c>
      <c r="O182" s="5" t="s">
        <v>16706</v>
      </c>
      <c r="P182" s="6">
        <v>10924.0</v>
      </c>
    </row>
    <row r="183" ht="56.25" customHeight="1">
      <c r="A183" s="5" t="s">
        <v>16685</v>
      </c>
      <c r="B183" s="6" t="str">
        <f>IMAGE("https://storage.googleapis.com/acdb/headwear/CapHatUshanka6.png")</f>
        <v/>
      </c>
      <c r="C183" s="5" t="s">
        <v>52</v>
      </c>
      <c r="D183" s="5" t="s">
        <v>36</v>
      </c>
      <c r="E183" s="6">
        <v>1300.0</v>
      </c>
      <c r="F183" s="6">
        <v>325.0</v>
      </c>
      <c r="G183" s="5" t="s">
        <v>52</v>
      </c>
      <c r="H183" s="5" t="s">
        <v>52</v>
      </c>
      <c r="I183" s="6" t="s">
        <v>40</v>
      </c>
      <c r="J183" s="5" t="s">
        <v>8585</v>
      </c>
      <c r="K183" s="5" t="s">
        <v>8586</v>
      </c>
      <c r="L183" s="6" t="s">
        <v>42</v>
      </c>
      <c r="M183" s="5" t="s">
        <v>1059</v>
      </c>
      <c r="N183" s="5" t="s">
        <v>64</v>
      </c>
      <c r="O183" s="5" t="s">
        <v>16709</v>
      </c>
      <c r="P183" s="6">
        <v>10925.0</v>
      </c>
    </row>
    <row r="184" ht="56.25" customHeight="1">
      <c r="A184" s="5" t="s">
        <v>16711</v>
      </c>
      <c r="B184" s="6" t="str">
        <f>IMAGE("https://storage.googleapis.com/acdb/headwear/CapHatFelt0.png")</f>
        <v/>
      </c>
      <c r="C184" s="5" t="s">
        <v>38</v>
      </c>
      <c r="D184" s="5" t="s">
        <v>36</v>
      </c>
      <c r="E184" s="6">
        <v>1100.0</v>
      </c>
      <c r="F184" s="6">
        <v>275.0</v>
      </c>
      <c r="G184" s="5" t="s">
        <v>38</v>
      </c>
      <c r="H184" s="5" t="s">
        <v>39</v>
      </c>
      <c r="I184" s="6" t="s">
        <v>40</v>
      </c>
      <c r="J184" s="5" t="s">
        <v>8585</v>
      </c>
      <c r="K184" s="5" t="s">
        <v>8632</v>
      </c>
      <c r="L184" s="6" t="s">
        <v>42</v>
      </c>
      <c r="M184" s="5" t="s">
        <v>1952</v>
      </c>
      <c r="N184" s="5" t="s">
        <v>64</v>
      </c>
      <c r="O184" s="5" t="s">
        <v>16713</v>
      </c>
      <c r="P184" s="6">
        <v>5301.0</v>
      </c>
    </row>
    <row r="185" ht="56.25" customHeight="1">
      <c r="A185" s="5" t="s">
        <v>16711</v>
      </c>
      <c r="B185" s="6" t="str">
        <f>IMAGE("https://storage.googleapis.com/acdb/headwear/CapHatFelt1.png")</f>
        <v/>
      </c>
      <c r="C185" s="5" t="s">
        <v>54</v>
      </c>
      <c r="D185" s="5" t="s">
        <v>36</v>
      </c>
      <c r="E185" s="6">
        <v>1100.0</v>
      </c>
      <c r="F185" s="6">
        <v>275.0</v>
      </c>
      <c r="G185" s="5" t="s">
        <v>54</v>
      </c>
      <c r="H185" s="5" t="s">
        <v>95</v>
      </c>
      <c r="I185" s="6" t="s">
        <v>40</v>
      </c>
      <c r="J185" s="5" t="s">
        <v>8585</v>
      </c>
      <c r="K185" s="5" t="s">
        <v>8632</v>
      </c>
      <c r="L185" s="6" t="s">
        <v>42</v>
      </c>
      <c r="M185" s="5" t="s">
        <v>1952</v>
      </c>
      <c r="N185" s="5" t="s">
        <v>64</v>
      </c>
      <c r="O185" s="5" t="s">
        <v>16718</v>
      </c>
      <c r="P185" s="6">
        <v>11045.0</v>
      </c>
    </row>
    <row r="186" ht="56.25" customHeight="1">
      <c r="A186" s="5" t="s">
        <v>16711</v>
      </c>
      <c r="B186" s="6" t="str">
        <f>IMAGE("https://storage.googleapis.com/acdb/headwear/CapHatFelt2.png")</f>
        <v/>
      </c>
      <c r="C186" s="5" t="s">
        <v>96</v>
      </c>
      <c r="D186" s="5" t="s">
        <v>36</v>
      </c>
      <c r="E186" s="6">
        <v>1100.0</v>
      </c>
      <c r="F186" s="6">
        <v>275.0</v>
      </c>
      <c r="G186" s="5" t="s">
        <v>96</v>
      </c>
      <c r="H186" s="5" t="s">
        <v>54</v>
      </c>
      <c r="I186" s="6" t="s">
        <v>40</v>
      </c>
      <c r="J186" s="5" t="s">
        <v>8585</v>
      </c>
      <c r="K186" s="5" t="s">
        <v>8632</v>
      </c>
      <c r="L186" s="6" t="s">
        <v>42</v>
      </c>
      <c r="M186" s="5" t="s">
        <v>1952</v>
      </c>
      <c r="N186" s="5" t="s">
        <v>64</v>
      </c>
      <c r="O186" s="5" t="s">
        <v>16722</v>
      </c>
      <c r="P186" s="6">
        <v>11046.0</v>
      </c>
    </row>
    <row r="187" ht="56.25" customHeight="1">
      <c r="A187" s="5" t="s">
        <v>16711</v>
      </c>
      <c r="B187" s="6" t="str">
        <f>IMAGE("https://storage.googleapis.com/acdb/headwear/CapHatFelt3.png")</f>
        <v/>
      </c>
      <c r="C187" s="5" t="s">
        <v>95</v>
      </c>
      <c r="D187" s="5" t="s">
        <v>36</v>
      </c>
      <c r="E187" s="6">
        <v>1100.0</v>
      </c>
      <c r="F187" s="6">
        <v>275.0</v>
      </c>
      <c r="G187" s="5" t="s">
        <v>95</v>
      </c>
      <c r="H187" s="5" t="s">
        <v>54</v>
      </c>
      <c r="I187" s="6" t="s">
        <v>40</v>
      </c>
      <c r="J187" s="5" t="s">
        <v>8585</v>
      </c>
      <c r="K187" s="5" t="s">
        <v>8632</v>
      </c>
      <c r="L187" s="6" t="s">
        <v>42</v>
      </c>
      <c r="M187" s="5" t="s">
        <v>1952</v>
      </c>
      <c r="N187" s="5" t="s">
        <v>64</v>
      </c>
      <c r="O187" s="5" t="s">
        <v>16725</v>
      </c>
      <c r="P187" s="6">
        <v>11047.0</v>
      </c>
    </row>
    <row r="188" ht="56.25" customHeight="1">
      <c r="A188" s="5" t="s">
        <v>16711</v>
      </c>
      <c r="B188" s="6" t="str">
        <f>IMAGE("https://storage.googleapis.com/acdb/headwear/CapHatFelt4.png")</f>
        <v/>
      </c>
      <c r="C188" s="5" t="s">
        <v>57</v>
      </c>
      <c r="D188" s="5" t="s">
        <v>36</v>
      </c>
      <c r="E188" s="6">
        <v>1100.0</v>
      </c>
      <c r="F188" s="6">
        <v>275.0</v>
      </c>
      <c r="G188" s="5" t="s">
        <v>57</v>
      </c>
      <c r="H188" s="5" t="s">
        <v>95</v>
      </c>
      <c r="I188" s="6" t="s">
        <v>40</v>
      </c>
      <c r="J188" s="5" t="s">
        <v>8585</v>
      </c>
      <c r="K188" s="5" t="s">
        <v>8632</v>
      </c>
      <c r="L188" s="6" t="s">
        <v>42</v>
      </c>
      <c r="M188" s="5" t="s">
        <v>1952</v>
      </c>
      <c r="N188" s="5" t="s">
        <v>64</v>
      </c>
      <c r="O188" s="5" t="s">
        <v>16728</v>
      </c>
      <c r="P188" s="6">
        <v>11048.0</v>
      </c>
    </row>
    <row r="189" ht="56.25" customHeight="1">
      <c r="A189" s="5" t="s">
        <v>16711</v>
      </c>
      <c r="B189" s="6" t="str">
        <f>IMAGE("https://storage.googleapis.com/acdb/headwear/CapHatFelt5.png")</f>
        <v/>
      </c>
      <c r="C189" s="5" t="s">
        <v>52</v>
      </c>
      <c r="D189" s="5" t="s">
        <v>36</v>
      </c>
      <c r="E189" s="6">
        <v>1100.0</v>
      </c>
      <c r="F189" s="6">
        <v>275.0</v>
      </c>
      <c r="G189" s="5" t="s">
        <v>52</v>
      </c>
      <c r="H189" s="5" t="s">
        <v>54</v>
      </c>
      <c r="I189" s="6" t="s">
        <v>40</v>
      </c>
      <c r="J189" s="5" t="s">
        <v>8585</v>
      </c>
      <c r="K189" s="5" t="s">
        <v>8632</v>
      </c>
      <c r="L189" s="6" t="s">
        <v>42</v>
      </c>
      <c r="M189" s="5" t="s">
        <v>1952</v>
      </c>
      <c r="N189" s="5" t="s">
        <v>64</v>
      </c>
      <c r="O189" s="5" t="s">
        <v>16731</v>
      </c>
      <c r="P189" s="6">
        <v>11049.0</v>
      </c>
    </row>
    <row r="190" ht="56.25" customHeight="1">
      <c r="A190" s="5" t="s">
        <v>16732</v>
      </c>
      <c r="B190" s="6" t="str">
        <f>IMAGE("https://storage.googleapis.com/acdb/headwear/CapBangsFirefighter1.png")</f>
        <v/>
      </c>
      <c r="C190" s="5" t="s">
        <v>15228</v>
      </c>
      <c r="D190" s="5" t="s">
        <v>36</v>
      </c>
      <c r="E190" s="6">
        <v>1680.0</v>
      </c>
      <c r="F190" s="6">
        <v>420.0</v>
      </c>
      <c r="G190" s="5" t="s">
        <v>142</v>
      </c>
      <c r="H190" s="5" t="s">
        <v>54</v>
      </c>
      <c r="I190" s="6" t="s">
        <v>40</v>
      </c>
      <c r="J190" s="5" t="s">
        <v>8585</v>
      </c>
      <c r="K190" s="5" t="s">
        <v>8586</v>
      </c>
      <c r="L190" s="6" t="s">
        <v>42</v>
      </c>
      <c r="M190" s="5" t="s">
        <v>8746</v>
      </c>
      <c r="N190" s="5" t="s">
        <v>64</v>
      </c>
      <c r="O190" s="5" t="s">
        <v>16735</v>
      </c>
      <c r="P190" s="6">
        <v>11617.0</v>
      </c>
    </row>
    <row r="191" ht="56.25" customHeight="1">
      <c r="A191" s="5" t="s">
        <v>16732</v>
      </c>
      <c r="B191" s="6" t="str">
        <f>IMAGE("https://storage.googleapis.com/acdb/headwear/CapBangsFirefighter2.png")</f>
        <v/>
      </c>
      <c r="C191" s="5" t="s">
        <v>39</v>
      </c>
      <c r="D191" s="5" t="s">
        <v>36</v>
      </c>
      <c r="E191" s="6">
        <v>1680.0</v>
      </c>
      <c r="F191" s="6">
        <v>420.0</v>
      </c>
      <c r="G191" s="5" t="s">
        <v>39</v>
      </c>
      <c r="H191" s="5" t="s">
        <v>54</v>
      </c>
      <c r="I191" s="6" t="s">
        <v>40</v>
      </c>
      <c r="J191" s="5" t="s">
        <v>8585</v>
      </c>
      <c r="K191" s="5" t="s">
        <v>8586</v>
      </c>
      <c r="L191" s="6" t="s">
        <v>42</v>
      </c>
      <c r="M191" s="5" t="s">
        <v>8746</v>
      </c>
      <c r="N191" s="5" t="s">
        <v>64</v>
      </c>
      <c r="O191" s="5" t="s">
        <v>16740</v>
      </c>
      <c r="P191" s="6">
        <v>11618.0</v>
      </c>
    </row>
    <row r="192" ht="56.25" customHeight="1">
      <c r="A192" s="5" t="s">
        <v>16732</v>
      </c>
      <c r="B192" s="6" t="str">
        <f>IMAGE("https://storage.googleapis.com/acdb/headwear/CapBangsFirefighter3.png")</f>
        <v/>
      </c>
      <c r="C192" s="5" t="s">
        <v>15236</v>
      </c>
      <c r="D192" s="5" t="s">
        <v>36</v>
      </c>
      <c r="E192" s="6">
        <v>1680.0</v>
      </c>
      <c r="F192" s="6">
        <v>420.0</v>
      </c>
      <c r="G192" s="5" t="s">
        <v>114</v>
      </c>
      <c r="H192" s="5" t="s">
        <v>54</v>
      </c>
      <c r="I192" s="6" t="s">
        <v>40</v>
      </c>
      <c r="J192" s="5" t="s">
        <v>8585</v>
      </c>
      <c r="K192" s="5" t="s">
        <v>8586</v>
      </c>
      <c r="L192" s="6" t="s">
        <v>42</v>
      </c>
      <c r="M192" s="5" t="s">
        <v>8746</v>
      </c>
      <c r="N192" s="5" t="s">
        <v>64</v>
      </c>
      <c r="O192" s="5" t="s">
        <v>16743</v>
      </c>
      <c r="P192" s="6">
        <v>11619.0</v>
      </c>
    </row>
    <row r="193" ht="56.25" customHeight="1">
      <c r="A193" s="5" t="s">
        <v>16732</v>
      </c>
      <c r="B193" s="6" t="str">
        <f>IMAGE("https://storage.googleapis.com/acdb/headwear/CapBangsFirefighter0.png")</f>
        <v/>
      </c>
      <c r="C193" s="5" t="s">
        <v>54</v>
      </c>
      <c r="D193" s="5" t="s">
        <v>36</v>
      </c>
      <c r="E193" s="6">
        <v>1680.0</v>
      </c>
      <c r="F193" s="6">
        <v>420.0</v>
      </c>
      <c r="G193" s="5" t="s">
        <v>54</v>
      </c>
      <c r="H193" s="5" t="s">
        <v>54</v>
      </c>
      <c r="I193" s="6" t="s">
        <v>40</v>
      </c>
      <c r="J193" s="5" t="s">
        <v>8585</v>
      </c>
      <c r="K193" s="5" t="s">
        <v>8586</v>
      </c>
      <c r="L193" s="6" t="s">
        <v>42</v>
      </c>
      <c r="M193" s="5" t="s">
        <v>8746</v>
      </c>
      <c r="N193" s="5" t="s">
        <v>64</v>
      </c>
      <c r="O193" s="5" t="s">
        <v>16747</v>
      </c>
      <c r="P193" s="6">
        <v>5374.0</v>
      </c>
    </row>
    <row r="194" ht="56.25" customHeight="1">
      <c r="A194" s="5" t="s">
        <v>16732</v>
      </c>
      <c r="B194" s="6" t="str">
        <f>IMAGE("https://storage.googleapis.com/acdb/headwear/CapBangsFirefighter4.png")</f>
        <v/>
      </c>
      <c r="C194" s="5" t="s">
        <v>2222</v>
      </c>
      <c r="D194" s="5" t="s">
        <v>36</v>
      </c>
      <c r="E194" s="6">
        <v>1680.0</v>
      </c>
      <c r="F194" s="6">
        <v>420.0</v>
      </c>
      <c r="G194" s="5" t="s">
        <v>96</v>
      </c>
      <c r="H194" s="5" t="s">
        <v>54</v>
      </c>
      <c r="I194" s="6" t="s">
        <v>40</v>
      </c>
      <c r="J194" s="5" t="s">
        <v>8585</v>
      </c>
      <c r="K194" s="5" t="s">
        <v>8586</v>
      </c>
      <c r="L194" s="6" t="s">
        <v>42</v>
      </c>
      <c r="M194" s="5" t="s">
        <v>8746</v>
      </c>
      <c r="N194" s="5" t="s">
        <v>64</v>
      </c>
      <c r="O194" s="5" t="s">
        <v>16751</v>
      </c>
      <c r="P194" s="6">
        <v>11620.0</v>
      </c>
    </row>
    <row r="195" ht="56.25" customHeight="1">
      <c r="A195" s="5" t="s">
        <v>16752</v>
      </c>
      <c r="B195" s="6" t="str">
        <f>IMAGE("https://storage.googleapis.com/acdb/headwear/CapOrnamentLGaudy1.png")</f>
        <v/>
      </c>
      <c r="C195" s="5" t="s">
        <v>68</v>
      </c>
      <c r="D195" s="5" t="s">
        <v>36</v>
      </c>
      <c r="E195" s="6">
        <v>2340.0</v>
      </c>
      <c r="F195" s="6">
        <v>585.0</v>
      </c>
      <c r="G195" s="5" t="s">
        <v>68</v>
      </c>
      <c r="H195" s="5" t="s">
        <v>83</v>
      </c>
      <c r="I195" s="6" t="s">
        <v>40</v>
      </c>
      <c r="J195" s="5" t="s">
        <v>8585</v>
      </c>
      <c r="K195" s="5" t="s">
        <v>8586</v>
      </c>
      <c r="L195" s="6" t="s">
        <v>42</v>
      </c>
      <c r="M195" s="5" t="s">
        <v>612</v>
      </c>
      <c r="N195" s="5" t="s">
        <v>64</v>
      </c>
      <c r="O195" s="5" t="s">
        <v>16757</v>
      </c>
      <c r="P195" s="6">
        <v>10842.0</v>
      </c>
    </row>
    <row r="196" ht="56.25" customHeight="1">
      <c r="A196" s="5" t="s">
        <v>16752</v>
      </c>
      <c r="B196" s="6" t="str">
        <f>IMAGE("https://storage.googleapis.com/acdb/headwear/CapOrnamentLGaudy2.png")</f>
        <v/>
      </c>
      <c r="C196" s="5" t="s">
        <v>54</v>
      </c>
      <c r="D196" s="5" t="s">
        <v>36</v>
      </c>
      <c r="E196" s="6">
        <v>2340.0</v>
      </c>
      <c r="F196" s="6">
        <v>585.0</v>
      </c>
      <c r="G196" s="5" t="s">
        <v>54</v>
      </c>
      <c r="H196" s="5" t="s">
        <v>95</v>
      </c>
      <c r="I196" s="6" t="s">
        <v>40</v>
      </c>
      <c r="J196" s="5" t="s">
        <v>8585</v>
      </c>
      <c r="K196" s="5" t="s">
        <v>8586</v>
      </c>
      <c r="L196" s="6" t="s">
        <v>42</v>
      </c>
      <c r="M196" s="5" t="s">
        <v>612</v>
      </c>
      <c r="N196" s="5" t="s">
        <v>64</v>
      </c>
      <c r="O196" s="5" t="s">
        <v>16763</v>
      </c>
      <c r="P196" s="6">
        <v>10843.0</v>
      </c>
    </row>
    <row r="197" ht="56.25" customHeight="1">
      <c r="A197" s="5" t="s">
        <v>16752</v>
      </c>
      <c r="B197" s="6" t="str">
        <f>IMAGE("https://storage.googleapis.com/acdb/headwear/CapOrnamentLGaudy3.png")</f>
        <v/>
      </c>
      <c r="C197" s="5" t="s">
        <v>106</v>
      </c>
      <c r="D197" s="5" t="s">
        <v>36</v>
      </c>
      <c r="E197" s="6">
        <v>2340.0</v>
      </c>
      <c r="F197" s="6">
        <v>585.0</v>
      </c>
      <c r="G197" s="5" t="s">
        <v>106</v>
      </c>
      <c r="H197" s="5" t="s">
        <v>106</v>
      </c>
      <c r="I197" s="6" t="s">
        <v>40</v>
      </c>
      <c r="J197" s="5" t="s">
        <v>8585</v>
      </c>
      <c r="K197" s="5" t="s">
        <v>8586</v>
      </c>
      <c r="L197" s="6" t="s">
        <v>42</v>
      </c>
      <c r="M197" s="5" t="s">
        <v>612</v>
      </c>
      <c r="N197" s="5" t="s">
        <v>64</v>
      </c>
      <c r="O197" s="5" t="s">
        <v>16765</v>
      </c>
      <c r="P197" s="6">
        <v>10844.0</v>
      </c>
    </row>
    <row r="198" ht="56.25" customHeight="1">
      <c r="A198" s="5" t="s">
        <v>16752</v>
      </c>
      <c r="B198" s="6" t="str">
        <f>IMAGE("https://storage.googleapis.com/acdb/headwear/CapOrnamentLGaudy4.png")</f>
        <v/>
      </c>
      <c r="C198" s="5" t="s">
        <v>142</v>
      </c>
      <c r="D198" s="5" t="s">
        <v>36</v>
      </c>
      <c r="E198" s="6">
        <v>2340.0</v>
      </c>
      <c r="F198" s="6">
        <v>585.0</v>
      </c>
      <c r="G198" s="5" t="s">
        <v>142</v>
      </c>
      <c r="H198" s="5" t="s">
        <v>114</v>
      </c>
      <c r="I198" s="6" t="s">
        <v>40</v>
      </c>
      <c r="J198" s="5" t="s">
        <v>8585</v>
      </c>
      <c r="K198" s="5" t="s">
        <v>8586</v>
      </c>
      <c r="L198" s="6" t="s">
        <v>42</v>
      </c>
      <c r="M198" s="5" t="s">
        <v>612</v>
      </c>
      <c r="N198" s="5" t="s">
        <v>64</v>
      </c>
      <c r="O198" s="5" t="s">
        <v>16770</v>
      </c>
      <c r="P198" s="6">
        <v>10845.0</v>
      </c>
    </row>
    <row r="199" ht="56.25" customHeight="1">
      <c r="A199" s="5" t="s">
        <v>16752</v>
      </c>
      <c r="B199" s="6" t="str">
        <f>IMAGE("https://storage.googleapis.com/acdb/headwear/CapOrnamentLGaudy5.png")</f>
        <v/>
      </c>
      <c r="C199" s="5" t="s">
        <v>96</v>
      </c>
      <c r="D199" s="5" t="s">
        <v>36</v>
      </c>
      <c r="E199" s="6">
        <v>2340.0</v>
      </c>
      <c r="F199" s="6">
        <v>585.0</v>
      </c>
      <c r="G199" s="5" t="s">
        <v>96</v>
      </c>
      <c r="H199" s="5" t="s">
        <v>96</v>
      </c>
      <c r="I199" s="6" t="s">
        <v>40</v>
      </c>
      <c r="J199" s="5" t="s">
        <v>8585</v>
      </c>
      <c r="K199" s="5" t="s">
        <v>8586</v>
      </c>
      <c r="L199" s="6" t="s">
        <v>42</v>
      </c>
      <c r="M199" s="5" t="s">
        <v>612</v>
      </c>
      <c r="N199" s="5" t="s">
        <v>64</v>
      </c>
      <c r="O199" s="5" t="s">
        <v>16773</v>
      </c>
      <c r="P199" s="6">
        <v>10846.0</v>
      </c>
    </row>
    <row r="200" ht="56.25" customHeight="1">
      <c r="A200" s="5" t="s">
        <v>16752</v>
      </c>
      <c r="B200" s="6" t="str">
        <f>IMAGE("https://storage.googleapis.com/acdb/headwear/CapOrnamentLGaudy6.png")</f>
        <v/>
      </c>
      <c r="C200" s="5" t="s">
        <v>57</v>
      </c>
      <c r="D200" s="5" t="s">
        <v>36</v>
      </c>
      <c r="E200" s="6">
        <v>2340.0</v>
      </c>
      <c r="F200" s="6">
        <v>585.0</v>
      </c>
      <c r="G200" s="5" t="s">
        <v>57</v>
      </c>
      <c r="H200" s="5" t="s">
        <v>57</v>
      </c>
      <c r="I200" s="6" t="s">
        <v>40</v>
      </c>
      <c r="J200" s="5" t="s">
        <v>8585</v>
      </c>
      <c r="K200" s="5" t="s">
        <v>8586</v>
      </c>
      <c r="L200" s="6" t="s">
        <v>42</v>
      </c>
      <c r="M200" s="5" t="s">
        <v>612</v>
      </c>
      <c r="N200" s="5" t="s">
        <v>64</v>
      </c>
      <c r="O200" s="5" t="s">
        <v>16775</v>
      </c>
      <c r="P200" s="6">
        <v>10847.0</v>
      </c>
    </row>
    <row r="201" ht="56.25" customHeight="1">
      <c r="A201" s="5" t="s">
        <v>16752</v>
      </c>
      <c r="B201" s="6" t="str">
        <f>IMAGE("https://storage.googleapis.com/acdb/headwear/CapOrnamentLGaudy0.png")</f>
        <v/>
      </c>
      <c r="C201" s="5" t="s">
        <v>69</v>
      </c>
      <c r="D201" s="5" t="s">
        <v>36</v>
      </c>
      <c r="E201" s="6">
        <v>2340.0</v>
      </c>
      <c r="F201" s="6">
        <v>585.0</v>
      </c>
      <c r="G201" s="5" t="s">
        <v>69</v>
      </c>
      <c r="H201" s="5" t="s">
        <v>106</v>
      </c>
      <c r="I201" s="6" t="s">
        <v>40</v>
      </c>
      <c r="J201" s="5" t="s">
        <v>8585</v>
      </c>
      <c r="K201" s="5" t="s">
        <v>8586</v>
      </c>
      <c r="L201" s="6" t="s">
        <v>42</v>
      </c>
      <c r="M201" s="5" t="s">
        <v>612</v>
      </c>
      <c r="N201" s="5" t="s">
        <v>64</v>
      </c>
      <c r="O201" s="5" t="s">
        <v>16778</v>
      </c>
      <c r="P201" s="6">
        <v>8611.0</v>
      </c>
    </row>
    <row r="202" ht="56.25" customHeight="1">
      <c r="A202" s="5" t="s">
        <v>16779</v>
      </c>
      <c r="B202" s="6" t="str">
        <f>IMAGE("https://storage.googleapis.com/acdb/headwear/CapOrnamentLFlowerhairpin2.png")</f>
        <v/>
      </c>
      <c r="C202" s="5" t="s">
        <v>96</v>
      </c>
      <c r="D202" s="5" t="s">
        <v>36</v>
      </c>
      <c r="E202" s="6">
        <v>490.0</v>
      </c>
      <c r="F202" s="6">
        <v>122.0</v>
      </c>
      <c r="G202" s="5" t="s">
        <v>96</v>
      </c>
      <c r="H202" s="5" t="s">
        <v>96</v>
      </c>
      <c r="I202" s="6" t="s">
        <v>40</v>
      </c>
      <c r="J202" s="5" t="s">
        <v>8585</v>
      </c>
      <c r="K202" s="5" t="s">
        <v>8632</v>
      </c>
      <c r="L202" s="6" t="s">
        <v>42</v>
      </c>
      <c r="M202" s="5" t="s">
        <v>1959</v>
      </c>
      <c r="N202" s="5" t="s">
        <v>64</v>
      </c>
      <c r="O202" s="5" t="s">
        <v>16782</v>
      </c>
      <c r="P202" s="6">
        <v>11960.0</v>
      </c>
    </row>
    <row r="203" ht="56.25" customHeight="1">
      <c r="A203" s="5" t="s">
        <v>16779</v>
      </c>
      <c r="B203" s="6" t="str">
        <f>IMAGE("https://storage.googleapis.com/acdb/headwear/CapOrnamentLFlowerhairpin3.png")</f>
        <v/>
      </c>
      <c r="C203" s="5" t="s">
        <v>114</v>
      </c>
      <c r="D203" s="5" t="s">
        <v>36</v>
      </c>
      <c r="E203" s="6">
        <v>490.0</v>
      </c>
      <c r="F203" s="6">
        <v>122.0</v>
      </c>
      <c r="G203" s="5" t="s">
        <v>114</v>
      </c>
      <c r="H203" s="5" t="s">
        <v>142</v>
      </c>
      <c r="I203" s="6" t="s">
        <v>40</v>
      </c>
      <c r="J203" s="5" t="s">
        <v>8585</v>
      </c>
      <c r="K203" s="5" t="s">
        <v>8632</v>
      </c>
      <c r="L203" s="6" t="s">
        <v>42</v>
      </c>
      <c r="M203" s="5" t="s">
        <v>1959</v>
      </c>
      <c r="N203" s="5" t="s">
        <v>64</v>
      </c>
      <c r="O203" s="5" t="s">
        <v>16786</v>
      </c>
      <c r="P203" s="6">
        <v>11961.0</v>
      </c>
    </row>
    <row r="204" ht="56.25" customHeight="1">
      <c r="A204" s="5" t="s">
        <v>16779</v>
      </c>
      <c r="B204" s="6" t="str">
        <f>IMAGE("https://storage.googleapis.com/acdb/headwear/CapOrnamentLFlowerhairpin4.png")</f>
        <v/>
      </c>
      <c r="C204" s="5" t="s">
        <v>106</v>
      </c>
      <c r="D204" s="5" t="s">
        <v>36</v>
      </c>
      <c r="E204" s="6">
        <v>490.0</v>
      </c>
      <c r="F204" s="6">
        <v>122.0</v>
      </c>
      <c r="G204" s="5" t="s">
        <v>106</v>
      </c>
      <c r="H204" s="5" t="s">
        <v>106</v>
      </c>
      <c r="I204" s="6" t="s">
        <v>40</v>
      </c>
      <c r="J204" s="5" t="s">
        <v>8585</v>
      </c>
      <c r="K204" s="5" t="s">
        <v>8632</v>
      </c>
      <c r="L204" s="6" t="s">
        <v>42</v>
      </c>
      <c r="M204" s="5" t="s">
        <v>1959</v>
      </c>
      <c r="N204" s="5" t="s">
        <v>64</v>
      </c>
      <c r="O204" s="5" t="s">
        <v>16788</v>
      </c>
      <c r="P204" s="6">
        <v>11962.0</v>
      </c>
    </row>
    <row r="205" ht="56.25" customHeight="1">
      <c r="A205" s="5" t="s">
        <v>16779</v>
      </c>
      <c r="B205" s="6" t="str">
        <f>IMAGE("https://storage.googleapis.com/acdb/headwear/CapOrnamentLFlowerhairpin0.png")</f>
        <v/>
      </c>
      <c r="C205" s="5" t="s">
        <v>69</v>
      </c>
      <c r="D205" s="5" t="s">
        <v>36</v>
      </c>
      <c r="E205" s="6">
        <v>490.0</v>
      </c>
      <c r="F205" s="6">
        <v>122.0</v>
      </c>
      <c r="G205" s="5" t="s">
        <v>69</v>
      </c>
      <c r="H205" s="5" t="s">
        <v>69</v>
      </c>
      <c r="I205" s="6" t="s">
        <v>40</v>
      </c>
      <c r="J205" s="5" t="s">
        <v>8585</v>
      </c>
      <c r="K205" s="5" t="s">
        <v>8632</v>
      </c>
      <c r="L205" s="6" t="s">
        <v>42</v>
      </c>
      <c r="M205" s="5" t="s">
        <v>1959</v>
      </c>
      <c r="N205" s="5" t="s">
        <v>64</v>
      </c>
      <c r="O205" s="5" t="s">
        <v>16792</v>
      </c>
      <c r="P205" s="6">
        <v>9854.0</v>
      </c>
    </row>
    <row r="206" ht="56.25" customHeight="1">
      <c r="A206" s="5" t="s">
        <v>16779</v>
      </c>
      <c r="B206" s="6" t="str">
        <f>IMAGE("https://storage.googleapis.com/acdb/headwear/CapOrnamentLFlowerhairpin1.png")</f>
        <v/>
      </c>
      <c r="C206" s="5" t="s">
        <v>68</v>
      </c>
      <c r="D206" s="5" t="s">
        <v>36</v>
      </c>
      <c r="E206" s="6">
        <v>490.0</v>
      </c>
      <c r="F206" s="6">
        <v>122.0</v>
      </c>
      <c r="G206" s="5" t="s">
        <v>68</v>
      </c>
      <c r="H206" s="5" t="s">
        <v>68</v>
      </c>
      <c r="I206" s="6" t="s">
        <v>40</v>
      </c>
      <c r="J206" s="5" t="s">
        <v>8585</v>
      </c>
      <c r="K206" s="5" t="s">
        <v>8632</v>
      </c>
      <c r="L206" s="6" t="s">
        <v>42</v>
      </c>
      <c r="M206" s="5" t="s">
        <v>1959</v>
      </c>
      <c r="N206" s="5" t="s">
        <v>64</v>
      </c>
      <c r="O206" s="5" t="s">
        <v>16797</v>
      </c>
      <c r="P206" s="6">
        <v>11959.0</v>
      </c>
    </row>
    <row r="207" ht="56.25" customHeight="1">
      <c r="A207" s="5" t="s">
        <v>16798</v>
      </c>
      <c r="B207" s="6" t="str">
        <f>IMAGE("https://storage.googleapis.com/acdb/headwear/CapFullfaceFootball1.png")</f>
        <v/>
      </c>
      <c r="C207" s="5" t="s">
        <v>57</v>
      </c>
      <c r="D207" s="5" t="s">
        <v>36</v>
      </c>
      <c r="E207" s="6">
        <v>1440.0</v>
      </c>
      <c r="F207" s="6">
        <v>360.0</v>
      </c>
      <c r="G207" s="5" t="s">
        <v>57</v>
      </c>
      <c r="H207" s="5" t="s">
        <v>54</v>
      </c>
      <c r="I207" s="6" t="s">
        <v>40</v>
      </c>
      <c r="J207" s="5" t="s">
        <v>8585</v>
      </c>
      <c r="K207" s="5" t="s">
        <v>8586</v>
      </c>
      <c r="L207" s="6" t="s">
        <v>42</v>
      </c>
      <c r="M207" s="5" t="s">
        <v>8746</v>
      </c>
      <c r="N207" s="5" t="s">
        <v>64</v>
      </c>
      <c r="O207" s="5" t="s">
        <v>16801</v>
      </c>
      <c r="P207" s="6">
        <v>11604.0</v>
      </c>
    </row>
    <row r="208" ht="56.25" customHeight="1">
      <c r="A208" s="5" t="s">
        <v>16798</v>
      </c>
      <c r="B208" s="6" t="str">
        <f>IMAGE("https://storage.googleapis.com/acdb/headwear/CapFullfaceFootball2.png")</f>
        <v/>
      </c>
      <c r="C208" s="5" t="s">
        <v>114</v>
      </c>
      <c r="D208" s="5" t="s">
        <v>36</v>
      </c>
      <c r="E208" s="6">
        <v>1440.0</v>
      </c>
      <c r="F208" s="6">
        <v>360.0</v>
      </c>
      <c r="G208" s="5" t="s">
        <v>114</v>
      </c>
      <c r="H208" s="5" t="s">
        <v>54</v>
      </c>
      <c r="I208" s="6" t="s">
        <v>40</v>
      </c>
      <c r="J208" s="5" t="s">
        <v>8585</v>
      </c>
      <c r="K208" s="5" t="s">
        <v>8586</v>
      </c>
      <c r="L208" s="6" t="s">
        <v>42</v>
      </c>
      <c r="M208" s="5" t="s">
        <v>8746</v>
      </c>
      <c r="N208" s="5" t="s">
        <v>64</v>
      </c>
      <c r="O208" s="5" t="s">
        <v>16804</v>
      </c>
      <c r="P208" s="6">
        <v>11605.0</v>
      </c>
    </row>
    <row r="209" ht="56.25" customHeight="1">
      <c r="A209" s="5" t="s">
        <v>16798</v>
      </c>
      <c r="B209" s="6" t="str">
        <f>IMAGE("https://storage.googleapis.com/acdb/headwear/CapFullfaceFootball3.png")</f>
        <v/>
      </c>
      <c r="C209" s="5" t="s">
        <v>4883</v>
      </c>
      <c r="D209" s="5" t="s">
        <v>36</v>
      </c>
      <c r="E209" s="6">
        <v>1440.0</v>
      </c>
      <c r="F209" s="6">
        <v>360.0</v>
      </c>
      <c r="G209" s="5" t="s">
        <v>52</v>
      </c>
      <c r="H209" s="5" t="s">
        <v>57</v>
      </c>
      <c r="I209" s="6" t="s">
        <v>40</v>
      </c>
      <c r="J209" s="5" t="s">
        <v>8585</v>
      </c>
      <c r="K209" s="5" t="s">
        <v>8586</v>
      </c>
      <c r="L209" s="6" t="s">
        <v>42</v>
      </c>
      <c r="M209" s="5" t="s">
        <v>8746</v>
      </c>
      <c r="N209" s="5" t="s">
        <v>64</v>
      </c>
      <c r="O209" s="5" t="s">
        <v>16807</v>
      </c>
      <c r="P209" s="6">
        <v>11606.0</v>
      </c>
    </row>
    <row r="210" ht="56.25" customHeight="1">
      <c r="A210" s="5" t="s">
        <v>16798</v>
      </c>
      <c r="B210" s="6" t="str">
        <f>IMAGE("https://storage.googleapis.com/acdb/headwear/CapFullfaceFootball4.png")</f>
        <v/>
      </c>
      <c r="C210" s="5" t="s">
        <v>68</v>
      </c>
      <c r="D210" s="5" t="s">
        <v>36</v>
      </c>
      <c r="E210" s="6">
        <v>1440.0</v>
      </c>
      <c r="F210" s="6">
        <v>360.0</v>
      </c>
      <c r="G210" s="5" t="s">
        <v>68</v>
      </c>
      <c r="H210" s="5" t="s">
        <v>57</v>
      </c>
      <c r="I210" s="6" t="s">
        <v>40</v>
      </c>
      <c r="J210" s="5" t="s">
        <v>8585</v>
      </c>
      <c r="K210" s="5" t="s">
        <v>8586</v>
      </c>
      <c r="L210" s="6" t="s">
        <v>42</v>
      </c>
      <c r="M210" s="5" t="s">
        <v>8746</v>
      </c>
      <c r="N210" s="5" t="s">
        <v>64</v>
      </c>
      <c r="O210" s="5" t="s">
        <v>16810</v>
      </c>
      <c r="P210" s="6">
        <v>11607.0</v>
      </c>
    </row>
    <row r="211" ht="56.25" customHeight="1">
      <c r="A211" s="5" t="s">
        <v>16798</v>
      </c>
      <c r="B211" s="6" t="str">
        <f>IMAGE("https://storage.googleapis.com/acdb/headwear/CapFullfaceFootball5.png")</f>
        <v/>
      </c>
      <c r="C211" s="5" t="s">
        <v>1174</v>
      </c>
      <c r="D211" s="5" t="s">
        <v>36</v>
      </c>
      <c r="E211" s="6">
        <v>1440.0</v>
      </c>
      <c r="F211" s="6">
        <v>360.0</v>
      </c>
      <c r="G211" s="5" t="s">
        <v>96</v>
      </c>
      <c r="H211" s="5" t="s">
        <v>54</v>
      </c>
      <c r="I211" s="6" t="s">
        <v>40</v>
      </c>
      <c r="J211" s="5" t="s">
        <v>8585</v>
      </c>
      <c r="K211" s="5" t="s">
        <v>8586</v>
      </c>
      <c r="L211" s="6" t="s">
        <v>42</v>
      </c>
      <c r="M211" s="5" t="s">
        <v>8746</v>
      </c>
      <c r="N211" s="5" t="s">
        <v>64</v>
      </c>
      <c r="O211" s="5" t="s">
        <v>16816</v>
      </c>
      <c r="P211" s="6">
        <v>11608.0</v>
      </c>
    </row>
    <row r="212" ht="56.25" customHeight="1">
      <c r="A212" s="5" t="s">
        <v>16798</v>
      </c>
      <c r="B212" s="6" t="str">
        <f>IMAGE("https://storage.googleapis.com/acdb/headwear/CapFullfaceFootball6.png")</f>
        <v/>
      </c>
      <c r="C212" s="5" t="s">
        <v>52</v>
      </c>
      <c r="D212" s="5" t="s">
        <v>36</v>
      </c>
      <c r="E212" s="6">
        <v>1440.0</v>
      </c>
      <c r="F212" s="6">
        <v>360.0</v>
      </c>
      <c r="G212" s="5" t="s">
        <v>142</v>
      </c>
      <c r="H212" s="5" t="s">
        <v>54</v>
      </c>
      <c r="I212" s="6" t="s">
        <v>40</v>
      </c>
      <c r="J212" s="5" t="s">
        <v>8585</v>
      </c>
      <c r="K212" s="5" t="s">
        <v>8586</v>
      </c>
      <c r="L212" s="6" t="s">
        <v>42</v>
      </c>
      <c r="M212" s="5" t="s">
        <v>8746</v>
      </c>
      <c r="N212" s="5" t="s">
        <v>64</v>
      </c>
      <c r="O212" s="5" t="s">
        <v>16820</v>
      </c>
      <c r="P212" s="6">
        <v>11609.0</v>
      </c>
    </row>
    <row r="213" ht="56.25" customHeight="1">
      <c r="A213" s="5" t="s">
        <v>16798</v>
      </c>
      <c r="B213" s="6" t="str">
        <f>IMAGE("https://storage.googleapis.com/acdb/headwear/CapFullfaceFootball0.png")</f>
        <v/>
      </c>
      <c r="C213" s="5" t="s">
        <v>96</v>
      </c>
      <c r="D213" s="5" t="s">
        <v>36</v>
      </c>
      <c r="E213" s="6">
        <v>1440.0</v>
      </c>
      <c r="F213" s="6">
        <v>360.0</v>
      </c>
      <c r="G213" s="5" t="s">
        <v>96</v>
      </c>
      <c r="H213" s="5" t="s">
        <v>57</v>
      </c>
      <c r="I213" s="6" t="s">
        <v>40</v>
      </c>
      <c r="J213" s="5" t="s">
        <v>8585</v>
      </c>
      <c r="K213" s="5" t="s">
        <v>8586</v>
      </c>
      <c r="L213" s="6" t="s">
        <v>42</v>
      </c>
      <c r="M213" s="5" t="s">
        <v>8746</v>
      </c>
      <c r="N213" s="5" t="s">
        <v>64</v>
      </c>
      <c r="O213" s="5" t="s">
        <v>16823</v>
      </c>
      <c r="P213" s="6">
        <v>5373.0</v>
      </c>
    </row>
    <row r="214" ht="56.25" customHeight="1">
      <c r="A214" s="5" t="s">
        <v>16798</v>
      </c>
      <c r="B214" s="6" t="str">
        <f>IMAGE("https://storage.googleapis.com/acdb/headwear/CapFullfaceFootball7.png")</f>
        <v/>
      </c>
      <c r="C214" s="5" t="s">
        <v>54</v>
      </c>
      <c r="D214" s="5" t="s">
        <v>36</v>
      </c>
      <c r="E214" s="6">
        <v>1440.0</v>
      </c>
      <c r="F214" s="6">
        <v>360.0</v>
      </c>
      <c r="G214" s="5" t="s">
        <v>54</v>
      </c>
      <c r="H214" s="5" t="s">
        <v>57</v>
      </c>
      <c r="I214" s="6" t="s">
        <v>40</v>
      </c>
      <c r="J214" s="5" t="s">
        <v>8585</v>
      </c>
      <c r="K214" s="5" t="s">
        <v>8586</v>
      </c>
      <c r="L214" s="6" t="s">
        <v>42</v>
      </c>
      <c r="M214" s="5" t="s">
        <v>8746</v>
      </c>
      <c r="N214" s="5" t="s">
        <v>64</v>
      </c>
      <c r="O214" s="5" t="s">
        <v>16828</v>
      </c>
      <c r="P214" s="6">
        <v>11610.0</v>
      </c>
    </row>
    <row r="215" ht="56.25" customHeight="1">
      <c r="A215" s="5" t="s">
        <v>16830</v>
      </c>
      <c r="B215" s="6" t="str">
        <f>IMAGE("https://storage.googleapis.com/acdb/headwear/CapMaskFox0.png")</f>
        <v/>
      </c>
      <c r="C215" s="5" t="s">
        <v>57</v>
      </c>
      <c r="D215" s="5" t="s">
        <v>36</v>
      </c>
      <c r="E215" s="6">
        <v>1400.0</v>
      </c>
      <c r="F215" s="6">
        <v>350.0</v>
      </c>
      <c r="G215" s="5" t="s">
        <v>57</v>
      </c>
      <c r="H215" s="5" t="s">
        <v>52</v>
      </c>
      <c r="I215" s="6" t="s">
        <v>40</v>
      </c>
      <c r="J215" s="5" t="s">
        <v>8585</v>
      </c>
      <c r="K215" s="5" t="s">
        <v>8586</v>
      </c>
      <c r="L215" s="6" t="s">
        <v>42</v>
      </c>
      <c r="M215" s="5" t="s">
        <v>1952</v>
      </c>
      <c r="N215" s="5" t="s">
        <v>64</v>
      </c>
      <c r="O215" s="5" t="s">
        <v>16833</v>
      </c>
      <c r="P215" s="6">
        <v>6034.0</v>
      </c>
    </row>
    <row r="216" ht="56.25" customHeight="1">
      <c r="A216" s="5" t="s">
        <v>16830</v>
      </c>
      <c r="B216" s="6" t="str">
        <f>IMAGE("https://storage.googleapis.com/acdb/headwear/CapMaskFox1.png")</f>
        <v/>
      </c>
      <c r="C216" s="5" t="s">
        <v>54</v>
      </c>
      <c r="D216" s="5" t="s">
        <v>36</v>
      </c>
      <c r="E216" s="6">
        <v>1400.0</v>
      </c>
      <c r="F216" s="6">
        <v>350.0</v>
      </c>
      <c r="G216" s="5" t="s">
        <v>54</v>
      </c>
      <c r="H216" s="5" t="s">
        <v>52</v>
      </c>
      <c r="I216" s="6" t="s">
        <v>40</v>
      </c>
      <c r="J216" s="5" t="s">
        <v>8585</v>
      </c>
      <c r="K216" s="5" t="s">
        <v>8586</v>
      </c>
      <c r="L216" s="6" t="s">
        <v>42</v>
      </c>
      <c r="M216" s="5" t="s">
        <v>1952</v>
      </c>
      <c r="N216" s="5" t="s">
        <v>64</v>
      </c>
      <c r="O216" s="5" t="s">
        <v>16837</v>
      </c>
      <c r="P216" s="6">
        <v>11171.0</v>
      </c>
    </row>
    <row r="217" ht="56.25" customHeight="1">
      <c r="A217" s="5" t="s">
        <v>16838</v>
      </c>
      <c r="B217" s="6" t="str">
        <f>IMAGE("https://storage.googleapis.com/acdb/headwear/CapCostumeFrog0.png")</f>
        <v/>
      </c>
      <c r="C217" s="5" t="s">
        <v>96</v>
      </c>
      <c r="D217" s="5" t="s">
        <v>36</v>
      </c>
      <c r="E217" s="6">
        <v>1120.0</v>
      </c>
      <c r="F217" s="6">
        <v>280.0</v>
      </c>
      <c r="G217" s="5" t="s">
        <v>96</v>
      </c>
      <c r="H217" s="5" t="s">
        <v>96</v>
      </c>
      <c r="I217" s="6" t="s">
        <v>40</v>
      </c>
      <c r="J217" s="5" t="s">
        <v>8585</v>
      </c>
      <c r="K217" s="5" t="s">
        <v>8586</v>
      </c>
      <c r="L217" s="6" t="s">
        <v>42</v>
      </c>
      <c r="M217" s="5" t="s">
        <v>1959</v>
      </c>
      <c r="N217" s="5" t="s">
        <v>64</v>
      </c>
      <c r="O217" s="5" t="s">
        <v>16842</v>
      </c>
      <c r="P217" s="6">
        <v>5335.0</v>
      </c>
    </row>
    <row r="218" ht="56.25" customHeight="1">
      <c r="A218" s="5" t="s">
        <v>16838</v>
      </c>
      <c r="B218" s="6" t="str">
        <f>IMAGE("https://storage.googleapis.com/acdb/headwear/CapCostumeFrog1.png")</f>
        <v/>
      </c>
      <c r="C218" s="5" t="s">
        <v>68</v>
      </c>
      <c r="D218" s="5" t="s">
        <v>36</v>
      </c>
      <c r="E218" s="6">
        <v>1120.0</v>
      </c>
      <c r="F218" s="6">
        <v>280.0</v>
      </c>
      <c r="G218" s="5" t="s">
        <v>83</v>
      </c>
      <c r="H218" s="5" t="s">
        <v>83</v>
      </c>
      <c r="I218" s="6" t="s">
        <v>40</v>
      </c>
      <c r="J218" s="5" t="s">
        <v>8585</v>
      </c>
      <c r="K218" s="5" t="s">
        <v>8586</v>
      </c>
      <c r="L218" s="6" t="s">
        <v>42</v>
      </c>
      <c r="M218" s="5" t="s">
        <v>1959</v>
      </c>
      <c r="N218" s="5" t="s">
        <v>64</v>
      </c>
      <c r="O218" s="5" t="s">
        <v>16845</v>
      </c>
      <c r="P218" s="6">
        <v>11697.0</v>
      </c>
    </row>
    <row r="219" ht="56.25" customHeight="1">
      <c r="A219" s="5" t="s">
        <v>16838</v>
      </c>
      <c r="B219" s="6" t="str">
        <f>IMAGE("https://storage.googleapis.com/acdb/headwear/CapCostumeFrog2.png")</f>
        <v/>
      </c>
      <c r="C219" s="5" t="s">
        <v>52</v>
      </c>
      <c r="D219" s="5" t="s">
        <v>36</v>
      </c>
      <c r="E219" s="6">
        <v>1120.0</v>
      </c>
      <c r="F219" s="6">
        <v>280.0</v>
      </c>
      <c r="G219" s="5" t="s">
        <v>52</v>
      </c>
      <c r="H219" s="5" t="s">
        <v>52</v>
      </c>
      <c r="I219" s="6" t="s">
        <v>40</v>
      </c>
      <c r="J219" s="5" t="s">
        <v>8585</v>
      </c>
      <c r="K219" s="5" t="s">
        <v>8586</v>
      </c>
      <c r="L219" s="6" t="s">
        <v>42</v>
      </c>
      <c r="M219" s="5" t="s">
        <v>1959</v>
      </c>
      <c r="N219" s="5" t="s">
        <v>64</v>
      </c>
      <c r="O219" s="5" t="s">
        <v>16849</v>
      </c>
      <c r="P219" s="6">
        <v>11698.0</v>
      </c>
    </row>
    <row r="220" ht="56.25" customHeight="1">
      <c r="A220" s="5" t="s">
        <v>16838</v>
      </c>
      <c r="B220" s="6" t="str">
        <f>IMAGE("https://storage.googleapis.com/acdb/headwear/CapCostumeFrog3.png")</f>
        <v/>
      </c>
      <c r="C220" s="5" t="s">
        <v>114</v>
      </c>
      <c r="D220" s="5" t="s">
        <v>36</v>
      </c>
      <c r="E220" s="6">
        <v>1120.0</v>
      </c>
      <c r="F220" s="6">
        <v>280.0</v>
      </c>
      <c r="G220" s="5" t="s">
        <v>114</v>
      </c>
      <c r="H220" s="5" t="s">
        <v>114</v>
      </c>
      <c r="I220" s="6" t="s">
        <v>40</v>
      </c>
      <c r="J220" s="5" t="s">
        <v>8585</v>
      </c>
      <c r="K220" s="5" t="s">
        <v>8586</v>
      </c>
      <c r="L220" s="6" t="s">
        <v>42</v>
      </c>
      <c r="M220" s="5" t="s">
        <v>1959</v>
      </c>
      <c r="N220" s="5" t="s">
        <v>64</v>
      </c>
      <c r="O220" s="5" t="s">
        <v>16854</v>
      </c>
      <c r="P220" s="6">
        <v>11699.0</v>
      </c>
    </row>
    <row r="221" ht="56.25" customHeight="1">
      <c r="A221" s="5" t="s">
        <v>16856</v>
      </c>
      <c r="B221" s="6" t="str">
        <f>IMAGE("https://storage.googleapis.com/acdb/headwear/CapHatSimple0.png")</f>
        <v/>
      </c>
      <c r="C221" s="5" t="s">
        <v>39</v>
      </c>
      <c r="D221" s="5" t="s">
        <v>36</v>
      </c>
      <c r="E221" s="6">
        <v>350.0</v>
      </c>
      <c r="F221" s="6">
        <v>87.0</v>
      </c>
      <c r="G221" s="5" t="s">
        <v>39</v>
      </c>
      <c r="H221" s="5" t="s">
        <v>39</v>
      </c>
      <c r="I221" s="6" t="s">
        <v>40</v>
      </c>
      <c r="J221" s="5" t="s">
        <v>8585</v>
      </c>
      <c r="K221" s="5" t="s">
        <v>8632</v>
      </c>
      <c r="L221" s="6" t="s">
        <v>42</v>
      </c>
      <c r="M221" s="5" t="s">
        <v>995</v>
      </c>
      <c r="N221" s="5" t="s">
        <v>64</v>
      </c>
      <c r="O221" s="5" t="s">
        <v>16860</v>
      </c>
      <c r="P221" s="6">
        <v>5299.0</v>
      </c>
    </row>
    <row r="222" ht="56.25" customHeight="1">
      <c r="A222" s="5" t="s">
        <v>16856</v>
      </c>
      <c r="B222" s="6" t="str">
        <f>IMAGE("https://storage.googleapis.com/acdb/headwear/CapHatSimple1.png")</f>
        <v/>
      </c>
      <c r="C222" s="5" t="s">
        <v>96</v>
      </c>
      <c r="D222" s="5" t="s">
        <v>36</v>
      </c>
      <c r="E222" s="6">
        <v>350.0</v>
      </c>
      <c r="F222" s="6">
        <v>87.0</v>
      </c>
      <c r="G222" s="5" t="s">
        <v>96</v>
      </c>
      <c r="H222" s="5" t="s">
        <v>96</v>
      </c>
      <c r="I222" s="6" t="s">
        <v>40</v>
      </c>
      <c r="J222" s="5" t="s">
        <v>8585</v>
      </c>
      <c r="K222" s="5" t="s">
        <v>8632</v>
      </c>
      <c r="L222" s="6" t="s">
        <v>42</v>
      </c>
      <c r="M222" s="5" t="s">
        <v>995</v>
      </c>
      <c r="N222" s="5" t="s">
        <v>64</v>
      </c>
      <c r="O222" s="5" t="s">
        <v>16865</v>
      </c>
      <c r="P222" s="6">
        <v>11846.0</v>
      </c>
    </row>
    <row r="223" ht="56.25" customHeight="1">
      <c r="A223" s="5" t="s">
        <v>16856</v>
      </c>
      <c r="B223" s="6" t="str">
        <f>IMAGE("https://storage.googleapis.com/acdb/headwear/CapHatSimple2.png")</f>
        <v/>
      </c>
      <c r="C223" s="5" t="s">
        <v>6208</v>
      </c>
      <c r="D223" s="5" t="s">
        <v>36</v>
      </c>
      <c r="E223" s="6">
        <v>350.0</v>
      </c>
      <c r="F223" s="6">
        <v>87.0</v>
      </c>
      <c r="G223" s="5" t="s">
        <v>68</v>
      </c>
      <c r="H223" s="5" t="s">
        <v>68</v>
      </c>
      <c r="I223" s="6" t="s">
        <v>40</v>
      </c>
      <c r="J223" s="5" t="s">
        <v>8585</v>
      </c>
      <c r="K223" s="5" t="s">
        <v>8632</v>
      </c>
      <c r="L223" s="6" t="s">
        <v>42</v>
      </c>
      <c r="M223" s="5" t="s">
        <v>995</v>
      </c>
      <c r="N223" s="5" t="s">
        <v>64</v>
      </c>
      <c r="O223" s="5" t="s">
        <v>16868</v>
      </c>
      <c r="P223" s="6">
        <v>11847.0</v>
      </c>
    </row>
    <row r="224" ht="56.25" customHeight="1">
      <c r="A224" s="5" t="s">
        <v>16869</v>
      </c>
      <c r="B224" s="6" t="str">
        <f>IMAGE("https://storage.googleapis.com/acdb/headwear/CapWigGeisya1.png")</f>
        <v/>
      </c>
      <c r="C224" s="5" t="s">
        <v>69</v>
      </c>
      <c r="D224" s="5" t="s">
        <v>36</v>
      </c>
      <c r="E224" s="6" t="s">
        <v>37</v>
      </c>
      <c r="F224" s="6">
        <v>1350.0</v>
      </c>
      <c r="G224" s="5" t="s">
        <v>69</v>
      </c>
      <c r="H224" s="5" t="s">
        <v>58</v>
      </c>
      <c r="I224" s="6" t="s">
        <v>40</v>
      </c>
      <c r="J224" s="5" t="s">
        <v>1284</v>
      </c>
      <c r="K224" s="5"/>
      <c r="L224" s="6" t="s">
        <v>42</v>
      </c>
      <c r="M224" s="5" t="s">
        <v>1959</v>
      </c>
      <c r="N224" s="5" t="s">
        <v>48</v>
      </c>
      <c r="O224" s="5" t="s">
        <v>16874</v>
      </c>
      <c r="P224" s="6">
        <v>9741.0</v>
      </c>
    </row>
    <row r="225" ht="56.25" customHeight="1">
      <c r="A225" s="5" t="s">
        <v>16869</v>
      </c>
      <c r="B225" s="6" t="str">
        <f>IMAGE("https://storage.googleapis.com/acdb/headwear/CapWigGeisya2.png")</f>
        <v/>
      </c>
      <c r="C225" s="5" t="s">
        <v>3173</v>
      </c>
      <c r="D225" s="5" t="s">
        <v>36</v>
      </c>
      <c r="E225" s="6" t="s">
        <v>37</v>
      </c>
      <c r="F225" s="6">
        <v>1350.0</v>
      </c>
      <c r="G225" s="5" t="s">
        <v>142</v>
      </c>
      <c r="H225" s="5" t="s">
        <v>58</v>
      </c>
      <c r="I225" s="6" t="s">
        <v>40</v>
      </c>
      <c r="J225" s="5" t="s">
        <v>1284</v>
      </c>
      <c r="K225" s="5"/>
      <c r="L225" s="6" t="s">
        <v>42</v>
      </c>
      <c r="M225" s="5" t="s">
        <v>1959</v>
      </c>
      <c r="N225" s="5" t="s">
        <v>48</v>
      </c>
      <c r="O225" s="5" t="s">
        <v>16878</v>
      </c>
      <c r="P225" s="6">
        <v>9742.0</v>
      </c>
    </row>
    <row r="226" ht="56.25" customHeight="1">
      <c r="A226" s="5" t="s">
        <v>16869</v>
      </c>
      <c r="B226" s="6" t="str">
        <f>IMAGE("https://storage.googleapis.com/acdb/headwear/CapWigGeisya3.png")</f>
        <v/>
      </c>
      <c r="C226" s="5" t="s">
        <v>96</v>
      </c>
      <c r="D226" s="5" t="s">
        <v>36</v>
      </c>
      <c r="E226" s="6" t="s">
        <v>37</v>
      </c>
      <c r="F226" s="6">
        <v>1350.0</v>
      </c>
      <c r="G226" s="5" t="s">
        <v>96</v>
      </c>
      <c r="H226" s="5" t="s">
        <v>58</v>
      </c>
      <c r="I226" s="6" t="s">
        <v>40</v>
      </c>
      <c r="J226" s="5" t="s">
        <v>1284</v>
      </c>
      <c r="K226" s="5"/>
      <c r="L226" s="6" t="s">
        <v>42</v>
      </c>
      <c r="M226" s="5" t="s">
        <v>1959</v>
      </c>
      <c r="N226" s="5" t="s">
        <v>48</v>
      </c>
      <c r="O226" s="5" t="s">
        <v>16883</v>
      </c>
      <c r="P226" s="6">
        <v>9743.0</v>
      </c>
    </row>
    <row r="227" ht="56.25" customHeight="1">
      <c r="A227" s="5" t="s">
        <v>16869</v>
      </c>
      <c r="B227" s="6" t="str">
        <f>IMAGE("https://storage.googleapis.com/acdb/headwear/CapWigGeisya4.png")</f>
        <v/>
      </c>
      <c r="C227" s="5" t="s">
        <v>68</v>
      </c>
      <c r="D227" s="5" t="s">
        <v>36</v>
      </c>
      <c r="E227" s="6" t="s">
        <v>37</v>
      </c>
      <c r="F227" s="6">
        <v>1350.0</v>
      </c>
      <c r="G227" s="5" t="s">
        <v>68</v>
      </c>
      <c r="H227" s="5" t="s">
        <v>58</v>
      </c>
      <c r="I227" s="6" t="s">
        <v>40</v>
      </c>
      <c r="J227" s="5" t="s">
        <v>1284</v>
      </c>
      <c r="K227" s="5"/>
      <c r="L227" s="6" t="s">
        <v>42</v>
      </c>
      <c r="M227" s="5" t="s">
        <v>1959</v>
      </c>
      <c r="N227" s="5" t="s">
        <v>48</v>
      </c>
      <c r="O227" s="5" t="s">
        <v>16889</v>
      </c>
      <c r="P227" s="6">
        <v>9744.0</v>
      </c>
    </row>
    <row r="228" ht="56.25" customHeight="1">
      <c r="A228" s="5" t="s">
        <v>16869</v>
      </c>
      <c r="B228" s="6" t="str">
        <f>IMAGE("https://storage.googleapis.com/acdb/headwear/CapWigGeisya5.png")</f>
        <v/>
      </c>
      <c r="C228" s="5" t="s">
        <v>106</v>
      </c>
      <c r="D228" s="5" t="s">
        <v>36</v>
      </c>
      <c r="E228" s="6" t="s">
        <v>37</v>
      </c>
      <c r="F228" s="6">
        <v>1350.0</v>
      </c>
      <c r="G228" s="5" t="s">
        <v>106</v>
      </c>
      <c r="H228" s="5" t="s">
        <v>58</v>
      </c>
      <c r="I228" s="6" t="s">
        <v>40</v>
      </c>
      <c r="J228" s="5" t="s">
        <v>1284</v>
      </c>
      <c r="K228" s="5"/>
      <c r="L228" s="6" t="s">
        <v>42</v>
      </c>
      <c r="M228" s="5" t="s">
        <v>1959</v>
      </c>
      <c r="N228" s="5" t="s">
        <v>48</v>
      </c>
      <c r="O228" s="5" t="s">
        <v>16895</v>
      </c>
      <c r="P228" s="6">
        <v>9745.0</v>
      </c>
    </row>
    <row r="229" ht="56.25" customHeight="1">
      <c r="A229" s="5" t="s">
        <v>16869</v>
      </c>
      <c r="B229" s="6" t="str">
        <f>IMAGE("https://storage.googleapis.com/acdb/headwear/CapWigGeisya6.png")</f>
        <v/>
      </c>
      <c r="C229" s="5" t="s">
        <v>54</v>
      </c>
      <c r="D229" s="5" t="s">
        <v>36</v>
      </c>
      <c r="E229" s="6" t="s">
        <v>37</v>
      </c>
      <c r="F229" s="6">
        <v>1350.0</v>
      </c>
      <c r="G229" s="5" t="s">
        <v>54</v>
      </c>
      <c r="H229" s="5" t="s">
        <v>58</v>
      </c>
      <c r="I229" s="6" t="s">
        <v>40</v>
      </c>
      <c r="J229" s="5" t="s">
        <v>1284</v>
      </c>
      <c r="K229" s="5"/>
      <c r="L229" s="6" t="s">
        <v>42</v>
      </c>
      <c r="M229" s="5" t="s">
        <v>1959</v>
      </c>
      <c r="N229" s="5" t="s">
        <v>48</v>
      </c>
      <c r="O229" s="5" t="s">
        <v>16898</v>
      </c>
      <c r="P229" s="6">
        <v>9746.0</v>
      </c>
    </row>
    <row r="230" ht="56.25" customHeight="1">
      <c r="A230" s="5" t="s">
        <v>16869</v>
      </c>
      <c r="B230" s="6" t="str">
        <f>IMAGE("https://storage.googleapis.com/acdb/headwear/CapWigGeisya0.png")</f>
        <v/>
      </c>
      <c r="C230" s="5" t="s">
        <v>52</v>
      </c>
      <c r="D230" s="5" t="s">
        <v>36</v>
      </c>
      <c r="E230" s="6" t="s">
        <v>37</v>
      </c>
      <c r="F230" s="6">
        <v>1350.0</v>
      </c>
      <c r="G230" s="5" t="s">
        <v>52</v>
      </c>
      <c r="H230" s="5" t="s">
        <v>58</v>
      </c>
      <c r="I230" s="6" t="s">
        <v>40</v>
      </c>
      <c r="J230" s="5" t="s">
        <v>1284</v>
      </c>
      <c r="K230" s="5"/>
      <c r="L230" s="6" t="s">
        <v>42</v>
      </c>
      <c r="M230" s="5" t="s">
        <v>1959</v>
      </c>
      <c r="N230" s="5" t="s">
        <v>48</v>
      </c>
      <c r="O230" s="5" t="s">
        <v>16902</v>
      </c>
      <c r="P230" s="6">
        <v>5695.0</v>
      </c>
    </row>
    <row r="231" ht="56.25" customHeight="1">
      <c r="A231" s="5" t="s">
        <v>16903</v>
      </c>
      <c r="B231" s="6" t="str">
        <f>IMAGE("https://storage.googleapis.com/acdb/headwear/CapOrnamentTRibbon1.png")</f>
        <v/>
      </c>
      <c r="C231" s="5" t="s">
        <v>96</v>
      </c>
      <c r="D231" s="5" t="s">
        <v>36</v>
      </c>
      <c r="E231" s="6">
        <v>1470.0</v>
      </c>
      <c r="F231" s="6">
        <v>367.0</v>
      </c>
      <c r="G231" s="5" t="s">
        <v>96</v>
      </c>
      <c r="H231" s="5" t="s">
        <v>96</v>
      </c>
      <c r="I231" s="6" t="s">
        <v>40</v>
      </c>
      <c r="J231" s="5" t="s">
        <v>8585</v>
      </c>
      <c r="K231" s="5" t="s">
        <v>8586</v>
      </c>
      <c r="L231" s="6" t="s">
        <v>42</v>
      </c>
      <c r="M231" s="5" t="s">
        <v>1959</v>
      </c>
      <c r="N231" s="5" t="s">
        <v>64</v>
      </c>
      <c r="O231" s="5" t="s">
        <v>16908</v>
      </c>
      <c r="P231" s="6">
        <v>12052.0</v>
      </c>
    </row>
    <row r="232" ht="56.25" customHeight="1">
      <c r="A232" s="5" t="s">
        <v>16903</v>
      </c>
      <c r="B232" s="6" t="str">
        <f>IMAGE("https://storage.googleapis.com/acdb/headwear/CapOrnamentTRibbon2.png")</f>
        <v/>
      </c>
      <c r="C232" s="5" t="s">
        <v>68</v>
      </c>
      <c r="D232" s="5" t="s">
        <v>36</v>
      </c>
      <c r="E232" s="6">
        <v>1470.0</v>
      </c>
      <c r="F232" s="6">
        <v>367.0</v>
      </c>
      <c r="G232" s="5" t="s">
        <v>68</v>
      </c>
      <c r="H232" s="5" t="s">
        <v>68</v>
      </c>
      <c r="I232" s="6" t="s">
        <v>40</v>
      </c>
      <c r="J232" s="5" t="s">
        <v>8585</v>
      </c>
      <c r="K232" s="5" t="s">
        <v>8586</v>
      </c>
      <c r="L232" s="6" t="s">
        <v>42</v>
      </c>
      <c r="M232" s="5" t="s">
        <v>1959</v>
      </c>
      <c r="N232" s="5" t="s">
        <v>64</v>
      </c>
      <c r="O232" s="5" t="s">
        <v>16911</v>
      </c>
      <c r="P232" s="6">
        <v>12053.0</v>
      </c>
    </row>
    <row r="233" ht="56.25" customHeight="1">
      <c r="A233" s="5" t="s">
        <v>16903</v>
      </c>
      <c r="B233" s="6" t="str">
        <f>IMAGE("https://storage.googleapis.com/acdb/headwear/CapOrnamentTRibbon3.png")</f>
        <v/>
      </c>
      <c r="C233" s="5" t="s">
        <v>114</v>
      </c>
      <c r="D233" s="5" t="s">
        <v>36</v>
      </c>
      <c r="E233" s="6">
        <v>1470.0</v>
      </c>
      <c r="F233" s="6">
        <v>367.0</v>
      </c>
      <c r="G233" s="5" t="s">
        <v>114</v>
      </c>
      <c r="H233" s="5" t="s">
        <v>114</v>
      </c>
      <c r="I233" s="6" t="s">
        <v>40</v>
      </c>
      <c r="J233" s="5" t="s">
        <v>8585</v>
      </c>
      <c r="K233" s="5" t="s">
        <v>8586</v>
      </c>
      <c r="L233" s="6" t="s">
        <v>42</v>
      </c>
      <c r="M233" s="5" t="s">
        <v>1959</v>
      </c>
      <c r="N233" s="5" t="s">
        <v>64</v>
      </c>
      <c r="O233" s="5" t="s">
        <v>16917</v>
      </c>
      <c r="P233" s="6">
        <v>12054.0</v>
      </c>
    </row>
    <row r="234" ht="56.25" customHeight="1">
      <c r="A234" s="5" t="s">
        <v>16903</v>
      </c>
      <c r="B234" s="6" t="str">
        <f>IMAGE("https://storage.googleapis.com/acdb/headwear/CapOrnamentTRibbon4.png")</f>
        <v/>
      </c>
      <c r="C234" s="5" t="s">
        <v>142</v>
      </c>
      <c r="D234" s="5" t="s">
        <v>36</v>
      </c>
      <c r="E234" s="6">
        <v>1470.0</v>
      </c>
      <c r="F234" s="6">
        <v>367.0</v>
      </c>
      <c r="G234" s="5" t="s">
        <v>142</v>
      </c>
      <c r="H234" s="5" t="s">
        <v>142</v>
      </c>
      <c r="I234" s="6" t="s">
        <v>40</v>
      </c>
      <c r="J234" s="5" t="s">
        <v>8585</v>
      </c>
      <c r="K234" s="5" t="s">
        <v>8586</v>
      </c>
      <c r="L234" s="6" t="s">
        <v>42</v>
      </c>
      <c r="M234" s="5" t="s">
        <v>1959</v>
      </c>
      <c r="N234" s="5" t="s">
        <v>64</v>
      </c>
      <c r="O234" s="5" t="s">
        <v>16920</v>
      </c>
      <c r="P234" s="6">
        <v>12055.0</v>
      </c>
    </row>
    <row r="235" ht="56.25" customHeight="1">
      <c r="A235" s="5" t="s">
        <v>16903</v>
      </c>
      <c r="B235" s="6" t="str">
        <f>IMAGE("https://storage.googleapis.com/acdb/headwear/CapOrnamentTRibbon5.png")</f>
        <v/>
      </c>
      <c r="C235" s="5" t="s">
        <v>69</v>
      </c>
      <c r="D235" s="5" t="s">
        <v>36</v>
      </c>
      <c r="E235" s="6">
        <v>1470.0</v>
      </c>
      <c r="F235" s="6">
        <v>367.0</v>
      </c>
      <c r="G235" s="5" t="s">
        <v>69</v>
      </c>
      <c r="H235" s="5" t="s">
        <v>69</v>
      </c>
      <c r="I235" s="6" t="s">
        <v>40</v>
      </c>
      <c r="J235" s="5" t="s">
        <v>8585</v>
      </c>
      <c r="K235" s="5" t="s">
        <v>8586</v>
      </c>
      <c r="L235" s="6" t="s">
        <v>42</v>
      </c>
      <c r="M235" s="5" t="s">
        <v>1959</v>
      </c>
      <c r="N235" s="5" t="s">
        <v>64</v>
      </c>
      <c r="O235" s="5" t="s">
        <v>16924</v>
      </c>
      <c r="P235" s="6">
        <v>12056.0</v>
      </c>
    </row>
    <row r="236" ht="56.25" customHeight="1">
      <c r="A236" s="5" t="s">
        <v>16903</v>
      </c>
      <c r="B236" s="6" t="str">
        <f>IMAGE("https://storage.googleapis.com/acdb/headwear/CapOrnamentTRibbon6.png")</f>
        <v/>
      </c>
      <c r="C236" s="5" t="s">
        <v>57</v>
      </c>
      <c r="D236" s="5" t="s">
        <v>36</v>
      </c>
      <c r="E236" s="6">
        <v>1470.0</v>
      </c>
      <c r="F236" s="6">
        <v>367.0</v>
      </c>
      <c r="G236" s="5" t="s">
        <v>57</v>
      </c>
      <c r="H236" s="5" t="s">
        <v>57</v>
      </c>
      <c r="I236" s="6" t="s">
        <v>40</v>
      </c>
      <c r="J236" s="5" t="s">
        <v>8585</v>
      </c>
      <c r="K236" s="5" t="s">
        <v>8586</v>
      </c>
      <c r="L236" s="6" t="s">
        <v>42</v>
      </c>
      <c r="M236" s="5" t="s">
        <v>1959</v>
      </c>
      <c r="N236" s="5" t="s">
        <v>64</v>
      </c>
      <c r="O236" s="5" t="s">
        <v>16927</v>
      </c>
      <c r="P236" s="6">
        <v>12057.0</v>
      </c>
    </row>
    <row r="237" ht="56.25" customHeight="1">
      <c r="A237" s="5" t="s">
        <v>16903</v>
      </c>
      <c r="B237" s="6" t="str">
        <f>IMAGE("https://storage.googleapis.com/acdb/headwear/CapOrnamentTRibbon7.png")</f>
        <v/>
      </c>
      <c r="C237" s="5" t="s">
        <v>54</v>
      </c>
      <c r="D237" s="5" t="s">
        <v>36</v>
      </c>
      <c r="E237" s="6">
        <v>1470.0</v>
      </c>
      <c r="F237" s="6">
        <v>367.0</v>
      </c>
      <c r="G237" s="5" t="s">
        <v>54</v>
      </c>
      <c r="H237" s="5" t="s">
        <v>54</v>
      </c>
      <c r="I237" s="6" t="s">
        <v>40</v>
      </c>
      <c r="J237" s="5" t="s">
        <v>8585</v>
      </c>
      <c r="K237" s="5" t="s">
        <v>8586</v>
      </c>
      <c r="L237" s="6" t="s">
        <v>42</v>
      </c>
      <c r="M237" s="5" t="s">
        <v>1959</v>
      </c>
      <c r="N237" s="5" t="s">
        <v>64</v>
      </c>
      <c r="O237" s="5" t="s">
        <v>16931</v>
      </c>
      <c r="P237" s="6">
        <v>12058.0</v>
      </c>
    </row>
    <row r="238" ht="56.25" customHeight="1">
      <c r="A238" s="5" t="s">
        <v>16903</v>
      </c>
      <c r="B238" s="6" t="str">
        <f>IMAGE("https://storage.googleapis.com/acdb/headwear/CapOrnamentTRibbon0.png")</f>
        <v/>
      </c>
      <c r="C238" s="5" t="s">
        <v>52</v>
      </c>
      <c r="D238" s="5" t="s">
        <v>36</v>
      </c>
      <c r="E238" s="6">
        <v>1470.0</v>
      </c>
      <c r="F238" s="6">
        <v>367.0</v>
      </c>
      <c r="G238" s="5" t="s">
        <v>52</v>
      </c>
      <c r="H238" s="5" t="s">
        <v>52</v>
      </c>
      <c r="I238" s="6" t="s">
        <v>40</v>
      </c>
      <c r="J238" s="5" t="s">
        <v>8585</v>
      </c>
      <c r="K238" s="5" t="s">
        <v>8586</v>
      </c>
      <c r="L238" s="6" t="s">
        <v>42</v>
      </c>
      <c r="M238" s="5" t="s">
        <v>1959</v>
      </c>
      <c r="N238" s="5" t="s">
        <v>64</v>
      </c>
      <c r="O238" s="5" t="s">
        <v>16933</v>
      </c>
      <c r="P238" s="6">
        <v>9861.0</v>
      </c>
    </row>
    <row r="239" ht="56.25" customHeight="1">
      <c r="A239" s="5" t="s">
        <v>16935</v>
      </c>
      <c r="B239" s="6" t="str">
        <f>IMAGE("https://storage.googleapis.com/acdb/headwear/CapHatGreeneryRed.png")</f>
        <v/>
      </c>
      <c r="C239" s="5" t="s">
        <v>54</v>
      </c>
      <c r="D239" s="5" t="s">
        <v>36</v>
      </c>
      <c r="E239" s="6">
        <v>1320.0</v>
      </c>
      <c r="F239" s="6">
        <v>330.0</v>
      </c>
      <c r="G239" s="5" t="s">
        <v>54</v>
      </c>
      <c r="H239" s="5" t="s">
        <v>52</v>
      </c>
      <c r="I239" s="6" t="s">
        <v>40</v>
      </c>
      <c r="J239" s="5" t="s">
        <v>8585</v>
      </c>
      <c r="K239" s="5" t="s">
        <v>8586</v>
      </c>
      <c r="L239" s="6" t="s">
        <v>42</v>
      </c>
      <c r="M239" s="5" t="s">
        <v>1059</v>
      </c>
      <c r="N239" s="5" t="s">
        <v>64</v>
      </c>
      <c r="O239" s="5" t="s">
        <v>16937</v>
      </c>
      <c r="P239" s="6">
        <v>6049.0</v>
      </c>
    </row>
    <row r="240" ht="56.25" customHeight="1">
      <c r="A240" s="5" t="s">
        <v>16938</v>
      </c>
      <c r="B240" s="6" t="str">
        <f>IMAGE("https://storage.googleapis.com/acdb/headwear/CapFullfaceKnightGold.png")</f>
        <v/>
      </c>
      <c r="C240" s="5" t="s">
        <v>151</v>
      </c>
      <c r="D240" s="5" t="s">
        <v>35</v>
      </c>
      <c r="E240" s="6" t="s">
        <v>37</v>
      </c>
      <c r="F240" s="6">
        <v>50000.0</v>
      </c>
      <c r="G240" s="5" t="s">
        <v>114</v>
      </c>
      <c r="H240" s="5" t="s">
        <v>52</v>
      </c>
      <c r="I240" s="6" t="s">
        <v>40</v>
      </c>
      <c r="J240" s="5" t="s">
        <v>41</v>
      </c>
      <c r="K240" s="5"/>
      <c r="L240" s="6" t="s">
        <v>42</v>
      </c>
      <c r="M240" s="5" t="s">
        <v>612</v>
      </c>
      <c r="N240" s="5" t="s">
        <v>48</v>
      </c>
      <c r="O240" s="5" t="s">
        <v>16942</v>
      </c>
      <c r="P240" s="6">
        <v>5346.0</v>
      </c>
    </row>
    <row r="241" ht="56.25" customHeight="1">
      <c r="A241" s="5" t="s">
        <v>16943</v>
      </c>
      <c r="B241" s="6" t="str">
        <f>IMAGE("https://storage.googleapis.com/acdb/headwear/CapOrnamentRose5.png")</f>
        <v/>
      </c>
      <c r="C241" s="5" t="s">
        <v>151</v>
      </c>
      <c r="D241" s="5" t="s">
        <v>35</v>
      </c>
      <c r="E241" s="6" t="s">
        <v>37</v>
      </c>
      <c r="F241" s="6">
        <v>12000.0</v>
      </c>
      <c r="G241" s="5" t="s">
        <v>114</v>
      </c>
      <c r="H241" s="5" t="s">
        <v>114</v>
      </c>
      <c r="I241" s="6" t="s">
        <v>40</v>
      </c>
      <c r="J241" s="5" t="s">
        <v>41</v>
      </c>
      <c r="K241" s="5"/>
      <c r="L241" s="6" t="s">
        <v>42</v>
      </c>
      <c r="M241" s="5" t="s">
        <v>1959</v>
      </c>
      <c r="N241" s="5" t="s">
        <v>48</v>
      </c>
      <c r="O241" s="5" t="s">
        <v>16946</v>
      </c>
      <c r="P241" s="6">
        <v>7378.0</v>
      </c>
    </row>
    <row r="242" ht="56.25" customHeight="1">
      <c r="A242" s="5" t="s">
        <v>16947</v>
      </c>
      <c r="B242" s="6" t="str">
        <f>IMAGE("https://storage.googleapis.com/acdb/headwear/CapHelmetHeaddress1.png")</f>
        <v/>
      </c>
      <c r="C242" s="5" t="s">
        <v>54</v>
      </c>
      <c r="D242" s="5" t="s">
        <v>36</v>
      </c>
      <c r="E242" s="6">
        <v>1120.0</v>
      </c>
      <c r="F242" s="6">
        <v>280.0</v>
      </c>
      <c r="G242" s="5" t="s">
        <v>54</v>
      </c>
      <c r="H242" s="5" t="s">
        <v>58</v>
      </c>
      <c r="I242" s="6" t="s">
        <v>40</v>
      </c>
      <c r="J242" s="5" t="s">
        <v>8585</v>
      </c>
      <c r="K242" s="5" t="s">
        <v>8586</v>
      </c>
      <c r="L242" s="6" t="s">
        <v>42</v>
      </c>
      <c r="M242" s="5" t="s">
        <v>1059</v>
      </c>
      <c r="N242" s="5" t="s">
        <v>64</v>
      </c>
      <c r="O242" s="5" t="s">
        <v>16951</v>
      </c>
      <c r="P242" s="6">
        <v>11897.0</v>
      </c>
    </row>
    <row r="243" ht="56.25" customHeight="1">
      <c r="A243" s="5" t="s">
        <v>16947</v>
      </c>
      <c r="B243" s="6" t="str">
        <f>IMAGE("https://storage.googleapis.com/acdb/headwear/CapHelmetHeaddress2.png")</f>
        <v/>
      </c>
      <c r="C243" s="5" t="s">
        <v>52</v>
      </c>
      <c r="D243" s="5" t="s">
        <v>36</v>
      </c>
      <c r="E243" s="6">
        <v>1120.0</v>
      </c>
      <c r="F243" s="6">
        <v>280.0</v>
      </c>
      <c r="G243" s="5" t="s">
        <v>52</v>
      </c>
      <c r="H243" s="5" t="s">
        <v>58</v>
      </c>
      <c r="I243" s="6" t="s">
        <v>40</v>
      </c>
      <c r="J243" s="5" t="s">
        <v>8585</v>
      </c>
      <c r="K243" s="5" t="s">
        <v>8586</v>
      </c>
      <c r="L243" s="6" t="s">
        <v>42</v>
      </c>
      <c r="M243" s="5" t="s">
        <v>1059</v>
      </c>
      <c r="N243" s="5" t="s">
        <v>64</v>
      </c>
      <c r="O243" s="5" t="s">
        <v>16954</v>
      </c>
      <c r="P243" s="6">
        <v>11898.0</v>
      </c>
    </row>
    <row r="244" ht="56.25" customHeight="1">
      <c r="A244" s="5" t="s">
        <v>16947</v>
      </c>
      <c r="B244" s="6" t="str">
        <f>IMAGE("https://storage.googleapis.com/acdb/headwear/CapHelmetHeaddress3.png")</f>
        <v/>
      </c>
      <c r="C244" s="5" t="s">
        <v>69</v>
      </c>
      <c r="D244" s="5" t="s">
        <v>36</v>
      </c>
      <c r="E244" s="6">
        <v>1120.0</v>
      </c>
      <c r="F244" s="6">
        <v>280.0</v>
      </c>
      <c r="G244" s="5" t="s">
        <v>69</v>
      </c>
      <c r="H244" s="5" t="s">
        <v>58</v>
      </c>
      <c r="I244" s="6" t="s">
        <v>40</v>
      </c>
      <c r="J244" s="5" t="s">
        <v>8585</v>
      </c>
      <c r="K244" s="5" t="s">
        <v>8586</v>
      </c>
      <c r="L244" s="6" t="s">
        <v>42</v>
      </c>
      <c r="M244" s="5" t="s">
        <v>1059</v>
      </c>
      <c r="N244" s="5" t="s">
        <v>64</v>
      </c>
      <c r="O244" s="5" t="s">
        <v>16958</v>
      </c>
      <c r="P244" s="6">
        <v>11899.0</v>
      </c>
    </row>
    <row r="245" ht="56.25" customHeight="1">
      <c r="A245" s="5" t="s">
        <v>16947</v>
      </c>
      <c r="B245" s="6" t="str">
        <f>IMAGE("https://storage.googleapis.com/acdb/headwear/CapHelmetHeaddress4.png")</f>
        <v/>
      </c>
      <c r="C245" s="5" t="s">
        <v>68</v>
      </c>
      <c r="D245" s="5" t="s">
        <v>36</v>
      </c>
      <c r="E245" s="6">
        <v>1120.0</v>
      </c>
      <c r="F245" s="6">
        <v>280.0</v>
      </c>
      <c r="G245" s="5" t="s">
        <v>68</v>
      </c>
      <c r="H245" s="5" t="s">
        <v>58</v>
      </c>
      <c r="I245" s="6" t="s">
        <v>40</v>
      </c>
      <c r="J245" s="5" t="s">
        <v>8585</v>
      </c>
      <c r="K245" s="5" t="s">
        <v>8586</v>
      </c>
      <c r="L245" s="6" t="s">
        <v>42</v>
      </c>
      <c r="M245" s="5" t="s">
        <v>1059</v>
      </c>
      <c r="N245" s="5" t="s">
        <v>64</v>
      </c>
      <c r="O245" s="5" t="s">
        <v>16961</v>
      </c>
      <c r="P245" s="6">
        <v>11900.0</v>
      </c>
    </row>
    <row r="246" ht="56.25" customHeight="1">
      <c r="A246" s="5" t="s">
        <v>16947</v>
      </c>
      <c r="B246" s="6" t="str">
        <f>IMAGE("https://storage.googleapis.com/acdb/headwear/CapHelmetHeaddress5.png")</f>
        <v/>
      </c>
      <c r="C246" s="5" t="s">
        <v>13835</v>
      </c>
      <c r="D246" s="5" t="s">
        <v>36</v>
      </c>
      <c r="E246" s="6">
        <v>1120.0</v>
      </c>
      <c r="F246" s="6">
        <v>280.0</v>
      </c>
      <c r="G246" s="5" t="s">
        <v>106</v>
      </c>
      <c r="H246" s="5" t="s">
        <v>58</v>
      </c>
      <c r="I246" s="6" t="s">
        <v>40</v>
      </c>
      <c r="J246" s="5" t="s">
        <v>8585</v>
      </c>
      <c r="K246" s="5" t="s">
        <v>8586</v>
      </c>
      <c r="L246" s="6" t="s">
        <v>42</v>
      </c>
      <c r="M246" s="5" t="s">
        <v>1059</v>
      </c>
      <c r="N246" s="5" t="s">
        <v>64</v>
      </c>
      <c r="O246" s="5" t="s">
        <v>16967</v>
      </c>
      <c r="P246" s="6">
        <v>11901.0</v>
      </c>
    </row>
    <row r="247" ht="56.25" customHeight="1">
      <c r="A247" s="5" t="s">
        <v>16947</v>
      </c>
      <c r="B247" s="6" t="str">
        <f>IMAGE("https://storage.googleapis.com/acdb/headwear/CapHelmetHeaddress0.png")</f>
        <v/>
      </c>
      <c r="C247" s="5" t="s">
        <v>106</v>
      </c>
      <c r="D247" s="5" t="s">
        <v>36</v>
      </c>
      <c r="E247" s="6">
        <v>1120.0</v>
      </c>
      <c r="F247" s="6">
        <v>280.0</v>
      </c>
      <c r="G247" s="5" t="s">
        <v>106</v>
      </c>
      <c r="H247" s="5" t="s">
        <v>58</v>
      </c>
      <c r="I247" s="6" t="s">
        <v>40</v>
      </c>
      <c r="J247" s="5" t="s">
        <v>8585</v>
      </c>
      <c r="K247" s="5" t="s">
        <v>8586</v>
      </c>
      <c r="L247" s="6" t="s">
        <v>42</v>
      </c>
      <c r="M247" s="5" t="s">
        <v>1059</v>
      </c>
      <c r="N247" s="5" t="s">
        <v>64</v>
      </c>
      <c r="O247" s="5" t="s">
        <v>16969</v>
      </c>
      <c r="P247" s="6">
        <v>5683.0</v>
      </c>
    </row>
    <row r="248" ht="56.25" customHeight="1">
      <c r="A248" s="5" t="s">
        <v>16971</v>
      </c>
      <c r="B248" s="6" t="str">
        <f>IMAGE("https://storage.googleapis.com/acdb/headwear/CapHatGrape.png")</f>
        <v/>
      </c>
      <c r="C248" s="5" t="s">
        <v>106</v>
      </c>
      <c r="D248" s="5" t="s">
        <v>36</v>
      </c>
      <c r="E248" s="6">
        <v>700.0</v>
      </c>
      <c r="F248" s="6">
        <v>175.0</v>
      </c>
      <c r="G248" s="5" t="s">
        <v>106</v>
      </c>
      <c r="H248" s="5" t="s">
        <v>96</v>
      </c>
      <c r="I248" s="6" t="s">
        <v>40</v>
      </c>
      <c r="J248" s="5" t="s">
        <v>8585</v>
      </c>
      <c r="K248" s="5" t="s">
        <v>8632</v>
      </c>
      <c r="L248" s="6" t="s">
        <v>42</v>
      </c>
      <c r="M248" s="5" t="s">
        <v>1959</v>
      </c>
      <c r="N248" s="5" t="s">
        <v>64</v>
      </c>
      <c r="O248" s="5" t="s">
        <v>16974</v>
      </c>
      <c r="P248" s="6">
        <v>5278.0</v>
      </c>
    </row>
    <row r="249" ht="56.25" customHeight="1">
      <c r="A249" s="5" t="s">
        <v>16975</v>
      </c>
      <c r="B249" s="6" t="str">
        <f>IMAGE("https://storage.googleapis.com/acdb/headwear/CapOrnamentAAngel0.png")</f>
        <v/>
      </c>
      <c r="C249" s="5" t="s">
        <v>151</v>
      </c>
      <c r="D249" s="5" t="s">
        <v>36</v>
      </c>
      <c r="E249" s="6">
        <v>2220.0</v>
      </c>
      <c r="F249" s="6">
        <v>555.0</v>
      </c>
      <c r="G249" s="5" t="s">
        <v>114</v>
      </c>
      <c r="H249" s="5" t="s">
        <v>114</v>
      </c>
      <c r="I249" s="6" t="s">
        <v>40</v>
      </c>
      <c r="J249" s="5" t="s">
        <v>8585</v>
      </c>
      <c r="K249" s="5" t="s">
        <v>8586</v>
      </c>
      <c r="L249" s="6" t="s">
        <v>42</v>
      </c>
      <c r="M249" s="5" t="s">
        <v>1959</v>
      </c>
      <c r="N249" s="5" t="s">
        <v>64</v>
      </c>
      <c r="O249" s="5" t="s">
        <v>16977</v>
      </c>
      <c r="P249" s="6">
        <v>6921.0</v>
      </c>
    </row>
    <row r="250" ht="56.25" customHeight="1">
      <c r="A250" s="5" t="s">
        <v>16978</v>
      </c>
      <c r="B250" s="6" t="str">
        <f>IMAGE("https://storage.googleapis.com/acdb/headwear/CapWigTurban1.png")</f>
        <v/>
      </c>
      <c r="C250" s="5" t="s">
        <v>68</v>
      </c>
      <c r="D250" s="5" t="s">
        <v>36</v>
      </c>
      <c r="E250" s="6">
        <v>1400.0</v>
      </c>
      <c r="F250" s="6">
        <v>350.0</v>
      </c>
      <c r="G250" s="5" t="s">
        <v>68</v>
      </c>
      <c r="H250" s="5" t="s">
        <v>58</v>
      </c>
      <c r="I250" s="6" t="s">
        <v>40</v>
      </c>
      <c r="J250" s="5" t="s">
        <v>8585</v>
      </c>
      <c r="K250" s="5" t="s">
        <v>8632</v>
      </c>
      <c r="L250" s="6" t="s">
        <v>42</v>
      </c>
      <c r="M250" s="5" t="s">
        <v>1959</v>
      </c>
      <c r="N250" s="5" t="s">
        <v>64</v>
      </c>
      <c r="O250" s="5" t="s">
        <v>16980</v>
      </c>
      <c r="P250" s="6">
        <v>11894.0</v>
      </c>
    </row>
    <row r="251" ht="56.25" customHeight="1">
      <c r="A251" s="5" t="s">
        <v>16978</v>
      </c>
      <c r="B251" s="6" t="str">
        <f>IMAGE("https://storage.googleapis.com/acdb/headwear/CapWigTurban2.png")</f>
        <v/>
      </c>
      <c r="C251" s="5" t="s">
        <v>106</v>
      </c>
      <c r="D251" s="5" t="s">
        <v>36</v>
      </c>
      <c r="E251" s="6">
        <v>1400.0</v>
      </c>
      <c r="F251" s="6">
        <v>350.0</v>
      </c>
      <c r="G251" s="5" t="s">
        <v>106</v>
      </c>
      <c r="H251" s="5" t="s">
        <v>58</v>
      </c>
      <c r="I251" s="6" t="s">
        <v>40</v>
      </c>
      <c r="J251" s="5" t="s">
        <v>8585</v>
      </c>
      <c r="K251" s="5" t="s">
        <v>8632</v>
      </c>
      <c r="L251" s="6" t="s">
        <v>42</v>
      </c>
      <c r="M251" s="5" t="s">
        <v>1959</v>
      </c>
      <c r="N251" s="5" t="s">
        <v>64</v>
      </c>
      <c r="O251" s="5" t="s">
        <v>16984</v>
      </c>
      <c r="P251" s="6">
        <v>11895.0</v>
      </c>
    </row>
    <row r="252" ht="56.25" customHeight="1">
      <c r="A252" s="5" t="s">
        <v>16978</v>
      </c>
      <c r="B252" s="6" t="str">
        <f>IMAGE("https://storage.googleapis.com/acdb/headwear/CapWigTurban3.png")</f>
        <v/>
      </c>
      <c r="C252" s="5" t="s">
        <v>96</v>
      </c>
      <c r="D252" s="5" t="s">
        <v>36</v>
      </c>
      <c r="E252" s="6">
        <v>1400.0</v>
      </c>
      <c r="F252" s="6">
        <v>350.0</v>
      </c>
      <c r="G252" s="5" t="s">
        <v>96</v>
      </c>
      <c r="H252" s="5" t="s">
        <v>58</v>
      </c>
      <c r="I252" s="6" t="s">
        <v>40</v>
      </c>
      <c r="J252" s="5" t="s">
        <v>8585</v>
      </c>
      <c r="K252" s="5" t="s">
        <v>8632</v>
      </c>
      <c r="L252" s="6" t="s">
        <v>42</v>
      </c>
      <c r="M252" s="5" t="s">
        <v>1959</v>
      </c>
      <c r="N252" s="5" t="s">
        <v>64</v>
      </c>
      <c r="O252" s="5" t="s">
        <v>16986</v>
      </c>
      <c r="P252" s="6">
        <v>11896.0</v>
      </c>
    </row>
    <row r="253" ht="56.25" customHeight="1">
      <c r="A253" s="5" t="s">
        <v>16978</v>
      </c>
      <c r="B253" s="6" t="str">
        <f>IMAGE("https://storage.googleapis.com/acdb/headwear/CapWigTurban0.png")</f>
        <v/>
      </c>
      <c r="C253" s="5" t="s">
        <v>69</v>
      </c>
      <c r="D253" s="5" t="s">
        <v>36</v>
      </c>
      <c r="E253" s="6">
        <v>1400.0</v>
      </c>
      <c r="F253" s="6">
        <v>350.0</v>
      </c>
      <c r="G253" s="5" t="s">
        <v>69</v>
      </c>
      <c r="H253" s="5" t="s">
        <v>58</v>
      </c>
      <c r="I253" s="6" t="s">
        <v>40</v>
      </c>
      <c r="J253" s="5" t="s">
        <v>8585</v>
      </c>
      <c r="K253" s="5" t="s">
        <v>8632</v>
      </c>
      <c r="L253" s="6" t="s">
        <v>42</v>
      </c>
      <c r="M253" s="5" t="s">
        <v>1959</v>
      </c>
      <c r="N253" s="5" t="s">
        <v>64</v>
      </c>
      <c r="O253" s="5" t="s">
        <v>16989</v>
      </c>
      <c r="P253" s="6">
        <v>6093.0</v>
      </c>
    </row>
    <row r="254" ht="56.25" customHeight="1">
      <c r="A254" s="5" t="s">
        <v>16990</v>
      </c>
      <c r="B254" s="6" t="str">
        <f>IMAGE("https://storage.googleapis.com/acdb/headwear/CapCostumeHeadgear0.png")</f>
        <v/>
      </c>
      <c r="C254" s="5" t="s">
        <v>52</v>
      </c>
      <c r="D254" s="5" t="s">
        <v>36</v>
      </c>
      <c r="E254" s="6">
        <v>910.0</v>
      </c>
      <c r="F254" s="6">
        <v>227.0</v>
      </c>
      <c r="G254" s="5" t="s">
        <v>52</v>
      </c>
      <c r="H254" s="5" t="s">
        <v>58</v>
      </c>
      <c r="I254" s="6" t="s">
        <v>40</v>
      </c>
      <c r="J254" s="5" t="s">
        <v>8585</v>
      </c>
      <c r="K254" s="5" t="s">
        <v>8586</v>
      </c>
      <c r="L254" s="6" t="s">
        <v>42</v>
      </c>
      <c r="M254" s="5" t="s">
        <v>8746</v>
      </c>
      <c r="N254" s="5" t="s">
        <v>64</v>
      </c>
      <c r="O254" s="5" t="s">
        <v>16992</v>
      </c>
      <c r="P254" s="6">
        <v>5687.0</v>
      </c>
    </row>
    <row r="255" ht="56.25" customHeight="1">
      <c r="A255" s="5" t="s">
        <v>16990</v>
      </c>
      <c r="B255" s="6" t="str">
        <f>IMAGE("https://storage.googleapis.com/acdb/headwear/CapCostumeHeadgear1.png")</f>
        <v/>
      </c>
      <c r="C255" s="5" t="s">
        <v>68</v>
      </c>
      <c r="D255" s="5" t="s">
        <v>36</v>
      </c>
      <c r="E255" s="6">
        <v>910.0</v>
      </c>
      <c r="F255" s="6">
        <v>227.0</v>
      </c>
      <c r="G255" s="5" t="s">
        <v>68</v>
      </c>
      <c r="H255" s="5" t="s">
        <v>58</v>
      </c>
      <c r="I255" s="6" t="s">
        <v>40</v>
      </c>
      <c r="J255" s="5" t="s">
        <v>8585</v>
      </c>
      <c r="K255" s="5" t="s">
        <v>8586</v>
      </c>
      <c r="L255" s="6" t="s">
        <v>42</v>
      </c>
      <c r="M255" s="5" t="s">
        <v>8746</v>
      </c>
      <c r="N255" s="5" t="s">
        <v>64</v>
      </c>
      <c r="O255" s="5" t="s">
        <v>16995</v>
      </c>
      <c r="P255" s="6">
        <v>11611.0</v>
      </c>
    </row>
    <row r="256" ht="56.25" customHeight="1">
      <c r="A256" s="5" t="s">
        <v>16990</v>
      </c>
      <c r="B256" s="6" t="str">
        <f>IMAGE("https://storage.googleapis.com/acdb/headwear/CapCostumeHeadgear2.png")</f>
        <v/>
      </c>
      <c r="C256" s="5" t="s">
        <v>96</v>
      </c>
      <c r="D256" s="5" t="s">
        <v>36</v>
      </c>
      <c r="E256" s="6">
        <v>910.0</v>
      </c>
      <c r="F256" s="6">
        <v>227.0</v>
      </c>
      <c r="G256" s="5" t="s">
        <v>96</v>
      </c>
      <c r="H256" s="5" t="s">
        <v>58</v>
      </c>
      <c r="I256" s="6" t="s">
        <v>40</v>
      </c>
      <c r="J256" s="5" t="s">
        <v>8585</v>
      </c>
      <c r="K256" s="5" t="s">
        <v>8586</v>
      </c>
      <c r="L256" s="6" t="s">
        <v>42</v>
      </c>
      <c r="M256" s="5" t="s">
        <v>8746</v>
      </c>
      <c r="N256" s="5" t="s">
        <v>64</v>
      </c>
      <c r="O256" s="5" t="s">
        <v>17001</v>
      </c>
      <c r="P256" s="6">
        <v>11612.0</v>
      </c>
    </row>
    <row r="257" ht="56.25" customHeight="1">
      <c r="A257" s="5" t="s">
        <v>17002</v>
      </c>
      <c r="B257" s="6" t="str">
        <f>IMAGE("https://storage.googleapis.com/acdb/headwear/CapFullfaceHokkamuriGreen.png")</f>
        <v/>
      </c>
      <c r="C257" s="5" t="s">
        <v>96</v>
      </c>
      <c r="D257" s="5" t="s">
        <v>36</v>
      </c>
      <c r="E257" s="6">
        <v>490.0</v>
      </c>
      <c r="F257" s="6">
        <v>122.0</v>
      </c>
      <c r="G257" s="5" t="s">
        <v>96</v>
      </c>
      <c r="H257" s="5" t="s">
        <v>96</v>
      </c>
      <c r="I257" s="6" t="s">
        <v>40</v>
      </c>
      <c r="J257" s="5" t="s">
        <v>8585</v>
      </c>
      <c r="K257" s="5" t="s">
        <v>8632</v>
      </c>
      <c r="L257" s="6" t="s">
        <v>42</v>
      </c>
      <c r="M257" s="5" t="s">
        <v>1952</v>
      </c>
      <c r="N257" s="5" t="s">
        <v>64</v>
      </c>
      <c r="O257" s="5" t="s">
        <v>17005</v>
      </c>
      <c r="P257" s="6">
        <v>5322.0</v>
      </c>
    </row>
    <row r="258" ht="56.25" customHeight="1">
      <c r="A258" s="5" t="s">
        <v>17006</v>
      </c>
      <c r="B258" s="6" t="str">
        <f>IMAGE("https://storage.googleapis.com/acdb/headwear/CapOrnamentLHearthairpin1.png")</f>
        <v/>
      </c>
      <c r="C258" s="5" t="s">
        <v>52</v>
      </c>
      <c r="D258" s="5" t="s">
        <v>36</v>
      </c>
      <c r="E258" s="6">
        <v>700.0</v>
      </c>
      <c r="F258" s="6">
        <v>175.0</v>
      </c>
      <c r="G258" s="5" t="s">
        <v>52</v>
      </c>
      <c r="H258" s="5" t="s">
        <v>114</v>
      </c>
      <c r="I258" s="6" t="s">
        <v>40</v>
      </c>
      <c r="J258" s="5" t="s">
        <v>8585</v>
      </c>
      <c r="K258" s="5" t="s">
        <v>8632</v>
      </c>
      <c r="L258" s="6" t="s">
        <v>42</v>
      </c>
      <c r="M258" s="5" t="s">
        <v>1959</v>
      </c>
      <c r="N258" s="5" t="s">
        <v>64</v>
      </c>
      <c r="O258" s="5" t="s">
        <v>17009</v>
      </c>
      <c r="P258" s="6">
        <v>12165.0</v>
      </c>
    </row>
    <row r="259" ht="56.25" customHeight="1">
      <c r="A259" s="5" t="s">
        <v>17006</v>
      </c>
      <c r="B259" s="6" t="str">
        <f>IMAGE("https://storage.googleapis.com/acdb/headwear/CapOrnamentLHearthairpin2.png")</f>
        <v/>
      </c>
      <c r="C259" s="5" t="s">
        <v>96</v>
      </c>
      <c r="D259" s="5" t="s">
        <v>36</v>
      </c>
      <c r="E259" s="6">
        <v>700.0</v>
      </c>
      <c r="F259" s="6">
        <v>175.0</v>
      </c>
      <c r="G259" s="5" t="s">
        <v>96</v>
      </c>
      <c r="H259" s="5" t="s">
        <v>114</v>
      </c>
      <c r="I259" s="6" t="s">
        <v>40</v>
      </c>
      <c r="J259" s="5" t="s">
        <v>8585</v>
      </c>
      <c r="K259" s="5" t="s">
        <v>8632</v>
      </c>
      <c r="L259" s="6" t="s">
        <v>42</v>
      </c>
      <c r="M259" s="5" t="s">
        <v>1959</v>
      </c>
      <c r="N259" s="5" t="s">
        <v>64</v>
      </c>
      <c r="O259" s="5" t="s">
        <v>17013</v>
      </c>
      <c r="P259" s="6">
        <v>12166.0</v>
      </c>
    </row>
    <row r="260" ht="56.25" customHeight="1">
      <c r="A260" s="5" t="s">
        <v>17006</v>
      </c>
      <c r="B260" s="6" t="str">
        <f>IMAGE("https://storage.googleapis.com/acdb/headwear/CapOrnamentLHearthairpin3.png")</f>
        <v/>
      </c>
      <c r="C260" s="5" t="s">
        <v>68</v>
      </c>
      <c r="D260" s="5" t="s">
        <v>36</v>
      </c>
      <c r="E260" s="6">
        <v>700.0</v>
      </c>
      <c r="F260" s="6">
        <v>175.0</v>
      </c>
      <c r="G260" s="5" t="s">
        <v>68</v>
      </c>
      <c r="H260" s="5" t="s">
        <v>114</v>
      </c>
      <c r="I260" s="6" t="s">
        <v>40</v>
      </c>
      <c r="J260" s="5" t="s">
        <v>8585</v>
      </c>
      <c r="K260" s="5" t="s">
        <v>8632</v>
      </c>
      <c r="L260" s="6" t="s">
        <v>42</v>
      </c>
      <c r="M260" s="5" t="s">
        <v>1959</v>
      </c>
      <c r="N260" s="5" t="s">
        <v>64</v>
      </c>
      <c r="O260" s="5" t="s">
        <v>17016</v>
      </c>
      <c r="P260" s="6">
        <v>12167.0</v>
      </c>
    </row>
    <row r="261" ht="56.25" customHeight="1">
      <c r="A261" s="5" t="s">
        <v>17006</v>
      </c>
      <c r="B261" s="6" t="str">
        <f>IMAGE("https://storage.googleapis.com/acdb/headwear/CapOrnamentLHearthairpin4.png")</f>
        <v/>
      </c>
      <c r="C261" s="5" t="s">
        <v>54</v>
      </c>
      <c r="D261" s="5" t="s">
        <v>36</v>
      </c>
      <c r="E261" s="6">
        <v>700.0</v>
      </c>
      <c r="F261" s="6">
        <v>175.0</v>
      </c>
      <c r="G261" s="5" t="s">
        <v>54</v>
      </c>
      <c r="H261" s="5" t="s">
        <v>95</v>
      </c>
      <c r="I261" s="6" t="s">
        <v>40</v>
      </c>
      <c r="J261" s="5" t="s">
        <v>8585</v>
      </c>
      <c r="K261" s="5" t="s">
        <v>8632</v>
      </c>
      <c r="L261" s="6" t="s">
        <v>42</v>
      </c>
      <c r="M261" s="5" t="s">
        <v>1959</v>
      </c>
      <c r="N261" s="5" t="s">
        <v>64</v>
      </c>
      <c r="O261" s="5" t="s">
        <v>17018</v>
      </c>
      <c r="P261" s="6">
        <v>12168.0</v>
      </c>
    </row>
    <row r="262" ht="56.25" customHeight="1">
      <c r="A262" s="5" t="s">
        <v>17006</v>
      </c>
      <c r="B262" s="6" t="str">
        <f>IMAGE("https://storage.googleapis.com/acdb/headwear/CapOrnamentLHearthairpin0.png")</f>
        <v/>
      </c>
      <c r="C262" s="5" t="s">
        <v>69</v>
      </c>
      <c r="D262" s="5" t="s">
        <v>36</v>
      </c>
      <c r="E262" s="6">
        <v>700.0</v>
      </c>
      <c r="F262" s="6">
        <v>175.0</v>
      </c>
      <c r="G262" s="5" t="s">
        <v>69</v>
      </c>
      <c r="H262" s="5" t="s">
        <v>114</v>
      </c>
      <c r="I262" s="6" t="s">
        <v>40</v>
      </c>
      <c r="J262" s="5" t="s">
        <v>8585</v>
      </c>
      <c r="K262" s="5" t="s">
        <v>8632</v>
      </c>
      <c r="L262" s="6" t="s">
        <v>42</v>
      </c>
      <c r="M262" s="5" t="s">
        <v>1959</v>
      </c>
      <c r="N262" s="5" t="s">
        <v>64</v>
      </c>
      <c r="O262" s="5" t="s">
        <v>17022</v>
      </c>
      <c r="P262" s="6">
        <v>9855.0</v>
      </c>
    </row>
    <row r="263" ht="56.25" customHeight="1">
      <c r="A263" s="5" t="s">
        <v>17023</v>
      </c>
      <c r="B263" s="6" t="str">
        <f>IMAGE("https://storage.googleapis.com/acdb/headwear/CapCostumeGogglehelmet0.png")</f>
        <v/>
      </c>
      <c r="C263" s="5" t="s">
        <v>69</v>
      </c>
      <c r="D263" s="5" t="s">
        <v>36</v>
      </c>
      <c r="E263" s="6">
        <v>1100.0</v>
      </c>
      <c r="F263" s="6">
        <v>275.0</v>
      </c>
      <c r="G263" s="5" t="s">
        <v>69</v>
      </c>
      <c r="H263" s="5" t="s">
        <v>54</v>
      </c>
      <c r="I263" s="6" t="s">
        <v>40</v>
      </c>
      <c r="J263" s="5" t="s">
        <v>8585</v>
      </c>
      <c r="K263" s="5" t="s">
        <v>8586</v>
      </c>
      <c r="L263" s="6" t="s">
        <v>42</v>
      </c>
      <c r="M263" s="5" t="s">
        <v>8746</v>
      </c>
      <c r="N263" s="5" t="s">
        <v>64</v>
      </c>
      <c r="O263" s="5" t="s">
        <v>17028</v>
      </c>
      <c r="P263" s="6">
        <v>5435.0</v>
      </c>
    </row>
    <row r="264" ht="56.25" customHeight="1">
      <c r="A264" s="5" t="s">
        <v>17023</v>
      </c>
      <c r="B264" s="6" t="str">
        <f>IMAGE("https://storage.googleapis.com/acdb/headwear/CapCostumeGogglehelmet1.png")</f>
        <v/>
      </c>
      <c r="C264" s="5" t="s">
        <v>96</v>
      </c>
      <c r="D264" s="5" t="s">
        <v>36</v>
      </c>
      <c r="E264" s="6">
        <v>1100.0</v>
      </c>
      <c r="F264" s="6">
        <v>275.0</v>
      </c>
      <c r="G264" s="5" t="s">
        <v>96</v>
      </c>
      <c r="H264" s="5" t="s">
        <v>54</v>
      </c>
      <c r="I264" s="6" t="s">
        <v>40</v>
      </c>
      <c r="J264" s="5" t="s">
        <v>8585</v>
      </c>
      <c r="K264" s="5" t="s">
        <v>8586</v>
      </c>
      <c r="L264" s="6" t="s">
        <v>42</v>
      </c>
      <c r="M264" s="5" t="s">
        <v>8746</v>
      </c>
      <c r="N264" s="5" t="s">
        <v>64</v>
      </c>
      <c r="O264" s="5" t="s">
        <v>17031</v>
      </c>
      <c r="P264" s="6">
        <v>10230.0</v>
      </c>
    </row>
    <row r="265" ht="56.25" customHeight="1">
      <c r="A265" s="5" t="s">
        <v>17023</v>
      </c>
      <c r="B265" s="6" t="str">
        <f>IMAGE("https://storage.googleapis.com/acdb/headwear/CapCostumeGogglehelmet2.png")</f>
        <v/>
      </c>
      <c r="C265" s="5" t="s">
        <v>106</v>
      </c>
      <c r="D265" s="5" t="s">
        <v>36</v>
      </c>
      <c r="E265" s="6">
        <v>1100.0</v>
      </c>
      <c r="F265" s="6">
        <v>275.0</v>
      </c>
      <c r="G265" s="5" t="s">
        <v>106</v>
      </c>
      <c r="H265" s="5" t="s">
        <v>54</v>
      </c>
      <c r="I265" s="6" t="s">
        <v>40</v>
      </c>
      <c r="J265" s="5" t="s">
        <v>8585</v>
      </c>
      <c r="K265" s="5" t="s">
        <v>8586</v>
      </c>
      <c r="L265" s="6" t="s">
        <v>42</v>
      </c>
      <c r="M265" s="5" t="s">
        <v>8746</v>
      </c>
      <c r="N265" s="5" t="s">
        <v>64</v>
      </c>
      <c r="O265" s="5" t="s">
        <v>17035</v>
      </c>
      <c r="P265" s="6">
        <v>10231.0</v>
      </c>
    </row>
    <row r="266" ht="56.25" customHeight="1">
      <c r="A266" s="5" t="s">
        <v>17023</v>
      </c>
      <c r="B266" s="6" t="str">
        <f>IMAGE("https://storage.googleapis.com/acdb/headwear/CapCostumeGogglehelmet3.png")</f>
        <v/>
      </c>
      <c r="C266" s="5" t="s">
        <v>68</v>
      </c>
      <c r="D266" s="5" t="s">
        <v>36</v>
      </c>
      <c r="E266" s="6">
        <v>1100.0</v>
      </c>
      <c r="F266" s="6">
        <v>275.0</v>
      </c>
      <c r="G266" s="5" t="s">
        <v>68</v>
      </c>
      <c r="H266" s="5" t="s">
        <v>54</v>
      </c>
      <c r="I266" s="6" t="s">
        <v>40</v>
      </c>
      <c r="J266" s="5" t="s">
        <v>8585</v>
      </c>
      <c r="K266" s="5" t="s">
        <v>8586</v>
      </c>
      <c r="L266" s="6" t="s">
        <v>42</v>
      </c>
      <c r="M266" s="5" t="s">
        <v>8746</v>
      </c>
      <c r="N266" s="5" t="s">
        <v>64</v>
      </c>
      <c r="O266" s="5" t="s">
        <v>17037</v>
      </c>
      <c r="P266" s="6">
        <v>10232.0</v>
      </c>
    </row>
    <row r="267" ht="56.25" customHeight="1">
      <c r="A267" s="5" t="s">
        <v>17023</v>
      </c>
      <c r="B267" s="6" t="str">
        <f>IMAGE("https://storage.googleapis.com/acdb/headwear/CapCostumeGogglehelmet4.png")</f>
        <v/>
      </c>
      <c r="C267" s="5" t="s">
        <v>52</v>
      </c>
      <c r="D267" s="5" t="s">
        <v>36</v>
      </c>
      <c r="E267" s="6">
        <v>1100.0</v>
      </c>
      <c r="F267" s="6">
        <v>275.0</v>
      </c>
      <c r="G267" s="5" t="s">
        <v>52</v>
      </c>
      <c r="H267" s="5" t="s">
        <v>54</v>
      </c>
      <c r="I267" s="6" t="s">
        <v>40</v>
      </c>
      <c r="J267" s="5" t="s">
        <v>8585</v>
      </c>
      <c r="K267" s="5" t="s">
        <v>8586</v>
      </c>
      <c r="L267" s="6" t="s">
        <v>42</v>
      </c>
      <c r="M267" s="5" t="s">
        <v>8746</v>
      </c>
      <c r="N267" s="5" t="s">
        <v>64</v>
      </c>
      <c r="O267" s="5" t="s">
        <v>17040</v>
      </c>
      <c r="P267" s="6">
        <v>10233.0</v>
      </c>
    </row>
    <row r="268" ht="56.25" customHeight="1">
      <c r="A268" s="5" t="s">
        <v>17023</v>
      </c>
      <c r="B268" s="6" t="str">
        <f>IMAGE("https://storage.googleapis.com/acdb/headwear/CapCostumeGogglehelmet5.png")</f>
        <v/>
      </c>
      <c r="C268" s="5" t="s">
        <v>83</v>
      </c>
      <c r="D268" s="5" t="s">
        <v>36</v>
      </c>
      <c r="E268" s="6">
        <v>1100.0</v>
      </c>
      <c r="F268" s="6">
        <v>275.0</v>
      </c>
      <c r="G268" s="5" t="s">
        <v>83</v>
      </c>
      <c r="H268" s="5" t="s">
        <v>54</v>
      </c>
      <c r="I268" s="6" t="s">
        <v>40</v>
      </c>
      <c r="J268" s="5" t="s">
        <v>8585</v>
      </c>
      <c r="K268" s="5" t="s">
        <v>8586</v>
      </c>
      <c r="L268" s="6" t="s">
        <v>42</v>
      </c>
      <c r="M268" s="5" t="s">
        <v>8746</v>
      </c>
      <c r="N268" s="5" t="s">
        <v>64</v>
      </c>
      <c r="O268" s="5" t="s">
        <v>17045</v>
      </c>
      <c r="P268" s="6">
        <v>10234.0</v>
      </c>
    </row>
    <row r="269" ht="56.25" customHeight="1">
      <c r="A269" s="5" t="s">
        <v>17023</v>
      </c>
      <c r="B269" s="6" t="str">
        <f>IMAGE("https://storage.googleapis.com/acdb/headwear/CapCostumeGogglehelmet6.png")</f>
        <v/>
      </c>
      <c r="C269" s="5" t="s">
        <v>54</v>
      </c>
      <c r="D269" s="5" t="s">
        <v>36</v>
      </c>
      <c r="E269" s="6">
        <v>1100.0</v>
      </c>
      <c r="F269" s="6">
        <v>275.0</v>
      </c>
      <c r="G269" s="5" t="s">
        <v>54</v>
      </c>
      <c r="H269" s="5" t="s">
        <v>54</v>
      </c>
      <c r="I269" s="6" t="s">
        <v>40</v>
      </c>
      <c r="J269" s="5" t="s">
        <v>8585</v>
      </c>
      <c r="K269" s="5" t="s">
        <v>8586</v>
      </c>
      <c r="L269" s="6" t="s">
        <v>42</v>
      </c>
      <c r="M269" s="5" t="s">
        <v>8746</v>
      </c>
      <c r="N269" s="5" t="s">
        <v>64</v>
      </c>
      <c r="O269" s="5" t="s">
        <v>17048</v>
      </c>
      <c r="P269" s="6">
        <v>10235.0</v>
      </c>
    </row>
    <row r="270" ht="56.25" customHeight="1">
      <c r="A270" s="5" t="s">
        <v>17023</v>
      </c>
      <c r="B270" s="6" t="str">
        <f>IMAGE("https://storage.googleapis.com/acdb/headwear/CapCostumeGogglehelmet7.png")</f>
        <v/>
      </c>
      <c r="C270" s="5" t="s">
        <v>114</v>
      </c>
      <c r="D270" s="5" t="s">
        <v>36</v>
      </c>
      <c r="E270" s="6">
        <v>1100.0</v>
      </c>
      <c r="F270" s="6">
        <v>275.0</v>
      </c>
      <c r="G270" s="5" t="s">
        <v>114</v>
      </c>
      <c r="H270" s="5" t="s">
        <v>54</v>
      </c>
      <c r="I270" s="6" t="s">
        <v>40</v>
      </c>
      <c r="J270" s="5" t="s">
        <v>8585</v>
      </c>
      <c r="K270" s="5" t="s">
        <v>8586</v>
      </c>
      <c r="L270" s="6" t="s">
        <v>42</v>
      </c>
      <c r="M270" s="5" t="s">
        <v>8746</v>
      </c>
      <c r="N270" s="5" t="s">
        <v>64</v>
      </c>
      <c r="O270" s="5" t="s">
        <v>17051</v>
      </c>
      <c r="P270" s="6">
        <v>10236.0</v>
      </c>
    </row>
    <row r="271" ht="56.25" customHeight="1">
      <c r="A271" s="5" t="s">
        <v>17052</v>
      </c>
      <c r="B271" s="6" t="str">
        <f>IMAGE("https://storage.googleapis.com/acdb/headwear/CapOrnamentLHibiscus1.png")</f>
        <v/>
      </c>
      <c r="C271" s="5" t="s">
        <v>114</v>
      </c>
      <c r="D271" s="5" t="s">
        <v>36</v>
      </c>
      <c r="E271" s="6">
        <v>560.0</v>
      </c>
      <c r="F271" s="6">
        <v>140.0</v>
      </c>
      <c r="G271" s="5" t="s">
        <v>114</v>
      </c>
      <c r="H271" s="5" t="s">
        <v>96</v>
      </c>
      <c r="I271" s="6" t="s">
        <v>40</v>
      </c>
      <c r="J271" s="5" t="s">
        <v>8585</v>
      </c>
      <c r="K271" s="5" t="s">
        <v>8632</v>
      </c>
      <c r="L271" s="6" t="s">
        <v>42</v>
      </c>
      <c r="M271" s="5" t="s">
        <v>1059</v>
      </c>
      <c r="N271" s="5" t="s">
        <v>64</v>
      </c>
      <c r="O271" s="5" t="s">
        <v>17055</v>
      </c>
      <c r="P271" s="6">
        <v>10848.0</v>
      </c>
    </row>
    <row r="272" ht="56.25" customHeight="1">
      <c r="A272" s="5" t="s">
        <v>17052</v>
      </c>
      <c r="B272" s="6" t="str">
        <f>IMAGE("https://storage.googleapis.com/acdb/headwear/CapOrnamentLHibiscus2.png")</f>
        <v/>
      </c>
      <c r="C272" s="5" t="s">
        <v>57</v>
      </c>
      <c r="D272" s="5" t="s">
        <v>36</v>
      </c>
      <c r="E272" s="6">
        <v>560.0</v>
      </c>
      <c r="F272" s="6">
        <v>140.0</v>
      </c>
      <c r="G272" s="5" t="s">
        <v>57</v>
      </c>
      <c r="H272" s="5" t="s">
        <v>96</v>
      </c>
      <c r="I272" s="6" t="s">
        <v>40</v>
      </c>
      <c r="J272" s="5" t="s">
        <v>8585</v>
      </c>
      <c r="K272" s="5" t="s">
        <v>8632</v>
      </c>
      <c r="L272" s="6" t="s">
        <v>42</v>
      </c>
      <c r="M272" s="5" t="s">
        <v>1059</v>
      </c>
      <c r="N272" s="5" t="s">
        <v>64</v>
      </c>
      <c r="O272" s="5" t="s">
        <v>17057</v>
      </c>
      <c r="P272" s="6">
        <v>10849.0</v>
      </c>
    </row>
    <row r="273" ht="56.25" customHeight="1">
      <c r="A273" s="5" t="s">
        <v>17052</v>
      </c>
      <c r="B273" s="6" t="str">
        <f>IMAGE("https://storage.googleapis.com/acdb/headwear/CapOrnamentLHibiscus0.png")</f>
        <v/>
      </c>
      <c r="C273" s="5" t="s">
        <v>52</v>
      </c>
      <c r="D273" s="5" t="s">
        <v>36</v>
      </c>
      <c r="E273" s="6">
        <v>560.0</v>
      </c>
      <c r="F273" s="6">
        <v>140.0</v>
      </c>
      <c r="G273" s="5" t="s">
        <v>52</v>
      </c>
      <c r="H273" s="5" t="s">
        <v>96</v>
      </c>
      <c r="I273" s="6" t="s">
        <v>40</v>
      </c>
      <c r="J273" s="5" t="s">
        <v>8585</v>
      </c>
      <c r="K273" s="5" t="s">
        <v>8632</v>
      </c>
      <c r="L273" s="6" t="s">
        <v>42</v>
      </c>
      <c r="M273" s="5" t="s">
        <v>1059</v>
      </c>
      <c r="N273" s="5" t="s">
        <v>64</v>
      </c>
      <c r="O273" s="5" t="s">
        <v>17059</v>
      </c>
      <c r="P273" s="6">
        <v>8614.0</v>
      </c>
    </row>
    <row r="274" ht="56.25" customHeight="1">
      <c r="A274" s="5" t="s">
        <v>17052</v>
      </c>
      <c r="B274" s="6" t="str">
        <f>IMAGE("https://storage.googleapis.com/acdb/headwear/CapOrnamentLHibiscus3.png")</f>
        <v/>
      </c>
      <c r="C274" s="5" t="s">
        <v>69</v>
      </c>
      <c r="D274" s="5" t="s">
        <v>36</v>
      </c>
      <c r="E274" s="6">
        <v>560.0</v>
      </c>
      <c r="F274" s="6">
        <v>140.0</v>
      </c>
      <c r="G274" s="5" t="s">
        <v>69</v>
      </c>
      <c r="H274" s="5" t="s">
        <v>96</v>
      </c>
      <c r="I274" s="6" t="s">
        <v>40</v>
      </c>
      <c r="J274" s="5" t="s">
        <v>8585</v>
      </c>
      <c r="K274" s="5" t="s">
        <v>8632</v>
      </c>
      <c r="L274" s="6" t="s">
        <v>42</v>
      </c>
      <c r="M274" s="5" t="s">
        <v>1059</v>
      </c>
      <c r="N274" s="5" t="s">
        <v>64</v>
      </c>
      <c r="O274" s="5" t="s">
        <v>17063</v>
      </c>
      <c r="P274" s="6">
        <v>10850.0</v>
      </c>
    </row>
    <row r="275" ht="56.25" customHeight="1">
      <c r="A275" s="5" t="s">
        <v>17064</v>
      </c>
      <c r="B275" s="6" t="str">
        <f>IMAGE("https://storage.googleapis.com/acdb/headwear/AccessoryGlassmouthHockeyWhite.png")</f>
        <v/>
      </c>
      <c r="C275" s="5" t="s">
        <v>57</v>
      </c>
      <c r="D275" s="5" t="s">
        <v>36</v>
      </c>
      <c r="E275" s="6">
        <v>1440.0</v>
      </c>
      <c r="F275" s="6">
        <v>360.0</v>
      </c>
      <c r="G275" s="5" t="s">
        <v>57</v>
      </c>
      <c r="H275" s="5" t="s">
        <v>57</v>
      </c>
      <c r="I275" s="6" t="s">
        <v>40</v>
      </c>
      <c r="J275" s="5" t="s">
        <v>8585</v>
      </c>
      <c r="K275" s="5" t="s">
        <v>8586</v>
      </c>
      <c r="L275" s="6" t="s">
        <v>42</v>
      </c>
      <c r="M275" s="5" t="s">
        <v>1952</v>
      </c>
      <c r="N275" s="5" t="s">
        <v>64</v>
      </c>
      <c r="O275" s="5" t="s">
        <v>17067</v>
      </c>
      <c r="P275" s="6">
        <v>6041.0</v>
      </c>
    </row>
    <row r="276" ht="56.25" customHeight="1">
      <c r="A276" s="5" t="s">
        <v>17068</v>
      </c>
      <c r="B276" s="6" t="str">
        <f>IMAGE("https://storage.googleapis.com/acdb/headwear/CapBangsSausage.png")</f>
        <v/>
      </c>
      <c r="C276" s="5" t="s">
        <v>52</v>
      </c>
      <c r="D276" s="5" t="s">
        <v>36</v>
      </c>
      <c r="E276" s="6">
        <v>560.0</v>
      </c>
      <c r="F276" s="6">
        <v>140.0</v>
      </c>
      <c r="G276" s="5" t="s">
        <v>52</v>
      </c>
      <c r="H276" s="5" t="s">
        <v>52</v>
      </c>
      <c r="I276" s="6" t="s">
        <v>40</v>
      </c>
      <c r="J276" s="5" t="s">
        <v>8585</v>
      </c>
      <c r="K276" s="5" t="s">
        <v>8586</v>
      </c>
      <c r="L276" s="6" t="s">
        <v>42</v>
      </c>
      <c r="M276" s="5" t="s">
        <v>8746</v>
      </c>
      <c r="N276" s="5" t="s">
        <v>64</v>
      </c>
      <c r="O276" s="5" t="s">
        <v>17070</v>
      </c>
      <c r="P276" s="6">
        <v>5369.0</v>
      </c>
    </row>
    <row r="277" ht="56.25" customHeight="1">
      <c r="A277" s="5" t="s">
        <v>17071</v>
      </c>
      <c r="B277" s="6" t="str">
        <f>IMAGE("https://storage.googleapis.com/acdb/headwear/CapOrnamentHyacinth1.png")</f>
        <v/>
      </c>
      <c r="C277" s="5" t="s">
        <v>52</v>
      </c>
      <c r="D277" s="5" t="s">
        <v>35</v>
      </c>
      <c r="E277" s="6" t="s">
        <v>37</v>
      </c>
      <c r="F277" s="6">
        <v>640.0</v>
      </c>
      <c r="G277" s="5" t="s">
        <v>52</v>
      </c>
      <c r="H277" s="5" t="s">
        <v>114</v>
      </c>
      <c r="I277" s="6" t="s">
        <v>40</v>
      </c>
      <c r="J277" s="5" t="s">
        <v>41</v>
      </c>
      <c r="K277" s="5"/>
      <c r="L277" s="6" t="s">
        <v>42</v>
      </c>
      <c r="M277" s="5" t="s">
        <v>1959</v>
      </c>
      <c r="N277" s="5" t="s">
        <v>48</v>
      </c>
      <c r="O277" s="5" t="s">
        <v>17074</v>
      </c>
      <c r="P277" s="6">
        <v>5096.0</v>
      </c>
    </row>
    <row r="278" ht="56.25" customHeight="1">
      <c r="A278" s="5" t="s">
        <v>17075</v>
      </c>
      <c r="B278" s="6" t="str">
        <f>IMAGE("https://storage.googleapis.com/acdb/headwear/CapHatCowWhite.png")</f>
        <v/>
      </c>
      <c r="C278" s="5" t="s">
        <v>57</v>
      </c>
      <c r="D278" s="5" t="s">
        <v>36</v>
      </c>
      <c r="E278" s="6">
        <v>1120.0</v>
      </c>
      <c r="F278" s="6">
        <v>280.0</v>
      </c>
      <c r="G278" s="5" t="s">
        <v>57</v>
      </c>
      <c r="H278" s="5" t="s">
        <v>57</v>
      </c>
      <c r="I278" s="6" t="s">
        <v>40</v>
      </c>
      <c r="J278" s="5" t="s">
        <v>8585</v>
      </c>
      <c r="K278" s="5" t="s">
        <v>8586</v>
      </c>
      <c r="L278" s="6" t="s">
        <v>42</v>
      </c>
      <c r="M278" s="5" t="s">
        <v>1952</v>
      </c>
      <c r="N278" s="5" t="s">
        <v>64</v>
      </c>
      <c r="O278" s="5" t="s">
        <v>17078</v>
      </c>
      <c r="P278" s="6">
        <v>5447.0</v>
      </c>
    </row>
    <row r="279" ht="56.25" customHeight="1">
      <c r="A279" s="5" t="s">
        <v>17079</v>
      </c>
      <c r="B279" s="6" t="str">
        <f>IMAGE("https://storage.googleapis.com/acdb/headwear/CapCostumeDevil0.png")</f>
        <v/>
      </c>
      <c r="C279" s="5" t="s">
        <v>54</v>
      </c>
      <c r="D279" s="5" t="s">
        <v>36</v>
      </c>
      <c r="E279" s="6">
        <v>1760.0</v>
      </c>
      <c r="F279" s="6">
        <v>440.0</v>
      </c>
      <c r="G279" s="5" t="s">
        <v>54</v>
      </c>
      <c r="H279" s="5" t="s">
        <v>54</v>
      </c>
      <c r="I279" s="6" t="s">
        <v>40</v>
      </c>
      <c r="J279" s="5" t="s">
        <v>8585</v>
      </c>
      <c r="K279" s="5" t="s">
        <v>8586</v>
      </c>
      <c r="L279" s="6" t="s">
        <v>42</v>
      </c>
      <c r="M279" s="5" t="s">
        <v>1952</v>
      </c>
      <c r="N279" s="5" t="s">
        <v>64</v>
      </c>
      <c r="O279" s="5" t="s">
        <v>17080</v>
      </c>
      <c r="P279" s="6">
        <v>5464.0</v>
      </c>
    </row>
    <row r="280" ht="56.25" customHeight="1">
      <c r="A280" s="5" t="s">
        <v>17079</v>
      </c>
      <c r="B280" s="6" t="str">
        <f>IMAGE("https://storage.googleapis.com/acdb/headwear/CapCostumeDevil1.png")</f>
        <v/>
      </c>
      <c r="C280" s="5" t="s">
        <v>52</v>
      </c>
      <c r="D280" s="5" t="s">
        <v>36</v>
      </c>
      <c r="E280" s="6">
        <v>1760.0</v>
      </c>
      <c r="F280" s="6">
        <v>440.0</v>
      </c>
      <c r="G280" s="5" t="s">
        <v>52</v>
      </c>
      <c r="H280" s="5" t="s">
        <v>52</v>
      </c>
      <c r="I280" s="6" t="s">
        <v>40</v>
      </c>
      <c r="J280" s="5" t="s">
        <v>8585</v>
      </c>
      <c r="K280" s="5" t="s">
        <v>8586</v>
      </c>
      <c r="L280" s="6" t="s">
        <v>42</v>
      </c>
      <c r="M280" s="5" t="s">
        <v>1952</v>
      </c>
      <c r="N280" s="5" t="s">
        <v>64</v>
      </c>
      <c r="O280" s="5" t="s">
        <v>17084</v>
      </c>
      <c r="P280" s="6">
        <v>11707.0</v>
      </c>
    </row>
    <row r="281" ht="56.25" customHeight="1">
      <c r="A281" s="5" t="s">
        <v>17085</v>
      </c>
      <c r="B281" s="6" t="str">
        <f>IMAGE("https://storage.googleapis.com/acdb/headwear/CapHatClown1.png")</f>
        <v/>
      </c>
      <c r="C281" s="5" t="s">
        <v>3399</v>
      </c>
      <c r="D281" s="5" t="s">
        <v>36</v>
      </c>
      <c r="E281" s="6">
        <v>1900.0</v>
      </c>
      <c r="F281" s="6">
        <v>475.0</v>
      </c>
      <c r="G281" s="5" t="s">
        <v>54</v>
      </c>
      <c r="H281" s="5" t="s">
        <v>57</v>
      </c>
      <c r="I281" s="6" t="s">
        <v>40</v>
      </c>
      <c r="J281" s="5" t="s">
        <v>8585</v>
      </c>
      <c r="K281" s="5" t="s">
        <v>8586</v>
      </c>
      <c r="L281" s="6" t="s">
        <v>42</v>
      </c>
      <c r="M281" s="5" t="s">
        <v>8746</v>
      </c>
      <c r="N281" s="5" t="s">
        <v>64</v>
      </c>
      <c r="O281" s="5" t="s">
        <v>17087</v>
      </c>
      <c r="P281" s="6">
        <v>11860.0</v>
      </c>
    </row>
    <row r="282" ht="56.25" customHeight="1">
      <c r="A282" s="5" t="s">
        <v>17085</v>
      </c>
      <c r="B282" s="6" t="str">
        <f>IMAGE("https://storage.googleapis.com/acdb/headwear/CapHatClown2.png")</f>
        <v/>
      </c>
      <c r="C282" s="5" t="s">
        <v>15557</v>
      </c>
      <c r="D282" s="5" t="s">
        <v>36</v>
      </c>
      <c r="E282" s="6">
        <v>1900.0</v>
      </c>
      <c r="F282" s="6">
        <v>475.0</v>
      </c>
      <c r="G282" s="5" t="s">
        <v>52</v>
      </c>
      <c r="H282" s="5" t="s">
        <v>83</v>
      </c>
      <c r="I282" s="6" t="s">
        <v>40</v>
      </c>
      <c r="J282" s="5" t="s">
        <v>8585</v>
      </c>
      <c r="K282" s="5" t="s">
        <v>8586</v>
      </c>
      <c r="L282" s="6" t="s">
        <v>42</v>
      </c>
      <c r="M282" s="5" t="s">
        <v>8746</v>
      </c>
      <c r="N282" s="5" t="s">
        <v>64</v>
      </c>
      <c r="O282" s="5" t="s">
        <v>17091</v>
      </c>
      <c r="P282" s="6">
        <v>11861.0</v>
      </c>
    </row>
    <row r="283" ht="56.25" customHeight="1">
      <c r="A283" s="5" t="s">
        <v>17085</v>
      </c>
      <c r="B283" s="6" t="str">
        <f>IMAGE("https://storage.googleapis.com/acdb/headwear/CapHatClown3.png")</f>
        <v/>
      </c>
      <c r="C283" s="5" t="s">
        <v>15166</v>
      </c>
      <c r="D283" s="5" t="s">
        <v>36</v>
      </c>
      <c r="E283" s="6">
        <v>1900.0</v>
      </c>
      <c r="F283" s="6">
        <v>475.0</v>
      </c>
      <c r="G283" s="5" t="s">
        <v>96</v>
      </c>
      <c r="H283" s="5" t="s">
        <v>142</v>
      </c>
      <c r="I283" s="6" t="s">
        <v>40</v>
      </c>
      <c r="J283" s="5" t="s">
        <v>8585</v>
      </c>
      <c r="K283" s="5" t="s">
        <v>8586</v>
      </c>
      <c r="L283" s="6" t="s">
        <v>42</v>
      </c>
      <c r="M283" s="5" t="s">
        <v>8746</v>
      </c>
      <c r="N283" s="5" t="s">
        <v>64</v>
      </c>
      <c r="O283" s="5" t="s">
        <v>17093</v>
      </c>
      <c r="P283" s="6">
        <v>11862.0</v>
      </c>
    </row>
    <row r="284" ht="56.25" customHeight="1">
      <c r="A284" s="5" t="s">
        <v>17085</v>
      </c>
      <c r="B284" s="6" t="str">
        <f>IMAGE("https://storage.googleapis.com/acdb/headwear/CapHatClown0.png")</f>
        <v/>
      </c>
      <c r="C284" s="5" t="s">
        <v>15562</v>
      </c>
      <c r="D284" s="5" t="s">
        <v>36</v>
      </c>
      <c r="E284" s="6">
        <v>1900.0</v>
      </c>
      <c r="F284" s="6">
        <v>475.0</v>
      </c>
      <c r="G284" s="5" t="s">
        <v>106</v>
      </c>
      <c r="H284" s="5" t="s">
        <v>114</v>
      </c>
      <c r="I284" s="6" t="s">
        <v>40</v>
      </c>
      <c r="J284" s="5" t="s">
        <v>8585</v>
      </c>
      <c r="K284" s="5" t="s">
        <v>8586</v>
      </c>
      <c r="L284" s="6" t="s">
        <v>42</v>
      </c>
      <c r="M284" s="5" t="s">
        <v>8746</v>
      </c>
      <c r="N284" s="5" t="s">
        <v>64</v>
      </c>
      <c r="O284" s="5" t="s">
        <v>17095</v>
      </c>
      <c r="P284" s="6">
        <v>5385.0</v>
      </c>
    </row>
    <row r="285" ht="56.25" customHeight="1">
      <c r="A285" s="5" t="s">
        <v>17097</v>
      </c>
      <c r="B285" s="6" t="str">
        <f>IMAGE("https://storage.googleapis.com/acdb/headwear/CapHatJockey0.png")</f>
        <v/>
      </c>
      <c r="C285" s="5" t="s">
        <v>69</v>
      </c>
      <c r="D285" s="5" t="s">
        <v>36</v>
      </c>
      <c r="E285" s="6">
        <v>1120.0</v>
      </c>
      <c r="F285" s="6">
        <v>280.0</v>
      </c>
      <c r="G285" s="5" t="s">
        <v>69</v>
      </c>
      <c r="H285" s="5" t="s">
        <v>54</v>
      </c>
      <c r="I285" s="6" t="s">
        <v>40</v>
      </c>
      <c r="J285" s="5" t="s">
        <v>8585</v>
      </c>
      <c r="K285" s="5" t="s">
        <v>8586</v>
      </c>
      <c r="L285" s="6" t="s">
        <v>42</v>
      </c>
      <c r="M285" s="5" t="s">
        <v>8746</v>
      </c>
      <c r="N285" s="5" t="s">
        <v>64</v>
      </c>
      <c r="O285" s="5" t="s">
        <v>17098</v>
      </c>
      <c r="P285" s="6">
        <v>5367.0</v>
      </c>
    </row>
    <row r="286" ht="56.25" customHeight="1">
      <c r="A286" s="5" t="s">
        <v>17097</v>
      </c>
      <c r="B286" s="6" t="str">
        <f>IMAGE("https://storage.googleapis.com/acdb/headwear/CapHatJockey1.png")</f>
        <v/>
      </c>
      <c r="C286" s="5" t="s">
        <v>142</v>
      </c>
      <c r="D286" s="5" t="s">
        <v>36</v>
      </c>
      <c r="E286" s="6">
        <v>1120.0</v>
      </c>
      <c r="F286" s="6">
        <v>280.0</v>
      </c>
      <c r="G286" s="5" t="s">
        <v>142</v>
      </c>
      <c r="H286" s="5" t="s">
        <v>54</v>
      </c>
      <c r="I286" s="6" t="s">
        <v>40</v>
      </c>
      <c r="J286" s="5" t="s">
        <v>8585</v>
      </c>
      <c r="K286" s="5" t="s">
        <v>8586</v>
      </c>
      <c r="L286" s="6" t="s">
        <v>42</v>
      </c>
      <c r="M286" s="5" t="s">
        <v>8746</v>
      </c>
      <c r="N286" s="5" t="s">
        <v>64</v>
      </c>
      <c r="O286" s="5" t="s">
        <v>17102</v>
      </c>
      <c r="P286" s="6">
        <v>11621.0</v>
      </c>
    </row>
    <row r="287" ht="56.25" customHeight="1">
      <c r="A287" s="5" t="s">
        <v>17097</v>
      </c>
      <c r="B287" s="6" t="str">
        <f>IMAGE("https://storage.googleapis.com/acdb/headwear/CapHatJockey2.png")</f>
        <v/>
      </c>
      <c r="C287" s="5" t="s">
        <v>96</v>
      </c>
      <c r="D287" s="5" t="s">
        <v>36</v>
      </c>
      <c r="E287" s="6">
        <v>1120.0</v>
      </c>
      <c r="F287" s="6">
        <v>280.0</v>
      </c>
      <c r="G287" s="5" t="s">
        <v>96</v>
      </c>
      <c r="H287" s="5" t="s">
        <v>54</v>
      </c>
      <c r="I287" s="6" t="s">
        <v>40</v>
      </c>
      <c r="J287" s="5" t="s">
        <v>8585</v>
      </c>
      <c r="K287" s="5" t="s">
        <v>8586</v>
      </c>
      <c r="L287" s="6" t="s">
        <v>42</v>
      </c>
      <c r="M287" s="5" t="s">
        <v>8746</v>
      </c>
      <c r="N287" s="5" t="s">
        <v>64</v>
      </c>
      <c r="O287" s="5" t="s">
        <v>17104</v>
      </c>
      <c r="P287" s="6">
        <v>11622.0</v>
      </c>
    </row>
    <row r="288" ht="56.25" customHeight="1">
      <c r="A288" s="5" t="s">
        <v>17097</v>
      </c>
      <c r="B288" s="6" t="str">
        <f>IMAGE("https://storage.googleapis.com/acdb/headwear/CapHatJockey3.png")</f>
        <v/>
      </c>
      <c r="C288" s="5" t="s">
        <v>114</v>
      </c>
      <c r="D288" s="5" t="s">
        <v>36</v>
      </c>
      <c r="E288" s="6">
        <v>1120.0</v>
      </c>
      <c r="F288" s="6">
        <v>280.0</v>
      </c>
      <c r="G288" s="5" t="s">
        <v>114</v>
      </c>
      <c r="H288" s="5" t="s">
        <v>54</v>
      </c>
      <c r="I288" s="6" t="s">
        <v>40</v>
      </c>
      <c r="J288" s="5" t="s">
        <v>8585</v>
      </c>
      <c r="K288" s="5" t="s">
        <v>8586</v>
      </c>
      <c r="L288" s="6" t="s">
        <v>42</v>
      </c>
      <c r="M288" s="5" t="s">
        <v>8746</v>
      </c>
      <c r="N288" s="5" t="s">
        <v>64</v>
      </c>
      <c r="O288" s="5" t="s">
        <v>17107</v>
      </c>
      <c r="P288" s="6">
        <v>11623.0</v>
      </c>
    </row>
    <row r="289" ht="56.25" customHeight="1">
      <c r="A289" s="5" t="s">
        <v>17097</v>
      </c>
      <c r="B289" s="6" t="str">
        <f>IMAGE("https://storage.googleapis.com/acdb/headwear/CapHatJockey4.png")</f>
        <v/>
      </c>
      <c r="C289" s="5" t="s">
        <v>68</v>
      </c>
      <c r="D289" s="5" t="s">
        <v>36</v>
      </c>
      <c r="E289" s="6">
        <v>1120.0</v>
      </c>
      <c r="F289" s="6">
        <v>280.0</v>
      </c>
      <c r="G289" s="5" t="s">
        <v>68</v>
      </c>
      <c r="H289" s="5" t="s">
        <v>54</v>
      </c>
      <c r="I289" s="6" t="s">
        <v>40</v>
      </c>
      <c r="J289" s="5" t="s">
        <v>8585</v>
      </c>
      <c r="K289" s="5" t="s">
        <v>8586</v>
      </c>
      <c r="L289" s="6" t="s">
        <v>42</v>
      </c>
      <c r="M289" s="5" t="s">
        <v>8746</v>
      </c>
      <c r="N289" s="5" t="s">
        <v>64</v>
      </c>
      <c r="O289" s="5" t="s">
        <v>17112</v>
      </c>
      <c r="P289" s="6">
        <v>11624.0</v>
      </c>
    </row>
    <row r="290" ht="56.25" customHeight="1">
      <c r="A290" s="5" t="s">
        <v>17097</v>
      </c>
      <c r="B290" s="6" t="str">
        <f>IMAGE("https://storage.googleapis.com/acdb/headwear/CapHatJockey5.png")</f>
        <v/>
      </c>
      <c r="C290" s="5" t="s">
        <v>52</v>
      </c>
      <c r="D290" s="5" t="s">
        <v>36</v>
      </c>
      <c r="E290" s="6">
        <v>1120.0</v>
      </c>
      <c r="F290" s="6">
        <v>280.0</v>
      </c>
      <c r="G290" s="5" t="s">
        <v>52</v>
      </c>
      <c r="H290" s="5" t="s">
        <v>54</v>
      </c>
      <c r="I290" s="6" t="s">
        <v>40</v>
      </c>
      <c r="J290" s="5" t="s">
        <v>8585</v>
      </c>
      <c r="K290" s="5" t="s">
        <v>8586</v>
      </c>
      <c r="L290" s="6" t="s">
        <v>42</v>
      </c>
      <c r="M290" s="5" t="s">
        <v>8746</v>
      </c>
      <c r="N290" s="5" t="s">
        <v>64</v>
      </c>
      <c r="O290" s="5" t="s">
        <v>17116</v>
      </c>
      <c r="P290" s="6">
        <v>11625.0</v>
      </c>
    </row>
    <row r="291" ht="56.25" customHeight="1">
      <c r="A291" s="5" t="s">
        <v>17097</v>
      </c>
      <c r="B291" s="6" t="str">
        <f>IMAGE("https://storage.googleapis.com/acdb/headwear/CapHatJockey6.png")</f>
        <v/>
      </c>
      <c r="C291" s="5" t="s">
        <v>54</v>
      </c>
      <c r="D291" s="5" t="s">
        <v>36</v>
      </c>
      <c r="E291" s="6">
        <v>1120.0</v>
      </c>
      <c r="F291" s="6">
        <v>280.0</v>
      </c>
      <c r="G291" s="5" t="s">
        <v>54</v>
      </c>
      <c r="H291" s="5" t="s">
        <v>54</v>
      </c>
      <c r="I291" s="6" t="s">
        <v>40</v>
      </c>
      <c r="J291" s="5" t="s">
        <v>8585</v>
      </c>
      <c r="K291" s="5" t="s">
        <v>8586</v>
      </c>
      <c r="L291" s="6" t="s">
        <v>42</v>
      </c>
      <c r="M291" s="5" t="s">
        <v>8746</v>
      </c>
      <c r="N291" s="5" t="s">
        <v>64</v>
      </c>
      <c r="O291" s="5" t="s">
        <v>17119</v>
      </c>
      <c r="P291" s="6">
        <v>11626.0</v>
      </c>
    </row>
    <row r="292" ht="56.25" customHeight="1">
      <c r="A292" s="5" t="s">
        <v>17097</v>
      </c>
      <c r="B292" s="6" t="str">
        <f>IMAGE("https://storage.googleapis.com/acdb/headwear/CapHatJockey7.png")</f>
        <v/>
      </c>
      <c r="C292" s="5" t="s">
        <v>57</v>
      </c>
      <c r="D292" s="5" t="s">
        <v>36</v>
      </c>
      <c r="E292" s="6">
        <v>1120.0</v>
      </c>
      <c r="F292" s="6">
        <v>280.0</v>
      </c>
      <c r="G292" s="5" t="s">
        <v>57</v>
      </c>
      <c r="H292" s="5" t="s">
        <v>54</v>
      </c>
      <c r="I292" s="6" t="s">
        <v>40</v>
      </c>
      <c r="J292" s="5" t="s">
        <v>8585</v>
      </c>
      <c r="K292" s="5" t="s">
        <v>8586</v>
      </c>
      <c r="L292" s="6" t="s">
        <v>42</v>
      </c>
      <c r="M292" s="5" t="s">
        <v>8746</v>
      </c>
      <c r="N292" s="5" t="s">
        <v>64</v>
      </c>
      <c r="O292" s="5" t="s">
        <v>17122</v>
      </c>
      <c r="P292" s="6">
        <v>11627.0</v>
      </c>
    </row>
    <row r="293" ht="56.25" customHeight="1">
      <c r="A293" s="5" t="s">
        <v>17124</v>
      </c>
      <c r="B293" s="6" t="str">
        <f>IMAGE("https://storage.googleapis.com/acdb/headwear/CapHelmetKandula0.png")</f>
        <v/>
      </c>
      <c r="C293" s="5" t="s">
        <v>57</v>
      </c>
      <c r="D293" s="5" t="s">
        <v>36</v>
      </c>
      <c r="E293" s="6" t="s">
        <v>37</v>
      </c>
      <c r="F293" s="6">
        <v>800.0</v>
      </c>
      <c r="G293" s="5" t="s">
        <v>57</v>
      </c>
      <c r="H293" s="5" t="s">
        <v>54</v>
      </c>
      <c r="I293" s="6" t="s">
        <v>40</v>
      </c>
      <c r="J293" s="5" t="s">
        <v>1284</v>
      </c>
      <c r="K293" s="5"/>
      <c r="L293" s="6" t="s">
        <v>42</v>
      </c>
      <c r="M293" s="5" t="s">
        <v>1059</v>
      </c>
      <c r="N293" s="5" t="s">
        <v>48</v>
      </c>
      <c r="O293" s="5" t="s">
        <v>17125</v>
      </c>
      <c r="P293" s="6">
        <v>6052.0</v>
      </c>
    </row>
    <row r="294" ht="56.25" customHeight="1">
      <c r="A294" s="5" t="s">
        <v>17124</v>
      </c>
      <c r="B294" s="6" t="str">
        <f>IMAGE("https://storage.googleapis.com/acdb/headwear/CapHelmetKandula1.png")</f>
        <v/>
      </c>
      <c r="C294" s="5" t="s">
        <v>52</v>
      </c>
      <c r="D294" s="5" t="s">
        <v>36</v>
      </c>
      <c r="E294" s="6" t="s">
        <v>37</v>
      </c>
      <c r="F294" s="6">
        <v>800.0</v>
      </c>
      <c r="G294" s="5" t="s">
        <v>52</v>
      </c>
      <c r="H294" s="5" t="s">
        <v>54</v>
      </c>
      <c r="I294" s="6" t="s">
        <v>40</v>
      </c>
      <c r="J294" s="5" t="s">
        <v>1284</v>
      </c>
      <c r="K294" s="5"/>
      <c r="L294" s="6" t="s">
        <v>42</v>
      </c>
      <c r="M294" s="5" t="s">
        <v>1059</v>
      </c>
      <c r="N294" s="5" t="s">
        <v>48</v>
      </c>
      <c r="O294" s="5" t="s">
        <v>17129</v>
      </c>
      <c r="P294" s="6">
        <v>9747.0</v>
      </c>
    </row>
    <row r="295" ht="56.25" customHeight="1">
      <c r="A295" s="5" t="s">
        <v>17124</v>
      </c>
      <c r="B295" s="6" t="str">
        <f>IMAGE("https://storage.googleapis.com/acdb/headwear/CapHelmetKandula2.png")</f>
        <v/>
      </c>
      <c r="C295" s="5" t="s">
        <v>54</v>
      </c>
      <c r="D295" s="5" t="s">
        <v>36</v>
      </c>
      <c r="E295" s="6" t="s">
        <v>37</v>
      </c>
      <c r="F295" s="6">
        <v>800.0</v>
      </c>
      <c r="G295" s="5" t="s">
        <v>95</v>
      </c>
      <c r="H295" s="5" t="s">
        <v>54</v>
      </c>
      <c r="I295" s="6" t="s">
        <v>40</v>
      </c>
      <c r="J295" s="5" t="s">
        <v>1284</v>
      </c>
      <c r="K295" s="5"/>
      <c r="L295" s="6" t="s">
        <v>42</v>
      </c>
      <c r="M295" s="5" t="s">
        <v>1059</v>
      </c>
      <c r="N295" s="5" t="s">
        <v>48</v>
      </c>
      <c r="O295" s="5" t="s">
        <v>17133</v>
      </c>
      <c r="P295" s="6">
        <v>9748.0</v>
      </c>
    </row>
    <row r="296" ht="56.25" customHeight="1">
      <c r="A296" s="5" t="s">
        <v>17134</v>
      </c>
      <c r="B296" s="6" t="str">
        <f>IMAGE("https://storage.googleapis.com/acdb/headwear/CapCostumeKappa0.png")</f>
        <v/>
      </c>
      <c r="C296" s="5" t="s">
        <v>96</v>
      </c>
      <c r="D296" s="5" t="s">
        <v>36</v>
      </c>
      <c r="E296" s="6">
        <v>980.0</v>
      </c>
      <c r="F296" s="6">
        <v>245.0</v>
      </c>
      <c r="G296" s="5" t="s">
        <v>96</v>
      </c>
      <c r="H296" s="5" t="s">
        <v>96</v>
      </c>
      <c r="I296" s="6" t="s">
        <v>40</v>
      </c>
      <c r="J296" s="5" t="s">
        <v>8585</v>
      </c>
      <c r="K296" s="5" t="s">
        <v>8586</v>
      </c>
      <c r="L296" s="6" t="s">
        <v>42</v>
      </c>
      <c r="M296" s="5" t="s">
        <v>1959</v>
      </c>
      <c r="N296" s="5" t="s">
        <v>64</v>
      </c>
      <c r="O296" s="5" t="s">
        <v>17137</v>
      </c>
      <c r="P296" s="6">
        <v>5331.0</v>
      </c>
    </row>
    <row r="297" ht="56.25" customHeight="1">
      <c r="A297" s="5" t="s">
        <v>17134</v>
      </c>
      <c r="B297" s="6" t="str">
        <f>IMAGE("https://storage.googleapis.com/acdb/headwear/CapCostumeKappa1.png")</f>
        <v/>
      </c>
      <c r="C297" s="5" t="s">
        <v>69</v>
      </c>
      <c r="D297" s="5" t="s">
        <v>36</v>
      </c>
      <c r="E297" s="6">
        <v>980.0</v>
      </c>
      <c r="F297" s="6">
        <v>245.0</v>
      </c>
      <c r="G297" s="5" t="s">
        <v>69</v>
      </c>
      <c r="H297" s="5" t="s">
        <v>69</v>
      </c>
      <c r="I297" s="6" t="s">
        <v>40</v>
      </c>
      <c r="J297" s="5" t="s">
        <v>8585</v>
      </c>
      <c r="K297" s="5" t="s">
        <v>8586</v>
      </c>
      <c r="L297" s="6" t="s">
        <v>42</v>
      </c>
      <c r="M297" s="5" t="s">
        <v>1959</v>
      </c>
      <c r="N297" s="5" t="s">
        <v>64</v>
      </c>
      <c r="O297" s="5" t="s">
        <v>17140</v>
      </c>
      <c r="P297" s="6">
        <v>11696.0</v>
      </c>
    </row>
    <row r="298" ht="56.25" customHeight="1">
      <c r="A298" s="5" t="s">
        <v>17141</v>
      </c>
      <c r="B298" s="6" t="str">
        <f>IMAGE("https://storage.googleapis.com/acdb/headwear/CapHatKiwi.png")</f>
        <v/>
      </c>
      <c r="C298" s="5" t="s">
        <v>96</v>
      </c>
      <c r="D298" s="5" t="s">
        <v>36</v>
      </c>
      <c r="E298" s="6">
        <v>770.0</v>
      </c>
      <c r="F298" s="6">
        <v>192.0</v>
      </c>
      <c r="G298" s="5" t="s">
        <v>39</v>
      </c>
      <c r="H298" s="5" t="s">
        <v>96</v>
      </c>
      <c r="I298" s="6" t="s">
        <v>40</v>
      </c>
      <c r="J298" s="5" t="s">
        <v>8585</v>
      </c>
      <c r="K298" s="5" t="s">
        <v>8632</v>
      </c>
      <c r="L298" s="6" t="s">
        <v>42</v>
      </c>
      <c r="M298" s="5" t="s">
        <v>1959</v>
      </c>
      <c r="N298" s="5" t="s">
        <v>64</v>
      </c>
      <c r="O298" s="5" t="s">
        <v>17145</v>
      </c>
      <c r="P298" s="6">
        <v>5276.0</v>
      </c>
    </row>
    <row r="299" ht="56.25" customHeight="1">
      <c r="A299" s="5" t="s">
        <v>17146</v>
      </c>
      <c r="B299" s="6" t="str">
        <f>IMAGE("https://storage.googleapis.com/acdb/headwear/CapFullfaceKnightIron.png")</f>
        <v/>
      </c>
      <c r="C299" s="5" t="s">
        <v>95</v>
      </c>
      <c r="D299" s="5" t="s">
        <v>35</v>
      </c>
      <c r="E299" s="6" t="s">
        <v>37</v>
      </c>
      <c r="F299" s="6">
        <v>3750.0</v>
      </c>
      <c r="G299" s="5" t="s">
        <v>95</v>
      </c>
      <c r="H299" s="5" t="s">
        <v>95</v>
      </c>
      <c r="I299" s="6" t="s">
        <v>40</v>
      </c>
      <c r="J299" s="5" t="s">
        <v>41</v>
      </c>
      <c r="K299" s="5"/>
      <c r="L299" s="6" t="s">
        <v>42</v>
      </c>
      <c r="M299" s="5" t="s">
        <v>1952</v>
      </c>
      <c r="N299" s="5" t="s">
        <v>48</v>
      </c>
      <c r="O299" s="5" t="s">
        <v>17150</v>
      </c>
      <c r="P299" s="6">
        <v>5334.0</v>
      </c>
    </row>
    <row r="300" ht="56.25" customHeight="1">
      <c r="A300" s="5" t="s">
        <v>17151</v>
      </c>
      <c r="B300" s="6" t="str">
        <f>IMAGE("https://storage.googleapis.com/acdb/headwear/CapBangsEarknit4.png")</f>
        <v/>
      </c>
      <c r="C300" s="5" t="s">
        <v>10410</v>
      </c>
      <c r="D300" s="5" t="s">
        <v>36</v>
      </c>
      <c r="E300" s="6">
        <v>1000.0</v>
      </c>
      <c r="F300" s="6">
        <v>250.0</v>
      </c>
      <c r="G300" s="5" t="s">
        <v>52</v>
      </c>
      <c r="H300" s="5" t="s">
        <v>142</v>
      </c>
      <c r="I300" s="6" t="s">
        <v>40</v>
      </c>
      <c r="J300" s="5" t="s">
        <v>8585</v>
      </c>
      <c r="K300" s="5" t="s">
        <v>8632</v>
      </c>
      <c r="L300" s="6" t="s">
        <v>42</v>
      </c>
      <c r="M300" s="5" t="s">
        <v>1959</v>
      </c>
      <c r="N300" s="5" t="s">
        <v>64</v>
      </c>
      <c r="O300" s="5" t="s">
        <v>17155</v>
      </c>
      <c r="P300" s="6">
        <v>10947.0</v>
      </c>
    </row>
    <row r="301" ht="56.25" customHeight="1">
      <c r="A301" s="5" t="s">
        <v>17151</v>
      </c>
      <c r="B301" s="6" t="str">
        <f>IMAGE("https://storage.googleapis.com/acdb/headwear/CapBangsEarknit5.png")</f>
        <v/>
      </c>
      <c r="C301" s="5" t="s">
        <v>9852</v>
      </c>
      <c r="D301" s="5" t="s">
        <v>36</v>
      </c>
      <c r="E301" s="6">
        <v>1000.0</v>
      </c>
      <c r="F301" s="6">
        <v>250.0</v>
      </c>
      <c r="G301" s="5" t="s">
        <v>96</v>
      </c>
      <c r="H301" s="5" t="s">
        <v>83</v>
      </c>
      <c r="I301" s="6" t="s">
        <v>40</v>
      </c>
      <c r="J301" s="5" t="s">
        <v>8585</v>
      </c>
      <c r="K301" s="5" t="s">
        <v>8632</v>
      </c>
      <c r="L301" s="6" t="s">
        <v>42</v>
      </c>
      <c r="M301" s="5" t="s">
        <v>1959</v>
      </c>
      <c r="N301" s="5" t="s">
        <v>64</v>
      </c>
      <c r="O301" s="5" t="s">
        <v>17160</v>
      </c>
      <c r="P301" s="6">
        <v>10948.0</v>
      </c>
    </row>
    <row r="302" ht="56.25" customHeight="1">
      <c r="A302" s="5" t="s">
        <v>17151</v>
      </c>
      <c r="B302" s="6" t="str">
        <f>IMAGE("https://storage.googleapis.com/acdb/headwear/CapBangsEarknit6.png")</f>
        <v/>
      </c>
      <c r="C302" s="5" t="s">
        <v>95</v>
      </c>
      <c r="D302" s="5" t="s">
        <v>36</v>
      </c>
      <c r="E302" s="6">
        <v>1000.0</v>
      </c>
      <c r="F302" s="6">
        <v>250.0</v>
      </c>
      <c r="G302" s="5" t="s">
        <v>95</v>
      </c>
      <c r="H302" s="5" t="s">
        <v>95</v>
      </c>
      <c r="I302" s="6" t="s">
        <v>40</v>
      </c>
      <c r="J302" s="5" t="s">
        <v>8585</v>
      </c>
      <c r="K302" s="5" t="s">
        <v>8632</v>
      </c>
      <c r="L302" s="6" t="s">
        <v>42</v>
      </c>
      <c r="M302" s="5" t="s">
        <v>1959</v>
      </c>
      <c r="N302" s="5" t="s">
        <v>64</v>
      </c>
      <c r="O302" s="5" t="s">
        <v>17165</v>
      </c>
      <c r="P302" s="6">
        <v>10949.0</v>
      </c>
    </row>
    <row r="303" ht="56.25" customHeight="1">
      <c r="A303" s="5" t="s">
        <v>17151</v>
      </c>
      <c r="B303" s="6" t="str">
        <f>IMAGE("https://storage.googleapis.com/acdb/headwear/CapBangsEarknit0.png")</f>
        <v/>
      </c>
      <c r="C303" s="5" t="s">
        <v>38</v>
      </c>
      <c r="D303" s="5" t="s">
        <v>36</v>
      </c>
      <c r="E303" s="6">
        <v>1000.0</v>
      </c>
      <c r="F303" s="6">
        <v>250.0</v>
      </c>
      <c r="G303" s="5" t="s">
        <v>38</v>
      </c>
      <c r="H303" s="5" t="s">
        <v>69</v>
      </c>
      <c r="I303" s="6" t="s">
        <v>40</v>
      </c>
      <c r="J303" s="5" t="s">
        <v>8585</v>
      </c>
      <c r="K303" s="5" t="s">
        <v>8632</v>
      </c>
      <c r="L303" s="6" t="s">
        <v>42</v>
      </c>
      <c r="M303" s="5" t="s">
        <v>1959</v>
      </c>
      <c r="N303" s="5" t="s">
        <v>64</v>
      </c>
      <c r="O303" s="5" t="s">
        <v>17170</v>
      </c>
      <c r="P303" s="6">
        <v>5370.0</v>
      </c>
    </row>
    <row r="304" ht="56.25" customHeight="1">
      <c r="A304" s="5" t="s">
        <v>17151</v>
      </c>
      <c r="B304" s="6" t="str">
        <f>IMAGE("https://storage.googleapis.com/acdb/headwear/CapBangsEarknit1.png")</f>
        <v/>
      </c>
      <c r="C304" s="5" t="s">
        <v>68</v>
      </c>
      <c r="D304" s="5" t="s">
        <v>36</v>
      </c>
      <c r="E304" s="6">
        <v>1000.0</v>
      </c>
      <c r="F304" s="6">
        <v>250.0</v>
      </c>
      <c r="G304" s="5" t="s">
        <v>68</v>
      </c>
      <c r="H304" s="5" t="s">
        <v>83</v>
      </c>
      <c r="I304" s="6" t="s">
        <v>40</v>
      </c>
      <c r="J304" s="5" t="s">
        <v>8585</v>
      </c>
      <c r="K304" s="5" t="s">
        <v>8632</v>
      </c>
      <c r="L304" s="6" t="s">
        <v>42</v>
      </c>
      <c r="M304" s="5" t="s">
        <v>1959</v>
      </c>
      <c r="N304" s="5" t="s">
        <v>64</v>
      </c>
      <c r="O304" s="5" t="s">
        <v>17176</v>
      </c>
      <c r="P304" s="6">
        <v>10944.0</v>
      </c>
    </row>
    <row r="305" ht="56.25" customHeight="1">
      <c r="A305" s="5" t="s">
        <v>17151</v>
      </c>
      <c r="B305" s="6" t="str">
        <f>IMAGE("https://storage.googleapis.com/acdb/headwear/CapBangsEarknit2.png")</f>
        <v/>
      </c>
      <c r="C305" s="5" t="s">
        <v>69</v>
      </c>
      <c r="D305" s="5" t="s">
        <v>36</v>
      </c>
      <c r="E305" s="6">
        <v>1000.0</v>
      </c>
      <c r="F305" s="6">
        <v>250.0</v>
      </c>
      <c r="G305" s="5" t="s">
        <v>69</v>
      </c>
      <c r="H305" s="5" t="s">
        <v>83</v>
      </c>
      <c r="I305" s="6" t="s">
        <v>40</v>
      </c>
      <c r="J305" s="5" t="s">
        <v>8585</v>
      </c>
      <c r="K305" s="5" t="s">
        <v>8632</v>
      </c>
      <c r="L305" s="6" t="s">
        <v>42</v>
      </c>
      <c r="M305" s="5" t="s">
        <v>1959</v>
      </c>
      <c r="N305" s="5" t="s">
        <v>64</v>
      </c>
      <c r="O305" s="5" t="s">
        <v>17180</v>
      </c>
      <c r="P305" s="6">
        <v>10945.0</v>
      </c>
    </row>
    <row r="306" ht="56.25" customHeight="1">
      <c r="A306" s="5" t="s">
        <v>17151</v>
      </c>
      <c r="B306" s="6" t="str">
        <f>IMAGE("https://storage.googleapis.com/acdb/headwear/CapBangsEarknit3.png")</f>
        <v/>
      </c>
      <c r="C306" s="5" t="s">
        <v>96</v>
      </c>
      <c r="D306" s="5" t="s">
        <v>36</v>
      </c>
      <c r="E306" s="6">
        <v>1000.0</v>
      </c>
      <c r="F306" s="6">
        <v>250.0</v>
      </c>
      <c r="G306" s="5" t="s">
        <v>96</v>
      </c>
      <c r="H306" s="5" t="s">
        <v>83</v>
      </c>
      <c r="I306" s="6" t="s">
        <v>40</v>
      </c>
      <c r="J306" s="5" t="s">
        <v>8585</v>
      </c>
      <c r="K306" s="5" t="s">
        <v>8632</v>
      </c>
      <c r="L306" s="6" t="s">
        <v>42</v>
      </c>
      <c r="M306" s="5" t="s">
        <v>1959</v>
      </c>
      <c r="N306" s="5" t="s">
        <v>64</v>
      </c>
      <c r="O306" s="5" t="s">
        <v>17183</v>
      </c>
      <c r="P306" s="6">
        <v>10946.0</v>
      </c>
    </row>
    <row r="307" ht="56.25" customHeight="1">
      <c r="A307" s="5" t="s">
        <v>17184</v>
      </c>
      <c r="B307" s="6" t="str">
        <f>IMAGE("https://storage.googleapis.com/acdb/headwear/CapHatKnitcap1.png")</f>
        <v/>
      </c>
      <c r="C307" s="5" t="s">
        <v>57</v>
      </c>
      <c r="D307" s="5" t="s">
        <v>36</v>
      </c>
      <c r="E307" s="6">
        <v>560.0</v>
      </c>
      <c r="F307" s="6">
        <v>140.0</v>
      </c>
      <c r="G307" s="5" t="s">
        <v>57</v>
      </c>
      <c r="H307" s="5" t="s">
        <v>57</v>
      </c>
      <c r="I307" s="6" t="s">
        <v>40</v>
      </c>
      <c r="J307" s="5" t="s">
        <v>8585</v>
      </c>
      <c r="K307" s="5" t="s">
        <v>8632</v>
      </c>
      <c r="L307" s="6" t="s">
        <v>42</v>
      </c>
      <c r="M307" s="5" t="s">
        <v>995</v>
      </c>
      <c r="N307" s="5" t="s">
        <v>64</v>
      </c>
      <c r="O307" s="5" t="s">
        <v>17186</v>
      </c>
      <c r="P307" s="6">
        <v>6880.0</v>
      </c>
    </row>
    <row r="308" ht="56.25" customHeight="1">
      <c r="A308" s="5" t="s">
        <v>17184</v>
      </c>
      <c r="B308" s="6" t="str">
        <f>IMAGE("https://storage.googleapis.com/acdb/headwear/CapHatKnitcap2.png")</f>
        <v/>
      </c>
      <c r="C308" s="5" t="s">
        <v>95</v>
      </c>
      <c r="D308" s="5" t="s">
        <v>36</v>
      </c>
      <c r="E308" s="6">
        <v>560.0</v>
      </c>
      <c r="F308" s="6">
        <v>140.0</v>
      </c>
      <c r="G308" s="5" t="s">
        <v>95</v>
      </c>
      <c r="H308" s="5" t="s">
        <v>95</v>
      </c>
      <c r="I308" s="6" t="s">
        <v>40</v>
      </c>
      <c r="J308" s="5" t="s">
        <v>8585</v>
      </c>
      <c r="K308" s="5" t="s">
        <v>8632</v>
      </c>
      <c r="L308" s="6" t="s">
        <v>42</v>
      </c>
      <c r="M308" s="5" t="s">
        <v>995</v>
      </c>
      <c r="N308" s="5" t="s">
        <v>64</v>
      </c>
      <c r="O308" s="5" t="s">
        <v>17188</v>
      </c>
      <c r="P308" s="6">
        <v>6881.0</v>
      </c>
    </row>
    <row r="309" ht="56.25" customHeight="1">
      <c r="A309" s="5" t="s">
        <v>17184</v>
      </c>
      <c r="B309" s="6" t="str">
        <f>IMAGE("https://storage.googleapis.com/acdb/headwear/CapHatKnitcap3.png")</f>
        <v/>
      </c>
      <c r="C309" s="5" t="s">
        <v>9911</v>
      </c>
      <c r="D309" s="5" t="s">
        <v>36</v>
      </c>
      <c r="E309" s="6">
        <v>560.0</v>
      </c>
      <c r="F309" s="6">
        <v>140.0</v>
      </c>
      <c r="G309" s="5" t="s">
        <v>142</v>
      </c>
      <c r="H309" s="5" t="s">
        <v>142</v>
      </c>
      <c r="I309" s="6" t="s">
        <v>40</v>
      </c>
      <c r="J309" s="5" t="s">
        <v>8585</v>
      </c>
      <c r="K309" s="5" t="s">
        <v>8632</v>
      </c>
      <c r="L309" s="6" t="s">
        <v>42</v>
      </c>
      <c r="M309" s="5" t="s">
        <v>995</v>
      </c>
      <c r="N309" s="5" t="s">
        <v>64</v>
      </c>
      <c r="O309" s="5" t="s">
        <v>17191</v>
      </c>
      <c r="P309" s="6">
        <v>6882.0</v>
      </c>
    </row>
    <row r="310" ht="56.25" customHeight="1">
      <c r="A310" s="5" t="s">
        <v>17184</v>
      </c>
      <c r="B310" s="6" t="str">
        <f>IMAGE("https://storage.googleapis.com/acdb/headwear/CapHatKnitcap4.png")</f>
        <v/>
      </c>
      <c r="C310" s="5" t="s">
        <v>52</v>
      </c>
      <c r="D310" s="5" t="s">
        <v>36</v>
      </c>
      <c r="E310" s="6">
        <v>560.0</v>
      </c>
      <c r="F310" s="6">
        <v>140.0</v>
      </c>
      <c r="G310" s="5" t="s">
        <v>52</v>
      </c>
      <c r="H310" s="5" t="s">
        <v>52</v>
      </c>
      <c r="I310" s="6" t="s">
        <v>40</v>
      </c>
      <c r="J310" s="5" t="s">
        <v>8585</v>
      </c>
      <c r="K310" s="5" t="s">
        <v>8632</v>
      </c>
      <c r="L310" s="6" t="s">
        <v>42</v>
      </c>
      <c r="M310" s="5" t="s">
        <v>995</v>
      </c>
      <c r="N310" s="5" t="s">
        <v>64</v>
      </c>
      <c r="O310" s="5" t="s">
        <v>17194</v>
      </c>
      <c r="P310" s="6">
        <v>11731.0</v>
      </c>
    </row>
    <row r="311" ht="56.25" customHeight="1">
      <c r="A311" s="5" t="s">
        <v>17184</v>
      </c>
      <c r="B311" s="6" t="str">
        <f>IMAGE("https://storage.googleapis.com/acdb/headwear/CapHatKnitcap5.png")</f>
        <v/>
      </c>
      <c r="C311" s="5" t="s">
        <v>68</v>
      </c>
      <c r="D311" s="5" t="s">
        <v>36</v>
      </c>
      <c r="E311" s="6">
        <v>560.0</v>
      </c>
      <c r="F311" s="6">
        <v>140.0</v>
      </c>
      <c r="G311" s="5" t="s">
        <v>68</v>
      </c>
      <c r="H311" s="5" t="s">
        <v>68</v>
      </c>
      <c r="I311" s="6" t="s">
        <v>40</v>
      </c>
      <c r="J311" s="5" t="s">
        <v>8585</v>
      </c>
      <c r="K311" s="5" t="s">
        <v>8632</v>
      </c>
      <c r="L311" s="6" t="s">
        <v>42</v>
      </c>
      <c r="M311" s="5" t="s">
        <v>995</v>
      </c>
      <c r="N311" s="5" t="s">
        <v>64</v>
      </c>
      <c r="O311" s="5" t="s">
        <v>17196</v>
      </c>
      <c r="P311" s="6">
        <v>11732.0</v>
      </c>
    </row>
    <row r="312" ht="56.25" customHeight="1">
      <c r="A312" s="5" t="s">
        <v>17184</v>
      </c>
      <c r="B312" s="6" t="str">
        <f>IMAGE("https://storage.googleapis.com/acdb/headwear/CapHatKnitcap6.png")</f>
        <v/>
      </c>
      <c r="C312" s="5" t="s">
        <v>96</v>
      </c>
      <c r="D312" s="5" t="s">
        <v>36</v>
      </c>
      <c r="E312" s="6">
        <v>560.0</v>
      </c>
      <c r="F312" s="6">
        <v>140.0</v>
      </c>
      <c r="G312" s="5" t="s">
        <v>96</v>
      </c>
      <c r="H312" s="5" t="s">
        <v>96</v>
      </c>
      <c r="I312" s="6" t="s">
        <v>40</v>
      </c>
      <c r="J312" s="5" t="s">
        <v>8585</v>
      </c>
      <c r="K312" s="5" t="s">
        <v>8632</v>
      </c>
      <c r="L312" s="6" t="s">
        <v>42</v>
      </c>
      <c r="M312" s="5" t="s">
        <v>995</v>
      </c>
      <c r="N312" s="5" t="s">
        <v>64</v>
      </c>
      <c r="O312" s="5" t="s">
        <v>17200</v>
      </c>
      <c r="P312" s="6">
        <v>11733.0</v>
      </c>
    </row>
    <row r="313" ht="56.25" customHeight="1">
      <c r="A313" s="5" t="s">
        <v>17184</v>
      </c>
      <c r="B313" s="6" t="str">
        <f>IMAGE("https://storage.googleapis.com/acdb/headwear/CapHatKnitcap7.png")</f>
        <v/>
      </c>
      <c r="C313" s="5" t="s">
        <v>69</v>
      </c>
      <c r="D313" s="5" t="s">
        <v>36</v>
      </c>
      <c r="E313" s="6">
        <v>560.0</v>
      </c>
      <c r="F313" s="6">
        <v>140.0</v>
      </c>
      <c r="G313" s="5" t="s">
        <v>69</v>
      </c>
      <c r="H313" s="5" t="s">
        <v>69</v>
      </c>
      <c r="I313" s="6" t="s">
        <v>40</v>
      </c>
      <c r="J313" s="5" t="s">
        <v>8585</v>
      </c>
      <c r="K313" s="5" t="s">
        <v>8632</v>
      </c>
      <c r="L313" s="6" t="s">
        <v>42</v>
      </c>
      <c r="M313" s="5" t="s">
        <v>995</v>
      </c>
      <c r="N313" s="5" t="s">
        <v>64</v>
      </c>
      <c r="O313" s="5" t="s">
        <v>17205</v>
      </c>
      <c r="P313" s="6">
        <v>11734.0</v>
      </c>
    </row>
    <row r="314" ht="56.25" customHeight="1">
      <c r="A314" s="5" t="s">
        <v>17184</v>
      </c>
      <c r="B314" s="6" t="str">
        <f>IMAGE("https://storage.googleapis.com/acdb/headwear/CapHatKnitcap0.png")</f>
        <v/>
      </c>
      <c r="C314" s="5" t="s">
        <v>54</v>
      </c>
      <c r="D314" s="5" t="s">
        <v>36</v>
      </c>
      <c r="E314" s="6">
        <v>560.0</v>
      </c>
      <c r="F314" s="6">
        <v>140.0</v>
      </c>
      <c r="G314" s="5" t="s">
        <v>54</v>
      </c>
      <c r="H314" s="5" t="s">
        <v>54</v>
      </c>
      <c r="I314" s="6" t="s">
        <v>40</v>
      </c>
      <c r="J314" s="5" t="s">
        <v>8585</v>
      </c>
      <c r="K314" s="5" t="s">
        <v>8632</v>
      </c>
      <c r="L314" s="6" t="s">
        <v>42</v>
      </c>
      <c r="M314" s="5" t="s">
        <v>995</v>
      </c>
      <c r="N314" s="5" t="s">
        <v>64</v>
      </c>
      <c r="O314" s="5" t="s">
        <v>17210</v>
      </c>
      <c r="P314" s="6">
        <v>5146.0</v>
      </c>
    </row>
    <row r="315" ht="56.25" customHeight="1">
      <c r="A315" s="5" t="s">
        <v>17211</v>
      </c>
      <c r="B315" s="6" t="str">
        <f>IMAGE("https://storage.googleapis.com/acdb/headwear/CapHatKatecap2.png")</f>
        <v/>
      </c>
      <c r="C315" s="5" t="s">
        <v>10065</v>
      </c>
      <c r="D315" s="5" t="s">
        <v>36</v>
      </c>
      <c r="E315" s="6">
        <v>2400.0</v>
      </c>
      <c r="F315" s="6">
        <v>600.0</v>
      </c>
      <c r="G315" s="5" t="s">
        <v>52</v>
      </c>
      <c r="H315" s="5" t="s">
        <v>54</v>
      </c>
      <c r="I315" s="6" t="s">
        <v>40</v>
      </c>
      <c r="J315" s="5" t="s">
        <v>10058</v>
      </c>
      <c r="K315" s="5"/>
      <c r="L315" s="6" t="s">
        <v>42</v>
      </c>
      <c r="M315" s="5" t="s">
        <v>1952</v>
      </c>
      <c r="N315" s="5" t="s">
        <v>64</v>
      </c>
      <c r="O315" s="5" t="s">
        <v>17216</v>
      </c>
      <c r="P315" s="6">
        <v>11747.0</v>
      </c>
    </row>
    <row r="316" ht="56.25" customHeight="1">
      <c r="A316" s="5" t="s">
        <v>17211</v>
      </c>
      <c r="B316" s="6" t="str">
        <f>IMAGE("https://storage.googleapis.com/acdb/headwear/CapHatKatecap3.png")</f>
        <v/>
      </c>
      <c r="C316" s="5" t="s">
        <v>10069</v>
      </c>
      <c r="D316" s="5" t="s">
        <v>36</v>
      </c>
      <c r="E316" s="6">
        <v>2400.0</v>
      </c>
      <c r="F316" s="6">
        <v>600.0</v>
      </c>
      <c r="G316" s="5" t="s">
        <v>68</v>
      </c>
      <c r="H316" s="5" t="s">
        <v>54</v>
      </c>
      <c r="I316" s="6" t="s">
        <v>40</v>
      </c>
      <c r="J316" s="5" t="s">
        <v>10058</v>
      </c>
      <c r="K316" s="5"/>
      <c r="L316" s="6" t="s">
        <v>42</v>
      </c>
      <c r="M316" s="5" t="s">
        <v>1952</v>
      </c>
      <c r="N316" s="5" t="s">
        <v>64</v>
      </c>
      <c r="O316" s="5" t="s">
        <v>17219</v>
      </c>
      <c r="P316" s="6">
        <v>11748.0</v>
      </c>
    </row>
    <row r="317" ht="56.25" customHeight="1">
      <c r="A317" s="5" t="s">
        <v>17211</v>
      </c>
      <c r="B317" s="6" t="str">
        <f>IMAGE("https://storage.googleapis.com/acdb/headwear/CapHatKatecap4.png")</f>
        <v/>
      </c>
      <c r="C317" s="5" t="s">
        <v>4665</v>
      </c>
      <c r="D317" s="5" t="s">
        <v>36</v>
      </c>
      <c r="E317" s="6">
        <v>2400.0</v>
      </c>
      <c r="F317" s="6">
        <v>600.0</v>
      </c>
      <c r="G317" s="5" t="s">
        <v>114</v>
      </c>
      <c r="H317" s="5" t="s">
        <v>54</v>
      </c>
      <c r="I317" s="6" t="s">
        <v>40</v>
      </c>
      <c r="J317" s="5" t="s">
        <v>10058</v>
      </c>
      <c r="K317" s="5"/>
      <c r="L317" s="6" t="s">
        <v>42</v>
      </c>
      <c r="M317" s="5" t="s">
        <v>1952</v>
      </c>
      <c r="N317" s="5" t="s">
        <v>64</v>
      </c>
      <c r="O317" s="5" t="s">
        <v>17223</v>
      </c>
      <c r="P317" s="6">
        <v>11749.0</v>
      </c>
    </row>
    <row r="318" ht="56.25" customHeight="1">
      <c r="A318" s="5" t="s">
        <v>17211</v>
      </c>
      <c r="B318" s="6" t="str">
        <f>IMAGE("https://storage.googleapis.com/acdb/headwear/CapHatKatecap0.png")</f>
        <v/>
      </c>
      <c r="C318" s="5" t="s">
        <v>10055</v>
      </c>
      <c r="D318" s="5" t="s">
        <v>36</v>
      </c>
      <c r="E318" s="6">
        <v>2400.0</v>
      </c>
      <c r="F318" s="6">
        <v>600.0</v>
      </c>
      <c r="G318" s="5" t="s">
        <v>106</v>
      </c>
      <c r="H318" s="5" t="s">
        <v>54</v>
      </c>
      <c r="I318" s="6" t="s">
        <v>40</v>
      </c>
      <c r="J318" s="5" t="s">
        <v>10058</v>
      </c>
      <c r="K318" s="5"/>
      <c r="L318" s="6" t="s">
        <v>42</v>
      </c>
      <c r="M318" s="5" t="s">
        <v>1952</v>
      </c>
      <c r="N318" s="5" t="s">
        <v>64</v>
      </c>
      <c r="O318" s="5" t="s">
        <v>17225</v>
      </c>
      <c r="P318" s="6">
        <v>9880.0</v>
      </c>
    </row>
    <row r="319" ht="56.25" customHeight="1">
      <c r="A319" s="5" t="s">
        <v>17211</v>
      </c>
      <c r="B319" s="6" t="str">
        <f>IMAGE("https://storage.googleapis.com/acdb/headwear/CapHatKatecap5.png")</f>
        <v/>
      </c>
      <c r="C319" s="5" t="s">
        <v>10075</v>
      </c>
      <c r="D319" s="5" t="s">
        <v>36</v>
      </c>
      <c r="E319" s="6">
        <v>2400.0</v>
      </c>
      <c r="F319" s="6">
        <v>600.0</v>
      </c>
      <c r="G319" s="5" t="s">
        <v>69</v>
      </c>
      <c r="H319" s="5" t="s">
        <v>54</v>
      </c>
      <c r="I319" s="6" t="s">
        <v>40</v>
      </c>
      <c r="J319" s="5" t="s">
        <v>10058</v>
      </c>
      <c r="K319" s="5"/>
      <c r="L319" s="6" t="s">
        <v>42</v>
      </c>
      <c r="M319" s="5" t="s">
        <v>1952</v>
      </c>
      <c r="N319" s="5" t="s">
        <v>64</v>
      </c>
      <c r="O319" s="5" t="s">
        <v>17229</v>
      </c>
      <c r="P319" s="6">
        <v>11750.0</v>
      </c>
    </row>
    <row r="320" ht="56.25" customHeight="1">
      <c r="A320" s="5" t="s">
        <v>17211</v>
      </c>
      <c r="B320" s="6" t="str">
        <f>IMAGE("https://storage.googleapis.com/acdb/headwear/CapHatKatecap1.png")</f>
        <v/>
      </c>
      <c r="C320" s="5" t="s">
        <v>10061</v>
      </c>
      <c r="D320" s="5" t="s">
        <v>36</v>
      </c>
      <c r="E320" s="6">
        <v>2400.0</v>
      </c>
      <c r="F320" s="6">
        <v>600.0</v>
      </c>
      <c r="G320" s="5" t="s">
        <v>54</v>
      </c>
      <c r="H320" s="5" t="s">
        <v>54</v>
      </c>
      <c r="I320" s="6" t="s">
        <v>40</v>
      </c>
      <c r="J320" s="5" t="s">
        <v>10058</v>
      </c>
      <c r="K320" s="5"/>
      <c r="L320" s="6" t="s">
        <v>42</v>
      </c>
      <c r="M320" s="5" t="s">
        <v>1952</v>
      </c>
      <c r="N320" s="5" t="s">
        <v>64</v>
      </c>
      <c r="O320" s="5" t="s">
        <v>17232</v>
      </c>
      <c r="P320" s="6">
        <v>11746.0</v>
      </c>
    </row>
    <row r="321" ht="56.25" customHeight="1">
      <c r="A321" s="5" t="s">
        <v>17233</v>
      </c>
      <c r="B321" s="6" t="str">
        <f>IMAGE("https://storage.googleapis.com/acdb/headwear/CapHatKatehat0.png")</f>
        <v/>
      </c>
      <c r="C321" s="5" t="s">
        <v>10055</v>
      </c>
      <c r="D321" s="5" t="s">
        <v>36</v>
      </c>
      <c r="E321" s="6">
        <v>2500.0</v>
      </c>
      <c r="F321" s="6">
        <v>625.0</v>
      </c>
      <c r="G321" s="5" t="s">
        <v>106</v>
      </c>
      <c r="H321" s="5" t="s">
        <v>54</v>
      </c>
      <c r="I321" s="6" t="s">
        <v>40</v>
      </c>
      <c r="J321" s="5" t="s">
        <v>10058</v>
      </c>
      <c r="K321" s="5"/>
      <c r="L321" s="6" t="s">
        <v>42</v>
      </c>
      <c r="M321" s="5" t="s">
        <v>612</v>
      </c>
      <c r="N321" s="5" t="s">
        <v>64</v>
      </c>
      <c r="O321" s="5" t="s">
        <v>17235</v>
      </c>
      <c r="P321" s="6">
        <v>9881.0</v>
      </c>
    </row>
    <row r="322" ht="56.25" customHeight="1">
      <c r="A322" s="5" t="s">
        <v>17233</v>
      </c>
      <c r="B322" s="6" t="str">
        <f>IMAGE("https://storage.googleapis.com/acdb/headwear/CapHatKatehat1.png")</f>
        <v/>
      </c>
      <c r="C322" s="5" t="s">
        <v>10061</v>
      </c>
      <c r="D322" s="5" t="s">
        <v>36</v>
      </c>
      <c r="E322" s="6">
        <v>2500.0</v>
      </c>
      <c r="F322" s="6">
        <v>625.0</v>
      </c>
      <c r="G322" s="5" t="s">
        <v>54</v>
      </c>
      <c r="H322" s="5" t="s">
        <v>54</v>
      </c>
      <c r="I322" s="6" t="s">
        <v>40</v>
      </c>
      <c r="J322" s="5" t="s">
        <v>10058</v>
      </c>
      <c r="K322" s="5"/>
      <c r="L322" s="6" t="s">
        <v>42</v>
      </c>
      <c r="M322" s="5" t="s">
        <v>612</v>
      </c>
      <c r="N322" s="5" t="s">
        <v>64</v>
      </c>
      <c r="O322" s="5" t="s">
        <v>17237</v>
      </c>
      <c r="P322" s="6">
        <v>11751.0</v>
      </c>
    </row>
    <row r="323" ht="56.25" customHeight="1">
      <c r="A323" s="5" t="s">
        <v>17233</v>
      </c>
      <c r="B323" s="6" t="str">
        <f>IMAGE("https://storage.googleapis.com/acdb/headwear/CapHatKatehat2.png")</f>
        <v/>
      </c>
      <c r="C323" s="5" t="s">
        <v>10065</v>
      </c>
      <c r="D323" s="5" t="s">
        <v>36</v>
      </c>
      <c r="E323" s="6">
        <v>2500.0</v>
      </c>
      <c r="F323" s="6">
        <v>625.0</v>
      </c>
      <c r="G323" s="5" t="s">
        <v>52</v>
      </c>
      <c r="H323" s="5" t="s">
        <v>54</v>
      </c>
      <c r="I323" s="6" t="s">
        <v>40</v>
      </c>
      <c r="J323" s="5" t="s">
        <v>10058</v>
      </c>
      <c r="K323" s="5"/>
      <c r="L323" s="6" t="s">
        <v>42</v>
      </c>
      <c r="M323" s="5" t="s">
        <v>612</v>
      </c>
      <c r="N323" s="5" t="s">
        <v>64</v>
      </c>
      <c r="O323" s="5" t="s">
        <v>17241</v>
      </c>
      <c r="P323" s="6">
        <v>11752.0</v>
      </c>
    </row>
    <row r="324" ht="56.25" customHeight="1">
      <c r="A324" s="5" t="s">
        <v>17233</v>
      </c>
      <c r="B324" s="6" t="str">
        <f>IMAGE("https://storage.googleapis.com/acdb/headwear/CapHatKatehat3.png")</f>
        <v/>
      </c>
      <c r="C324" s="5" t="s">
        <v>10069</v>
      </c>
      <c r="D324" s="5" t="s">
        <v>36</v>
      </c>
      <c r="E324" s="6">
        <v>2500.0</v>
      </c>
      <c r="F324" s="6">
        <v>625.0</v>
      </c>
      <c r="G324" s="5" t="s">
        <v>68</v>
      </c>
      <c r="H324" s="5" t="s">
        <v>54</v>
      </c>
      <c r="I324" s="6" t="s">
        <v>40</v>
      </c>
      <c r="J324" s="5" t="s">
        <v>10058</v>
      </c>
      <c r="K324" s="5"/>
      <c r="L324" s="6" t="s">
        <v>42</v>
      </c>
      <c r="M324" s="5" t="s">
        <v>612</v>
      </c>
      <c r="N324" s="5" t="s">
        <v>64</v>
      </c>
      <c r="O324" s="5" t="s">
        <v>17243</v>
      </c>
      <c r="P324" s="6">
        <v>11753.0</v>
      </c>
    </row>
    <row r="325" ht="56.25" customHeight="1">
      <c r="A325" s="5" t="s">
        <v>17233</v>
      </c>
      <c r="B325" s="6" t="str">
        <f>IMAGE("https://storage.googleapis.com/acdb/headwear/CapHatKatehat4.png")</f>
        <v/>
      </c>
      <c r="C325" s="5" t="s">
        <v>4665</v>
      </c>
      <c r="D325" s="5" t="s">
        <v>36</v>
      </c>
      <c r="E325" s="6">
        <v>2500.0</v>
      </c>
      <c r="F325" s="6">
        <v>625.0</v>
      </c>
      <c r="G325" s="5" t="s">
        <v>114</v>
      </c>
      <c r="H325" s="5" t="s">
        <v>54</v>
      </c>
      <c r="I325" s="6" t="s">
        <v>40</v>
      </c>
      <c r="J325" s="5" t="s">
        <v>10058</v>
      </c>
      <c r="K325" s="5"/>
      <c r="L325" s="6" t="s">
        <v>42</v>
      </c>
      <c r="M325" s="5" t="s">
        <v>612</v>
      </c>
      <c r="N325" s="5" t="s">
        <v>64</v>
      </c>
      <c r="O325" s="5" t="s">
        <v>17247</v>
      </c>
      <c r="P325" s="6">
        <v>11754.0</v>
      </c>
    </row>
    <row r="326" ht="56.25" customHeight="1">
      <c r="A326" s="5" t="s">
        <v>17233</v>
      </c>
      <c r="B326" s="6" t="str">
        <f>IMAGE("https://storage.googleapis.com/acdb/headwear/CapHatKatehat5.png")</f>
        <v/>
      </c>
      <c r="C326" s="5" t="s">
        <v>10075</v>
      </c>
      <c r="D326" s="5" t="s">
        <v>36</v>
      </c>
      <c r="E326" s="6">
        <v>2500.0</v>
      </c>
      <c r="F326" s="6">
        <v>625.0</v>
      </c>
      <c r="G326" s="5" t="s">
        <v>69</v>
      </c>
      <c r="H326" s="5" t="s">
        <v>54</v>
      </c>
      <c r="I326" s="6" t="s">
        <v>40</v>
      </c>
      <c r="J326" s="5" t="s">
        <v>10058</v>
      </c>
      <c r="K326" s="5"/>
      <c r="L326" s="6" t="s">
        <v>42</v>
      </c>
      <c r="M326" s="5" t="s">
        <v>612</v>
      </c>
      <c r="N326" s="5" t="s">
        <v>64</v>
      </c>
      <c r="O326" s="5" t="s">
        <v>17248</v>
      </c>
      <c r="P326" s="6">
        <v>11755.0</v>
      </c>
    </row>
    <row r="327" ht="56.25" customHeight="1">
      <c r="A327" s="5" t="s">
        <v>17250</v>
      </c>
      <c r="B327" s="6" t="str">
        <f>IMAGE("https://storage.googleapis.com/acdb/headwear/CapMaskLeaf0.png")</f>
        <v/>
      </c>
      <c r="C327" s="5" t="s">
        <v>96</v>
      </c>
      <c r="D327" s="5" t="s">
        <v>35</v>
      </c>
      <c r="E327" s="6" t="s">
        <v>37</v>
      </c>
      <c r="F327" s="6">
        <v>200.0</v>
      </c>
      <c r="G327" s="5" t="s">
        <v>96</v>
      </c>
      <c r="H327" s="5" t="s">
        <v>96</v>
      </c>
      <c r="I327" s="6" t="s">
        <v>40</v>
      </c>
      <c r="J327" s="5" t="s">
        <v>41</v>
      </c>
      <c r="K327" s="5"/>
      <c r="L327" s="6" t="s">
        <v>42</v>
      </c>
      <c r="M327" s="5" t="s">
        <v>1959</v>
      </c>
      <c r="N327" s="5" t="s">
        <v>48</v>
      </c>
      <c r="O327" s="5" t="s">
        <v>17252</v>
      </c>
      <c r="P327" s="6">
        <v>7291.0</v>
      </c>
    </row>
    <row r="328" ht="56.25" customHeight="1">
      <c r="A328" s="5" t="s">
        <v>17253</v>
      </c>
      <c r="B328" s="6" t="str">
        <f>IMAGE("https://storage.googleapis.com/acdb/headwear/CapHatEggleaf0.png")</f>
        <v/>
      </c>
      <c r="C328" s="5" t="s">
        <v>44</v>
      </c>
      <c r="D328" s="5" t="s">
        <v>35</v>
      </c>
      <c r="E328" s="6" t="s">
        <v>37</v>
      </c>
      <c r="F328" s="6">
        <v>800.0</v>
      </c>
      <c r="G328" s="5" t="s">
        <v>96</v>
      </c>
      <c r="H328" s="5" t="s">
        <v>96</v>
      </c>
      <c r="I328" s="6" t="s">
        <v>40</v>
      </c>
      <c r="J328" s="5" t="s">
        <v>41</v>
      </c>
      <c r="K328" s="5" t="s">
        <v>15739</v>
      </c>
      <c r="L328" s="6" t="s">
        <v>1410</v>
      </c>
      <c r="M328" s="5" t="s">
        <v>8746</v>
      </c>
      <c r="N328" s="5" t="s">
        <v>48</v>
      </c>
      <c r="O328" s="5" t="s">
        <v>17256</v>
      </c>
      <c r="P328" s="6">
        <v>12441.0</v>
      </c>
    </row>
    <row r="329" ht="56.25" customHeight="1">
      <c r="A329" s="5" t="s">
        <v>17257</v>
      </c>
      <c r="B329" s="6" t="str">
        <f>IMAGE("https://storage.googleapis.com/acdb/headwear/CapHatLogocap1.png")</f>
        <v/>
      </c>
      <c r="C329" s="5" t="s">
        <v>38</v>
      </c>
      <c r="D329" s="5" t="s">
        <v>36</v>
      </c>
      <c r="E329" s="6">
        <v>560.0</v>
      </c>
      <c r="F329" s="6">
        <v>140.0</v>
      </c>
      <c r="G329" s="5" t="s">
        <v>38</v>
      </c>
      <c r="H329" s="5" t="s">
        <v>57</v>
      </c>
      <c r="I329" s="6" t="s">
        <v>40</v>
      </c>
      <c r="J329" s="5" t="s">
        <v>8585</v>
      </c>
      <c r="K329" s="5" t="s">
        <v>8632</v>
      </c>
      <c r="L329" s="6" t="s">
        <v>42</v>
      </c>
      <c r="M329" s="5" t="s">
        <v>8746</v>
      </c>
      <c r="N329" s="5" t="s">
        <v>64</v>
      </c>
      <c r="O329" s="5" t="s">
        <v>17258</v>
      </c>
      <c r="P329" s="6">
        <v>12043.0</v>
      </c>
    </row>
    <row r="330" ht="56.25" customHeight="1">
      <c r="A330" s="5" t="s">
        <v>17257</v>
      </c>
      <c r="B330" s="6" t="str">
        <f>IMAGE("https://storage.googleapis.com/acdb/headwear/CapHatLogocap2.png")</f>
        <v/>
      </c>
      <c r="C330" s="5" t="s">
        <v>10757</v>
      </c>
      <c r="D330" s="5" t="s">
        <v>36</v>
      </c>
      <c r="E330" s="6">
        <v>560.0</v>
      </c>
      <c r="F330" s="6">
        <v>140.0</v>
      </c>
      <c r="G330" s="5" t="s">
        <v>96</v>
      </c>
      <c r="H330" s="5" t="s">
        <v>57</v>
      </c>
      <c r="I330" s="6" t="s">
        <v>40</v>
      </c>
      <c r="J330" s="5" t="s">
        <v>8585</v>
      </c>
      <c r="K330" s="5" t="s">
        <v>8632</v>
      </c>
      <c r="L330" s="6" t="s">
        <v>42</v>
      </c>
      <c r="M330" s="5" t="s">
        <v>8746</v>
      </c>
      <c r="N330" s="5" t="s">
        <v>64</v>
      </c>
      <c r="O330" s="5" t="s">
        <v>17262</v>
      </c>
      <c r="P330" s="6">
        <v>12044.0</v>
      </c>
    </row>
    <row r="331" ht="56.25" customHeight="1">
      <c r="A331" s="5" t="s">
        <v>17257</v>
      </c>
      <c r="B331" s="6" t="str">
        <f>IMAGE("https://storage.googleapis.com/acdb/headwear/CapHatLogocap0.png")</f>
        <v/>
      </c>
      <c r="C331" s="5" t="s">
        <v>52</v>
      </c>
      <c r="D331" s="5" t="s">
        <v>36</v>
      </c>
      <c r="E331" s="6">
        <v>560.0</v>
      </c>
      <c r="F331" s="6">
        <v>140.0</v>
      </c>
      <c r="G331" s="5" t="s">
        <v>52</v>
      </c>
      <c r="H331" s="5" t="s">
        <v>57</v>
      </c>
      <c r="I331" s="6" t="s">
        <v>40</v>
      </c>
      <c r="J331" s="5" t="s">
        <v>8585</v>
      </c>
      <c r="K331" s="5" t="s">
        <v>8632</v>
      </c>
      <c r="L331" s="6" t="s">
        <v>42</v>
      </c>
      <c r="M331" s="5" t="s">
        <v>8746</v>
      </c>
      <c r="N331" s="5" t="s">
        <v>64</v>
      </c>
      <c r="O331" s="5" t="s">
        <v>17264</v>
      </c>
      <c r="P331" s="6">
        <v>9866.0</v>
      </c>
    </row>
    <row r="332" ht="56.25" customHeight="1">
      <c r="A332" s="5" t="s">
        <v>17265</v>
      </c>
      <c r="B332" s="6" t="str">
        <f>IMAGE("https://storage.googleapis.com/acdb/headwear/CapOrnamentYuri1.png")</f>
        <v/>
      </c>
      <c r="C332" s="5" t="s">
        <v>58</v>
      </c>
      <c r="D332" s="5" t="s">
        <v>35</v>
      </c>
      <c r="E332" s="6" t="s">
        <v>37</v>
      </c>
      <c r="F332" s="6">
        <v>480.0</v>
      </c>
      <c r="G332" s="5" t="s">
        <v>52</v>
      </c>
      <c r="H332" s="5" t="s">
        <v>114</v>
      </c>
      <c r="I332" s="6" t="s">
        <v>40</v>
      </c>
      <c r="J332" s="5" t="s">
        <v>41</v>
      </c>
      <c r="K332" s="5"/>
      <c r="L332" s="6" t="s">
        <v>42</v>
      </c>
      <c r="M332" s="5" t="s">
        <v>1959</v>
      </c>
      <c r="N332" s="5" t="s">
        <v>48</v>
      </c>
      <c r="O332" s="5" t="s">
        <v>17267</v>
      </c>
      <c r="P332" s="6">
        <v>5114.0</v>
      </c>
    </row>
    <row r="333" ht="56.25" customHeight="1">
      <c r="A333" s="5" t="s">
        <v>17268</v>
      </c>
      <c r="B333" s="6" t="str">
        <f>IMAGE("https://storage.googleapis.com/acdb/headwear/CapOrnamentCosmos2.png")</f>
        <v/>
      </c>
      <c r="C333" s="5" t="s">
        <v>58</v>
      </c>
      <c r="D333" s="5" t="s">
        <v>35</v>
      </c>
      <c r="E333" s="6" t="s">
        <v>37</v>
      </c>
      <c r="F333" s="6">
        <v>1120.0</v>
      </c>
      <c r="G333" s="5" t="s">
        <v>69</v>
      </c>
      <c r="H333" s="5" t="s">
        <v>142</v>
      </c>
      <c r="I333" s="6" t="s">
        <v>40</v>
      </c>
      <c r="J333" s="5" t="s">
        <v>41</v>
      </c>
      <c r="K333" s="5"/>
      <c r="L333" s="6" t="s">
        <v>42</v>
      </c>
      <c r="M333" s="5" t="s">
        <v>1959</v>
      </c>
      <c r="N333" s="5" t="s">
        <v>48</v>
      </c>
      <c r="O333" s="5" t="s">
        <v>17271</v>
      </c>
      <c r="P333" s="6">
        <v>5109.0</v>
      </c>
    </row>
    <row r="334" ht="56.25" customHeight="1">
      <c r="A334" s="5" t="s">
        <v>17272</v>
      </c>
      <c r="B334" s="6" t="str">
        <f>IMAGE("https://storage.googleapis.com/acdb/headwear/CapHatWitch1.png")</f>
        <v/>
      </c>
      <c r="C334" s="5" t="s">
        <v>68</v>
      </c>
      <c r="D334" s="5" t="s">
        <v>36</v>
      </c>
      <c r="E334" s="6">
        <v>3440.0</v>
      </c>
      <c r="F334" s="6">
        <v>860.0</v>
      </c>
      <c r="G334" s="5" t="s">
        <v>68</v>
      </c>
      <c r="H334" s="5" t="s">
        <v>83</v>
      </c>
      <c r="I334" s="6" t="s">
        <v>40</v>
      </c>
      <c r="J334" s="5" t="s">
        <v>8585</v>
      </c>
      <c r="K334" s="5" t="s">
        <v>8586</v>
      </c>
      <c r="L334" s="6" t="s">
        <v>42</v>
      </c>
      <c r="M334" s="5" t="s">
        <v>1952</v>
      </c>
      <c r="N334" s="5" t="s">
        <v>64</v>
      </c>
      <c r="O334" s="5" t="s">
        <v>17274</v>
      </c>
      <c r="P334" s="6">
        <v>11843.0</v>
      </c>
    </row>
    <row r="335" ht="56.25" customHeight="1">
      <c r="A335" s="5" t="s">
        <v>17272</v>
      </c>
      <c r="B335" s="6" t="str">
        <f>IMAGE("https://storage.googleapis.com/acdb/headwear/CapHatWitch2.png")</f>
        <v/>
      </c>
      <c r="C335" s="5" t="s">
        <v>57</v>
      </c>
      <c r="D335" s="5" t="s">
        <v>36</v>
      </c>
      <c r="E335" s="6">
        <v>3440.0</v>
      </c>
      <c r="F335" s="6">
        <v>860.0</v>
      </c>
      <c r="G335" s="5" t="s">
        <v>57</v>
      </c>
      <c r="H335" s="5" t="s">
        <v>95</v>
      </c>
      <c r="I335" s="6" t="s">
        <v>40</v>
      </c>
      <c r="J335" s="5" t="s">
        <v>8585</v>
      </c>
      <c r="K335" s="5" t="s">
        <v>8586</v>
      </c>
      <c r="L335" s="6" t="s">
        <v>42</v>
      </c>
      <c r="M335" s="5" t="s">
        <v>1952</v>
      </c>
      <c r="N335" s="5" t="s">
        <v>64</v>
      </c>
      <c r="O335" s="5" t="s">
        <v>17277</v>
      </c>
      <c r="P335" s="6">
        <v>11844.0</v>
      </c>
    </row>
    <row r="336" ht="56.25" customHeight="1">
      <c r="A336" s="5" t="s">
        <v>17272</v>
      </c>
      <c r="B336" s="6" t="str">
        <f>IMAGE("https://storage.googleapis.com/acdb/headwear/CapHatWitch3.png")</f>
        <v/>
      </c>
      <c r="C336" s="5" t="s">
        <v>52</v>
      </c>
      <c r="D336" s="5" t="s">
        <v>36</v>
      </c>
      <c r="E336" s="6">
        <v>3440.0</v>
      </c>
      <c r="F336" s="6">
        <v>860.0</v>
      </c>
      <c r="G336" s="5" t="s">
        <v>52</v>
      </c>
      <c r="H336" s="5" t="s">
        <v>52</v>
      </c>
      <c r="I336" s="6" t="s">
        <v>40</v>
      </c>
      <c r="J336" s="5" t="s">
        <v>8585</v>
      </c>
      <c r="K336" s="5" t="s">
        <v>8586</v>
      </c>
      <c r="L336" s="6" t="s">
        <v>42</v>
      </c>
      <c r="M336" s="5" t="s">
        <v>1952</v>
      </c>
      <c r="N336" s="5" t="s">
        <v>64</v>
      </c>
      <c r="O336" s="5" t="s">
        <v>17279</v>
      </c>
      <c r="P336" s="6">
        <v>11845.0</v>
      </c>
    </row>
    <row r="337" ht="56.25" customHeight="1">
      <c r="A337" s="5" t="s">
        <v>17272</v>
      </c>
      <c r="B337" s="6" t="str">
        <f>IMAGE("https://storage.googleapis.com/acdb/headwear/CapHatWitch0.png")</f>
        <v/>
      </c>
      <c r="C337" s="5" t="s">
        <v>54</v>
      </c>
      <c r="D337" s="5" t="s">
        <v>36</v>
      </c>
      <c r="E337" s="6">
        <v>3440.0</v>
      </c>
      <c r="F337" s="6">
        <v>860.0</v>
      </c>
      <c r="G337" s="5" t="s">
        <v>54</v>
      </c>
      <c r="H337" s="5" t="s">
        <v>106</v>
      </c>
      <c r="I337" s="6" t="s">
        <v>40</v>
      </c>
      <c r="J337" s="5" t="s">
        <v>8585</v>
      </c>
      <c r="K337" s="5" t="s">
        <v>8586</v>
      </c>
      <c r="L337" s="6" t="s">
        <v>42</v>
      </c>
      <c r="M337" s="5" t="s">
        <v>1952</v>
      </c>
      <c r="N337" s="5" t="s">
        <v>64</v>
      </c>
      <c r="O337" s="5" t="s">
        <v>17282</v>
      </c>
      <c r="P337" s="6">
        <v>5245.0</v>
      </c>
    </row>
    <row r="338" ht="56.25" customHeight="1">
      <c r="A338" s="5" t="s">
        <v>17283</v>
      </c>
      <c r="B338" s="6" t="str">
        <f>IMAGE("https://storage.googleapis.com/acdb/headwear/CapHatMatampushi1.png")</f>
        <v/>
      </c>
      <c r="C338" s="5" t="s">
        <v>39</v>
      </c>
      <c r="D338" s="5" t="s">
        <v>36</v>
      </c>
      <c r="E338" s="6">
        <v>880.0</v>
      </c>
      <c r="F338" s="6">
        <v>220.0</v>
      </c>
      <c r="G338" s="5" t="s">
        <v>39</v>
      </c>
      <c r="H338" s="5" t="s">
        <v>83</v>
      </c>
      <c r="I338" s="6" t="s">
        <v>40</v>
      </c>
      <c r="J338" s="5" t="s">
        <v>8585</v>
      </c>
      <c r="K338" s="5" t="s">
        <v>8586</v>
      </c>
      <c r="L338" s="6" t="s">
        <v>42</v>
      </c>
      <c r="M338" s="5" t="s">
        <v>1952</v>
      </c>
      <c r="N338" s="5" t="s">
        <v>64</v>
      </c>
      <c r="O338" s="5" t="s">
        <v>17285</v>
      </c>
      <c r="P338" s="6">
        <v>12033.0</v>
      </c>
    </row>
    <row r="339" ht="56.25" customHeight="1">
      <c r="A339" s="5" t="s">
        <v>17283</v>
      </c>
      <c r="B339" s="6" t="str">
        <f>IMAGE("https://storage.googleapis.com/acdb/headwear/CapHatMatampushi2.png")</f>
        <v/>
      </c>
      <c r="C339" s="5" t="s">
        <v>52</v>
      </c>
      <c r="D339" s="5" t="s">
        <v>36</v>
      </c>
      <c r="E339" s="6">
        <v>880.0</v>
      </c>
      <c r="F339" s="6">
        <v>220.0</v>
      </c>
      <c r="G339" s="5" t="s">
        <v>52</v>
      </c>
      <c r="H339" s="5" t="s">
        <v>114</v>
      </c>
      <c r="I339" s="6" t="s">
        <v>40</v>
      </c>
      <c r="J339" s="5" t="s">
        <v>8585</v>
      </c>
      <c r="K339" s="5" t="s">
        <v>8586</v>
      </c>
      <c r="L339" s="6" t="s">
        <v>42</v>
      </c>
      <c r="M339" s="5" t="s">
        <v>1952</v>
      </c>
      <c r="N339" s="5" t="s">
        <v>64</v>
      </c>
      <c r="O339" s="5" t="s">
        <v>17287</v>
      </c>
      <c r="P339" s="6">
        <v>12034.0</v>
      </c>
    </row>
    <row r="340" ht="56.25" customHeight="1">
      <c r="A340" s="5" t="s">
        <v>17283</v>
      </c>
      <c r="B340" s="6" t="str">
        <f>IMAGE("https://storage.googleapis.com/acdb/headwear/CapHatMatampushi0.png")</f>
        <v/>
      </c>
      <c r="C340" s="5" t="s">
        <v>68</v>
      </c>
      <c r="D340" s="5" t="s">
        <v>36</v>
      </c>
      <c r="E340" s="6">
        <v>880.0</v>
      </c>
      <c r="F340" s="6">
        <v>220.0</v>
      </c>
      <c r="G340" s="5" t="s">
        <v>68</v>
      </c>
      <c r="H340" s="5" t="s">
        <v>38</v>
      </c>
      <c r="I340" s="6" t="s">
        <v>40</v>
      </c>
      <c r="J340" s="5" t="s">
        <v>8585</v>
      </c>
      <c r="K340" s="5" t="s">
        <v>8586</v>
      </c>
      <c r="L340" s="6" t="s">
        <v>42</v>
      </c>
      <c r="M340" s="5" t="s">
        <v>1952</v>
      </c>
      <c r="N340" s="5" t="s">
        <v>64</v>
      </c>
      <c r="O340" s="5" t="s">
        <v>17289</v>
      </c>
      <c r="P340" s="6">
        <v>10914.0</v>
      </c>
    </row>
    <row r="341" ht="56.25" customHeight="1">
      <c r="A341" s="5" t="s">
        <v>17291</v>
      </c>
      <c r="B341" s="6" t="str">
        <f>IMAGE("https://storage.googleapis.com/acdb/headwear/CapWigOnionhair.png")</f>
        <v/>
      </c>
      <c r="C341" s="5" t="s">
        <v>16403</v>
      </c>
      <c r="D341" s="5" t="s">
        <v>36</v>
      </c>
      <c r="E341" s="6">
        <v>1280.0</v>
      </c>
      <c r="F341" s="6">
        <v>320.0</v>
      </c>
      <c r="G341" s="5" t="s">
        <v>58</v>
      </c>
      <c r="H341" s="5" t="s">
        <v>58</v>
      </c>
      <c r="I341" s="6" t="s">
        <v>40</v>
      </c>
      <c r="J341" s="5" t="s">
        <v>8585</v>
      </c>
      <c r="K341" s="5" t="s">
        <v>8586</v>
      </c>
      <c r="L341" s="6" t="s">
        <v>42</v>
      </c>
      <c r="M341" s="5" t="s">
        <v>1059</v>
      </c>
      <c r="N341" s="5" t="s">
        <v>64</v>
      </c>
      <c r="O341" s="5" t="s">
        <v>17295</v>
      </c>
      <c r="P341" s="6">
        <v>5691.0</v>
      </c>
    </row>
    <row r="342" ht="56.25" customHeight="1">
      <c r="A342" s="5" t="s">
        <v>17296</v>
      </c>
      <c r="B342" s="6" t="str">
        <f>IMAGE("https://storage.googleapis.com/acdb/headwear/CapHatMeshcap1.png")</f>
        <v/>
      </c>
      <c r="C342" s="5" t="s">
        <v>52</v>
      </c>
      <c r="D342" s="5" t="s">
        <v>36</v>
      </c>
      <c r="E342" s="6">
        <v>560.0</v>
      </c>
      <c r="F342" s="6">
        <v>140.0</v>
      </c>
      <c r="G342" s="5" t="s">
        <v>52</v>
      </c>
      <c r="H342" s="5" t="s">
        <v>57</v>
      </c>
      <c r="I342" s="6" t="s">
        <v>40</v>
      </c>
      <c r="J342" s="5" t="s">
        <v>8585</v>
      </c>
      <c r="K342" s="5" t="s">
        <v>8632</v>
      </c>
      <c r="L342" s="6" t="s">
        <v>42</v>
      </c>
      <c r="M342" s="5" t="s">
        <v>8746</v>
      </c>
      <c r="N342" s="5" t="s">
        <v>64</v>
      </c>
      <c r="O342" s="5" t="s">
        <v>17298</v>
      </c>
      <c r="P342" s="6">
        <v>11506.0</v>
      </c>
    </row>
    <row r="343" ht="56.25" customHeight="1">
      <c r="A343" s="5" t="s">
        <v>17296</v>
      </c>
      <c r="B343" s="6" t="str">
        <f>IMAGE("https://storage.googleapis.com/acdb/headwear/CapHatMeshcap2.png")</f>
        <v/>
      </c>
      <c r="C343" s="5" t="s">
        <v>69</v>
      </c>
      <c r="D343" s="5" t="s">
        <v>36</v>
      </c>
      <c r="E343" s="6">
        <v>560.0</v>
      </c>
      <c r="F343" s="6">
        <v>140.0</v>
      </c>
      <c r="G343" s="5" t="s">
        <v>69</v>
      </c>
      <c r="H343" s="5" t="s">
        <v>57</v>
      </c>
      <c r="I343" s="6" t="s">
        <v>40</v>
      </c>
      <c r="J343" s="5" t="s">
        <v>8585</v>
      </c>
      <c r="K343" s="5" t="s">
        <v>8632</v>
      </c>
      <c r="L343" s="6" t="s">
        <v>42</v>
      </c>
      <c r="M343" s="5" t="s">
        <v>8746</v>
      </c>
      <c r="N343" s="5" t="s">
        <v>64</v>
      </c>
      <c r="O343" s="5" t="s">
        <v>17301</v>
      </c>
      <c r="P343" s="6">
        <v>11507.0</v>
      </c>
    </row>
    <row r="344" ht="56.25" customHeight="1">
      <c r="A344" s="5" t="s">
        <v>17296</v>
      </c>
      <c r="B344" s="6" t="str">
        <f>IMAGE("https://storage.googleapis.com/acdb/headwear/CapHatMeshcap3.png")</f>
        <v/>
      </c>
      <c r="C344" s="5" t="s">
        <v>96</v>
      </c>
      <c r="D344" s="5" t="s">
        <v>36</v>
      </c>
      <c r="E344" s="6">
        <v>560.0</v>
      </c>
      <c r="F344" s="6">
        <v>140.0</v>
      </c>
      <c r="G344" s="5" t="s">
        <v>96</v>
      </c>
      <c r="H344" s="5" t="s">
        <v>57</v>
      </c>
      <c r="I344" s="6" t="s">
        <v>40</v>
      </c>
      <c r="J344" s="5" t="s">
        <v>8585</v>
      </c>
      <c r="K344" s="5" t="s">
        <v>8632</v>
      </c>
      <c r="L344" s="6" t="s">
        <v>42</v>
      </c>
      <c r="M344" s="5" t="s">
        <v>8746</v>
      </c>
      <c r="N344" s="5" t="s">
        <v>64</v>
      </c>
      <c r="O344" s="5" t="s">
        <v>17304</v>
      </c>
      <c r="P344" s="6">
        <v>11508.0</v>
      </c>
    </row>
    <row r="345" ht="56.25" customHeight="1">
      <c r="A345" s="5" t="s">
        <v>17296</v>
      </c>
      <c r="B345" s="6" t="str">
        <f>IMAGE("https://storage.googleapis.com/acdb/headwear/CapHatMeshcap4.png")</f>
        <v/>
      </c>
      <c r="C345" s="5" t="s">
        <v>142</v>
      </c>
      <c r="D345" s="5" t="s">
        <v>36</v>
      </c>
      <c r="E345" s="6">
        <v>560.0</v>
      </c>
      <c r="F345" s="6">
        <v>140.0</v>
      </c>
      <c r="G345" s="5" t="s">
        <v>142</v>
      </c>
      <c r="H345" s="5" t="s">
        <v>57</v>
      </c>
      <c r="I345" s="6" t="s">
        <v>40</v>
      </c>
      <c r="J345" s="5" t="s">
        <v>8585</v>
      </c>
      <c r="K345" s="5" t="s">
        <v>8632</v>
      </c>
      <c r="L345" s="6" t="s">
        <v>42</v>
      </c>
      <c r="M345" s="5" t="s">
        <v>8746</v>
      </c>
      <c r="N345" s="5" t="s">
        <v>64</v>
      </c>
      <c r="O345" s="5" t="s">
        <v>17307</v>
      </c>
      <c r="P345" s="6">
        <v>11509.0</v>
      </c>
    </row>
    <row r="346" ht="56.25" customHeight="1">
      <c r="A346" s="5" t="s">
        <v>17296</v>
      </c>
      <c r="B346" s="6" t="str">
        <f>IMAGE("https://storage.googleapis.com/acdb/headwear/CapHatMeshcap0.png")</f>
        <v/>
      </c>
      <c r="C346" s="5" t="s">
        <v>106</v>
      </c>
      <c r="D346" s="5" t="s">
        <v>36</v>
      </c>
      <c r="E346" s="6">
        <v>560.0</v>
      </c>
      <c r="F346" s="6">
        <v>140.0</v>
      </c>
      <c r="G346" s="5" t="s">
        <v>106</v>
      </c>
      <c r="H346" s="5" t="s">
        <v>57</v>
      </c>
      <c r="I346" s="6" t="s">
        <v>40</v>
      </c>
      <c r="J346" s="5" t="s">
        <v>8585</v>
      </c>
      <c r="K346" s="5" t="s">
        <v>8632</v>
      </c>
      <c r="L346" s="6" t="s">
        <v>42</v>
      </c>
      <c r="M346" s="5" t="s">
        <v>8746</v>
      </c>
      <c r="N346" s="5" t="s">
        <v>64</v>
      </c>
      <c r="O346" s="5" t="s">
        <v>17313</v>
      </c>
      <c r="P346" s="6">
        <v>5128.0</v>
      </c>
    </row>
    <row r="347" ht="56.25" customHeight="1">
      <c r="A347" s="5" t="s">
        <v>17296</v>
      </c>
      <c r="B347" s="6" t="str">
        <f>IMAGE("https://storage.googleapis.com/acdb/headwear/CapHatMeshcap5.png")</f>
        <v/>
      </c>
      <c r="C347" s="5" t="s">
        <v>114</v>
      </c>
      <c r="D347" s="5" t="s">
        <v>36</v>
      </c>
      <c r="E347" s="6">
        <v>560.0</v>
      </c>
      <c r="F347" s="6">
        <v>140.0</v>
      </c>
      <c r="G347" s="5" t="s">
        <v>114</v>
      </c>
      <c r="H347" s="5" t="s">
        <v>57</v>
      </c>
      <c r="I347" s="6" t="s">
        <v>40</v>
      </c>
      <c r="J347" s="5" t="s">
        <v>8585</v>
      </c>
      <c r="K347" s="5" t="s">
        <v>8632</v>
      </c>
      <c r="L347" s="6" t="s">
        <v>42</v>
      </c>
      <c r="M347" s="5" t="s">
        <v>8746</v>
      </c>
      <c r="N347" s="5" t="s">
        <v>64</v>
      </c>
      <c r="O347" s="5" t="s">
        <v>17316</v>
      </c>
      <c r="P347" s="6">
        <v>11510.0</v>
      </c>
    </row>
    <row r="348" ht="56.25" customHeight="1">
      <c r="A348" s="5" t="s">
        <v>17296</v>
      </c>
      <c r="B348" s="6" t="str">
        <f>IMAGE("https://storage.googleapis.com/acdb/headwear/CapHatMeshcap6.png")</f>
        <v/>
      </c>
      <c r="C348" s="5" t="s">
        <v>54</v>
      </c>
      <c r="D348" s="5" t="s">
        <v>36</v>
      </c>
      <c r="E348" s="6">
        <v>560.0</v>
      </c>
      <c r="F348" s="6">
        <v>140.0</v>
      </c>
      <c r="G348" s="5" t="s">
        <v>54</v>
      </c>
      <c r="H348" s="5" t="s">
        <v>57</v>
      </c>
      <c r="I348" s="6" t="s">
        <v>40</v>
      </c>
      <c r="J348" s="5" t="s">
        <v>8585</v>
      </c>
      <c r="K348" s="5" t="s">
        <v>8632</v>
      </c>
      <c r="L348" s="6" t="s">
        <v>42</v>
      </c>
      <c r="M348" s="5" t="s">
        <v>8746</v>
      </c>
      <c r="N348" s="5" t="s">
        <v>64</v>
      </c>
      <c r="O348" s="5" t="s">
        <v>17319</v>
      </c>
      <c r="P348" s="6">
        <v>11511.0</v>
      </c>
    </row>
    <row r="349" ht="56.25" customHeight="1">
      <c r="A349" s="5" t="s">
        <v>17320</v>
      </c>
      <c r="B349" s="6" t="str">
        <f>IMAGE("https://storage.googleapis.com/acdb/headwear/CapBangsVolendamWhite.png")</f>
        <v/>
      </c>
      <c r="C349" s="5" t="s">
        <v>57</v>
      </c>
      <c r="D349" s="5" t="s">
        <v>36</v>
      </c>
      <c r="E349" s="6" t="s">
        <v>37</v>
      </c>
      <c r="F349" s="6">
        <v>800.0</v>
      </c>
      <c r="G349" s="5" t="s">
        <v>57</v>
      </c>
      <c r="H349" s="5" t="s">
        <v>57</v>
      </c>
      <c r="I349" s="6" t="s">
        <v>40</v>
      </c>
      <c r="J349" s="5" t="s">
        <v>1284</v>
      </c>
      <c r="K349" s="5"/>
      <c r="L349" s="6" t="s">
        <v>42</v>
      </c>
      <c r="M349" s="5" t="s">
        <v>1059</v>
      </c>
      <c r="N349" s="5" t="s">
        <v>48</v>
      </c>
      <c r="O349" s="5" t="s">
        <v>17324</v>
      </c>
      <c r="P349" s="6">
        <v>5365.0</v>
      </c>
    </row>
    <row r="350" ht="56.25" customHeight="1">
      <c r="A350" s="5" t="s">
        <v>17325</v>
      </c>
      <c r="B350" s="6" t="str">
        <f>IMAGE("https://storage.googleapis.com/acdb/headwear/CapWigMohican.png")</f>
        <v/>
      </c>
      <c r="C350" s="5" t="s">
        <v>16403</v>
      </c>
      <c r="D350" s="5" t="s">
        <v>36</v>
      </c>
      <c r="E350" s="6">
        <v>1280.0</v>
      </c>
      <c r="F350" s="6">
        <v>320.0</v>
      </c>
      <c r="G350" s="5" t="s">
        <v>58</v>
      </c>
      <c r="H350" s="5" t="s">
        <v>58</v>
      </c>
      <c r="I350" s="6" t="s">
        <v>40</v>
      </c>
      <c r="J350" s="5" t="s">
        <v>8585</v>
      </c>
      <c r="K350" s="5" t="s">
        <v>8586</v>
      </c>
      <c r="L350" s="6" t="s">
        <v>42</v>
      </c>
      <c r="M350" s="5" t="s">
        <v>1952</v>
      </c>
      <c r="N350" s="5" t="s">
        <v>64</v>
      </c>
      <c r="O350" s="5" t="s">
        <v>17329</v>
      </c>
      <c r="P350" s="6">
        <v>5688.0</v>
      </c>
    </row>
    <row r="351" ht="56.25" customHeight="1">
      <c r="A351" s="5" t="s">
        <v>17330</v>
      </c>
      <c r="B351" s="6" t="str">
        <f>IMAGE("https://storage.googleapis.com/acdb/headwear/CapOrnamentMum1.png")</f>
        <v/>
      </c>
      <c r="C351" s="5" t="s">
        <v>58</v>
      </c>
      <c r="D351" s="5" t="s">
        <v>35</v>
      </c>
      <c r="E351" s="6" t="s">
        <v>37</v>
      </c>
      <c r="F351" s="6">
        <v>480.0</v>
      </c>
      <c r="G351" s="5" t="s">
        <v>52</v>
      </c>
      <c r="H351" s="5" t="s">
        <v>114</v>
      </c>
      <c r="I351" s="6" t="s">
        <v>40</v>
      </c>
      <c r="J351" s="5" t="s">
        <v>41</v>
      </c>
      <c r="K351" s="5"/>
      <c r="L351" s="6" t="s">
        <v>42</v>
      </c>
      <c r="M351" s="5" t="s">
        <v>1959</v>
      </c>
      <c r="N351" s="5" t="s">
        <v>48</v>
      </c>
      <c r="O351" s="5" t="s">
        <v>17332</v>
      </c>
      <c r="P351" s="6">
        <v>5117.0</v>
      </c>
    </row>
    <row r="352" ht="56.25" customHeight="1">
      <c r="A352" s="5" t="s">
        <v>17334</v>
      </c>
      <c r="B352" s="6" t="str">
        <f>IMAGE("https://storage.googleapis.com/acdb/headwear/CapFullfaceMummyWhite.png")</f>
        <v/>
      </c>
      <c r="C352" s="5" t="s">
        <v>57</v>
      </c>
      <c r="D352" s="5" t="s">
        <v>36</v>
      </c>
      <c r="E352" s="6">
        <v>980.0</v>
      </c>
      <c r="F352" s="6">
        <v>245.0</v>
      </c>
      <c r="G352" s="5" t="s">
        <v>57</v>
      </c>
      <c r="H352" s="5" t="s">
        <v>57</v>
      </c>
      <c r="I352" s="6" t="s">
        <v>40</v>
      </c>
      <c r="J352" s="5" t="s">
        <v>8585</v>
      </c>
      <c r="K352" s="5" t="s">
        <v>8586</v>
      </c>
      <c r="L352" s="6" t="s">
        <v>42</v>
      </c>
      <c r="M352" s="5" t="s">
        <v>1952</v>
      </c>
      <c r="N352" s="5" t="s">
        <v>64</v>
      </c>
      <c r="O352" s="5" t="s">
        <v>17337</v>
      </c>
      <c r="P352" s="6">
        <v>5324.0</v>
      </c>
    </row>
    <row r="353" ht="56.25" customHeight="1">
      <c r="A353" s="5" t="s">
        <v>17338</v>
      </c>
      <c r="B353" s="6" t="str">
        <f>IMAGE("https://storage.googleapis.com/acdb/headwear/CapHatNewyearPurple.png")</f>
        <v/>
      </c>
      <c r="C353" s="5" t="s">
        <v>106</v>
      </c>
      <c r="D353" s="5" t="s">
        <v>36</v>
      </c>
      <c r="E353" s="6" t="s">
        <v>37</v>
      </c>
      <c r="F353" s="6">
        <v>125.0</v>
      </c>
      <c r="G353" s="5" t="s">
        <v>106</v>
      </c>
      <c r="H353" s="5" t="s">
        <v>114</v>
      </c>
      <c r="I353" s="6" t="s">
        <v>40</v>
      </c>
      <c r="J353" s="5" t="s">
        <v>17341</v>
      </c>
      <c r="K353" s="5"/>
      <c r="L353" s="6" t="s">
        <v>42</v>
      </c>
      <c r="M353" s="5" t="s">
        <v>612</v>
      </c>
      <c r="N353" s="5" t="s">
        <v>48</v>
      </c>
      <c r="O353" s="5" t="s">
        <v>17342</v>
      </c>
      <c r="P353" s="6">
        <v>5190.0</v>
      </c>
    </row>
    <row r="354" ht="56.25" customHeight="1">
      <c r="A354" s="5" t="s">
        <v>17338</v>
      </c>
      <c r="B354" s="6" t="str">
        <f>IMAGE("https://storage.googleapis.com/acdb/headwear/CapHatNewyearPink.png")</f>
        <v/>
      </c>
      <c r="C354" s="5" t="s">
        <v>69</v>
      </c>
      <c r="D354" s="5" t="s">
        <v>36</v>
      </c>
      <c r="E354" s="6" t="s">
        <v>37</v>
      </c>
      <c r="F354" s="6">
        <v>125.0</v>
      </c>
      <c r="G354" s="5" t="s">
        <v>69</v>
      </c>
      <c r="H354" s="5" t="s">
        <v>114</v>
      </c>
      <c r="I354" s="6" t="s">
        <v>40</v>
      </c>
      <c r="J354" s="5" t="s">
        <v>17341</v>
      </c>
      <c r="K354" s="5"/>
      <c r="L354" s="6" t="s">
        <v>42</v>
      </c>
      <c r="M354" s="5" t="s">
        <v>612</v>
      </c>
      <c r="N354" s="5" t="s">
        <v>48</v>
      </c>
      <c r="O354" s="5" t="s">
        <v>17345</v>
      </c>
      <c r="P354" s="6">
        <v>5191.0</v>
      </c>
    </row>
    <row r="355" ht="56.25" customHeight="1">
      <c r="A355" s="5" t="s">
        <v>17338</v>
      </c>
      <c r="B355" s="6" t="str">
        <f>IMAGE("https://storage.googleapis.com/acdb/headwear/CapHatNewyearLightblue.png")</f>
        <v/>
      </c>
      <c r="C355" s="5" t="s">
        <v>83</v>
      </c>
      <c r="D355" s="5" t="s">
        <v>36</v>
      </c>
      <c r="E355" s="6" t="s">
        <v>37</v>
      </c>
      <c r="F355" s="6">
        <v>125.0</v>
      </c>
      <c r="G355" s="5" t="s">
        <v>83</v>
      </c>
      <c r="H355" s="5" t="s">
        <v>114</v>
      </c>
      <c r="I355" s="6" t="s">
        <v>40</v>
      </c>
      <c r="J355" s="5" t="s">
        <v>17341</v>
      </c>
      <c r="K355" s="5"/>
      <c r="L355" s="6" t="s">
        <v>42</v>
      </c>
      <c r="M355" s="5" t="s">
        <v>612</v>
      </c>
      <c r="N355" s="5" t="s">
        <v>48</v>
      </c>
      <c r="O355" s="5" t="s">
        <v>17349</v>
      </c>
      <c r="P355" s="6">
        <v>5192.0</v>
      </c>
    </row>
    <row r="356" ht="56.25" customHeight="1">
      <c r="A356" s="5" t="s">
        <v>17338</v>
      </c>
      <c r="B356" s="6" t="str">
        <f>IMAGE("https://storage.googleapis.com/acdb/headwear/CapHatNewyearRed.png")</f>
        <v/>
      </c>
      <c r="C356" s="5" t="s">
        <v>52</v>
      </c>
      <c r="D356" s="5" t="s">
        <v>36</v>
      </c>
      <c r="E356" s="6" t="s">
        <v>37</v>
      </c>
      <c r="F356" s="6">
        <v>125.0</v>
      </c>
      <c r="G356" s="5" t="s">
        <v>52</v>
      </c>
      <c r="H356" s="5" t="s">
        <v>114</v>
      </c>
      <c r="I356" s="6" t="s">
        <v>40</v>
      </c>
      <c r="J356" s="5" t="s">
        <v>17341</v>
      </c>
      <c r="K356" s="5"/>
      <c r="L356" s="6" t="s">
        <v>42</v>
      </c>
      <c r="M356" s="5" t="s">
        <v>612</v>
      </c>
      <c r="N356" s="5" t="s">
        <v>48</v>
      </c>
      <c r="O356" s="5" t="s">
        <v>17351</v>
      </c>
      <c r="P356" s="6">
        <v>4799.0</v>
      </c>
    </row>
    <row r="357" ht="56.25" customHeight="1">
      <c r="A357" s="5" t="s">
        <v>17338</v>
      </c>
      <c r="B357" s="6" t="str">
        <f>IMAGE("https://storage.googleapis.com/acdb/headwear/CapHatNewyearBlue.png")</f>
        <v/>
      </c>
      <c r="C357" s="5" t="s">
        <v>68</v>
      </c>
      <c r="D357" s="5" t="s">
        <v>36</v>
      </c>
      <c r="E357" s="6" t="s">
        <v>37</v>
      </c>
      <c r="F357" s="6">
        <v>125.0</v>
      </c>
      <c r="G357" s="5" t="s">
        <v>68</v>
      </c>
      <c r="H357" s="5" t="s">
        <v>114</v>
      </c>
      <c r="I357" s="6" t="s">
        <v>40</v>
      </c>
      <c r="J357" s="5" t="s">
        <v>17341</v>
      </c>
      <c r="K357" s="5"/>
      <c r="L357" s="6" t="s">
        <v>42</v>
      </c>
      <c r="M357" s="5" t="s">
        <v>612</v>
      </c>
      <c r="N357" s="5" t="s">
        <v>48</v>
      </c>
      <c r="O357" s="5" t="s">
        <v>17354</v>
      </c>
      <c r="P357" s="6">
        <v>5186.0</v>
      </c>
    </row>
    <row r="358" ht="56.25" customHeight="1">
      <c r="A358" s="5" t="s">
        <v>17338</v>
      </c>
      <c r="B358" s="6" t="str">
        <f>IMAGE("https://storage.googleapis.com/acdb/headwear/CapHatNewyearYellow.png")</f>
        <v/>
      </c>
      <c r="C358" s="5" t="s">
        <v>114</v>
      </c>
      <c r="D358" s="5" t="s">
        <v>36</v>
      </c>
      <c r="E358" s="6" t="s">
        <v>37</v>
      </c>
      <c r="F358" s="6">
        <v>125.0</v>
      </c>
      <c r="G358" s="5" t="s">
        <v>114</v>
      </c>
      <c r="H358" s="5" t="s">
        <v>114</v>
      </c>
      <c r="I358" s="6" t="s">
        <v>40</v>
      </c>
      <c r="J358" s="5" t="s">
        <v>17341</v>
      </c>
      <c r="K358" s="5"/>
      <c r="L358" s="6" t="s">
        <v>42</v>
      </c>
      <c r="M358" s="5" t="s">
        <v>612</v>
      </c>
      <c r="N358" s="5" t="s">
        <v>48</v>
      </c>
      <c r="O358" s="5" t="s">
        <v>17356</v>
      </c>
      <c r="P358" s="6">
        <v>5187.0</v>
      </c>
    </row>
    <row r="359" ht="56.25" customHeight="1">
      <c r="A359" s="5" t="s">
        <v>17338</v>
      </c>
      <c r="B359" s="6" t="str">
        <f>IMAGE("https://storage.googleapis.com/acdb/headwear/CapHatNewyearGreen.png")</f>
        <v/>
      </c>
      <c r="C359" s="5" t="s">
        <v>96</v>
      </c>
      <c r="D359" s="5" t="s">
        <v>36</v>
      </c>
      <c r="E359" s="6" t="s">
        <v>37</v>
      </c>
      <c r="F359" s="6">
        <v>125.0</v>
      </c>
      <c r="G359" s="5" t="s">
        <v>96</v>
      </c>
      <c r="H359" s="5" t="s">
        <v>114</v>
      </c>
      <c r="I359" s="6" t="s">
        <v>40</v>
      </c>
      <c r="J359" s="5" t="s">
        <v>17341</v>
      </c>
      <c r="K359" s="5"/>
      <c r="L359" s="6" t="s">
        <v>42</v>
      </c>
      <c r="M359" s="5" t="s">
        <v>612</v>
      </c>
      <c r="N359" s="5" t="s">
        <v>48</v>
      </c>
      <c r="O359" s="5" t="s">
        <v>17358</v>
      </c>
      <c r="P359" s="6">
        <v>5188.0</v>
      </c>
    </row>
    <row r="360" ht="56.25" customHeight="1">
      <c r="A360" s="5" t="s">
        <v>17338</v>
      </c>
      <c r="B360" s="6" t="str">
        <f>IMAGE("https://storage.googleapis.com/acdb/headwear/CapHatNewyearOrange.png")</f>
        <v/>
      </c>
      <c r="C360" s="5" t="s">
        <v>142</v>
      </c>
      <c r="D360" s="5" t="s">
        <v>36</v>
      </c>
      <c r="E360" s="6" t="s">
        <v>37</v>
      </c>
      <c r="F360" s="6">
        <v>125.0</v>
      </c>
      <c r="G360" s="5" t="s">
        <v>142</v>
      </c>
      <c r="H360" s="5" t="s">
        <v>114</v>
      </c>
      <c r="I360" s="6" t="s">
        <v>40</v>
      </c>
      <c r="J360" s="5" t="s">
        <v>17341</v>
      </c>
      <c r="K360" s="5"/>
      <c r="L360" s="6" t="s">
        <v>42</v>
      </c>
      <c r="M360" s="5" t="s">
        <v>612</v>
      </c>
      <c r="N360" s="5" t="s">
        <v>48</v>
      </c>
      <c r="O360" s="5" t="s">
        <v>17359</v>
      </c>
      <c r="P360" s="6">
        <v>5189.0</v>
      </c>
    </row>
    <row r="361" ht="56.25" customHeight="1">
      <c r="A361" s="5" t="s">
        <v>17360</v>
      </c>
      <c r="B361" s="6" t="str">
        <f>IMAGE("https://storage.googleapis.com/acdb/headwear/CapHatNewyearsilkOrange.png")</f>
        <v/>
      </c>
      <c r="C361" s="5" t="s">
        <v>142</v>
      </c>
      <c r="D361" s="5" t="s">
        <v>36</v>
      </c>
      <c r="E361" s="6" t="s">
        <v>37</v>
      </c>
      <c r="F361" s="6">
        <v>125.0</v>
      </c>
      <c r="G361" s="5" t="s">
        <v>142</v>
      </c>
      <c r="H361" s="5" t="s">
        <v>114</v>
      </c>
      <c r="I361" s="6" t="s">
        <v>40</v>
      </c>
      <c r="J361" s="5" t="s">
        <v>17341</v>
      </c>
      <c r="K361" s="5"/>
      <c r="L361" s="6" t="s">
        <v>42</v>
      </c>
      <c r="M361" s="5" t="s">
        <v>612</v>
      </c>
      <c r="N361" s="5" t="s">
        <v>48</v>
      </c>
      <c r="O361" s="5" t="s">
        <v>17362</v>
      </c>
      <c r="P361" s="6">
        <v>5950.0</v>
      </c>
    </row>
    <row r="362" ht="56.25" customHeight="1">
      <c r="A362" s="5" t="s">
        <v>17360</v>
      </c>
      <c r="B362" s="6" t="str">
        <f>IMAGE("https://storage.googleapis.com/acdb/headwear/CapHatNewyearsilkPurple.png")</f>
        <v/>
      </c>
      <c r="C362" s="5" t="s">
        <v>106</v>
      </c>
      <c r="D362" s="5" t="s">
        <v>36</v>
      </c>
      <c r="E362" s="6" t="s">
        <v>37</v>
      </c>
      <c r="F362" s="6">
        <v>125.0</v>
      </c>
      <c r="G362" s="5" t="s">
        <v>106</v>
      </c>
      <c r="H362" s="5" t="s">
        <v>114</v>
      </c>
      <c r="I362" s="6" t="s">
        <v>40</v>
      </c>
      <c r="J362" s="5" t="s">
        <v>17341</v>
      </c>
      <c r="K362" s="5"/>
      <c r="L362" s="6" t="s">
        <v>42</v>
      </c>
      <c r="M362" s="5" t="s">
        <v>612</v>
      </c>
      <c r="N362" s="5" t="s">
        <v>48</v>
      </c>
      <c r="O362" s="5" t="s">
        <v>17364</v>
      </c>
      <c r="P362" s="6">
        <v>5951.0</v>
      </c>
    </row>
    <row r="363" ht="56.25" customHeight="1">
      <c r="A363" s="5" t="s">
        <v>17360</v>
      </c>
      <c r="B363" s="6" t="str">
        <f>IMAGE("https://storage.googleapis.com/acdb/headwear/CapHatNewyearsilkPink.png")</f>
        <v/>
      </c>
      <c r="C363" s="5" t="s">
        <v>69</v>
      </c>
      <c r="D363" s="5" t="s">
        <v>36</v>
      </c>
      <c r="E363" s="6" t="s">
        <v>37</v>
      </c>
      <c r="F363" s="6">
        <v>125.0</v>
      </c>
      <c r="G363" s="5" t="s">
        <v>69</v>
      </c>
      <c r="H363" s="5" t="s">
        <v>114</v>
      </c>
      <c r="I363" s="6" t="s">
        <v>40</v>
      </c>
      <c r="J363" s="5" t="s">
        <v>17341</v>
      </c>
      <c r="K363" s="5"/>
      <c r="L363" s="6" t="s">
        <v>42</v>
      </c>
      <c r="M363" s="5" t="s">
        <v>612</v>
      </c>
      <c r="N363" s="5" t="s">
        <v>48</v>
      </c>
      <c r="O363" s="5" t="s">
        <v>17370</v>
      </c>
      <c r="P363" s="6">
        <v>5952.0</v>
      </c>
    </row>
    <row r="364" ht="56.25" customHeight="1">
      <c r="A364" s="5" t="s">
        <v>17360</v>
      </c>
      <c r="B364" s="6" t="str">
        <f>IMAGE("https://storage.googleapis.com/acdb/headwear/CapHatNewyearsilkLightblue.png")</f>
        <v/>
      </c>
      <c r="C364" s="5" t="s">
        <v>83</v>
      </c>
      <c r="D364" s="5" t="s">
        <v>36</v>
      </c>
      <c r="E364" s="6" t="s">
        <v>37</v>
      </c>
      <c r="F364" s="6">
        <v>125.0</v>
      </c>
      <c r="G364" s="5" t="s">
        <v>83</v>
      </c>
      <c r="H364" s="5" t="s">
        <v>114</v>
      </c>
      <c r="I364" s="6" t="s">
        <v>40</v>
      </c>
      <c r="J364" s="5" t="s">
        <v>17341</v>
      </c>
      <c r="K364" s="5"/>
      <c r="L364" s="6" t="s">
        <v>42</v>
      </c>
      <c r="M364" s="5" t="s">
        <v>612</v>
      </c>
      <c r="N364" s="5" t="s">
        <v>48</v>
      </c>
      <c r="O364" s="5" t="s">
        <v>17373</v>
      </c>
      <c r="P364" s="6">
        <v>5953.0</v>
      </c>
    </row>
    <row r="365" ht="56.25" customHeight="1">
      <c r="A365" s="5" t="s">
        <v>17360</v>
      </c>
      <c r="B365" s="6" t="str">
        <f>IMAGE("https://storage.googleapis.com/acdb/headwear/CapHatNewyearsilkRed.png")</f>
        <v/>
      </c>
      <c r="C365" s="5" t="s">
        <v>52</v>
      </c>
      <c r="D365" s="5" t="s">
        <v>36</v>
      </c>
      <c r="E365" s="6" t="s">
        <v>37</v>
      </c>
      <c r="F365" s="6">
        <v>125.0</v>
      </c>
      <c r="G365" s="5" t="s">
        <v>52</v>
      </c>
      <c r="H365" s="5" t="s">
        <v>114</v>
      </c>
      <c r="I365" s="6" t="s">
        <v>40</v>
      </c>
      <c r="J365" s="5" t="s">
        <v>17341</v>
      </c>
      <c r="K365" s="5"/>
      <c r="L365" s="6" t="s">
        <v>42</v>
      </c>
      <c r="M365" s="5" t="s">
        <v>612</v>
      </c>
      <c r="N365" s="5" t="s">
        <v>48</v>
      </c>
      <c r="O365" s="5" t="s">
        <v>17376</v>
      </c>
      <c r="P365" s="6">
        <v>5946.0</v>
      </c>
    </row>
    <row r="366" ht="56.25" customHeight="1">
      <c r="A366" s="5" t="s">
        <v>17360</v>
      </c>
      <c r="B366" s="6" t="str">
        <f>IMAGE("https://storage.googleapis.com/acdb/headwear/CapHatNewyearsilkBlue.png")</f>
        <v/>
      </c>
      <c r="C366" s="5" t="s">
        <v>68</v>
      </c>
      <c r="D366" s="5" t="s">
        <v>36</v>
      </c>
      <c r="E366" s="6" t="s">
        <v>37</v>
      </c>
      <c r="F366" s="6">
        <v>125.0</v>
      </c>
      <c r="G366" s="5" t="s">
        <v>68</v>
      </c>
      <c r="H366" s="5" t="s">
        <v>114</v>
      </c>
      <c r="I366" s="6" t="s">
        <v>40</v>
      </c>
      <c r="J366" s="5" t="s">
        <v>17341</v>
      </c>
      <c r="K366" s="5"/>
      <c r="L366" s="6" t="s">
        <v>42</v>
      </c>
      <c r="M366" s="5" t="s">
        <v>612</v>
      </c>
      <c r="N366" s="5" t="s">
        <v>48</v>
      </c>
      <c r="O366" s="5" t="s">
        <v>17379</v>
      </c>
      <c r="P366" s="6">
        <v>5947.0</v>
      </c>
    </row>
    <row r="367" ht="56.25" customHeight="1">
      <c r="A367" s="5" t="s">
        <v>17360</v>
      </c>
      <c r="B367" s="6" t="str">
        <f>IMAGE("https://storage.googleapis.com/acdb/headwear/CapHatNewyearsilkYellow.png")</f>
        <v/>
      </c>
      <c r="C367" s="5" t="s">
        <v>114</v>
      </c>
      <c r="D367" s="5" t="s">
        <v>36</v>
      </c>
      <c r="E367" s="6" t="s">
        <v>37</v>
      </c>
      <c r="F367" s="6">
        <v>125.0</v>
      </c>
      <c r="G367" s="5" t="s">
        <v>114</v>
      </c>
      <c r="H367" s="5" t="s">
        <v>114</v>
      </c>
      <c r="I367" s="6" t="s">
        <v>40</v>
      </c>
      <c r="J367" s="5" t="s">
        <v>17341</v>
      </c>
      <c r="K367" s="5"/>
      <c r="L367" s="6" t="s">
        <v>42</v>
      </c>
      <c r="M367" s="5" t="s">
        <v>612</v>
      </c>
      <c r="N367" s="5" t="s">
        <v>48</v>
      </c>
      <c r="O367" s="5" t="s">
        <v>17380</v>
      </c>
      <c r="P367" s="6">
        <v>5948.0</v>
      </c>
    </row>
    <row r="368" ht="56.25" customHeight="1">
      <c r="A368" s="5" t="s">
        <v>17360</v>
      </c>
      <c r="B368" s="6" t="str">
        <f>IMAGE("https://storage.googleapis.com/acdb/headwear/CapHatNewyearsilkGreen.png")</f>
        <v/>
      </c>
      <c r="C368" s="5" t="s">
        <v>96</v>
      </c>
      <c r="D368" s="5" t="s">
        <v>36</v>
      </c>
      <c r="E368" s="6" t="s">
        <v>37</v>
      </c>
      <c r="F368" s="6">
        <v>125.0</v>
      </c>
      <c r="G368" s="5" t="s">
        <v>96</v>
      </c>
      <c r="H368" s="5" t="s">
        <v>114</v>
      </c>
      <c r="I368" s="6" t="s">
        <v>40</v>
      </c>
      <c r="J368" s="5" t="s">
        <v>17341</v>
      </c>
      <c r="K368" s="5"/>
      <c r="L368" s="6" t="s">
        <v>42</v>
      </c>
      <c r="M368" s="5" t="s">
        <v>612</v>
      </c>
      <c r="N368" s="5" t="s">
        <v>48</v>
      </c>
      <c r="O368" s="5" t="s">
        <v>17382</v>
      </c>
      <c r="P368" s="6">
        <v>5949.0</v>
      </c>
    </row>
    <row r="369" ht="56.25" customHeight="1">
      <c r="A369" s="5" t="s">
        <v>17383</v>
      </c>
      <c r="B369" s="6" t="str">
        <f>IMAGE("https://storage.googleapis.com/acdb/headwear/CapCostumeNinja0.png")</f>
        <v/>
      </c>
      <c r="C369" s="5" t="s">
        <v>2431</v>
      </c>
      <c r="D369" s="5" t="s">
        <v>36</v>
      </c>
      <c r="E369" s="6">
        <v>1400.0</v>
      </c>
      <c r="F369" s="6">
        <v>350.0</v>
      </c>
      <c r="G369" s="5" t="s">
        <v>68</v>
      </c>
      <c r="H369" s="5" t="s">
        <v>95</v>
      </c>
      <c r="I369" s="6" t="s">
        <v>40</v>
      </c>
      <c r="J369" s="5" t="s">
        <v>8585</v>
      </c>
      <c r="K369" s="5" t="s">
        <v>8586</v>
      </c>
      <c r="L369" s="6" t="s">
        <v>42</v>
      </c>
      <c r="M369" s="5" t="s">
        <v>1952</v>
      </c>
      <c r="N369" s="5" t="s">
        <v>64</v>
      </c>
      <c r="O369" s="5" t="s">
        <v>17385</v>
      </c>
      <c r="P369" s="6">
        <v>5364.0</v>
      </c>
    </row>
    <row r="370" ht="56.25" customHeight="1">
      <c r="A370" s="5" t="s">
        <v>17383</v>
      </c>
      <c r="B370" s="6" t="str">
        <f>IMAGE("https://storage.googleapis.com/acdb/headwear/CapCostumeNinja1.png")</f>
        <v/>
      </c>
      <c r="C370" s="5" t="s">
        <v>95</v>
      </c>
      <c r="D370" s="5" t="s">
        <v>36</v>
      </c>
      <c r="E370" s="6">
        <v>1400.0</v>
      </c>
      <c r="F370" s="6">
        <v>350.0</v>
      </c>
      <c r="G370" s="5" t="s">
        <v>54</v>
      </c>
      <c r="H370" s="5" t="s">
        <v>95</v>
      </c>
      <c r="I370" s="6" t="s">
        <v>40</v>
      </c>
      <c r="J370" s="5" t="s">
        <v>8585</v>
      </c>
      <c r="K370" s="5" t="s">
        <v>8586</v>
      </c>
      <c r="L370" s="6" t="s">
        <v>42</v>
      </c>
      <c r="M370" s="5" t="s">
        <v>1952</v>
      </c>
      <c r="N370" s="5" t="s">
        <v>64</v>
      </c>
      <c r="O370" s="5" t="s">
        <v>17387</v>
      </c>
      <c r="P370" s="6">
        <v>11870.0</v>
      </c>
    </row>
    <row r="371" ht="56.25" customHeight="1">
      <c r="A371" s="5" t="s">
        <v>17383</v>
      </c>
      <c r="B371" s="6" t="str">
        <f>IMAGE("https://storage.googleapis.com/acdb/headwear/CapCostumeNinja2.png")</f>
        <v/>
      </c>
      <c r="C371" s="5" t="s">
        <v>52</v>
      </c>
      <c r="D371" s="5" t="s">
        <v>36</v>
      </c>
      <c r="E371" s="6">
        <v>1400.0</v>
      </c>
      <c r="F371" s="6">
        <v>350.0</v>
      </c>
      <c r="G371" s="5" t="s">
        <v>52</v>
      </c>
      <c r="H371" s="5" t="s">
        <v>95</v>
      </c>
      <c r="I371" s="6" t="s">
        <v>40</v>
      </c>
      <c r="J371" s="5" t="s">
        <v>8585</v>
      </c>
      <c r="K371" s="5" t="s">
        <v>8586</v>
      </c>
      <c r="L371" s="6" t="s">
        <v>42</v>
      </c>
      <c r="M371" s="5" t="s">
        <v>1952</v>
      </c>
      <c r="N371" s="5" t="s">
        <v>64</v>
      </c>
      <c r="O371" s="5" t="s">
        <v>17388</v>
      </c>
      <c r="P371" s="6">
        <v>11871.0</v>
      </c>
    </row>
    <row r="372" ht="56.25" customHeight="1">
      <c r="A372" s="5" t="s">
        <v>17383</v>
      </c>
      <c r="B372" s="6" t="str">
        <f>IMAGE("https://storage.googleapis.com/acdb/headwear/CapCostumeNinja3.png")</f>
        <v/>
      </c>
      <c r="C372" s="5" t="s">
        <v>106</v>
      </c>
      <c r="D372" s="5" t="s">
        <v>36</v>
      </c>
      <c r="E372" s="6">
        <v>1400.0</v>
      </c>
      <c r="F372" s="6">
        <v>350.0</v>
      </c>
      <c r="G372" s="5" t="s">
        <v>106</v>
      </c>
      <c r="H372" s="5" t="s">
        <v>95</v>
      </c>
      <c r="I372" s="6" t="s">
        <v>40</v>
      </c>
      <c r="J372" s="5" t="s">
        <v>8585</v>
      </c>
      <c r="K372" s="5" t="s">
        <v>8586</v>
      </c>
      <c r="L372" s="6" t="s">
        <v>42</v>
      </c>
      <c r="M372" s="5" t="s">
        <v>1952</v>
      </c>
      <c r="N372" s="5" t="s">
        <v>64</v>
      </c>
      <c r="O372" s="5" t="s">
        <v>17391</v>
      </c>
      <c r="P372" s="6">
        <v>11872.0</v>
      </c>
    </row>
    <row r="373" ht="56.25" customHeight="1">
      <c r="A373" s="5" t="s">
        <v>17383</v>
      </c>
      <c r="B373" s="6" t="str">
        <f>IMAGE("https://storage.googleapis.com/acdb/headwear/CapCostumeNinja4.png")</f>
        <v/>
      </c>
      <c r="C373" s="5" t="s">
        <v>14181</v>
      </c>
      <c r="D373" s="5" t="s">
        <v>36</v>
      </c>
      <c r="E373" s="6">
        <v>1400.0</v>
      </c>
      <c r="F373" s="6">
        <v>350.0</v>
      </c>
      <c r="G373" s="5" t="s">
        <v>83</v>
      </c>
      <c r="H373" s="5" t="s">
        <v>95</v>
      </c>
      <c r="I373" s="6" t="s">
        <v>40</v>
      </c>
      <c r="J373" s="5" t="s">
        <v>8585</v>
      </c>
      <c r="K373" s="5" t="s">
        <v>8586</v>
      </c>
      <c r="L373" s="6" t="s">
        <v>42</v>
      </c>
      <c r="M373" s="5" t="s">
        <v>1952</v>
      </c>
      <c r="N373" s="5" t="s">
        <v>64</v>
      </c>
      <c r="O373" s="5" t="s">
        <v>17394</v>
      </c>
      <c r="P373" s="6">
        <v>11873.0</v>
      </c>
    </row>
    <row r="374" ht="56.25" customHeight="1">
      <c r="A374" s="5" t="s">
        <v>17383</v>
      </c>
      <c r="B374" s="6" t="str">
        <f>IMAGE("https://storage.googleapis.com/acdb/headwear/CapCostumeNinja5.png")</f>
        <v/>
      </c>
      <c r="C374" s="5" t="s">
        <v>96</v>
      </c>
      <c r="D374" s="5" t="s">
        <v>36</v>
      </c>
      <c r="E374" s="6">
        <v>1400.0</v>
      </c>
      <c r="F374" s="6">
        <v>350.0</v>
      </c>
      <c r="G374" s="5" t="s">
        <v>96</v>
      </c>
      <c r="H374" s="5" t="s">
        <v>95</v>
      </c>
      <c r="I374" s="6" t="s">
        <v>40</v>
      </c>
      <c r="J374" s="5" t="s">
        <v>8585</v>
      </c>
      <c r="K374" s="5" t="s">
        <v>8586</v>
      </c>
      <c r="L374" s="6" t="s">
        <v>42</v>
      </c>
      <c r="M374" s="5" t="s">
        <v>1952</v>
      </c>
      <c r="N374" s="5" t="s">
        <v>64</v>
      </c>
      <c r="O374" s="5" t="s">
        <v>17399</v>
      </c>
      <c r="P374" s="6">
        <v>11874.0</v>
      </c>
    </row>
    <row r="375" ht="56.25" customHeight="1">
      <c r="A375" s="5" t="s">
        <v>17383</v>
      </c>
      <c r="B375" s="6" t="str">
        <f>IMAGE("https://storage.googleapis.com/acdb/headwear/CapCostumeNinja6.png")</f>
        <v/>
      </c>
      <c r="C375" s="5" t="s">
        <v>114</v>
      </c>
      <c r="D375" s="5" t="s">
        <v>36</v>
      </c>
      <c r="E375" s="6">
        <v>1400.0</v>
      </c>
      <c r="F375" s="6">
        <v>350.0</v>
      </c>
      <c r="G375" s="5" t="s">
        <v>114</v>
      </c>
      <c r="H375" s="5" t="s">
        <v>95</v>
      </c>
      <c r="I375" s="6" t="s">
        <v>40</v>
      </c>
      <c r="J375" s="5" t="s">
        <v>8585</v>
      </c>
      <c r="K375" s="5" t="s">
        <v>8586</v>
      </c>
      <c r="L375" s="6" t="s">
        <v>42</v>
      </c>
      <c r="M375" s="5" t="s">
        <v>1952</v>
      </c>
      <c r="N375" s="5" t="s">
        <v>64</v>
      </c>
      <c r="O375" s="5" t="s">
        <v>17402</v>
      </c>
      <c r="P375" s="6">
        <v>11875.0</v>
      </c>
    </row>
    <row r="376" ht="56.25" customHeight="1">
      <c r="A376" s="5" t="s">
        <v>17383</v>
      </c>
      <c r="B376" s="6" t="str">
        <f>IMAGE("https://storage.googleapis.com/acdb/headwear/CapCostumeNinja7.png")</f>
        <v/>
      </c>
      <c r="C376" s="5" t="s">
        <v>142</v>
      </c>
      <c r="D376" s="5" t="s">
        <v>36</v>
      </c>
      <c r="E376" s="6">
        <v>1400.0</v>
      </c>
      <c r="F376" s="6">
        <v>350.0</v>
      </c>
      <c r="G376" s="5" t="s">
        <v>142</v>
      </c>
      <c r="H376" s="5" t="s">
        <v>95</v>
      </c>
      <c r="I376" s="6" t="s">
        <v>40</v>
      </c>
      <c r="J376" s="5" t="s">
        <v>8585</v>
      </c>
      <c r="K376" s="5" t="s">
        <v>8586</v>
      </c>
      <c r="L376" s="6" t="s">
        <v>42</v>
      </c>
      <c r="M376" s="5" t="s">
        <v>1952</v>
      </c>
      <c r="N376" s="5" t="s">
        <v>64</v>
      </c>
      <c r="O376" s="5" t="s">
        <v>17406</v>
      </c>
      <c r="P376" s="6">
        <v>11876.0</v>
      </c>
    </row>
    <row r="377" ht="56.25" customHeight="1">
      <c r="A377" s="5" t="s">
        <v>17407</v>
      </c>
      <c r="B377" s="6" t="str">
        <f>IMAGE("https://storage.googleapis.com/acdb/headwear/CapMaskNomenWhite.png")</f>
        <v/>
      </c>
      <c r="C377" s="5" t="s">
        <v>57</v>
      </c>
      <c r="D377" s="5" t="s">
        <v>36</v>
      </c>
      <c r="E377" s="6">
        <v>2400.0</v>
      </c>
      <c r="F377" s="6">
        <v>600.0</v>
      </c>
      <c r="G377" s="5" t="s">
        <v>38</v>
      </c>
      <c r="H377" s="5" t="s">
        <v>54</v>
      </c>
      <c r="I377" s="6" t="s">
        <v>40</v>
      </c>
      <c r="J377" s="5" t="s">
        <v>8585</v>
      </c>
      <c r="K377" s="5" t="s">
        <v>8586</v>
      </c>
      <c r="L377" s="6" t="s">
        <v>42</v>
      </c>
      <c r="M377" s="5" t="s">
        <v>1059</v>
      </c>
      <c r="N377" s="5" t="s">
        <v>64</v>
      </c>
      <c r="O377" s="5" t="s">
        <v>17410</v>
      </c>
      <c r="P377" s="6">
        <v>6036.0</v>
      </c>
    </row>
    <row r="378" ht="56.25" customHeight="1">
      <c r="A378" s="5" t="s">
        <v>17411</v>
      </c>
      <c r="B378" s="6" t="str">
        <f>IMAGE("https://storage.googleapis.com/acdb/headwear/CapHatBandanaRco.png")</f>
        <v/>
      </c>
      <c r="C378" s="5" t="s">
        <v>114</v>
      </c>
      <c r="D378" s="5" t="s">
        <v>36</v>
      </c>
      <c r="E378" s="6" t="s">
        <v>37</v>
      </c>
      <c r="F378" s="6">
        <v>2500.0</v>
      </c>
      <c r="G378" s="5" t="s">
        <v>142</v>
      </c>
      <c r="H378" s="5" t="s">
        <v>114</v>
      </c>
      <c r="I378" s="6" t="s">
        <v>40</v>
      </c>
      <c r="J378" s="5" t="s">
        <v>2140</v>
      </c>
      <c r="K378" s="5"/>
      <c r="L378" s="6" t="s">
        <v>42</v>
      </c>
      <c r="M378" s="5" t="s">
        <v>995</v>
      </c>
      <c r="N378" s="5" t="s">
        <v>48</v>
      </c>
      <c r="O378" s="5" t="s">
        <v>17413</v>
      </c>
      <c r="P378" s="6">
        <v>5628.0</v>
      </c>
    </row>
    <row r="379" ht="56.25" customHeight="1">
      <c r="A379" s="5" t="s">
        <v>17414</v>
      </c>
      <c r="B379" s="6" t="str">
        <f>IMAGE("https://storage.googleapis.com/acdb/headwear/CapHatMeshcapRco.png")</f>
        <v/>
      </c>
      <c r="C379" s="5" t="s">
        <v>96</v>
      </c>
      <c r="D379" s="5" t="s">
        <v>36</v>
      </c>
      <c r="E379" s="6" t="s">
        <v>37</v>
      </c>
      <c r="F379" s="6">
        <v>2500.0</v>
      </c>
      <c r="G379" s="5" t="s">
        <v>96</v>
      </c>
      <c r="H379" s="5" t="s">
        <v>57</v>
      </c>
      <c r="I379" s="6" t="s">
        <v>40</v>
      </c>
      <c r="J379" s="5" t="s">
        <v>2140</v>
      </c>
      <c r="K379" s="5"/>
      <c r="L379" s="6" t="s">
        <v>42</v>
      </c>
      <c r="M379" s="5" t="s">
        <v>995</v>
      </c>
      <c r="N379" s="5" t="s">
        <v>48</v>
      </c>
      <c r="O379" s="5" t="s">
        <v>17417</v>
      </c>
      <c r="P379" s="6">
        <v>5627.0</v>
      </c>
    </row>
    <row r="380" ht="56.25" customHeight="1">
      <c r="A380" s="5" t="s">
        <v>17418</v>
      </c>
      <c r="B380" s="6" t="str">
        <f>IMAGE("https://storage.googleapis.com/acdb/headwear/CapOrnamentTNurse0.png")</f>
        <v/>
      </c>
      <c r="C380" s="5" t="s">
        <v>69</v>
      </c>
      <c r="D380" s="5" t="s">
        <v>36</v>
      </c>
      <c r="E380" s="6">
        <v>1680.0</v>
      </c>
      <c r="F380" s="6">
        <v>420.0</v>
      </c>
      <c r="G380" s="5" t="s">
        <v>69</v>
      </c>
      <c r="H380" s="5" t="s">
        <v>69</v>
      </c>
      <c r="I380" s="6" t="s">
        <v>40</v>
      </c>
      <c r="J380" s="5" t="s">
        <v>8585</v>
      </c>
      <c r="K380" s="5" t="s">
        <v>8586</v>
      </c>
      <c r="L380" s="6" t="s">
        <v>42</v>
      </c>
      <c r="M380" s="5" t="s">
        <v>995</v>
      </c>
      <c r="N380" s="5" t="s">
        <v>64</v>
      </c>
      <c r="O380" s="5" t="s">
        <v>17421</v>
      </c>
      <c r="P380" s="6">
        <v>6947.0</v>
      </c>
    </row>
    <row r="381" ht="56.25" customHeight="1">
      <c r="A381" s="5" t="s">
        <v>17418</v>
      </c>
      <c r="B381" s="6" t="str">
        <f>IMAGE("https://storage.googleapis.com/acdb/headwear/CapOrnamentTNurse1.png")</f>
        <v/>
      </c>
      <c r="C381" s="5" t="s">
        <v>57</v>
      </c>
      <c r="D381" s="5" t="s">
        <v>36</v>
      </c>
      <c r="E381" s="6">
        <v>1680.0</v>
      </c>
      <c r="F381" s="6">
        <v>420.0</v>
      </c>
      <c r="G381" s="5" t="s">
        <v>57</v>
      </c>
      <c r="H381" s="5" t="s">
        <v>57</v>
      </c>
      <c r="I381" s="6" t="s">
        <v>40</v>
      </c>
      <c r="J381" s="5" t="s">
        <v>8585</v>
      </c>
      <c r="K381" s="5" t="s">
        <v>8586</v>
      </c>
      <c r="L381" s="6" t="s">
        <v>42</v>
      </c>
      <c r="M381" s="5" t="s">
        <v>995</v>
      </c>
      <c r="N381" s="5" t="s">
        <v>64</v>
      </c>
      <c r="O381" s="5" t="s">
        <v>17424</v>
      </c>
      <c r="P381" s="6">
        <v>11812.0</v>
      </c>
    </row>
    <row r="382" ht="56.25" customHeight="1">
      <c r="A382" s="5" t="s">
        <v>17418</v>
      </c>
      <c r="B382" s="6" t="str">
        <f>IMAGE("https://storage.googleapis.com/acdb/headwear/CapOrnamentTNurse2.png")</f>
        <v/>
      </c>
      <c r="C382" s="5" t="s">
        <v>68</v>
      </c>
      <c r="D382" s="5" t="s">
        <v>36</v>
      </c>
      <c r="E382" s="6">
        <v>1680.0</v>
      </c>
      <c r="F382" s="6">
        <v>420.0</v>
      </c>
      <c r="G382" s="5" t="s">
        <v>68</v>
      </c>
      <c r="H382" s="5" t="s">
        <v>68</v>
      </c>
      <c r="I382" s="6" t="s">
        <v>40</v>
      </c>
      <c r="J382" s="5" t="s">
        <v>8585</v>
      </c>
      <c r="K382" s="5" t="s">
        <v>8586</v>
      </c>
      <c r="L382" s="6" t="s">
        <v>42</v>
      </c>
      <c r="M382" s="5" t="s">
        <v>995</v>
      </c>
      <c r="N382" s="5" t="s">
        <v>64</v>
      </c>
      <c r="O382" s="5" t="s">
        <v>17427</v>
      </c>
      <c r="P382" s="6">
        <v>11813.0</v>
      </c>
    </row>
    <row r="383" ht="56.25" customHeight="1">
      <c r="A383" s="5" t="s">
        <v>17428</v>
      </c>
      <c r="B383" s="6" t="str">
        <f>IMAGE("https://storage.googleapis.com/acdb/headwear/CapHatOkmotors0.png")</f>
        <v/>
      </c>
      <c r="C383" s="5" t="s">
        <v>34</v>
      </c>
      <c r="D383" s="5" t="s">
        <v>36</v>
      </c>
      <c r="E383" s="6">
        <v>770.0</v>
      </c>
      <c r="F383" s="6">
        <v>192.0</v>
      </c>
      <c r="G383" s="5" t="s">
        <v>57</v>
      </c>
      <c r="H383" s="5" t="s">
        <v>68</v>
      </c>
      <c r="I383" s="6" t="s">
        <v>40</v>
      </c>
      <c r="J383" s="5" t="s">
        <v>1234</v>
      </c>
      <c r="K383" s="5" t="s">
        <v>1235</v>
      </c>
      <c r="L383" s="6" t="s">
        <v>98</v>
      </c>
      <c r="M383" s="5" t="s">
        <v>995</v>
      </c>
      <c r="N383" s="5" t="s">
        <v>1237</v>
      </c>
      <c r="O383" s="5" t="s">
        <v>17433</v>
      </c>
      <c r="P383" s="6">
        <v>12424.0</v>
      </c>
    </row>
    <row r="384" ht="56.25" customHeight="1">
      <c r="A384" s="5" t="s">
        <v>17434</v>
      </c>
      <c r="B384" s="6" t="str">
        <f>IMAGE("https://storage.googleapis.com/acdb/headwear/CapHatOrange.png")</f>
        <v/>
      </c>
      <c r="C384" s="5" t="s">
        <v>142</v>
      </c>
      <c r="D384" s="5" t="s">
        <v>35</v>
      </c>
      <c r="E384" s="6" t="s">
        <v>37</v>
      </c>
      <c r="F384" s="6">
        <v>1000.0</v>
      </c>
      <c r="G384" s="5" t="s">
        <v>142</v>
      </c>
      <c r="H384" s="5" t="s">
        <v>96</v>
      </c>
      <c r="I384" s="6" t="s">
        <v>40</v>
      </c>
      <c r="J384" s="5" t="s">
        <v>41</v>
      </c>
      <c r="K384" s="5"/>
      <c r="L384" s="6" t="s">
        <v>42</v>
      </c>
      <c r="M384" s="5" t="s">
        <v>1959</v>
      </c>
      <c r="N384" s="5" t="s">
        <v>48</v>
      </c>
      <c r="O384" s="5" t="s">
        <v>17436</v>
      </c>
      <c r="P384" s="6">
        <v>5275.0</v>
      </c>
    </row>
    <row r="385" ht="56.25" customHeight="1">
      <c r="A385" s="5" t="s">
        <v>17437</v>
      </c>
      <c r="B385" s="6" t="str">
        <f>IMAGE("https://storage.googleapis.com/acdb/headwear/CapHatTengallon0.png")</f>
        <v/>
      </c>
      <c r="C385" s="5" t="s">
        <v>39</v>
      </c>
      <c r="D385" s="5" t="s">
        <v>36</v>
      </c>
      <c r="E385" s="6">
        <v>1560.0</v>
      </c>
      <c r="F385" s="6">
        <v>390.0</v>
      </c>
      <c r="G385" s="5" t="s">
        <v>39</v>
      </c>
      <c r="H385" s="5" t="s">
        <v>39</v>
      </c>
      <c r="I385" s="6" t="s">
        <v>40</v>
      </c>
      <c r="J385" s="5" t="s">
        <v>8585</v>
      </c>
      <c r="K385" s="5" t="s">
        <v>8632</v>
      </c>
      <c r="L385" s="6" t="s">
        <v>42</v>
      </c>
      <c r="M385" s="5" t="s">
        <v>1059</v>
      </c>
      <c r="N385" s="5" t="s">
        <v>64</v>
      </c>
      <c r="O385" s="5" t="s">
        <v>17440</v>
      </c>
      <c r="P385" s="6">
        <v>5399.0</v>
      </c>
    </row>
    <row r="386" ht="56.25" customHeight="1">
      <c r="A386" s="5" t="s">
        <v>17437</v>
      </c>
      <c r="B386" s="6" t="str">
        <f>IMAGE("https://storage.googleapis.com/acdb/headwear/CapHatTengallon1.png")</f>
        <v/>
      </c>
      <c r="C386" s="5" t="s">
        <v>38</v>
      </c>
      <c r="D386" s="5" t="s">
        <v>36</v>
      </c>
      <c r="E386" s="6">
        <v>1560.0</v>
      </c>
      <c r="F386" s="6">
        <v>390.0</v>
      </c>
      <c r="G386" s="5" t="s">
        <v>38</v>
      </c>
      <c r="H386" s="5" t="s">
        <v>95</v>
      </c>
      <c r="I386" s="6" t="s">
        <v>40</v>
      </c>
      <c r="J386" s="5" t="s">
        <v>8585</v>
      </c>
      <c r="K386" s="5" t="s">
        <v>8632</v>
      </c>
      <c r="L386" s="6" t="s">
        <v>42</v>
      </c>
      <c r="M386" s="5" t="s">
        <v>1059</v>
      </c>
      <c r="N386" s="5" t="s">
        <v>64</v>
      </c>
      <c r="O386" s="5" t="s">
        <v>17444</v>
      </c>
      <c r="P386" s="6">
        <v>11053.0</v>
      </c>
    </row>
    <row r="387" ht="56.25" customHeight="1">
      <c r="A387" s="5" t="s">
        <v>17437</v>
      </c>
      <c r="B387" s="6" t="str">
        <f>IMAGE("https://storage.googleapis.com/acdb/headwear/CapHatTengallon2.png")</f>
        <v/>
      </c>
      <c r="C387" s="5" t="s">
        <v>52</v>
      </c>
      <c r="D387" s="5" t="s">
        <v>36</v>
      </c>
      <c r="E387" s="6">
        <v>1560.0</v>
      </c>
      <c r="F387" s="6">
        <v>390.0</v>
      </c>
      <c r="G387" s="5" t="s">
        <v>52</v>
      </c>
      <c r="H387" s="5" t="s">
        <v>54</v>
      </c>
      <c r="I387" s="6" t="s">
        <v>40</v>
      </c>
      <c r="J387" s="5" t="s">
        <v>8585</v>
      </c>
      <c r="K387" s="5" t="s">
        <v>8632</v>
      </c>
      <c r="L387" s="6" t="s">
        <v>42</v>
      </c>
      <c r="M387" s="5" t="s">
        <v>1059</v>
      </c>
      <c r="N387" s="5" t="s">
        <v>64</v>
      </c>
      <c r="O387" s="5" t="s">
        <v>17448</v>
      </c>
      <c r="P387" s="6">
        <v>11054.0</v>
      </c>
    </row>
    <row r="388" ht="56.25" customHeight="1">
      <c r="A388" s="5" t="s">
        <v>17437</v>
      </c>
      <c r="B388" s="6" t="str">
        <f>IMAGE("https://storage.googleapis.com/acdb/headwear/CapHatTengallon3.png")</f>
        <v/>
      </c>
      <c r="C388" s="5" t="s">
        <v>69</v>
      </c>
      <c r="D388" s="5" t="s">
        <v>36</v>
      </c>
      <c r="E388" s="6">
        <v>1560.0</v>
      </c>
      <c r="F388" s="6">
        <v>390.0</v>
      </c>
      <c r="G388" s="5" t="s">
        <v>69</v>
      </c>
      <c r="H388" s="5" t="s">
        <v>69</v>
      </c>
      <c r="I388" s="6" t="s">
        <v>40</v>
      </c>
      <c r="J388" s="5" t="s">
        <v>8585</v>
      </c>
      <c r="K388" s="5" t="s">
        <v>8632</v>
      </c>
      <c r="L388" s="6" t="s">
        <v>42</v>
      </c>
      <c r="M388" s="5" t="s">
        <v>1059</v>
      </c>
      <c r="N388" s="5" t="s">
        <v>64</v>
      </c>
      <c r="O388" s="5" t="s">
        <v>17449</v>
      </c>
      <c r="P388" s="6">
        <v>11055.0</v>
      </c>
    </row>
    <row r="389" ht="56.25" customHeight="1">
      <c r="A389" s="5" t="s">
        <v>17437</v>
      </c>
      <c r="B389" s="6" t="str">
        <f>IMAGE("https://storage.googleapis.com/acdb/headwear/CapHatTengallon4.png")</f>
        <v/>
      </c>
      <c r="C389" s="5" t="s">
        <v>57</v>
      </c>
      <c r="D389" s="5" t="s">
        <v>36</v>
      </c>
      <c r="E389" s="6">
        <v>1560.0</v>
      </c>
      <c r="F389" s="6">
        <v>390.0</v>
      </c>
      <c r="G389" s="5" t="s">
        <v>57</v>
      </c>
      <c r="H389" s="5" t="s">
        <v>95</v>
      </c>
      <c r="I389" s="6" t="s">
        <v>40</v>
      </c>
      <c r="J389" s="5" t="s">
        <v>8585</v>
      </c>
      <c r="K389" s="5" t="s">
        <v>8632</v>
      </c>
      <c r="L389" s="6" t="s">
        <v>42</v>
      </c>
      <c r="M389" s="5" t="s">
        <v>1059</v>
      </c>
      <c r="N389" s="5" t="s">
        <v>64</v>
      </c>
      <c r="O389" s="5" t="s">
        <v>17452</v>
      </c>
      <c r="P389" s="6">
        <v>11056.0</v>
      </c>
    </row>
    <row r="390" ht="56.25" customHeight="1">
      <c r="A390" s="5" t="s">
        <v>17453</v>
      </c>
      <c r="B390" s="6" t="str">
        <f>IMAGE("https://storage.googleapis.com/acdb/headwear/CapHatOutdoor3.png")</f>
        <v/>
      </c>
      <c r="C390" s="5" t="s">
        <v>52</v>
      </c>
      <c r="D390" s="5" t="s">
        <v>36</v>
      </c>
      <c r="E390" s="6">
        <v>1100.0</v>
      </c>
      <c r="F390" s="6">
        <v>275.0</v>
      </c>
      <c r="G390" s="5" t="s">
        <v>52</v>
      </c>
      <c r="H390" s="5" t="s">
        <v>114</v>
      </c>
      <c r="I390" s="6" t="s">
        <v>40</v>
      </c>
      <c r="J390" s="5" t="s">
        <v>8585</v>
      </c>
      <c r="K390" s="5" t="s">
        <v>8632</v>
      </c>
      <c r="L390" s="6" t="s">
        <v>42</v>
      </c>
      <c r="M390" s="5" t="s">
        <v>8746</v>
      </c>
      <c r="N390" s="5" t="s">
        <v>64</v>
      </c>
      <c r="O390" s="5" t="s">
        <v>17455</v>
      </c>
      <c r="P390" s="6">
        <v>11040.0</v>
      </c>
    </row>
    <row r="391" ht="56.25" customHeight="1">
      <c r="A391" s="5" t="s">
        <v>17453</v>
      </c>
      <c r="B391" s="6" t="str">
        <f>IMAGE("https://storage.googleapis.com/acdb/headwear/CapHatOutdoor4.png")</f>
        <v/>
      </c>
      <c r="C391" s="5" t="s">
        <v>114</v>
      </c>
      <c r="D391" s="5" t="s">
        <v>36</v>
      </c>
      <c r="E391" s="6">
        <v>1100.0</v>
      </c>
      <c r="F391" s="6">
        <v>275.0</v>
      </c>
      <c r="G391" s="5" t="s">
        <v>114</v>
      </c>
      <c r="H391" s="5" t="s">
        <v>68</v>
      </c>
      <c r="I391" s="6" t="s">
        <v>40</v>
      </c>
      <c r="J391" s="5" t="s">
        <v>8585</v>
      </c>
      <c r="K391" s="5" t="s">
        <v>8632</v>
      </c>
      <c r="L391" s="6" t="s">
        <v>42</v>
      </c>
      <c r="M391" s="5" t="s">
        <v>8746</v>
      </c>
      <c r="N391" s="5" t="s">
        <v>64</v>
      </c>
      <c r="O391" s="5" t="s">
        <v>17458</v>
      </c>
      <c r="P391" s="6">
        <v>11041.0</v>
      </c>
    </row>
    <row r="392" ht="56.25" customHeight="1">
      <c r="A392" s="5" t="s">
        <v>17453</v>
      </c>
      <c r="B392" s="6" t="str">
        <f>IMAGE("https://storage.googleapis.com/acdb/headwear/CapHatOutdoor5.png")</f>
        <v/>
      </c>
      <c r="C392" s="5" t="s">
        <v>83</v>
      </c>
      <c r="D392" s="5" t="s">
        <v>36</v>
      </c>
      <c r="E392" s="6">
        <v>1100.0</v>
      </c>
      <c r="F392" s="6">
        <v>275.0</v>
      </c>
      <c r="G392" s="5" t="s">
        <v>83</v>
      </c>
      <c r="H392" s="5" t="s">
        <v>96</v>
      </c>
      <c r="I392" s="6" t="s">
        <v>40</v>
      </c>
      <c r="J392" s="5" t="s">
        <v>8585</v>
      </c>
      <c r="K392" s="5" t="s">
        <v>8632</v>
      </c>
      <c r="L392" s="6" t="s">
        <v>42</v>
      </c>
      <c r="M392" s="5" t="s">
        <v>8746</v>
      </c>
      <c r="N392" s="5" t="s">
        <v>64</v>
      </c>
      <c r="O392" s="5" t="s">
        <v>17461</v>
      </c>
      <c r="P392" s="6">
        <v>11042.0</v>
      </c>
    </row>
    <row r="393" ht="56.25" customHeight="1">
      <c r="A393" s="5" t="s">
        <v>17453</v>
      </c>
      <c r="B393" s="6" t="str">
        <f>IMAGE("https://storage.googleapis.com/acdb/headwear/CapHatOutdoor6.png")</f>
        <v/>
      </c>
      <c r="C393" s="5" t="s">
        <v>96</v>
      </c>
      <c r="D393" s="5" t="s">
        <v>36</v>
      </c>
      <c r="E393" s="6">
        <v>1100.0</v>
      </c>
      <c r="F393" s="6">
        <v>275.0</v>
      </c>
      <c r="G393" s="5" t="s">
        <v>96</v>
      </c>
      <c r="H393" s="5" t="s">
        <v>114</v>
      </c>
      <c r="I393" s="6" t="s">
        <v>40</v>
      </c>
      <c r="J393" s="5" t="s">
        <v>8585</v>
      </c>
      <c r="K393" s="5" t="s">
        <v>8632</v>
      </c>
      <c r="L393" s="6" t="s">
        <v>42</v>
      </c>
      <c r="M393" s="5" t="s">
        <v>8746</v>
      </c>
      <c r="N393" s="5" t="s">
        <v>64</v>
      </c>
      <c r="O393" s="5" t="s">
        <v>17464</v>
      </c>
      <c r="P393" s="6">
        <v>11043.0</v>
      </c>
    </row>
    <row r="394" ht="56.25" customHeight="1">
      <c r="A394" s="5" t="s">
        <v>17453</v>
      </c>
      <c r="B394" s="6" t="str">
        <f>IMAGE("https://storage.googleapis.com/acdb/headwear/CapHatOutdoor7.png")</f>
        <v/>
      </c>
      <c r="C394" s="5" t="s">
        <v>38</v>
      </c>
      <c r="D394" s="5" t="s">
        <v>36</v>
      </c>
      <c r="E394" s="6">
        <v>1100.0</v>
      </c>
      <c r="F394" s="6">
        <v>275.0</v>
      </c>
      <c r="G394" s="5" t="s">
        <v>38</v>
      </c>
      <c r="H394" s="5" t="s">
        <v>52</v>
      </c>
      <c r="I394" s="6" t="s">
        <v>40</v>
      </c>
      <c r="J394" s="5" t="s">
        <v>8585</v>
      </c>
      <c r="K394" s="5" t="s">
        <v>8632</v>
      </c>
      <c r="L394" s="6" t="s">
        <v>42</v>
      </c>
      <c r="M394" s="5" t="s">
        <v>8746</v>
      </c>
      <c r="N394" s="5" t="s">
        <v>64</v>
      </c>
      <c r="O394" s="5" t="s">
        <v>17469</v>
      </c>
      <c r="P394" s="6">
        <v>11044.0</v>
      </c>
    </row>
    <row r="395" ht="56.25" customHeight="1">
      <c r="A395" s="5" t="s">
        <v>17453</v>
      </c>
      <c r="B395" s="6" t="str">
        <f>IMAGE("https://storage.googleapis.com/acdb/headwear/CapHatOutdoor0.png")</f>
        <v/>
      </c>
      <c r="C395" s="5" t="s">
        <v>142</v>
      </c>
      <c r="D395" s="5" t="s">
        <v>36</v>
      </c>
      <c r="E395" s="6">
        <v>1100.0</v>
      </c>
      <c r="F395" s="6">
        <v>275.0</v>
      </c>
      <c r="G395" s="5" t="s">
        <v>142</v>
      </c>
      <c r="H395" s="5" t="s">
        <v>83</v>
      </c>
      <c r="I395" s="6" t="s">
        <v>40</v>
      </c>
      <c r="J395" s="5" t="s">
        <v>8585</v>
      </c>
      <c r="K395" s="5" t="s">
        <v>8632</v>
      </c>
      <c r="L395" s="6" t="s">
        <v>42</v>
      </c>
      <c r="M395" s="5" t="s">
        <v>8746</v>
      </c>
      <c r="N395" s="5" t="s">
        <v>64</v>
      </c>
      <c r="O395" s="5" t="s">
        <v>17473</v>
      </c>
      <c r="P395" s="6">
        <v>5258.0</v>
      </c>
    </row>
    <row r="396" ht="56.25" customHeight="1">
      <c r="A396" s="5" t="s">
        <v>17453</v>
      </c>
      <c r="B396" s="6" t="str">
        <f>IMAGE("https://storage.googleapis.com/acdb/headwear/CapHatOutdoor1.png")</f>
        <v/>
      </c>
      <c r="C396" s="5" t="s">
        <v>68</v>
      </c>
      <c r="D396" s="5" t="s">
        <v>36</v>
      </c>
      <c r="E396" s="6">
        <v>1100.0</v>
      </c>
      <c r="F396" s="6">
        <v>275.0</v>
      </c>
      <c r="G396" s="5" t="s">
        <v>68</v>
      </c>
      <c r="H396" s="5" t="s">
        <v>52</v>
      </c>
      <c r="I396" s="6" t="s">
        <v>40</v>
      </c>
      <c r="J396" s="5" t="s">
        <v>8585</v>
      </c>
      <c r="K396" s="5" t="s">
        <v>8632</v>
      </c>
      <c r="L396" s="6" t="s">
        <v>42</v>
      </c>
      <c r="M396" s="5" t="s">
        <v>8746</v>
      </c>
      <c r="N396" s="5" t="s">
        <v>64</v>
      </c>
      <c r="O396" s="5" t="s">
        <v>17479</v>
      </c>
      <c r="P396" s="6">
        <v>11038.0</v>
      </c>
    </row>
    <row r="397" ht="56.25" customHeight="1">
      <c r="A397" s="5" t="s">
        <v>17453</v>
      </c>
      <c r="B397" s="6" t="str">
        <f>IMAGE("https://storage.googleapis.com/acdb/headwear/CapHatOutdoor2.png")</f>
        <v/>
      </c>
      <c r="C397" s="5" t="s">
        <v>106</v>
      </c>
      <c r="D397" s="5" t="s">
        <v>36</v>
      </c>
      <c r="E397" s="6">
        <v>1100.0</v>
      </c>
      <c r="F397" s="6">
        <v>275.0</v>
      </c>
      <c r="G397" s="5" t="s">
        <v>106</v>
      </c>
      <c r="H397" s="5" t="s">
        <v>83</v>
      </c>
      <c r="I397" s="6" t="s">
        <v>40</v>
      </c>
      <c r="J397" s="5" t="s">
        <v>8585</v>
      </c>
      <c r="K397" s="5" t="s">
        <v>8632</v>
      </c>
      <c r="L397" s="6" t="s">
        <v>42</v>
      </c>
      <c r="M397" s="5" t="s">
        <v>8746</v>
      </c>
      <c r="N397" s="5" t="s">
        <v>64</v>
      </c>
      <c r="O397" s="5" t="s">
        <v>17483</v>
      </c>
      <c r="P397" s="6">
        <v>11039.0</v>
      </c>
    </row>
    <row r="398" ht="56.25" customHeight="1">
      <c r="A398" s="5" t="s">
        <v>17484</v>
      </c>
      <c r="B398" s="6" t="str">
        <f>IMAGE("https://storage.googleapis.com/acdb/headwear/CapMaskPaint0.png")</f>
        <v/>
      </c>
      <c r="C398" s="5" t="s">
        <v>54</v>
      </c>
      <c r="D398" s="5" t="s">
        <v>36</v>
      </c>
      <c r="E398" s="6">
        <v>1040.0</v>
      </c>
      <c r="F398" s="6">
        <v>260.0</v>
      </c>
      <c r="G398" s="5" t="s">
        <v>54</v>
      </c>
      <c r="H398" s="5" t="s">
        <v>54</v>
      </c>
      <c r="I398" s="6" t="s">
        <v>40</v>
      </c>
      <c r="J398" s="5" t="s">
        <v>8585</v>
      </c>
      <c r="K398" s="5" t="s">
        <v>8586</v>
      </c>
      <c r="L398" s="6" t="s">
        <v>42</v>
      </c>
      <c r="M398" s="5" t="s">
        <v>1952</v>
      </c>
      <c r="N398" s="5" t="s">
        <v>64</v>
      </c>
      <c r="O398" s="5" t="s">
        <v>17487</v>
      </c>
      <c r="P398" s="6">
        <v>5395.0</v>
      </c>
    </row>
    <row r="399" ht="56.25" customHeight="1">
      <c r="A399" s="5" t="s">
        <v>17484</v>
      </c>
      <c r="B399" s="6" t="str">
        <f>IMAGE("https://storage.googleapis.com/acdb/headwear/CapMaskPaint1.png")</f>
        <v/>
      </c>
      <c r="C399" s="5" t="s">
        <v>57</v>
      </c>
      <c r="D399" s="5" t="s">
        <v>36</v>
      </c>
      <c r="E399" s="6">
        <v>1040.0</v>
      </c>
      <c r="F399" s="6">
        <v>260.0</v>
      </c>
      <c r="G399" s="5" t="s">
        <v>57</v>
      </c>
      <c r="H399" s="5" t="s">
        <v>54</v>
      </c>
      <c r="I399" s="6" t="s">
        <v>40</v>
      </c>
      <c r="J399" s="5" t="s">
        <v>8585</v>
      </c>
      <c r="K399" s="5" t="s">
        <v>8586</v>
      </c>
      <c r="L399" s="6" t="s">
        <v>42</v>
      </c>
      <c r="M399" s="5" t="s">
        <v>1952</v>
      </c>
      <c r="N399" s="5" t="s">
        <v>64</v>
      </c>
      <c r="O399" s="5" t="s">
        <v>17492</v>
      </c>
      <c r="P399" s="6">
        <v>10227.0</v>
      </c>
    </row>
    <row r="400" ht="56.25" customHeight="1">
      <c r="A400" s="5" t="s">
        <v>17484</v>
      </c>
      <c r="B400" s="6" t="str">
        <f>IMAGE("https://storage.googleapis.com/acdb/headwear/CapMaskPaint2.png")</f>
        <v/>
      </c>
      <c r="C400" s="5" t="s">
        <v>10757</v>
      </c>
      <c r="D400" s="5" t="s">
        <v>36</v>
      </c>
      <c r="E400" s="6">
        <v>1040.0</v>
      </c>
      <c r="F400" s="6">
        <v>260.0</v>
      </c>
      <c r="G400" s="5" t="s">
        <v>96</v>
      </c>
      <c r="H400" s="5" t="s">
        <v>54</v>
      </c>
      <c r="I400" s="6" t="s">
        <v>40</v>
      </c>
      <c r="J400" s="5" t="s">
        <v>8585</v>
      </c>
      <c r="K400" s="5" t="s">
        <v>8586</v>
      </c>
      <c r="L400" s="6" t="s">
        <v>42</v>
      </c>
      <c r="M400" s="5" t="s">
        <v>1952</v>
      </c>
      <c r="N400" s="5" t="s">
        <v>64</v>
      </c>
      <c r="O400" s="5" t="s">
        <v>17495</v>
      </c>
      <c r="P400" s="6">
        <v>10228.0</v>
      </c>
    </row>
    <row r="401" ht="56.25" customHeight="1">
      <c r="A401" s="5" t="s">
        <v>17484</v>
      </c>
      <c r="B401" s="6" t="str">
        <f>IMAGE("https://storage.googleapis.com/acdb/headwear/CapMaskPaint3.png")</f>
        <v/>
      </c>
      <c r="C401" s="5" t="s">
        <v>114</v>
      </c>
      <c r="D401" s="5" t="s">
        <v>36</v>
      </c>
      <c r="E401" s="6">
        <v>1040.0</v>
      </c>
      <c r="F401" s="6">
        <v>260.0</v>
      </c>
      <c r="G401" s="5" t="s">
        <v>114</v>
      </c>
      <c r="H401" s="5" t="s">
        <v>54</v>
      </c>
      <c r="I401" s="6" t="s">
        <v>40</v>
      </c>
      <c r="J401" s="5" t="s">
        <v>8585</v>
      </c>
      <c r="K401" s="5" t="s">
        <v>8586</v>
      </c>
      <c r="L401" s="6" t="s">
        <v>42</v>
      </c>
      <c r="M401" s="5" t="s">
        <v>1952</v>
      </c>
      <c r="N401" s="5" t="s">
        <v>64</v>
      </c>
      <c r="O401" s="5" t="s">
        <v>17500</v>
      </c>
      <c r="P401" s="6">
        <v>10229.0</v>
      </c>
    </row>
    <row r="402" ht="56.25" customHeight="1">
      <c r="A402" s="5" t="s">
        <v>17501</v>
      </c>
      <c r="B402" s="6" t="str">
        <f>IMAGE("https://storage.googleapis.com/acdb/headwear/CapHatBandana1.png")</f>
        <v/>
      </c>
      <c r="C402" s="5" t="s">
        <v>68</v>
      </c>
      <c r="D402" s="5" t="s">
        <v>36</v>
      </c>
      <c r="E402" s="6">
        <v>700.0</v>
      </c>
      <c r="F402" s="6">
        <v>175.0</v>
      </c>
      <c r="G402" s="5" t="s">
        <v>68</v>
      </c>
      <c r="H402" s="5" t="s">
        <v>57</v>
      </c>
      <c r="I402" s="6" t="s">
        <v>40</v>
      </c>
      <c r="J402" s="5" t="s">
        <v>8585</v>
      </c>
      <c r="K402" s="5" t="s">
        <v>8632</v>
      </c>
      <c r="L402" s="6" t="s">
        <v>42</v>
      </c>
      <c r="M402" s="5" t="s">
        <v>8746</v>
      </c>
      <c r="N402" s="5" t="s">
        <v>64</v>
      </c>
      <c r="O402" s="5" t="s">
        <v>17506</v>
      </c>
      <c r="P402" s="6">
        <v>10760.0</v>
      </c>
    </row>
    <row r="403" ht="56.25" customHeight="1">
      <c r="A403" s="5" t="s">
        <v>17501</v>
      </c>
      <c r="B403" s="6" t="str">
        <f>IMAGE("https://storage.googleapis.com/acdb/headwear/CapHatBandana2.png")</f>
        <v/>
      </c>
      <c r="C403" s="5" t="s">
        <v>114</v>
      </c>
      <c r="D403" s="5" t="s">
        <v>36</v>
      </c>
      <c r="E403" s="6">
        <v>700.0</v>
      </c>
      <c r="F403" s="6">
        <v>175.0</v>
      </c>
      <c r="G403" s="5" t="s">
        <v>114</v>
      </c>
      <c r="H403" s="5" t="s">
        <v>57</v>
      </c>
      <c r="I403" s="6" t="s">
        <v>40</v>
      </c>
      <c r="J403" s="5" t="s">
        <v>8585</v>
      </c>
      <c r="K403" s="5" t="s">
        <v>8632</v>
      </c>
      <c r="L403" s="6" t="s">
        <v>42</v>
      </c>
      <c r="M403" s="5" t="s">
        <v>8746</v>
      </c>
      <c r="N403" s="5" t="s">
        <v>64</v>
      </c>
      <c r="O403" s="5" t="s">
        <v>17511</v>
      </c>
      <c r="P403" s="6">
        <v>10761.0</v>
      </c>
    </row>
    <row r="404" ht="56.25" customHeight="1">
      <c r="A404" s="5" t="s">
        <v>17501</v>
      </c>
      <c r="B404" s="6" t="str">
        <f>IMAGE("https://storage.googleapis.com/acdb/headwear/CapHatBandana3.png")</f>
        <v/>
      </c>
      <c r="C404" s="5" t="s">
        <v>54</v>
      </c>
      <c r="D404" s="5" t="s">
        <v>36</v>
      </c>
      <c r="E404" s="6">
        <v>700.0</v>
      </c>
      <c r="F404" s="6">
        <v>175.0</v>
      </c>
      <c r="G404" s="5" t="s">
        <v>54</v>
      </c>
      <c r="H404" s="5" t="s">
        <v>57</v>
      </c>
      <c r="I404" s="6" t="s">
        <v>40</v>
      </c>
      <c r="J404" s="5" t="s">
        <v>8585</v>
      </c>
      <c r="K404" s="5" t="s">
        <v>8632</v>
      </c>
      <c r="L404" s="6" t="s">
        <v>42</v>
      </c>
      <c r="M404" s="5" t="s">
        <v>8746</v>
      </c>
      <c r="N404" s="5" t="s">
        <v>64</v>
      </c>
      <c r="O404" s="5" t="s">
        <v>17514</v>
      </c>
      <c r="P404" s="6">
        <v>10762.0</v>
      </c>
    </row>
    <row r="405" ht="56.25" customHeight="1">
      <c r="A405" s="5" t="s">
        <v>17501</v>
      </c>
      <c r="B405" s="6" t="str">
        <f>IMAGE("https://storage.googleapis.com/acdb/headwear/CapHatBandana4.png")</f>
        <v/>
      </c>
      <c r="C405" s="5" t="s">
        <v>96</v>
      </c>
      <c r="D405" s="5" t="s">
        <v>36</v>
      </c>
      <c r="E405" s="6">
        <v>700.0</v>
      </c>
      <c r="F405" s="6">
        <v>175.0</v>
      </c>
      <c r="G405" s="5" t="s">
        <v>96</v>
      </c>
      <c r="H405" s="5" t="s">
        <v>57</v>
      </c>
      <c r="I405" s="6" t="s">
        <v>40</v>
      </c>
      <c r="J405" s="5" t="s">
        <v>8585</v>
      </c>
      <c r="K405" s="5" t="s">
        <v>8632</v>
      </c>
      <c r="L405" s="6" t="s">
        <v>42</v>
      </c>
      <c r="M405" s="5" t="s">
        <v>8746</v>
      </c>
      <c r="N405" s="5" t="s">
        <v>64</v>
      </c>
      <c r="O405" s="5" t="s">
        <v>17518</v>
      </c>
      <c r="P405" s="6">
        <v>10763.0</v>
      </c>
    </row>
    <row r="406" ht="56.25" customHeight="1">
      <c r="A406" s="5" t="s">
        <v>17501</v>
      </c>
      <c r="B406" s="6" t="str">
        <f>IMAGE("https://storage.googleapis.com/acdb/headwear/CapHatBandana5.png")</f>
        <v/>
      </c>
      <c r="C406" s="5" t="s">
        <v>142</v>
      </c>
      <c r="D406" s="5" t="s">
        <v>36</v>
      </c>
      <c r="E406" s="6">
        <v>700.0</v>
      </c>
      <c r="F406" s="6">
        <v>175.0</v>
      </c>
      <c r="G406" s="5" t="s">
        <v>142</v>
      </c>
      <c r="H406" s="5" t="s">
        <v>57</v>
      </c>
      <c r="I406" s="6" t="s">
        <v>40</v>
      </c>
      <c r="J406" s="5" t="s">
        <v>8585</v>
      </c>
      <c r="K406" s="5" t="s">
        <v>8632</v>
      </c>
      <c r="L406" s="6" t="s">
        <v>42</v>
      </c>
      <c r="M406" s="5" t="s">
        <v>8746</v>
      </c>
      <c r="N406" s="5" t="s">
        <v>64</v>
      </c>
      <c r="O406" s="5" t="s">
        <v>17522</v>
      </c>
      <c r="P406" s="6">
        <v>10764.0</v>
      </c>
    </row>
    <row r="407" ht="56.25" customHeight="1">
      <c r="A407" s="5" t="s">
        <v>17501</v>
      </c>
      <c r="B407" s="6" t="str">
        <f>IMAGE("https://storage.googleapis.com/acdb/headwear/CapHatBandana6.png")</f>
        <v/>
      </c>
      <c r="C407" s="5" t="s">
        <v>69</v>
      </c>
      <c r="D407" s="5" t="s">
        <v>36</v>
      </c>
      <c r="E407" s="6">
        <v>700.0</v>
      </c>
      <c r="F407" s="6">
        <v>175.0</v>
      </c>
      <c r="G407" s="5" t="s">
        <v>69</v>
      </c>
      <c r="H407" s="5" t="s">
        <v>57</v>
      </c>
      <c r="I407" s="6" t="s">
        <v>40</v>
      </c>
      <c r="J407" s="5" t="s">
        <v>8585</v>
      </c>
      <c r="K407" s="5" t="s">
        <v>8632</v>
      </c>
      <c r="L407" s="6" t="s">
        <v>42</v>
      </c>
      <c r="M407" s="5" t="s">
        <v>8746</v>
      </c>
      <c r="N407" s="5" t="s">
        <v>64</v>
      </c>
      <c r="O407" s="5" t="s">
        <v>17527</v>
      </c>
      <c r="P407" s="6">
        <v>10765.0</v>
      </c>
    </row>
    <row r="408" ht="56.25" customHeight="1">
      <c r="A408" s="5" t="s">
        <v>17501</v>
      </c>
      <c r="B408" s="6" t="str">
        <f>IMAGE("https://storage.googleapis.com/acdb/headwear/CapHatBandana7.png")</f>
        <v/>
      </c>
      <c r="C408" s="5" t="s">
        <v>106</v>
      </c>
      <c r="D408" s="5" t="s">
        <v>36</v>
      </c>
      <c r="E408" s="6">
        <v>700.0</v>
      </c>
      <c r="F408" s="6">
        <v>175.0</v>
      </c>
      <c r="G408" s="5" t="s">
        <v>106</v>
      </c>
      <c r="H408" s="5" t="s">
        <v>57</v>
      </c>
      <c r="I408" s="6" t="s">
        <v>40</v>
      </c>
      <c r="J408" s="5" t="s">
        <v>8585</v>
      </c>
      <c r="K408" s="5" t="s">
        <v>8632</v>
      </c>
      <c r="L408" s="6" t="s">
        <v>42</v>
      </c>
      <c r="M408" s="5" t="s">
        <v>8746</v>
      </c>
      <c r="N408" s="5" t="s">
        <v>64</v>
      </c>
      <c r="O408" s="5" t="s">
        <v>17532</v>
      </c>
      <c r="P408" s="6">
        <v>10766.0</v>
      </c>
    </row>
    <row r="409" ht="56.25" customHeight="1">
      <c r="A409" s="5" t="s">
        <v>17501</v>
      </c>
      <c r="B409" s="6" t="str">
        <f>IMAGE("https://storage.googleapis.com/acdb/headwear/CapHatBandana0.png")</f>
        <v/>
      </c>
      <c r="C409" s="5" t="s">
        <v>52</v>
      </c>
      <c r="D409" s="5" t="s">
        <v>36</v>
      </c>
      <c r="E409" s="6">
        <v>700.0</v>
      </c>
      <c r="F409" s="6">
        <v>175.0</v>
      </c>
      <c r="G409" s="5" t="s">
        <v>52</v>
      </c>
      <c r="H409" s="5" t="s">
        <v>57</v>
      </c>
      <c r="I409" s="6" t="s">
        <v>40</v>
      </c>
      <c r="J409" s="5" t="s">
        <v>8585</v>
      </c>
      <c r="K409" s="5" t="s">
        <v>8632</v>
      </c>
      <c r="L409" s="6" t="s">
        <v>42</v>
      </c>
      <c r="M409" s="5" t="s">
        <v>8746</v>
      </c>
      <c r="N409" s="5" t="s">
        <v>64</v>
      </c>
      <c r="O409" s="5" t="s">
        <v>17537</v>
      </c>
      <c r="P409" s="6">
        <v>5294.0</v>
      </c>
    </row>
    <row r="410" ht="56.25" customHeight="1">
      <c r="A410" s="5" t="s">
        <v>17538</v>
      </c>
      <c r="B410" s="6" t="str">
        <f>IMAGE("https://storage.googleapis.com/acdb/headwear/CapOrnamentPansy1.png")</f>
        <v/>
      </c>
      <c r="C410" s="5" t="s">
        <v>58</v>
      </c>
      <c r="D410" s="5" t="s">
        <v>35</v>
      </c>
      <c r="E410" s="6" t="s">
        <v>37</v>
      </c>
      <c r="F410" s="6">
        <v>480.0</v>
      </c>
      <c r="G410" s="5" t="s">
        <v>58</v>
      </c>
      <c r="H410" s="5" t="s">
        <v>58</v>
      </c>
      <c r="I410" s="6" t="s">
        <v>40</v>
      </c>
      <c r="J410" s="5" t="s">
        <v>41</v>
      </c>
      <c r="K410" s="5"/>
      <c r="L410" s="6" t="s">
        <v>42</v>
      </c>
      <c r="M410" s="5" t="s">
        <v>1959</v>
      </c>
      <c r="N410" s="5" t="s">
        <v>48</v>
      </c>
      <c r="O410" s="5" t="s">
        <v>17542</v>
      </c>
      <c r="P410" s="6">
        <v>5105.0</v>
      </c>
    </row>
    <row r="411" ht="56.25" customHeight="1">
      <c r="A411" s="5" t="s">
        <v>17543</v>
      </c>
      <c r="B411" s="6" t="str">
        <f>IMAGE("https://storage.googleapis.com/acdb/headwear/CapFullfacePaperbagBeige.png")</f>
        <v/>
      </c>
      <c r="C411" s="5" t="s">
        <v>38</v>
      </c>
      <c r="D411" s="5" t="s">
        <v>36</v>
      </c>
      <c r="E411" s="6">
        <v>140.0</v>
      </c>
      <c r="F411" s="6">
        <v>35.0</v>
      </c>
      <c r="G411" s="5" t="s">
        <v>38</v>
      </c>
      <c r="H411" s="5" t="s">
        <v>38</v>
      </c>
      <c r="I411" s="6" t="s">
        <v>40</v>
      </c>
      <c r="J411" s="5" t="s">
        <v>8585</v>
      </c>
      <c r="K411" s="5" t="s">
        <v>8632</v>
      </c>
      <c r="L411" s="6" t="s">
        <v>42</v>
      </c>
      <c r="M411" s="5" t="s">
        <v>1952</v>
      </c>
      <c r="N411" s="5" t="s">
        <v>64</v>
      </c>
      <c r="O411" s="5" t="s">
        <v>17549</v>
      </c>
      <c r="P411" s="6">
        <v>5840.0</v>
      </c>
    </row>
    <row r="412" ht="56.25" customHeight="1">
      <c r="A412" s="5" t="s">
        <v>17550</v>
      </c>
      <c r="B412" s="6" t="str">
        <f>IMAGE("https://storage.googleapis.com/acdb/headwear/CapHatHunting0.png")</f>
        <v/>
      </c>
      <c r="C412" s="5" t="s">
        <v>39</v>
      </c>
      <c r="D412" s="5" t="s">
        <v>36</v>
      </c>
      <c r="E412" s="6">
        <v>1470.0</v>
      </c>
      <c r="F412" s="6">
        <v>367.0</v>
      </c>
      <c r="G412" s="5" t="s">
        <v>39</v>
      </c>
      <c r="H412" s="5" t="s">
        <v>39</v>
      </c>
      <c r="I412" s="6" t="s">
        <v>40</v>
      </c>
      <c r="J412" s="5" t="s">
        <v>8585</v>
      </c>
      <c r="K412" s="5" t="s">
        <v>8632</v>
      </c>
      <c r="L412" s="6" t="s">
        <v>42</v>
      </c>
      <c r="M412" s="5" t="s">
        <v>995</v>
      </c>
      <c r="N412" s="5" t="s">
        <v>64</v>
      </c>
      <c r="O412" s="5" t="s">
        <v>17554</v>
      </c>
      <c r="P412" s="6">
        <v>5147.0</v>
      </c>
    </row>
    <row r="413" ht="56.25" customHeight="1">
      <c r="A413" s="5" t="s">
        <v>17550</v>
      </c>
      <c r="B413" s="6" t="str">
        <f>IMAGE("https://storage.googleapis.com/acdb/headwear/CapHatHunting1.png")</f>
        <v/>
      </c>
      <c r="C413" s="5" t="s">
        <v>95</v>
      </c>
      <c r="D413" s="5" t="s">
        <v>36</v>
      </c>
      <c r="E413" s="6">
        <v>1470.0</v>
      </c>
      <c r="F413" s="6">
        <v>367.0</v>
      </c>
      <c r="G413" s="5" t="s">
        <v>95</v>
      </c>
      <c r="H413" s="5" t="s">
        <v>95</v>
      </c>
      <c r="I413" s="6" t="s">
        <v>40</v>
      </c>
      <c r="J413" s="5" t="s">
        <v>8585</v>
      </c>
      <c r="K413" s="5" t="s">
        <v>8632</v>
      </c>
      <c r="L413" s="6" t="s">
        <v>42</v>
      </c>
      <c r="M413" s="5" t="s">
        <v>995</v>
      </c>
      <c r="N413" s="5" t="s">
        <v>64</v>
      </c>
      <c r="O413" s="5" t="s">
        <v>17558</v>
      </c>
      <c r="P413" s="6">
        <v>11512.0</v>
      </c>
    </row>
    <row r="414" ht="56.25" customHeight="1">
      <c r="A414" s="5" t="s">
        <v>17550</v>
      </c>
      <c r="B414" s="6" t="str">
        <f>IMAGE("https://storage.googleapis.com/acdb/headwear/CapHatHunting2.png")</f>
        <v/>
      </c>
      <c r="C414" s="5" t="s">
        <v>96</v>
      </c>
      <c r="D414" s="5" t="s">
        <v>36</v>
      </c>
      <c r="E414" s="6">
        <v>1470.0</v>
      </c>
      <c r="F414" s="6">
        <v>367.0</v>
      </c>
      <c r="G414" s="5" t="s">
        <v>96</v>
      </c>
      <c r="H414" s="5" t="s">
        <v>96</v>
      </c>
      <c r="I414" s="6" t="s">
        <v>40</v>
      </c>
      <c r="J414" s="5" t="s">
        <v>8585</v>
      </c>
      <c r="K414" s="5" t="s">
        <v>8632</v>
      </c>
      <c r="L414" s="6" t="s">
        <v>42</v>
      </c>
      <c r="M414" s="5" t="s">
        <v>995</v>
      </c>
      <c r="N414" s="5" t="s">
        <v>64</v>
      </c>
      <c r="O414" s="5" t="s">
        <v>17561</v>
      </c>
      <c r="P414" s="6">
        <v>11513.0</v>
      </c>
    </row>
    <row r="415" ht="56.25" customHeight="1">
      <c r="A415" s="5" t="s">
        <v>17550</v>
      </c>
      <c r="B415" s="6" t="str">
        <f>IMAGE("https://storage.googleapis.com/acdb/headwear/CapHatHunting3.png")</f>
        <v/>
      </c>
      <c r="C415" s="5" t="s">
        <v>68</v>
      </c>
      <c r="D415" s="5" t="s">
        <v>36</v>
      </c>
      <c r="E415" s="6">
        <v>1470.0</v>
      </c>
      <c r="F415" s="6">
        <v>367.0</v>
      </c>
      <c r="G415" s="5" t="s">
        <v>83</v>
      </c>
      <c r="H415" s="5" t="s">
        <v>83</v>
      </c>
      <c r="I415" s="6" t="s">
        <v>40</v>
      </c>
      <c r="J415" s="5" t="s">
        <v>8585</v>
      </c>
      <c r="K415" s="5" t="s">
        <v>8632</v>
      </c>
      <c r="L415" s="6" t="s">
        <v>42</v>
      </c>
      <c r="M415" s="5" t="s">
        <v>995</v>
      </c>
      <c r="N415" s="5" t="s">
        <v>64</v>
      </c>
      <c r="O415" s="5" t="s">
        <v>17566</v>
      </c>
      <c r="P415" s="6">
        <v>11514.0</v>
      </c>
    </row>
    <row r="416" ht="56.25" customHeight="1">
      <c r="A416" s="5" t="s">
        <v>17550</v>
      </c>
      <c r="B416" s="6" t="str">
        <f>IMAGE("https://storage.googleapis.com/acdb/headwear/CapHatHunting4.png")</f>
        <v/>
      </c>
      <c r="C416" s="5" t="s">
        <v>52</v>
      </c>
      <c r="D416" s="5" t="s">
        <v>36</v>
      </c>
      <c r="E416" s="6">
        <v>1470.0</v>
      </c>
      <c r="F416" s="6">
        <v>367.0</v>
      </c>
      <c r="G416" s="5" t="s">
        <v>52</v>
      </c>
      <c r="H416" s="5" t="s">
        <v>52</v>
      </c>
      <c r="I416" s="6" t="s">
        <v>40</v>
      </c>
      <c r="J416" s="5" t="s">
        <v>8585</v>
      </c>
      <c r="K416" s="5" t="s">
        <v>8632</v>
      </c>
      <c r="L416" s="6" t="s">
        <v>42</v>
      </c>
      <c r="M416" s="5" t="s">
        <v>995</v>
      </c>
      <c r="N416" s="5" t="s">
        <v>64</v>
      </c>
      <c r="O416" s="5" t="s">
        <v>17569</v>
      </c>
      <c r="P416" s="6">
        <v>11515.0</v>
      </c>
    </row>
    <row r="417" ht="56.25" customHeight="1">
      <c r="A417" s="5" t="s">
        <v>17571</v>
      </c>
      <c r="B417" s="6" t="str">
        <f>IMAGE("https://storage.googleapis.com/acdb/headwear/CapHatTulippatch0.png")</f>
        <v/>
      </c>
      <c r="C417" s="5" t="s">
        <v>69</v>
      </c>
      <c r="D417" s="5" t="s">
        <v>36</v>
      </c>
      <c r="E417" s="6">
        <v>1680.0</v>
      </c>
      <c r="F417" s="6">
        <v>420.0</v>
      </c>
      <c r="G417" s="5" t="s">
        <v>69</v>
      </c>
      <c r="H417" s="5" t="s">
        <v>38</v>
      </c>
      <c r="I417" s="6" t="s">
        <v>40</v>
      </c>
      <c r="J417" s="5" t="s">
        <v>8585</v>
      </c>
      <c r="K417" s="5" t="s">
        <v>8632</v>
      </c>
      <c r="L417" s="6" t="s">
        <v>42</v>
      </c>
      <c r="M417" s="5" t="s">
        <v>1959</v>
      </c>
      <c r="N417" s="5" t="s">
        <v>64</v>
      </c>
      <c r="O417" s="5" t="s">
        <v>17575</v>
      </c>
      <c r="P417" s="6">
        <v>9870.0</v>
      </c>
    </row>
    <row r="418" ht="56.25" customHeight="1">
      <c r="A418" s="5" t="s">
        <v>17571</v>
      </c>
      <c r="B418" s="6" t="str">
        <f>IMAGE("https://storage.googleapis.com/acdb/headwear/CapHatTulippatch1.png")</f>
        <v/>
      </c>
      <c r="C418" s="5" t="s">
        <v>68</v>
      </c>
      <c r="D418" s="5" t="s">
        <v>36</v>
      </c>
      <c r="E418" s="6">
        <v>1680.0</v>
      </c>
      <c r="F418" s="6">
        <v>420.0</v>
      </c>
      <c r="G418" s="5" t="s">
        <v>68</v>
      </c>
      <c r="H418" s="5" t="s">
        <v>38</v>
      </c>
      <c r="I418" s="6" t="s">
        <v>40</v>
      </c>
      <c r="J418" s="5" t="s">
        <v>8585</v>
      </c>
      <c r="K418" s="5" t="s">
        <v>8632</v>
      </c>
      <c r="L418" s="6" t="s">
        <v>42</v>
      </c>
      <c r="M418" s="5" t="s">
        <v>1959</v>
      </c>
      <c r="N418" s="5" t="s">
        <v>64</v>
      </c>
      <c r="O418" s="5" t="s">
        <v>17579</v>
      </c>
      <c r="P418" s="6">
        <v>11993.0</v>
      </c>
    </row>
    <row r="419" ht="56.25" customHeight="1">
      <c r="A419" s="5" t="s">
        <v>17571</v>
      </c>
      <c r="B419" s="6" t="str">
        <f>IMAGE("https://storage.googleapis.com/acdb/headwear/CapHatTulippatch2.png")</f>
        <v/>
      </c>
      <c r="C419" s="5" t="s">
        <v>114</v>
      </c>
      <c r="D419" s="5" t="s">
        <v>36</v>
      </c>
      <c r="E419" s="6">
        <v>1680.0</v>
      </c>
      <c r="F419" s="6">
        <v>420.0</v>
      </c>
      <c r="G419" s="5" t="s">
        <v>114</v>
      </c>
      <c r="H419" s="5" t="s">
        <v>38</v>
      </c>
      <c r="I419" s="6" t="s">
        <v>40</v>
      </c>
      <c r="J419" s="5" t="s">
        <v>8585</v>
      </c>
      <c r="K419" s="5" t="s">
        <v>8632</v>
      </c>
      <c r="L419" s="6" t="s">
        <v>42</v>
      </c>
      <c r="M419" s="5" t="s">
        <v>1959</v>
      </c>
      <c r="N419" s="5" t="s">
        <v>64</v>
      </c>
      <c r="O419" s="5" t="s">
        <v>17584</v>
      </c>
      <c r="P419" s="6">
        <v>11994.0</v>
      </c>
    </row>
    <row r="420" ht="56.25" customHeight="1">
      <c r="A420" s="5" t="s">
        <v>17585</v>
      </c>
      <c r="B420" s="6" t="str">
        <f>IMAGE("https://storage.googleapis.com/acdb/headwear/CapHatPeach0.png")</f>
        <v/>
      </c>
      <c r="C420" s="5" t="s">
        <v>4501</v>
      </c>
      <c r="D420" s="5" t="s">
        <v>35</v>
      </c>
      <c r="E420" s="6" t="s">
        <v>37</v>
      </c>
      <c r="F420" s="6">
        <v>1000.0</v>
      </c>
      <c r="G420" s="5" t="s">
        <v>69</v>
      </c>
      <c r="H420" s="5" t="s">
        <v>114</v>
      </c>
      <c r="I420" s="6" t="s">
        <v>40</v>
      </c>
      <c r="J420" s="5" t="s">
        <v>41</v>
      </c>
      <c r="K420" s="5"/>
      <c r="L420" s="6" t="s">
        <v>42</v>
      </c>
      <c r="M420" s="5" t="s">
        <v>1959</v>
      </c>
      <c r="N420" s="5" t="s">
        <v>48</v>
      </c>
      <c r="O420" s="5" t="s">
        <v>17590</v>
      </c>
      <c r="P420" s="6">
        <v>9874.0</v>
      </c>
    </row>
    <row r="421" ht="56.25" customHeight="1">
      <c r="A421" s="5" t="s">
        <v>17591</v>
      </c>
      <c r="B421" s="6" t="str">
        <f>IMAGE("https://storage.googleapis.com/acdb/headwear/CapHatPear0.png")</f>
        <v/>
      </c>
      <c r="C421" s="5" t="s">
        <v>96</v>
      </c>
      <c r="D421" s="5" t="s">
        <v>35</v>
      </c>
      <c r="E421" s="6" t="s">
        <v>37</v>
      </c>
      <c r="F421" s="6">
        <v>1000.0</v>
      </c>
      <c r="G421" s="5" t="s">
        <v>96</v>
      </c>
      <c r="H421" s="5" t="s">
        <v>39</v>
      </c>
      <c r="I421" s="6" t="s">
        <v>40</v>
      </c>
      <c r="J421" s="5" t="s">
        <v>41</v>
      </c>
      <c r="K421" s="5"/>
      <c r="L421" s="6" t="s">
        <v>42</v>
      </c>
      <c r="M421" s="5" t="s">
        <v>1959</v>
      </c>
      <c r="N421" s="5" t="s">
        <v>48</v>
      </c>
      <c r="O421" s="5" t="s">
        <v>17596</v>
      </c>
      <c r="P421" s="6">
        <v>9872.0</v>
      </c>
    </row>
    <row r="422" ht="56.25" customHeight="1">
      <c r="A422" s="5" t="s">
        <v>17598</v>
      </c>
      <c r="B422" s="6" t="str">
        <f>IMAGE("https://storage.googleapis.com/acdb/headwear/CapWigPigtail.png")</f>
        <v/>
      </c>
      <c r="C422" s="5" t="s">
        <v>16403</v>
      </c>
      <c r="D422" s="5" t="s">
        <v>36</v>
      </c>
      <c r="E422" s="6" t="s">
        <v>37</v>
      </c>
      <c r="F422" s="6">
        <v>800.0</v>
      </c>
      <c r="G422" s="5" t="s">
        <v>58</v>
      </c>
      <c r="H422" s="5" t="s">
        <v>58</v>
      </c>
      <c r="I422" s="6" t="s">
        <v>40</v>
      </c>
      <c r="J422" s="5" t="s">
        <v>1284</v>
      </c>
      <c r="K422" s="5"/>
      <c r="L422" s="6" t="s">
        <v>42</v>
      </c>
      <c r="M422" s="5" t="s">
        <v>1952</v>
      </c>
      <c r="N422" s="5" t="s">
        <v>48</v>
      </c>
      <c r="O422" s="5" t="s">
        <v>17602</v>
      </c>
      <c r="P422" s="6">
        <v>5819.0</v>
      </c>
    </row>
    <row r="423" ht="56.25" customHeight="1">
      <c r="A423" s="5" t="s">
        <v>17603</v>
      </c>
      <c r="B423" s="6" t="str">
        <f>IMAGE("https://storage.googleapis.com/acdb/headwear/CapHelmetPilot1.png")</f>
        <v/>
      </c>
      <c r="C423" s="5" t="s">
        <v>54</v>
      </c>
      <c r="D423" s="5" t="s">
        <v>36</v>
      </c>
      <c r="E423" s="6">
        <v>1120.0</v>
      </c>
      <c r="F423" s="6">
        <v>280.0</v>
      </c>
      <c r="G423" s="5" t="s">
        <v>54</v>
      </c>
      <c r="H423" s="5" t="s">
        <v>54</v>
      </c>
      <c r="I423" s="6" t="s">
        <v>40</v>
      </c>
      <c r="J423" s="5" t="s">
        <v>8585</v>
      </c>
      <c r="K423" s="5" t="s">
        <v>8632</v>
      </c>
      <c r="L423" s="6" t="s">
        <v>42</v>
      </c>
      <c r="M423" s="5" t="s">
        <v>1952</v>
      </c>
      <c r="N423" s="5" t="s">
        <v>64</v>
      </c>
      <c r="O423" s="5" t="s">
        <v>17608</v>
      </c>
      <c r="P423" s="6">
        <v>11613.0</v>
      </c>
    </row>
    <row r="424" ht="56.25" customHeight="1">
      <c r="A424" s="5" t="s">
        <v>17603</v>
      </c>
      <c r="B424" s="6" t="str">
        <f>IMAGE("https://storage.googleapis.com/acdb/headwear/CapHelmetPilot2.png")</f>
        <v/>
      </c>
      <c r="C424" s="5" t="s">
        <v>2222</v>
      </c>
      <c r="D424" s="5" t="s">
        <v>36</v>
      </c>
      <c r="E424" s="6">
        <v>1120.0</v>
      </c>
      <c r="F424" s="6">
        <v>280.0</v>
      </c>
      <c r="G424" s="5" t="s">
        <v>96</v>
      </c>
      <c r="H424" s="5" t="s">
        <v>54</v>
      </c>
      <c r="I424" s="6" t="s">
        <v>40</v>
      </c>
      <c r="J424" s="5" t="s">
        <v>8585</v>
      </c>
      <c r="K424" s="5" t="s">
        <v>8632</v>
      </c>
      <c r="L424" s="6" t="s">
        <v>42</v>
      </c>
      <c r="M424" s="5" t="s">
        <v>1952</v>
      </c>
      <c r="N424" s="5" t="s">
        <v>64</v>
      </c>
      <c r="O424" s="5" t="s">
        <v>17613</v>
      </c>
      <c r="P424" s="6">
        <v>11614.0</v>
      </c>
    </row>
    <row r="425" ht="56.25" customHeight="1">
      <c r="A425" s="5" t="s">
        <v>17603</v>
      </c>
      <c r="B425" s="6" t="str">
        <f>IMAGE("https://storage.googleapis.com/acdb/headwear/CapHelmetPilot0.png")</f>
        <v/>
      </c>
      <c r="C425" s="5" t="s">
        <v>39</v>
      </c>
      <c r="D425" s="5" t="s">
        <v>36</v>
      </c>
      <c r="E425" s="6">
        <v>1120.0</v>
      </c>
      <c r="F425" s="6">
        <v>280.0</v>
      </c>
      <c r="G425" s="5" t="s">
        <v>39</v>
      </c>
      <c r="H425" s="5" t="s">
        <v>54</v>
      </c>
      <c r="I425" s="6" t="s">
        <v>40</v>
      </c>
      <c r="J425" s="5" t="s">
        <v>8585</v>
      </c>
      <c r="K425" s="5" t="s">
        <v>8632</v>
      </c>
      <c r="L425" s="6" t="s">
        <v>42</v>
      </c>
      <c r="M425" s="5" t="s">
        <v>1952</v>
      </c>
      <c r="N425" s="5" t="s">
        <v>64</v>
      </c>
      <c r="O425" s="5" t="s">
        <v>17618</v>
      </c>
      <c r="P425" s="6">
        <v>5362.0</v>
      </c>
    </row>
    <row r="426" ht="56.25" customHeight="1">
      <c r="A426" s="5" t="s">
        <v>17619</v>
      </c>
      <c r="B426" s="6" t="str">
        <f>IMAGE("https://storage.googleapis.com/acdb/headwear/CapHatCaptainsky0.png")</f>
        <v/>
      </c>
      <c r="C426" s="5" t="s">
        <v>1187</v>
      </c>
      <c r="D426" s="5" t="s">
        <v>36</v>
      </c>
      <c r="E426" s="6">
        <v>1680.0</v>
      </c>
      <c r="F426" s="6">
        <v>420.0</v>
      </c>
      <c r="G426" s="5" t="s">
        <v>68</v>
      </c>
      <c r="H426" s="5" t="s">
        <v>114</v>
      </c>
      <c r="I426" s="6" t="s">
        <v>40</v>
      </c>
      <c r="J426" s="5" t="s">
        <v>8585</v>
      </c>
      <c r="K426" s="5" t="s">
        <v>8586</v>
      </c>
      <c r="L426" s="6" t="s">
        <v>42</v>
      </c>
      <c r="M426" s="5" t="s">
        <v>8746</v>
      </c>
      <c r="N426" s="5" t="s">
        <v>64</v>
      </c>
      <c r="O426" s="5" t="s">
        <v>17623</v>
      </c>
      <c r="P426" s="6">
        <v>8612.0</v>
      </c>
    </row>
    <row r="427" ht="56.25" customHeight="1">
      <c r="A427" s="5" t="s">
        <v>17619</v>
      </c>
      <c r="B427" s="6" t="str">
        <f>IMAGE("https://storage.googleapis.com/acdb/headwear/CapHatCaptainsky1.png")</f>
        <v/>
      </c>
      <c r="C427" s="5" t="s">
        <v>54</v>
      </c>
      <c r="D427" s="5" t="s">
        <v>36</v>
      </c>
      <c r="E427" s="6">
        <v>1680.0</v>
      </c>
      <c r="F427" s="6">
        <v>420.0</v>
      </c>
      <c r="G427" s="5" t="s">
        <v>54</v>
      </c>
      <c r="H427" s="5" t="s">
        <v>114</v>
      </c>
      <c r="I427" s="6" t="s">
        <v>40</v>
      </c>
      <c r="J427" s="5" t="s">
        <v>8585</v>
      </c>
      <c r="K427" s="5" t="s">
        <v>8586</v>
      </c>
      <c r="L427" s="6" t="s">
        <v>42</v>
      </c>
      <c r="M427" s="5" t="s">
        <v>8746</v>
      </c>
      <c r="N427" s="5" t="s">
        <v>64</v>
      </c>
      <c r="O427" s="5" t="s">
        <v>17628</v>
      </c>
      <c r="P427" s="6">
        <v>11827.0</v>
      </c>
    </row>
    <row r="428" ht="56.25" customHeight="1">
      <c r="A428" s="5" t="s">
        <v>17619</v>
      </c>
      <c r="B428" s="6" t="str">
        <f>IMAGE("https://storage.googleapis.com/acdb/headwear/CapHatCaptainsky2.png")</f>
        <v/>
      </c>
      <c r="C428" s="5" t="s">
        <v>83</v>
      </c>
      <c r="D428" s="5" t="s">
        <v>36</v>
      </c>
      <c r="E428" s="6">
        <v>1680.0</v>
      </c>
      <c r="F428" s="6">
        <v>420.0</v>
      </c>
      <c r="G428" s="5" t="s">
        <v>83</v>
      </c>
      <c r="H428" s="5" t="s">
        <v>114</v>
      </c>
      <c r="I428" s="6" t="s">
        <v>40</v>
      </c>
      <c r="J428" s="5" t="s">
        <v>8585</v>
      </c>
      <c r="K428" s="5" t="s">
        <v>8586</v>
      </c>
      <c r="L428" s="6" t="s">
        <v>42</v>
      </c>
      <c r="M428" s="5" t="s">
        <v>8746</v>
      </c>
      <c r="N428" s="5" t="s">
        <v>64</v>
      </c>
      <c r="O428" s="5" t="s">
        <v>17633</v>
      </c>
      <c r="P428" s="6">
        <v>11828.0</v>
      </c>
    </row>
    <row r="429" ht="56.25" customHeight="1">
      <c r="A429" s="5" t="s">
        <v>17635</v>
      </c>
      <c r="B429" s="6" t="str">
        <f>IMAGE("https://storage.googleapis.com/acdb/headwear/CapHatPineapple.png")</f>
        <v/>
      </c>
      <c r="C429" s="5" t="s">
        <v>114</v>
      </c>
      <c r="D429" s="5" t="s">
        <v>36</v>
      </c>
      <c r="E429" s="6">
        <v>700.0</v>
      </c>
      <c r="F429" s="6">
        <v>175.0</v>
      </c>
      <c r="G429" s="5" t="s">
        <v>114</v>
      </c>
      <c r="H429" s="5" t="s">
        <v>96</v>
      </c>
      <c r="I429" s="6" t="s">
        <v>40</v>
      </c>
      <c r="J429" s="5" t="s">
        <v>8585</v>
      </c>
      <c r="K429" s="5" t="s">
        <v>8632</v>
      </c>
      <c r="L429" s="6" t="s">
        <v>42</v>
      </c>
      <c r="M429" s="5" t="s">
        <v>1959</v>
      </c>
      <c r="N429" s="5" t="s">
        <v>64</v>
      </c>
      <c r="O429" s="5" t="s">
        <v>17639</v>
      </c>
      <c r="P429" s="6">
        <v>5279.0</v>
      </c>
    </row>
    <row r="430" ht="56.25" customHeight="1">
      <c r="A430" s="5" t="s">
        <v>17642</v>
      </c>
      <c r="B430" s="6" t="str">
        <f>IMAGE("https://storage.googleapis.com/acdb/headwear/CapHatWorkcap0.png")</f>
        <v/>
      </c>
      <c r="C430" s="5" t="s">
        <v>95</v>
      </c>
      <c r="D430" s="5" t="s">
        <v>36</v>
      </c>
      <c r="E430" s="6">
        <v>560.0</v>
      </c>
      <c r="F430" s="6">
        <v>140.0</v>
      </c>
      <c r="G430" s="5" t="s">
        <v>95</v>
      </c>
      <c r="H430" s="5" t="s">
        <v>95</v>
      </c>
      <c r="I430" s="6" t="s">
        <v>40</v>
      </c>
      <c r="J430" s="5" t="s">
        <v>8585</v>
      </c>
      <c r="K430" s="5" t="s">
        <v>8632</v>
      </c>
      <c r="L430" s="6" t="s">
        <v>42</v>
      </c>
      <c r="M430" s="5" t="s">
        <v>995</v>
      </c>
      <c r="N430" s="5" t="s">
        <v>64</v>
      </c>
      <c r="O430" s="5" t="s">
        <v>17645</v>
      </c>
      <c r="P430" s="6">
        <v>5148.0</v>
      </c>
    </row>
    <row r="431" ht="56.25" customHeight="1">
      <c r="A431" s="5" t="s">
        <v>17642</v>
      </c>
      <c r="B431" s="6" t="str">
        <f>IMAGE("https://storage.googleapis.com/acdb/headwear/CapHatWorkcap1.png")</f>
        <v/>
      </c>
      <c r="C431" s="5" t="s">
        <v>38</v>
      </c>
      <c r="D431" s="5" t="s">
        <v>36</v>
      </c>
      <c r="E431" s="6">
        <v>560.0</v>
      </c>
      <c r="F431" s="6">
        <v>140.0</v>
      </c>
      <c r="G431" s="5" t="s">
        <v>38</v>
      </c>
      <c r="H431" s="5" t="s">
        <v>38</v>
      </c>
      <c r="I431" s="6" t="s">
        <v>40</v>
      </c>
      <c r="J431" s="5" t="s">
        <v>8585</v>
      </c>
      <c r="K431" s="5" t="s">
        <v>8632</v>
      </c>
      <c r="L431" s="6" t="s">
        <v>42</v>
      </c>
      <c r="M431" s="5" t="s">
        <v>995</v>
      </c>
      <c r="N431" s="5" t="s">
        <v>64</v>
      </c>
      <c r="O431" s="5" t="s">
        <v>17648</v>
      </c>
      <c r="P431" s="6">
        <v>11516.0</v>
      </c>
    </row>
    <row r="432" ht="56.25" customHeight="1">
      <c r="A432" s="5" t="s">
        <v>17642</v>
      </c>
      <c r="B432" s="6" t="str">
        <f>IMAGE("https://storage.googleapis.com/acdb/headwear/CapHatWorkcap2.png")</f>
        <v/>
      </c>
      <c r="C432" s="5" t="s">
        <v>52</v>
      </c>
      <c r="D432" s="5" t="s">
        <v>36</v>
      </c>
      <c r="E432" s="6">
        <v>560.0</v>
      </c>
      <c r="F432" s="6">
        <v>140.0</v>
      </c>
      <c r="G432" s="5" t="s">
        <v>52</v>
      </c>
      <c r="H432" s="5" t="s">
        <v>52</v>
      </c>
      <c r="I432" s="6" t="s">
        <v>40</v>
      </c>
      <c r="J432" s="5" t="s">
        <v>8585</v>
      </c>
      <c r="K432" s="5" t="s">
        <v>8632</v>
      </c>
      <c r="L432" s="6" t="s">
        <v>42</v>
      </c>
      <c r="M432" s="5" t="s">
        <v>995</v>
      </c>
      <c r="N432" s="5" t="s">
        <v>64</v>
      </c>
      <c r="O432" s="5" t="s">
        <v>17651</v>
      </c>
      <c r="P432" s="6">
        <v>11517.0</v>
      </c>
    </row>
    <row r="433" ht="56.25" customHeight="1">
      <c r="A433" s="5" t="s">
        <v>17642</v>
      </c>
      <c r="B433" s="6" t="str">
        <f>IMAGE("https://storage.googleapis.com/acdb/headwear/CapHatWorkcap3.png")</f>
        <v/>
      </c>
      <c r="C433" s="5" t="s">
        <v>68</v>
      </c>
      <c r="D433" s="5" t="s">
        <v>36</v>
      </c>
      <c r="E433" s="6">
        <v>560.0</v>
      </c>
      <c r="F433" s="6">
        <v>140.0</v>
      </c>
      <c r="G433" s="5" t="s">
        <v>68</v>
      </c>
      <c r="H433" s="5" t="s">
        <v>68</v>
      </c>
      <c r="I433" s="6" t="s">
        <v>40</v>
      </c>
      <c r="J433" s="5" t="s">
        <v>8585</v>
      </c>
      <c r="K433" s="5" t="s">
        <v>8632</v>
      </c>
      <c r="L433" s="6" t="s">
        <v>42</v>
      </c>
      <c r="M433" s="5" t="s">
        <v>995</v>
      </c>
      <c r="N433" s="5" t="s">
        <v>64</v>
      </c>
      <c r="O433" s="5" t="s">
        <v>17654</v>
      </c>
      <c r="P433" s="6">
        <v>11518.0</v>
      </c>
    </row>
    <row r="434" ht="56.25" customHeight="1">
      <c r="A434" s="5" t="s">
        <v>17642</v>
      </c>
      <c r="B434" s="6" t="str">
        <f>IMAGE("https://storage.googleapis.com/acdb/headwear/CapHatWorkcap4.png")</f>
        <v/>
      </c>
      <c r="C434" s="5" t="s">
        <v>96</v>
      </c>
      <c r="D434" s="5" t="s">
        <v>36</v>
      </c>
      <c r="E434" s="6">
        <v>560.0</v>
      </c>
      <c r="F434" s="6">
        <v>140.0</v>
      </c>
      <c r="G434" s="5" t="s">
        <v>96</v>
      </c>
      <c r="H434" s="5" t="s">
        <v>96</v>
      </c>
      <c r="I434" s="6" t="s">
        <v>40</v>
      </c>
      <c r="J434" s="5" t="s">
        <v>8585</v>
      </c>
      <c r="K434" s="5" t="s">
        <v>8632</v>
      </c>
      <c r="L434" s="6" t="s">
        <v>42</v>
      </c>
      <c r="M434" s="5" t="s">
        <v>995</v>
      </c>
      <c r="N434" s="5" t="s">
        <v>64</v>
      </c>
      <c r="O434" s="5" t="s">
        <v>17657</v>
      </c>
      <c r="P434" s="6">
        <v>11519.0</v>
      </c>
    </row>
    <row r="435" ht="56.25" customHeight="1">
      <c r="A435" s="5" t="s">
        <v>17658</v>
      </c>
      <c r="B435" s="6" t="str">
        <f>IMAGE("https://storage.googleapis.com/acdb/headwear/CapHatPoliceNavy.png")</f>
        <v/>
      </c>
      <c r="C435" s="5" t="s">
        <v>1187</v>
      </c>
      <c r="D435" s="5" t="s">
        <v>36</v>
      </c>
      <c r="E435" s="6">
        <v>1680.0</v>
      </c>
      <c r="F435" s="6">
        <v>420.0</v>
      </c>
      <c r="G435" s="5" t="s">
        <v>68</v>
      </c>
      <c r="H435" s="5" t="s">
        <v>54</v>
      </c>
      <c r="I435" s="6" t="s">
        <v>40</v>
      </c>
      <c r="J435" s="5" t="s">
        <v>8585</v>
      </c>
      <c r="K435" s="5" t="s">
        <v>8586</v>
      </c>
      <c r="L435" s="6" t="s">
        <v>42</v>
      </c>
      <c r="M435" s="5" t="s">
        <v>8746</v>
      </c>
      <c r="N435" s="5" t="s">
        <v>64</v>
      </c>
      <c r="O435" s="5" t="s">
        <v>17661</v>
      </c>
      <c r="P435" s="6">
        <v>5141.0</v>
      </c>
    </row>
    <row r="436" ht="56.25" customHeight="1">
      <c r="A436" s="5" t="s">
        <v>17662</v>
      </c>
      <c r="B436" s="6" t="str">
        <f>IMAGE("https://storage.googleapis.com/acdb/headwear/CapHatKnitcasquette1.png")</f>
        <v/>
      </c>
      <c r="C436" s="5" t="s">
        <v>57</v>
      </c>
      <c r="D436" s="5" t="s">
        <v>36</v>
      </c>
      <c r="E436" s="6">
        <v>880.0</v>
      </c>
      <c r="F436" s="6">
        <v>220.0</v>
      </c>
      <c r="G436" s="5" t="s">
        <v>57</v>
      </c>
      <c r="H436" s="5" t="s">
        <v>57</v>
      </c>
      <c r="I436" s="6" t="s">
        <v>40</v>
      </c>
      <c r="J436" s="5" t="s">
        <v>8585</v>
      </c>
      <c r="K436" s="5" t="s">
        <v>8632</v>
      </c>
      <c r="L436" s="6" t="s">
        <v>42</v>
      </c>
      <c r="M436" s="5" t="s">
        <v>1959</v>
      </c>
      <c r="N436" s="5" t="s">
        <v>64</v>
      </c>
      <c r="O436" s="5" t="s">
        <v>17667</v>
      </c>
      <c r="P436" s="6">
        <v>11539.0</v>
      </c>
    </row>
    <row r="437" ht="56.25" customHeight="1">
      <c r="A437" s="5" t="s">
        <v>17662</v>
      </c>
      <c r="B437" s="6" t="str">
        <f>IMAGE("https://storage.googleapis.com/acdb/headwear/CapHatKnitcasquette0.png")</f>
        <v/>
      </c>
      <c r="C437" s="5" t="s">
        <v>39</v>
      </c>
      <c r="D437" s="5" t="s">
        <v>36</v>
      </c>
      <c r="E437" s="6">
        <v>880.0</v>
      </c>
      <c r="F437" s="6">
        <v>220.0</v>
      </c>
      <c r="G437" s="5" t="s">
        <v>39</v>
      </c>
      <c r="H437" s="5" t="s">
        <v>39</v>
      </c>
      <c r="I437" s="6" t="s">
        <v>40</v>
      </c>
      <c r="J437" s="5" t="s">
        <v>8585</v>
      </c>
      <c r="K437" s="5" t="s">
        <v>8632</v>
      </c>
      <c r="L437" s="6" t="s">
        <v>42</v>
      </c>
      <c r="M437" s="5" t="s">
        <v>1959</v>
      </c>
      <c r="N437" s="5" t="s">
        <v>64</v>
      </c>
      <c r="O437" s="5" t="s">
        <v>17671</v>
      </c>
      <c r="P437" s="6">
        <v>6054.0</v>
      </c>
    </row>
    <row r="438" ht="56.25" customHeight="1">
      <c r="A438" s="5" t="s">
        <v>17662</v>
      </c>
      <c r="B438" s="6" t="str">
        <f>IMAGE("https://storage.googleapis.com/acdb/headwear/CapHatKnitcasquette2.png")</f>
        <v/>
      </c>
      <c r="C438" s="5" t="s">
        <v>52</v>
      </c>
      <c r="D438" s="5" t="s">
        <v>36</v>
      </c>
      <c r="E438" s="6">
        <v>880.0</v>
      </c>
      <c r="F438" s="6">
        <v>220.0</v>
      </c>
      <c r="G438" s="5" t="s">
        <v>52</v>
      </c>
      <c r="H438" s="5" t="s">
        <v>52</v>
      </c>
      <c r="I438" s="6" t="s">
        <v>40</v>
      </c>
      <c r="J438" s="5" t="s">
        <v>8585</v>
      </c>
      <c r="K438" s="5" t="s">
        <v>8632</v>
      </c>
      <c r="L438" s="6" t="s">
        <v>42</v>
      </c>
      <c r="M438" s="5" t="s">
        <v>1959</v>
      </c>
      <c r="N438" s="5" t="s">
        <v>64</v>
      </c>
      <c r="O438" s="5" t="s">
        <v>17676</v>
      </c>
      <c r="P438" s="6">
        <v>11540.0</v>
      </c>
    </row>
    <row r="439" ht="56.25" customHeight="1">
      <c r="A439" s="5" t="s">
        <v>17662</v>
      </c>
      <c r="B439" s="6" t="str">
        <f>IMAGE("https://storage.googleapis.com/acdb/headwear/CapHatKnitcasquette3.png")</f>
        <v/>
      </c>
      <c r="C439" s="5" t="s">
        <v>96</v>
      </c>
      <c r="D439" s="5" t="s">
        <v>36</v>
      </c>
      <c r="E439" s="6">
        <v>880.0</v>
      </c>
      <c r="F439" s="6">
        <v>220.0</v>
      </c>
      <c r="G439" s="5" t="s">
        <v>96</v>
      </c>
      <c r="H439" s="5" t="s">
        <v>96</v>
      </c>
      <c r="I439" s="6" t="s">
        <v>40</v>
      </c>
      <c r="J439" s="5" t="s">
        <v>8585</v>
      </c>
      <c r="K439" s="5" t="s">
        <v>8632</v>
      </c>
      <c r="L439" s="6" t="s">
        <v>42</v>
      </c>
      <c r="M439" s="5" t="s">
        <v>1959</v>
      </c>
      <c r="N439" s="5" t="s">
        <v>64</v>
      </c>
      <c r="O439" s="5" t="s">
        <v>17680</v>
      </c>
      <c r="P439" s="6">
        <v>11541.0</v>
      </c>
    </row>
    <row r="440" ht="56.25" customHeight="1">
      <c r="A440" s="5" t="s">
        <v>17662</v>
      </c>
      <c r="B440" s="6" t="str">
        <f>IMAGE("https://storage.googleapis.com/acdb/headwear/CapHatKnitcasquette4.png")</f>
        <v/>
      </c>
      <c r="C440" s="5" t="s">
        <v>68</v>
      </c>
      <c r="D440" s="5" t="s">
        <v>36</v>
      </c>
      <c r="E440" s="6">
        <v>880.0</v>
      </c>
      <c r="F440" s="6">
        <v>220.0</v>
      </c>
      <c r="G440" s="5" t="s">
        <v>68</v>
      </c>
      <c r="H440" s="5" t="s">
        <v>68</v>
      </c>
      <c r="I440" s="6" t="s">
        <v>40</v>
      </c>
      <c r="J440" s="5" t="s">
        <v>8585</v>
      </c>
      <c r="K440" s="5" t="s">
        <v>8632</v>
      </c>
      <c r="L440" s="6" t="s">
        <v>42</v>
      </c>
      <c r="M440" s="5" t="s">
        <v>1959</v>
      </c>
      <c r="N440" s="5" t="s">
        <v>64</v>
      </c>
      <c r="O440" s="5" t="s">
        <v>17685</v>
      </c>
      <c r="P440" s="6">
        <v>11542.0</v>
      </c>
    </row>
    <row r="441" ht="56.25" customHeight="1">
      <c r="A441" s="5" t="s">
        <v>17662</v>
      </c>
      <c r="B441" s="6" t="str">
        <f>IMAGE("https://storage.googleapis.com/acdb/headwear/CapHatKnitcasquette5.png")</f>
        <v/>
      </c>
      <c r="C441" s="5" t="s">
        <v>95</v>
      </c>
      <c r="D441" s="5" t="s">
        <v>36</v>
      </c>
      <c r="E441" s="6">
        <v>880.0</v>
      </c>
      <c r="F441" s="6">
        <v>220.0</v>
      </c>
      <c r="G441" s="5" t="s">
        <v>95</v>
      </c>
      <c r="H441" s="5" t="s">
        <v>95</v>
      </c>
      <c r="I441" s="6" t="s">
        <v>40</v>
      </c>
      <c r="J441" s="5" t="s">
        <v>8585</v>
      </c>
      <c r="K441" s="5" t="s">
        <v>8632</v>
      </c>
      <c r="L441" s="6" t="s">
        <v>42</v>
      </c>
      <c r="M441" s="5" t="s">
        <v>1959</v>
      </c>
      <c r="N441" s="5" t="s">
        <v>64</v>
      </c>
      <c r="O441" s="5" t="s">
        <v>17691</v>
      </c>
      <c r="P441" s="6">
        <v>11543.0</v>
      </c>
    </row>
    <row r="442" ht="56.25" customHeight="1">
      <c r="A442" s="5" t="s">
        <v>17692</v>
      </c>
      <c r="B442" s="6" t="str">
        <f>IMAGE("https://storage.googleapis.com/acdb/headwear/CapWigRegent.png")</f>
        <v/>
      </c>
      <c r="C442" s="5" t="s">
        <v>16403</v>
      </c>
      <c r="D442" s="5" t="s">
        <v>36</v>
      </c>
      <c r="E442" s="6">
        <v>1280.0</v>
      </c>
      <c r="F442" s="6">
        <v>320.0</v>
      </c>
      <c r="G442" s="5" t="s">
        <v>58</v>
      </c>
      <c r="H442" s="5" t="s">
        <v>58</v>
      </c>
      <c r="I442" s="6" t="s">
        <v>40</v>
      </c>
      <c r="J442" s="5" t="s">
        <v>8585</v>
      </c>
      <c r="K442" s="5" t="s">
        <v>8586</v>
      </c>
      <c r="L442" s="6" t="s">
        <v>42</v>
      </c>
      <c r="M442" s="5" t="s">
        <v>1952</v>
      </c>
      <c r="N442" s="5" t="s">
        <v>64</v>
      </c>
      <c r="O442" s="5" t="s">
        <v>17698</v>
      </c>
      <c r="P442" s="6">
        <v>5689.0</v>
      </c>
    </row>
    <row r="443" ht="56.25" customHeight="1">
      <c r="A443" s="5" t="s">
        <v>17699</v>
      </c>
      <c r="B443" s="6" t="str">
        <f>IMAGE("https://storage.googleapis.com/acdb/headwear/CapFullfacePowered0.png")</f>
        <v/>
      </c>
      <c r="C443" s="5" t="s">
        <v>52</v>
      </c>
      <c r="D443" s="5" t="s">
        <v>36</v>
      </c>
      <c r="E443" s="6">
        <v>3220.0</v>
      </c>
      <c r="F443" s="6">
        <v>805.0</v>
      </c>
      <c r="G443" s="5" t="s">
        <v>52</v>
      </c>
      <c r="H443" s="5" t="s">
        <v>95</v>
      </c>
      <c r="I443" s="6" t="s">
        <v>40</v>
      </c>
      <c r="J443" s="5" t="s">
        <v>8585</v>
      </c>
      <c r="K443" s="5" t="s">
        <v>8586</v>
      </c>
      <c r="L443" s="6" t="s">
        <v>42</v>
      </c>
      <c r="M443" s="5" t="s">
        <v>8746</v>
      </c>
      <c r="N443" s="5" t="s">
        <v>64</v>
      </c>
      <c r="O443" s="5" t="s">
        <v>17703</v>
      </c>
      <c r="P443" s="6">
        <v>5697.0</v>
      </c>
    </row>
    <row r="444" ht="56.25" customHeight="1">
      <c r="A444" s="5" t="s">
        <v>17699</v>
      </c>
      <c r="B444" s="6" t="str">
        <f>IMAGE("https://storage.googleapis.com/acdb/headwear/CapFullfacePowered1.png")</f>
        <v/>
      </c>
      <c r="C444" s="5" t="s">
        <v>68</v>
      </c>
      <c r="D444" s="5" t="s">
        <v>36</v>
      </c>
      <c r="E444" s="6">
        <v>3220.0</v>
      </c>
      <c r="F444" s="6">
        <v>805.0</v>
      </c>
      <c r="G444" s="5" t="s">
        <v>68</v>
      </c>
      <c r="H444" s="5" t="s">
        <v>96</v>
      </c>
      <c r="I444" s="6" t="s">
        <v>40</v>
      </c>
      <c r="J444" s="5" t="s">
        <v>8585</v>
      </c>
      <c r="K444" s="5" t="s">
        <v>8586</v>
      </c>
      <c r="L444" s="6" t="s">
        <v>42</v>
      </c>
      <c r="M444" s="5" t="s">
        <v>8746</v>
      </c>
      <c r="N444" s="5" t="s">
        <v>64</v>
      </c>
      <c r="O444" s="5" t="s">
        <v>17708</v>
      </c>
      <c r="P444" s="6">
        <v>11794.0</v>
      </c>
    </row>
    <row r="445" ht="56.25" customHeight="1">
      <c r="A445" s="5" t="s">
        <v>17699</v>
      </c>
      <c r="B445" s="6" t="str">
        <f>IMAGE("https://storage.googleapis.com/acdb/headwear/CapFullfacePowered2.png")</f>
        <v/>
      </c>
      <c r="C445" s="5" t="s">
        <v>96</v>
      </c>
      <c r="D445" s="5" t="s">
        <v>36</v>
      </c>
      <c r="E445" s="6">
        <v>3220.0</v>
      </c>
      <c r="F445" s="6">
        <v>805.0</v>
      </c>
      <c r="G445" s="5" t="s">
        <v>96</v>
      </c>
      <c r="H445" s="5" t="s">
        <v>106</v>
      </c>
      <c r="I445" s="6" t="s">
        <v>40</v>
      </c>
      <c r="J445" s="5" t="s">
        <v>8585</v>
      </c>
      <c r="K445" s="5" t="s">
        <v>8586</v>
      </c>
      <c r="L445" s="6" t="s">
        <v>42</v>
      </c>
      <c r="M445" s="5" t="s">
        <v>8746</v>
      </c>
      <c r="N445" s="5" t="s">
        <v>64</v>
      </c>
      <c r="O445" s="5" t="s">
        <v>17715</v>
      </c>
      <c r="P445" s="6">
        <v>11795.0</v>
      </c>
    </row>
    <row r="446" ht="56.25" customHeight="1">
      <c r="A446" s="5" t="s">
        <v>17699</v>
      </c>
      <c r="B446" s="6" t="str">
        <f>IMAGE("https://storage.googleapis.com/acdb/headwear/CapFullfacePowered3.png")</f>
        <v/>
      </c>
      <c r="C446" s="5" t="s">
        <v>54</v>
      </c>
      <c r="D446" s="5" t="s">
        <v>36</v>
      </c>
      <c r="E446" s="6">
        <v>3220.0</v>
      </c>
      <c r="F446" s="6">
        <v>805.0</v>
      </c>
      <c r="G446" s="5" t="s">
        <v>54</v>
      </c>
      <c r="H446" s="5" t="s">
        <v>95</v>
      </c>
      <c r="I446" s="6" t="s">
        <v>40</v>
      </c>
      <c r="J446" s="5" t="s">
        <v>8585</v>
      </c>
      <c r="K446" s="5" t="s">
        <v>8586</v>
      </c>
      <c r="L446" s="6" t="s">
        <v>42</v>
      </c>
      <c r="M446" s="5" t="s">
        <v>8746</v>
      </c>
      <c r="N446" s="5" t="s">
        <v>64</v>
      </c>
      <c r="O446" s="5" t="s">
        <v>17721</v>
      </c>
      <c r="P446" s="6">
        <v>11796.0</v>
      </c>
    </row>
    <row r="447" ht="56.25" customHeight="1">
      <c r="A447" s="5" t="s">
        <v>17722</v>
      </c>
      <c r="B447" s="6" t="str">
        <f>IMAGE("https://storage.googleapis.com/acdb/headwear/CapOrnamentHyacinth3.png")</f>
        <v/>
      </c>
      <c r="C447" s="5" t="s">
        <v>106</v>
      </c>
      <c r="D447" s="5" t="s">
        <v>35</v>
      </c>
      <c r="E447" s="6" t="s">
        <v>37</v>
      </c>
      <c r="F447" s="6">
        <v>2880.0</v>
      </c>
      <c r="G447" s="5" t="s">
        <v>106</v>
      </c>
      <c r="H447" s="5" t="s">
        <v>106</v>
      </c>
      <c r="I447" s="6" t="s">
        <v>40</v>
      </c>
      <c r="J447" s="5" t="s">
        <v>41</v>
      </c>
      <c r="K447" s="5"/>
      <c r="L447" s="6" t="s">
        <v>42</v>
      </c>
      <c r="M447" s="5" t="s">
        <v>1959</v>
      </c>
      <c r="N447" s="5" t="s">
        <v>48</v>
      </c>
      <c r="O447" s="5" t="s">
        <v>17726</v>
      </c>
      <c r="P447" s="6">
        <v>5098.0</v>
      </c>
    </row>
    <row r="448" ht="56.25" customHeight="1">
      <c r="A448" s="5" t="s">
        <v>17728</v>
      </c>
      <c r="B448" s="6" t="str">
        <f>IMAGE("https://storage.googleapis.com/acdb/headwear/CapOrnamentPansy3.png")</f>
        <v/>
      </c>
      <c r="C448" s="5" t="s">
        <v>106</v>
      </c>
      <c r="D448" s="5" t="s">
        <v>35</v>
      </c>
      <c r="E448" s="6" t="s">
        <v>37</v>
      </c>
      <c r="F448" s="6">
        <v>2880.0</v>
      </c>
      <c r="G448" s="5" t="s">
        <v>106</v>
      </c>
      <c r="H448" s="5" t="s">
        <v>106</v>
      </c>
      <c r="I448" s="6" t="s">
        <v>40</v>
      </c>
      <c r="J448" s="5" t="s">
        <v>41</v>
      </c>
      <c r="K448" s="5"/>
      <c r="L448" s="6" t="s">
        <v>42</v>
      </c>
      <c r="M448" s="5" t="s">
        <v>1959</v>
      </c>
      <c r="N448" s="5" t="s">
        <v>48</v>
      </c>
      <c r="O448" s="5" t="s">
        <v>17730</v>
      </c>
      <c r="P448" s="6">
        <v>5107.0</v>
      </c>
    </row>
    <row r="449" ht="56.25" customHeight="1">
      <c r="A449" s="5" t="s">
        <v>17731</v>
      </c>
      <c r="B449" s="6" t="str">
        <f>IMAGE("https://storage.googleapis.com/acdb/headwear/CapOrnamentAnemone3.png")</f>
        <v/>
      </c>
      <c r="C449" s="5" t="s">
        <v>106</v>
      </c>
      <c r="D449" s="5" t="s">
        <v>35</v>
      </c>
      <c r="E449" s="6" t="s">
        <v>37</v>
      </c>
      <c r="F449" s="6">
        <v>2880.0</v>
      </c>
      <c r="G449" s="5" t="s">
        <v>106</v>
      </c>
      <c r="H449" s="5" t="s">
        <v>106</v>
      </c>
      <c r="I449" s="6" t="s">
        <v>40</v>
      </c>
      <c r="J449" s="5" t="s">
        <v>41</v>
      </c>
      <c r="K449" s="5"/>
      <c r="L449" s="6" t="s">
        <v>42</v>
      </c>
      <c r="M449" s="5" t="s">
        <v>1959</v>
      </c>
      <c r="N449" s="5" t="s">
        <v>48</v>
      </c>
      <c r="O449" s="5" t="s">
        <v>17734</v>
      </c>
      <c r="P449" s="6">
        <v>5101.0</v>
      </c>
    </row>
    <row r="450" ht="56.25" customHeight="1">
      <c r="A450" s="5" t="s">
        <v>17735</v>
      </c>
      <c r="B450" s="6" t="str">
        <f>IMAGE("https://storage.googleapis.com/acdb/headwear/CapFullfaceRacing0.png")</f>
        <v/>
      </c>
      <c r="C450" s="5" t="s">
        <v>52</v>
      </c>
      <c r="D450" s="5" t="s">
        <v>36</v>
      </c>
      <c r="E450" s="6">
        <v>1040.0</v>
      </c>
      <c r="F450" s="6">
        <v>260.0</v>
      </c>
      <c r="G450" s="5" t="s">
        <v>52</v>
      </c>
      <c r="H450" s="5" t="s">
        <v>114</v>
      </c>
      <c r="I450" s="6" t="s">
        <v>40</v>
      </c>
      <c r="J450" s="5" t="s">
        <v>8585</v>
      </c>
      <c r="K450" s="5" t="s">
        <v>8586</v>
      </c>
      <c r="L450" s="6" t="s">
        <v>42</v>
      </c>
      <c r="M450" s="5" t="s">
        <v>1952</v>
      </c>
      <c r="N450" s="5" t="s">
        <v>64</v>
      </c>
      <c r="O450" s="5" t="s">
        <v>17740</v>
      </c>
      <c r="P450" s="6">
        <v>5443.0</v>
      </c>
    </row>
    <row r="451" ht="56.25" customHeight="1">
      <c r="A451" s="5" t="s">
        <v>17735</v>
      </c>
      <c r="B451" s="6" t="str">
        <f>IMAGE("https://storage.googleapis.com/acdb/headwear/CapFullfaceRacing1.png")</f>
        <v/>
      </c>
      <c r="C451" s="5" t="s">
        <v>57</v>
      </c>
      <c r="D451" s="5" t="s">
        <v>36</v>
      </c>
      <c r="E451" s="6">
        <v>1040.0</v>
      </c>
      <c r="F451" s="6">
        <v>260.0</v>
      </c>
      <c r="G451" s="5" t="s">
        <v>57</v>
      </c>
      <c r="H451" s="5" t="s">
        <v>52</v>
      </c>
      <c r="I451" s="6" t="s">
        <v>40</v>
      </c>
      <c r="J451" s="5" t="s">
        <v>8585</v>
      </c>
      <c r="K451" s="5" t="s">
        <v>8586</v>
      </c>
      <c r="L451" s="6" t="s">
        <v>42</v>
      </c>
      <c r="M451" s="5" t="s">
        <v>1952</v>
      </c>
      <c r="N451" s="5" t="s">
        <v>64</v>
      </c>
      <c r="O451" s="5" t="s">
        <v>17745</v>
      </c>
      <c r="P451" s="6">
        <v>10237.0</v>
      </c>
    </row>
    <row r="452" ht="56.25" customHeight="1">
      <c r="A452" s="5" t="s">
        <v>17735</v>
      </c>
      <c r="B452" s="6" t="str">
        <f>IMAGE("https://storage.googleapis.com/acdb/headwear/CapFullfaceRacing2.png")</f>
        <v/>
      </c>
      <c r="C452" s="5" t="s">
        <v>54</v>
      </c>
      <c r="D452" s="5" t="s">
        <v>36</v>
      </c>
      <c r="E452" s="6">
        <v>1040.0</v>
      </c>
      <c r="F452" s="6">
        <v>260.0</v>
      </c>
      <c r="G452" s="5" t="s">
        <v>54</v>
      </c>
      <c r="H452" s="5" t="s">
        <v>57</v>
      </c>
      <c r="I452" s="6" t="s">
        <v>40</v>
      </c>
      <c r="J452" s="5" t="s">
        <v>8585</v>
      </c>
      <c r="K452" s="5" t="s">
        <v>8586</v>
      </c>
      <c r="L452" s="6" t="s">
        <v>42</v>
      </c>
      <c r="M452" s="5" t="s">
        <v>1952</v>
      </c>
      <c r="N452" s="5" t="s">
        <v>64</v>
      </c>
      <c r="O452" s="5" t="s">
        <v>17748</v>
      </c>
      <c r="P452" s="6">
        <v>10238.0</v>
      </c>
    </row>
    <row r="453" ht="56.25" customHeight="1">
      <c r="A453" s="5" t="s">
        <v>17735</v>
      </c>
      <c r="B453" s="6" t="str">
        <f>IMAGE("https://storage.googleapis.com/acdb/headwear/CapFullfaceRacing3.png")</f>
        <v/>
      </c>
      <c r="C453" s="5" t="s">
        <v>68</v>
      </c>
      <c r="D453" s="5" t="s">
        <v>36</v>
      </c>
      <c r="E453" s="6">
        <v>1040.0</v>
      </c>
      <c r="F453" s="6">
        <v>260.0</v>
      </c>
      <c r="G453" s="5" t="s">
        <v>68</v>
      </c>
      <c r="H453" s="5" t="s">
        <v>96</v>
      </c>
      <c r="I453" s="6" t="s">
        <v>40</v>
      </c>
      <c r="J453" s="5" t="s">
        <v>8585</v>
      </c>
      <c r="K453" s="5" t="s">
        <v>8586</v>
      </c>
      <c r="L453" s="6" t="s">
        <v>42</v>
      </c>
      <c r="M453" s="5" t="s">
        <v>1952</v>
      </c>
      <c r="N453" s="5" t="s">
        <v>64</v>
      </c>
      <c r="O453" s="5" t="s">
        <v>17752</v>
      </c>
      <c r="P453" s="6">
        <v>10239.0</v>
      </c>
    </row>
    <row r="454" ht="56.25" customHeight="1">
      <c r="A454" s="5" t="s">
        <v>17735</v>
      </c>
      <c r="B454" s="6" t="str">
        <f>IMAGE("https://storage.googleapis.com/acdb/headwear/CapFullfaceRacing4.png")</f>
        <v/>
      </c>
      <c r="C454" s="5" t="s">
        <v>69</v>
      </c>
      <c r="D454" s="5" t="s">
        <v>36</v>
      </c>
      <c r="E454" s="6">
        <v>1040.0</v>
      </c>
      <c r="F454" s="6">
        <v>260.0</v>
      </c>
      <c r="G454" s="5" t="s">
        <v>69</v>
      </c>
      <c r="H454" s="5" t="s">
        <v>54</v>
      </c>
      <c r="I454" s="6" t="s">
        <v>40</v>
      </c>
      <c r="J454" s="5" t="s">
        <v>8585</v>
      </c>
      <c r="K454" s="5" t="s">
        <v>8586</v>
      </c>
      <c r="L454" s="6" t="s">
        <v>42</v>
      </c>
      <c r="M454" s="5" t="s">
        <v>1952</v>
      </c>
      <c r="N454" s="5" t="s">
        <v>64</v>
      </c>
      <c r="O454" s="5" t="s">
        <v>17755</v>
      </c>
      <c r="P454" s="6">
        <v>10240.0</v>
      </c>
    </row>
    <row r="455" ht="56.25" customHeight="1">
      <c r="A455" s="5" t="s">
        <v>17735</v>
      </c>
      <c r="B455" s="6" t="str">
        <f>IMAGE("https://storage.googleapis.com/acdb/headwear/CapFullfaceRacing5.png")</f>
        <v/>
      </c>
      <c r="C455" s="5" t="s">
        <v>96</v>
      </c>
      <c r="D455" s="5" t="s">
        <v>36</v>
      </c>
      <c r="E455" s="6">
        <v>1040.0</v>
      </c>
      <c r="F455" s="6">
        <v>260.0</v>
      </c>
      <c r="G455" s="5" t="s">
        <v>96</v>
      </c>
      <c r="H455" s="5" t="s">
        <v>114</v>
      </c>
      <c r="I455" s="6" t="s">
        <v>40</v>
      </c>
      <c r="J455" s="5" t="s">
        <v>8585</v>
      </c>
      <c r="K455" s="5" t="s">
        <v>8586</v>
      </c>
      <c r="L455" s="6" t="s">
        <v>42</v>
      </c>
      <c r="M455" s="5" t="s">
        <v>1952</v>
      </c>
      <c r="N455" s="5" t="s">
        <v>64</v>
      </c>
      <c r="O455" s="5" t="s">
        <v>17760</v>
      </c>
      <c r="P455" s="6">
        <v>10241.0</v>
      </c>
    </row>
    <row r="456" ht="56.25" customHeight="1">
      <c r="A456" s="5" t="s">
        <v>17735</v>
      </c>
      <c r="B456" s="6" t="str">
        <f>IMAGE("https://storage.googleapis.com/acdb/headwear/CapFullfaceRacing6.png")</f>
        <v/>
      </c>
      <c r="C456" s="5" t="s">
        <v>106</v>
      </c>
      <c r="D456" s="5" t="s">
        <v>36</v>
      </c>
      <c r="E456" s="6">
        <v>1040.0</v>
      </c>
      <c r="F456" s="6">
        <v>260.0</v>
      </c>
      <c r="G456" s="5" t="s">
        <v>106</v>
      </c>
      <c r="H456" s="5" t="s">
        <v>69</v>
      </c>
      <c r="I456" s="6" t="s">
        <v>40</v>
      </c>
      <c r="J456" s="5" t="s">
        <v>8585</v>
      </c>
      <c r="K456" s="5" t="s">
        <v>8586</v>
      </c>
      <c r="L456" s="6" t="s">
        <v>42</v>
      </c>
      <c r="M456" s="5" t="s">
        <v>1952</v>
      </c>
      <c r="N456" s="5" t="s">
        <v>64</v>
      </c>
      <c r="O456" s="5" t="s">
        <v>17764</v>
      </c>
      <c r="P456" s="6">
        <v>10242.0</v>
      </c>
    </row>
    <row r="457" ht="56.25" customHeight="1">
      <c r="A457" s="5" t="s">
        <v>17735</v>
      </c>
      <c r="B457" s="6" t="str">
        <f>IMAGE("https://storage.googleapis.com/acdb/headwear/CapFullfaceRacing7.png")</f>
        <v/>
      </c>
      <c r="C457" s="5" t="s">
        <v>83</v>
      </c>
      <c r="D457" s="5" t="s">
        <v>36</v>
      </c>
      <c r="E457" s="6">
        <v>1040.0</v>
      </c>
      <c r="F457" s="6">
        <v>260.0</v>
      </c>
      <c r="G457" s="5" t="s">
        <v>83</v>
      </c>
      <c r="H457" s="5" t="s">
        <v>142</v>
      </c>
      <c r="I457" s="6" t="s">
        <v>40</v>
      </c>
      <c r="J457" s="5" t="s">
        <v>8585</v>
      </c>
      <c r="K457" s="5" t="s">
        <v>8586</v>
      </c>
      <c r="L457" s="6" t="s">
        <v>42</v>
      </c>
      <c r="M457" s="5" t="s">
        <v>1952</v>
      </c>
      <c r="N457" s="5" t="s">
        <v>64</v>
      </c>
      <c r="O457" s="5" t="s">
        <v>17769</v>
      </c>
      <c r="P457" s="6">
        <v>10243.0</v>
      </c>
    </row>
    <row r="458" ht="56.25" customHeight="1">
      <c r="A458" s="5" t="s">
        <v>17770</v>
      </c>
      <c r="B458" s="6" t="str">
        <f>IMAGE("https://storage.googleapis.com/acdb/headwear/CapHatRain1.png")</f>
        <v/>
      </c>
      <c r="C458" s="5" t="s">
        <v>96</v>
      </c>
      <c r="D458" s="5" t="s">
        <v>36</v>
      </c>
      <c r="E458" s="6">
        <v>880.0</v>
      </c>
      <c r="F458" s="6">
        <v>220.0</v>
      </c>
      <c r="G458" s="5" t="s">
        <v>96</v>
      </c>
      <c r="H458" s="5" t="s">
        <v>96</v>
      </c>
      <c r="I458" s="6" t="s">
        <v>40</v>
      </c>
      <c r="J458" s="5" t="s">
        <v>8585</v>
      </c>
      <c r="K458" s="5" t="s">
        <v>8632</v>
      </c>
      <c r="L458" s="6" t="s">
        <v>42</v>
      </c>
      <c r="M458" s="5" t="s">
        <v>995</v>
      </c>
      <c r="N458" s="5" t="s">
        <v>64</v>
      </c>
      <c r="O458" s="5" t="s">
        <v>17774</v>
      </c>
      <c r="P458" s="6">
        <v>9569.0</v>
      </c>
    </row>
    <row r="459" ht="56.25" customHeight="1">
      <c r="A459" s="5" t="s">
        <v>17770</v>
      </c>
      <c r="B459" s="6" t="str">
        <f>IMAGE("https://storage.googleapis.com/acdb/headwear/CapHatRain2.png")</f>
        <v/>
      </c>
      <c r="C459" s="5" t="s">
        <v>69</v>
      </c>
      <c r="D459" s="5" t="s">
        <v>36</v>
      </c>
      <c r="E459" s="6">
        <v>880.0</v>
      </c>
      <c r="F459" s="6">
        <v>220.0</v>
      </c>
      <c r="G459" s="5" t="s">
        <v>69</v>
      </c>
      <c r="H459" s="5" t="s">
        <v>69</v>
      </c>
      <c r="I459" s="6" t="s">
        <v>40</v>
      </c>
      <c r="J459" s="5" t="s">
        <v>8585</v>
      </c>
      <c r="K459" s="5" t="s">
        <v>8632</v>
      </c>
      <c r="L459" s="6" t="s">
        <v>42</v>
      </c>
      <c r="M459" s="5" t="s">
        <v>995</v>
      </c>
      <c r="N459" s="5" t="s">
        <v>64</v>
      </c>
      <c r="O459" s="5" t="s">
        <v>17778</v>
      </c>
      <c r="P459" s="6">
        <v>9570.0</v>
      </c>
    </row>
    <row r="460" ht="56.25" customHeight="1">
      <c r="A460" s="5" t="s">
        <v>17770</v>
      </c>
      <c r="B460" s="6" t="str">
        <f>IMAGE("https://storage.googleapis.com/acdb/headwear/CapHatRain3.png")</f>
        <v/>
      </c>
      <c r="C460" s="5" t="s">
        <v>68</v>
      </c>
      <c r="D460" s="5" t="s">
        <v>36</v>
      </c>
      <c r="E460" s="6">
        <v>880.0</v>
      </c>
      <c r="F460" s="6">
        <v>220.0</v>
      </c>
      <c r="G460" s="5" t="s">
        <v>68</v>
      </c>
      <c r="H460" s="5" t="s">
        <v>68</v>
      </c>
      <c r="I460" s="6" t="s">
        <v>40</v>
      </c>
      <c r="J460" s="5" t="s">
        <v>8585</v>
      </c>
      <c r="K460" s="5" t="s">
        <v>8632</v>
      </c>
      <c r="L460" s="6" t="s">
        <v>42</v>
      </c>
      <c r="M460" s="5" t="s">
        <v>995</v>
      </c>
      <c r="N460" s="5" t="s">
        <v>64</v>
      </c>
      <c r="O460" s="5" t="s">
        <v>17781</v>
      </c>
      <c r="P460" s="6">
        <v>9571.0</v>
      </c>
    </row>
    <row r="461" ht="56.25" customHeight="1">
      <c r="A461" s="5" t="s">
        <v>17770</v>
      </c>
      <c r="B461" s="6" t="str">
        <f>IMAGE("https://storage.googleapis.com/acdb/headwear/CapHatRain4.png")</f>
        <v/>
      </c>
      <c r="C461" s="5" t="s">
        <v>52</v>
      </c>
      <c r="D461" s="5" t="s">
        <v>36</v>
      </c>
      <c r="E461" s="6">
        <v>880.0</v>
      </c>
      <c r="F461" s="6">
        <v>220.0</v>
      </c>
      <c r="G461" s="5" t="s">
        <v>52</v>
      </c>
      <c r="H461" s="5" t="s">
        <v>52</v>
      </c>
      <c r="I461" s="6" t="s">
        <v>40</v>
      </c>
      <c r="J461" s="5" t="s">
        <v>8585</v>
      </c>
      <c r="K461" s="5" t="s">
        <v>8632</v>
      </c>
      <c r="L461" s="6" t="s">
        <v>42</v>
      </c>
      <c r="M461" s="5" t="s">
        <v>995</v>
      </c>
      <c r="N461" s="5" t="s">
        <v>64</v>
      </c>
      <c r="O461" s="5" t="s">
        <v>17784</v>
      </c>
      <c r="P461" s="6">
        <v>9572.0</v>
      </c>
    </row>
    <row r="462" ht="56.25" customHeight="1">
      <c r="A462" s="5" t="s">
        <v>17770</v>
      </c>
      <c r="B462" s="6" t="str">
        <f>IMAGE("https://storage.googleapis.com/acdb/headwear/CapHatRain5.png")</f>
        <v/>
      </c>
      <c r="C462" s="5" t="s">
        <v>54</v>
      </c>
      <c r="D462" s="5" t="s">
        <v>36</v>
      </c>
      <c r="E462" s="6">
        <v>880.0</v>
      </c>
      <c r="F462" s="6">
        <v>220.0</v>
      </c>
      <c r="G462" s="5" t="s">
        <v>54</v>
      </c>
      <c r="H462" s="5" t="s">
        <v>54</v>
      </c>
      <c r="I462" s="6" t="s">
        <v>40</v>
      </c>
      <c r="J462" s="5" t="s">
        <v>8585</v>
      </c>
      <c r="K462" s="5" t="s">
        <v>8632</v>
      </c>
      <c r="L462" s="6" t="s">
        <v>42</v>
      </c>
      <c r="M462" s="5" t="s">
        <v>995</v>
      </c>
      <c r="N462" s="5" t="s">
        <v>64</v>
      </c>
      <c r="O462" s="5" t="s">
        <v>17788</v>
      </c>
      <c r="P462" s="6">
        <v>9573.0</v>
      </c>
    </row>
    <row r="463" ht="56.25" customHeight="1">
      <c r="A463" s="5" t="s">
        <v>17770</v>
      </c>
      <c r="B463" s="6" t="str">
        <f>IMAGE("https://storage.googleapis.com/acdb/headwear/CapHatRain6.png")</f>
        <v/>
      </c>
      <c r="C463" s="5" t="s">
        <v>106</v>
      </c>
      <c r="D463" s="5" t="s">
        <v>36</v>
      </c>
      <c r="E463" s="6">
        <v>880.0</v>
      </c>
      <c r="F463" s="6">
        <v>220.0</v>
      </c>
      <c r="G463" s="5" t="s">
        <v>106</v>
      </c>
      <c r="H463" s="5" t="s">
        <v>106</v>
      </c>
      <c r="I463" s="6" t="s">
        <v>40</v>
      </c>
      <c r="J463" s="5" t="s">
        <v>8585</v>
      </c>
      <c r="K463" s="5" t="s">
        <v>8632</v>
      </c>
      <c r="L463" s="6" t="s">
        <v>42</v>
      </c>
      <c r="M463" s="5" t="s">
        <v>995</v>
      </c>
      <c r="N463" s="5" t="s">
        <v>64</v>
      </c>
      <c r="O463" s="5" t="s">
        <v>17792</v>
      </c>
      <c r="P463" s="6">
        <v>9574.0</v>
      </c>
    </row>
    <row r="464" ht="56.25" customHeight="1">
      <c r="A464" s="5" t="s">
        <v>17770</v>
      </c>
      <c r="B464" s="6" t="str">
        <f>IMAGE("https://storage.googleapis.com/acdb/headwear/CapHatRain7.png")</f>
        <v/>
      </c>
      <c r="C464" s="5" t="s">
        <v>38</v>
      </c>
      <c r="D464" s="5" t="s">
        <v>36</v>
      </c>
      <c r="E464" s="6">
        <v>880.0</v>
      </c>
      <c r="F464" s="6">
        <v>220.0</v>
      </c>
      <c r="G464" s="5" t="s">
        <v>38</v>
      </c>
      <c r="H464" s="5" t="s">
        <v>38</v>
      </c>
      <c r="I464" s="6" t="s">
        <v>40</v>
      </c>
      <c r="J464" s="5" t="s">
        <v>8585</v>
      </c>
      <c r="K464" s="5" t="s">
        <v>8632</v>
      </c>
      <c r="L464" s="6" t="s">
        <v>42</v>
      </c>
      <c r="M464" s="5" t="s">
        <v>995</v>
      </c>
      <c r="N464" s="5" t="s">
        <v>64</v>
      </c>
      <c r="O464" s="5" t="s">
        <v>17798</v>
      </c>
      <c r="P464" s="6">
        <v>9575.0</v>
      </c>
    </row>
    <row r="465" ht="56.25" customHeight="1">
      <c r="A465" s="5" t="s">
        <v>17770</v>
      </c>
      <c r="B465" s="6" t="str">
        <f>IMAGE("https://storage.googleapis.com/acdb/headwear/CapHatRain0.png")</f>
        <v/>
      </c>
      <c r="C465" s="5" t="s">
        <v>114</v>
      </c>
      <c r="D465" s="5" t="s">
        <v>36</v>
      </c>
      <c r="E465" s="6">
        <v>880.0</v>
      </c>
      <c r="F465" s="6">
        <v>220.0</v>
      </c>
      <c r="G465" s="5" t="s">
        <v>114</v>
      </c>
      <c r="H465" s="5" t="s">
        <v>114</v>
      </c>
      <c r="I465" s="6" t="s">
        <v>40</v>
      </c>
      <c r="J465" s="5" t="s">
        <v>8585</v>
      </c>
      <c r="K465" s="5" t="s">
        <v>8632</v>
      </c>
      <c r="L465" s="6" t="s">
        <v>42</v>
      </c>
      <c r="M465" s="5" t="s">
        <v>995</v>
      </c>
      <c r="N465" s="5" t="s">
        <v>64</v>
      </c>
      <c r="O465" s="5" t="s">
        <v>17801</v>
      </c>
      <c r="P465" s="6">
        <v>7394.0</v>
      </c>
    </row>
    <row r="466" ht="56.25" customHeight="1">
      <c r="A466" s="5" t="s">
        <v>17804</v>
      </c>
      <c r="B466" s="6" t="str">
        <f>IMAGE("https://storage.googleapis.com/acdb/headwear/CapOrnamentLRibbon2.png")</f>
        <v/>
      </c>
      <c r="C466" s="5" t="s">
        <v>68</v>
      </c>
      <c r="D466" s="5" t="s">
        <v>36</v>
      </c>
      <c r="E466" s="6">
        <v>490.0</v>
      </c>
      <c r="F466" s="6">
        <v>122.0</v>
      </c>
      <c r="G466" s="5" t="s">
        <v>68</v>
      </c>
      <c r="H466" s="5" t="s">
        <v>68</v>
      </c>
      <c r="I466" s="6" t="s">
        <v>40</v>
      </c>
      <c r="J466" s="5" t="s">
        <v>8585</v>
      </c>
      <c r="K466" s="5" t="s">
        <v>8632</v>
      </c>
      <c r="L466" s="6" t="s">
        <v>42</v>
      </c>
      <c r="M466" s="5" t="s">
        <v>1959</v>
      </c>
      <c r="N466" s="5" t="s">
        <v>64</v>
      </c>
      <c r="O466" s="5" t="s">
        <v>17807</v>
      </c>
      <c r="P466" s="6">
        <v>10851.0</v>
      </c>
    </row>
    <row r="467" ht="56.25" customHeight="1">
      <c r="A467" s="5" t="s">
        <v>17804</v>
      </c>
      <c r="B467" s="6" t="str">
        <f>IMAGE("https://storage.googleapis.com/acdb/headwear/CapOrnamentLRibbon3.png")</f>
        <v/>
      </c>
      <c r="C467" s="5" t="s">
        <v>114</v>
      </c>
      <c r="D467" s="5" t="s">
        <v>36</v>
      </c>
      <c r="E467" s="6">
        <v>490.0</v>
      </c>
      <c r="F467" s="6">
        <v>122.0</v>
      </c>
      <c r="G467" s="5" t="s">
        <v>114</v>
      </c>
      <c r="H467" s="5" t="s">
        <v>114</v>
      </c>
      <c r="I467" s="6" t="s">
        <v>40</v>
      </c>
      <c r="J467" s="5" t="s">
        <v>8585</v>
      </c>
      <c r="K467" s="5" t="s">
        <v>8632</v>
      </c>
      <c r="L467" s="6" t="s">
        <v>42</v>
      </c>
      <c r="M467" s="5" t="s">
        <v>1959</v>
      </c>
      <c r="N467" s="5" t="s">
        <v>64</v>
      </c>
      <c r="O467" s="5" t="s">
        <v>17810</v>
      </c>
      <c r="P467" s="6">
        <v>10852.0</v>
      </c>
    </row>
    <row r="468" ht="56.25" customHeight="1">
      <c r="A468" s="5" t="s">
        <v>17804</v>
      </c>
      <c r="B468" s="6" t="str">
        <f>IMAGE("https://storage.googleapis.com/acdb/headwear/CapOrnamentLRibbon4.png")</f>
        <v/>
      </c>
      <c r="C468" s="5" t="s">
        <v>142</v>
      </c>
      <c r="D468" s="5" t="s">
        <v>36</v>
      </c>
      <c r="E468" s="6">
        <v>490.0</v>
      </c>
      <c r="F468" s="6">
        <v>122.0</v>
      </c>
      <c r="G468" s="5" t="s">
        <v>142</v>
      </c>
      <c r="H468" s="5" t="s">
        <v>142</v>
      </c>
      <c r="I468" s="6" t="s">
        <v>40</v>
      </c>
      <c r="J468" s="5" t="s">
        <v>8585</v>
      </c>
      <c r="K468" s="5" t="s">
        <v>8632</v>
      </c>
      <c r="L468" s="6" t="s">
        <v>42</v>
      </c>
      <c r="M468" s="5" t="s">
        <v>1959</v>
      </c>
      <c r="N468" s="5" t="s">
        <v>64</v>
      </c>
      <c r="O468" s="5" t="s">
        <v>17814</v>
      </c>
      <c r="P468" s="6">
        <v>10853.0</v>
      </c>
    </row>
    <row r="469" ht="56.25" customHeight="1">
      <c r="A469" s="5" t="s">
        <v>17804</v>
      </c>
      <c r="B469" s="6" t="str">
        <f>IMAGE("https://storage.googleapis.com/acdb/headwear/CapOrnamentLRibbon5.png")</f>
        <v/>
      </c>
      <c r="C469" s="5" t="s">
        <v>69</v>
      </c>
      <c r="D469" s="5" t="s">
        <v>36</v>
      </c>
      <c r="E469" s="6">
        <v>490.0</v>
      </c>
      <c r="F469" s="6">
        <v>122.0</v>
      </c>
      <c r="G469" s="5" t="s">
        <v>69</v>
      </c>
      <c r="H469" s="5" t="s">
        <v>69</v>
      </c>
      <c r="I469" s="6" t="s">
        <v>40</v>
      </c>
      <c r="J469" s="5" t="s">
        <v>8585</v>
      </c>
      <c r="K469" s="5" t="s">
        <v>8632</v>
      </c>
      <c r="L469" s="6" t="s">
        <v>42</v>
      </c>
      <c r="M469" s="5" t="s">
        <v>1959</v>
      </c>
      <c r="N469" s="5" t="s">
        <v>64</v>
      </c>
      <c r="O469" s="5" t="s">
        <v>17817</v>
      </c>
      <c r="P469" s="6">
        <v>10854.0</v>
      </c>
    </row>
    <row r="470" ht="56.25" customHeight="1">
      <c r="A470" s="5" t="s">
        <v>17804</v>
      </c>
      <c r="B470" s="6" t="str">
        <f>IMAGE("https://storage.googleapis.com/acdb/headwear/CapOrnamentLRibbon6.png")</f>
        <v/>
      </c>
      <c r="C470" s="5" t="s">
        <v>57</v>
      </c>
      <c r="D470" s="5" t="s">
        <v>36</v>
      </c>
      <c r="E470" s="6">
        <v>490.0</v>
      </c>
      <c r="F470" s="6">
        <v>122.0</v>
      </c>
      <c r="G470" s="5" t="s">
        <v>57</v>
      </c>
      <c r="H470" s="5" t="s">
        <v>57</v>
      </c>
      <c r="I470" s="6" t="s">
        <v>40</v>
      </c>
      <c r="J470" s="5" t="s">
        <v>8585</v>
      </c>
      <c r="K470" s="5" t="s">
        <v>8632</v>
      </c>
      <c r="L470" s="6" t="s">
        <v>42</v>
      </c>
      <c r="M470" s="5" t="s">
        <v>1959</v>
      </c>
      <c r="N470" s="5" t="s">
        <v>64</v>
      </c>
      <c r="O470" s="5" t="s">
        <v>17821</v>
      </c>
      <c r="P470" s="6">
        <v>10855.0</v>
      </c>
    </row>
    <row r="471" ht="56.25" customHeight="1">
      <c r="A471" s="5" t="s">
        <v>17804</v>
      </c>
      <c r="B471" s="6" t="str">
        <f>IMAGE("https://storage.googleapis.com/acdb/headwear/CapOrnamentLRibbon7.png")</f>
        <v/>
      </c>
      <c r="C471" s="5" t="s">
        <v>54</v>
      </c>
      <c r="D471" s="5" t="s">
        <v>36</v>
      </c>
      <c r="E471" s="6">
        <v>490.0</v>
      </c>
      <c r="F471" s="6">
        <v>122.0</v>
      </c>
      <c r="G471" s="5" t="s">
        <v>54</v>
      </c>
      <c r="H471" s="5" t="s">
        <v>54</v>
      </c>
      <c r="I471" s="6" t="s">
        <v>40</v>
      </c>
      <c r="J471" s="5" t="s">
        <v>8585</v>
      </c>
      <c r="K471" s="5" t="s">
        <v>8632</v>
      </c>
      <c r="L471" s="6" t="s">
        <v>42</v>
      </c>
      <c r="M471" s="5" t="s">
        <v>1959</v>
      </c>
      <c r="N471" s="5" t="s">
        <v>64</v>
      </c>
      <c r="O471" s="5" t="s">
        <v>17825</v>
      </c>
      <c r="P471" s="6">
        <v>10856.0</v>
      </c>
    </row>
    <row r="472" ht="56.25" customHeight="1">
      <c r="A472" s="5" t="s">
        <v>17804</v>
      </c>
      <c r="B472" s="6" t="str">
        <f>IMAGE("https://storage.googleapis.com/acdb/headwear/CapOrnamentLRibbon0.png")</f>
        <v/>
      </c>
      <c r="C472" s="5" t="s">
        <v>96</v>
      </c>
      <c r="D472" s="5" t="s">
        <v>36</v>
      </c>
      <c r="E472" s="6">
        <v>490.0</v>
      </c>
      <c r="F472" s="6">
        <v>122.0</v>
      </c>
      <c r="G472" s="5" t="s">
        <v>96</v>
      </c>
      <c r="H472" s="5" t="s">
        <v>96</v>
      </c>
      <c r="I472" s="6" t="s">
        <v>40</v>
      </c>
      <c r="J472" s="5" t="s">
        <v>8585</v>
      </c>
      <c r="K472" s="5" t="s">
        <v>8632</v>
      </c>
      <c r="L472" s="6" t="s">
        <v>42</v>
      </c>
      <c r="M472" s="5" t="s">
        <v>1959</v>
      </c>
      <c r="N472" s="5" t="s">
        <v>64</v>
      </c>
      <c r="O472" s="5" t="s">
        <v>17830</v>
      </c>
      <c r="P472" s="6">
        <v>2609.0</v>
      </c>
    </row>
    <row r="473" ht="56.25" customHeight="1">
      <c r="A473" s="5" t="s">
        <v>17804</v>
      </c>
      <c r="B473" s="6" t="str">
        <f>IMAGE("https://storage.googleapis.com/acdb/headwear/CapOrnamentLRibbon1.png")</f>
        <v/>
      </c>
      <c r="C473" s="5" t="s">
        <v>52</v>
      </c>
      <c r="D473" s="5" t="s">
        <v>36</v>
      </c>
      <c r="E473" s="6">
        <v>490.0</v>
      </c>
      <c r="F473" s="6">
        <v>122.0</v>
      </c>
      <c r="G473" s="5" t="s">
        <v>52</v>
      </c>
      <c r="H473" s="5" t="s">
        <v>52</v>
      </c>
      <c r="I473" s="6" t="s">
        <v>40</v>
      </c>
      <c r="J473" s="5" t="s">
        <v>8585</v>
      </c>
      <c r="K473" s="5" t="s">
        <v>8632</v>
      </c>
      <c r="L473" s="6" t="s">
        <v>42</v>
      </c>
      <c r="M473" s="5" t="s">
        <v>1959</v>
      </c>
      <c r="N473" s="5" t="s">
        <v>64</v>
      </c>
      <c r="O473" s="5" t="s">
        <v>17834</v>
      </c>
      <c r="P473" s="6">
        <v>2610.0</v>
      </c>
    </row>
    <row r="474" ht="56.25" customHeight="1">
      <c r="A474" s="5" t="s">
        <v>17835</v>
      </c>
      <c r="B474" s="6" t="str">
        <f>IMAGE("https://storage.googleapis.com/acdb/headwear/CapHatGarlystrawhat0.png")</f>
        <v/>
      </c>
      <c r="C474" s="5" t="s">
        <v>68</v>
      </c>
      <c r="D474" s="5" t="s">
        <v>36</v>
      </c>
      <c r="E474" s="6">
        <v>700.0</v>
      </c>
      <c r="F474" s="6">
        <v>175.0</v>
      </c>
      <c r="G474" s="5" t="s">
        <v>38</v>
      </c>
      <c r="H474" s="5" t="s">
        <v>83</v>
      </c>
      <c r="I474" s="6" t="s">
        <v>40</v>
      </c>
      <c r="J474" s="5" t="s">
        <v>8585</v>
      </c>
      <c r="K474" s="5" t="s">
        <v>8632</v>
      </c>
      <c r="L474" s="6" t="s">
        <v>42</v>
      </c>
      <c r="M474" s="5" t="s">
        <v>1959</v>
      </c>
      <c r="N474" s="5" t="s">
        <v>64</v>
      </c>
      <c r="O474" s="5" t="s">
        <v>17840</v>
      </c>
      <c r="P474" s="6">
        <v>9868.0</v>
      </c>
    </row>
    <row r="475" ht="56.25" customHeight="1">
      <c r="A475" s="5" t="s">
        <v>17835</v>
      </c>
      <c r="B475" s="6" t="str">
        <f>IMAGE("https://storage.googleapis.com/acdb/headwear/CapHatGarlystrawhat1.png")</f>
        <v/>
      </c>
      <c r="C475" s="5" t="s">
        <v>69</v>
      </c>
      <c r="D475" s="5" t="s">
        <v>36</v>
      </c>
      <c r="E475" s="6">
        <v>700.0</v>
      </c>
      <c r="F475" s="6">
        <v>175.0</v>
      </c>
      <c r="G475" s="5" t="s">
        <v>57</v>
      </c>
      <c r="H475" s="5" t="s">
        <v>69</v>
      </c>
      <c r="I475" s="6" t="s">
        <v>40</v>
      </c>
      <c r="J475" s="5" t="s">
        <v>8585</v>
      </c>
      <c r="K475" s="5" t="s">
        <v>8632</v>
      </c>
      <c r="L475" s="6" t="s">
        <v>42</v>
      </c>
      <c r="M475" s="5" t="s">
        <v>1959</v>
      </c>
      <c r="N475" s="5" t="s">
        <v>64</v>
      </c>
      <c r="O475" s="5" t="s">
        <v>17846</v>
      </c>
      <c r="P475" s="6">
        <v>11990.0</v>
      </c>
    </row>
    <row r="476" ht="56.25" customHeight="1">
      <c r="A476" s="5" t="s">
        <v>17835</v>
      </c>
      <c r="B476" s="6" t="str">
        <f>IMAGE("https://storage.googleapis.com/acdb/headwear/CapHatGarlystrawhat2.png")</f>
        <v/>
      </c>
      <c r="C476" s="5" t="s">
        <v>54</v>
      </c>
      <c r="D476" s="5" t="s">
        <v>36</v>
      </c>
      <c r="E476" s="6">
        <v>700.0</v>
      </c>
      <c r="F476" s="6">
        <v>175.0</v>
      </c>
      <c r="G476" s="5" t="s">
        <v>39</v>
      </c>
      <c r="H476" s="5" t="s">
        <v>54</v>
      </c>
      <c r="I476" s="6" t="s">
        <v>40</v>
      </c>
      <c r="J476" s="5" t="s">
        <v>8585</v>
      </c>
      <c r="K476" s="5" t="s">
        <v>8632</v>
      </c>
      <c r="L476" s="6" t="s">
        <v>42</v>
      </c>
      <c r="M476" s="5" t="s">
        <v>1959</v>
      </c>
      <c r="N476" s="5" t="s">
        <v>64</v>
      </c>
      <c r="O476" s="5" t="s">
        <v>17849</v>
      </c>
      <c r="P476" s="6">
        <v>11991.0</v>
      </c>
    </row>
    <row r="477" ht="56.25" customHeight="1">
      <c r="A477" s="5" t="s">
        <v>17835</v>
      </c>
      <c r="B477" s="6" t="str">
        <f>IMAGE("https://storage.googleapis.com/acdb/headwear/CapHatGarlystrawhat3.png")</f>
        <v/>
      </c>
      <c r="C477" s="5" t="s">
        <v>39</v>
      </c>
      <c r="D477" s="5" t="s">
        <v>36</v>
      </c>
      <c r="E477" s="6">
        <v>700.0</v>
      </c>
      <c r="F477" s="6">
        <v>175.0</v>
      </c>
      <c r="G477" s="5" t="s">
        <v>54</v>
      </c>
      <c r="H477" s="5" t="s">
        <v>39</v>
      </c>
      <c r="I477" s="6" t="s">
        <v>40</v>
      </c>
      <c r="J477" s="5" t="s">
        <v>8585</v>
      </c>
      <c r="K477" s="5" t="s">
        <v>8632</v>
      </c>
      <c r="L477" s="6" t="s">
        <v>42</v>
      </c>
      <c r="M477" s="5" t="s">
        <v>1959</v>
      </c>
      <c r="N477" s="5" t="s">
        <v>64</v>
      </c>
      <c r="O477" s="5" t="s">
        <v>17852</v>
      </c>
      <c r="P477" s="6">
        <v>11992.0</v>
      </c>
    </row>
    <row r="478" ht="56.25" customHeight="1">
      <c r="A478" s="5" t="s">
        <v>17853</v>
      </c>
      <c r="B478" s="6" t="str">
        <f>IMAGE("https://storage.googleapis.com/acdb/headwear/CapOrnamentLMinistrawhat0.png")</f>
        <v/>
      </c>
      <c r="C478" s="5" t="s">
        <v>83</v>
      </c>
      <c r="D478" s="5" t="s">
        <v>36</v>
      </c>
      <c r="E478" s="6">
        <v>490.0</v>
      </c>
      <c r="F478" s="6">
        <v>122.0</v>
      </c>
      <c r="G478" s="5" t="s">
        <v>38</v>
      </c>
      <c r="H478" s="5" t="s">
        <v>83</v>
      </c>
      <c r="I478" s="6" t="s">
        <v>40</v>
      </c>
      <c r="J478" s="5" t="s">
        <v>8585</v>
      </c>
      <c r="K478" s="5" t="s">
        <v>8586</v>
      </c>
      <c r="L478" s="6" t="s">
        <v>42</v>
      </c>
      <c r="M478" s="5" t="s">
        <v>1959</v>
      </c>
      <c r="N478" s="5" t="s">
        <v>64</v>
      </c>
      <c r="O478" s="5" t="s">
        <v>17858</v>
      </c>
      <c r="P478" s="6">
        <v>7273.0</v>
      </c>
    </row>
    <row r="479" ht="56.25" customHeight="1">
      <c r="A479" s="5" t="s">
        <v>17853</v>
      </c>
      <c r="B479" s="6" t="str">
        <f>IMAGE("https://storage.googleapis.com/acdb/headwear/CapOrnamentLMinistrawhat1.png")</f>
        <v/>
      </c>
      <c r="C479" s="5" t="s">
        <v>69</v>
      </c>
      <c r="D479" s="5" t="s">
        <v>36</v>
      </c>
      <c r="E479" s="6">
        <v>490.0</v>
      </c>
      <c r="F479" s="6">
        <v>122.0</v>
      </c>
      <c r="G479" s="5" t="s">
        <v>38</v>
      </c>
      <c r="H479" s="5" t="s">
        <v>69</v>
      </c>
      <c r="I479" s="6" t="s">
        <v>40</v>
      </c>
      <c r="J479" s="5" t="s">
        <v>8585</v>
      </c>
      <c r="K479" s="5" t="s">
        <v>8586</v>
      </c>
      <c r="L479" s="6" t="s">
        <v>42</v>
      </c>
      <c r="M479" s="5" t="s">
        <v>1959</v>
      </c>
      <c r="N479" s="5" t="s">
        <v>64</v>
      </c>
      <c r="O479" s="5" t="s">
        <v>17862</v>
      </c>
      <c r="P479" s="6">
        <v>10894.0</v>
      </c>
    </row>
    <row r="480" ht="56.25" customHeight="1">
      <c r="A480" s="5" t="s">
        <v>17853</v>
      </c>
      <c r="B480" s="6" t="str">
        <f>IMAGE("https://storage.googleapis.com/acdb/headwear/CapOrnamentLMinistrawhat2.png")</f>
        <v/>
      </c>
      <c r="C480" s="5" t="s">
        <v>54</v>
      </c>
      <c r="D480" s="5" t="s">
        <v>36</v>
      </c>
      <c r="E480" s="6">
        <v>490.0</v>
      </c>
      <c r="F480" s="6">
        <v>122.0</v>
      </c>
      <c r="G480" s="5" t="s">
        <v>38</v>
      </c>
      <c r="H480" s="5" t="s">
        <v>54</v>
      </c>
      <c r="I480" s="6" t="s">
        <v>40</v>
      </c>
      <c r="J480" s="5" t="s">
        <v>8585</v>
      </c>
      <c r="K480" s="5" t="s">
        <v>8586</v>
      </c>
      <c r="L480" s="6" t="s">
        <v>42</v>
      </c>
      <c r="M480" s="5" t="s">
        <v>1959</v>
      </c>
      <c r="N480" s="5" t="s">
        <v>64</v>
      </c>
      <c r="O480" s="5" t="s">
        <v>17866</v>
      </c>
      <c r="P480" s="6">
        <v>10895.0</v>
      </c>
    </row>
    <row r="481" ht="56.25" customHeight="1">
      <c r="A481" s="5" t="s">
        <v>17868</v>
      </c>
      <c r="B481" s="6" t="str">
        <f>IMAGE("https://storage.googleapis.com/acdb/headwear/CapOrnamentRose1.png")</f>
        <v/>
      </c>
      <c r="C481" s="5" t="s">
        <v>58</v>
      </c>
      <c r="D481" s="5" t="s">
        <v>35</v>
      </c>
      <c r="E481" s="6" t="s">
        <v>37</v>
      </c>
      <c r="F481" s="6">
        <v>480.0</v>
      </c>
      <c r="G481" s="5" t="s">
        <v>52</v>
      </c>
      <c r="H481" s="5" t="s">
        <v>114</v>
      </c>
      <c r="I481" s="6" t="s">
        <v>40</v>
      </c>
      <c r="J481" s="5" t="s">
        <v>41</v>
      </c>
      <c r="K481" s="5"/>
      <c r="L481" s="6" t="s">
        <v>42</v>
      </c>
      <c r="M481" s="5" t="s">
        <v>1959</v>
      </c>
      <c r="N481" s="5" t="s">
        <v>48</v>
      </c>
      <c r="O481" s="5" t="s">
        <v>17870</v>
      </c>
      <c r="P481" s="6">
        <v>5111.0</v>
      </c>
    </row>
    <row r="482" ht="56.25" customHeight="1">
      <c r="A482" s="5" t="s">
        <v>17873</v>
      </c>
      <c r="B482" s="6" t="str">
        <f>IMAGE("https://storage.googleapis.com/acdb/headwear/CapHatCrownRed.png")</f>
        <v/>
      </c>
      <c r="C482" s="5" t="s">
        <v>52</v>
      </c>
      <c r="D482" s="5" t="s">
        <v>36</v>
      </c>
      <c r="E482" s="6">
        <v>1200000.0</v>
      </c>
      <c r="F482" s="6">
        <v>300000.0</v>
      </c>
      <c r="G482" s="5" t="s">
        <v>52</v>
      </c>
      <c r="H482" s="5" t="s">
        <v>114</v>
      </c>
      <c r="I482" s="6" t="s">
        <v>40</v>
      </c>
      <c r="J482" s="5" t="s">
        <v>8585</v>
      </c>
      <c r="K482" s="5" t="s">
        <v>8586</v>
      </c>
      <c r="L482" s="6" t="s">
        <v>42</v>
      </c>
      <c r="M482" s="5" t="s">
        <v>612</v>
      </c>
      <c r="N482" s="5" t="s">
        <v>64</v>
      </c>
      <c r="O482" s="5" t="s">
        <v>17878</v>
      </c>
      <c r="P482" s="6">
        <v>5307.0</v>
      </c>
    </row>
    <row r="483" ht="56.25" customHeight="1">
      <c r="A483" s="5" t="s">
        <v>17879</v>
      </c>
      <c r="B483" s="6" t="str">
        <f>IMAGE("https://storage.googleapis.com/acdb/headwear/CapHatSafetyhat2.png")</f>
        <v/>
      </c>
      <c r="C483" s="5" t="s">
        <v>142</v>
      </c>
      <c r="D483" s="5" t="s">
        <v>36</v>
      </c>
      <c r="E483" s="6">
        <v>770.0</v>
      </c>
      <c r="F483" s="6">
        <v>192.0</v>
      </c>
      <c r="G483" s="5" t="s">
        <v>142</v>
      </c>
      <c r="H483" s="5" t="s">
        <v>142</v>
      </c>
      <c r="I483" s="6" t="s">
        <v>40</v>
      </c>
      <c r="J483" s="5" t="s">
        <v>8585</v>
      </c>
      <c r="K483" s="5" t="s">
        <v>8632</v>
      </c>
      <c r="L483" s="6" t="s">
        <v>42</v>
      </c>
      <c r="M483" s="5" t="s">
        <v>8746</v>
      </c>
      <c r="N483" s="5" t="s">
        <v>64</v>
      </c>
      <c r="O483" s="5" t="s">
        <v>17884</v>
      </c>
      <c r="P483" s="6">
        <v>10216.0</v>
      </c>
    </row>
    <row r="484" ht="56.25" customHeight="1">
      <c r="A484" s="5" t="s">
        <v>17879</v>
      </c>
      <c r="B484" s="6" t="str">
        <f>IMAGE("https://storage.googleapis.com/acdb/headwear/CapHatSafetyhat0.png")</f>
        <v/>
      </c>
      <c r="C484" s="5" t="s">
        <v>114</v>
      </c>
      <c r="D484" s="5" t="s">
        <v>36</v>
      </c>
      <c r="E484" s="6">
        <v>770.0</v>
      </c>
      <c r="F484" s="6">
        <v>192.0</v>
      </c>
      <c r="G484" s="5" t="s">
        <v>114</v>
      </c>
      <c r="H484" s="5" t="s">
        <v>114</v>
      </c>
      <c r="I484" s="6" t="s">
        <v>40</v>
      </c>
      <c r="J484" s="5" t="s">
        <v>8585</v>
      </c>
      <c r="K484" s="5" t="s">
        <v>8632</v>
      </c>
      <c r="L484" s="6" t="s">
        <v>42</v>
      </c>
      <c r="M484" s="5" t="s">
        <v>8746</v>
      </c>
      <c r="N484" s="5" t="s">
        <v>64</v>
      </c>
      <c r="O484" s="5" t="s">
        <v>17887</v>
      </c>
      <c r="P484" s="6">
        <v>5139.0</v>
      </c>
    </row>
    <row r="485" ht="56.25" customHeight="1">
      <c r="A485" s="5" t="s">
        <v>17879</v>
      </c>
      <c r="B485" s="6" t="str">
        <f>IMAGE("https://storage.googleapis.com/acdb/headwear/CapHatSafetyhat3.png")</f>
        <v/>
      </c>
      <c r="C485" s="5" t="s">
        <v>96</v>
      </c>
      <c r="D485" s="5" t="s">
        <v>36</v>
      </c>
      <c r="E485" s="6">
        <v>770.0</v>
      </c>
      <c r="F485" s="6">
        <v>192.0</v>
      </c>
      <c r="G485" s="5" t="s">
        <v>96</v>
      </c>
      <c r="H485" s="5" t="s">
        <v>96</v>
      </c>
      <c r="I485" s="6" t="s">
        <v>40</v>
      </c>
      <c r="J485" s="5" t="s">
        <v>8585</v>
      </c>
      <c r="K485" s="5" t="s">
        <v>8632</v>
      </c>
      <c r="L485" s="6" t="s">
        <v>42</v>
      </c>
      <c r="M485" s="5" t="s">
        <v>8746</v>
      </c>
      <c r="N485" s="5" t="s">
        <v>64</v>
      </c>
      <c r="O485" s="5" t="s">
        <v>17892</v>
      </c>
      <c r="P485" s="6">
        <v>10217.0</v>
      </c>
    </row>
    <row r="486" ht="56.25" customHeight="1">
      <c r="A486" s="5" t="s">
        <v>17879</v>
      </c>
      <c r="B486" s="6" t="str">
        <f>IMAGE("https://storage.googleapis.com/acdb/headwear/CapHatSafetyhat4.png")</f>
        <v/>
      </c>
      <c r="C486" s="5" t="s">
        <v>54</v>
      </c>
      <c r="D486" s="5" t="s">
        <v>36</v>
      </c>
      <c r="E486" s="6">
        <v>770.0</v>
      </c>
      <c r="F486" s="6">
        <v>192.0</v>
      </c>
      <c r="G486" s="5" t="s">
        <v>54</v>
      </c>
      <c r="H486" s="5" t="s">
        <v>54</v>
      </c>
      <c r="I486" s="6" t="s">
        <v>40</v>
      </c>
      <c r="J486" s="5" t="s">
        <v>8585</v>
      </c>
      <c r="K486" s="5" t="s">
        <v>8632</v>
      </c>
      <c r="L486" s="6" t="s">
        <v>42</v>
      </c>
      <c r="M486" s="5" t="s">
        <v>8746</v>
      </c>
      <c r="N486" s="5" t="s">
        <v>64</v>
      </c>
      <c r="O486" s="5" t="s">
        <v>17897</v>
      </c>
      <c r="P486" s="6">
        <v>10218.0</v>
      </c>
    </row>
    <row r="487" ht="56.25" customHeight="1">
      <c r="A487" s="5" t="s">
        <v>17879</v>
      </c>
      <c r="B487" s="6" t="str">
        <f>IMAGE("https://storage.googleapis.com/acdb/headwear/CapHatSafetyhat1.png")</f>
        <v/>
      </c>
      <c r="C487" s="5" t="s">
        <v>68</v>
      </c>
      <c r="D487" s="5" t="s">
        <v>36</v>
      </c>
      <c r="E487" s="6">
        <v>770.0</v>
      </c>
      <c r="F487" s="6">
        <v>192.0</v>
      </c>
      <c r="G487" s="5" t="s">
        <v>68</v>
      </c>
      <c r="H487" s="5" t="s">
        <v>68</v>
      </c>
      <c r="I487" s="6" t="s">
        <v>40</v>
      </c>
      <c r="J487" s="5" t="s">
        <v>8585</v>
      </c>
      <c r="K487" s="5" t="s">
        <v>8632</v>
      </c>
      <c r="L487" s="6" t="s">
        <v>42</v>
      </c>
      <c r="M487" s="5" t="s">
        <v>8746</v>
      </c>
      <c r="N487" s="5" t="s">
        <v>64</v>
      </c>
      <c r="O487" s="5" t="s">
        <v>17898</v>
      </c>
      <c r="P487" s="6">
        <v>10215.0</v>
      </c>
    </row>
    <row r="488" ht="56.25" customHeight="1">
      <c r="A488" s="5" t="s">
        <v>17900</v>
      </c>
      <c r="B488" s="6" t="str">
        <f>IMAGE("https://storage.googleapis.com/acdb/headwear/CapHatSailor0.png")</f>
        <v/>
      </c>
      <c r="C488" s="5" t="s">
        <v>57</v>
      </c>
      <c r="D488" s="5" t="s">
        <v>36</v>
      </c>
      <c r="E488" s="6">
        <v>1680.0</v>
      </c>
      <c r="F488" s="6">
        <v>420.0</v>
      </c>
      <c r="G488" s="5" t="s">
        <v>57</v>
      </c>
      <c r="H488" s="5" t="s">
        <v>68</v>
      </c>
      <c r="I488" s="6" t="s">
        <v>40</v>
      </c>
      <c r="J488" s="5" t="s">
        <v>8585</v>
      </c>
      <c r="K488" s="5" t="s">
        <v>8586</v>
      </c>
      <c r="L488" s="6" t="s">
        <v>42</v>
      </c>
      <c r="M488" s="5" t="s">
        <v>995</v>
      </c>
      <c r="N488" s="5" t="s">
        <v>64</v>
      </c>
      <c r="O488" s="5" t="s">
        <v>17903</v>
      </c>
      <c r="P488" s="6">
        <v>5265.0</v>
      </c>
    </row>
    <row r="489" ht="56.25" customHeight="1">
      <c r="A489" s="5" t="s">
        <v>17900</v>
      </c>
      <c r="B489" s="6" t="str">
        <f>IMAGE("https://storage.googleapis.com/acdb/headwear/CapHatSailor1.png")</f>
        <v/>
      </c>
      <c r="C489" s="5" t="s">
        <v>1187</v>
      </c>
      <c r="D489" s="5" t="s">
        <v>36</v>
      </c>
      <c r="E489" s="6">
        <v>1680.0</v>
      </c>
      <c r="F489" s="6">
        <v>420.0</v>
      </c>
      <c r="G489" s="5" t="s">
        <v>68</v>
      </c>
      <c r="H489" s="5" t="s">
        <v>57</v>
      </c>
      <c r="I489" s="6" t="s">
        <v>40</v>
      </c>
      <c r="J489" s="5" t="s">
        <v>8585</v>
      </c>
      <c r="K489" s="5" t="s">
        <v>8586</v>
      </c>
      <c r="L489" s="6" t="s">
        <v>42</v>
      </c>
      <c r="M489" s="5" t="s">
        <v>995</v>
      </c>
      <c r="N489" s="5" t="s">
        <v>64</v>
      </c>
      <c r="O489" s="5" t="s">
        <v>17906</v>
      </c>
      <c r="P489" s="6">
        <v>10751.0</v>
      </c>
    </row>
    <row r="490" ht="56.25" customHeight="1">
      <c r="A490" s="5" t="s">
        <v>17900</v>
      </c>
      <c r="B490" s="6" t="str">
        <f>IMAGE("https://storage.googleapis.com/acdb/headwear/CapHatSailor2.png")</f>
        <v/>
      </c>
      <c r="C490" s="5" t="s">
        <v>68</v>
      </c>
      <c r="D490" s="5" t="s">
        <v>36</v>
      </c>
      <c r="E490" s="6">
        <v>1680.0</v>
      </c>
      <c r="F490" s="6">
        <v>420.0</v>
      </c>
      <c r="G490" s="5" t="s">
        <v>83</v>
      </c>
      <c r="H490" s="5" t="s">
        <v>68</v>
      </c>
      <c r="I490" s="6" t="s">
        <v>40</v>
      </c>
      <c r="J490" s="5" t="s">
        <v>8585</v>
      </c>
      <c r="K490" s="5" t="s">
        <v>8586</v>
      </c>
      <c r="L490" s="6" t="s">
        <v>42</v>
      </c>
      <c r="M490" s="5" t="s">
        <v>995</v>
      </c>
      <c r="N490" s="5" t="s">
        <v>64</v>
      </c>
      <c r="O490" s="5" t="s">
        <v>17908</v>
      </c>
      <c r="P490" s="6">
        <v>10752.0</v>
      </c>
    </row>
    <row r="491" ht="56.25" customHeight="1">
      <c r="A491" s="5" t="s">
        <v>17909</v>
      </c>
      <c r="B491" s="6" t="str">
        <f>IMAGE("https://storage.googleapis.com/acdb/headwear/CapCostumeSamurai4.png")</f>
        <v/>
      </c>
      <c r="C491" s="5" t="s">
        <v>3173</v>
      </c>
      <c r="D491" s="5" t="s">
        <v>36</v>
      </c>
      <c r="E491" s="6">
        <v>5880.0</v>
      </c>
      <c r="F491" s="6">
        <v>1470.0</v>
      </c>
      <c r="G491" s="5" t="s">
        <v>142</v>
      </c>
      <c r="H491" s="5" t="s">
        <v>114</v>
      </c>
      <c r="I491" s="6" t="s">
        <v>40</v>
      </c>
      <c r="J491" s="5" t="s">
        <v>8585</v>
      </c>
      <c r="K491" s="5" t="s">
        <v>8586</v>
      </c>
      <c r="L491" s="6" t="s">
        <v>42</v>
      </c>
      <c r="M491" s="5" t="s">
        <v>8746</v>
      </c>
      <c r="N491" s="5" t="s">
        <v>64</v>
      </c>
      <c r="O491" s="5" t="s">
        <v>17912</v>
      </c>
      <c r="P491" s="6">
        <v>11880.0</v>
      </c>
    </row>
    <row r="492" ht="56.25" customHeight="1">
      <c r="A492" s="5" t="s">
        <v>17909</v>
      </c>
      <c r="B492" s="6" t="str">
        <f>IMAGE("https://storage.googleapis.com/acdb/headwear/CapCostumeSamurai1.png")</f>
        <v/>
      </c>
      <c r="C492" s="5" t="s">
        <v>54</v>
      </c>
      <c r="D492" s="5" t="s">
        <v>36</v>
      </c>
      <c r="E492" s="6">
        <v>5880.0</v>
      </c>
      <c r="F492" s="6">
        <v>1470.0</v>
      </c>
      <c r="G492" s="5" t="s">
        <v>54</v>
      </c>
      <c r="H492" s="5" t="s">
        <v>95</v>
      </c>
      <c r="I492" s="6" t="s">
        <v>40</v>
      </c>
      <c r="J492" s="5" t="s">
        <v>8585</v>
      </c>
      <c r="K492" s="5" t="s">
        <v>8586</v>
      </c>
      <c r="L492" s="6" t="s">
        <v>42</v>
      </c>
      <c r="M492" s="5" t="s">
        <v>8746</v>
      </c>
      <c r="N492" s="5" t="s">
        <v>64</v>
      </c>
      <c r="O492" s="5" t="s">
        <v>17914</v>
      </c>
      <c r="P492" s="6">
        <v>11877.0</v>
      </c>
    </row>
    <row r="493" ht="56.25" customHeight="1">
      <c r="A493" s="5" t="s">
        <v>17909</v>
      </c>
      <c r="B493" s="6" t="str">
        <f>IMAGE("https://storage.googleapis.com/acdb/headwear/CapCostumeSamurai2.png")</f>
        <v/>
      </c>
      <c r="C493" s="5" t="s">
        <v>68</v>
      </c>
      <c r="D493" s="5" t="s">
        <v>36</v>
      </c>
      <c r="E493" s="6">
        <v>5880.0</v>
      </c>
      <c r="F493" s="6">
        <v>1470.0</v>
      </c>
      <c r="G493" s="5" t="s">
        <v>68</v>
      </c>
      <c r="H493" s="5" t="s">
        <v>114</v>
      </c>
      <c r="I493" s="6" t="s">
        <v>40</v>
      </c>
      <c r="J493" s="5" t="s">
        <v>8585</v>
      </c>
      <c r="K493" s="5" t="s">
        <v>8586</v>
      </c>
      <c r="L493" s="6" t="s">
        <v>42</v>
      </c>
      <c r="M493" s="5" t="s">
        <v>8746</v>
      </c>
      <c r="N493" s="5" t="s">
        <v>64</v>
      </c>
      <c r="O493" s="5" t="s">
        <v>17917</v>
      </c>
      <c r="P493" s="6">
        <v>11878.0</v>
      </c>
    </row>
    <row r="494" ht="56.25" customHeight="1">
      <c r="A494" s="5" t="s">
        <v>17909</v>
      </c>
      <c r="B494" s="6" t="str">
        <f>IMAGE("https://storage.googleapis.com/acdb/headwear/CapCostumeSamurai3.png")</f>
        <v/>
      </c>
      <c r="C494" s="5" t="s">
        <v>57</v>
      </c>
      <c r="D494" s="5" t="s">
        <v>36</v>
      </c>
      <c r="E494" s="6">
        <v>5880.0</v>
      </c>
      <c r="F494" s="6">
        <v>1470.0</v>
      </c>
      <c r="G494" s="5" t="s">
        <v>57</v>
      </c>
      <c r="H494" s="5" t="s">
        <v>95</v>
      </c>
      <c r="I494" s="6" t="s">
        <v>40</v>
      </c>
      <c r="J494" s="5" t="s">
        <v>8585</v>
      </c>
      <c r="K494" s="5" t="s">
        <v>8586</v>
      </c>
      <c r="L494" s="6" t="s">
        <v>42</v>
      </c>
      <c r="M494" s="5" t="s">
        <v>8746</v>
      </c>
      <c r="N494" s="5" t="s">
        <v>64</v>
      </c>
      <c r="O494" s="5" t="s">
        <v>17920</v>
      </c>
      <c r="P494" s="6">
        <v>11879.0</v>
      </c>
    </row>
    <row r="495" ht="56.25" customHeight="1">
      <c r="A495" s="5" t="s">
        <v>17909</v>
      </c>
      <c r="B495" s="6" t="str">
        <f>IMAGE("https://storage.googleapis.com/acdb/headwear/CapCostumeSamurai0.png")</f>
        <v/>
      </c>
      <c r="C495" s="5" t="s">
        <v>52</v>
      </c>
      <c r="D495" s="5" t="s">
        <v>36</v>
      </c>
      <c r="E495" s="6">
        <v>5880.0</v>
      </c>
      <c r="F495" s="6">
        <v>1470.0</v>
      </c>
      <c r="G495" s="5" t="s">
        <v>52</v>
      </c>
      <c r="H495" s="5" t="s">
        <v>114</v>
      </c>
      <c r="I495" s="6" t="s">
        <v>40</v>
      </c>
      <c r="J495" s="5" t="s">
        <v>8585</v>
      </c>
      <c r="K495" s="5" t="s">
        <v>8586</v>
      </c>
      <c r="L495" s="6" t="s">
        <v>42</v>
      </c>
      <c r="M495" s="5" t="s">
        <v>8746</v>
      </c>
      <c r="N495" s="5" t="s">
        <v>64</v>
      </c>
      <c r="O495" s="5" t="s">
        <v>17922</v>
      </c>
      <c r="P495" s="6">
        <v>5386.0</v>
      </c>
    </row>
    <row r="496" ht="56.25" customHeight="1">
      <c r="A496" s="5" t="s">
        <v>17923</v>
      </c>
      <c r="B496" s="6" t="str">
        <f>IMAGE("https://storage.googleapis.com/acdb/headwear/CapWigSamurai.png")</f>
        <v/>
      </c>
      <c r="C496" s="5" t="s">
        <v>16403</v>
      </c>
      <c r="D496" s="5" t="s">
        <v>36</v>
      </c>
      <c r="E496" s="6">
        <v>3200.0</v>
      </c>
      <c r="F496" s="6">
        <v>800.0</v>
      </c>
      <c r="G496" s="5" t="s">
        <v>58</v>
      </c>
      <c r="H496" s="5" t="s">
        <v>58</v>
      </c>
      <c r="I496" s="6" t="s">
        <v>40</v>
      </c>
      <c r="J496" s="5" t="s">
        <v>1284</v>
      </c>
      <c r="K496" s="5"/>
      <c r="L496" s="6" t="s">
        <v>42</v>
      </c>
      <c r="M496" s="5" t="s">
        <v>1059</v>
      </c>
      <c r="N496" s="5" t="s">
        <v>48</v>
      </c>
      <c r="O496" s="5" t="s">
        <v>17926</v>
      </c>
      <c r="P496" s="6">
        <v>5690.0</v>
      </c>
    </row>
    <row r="497" ht="56.25" customHeight="1">
      <c r="A497" s="5" t="s">
        <v>17927</v>
      </c>
      <c r="B497" s="6" t="str">
        <f>IMAGE("https://storage.googleapis.com/acdb/headwear/CapHatBachelor0.png")</f>
        <v/>
      </c>
      <c r="C497" s="5" t="s">
        <v>52</v>
      </c>
      <c r="D497" s="5" t="s">
        <v>36</v>
      </c>
      <c r="E497" s="6">
        <v>3010.0</v>
      </c>
      <c r="F497" s="6">
        <v>752.0</v>
      </c>
      <c r="G497" s="5" t="s">
        <v>54</v>
      </c>
      <c r="H497" s="5" t="s">
        <v>52</v>
      </c>
      <c r="I497" s="6" t="s">
        <v>40</v>
      </c>
      <c r="J497" s="5" t="s">
        <v>8585</v>
      </c>
      <c r="K497" s="5" t="s">
        <v>8586</v>
      </c>
      <c r="L497" s="6" t="s">
        <v>42</v>
      </c>
      <c r="M497" s="5" t="s">
        <v>995</v>
      </c>
      <c r="N497" s="5" t="s">
        <v>64</v>
      </c>
      <c r="O497" s="5" t="s">
        <v>17930</v>
      </c>
      <c r="P497" s="6">
        <v>5137.0</v>
      </c>
    </row>
    <row r="498" ht="56.25" customHeight="1">
      <c r="A498" s="5" t="s">
        <v>17927</v>
      </c>
      <c r="B498" s="6" t="str">
        <f>IMAGE("https://storage.googleapis.com/acdb/headwear/CapHatBachelor1.png")</f>
        <v/>
      </c>
      <c r="C498" s="5" t="s">
        <v>96</v>
      </c>
      <c r="D498" s="5" t="s">
        <v>36</v>
      </c>
      <c r="E498" s="6">
        <v>3010.0</v>
      </c>
      <c r="F498" s="6">
        <v>752.0</v>
      </c>
      <c r="G498" s="5" t="s">
        <v>54</v>
      </c>
      <c r="H498" s="5" t="s">
        <v>96</v>
      </c>
      <c r="I498" s="6" t="s">
        <v>40</v>
      </c>
      <c r="J498" s="5" t="s">
        <v>8585</v>
      </c>
      <c r="K498" s="5" t="s">
        <v>8586</v>
      </c>
      <c r="L498" s="6" t="s">
        <v>42</v>
      </c>
      <c r="M498" s="5" t="s">
        <v>995</v>
      </c>
      <c r="N498" s="5" t="s">
        <v>64</v>
      </c>
      <c r="O498" s="5" t="s">
        <v>17932</v>
      </c>
      <c r="P498" s="6">
        <v>11867.0</v>
      </c>
    </row>
    <row r="499" ht="56.25" customHeight="1">
      <c r="A499" s="5" t="s">
        <v>17927</v>
      </c>
      <c r="B499" s="6" t="str">
        <f>IMAGE("https://storage.googleapis.com/acdb/headwear/CapHatBachelor2.png")</f>
        <v/>
      </c>
      <c r="C499" s="5" t="s">
        <v>68</v>
      </c>
      <c r="D499" s="5" t="s">
        <v>36</v>
      </c>
      <c r="E499" s="6">
        <v>3010.0</v>
      </c>
      <c r="F499" s="6">
        <v>752.0</v>
      </c>
      <c r="G499" s="5" t="s">
        <v>54</v>
      </c>
      <c r="H499" s="5" t="s">
        <v>68</v>
      </c>
      <c r="I499" s="6" t="s">
        <v>40</v>
      </c>
      <c r="J499" s="5" t="s">
        <v>8585</v>
      </c>
      <c r="K499" s="5" t="s">
        <v>8586</v>
      </c>
      <c r="L499" s="6" t="s">
        <v>42</v>
      </c>
      <c r="M499" s="5" t="s">
        <v>995</v>
      </c>
      <c r="N499" s="5" t="s">
        <v>64</v>
      </c>
      <c r="O499" s="5" t="s">
        <v>17934</v>
      </c>
      <c r="P499" s="6">
        <v>11868.0</v>
      </c>
    </row>
    <row r="500" ht="56.25" customHeight="1">
      <c r="A500" s="5" t="s">
        <v>17927</v>
      </c>
      <c r="B500" s="6" t="str">
        <f>IMAGE("https://storage.googleapis.com/acdb/headwear/CapHatBachelor3.png")</f>
        <v/>
      </c>
      <c r="C500" s="5" t="s">
        <v>114</v>
      </c>
      <c r="D500" s="5" t="s">
        <v>36</v>
      </c>
      <c r="E500" s="6">
        <v>3010.0</v>
      </c>
      <c r="F500" s="6">
        <v>752.0</v>
      </c>
      <c r="G500" s="5" t="s">
        <v>54</v>
      </c>
      <c r="H500" s="5" t="s">
        <v>114</v>
      </c>
      <c r="I500" s="6" t="s">
        <v>40</v>
      </c>
      <c r="J500" s="5" t="s">
        <v>8585</v>
      </c>
      <c r="K500" s="5" t="s">
        <v>8586</v>
      </c>
      <c r="L500" s="6" t="s">
        <v>42</v>
      </c>
      <c r="M500" s="5" t="s">
        <v>995</v>
      </c>
      <c r="N500" s="5" t="s">
        <v>64</v>
      </c>
      <c r="O500" s="5" t="s">
        <v>17936</v>
      </c>
      <c r="P500" s="6">
        <v>11869.0</v>
      </c>
    </row>
    <row r="501" ht="56.25" customHeight="1">
      <c r="A501" s="5" t="s">
        <v>17938</v>
      </c>
      <c r="B501" s="6" t="str">
        <f>IMAGE("https://storage.googleapis.com/acdb/headwear/CapHatSchool1.png")</f>
        <v/>
      </c>
      <c r="C501" s="5" t="s">
        <v>1187</v>
      </c>
      <c r="D501" s="5" t="s">
        <v>36</v>
      </c>
      <c r="E501" s="6">
        <v>560.0</v>
      </c>
      <c r="F501" s="6">
        <v>140.0</v>
      </c>
      <c r="G501" s="5" t="s">
        <v>68</v>
      </c>
      <c r="H501" s="5" t="s">
        <v>68</v>
      </c>
      <c r="I501" s="6" t="s">
        <v>40</v>
      </c>
      <c r="J501" s="5" t="s">
        <v>8585</v>
      </c>
      <c r="K501" s="5" t="s">
        <v>8586</v>
      </c>
      <c r="L501" s="6" t="s">
        <v>42</v>
      </c>
      <c r="M501" s="5" t="s">
        <v>995</v>
      </c>
      <c r="N501" s="5" t="s">
        <v>64</v>
      </c>
      <c r="O501" s="5" t="s">
        <v>17939</v>
      </c>
      <c r="P501" s="6">
        <v>10867.0</v>
      </c>
    </row>
    <row r="502" ht="56.25" customHeight="1">
      <c r="A502" s="5" t="s">
        <v>17938</v>
      </c>
      <c r="B502" s="6" t="str">
        <f>IMAGE("https://storage.googleapis.com/acdb/headwear/CapHatSchool0.png")</f>
        <v/>
      </c>
      <c r="C502" s="5" t="s">
        <v>114</v>
      </c>
      <c r="D502" s="5" t="s">
        <v>36</v>
      </c>
      <c r="E502" s="6">
        <v>560.0</v>
      </c>
      <c r="F502" s="6">
        <v>140.0</v>
      </c>
      <c r="G502" s="5" t="s">
        <v>114</v>
      </c>
      <c r="H502" s="5" t="s">
        <v>114</v>
      </c>
      <c r="I502" s="6" t="s">
        <v>40</v>
      </c>
      <c r="J502" s="5" t="s">
        <v>8585</v>
      </c>
      <c r="K502" s="5" t="s">
        <v>8586</v>
      </c>
      <c r="L502" s="6" t="s">
        <v>42</v>
      </c>
      <c r="M502" s="5" t="s">
        <v>995</v>
      </c>
      <c r="N502" s="5" t="s">
        <v>64</v>
      </c>
      <c r="O502" s="5" t="s">
        <v>17942</v>
      </c>
      <c r="P502" s="6">
        <v>4739.0</v>
      </c>
    </row>
    <row r="503" ht="56.25" customHeight="1">
      <c r="A503" s="5" t="s">
        <v>17943</v>
      </c>
      <c r="B503" s="6" t="str">
        <f>IMAGE("https://storage.googleapis.com/acdb/headwear/CapHatShallow0.png")</f>
        <v/>
      </c>
      <c r="C503" s="5" t="s">
        <v>96</v>
      </c>
      <c r="D503" s="5" t="s">
        <v>36</v>
      </c>
      <c r="E503" s="6">
        <v>560.0</v>
      </c>
      <c r="F503" s="6">
        <v>140.0</v>
      </c>
      <c r="G503" s="5" t="s">
        <v>96</v>
      </c>
      <c r="H503" s="5" t="s">
        <v>96</v>
      </c>
      <c r="I503" s="6" t="s">
        <v>40</v>
      </c>
      <c r="J503" s="5" t="s">
        <v>8585</v>
      </c>
      <c r="K503" s="5" t="s">
        <v>8632</v>
      </c>
      <c r="L503" s="6" t="s">
        <v>42</v>
      </c>
      <c r="M503" s="5" t="s">
        <v>995</v>
      </c>
      <c r="N503" s="5" t="s">
        <v>64</v>
      </c>
      <c r="O503" s="5" t="s">
        <v>17948</v>
      </c>
      <c r="P503" s="6">
        <v>5329.0</v>
      </c>
    </row>
    <row r="504" ht="56.25" customHeight="1">
      <c r="A504" s="5" t="s">
        <v>17943</v>
      </c>
      <c r="B504" s="6" t="str">
        <f>IMAGE("https://storage.googleapis.com/acdb/headwear/CapHatShallow1.png")</f>
        <v/>
      </c>
      <c r="C504" s="5" t="s">
        <v>38</v>
      </c>
      <c r="D504" s="5" t="s">
        <v>36</v>
      </c>
      <c r="E504" s="6">
        <v>560.0</v>
      </c>
      <c r="F504" s="6">
        <v>140.0</v>
      </c>
      <c r="G504" s="5" t="s">
        <v>38</v>
      </c>
      <c r="H504" s="5" t="s">
        <v>38</v>
      </c>
      <c r="I504" s="6" t="s">
        <v>40</v>
      </c>
      <c r="J504" s="5" t="s">
        <v>8585</v>
      </c>
      <c r="K504" s="5" t="s">
        <v>8632</v>
      </c>
      <c r="L504" s="6" t="s">
        <v>42</v>
      </c>
      <c r="M504" s="5" t="s">
        <v>995</v>
      </c>
      <c r="N504" s="5" t="s">
        <v>64</v>
      </c>
      <c r="O504" s="5" t="s">
        <v>17950</v>
      </c>
      <c r="P504" s="6">
        <v>10938.0</v>
      </c>
    </row>
    <row r="505" ht="56.25" customHeight="1">
      <c r="A505" s="5" t="s">
        <v>17943</v>
      </c>
      <c r="B505" s="6" t="str">
        <f>IMAGE("https://storage.googleapis.com/acdb/headwear/CapHatShallow2.png")</f>
        <v/>
      </c>
      <c r="C505" s="5" t="s">
        <v>1187</v>
      </c>
      <c r="D505" s="5" t="s">
        <v>36</v>
      </c>
      <c r="E505" s="6">
        <v>560.0</v>
      </c>
      <c r="F505" s="6">
        <v>140.0</v>
      </c>
      <c r="G505" s="5" t="s">
        <v>68</v>
      </c>
      <c r="H505" s="5" t="s">
        <v>68</v>
      </c>
      <c r="I505" s="6" t="s">
        <v>40</v>
      </c>
      <c r="J505" s="5" t="s">
        <v>8585</v>
      </c>
      <c r="K505" s="5" t="s">
        <v>8632</v>
      </c>
      <c r="L505" s="6" t="s">
        <v>42</v>
      </c>
      <c r="M505" s="5" t="s">
        <v>995</v>
      </c>
      <c r="N505" s="5" t="s">
        <v>64</v>
      </c>
      <c r="O505" s="5" t="s">
        <v>17956</v>
      </c>
      <c r="P505" s="6">
        <v>10939.0</v>
      </c>
    </row>
    <row r="506" ht="56.25" customHeight="1">
      <c r="A506" s="5" t="s">
        <v>17943</v>
      </c>
      <c r="B506" s="6" t="str">
        <f>IMAGE("https://storage.googleapis.com/acdb/headwear/CapHatShallow3.png")</f>
        <v/>
      </c>
      <c r="C506" s="5" t="s">
        <v>52</v>
      </c>
      <c r="D506" s="5" t="s">
        <v>36</v>
      </c>
      <c r="E506" s="6">
        <v>560.0</v>
      </c>
      <c r="F506" s="6">
        <v>140.0</v>
      </c>
      <c r="G506" s="5" t="s">
        <v>52</v>
      </c>
      <c r="H506" s="5" t="s">
        <v>52</v>
      </c>
      <c r="I506" s="6" t="s">
        <v>40</v>
      </c>
      <c r="J506" s="5" t="s">
        <v>8585</v>
      </c>
      <c r="K506" s="5" t="s">
        <v>8632</v>
      </c>
      <c r="L506" s="6" t="s">
        <v>42</v>
      </c>
      <c r="M506" s="5" t="s">
        <v>995</v>
      </c>
      <c r="N506" s="5" t="s">
        <v>64</v>
      </c>
      <c r="O506" s="5" t="s">
        <v>17959</v>
      </c>
      <c r="P506" s="6">
        <v>10940.0</v>
      </c>
    </row>
    <row r="507" ht="56.25" customHeight="1">
      <c r="A507" s="5" t="s">
        <v>17943</v>
      </c>
      <c r="B507" s="6" t="str">
        <f>IMAGE("https://storage.googleapis.com/acdb/headwear/CapHatShallow4.png")</f>
        <v/>
      </c>
      <c r="C507" s="5" t="s">
        <v>106</v>
      </c>
      <c r="D507" s="5" t="s">
        <v>36</v>
      </c>
      <c r="E507" s="6">
        <v>560.0</v>
      </c>
      <c r="F507" s="6">
        <v>140.0</v>
      </c>
      <c r="G507" s="5" t="s">
        <v>106</v>
      </c>
      <c r="H507" s="5" t="s">
        <v>106</v>
      </c>
      <c r="I507" s="6" t="s">
        <v>40</v>
      </c>
      <c r="J507" s="5" t="s">
        <v>8585</v>
      </c>
      <c r="K507" s="5" t="s">
        <v>8632</v>
      </c>
      <c r="L507" s="6" t="s">
        <v>42</v>
      </c>
      <c r="M507" s="5" t="s">
        <v>995</v>
      </c>
      <c r="N507" s="5" t="s">
        <v>64</v>
      </c>
      <c r="O507" s="5" t="s">
        <v>17964</v>
      </c>
      <c r="P507" s="6">
        <v>10941.0</v>
      </c>
    </row>
    <row r="508" ht="56.25" customHeight="1">
      <c r="A508" s="5" t="s">
        <v>17943</v>
      </c>
      <c r="B508" s="6" t="str">
        <f>IMAGE("https://storage.googleapis.com/acdb/headwear/CapHatShallow5.png")</f>
        <v/>
      </c>
      <c r="C508" s="5" t="s">
        <v>95</v>
      </c>
      <c r="D508" s="5" t="s">
        <v>36</v>
      </c>
      <c r="E508" s="6">
        <v>560.0</v>
      </c>
      <c r="F508" s="6">
        <v>140.0</v>
      </c>
      <c r="G508" s="5" t="s">
        <v>95</v>
      </c>
      <c r="H508" s="5" t="s">
        <v>95</v>
      </c>
      <c r="I508" s="6" t="s">
        <v>40</v>
      </c>
      <c r="J508" s="5" t="s">
        <v>8585</v>
      </c>
      <c r="K508" s="5" t="s">
        <v>8632</v>
      </c>
      <c r="L508" s="6" t="s">
        <v>42</v>
      </c>
      <c r="M508" s="5" t="s">
        <v>995</v>
      </c>
      <c r="N508" s="5" t="s">
        <v>64</v>
      </c>
      <c r="O508" s="5" t="s">
        <v>17966</v>
      </c>
      <c r="P508" s="6">
        <v>10942.0</v>
      </c>
    </row>
    <row r="509" ht="56.25" customHeight="1">
      <c r="A509" s="5" t="s">
        <v>17943</v>
      </c>
      <c r="B509" s="6" t="str">
        <f>IMAGE("https://storage.googleapis.com/acdb/headwear/CapHatShallow6.png")</f>
        <v/>
      </c>
      <c r="C509" s="5" t="s">
        <v>39</v>
      </c>
      <c r="D509" s="5" t="s">
        <v>36</v>
      </c>
      <c r="E509" s="6">
        <v>560.0</v>
      </c>
      <c r="F509" s="6">
        <v>140.0</v>
      </c>
      <c r="G509" s="5" t="s">
        <v>39</v>
      </c>
      <c r="H509" s="5" t="s">
        <v>39</v>
      </c>
      <c r="I509" s="6" t="s">
        <v>40</v>
      </c>
      <c r="J509" s="5" t="s">
        <v>8585</v>
      </c>
      <c r="K509" s="5" t="s">
        <v>8632</v>
      </c>
      <c r="L509" s="6" t="s">
        <v>42</v>
      </c>
      <c r="M509" s="5" t="s">
        <v>995</v>
      </c>
      <c r="N509" s="5" t="s">
        <v>64</v>
      </c>
      <c r="O509" s="5" t="s">
        <v>17969</v>
      </c>
      <c r="P509" s="6">
        <v>10943.0</v>
      </c>
    </row>
    <row r="510" ht="56.25" customHeight="1">
      <c r="A510" s="5" t="s">
        <v>17970</v>
      </c>
      <c r="B510" s="6" t="str">
        <f>IMAGE("https://storage.googleapis.com/acdb/headwear/CapBangsSheep0.png")</f>
        <v/>
      </c>
      <c r="C510" s="5" t="s">
        <v>57</v>
      </c>
      <c r="D510" s="5" t="s">
        <v>36</v>
      </c>
      <c r="E510" s="6">
        <v>980.0</v>
      </c>
      <c r="F510" s="6">
        <v>245.0</v>
      </c>
      <c r="G510" s="5" t="s">
        <v>57</v>
      </c>
      <c r="H510" s="5" t="s">
        <v>39</v>
      </c>
      <c r="I510" s="6" t="s">
        <v>40</v>
      </c>
      <c r="J510" s="5" t="s">
        <v>8585</v>
      </c>
      <c r="K510" s="5" t="s">
        <v>8586</v>
      </c>
      <c r="L510" s="6" t="s">
        <v>42</v>
      </c>
      <c r="M510" s="5" t="s">
        <v>1959</v>
      </c>
      <c r="N510" s="5" t="s">
        <v>64</v>
      </c>
      <c r="O510" s="5" t="s">
        <v>17973</v>
      </c>
      <c r="P510" s="6">
        <v>5465.0</v>
      </c>
    </row>
    <row r="511" ht="56.25" customHeight="1">
      <c r="A511" s="5" t="s">
        <v>17970</v>
      </c>
      <c r="B511" s="6" t="str">
        <f>IMAGE("https://storage.googleapis.com/acdb/headwear/CapBangsSheep1.png")</f>
        <v/>
      </c>
      <c r="C511" s="5" t="s">
        <v>69</v>
      </c>
      <c r="D511" s="5" t="s">
        <v>36</v>
      </c>
      <c r="E511" s="6">
        <v>980.0</v>
      </c>
      <c r="F511" s="6">
        <v>245.0</v>
      </c>
      <c r="G511" s="5" t="s">
        <v>69</v>
      </c>
      <c r="H511" s="5" t="s">
        <v>39</v>
      </c>
      <c r="I511" s="6" t="s">
        <v>40</v>
      </c>
      <c r="J511" s="5" t="s">
        <v>8585</v>
      </c>
      <c r="K511" s="5" t="s">
        <v>8586</v>
      </c>
      <c r="L511" s="6" t="s">
        <v>42</v>
      </c>
      <c r="M511" s="5" t="s">
        <v>1959</v>
      </c>
      <c r="N511" s="5" t="s">
        <v>64</v>
      </c>
      <c r="O511" s="5" t="s">
        <v>17976</v>
      </c>
      <c r="P511" s="6">
        <v>11708.0</v>
      </c>
    </row>
    <row r="512" ht="56.25" customHeight="1">
      <c r="A512" s="5" t="s">
        <v>17970</v>
      </c>
      <c r="B512" s="6" t="str">
        <f>IMAGE("https://storage.googleapis.com/acdb/headwear/CapBangsSheep2.png")</f>
        <v/>
      </c>
      <c r="C512" s="5" t="s">
        <v>83</v>
      </c>
      <c r="D512" s="5" t="s">
        <v>36</v>
      </c>
      <c r="E512" s="6">
        <v>980.0</v>
      </c>
      <c r="F512" s="6">
        <v>245.0</v>
      </c>
      <c r="G512" s="5" t="s">
        <v>83</v>
      </c>
      <c r="H512" s="5" t="s">
        <v>39</v>
      </c>
      <c r="I512" s="6" t="s">
        <v>40</v>
      </c>
      <c r="J512" s="5" t="s">
        <v>8585</v>
      </c>
      <c r="K512" s="5" t="s">
        <v>8586</v>
      </c>
      <c r="L512" s="6" t="s">
        <v>42</v>
      </c>
      <c r="M512" s="5" t="s">
        <v>1959</v>
      </c>
      <c r="N512" s="5" t="s">
        <v>64</v>
      </c>
      <c r="O512" s="5" t="s">
        <v>17979</v>
      </c>
      <c r="P512" s="6">
        <v>11709.0</v>
      </c>
    </row>
    <row r="513" ht="56.25" customHeight="1">
      <c r="A513" s="5" t="s">
        <v>17970</v>
      </c>
      <c r="B513" s="6" t="str">
        <f>IMAGE("https://storage.googleapis.com/acdb/headwear/CapBangsSheep3.png")</f>
        <v/>
      </c>
      <c r="C513" s="5" t="s">
        <v>39</v>
      </c>
      <c r="D513" s="5" t="s">
        <v>36</v>
      </c>
      <c r="E513" s="6">
        <v>980.0</v>
      </c>
      <c r="F513" s="6">
        <v>245.0</v>
      </c>
      <c r="G513" s="5" t="s">
        <v>39</v>
      </c>
      <c r="H513" s="5" t="s">
        <v>39</v>
      </c>
      <c r="I513" s="6" t="s">
        <v>40</v>
      </c>
      <c r="J513" s="5" t="s">
        <v>8585</v>
      </c>
      <c r="K513" s="5" t="s">
        <v>8586</v>
      </c>
      <c r="L513" s="6" t="s">
        <v>42</v>
      </c>
      <c r="M513" s="5" t="s">
        <v>1959</v>
      </c>
      <c r="N513" s="5" t="s">
        <v>64</v>
      </c>
      <c r="O513" s="5" t="s">
        <v>17985</v>
      </c>
      <c r="P513" s="6">
        <v>11710.0</v>
      </c>
    </row>
    <row r="514" ht="56.25" customHeight="1">
      <c r="A514" s="5" t="s">
        <v>17986</v>
      </c>
      <c r="B514" s="6" t="str">
        <f>IMAGE("https://storage.googleapis.com/acdb/headwear/CapHatChina0.png")</f>
        <v/>
      </c>
      <c r="C514" s="5" t="s">
        <v>96</v>
      </c>
      <c r="D514" s="5" t="s">
        <v>36</v>
      </c>
      <c r="E514" s="6" t="s">
        <v>37</v>
      </c>
      <c r="F514" s="6">
        <v>500.0</v>
      </c>
      <c r="G514" s="5" t="s">
        <v>52</v>
      </c>
      <c r="H514" s="5" t="s">
        <v>96</v>
      </c>
      <c r="I514" s="6" t="s">
        <v>40</v>
      </c>
      <c r="J514" s="5" t="s">
        <v>1284</v>
      </c>
      <c r="K514" s="5"/>
      <c r="L514" s="6" t="s">
        <v>42</v>
      </c>
      <c r="M514" s="5" t="s">
        <v>1059</v>
      </c>
      <c r="N514" s="5" t="s">
        <v>48</v>
      </c>
      <c r="O514" s="5" t="s">
        <v>17988</v>
      </c>
      <c r="P514" s="6">
        <v>5284.0</v>
      </c>
    </row>
    <row r="515" ht="56.25" customHeight="1">
      <c r="A515" s="5" t="s">
        <v>17986</v>
      </c>
      <c r="B515" s="6" t="str">
        <f>IMAGE("https://storage.googleapis.com/acdb/headwear/CapHatChina2.png")</f>
        <v/>
      </c>
      <c r="C515" s="5" t="s">
        <v>114</v>
      </c>
      <c r="D515" s="5" t="s">
        <v>36</v>
      </c>
      <c r="E515" s="6" t="s">
        <v>37</v>
      </c>
      <c r="F515" s="6">
        <v>500.0</v>
      </c>
      <c r="G515" s="5" t="s">
        <v>52</v>
      </c>
      <c r="H515" s="5" t="s">
        <v>114</v>
      </c>
      <c r="I515" s="6" t="s">
        <v>40</v>
      </c>
      <c r="J515" s="5" t="s">
        <v>1284</v>
      </c>
      <c r="K515" s="5"/>
      <c r="L515" s="6" t="s">
        <v>42</v>
      </c>
      <c r="M515" s="5" t="s">
        <v>1059</v>
      </c>
      <c r="N515" s="5" t="s">
        <v>48</v>
      </c>
      <c r="O515" s="5" t="s">
        <v>17993</v>
      </c>
      <c r="P515" s="6">
        <v>11850.0</v>
      </c>
    </row>
    <row r="516" ht="56.25" customHeight="1">
      <c r="A516" s="5" t="s">
        <v>17986</v>
      </c>
      <c r="B516" s="6" t="str">
        <f>IMAGE("https://storage.googleapis.com/acdb/headwear/CapHatChina3.png")</f>
        <v/>
      </c>
      <c r="C516" s="5" t="s">
        <v>54</v>
      </c>
      <c r="D516" s="5" t="s">
        <v>36</v>
      </c>
      <c r="E516" s="6" t="s">
        <v>37</v>
      </c>
      <c r="F516" s="6">
        <v>500.0</v>
      </c>
      <c r="G516" s="5" t="s">
        <v>52</v>
      </c>
      <c r="H516" s="5" t="s">
        <v>54</v>
      </c>
      <c r="I516" s="6" t="s">
        <v>40</v>
      </c>
      <c r="J516" s="5" t="s">
        <v>1284</v>
      </c>
      <c r="K516" s="5"/>
      <c r="L516" s="6" t="s">
        <v>42</v>
      </c>
      <c r="M516" s="5" t="s">
        <v>1059</v>
      </c>
      <c r="N516" s="5" t="s">
        <v>48</v>
      </c>
      <c r="O516" s="5" t="s">
        <v>17996</v>
      </c>
      <c r="P516" s="6">
        <v>11851.0</v>
      </c>
    </row>
    <row r="517" ht="56.25" customHeight="1">
      <c r="A517" s="5" t="s">
        <v>17986</v>
      </c>
      <c r="B517" s="6" t="str">
        <f>IMAGE("https://storage.googleapis.com/acdb/headwear/CapHatChina1.png")</f>
        <v/>
      </c>
      <c r="C517" s="5" t="s">
        <v>68</v>
      </c>
      <c r="D517" s="5" t="s">
        <v>36</v>
      </c>
      <c r="E517" s="6" t="s">
        <v>37</v>
      </c>
      <c r="F517" s="6">
        <v>500.0</v>
      </c>
      <c r="G517" s="5" t="s">
        <v>52</v>
      </c>
      <c r="H517" s="5" t="s">
        <v>68</v>
      </c>
      <c r="I517" s="6" t="s">
        <v>40</v>
      </c>
      <c r="J517" s="5" t="s">
        <v>1284</v>
      </c>
      <c r="K517" s="5"/>
      <c r="L517" s="6" t="s">
        <v>42</v>
      </c>
      <c r="M517" s="5" t="s">
        <v>1059</v>
      </c>
      <c r="N517" s="5" t="s">
        <v>48</v>
      </c>
      <c r="O517" s="5" t="s">
        <v>18000</v>
      </c>
      <c r="P517" s="6">
        <v>11849.0</v>
      </c>
    </row>
    <row r="518" ht="56.25" customHeight="1">
      <c r="A518" s="5" t="s">
        <v>18001</v>
      </c>
      <c r="B518" s="6" t="str">
        <f>IMAGE("https://storage.googleapis.com/acdb/headwear/CapOrnamentMum3.png")</f>
        <v/>
      </c>
      <c r="C518" s="5" t="s">
        <v>96</v>
      </c>
      <c r="D518" s="5" t="s">
        <v>35</v>
      </c>
      <c r="E518" s="6" t="s">
        <v>37</v>
      </c>
      <c r="F518" s="6">
        <v>2880.0</v>
      </c>
      <c r="G518" s="5" t="s">
        <v>96</v>
      </c>
      <c r="H518" s="5" t="s">
        <v>96</v>
      </c>
      <c r="I518" s="6" t="s">
        <v>40</v>
      </c>
      <c r="J518" s="5" t="s">
        <v>41</v>
      </c>
      <c r="K518" s="5"/>
      <c r="L518" s="6" t="s">
        <v>42</v>
      </c>
      <c r="M518" s="5" t="s">
        <v>1959</v>
      </c>
      <c r="N518" s="5" t="s">
        <v>48</v>
      </c>
      <c r="O518" s="5" t="s">
        <v>18006</v>
      </c>
      <c r="P518" s="6">
        <v>5119.0</v>
      </c>
    </row>
    <row r="519" ht="56.25" customHeight="1">
      <c r="A519" s="5" t="s">
        <v>18007</v>
      </c>
      <c r="B519" s="6" t="str">
        <f>IMAGE("https://storage.googleapis.com/acdb/headwear/CapHatSkate0.png")</f>
        <v/>
      </c>
      <c r="C519" s="5" t="s">
        <v>142</v>
      </c>
      <c r="D519" s="5" t="s">
        <v>36</v>
      </c>
      <c r="E519" s="6">
        <v>880.0</v>
      </c>
      <c r="F519" s="6">
        <v>220.0</v>
      </c>
      <c r="G519" s="5" t="s">
        <v>142</v>
      </c>
      <c r="H519" s="5" t="s">
        <v>142</v>
      </c>
      <c r="I519" s="6" t="s">
        <v>40</v>
      </c>
      <c r="J519" s="5" t="s">
        <v>8585</v>
      </c>
      <c r="K519" s="5" t="s">
        <v>8586</v>
      </c>
      <c r="L519" s="6" t="s">
        <v>42</v>
      </c>
      <c r="M519" s="5" t="s">
        <v>8746</v>
      </c>
      <c r="N519" s="5" t="s">
        <v>64</v>
      </c>
      <c r="O519" s="5" t="s">
        <v>18010</v>
      </c>
      <c r="P519" s="6">
        <v>9863.0</v>
      </c>
    </row>
    <row r="520" ht="56.25" customHeight="1">
      <c r="A520" s="5" t="s">
        <v>18007</v>
      </c>
      <c r="B520" s="6" t="str">
        <f>IMAGE("https://storage.googleapis.com/acdb/headwear/CapHatSkate3.png")</f>
        <v/>
      </c>
      <c r="C520" s="5" t="s">
        <v>57</v>
      </c>
      <c r="D520" s="5" t="s">
        <v>36</v>
      </c>
      <c r="E520" s="6">
        <v>880.0</v>
      </c>
      <c r="F520" s="6">
        <v>220.0</v>
      </c>
      <c r="G520" s="5" t="s">
        <v>57</v>
      </c>
      <c r="H520" s="5" t="s">
        <v>57</v>
      </c>
      <c r="I520" s="6" t="s">
        <v>40</v>
      </c>
      <c r="J520" s="5" t="s">
        <v>8585</v>
      </c>
      <c r="K520" s="5" t="s">
        <v>8586</v>
      </c>
      <c r="L520" s="6" t="s">
        <v>42</v>
      </c>
      <c r="M520" s="5" t="s">
        <v>8746</v>
      </c>
      <c r="N520" s="5" t="s">
        <v>64</v>
      </c>
      <c r="O520" s="5" t="s">
        <v>18014</v>
      </c>
      <c r="P520" s="6">
        <v>12050.0</v>
      </c>
    </row>
    <row r="521" ht="56.25" customHeight="1">
      <c r="A521" s="5" t="s">
        <v>18007</v>
      </c>
      <c r="B521" s="6" t="str">
        <f>IMAGE("https://storage.googleapis.com/acdb/headwear/CapHatSkate4.png")</f>
        <v/>
      </c>
      <c r="C521" s="5" t="s">
        <v>83</v>
      </c>
      <c r="D521" s="5" t="s">
        <v>36</v>
      </c>
      <c r="E521" s="6">
        <v>880.0</v>
      </c>
      <c r="F521" s="6">
        <v>220.0</v>
      </c>
      <c r="G521" s="5" t="s">
        <v>83</v>
      </c>
      <c r="H521" s="5" t="s">
        <v>83</v>
      </c>
      <c r="I521" s="6" t="s">
        <v>40</v>
      </c>
      <c r="J521" s="5" t="s">
        <v>8585</v>
      </c>
      <c r="K521" s="5" t="s">
        <v>8586</v>
      </c>
      <c r="L521" s="6" t="s">
        <v>42</v>
      </c>
      <c r="M521" s="5" t="s">
        <v>8746</v>
      </c>
      <c r="N521" s="5" t="s">
        <v>64</v>
      </c>
      <c r="O521" s="5" t="s">
        <v>18018</v>
      </c>
      <c r="P521" s="6">
        <v>12051.0</v>
      </c>
    </row>
    <row r="522" ht="56.25" customHeight="1">
      <c r="A522" s="5" t="s">
        <v>18007</v>
      </c>
      <c r="B522" s="6" t="str">
        <f>IMAGE("https://storage.googleapis.com/acdb/headwear/CapHatSkate1.png")</f>
        <v/>
      </c>
      <c r="C522" s="5" t="s">
        <v>10757</v>
      </c>
      <c r="D522" s="5" t="s">
        <v>36</v>
      </c>
      <c r="E522" s="6">
        <v>880.0</v>
      </c>
      <c r="F522" s="6">
        <v>220.0</v>
      </c>
      <c r="G522" s="5" t="s">
        <v>96</v>
      </c>
      <c r="H522" s="5" t="s">
        <v>96</v>
      </c>
      <c r="I522" s="6" t="s">
        <v>40</v>
      </c>
      <c r="J522" s="5" t="s">
        <v>8585</v>
      </c>
      <c r="K522" s="5" t="s">
        <v>8586</v>
      </c>
      <c r="L522" s="6" t="s">
        <v>42</v>
      </c>
      <c r="M522" s="5" t="s">
        <v>8746</v>
      </c>
      <c r="N522" s="5" t="s">
        <v>64</v>
      </c>
      <c r="O522" s="5" t="s">
        <v>18023</v>
      </c>
      <c r="P522" s="6">
        <v>12048.0</v>
      </c>
    </row>
    <row r="523" ht="56.25" customHeight="1">
      <c r="A523" s="5" t="s">
        <v>18007</v>
      </c>
      <c r="B523" s="6" t="str">
        <f>IMAGE("https://storage.googleapis.com/acdb/headwear/CapHatSkate2.png")</f>
        <v/>
      </c>
      <c r="C523" s="5" t="s">
        <v>95</v>
      </c>
      <c r="D523" s="5" t="s">
        <v>36</v>
      </c>
      <c r="E523" s="6">
        <v>880.0</v>
      </c>
      <c r="F523" s="6">
        <v>220.0</v>
      </c>
      <c r="G523" s="5" t="s">
        <v>95</v>
      </c>
      <c r="H523" s="5" t="s">
        <v>95</v>
      </c>
      <c r="I523" s="6" t="s">
        <v>40</v>
      </c>
      <c r="J523" s="5" t="s">
        <v>8585</v>
      </c>
      <c r="K523" s="5" t="s">
        <v>8586</v>
      </c>
      <c r="L523" s="6" t="s">
        <v>42</v>
      </c>
      <c r="M523" s="5" t="s">
        <v>8746</v>
      </c>
      <c r="N523" s="5" t="s">
        <v>64</v>
      </c>
      <c r="O523" s="5" t="s">
        <v>18026</v>
      </c>
      <c r="P523" s="6">
        <v>12049.0</v>
      </c>
    </row>
    <row r="524" ht="56.25" customHeight="1">
      <c r="A524" s="5" t="s">
        <v>18027</v>
      </c>
      <c r="B524" s="6" t="str">
        <f>IMAGE("https://storage.googleapis.com/acdb/headwear/CapCostumeSkullWhite.png")</f>
        <v/>
      </c>
      <c r="C524" s="5" t="s">
        <v>57</v>
      </c>
      <c r="D524" s="5" t="s">
        <v>36</v>
      </c>
      <c r="E524" s="6">
        <v>1400.0</v>
      </c>
      <c r="F524" s="6">
        <v>350.0</v>
      </c>
      <c r="G524" s="5" t="s">
        <v>95</v>
      </c>
      <c r="H524" s="5" t="s">
        <v>95</v>
      </c>
      <c r="I524" s="6" t="s">
        <v>40</v>
      </c>
      <c r="J524" s="5" t="s">
        <v>8585</v>
      </c>
      <c r="K524" s="5" t="s">
        <v>8586</v>
      </c>
      <c r="L524" s="6" t="s">
        <v>42</v>
      </c>
      <c r="M524" s="5" t="s">
        <v>1952</v>
      </c>
      <c r="N524" s="5" t="s">
        <v>64</v>
      </c>
      <c r="O524" s="5" t="s">
        <v>18031</v>
      </c>
      <c r="P524" s="6">
        <v>5328.0</v>
      </c>
    </row>
    <row r="525" ht="56.25" customHeight="1">
      <c r="A525" s="5" t="s">
        <v>18032</v>
      </c>
      <c r="B525" s="6" t="str">
        <f>IMAGE("https://storage.googleapis.com/acdb/headwear/CapFullfaceFaceknit0.png")</f>
        <v/>
      </c>
      <c r="C525" s="5" t="s">
        <v>96</v>
      </c>
      <c r="D525" s="5" t="s">
        <v>36</v>
      </c>
      <c r="E525" s="6">
        <v>560.0</v>
      </c>
      <c r="F525" s="6">
        <v>140.0</v>
      </c>
      <c r="G525" s="5" t="s">
        <v>96</v>
      </c>
      <c r="H525" s="5" t="s">
        <v>96</v>
      </c>
      <c r="I525" s="6" t="s">
        <v>40</v>
      </c>
      <c r="J525" s="5" t="s">
        <v>8585</v>
      </c>
      <c r="K525" s="5" t="s">
        <v>8632</v>
      </c>
      <c r="L525" s="6" t="s">
        <v>42</v>
      </c>
      <c r="M525" s="5" t="s">
        <v>1952</v>
      </c>
      <c r="N525" s="5" t="s">
        <v>64</v>
      </c>
      <c r="O525" s="5" t="s">
        <v>18036</v>
      </c>
      <c r="P525" s="6">
        <v>5327.0</v>
      </c>
    </row>
    <row r="526" ht="56.25" customHeight="1">
      <c r="A526" s="5" t="s">
        <v>18032</v>
      </c>
      <c r="B526" s="6" t="str">
        <f>IMAGE("https://storage.googleapis.com/acdb/headwear/CapFullfaceFaceknit1.png")</f>
        <v/>
      </c>
      <c r="C526" s="5" t="s">
        <v>54</v>
      </c>
      <c r="D526" s="5" t="s">
        <v>36</v>
      </c>
      <c r="E526" s="6">
        <v>560.0</v>
      </c>
      <c r="F526" s="6">
        <v>140.0</v>
      </c>
      <c r="G526" s="5" t="s">
        <v>54</v>
      </c>
      <c r="H526" s="5" t="s">
        <v>54</v>
      </c>
      <c r="I526" s="6" t="s">
        <v>40</v>
      </c>
      <c r="J526" s="5" t="s">
        <v>8585</v>
      </c>
      <c r="K526" s="5" t="s">
        <v>8632</v>
      </c>
      <c r="L526" s="6" t="s">
        <v>42</v>
      </c>
      <c r="M526" s="5" t="s">
        <v>1952</v>
      </c>
      <c r="N526" s="5" t="s">
        <v>64</v>
      </c>
      <c r="O526" s="5" t="s">
        <v>18040</v>
      </c>
      <c r="P526" s="6">
        <v>10826.0</v>
      </c>
    </row>
    <row r="527" ht="56.25" customHeight="1">
      <c r="A527" s="5" t="s">
        <v>18032</v>
      </c>
      <c r="B527" s="6" t="str">
        <f>IMAGE("https://storage.googleapis.com/acdb/headwear/CapFullfaceFaceknit2.png")</f>
        <v/>
      </c>
      <c r="C527" s="5" t="s">
        <v>1458</v>
      </c>
      <c r="D527" s="5" t="s">
        <v>36</v>
      </c>
      <c r="E527" s="6">
        <v>560.0</v>
      </c>
      <c r="F527" s="6">
        <v>140.0</v>
      </c>
      <c r="G527" s="5" t="s">
        <v>114</v>
      </c>
      <c r="H527" s="5" t="s">
        <v>114</v>
      </c>
      <c r="I527" s="6" t="s">
        <v>40</v>
      </c>
      <c r="J527" s="5" t="s">
        <v>8585</v>
      </c>
      <c r="K527" s="5" t="s">
        <v>8632</v>
      </c>
      <c r="L527" s="6" t="s">
        <v>42</v>
      </c>
      <c r="M527" s="5" t="s">
        <v>1952</v>
      </c>
      <c r="N527" s="5" t="s">
        <v>64</v>
      </c>
      <c r="O527" s="5" t="s">
        <v>18044</v>
      </c>
      <c r="P527" s="6">
        <v>10827.0</v>
      </c>
    </row>
    <row r="528" ht="56.25" customHeight="1">
      <c r="A528" s="5" t="s">
        <v>18032</v>
      </c>
      <c r="B528" s="6" t="str">
        <f>IMAGE("https://storage.googleapis.com/acdb/headwear/CapFullfaceFaceknit3.png")</f>
        <v/>
      </c>
      <c r="C528" s="5" t="s">
        <v>52</v>
      </c>
      <c r="D528" s="5" t="s">
        <v>36</v>
      </c>
      <c r="E528" s="6">
        <v>560.0</v>
      </c>
      <c r="F528" s="6">
        <v>140.0</v>
      </c>
      <c r="G528" s="5" t="s">
        <v>52</v>
      </c>
      <c r="H528" s="5" t="s">
        <v>52</v>
      </c>
      <c r="I528" s="6" t="s">
        <v>40</v>
      </c>
      <c r="J528" s="5" t="s">
        <v>8585</v>
      </c>
      <c r="K528" s="5" t="s">
        <v>8632</v>
      </c>
      <c r="L528" s="6" t="s">
        <v>42</v>
      </c>
      <c r="M528" s="5" t="s">
        <v>1952</v>
      </c>
      <c r="N528" s="5" t="s">
        <v>64</v>
      </c>
      <c r="O528" s="5" t="s">
        <v>18048</v>
      </c>
      <c r="P528" s="6">
        <v>10828.0</v>
      </c>
    </row>
    <row r="529" ht="56.25" customHeight="1">
      <c r="A529" s="5" t="s">
        <v>18032</v>
      </c>
      <c r="B529" s="6" t="str">
        <f>IMAGE("https://storage.googleapis.com/acdb/headwear/CapFullfaceFaceknit4.png")</f>
        <v/>
      </c>
      <c r="C529" s="5" t="s">
        <v>68</v>
      </c>
      <c r="D529" s="5" t="s">
        <v>36</v>
      </c>
      <c r="E529" s="6">
        <v>560.0</v>
      </c>
      <c r="F529" s="6">
        <v>140.0</v>
      </c>
      <c r="G529" s="5" t="s">
        <v>68</v>
      </c>
      <c r="H529" s="5" t="s">
        <v>68</v>
      </c>
      <c r="I529" s="6" t="s">
        <v>40</v>
      </c>
      <c r="J529" s="5" t="s">
        <v>8585</v>
      </c>
      <c r="K529" s="5" t="s">
        <v>8632</v>
      </c>
      <c r="L529" s="6" t="s">
        <v>42</v>
      </c>
      <c r="M529" s="5" t="s">
        <v>1952</v>
      </c>
      <c r="N529" s="5" t="s">
        <v>64</v>
      </c>
      <c r="O529" s="5" t="s">
        <v>18050</v>
      </c>
      <c r="P529" s="6">
        <v>10829.0</v>
      </c>
    </row>
    <row r="530" ht="56.25" customHeight="1">
      <c r="A530" s="5" t="s">
        <v>18051</v>
      </c>
      <c r="B530" s="6" t="str">
        <f>IMAGE("https://storage.googleapis.com/acdb/headwear/CapHatEggsky0.png")</f>
        <v/>
      </c>
      <c r="C530" s="5" t="s">
        <v>44</v>
      </c>
      <c r="D530" s="5" t="s">
        <v>35</v>
      </c>
      <c r="E530" s="6" t="s">
        <v>37</v>
      </c>
      <c r="F530" s="6">
        <v>800.0</v>
      </c>
      <c r="G530" s="5" t="s">
        <v>83</v>
      </c>
      <c r="H530" s="5" t="s">
        <v>52</v>
      </c>
      <c r="I530" s="6" t="s">
        <v>40</v>
      </c>
      <c r="J530" s="5" t="s">
        <v>41</v>
      </c>
      <c r="K530" s="5" t="s">
        <v>16755</v>
      </c>
      <c r="L530" s="6" t="s">
        <v>1410</v>
      </c>
      <c r="M530" s="5" t="s">
        <v>8746</v>
      </c>
      <c r="N530" s="5" t="s">
        <v>48</v>
      </c>
      <c r="O530" s="5" t="s">
        <v>18054</v>
      </c>
      <c r="P530" s="6">
        <v>12443.0</v>
      </c>
    </row>
    <row r="531" ht="56.25" customHeight="1">
      <c r="A531" s="5" t="s">
        <v>18055</v>
      </c>
      <c r="B531" s="6" t="str">
        <f>IMAGE("https://storage.googleapis.com/acdb/headwear/CapOrnamentLMinisilkhat0.png")</f>
        <v/>
      </c>
      <c r="C531" s="5" t="s">
        <v>106</v>
      </c>
      <c r="D531" s="5" t="s">
        <v>36</v>
      </c>
      <c r="E531" s="6">
        <v>1820.0</v>
      </c>
      <c r="F531" s="6">
        <v>455.0</v>
      </c>
      <c r="G531" s="5" t="s">
        <v>106</v>
      </c>
      <c r="H531" s="5" t="s">
        <v>106</v>
      </c>
      <c r="I531" s="6" t="s">
        <v>40</v>
      </c>
      <c r="J531" s="5" t="s">
        <v>8585</v>
      </c>
      <c r="K531" s="5" t="s">
        <v>8586</v>
      </c>
      <c r="L531" s="6" t="s">
        <v>42</v>
      </c>
      <c r="M531" s="5" t="s">
        <v>1959</v>
      </c>
      <c r="N531" s="5" t="s">
        <v>64</v>
      </c>
      <c r="O531" s="5" t="s">
        <v>18060</v>
      </c>
      <c r="P531" s="6">
        <v>7286.0</v>
      </c>
    </row>
    <row r="532" ht="56.25" customHeight="1">
      <c r="A532" s="5" t="s">
        <v>18055</v>
      </c>
      <c r="B532" s="6" t="str">
        <f>IMAGE("https://storage.googleapis.com/acdb/headwear/CapOrnamentLMinisilkhat1.png")</f>
        <v/>
      </c>
      <c r="C532" s="5" t="s">
        <v>54</v>
      </c>
      <c r="D532" s="5" t="s">
        <v>36</v>
      </c>
      <c r="E532" s="6">
        <v>1820.0</v>
      </c>
      <c r="F532" s="6">
        <v>455.0</v>
      </c>
      <c r="G532" s="5" t="s">
        <v>54</v>
      </c>
      <c r="H532" s="5" t="s">
        <v>57</v>
      </c>
      <c r="I532" s="6" t="s">
        <v>40</v>
      </c>
      <c r="J532" s="5" t="s">
        <v>8585</v>
      </c>
      <c r="K532" s="5" t="s">
        <v>8586</v>
      </c>
      <c r="L532" s="6" t="s">
        <v>42</v>
      </c>
      <c r="M532" s="5" t="s">
        <v>1959</v>
      </c>
      <c r="N532" s="5" t="s">
        <v>64</v>
      </c>
      <c r="O532" s="5" t="s">
        <v>18064</v>
      </c>
      <c r="P532" s="6">
        <v>11057.0</v>
      </c>
    </row>
    <row r="533" ht="56.25" customHeight="1">
      <c r="A533" s="5" t="s">
        <v>18055</v>
      </c>
      <c r="B533" s="6" t="str">
        <f>IMAGE("https://storage.googleapis.com/acdb/headwear/CapOrnamentLMinisilkhat2.png")</f>
        <v/>
      </c>
      <c r="C533" s="5" t="s">
        <v>52</v>
      </c>
      <c r="D533" s="5" t="s">
        <v>36</v>
      </c>
      <c r="E533" s="6">
        <v>1820.0</v>
      </c>
      <c r="F533" s="6">
        <v>455.0</v>
      </c>
      <c r="G533" s="5" t="s">
        <v>52</v>
      </c>
      <c r="H533" s="5" t="s">
        <v>54</v>
      </c>
      <c r="I533" s="6" t="s">
        <v>40</v>
      </c>
      <c r="J533" s="5" t="s">
        <v>8585</v>
      </c>
      <c r="K533" s="5" t="s">
        <v>8586</v>
      </c>
      <c r="L533" s="6" t="s">
        <v>42</v>
      </c>
      <c r="M533" s="5" t="s">
        <v>1959</v>
      </c>
      <c r="N533" s="5" t="s">
        <v>64</v>
      </c>
      <c r="O533" s="5" t="s">
        <v>18069</v>
      </c>
      <c r="P533" s="6">
        <v>11058.0</v>
      </c>
    </row>
    <row r="534" ht="56.25" customHeight="1">
      <c r="A534" s="5" t="s">
        <v>18070</v>
      </c>
      <c r="B534" s="6" t="str">
        <f>IMAGE("https://storage.googleapis.com/acdb/headwear/CapCostumeSnowball0.png")</f>
        <v/>
      </c>
      <c r="C534" s="5" t="s">
        <v>57</v>
      </c>
      <c r="D534" s="5" t="s">
        <v>35</v>
      </c>
      <c r="E534" s="6" t="s">
        <v>37</v>
      </c>
      <c r="F534" s="6">
        <v>7000.0</v>
      </c>
      <c r="G534" s="5" t="s">
        <v>57</v>
      </c>
      <c r="H534" s="5" t="s">
        <v>142</v>
      </c>
      <c r="I534" s="6" t="s">
        <v>40</v>
      </c>
      <c r="J534" s="5" t="s">
        <v>41</v>
      </c>
      <c r="K534" s="5" t="s">
        <v>2176</v>
      </c>
      <c r="L534" s="6" t="s">
        <v>42</v>
      </c>
      <c r="M534" s="5" t="s">
        <v>1959</v>
      </c>
      <c r="N534" s="5" t="s">
        <v>48</v>
      </c>
      <c r="O534" s="5" t="s">
        <v>18074</v>
      </c>
      <c r="P534" s="6">
        <v>8609.0</v>
      </c>
    </row>
    <row r="535" ht="56.25" customHeight="1">
      <c r="A535" s="5" t="s">
        <v>18075</v>
      </c>
      <c r="B535" s="6" t="str">
        <f>IMAGE("https://storage.googleapis.com/acdb/headwear/CapHatSnowknit2.png")</f>
        <v/>
      </c>
      <c r="C535" s="5" t="s">
        <v>39</v>
      </c>
      <c r="D535" s="5" t="s">
        <v>36</v>
      </c>
      <c r="E535" s="6">
        <v>700.0</v>
      </c>
      <c r="F535" s="6">
        <v>175.0</v>
      </c>
      <c r="G535" s="5" t="s">
        <v>39</v>
      </c>
      <c r="H535" s="5" t="s">
        <v>57</v>
      </c>
      <c r="I535" s="6" t="s">
        <v>40</v>
      </c>
      <c r="J535" s="5" t="s">
        <v>8585</v>
      </c>
      <c r="K535" s="5" t="s">
        <v>8632</v>
      </c>
      <c r="L535" s="6" t="s">
        <v>42</v>
      </c>
      <c r="M535" s="5" t="s">
        <v>995</v>
      </c>
      <c r="N535" s="5" t="s">
        <v>64</v>
      </c>
      <c r="O535" s="5" t="s">
        <v>18080</v>
      </c>
      <c r="P535" s="6">
        <v>10951.0</v>
      </c>
    </row>
    <row r="536" ht="56.25" customHeight="1">
      <c r="A536" s="5" t="s">
        <v>18075</v>
      </c>
      <c r="B536" s="6" t="str">
        <f>IMAGE("https://storage.googleapis.com/acdb/headwear/CapHatSnowknit3.png")</f>
        <v/>
      </c>
      <c r="C536" s="5" t="s">
        <v>69</v>
      </c>
      <c r="D536" s="5" t="s">
        <v>36</v>
      </c>
      <c r="E536" s="6">
        <v>700.0</v>
      </c>
      <c r="F536" s="6">
        <v>175.0</v>
      </c>
      <c r="G536" s="5" t="s">
        <v>69</v>
      </c>
      <c r="H536" s="5" t="s">
        <v>57</v>
      </c>
      <c r="I536" s="6" t="s">
        <v>40</v>
      </c>
      <c r="J536" s="5" t="s">
        <v>8585</v>
      </c>
      <c r="K536" s="5" t="s">
        <v>8632</v>
      </c>
      <c r="L536" s="6" t="s">
        <v>42</v>
      </c>
      <c r="M536" s="5" t="s">
        <v>995</v>
      </c>
      <c r="N536" s="5" t="s">
        <v>64</v>
      </c>
      <c r="O536" s="5" t="s">
        <v>18083</v>
      </c>
      <c r="P536" s="6">
        <v>10952.0</v>
      </c>
    </row>
    <row r="537" ht="56.25" customHeight="1">
      <c r="A537" s="5" t="s">
        <v>18075</v>
      </c>
      <c r="B537" s="6" t="str">
        <f>IMAGE("https://storage.googleapis.com/acdb/headwear/CapHatSnowknit4.png")</f>
        <v/>
      </c>
      <c r="C537" s="5" t="s">
        <v>96</v>
      </c>
      <c r="D537" s="5" t="s">
        <v>36</v>
      </c>
      <c r="E537" s="6">
        <v>700.0</v>
      </c>
      <c r="F537" s="6">
        <v>175.0</v>
      </c>
      <c r="G537" s="5" t="s">
        <v>96</v>
      </c>
      <c r="H537" s="5" t="s">
        <v>57</v>
      </c>
      <c r="I537" s="6" t="s">
        <v>40</v>
      </c>
      <c r="J537" s="5" t="s">
        <v>8585</v>
      </c>
      <c r="K537" s="5" t="s">
        <v>8632</v>
      </c>
      <c r="L537" s="6" t="s">
        <v>42</v>
      </c>
      <c r="M537" s="5" t="s">
        <v>995</v>
      </c>
      <c r="N537" s="5" t="s">
        <v>64</v>
      </c>
      <c r="O537" s="5" t="s">
        <v>18085</v>
      </c>
      <c r="P537" s="6">
        <v>10953.0</v>
      </c>
    </row>
    <row r="538" ht="56.25" customHeight="1">
      <c r="A538" s="5" t="s">
        <v>18075</v>
      </c>
      <c r="B538" s="6" t="str">
        <f>IMAGE("https://storage.googleapis.com/acdb/headwear/CapHatSnowknit5.png")</f>
        <v/>
      </c>
      <c r="C538" s="5" t="s">
        <v>142</v>
      </c>
      <c r="D538" s="5" t="s">
        <v>36</v>
      </c>
      <c r="E538" s="6">
        <v>700.0</v>
      </c>
      <c r="F538" s="6">
        <v>175.0</v>
      </c>
      <c r="G538" s="5" t="s">
        <v>142</v>
      </c>
      <c r="H538" s="5" t="s">
        <v>57</v>
      </c>
      <c r="I538" s="6" t="s">
        <v>40</v>
      </c>
      <c r="J538" s="5" t="s">
        <v>8585</v>
      </c>
      <c r="K538" s="5" t="s">
        <v>8632</v>
      </c>
      <c r="L538" s="6" t="s">
        <v>42</v>
      </c>
      <c r="M538" s="5" t="s">
        <v>995</v>
      </c>
      <c r="N538" s="5" t="s">
        <v>64</v>
      </c>
      <c r="O538" s="5" t="s">
        <v>18088</v>
      </c>
      <c r="P538" s="6">
        <v>10954.0</v>
      </c>
    </row>
    <row r="539" ht="56.25" customHeight="1">
      <c r="A539" s="5" t="s">
        <v>18075</v>
      </c>
      <c r="B539" s="6" t="str">
        <f>IMAGE("https://storage.googleapis.com/acdb/headwear/CapHatSnowknit6.png")</f>
        <v/>
      </c>
      <c r="C539" s="5" t="s">
        <v>52</v>
      </c>
      <c r="D539" s="5" t="s">
        <v>36</v>
      </c>
      <c r="E539" s="6">
        <v>700.0</v>
      </c>
      <c r="F539" s="6">
        <v>175.0</v>
      </c>
      <c r="G539" s="5" t="s">
        <v>52</v>
      </c>
      <c r="H539" s="5" t="s">
        <v>57</v>
      </c>
      <c r="I539" s="6" t="s">
        <v>40</v>
      </c>
      <c r="J539" s="5" t="s">
        <v>8585</v>
      </c>
      <c r="K539" s="5" t="s">
        <v>8632</v>
      </c>
      <c r="L539" s="6" t="s">
        <v>42</v>
      </c>
      <c r="M539" s="5" t="s">
        <v>995</v>
      </c>
      <c r="N539" s="5" t="s">
        <v>64</v>
      </c>
      <c r="O539" s="5" t="s">
        <v>18089</v>
      </c>
      <c r="P539" s="6">
        <v>10955.0</v>
      </c>
    </row>
    <row r="540" ht="56.25" customHeight="1">
      <c r="A540" s="5" t="s">
        <v>18075</v>
      </c>
      <c r="B540" s="6" t="str">
        <f>IMAGE("https://storage.googleapis.com/acdb/headwear/CapHatSnowknit7.png")</f>
        <v/>
      </c>
      <c r="C540" s="5" t="s">
        <v>57</v>
      </c>
      <c r="D540" s="5" t="s">
        <v>36</v>
      </c>
      <c r="E540" s="6">
        <v>700.0</v>
      </c>
      <c r="F540" s="6">
        <v>175.0</v>
      </c>
      <c r="G540" s="5" t="s">
        <v>57</v>
      </c>
      <c r="H540" s="5" t="s">
        <v>95</v>
      </c>
      <c r="I540" s="6" t="s">
        <v>40</v>
      </c>
      <c r="J540" s="5" t="s">
        <v>8585</v>
      </c>
      <c r="K540" s="5" t="s">
        <v>8632</v>
      </c>
      <c r="L540" s="6" t="s">
        <v>42</v>
      </c>
      <c r="M540" s="5" t="s">
        <v>995</v>
      </c>
      <c r="N540" s="5" t="s">
        <v>64</v>
      </c>
      <c r="O540" s="5" t="s">
        <v>18094</v>
      </c>
      <c r="P540" s="6">
        <v>10956.0</v>
      </c>
    </row>
    <row r="541" ht="56.25" customHeight="1">
      <c r="A541" s="5" t="s">
        <v>18075</v>
      </c>
      <c r="B541" s="6" t="str">
        <f>IMAGE("https://storage.googleapis.com/acdb/headwear/CapHatSnowknit0.png")</f>
        <v/>
      </c>
      <c r="C541" s="5" t="s">
        <v>68</v>
      </c>
      <c r="D541" s="5" t="s">
        <v>36</v>
      </c>
      <c r="E541" s="6">
        <v>700.0</v>
      </c>
      <c r="F541" s="6">
        <v>175.0</v>
      </c>
      <c r="G541" s="5" t="s">
        <v>68</v>
      </c>
      <c r="H541" s="5" t="s">
        <v>57</v>
      </c>
      <c r="I541" s="6" t="s">
        <v>40</v>
      </c>
      <c r="J541" s="5" t="s">
        <v>8585</v>
      </c>
      <c r="K541" s="5" t="s">
        <v>8632</v>
      </c>
      <c r="L541" s="6" t="s">
        <v>42</v>
      </c>
      <c r="M541" s="5" t="s">
        <v>995</v>
      </c>
      <c r="N541" s="5" t="s">
        <v>64</v>
      </c>
      <c r="O541" s="5" t="s">
        <v>18095</v>
      </c>
      <c r="P541" s="6">
        <v>5408.0</v>
      </c>
    </row>
    <row r="542" ht="56.25" customHeight="1">
      <c r="A542" s="5" t="s">
        <v>18075</v>
      </c>
      <c r="B542" s="6" t="str">
        <f>IMAGE("https://storage.googleapis.com/acdb/headwear/CapHatSnowknit1.png")</f>
        <v/>
      </c>
      <c r="C542" s="5" t="s">
        <v>54</v>
      </c>
      <c r="D542" s="5" t="s">
        <v>36</v>
      </c>
      <c r="E542" s="6">
        <v>700.0</v>
      </c>
      <c r="F542" s="6">
        <v>175.0</v>
      </c>
      <c r="G542" s="5" t="s">
        <v>54</v>
      </c>
      <c r="H542" s="5" t="s">
        <v>57</v>
      </c>
      <c r="I542" s="6" t="s">
        <v>40</v>
      </c>
      <c r="J542" s="5" t="s">
        <v>8585</v>
      </c>
      <c r="K542" s="5" t="s">
        <v>8632</v>
      </c>
      <c r="L542" s="6" t="s">
        <v>42</v>
      </c>
      <c r="M542" s="5" t="s">
        <v>995</v>
      </c>
      <c r="N542" s="5" t="s">
        <v>64</v>
      </c>
      <c r="O542" s="5" t="s">
        <v>18098</v>
      </c>
      <c r="P542" s="6">
        <v>10950.0</v>
      </c>
    </row>
    <row r="543" ht="56.25" customHeight="1">
      <c r="A543" s="5" t="s">
        <v>18099</v>
      </c>
      <c r="B543" s="6" t="str">
        <f>IMAGE("https://storage.googleapis.com/acdb/headwear/CapHatIcecream1.png")</f>
        <v/>
      </c>
      <c r="C543" s="5" t="s">
        <v>3256</v>
      </c>
      <c r="D543" s="5" t="s">
        <v>36</v>
      </c>
      <c r="E543" s="6">
        <v>630.0</v>
      </c>
      <c r="F543" s="6">
        <v>157.0</v>
      </c>
      <c r="G543" s="5" t="s">
        <v>39</v>
      </c>
      <c r="H543" s="5" t="s">
        <v>39</v>
      </c>
      <c r="I543" s="6" t="s">
        <v>40</v>
      </c>
      <c r="J543" s="5" t="s">
        <v>8585</v>
      </c>
      <c r="K543" s="5" t="s">
        <v>8586</v>
      </c>
      <c r="L543" s="6" t="s">
        <v>42</v>
      </c>
      <c r="M543" s="5" t="s">
        <v>1959</v>
      </c>
      <c r="N543" s="5" t="s">
        <v>64</v>
      </c>
      <c r="O543" s="5" t="s">
        <v>18102</v>
      </c>
      <c r="P543" s="6">
        <v>10835.0</v>
      </c>
    </row>
    <row r="544" ht="56.25" customHeight="1">
      <c r="A544" s="5" t="s">
        <v>18099</v>
      </c>
      <c r="B544" s="6" t="str">
        <f>IMAGE("https://storage.googleapis.com/acdb/headwear/CapHatIcecream2.png")</f>
        <v/>
      </c>
      <c r="C544" s="5" t="s">
        <v>18103</v>
      </c>
      <c r="D544" s="5" t="s">
        <v>36</v>
      </c>
      <c r="E544" s="6">
        <v>630.0</v>
      </c>
      <c r="F544" s="6">
        <v>157.0</v>
      </c>
      <c r="G544" s="5" t="s">
        <v>114</v>
      </c>
      <c r="H544" s="5" t="s">
        <v>114</v>
      </c>
      <c r="I544" s="6" t="s">
        <v>40</v>
      </c>
      <c r="J544" s="5" t="s">
        <v>8585</v>
      </c>
      <c r="K544" s="5" t="s">
        <v>8586</v>
      </c>
      <c r="L544" s="6" t="s">
        <v>42</v>
      </c>
      <c r="M544" s="5" t="s">
        <v>1959</v>
      </c>
      <c r="N544" s="5" t="s">
        <v>64</v>
      </c>
      <c r="O544" s="5" t="s">
        <v>18104</v>
      </c>
      <c r="P544" s="6">
        <v>10836.0</v>
      </c>
    </row>
    <row r="545" ht="56.25" customHeight="1">
      <c r="A545" s="5" t="s">
        <v>18099</v>
      </c>
      <c r="B545" s="6" t="str">
        <f>IMAGE("https://storage.googleapis.com/acdb/headwear/CapHatIcecream3.png")</f>
        <v/>
      </c>
      <c r="C545" s="5" t="s">
        <v>449</v>
      </c>
      <c r="D545" s="5" t="s">
        <v>36</v>
      </c>
      <c r="E545" s="6">
        <v>630.0</v>
      </c>
      <c r="F545" s="6">
        <v>157.0</v>
      </c>
      <c r="G545" s="5" t="s">
        <v>69</v>
      </c>
      <c r="H545" s="5" t="s">
        <v>69</v>
      </c>
      <c r="I545" s="6" t="s">
        <v>40</v>
      </c>
      <c r="J545" s="5" t="s">
        <v>8585</v>
      </c>
      <c r="K545" s="5" t="s">
        <v>8586</v>
      </c>
      <c r="L545" s="6" t="s">
        <v>42</v>
      </c>
      <c r="M545" s="5" t="s">
        <v>1959</v>
      </c>
      <c r="N545" s="5" t="s">
        <v>64</v>
      </c>
      <c r="O545" s="5" t="s">
        <v>18107</v>
      </c>
      <c r="P545" s="6">
        <v>10837.0</v>
      </c>
    </row>
    <row r="546" ht="56.25" customHeight="1">
      <c r="A546" s="5" t="s">
        <v>18099</v>
      </c>
      <c r="B546" s="6" t="str">
        <f>IMAGE("https://storage.googleapis.com/acdb/headwear/CapHatIcecream4.png")</f>
        <v/>
      </c>
      <c r="C546" s="5" t="s">
        <v>12421</v>
      </c>
      <c r="D546" s="5" t="s">
        <v>36</v>
      </c>
      <c r="E546" s="6">
        <v>630.0</v>
      </c>
      <c r="F546" s="6">
        <v>157.0</v>
      </c>
      <c r="G546" s="5" t="s">
        <v>96</v>
      </c>
      <c r="H546" s="5" t="s">
        <v>96</v>
      </c>
      <c r="I546" s="6" t="s">
        <v>40</v>
      </c>
      <c r="J546" s="5" t="s">
        <v>8585</v>
      </c>
      <c r="K546" s="5" t="s">
        <v>8586</v>
      </c>
      <c r="L546" s="6" t="s">
        <v>42</v>
      </c>
      <c r="M546" s="5" t="s">
        <v>1959</v>
      </c>
      <c r="N546" s="5" t="s">
        <v>64</v>
      </c>
      <c r="O546" s="5" t="s">
        <v>18109</v>
      </c>
      <c r="P546" s="6">
        <v>10838.0</v>
      </c>
    </row>
    <row r="547" ht="56.25" customHeight="1">
      <c r="A547" s="5" t="s">
        <v>18099</v>
      </c>
      <c r="B547" s="6" t="str">
        <f>IMAGE("https://storage.googleapis.com/acdb/headwear/CapHatIcecream5.png")</f>
        <v/>
      </c>
      <c r="C547" s="5" t="s">
        <v>12417</v>
      </c>
      <c r="D547" s="5" t="s">
        <v>36</v>
      </c>
      <c r="E547" s="6">
        <v>630.0</v>
      </c>
      <c r="F547" s="6">
        <v>157.0</v>
      </c>
      <c r="G547" s="5" t="s">
        <v>83</v>
      </c>
      <c r="H547" s="5" t="s">
        <v>83</v>
      </c>
      <c r="I547" s="6" t="s">
        <v>40</v>
      </c>
      <c r="J547" s="5" t="s">
        <v>8585</v>
      </c>
      <c r="K547" s="5" t="s">
        <v>8586</v>
      </c>
      <c r="L547" s="6" t="s">
        <v>42</v>
      </c>
      <c r="M547" s="5" t="s">
        <v>1959</v>
      </c>
      <c r="N547" s="5" t="s">
        <v>64</v>
      </c>
      <c r="O547" s="5" t="s">
        <v>18111</v>
      </c>
      <c r="P547" s="6">
        <v>10839.0</v>
      </c>
    </row>
    <row r="548" ht="56.25" customHeight="1">
      <c r="A548" s="5" t="s">
        <v>18099</v>
      </c>
      <c r="B548" s="6" t="str">
        <f>IMAGE("https://storage.googleapis.com/acdb/headwear/CapHatIcecream0.png")</f>
        <v/>
      </c>
      <c r="C548" s="5" t="s">
        <v>12403</v>
      </c>
      <c r="D548" s="5" t="s">
        <v>36</v>
      </c>
      <c r="E548" s="6">
        <v>630.0</v>
      </c>
      <c r="F548" s="6">
        <v>157.0</v>
      </c>
      <c r="G548" s="5" t="s">
        <v>57</v>
      </c>
      <c r="H548" s="5" t="s">
        <v>57</v>
      </c>
      <c r="I548" s="6" t="s">
        <v>40</v>
      </c>
      <c r="J548" s="5" t="s">
        <v>8585</v>
      </c>
      <c r="K548" s="5" t="s">
        <v>8586</v>
      </c>
      <c r="L548" s="6" t="s">
        <v>42</v>
      </c>
      <c r="M548" s="5" t="s">
        <v>1959</v>
      </c>
      <c r="N548" s="5" t="s">
        <v>64</v>
      </c>
      <c r="O548" s="5" t="s">
        <v>18115</v>
      </c>
      <c r="P548" s="6">
        <v>6998.0</v>
      </c>
    </row>
    <row r="549" ht="56.25" customHeight="1">
      <c r="A549" s="5" t="s">
        <v>18099</v>
      </c>
      <c r="B549" s="6" t="str">
        <f>IMAGE("https://storage.googleapis.com/acdb/headwear/CapHatIcecream6.png")</f>
        <v/>
      </c>
      <c r="C549" s="5" t="s">
        <v>12408</v>
      </c>
      <c r="D549" s="5" t="s">
        <v>36</v>
      </c>
      <c r="E549" s="6">
        <v>630.0</v>
      </c>
      <c r="F549" s="6">
        <v>157.0</v>
      </c>
      <c r="G549" s="5" t="s">
        <v>106</v>
      </c>
      <c r="H549" s="5" t="s">
        <v>106</v>
      </c>
      <c r="I549" s="6" t="s">
        <v>40</v>
      </c>
      <c r="J549" s="5" t="s">
        <v>8585</v>
      </c>
      <c r="K549" s="5" t="s">
        <v>8586</v>
      </c>
      <c r="L549" s="6" t="s">
        <v>42</v>
      </c>
      <c r="M549" s="5" t="s">
        <v>1959</v>
      </c>
      <c r="N549" s="5" t="s">
        <v>64</v>
      </c>
      <c r="O549" s="5" t="s">
        <v>18116</v>
      </c>
      <c r="P549" s="6">
        <v>10840.0</v>
      </c>
    </row>
    <row r="550" ht="56.25" customHeight="1">
      <c r="A550" s="5" t="s">
        <v>18099</v>
      </c>
      <c r="B550" s="6" t="str">
        <f>IMAGE("https://storage.googleapis.com/acdb/headwear/CapHatIcecream7.png")</f>
        <v/>
      </c>
      <c r="C550" s="5" t="s">
        <v>18117</v>
      </c>
      <c r="D550" s="5" t="s">
        <v>36</v>
      </c>
      <c r="E550" s="6">
        <v>630.0</v>
      </c>
      <c r="F550" s="6">
        <v>157.0</v>
      </c>
      <c r="G550" s="5" t="s">
        <v>54</v>
      </c>
      <c r="H550" s="5" t="s">
        <v>54</v>
      </c>
      <c r="I550" s="6" t="s">
        <v>40</v>
      </c>
      <c r="J550" s="5" t="s">
        <v>8585</v>
      </c>
      <c r="K550" s="5" t="s">
        <v>8586</v>
      </c>
      <c r="L550" s="6" t="s">
        <v>42</v>
      </c>
      <c r="M550" s="5" t="s">
        <v>1959</v>
      </c>
      <c r="N550" s="5" t="s">
        <v>64</v>
      </c>
      <c r="O550" s="5" t="s">
        <v>18120</v>
      </c>
      <c r="P550" s="6">
        <v>10841.0</v>
      </c>
    </row>
    <row r="551" ht="56.25" customHeight="1">
      <c r="A551" s="5" t="s">
        <v>18121</v>
      </c>
      <c r="B551" s="6" t="str">
        <f>IMAGE("https://storage.googleapis.com/acdb/headwear/CapHatSombrero0.png")</f>
        <v/>
      </c>
      <c r="C551" s="5" t="s">
        <v>18122</v>
      </c>
      <c r="D551" s="5" t="s">
        <v>36</v>
      </c>
      <c r="E551" s="6" t="s">
        <v>37</v>
      </c>
      <c r="F551" s="6">
        <v>500.0</v>
      </c>
      <c r="G551" s="5" t="s">
        <v>38</v>
      </c>
      <c r="H551" s="5" t="s">
        <v>52</v>
      </c>
      <c r="I551" s="6" t="s">
        <v>40</v>
      </c>
      <c r="J551" s="5" t="s">
        <v>1284</v>
      </c>
      <c r="K551" s="5"/>
      <c r="L551" s="6" t="s">
        <v>42</v>
      </c>
      <c r="M551" s="5" t="s">
        <v>8746</v>
      </c>
      <c r="N551" s="5" t="s">
        <v>48</v>
      </c>
      <c r="O551" s="5" t="s">
        <v>18123</v>
      </c>
      <c r="P551" s="6">
        <v>5138.0</v>
      </c>
    </row>
    <row r="552" ht="56.25" customHeight="1">
      <c r="A552" s="5" t="s">
        <v>18121</v>
      </c>
      <c r="B552" s="6" t="str">
        <f>IMAGE("https://storage.googleapis.com/acdb/headwear/CapHatSombrero3.png")</f>
        <v/>
      </c>
      <c r="C552" s="5" t="s">
        <v>96</v>
      </c>
      <c r="D552" s="5" t="s">
        <v>36</v>
      </c>
      <c r="E552" s="6" t="s">
        <v>37</v>
      </c>
      <c r="F552" s="6">
        <v>500.0</v>
      </c>
      <c r="G552" s="5" t="s">
        <v>96</v>
      </c>
      <c r="H552" s="5" t="s">
        <v>142</v>
      </c>
      <c r="I552" s="6" t="s">
        <v>40</v>
      </c>
      <c r="J552" s="5" t="s">
        <v>1284</v>
      </c>
      <c r="K552" s="5"/>
      <c r="L552" s="6" t="s">
        <v>42</v>
      </c>
      <c r="M552" s="5" t="s">
        <v>8746</v>
      </c>
      <c r="N552" s="5" t="s">
        <v>48</v>
      </c>
      <c r="O552" s="5" t="s">
        <v>18127</v>
      </c>
      <c r="P552" s="6">
        <v>10870.0</v>
      </c>
    </row>
    <row r="553" ht="56.25" customHeight="1">
      <c r="A553" s="5" t="s">
        <v>18121</v>
      </c>
      <c r="B553" s="6" t="str">
        <f>IMAGE("https://storage.googleapis.com/acdb/headwear/CapHatSombrero4.png")</f>
        <v/>
      </c>
      <c r="C553" s="5" t="s">
        <v>57</v>
      </c>
      <c r="D553" s="5" t="s">
        <v>36</v>
      </c>
      <c r="E553" s="6" t="s">
        <v>37</v>
      </c>
      <c r="F553" s="6">
        <v>500.0</v>
      </c>
      <c r="G553" s="5" t="s">
        <v>38</v>
      </c>
      <c r="H553" s="5" t="s">
        <v>114</v>
      </c>
      <c r="I553" s="6" t="s">
        <v>40</v>
      </c>
      <c r="J553" s="5" t="s">
        <v>1284</v>
      </c>
      <c r="K553" s="5"/>
      <c r="L553" s="6" t="s">
        <v>42</v>
      </c>
      <c r="M553" s="5" t="s">
        <v>8746</v>
      </c>
      <c r="N553" s="5" t="s">
        <v>48</v>
      </c>
      <c r="O553" s="5" t="s">
        <v>18131</v>
      </c>
      <c r="P553" s="6">
        <v>10871.0</v>
      </c>
    </row>
    <row r="554" ht="56.25" customHeight="1">
      <c r="A554" s="5" t="s">
        <v>18121</v>
      </c>
      <c r="B554" s="6" t="str">
        <f>IMAGE("https://storage.googleapis.com/acdb/headwear/CapHatSombrero5.png")</f>
        <v/>
      </c>
      <c r="C554" s="5" t="s">
        <v>52</v>
      </c>
      <c r="D554" s="5" t="s">
        <v>36</v>
      </c>
      <c r="E554" s="6" t="s">
        <v>37</v>
      </c>
      <c r="F554" s="6">
        <v>500.0</v>
      </c>
      <c r="G554" s="5" t="s">
        <v>52</v>
      </c>
      <c r="H554" s="5" t="s">
        <v>114</v>
      </c>
      <c r="I554" s="6" t="s">
        <v>40</v>
      </c>
      <c r="J554" s="5" t="s">
        <v>1284</v>
      </c>
      <c r="K554" s="5"/>
      <c r="L554" s="6" t="s">
        <v>42</v>
      </c>
      <c r="M554" s="5" t="s">
        <v>8746</v>
      </c>
      <c r="N554" s="5" t="s">
        <v>48</v>
      </c>
      <c r="O554" s="5" t="s">
        <v>18133</v>
      </c>
      <c r="P554" s="6">
        <v>10872.0</v>
      </c>
    </row>
    <row r="555" ht="56.25" customHeight="1">
      <c r="A555" s="5" t="s">
        <v>18121</v>
      </c>
      <c r="B555" s="6" t="str">
        <f>IMAGE("https://storage.googleapis.com/acdb/headwear/CapHatSombrero6.png")</f>
        <v/>
      </c>
      <c r="C555" s="5" t="s">
        <v>68</v>
      </c>
      <c r="D555" s="5" t="s">
        <v>36</v>
      </c>
      <c r="E555" s="6" t="s">
        <v>37</v>
      </c>
      <c r="F555" s="6">
        <v>500.0</v>
      </c>
      <c r="G555" s="5" t="s">
        <v>68</v>
      </c>
      <c r="H555" s="5" t="s">
        <v>96</v>
      </c>
      <c r="I555" s="6" t="s">
        <v>40</v>
      </c>
      <c r="J555" s="5" t="s">
        <v>1284</v>
      </c>
      <c r="K555" s="5"/>
      <c r="L555" s="6" t="s">
        <v>42</v>
      </c>
      <c r="M555" s="5" t="s">
        <v>8746</v>
      </c>
      <c r="N555" s="5" t="s">
        <v>48</v>
      </c>
      <c r="O555" s="5" t="s">
        <v>18135</v>
      </c>
      <c r="P555" s="6">
        <v>10873.0</v>
      </c>
    </row>
    <row r="556" ht="56.25" customHeight="1">
      <c r="A556" s="5" t="s">
        <v>18121</v>
      </c>
      <c r="B556" s="6" t="str">
        <f>IMAGE("https://storage.googleapis.com/acdb/headwear/CapHatSombrero7.png")</f>
        <v/>
      </c>
      <c r="C556" s="5" t="s">
        <v>142</v>
      </c>
      <c r="D556" s="5" t="s">
        <v>36</v>
      </c>
      <c r="E556" s="6" t="s">
        <v>37</v>
      </c>
      <c r="F556" s="6">
        <v>500.0</v>
      </c>
      <c r="G556" s="5" t="s">
        <v>142</v>
      </c>
      <c r="H556" s="5" t="s">
        <v>68</v>
      </c>
      <c r="I556" s="6" t="s">
        <v>40</v>
      </c>
      <c r="J556" s="5" t="s">
        <v>1284</v>
      </c>
      <c r="K556" s="5"/>
      <c r="L556" s="6" t="s">
        <v>42</v>
      </c>
      <c r="M556" s="5" t="s">
        <v>8746</v>
      </c>
      <c r="N556" s="5" t="s">
        <v>48</v>
      </c>
      <c r="O556" s="5" t="s">
        <v>18137</v>
      </c>
      <c r="P556" s="6">
        <v>10874.0</v>
      </c>
    </row>
    <row r="557" ht="56.25" customHeight="1">
      <c r="A557" s="5" t="s">
        <v>18121</v>
      </c>
      <c r="B557" s="6" t="str">
        <f>IMAGE("https://storage.googleapis.com/acdb/headwear/CapHatSombrero1.png")</f>
        <v/>
      </c>
      <c r="C557" s="5" t="s">
        <v>18138</v>
      </c>
      <c r="D557" s="5" t="s">
        <v>36</v>
      </c>
      <c r="E557" s="6" t="s">
        <v>37</v>
      </c>
      <c r="F557" s="6">
        <v>500.0</v>
      </c>
      <c r="G557" s="5" t="s">
        <v>38</v>
      </c>
      <c r="H557" s="5" t="s">
        <v>96</v>
      </c>
      <c r="I557" s="6" t="s">
        <v>40</v>
      </c>
      <c r="J557" s="5" t="s">
        <v>1284</v>
      </c>
      <c r="K557" s="5"/>
      <c r="L557" s="6" t="s">
        <v>42</v>
      </c>
      <c r="M557" s="5" t="s">
        <v>8746</v>
      </c>
      <c r="N557" s="5" t="s">
        <v>48</v>
      </c>
      <c r="O557" s="5" t="s">
        <v>18142</v>
      </c>
      <c r="P557" s="6">
        <v>10868.0</v>
      </c>
    </row>
    <row r="558" ht="56.25" customHeight="1">
      <c r="A558" s="5" t="s">
        <v>18121</v>
      </c>
      <c r="B558" s="6" t="str">
        <f>IMAGE("https://storage.googleapis.com/acdb/headwear/CapHatSombrero2.png")</f>
        <v/>
      </c>
      <c r="C558" s="5" t="s">
        <v>1187</v>
      </c>
      <c r="D558" s="5" t="s">
        <v>36</v>
      </c>
      <c r="E558" s="6" t="s">
        <v>37</v>
      </c>
      <c r="F558" s="6">
        <v>500.0</v>
      </c>
      <c r="G558" s="5" t="s">
        <v>68</v>
      </c>
      <c r="H558" s="5" t="s">
        <v>52</v>
      </c>
      <c r="I558" s="6" t="s">
        <v>40</v>
      </c>
      <c r="J558" s="5" t="s">
        <v>1284</v>
      </c>
      <c r="K558" s="5"/>
      <c r="L558" s="6" t="s">
        <v>42</v>
      </c>
      <c r="M558" s="5" t="s">
        <v>8746</v>
      </c>
      <c r="N558" s="5" t="s">
        <v>48</v>
      </c>
      <c r="O558" s="5" t="s">
        <v>18144</v>
      </c>
      <c r="P558" s="6">
        <v>10869.0</v>
      </c>
    </row>
    <row r="559" ht="56.25" customHeight="1">
      <c r="A559" s="5" t="s">
        <v>18146</v>
      </c>
      <c r="B559" s="6" t="str">
        <f>IMAGE("https://storage.googleapis.com/acdb/headwear/CapFullfaceAstronautWhite.png")</f>
        <v/>
      </c>
      <c r="C559" s="5" t="s">
        <v>57</v>
      </c>
      <c r="D559" s="5" t="s">
        <v>36</v>
      </c>
      <c r="E559" s="6">
        <v>4300.0</v>
      </c>
      <c r="F559" s="6">
        <v>1075.0</v>
      </c>
      <c r="G559" s="5" t="s">
        <v>57</v>
      </c>
      <c r="H559" s="5" t="s">
        <v>57</v>
      </c>
      <c r="I559" s="6" t="s">
        <v>40</v>
      </c>
      <c r="J559" s="5" t="s">
        <v>8585</v>
      </c>
      <c r="K559" s="5" t="s">
        <v>8586</v>
      </c>
      <c r="L559" s="6" t="s">
        <v>42</v>
      </c>
      <c r="M559" s="5" t="s">
        <v>8746</v>
      </c>
      <c r="N559" s="5" t="s">
        <v>64</v>
      </c>
      <c r="O559" s="5" t="s">
        <v>18149</v>
      </c>
      <c r="P559" s="6">
        <v>5394.0</v>
      </c>
    </row>
    <row r="560" ht="56.25" customHeight="1">
      <c r="A560" s="5" t="s">
        <v>18150</v>
      </c>
      <c r="B560" s="6" t="str">
        <f>IMAGE("https://storage.googleapis.com/acdb/headwear/CapHatSports3.png")</f>
        <v/>
      </c>
      <c r="C560" s="5" t="s">
        <v>407</v>
      </c>
      <c r="D560" s="5" t="s">
        <v>36</v>
      </c>
      <c r="E560" s="6">
        <v>560.0</v>
      </c>
      <c r="F560" s="6">
        <v>140.0</v>
      </c>
      <c r="G560" s="5" t="s">
        <v>57</v>
      </c>
      <c r="H560" s="5" t="s">
        <v>68</v>
      </c>
      <c r="I560" s="6" t="s">
        <v>40</v>
      </c>
      <c r="J560" s="5" t="s">
        <v>8585</v>
      </c>
      <c r="K560" s="5" t="s">
        <v>8586</v>
      </c>
      <c r="L560" s="6" t="s">
        <v>42</v>
      </c>
      <c r="M560" s="5" t="s">
        <v>995</v>
      </c>
      <c r="N560" s="5" t="s">
        <v>64</v>
      </c>
      <c r="O560" s="5" t="s">
        <v>18153</v>
      </c>
      <c r="P560" s="6">
        <v>11530.0</v>
      </c>
    </row>
    <row r="561" ht="56.25" customHeight="1">
      <c r="A561" s="5" t="s">
        <v>18150</v>
      </c>
      <c r="B561" s="6" t="str">
        <f>IMAGE("https://storage.googleapis.com/acdb/headwear/CapHatSports0.png")</f>
        <v/>
      </c>
      <c r="C561" s="5" t="s">
        <v>52</v>
      </c>
      <c r="D561" s="5" t="s">
        <v>36</v>
      </c>
      <c r="E561" s="6">
        <v>560.0</v>
      </c>
      <c r="F561" s="6">
        <v>140.0</v>
      </c>
      <c r="G561" s="5" t="s">
        <v>52</v>
      </c>
      <c r="H561" s="5" t="s">
        <v>57</v>
      </c>
      <c r="I561" s="6" t="s">
        <v>40</v>
      </c>
      <c r="J561" s="5" t="s">
        <v>8585</v>
      </c>
      <c r="K561" s="5" t="s">
        <v>8586</v>
      </c>
      <c r="L561" s="6" t="s">
        <v>42</v>
      </c>
      <c r="M561" s="5" t="s">
        <v>995</v>
      </c>
      <c r="N561" s="5" t="s">
        <v>64</v>
      </c>
      <c r="O561" s="5" t="s">
        <v>18155</v>
      </c>
      <c r="P561" s="6">
        <v>5305.0</v>
      </c>
    </row>
    <row r="562" ht="56.25" customHeight="1">
      <c r="A562" s="5" t="s">
        <v>18150</v>
      </c>
      <c r="B562" s="6" t="str">
        <f>IMAGE("https://storage.googleapis.com/acdb/headwear/CapHatSports1.png")</f>
        <v/>
      </c>
      <c r="C562" s="5" t="s">
        <v>11612</v>
      </c>
      <c r="D562" s="5" t="s">
        <v>36</v>
      </c>
      <c r="E562" s="6">
        <v>560.0</v>
      </c>
      <c r="F562" s="6">
        <v>140.0</v>
      </c>
      <c r="G562" s="5" t="s">
        <v>57</v>
      </c>
      <c r="H562" s="5" t="s">
        <v>52</v>
      </c>
      <c r="I562" s="6" t="s">
        <v>40</v>
      </c>
      <c r="J562" s="5" t="s">
        <v>8585</v>
      </c>
      <c r="K562" s="5" t="s">
        <v>8586</v>
      </c>
      <c r="L562" s="6" t="s">
        <v>42</v>
      </c>
      <c r="M562" s="5" t="s">
        <v>995</v>
      </c>
      <c r="N562" s="5" t="s">
        <v>64</v>
      </c>
      <c r="O562" s="5" t="s">
        <v>18158</v>
      </c>
      <c r="P562" s="6">
        <v>11528.0</v>
      </c>
    </row>
    <row r="563" ht="56.25" customHeight="1">
      <c r="A563" s="5" t="s">
        <v>18150</v>
      </c>
      <c r="B563" s="6" t="str">
        <f>IMAGE("https://storage.googleapis.com/acdb/headwear/CapHatSports2.png")</f>
        <v/>
      </c>
      <c r="C563" s="5" t="s">
        <v>68</v>
      </c>
      <c r="D563" s="5" t="s">
        <v>36</v>
      </c>
      <c r="E563" s="6">
        <v>560.0</v>
      </c>
      <c r="F563" s="6">
        <v>140.0</v>
      </c>
      <c r="G563" s="5" t="s">
        <v>68</v>
      </c>
      <c r="H563" s="5" t="s">
        <v>57</v>
      </c>
      <c r="I563" s="6" t="s">
        <v>40</v>
      </c>
      <c r="J563" s="5" t="s">
        <v>8585</v>
      </c>
      <c r="K563" s="5" t="s">
        <v>8586</v>
      </c>
      <c r="L563" s="6" t="s">
        <v>42</v>
      </c>
      <c r="M563" s="5" t="s">
        <v>995</v>
      </c>
      <c r="N563" s="5" t="s">
        <v>64</v>
      </c>
      <c r="O563" s="5" t="s">
        <v>18160</v>
      </c>
      <c r="P563" s="6">
        <v>11529.0</v>
      </c>
    </row>
    <row r="564" ht="56.25" customHeight="1">
      <c r="A564" s="5" t="s">
        <v>18161</v>
      </c>
      <c r="B564" s="6" t="str">
        <f>IMAGE("https://storage.googleapis.com/acdb/headwear/CapFullfaceKurokoBlack.png")</f>
        <v/>
      </c>
      <c r="C564" s="5" t="s">
        <v>54</v>
      </c>
      <c r="D564" s="5" t="s">
        <v>36</v>
      </c>
      <c r="E564" s="6">
        <v>980.0</v>
      </c>
      <c r="F564" s="6">
        <v>245.0</v>
      </c>
      <c r="G564" s="5" t="s">
        <v>54</v>
      </c>
      <c r="H564" s="5" t="s">
        <v>54</v>
      </c>
      <c r="I564" s="6" t="s">
        <v>40</v>
      </c>
      <c r="J564" s="5" t="s">
        <v>8585</v>
      </c>
      <c r="K564" s="5" t="s">
        <v>8586</v>
      </c>
      <c r="L564" s="6" t="s">
        <v>42</v>
      </c>
      <c r="M564" s="5" t="s">
        <v>1952</v>
      </c>
      <c r="N564" s="5" t="s">
        <v>64</v>
      </c>
      <c r="O564" s="5" t="s">
        <v>18164</v>
      </c>
      <c r="P564" s="6">
        <v>6053.0</v>
      </c>
    </row>
    <row r="565" ht="56.25" customHeight="1">
      <c r="A565" s="5" t="s">
        <v>18165</v>
      </c>
      <c r="B565" s="6" t="str">
        <f>IMAGE("https://storage.googleapis.com/acdb/headwear/CapOrnamentLStarhairpin2.png")</f>
        <v/>
      </c>
      <c r="C565" s="5" t="s">
        <v>106</v>
      </c>
      <c r="D565" s="5" t="s">
        <v>36</v>
      </c>
      <c r="E565" s="6">
        <v>350.0</v>
      </c>
      <c r="F565" s="6">
        <v>87.0</v>
      </c>
      <c r="G565" s="5" t="s">
        <v>106</v>
      </c>
      <c r="H565" s="5" t="s">
        <v>114</v>
      </c>
      <c r="I565" s="6" t="s">
        <v>40</v>
      </c>
      <c r="J565" s="5" t="s">
        <v>8585</v>
      </c>
      <c r="K565" s="5" t="s">
        <v>8632</v>
      </c>
      <c r="L565" s="6" t="s">
        <v>42</v>
      </c>
      <c r="M565" s="5" t="s">
        <v>1959</v>
      </c>
      <c r="N565" s="5" t="s">
        <v>64</v>
      </c>
      <c r="O565" s="5" t="s">
        <v>18169</v>
      </c>
      <c r="P565" s="6">
        <v>12170.0</v>
      </c>
    </row>
    <row r="566" ht="56.25" customHeight="1">
      <c r="A566" s="5" t="s">
        <v>18165</v>
      </c>
      <c r="B566" s="6" t="str">
        <f>IMAGE("https://storage.googleapis.com/acdb/headwear/CapOrnamentLStarhairpin3.png")</f>
        <v/>
      </c>
      <c r="C566" s="5" t="s">
        <v>9021</v>
      </c>
      <c r="D566" s="5" t="s">
        <v>36</v>
      </c>
      <c r="E566" s="6">
        <v>350.0</v>
      </c>
      <c r="F566" s="6">
        <v>87.0</v>
      </c>
      <c r="G566" s="5" t="s">
        <v>96</v>
      </c>
      <c r="H566" s="5" t="s">
        <v>142</v>
      </c>
      <c r="I566" s="6" t="s">
        <v>40</v>
      </c>
      <c r="J566" s="5" t="s">
        <v>8585</v>
      </c>
      <c r="K566" s="5" t="s">
        <v>8632</v>
      </c>
      <c r="L566" s="6" t="s">
        <v>42</v>
      </c>
      <c r="M566" s="5" t="s">
        <v>1959</v>
      </c>
      <c r="N566" s="5" t="s">
        <v>64</v>
      </c>
      <c r="O566" s="5" t="s">
        <v>18171</v>
      </c>
      <c r="P566" s="6">
        <v>12171.0</v>
      </c>
    </row>
    <row r="567" ht="56.25" customHeight="1">
      <c r="A567" s="5" t="s">
        <v>18165</v>
      </c>
      <c r="B567" s="6" t="str">
        <f>IMAGE("https://storage.googleapis.com/acdb/headwear/CapOrnamentLStarhairpin4.png")</f>
        <v/>
      </c>
      <c r="C567" s="5" t="s">
        <v>54</v>
      </c>
      <c r="D567" s="5" t="s">
        <v>36</v>
      </c>
      <c r="E567" s="6">
        <v>350.0</v>
      </c>
      <c r="F567" s="6">
        <v>87.0</v>
      </c>
      <c r="G567" s="5" t="s">
        <v>54</v>
      </c>
      <c r="H567" s="5" t="s">
        <v>95</v>
      </c>
      <c r="I567" s="6" t="s">
        <v>40</v>
      </c>
      <c r="J567" s="5" t="s">
        <v>8585</v>
      </c>
      <c r="K567" s="5" t="s">
        <v>8632</v>
      </c>
      <c r="L567" s="6" t="s">
        <v>42</v>
      </c>
      <c r="M567" s="5" t="s">
        <v>1959</v>
      </c>
      <c r="N567" s="5" t="s">
        <v>64</v>
      </c>
      <c r="O567" s="5" t="s">
        <v>18174</v>
      </c>
      <c r="P567" s="6">
        <v>12172.0</v>
      </c>
    </row>
    <row r="568" ht="56.25" customHeight="1">
      <c r="A568" s="5" t="s">
        <v>18165</v>
      </c>
      <c r="B568" s="6" t="str">
        <f>IMAGE("https://storage.googleapis.com/acdb/headwear/CapOrnamentLStarhairpin1.png")</f>
        <v/>
      </c>
      <c r="C568" s="5" t="s">
        <v>69</v>
      </c>
      <c r="D568" s="5" t="s">
        <v>36</v>
      </c>
      <c r="E568" s="6">
        <v>350.0</v>
      </c>
      <c r="F568" s="6">
        <v>87.0</v>
      </c>
      <c r="G568" s="5" t="s">
        <v>69</v>
      </c>
      <c r="H568" s="5" t="s">
        <v>83</v>
      </c>
      <c r="I568" s="6" t="s">
        <v>40</v>
      </c>
      <c r="J568" s="5" t="s">
        <v>8585</v>
      </c>
      <c r="K568" s="5" t="s">
        <v>8632</v>
      </c>
      <c r="L568" s="6" t="s">
        <v>42</v>
      </c>
      <c r="M568" s="5" t="s">
        <v>1959</v>
      </c>
      <c r="N568" s="5" t="s">
        <v>64</v>
      </c>
      <c r="O568" s="5" t="s">
        <v>18176</v>
      </c>
      <c r="P568" s="6">
        <v>12169.0</v>
      </c>
    </row>
    <row r="569" ht="56.25" customHeight="1">
      <c r="A569" s="5" t="s">
        <v>18165</v>
      </c>
      <c r="B569" s="6" t="str">
        <f>IMAGE("https://storage.googleapis.com/acdb/headwear/CapOrnamentLStarhairpin0.png")</f>
        <v/>
      </c>
      <c r="C569" s="5" t="s">
        <v>114</v>
      </c>
      <c r="D569" s="5" t="s">
        <v>36</v>
      </c>
      <c r="E569" s="6">
        <v>350.0</v>
      </c>
      <c r="F569" s="6">
        <v>87.0</v>
      </c>
      <c r="G569" s="5" t="s">
        <v>114</v>
      </c>
      <c r="H569" s="5" t="s">
        <v>69</v>
      </c>
      <c r="I569" s="6" t="s">
        <v>40</v>
      </c>
      <c r="J569" s="5" t="s">
        <v>8585</v>
      </c>
      <c r="K569" s="5" t="s">
        <v>8632</v>
      </c>
      <c r="L569" s="6" t="s">
        <v>42</v>
      </c>
      <c r="M569" s="5" t="s">
        <v>1959</v>
      </c>
      <c r="N569" s="5" t="s">
        <v>64</v>
      </c>
      <c r="O569" s="5" t="s">
        <v>18179</v>
      </c>
      <c r="P569" s="6">
        <v>9856.0</v>
      </c>
    </row>
    <row r="570" ht="56.25" customHeight="1">
      <c r="A570" s="5" t="s">
        <v>18180</v>
      </c>
      <c r="B570" s="6" t="str">
        <f>IMAGE("https://storage.googleapis.com/acdb/headwear/CapCostumeStar0.png")</f>
        <v/>
      </c>
      <c r="C570" s="5" t="s">
        <v>114</v>
      </c>
      <c r="D570" s="5" t="s">
        <v>35</v>
      </c>
      <c r="E570" s="6" t="s">
        <v>37</v>
      </c>
      <c r="F570" s="6">
        <v>2500.0</v>
      </c>
      <c r="G570" s="5" t="s">
        <v>114</v>
      </c>
      <c r="H570" s="5" t="s">
        <v>114</v>
      </c>
      <c r="I570" s="6" t="s">
        <v>40</v>
      </c>
      <c r="J570" s="5" t="s">
        <v>41</v>
      </c>
      <c r="K570" s="5"/>
      <c r="L570" s="6" t="s">
        <v>42</v>
      </c>
      <c r="M570" s="5" t="s">
        <v>1959</v>
      </c>
      <c r="N570" s="5" t="s">
        <v>48</v>
      </c>
      <c r="O570" s="5" t="s">
        <v>18182</v>
      </c>
      <c r="P570" s="6">
        <v>9862.0</v>
      </c>
    </row>
    <row r="571" ht="56.25" customHeight="1">
      <c r="A571" s="5" t="s">
        <v>18183</v>
      </c>
      <c r="B571" s="6" t="str">
        <f>IMAGE("https://storage.googleapis.com/acdb/headwear/CapHatEggrock0.png")</f>
        <v/>
      </c>
      <c r="C571" s="5" t="s">
        <v>44</v>
      </c>
      <c r="D571" s="5" t="s">
        <v>35</v>
      </c>
      <c r="E571" s="6" t="s">
        <v>37</v>
      </c>
      <c r="F571" s="6">
        <v>800.0</v>
      </c>
      <c r="G571" s="5" t="s">
        <v>114</v>
      </c>
      <c r="H571" s="5" t="s">
        <v>142</v>
      </c>
      <c r="I571" s="6" t="s">
        <v>40</v>
      </c>
      <c r="J571" s="5" t="s">
        <v>41</v>
      </c>
      <c r="K571" s="5" t="s">
        <v>16881</v>
      </c>
      <c r="L571" s="6" t="s">
        <v>1410</v>
      </c>
      <c r="M571" s="5" t="s">
        <v>8746</v>
      </c>
      <c r="N571" s="5" t="s">
        <v>48</v>
      </c>
      <c r="O571" s="5" t="s">
        <v>18186</v>
      </c>
      <c r="P571" s="6">
        <v>12440.0</v>
      </c>
    </row>
    <row r="572" ht="56.25" customHeight="1">
      <c r="A572" s="5" t="s">
        <v>18187</v>
      </c>
      <c r="B572" s="6" t="str">
        <f>IMAGE("https://storage.googleapis.com/acdb/headwear/CapHatKankanbo1.png")</f>
        <v/>
      </c>
      <c r="C572" s="5" t="s">
        <v>38</v>
      </c>
      <c r="D572" s="5" t="s">
        <v>36</v>
      </c>
      <c r="E572" s="6">
        <v>700.0</v>
      </c>
      <c r="F572" s="6">
        <v>175.0</v>
      </c>
      <c r="G572" s="5" t="s">
        <v>38</v>
      </c>
      <c r="H572" s="5" t="s">
        <v>52</v>
      </c>
      <c r="I572" s="6" t="s">
        <v>40</v>
      </c>
      <c r="J572" s="5" t="s">
        <v>8585</v>
      </c>
      <c r="K572" s="5" t="s">
        <v>8632</v>
      </c>
      <c r="L572" s="6" t="s">
        <v>42</v>
      </c>
      <c r="M572" s="5" t="s">
        <v>995</v>
      </c>
      <c r="N572" s="5" t="s">
        <v>64</v>
      </c>
      <c r="O572" s="5" t="s">
        <v>18192</v>
      </c>
      <c r="P572" s="6">
        <v>10875.0</v>
      </c>
    </row>
    <row r="573" ht="56.25" customHeight="1">
      <c r="A573" s="5" t="s">
        <v>18187</v>
      </c>
      <c r="B573" s="6" t="str">
        <f>IMAGE("https://storage.googleapis.com/acdb/headwear/CapHatKankanbo2.png")</f>
        <v/>
      </c>
      <c r="C573" s="5" t="s">
        <v>935</v>
      </c>
      <c r="D573" s="5" t="s">
        <v>36</v>
      </c>
      <c r="E573" s="6">
        <v>700.0</v>
      </c>
      <c r="F573" s="6">
        <v>175.0</v>
      </c>
      <c r="G573" s="5" t="s">
        <v>38</v>
      </c>
      <c r="H573" s="5" t="s">
        <v>96</v>
      </c>
      <c r="I573" s="6" t="s">
        <v>40</v>
      </c>
      <c r="J573" s="5" t="s">
        <v>8585</v>
      </c>
      <c r="K573" s="5" t="s">
        <v>8632</v>
      </c>
      <c r="L573" s="6" t="s">
        <v>42</v>
      </c>
      <c r="M573" s="5" t="s">
        <v>995</v>
      </c>
      <c r="N573" s="5" t="s">
        <v>64</v>
      </c>
      <c r="O573" s="5" t="s">
        <v>18194</v>
      </c>
      <c r="P573" s="6">
        <v>10876.0</v>
      </c>
    </row>
    <row r="574" ht="56.25" customHeight="1">
      <c r="A574" s="5" t="s">
        <v>18187</v>
      </c>
      <c r="B574" s="6" t="str">
        <f>IMAGE("https://storage.googleapis.com/acdb/headwear/CapHatKankanbo3.png")</f>
        <v/>
      </c>
      <c r="C574" s="5" t="s">
        <v>39</v>
      </c>
      <c r="D574" s="5" t="s">
        <v>36</v>
      </c>
      <c r="E574" s="6">
        <v>700.0</v>
      </c>
      <c r="F574" s="6">
        <v>175.0</v>
      </c>
      <c r="G574" s="5" t="s">
        <v>142</v>
      </c>
      <c r="H574" s="5" t="s">
        <v>57</v>
      </c>
      <c r="I574" s="6" t="s">
        <v>40</v>
      </c>
      <c r="J574" s="5" t="s">
        <v>8585</v>
      </c>
      <c r="K574" s="5" t="s">
        <v>8632</v>
      </c>
      <c r="L574" s="6" t="s">
        <v>42</v>
      </c>
      <c r="M574" s="5" t="s">
        <v>995</v>
      </c>
      <c r="N574" s="5" t="s">
        <v>64</v>
      </c>
      <c r="O574" s="5" t="s">
        <v>18197</v>
      </c>
      <c r="P574" s="6">
        <v>10877.0</v>
      </c>
    </row>
    <row r="575" ht="56.25" customHeight="1">
      <c r="A575" s="5" t="s">
        <v>18187</v>
      </c>
      <c r="B575" s="6" t="str">
        <f>IMAGE("https://storage.googleapis.com/acdb/headwear/CapHatKankanbo4.png")</f>
        <v/>
      </c>
      <c r="C575" s="5" t="s">
        <v>387</v>
      </c>
      <c r="D575" s="5" t="s">
        <v>36</v>
      </c>
      <c r="E575" s="6">
        <v>700.0</v>
      </c>
      <c r="F575" s="6">
        <v>175.0</v>
      </c>
      <c r="G575" s="5" t="s">
        <v>39</v>
      </c>
      <c r="H575" s="5" t="s">
        <v>54</v>
      </c>
      <c r="I575" s="6" t="s">
        <v>40</v>
      </c>
      <c r="J575" s="5" t="s">
        <v>8585</v>
      </c>
      <c r="K575" s="5" t="s">
        <v>8632</v>
      </c>
      <c r="L575" s="6" t="s">
        <v>42</v>
      </c>
      <c r="M575" s="5" t="s">
        <v>995</v>
      </c>
      <c r="N575" s="5" t="s">
        <v>64</v>
      </c>
      <c r="O575" s="5" t="s">
        <v>18200</v>
      </c>
      <c r="P575" s="6">
        <v>10878.0</v>
      </c>
    </row>
    <row r="576" ht="56.25" customHeight="1">
      <c r="A576" s="5" t="s">
        <v>18187</v>
      </c>
      <c r="B576" s="6" t="str">
        <f>IMAGE("https://storage.googleapis.com/acdb/headwear/CapHatKankanbo5.png")</f>
        <v/>
      </c>
      <c r="C576" s="5" t="s">
        <v>843</v>
      </c>
      <c r="D576" s="5" t="s">
        <v>36</v>
      </c>
      <c r="E576" s="6">
        <v>700.0</v>
      </c>
      <c r="F576" s="6">
        <v>175.0</v>
      </c>
      <c r="G576" s="5" t="s">
        <v>57</v>
      </c>
      <c r="H576" s="5" t="s">
        <v>54</v>
      </c>
      <c r="I576" s="6" t="s">
        <v>40</v>
      </c>
      <c r="J576" s="5" t="s">
        <v>8585</v>
      </c>
      <c r="K576" s="5" t="s">
        <v>8632</v>
      </c>
      <c r="L576" s="6" t="s">
        <v>42</v>
      </c>
      <c r="M576" s="5" t="s">
        <v>995</v>
      </c>
      <c r="N576" s="5" t="s">
        <v>64</v>
      </c>
      <c r="O576" s="5" t="s">
        <v>18202</v>
      </c>
      <c r="P576" s="6">
        <v>10879.0</v>
      </c>
    </row>
    <row r="577" ht="56.25" customHeight="1">
      <c r="A577" s="5" t="s">
        <v>18187</v>
      </c>
      <c r="B577" s="6" t="str">
        <f>IMAGE("https://storage.googleapis.com/acdb/headwear/CapHatKankanbo0.png")</f>
        <v/>
      </c>
      <c r="C577" s="5" t="s">
        <v>307</v>
      </c>
      <c r="D577" s="5" t="s">
        <v>36</v>
      </c>
      <c r="E577" s="6">
        <v>700.0</v>
      </c>
      <c r="F577" s="6">
        <v>175.0</v>
      </c>
      <c r="G577" s="5" t="s">
        <v>38</v>
      </c>
      <c r="H577" s="5" t="s">
        <v>68</v>
      </c>
      <c r="I577" s="6" t="s">
        <v>40</v>
      </c>
      <c r="J577" s="5" t="s">
        <v>8585</v>
      </c>
      <c r="K577" s="5" t="s">
        <v>8632</v>
      </c>
      <c r="L577" s="6" t="s">
        <v>42</v>
      </c>
      <c r="M577" s="5" t="s">
        <v>995</v>
      </c>
      <c r="N577" s="5" t="s">
        <v>64</v>
      </c>
      <c r="O577" s="5" t="s">
        <v>18205</v>
      </c>
      <c r="P577" s="6">
        <v>5259.0</v>
      </c>
    </row>
    <row r="578" ht="56.25" customHeight="1">
      <c r="A578" s="5" t="s">
        <v>18187</v>
      </c>
      <c r="B578" s="6" t="str">
        <f>IMAGE("https://storage.googleapis.com/acdb/headwear/CapHatKankanbo6.png")</f>
        <v/>
      </c>
      <c r="C578" s="5" t="s">
        <v>83</v>
      </c>
      <c r="D578" s="5" t="s">
        <v>36</v>
      </c>
      <c r="E578" s="6">
        <v>700.0</v>
      </c>
      <c r="F578" s="6">
        <v>175.0</v>
      </c>
      <c r="G578" s="5" t="s">
        <v>83</v>
      </c>
      <c r="H578" s="5" t="s">
        <v>57</v>
      </c>
      <c r="I578" s="6" t="s">
        <v>40</v>
      </c>
      <c r="J578" s="5" t="s">
        <v>8585</v>
      </c>
      <c r="K578" s="5" t="s">
        <v>8632</v>
      </c>
      <c r="L578" s="6" t="s">
        <v>42</v>
      </c>
      <c r="M578" s="5" t="s">
        <v>995</v>
      </c>
      <c r="N578" s="5" t="s">
        <v>64</v>
      </c>
      <c r="O578" s="5" t="s">
        <v>18208</v>
      </c>
      <c r="P578" s="6">
        <v>10880.0</v>
      </c>
    </row>
    <row r="579" ht="56.25" customHeight="1">
      <c r="A579" s="5" t="s">
        <v>18187</v>
      </c>
      <c r="B579" s="6" t="str">
        <f>IMAGE("https://storage.googleapis.com/acdb/headwear/CapHatKankanbo7.png")</f>
        <v/>
      </c>
      <c r="C579" s="5" t="s">
        <v>69</v>
      </c>
      <c r="D579" s="5" t="s">
        <v>36</v>
      </c>
      <c r="E579" s="6">
        <v>700.0</v>
      </c>
      <c r="F579" s="6">
        <v>175.0</v>
      </c>
      <c r="G579" s="5" t="s">
        <v>69</v>
      </c>
      <c r="H579" s="5" t="s">
        <v>57</v>
      </c>
      <c r="I579" s="6" t="s">
        <v>40</v>
      </c>
      <c r="J579" s="5" t="s">
        <v>8585</v>
      </c>
      <c r="K579" s="5" t="s">
        <v>8632</v>
      </c>
      <c r="L579" s="6" t="s">
        <v>42</v>
      </c>
      <c r="M579" s="5" t="s">
        <v>995</v>
      </c>
      <c r="N579" s="5" t="s">
        <v>64</v>
      </c>
      <c r="O579" s="5" t="s">
        <v>18212</v>
      </c>
      <c r="P579" s="6">
        <v>10881.0</v>
      </c>
    </row>
    <row r="580" ht="56.25" customHeight="1">
      <c r="A580" s="5" t="s">
        <v>18213</v>
      </c>
      <c r="B580" s="6" t="str">
        <f>IMAGE("https://storage.googleapis.com/acdb/headwear/CapHatStrawhat1.png")</f>
        <v/>
      </c>
      <c r="C580" s="5" t="s">
        <v>68</v>
      </c>
      <c r="D580" s="5" t="s">
        <v>36</v>
      </c>
      <c r="E580" s="6">
        <v>490.0</v>
      </c>
      <c r="F580" s="6">
        <v>122.0</v>
      </c>
      <c r="G580" s="5" t="s">
        <v>38</v>
      </c>
      <c r="H580" s="5" t="s">
        <v>68</v>
      </c>
      <c r="I580" s="6" t="s">
        <v>40</v>
      </c>
      <c r="J580" s="5" t="s">
        <v>8585</v>
      </c>
      <c r="K580" s="5" t="s">
        <v>8632</v>
      </c>
      <c r="L580" s="6" t="s">
        <v>42</v>
      </c>
      <c r="M580" s="5" t="s">
        <v>995</v>
      </c>
      <c r="N580" s="5" t="s">
        <v>64</v>
      </c>
      <c r="O580" s="5" t="s">
        <v>18217</v>
      </c>
      <c r="P580" s="6">
        <v>10892.0</v>
      </c>
    </row>
    <row r="581" ht="56.25" customHeight="1">
      <c r="A581" s="5" t="s">
        <v>18213</v>
      </c>
      <c r="B581" s="6" t="str">
        <f>IMAGE("https://storage.googleapis.com/acdb/headwear/CapHatStrawhat2.png")</f>
        <v/>
      </c>
      <c r="C581" s="5" t="s">
        <v>52</v>
      </c>
      <c r="D581" s="5" t="s">
        <v>36</v>
      </c>
      <c r="E581" s="6">
        <v>490.0</v>
      </c>
      <c r="F581" s="6">
        <v>122.0</v>
      </c>
      <c r="G581" s="5" t="s">
        <v>38</v>
      </c>
      <c r="H581" s="5" t="s">
        <v>52</v>
      </c>
      <c r="I581" s="6" t="s">
        <v>40</v>
      </c>
      <c r="J581" s="5" t="s">
        <v>8585</v>
      </c>
      <c r="K581" s="5" t="s">
        <v>8632</v>
      </c>
      <c r="L581" s="6" t="s">
        <v>42</v>
      </c>
      <c r="M581" s="5" t="s">
        <v>995</v>
      </c>
      <c r="N581" s="5" t="s">
        <v>64</v>
      </c>
      <c r="O581" s="5" t="s">
        <v>18220</v>
      </c>
      <c r="P581" s="6">
        <v>10893.0</v>
      </c>
    </row>
    <row r="582" ht="56.25" customHeight="1">
      <c r="A582" s="5" t="s">
        <v>18213</v>
      </c>
      <c r="B582" s="6" t="str">
        <f>IMAGE("https://storage.googleapis.com/acdb/headwear/CapHatStrawhat0.png")</f>
        <v/>
      </c>
      <c r="C582" s="5" t="s">
        <v>39</v>
      </c>
      <c r="D582" s="5" t="s">
        <v>36</v>
      </c>
      <c r="E582" s="6">
        <v>490.0</v>
      </c>
      <c r="F582" s="6">
        <v>122.0</v>
      </c>
      <c r="G582" s="5" t="s">
        <v>38</v>
      </c>
      <c r="H582" s="5" t="s">
        <v>39</v>
      </c>
      <c r="I582" s="6" t="s">
        <v>40</v>
      </c>
      <c r="J582" s="5" t="s">
        <v>8585</v>
      </c>
      <c r="K582" s="5" t="s">
        <v>8632</v>
      </c>
      <c r="L582" s="6" t="s">
        <v>42</v>
      </c>
      <c r="M582" s="5" t="s">
        <v>995</v>
      </c>
      <c r="N582" s="5" t="s">
        <v>64</v>
      </c>
      <c r="O582" s="5" t="s">
        <v>18222</v>
      </c>
      <c r="P582" s="6">
        <v>5398.0</v>
      </c>
    </row>
    <row r="583" ht="56.25" customHeight="1">
      <c r="A583" s="5" t="s">
        <v>18223</v>
      </c>
      <c r="B583" s="6" t="str">
        <f>IMAGE("https://storage.googleapis.com/acdb/headwear/CapHatSandogasa0.png")</f>
        <v/>
      </c>
      <c r="C583" s="5" t="s">
        <v>39</v>
      </c>
      <c r="D583" s="5" t="s">
        <v>35</v>
      </c>
      <c r="E583" s="6" t="s">
        <v>37</v>
      </c>
      <c r="F583" s="6">
        <v>200.0</v>
      </c>
      <c r="G583" s="5" t="s">
        <v>38</v>
      </c>
      <c r="H583" s="5" t="s">
        <v>38</v>
      </c>
      <c r="I583" s="6" t="s">
        <v>40</v>
      </c>
      <c r="J583" s="5" t="s">
        <v>41</v>
      </c>
      <c r="K583" s="5"/>
      <c r="L583" s="6" t="s">
        <v>42</v>
      </c>
      <c r="M583" s="5" t="s">
        <v>1952</v>
      </c>
      <c r="N583" s="5" t="s">
        <v>48</v>
      </c>
      <c r="O583" s="5" t="s">
        <v>18226</v>
      </c>
      <c r="P583" s="6">
        <v>7254.0</v>
      </c>
    </row>
    <row r="584" ht="56.25" customHeight="1">
      <c r="A584" s="5" t="s">
        <v>18228</v>
      </c>
      <c r="B584" s="6" t="str">
        <f>IMAGE("https://storage.googleapis.com/acdb/headwear/CapHatStrawberry.png")</f>
        <v/>
      </c>
      <c r="C584" s="5" t="s">
        <v>52</v>
      </c>
      <c r="D584" s="5" t="s">
        <v>36</v>
      </c>
      <c r="E584" s="6">
        <v>700.0</v>
      </c>
      <c r="F584" s="6">
        <v>175.0</v>
      </c>
      <c r="G584" s="5" t="s">
        <v>69</v>
      </c>
      <c r="H584" s="5" t="s">
        <v>96</v>
      </c>
      <c r="I584" s="6" t="s">
        <v>40</v>
      </c>
      <c r="J584" s="5" t="s">
        <v>8585</v>
      </c>
      <c r="K584" s="5" t="s">
        <v>8632</v>
      </c>
      <c r="L584" s="6" t="s">
        <v>42</v>
      </c>
      <c r="M584" s="5" t="s">
        <v>1959</v>
      </c>
      <c r="N584" s="5" t="s">
        <v>64</v>
      </c>
      <c r="O584" s="5" t="s">
        <v>18230</v>
      </c>
      <c r="P584" s="6">
        <v>5277.0</v>
      </c>
    </row>
    <row r="585" ht="56.25" customHeight="1">
      <c r="A585" s="5" t="s">
        <v>18231</v>
      </c>
      <c r="B585" s="6" t="str">
        <f>IMAGE("https://storage.googleapis.com/acdb/headwear/CapHatStudent1.png")</f>
        <v/>
      </c>
      <c r="C585" s="5" t="s">
        <v>4883</v>
      </c>
      <c r="D585" s="5" t="s">
        <v>36</v>
      </c>
      <c r="E585" s="6">
        <v>1040.0</v>
      </c>
      <c r="F585" s="6">
        <v>260.0</v>
      </c>
      <c r="G585" s="5" t="s">
        <v>52</v>
      </c>
      <c r="H585" s="5" t="s">
        <v>52</v>
      </c>
      <c r="I585" s="6" t="s">
        <v>40</v>
      </c>
      <c r="J585" s="5" t="s">
        <v>8585</v>
      </c>
      <c r="K585" s="5" t="s">
        <v>8586</v>
      </c>
      <c r="L585" s="6" t="s">
        <v>42</v>
      </c>
      <c r="M585" s="5" t="s">
        <v>995</v>
      </c>
      <c r="N585" s="5" t="s">
        <v>64</v>
      </c>
      <c r="O585" s="5" t="s">
        <v>18235</v>
      </c>
      <c r="P585" s="6">
        <v>11821.0</v>
      </c>
    </row>
    <row r="586" ht="56.25" customHeight="1">
      <c r="A586" s="5" t="s">
        <v>18231</v>
      </c>
      <c r="B586" s="6" t="str">
        <f>IMAGE("https://storage.googleapis.com/acdb/headwear/CapHatStudent2.png")</f>
        <v/>
      </c>
      <c r="C586" s="5" t="s">
        <v>96</v>
      </c>
      <c r="D586" s="5" t="s">
        <v>36</v>
      </c>
      <c r="E586" s="6">
        <v>1040.0</v>
      </c>
      <c r="F586" s="6">
        <v>260.0</v>
      </c>
      <c r="G586" s="5" t="s">
        <v>96</v>
      </c>
      <c r="H586" s="5" t="s">
        <v>96</v>
      </c>
      <c r="I586" s="6" t="s">
        <v>40</v>
      </c>
      <c r="J586" s="5" t="s">
        <v>8585</v>
      </c>
      <c r="K586" s="5" t="s">
        <v>8586</v>
      </c>
      <c r="L586" s="6" t="s">
        <v>42</v>
      </c>
      <c r="M586" s="5" t="s">
        <v>995</v>
      </c>
      <c r="N586" s="5" t="s">
        <v>64</v>
      </c>
      <c r="O586" s="5" t="s">
        <v>18240</v>
      </c>
      <c r="P586" s="6">
        <v>11822.0</v>
      </c>
    </row>
    <row r="587" ht="56.25" customHeight="1">
      <c r="A587" s="5" t="s">
        <v>18231</v>
      </c>
      <c r="B587" s="6" t="str">
        <f>IMAGE("https://storage.googleapis.com/acdb/headwear/CapHatStudent0.png")</f>
        <v/>
      </c>
      <c r="C587" s="5" t="s">
        <v>54</v>
      </c>
      <c r="D587" s="5" t="s">
        <v>36</v>
      </c>
      <c r="E587" s="6">
        <v>1040.0</v>
      </c>
      <c r="F587" s="6">
        <v>260.0</v>
      </c>
      <c r="G587" s="5" t="s">
        <v>54</v>
      </c>
      <c r="H587" s="5" t="s">
        <v>54</v>
      </c>
      <c r="I587" s="6" t="s">
        <v>40</v>
      </c>
      <c r="J587" s="5" t="s">
        <v>8585</v>
      </c>
      <c r="K587" s="5" t="s">
        <v>8586</v>
      </c>
      <c r="L587" s="6" t="s">
        <v>42</v>
      </c>
      <c r="M587" s="5" t="s">
        <v>995</v>
      </c>
      <c r="N587" s="5" t="s">
        <v>64</v>
      </c>
      <c r="O587" s="5" t="s">
        <v>18245</v>
      </c>
      <c r="P587" s="6">
        <v>8613.0</v>
      </c>
    </row>
    <row r="588" ht="56.25" customHeight="1">
      <c r="A588" s="5" t="s">
        <v>18231</v>
      </c>
      <c r="B588" s="6" t="str">
        <f>IMAGE("https://storage.googleapis.com/acdb/headwear/CapHatStudent3.png")</f>
        <v/>
      </c>
      <c r="C588" s="5" t="s">
        <v>57</v>
      </c>
      <c r="D588" s="5" t="s">
        <v>36</v>
      </c>
      <c r="E588" s="6">
        <v>1040.0</v>
      </c>
      <c r="F588" s="6">
        <v>260.0</v>
      </c>
      <c r="G588" s="5" t="s">
        <v>57</v>
      </c>
      <c r="H588" s="5" t="s">
        <v>57</v>
      </c>
      <c r="I588" s="6" t="s">
        <v>40</v>
      </c>
      <c r="J588" s="5" t="s">
        <v>8585</v>
      </c>
      <c r="K588" s="5" t="s">
        <v>8586</v>
      </c>
      <c r="L588" s="6" t="s">
        <v>42</v>
      </c>
      <c r="M588" s="5" t="s">
        <v>995</v>
      </c>
      <c r="N588" s="5" t="s">
        <v>64</v>
      </c>
      <c r="O588" s="5" t="s">
        <v>18251</v>
      </c>
      <c r="P588" s="6">
        <v>11823.0</v>
      </c>
    </row>
    <row r="589" ht="56.25" customHeight="1">
      <c r="A589" s="5" t="s">
        <v>18231</v>
      </c>
      <c r="B589" s="6" t="str">
        <f>IMAGE("https://storage.googleapis.com/acdb/headwear/CapHatStudent4.png")</f>
        <v/>
      </c>
      <c r="C589" s="5" t="s">
        <v>106</v>
      </c>
      <c r="D589" s="5" t="s">
        <v>36</v>
      </c>
      <c r="E589" s="6">
        <v>1040.0</v>
      </c>
      <c r="F589" s="6">
        <v>260.0</v>
      </c>
      <c r="G589" s="5" t="s">
        <v>106</v>
      </c>
      <c r="H589" s="5" t="s">
        <v>106</v>
      </c>
      <c r="I589" s="6" t="s">
        <v>40</v>
      </c>
      <c r="J589" s="5" t="s">
        <v>8585</v>
      </c>
      <c r="K589" s="5" t="s">
        <v>8586</v>
      </c>
      <c r="L589" s="6" t="s">
        <v>42</v>
      </c>
      <c r="M589" s="5" t="s">
        <v>995</v>
      </c>
      <c r="N589" s="5" t="s">
        <v>64</v>
      </c>
      <c r="O589" s="5" t="s">
        <v>18256</v>
      </c>
      <c r="P589" s="6">
        <v>11824.0</v>
      </c>
    </row>
    <row r="590" ht="56.25" customHeight="1">
      <c r="A590" s="5" t="s">
        <v>18231</v>
      </c>
      <c r="B590" s="6" t="str">
        <f>IMAGE("https://storage.googleapis.com/acdb/headwear/CapHatStudent5.png")</f>
        <v/>
      </c>
      <c r="C590" s="5" t="s">
        <v>95</v>
      </c>
      <c r="D590" s="5" t="s">
        <v>36</v>
      </c>
      <c r="E590" s="6">
        <v>1040.0</v>
      </c>
      <c r="F590" s="6">
        <v>260.0</v>
      </c>
      <c r="G590" s="5" t="s">
        <v>95</v>
      </c>
      <c r="H590" s="5" t="s">
        <v>95</v>
      </c>
      <c r="I590" s="6" t="s">
        <v>40</v>
      </c>
      <c r="J590" s="5" t="s">
        <v>8585</v>
      </c>
      <c r="K590" s="5" t="s">
        <v>8586</v>
      </c>
      <c r="L590" s="6" t="s">
        <v>42</v>
      </c>
      <c r="M590" s="5" t="s">
        <v>995</v>
      </c>
      <c r="N590" s="5" t="s">
        <v>64</v>
      </c>
      <c r="O590" s="5" t="s">
        <v>18258</v>
      </c>
      <c r="P590" s="6">
        <v>11825.0</v>
      </c>
    </row>
    <row r="591" ht="56.25" customHeight="1">
      <c r="A591" s="5" t="s">
        <v>18231</v>
      </c>
      <c r="B591" s="6" t="str">
        <f>IMAGE("https://storage.googleapis.com/acdb/headwear/CapHatStudent6.png")</f>
        <v/>
      </c>
      <c r="C591" s="5" t="s">
        <v>68</v>
      </c>
      <c r="D591" s="5" t="s">
        <v>36</v>
      </c>
      <c r="E591" s="6">
        <v>1040.0</v>
      </c>
      <c r="F591" s="6">
        <v>260.0</v>
      </c>
      <c r="G591" s="5" t="s">
        <v>68</v>
      </c>
      <c r="H591" s="5" t="s">
        <v>68</v>
      </c>
      <c r="I591" s="6" t="s">
        <v>40</v>
      </c>
      <c r="J591" s="5" t="s">
        <v>8585</v>
      </c>
      <c r="K591" s="5" t="s">
        <v>8586</v>
      </c>
      <c r="L591" s="6" t="s">
        <v>42</v>
      </c>
      <c r="M591" s="5" t="s">
        <v>995</v>
      </c>
      <c r="N591" s="5" t="s">
        <v>64</v>
      </c>
      <c r="O591" s="5" t="s">
        <v>18262</v>
      </c>
      <c r="P591" s="6">
        <v>11826.0</v>
      </c>
    </row>
    <row r="592" ht="56.25" customHeight="1">
      <c r="A592" s="5" t="s">
        <v>18264</v>
      </c>
      <c r="B592" s="6" t="str">
        <f>IMAGE("https://storage.googleapis.com/acdb/headwear/CapHatItamae1.png")</f>
        <v/>
      </c>
      <c r="C592" s="5" t="s">
        <v>2431</v>
      </c>
      <c r="D592" s="5" t="s">
        <v>36</v>
      </c>
      <c r="E592" s="6">
        <v>880.0</v>
      </c>
      <c r="F592" s="6">
        <v>220.0</v>
      </c>
      <c r="G592" s="5" t="s">
        <v>68</v>
      </c>
      <c r="H592" s="5" t="s">
        <v>68</v>
      </c>
      <c r="I592" s="6" t="s">
        <v>40</v>
      </c>
      <c r="J592" s="5" t="s">
        <v>8585</v>
      </c>
      <c r="K592" s="5" t="s">
        <v>8586</v>
      </c>
      <c r="L592" s="6" t="s">
        <v>42</v>
      </c>
      <c r="M592" s="5" t="s">
        <v>995</v>
      </c>
      <c r="N592" s="5" t="s">
        <v>64</v>
      </c>
      <c r="O592" s="5" t="s">
        <v>18267</v>
      </c>
      <c r="P592" s="6">
        <v>11814.0</v>
      </c>
    </row>
    <row r="593" ht="56.25" customHeight="1">
      <c r="A593" s="5" t="s">
        <v>18264</v>
      </c>
      <c r="B593" s="6" t="str">
        <f>IMAGE("https://storage.googleapis.com/acdb/headwear/CapHatItamae0.png")</f>
        <v/>
      </c>
      <c r="C593" s="5" t="s">
        <v>57</v>
      </c>
      <c r="D593" s="5" t="s">
        <v>36</v>
      </c>
      <c r="E593" s="6">
        <v>880.0</v>
      </c>
      <c r="F593" s="6">
        <v>220.0</v>
      </c>
      <c r="G593" s="5" t="s">
        <v>57</v>
      </c>
      <c r="H593" s="5" t="s">
        <v>57</v>
      </c>
      <c r="I593" s="6" t="s">
        <v>40</v>
      </c>
      <c r="J593" s="5" t="s">
        <v>8585</v>
      </c>
      <c r="K593" s="5" t="s">
        <v>8586</v>
      </c>
      <c r="L593" s="6" t="s">
        <v>42</v>
      </c>
      <c r="M593" s="5" t="s">
        <v>995</v>
      </c>
      <c r="N593" s="5" t="s">
        <v>64</v>
      </c>
      <c r="O593" s="5" t="s">
        <v>18271</v>
      </c>
      <c r="P593" s="6">
        <v>5281.0</v>
      </c>
    </row>
    <row r="594" ht="56.25" customHeight="1">
      <c r="A594" s="5" t="s">
        <v>18272</v>
      </c>
      <c r="B594" s="6" t="str">
        <f>IMAGE("https://storage.googleapis.com/acdb/headwear/CapHatSwim1.png")</f>
        <v/>
      </c>
      <c r="C594" s="5" t="s">
        <v>83</v>
      </c>
      <c r="D594" s="5" t="s">
        <v>36</v>
      </c>
      <c r="E594" s="6">
        <v>560.0</v>
      </c>
      <c r="F594" s="6">
        <v>140.0</v>
      </c>
      <c r="G594" s="5" t="s">
        <v>83</v>
      </c>
      <c r="H594" s="5" t="s">
        <v>83</v>
      </c>
      <c r="I594" s="6" t="s">
        <v>40</v>
      </c>
      <c r="J594" s="5" t="s">
        <v>8585</v>
      </c>
      <c r="K594" s="5" t="s">
        <v>8632</v>
      </c>
      <c r="L594" s="6" t="s">
        <v>42</v>
      </c>
      <c r="M594" s="5" t="s">
        <v>8746</v>
      </c>
      <c r="N594" s="5" t="s">
        <v>64</v>
      </c>
      <c r="O594" s="5" t="s">
        <v>18276</v>
      </c>
      <c r="P594" s="6">
        <v>10753.0</v>
      </c>
    </row>
    <row r="595" ht="56.25" customHeight="1">
      <c r="A595" s="5" t="s">
        <v>18272</v>
      </c>
      <c r="B595" s="6" t="str">
        <f>IMAGE("https://storage.googleapis.com/acdb/headwear/CapHatSwim2.png")</f>
        <v/>
      </c>
      <c r="C595" s="5" t="s">
        <v>52</v>
      </c>
      <c r="D595" s="5" t="s">
        <v>36</v>
      </c>
      <c r="E595" s="6">
        <v>560.0</v>
      </c>
      <c r="F595" s="6">
        <v>140.0</v>
      </c>
      <c r="G595" s="5" t="s">
        <v>52</v>
      </c>
      <c r="H595" s="5" t="s">
        <v>52</v>
      </c>
      <c r="I595" s="6" t="s">
        <v>40</v>
      </c>
      <c r="J595" s="5" t="s">
        <v>8585</v>
      </c>
      <c r="K595" s="5" t="s">
        <v>8632</v>
      </c>
      <c r="L595" s="6" t="s">
        <v>42</v>
      </c>
      <c r="M595" s="5" t="s">
        <v>8746</v>
      </c>
      <c r="N595" s="5" t="s">
        <v>64</v>
      </c>
      <c r="O595" s="5" t="s">
        <v>18281</v>
      </c>
      <c r="P595" s="6">
        <v>10754.0</v>
      </c>
    </row>
    <row r="596" ht="56.25" customHeight="1">
      <c r="A596" s="5" t="s">
        <v>18272</v>
      </c>
      <c r="B596" s="6" t="str">
        <f>IMAGE("https://storage.googleapis.com/acdb/headwear/CapHatSwim3.png")</f>
        <v/>
      </c>
      <c r="C596" s="5" t="s">
        <v>57</v>
      </c>
      <c r="D596" s="5" t="s">
        <v>36</v>
      </c>
      <c r="E596" s="6">
        <v>560.0</v>
      </c>
      <c r="F596" s="6">
        <v>140.0</v>
      </c>
      <c r="G596" s="5" t="s">
        <v>57</v>
      </c>
      <c r="H596" s="5" t="s">
        <v>57</v>
      </c>
      <c r="I596" s="6" t="s">
        <v>40</v>
      </c>
      <c r="J596" s="5" t="s">
        <v>8585</v>
      </c>
      <c r="K596" s="5" t="s">
        <v>8632</v>
      </c>
      <c r="L596" s="6" t="s">
        <v>42</v>
      </c>
      <c r="M596" s="5" t="s">
        <v>8746</v>
      </c>
      <c r="N596" s="5" t="s">
        <v>64</v>
      </c>
      <c r="O596" s="5" t="s">
        <v>18287</v>
      </c>
      <c r="P596" s="6">
        <v>10755.0</v>
      </c>
    </row>
    <row r="597" ht="56.25" customHeight="1">
      <c r="A597" s="5" t="s">
        <v>18272</v>
      </c>
      <c r="B597" s="6" t="str">
        <f>IMAGE("https://storage.googleapis.com/acdb/headwear/CapHatSwim4.png")</f>
        <v/>
      </c>
      <c r="C597" s="5" t="s">
        <v>54</v>
      </c>
      <c r="D597" s="5" t="s">
        <v>36</v>
      </c>
      <c r="E597" s="6">
        <v>560.0</v>
      </c>
      <c r="F597" s="6">
        <v>140.0</v>
      </c>
      <c r="G597" s="5" t="s">
        <v>54</v>
      </c>
      <c r="H597" s="5" t="s">
        <v>54</v>
      </c>
      <c r="I597" s="6" t="s">
        <v>40</v>
      </c>
      <c r="J597" s="5" t="s">
        <v>8585</v>
      </c>
      <c r="K597" s="5" t="s">
        <v>8632</v>
      </c>
      <c r="L597" s="6" t="s">
        <v>42</v>
      </c>
      <c r="M597" s="5" t="s">
        <v>8746</v>
      </c>
      <c r="N597" s="5" t="s">
        <v>64</v>
      </c>
      <c r="O597" s="5" t="s">
        <v>18291</v>
      </c>
      <c r="P597" s="6">
        <v>10756.0</v>
      </c>
    </row>
    <row r="598" ht="56.25" customHeight="1">
      <c r="A598" s="5" t="s">
        <v>18272</v>
      </c>
      <c r="B598" s="6" t="str">
        <f>IMAGE("https://storage.googleapis.com/acdb/headwear/CapHatSwim5.png")</f>
        <v/>
      </c>
      <c r="C598" s="5" t="s">
        <v>68</v>
      </c>
      <c r="D598" s="5" t="s">
        <v>36</v>
      </c>
      <c r="E598" s="6">
        <v>560.0</v>
      </c>
      <c r="F598" s="6">
        <v>140.0</v>
      </c>
      <c r="G598" s="5" t="s">
        <v>68</v>
      </c>
      <c r="H598" s="5" t="s">
        <v>68</v>
      </c>
      <c r="I598" s="6" t="s">
        <v>40</v>
      </c>
      <c r="J598" s="5" t="s">
        <v>8585</v>
      </c>
      <c r="K598" s="5" t="s">
        <v>8632</v>
      </c>
      <c r="L598" s="6" t="s">
        <v>42</v>
      </c>
      <c r="M598" s="5" t="s">
        <v>8746</v>
      </c>
      <c r="N598" s="5" t="s">
        <v>64</v>
      </c>
      <c r="O598" s="5" t="s">
        <v>18296</v>
      </c>
      <c r="P598" s="6">
        <v>10757.0</v>
      </c>
    </row>
    <row r="599" ht="56.25" customHeight="1">
      <c r="A599" s="5" t="s">
        <v>18272</v>
      </c>
      <c r="B599" s="6" t="str">
        <f>IMAGE("https://storage.googleapis.com/acdb/headwear/CapHatSwim6.png")</f>
        <v/>
      </c>
      <c r="C599" s="5" t="s">
        <v>69</v>
      </c>
      <c r="D599" s="5" t="s">
        <v>36</v>
      </c>
      <c r="E599" s="6">
        <v>560.0</v>
      </c>
      <c r="F599" s="6">
        <v>140.0</v>
      </c>
      <c r="G599" s="5" t="s">
        <v>69</v>
      </c>
      <c r="H599" s="5" t="s">
        <v>69</v>
      </c>
      <c r="I599" s="6" t="s">
        <v>40</v>
      </c>
      <c r="J599" s="5" t="s">
        <v>8585</v>
      </c>
      <c r="K599" s="5" t="s">
        <v>8632</v>
      </c>
      <c r="L599" s="6" t="s">
        <v>42</v>
      </c>
      <c r="M599" s="5" t="s">
        <v>8746</v>
      </c>
      <c r="N599" s="5" t="s">
        <v>64</v>
      </c>
      <c r="O599" s="5" t="s">
        <v>18300</v>
      </c>
      <c r="P599" s="6">
        <v>10758.0</v>
      </c>
    </row>
    <row r="600" ht="56.25" customHeight="1">
      <c r="A600" s="5" t="s">
        <v>18272</v>
      </c>
      <c r="B600" s="6" t="str">
        <f>IMAGE("https://storage.googleapis.com/acdb/headwear/CapHatSwim7.png")</f>
        <v/>
      </c>
      <c r="C600" s="5" t="s">
        <v>96</v>
      </c>
      <c r="D600" s="5" t="s">
        <v>36</v>
      </c>
      <c r="E600" s="6">
        <v>560.0</v>
      </c>
      <c r="F600" s="6">
        <v>140.0</v>
      </c>
      <c r="G600" s="5" t="s">
        <v>96</v>
      </c>
      <c r="H600" s="5" t="s">
        <v>96</v>
      </c>
      <c r="I600" s="6" t="s">
        <v>40</v>
      </c>
      <c r="J600" s="5" t="s">
        <v>8585</v>
      </c>
      <c r="K600" s="5" t="s">
        <v>8632</v>
      </c>
      <c r="L600" s="6" t="s">
        <v>42</v>
      </c>
      <c r="M600" s="5" t="s">
        <v>8746</v>
      </c>
      <c r="N600" s="5" t="s">
        <v>64</v>
      </c>
      <c r="O600" s="5" t="s">
        <v>18303</v>
      </c>
      <c r="P600" s="6">
        <v>10759.0</v>
      </c>
    </row>
    <row r="601" ht="56.25" customHeight="1">
      <c r="A601" s="5" t="s">
        <v>18272</v>
      </c>
      <c r="B601" s="6" t="str">
        <f>IMAGE("https://storage.googleapis.com/acdb/headwear/CapHatSwim0.png")</f>
        <v/>
      </c>
      <c r="C601" s="5" t="s">
        <v>114</v>
      </c>
      <c r="D601" s="5" t="s">
        <v>36</v>
      </c>
      <c r="E601" s="6">
        <v>560.0</v>
      </c>
      <c r="F601" s="6">
        <v>140.0</v>
      </c>
      <c r="G601" s="5" t="s">
        <v>114</v>
      </c>
      <c r="H601" s="5" t="s">
        <v>114</v>
      </c>
      <c r="I601" s="6" t="s">
        <v>40</v>
      </c>
      <c r="J601" s="5" t="s">
        <v>8585</v>
      </c>
      <c r="K601" s="5" t="s">
        <v>8632</v>
      </c>
      <c r="L601" s="6" t="s">
        <v>42</v>
      </c>
      <c r="M601" s="5" t="s">
        <v>8746</v>
      </c>
      <c r="N601" s="5" t="s">
        <v>64</v>
      </c>
      <c r="O601" s="5" t="s">
        <v>18308</v>
      </c>
      <c r="P601" s="6">
        <v>5283.0</v>
      </c>
    </row>
    <row r="602" ht="56.25" customHeight="1">
      <c r="A602" s="5" t="s">
        <v>18309</v>
      </c>
      <c r="B602" s="6" t="str">
        <f>IMAGE("https://storage.googleapis.com/acdb/headwear/CapHatScotland1.png")</f>
        <v/>
      </c>
      <c r="C602" s="5" t="s">
        <v>95</v>
      </c>
      <c r="D602" s="5" t="s">
        <v>36</v>
      </c>
      <c r="E602" s="6" t="s">
        <v>37</v>
      </c>
      <c r="F602" s="6">
        <v>500.0</v>
      </c>
      <c r="G602" s="5" t="s">
        <v>95</v>
      </c>
      <c r="H602" s="5" t="s">
        <v>52</v>
      </c>
      <c r="I602" s="6" t="s">
        <v>40</v>
      </c>
      <c r="J602" s="5" t="s">
        <v>1284</v>
      </c>
      <c r="K602" s="5"/>
      <c r="L602" s="6" t="s">
        <v>42</v>
      </c>
      <c r="M602" s="5" t="s">
        <v>1059</v>
      </c>
      <c r="N602" s="5" t="s">
        <v>48</v>
      </c>
      <c r="O602" s="5" t="s">
        <v>18312</v>
      </c>
      <c r="P602" s="6">
        <v>11544.0</v>
      </c>
    </row>
    <row r="603" ht="56.25" customHeight="1">
      <c r="A603" s="5" t="s">
        <v>18309</v>
      </c>
      <c r="B603" s="6" t="str">
        <f>IMAGE("https://storage.googleapis.com/acdb/headwear/CapHatScotland2.png")</f>
        <v/>
      </c>
      <c r="C603" s="5" t="s">
        <v>68</v>
      </c>
      <c r="D603" s="5" t="s">
        <v>36</v>
      </c>
      <c r="E603" s="6" t="s">
        <v>37</v>
      </c>
      <c r="F603" s="6">
        <v>500.0</v>
      </c>
      <c r="G603" s="5" t="s">
        <v>68</v>
      </c>
      <c r="H603" s="5" t="s">
        <v>83</v>
      </c>
      <c r="I603" s="6" t="s">
        <v>40</v>
      </c>
      <c r="J603" s="5" t="s">
        <v>1284</v>
      </c>
      <c r="K603" s="5"/>
      <c r="L603" s="6" t="s">
        <v>42</v>
      </c>
      <c r="M603" s="5" t="s">
        <v>1059</v>
      </c>
      <c r="N603" s="5" t="s">
        <v>48</v>
      </c>
      <c r="O603" s="5" t="s">
        <v>18317</v>
      </c>
      <c r="P603" s="6">
        <v>11545.0</v>
      </c>
    </row>
    <row r="604" ht="56.25" customHeight="1">
      <c r="A604" s="5" t="s">
        <v>18309</v>
      </c>
      <c r="B604" s="6" t="str">
        <f>IMAGE("https://storage.googleapis.com/acdb/headwear/CapHatScotland3.png")</f>
        <v/>
      </c>
      <c r="C604" s="5" t="s">
        <v>96</v>
      </c>
      <c r="D604" s="5" t="s">
        <v>36</v>
      </c>
      <c r="E604" s="6" t="s">
        <v>37</v>
      </c>
      <c r="F604" s="6">
        <v>500.0</v>
      </c>
      <c r="G604" s="5" t="s">
        <v>96</v>
      </c>
      <c r="H604" s="5" t="s">
        <v>142</v>
      </c>
      <c r="I604" s="6" t="s">
        <v>40</v>
      </c>
      <c r="J604" s="5" t="s">
        <v>1284</v>
      </c>
      <c r="K604" s="5"/>
      <c r="L604" s="6" t="s">
        <v>42</v>
      </c>
      <c r="M604" s="5" t="s">
        <v>1059</v>
      </c>
      <c r="N604" s="5" t="s">
        <v>48</v>
      </c>
      <c r="O604" s="5" t="s">
        <v>18322</v>
      </c>
      <c r="P604" s="6">
        <v>11546.0</v>
      </c>
    </row>
    <row r="605" ht="56.25" customHeight="1">
      <c r="A605" s="5" t="s">
        <v>18309</v>
      </c>
      <c r="B605" s="6" t="str">
        <f>IMAGE("https://storage.googleapis.com/acdb/headwear/CapHatScotland0.png")</f>
        <v/>
      </c>
      <c r="C605" s="5" t="s">
        <v>52</v>
      </c>
      <c r="D605" s="5" t="s">
        <v>36</v>
      </c>
      <c r="E605" s="6" t="s">
        <v>37</v>
      </c>
      <c r="F605" s="6">
        <v>500.0</v>
      </c>
      <c r="G605" s="5" t="s">
        <v>52</v>
      </c>
      <c r="H605" s="5" t="s">
        <v>96</v>
      </c>
      <c r="I605" s="6" t="s">
        <v>40</v>
      </c>
      <c r="J605" s="5" t="s">
        <v>1284</v>
      </c>
      <c r="K605" s="5"/>
      <c r="L605" s="6" t="s">
        <v>42</v>
      </c>
      <c r="M605" s="5" t="s">
        <v>1059</v>
      </c>
      <c r="N605" s="5" t="s">
        <v>48</v>
      </c>
      <c r="O605" s="5" t="s">
        <v>18326</v>
      </c>
      <c r="P605" s="6">
        <v>6055.0</v>
      </c>
    </row>
    <row r="606" ht="56.25" customHeight="1">
      <c r="A606" s="5" t="s">
        <v>18327</v>
      </c>
      <c r="B606" s="6" t="str">
        <f>IMAGE("https://storage.googleapis.com/acdb/headwear/CapHatTowel0.png")</f>
        <v/>
      </c>
      <c r="C606" s="5" t="s">
        <v>57</v>
      </c>
      <c r="D606" s="5" t="s">
        <v>36</v>
      </c>
      <c r="E606" s="6">
        <v>490.0</v>
      </c>
      <c r="F606" s="6">
        <v>122.0</v>
      </c>
      <c r="G606" s="5" t="s">
        <v>57</v>
      </c>
      <c r="H606" s="5" t="s">
        <v>57</v>
      </c>
      <c r="I606" s="6" t="s">
        <v>40</v>
      </c>
      <c r="J606" s="5" t="s">
        <v>8585</v>
      </c>
      <c r="K606" s="5" t="s">
        <v>8632</v>
      </c>
      <c r="L606" s="6" t="s">
        <v>42</v>
      </c>
      <c r="M606" s="5" t="s">
        <v>995</v>
      </c>
      <c r="N606" s="5" t="s">
        <v>64</v>
      </c>
      <c r="O606" s="5" t="s">
        <v>18332</v>
      </c>
      <c r="P606" s="6">
        <v>5311.0</v>
      </c>
    </row>
    <row r="607" ht="56.25" customHeight="1">
      <c r="A607" s="5" t="s">
        <v>18327</v>
      </c>
      <c r="B607" s="6" t="str">
        <f>IMAGE("https://storage.googleapis.com/acdb/headwear/CapHatTowel1.png")</f>
        <v/>
      </c>
      <c r="C607" s="5" t="s">
        <v>54</v>
      </c>
      <c r="D607" s="5" t="s">
        <v>36</v>
      </c>
      <c r="E607" s="6">
        <v>490.0</v>
      </c>
      <c r="F607" s="6">
        <v>122.0</v>
      </c>
      <c r="G607" s="5" t="s">
        <v>54</v>
      </c>
      <c r="H607" s="5" t="s">
        <v>54</v>
      </c>
      <c r="I607" s="6" t="s">
        <v>40</v>
      </c>
      <c r="J607" s="5" t="s">
        <v>8585</v>
      </c>
      <c r="K607" s="5" t="s">
        <v>8632</v>
      </c>
      <c r="L607" s="6" t="s">
        <v>42</v>
      </c>
      <c r="M607" s="5" t="s">
        <v>995</v>
      </c>
      <c r="N607" s="5" t="s">
        <v>64</v>
      </c>
      <c r="O607" s="5" t="s">
        <v>18336</v>
      </c>
      <c r="P607" s="6">
        <v>10767.0</v>
      </c>
    </row>
    <row r="608" ht="56.25" customHeight="1">
      <c r="A608" s="5" t="s">
        <v>18327</v>
      </c>
      <c r="B608" s="6" t="str">
        <f>IMAGE("https://storage.googleapis.com/acdb/headwear/CapHatTowel2.png")</f>
        <v/>
      </c>
      <c r="C608" s="5" t="s">
        <v>68</v>
      </c>
      <c r="D608" s="5" t="s">
        <v>36</v>
      </c>
      <c r="E608" s="6">
        <v>490.0</v>
      </c>
      <c r="F608" s="6">
        <v>122.0</v>
      </c>
      <c r="G608" s="5" t="s">
        <v>68</v>
      </c>
      <c r="H608" s="5" t="s">
        <v>68</v>
      </c>
      <c r="I608" s="6" t="s">
        <v>40</v>
      </c>
      <c r="J608" s="5" t="s">
        <v>8585</v>
      </c>
      <c r="K608" s="5" t="s">
        <v>8632</v>
      </c>
      <c r="L608" s="6" t="s">
        <v>42</v>
      </c>
      <c r="M608" s="5" t="s">
        <v>995</v>
      </c>
      <c r="N608" s="5" t="s">
        <v>64</v>
      </c>
      <c r="O608" s="5" t="s">
        <v>18341</v>
      </c>
      <c r="P608" s="6">
        <v>10768.0</v>
      </c>
    </row>
    <row r="609" ht="56.25" customHeight="1">
      <c r="A609" s="5" t="s">
        <v>18327</v>
      </c>
      <c r="B609" s="6" t="str">
        <f>IMAGE("https://storage.googleapis.com/acdb/headwear/CapHatTowel3.png")</f>
        <v/>
      </c>
      <c r="C609" s="5" t="s">
        <v>39</v>
      </c>
      <c r="D609" s="5" t="s">
        <v>36</v>
      </c>
      <c r="E609" s="6">
        <v>490.0</v>
      </c>
      <c r="F609" s="6">
        <v>122.0</v>
      </c>
      <c r="G609" s="5" t="s">
        <v>39</v>
      </c>
      <c r="H609" s="5" t="s">
        <v>39</v>
      </c>
      <c r="I609" s="6" t="s">
        <v>40</v>
      </c>
      <c r="J609" s="5" t="s">
        <v>8585</v>
      </c>
      <c r="K609" s="5" t="s">
        <v>8632</v>
      </c>
      <c r="L609" s="6" t="s">
        <v>42</v>
      </c>
      <c r="M609" s="5" t="s">
        <v>995</v>
      </c>
      <c r="N609" s="5" t="s">
        <v>64</v>
      </c>
      <c r="O609" s="5" t="s">
        <v>18346</v>
      </c>
      <c r="P609" s="6">
        <v>10769.0</v>
      </c>
    </row>
    <row r="610" ht="56.25" customHeight="1">
      <c r="A610" s="5" t="s">
        <v>18327</v>
      </c>
      <c r="B610" s="6" t="str">
        <f>IMAGE("https://storage.googleapis.com/acdb/headwear/CapHatTowel4.png")</f>
        <v/>
      </c>
      <c r="C610" s="5" t="s">
        <v>114</v>
      </c>
      <c r="D610" s="5" t="s">
        <v>36</v>
      </c>
      <c r="E610" s="6">
        <v>490.0</v>
      </c>
      <c r="F610" s="6">
        <v>122.0</v>
      </c>
      <c r="G610" s="5" t="s">
        <v>114</v>
      </c>
      <c r="H610" s="5" t="s">
        <v>114</v>
      </c>
      <c r="I610" s="6" t="s">
        <v>40</v>
      </c>
      <c r="J610" s="5" t="s">
        <v>8585</v>
      </c>
      <c r="K610" s="5" t="s">
        <v>8632</v>
      </c>
      <c r="L610" s="6" t="s">
        <v>42</v>
      </c>
      <c r="M610" s="5" t="s">
        <v>995</v>
      </c>
      <c r="N610" s="5" t="s">
        <v>64</v>
      </c>
      <c r="O610" s="5" t="s">
        <v>18351</v>
      </c>
      <c r="P610" s="6">
        <v>10770.0</v>
      </c>
    </row>
    <row r="611" ht="56.25" customHeight="1">
      <c r="A611" s="5" t="s">
        <v>18327</v>
      </c>
      <c r="B611" s="6" t="str">
        <f>IMAGE("https://storage.googleapis.com/acdb/headwear/CapHatTowel5.png")</f>
        <v/>
      </c>
      <c r="C611" s="5" t="s">
        <v>4883</v>
      </c>
      <c r="D611" s="5" t="s">
        <v>36</v>
      </c>
      <c r="E611" s="6">
        <v>490.0</v>
      </c>
      <c r="F611" s="6">
        <v>122.0</v>
      </c>
      <c r="G611" s="5" t="s">
        <v>52</v>
      </c>
      <c r="H611" s="5" t="s">
        <v>52</v>
      </c>
      <c r="I611" s="6" t="s">
        <v>40</v>
      </c>
      <c r="J611" s="5" t="s">
        <v>8585</v>
      </c>
      <c r="K611" s="5" t="s">
        <v>8632</v>
      </c>
      <c r="L611" s="6" t="s">
        <v>42</v>
      </c>
      <c r="M611" s="5" t="s">
        <v>995</v>
      </c>
      <c r="N611" s="5" t="s">
        <v>64</v>
      </c>
      <c r="O611" s="5" t="s">
        <v>18355</v>
      </c>
      <c r="P611" s="6">
        <v>10771.0</v>
      </c>
    </row>
    <row r="612" ht="56.25" customHeight="1">
      <c r="A612" s="5" t="s">
        <v>18357</v>
      </c>
      <c r="B612" s="6" t="str">
        <f>IMAGE("https://storage.googleapis.com/acdb/headwear/CapHatNightcap1.png")</f>
        <v/>
      </c>
      <c r="C612" s="5" t="s">
        <v>68</v>
      </c>
      <c r="D612" s="5" t="s">
        <v>36</v>
      </c>
      <c r="E612" s="6">
        <v>840.0</v>
      </c>
      <c r="F612" s="6">
        <v>210.0</v>
      </c>
      <c r="G612" s="5" t="s">
        <v>68</v>
      </c>
      <c r="H612" s="5" t="s">
        <v>57</v>
      </c>
      <c r="I612" s="6" t="s">
        <v>40</v>
      </c>
      <c r="J612" s="5" t="s">
        <v>8585</v>
      </c>
      <c r="K612" s="5" t="s">
        <v>8586</v>
      </c>
      <c r="L612" s="6" t="s">
        <v>42</v>
      </c>
      <c r="M612" s="5" t="s">
        <v>1959</v>
      </c>
      <c r="N612" s="5" t="s">
        <v>64</v>
      </c>
      <c r="O612" s="5" t="s">
        <v>18363</v>
      </c>
      <c r="P612" s="6">
        <v>10926.0</v>
      </c>
    </row>
    <row r="613" ht="56.25" customHeight="1">
      <c r="A613" s="5" t="s">
        <v>18357</v>
      </c>
      <c r="B613" s="6" t="str">
        <f>IMAGE("https://storage.googleapis.com/acdb/headwear/CapHatNightcap2.png")</f>
        <v/>
      </c>
      <c r="C613" s="5" t="s">
        <v>96</v>
      </c>
      <c r="D613" s="5" t="s">
        <v>36</v>
      </c>
      <c r="E613" s="6">
        <v>840.0</v>
      </c>
      <c r="F613" s="6">
        <v>210.0</v>
      </c>
      <c r="G613" s="5" t="s">
        <v>96</v>
      </c>
      <c r="H613" s="5" t="s">
        <v>57</v>
      </c>
      <c r="I613" s="6" t="s">
        <v>40</v>
      </c>
      <c r="J613" s="5" t="s">
        <v>8585</v>
      </c>
      <c r="K613" s="5" t="s">
        <v>8586</v>
      </c>
      <c r="L613" s="6" t="s">
        <v>42</v>
      </c>
      <c r="M613" s="5" t="s">
        <v>1959</v>
      </c>
      <c r="N613" s="5" t="s">
        <v>64</v>
      </c>
      <c r="O613" s="5" t="s">
        <v>18366</v>
      </c>
      <c r="P613" s="6">
        <v>10927.0</v>
      </c>
    </row>
    <row r="614" ht="56.25" customHeight="1">
      <c r="A614" s="5" t="s">
        <v>18357</v>
      </c>
      <c r="B614" s="6" t="str">
        <f>IMAGE("https://storage.googleapis.com/acdb/headwear/CapHatNightcap3.png")</f>
        <v/>
      </c>
      <c r="C614" s="5" t="s">
        <v>142</v>
      </c>
      <c r="D614" s="5" t="s">
        <v>36</v>
      </c>
      <c r="E614" s="6">
        <v>840.0</v>
      </c>
      <c r="F614" s="6">
        <v>210.0</v>
      </c>
      <c r="G614" s="5" t="s">
        <v>142</v>
      </c>
      <c r="H614" s="5" t="s">
        <v>57</v>
      </c>
      <c r="I614" s="6" t="s">
        <v>40</v>
      </c>
      <c r="J614" s="5" t="s">
        <v>8585</v>
      </c>
      <c r="K614" s="5" t="s">
        <v>8586</v>
      </c>
      <c r="L614" s="6" t="s">
        <v>42</v>
      </c>
      <c r="M614" s="5" t="s">
        <v>1959</v>
      </c>
      <c r="N614" s="5" t="s">
        <v>64</v>
      </c>
      <c r="O614" s="5" t="s">
        <v>18371</v>
      </c>
      <c r="P614" s="6">
        <v>10928.0</v>
      </c>
    </row>
    <row r="615" ht="56.25" customHeight="1">
      <c r="A615" s="5" t="s">
        <v>18357</v>
      </c>
      <c r="B615" s="6" t="str">
        <f>IMAGE("https://storage.googleapis.com/acdb/headwear/CapHatNightcap4.png")</f>
        <v/>
      </c>
      <c r="C615" s="5" t="s">
        <v>69</v>
      </c>
      <c r="D615" s="5" t="s">
        <v>36</v>
      </c>
      <c r="E615" s="6">
        <v>840.0</v>
      </c>
      <c r="F615" s="6">
        <v>210.0</v>
      </c>
      <c r="G615" s="5" t="s">
        <v>69</v>
      </c>
      <c r="H615" s="5" t="s">
        <v>57</v>
      </c>
      <c r="I615" s="6" t="s">
        <v>40</v>
      </c>
      <c r="J615" s="5" t="s">
        <v>8585</v>
      </c>
      <c r="K615" s="5" t="s">
        <v>8586</v>
      </c>
      <c r="L615" s="6" t="s">
        <v>42</v>
      </c>
      <c r="M615" s="5" t="s">
        <v>1959</v>
      </c>
      <c r="N615" s="5" t="s">
        <v>64</v>
      </c>
      <c r="O615" s="5" t="s">
        <v>18376</v>
      </c>
      <c r="P615" s="6">
        <v>10929.0</v>
      </c>
    </row>
    <row r="616" ht="56.25" customHeight="1">
      <c r="A616" s="5" t="s">
        <v>18357</v>
      </c>
      <c r="B616" s="6" t="str">
        <f>IMAGE("https://storage.googleapis.com/acdb/headwear/CapHatNightcap5.png")</f>
        <v/>
      </c>
      <c r="C616" s="5" t="s">
        <v>307</v>
      </c>
      <c r="D616" s="5" t="s">
        <v>36</v>
      </c>
      <c r="E616" s="6">
        <v>840.0</v>
      </c>
      <c r="F616" s="6">
        <v>210.0</v>
      </c>
      <c r="G616" s="5" t="s">
        <v>114</v>
      </c>
      <c r="H616" s="5" t="s">
        <v>57</v>
      </c>
      <c r="I616" s="6" t="s">
        <v>40</v>
      </c>
      <c r="J616" s="5" t="s">
        <v>8585</v>
      </c>
      <c r="K616" s="5" t="s">
        <v>8586</v>
      </c>
      <c r="L616" s="6" t="s">
        <v>42</v>
      </c>
      <c r="M616" s="5" t="s">
        <v>1959</v>
      </c>
      <c r="N616" s="5" t="s">
        <v>64</v>
      </c>
      <c r="O616" s="5" t="s">
        <v>18382</v>
      </c>
      <c r="P616" s="6">
        <v>10930.0</v>
      </c>
    </row>
    <row r="617" ht="56.25" customHeight="1">
      <c r="A617" s="5" t="s">
        <v>18357</v>
      </c>
      <c r="B617" s="6" t="str">
        <f>IMAGE("https://storage.googleapis.com/acdb/headwear/CapHatNightcap6.png")</f>
        <v/>
      </c>
      <c r="C617" s="5" t="s">
        <v>106</v>
      </c>
      <c r="D617" s="5" t="s">
        <v>36</v>
      </c>
      <c r="E617" s="6">
        <v>840.0</v>
      </c>
      <c r="F617" s="6">
        <v>210.0</v>
      </c>
      <c r="G617" s="5" t="s">
        <v>106</v>
      </c>
      <c r="H617" s="5" t="s">
        <v>57</v>
      </c>
      <c r="I617" s="6" t="s">
        <v>40</v>
      </c>
      <c r="J617" s="5" t="s">
        <v>8585</v>
      </c>
      <c r="K617" s="5" t="s">
        <v>8586</v>
      </c>
      <c r="L617" s="6" t="s">
        <v>42</v>
      </c>
      <c r="M617" s="5" t="s">
        <v>1959</v>
      </c>
      <c r="N617" s="5" t="s">
        <v>64</v>
      </c>
      <c r="O617" s="5" t="s">
        <v>18386</v>
      </c>
      <c r="P617" s="6">
        <v>10931.0</v>
      </c>
    </row>
    <row r="618" ht="56.25" customHeight="1">
      <c r="A618" s="5" t="s">
        <v>18357</v>
      </c>
      <c r="B618" s="6" t="str">
        <f>IMAGE("https://storage.googleapis.com/acdb/headwear/CapHatNightcap7.png")</f>
        <v/>
      </c>
      <c r="C618" s="5" t="s">
        <v>1458</v>
      </c>
      <c r="D618" s="5" t="s">
        <v>36</v>
      </c>
      <c r="E618" s="6">
        <v>840.0</v>
      </c>
      <c r="F618" s="6">
        <v>210.0</v>
      </c>
      <c r="G618" s="5" t="s">
        <v>96</v>
      </c>
      <c r="H618" s="5" t="s">
        <v>57</v>
      </c>
      <c r="I618" s="6" t="s">
        <v>40</v>
      </c>
      <c r="J618" s="5" t="s">
        <v>8585</v>
      </c>
      <c r="K618" s="5" t="s">
        <v>8586</v>
      </c>
      <c r="L618" s="6" t="s">
        <v>42</v>
      </c>
      <c r="M618" s="5" t="s">
        <v>1959</v>
      </c>
      <c r="N618" s="5" t="s">
        <v>64</v>
      </c>
      <c r="O618" s="5" t="s">
        <v>18391</v>
      </c>
      <c r="P618" s="6">
        <v>10932.0</v>
      </c>
    </row>
    <row r="619" ht="56.25" customHeight="1">
      <c r="A619" s="5" t="s">
        <v>18357</v>
      </c>
      <c r="B619" s="6" t="str">
        <f>IMAGE("https://storage.googleapis.com/acdb/headwear/CapHatNightcap0.png")</f>
        <v/>
      </c>
      <c r="C619" s="5" t="s">
        <v>83</v>
      </c>
      <c r="D619" s="5" t="s">
        <v>36</v>
      </c>
      <c r="E619" s="6">
        <v>840.0</v>
      </c>
      <c r="F619" s="6">
        <v>210.0</v>
      </c>
      <c r="G619" s="5" t="s">
        <v>83</v>
      </c>
      <c r="H619" s="5" t="s">
        <v>57</v>
      </c>
      <c r="I619" s="6" t="s">
        <v>40</v>
      </c>
      <c r="J619" s="5" t="s">
        <v>8585</v>
      </c>
      <c r="K619" s="5" t="s">
        <v>8586</v>
      </c>
      <c r="L619" s="6" t="s">
        <v>42</v>
      </c>
      <c r="M619" s="5" t="s">
        <v>1959</v>
      </c>
      <c r="N619" s="5" t="s">
        <v>64</v>
      </c>
      <c r="O619" s="5" t="s">
        <v>18397</v>
      </c>
      <c r="P619" s="6">
        <v>5304.0</v>
      </c>
    </row>
    <row r="620" ht="56.25" customHeight="1">
      <c r="A620" s="5" t="s">
        <v>18398</v>
      </c>
      <c r="B620" s="6" t="str">
        <f>IMAGE("https://storage.googleapis.com/acdb/headwear/CapOrnamentCTiara1.png")</f>
        <v/>
      </c>
      <c r="C620" s="5" t="s">
        <v>18400</v>
      </c>
      <c r="D620" s="5" t="s">
        <v>36</v>
      </c>
      <c r="E620" s="6">
        <v>4300.0</v>
      </c>
      <c r="F620" s="6">
        <v>1075.0</v>
      </c>
      <c r="G620" s="5" t="s">
        <v>69</v>
      </c>
      <c r="H620" s="5" t="s">
        <v>69</v>
      </c>
      <c r="I620" s="6" t="s">
        <v>40</v>
      </c>
      <c r="J620" s="5" t="s">
        <v>8585</v>
      </c>
      <c r="K620" s="5" t="s">
        <v>8586</v>
      </c>
      <c r="L620" s="6" t="s">
        <v>42</v>
      </c>
      <c r="M620" s="5" t="s">
        <v>1059</v>
      </c>
      <c r="N620" s="5" t="s">
        <v>64</v>
      </c>
      <c r="O620" s="5" t="s">
        <v>18402</v>
      </c>
      <c r="P620" s="6">
        <v>9751.0</v>
      </c>
    </row>
    <row r="621" ht="56.25" customHeight="1">
      <c r="A621" s="5" t="s">
        <v>18398</v>
      </c>
      <c r="B621" s="6" t="str">
        <f>IMAGE("https://storage.googleapis.com/acdb/headwear/CapOrnamentCTiara2.png")</f>
        <v/>
      </c>
      <c r="C621" s="5" t="s">
        <v>151</v>
      </c>
      <c r="D621" s="5" t="s">
        <v>36</v>
      </c>
      <c r="E621" s="6">
        <v>4300.0</v>
      </c>
      <c r="F621" s="6">
        <v>1075.0</v>
      </c>
      <c r="G621" s="5" t="s">
        <v>114</v>
      </c>
      <c r="H621" s="5" t="s">
        <v>96</v>
      </c>
      <c r="I621" s="6" t="s">
        <v>40</v>
      </c>
      <c r="J621" s="5" t="s">
        <v>8585</v>
      </c>
      <c r="K621" s="5" t="s">
        <v>8586</v>
      </c>
      <c r="L621" s="6" t="s">
        <v>42</v>
      </c>
      <c r="M621" s="5" t="s">
        <v>1059</v>
      </c>
      <c r="N621" s="5" t="s">
        <v>64</v>
      </c>
      <c r="O621" s="5" t="s">
        <v>18404</v>
      </c>
      <c r="P621" s="6">
        <v>9752.0</v>
      </c>
    </row>
    <row r="622" ht="56.25" customHeight="1">
      <c r="A622" s="5" t="s">
        <v>18398</v>
      </c>
      <c r="B622" s="6" t="str">
        <f>IMAGE("https://storage.googleapis.com/acdb/headwear/CapOrnamentCTiara0.png")</f>
        <v/>
      </c>
      <c r="C622" s="5" t="s">
        <v>146</v>
      </c>
      <c r="D622" s="5" t="s">
        <v>36</v>
      </c>
      <c r="E622" s="6">
        <v>4300.0</v>
      </c>
      <c r="F622" s="6">
        <v>1075.0</v>
      </c>
      <c r="G622" s="5" t="s">
        <v>95</v>
      </c>
      <c r="H622" s="5" t="s">
        <v>68</v>
      </c>
      <c r="I622" s="6" t="s">
        <v>40</v>
      </c>
      <c r="J622" s="5" t="s">
        <v>8585</v>
      </c>
      <c r="K622" s="5" t="s">
        <v>8586</v>
      </c>
      <c r="L622" s="6" t="s">
        <v>42</v>
      </c>
      <c r="M622" s="5" t="s">
        <v>1059</v>
      </c>
      <c r="N622" s="5" t="s">
        <v>64</v>
      </c>
      <c r="O622" s="5" t="s">
        <v>18407</v>
      </c>
      <c r="P622" s="6">
        <v>7412.0</v>
      </c>
    </row>
    <row r="623" ht="56.25" customHeight="1">
      <c r="A623" s="5" t="s">
        <v>18408</v>
      </c>
      <c r="B623" s="6" t="str">
        <f>IMAGE("https://storage.googleapis.com/acdb/headwear/CapWigPrincess2.png")</f>
        <v/>
      </c>
      <c r="C623" s="5" t="s">
        <v>18400</v>
      </c>
      <c r="D623" s="5" t="s">
        <v>36</v>
      </c>
      <c r="E623" s="6">
        <v>2940.0</v>
      </c>
      <c r="F623" s="6">
        <v>735.0</v>
      </c>
      <c r="G623" s="5" t="s">
        <v>69</v>
      </c>
      <c r="H623" s="5" t="s">
        <v>58</v>
      </c>
      <c r="I623" s="6" t="s">
        <v>40</v>
      </c>
      <c r="J623" s="5" t="s">
        <v>8585</v>
      </c>
      <c r="K623" s="5" t="s">
        <v>8586</v>
      </c>
      <c r="L623" s="6" t="s">
        <v>42</v>
      </c>
      <c r="M623" s="5" t="s">
        <v>612</v>
      </c>
      <c r="N623" s="5" t="s">
        <v>64</v>
      </c>
      <c r="O623" s="5" t="s">
        <v>18411</v>
      </c>
      <c r="P623" s="6">
        <v>9750.0</v>
      </c>
    </row>
    <row r="624" ht="56.25" customHeight="1">
      <c r="A624" s="5" t="s">
        <v>18408</v>
      </c>
      <c r="B624" s="6" t="str">
        <f>IMAGE("https://storage.googleapis.com/acdb/headwear/CapWigPrincess0.png")</f>
        <v/>
      </c>
      <c r="C624" s="5" t="s">
        <v>146</v>
      </c>
      <c r="D624" s="5" t="s">
        <v>36</v>
      </c>
      <c r="E624" s="6">
        <v>2940.0</v>
      </c>
      <c r="F624" s="6">
        <v>735.0</v>
      </c>
      <c r="G624" s="5" t="s">
        <v>95</v>
      </c>
      <c r="H624" s="5" t="s">
        <v>58</v>
      </c>
      <c r="I624" s="6" t="s">
        <v>40</v>
      </c>
      <c r="J624" s="5" t="s">
        <v>8585</v>
      </c>
      <c r="K624" s="5" t="s">
        <v>8586</v>
      </c>
      <c r="L624" s="6" t="s">
        <v>42</v>
      </c>
      <c r="M624" s="5" t="s">
        <v>612</v>
      </c>
      <c r="N624" s="5" t="s">
        <v>64</v>
      </c>
      <c r="O624" s="5" t="s">
        <v>18415</v>
      </c>
      <c r="P624" s="6">
        <v>6092.0</v>
      </c>
    </row>
    <row r="625" ht="56.25" customHeight="1">
      <c r="A625" s="5" t="s">
        <v>18408</v>
      </c>
      <c r="B625" s="6" t="str">
        <f>IMAGE("https://storage.googleapis.com/acdb/headwear/CapWigPrincess1.png")</f>
        <v/>
      </c>
      <c r="C625" s="5" t="s">
        <v>151</v>
      </c>
      <c r="D625" s="5" t="s">
        <v>36</v>
      </c>
      <c r="E625" s="6">
        <v>2940.0</v>
      </c>
      <c r="F625" s="6">
        <v>735.0</v>
      </c>
      <c r="G625" s="5" t="s">
        <v>114</v>
      </c>
      <c r="H625" s="5" t="s">
        <v>58</v>
      </c>
      <c r="I625" s="6" t="s">
        <v>40</v>
      </c>
      <c r="J625" s="5" t="s">
        <v>8585</v>
      </c>
      <c r="K625" s="5" t="s">
        <v>8586</v>
      </c>
      <c r="L625" s="6" t="s">
        <v>42</v>
      </c>
      <c r="M625" s="5" t="s">
        <v>612</v>
      </c>
      <c r="N625" s="5" t="s">
        <v>64</v>
      </c>
      <c r="O625" s="5" t="s">
        <v>18418</v>
      </c>
      <c r="P625" s="6">
        <v>9749.0</v>
      </c>
    </row>
    <row r="626" ht="56.25" customHeight="1">
      <c r="A626" s="5" t="s">
        <v>18419</v>
      </c>
      <c r="B626" s="6" t="str">
        <f>IMAGE("https://storage.googleapis.com/acdb/headwear/CapHatSilkhat0.png")</f>
        <v/>
      </c>
      <c r="C626" s="5" t="s">
        <v>54</v>
      </c>
      <c r="D626" s="5" t="s">
        <v>36</v>
      </c>
      <c r="E626" s="6">
        <v>2100.0</v>
      </c>
      <c r="F626" s="6">
        <v>525.0</v>
      </c>
      <c r="G626" s="5" t="s">
        <v>54</v>
      </c>
      <c r="H626" s="5" t="s">
        <v>52</v>
      </c>
      <c r="I626" s="6" t="s">
        <v>40</v>
      </c>
      <c r="J626" s="5" t="s">
        <v>8585</v>
      </c>
      <c r="K626" s="5" t="s">
        <v>8586</v>
      </c>
      <c r="L626" s="6" t="s">
        <v>42</v>
      </c>
      <c r="M626" s="5" t="s">
        <v>1059</v>
      </c>
      <c r="N626" s="5" t="s">
        <v>64</v>
      </c>
      <c r="O626" s="5" t="s">
        <v>18425</v>
      </c>
      <c r="P626" s="6">
        <v>5129.0</v>
      </c>
    </row>
    <row r="627" ht="56.25" customHeight="1">
      <c r="A627" s="5" t="s">
        <v>18419</v>
      </c>
      <c r="B627" s="6" t="str">
        <f>IMAGE("https://storage.googleapis.com/acdb/headwear/CapHatSilkhat1.png")</f>
        <v/>
      </c>
      <c r="C627" s="5" t="s">
        <v>57</v>
      </c>
      <c r="D627" s="5" t="s">
        <v>36</v>
      </c>
      <c r="E627" s="6">
        <v>2100.0</v>
      </c>
      <c r="F627" s="6">
        <v>525.0</v>
      </c>
      <c r="G627" s="5" t="s">
        <v>57</v>
      </c>
      <c r="H627" s="5" t="s">
        <v>68</v>
      </c>
      <c r="I627" s="6" t="s">
        <v>40</v>
      </c>
      <c r="J627" s="5" t="s">
        <v>8585</v>
      </c>
      <c r="K627" s="5" t="s">
        <v>8586</v>
      </c>
      <c r="L627" s="6" t="s">
        <v>42</v>
      </c>
      <c r="M627" s="5" t="s">
        <v>1059</v>
      </c>
      <c r="N627" s="5" t="s">
        <v>64</v>
      </c>
      <c r="O627" s="5" t="s">
        <v>18431</v>
      </c>
      <c r="P627" s="6">
        <v>11033.0</v>
      </c>
    </row>
    <row r="628" ht="56.25" customHeight="1">
      <c r="A628" s="5" t="s">
        <v>18419</v>
      </c>
      <c r="B628" s="6" t="str">
        <f>IMAGE("https://storage.googleapis.com/acdb/headwear/CapHatSilkhat2.png")</f>
        <v/>
      </c>
      <c r="C628" s="5" t="s">
        <v>39</v>
      </c>
      <c r="D628" s="5" t="s">
        <v>36</v>
      </c>
      <c r="E628" s="6">
        <v>2100.0</v>
      </c>
      <c r="F628" s="6">
        <v>525.0</v>
      </c>
      <c r="G628" s="5" t="s">
        <v>39</v>
      </c>
      <c r="H628" s="5" t="s">
        <v>52</v>
      </c>
      <c r="I628" s="6" t="s">
        <v>40</v>
      </c>
      <c r="J628" s="5" t="s">
        <v>8585</v>
      </c>
      <c r="K628" s="5" t="s">
        <v>8586</v>
      </c>
      <c r="L628" s="6" t="s">
        <v>42</v>
      </c>
      <c r="M628" s="5" t="s">
        <v>1059</v>
      </c>
      <c r="N628" s="5" t="s">
        <v>64</v>
      </c>
      <c r="O628" s="5" t="s">
        <v>18436</v>
      </c>
      <c r="P628" s="6">
        <v>11034.0</v>
      </c>
    </row>
    <row r="629" ht="56.25" customHeight="1">
      <c r="A629" s="5" t="s">
        <v>18419</v>
      </c>
      <c r="B629" s="6" t="str">
        <f>IMAGE("https://storage.googleapis.com/acdb/headwear/CapHatSilkhat3.png")</f>
        <v/>
      </c>
      <c r="C629" s="5" t="s">
        <v>106</v>
      </c>
      <c r="D629" s="5" t="s">
        <v>36</v>
      </c>
      <c r="E629" s="6">
        <v>2100.0</v>
      </c>
      <c r="F629" s="6">
        <v>525.0</v>
      </c>
      <c r="G629" s="5" t="s">
        <v>106</v>
      </c>
      <c r="H629" s="5" t="s">
        <v>106</v>
      </c>
      <c r="I629" s="6" t="s">
        <v>40</v>
      </c>
      <c r="J629" s="5" t="s">
        <v>8585</v>
      </c>
      <c r="K629" s="5" t="s">
        <v>8586</v>
      </c>
      <c r="L629" s="6" t="s">
        <v>42</v>
      </c>
      <c r="M629" s="5" t="s">
        <v>1059</v>
      </c>
      <c r="N629" s="5" t="s">
        <v>64</v>
      </c>
      <c r="O629" s="5" t="s">
        <v>18445</v>
      </c>
      <c r="P629" s="6">
        <v>11035.0</v>
      </c>
    </row>
    <row r="630" ht="56.25" customHeight="1">
      <c r="A630" s="5" t="s">
        <v>18419</v>
      </c>
      <c r="B630" s="6" t="str">
        <f>IMAGE("https://storage.googleapis.com/acdb/headwear/CapHatSilkhat4.png")</f>
        <v/>
      </c>
      <c r="C630" s="5" t="s">
        <v>52</v>
      </c>
      <c r="D630" s="5" t="s">
        <v>36</v>
      </c>
      <c r="E630" s="6">
        <v>2100.0</v>
      </c>
      <c r="F630" s="6">
        <v>525.0</v>
      </c>
      <c r="G630" s="5" t="s">
        <v>52</v>
      </c>
      <c r="H630" s="5" t="s">
        <v>54</v>
      </c>
      <c r="I630" s="6" t="s">
        <v>40</v>
      </c>
      <c r="J630" s="5" t="s">
        <v>8585</v>
      </c>
      <c r="K630" s="5" t="s">
        <v>8586</v>
      </c>
      <c r="L630" s="6" t="s">
        <v>42</v>
      </c>
      <c r="M630" s="5" t="s">
        <v>1059</v>
      </c>
      <c r="N630" s="5" t="s">
        <v>64</v>
      </c>
      <c r="O630" s="5" t="s">
        <v>18449</v>
      </c>
      <c r="P630" s="6">
        <v>11036.0</v>
      </c>
    </row>
    <row r="631" ht="56.25" customHeight="1">
      <c r="A631" s="5" t="s">
        <v>18419</v>
      </c>
      <c r="B631" s="6" t="str">
        <f>IMAGE("https://storage.googleapis.com/acdb/headwear/CapHatSilkhat5.png")</f>
        <v/>
      </c>
      <c r="C631" s="5" t="s">
        <v>68</v>
      </c>
      <c r="D631" s="5" t="s">
        <v>36</v>
      </c>
      <c r="E631" s="6">
        <v>2100.0</v>
      </c>
      <c r="F631" s="6">
        <v>525.0</v>
      </c>
      <c r="G631" s="5" t="s">
        <v>68</v>
      </c>
      <c r="H631" s="5" t="s">
        <v>54</v>
      </c>
      <c r="I631" s="6" t="s">
        <v>40</v>
      </c>
      <c r="J631" s="5" t="s">
        <v>8585</v>
      </c>
      <c r="K631" s="5" t="s">
        <v>8586</v>
      </c>
      <c r="L631" s="6" t="s">
        <v>42</v>
      </c>
      <c r="M631" s="5" t="s">
        <v>1059</v>
      </c>
      <c r="N631" s="5" t="s">
        <v>64</v>
      </c>
      <c r="O631" s="5" t="s">
        <v>18454</v>
      </c>
      <c r="P631" s="6">
        <v>11037.0</v>
      </c>
    </row>
    <row r="632" ht="56.25" customHeight="1">
      <c r="A632" s="5" t="s">
        <v>18455</v>
      </c>
      <c r="B632" s="6" t="str">
        <f>IMAGE("https://storage.googleapis.com/acdb/headwear/CapHatOutdoorpine3.png")</f>
        <v/>
      </c>
      <c r="C632" s="5" t="s">
        <v>114</v>
      </c>
      <c r="D632" s="5" t="s">
        <v>36</v>
      </c>
      <c r="E632" s="6">
        <v>700.0</v>
      </c>
      <c r="F632" s="6">
        <v>175.0</v>
      </c>
      <c r="G632" s="5" t="s">
        <v>114</v>
      </c>
      <c r="H632" s="5" t="s">
        <v>142</v>
      </c>
      <c r="I632" s="6" t="s">
        <v>40</v>
      </c>
      <c r="J632" s="5" t="s">
        <v>8585</v>
      </c>
      <c r="K632" s="5" t="s">
        <v>8632</v>
      </c>
      <c r="L632" s="6" t="s">
        <v>42</v>
      </c>
      <c r="M632" s="5" t="s">
        <v>8746</v>
      </c>
      <c r="N632" s="5" t="s">
        <v>64</v>
      </c>
      <c r="O632" s="5" t="s">
        <v>18458</v>
      </c>
      <c r="P632" s="6">
        <v>12110.0</v>
      </c>
    </row>
    <row r="633" ht="56.25" customHeight="1">
      <c r="A633" s="5" t="s">
        <v>18455</v>
      </c>
      <c r="B633" s="6" t="str">
        <f>IMAGE("https://storage.googleapis.com/acdb/headwear/CapHatOutdoorpine0.png")</f>
        <v/>
      </c>
      <c r="C633" s="5" t="s">
        <v>9021</v>
      </c>
      <c r="D633" s="5" t="s">
        <v>36</v>
      </c>
      <c r="E633" s="6">
        <v>700.0</v>
      </c>
      <c r="F633" s="6">
        <v>175.0</v>
      </c>
      <c r="G633" s="5" t="s">
        <v>96</v>
      </c>
      <c r="H633" s="5" t="s">
        <v>114</v>
      </c>
      <c r="I633" s="6" t="s">
        <v>40</v>
      </c>
      <c r="J633" s="5" t="s">
        <v>8585</v>
      </c>
      <c r="K633" s="5" t="s">
        <v>8632</v>
      </c>
      <c r="L633" s="6" t="s">
        <v>42</v>
      </c>
      <c r="M633" s="5" t="s">
        <v>8746</v>
      </c>
      <c r="N633" s="5" t="s">
        <v>64</v>
      </c>
      <c r="O633" s="5" t="s">
        <v>18464</v>
      </c>
      <c r="P633" s="6">
        <v>11061.0</v>
      </c>
    </row>
    <row r="634" ht="56.25" customHeight="1">
      <c r="A634" s="5" t="s">
        <v>18455</v>
      </c>
      <c r="B634" s="6" t="str">
        <f>IMAGE("https://storage.googleapis.com/acdb/headwear/CapHatOutdoorpine4.png")</f>
        <v/>
      </c>
      <c r="C634" s="5" t="s">
        <v>69</v>
      </c>
      <c r="D634" s="5" t="s">
        <v>36</v>
      </c>
      <c r="E634" s="6">
        <v>700.0</v>
      </c>
      <c r="F634" s="6">
        <v>175.0</v>
      </c>
      <c r="G634" s="5" t="s">
        <v>69</v>
      </c>
      <c r="H634" s="5" t="s">
        <v>114</v>
      </c>
      <c r="I634" s="6" t="s">
        <v>40</v>
      </c>
      <c r="J634" s="5" t="s">
        <v>8585</v>
      </c>
      <c r="K634" s="5" t="s">
        <v>8632</v>
      </c>
      <c r="L634" s="6" t="s">
        <v>42</v>
      </c>
      <c r="M634" s="5" t="s">
        <v>8746</v>
      </c>
      <c r="N634" s="5" t="s">
        <v>64</v>
      </c>
      <c r="O634" s="5" t="s">
        <v>18467</v>
      </c>
      <c r="P634" s="6">
        <v>12111.0</v>
      </c>
    </row>
    <row r="635" ht="56.25" customHeight="1">
      <c r="A635" s="5" t="s">
        <v>18455</v>
      </c>
      <c r="B635" s="6" t="str">
        <f>IMAGE("https://storage.googleapis.com/acdb/headwear/CapHatOutdoorpine1.png")</f>
        <v/>
      </c>
      <c r="C635" s="5" t="s">
        <v>57</v>
      </c>
      <c r="D635" s="5" t="s">
        <v>36</v>
      </c>
      <c r="E635" s="6">
        <v>700.0</v>
      </c>
      <c r="F635" s="6">
        <v>175.0</v>
      </c>
      <c r="G635" s="5" t="s">
        <v>57</v>
      </c>
      <c r="H635" s="5" t="s">
        <v>114</v>
      </c>
      <c r="I635" s="6" t="s">
        <v>40</v>
      </c>
      <c r="J635" s="5" t="s">
        <v>8585</v>
      </c>
      <c r="K635" s="5" t="s">
        <v>8632</v>
      </c>
      <c r="L635" s="6" t="s">
        <v>42</v>
      </c>
      <c r="M635" s="5" t="s">
        <v>8746</v>
      </c>
      <c r="N635" s="5" t="s">
        <v>64</v>
      </c>
      <c r="O635" s="5" t="s">
        <v>18471</v>
      </c>
      <c r="P635" s="6">
        <v>12041.0</v>
      </c>
    </row>
    <row r="636" ht="56.25" customHeight="1">
      <c r="A636" s="5" t="s">
        <v>18455</v>
      </c>
      <c r="B636" s="6" t="str">
        <f>IMAGE("https://storage.googleapis.com/acdb/headwear/CapHatOutdoorpine2.png")</f>
        <v/>
      </c>
      <c r="C636" s="5" t="s">
        <v>68</v>
      </c>
      <c r="D636" s="5" t="s">
        <v>36</v>
      </c>
      <c r="E636" s="6">
        <v>700.0</v>
      </c>
      <c r="F636" s="6">
        <v>175.0</v>
      </c>
      <c r="G636" s="5" t="s">
        <v>68</v>
      </c>
      <c r="H636" s="5" t="s">
        <v>114</v>
      </c>
      <c r="I636" s="6" t="s">
        <v>40</v>
      </c>
      <c r="J636" s="5" t="s">
        <v>8585</v>
      </c>
      <c r="K636" s="5" t="s">
        <v>8632</v>
      </c>
      <c r="L636" s="6" t="s">
        <v>42</v>
      </c>
      <c r="M636" s="5" t="s">
        <v>8746</v>
      </c>
      <c r="N636" s="5" t="s">
        <v>64</v>
      </c>
      <c r="O636" s="5" t="s">
        <v>18476</v>
      </c>
      <c r="P636" s="6">
        <v>12042.0</v>
      </c>
    </row>
    <row r="637" ht="56.25" customHeight="1">
      <c r="A637" s="5" t="s">
        <v>18477</v>
      </c>
      <c r="B637" s="6" t="str">
        <f>IMAGE("https://storage.googleapis.com/acdb/headwear/CapHatUzbek0.png")</f>
        <v/>
      </c>
      <c r="C637" s="5" t="s">
        <v>52</v>
      </c>
      <c r="D637" s="5" t="s">
        <v>36</v>
      </c>
      <c r="E637" s="6" t="s">
        <v>37</v>
      </c>
      <c r="F637" s="6">
        <v>500.0</v>
      </c>
      <c r="G637" s="5" t="s">
        <v>52</v>
      </c>
      <c r="H637" s="5" t="s">
        <v>39</v>
      </c>
      <c r="I637" s="6" t="s">
        <v>40</v>
      </c>
      <c r="J637" s="5" t="s">
        <v>1284</v>
      </c>
      <c r="K637" s="5"/>
      <c r="L637" s="6" t="s">
        <v>42</v>
      </c>
      <c r="M637" s="5" t="s">
        <v>612</v>
      </c>
      <c r="N637" s="5" t="s">
        <v>48</v>
      </c>
      <c r="O637" s="5" t="s">
        <v>18481</v>
      </c>
      <c r="P637" s="6">
        <v>10913.0</v>
      </c>
    </row>
    <row r="638" ht="56.25" customHeight="1">
      <c r="A638" s="5" t="s">
        <v>18477</v>
      </c>
      <c r="B638" s="6" t="str">
        <f>IMAGE("https://storage.googleapis.com/acdb/headwear/CapHatUzbek1.png")</f>
        <v/>
      </c>
      <c r="C638" s="5" t="s">
        <v>68</v>
      </c>
      <c r="D638" s="5" t="s">
        <v>36</v>
      </c>
      <c r="E638" s="6" t="s">
        <v>37</v>
      </c>
      <c r="F638" s="6">
        <v>500.0</v>
      </c>
      <c r="G638" s="5" t="s">
        <v>83</v>
      </c>
      <c r="H638" s="5" t="s">
        <v>68</v>
      </c>
      <c r="I638" s="6" t="s">
        <v>40</v>
      </c>
      <c r="J638" s="5" t="s">
        <v>1284</v>
      </c>
      <c r="K638" s="5"/>
      <c r="L638" s="6" t="s">
        <v>42</v>
      </c>
      <c r="M638" s="5" t="s">
        <v>612</v>
      </c>
      <c r="N638" s="5" t="s">
        <v>48</v>
      </c>
      <c r="O638" s="5" t="s">
        <v>18483</v>
      </c>
      <c r="P638" s="6">
        <v>12030.0</v>
      </c>
    </row>
    <row r="639" ht="56.25" customHeight="1">
      <c r="A639" s="5" t="s">
        <v>18477</v>
      </c>
      <c r="B639" s="6" t="str">
        <f>IMAGE("https://storage.googleapis.com/acdb/headwear/CapHatUzbek2.png")</f>
        <v/>
      </c>
      <c r="C639" s="5" t="s">
        <v>2408</v>
      </c>
      <c r="D639" s="5" t="s">
        <v>36</v>
      </c>
      <c r="E639" s="6" t="s">
        <v>37</v>
      </c>
      <c r="F639" s="6">
        <v>500.0</v>
      </c>
      <c r="G639" s="5" t="s">
        <v>142</v>
      </c>
      <c r="H639" s="5" t="s">
        <v>39</v>
      </c>
      <c r="I639" s="6" t="s">
        <v>40</v>
      </c>
      <c r="J639" s="5" t="s">
        <v>1284</v>
      </c>
      <c r="K639" s="5"/>
      <c r="L639" s="6" t="s">
        <v>42</v>
      </c>
      <c r="M639" s="5" t="s">
        <v>612</v>
      </c>
      <c r="N639" s="5" t="s">
        <v>48</v>
      </c>
      <c r="O639" s="5" t="s">
        <v>18488</v>
      </c>
      <c r="P639" s="6">
        <v>12031.0</v>
      </c>
    </row>
    <row r="640" ht="56.25" customHeight="1">
      <c r="A640" s="5" t="s">
        <v>18477</v>
      </c>
      <c r="B640" s="6" t="str">
        <f>IMAGE("https://storage.googleapis.com/acdb/headwear/CapHatUzbek3.png")</f>
        <v/>
      </c>
      <c r="C640" s="5" t="s">
        <v>106</v>
      </c>
      <c r="D640" s="5" t="s">
        <v>36</v>
      </c>
      <c r="E640" s="6" t="s">
        <v>37</v>
      </c>
      <c r="F640" s="6">
        <v>500.0</v>
      </c>
      <c r="G640" s="5" t="s">
        <v>106</v>
      </c>
      <c r="H640" s="5" t="s">
        <v>69</v>
      </c>
      <c r="I640" s="6" t="s">
        <v>40</v>
      </c>
      <c r="J640" s="5" t="s">
        <v>1284</v>
      </c>
      <c r="K640" s="5"/>
      <c r="L640" s="6" t="s">
        <v>42</v>
      </c>
      <c r="M640" s="5" t="s">
        <v>612</v>
      </c>
      <c r="N640" s="5" t="s">
        <v>48</v>
      </c>
      <c r="O640" s="5" t="s">
        <v>18492</v>
      </c>
      <c r="P640" s="6">
        <v>12032.0</v>
      </c>
    </row>
    <row r="641" ht="56.25" customHeight="1">
      <c r="A641" s="5" t="s">
        <v>18493</v>
      </c>
      <c r="B641" s="6" t="str">
        <f>IMAGE("https://storage.googleapis.com/acdb/headwear/CapOrnamentTulip1.png")</f>
        <v/>
      </c>
      <c r="C641" s="5" t="s">
        <v>58</v>
      </c>
      <c r="D641" s="5" t="s">
        <v>35</v>
      </c>
      <c r="E641" s="6" t="s">
        <v>37</v>
      </c>
      <c r="F641" s="6">
        <v>400.0</v>
      </c>
      <c r="G641" s="5" t="s">
        <v>52</v>
      </c>
      <c r="H641" s="5" t="s">
        <v>114</v>
      </c>
      <c r="I641" s="6" t="s">
        <v>40</v>
      </c>
      <c r="J641" s="5" t="s">
        <v>41</v>
      </c>
      <c r="K641" s="5"/>
      <c r="L641" s="6" t="s">
        <v>42</v>
      </c>
      <c r="M641" s="5" t="s">
        <v>1959</v>
      </c>
      <c r="N641" s="5" t="s">
        <v>48</v>
      </c>
      <c r="O641" s="5" t="s">
        <v>18497</v>
      </c>
      <c r="P641" s="6">
        <v>5102.0</v>
      </c>
    </row>
    <row r="642" ht="56.25" customHeight="1">
      <c r="A642" s="5" t="s">
        <v>18499</v>
      </c>
      <c r="B642" s="6" t="str">
        <f>IMAGE("https://storage.googleapis.com/acdb/headwear/CapHatTulip0.png")</f>
        <v/>
      </c>
      <c r="C642" s="5" t="s">
        <v>142</v>
      </c>
      <c r="D642" s="5" t="s">
        <v>36</v>
      </c>
      <c r="E642" s="6">
        <v>630.0</v>
      </c>
      <c r="F642" s="6">
        <v>157.0</v>
      </c>
      <c r="G642" s="5" t="s">
        <v>142</v>
      </c>
      <c r="H642" s="5" t="s">
        <v>142</v>
      </c>
      <c r="I642" s="6" t="s">
        <v>40</v>
      </c>
      <c r="J642" s="5" t="s">
        <v>8585</v>
      </c>
      <c r="K642" s="5" t="s">
        <v>8632</v>
      </c>
      <c r="L642" s="6" t="s">
        <v>42</v>
      </c>
      <c r="M642" s="5" t="s">
        <v>995</v>
      </c>
      <c r="N642" s="5" t="s">
        <v>64</v>
      </c>
      <c r="O642" s="5" t="s">
        <v>18503</v>
      </c>
      <c r="P642" s="6">
        <v>5293.0</v>
      </c>
    </row>
    <row r="643" ht="56.25" customHeight="1">
      <c r="A643" s="5" t="s">
        <v>18499</v>
      </c>
      <c r="B643" s="6" t="str">
        <f>IMAGE("https://storage.googleapis.com/acdb/headwear/CapHatTulip1.png")</f>
        <v/>
      </c>
      <c r="C643" s="5" t="s">
        <v>39</v>
      </c>
      <c r="D643" s="5" t="s">
        <v>36</v>
      </c>
      <c r="E643" s="6">
        <v>630.0</v>
      </c>
      <c r="F643" s="6">
        <v>157.0</v>
      </c>
      <c r="G643" s="5" t="s">
        <v>39</v>
      </c>
      <c r="H643" s="5" t="s">
        <v>39</v>
      </c>
      <c r="I643" s="6" t="s">
        <v>40</v>
      </c>
      <c r="J643" s="5" t="s">
        <v>8585</v>
      </c>
      <c r="K643" s="5" t="s">
        <v>8632</v>
      </c>
      <c r="L643" s="6" t="s">
        <v>42</v>
      </c>
      <c r="M643" s="5" t="s">
        <v>995</v>
      </c>
      <c r="N643" s="5" t="s">
        <v>64</v>
      </c>
      <c r="O643" s="5" t="s">
        <v>18506</v>
      </c>
      <c r="P643" s="6">
        <v>11834.0</v>
      </c>
    </row>
    <row r="644" ht="56.25" customHeight="1">
      <c r="A644" s="5" t="s">
        <v>18499</v>
      </c>
      <c r="B644" s="6" t="str">
        <f>IMAGE("https://storage.googleapis.com/acdb/headwear/CapHatTulip2.png")</f>
        <v/>
      </c>
      <c r="C644" s="5" t="s">
        <v>2408</v>
      </c>
      <c r="D644" s="5" t="s">
        <v>36</v>
      </c>
      <c r="E644" s="6">
        <v>630.0</v>
      </c>
      <c r="F644" s="6">
        <v>157.0</v>
      </c>
      <c r="G644" s="5" t="s">
        <v>114</v>
      </c>
      <c r="H644" s="5" t="s">
        <v>114</v>
      </c>
      <c r="I644" s="6" t="s">
        <v>40</v>
      </c>
      <c r="J644" s="5" t="s">
        <v>8585</v>
      </c>
      <c r="K644" s="5" t="s">
        <v>8632</v>
      </c>
      <c r="L644" s="6" t="s">
        <v>42</v>
      </c>
      <c r="M644" s="5" t="s">
        <v>995</v>
      </c>
      <c r="N644" s="5" t="s">
        <v>64</v>
      </c>
      <c r="O644" s="5" t="s">
        <v>18511</v>
      </c>
      <c r="P644" s="6">
        <v>11835.0</v>
      </c>
    </row>
    <row r="645" ht="56.25" customHeight="1">
      <c r="A645" s="5" t="s">
        <v>18512</v>
      </c>
      <c r="B645" s="6" t="str">
        <f>IMAGE("https://storage.googleapis.com/acdb/headwear/CapHelmetTurban1.png")</f>
        <v/>
      </c>
      <c r="C645" s="5" t="s">
        <v>68</v>
      </c>
      <c r="D645" s="5" t="s">
        <v>36</v>
      </c>
      <c r="E645" s="6" t="s">
        <v>37</v>
      </c>
      <c r="F645" s="6">
        <v>800.0</v>
      </c>
      <c r="G645" s="5" t="s">
        <v>57</v>
      </c>
      <c r="H645" s="5" t="s">
        <v>83</v>
      </c>
      <c r="I645" s="6" t="s">
        <v>40</v>
      </c>
      <c r="J645" s="5" t="s">
        <v>1284</v>
      </c>
      <c r="K645" s="5"/>
      <c r="L645" s="6" t="s">
        <v>42</v>
      </c>
      <c r="M645" s="5" t="s">
        <v>1059</v>
      </c>
      <c r="N645" s="5" t="s">
        <v>48</v>
      </c>
      <c r="O645" s="5" t="s">
        <v>18515</v>
      </c>
      <c r="P645" s="6">
        <v>11863.0</v>
      </c>
    </row>
    <row r="646" ht="56.25" customHeight="1">
      <c r="A646" s="5" t="s">
        <v>18512</v>
      </c>
      <c r="B646" s="6" t="str">
        <f>IMAGE("https://storage.googleapis.com/acdb/headwear/CapHelmetTurban2.png")</f>
        <v/>
      </c>
      <c r="C646" s="5" t="s">
        <v>69</v>
      </c>
      <c r="D646" s="5" t="s">
        <v>36</v>
      </c>
      <c r="E646" s="6" t="s">
        <v>37</v>
      </c>
      <c r="F646" s="6">
        <v>800.0</v>
      </c>
      <c r="G646" s="5" t="s">
        <v>57</v>
      </c>
      <c r="H646" s="5" t="s">
        <v>69</v>
      </c>
      <c r="I646" s="6" t="s">
        <v>40</v>
      </c>
      <c r="J646" s="5" t="s">
        <v>1284</v>
      </c>
      <c r="K646" s="5"/>
      <c r="L646" s="6" t="s">
        <v>42</v>
      </c>
      <c r="M646" s="5" t="s">
        <v>1059</v>
      </c>
      <c r="N646" s="5" t="s">
        <v>48</v>
      </c>
      <c r="O646" s="5" t="s">
        <v>18520</v>
      </c>
      <c r="P646" s="6">
        <v>11864.0</v>
      </c>
    </row>
    <row r="647" ht="56.25" customHeight="1">
      <c r="A647" s="5" t="s">
        <v>18512</v>
      </c>
      <c r="B647" s="6" t="str">
        <f>IMAGE("https://storage.googleapis.com/acdb/headwear/CapHelmetTurban3.png")</f>
        <v/>
      </c>
      <c r="C647" s="5" t="s">
        <v>114</v>
      </c>
      <c r="D647" s="5" t="s">
        <v>36</v>
      </c>
      <c r="E647" s="6" t="s">
        <v>37</v>
      </c>
      <c r="F647" s="6">
        <v>800.0</v>
      </c>
      <c r="G647" s="5" t="s">
        <v>57</v>
      </c>
      <c r="H647" s="5" t="s">
        <v>114</v>
      </c>
      <c r="I647" s="6" t="s">
        <v>40</v>
      </c>
      <c r="J647" s="5" t="s">
        <v>1284</v>
      </c>
      <c r="K647" s="5"/>
      <c r="L647" s="6" t="s">
        <v>42</v>
      </c>
      <c r="M647" s="5" t="s">
        <v>1059</v>
      </c>
      <c r="N647" s="5" t="s">
        <v>48</v>
      </c>
      <c r="O647" s="5" t="s">
        <v>18524</v>
      </c>
      <c r="P647" s="6">
        <v>11865.0</v>
      </c>
    </row>
    <row r="648" ht="56.25" customHeight="1">
      <c r="A648" s="5" t="s">
        <v>18512</v>
      </c>
      <c r="B648" s="6" t="str">
        <f>IMAGE("https://storage.googleapis.com/acdb/headwear/CapHelmetTurban0.png")</f>
        <v/>
      </c>
      <c r="C648" s="5" t="s">
        <v>106</v>
      </c>
      <c r="D648" s="5" t="s">
        <v>36</v>
      </c>
      <c r="E648" s="6" t="s">
        <v>37</v>
      </c>
      <c r="F648" s="6">
        <v>800.0</v>
      </c>
      <c r="G648" s="5" t="s">
        <v>57</v>
      </c>
      <c r="H648" s="5" t="s">
        <v>106</v>
      </c>
      <c r="I648" s="6" t="s">
        <v>40</v>
      </c>
      <c r="J648" s="5" t="s">
        <v>1284</v>
      </c>
      <c r="K648" s="5"/>
      <c r="L648" s="6" t="s">
        <v>42</v>
      </c>
      <c r="M648" s="5" t="s">
        <v>1059</v>
      </c>
      <c r="N648" s="5" t="s">
        <v>48</v>
      </c>
      <c r="O648" s="5" t="s">
        <v>18529</v>
      </c>
      <c r="P648" s="6">
        <v>5434.0</v>
      </c>
    </row>
    <row r="649" ht="56.25" customHeight="1">
      <c r="A649" s="5" t="s">
        <v>18530</v>
      </c>
      <c r="B649" s="6" t="str">
        <f>IMAGE("https://storage.googleapis.com/acdb/headwear/CapHatTweed0.png")</f>
        <v/>
      </c>
      <c r="C649" s="5" t="s">
        <v>39</v>
      </c>
      <c r="D649" s="5" t="s">
        <v>36</v>
      </c>
      <c r="E649" s="6">
        <v>1100.0</v>
      </c>
      <c r="F649" s="6">
        <v>275.0</v>
      </c>
      <c r="G649" s="5" t="s">
        <v>39</v>
      </c>
      <c r="H649" s="5" t="s">
        <v>38</v>
      </c>
      <c r="I649" s="6" t="s">
        <v>40</v>
      </c>
      <c r="J649" s="5" t="s">
        <v>8585</v>
      </c>
      <c r="K649" s="5" t="s">
        <v>8632</v>
      </c>
      <c r="L649" s="6" t="s">
        <v>42</v>
      </c>
      <c r="M649" s="5" t="s">
        <v>1059</v>
      </c>
      <c r="N649" s="5" t="s">
        <v>64</v>
      </c>
      <c r="O649" s="5" t="s">
        <v>18535</v>
      </c>
      <c r="P649" s="6">
        <v>9769.0</v>
      </c>
    </row>
    <row r="650" ht="56.25" customHeight="1">
      <c r="A650" s="5" t="s">
        <v>18530</v>
      </c>
      <c r="B650" s="6" t="str">
        <f>IMAGE("https://storage.googleapis.com/acdb/headwear/CapHatTweed1.png")</f>
        <v/>
      </c>
      <c r="C650" s="5" t="s">
        <v>68</v>
      </c>
      <c r="D650" s="5" t="s">
        <v>36</v>
      </c>
      <c r="E650" s="6">
        <v>1100.0</v>
      </c>
      <c r="F650" s="6">
        <v>275.0</v>
      </c>
      <c r="G650" s="5" t="s">
        <v>68</v>
      </c>
      <c r="H650" s="5" t="s">
        <v>83</v>
      </c>
      <c r="I650" s="6" t="s">
        <v>40</v>
      </c>
      <c r="J650" s="5" t="s">
        <v>8585</v>
      </c>
      <c r="K650" s="5" t="s">
        <v>8632</v>
      </c>
      <c r="L650" s="6" t="s">
        <v>42</v>
      </c>
      <c r="M650" s="5" t="s">
        <v>1059</v>
      </c>
      <c r="N650" s="5" t="s">
        <v>64</v>
      </c>
      <c r="O650" s="5" t="s">
        <v>18540</v>
      </c>
      <c r="P650" s="6">
        <v>11983.0</v>
      </c>
    </row>
    <row r="651" ht="56.25" customHeight="1">
      <c r="A651" s="5" t="s">
        <v>18530</v>
      </c>
      <c r="B651" s="6" t="str">
        <f>IMAGE("https://storage.googleapis.com/acdb/headwear/CapHatTweed2.png")</f>
        <v/>
      </c>
      <c r="C651" s="5" t="s">
        <v>96</v>
      </c>
      <c r="D651" s="5" t="s">
        <v>36</v>
      </c>
      <c r="E651" s="6">
        <v>1100.0</v>
      </c>
      <c r="F651" s="6">
        <v>275.0</v>
      </c>
      <c r="G651" s="5" t="s">
        <v>96</v>
      </c>
      <c r="H651" s="5" t="s">
        <v>96</v>
      </c>
      <c r="I651" s="6" t="s">
        <v>40</v>
      </c>
      <c r="J651" s="5" t="s">
        <v>8585</v>
      </c>
      <c r="K651" s="5" t="s">
        <v>8632</v>
      </c>
      <c r="L651" s="6" t="s">
        <v>42</v>
      </c>
      <c r="M651" s="5" t="s">
        <v>1059</v>
      </c>
      <c r="N651" s="5" t="s">
        <v>64</v>
      </c>
      <c r="O651" s="5" t="s">
        <v>18544</v>
      </c>
      <c r="P651" s="6">
        <v>11984.0</v>
      </c>
    </row>
    <row r="652" ht="56.25" customHeight="1">
      <c r="A652" s="5" t="s">
        <v>18546</v>
      </c>
      <c r="B652" s="6" t="str">
        <f>IMAGE("https://storage.googleapis.com/acdb/headwear/CapFullfaceVeil0.png")</f>
        <v/>
      </c>
      <c r="C652" s="5" t="s">
        <v>68</v>
      </c>
      <c r="D652" s="5" t="s">
        <v>36</v>
      </c>
      <c r="E652" s="6" t="s">
        <v>37</v>
      </c>
      <c r="F652" s="6">
        <v>800.0</v>
      </c>
      <c r="G652" s="5" t="s">
        <v>83</v>
      </c>
      <c r="H652" s="5" t="s">
        <v>114</v>
      </c>
      <c r="I652" s="6" t="s">
        <v>40</v>
      </c>
      <c r="J652" s="5" t="s">
        <v>1284</v>
      </c>
      <c r="K652" s="5"/>
      <c r="L652" s="6" t="s">
        <v>42</v>
      </c>
      <c r="M652" s="5" t="s">
        <v>1059</v>
      </c>
      <c r="N652" s="5" t="s">
        <v>48</v>
      </c>
      <c r="O652" s="5" t="s">
        <v>18550</v>
      </c>
      <c r="P652" s="6">
        <v>5684.0</v>
      </c>
    </row>
    <row r="653" ht="56.25" customHeight="1">
      <c r="A653" s="5" t="s">
        <v>18546</v>
      </c>
      <c r="B653" s="6" t="str">
        <f>IMAGE("https://storage.googleapis.com/acdb/headwear/CapFullfaceVeil1.png")</f>
        <v/>
      </c>
      <c r="C653" s="5" t="s">
        <v>106</v>
      </c>
      <c r="D653" s="5" t="s">
        <v>36</v>
      </c>
      <c r="E653" s="6" t="s">
        <v>37</v>
      </c>
      <c r="F653" s="6">
        <v>800.0</v>
      </c>
      <c r="G653" s="5" t="s">
        <v>106</v>
      </c>
      <c r="H653" s="5" t="s">
        <v>114</v>
      </c>
      <c r="I653" s="6" t="s">
        <v>40</v>
      </c>
      <c r="J653" s="5" t="s">
        <v>1284</v>
      </c>
      <c r="K653" s="5"/>
      <c r="L653" s="6" t="s">
        <v>42</v>
      </c>
      <c r="M653" s="5" t="s">
        <v>1059</v>
      </c>
      <c r="N653" s="5" t="s">
        <v>48</v>
      </c>
      <c r="O653" s="5" t="s">
        <v>18556</v>
      </c>
      <c r="P653" s="6">
        <v>11881.0</v>
      </c>
    </row>
    <row r="654" ht="56.25" customHeight="1">
      <c r="A654" s="5" t="s">
        <v>18546</v>
      </c>
      <c r="B654" s="6" t="str">
        <f>IMAGE("https://storage.googleapis.com/acdb/headwear/CapFullfaceVeil2.png")</f>
        <v/>
      </c>
      <c r="C654" s="5" t="s">
        <v>69</v>
      </c>
      <c r="D654" s="5" t="s">
        <v>36</v>
      </c>
      <c r="E654" s="6" t="s">
        <v>37</v>
      </c>
      <c r="F654" s="6">
        <v>800.0</v>
      </c>
      <c r="G654" s="5" t="s">
        <v>52</v>
      </c>
      <c r="H654" s="5" t="s">
        <v>114</v>
      </c>
      <c r="I654" s="6" t="s">
        <v>40</v>
      </c>
      <c r="J654" s="5" t="s">
        <v>1284</v>
      </c>
      <c r="K654" s="5"/>
      <c r="L654" s="6" t="s">
        <v>42</v>
      </c>
      <c r="M654" s="5" t="s">
        <v>1059</v>
      </c>
      <c r="N654" s="5" t="s">
        <v>48</v>
      </c>
      <c r="O654" s="5" t="s">
        <v>18561</v>
      </c>
      <c r="P654" s="6">
        <v>11882.0</v>
      </c>
    </row>
    <row r="655" ht="56.25" customHeight="1">
      <c r="A655" s="5" t="s">
        <v>18546</v>
      </c>
      <c r="B655" s="6" t="str">
        <f>IMAGE("https://storage.googleapis.com/acdb/headwear/CapFullfaceVeil3.png")</f>
        <v/>
      </c>
      <c r="C655" s="5" t="s">
        <v>114</v>
      </c>
      <c r="D655" s="5" t="s">
        <v>36</v>
      </c>
      <c r="E655" s="6" t="s">
        <v>37</v>
      </c>
      <c r="F655" s="6">
        <v>800.0</v>
      </c>
      <c r="G655" s="5" t="s">
        <v>114</v>
      </c>
      <c r="H655" s="5" t="s">
        <v>114</v>
      </c>
      <c r="I655" s="6" t="s">
        <v>40</v>
      </c>
      <c r="J655" s="5" t="s">
        <v>1284</v>
      </c>
      <c r="K655" s="5"/>
      <c r="L655" s="6" t="s">
        <v>42</v>
      </c>
      <c r="M655" s="5" t="s">
        <v>1059</v>
      </c>
      <c r="N655" s="5" t="s">
        <v>48</v>
      </c>
      <c r="O655" s="5" t="s">
        <v>18566</v>
      </c>
      <c r="P655" s="6">
        <v>11883.0</v>
      </c>
    </row>
    <row r="656" ht="56.25" customHeight="1">
      <c r="A656" s="5" t="s">
        <v>18567</v>
      </c>
      <c r="B656" s="6" t="str">
        <f>IMAGE("https://storage.googleapis.com/acdb/headwear/CapCostumeFarm0.png")</f>
        <v/>
      </c>
      <c r="C656" s="5" t="s">
        <v>69</v>
      </c>
      <c r="D656" s="5" t="s">
        <v>36</v>
      </c>
      <c r="E656" s="6">
        <v>560.0</v>
      </c>
      <c r="F656" s="6">
        <v>140.0</v>
      </c>
      <c r="G656" s="5" t="s">
        <v>69</v>
      </c>
      <c r="H656" s="5" t="s">
        <v>57</v>
      </c>
      <c r="I656" s="6" t="s">
        <v>40</v>
      </c>
      <c r="J656" s="5" t="s">
        <v>8585</v>
      </c>
      <c r="K656" s="5" t="s">
        <v>8632</v>
      </c>
      <c r="L656" s="6" t="s">
        <v>42</v>
      </c>
      <c r="M656" s="5" t="s">
        <v>8746</v>
      </c>
      <c r="N656" s="5" t="s">
        <v>64</v>
      </c>
      <c r="O656" s="5" t="s">
        <v>18572</v>
      </c>
      <c r="P656" s="6">
        <v>5669.0</v>
      </c>
    </row>
    <row r="657" ht="56.25" customHeight="1">
      <c r="A657" s="5" t="s">
        <v>18567</v>
      </c>
      <c r="B657" s="6" t="str">
        <f>IMAGE("https://storage.googleapis.com/acdb/headwear/CapCostumeFarm1.png")</f>
        <v/>
      </c>
      <c r="C657" s="5" t="s">
        <v>68</v>
      </c>
      <c r="D657" s="5" t="s">
        <v>36</v>
      </c>
      <c r="E657" s="6">
        <v>560.0</v>
      </c>
      <c r="F657" s="6">
        <v>140.0</v>
      </c>
      <c r="G657" s="5" t="s">
        <v>83</v>
      </c>
      <c r="H657" s="5" t="s">
        <v>57</v>
      </c>
      <c r="I657" s="6" t="s">
        <v>40</v>
      </c>
      <c r="J657" s="5" t="s">
        <v>8585</v>
      </c>
      <c r="K657" s="5" t="s">
        <v>8632</v>
      </c>
      <c r="L657" s="6" t="s">
        <v>42</v>
      </c>
      <c r="M657" s="5" t="s">
        <v>8746</v>
      </c>
      <c r="N657" s="5" t="s">
        <v>64</v>
      </c>
      <c r="O657" s="5" t="s">
        <v>18575</v>
      </c>
      <c r="P657" s="6">
        <v>11815.0</v>
      </c>
    </row>
    <row r="658" ht="56.25" customHeight="1">
      <c r="A658" s="5" t="s">
        <v>18567</v>
      </c>
      <c r="B658" s="6" t="str">
        <f>IMAGE("https://storage.googleapis.com/acdb/headwear/CapCostumeFarm2.png")</f>
        <v/>
      </c>
      <c r="C658" s="5" t="s">
        <v>142</v>
      </c>
      <c r="D658" s="5" t="s">
        <v>36</v>
      </c>
      <c r="E658" s="6">
        <v>560.0</v>
      </c>
      <c r="F658" s="6">
        <v>140.0</v>
      </c>
      <c r="G658" s="5" t="s">
        <v>142</v>
      </c>
      <c r="H658" s="5" t="s">
        <v>57</v>
      </c>
      <c r="I658" s="6" t="s">
        <v>40</v>
      </c>
      <c r="J658" s="5" t="s">
        <v>8585</v>
      </c>
      <c r="K658" s="5" t="s">
        <v>8632</v>
      </c>
      <c r="L658" s="6" t="s">
        <v>42</v>
      </c>
      <c r="M658" s="5" t="s">
        <v>8746</v>
      </c>
      <c r="N658" s="5" t="s">
        <v>64</v>
      </c>
      <c r="O658" s="5" t="s">
        <v>18579</v>
      </c>
      <c r="P658" s="6">
        <v>11816.0</v>
      </c>
    </row>
    <row r="659" ht="56.25" customHeight="1">
      <c r="A659" s="5" t="s">
        <v>18567</v>
      </c>
      <c r="B659" s="6" t="str">
        <f>IMAGE("https://storage.googleapis.com/acdb/headwear/CapCostumeFarm3.png")</f>
        <v/>
      </c>
      <c r="C659" s="5" t="s">
        <v>96</v>
      </c>
      <c r="D659" s="5" t="s">
        <v>36</v>
      </c>
      <c r="E659" s="6">
        <v>560.0</v>
      </c>
      <c r="F659" s="6">
        <v>140.0</v>
      </c>
      <c r="G659" s="5" t="s">
        <v>96</v>
      </c>
      <c r="H659" s="5" t="s">
        <v>57</v>
      </c>
      <c r="I659" s="6" t="s">
        <v>40</v>
      </c>
      <c r="J659" s="5" t="s">
        <v>8585</v>
      </c>
      <c r="K659" s="5" t="s">
        <v>8632</v>
      </c>
      <c r="L659" s="6" t="s">
        <v>42</v>
      </c>
      <c r="M659" s="5" t="s">
        <v>8746</v>
      </c>
      <c r="N659" s="5" t="s">
        <v>64</v>
      </c>
      <c r="O659" s="5" t="s">
        <v>18583</v>
      </c>
      <c r="P659" s="6">
        <v>11817.0</v>
      </c>
    </row>
    <row r="660" ht="56.25" customHeight="1">
      <c r="A660" s="5" t="s">
        <v>18567</v>
      </c>
      <c r="B660" s="6" t="str">
        <f>IMAGE("https://storage.googleapis.com/acdb/headwear/CapCostumeFarm4.png")</f>
        <v/>
      </c>
      <c r="C660" s="5" t="s">
        <v>106</v>
      </c>
      <c r="D660" s="5" t="s">
        <v>36</v>
      </c>
      <c r="E660" s="6">
        <v>560.0</v>
      </c>
      <c r="F660" s="6">
        <v>140.0</v>
      </c>
      <c r="G660" s="5" t="s">
        <v>106</v>
      </c>
      <c r="H660" s="5" t="s">
        <v>57</v>
      </c>
      <c r="I660" s="6" t="s">
        <v>40</v>
      </c>
      <c r="J660" s="5" t="s">
        <v>8585</v>
      </c>
      <c r="K660" s="5" t="s">
        <v>8632</v>
      </c>
      <c r="L660" s="6" t="s">
        <v>42</v>
      </c>
      <c r="M660" s="5" t="s">
        <v>8746</v>
      </c>
      <c r="N660" s="5" t="s">
        <v>64</v>
      </c>
      <c r="O660" s="5" t="s">
        <v>18586</v>
      </c>
      <c r="P660" s="6">
        <v>11818.0</v>
      </c>
    </row>
    <row r="661" ht="56.25" customHeight="1">
      <c r="A661" s="5" t="s">
        <v>18587</v>
      </c>
      <c r="B661" s="6" t="str">
        <f>IMAGE("https://storage.googleapis.com/acdb/headwear/CapHatViking2.png")</f>
        <v/>
      </c>
      <c r="C661" s="5" t="s">
        <v>68</v>
      </c>
      <c r="D661" s="5" t="s">
        <v>36</v>
      </c>
      <c r="E661" s="6">
        <v>2100.0</v>
      </c>
      <c r="F661" s="6">
        <v>525.0</v>
      </c>
      <c r="G661" s="5" t="s">
        <v>68</v>
      </c>
      <c r="H661" s="5" t="s">
        <v>95</v>
      </c>
      <c r="I661" s="6" t="s">
        <v>40</v>
      </c>
      <c r="J661" s="5" t="s">
        <v>8585</v>
      </c>
      <c r="K661" s="5" t="s">
        <v>8586</v>
      </c>
      <c r="L661" s="6" t="s">
        <v>42</v>
      </c>
      <c r="M661" s="5" t="s">
        <v>8746</v>
      </c>
      <c r="N661" s="5" t="s">
        <v>64</v>
      </c>
      <c r="O661" s="5" t="s">
        <v>18590</v>
      </c>
      <c r="P661" s="6">
        <v>9740.0</v>
      </c>
    </row>
    <row r="662" ht="56.25" customHeight="1">
      <c r="A662" s="5" t="s">
        <v>18587</v>
      </c>
      <c r="B662" s="6" t="str">
        <f>IMAGE("https://storage.googleapis.com/acdb/headwear/CapHatViking1.png")</f>
        <v/>
      </c>
      <c r="C662" s="5" t="s">
        <v>39</v>
      </c>
      <c r="D662" s="5" t="s">
        <v>36</v>
      </c>
      <c r="E662" s="6">
        <v>2100.0</v>
      </c>
      <c r="F662" s="6">
        <v>525.0</v>
      </c>
      <c r="G662" s="5" t="s">
        <v>39</v>
      </c>
      <c r="H662" s="5" t="s">
        <v>95</v>
      </c>
      <c r="I662" s="6" t="s">
        <v>40</v>
      </c>
      <c r="J662" s="5" t="s">
        <v>8585</v>
      </c>
      <c r="K662" s="5" t="s">
        <v>8586</v>
      </c>
      <c r="L662" s="6" t="s">
        <v>42</v>
      </c>
      <c r="M662" s="5" t="s">
        <v>8746</v>
      </c>
      <c r="N662" s="5" t="s">
        <v>64</v>
      </c>
      <c r="O662" s="5" t="s">
        <v>18595</v>
      </c>
      <c r="P662" s="6">
        <v>9739.0</v>
      </c>
    </row>
    <row r="663" ht="56.25" customHeight="1">
      <c r="A663" s="5" t="s">
        <v>18587</v>
      </c>
      <c r="B663" s="6" t="str">
        <f>IMAGE("https://storage.googleapis.com/acdb/headwear/CapHatViking0.png")</f>
        <v/>
      </c>
      <c r="C663" s="5" t="s">
        <v>95</v>
      </c>
      <c r="D663" s="5" t="s">
        <v>36</v>
      </c>
      <c r="E663" s="6">
        <v>2100.0</v>
      </c>
      <c r="F663" s="6">
        <v>525.0</v>
      </c>
      <c r="G663" s="5" t="s">
        <v>95</v>
      </c>
      <c r="H663" s="5" t="s">
        <v>114</v>
      </c>
      <c r="I663" s="6" t="s">
        <v>40</v>
      </c>
      <c r="J663" s="5" t="s">
        <v>8585</v>
      </c>
      <c r="K663" s="5" t="s">
        <v>8586</v>
      </c>
      <c r="L663" s="6" t="s">
        <v>42</v>
      </c>
      <c r="M663" s="5" t="s">
        <v>8746</v>
      </c>
      <c r="N663" s="5" t="s">
        <v>64</v>
      </c>
      <c r="O663" s="5" t="s">
        <v>18598</v>
      </c>
      <c r="P663" s="6">
        <v>5266.0</v>
      </c>
    </row>
    <row r="664" ht="56.25" customHeight="1">
      <c r="A664" s="5" t="s">
        <v>18599</v>
      </c>
      <c r="B664" s="6" t="str">
        <f>IMAGE("https://storage.googleapis.com/acdb/headwear/CapWigVisual.png")</f>
        <v/>
      </c>
      <c r="C664" s="5" t="s">
        <v>16403</v>
      </c>
      <c r="D664" s="5" t="s">
        <v>36</v>
      </c>
      <c r="E664" s="6">
        <v>1400.0</v>
      </c>
      <c r="F664" s="6">
        <v>350.0</v>
      </c>
      <c r="G664" s="5" t="s">
        <v>58</v>
      </c>
      <c r="H664" s="5" t="s">
        <v>58</v>
      </c>
      <c r="I664" s="6" t="s">
        <v>40</v>
      </c>
      <c r="J664" s="5" t="s">
        <v>8585</v>
      </c>
      <c r="K664" s="5" t="s">
        <v>8586</v>
      </c>
      <c r="L664" s="6" t="s">
        <v>42</v>
      </c>
      <c r="M664" s="5" t="s">
        <v>1952</v>
      </c>
      <c r="N664" s="5" t="s">
        <v>64</v>
      </c>
      <c r="O664" s="5" t="s">
        <v>18601</v>
      </c>
      <c r="P664" s="6">
        <v>5832.0</v>
      </c>
    </row>
    <row r="665" ht="56.25" customHeight="1">
      <c r="A665" s="5" t="s">
        <v>18602</v>
      </c>
      <c r="B665" s="6" t="str">
        <f>IMAGE("https://storage.googleapis.com/acdb/headwear/CapHatEggfish0.png")</f>
        <v/>
      </c>
      <c r="C665" s="5" t="s">
        <v>44</v>
      </c>
      <c r="D665" s="5" t="s">
        <v>35</v>
      </c>
      <c r="E665" s="6" t="s">
        <v>37</v>
      </c>
      <c r="F665" s="6">
        <v>800.0</v>
      </c>
      <c r="G665" s="5" t="s">
        <v>106</v>
      </c>
      <c r="H665" s="5" t="s">
        <v>38</v>
      </c>
      <c r="I665" s="6" t="s">
        <v>40</v>
      </c>
      <c r="J665" s="5" t="s">
        <v>41</v>
      </c>
      <c r="K665" s="5" t="s">
        <v>17218</v>
      </c>
      <c r="L665" s="6" t="s">
        <v>1410</v>
      </c>
      <c r="M665" s="5" t="s">
        <v>8746</v>
      </c>
      <c r="N665" s="5" t="s">
        <v>48</v>
      </c>
      <c r="O665" s="5" t="s">
        <v>18607</v>
      </c>
      <c r="P665" s="6">
        <v>12444.0</v>
      </c>
    </row>
    <row r="666" ht="56.25" customHeight="1">
      <c r="A666" s="5" t="s">
        <v>18608</v>
      </c>
      <c r="B666" s="6" t="str">
        <f>IMAGE("https://storage.googleapis.com/acdb/headwear/CapHatWatermelon.png")</f>
        <v/>
      </c>
      <c r="C666" s="5" t="s">
        <v>52</v>
      </c>
      <c r="D666" s="5" t="s">
        <v>36</v>
      </c>
      <c r="E666" s="6">
        <v>980.0</v>
      </c>
      <c r="F666" s="6">
        <v>245.0</v>
      </c>
      <c r="G666" s="5" t="s">
        <v>96</v>
      </c>
      <c r="H666" s="5" t="s">
        <v>52</v>
      </c>
      <c r="I666" s="6" t="s">
        <v>40</v>
      </c>
      <c r="J666" s="5" t="s">
        <v>8585</v>
      </c>
      <c r="K666" s="5" t="s">
        <v>8632</v>
      </c>
      <c r="L666" s="6" t="s">
        <v>42</v>
      </c>
      <c r="M666" s="5" t="s">
        <v>1959</v>
      </c>
      <c r="N666" s="5" t="s">
        <v>64</v>
      </c>
      <c r="O666" s="5" t="s">
        <v>18611</v>
      </c>
      <c r="P666" s="6">
        <v>5280.0</v>
      </c>
    </row>
    <row r="667" ht="56.25" customHeight="1">
      <c r="A667" s="5" t="s">
        <v>18612</v>
      </c>
      <c r="B667" s="6" t="str">
        <f>IMAGE("https://storage.googleapis.com/acdb/headwear/CapMaskWelderRed.png")</f>
        <v/>
      </c>
      <c r="C667" s="5" t="s">
        <v>52</v>
      </c>
      <c r="D667" s="5" t="s">
        <v>36</v>
      </c>
      <c r="E667" s="6">
        <v>1040.0</v>
      </c>
      <c r="F667" s="6">
        <v>260.0</v>
      </c>
      <c r="G667" s="5" t="s">
        <v>52</v>
      </c>
      <c r="H667" s="5" t="s">
        <v>54</v>
      </c>
      <c r="I667" s="6" t="s">
        <v>40</v>
      </c>
      <c r="J667" s="5" t="s">
        <v>8585</v>
      </c>
      <c r="K667" s="5" t="s">
        <v>8586</v>
      </c>
      <c r="L667" s="6" t="s">
        <v>42</v>
      </c>
      <c r="M667" s="5" t="s">
        <v>8746</v>
      </c>
      <c r="N667" s="5" t="s">
        <v>64</v>
      </c>
      <c r="O667" s="5" t="s">
        <v>18615</v>
      </c>
      <c r="P667" s="6">
        <v>5381.0</v>
      </c>
    </row>
    <row r="668" ht="56.25" customHeight="1">
      <c r="A668" s="5" t="s">
        <v>18616</v>
      </c>
      <c r="B668" s="6" t="str">
        <f>IMAGE("https://storage.googleapis.com/acdb/headwear/CapHatStraw1.png")</f>
        <v/>
      </c>
      <c r="C668" s="5" t="s">
        <v>38</v>
      </c>
      <c r="D668" s="5" t="s">
        <v>36</v>
      </c>
      <c r="E668" s="6">
        <v>1320.0</v>
      </c>
      <c r="F668" s="6">
        <v>330.0</v>
      </c>
      <c r="G668" s="5" t="s">
        <v>38</v>
      </c>
      <c r="H668" s="5" t="s">
        <v>57</v>
      </c>
      <c r="I668" s="6" t="s">
        <v>40</v>
      </c>
      <c r="J668" s="5" t="s">
        <v>8585</v>
      </c>
      <c r="K668" s="5" t="s">
        <v>8632</v>
      </c>
      <c r="L668" s="6" t="s">
        <v>42</v>
      </c>
      <c r="M668" s="5" t="s">
        <v>1059</v>
      </c>
      <c r="N668" s="5" t="s">
        <v>64</v>
      </c>
      <c r="O668" s="5" t="s">
        <v>18621</v>
      </c>
      <c r="P668" s="6">
        <v>10886.0</v>
      </c>
    </row>
    <row r="669" ht="56.25" customHeight="1">
      <c r="A669" s="5" t="s">
        <v>18616</v>
      </c>
      <c r="B669" s="6" t="str">
        <f>IMAGE("https://storage.googleapis.com/acdb/headwear/CapHatStraw2.png")</f>
        <v/>
      </c>
      <c r="C669" s="5" t="s">
        <v>57</v>
      </c>
      <c r="D669" s="5" t="s">
        <v>36</v>
      </c>
      <c r="E669" s="6">
        <v>1320.0</v>
      </c>
      <c r="F669" s="6">
        <v>330.0</v>
      </c>
      <c r="G669" s="5" t="s">
        <v>57</v>
      </c>
      <c r="H669" s="5" t="s">
        <v>57</v>
      </c>
      <c r="I669" s="6" t="s">
        <v>40</v>
      </c>
      <c r="J669" s="5" t="s">
        <v>8585</v>
      </c>
      <c r="K669" s="5" t="s">
        <v>8632</v>
      </c>
      <c r="L669" s="6" t="s">
        <v>42</v>
      </c>
      <c r="M669" s="5" t="s">
        <v>1059</v>
      </c>
      <c r="N669" s="5" t="s">
        <v>64</v>
      </c>
      <c r="O669" s="5" t="s">
        <v>18624</v>
      </c>
      <c r="P669" s="6">
        <v>10887.0</v>
      </c>
    </row>
    <row r="670" ht="56.25" customHeight="1">
      <c r="A670" s="5" t="s">
        <v>18616</v>
      </c>
      <c r="B670" s="6" t="str">
        <f>IMAGE("https://storage.googleapis.com/acdb/headwear/CapHatStraw0.png")</f>
        <v/>
      </c>
      <c r="C670" s="5" t="s">
        <v>54</v>
      </c>
      <c r="D670" s="5" t="s">
        <v>36</v>
      </c>
      <c r="E670" s="6">
        <v>1320.0</v>
      </c>
      <c r="F670" s="6">
        <v>330.0</v>
      </c>
      <c r="G670" s="5" t="s">
        <v>54</v>
      </c>
      <c r="H670" s="5" t="s">
        <v>54</v>
      </c>
      <c r="I670" s="6" t="s">
        <v>40</v>
      </c>
      <c r="J670" s="5" t="s">
        <v>8585</v>
      </c>
      <c r="K670" s="5" t="s">
        <v>8632</v>
      </c>
      <c r="L670" s="6" t="s">
        <v>42</v>
      </c>
      <c r="M670" s="5" t="s">
        <v>1059</v>
      </c>
      <c r="N670" s="5" t="s">
        <v>64</v>
      </c>
      <c r="O670" s="5" t="s">
        <v>18629</v>
      </c>
      <c r="P670" s="6">
        <v>5297.0</v>
      </c>
    </row>
    <row r="671" ht="56.25" customHeight="1">
      <c r="A671" s="5" t="s">
        <v>18630</v>
      </c>
      <c r="B671" s="6" t="str">
        <f>IMAGE("https://storage.googleapis.com/acdb/headwear/CapOrnamentAnemone1.png")</f>
        <v/>
      </c>
      <c r="C671" s="5" t="s">
        <v>58</v>
      </c>
      <c r="D671" s="5" t="s">
        <v>35</v>
      </c>
      <c r="E671" s="6" t="s">
        <v>37</v>
      </c>
      <c r="F671" s="6">
        <v>480.0</v>
      </c>
      <c r="G671" s="5" t="s">
        <v>58</v>
      </c>
      <c r="H671" s="5" t="s">
        <v>58</v>
      </c>
      <c r="I671" s="6" t="s">
        <v>40</v>
      </c>
      <c r="J671" s="5" t="s">
        <v>41</v>
      </c>
      <c r="K671" s="5"/>
      <c r="L671" s="6" t="s">
        <v>42</v>
      </c>
      <c r="M671" s="5" t="s">
        <v>1959</v>
      </c>
      <c r="N671" s="5" t="s">
        <v>48</v>
      </c>
      <c r="O671" s="5" t="s">
        <v>18632</v>
      </c>
      <c r="P671" s="6">
        <v>5099.0</v>
      </c>
    </row>
    <row r="672" ht="56.25" customHeight="1">
      <c r="A672" s="5" t="s">
        <v>18633</v>
      </c>
      <c r="B672" s="6" t="str">
        <f>IMAGE("https://storage.googleapis.com/acdb/headwear/CapHatWizard1.png")</f>
        <v/>
      </c>
      <c r="C672" s="5" t="s">
        <v>106</v>
      </c>
      <c r="D672" s="5" t="s">
        <v>36</v>
      </c>
      <c r="E672" s="6">
        <v>880.0</v>
      </c>
      <c r="F672" s="6">
        <v>220.0</v>
      </c>
      <c r="G672" s="5" t="s">
        <v>106</v>
      </c>
      <c r="H672" s="5" t="s">
        <v>114</v>
      </c>
      <c r="I672" s="6" t="s">
        <v>40</v>
      </c>
      <c r="J672" s="5" t="s">
        <v>8585</v>
      </c>
      <c r="K672" s="5" t="s">
        <v>8586</v>
      </c>
      <c r="L672" s="6" t="s">
        <v>42</v>
      </c>
      <c r="M672" s="5" t="s">
        <v>8746</v>
      </c>
      <c r="N672" s="5" t="s">
        <v>64</v>
      </c>
      <c r="O672" s="5" t="s">
        <v>18638</v>
      </c>
      <c r="P672" s="6">
        <v>11848.0</v>
      </c>
    </row>
    <row r="673" ht="56.25" customHeight="1">
      <c r="A673" s="5" t="s">
        <v>18633</v>
      </c>
      <c r="B673" s="6" t="str">
        <f>IMAGE("https://storage.googleapis.com/acdb/headwear/CapHatWizard0.png")</f>
        <v/>
      </c>
      <c r="C673" s="5" t="s">
        <v>68</v>
      </c>
      <c r="D673" s="5" t="s">
        <v>36</v>
      </c>
      <c r="E673" s="6">
        <v>880.0</v>
      </c>
      <c r="F673" s="6">
        <v>220.0</v>
      </c>
      <c r="G673" s="5" t="s">
        <v>68</v>
      </c>
      <c r="H673" s="5" t="s">
        <v>114</v>
      </c>
      <c r="I673" s="6" t="s">
        <v>40</v>
      </c>
      <c r="J673" s="5" t="s">
        <v>8585</v>
      </c>
      <c r="K673" s="5" t="s">
        <v>8586</v>
      </c>
      <c r="L673" s="6" t="s">
        <v>42</v>
      </c>
      <c r="M673" s="5" t="s">
        <v>8746</v>
      </c>
      <c r="N673" s="5" t="s">
        <v>64</v>
      </c>
      <c r="O673" s="5" t="s">
        <v>18641</v>
      </c>
      <c r="P673" s="6">
        <v>5336.0</v>
      </c>
    </row>
    <row r="674" ht="56.25" customHeight="1">
      <c r="A674" s="5" t="s">
        <v>18642</v>
      </c>
      <c r="B674" s="6" t="str">
        <f>IMAGE("https://storage.googleapis.com/acdb/headwear/CapHatEggforest0.png")</f>
        <v/>
      </c>
      <c r="C674" s="5" t="s">
        <v>44</v>
      </c>
      <c r="D674" s="5" t="s">
        <v>35</v>
      </c>
      <c r="E674" s="6" t="s">
        <v>37</v>
      </c>
      <c r="F674" s="6">
        <v>800.0</v>
      </c>
      <c r="G674" s="5" t="s">
        <v>142</v>
      </c>
      <c r="H674" s="5" t="s">
        <v>39</v>
      </c>
      <c r="I674" s="6" t="s">
        <v>40</v>
      </c>
      <c r="J674" s="5" t="s">
        <v>41</v>
      </c>
      <c r="K674" s="5" t="s">
        <v>17242</v>
      </c>
      <c r="L674" s="6" t="s">
        <v>1410</v>
      </c>
      <c r="M674" s="5" t="s">
        <v>8746</v>
      </c>
      <c r="N674" s="5" t="s">
        <v>48</v>
      </c>
      <c r="O674" s="5" t="s">
        <v>18646</v>
      </c>
      <c r="P674" s="6">
        <v>12442.0</v>
      </c>
    </row>
    <row r="675" ht="56.25" customHeight="1">
      <c r="A675" s="5" t="s">
        <v>18647</v>
      </c>
      <c r="B675" s="6" t="str">
        <f>IMAGE("https://storage.googleapis.com/acdb/headwear/CapCostumeWrestling1.png")</f>
        <v/>
      </c>
      <c r="C675" s="5" t="s">
        <v>68</v>
      </c>
      <c r="D675" s="5" t="s">
        <v>36</v>
      </c>
      <c r="E675" s="6">
        <v>1120.0</v>
      </c>
      <c r="F675" s="6">
        <v>280.0</v>
      </c>
      <c r="G675" s="5" t="s">
        <v>68</v>
      </c>
      <c r="H675" s="5" t="s">
        <v>83</v>
      </c>
      <c r="I675" s="6" t="s">
        <v>40</v>
      </c>
      <c r="J675" s="5" t="s">
        <v>8585</v>
      </c>
      <c r="K675" s="5" t="s">
        <v>8586</v>
      </c>
      <c r="L675" s="6" t="s">
        <v>42</v>
      </c>
      <c r="M675" s="5" t="s">
        <v>8746</v>
      </c>
      <c r="N675" s="5" t="s">
        <v>64</v>
      </c>
      <c r="O675" s="5" t="s">
        <v>18650</v>
      </c>
      <c r="P675" s="6">
        <v>11829.0</v>
      </c>
    </row>
    <row r="676" ht="56.25" customHeight="1">
      <c r="A676" s="5" t="s">
        <v>18647</v>
      </c>
      <c r="B676" s="6" t="str">
        <f>IMAGE("https://storage.googleapis.com/acdb/headwear/CapCostumeWrestling0.png")</f>
        <v/>
      </c>
      <c r="C676" s="5" t="s">
        <v>52</v>
      </c>
      <c r="D676" s="5" t="s">
        <v>36</v>
      </c>
      <c r="E676" s="6">
        <v>1120.0</v>
      </c>
      <c r="F676" s="6">
        <v>280.0</v>
      </c>
      <c r="G676" s="5" t="s">
        <v>52</v>
      </c>
      <c r="H676" s="5" t="s">
        <v>114</v>
      </c>
      <c r="I676" s="6" t="s">
        <v>40</v>
      </c>
      <c r="J676" s="5" t="s">
        <v>8585</v>
      </c>
      <c r="K676" s="5" t="s">
        <v>8586</v>
      </c>
      <c r="L676" s="6" t="s">
        <v>42</v>
      </c>
      <c r="M676" s="5" t="s">
        <v>8746</v>
      </c>
      <c r="N676" s="5" t="s">
        <v>64</v>
      </c>
      <c r="O676" s="5" t="s">
        <v>18655</v>
      </c>
      <c r="P676" s="6">
        <v>5368.0</v>
      </c>
    </row>
    <row r="677" ht="56.25" customHeight="1">
      <c r="A677" s="5" t="s">
        <v>18647</v>
      </c>
      <c r="B677" s="6" t="str">
        <f>IMAGE("https://storage.googleapis.com/acdb/headwear/CapCostumeWrestling2.png")</f>
        <v/>
      </c>
      <c r="C677" s="5" t="s">
        <v>96</v>
      </c>
      <c r="D677" s="5" t="s">
        <v>36</v>
      </c>
      <c r="E677" s="6">
        <v>1120.0</v>
      </c>
      <c r="F677" s="6">
        <v>280.0</v>
      </c>
      <c r="G677" s="5" t="s">
        <v>96</v>
      </c>
      <c r="H677" s="5" t="s">
        <v>52</v>
      </c>
      <c r="I677" s="6" t="s">
        <v>40</v>
      </c>
      <c r="J677" s="5" t="s">
        <v>8585</v>
      </c>
      <c r="K677" s="5" t="s">
        <v>8586</v>
      </c>
      <c r="L677" s="6" t="s">
        <v>42</v>
      </c>
      <c r="M677" s="5" t="s">
        <v>8746</v>
      </c>
      <c r="N677" s="5" t="s">
        <v>64</v>
      </c>
      <c r="O677" s="5" t="s">
        <v>18657</v>
      </c>
      <c r="P677" s="6">
        <v>11830.0</v>
      </c>
    </row>
    <row r="678" ht="56.25" customHeight="1">
      <c r="A678" s="5" t="s">
        <v>18647</v>
      </c>
      <c r="B678" s="6" t="str">
        <f>IMAGE("https://storage.googleapis.com/acdb/headwear/CapCostumeWrestling3.png")</f>
        <v/>
      </c>
      <c r="C678" s="5" t="s">
        <v>69</v>
      </c>
      <c r="D678" s="5" t="s">
        <v>36</v>
      </c>
      <c r="E678" s="6">
        <v>1120.0</v>
      </c>
      <c r="F678" s="6">
        <v>280.0</v>
      </c>
      <c r="G678" s="5" t="s">
        <v>69</v>
      </c>
      <c r="H678" s="5" t="s">
        <v>69</v>
      </c>
      <c r="I678" s="6" t="s">
        <v>40</v>
      </c>
      <c r="J678" s="5" t="s">
        <v>8585</v>
      </c>
      <c r="K678" s="5" t="s">
        <v>8586</v>
      </c>
      <c r="L678" s="6" t="s">
        <v>42</v>
      </c>
      <c r="M678" s="5" t="s">
        <v>8746</v>
      </c>
      <c r="N678" s="5" t="s">
        <v>64</v>
      </c>
      <c r="O678" s="5" t="s">
        <v>18660</v>
      </c>
      <c r="P678" s="6">
        <v>11831.0</v>
      </c>
    </row>
    <row r="679" ht="56.25" customHeight="1">
      <c r="A679" s="5" t="s">
        <v>18647</v>
      </c>
      <c r="B679" s="6" t="str">
        <f>IMAGE("https://storage.googleapis.com/acdb/headwear/CapCostumeWrestling4.png")</f>
        <v/>
      </c>
      <c r="C679" s="5" t="s">
        <v>54</v>
      </c>
      <c r="D679" s="5" t="s">
        <v>36</v>
      </c>
      <c r="E679" s="6">
        <v>1120.0</v>
      </c>
      <c r="F679" s="6">
        <v>280.0</v>
      </c>
      <c r="G679" s="5" t="s">
        <v>54</v>
      </c>
      <c r="H679" s="5" t="s">
        <v>57</v>
      </c>
      <c r="I679" s="6" t="s">
        <v>40</v>
      </c>
      <c r="J679" s="5" t="s">
        <v>8585</v>
      </c>
      <c r="K679" s="5" t="s">
        <v>8586</v>
      </c>
      <c r="L679" s="6" t="s">
        <v>42</v>
      </c>
      <c r="M679" s="5" t="s">
        <v>8746</v>
      </c>
      <c r="N679" s="5" t="s">
        <v>64</v>
      </c>
      <c r="O679" s="5" t="s">
        <v>18662</v>
      </c>
      <c r="P679" s="6">
        <v>11832.0</v>
      </c>
    </row>
    <row r="680" ht="56.25" customHeight="1">
      <c r="A680" s="5" t="s">
        <v>18647</v>
      </c>
      <c r="B680" s="6" t="str">
        <f>IMAGE("https://storage.googleapis.com/acdb/headwear/CapCostumeWrestling5.png")</f>
        <v/>
      </c>
      <c r="C680" s="5" t="s">
        <v>114</v>
      </c>
      <c r="D680" s="5" t="s">
        <v>36</v>
      </c>
      <c r="E680" s="6">
        <v>1120.0</v>
      </c>
      <c r="F680" s="6">
        <v>280.0</v>
      </c>
      <c r="G680" s="5" t="s">
        <v>114</v>
      </c>
      <c r="H680" s="5" t="s">
        <v>142</v>
      </c>
      <c r="I680" s="6" t="s">
        <v>40</v>
      </c>
      <c r="J680" s="5" t="s">
        <v>8585</v>
      </c>
      <c r="K680" s="5" t="s">
        <v>8586</v>
      </c>
      <c r="L680" s="6" t="s">
        <v>42</v>
      </c>
      <c r="M680" s="5" t="s">
        <v>8746</v>
      </c>
      <c r="N680" s="5" t="s">
        <v>64</v>
      </c>
      <c r="O680" s="5" t="s">
        <v>18665</v>
      </c>
      <c r="P680" s="6">
        <v>11833.0</v>
      </c>
    </row>
    <row r="681" ht="56.25" customHeight="1">
      <c r="A681" s="5" t="s">
        <v>18666</v>
      </c>
      <c r="B681" s="6" t="str">
        <f>IMAGE("https://storage.googleapis.com/acdb/headwear/CapFullfaceHero7.png")</f>
        <v/>
      </c>
      <c r="C681" s="5" t="s">
        <v>57</v>
      </c>
      <c r="D681" s="5" t="s">
        <v>36</v>
      </c>
      <c r="E681" s="6">
        <v>1600.0</v>
      </c>
      <c r="F681" s="6">
        <v>400.0</v>
      </c>
      <c r="G681" s="5" t="s">
        <v>57</v>
      </c>
      <c r="H681" s="5" t="s">
        <v>114</v>
      </c>
      <c r="I681" s="6" t="s">
        <v>40</v>
      </c>
      <c r="J681" s="5" t="s">
        <v>8585</v>
      </c>
      <c r="K681" s="5" t="s">
        <v>8586</v>
      </c>
      <c r="L681" s="6" t="s">
        <v>42</v>
      </c>
      <c r="M681" s="5" t="s">
        <v>8746</v>
      </c>
      <c r="N681" s="5" t="s">
        <v>64</v>
      </c>
      <c r="O681" s="5" t="s">
        <v>18670</v>
      </c>
      <c r="P681" s="6">
        <v>11806.0</v>
      </c>
    </row>
    <row r="682" ht="56.25" customHeight="1">
      <c r="A682" s="5" t="s">
        <v>18666</v>
      </c>
      <c r="B682" s="6" t="str">
        <f>IMAGE("https://storage.googleapis.com/acdb/headwear/CapFullfaceHero0.png")</f>
        <v/>
      </c>
      <c r="C682" s="5" t="s">
        <v>69</v>
      </c>
      <c r="D682" s="5" t="s">
        <v>36</v>
      </c>
      <c r="E682" s="6">
        <v>1600.0</v>
      </c>
      <c r="F682" s="6">
        <v>400.0</v>
      </c>
      <c r="G682" s="5" t="s">
        <v>69</v>
      </c>
      <c r="H682" s="5" t="s">
        <v>114</v>
      </c>
      <c r="I682" s="6" t="s">
        <v>40</v>
      </c>
      <c r="J682" s="5" t="s">
        <v>8585</v>
      </c>
      <c r="K682" s="5" t="s">
        <v>8586</v>
      </c>
      <c r="L682" s="6" t="s">
        <v>42</v>
      </c>
      <c r="M682" s="5" t="s">
        <v>8746</v>
      </c>
      <c r="N682" s="5" t="s">
        <v>64</v>
      </c>
      <c r="O682" s="5" t="s">
        <v>18673</v>
      </c>
      <c r="P682" s="6">
        <v>5423.0</v>
      </c>
    </row>
    <row r="683" ht="56.25" customHeight="1">
      <c r="A683" s="5" t="s">
        <v>18666</v>
      </c>
      <c r="B683" s="6" t="str">
        <f>IMAGE("https://storage.googleapis.com/acdb/headwear/CapFullfaceHero1.png")</f>
        <v/>
      </c>
      <c r="C683" s="5" t="s">
        <v>68</v>
      </c>
      <c r="D683" s="5" t="s">
        <v>36</v>
      </c>
      <c r="E683" s="6">
        <v>1600.0</v>
      </c>
      <c r="F683" s="6">
        <v>400.0</v>
      </c>
      <c r="G683" s="5" t="s">
        <v>68</v>
      </c>
      <c r="H683" s="5" t="s">
        <v>114</v>
      </c>
      <c r="I683" s="6" t="s">
        <v>40</v>
      </c>
      <c r="J683" s="5" t="s">
        <v>8585</v>
      </c>
      <c r="K683" s="5" t="s">
        <v>8586</v>
      </c>
      <c r="L683" s="6" t="s">
        <v>42</v>
      </c>
      <c r="M683" s="5" t="s">
        <v>8746</v>
      </c>
      <c r="N683" s="5" t="s">
        <v>64</v>
      </c>
      <c r="O683" s="5" t="s">
        <v>18676</v>
      </c>
      <c r="P683" s="6">
        <v>11800.0</v>
      </c>
    </row>
    <row r="684" ht="56.25" customHeight="1">
      <c r="A684" s="5" t="s">
        <v>18666</v>
      </c>
      <c r="B684" s="6" t="str">
        <f>IMAGE("https://storage.googleapis.com/acdb/headwear/CapFullfaceHero2.png")</f>
        <v/>
      </c>
      <c r="C684" s="5" t="s">
        <v>96</v>
      </c>
      <c r="D684" s="5" t="s">
        <v>36</v>
      </c>
      <c r="E684" s="6">
        <v>1600.0</v>
      </c>
      <c r="F684" s="6">
        <v>400.0</v>
      </c>
      <c r="G684" s="5" t="s">
        <v>96</v>
      </c>
      <c r="H684" s="5" t="s">
        <v>114</v>
      </c>
      <c r="I684" s="6" t="s">
        <v>40</v>
      </c>
      <c r="J684" s="5" t="s">
        <v>8585</v>
      </c>
      <c r="K684" s="5" t="s">
        <v>8586</v>
      </c>
      <c r="L684" s="6" t="s">
        <v>42</v>
      </c>
      <c r="M684" s="5" t="s">
        <v>8746</v>
      </c>
      <c r="N684" s="5" t="s">
        <v>64</v>
      </c>
      <c r="O684" s="5" t="s">
        <v>18678</v>
      </c>
      <c r="P684" s="6">
        <v>11801.0</v>
      </c>
    </row>
    <row r="685" ht="56.25" customHeight="1">
      <c r="A685" s="5" t="s">
        <v>18666</v>
      </c>
      <c r="B685" s="6" t="str">
        <f>IMAGE("https://storage.googleapis.com/acdb/headwear/CapFullfaceHero3.png")</f>
        <v/>
      </c>
      <c r="C685" s="5" t="s">
        <v>52</v>
      </c>
      <c r="D685" s="5" t="s">
        <v>36</v>
      </c>
      <c r="E685" s="6">
        <v>1600.0</v>
      </c>
      <c r="F685" s="6">
        <v>400.0</v>
      </c>
      <c r="G685" s="5" t="s">
        <v>52</v>
      </c>
      <c r="H685" s="5" t="s">
        <v>114</v>
      </c>
      <c r="I685" s="6" t="s">
        <v>40</v>
      </c>
      <c r="J685" s="5" t="s">
        <v>8585</v>
      </c>
      <c r="K685" s="5" t="s">
        <v>8586</v>
      </c>
      <c r="L685" s="6" t="s">
        <v>42</v>
      </c>
      <c r="M685" s="5" t="s">
        <v>8746</v>
      </c>
      <c r="N685" s="5" t="s">
        <v>64</v>
      </c>
      <c r="O685" s="5" t="s">
        <v>18682</v>
      </c>
      <c r="P685" s="6">
        <v>11802.0</v>
      </c>
    </row>
    <row r="686" ht="56.25" customHeight="1">
      <c r="A686" s="5" t="s">
        <v>18666</v>
      </c>
      <c r="B686" s="6" t="str">
        <f>IMAGE("https://storage.googleapis.com/acdb/headwear/CapFullfaceHero4.png")</f>
        <v/>
      </c>
      <c r="C686" s="5" t="s">
        <v>114</v>
      </c>
      <c r="D686" s="5" t="s">
        <v>36</v>
      </c>
      <c r="E686" s="6">
        <v>1600.0</v>
      </c>
      <c r="F686" s="6">
        <v>400.0</v>
      </c>
      <c r="G686" s="5" t="s">
        <v>114</v>
      </c>
      <c r="H686" s="5" t="s">
        <v>114</v>
      </c>
      <c r="I686" s="6" t="s">
        <v>40</v>
      </c>
      <c r="J686" s="5" t="s">
        <v>8585</v>
      </c>
      <c r="K686" s="5" t="s">
        <v>8586</v>
      </c>
      <c r="L686" s="6" t="s">
        <v>42</v>
      </c>
      <c r="M686" s="5" t="s">
        <v>8746</v>
      </c>
      <c r="N686" s="5" t="s">
        <v>64</v>
      </c>
      <c r="O686" s="5" t="s">
        <v>18686</v>
      </c>
      <c r="P686" s="6">
        <v>11803.0</v>
      </c>
    </row>
    <row r="687" ht="56.25" customHeight="1">
      <c r="A687" s="5" t="s">
        <v>18666</v>
      </c>
      <c r="B687" s="6" t="str">
        <f>IMAGE("https://storage.googleapis.com/acdb/headwear/CapFullfaceHero5.png")</f>
        <v/>
      </c>
      <c r="C687" s="5" t="s">
        <v>54</v>
      </c>
      <c r="D687" s="5" t="s">
        <v>36</v>
      </c>
      <c r="E687" s="6">
        <v>1600.0</v>
      </c>
      <c r="F687" s="6">
        <v>400.0</v>
      </c>
      <c r="G687" s="5" t="s">
        <v>54</v>
      </c>
      <c r="H687" s="5" t="s">
        <v>114</v>
      </c>
      <c r="I687" s="6" t="s">
        <v>40</v>
      </c>
      <c r="J687" s="5" t="s">
        <v>8585</v>
      </c>
      <c r="K687" s="5" t="s">
        <v>8586</v>
      </c>
      <c r="L687" s="6" t="s">
        <v>42</v>
      </c>
      <c r="M687" s="5" t="s">
        <v>8746</v>
      </c>
      <c r="N687" s="5" t="s">
        <v>64</v>
      </c>
      <c r="O687" s="5" t="s">
        <v>18687</v>
      </c>
      <c r="P687" s="6">
        <v>11804.0</v>
      </c>
    </row>
    <row r="688" ht="56.25" customHeight="1">
      <c r="A688" s="5" t="s">
        <v>18666</v>
      </c>
      <c r="B688" s="6" t="str">
        <f>IMAGE("https://storage.googleapis.com/acdb/headwear/CapFullfaceHero6.png")</f>
        <v/>
      </c>
      <c r="C688" s="5" t="s">
        <v>146</v>
      </c>
      <c r="D688" s="5" t="s">
        <v>36</v>
      </c>
      <c r="E688" s="6">
        <v>1600.0</v>
      </c>
      <c r="F688" s="6">
        <v>400.0</v>
      </c>
      <c r="G688" s="5" t="s">
        <v>95</v>
      </c>
      <c r="H688" s="5" t="s">
        <v>114</v>
      </c>
      <c r="I688" s="6" t="s">
        <v>40</v>
      </c>
      <c r="J688" s="5" t="s">
        <v>8585</v>
      </c>
      <c r="K688" s="5" t="s">
        <v>8586</v>
      </c>
      <c r="L688" s="6" t="s">
        <v>42</v>
      </c>
      <c r="M688" s="5" t="s">
        <v>8746</v>
      </c>
      <c r="N688" s="5" t="s">
        <v>64</v>
      </c>
      <c r="O688" s="5" t="s">
        <v>18690</v>
      </c>
      <c r="P688" s="6">
        <v>11805.0</v>
      </c>
    </row>
    <row r="689" ht="56.25" customHeight="1">
      <c r="A689" s="5" t="s">
        <v>18693</v>
      </c>
      <c r="B689" s="6" t="str">
        <f>IMAGE("https://storage.googleapis.com/acdb/headwear/CapOrnamentLTsumamizaiku1.png")</f>
        <v/>
      </c>
      <c r="C689" s="5" t="s">
        <v>14181</v>
      </c>
      <c r="D689" s="5" t="s">
        <v>36</v>
      </c>
      <c r="E689" s="6">
        <v>4300.0</v>
      </c>
      <c r="F689" s="6">
        <v>1075.0</v>
      </c>
      <c r="G689" s="5" t="s">
        <v>83</v>
      </c>
      <c r="H689" s="5" t="s">
        <v>57</v>
      </c>
      <c r="I689" s="6" t="s">
        <v>40</v>
      </c>
      <c r="J689" s="5" t="s">
        <v>8585</v>
      </c>
      <c r="K689" s="5" t="s">
        <v>8586</v>
      </c>
      <c r="L689" s="6" t="s">
        <v>42</v>
      </c>
      <c r="M689" s="5" t="s">
        <v>1959</v>
      </c>
      <c r="N689" s="5" t="s">
        <v>64</v>
      </c>
      <c r="O689" s="5" t="s">
        <v>18695</v>
      </c>
      <c r="P689" s="6">
        <v>9753.0</v>
      </c>
    </row>
    <row r="690" ht="56.25" customHeight="1">
      <c r="A690" s="5" t="s">
        <v>18693</v>
      </c>
      <c r="B690" s="6" t="str">
        <f>IMAGE("https://storage.googleapis.com/acdb/headwear/CapOrnamentLTsumamizaiku2.png")</f>
        <v/>
      </c>
      <c r="C690" s="5" t="s">
        <v>2431</v>
      </c>
      <c r="D690" s="5" t="s">
        <v>36</v>
      </c>
      <c r="E690" s="6">
        <v>4300.0</v>
      </c>
      <c r="F690" s="6">
        <v>1075.0</v>
      </c>
      <c r="G690" s="5" t="s">
        <v>68</v>
      </c>
      <c r="H690" s="5" t="s">
        <v>57</v>
      </c>
      <c r="I690" s="6" t="s">
        <v>40</v>
      </c>
      <c r="J690" s="5" t="s">
        <v>8585</v>
      </c>
      <c r="K690" s="5" t="s">
        <v>8586</v>
      </c>
      <c r="L690" s="6" t="s">
        <v>42</v>
      </c>
      <c r="M690" s="5" t="s">
        <v>1959</v>
      </c>
      <c r="N690" s="5" t="s">
        <v>64</v>
      </c>
      <c r="O690" s="5" t="s">
        <v>18698</v>
      </c>
      <c r="P690" s="6">
        <v>9754.0</v>
      </c>
    </row>
    <row r="691" ht="56.25" customHeight="1">
      <c r="A691" s="5" t="s">
        <v>18693</v>
      </c>
      <c r="B691" s="6" t="str">
        <f>IMAGE("https://storage.googleapis.com/acdb/headwear/CapOrnamentLTsumamizaiku3.png")</f>
        <v/>
      </c>
      <c r="C691" s="5" t="s">
        <v>3173</v>
      </c>
      <c r="D691" s="5" t="s">
        <v>36</v>
      </c>
      <c r="E691" s="6">
        <v>4300.0</v>
      </c>
      <c r="F691" s="6">
        <v>1075.0</v>
      </c>
      <c r="G691" s="5" t="s">
        <v>142</v>
      </c>
      <c r="H691" s="5" t="s">
        <v>57</v>
      </c>
      <c r="I691" s="6" t="s">
        <v>40</v>
      </c>
      <c r="J691" s="5" t="s">
        <v>8585</v>
      </c>
      <c r="K691" s="5" t="s">
        <v>8586</v>
      </c>
      <c r="L691" s="6" t="s">
        <v>42</v>
      </c>
      <c r="M691" s="5" t="s">
        <v>1959</v>
      </c>
      <c r="N691" s="5" t="s">
        <v>64</v>
      </c>
      <c r="O691" s="5" t="s">
        <v>18702</v>
      </c>
      <c r="P691" s="6">
        <v>9755.0</v>
      </c>
    </row>
    <row r="692" ht="56.25" customHeight="1">
      <c r="A692" s="5" t="s">
        <v>18693</v>
      </c>
      <c r="B692" s="6" t="str">
        <f>IMAGE("https://storage.googleapis.com/acdb/headwear/CapOrnamentLTsumamizaiku4.png")</f>
        <v/>
      </c>
      <c r="C692" s="5" t="s">
        <v>106</v>
      </c>
      <c r="D692" s="5" t="s">
        <v>36</v>
      </c>
      <c r="E692" s="6">
        <v>4300.0</v>
      </c>
      <c r="F692" s="6">
        <v>1075.0</v>
      </c>
      <c r="G692" s="5" t="s">
        <v>106</v>
      </c>
      <c r="H692" s="5" t="s">
        <v>57</v>
      </c>
      <c r="I692" s="6" t="s">
        <v>40</v>
      </c>
      <c r="J692" s="5" t="s">
        <v>8585</v>
      </c>
      <c r="K692" s="5" t="s">
        <v>8586</v>
      </c>
      <c r="L692" s="6" t="s">
        <v>42</v>
      </c>
      <c r="M692" s="5" t="s">
        <v>1959</v>
      </c>
      <c r="N692" s="5" t="s">
        <v>64</v>
      </c>
      <c r="O692" s="5" t="s">
        <v>18705</v>
      </c>
      <c r="P692" s="6">
        <v>9756.0</v>
      </c>
    </row>
    <row r="693" ht="56.25" customHeight="1">
      <c r="A693" s="5" t="s">
        <v>18693</v>
      </c>
      <c r="B693" s="6" t="str">
        <f>IMAGE("https://storage.googleapis.com/acdb/headwear/CapOrnamentLTsumamizaiku5.png")</f>
        <v/>
      </c>
      <c r="C693" s="5" t="s">
        <v>69</v>
      </c>
      <c r="D693" s="5" t="s">
        <v>36</v>
      </c>
      <c r="E693" s="6">
        <v>4300.0</v>
      </c>
      <c r="F693" s="6">
        <v>1075.0</v>
      </c>
      <c r="G693" s="5" t="s">
        <v>69</v>
      </c>
      <c r="H693" s="5" t="s">
        <v>57</v>
      </c>
      <c r="I693" s="6" t="s">
        <v>40</v>
      </c>
      <c r="J693" s="5" t="s">
        <v>8585</v>
      </c>
      <c r="K693" s="5" t="s">
        <v>8586</v>
      </c>
      <c r="L693" s="6" t="s">
        <v>42</v>
      </c>
      <c r="M693" s="5" t="s">
        <v>1959</v>
      </c>
      <c r="N693" s="5" t="s">
        <v>64</v>
      </c>
      <c r="O693" s="5" t="s">
        <v>18709</v>
      </c>
      <c r="P693" s="6">
        <v>9757.0</v>
      </c>
    </row>
    <row r="694" ht="56.25" customHeight="1">
      <c r="A694" s="5" t="s">
        <v>18693</v>
      </c>
      <c r="B694" s="6" t="str">
        <f>IMAGE("https://storage.googleapis.com/acdb/headwear/CapOrnamentLTsumamizaiku6.png")</f>
        <v/>
      </c>
      <c r="C694" s="5" t="s">
        <v>96</v>
      </c>
      <c r="D694" s="5" t="s">
        <v>36</v>
      </c>
      <c r="E694" s="6">
        <v>4300.0</v>
      </c>
      <c r="F694" s="6">
        <v>1075.0</v>
      </c>
      <c r="G694" s="5" t="s">
        <v>96</v>
      </c>
      <c r="H694" s="5" t="s">
        <v>57</v>
      </c>
      <c r="I694" s="6" t="s">
        <v>40</v>
      </c>
      <c r="J694" s="5" t="s">
        <v>8585</v>
      </c>
      <c r="K694" s="5" t="s">
        <v>8586</v>
      </c>
      <c r="L694" s="6" t="s">
        <v>42</v>
      </c>
      <c r="M694" s="5" t="s">
        <v>1959</v>
      </c>
      <c r="N694" s="5" t="s">
        <v>64</v>
      </c>
      <c r="O694" s="5" t="s">
        <v>18713</v>
      </c>
      <c r="P694" s="6">
        <v>9758.0</v>
      </c>
    </row>
    <row r="695" ht="56.25" customHeight="1">
      <c r="A695" s="5" t="s">
        <v>18693</v>
      </c>
      <c r="B695" s="6" t="str">
        <f>IMAGE("https://storage.googleapis.com/acdb/headwear/CapOrnamentLTsumamizaiku7.png")</f>
        <v/>
      </c>
      <c r="C695" s="5" t="s">
        <v>708</v>
      </c>
      <c r="D695" s="5" t="s">
        <v>36</v>
      </c>
      <c r="E695" s="6">
        <v>4300.0</v>
      </c>
      <c r="F695" s="6">
        <v>1075.0</v>
      </c>
      <c r="G695" s="5" t="s">
        <v>68</v>
      </c>
      <c r="H695" s="5" t="s">
        <v>57</v>
      </c>
      <c r="I695" s="6" t="s">
        <v>40</v>
      </c>
      <c r="J695" s="5" t="s">
        <v>8585</v>
      </c>
      <c r="K695" s="5" t="s">
        <v>8586</v>
      </c>
      <c r="L695" s="6" t="s">
        <v>42</v>
      </c>
      <c r="M695" s="5" t="s">
        <v>1959</v>
      </c>
      <c r="N695" s="5" t="s">
        <v>64</v>
      </c>
      <c r="O695" s="5" t="s">
        <v>18720</v>
      </c>
      <c r="P695" s="6">
        <v>9759.0</v>
      </c>
    </row>
    <row r="696" ht="56.25" customHeight="1">
      <c r="A696" s="5" t="s">
        <v>18693</v>
      </c>
      <c r="B696" s="6" t="str">
        <f>IMAGE("https://storage.googleapis.com/acdb/headwear/CapOrnamentLTsumamizaiku0.png")</f>
        <v/>
      </c>
      <c r="C696" s="5" t="s">
        <v>52</v>
      </c>
      <c r="D696" s="5" t="s">
        <v>36</v>
      </c>
      <c r="E696" s="6">
        <v>4300.0</v>
      </c>
      <c r="F696" s="6">
        <v>1075.0</v>
      </c>
      <c r="G696" s="5" t="s">
        <v>52</v>
      </c>
      <c r="H696" s="5" t="s">
        <v>57</v>
      </c>
      <c r="I696" s="6" t="s">
        <v>40</v>
      </c>
      <c r="J696" s="5" t="s">
        <v>8585</v>
      </c>
      <c r="K696" s="5" t="s">
        <v>8586</v>
      </c>
      <c r="L696" s="6" t="s">
        <v>42</v>
      </c>
      <c r="M696" s="5" t="s">
        <v>1959</v>
      </c>
      <c r="N696" s="5" t="s">
        <v>64</v>
      </c>
      <c r="O696" s="5" t="s">
        <v>18723</v>
      </c>
      <c r="P696" s="6">
        <v>8610.0</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3" width="10.86"/>
    <col customWidth="1" min="4" max="4" width="4.43"/>
    <col customWidth="1" min="5" max="6" width="5.86"/>
    <col customWidth="1" min="7" max="8" width="8.0"/>
    <col customWidth="1" min="9" max="9" width="5.14"/>
    <col customWidth="1" min="10" max="10" width="12.29"/>
    <col customWidth="1" min="11" max="11" width="25.14"/>
    <col customWidth="1" min="12" max="12" width="8.0"/>
    <col customWidth="1" min="13" max="13" width="9.43"/>
    <col customWidth="1" min="14" max="14" width="8.0"/>
    <col customWidth="1" min="15" max="15" width="10.86"/>
    <col customWidth="1" min="16" max="16" width="8.0"/>
  </cols>
  <sheetData>
    <row r="1" ht="26.25" customHeight="1">
      <c r="A1" s="1" t="s">
        <v>0</v>
      </c>
      <c r="B1" s="2" t="s">
        <v>1</v>
      </c>
      <c r="C1" s="1" t="s">
        <v>2</v>
      </c>
      <c r="D1" s="1" t="s">
        <v>6</v>
      </c>
      <c r="E1" s="2" t="s">
        <v>10</v>
      </c>
      <c r="F1" s="2" t="s">
        <v>11</v>
      </c>
      <c r="G1" s="1" t="s">
        <v>12</v>
      </c>
      <c r="H1" s="1" t="s">
        <v>13</v>
      </c>
      <c r="I1" s="2" t="s">
        <v>14</v>
      </c>
      <c r="J1" s="1" t="s">
        <v>15</v>
      </c>
      <c r="K1" s="1" t="s">
        <v>16</v>
      </c>
      <c r="L1" s="2" t="s">
        <v>17</v>
      </c>
      <c r="M1" s="1" t="s">
        <v>8575</v>
      </c>
      <c r="N1" s="1" t="s">
        <v>26</v>
      </c>
      <c r="O1" s="1" t="s">
        <v>27</v>
      </c>
      <c r="P1" s="2" t="s">
        <v>29</v>
      </c>
    </row>
    <row r="2" ht="56.25" customHeight="1">
      <c r="A2" s="5" t="s">
        <v>16281</v>
      </c>
      <c r="B2" s="16" t="str">
        <f>image("https://storage.googleapis.com/acdb/accessories/AccessoryGlassThreed0.png")</f>
        <v/>
      </c>
      <c r="C2" s="5" t="s">
        <v>57</v>
      </c>
      <c r="D2" s="5" t="s">
        <v>36</v>
      </c>
      <c r="E2" s="6">
        <v>490.0</v>
      </c>
      <c r="F2" s="6">
        <v>122.0</v>
      </c>
      <c r="G2" s="5" t="s">
        <v>57</v>
      </c>
      <c r="H2" s="5" t="s">
        <v>58</v>
      </c>
      <c r="I2" s="6" t="s">
        <v>40</v>
      </c>
      <c r="J2" s="5" t="s">
        <v>8585</v>
      </c>
      <c r="K2" s="5" t="s">
        <v>8586</v>
      </c>
      <c r="L2" s="6" t="s">
        <v>42</v>
      </c>
      <c r="M2" s="5" t="s">
        <v>8746</v>
      </c>
      <c r="N2" s="5" t="s">
        <v>64</v>
      </c>
      <c r="O2" s="5" t="s">
        <v>16285</v>
      </c>
      <c r="P2" s="6">
        <v>4463.0</v>
      </c>
    </row>
    <row r="3" ht="56.25" customHeight="1">
      <c r="A3" s="5" t="s">
        <v>16281</v>
      </c>
      <c r="B3" s="16" t="str">
        <f>image("https://storage.googleapis.com/acdb/accessories/AccessoryGlassThreed1.png")</f>
        <v/>
      </c>
      <c r="C3" s="5" t="s">
        <v>54</v>
      </c>
      <c r="D3" s="5" t="s">
        <v>36</v>
      </c>
      <c r="E3" s="6">
        <v>490.0</v>
      </c>
      <c r="F3" s="6">
        <v>122.0</v>
      </c>
      <c r="G3" s="5" t="s">
        <v>54</v>
      </c>
      <c r="H3" s="5" t="s">
        <v>58</v>
      </c>
      <c r="I3" s="6" t="s">
        <v>40</v>
      </c>
      <c r="J3" s="5" t="s">
        <v>8585</v>
      </c>
      <c r="K3" s="5" t="s">
        <v>8586</v>
      </c>
      <c r="L3" s="6" t="s">
        <v>42</v>
      </c>
      <c r="M3" s="5" t="s">
        <v>8746</v>
      </c>
      <c r="N3" s="5" t="s">
        <v>64</v>
      </c>
      <c r="O3" s="5" t="s">
        <v>16289</v>
      </c>
      <c r="P3" s="6">
        <v>11020.0</v>
      </c>
    </row>
    <row r="4" ht="56.25" customHeight="1">
      <c r="A4" s="5" t="s">
        <v>16290</v>
      </c>
      <c r="B4" s="16" t="str">
        <f>image("https://storage.googleapis.com/acdb/accessories/AccessoryMouthBandageSkin.png")</f>
        <v/>
      </c>
      <c r="C4" s="5" t="s">
        <v>38</v>
      </c>
      <c r="D4" s="5" t="s">
        <v>36</v>
      </c>
      <c r="E4" s="6">
        <v>140.0</v>
      </c>
      <c r="F4" s="6">
        <v>35.0</v>
      </c>
      <c r="G4" s="5" t="s">
        <v>38</v>
      </c>
      <c r="H4" s="5" t="s">
        <v>57</v>
      </c>
      <c r="I4" s="6" t="s">
        <v>40</v>
      </c>
      <c r="J4" s="5" t="s">
        <v>8585</v>
      </c>
      <c r="K4" s="5" t="s">
        <v>8632</v>
      </c>
      <c r="L4" s="6" t="s">
        <v>42</v>
      </c>
      <c r="M4" s="5" t="s">
        <v>8746</v>
      </c>
      <c r="N4" s="5" t="s">
        <v>64</v>
      </c>
      <c r="O4" s="5" t="s">
        <v>16296</v>
      </c>
      <c r="P4" s="6">
        <v>4677.0</v>
      </c>
    </row>
    <row r="5" ht="56.25" customHeight="1">
      <c r="A5" s="5" t="s">
        <v>16297</v>
      </c>
      <c r="B5" s="16" t="str">
        <f>image("https://storage.googleapis.com/acdb/accessories/AccessoryMouthBeakYellow.png")</f>
        <v/>
      </c>
      <c r="C5" s="5" t="s">
        <v>114</v>
      </c>
      <c r="D5" s="5" t="s">
        <v>36</v>
      </c>
      <c r="E5" s="6">
        <v>490.0</v>
      </c>
      <c r="F5" s="6">
        <v>122.0</v>
      </c>
      <c r="G5" s="5" t="s">
        <v>114</v>
      </c>
      <c r="H5" s="5" t="s">
        <v>114</v>
      </c>
      <c r="I5" s="6" t="s">
        <v>40</v>
      </c>
      <c r="J5" s="5" t="s">
        <v>8585</v>
      </c>
      <c r="K5" s="5" t="s">
        <v>8632</v>
      </c>
      <c r="L5" s="6" t="s">
        <v>42</v>
      </c>
      <c r="M5" s="5" t="s">
        <v>1959</v>
      </c>
      <c r="N5" s="5" t="s">
        <v>64</v>
      </c>
      <c r="O5" s="5" t="s">
        <v>16300</v>
      </c>
      <c r="P5" s="6">
        <v>3549.0</v>
      </c>
    </row>
    <row r="6" ht="56.25" customHeight="1">
      <c r="A6" s="5" t="s">
        <v>16301</v>
      </c>
      <c r="B6" s="16" t="str">
        <f>image("https://storage.googleapis.com/acdb/accessories/AccessoryGlassBirthday0.png")</f>
        <v/>
      </c>
      <c r="C6" s="5" t="s">
        <v>114</v>
      </c>
      <c r="D6" s="5" t="s">
        <v>36</v>
      </c>
      <c r="E6" s="6" t="s">
        <v>37</v>
      </c>
      <c r="F6" s="6">
        <v>620.0</v>
      </c>
      <c r="G6" s="5" t="s">
        <v>114</v>
      </c>
      <c r="H6" s="5" t="s">
        <v>52</v>
      </c>
      <c r="I6" s="6" t="s">
        <v>40</v>
      </c>
      <c r="J6" s="5" t="s">
        <v>588</v>
      </c>
      <c r="K6" s="5"/>
      <c r="L6" s="6" t="s">
        <v>42</v>
      </c>
      <c r="M6" s="5" t="s">
        <v>612</v>
      </c>
      <c r="N6" s="5" t="s">
        <v>48</v>
      </c>
      <c r="O6" s="5" t="s">
        <v>16305</v>
      </c>
      <c r="P6" s="6">
        <v>4510.0</v>
      </c>
    </row>
    <row r="7" ht="56.25" customHeight="1">
      <c r="A7" s="5" t="s">
        <v>16301</v>
      </c>
      <c r="B7" s="16" t="str">
        <f>image("https://storage.googleapis.com/acdb/accessories/AccessoryGlassBirthday1.png")</f>
        <v/>
      </c>
      <c r="C7" s="5" t="s">
        <v>69</v>
      </c>
      <c r="D7" s="5" t="s">
        <v>36</v>
      </c>
      <c r="E7" s="6" t="s">
        <v>37</v>
      </c>
      <c r="F7" s="6">
        <v>620.0</v>
      </c>
      <c r="G7" s="5" t="s">
        <v>69</v>
      </c>
      <c r="H7" s="5" t="s">
        <v>69</v>
      </c>
      <c r="I7" s="6" t="s">
        <v>40</v>
      </c>
      <c r="J7" s="5" t="s">
        <v>588</v>
      </c>
      <c r="K7" s="5"/>
      <c r="L7" s="6" t="s">
        <v>42</v>
      </c>
      <c r="M7" s="5" t="s">
        <v>612</v>
      </c>
      <c r="N7" s="5" t="s">
        <v>48</v>
      </c>
      <c r="O7" s="5" t="s">
        <v>16309</v>
      </c>
      <c r="P7" s="6">
        <v>11217.0</v>
      </c>
    </row>
    <row r="8" ht="56.25" customHeight="1">
      <c r="A8" s="5" t="s">
        <v>16301</v>
      </c>
      <c r="B8" s="16" t="str">
        <f>image("https://storage.googleapis.com/acdb/accessories/AccessoryGlassBirthday2.png")</f>
        <v/>
      </c>
      <c r="C8" s="5" t="s">
        <v>52</v>
      </c>
      <c r="D8" s="5" t="s">
        <v>36</v>
      </c>
      <c r="E8" s="6" t="s">
        <v>37</v>
      </c>
      <c r="F8" s="6">
        <v>620.0</v>
      </c>
      <c r="G8" s="5" t="s">
        <v>52</v>
      </c>
      <c r="H8" s="5" t="s">
        <v>69</v>
      </c>
      <c r="I8" s="6" t="s">
        <v>40</v>
      </c>
      <c r="J8" s="5" t="s">
        <v>588</v>
      </c>
      <c r="K8" s="5"/>
      <c r="L8" s="6" t="s">
        <v>42</v>
      </c>
      <c r="M8" s="5" t="s">
        <v>612</v>
      </c>
      <c r="N8" s="5" t="s">
        <v>48</v>
      </c>
      <c r="O8" s="5" t="s">
        <v>16313</v>
      </c>
      <c r="P8" s="6">
        <v>11218.0</v>
      </c>
    </row>
    <row r="9" ht="56.25" customHeight="1">
      <c r="A9" s="5" t="s">
        <v>16301</v>
      </c>
      <c r="B9" s="16" t="str">
        <f>image("https://storage.googleapis.com/acdb/accessories/AccessoryGlassBirthday3.png")</f>
        <v/>
      </c>
      <c r="C9" s="5" t="s">
        <v>68</v>
      </c>
      <c r="D9" s="5" t="s">
        <v>36</v>
      </c>
      <c r="E9" s="6" t="s">
        <v>37</v>
      </c>
      <c r="F9" s="6">
        <v>620.0</v>
      </c>
      <c r="G9" s="5" t="s">
        <v>83</v>
      </c>
      <c r="H9" s="5" t="s">
        <v>96</v>
      </c>
      <c r="I9" s="6" t="s">
        <v>40</v>
      </c>
      <c r="J9" s="5" t="s">
        <v>588</v>
      </c>
      <c r="K9" s="5"/>
      <c r="L9" s="6" t="s">
        <v>42</v>
      </c>
      <c r="M9" s="5" t="s">
        <v>612</v>
      </c>
      <c r="N9" s="5" t="s">
        <v>48</v>
      </c>
      <c r="O9" s="5" t="s">
        <v>16316</v>
      </c>
      <c r="P9" s="6">
        <v>11219.0</v>
      </c>
    </row>
    <row r="10" ht="56.25" customHeight="1">
      <c r="A10" s="20" t="s">
        <v>16317</v>
      </c>
      <c r="B10" s="16" t="str">
        <f>image("https://storage.googleapis.com/acdb/accessories/AccessoryGlassLoose0.png")</f>
        <v/>
      </c>
      <c r="C10" s="5" t="s">
        <v>52</v>
      </c>
      <c r="D10" s="5" t="s">
        <v>36</v>
      </c>
      <c r="E10" s="6">
        <v>1100.0</v>
      </c>
      <c r="F10" s="6">
        <v>275.0</v>
      </c>
      <c r="G10" s="5" t="s">
        <v>52</v>
      </c>
      <c r="H10" s="5" t="s">
        <v>52</v>
      </c>
      <c r="I10" s="6" t="s">
        <v>40</v>
      </c>
      <c r="J10" s="5" t="s">
        <v>8585</v>
      </c>
      <c r="K10" s="5" t="s">
        <v>8586</v>
      </c>
      <c r="L10" s="6" t="s">
        <v>42</v>
      </c>
      <c r="M10" s="5" t="s">
        <v>995</v>
      </c>
      <c r="N10" s="5" t="s">
        <v>64</v>
      </c>
      <c r="O10" s="5" t="s">
        <v>16321</v>
      </c>
      <c r="P10" s="6">
        <v>4597.0</v>
      </c>
    </row>
    <row r="11" ht="56.25" customHeight="1">
      <c r="A11" s="20" t="s">
        <v>16317</v>
      </c>
      <c r="B11" s="16" t="str">
        <f>image("https://storage.googleapis.com/acdb/accessories/AccessoryGlassLoose1.png")</f>
        <v/>
      </c>
      <c r="C11" s="5" t="s">
        <v>106</v>
      </c>
      <c r="D11" s="5" t="s">
        <v>36</v>
      </c>
      <c r="E11" s="6">
        <v>1100.0</v>
      </c>
      <c r="F11" s="6">
        <v>275.0</v>
      </c>
      <c r="G11" s="5" t="s">
        <v>106</v>
      </c>
      <c r="H11" s="5" t="s">
        <v>106</v>
      </c>
      <c r="I11" s="6" t="s">
        <v>40</v>
      </c>
      <c r="J11" s="5" t="s">
        <v>8585</v>
      </c>
      <c r="K11" s="5" t="s">
        <v>8586</v>
      </c>
      <c r="L11" s="6" t="s">
        <v>42</v>
      </c>
      <c r="M11" s="5" t="s">
        <v>995</v>
      </c>
      <c r="N11" s="5" t="s">
        <v>64</v>
      </c>
      <c r="O11" s="5" t="s">
        <v>16324</v>
      </c>
      <c r="P11" s="6">
        <v>11081.0</v>
      </c>
    </row>
    <row r="12" ht="56.25" customHeight="1">
      <c r="A12" s="20" t="s">
        <v>16317</v>
      </c>
      <c r="B12" s="16" t="str">
        <f>image("https://storage.googleapis.com/acdb/accessories/AccessoryGlassLoose2.png")</f>
        <v/>
      </c>
      <c r="C12" s="5" t="s">
        <v>96</v>
      </c>
      <c r="D12" s="5" t="s">
        <v>36</v>
      </c>
      <c r="E12" s="6">
        <v>1100.0</v>
      </c>
      <c r="F12" s="6">
        <v>275.0</v>
      </c>
      <c r="G12" s="5" t="s">
        <v>96</v>
      </c>
      <c r="H12" s="5" t="s">
        <v>96</v>
      </c>
      <c r="I12" s="6" t="s">
        <v>40</v>
      </c>
      <c r="J12" s="5" t="s">
        <v>8585</v>
      </c>
      <c r="K12" s="5" t="s">
        <v>8586</v>
      </c>
      <c r="L12" s="6" t="s">
        <v>42</v>
      </c>
      <c r="M12" s="5" t="s">
        <v>995</v>
      </c>
      <c r="N12" s="5" t="s">
        <v>64</v>
      </c>
      <c r="O12" s="5" t="s">
        <v>16329</v>
      </c>
      <c r="P12" s="6">
        <v>11082.0</v>
      </c>
    </row>
    <row r="13" ht="56.25" customHeight="1">
      <c r="A13" s="20" t="s">
        <v>16317</v>
      </c>
      <c r="B13" s="16" t="str">
        <f>image("https://storage.googleapis.com/acdb/accessories/AccessoryGlassLoose3.png")</f>
        <v/>
      </c>
      <c r="C13" s="5" t="s">
        <v>68</v>
      </c>
      <c r="D13" s="5" t="s">
        <v>36</v>
      </c>
      <c r="E13" s="6">
        <v>1100.0</v>
      </c>
      <c r="F13" s="6">
        <v>275.0</v>
      </c>
      <c r="G13" s="5" t="s">
        <v>68</v>
      </c>
      <c r="H13" s="5" t="s">
        <v>68</v>
      </c>
      <c r="I13" s="6" t="s">
        <v>40</v>
      </c>
      <c r="J13" s="5" t="s">
        <v>8585</v>
      </c>
      <c r="K13" s="5" t="s">
        <v>8586</v>
      </c>
      <c r="L13" s="6" t="s">
        <v>42</v>
      </c>
      <c r="M13" s="5" t="s">
        <v>995</v>
      </c>
      <c r="N13" s="5" t="s">
        <v>64</v>
      </c>
      <c r="O13" s="5" t="s">
        <v>16332</v>
      </c>
      <c r="P13" s="6">
        <v>11083.0</v>
      </c>
    </row>
    <row r="14" ht="56.25" customHeight="1">
      <c r="A14" s="20" t="s">
        <v>16317</v>
      </c>
      <c r="B14" s="16" t="str">
        <f>image("https://storage.googleapis.com/acdb/accessories/AccessoryGlassLoose4.png")</f>
        <v/>
      </c>
      <c r="C14" s="5" t="s">
        <v>114</v>
      </c>
      <c r="D14" s="5" t="s">
        <v>36</v>
      </c>
      <c r="E14" s="6">
        <v>1100.0</v>
      </c>
      <c r="F14" s="6">
        <v>275.0</v>
      </c>
      <c r="G14" s="5" t="s">
        <v>114</v>
      </c>
      <c r="H14" s="5" t="s">
        <v>114</v>
      </c>
      <c r="I14" s="6" t="s">
        <v>40</v>
      </c>
      <c r="J14" s="5" t="s">
        <v>8585</v>
      </c>
      <c r="K14" s="5" t="s">
        <v>8586</v>
      </c>
      <c r="L14" s="6" t="s">
        <v>42</v>
      </c>
      <c r="M14" s="5" t="s">
        <v>995</v>
      </c>
      <c r="N14" s="5" t="s">
        <v>64</v>
      </c>
      <c r="O14" s="5" t="s">
        <v>16335</v>
      </c>
      <c r="P14" s="6">
        <v>11084.0</v>
      </c>
    </row>
    <row r="15" ht="56.25" customHeight="1">
      <c r="A15" s="20" t="s">
        <v>16317</v>
      </c>
      <c r="B15" s="16" t="str">
        <f>image("https://storage.googleapis.com/acdb/accessories/AccessoryGlassLoose5.png")</f>
        <v/>
      </c>
      <c r="C15" s="5" t="s">
        <v>69</v>
      </c>
      <c r="D15" s="5" t="s">
        <v>36</v>
      </c>
      <c r="E15" s="6">
        <v>1100.0</v>
      </c>
      <c r="F15" s="6">
        <v>275.0</v>
      </c>
      <c r="G15" s="5" t="s">
        <v>69</v>
      </c>
      <c r="H15" s="5" t="s">
        <v>69</v>
      </c>
      <c r="I15" s="6" t="s">
        <v>40</v>
      </c>
      <c r="J15" s="5" t="s">
        <v>8585</v>
      </c>
      <c r="K15" s="5" t="s">
        <v>8586</v>
      </c>
      <c r="L15" s="6" t="s">
        <v>42</v>
      </c>
      <c r="M15" s="5" t="s">
        <v>995</v>
      </c>
      <c r="N15" s="5" t="s">
        <v>64</v>
      </c>
      <c r="O15" s="5" t="s">
        <v>16338</v>
      </c>
      <c r="P15" s="6">
        <v>11085.0</v>
      </c>
    </row>
    <row r="16" ht="56.25" customHeight="1">
      <c r="A16" s="20" t="s">
        <v>16317</v>
      </c>
      <c r="B16" s="16" t="str">
        <f>image("https://storage.googleapis.com/acdb/accessories/AccessoryGlassLoose6.png")</f>
        <v/>
      </c>
      <c r="C16" s="5" t="s">
        <v>54</v>
      </c>
      <c r="D16" s="5" t="s">
        <v>36</v>
      </c>
      <c r="E16" s="6">
        <v>1100.0</v>
      </c>
      <c r="F16" s="6">
        <v>275.0</v>
      </c>
      <c r="G16" s="5" t="s">
        <v>54</v>
      </c>
      <c r="H16" s="5" t="s">
        <v>54</v>
      </c>
      <c r="I16" s="6" t="s">
        <v>40</v>
      </c>
      <c r="J16" s="5" t="s">
        <v>8585</v>
      </c>
      <c r="K16" s="5" t="s">
        <v>8586</v>
      </c>
      <c r="L16" s="6" t="s">
        <v>42</v>
      </c>
      <c r="M16" s="5" t="s">
        <v>995</v>
      </c>
      <c r="N16" s="5" t="s">
        <v>64</v>
      </c>
      <c r="O16" s="5" t="s">
        <v>16343</v>
      </c>
      <c r="P16" s="6">
        <v>11086.0</v>
      </c>
    </row>
    <row r="17" ht="56.25" customHeight="1">
      <c r="A17" s="20" t="s">
        <v>16344</v>
      </c>
      <c r="B17" s="16" t="str">
        <f>image("https://storage.googleapis.com/acdb/accessories/AccessoryGlassThurmont0.png")</f>
        <v/>
      </c>
      <c r="C17" s="5" t="s">
        <v>54</v>
      </c>
      <c r="D17" s="5" t="s">
        <v>36</v>
      </c>
      <c r="E17" s="6">
        <v>1040.0</v>
      </c>
      <c r="F17" s="6">
        <v>260.0</v>
      </c>
      <c r="G17" s="5" t="s">
        <v>54</v>
      </c>
      <c r="H17" s="5" t="s">
        <v>114</v>
      </c>
      <c r="I17" s="6" t="s">
        <v>40</v>
      </c>
      <c r="J17" s="5" t="s">
        <v>8585</v>
      </c>
      <c r="K17" s="5" t="s">
        <v>8586</v>
      </c>
      <c r="L17" s="6" t="s">
        <v>42</v>
      </c>
      <c r="M17" s="5" t="s">
        <v>995</v>
      </c>
      <c r="N17" s="5" t="s">
        <v>64</v>
      </c>
      <c r="O17" s="5" t="s">
        <v>16348</v>
      </c>
      <c r="P17" s="6">
        <v>4238.0</v>
      </c>
    </row>
    <row r="18" ht="56.25" customHeight="1">
      <c r="A18" s="20" t="s">
        <v>16344</v>
      </c>
      <c r="B18" s="16" t="str">
        <f>image("https://storage.googleapis.com/acdb/accessories/AccessoryGlassThurmont1.png")</f>
        <v/>
      </c>
      <c r="C18" s="5" t="s">
        <v>39</v>
      </c>
      <c r="D18" s="5" t="s">
        <v>36</v>
      </c>
      <c r="E18" s="6">
        <v>1040.0</v>
      </c>
      <c r="F18" s="6">
        <v>260.0</v>
      </c>
      <c r="G18" s="5" t="s">
        <v>39</v>
      </c>
      <c r="H18" s="5" t="s">
        <v>114</v>
      </c>
      <c r="I18" s="6" t="s">
        <v>40</v>
      </c>
      <c r="J18" s="5" t="s">
        <v>8585</v>
      </c>
      <c r="K18" s="5" t="s">
        <v>8586</v>
      </c>
      <c r="L18" s="6" t="s">
        <v>42</v>
      </c>
      <c r="M18" s="5" t="s">
        <v>995</v>
      </c>
      <c r="N18" s="5" t="s">
        <v>64</v>
      </c>
      <c r="O18" s="5" t="s">
        <v>16352</v>
      </c>
      <c r="P18" s="6">
        <v>11069.0</v>
      </c>
    </row>
    <row r="19" ht="56.25" customHeight="1">
      <c r="A19" s="20" t="s">
        <v>16344</v>
      </c>
      <c r="B19" s="16" t="str">
        <f>image("https://storage.googleapis.com/acdb/accessories/AccessoryGlassThurmont2.png")</f>
        <v/>
      </c>
      <c r="C19" s="5" t="s">
        <v>96</v>
      </c>
      <c r="D19" s="5" t="s">
        <v>36</v>
      </c>
      <c r="E19" s="6">
        <v>1040.0</v>
      </c>
      <c r="F19" s="6">
        <v>260.0</v>
      </c>
      <c r="G19" s="5" t="s">
        <v>96</v>
      </c>
      <c r="H19" s="5" t="s">
        <v>95</v>
      </c>
      <c r="I19" s="6" t="s">
        <v>40</v>
      </c>
      <c r="J19" s="5" t="s">
        <v>8585</v>
      </c>
      <c r="K19" s="5" t="s">
        <v>8586</v>
      </c>
      <c r="L19" s="6" t="s">
        <v>42</v>
      </c>
      <c r="M19" s="5" t="s">
        <v>995</v>
      </c>
      <c r="N19" s="5" t="s">
        <v>64</v>
      </c>
      <c r="O19" s="5" t="s">
        <v>16354</v>
      </c>
      <c r="P19" s="6">
        <v>11070.0</v>
      </c>
    </row>
    <row r="20" ht="56.25" customHeight="1">
      <c r="A20" s="20" t="s">
        <v>16344</v>
      </c>
      <c r="B20" s="16" t="str">
        <f>image("https://storage.googleapis.com/acdb/accessories/AccessoryGlassThurmont3.png")</f>
        <v/>
      </c>
      <c r="C20" s="5" t="s">
        <v>95</v>
      </c>
      <c r="D20" s="5" t="s">
        <v>36</v>
      </c>
      <c r="E20" s="6">
        <v>1040.0</v>
      </c>
      <c r="F20" s="6">
        <v>260.0</v>
      </c>
      <c r="G20" s="5" t="s">
        <v>95</v>
      </c>
      <c r="H20" s="5" t="s">
        <v>114</v>
      </c>
      <c r="I20" s="6" t="s">
        <v>40</v>
      </c>
      <c r="J20" s="5" t="s">
        <v>8585</v>
      </c>
      <c r="K20" s="5" t="s">
        <v>8586</v>
      </c>
      <c r="L20" s="6" t="s">
        <v>42</v>
      </c>
      <c r="M20" s="5" t="s">
        <v>995</v>
      </c>
      <c r="N20" s="5" t="s">
        <v>64</v>
      </c>
      <c r="O20" s="5" t="s">
        <v>16357</v>
      </c>
      <c r="P20" s="6">
        <v>11071.0</v>
      </c>
    </row>
    <row r="21" ht="56.25" customHeight="1">
      <c r="A21" s="20" t="s">
        <v>16358</v>
      </c>
      <c r="B21" s="16" t="str">
        <f>image("https://storage.googleapis.com/acdb/accessories/AccessoryMouthBubblegum0.png")</f>
        <v/>
      </c>
      <c r="C21" s="5" t="s">
        <v>69</v>
      </c>
      <c r="D21" s="5" t="s">
        <v>36</v>
      </c>
      <c r="E21" s="6">
        <v>140.0</v>
      </c>
      <c r="F21" s="6">
        <v>35.0</v>
      </c>
      <c r="G21" s="5" t="s">
        <v>69</v>
      </c>
      <c r="H21" s="5" t="s">
        <v>69</v>
      </c>
      <c r="I21" s="6" t="s">
        <v>40</v>
      </c>
      <c r="J21" s="5" t="s">
        <v>8585</v>
      </c>
      <c r="K21" s="5" t="s">
        <v>8632</v>
      </c>
      <c r="L21" s="6" t="s">
        <v>42</v>
      </c>
      <c r="M21" s="5" t="s">
        <v>995</v>
      </c>
      <c r="N21" s="5" t="s">
        <v>64</v>
      </c>
      <c r="O21" s="5" t="s">
        <v>16363</v>
      </c>
      <c r="P21" s="6">
        <v>5738.0</v>
      </c>
    </row>
    <row r="22" ht="56.25" customHeight="1">
      <c r="A22" s="20" t="s">
        <v>16358</v>
      </c>
      <c r="B22" s="16" t="str">
        <f>image("https://storage.googleapis.com/acdb/accessories/AccessoryMouthBubblegum1.png")</f>
        <v/>
      </c>
      <c r="C22" s="5" t="s">
        <v>68</v>
      </c>
      <c r="D22" s="5" t="s">
        <v>36</v>
      </c>
      <c r="E22" s="6">
        <v>140.0</v>
      </c>
      <c r="F22" s="6">
        <v>35.0</v>
      </c>
      <c r="G22" s="5" t="s">
        <v>83</v>
      </c>
      <c r="H22" s="5" t="s">
        <v>83</v>
      </c>
      <c r="I22" s="6" t="s">
        <v>40</v>
      </c>
      <c r="J22" s="5" t="s">
        <v>8585</v>
      </c>
      <c r="K22" s="5" t="s">
        <v>8632</v>
      </c>
      <c r="L22" s="6" t="s">
        <v>42</v>
      </c>
      <c r="M22" s="5" t="s">
        <v>995</v>
      </c>
      <c r="N22" s="5" t="s">
        <v>64</v>
      </c>
      <c r="O22" s="5" t="s">
        <v>16366</v>
      </c>
      <c r="P22" s="6">
        <v>11027.0</v>
      </c>
    </row>
    <row r="23" ht="56.25" customHeight="1">
      <c r="A23" s="20" t="s">
        <v>16358</v>
      </c>
      <c r="B23" s="16" t="str">
        <f>image("https://storage.googleapis.com/acdb/accessories/AccessoryMouthBubblegum2.png")</f>
        <v/>
      </c>
      <c r="C23" s="5" t="s">
        <v>114</v>
      </c>
      <c r="D23" s="5" t="s">
        <v>36</v>
      </c>
      <c r="E23" s="6">
        <v>140.0</v>
      </c>
      <c r="F23" s="6">
        <v>35.0</v>
      </c>
      <c r="G23" s="5" t="s">
        <v>114</v>
      </c>
      <c r="H23" s="5" t="s">
        <v>114</v>
      </c>
      <c r="I23" s="6" t="s">
        <v>40</v>
      </c>
      <c r="J23" s="5" t="s">
        <v>8585</v>
      </c>
      <c r="K23" s="5" t="s">
        <v>8632</v>
      </c>
      <c r="L23" s="6" t="s">
        <v>42</v>
      </c>
      <c r="M23" s="5" t="s">
        <v>995</v>
      </c>
      <c r="N23" s="5" t="s">
        <v>64</v>
      </c>
      <c r="O23" s="5" t="s">
        <v>16368</v>
      </c>
      <c r="P23" s="6">
        <v>11028.0</v>
      </c>
    </row>
    <row r="24" ht="56.25" customHeight="1">
      <c r="A24" s="20" t="s">
        <v>16358</v>
      </c>
      <c r="B24" s="16" t="str">
        <f>image("https://storage.googleapis.com/acdb/accessories/AccessoryMouthBubblegum3.png")</f>
        <v/>
      </c>
      <c r="C24" s="5" t="s">
        <v>96</v>
      </c>
      <c r="D24" s="5" t="s">
        <v>36</v>
      </c>
      <c r="E24" s="6">
        <v>140.0</v>
      </c>
      <c r="F24" s="6">
        <v>35.0</v>
      </c>
      <c r="G24" s="5" t="s">
        <v>96</v>
      </c>
      <c r="H24" s="5" t="s">
        <v>96</v>
      </c>
      <c r="I24" s="6" t="s">
        <v>40</v>
      </c>
      <c r="J24" s="5" t="s">
        <v>8585</v>
      </c>
      <c r="K24" s="5" t="s">
        <v>8632</v>
      </c>
      <c r="L24" s="6" t="s">
        <v>42</v>
      </c>
      <c r="M24" s="5" t="s">
        <v>995</v>
      </c>
      <c r="N24" s="5" t="s">
        <v>64</v>
      </c>
      <c r="O24" s="5" t="s">
        <v>16371</v>
      </c>
      <c r="P24" s="6">
        <v>11029.0</v>
      </c>
    </row>
    <row r="25" ht="56.25" customHeight="1">
      <c r="A25" s="20" t="s">
        <v>16358</v>
      </c>
      <c r="B25" s="16" t="str">
        <f>image("https://storage.googleapis.com/acdb/accessories/AccessoryMouthBubblegum4.png")</f>
        <v/>
      </c>
      <c r="C25" s="5" t="s">
        <v>57</v>
      </c>
      <c r="D25" s="5" t="s">
        <v>36</v>
      </c>
      <c r="E25" s="6">
        <v>140.0</v>
      </c>
      <c r="F25" s="6">
        <v>35.0</v>
      </c>
      <c r="G25" s="5" t="s">
        <v>57</v>
      </c>
      <c r="H25" s="5" t="s">
        <v>57</v>
      </c>
      <c r="I25" s="6" t="s">
        <v>40</v>
      </c>
      <c r="J25" s="5" t="s">
        <v>8585</v>
      </c>
      <c r="K25" s="5" t="s">
        <v>8632</v>
      </c>
      <c r="L25" s="6" t="s">
        <v>42</v>
      </c>
      <c r="M25" s="5" t="s">
        <v>995</v>
      </c>
      <c r="N25" s="5" t="s">
        <v>64</v>
      </c>
      <c r="O25" s="5" t="s">
        <v>16374</v>
      </c>
      <c r="P25" s="6">
        <v>11030.0</v>
      </c>
    </row>
    <row r="26" ht="56.25" customHeight="1">
      <c r="A26" s="20" t="s">
        <v>16375</v>
      </c>
      <c r="B26" s="16" t="str">
        <f>image("https://storage.googleapis.com/acdb/accessories/AccessoryMouthRabbit0.png")</f>
        <v/>
      </c>
      <c r="C26" s="5" t="s">
        <v>69</v>
      </c>
      <c r="D26" s="5" t="s">
        <v>36</v>
      </c>
      <c r="E26" s="6">
        <v>560.0</v>
      </c>
      <c r="F26" s="6">
        <v>140.0</v>
      </c>
      <c r="G26" s="5" t="s">
        <v>69</v>
      </c>
      <c r="H26" s="5" t="s">
        <v>69</v>
      </c>
      <c r="I26" s="6" t="s">
        <v>40</v>
      </c>
      <c r="J26" s="5" t="s">
        <v>8585</v>
      </c>
      <c r="K26" s="5" t="s">
        <v>8586</v>
      </c>
      <c r="L26" s="6" t="s">
        <v>42</v>
      </c>
      <c r="M26" s="5" t="s">
        <v>1959</v>
      </c>
      <c r="N26" s="5" t="s">
        <v>64</v>
      </c>
      <c r="O26" s="5" t="s">
        <v>16378</v>
      </c>
      <c r="P26" s="6">
        <v>4600.0</v>
      </c>
    </row>
    <row r="27" ht="56.25" customHeight="1">
      <c r="A27" s="20" t="s">
        <v>16375</v>
      </c>
      <c r="B27" s="16" t="str">
        <f>image("https://storage.googleapis.com/acdb/accessories/AccessoryMouthRabbit1.png")</f>
        <v/>
      </c>
      <c r="C27" s="5" t="s">
        <v>114</v>
      </c>
      <c r="D27" s="5" t="s">
        <v>36</v>
      </c>
      <c r="E27" s="6">
        <v>560.0</v>
      </c>
      <c r="F27" s="6">
        <v>140.0</v>
      </c>
      <c r="G27" s="5" t="s">
        <v>114</v>
      </c>
      <c r="H27" s="5" t="s">
        <v>142</v>
      </c>
      <c r="I27" s="6" t="s">
        <v>40</v>
      </c>
      <c r="J27" s="5" t="s">
        <v>8585</v>
      </c>
      <c r="K27" s="5" t="s">
        <v>8586</v>
      </c>
      <c r="L27" s="6" t="s">
        <v>42</v>
      </c>
      <c r="M27" s="5" t="s">
        <v>1959</v>
      </c>
      <c r="N27" s="5" t="s">
        <v>64</v>
      </c>
      <c r="O27" s="5" t="s">
        <v>16379</v>
      </c>
      <c r="P27" s="6">
        <v>11023.0</v>
      </c>
    </row>
    <row r="28" ht="56.25" customHeight="1">
      <c r="A28" s="20" t="s">
        <v>16375</v>
      </c>
      <c r="B28" s="16" t="str">
        <f>image("https://storage.googleapis.com/acdb/accessories/AccessoryMouthRabbit2.png")</f>
        <v/>
      </c>
      <c r="C28" s="5" t="s">
        <v>57</v>
      </c>
      <c r="D28" s="5" t="s">
        <v>36</v>
      </c>
      <c r="E28" s="6">
        <v>560.0</v>
      </c>
      <c r="F28" s="6">
        <v>140.0</v>
      </c>
      <c r="G28" s="5" t="s">
        <v>57</v>
      </c>
      <c r="H28" s="5" t="s">
        <v>52</v>
      </c>
      <c r="I28" s="6" t="s">
        <v>40</v>
      </c>
      <c r="J28" s="5" t="s">
        <v>8585</v>
      </c>
      <c r="K28" s="5" t="s">
        <v>8586</v>
      </c>
      <c r="L28" s="6" t="s">
        <v>42</v>
      </c>
      <c r="M28" s="5" t="s">
        <v>1959</v>
      </c>
      <c r="N28" s="5" t="s">
        <v>64</v>
      </c>
      <c r="O28" s="5" t="s">
        <v>16382</v>
      </c>
      <c r="P28" s="6">
        <v>11024.0</v>
      </c>
    </row>
    <row r="29" ht="56.25" customHeight="1">
      <c r="A29" s="20" t="s">
        <v>16383</v>
      </c>
      <c r="B29" s="16" t="str">
        <f>image("https://storage.googleapis.com/acdb/accessories/AccessoryGlassButterfly0.png")</f>
        <v/>
      </c>
      <c r="C29" s="5" t="s">
        <v>68</v>
      </c>
      <c r="D29" s="5" t="s">
        <v>36</v>
      </c>
      <c r="E29" s="6">
        <v>1040.0</v>
      </c>
      <c r="F29" s="6">
        <v>260.0</v>
      </c>
      <c r="G29" s="5" t="s">
        <v>54</v>
      </c>
      <c r="H29" s="5" t="s">
        <v>68</v>
      </c>
      <c r="I29" s="6" t="s">
        <v>40</v>
      </c>
      <c r="J29" s="5" t="s">
        <v>8585</v>
      </c>
      <c r="K29" s="5" t="s">
        <v>8632</v>
      </c>
      <c r="L29" s="6" t="s">
        <v>42</v>
      </c>
      <c r="M29" s="5" t="s">
        <v>1952</v>
      </c>
      <c r="N29" s="5" t="s">
        <v>64</v>
      </c>
      <c r="O29" s="5" t="s">
        <v>16385</v>
      </c>
      <c r="P29" s="6">
        <v>4608.0</v>
      </c>
    </row>
    <row r="30" ht="56.25" customHeight="1">
      <c r="A30" s="20" t="s">
        <v>16383</v>
      </c>
      <c r="B30" s="16" t="str">
        <f>image("https://storage.googleapis.com/acdb/accessories/AccessoryGlassButterfly1.png")</f>
        <v/>
      </c>
      <c r="C30" s="5" t="s">
        <v>52</v>
      </c>
      <c r="D30" s="5" t="s">
        <v>36</v>
      </c>
      <c r="E30" s="6">
        <v>1040.0</v>
      </c>
      <c r="F30" s="6">
        <v>260.0</v>
      </c>
      <c r="G30" s="5" t="s">
        <v>52</v>
      </c>
      <c r="H30" s="5" t="s">
        <v>39</v>
      </c>
      <c r="I30" s="6" t="s">
        <v>40</v>
      </c>
      <c r="J30" s="5" t="s">
        <v>8585</v>
      </c>
      <c r="K30" s="5" t="s">
        <v>8632</v>
      </c>
      <c r="L30" s="6" t="s">
        <v>42</v>
      </c>
      <c r="M30" s="5" t="s">
        <v>1952</v>
      </c>
      <c r="N30" s="5" t="s">
        <v>64</v>
      </c>
      <c r="O30" s="5" t="s">
        <v>16388</v>
      </c>
      <c r="P30" s="6">
        <v>11503.0</v>
      </c>
    </row>
    <row r="31" ht="56.25" customHeight="1">
      <c r="A31" s="20" t="s">
        <v>16383</v>
      </c>
      <c r="B31" s="16" t="str">
        <f>image("https://storage.googleapis.com/acdb/accessories/AccessoryGlassButterfly2.png")</f>
        <v/>
      </c>
      <c r="C31" s="5" t="s">
        <v>39</v>
      </c>
      <c r="D31" s="5" t="s">
        <v>36</v>
      </c>
      <c r="E31" s="6">
        <v>1040.0</v>
      </c>
      <c r="F31" s="6">
        <v>260.0</v>
      </c>
      <c r="G31" s="5" t="s">
        <v>39</v>
      </c>
      <c r="H31" s="5" t="s">
        <v>39</v>
      </c>
      <c r="I31" s="6" t="s">
        <v>40</v>
      </c>
      <c r="J31" s="5" t="s">
        <v>8585</v>
      </c>
      <c r="K31" s="5" t="s">
        <v>8632</v>
      </c>
      <c r="L31" s="6" t="s">
        <v>42</v>
      </c>
      <c r="M31" s="5" t="s">
        <v>1952</v>
      </c>
      <c r="N31" s="5" t="s">
        <v>64</v>
      </c>
      <c r="O31" s="5" t="s">
        <v>16389</v>
      </c>
      <c r="P31" s="6">
        <v>11504.0</v>
      </c>
    </row>
    <row r="32" ht="56.25" customHeight="1">
      <c r="A32" s="20" t="s">
        <v>16390</v>
      </c>
      <c r="B32" s="16" t="str">
        <f>image("https://storage.googleapis.com/acdb/accessories/AccessoryGlassmouthCatrina0.png")</f>
        <v/>
      </c>
      <c r="C32" s="5" t="s">
        <v>106</v>
      </c>
      <c r="D32" s="5" t="s">
        <v>36</v>
      </c>
      <c r="E32" s="6" t="s">
        <v>37</v>
      </c>
      <c r="F32" s="6">
        <v>800.0</v>
      </c>
      <c r="G32" s="5" t="s">
        <v>57</v>
      </c>
      <c r="H32" s="5" t="s">
        <v>106</v>
      </c>
      <c r="I32" s="6" t="s">
        <v>40</v>
      </c>
      <c r="J32" s="5" t="s">
        <v>1284</v>
      </c>
      <c r="K32" s="5"/>
      <c r="L32" s="6" t="s">
        <v>42</v>
      </c>
      <c r="M32" s="5" t="s">
        <v>612</v>
      </c>
      <c r="N32" s="5" t="s">
        <v>48</v>
      </c>
      <c r="O32" s="5" t="s">
        <v>16395</v>
      </c>
      <c r="P32" s="6">
        <v>5666.0</v>
      </c>
    </row>
    <row r="33" ht="56.25" customHeight="1">
      <c r="A33" s="20" t="s">
        <v>16390</v>
      </c>
      <c r="B33" s="16" t="str">
        <f>image("https://storage.googleapis.com/acdb/accessories/AccessoryGlassmouthCatrina1.png")</f>
        <v/>
      </c>
      <c r="C33" s="5" t="s">
        <v>142</v>
      </c>
      <c r="D33" s="5" t="s">
        <v>36</v>
      </c>
      <c r="E33" s="6" t="s">
        <v>37</v>
      </c>
      <c r="F33" s="6">
        <v>800.0</v>
      </c>
      <c r="G33" s="5" t="s">
        <v>57</v>
      </c>
      <c r="H33" s="5" t="s">
        <v>142</v>
      </c>
      <c r="I33" s="6" t="s">
        <v>40</v>
      </c>
      <c r="J33" s="5" t="s">
        <v>1284</v>
      </c>
      <c r="K33" s="5"/>
      <c r="L33" s="6" t="s">
        <v>42</v>
      </c>
      <c r="M33" s="5" t="s">
        <v>612</v>
      </c>
      <c r="N33" s="5" t="s">
        <v>48</v>
      </c>
      <c r="O33" s="5" t="s">
        <v>16397</v>
      </c>
      <c r="P33" s="6">
        <v>11169.0</v>
      </c>
    </row>
    <row r="34" ht="56.25" customHeight="1">
      <c r="A34" s="20" t="s">
        <v>16390</v>
      </c>
      <c r="B34" s="16" t="str">
        <f>image("https://storage.googleapis.com/acdb/accessories/AccessoryGlassmouthCatrina2.png")</f>
        <v/>
      </c>
      <c r="C34" s="5" t="s">
        <v>68</v>
      </c>
      <c r="D34" s="5" t="s">
        <v>36</v>
      </c>
      <c r="E34" s="6" t="s">
        <v>37</v>
      </c>
      <c r="F34" s="6">
        <v>800.0</v>
      </c>
      <c r="G34" s="5" t="s">
        <v>57</v>
      </c>
      <c r="H34" s="5" t="s">
        <v>83</v>
      </c>
      <c r="I34" s="6" t="s">
        <v>40</v>
      </c>
      <c r="J34" s="5" t="s">
        <v>1284</v>
      </c>
      <c r="K34" s="5"/>
      <c r="L34" s="6" t="s">
        <v>42</v>
      </c>
      <c r="M34" s="5" t="s">
        <v>612</v>
      </c>
      <c r="N34" s="5" t="s">
        <v>48</v>
      </c>
      <c r="O34" s="5" t="s">
        <v>16401</v>
      </c>
      <c r="P34" s="6">
        <v>11170.0</v>
      </c>
    </row>
    <row r="35" ht="56.25" customHeight="1">
      <c r="A35" s="20" t="s">
        <v>16402</v>
      </c>
      <c r="B35" s="16" t="str">
        <f>image("https://storage.googleapis.com/acdb/accessories/AccessoryMouthCat0.png")</f>
        <v/>
      </c>
      <c r="C35" s="5" t="s">
        <v>57</v>
      </c>
      <c r="D35" s="5" t="s">
        <v>36</v>
      </c>
      <c r="E35" s="6">
        <v>560.0</v>
      </c>
      <c r="F35" s="6">
        <v>140.0</v>
      </c>
      <c r="G35" s="5" t="s">
        <v>57</v>
      </c>
      <c r="H35" s="5" t="s">
        <v>69</v>
      </c>
      <c r="I35" s="6" t="s">
        <v>40</v>
      </c>
      <c r="J35" s="5" t="s">
        <v>8585</v>
      </c>
      <c r="K35" s="5" t="s">
        <v>8586</v>
      </c>
      <c r="L35" s="6" t="s">
        <v>42</v>
      </c>
      <c r="M35" s="5" t="s">
        <v>1959</v>
      </c>
      <c r="N35" s="5" t="s">
        <v>64</v>
      </c>
      <c r="O35" s="5" t="s">
        <v>16407</v>
      </c>
      <c r="P35" s="6">
        <v>4483.0</v>
      </c>
    </row>
    <row r="36" ht="56.25" customHeight="1">
      <c r="A36" s="20" t="s">
        <v>16402</v>
      </c>
      <c r="B36" s="16" t="str">
        <f>image("https://storage.googleapis.com/acdb/accessories/AccessoryMouthCat1.png")</f>
        <v/>
      </c>
      <c r="C36" s="5" t="s">
        <v>39</v>
      </c>
      <c r="D36" s="5" t="s">
        <v>36</v>
      </c>
      <c r="E36" s="6">
        <v>560.0</v>
      </c>
      <c r="F36" s="6">
        <v>140.0</v>
      </c>
      <c r="G36" s="5" t="s">
        <v>39</v>
      </c>
      <c r="H36" s="5" t="s">
        <v>38</v>
      </c>
      <c r="I36" s="6" t="s">
        <v>40</v>
      </c>
      <c r="J36" s="5" t="s">
        <v>8585</v>
      </c>
      <c r="K36" s="5" t="s">
        <v>8586</v>
      </c>
      <c r="L36" s="6" t="s">
        <v>42</v>
      </c>
      <c r="M36" s="5" t="s">
        <v>1959</v>
      </c>
      <c r="N36" s="5" t="s">
        <v>64</v>
      </c>
      <c r="O36" s="5" t="s">
        <v>16411</v>
      </c>
      <c r="P36" s="6">
        <v>11021.0</v>
      </c>
    </row>
    <row r="37" ht="56.25" customHeight="1">
      <c r="A37" s="20" t="s">
        <v>16402</v>
      </c>
      <c r="B37" s="16" t="str">
        <f>image("https://storage.googleapis.com/acdb/accessories/AccessoryMouthCat2.png")</f>
        <v/>
      </c>
      <c r="C37" s="5" t="s">
        <v>1187</v>
      </c>
      <c r="D37" s="5" t="s">
        <v>36</v>
      </c>
      <c r="E37" s="6">
        <v>560.0</v>
      </c>
      <c r="F37" s="6">
        <v>140.0</v>
      </c>
      <c r="G37" s="5" t="s">
        <v>68</v>
      </c>
      <c r="H37" s="5" t="s">
        <v>54</v>
      </c>
      <c r="I37" s="6" t="s">
        <v>40</v>
      </c>
      <c r="J37" s="5" t="s">
        <v>8585</v>
      </c>
      <c r="K37" s="5" t="s">
        <v>8586</v>
      </c>
      <c r="L37" s="6" t="s">
        <v>42</v>
      </c>
      <c r="M37" s="5" t="s">
        <v>1959</v>
      </c>
      <c r="N37" s="5" t="s">
        <v>64</v>
      </c>
      <c r="O37" s="5" t="s">
        <v>16415</v>
      </c>
      <c r="P37" s="6">
        <v>11022.0</v>
      </c>
    </row>
    <row r="38" ht="56.25" customHeight="1">
      <c r="A38" s="20" t="s">
        <v>16416</v>
      </c>
      <c r="B38" s="16" t="str">
        <f>image("https://storage.googleapis.com/acdb/accessories/AccessoryMouthCucumber.png")</f>
        <v/>
      </c>
      <c r="C38" s="5" t="s">
        <v>96</v>
      </c>
      <c r="D38" s="5" t="s">
        <v>36</v>
      </c>
      <c r="E38" s="6">
        <v>490.0</v>
      </c>
      <c r="F38" s="6">
        <v>122.0</v>
      </c>
      <c r="G38" s="5" t="s">
        <v>96</v>
      </c>
      <c r="H38" s="5" t="s">
        <v>96</v>
      </c>
      <c r="I38" s="6" t="s">
        <v>40</v>
      </c>
      <c r="J38" s="5" t="s">
        <v>8585</v>
      </c>
      <c r="K38" s="5" t="s">
        <v>8632</v>
      </c>
      <c r="L38" s="6" t="s">
        <v>42</v>
      </c>
      <c r="M38" s="5" t="s">
        <v>995</v>
      </c>
      <c r="N38" s="5" t="s">
        <v>64</v>
      </c>
      <c r="O38" s="5" t="s">
        <v>16422</v>
      </c>
      <c r="P38" s="6">
        <v>4491.0</v>
      </c>
    </row>
    <row r="39" ht="56.25" customHeight="1">
      <c r="A39" s="20" t="s">
        <v>16424</v>
      </c>
      <c r="B39" s="16" t="str">
        <f>image("https://storage.googleapis.com/acdb/accessories/AccessoryMouthRollingmustacheBlack.png")</f>
        <v/>
      </c>
      <c r="C39" s="5" t="s">
        <v>54</v>
      </c>
      <c r="D39" s="5" t="s">
        <v>36</v>
      </c>
      <c r="E39" s="6">
        <v>700.0</v>
      </c>
      <c r="F39" s="6">
        <v>175.0</v>
      </c>
      <c r="G39" s="5" t="s">
        <v>58</v>
      </c>
      <c r="H39" s="5" t="s">
        <v>58</v>
      </c>
      <c r="I39" s="6" t="s">
        <v>40</v>
      </c>
      <c r="J39" s="5" t="s">
        <v>8585</v>
      </c>
      <c r="K39" s="5" t="s">
        <v>8586</v>
      </c>
      <c r="L39" s="6" t="s">
        <v>42</v>
      </c>
      <c r="M39" s="5" t="s">
        <v>995</v>
      </c>
      <c r="N39" s="5" t="s">
        <v>64</v>
      </c>
      <c r="O39" s="5" t="s">
        <v>16428</v>
      </c>
      <c r="P39" s="6">
        <v>4672.0</v>
      </c>
    </row>
    <row r="40" ht="56.25" customHeight="1">
      <c r="A40" s="20" t="s">
        <v>16430</v>
      </c>
      <c r="B40" s="16" t="str">
        <f>image("https://storage.googleapis.com/acdb/accessories/AccessoryGlassCyber0.png")</f>
        <v/>
      </c>
      <c r="C40" s="5" t="s">
        <v>52</v>
      </c>
      <c r="D40" s="5" t="s">
        <v>36</v>
      </c>
      <c r="E40" s="6">
        <v>1300.0</v>
      </c>
      <c r="F40" s="6">
        <v>325.0</v>
      </c>
      <c r="G40" s="5" t="s">
        <v>52</v>
      </c>
      <c r="H40" s="5" t="s">
        <v>54</v>
      </c>
      <c r="I40" s="6" t="s">
        <v>40</v>
      </c>
      <c r="J40" s="5" t="s">
        <v>8585</v>
      </c>
      <c r="K40" s="5" t="s">
        <v>8586</v>
      </c>
      <c r="L40" s="6" t="s">
        <v>42</v>
      </c>
      <c r="M40" s="5" t="s">
        <v>8746</v>
      </c>
      <c r="N40" s="5" t="s">
        <v>64</v>
      </c>
      <c r="O40" s="5" t="s">
        <v>16434</v>
      </c>
      <c r="P40" s="6">
        <v>4552.0</v>
      </c>
    </row>
    <row r="41" ht="56.25" customHeight="1">
      <c r="A41" s="20" t="s">
        <v>16430</v>
      </c>
      <c r="B41" s="16" t="str">
        <f>image("https://storage.googleapis.com/acdb/accessories/AccessoryGlassCyber1.png")</f>
        <v/>
      </c>
      <c r="C41" s="5" t="s">
        <v>54</v>
      </c>
      <c r="D41" s="5" t="s">
        <v>36</v>
      </c>
      <c r="E41" s="6">
        <v>1300.0</v>
      </c>
      <c r="F41" s="6">
        <v>325.0</v>
      </c>
      <c r="G41" s="5" t="s">
        <v>54</v>
      </c>
      <c r="H41" s="5" t="s">
        <v>54</v>
      </c>
      <c r="I41" s="6" t="s">
        <v>40</v>
      </c>
      <c r="J41" s="5" t="s">
        <v>8585</v>
      </c>
      <c r="K41" s="5" t="s">
        <v>8586</v>
      </c>
      <c r="L41" s="6" t="s">
        <v>42</v>
      </c>
      <c r="M41" s="5" t="s">
        <v>8746</v>
      </c>
      <c r="N41" s="5" t="s">
        <v>64</v>
      </c>
      <c r="O41" s="5" t="s">
        <v>16439</v>
      </c>
      <c r="P41" s="6">
        <v>11498.0</v>
      </c>
    </row>
    <row r="42" ht="56.25" customHeight="1">
      <c r="A42" s="20" t="s">
        <v>16430</v>
      </c>
      <c r="B42" s="16" t="str">
        <f>image("https://storage.googleapis.com/acdb/accessories/AccessoryGlassCyber2.png")</f>
        <v/>
      </c>
      <c r="C42" s="5" t="s">
        <v>146</v>
      </c>
      <c r="D42" s="5" t="s">
        <v>36</v>
      </c>
      <c r="E42" s="6">
        <v>1300.0</v>
      </c>
      <c r="F42" s="6">
        <v>325.0</v>
      </c>
      <c r="G42" s="5" t="s">
        <v>95</v>
      </c>
      <c r="H42" s="5" t="s">
        <v>54</v>
      </c>
      <c r="I42" s="6" t="s">
        <v>40</v>
      </c>
      <c r="J42" s="5" t="s">
        <v>8585</v>
      </c>
      <c r="K42" s="5" t="s">
        <v>8586</v>
      </c>
      <c r="L42" s="6" t="s">
        <v>42</v>
      </c>
      <c r="M42" s="5" t="s">
        <v>8746</v>
      </c>
      <c r="N42" s="5" t="s">
        <v>64</v>
      </c>
      <c r="O42" s="5" t="s">
        <v>16445</v>
      </c>
      <c r="P42" s="6">
        <v>11499.0</v>
      </c>
    </row>
    <row r="43" ht="56.25" customHeight="1">
      <c r="A43" s="20" t="s">
        <v>16430</v>
      </c>
      <c r="B43" s="16" t="str">
        <f>image("https://storage.googleapis.com/acdb/accessories/AccessoryGlassCyber3.png")</f>
        <v/>
      </c>
      <c r="C43" s="5" t="s">
        <v>106</v>
      </c>
      <c r="D43" s="5" t="s">
        <v>36</v>
      </c>
      <c r="E43" s="6">
        <v>1300.0</v>
      </c>
      <c r="F43" s="6">
        <v>325.0</v>
      </c>
      <c r="G43" s="5" t="s">
        <v>106</v>
      </c>
      <c r="H43" s="5" t="s">
        <v>54</v>
      </c>
      <c r="I43" s="6" t="s">
        <v>40</v>
      </c>
      <c r="J43" s="5" t="s">
        <v>8585</v>
      </c>
      <c r="K43" s="5" t="s">
        <v>8586</v>
      </c>
      <c r="L43" s="6" t="s">
        <v>42</v>
      </c>
      <c r="M43" s="5" t="s">
        <v>8746</v>
      </c>
      <c r="N43" s="5" t="s">
        <v>64</v>
      </c>
      <c r="O43" s="5" t="s">
        <v>16448</v>
      </c>
      <c r="P43" s="6">
        <v>11500.0</v>
      </c>
    </row>
    <row r="44" ht="56.25" customHeight="1">
      <c r="A44" s="20" t="s">
        <v>16430</v>
      </c>
      <c r="B44" s="16" t="str">
        <f>image("https://storage.googleapis.com/acdb/accessories/AccessoryGlassCyber4.png")</f>
        <v/>
      </c>
      <c r="C44" s="5" t="s">
        <v>96</v>
      </c>
      <c r="D44" s="5" t="s">
        <v>36</v>
      </c>
      <c r="E44" s="6">
        <v>1300.0</v>
      </c>
      <c r="F44" s="6">
        <v>325.0</v>
      </c>
      <c r="G44" s="5" t="s">
        <v>96</v>
      </c>
      <c r="H44" s="5" t="s">
        <v>54</v>
      </c>
      <c r="I44" s="6" t="s">
        <v>40</v>
      </c>
      <c r="J44" s="5" t="s">
        <v>8585</v>
      </c>
      <c r="K44" s="5" t="s">
        <v>8586</v>
      </c>
      <c r="L44" s="6" t="s">
        <v>42</v>
      </c>
      <c r="M44" s="5" t="s">
        <v>8746</v>
      </c>
      <c r="N44" s="5" t="s">
        <v>64</v>
      </c>
      <c r="O44" s="5" t="s">
        <v>16453</v>
      </c>
      <c r="P44" s="6">
        <v>11501.0</v>
      </c>
    </row>
    <row r="45" ht="56.25" customHeight="1">
      <c r="A45" s="20" t="s">
        <v>16430</v>
      </c>
      <c r="B45" s="16" t="str">
        <f>image("https://storage.googleapis.com/acdb/accessories/AccessoryGlassCyber5.png")</f>
        <v/>
      </c>
      <c r="C45" s="5" t="s">
        <v>114</v>
      </c>
      <c r="D45" s="5" t="s">
        <v>36</v>
      </c>
      <c r="E45" s="6">
        <v>1300.0</v>
      </c>
      <c r="F45" s="6">
        <v>325.0</v>
      </c>
      <c r="G45" s="5" t="s">
        <v>114</v>
      </c>
      <c r="H45" s="5" t="s">
        <v>54</v>
      </c>
      <c r="I45" s="6" t="s">
        <v>40</v>
      </c>
      <c r="J45" s="5" t="s">
        <v>8585</v>
      </c>
      <c r="K45" s="5" t="s">
        <v>8586</v>
      </c>
      <c r="L45" s="6" t="s">
        <v>42</v>
      </c>
      <c r="M45" s="5" t="s">
        <v>8746</v>
      </c>
      <c r="N45" s="5" t="s">
        <v>64</v>
      </c>
      <c r="O45" s="5" t="s">
        <v>16460</v>
      </c>
      <c r="P45" s="6">
        <v>11502.0</v>
      </c>
    </row>
    <row r="46" ht="56.25" customHeight="1">
      <c r="A46" s="20" t="s">
        <v>16462</v>
      </c>
      <c r="B46" s="16" t="str">
        <f>image("https://storage.googleapis.com/acdb/accessories/AccessoryGlassDalmask0.png")</f>
        <v/>
      </c>
      <c r="C46" s="5" t="s">
        <v>68</v>
      </c>
      <c r="D46" s="5" t="s">
        <v>36</v>
      </c>
      <c r="E46" s="6" t="s">
        <v>37</v>
      </c>
      <c r="F46" s="6">
        <v>1010.0</v>
      </c>
      <c r="G46" s="5" t="s">
        <v>68</v>
      </c>
      <c r="H46" s="5" t="s">
        <v>68</v>
      </c>
      <c r="I46" s="6" t="s">
        <v>40</v>
      </c>
      <c r="J46" s="5" t="s">
        <v>1263</v>
      </c>
      <c r="K46" s="5" t="s">
        <v>1264</v>
      </c>
      <c r="L46" s="6" t="s">
        <v>42</v>
      </c>
      <c r="M46" s="5" t="s">
        <v>995</v>
      </c>
      <c r="N46" s="5" t="s">
        <v>48</v>
      </c>
      <c r="O46" s="5" t="s">
        <v>16465</v>
      </c>
      <c r="P46" s="6">
        <v>12128.0</v>
      </c>
    </row>
    <row r="47" ht="56.25" customHeight="1">
      <c r="A47" s="20" t="s">
        <v>16466</v>
      </c>
      <c r="B47" s="16" t="str">
        <f>image("https://storage.googleapis.com/acdb/accessories/AccessoryGlassDalglass0.png")</f>
        <v/>
      </c>
      <c r="C47" s="5" t="s">
        <v>114</v>
      </c>
      <c r="D47" s="5" t="s">
        <v>36</v>
      </c>
      <c r="E47" s="6" t="s">
        <v>37</v>
      </c>
      <c r="F47" s="6">
        <v>1010.0</v>
      </c>
      <c r="G47" s="5" t="s">
        <v>114</v>
      </c>
      <c r="H47" s="5" t="s">
        <v>68</v>
      </c>
      <c r="I47" s="6" t="s">
        <v>40</v>
      </c>
      <c r="J47" s="5" t="s">
        <v>1263</v>
      </c>
      <c r="K47" s="5" t="s">
        <v>1264</v>
      </c>
      <c r="L47" s="6" t="s">
        <v>42</v>
      </c>
      <c r="M47" s="5" t="s">
        <v>612</v>
      </c>
      <c r="N47" s="5" t="s">
        <v>48</v>
      </c>
      <c r="O47" s="5" t="s">
        <v>16470</v>
      </c>
      <c r="P47" s="6">
        <v>12129.0</v>
      </c>
    </row>
    <row r="48" ht="56.25" customHeight="1">
      <c r="A48" s="20" t="s">
        <v>16472</v>
      </c>
      <c r="B48" s="16" t="str">
        <f>image("https://storage.googleapis.com/acdb/accessories/AccessoryMouthMaskWhite.png")</f>
        <v/>
      </c>
      <c r="C48" s="5" t="s">
        <v>57</v>
      </c>
      <c r="D48" s="5" t="s">
        <v>36</v>
      </c>
      <c r="E48" s="6">
        <v>140.0</v>
      </c>
      <c r="F48" s="6">
        <v>35.0</v>
      </c>
      <c r="G48" s="5" t="s">
        <v>57</v>
      </c>
      <c r="H48" s="5" t="s">
        <v>57</v>
      </c>
      <c r="I48" s="6" t="s">
        <v>40</v>
      </c>
      <c r="J48" s="5" t="s">
        <v>8585</v>
      </c>
      <c r="K48" s="5" t="s">
        <v>8632</v>
      </c>
      <c r="L48" s="6" t="s">
        <v>42</v>
      </c>
      <c r="M48" s="5" t="s">
        <v>995</v>
      </c>
      <c r="N48" s="5" t="s">
        <v>64</v>
      </c>
      <c r="O48" s="5" t="s">
        <v>16474</v>
      </c>
      <c r="P48" s="6">
        <v>4451.0</v>
      </c>
    </row>
    <row r="49" ht="56.25" customHeight="1">
      <c r="A49" s="20" t="s">
        <v>16475</v>
      </c>
      <c r="B49" s="16" t="str">
        <f>image("https://storage.googleapis.com/acdb/accessories/AccessoryMouthDog0.png")</f>
        <v/>
      </c>
      <c r="C49" s="5" t="s">
        <v>57</v>
      </c>
      <c r="D49" s="5" t="s">
        <v>36</v>
      </c>
      <c r="E49" s="6">
        <v>560.0</v>
      </c>
      <c r="F49" s="6">
        <v>140.0</v>
      </c>
      <c r="G49" s="5" t="s">
        <v>57</v>
      </c>
      <c r="H49" s="5" t="s">
        <v>54</v>
      </c>
      <c r="I49" s="6" t="s">
        <v>40</v>
      </c>
      <c r="J49" s="5" t="s">
        <v>8585</v>
      </c>
      <c r="K49" s="5" t="s">
        <v>8586</v>
      </c>
      <c r="L49" s="6" t="s">
        <v>42</v>
      </c>
      <c r="M49" s="5" t="s">
        <v>1959</v>
      </c>
      <c r="N49" s="5" t="s">
        <v>64</v>
      </c>
      <c r="O49" s="5" t="s">
        <v>16479</v>
      </c>
      <c r="P49" s="6">
        <v>5244.0</v>
      </c>
    </row>
    <row r="50" ht="56.25" customHeight="1">
      <c r="A50" s="20" t="s">
        <v>16475</v>
      </c>
      <c r="B50" s="16" t="str">
        <f>image("https://storage.googleapis.com/acdb/accessories/AccessoryMouthDog1.png")</f>
        <v/>
      </c>
      <c r="C50" s="5" t="s">
        <v>38</v>
      </c>
      <c r="D50" s="5" t="s">
        <v>36</v>
      </c>
      <c r="E50" s="6">
        <v>560.0</v>
      </c>
      <c r="F50" s="6">
        <v>140.0</v>
      </c>
      <c r="G50" s="5" t="s">
        <v>142</v>
      </c>
      <c r="H50" s="5" t="s">
        <v>54</v>
      </c>
      <c r="I50" s="6" t="s">
        <v>40</v>
      </c>
      <c r="J50" s="5" t="s">
        <v>8585</v>
      </c>
      <c r="K50" s="5" t="s">
        <v>8586</v>
      </c>
      <c r="L50" s="6" t="s">
        <v>42</v>
      </c>
      <c r="M50" s="5" t="s">
        <v>1959</v>
      </c>
      <c r="N50" s="5" t="s">
        <v>64</v>
      </c>
      <c r="O50" s="5" t="s">
        <v>16484</v>
      </c>
      <c r="P50" s="6">
        <v>11025.0</v>
      </c>
    </row>
    <row r="51" ht="56.25" customHeight="1">
      <c r="A51" s="20" t="s">
        <v>16475</v>
      </c>
      <c r="B51" s="16" t="str">
        <f>image("https://storage.googleapis.com/acdb/accessories/AccessoryMouthDog2.png")</f>
        <v/>
      </c>
      <c r="C51" s="5" t="s">
        <v>54</v>
      </c>
      <c r="D51" s="5" t="s">
        <v>36</v>
      </c>
      <c r="E51" s="6">
        <v>560.0</v>
      </c>
      <c r="F51" s="6">
        <v>140.0</v>
      </c>
      <c r="G51" s="5" t="s">
        <v>54</v>
      </c>
      <c r="H51" s="5" t="s">
        <v>54</v>
      </c>
      <c r="I51" s="6" t="s">
        <v>40</v>
      </c>
      <c r="J51" s="5" t="s">
        <v>8585</v>
      </c>
      <c r="K51" s="5" t="s">
        <v>8586</v>
      </c>
      <c r="L51" s="6" t="s">
        <v>42</v>
      </c>
      <c r="M51" s="5" t="s">
        <v>1959</v>
      </c>
      <c r="N51" s="5" t="s">
        <v>64</v>
      </c>
      <c r="O51" s="5" t="s">
        <v>16491</v>
      </c>
      <c r="P51" s="6">
        <v>11026.0</v>
      </c>
    </row>
    <row r="52" ht="56.25" customHeight="1">
      <c r="A52" s="20" t="s">
        <v>16492</v>
      </c>
      <c r="B52" s="16" t="str">
        <f>image("https://storage.googleapis.com/acdb/accessories/AccessoryGlassDoublebridge0.png")</f>
        <v/>
      </c>
      <c r="C52" s="5" t="s">
        <v>151</v>
      </c>
      <c r="D52" s="5" t="s">
        <v>36</v>
      </c>
      <c r="E52" s="6">
        <v>1100.0</v>
      </c>
      <c r="F52" s="6">
        <v>275.0</v>
      </c>
      <c r="G52" s="5" t="s">
        <v>114</v>
      </c>
      <c r="H52" s="5" t="s">
        <v>114</v>
      </c>
      <c r="I52" s="6" t="s">
        <v>40</v>
      </c>
      <c r="J52" s="5" t="s">
        <v>8585</v>
      </c>
      <c r="K52" s="5" t="s">
        <v>8586</v>
      </c>
      <c r="L52" s="6" t="s">
        <v>42</v>
      </c>
      <c r="M52" s="5" t="s">
        <v>1059</v>
      </c>
      <c r="N52" s="5" t="s">
        <v>64</v>
      </c>
      <c r="O52" s="5" t="s">
        <v>16495</v>
      </c>
      <c r="P52" s="6">
        <v>4263.0</v>
      </c>
    </row>
    <row r="53" ht="56.25" customHeight="1">
      <c r="A53" s="20" t="s">
        <v>16492</v>
      </c>
      <c r="B53" s="16" t="str">
        <f>image("https://storage.googleapis.com/acdb/accessories/AccessoryGlassDoublebridge1.png")</f>
        <v/>
      </c>
      <c r="C53" s="5" t="s">
        <v>106</v>
      </c>
      <c r="D53" s="5" t="s">
        <v>36</v>
      </c>
      <c r="E53" s="6">
        <v>1100.0</v>
      </c>
      <c r="F53" s="6">
        <v>275.0</v>
      </c>
      <c r="G53" s="5" t="s">
        <v>106</v>
      </c>
      <c r="H53" s="5" t="s">
        <v>106</v>
      </c>
      <c r="I53" s="6" t="s">
        <v>40</v>
      </c>
      <c r="J53" s="5" t="s">
        <v>8585</v>
      </c>
      <c r="K53" s="5" t="s">
        <v>8586</v>
      </c>
      <c r="L53" s="6" t="s">
        <v>42</v>
      </c>
      <c r="M53" s="5" t="s">
        <v>1059</v>
      </c>
      <c r="N53" s="5" t="s">
        <v>64</v>
      </c>
      <c r="O53" s="5" t="s">
        <v>16500</v>
      </c>
      <c r="P53" s="6">
        <v>11076.0</v>
      </c>
    </row>
    <row r="54" ht="56.25" customHeight="1">
      <c r="A54" s="20" t="s">
        <v>16492</v>
      </c>
      <c r="B54" s="16" t="str">
        <f>image("https://storage.googleapis.com/acdb/accessories/AccessoryGlassDoublebridge2.png")</f>
        <v/>
      </c>
      <c r="C54" s="5" t="s">
        <v>146</v>
      </c>
      <c r="D54" s="5" t="s">
        <v>36</v>
      </c>
      <c r="E54" s="6">
        <v>1100.0</v>
      </c>
      <c r="F54" s="6">
        <v>275.0</v>
      </c>
      <c r="G54" s="5" t="s">
        <v>95</v>
      </c>
      <c r="H54" s="5" t="s">
        <v>95</v>
      </c>
      <c r="I54" s="6" t="s">
        <v>40</v>
      </c>
      <c r="J54" s="5" t="s">
        <v>8585</v>
      </c>
      <c r="K54" s="5" t="s">
        <v>8586</v>
      </c>
      <c r="L54" s="6" t="s">
        <v>42</v>
      </c>
      <c r="M54" s="5" t="s">
        <v>1059</v>
      </c>
      <c r="N54" s="5" t="s">
        <v>64</v>
      </c>
      <c r="O54" s="5" t="s">
        <v>16504</v>
      </c>
      <c r="P54" s="6">
        <v>11077.0</v>
      </c>
    </row>
    <row r="55" ht="56.25" customHeight="1">
      <c r="A55" s="20" t="s">
        <v>16492</v>
      </c>
      <c r="B55" s="16" t="str">
        <f>image("https://storage.googleapis.com/acdb/accessories/AccessoryGlassDoublebridge3.png")</f>
        <v/>
      </c>
      <c r="C55" s="5" t="s">
        <v>68</v>
      </c>
      <c r="D55" s="5" t="s">
        <v>36</v>
      </c>
      <c r="E55" s="6">
        <v>1100.0</v>
      </c>
      <c r="F55" s="6">
        <v>275.0</v>
      </c>
      <c r="G55" s="5" t="s">
        <v>68</v>
      </c>
      <c r="H55" s="5" t="s">
        <v>68</v>
      </c>
      <c r="I55" s="6" t="s">
        <v>40</v>
      </c>
      <c r="J55" s="5" t="s">
        <v>8585</v>
      </c>
      <c r="K55" s="5" t="s">
        <v>8586</v>
      </c>
      <c r="L55" s="6" t="s">
        <v>42</v>
      </c>
      <c r="M55" s="5" t="s">
        <v>1059</v>
      </c>
      <c r="N55" s="5" t="s">
        <v>64</v>
      </c>
      <c r="O55" s="5" t="s">
        <v>16511</v>
      </c>
      <c r="P55" s="6">
        <v>11078.0</v>
      </c>
    </row>
    <row r="56" ht="56.25" customHeight="1">
      <c r="A56" s="20" t="s">
        <v>16512</v>
      </c>
      <c r="B56" s="16" t="str">
        <f>image("https://storage.googleapis.com/acdb/accessories/AccessoryGlassmouthStraw0.png")</f>
        <v/>
      </c>
      <c r="C56" s="5" t="s">
        <v>96</v>
      </c>
      <c r="D56" s="5" t="s">
        <v>36</v>
      </c>
      <c r="E56" s="6">
        <v>560.0</v>
      </c>
      <c r="F56" s="6">
        <v>140.0</v>
      </c>
      <c r="G56" s="5" t="s">
        <v>96</v>
      </c>
      <c r="H56" s="5" t="s">
        <v>96</v>
      </c>
      <c r="I56" s="6" t="s">
        <v>40</v>
      </c>
      <c r="J56" s="5" t="s">
        <v>8585</v>
      </c>
      <c r="K56" s="5" t="s">
        <v>8632</v>
      </c>
      <c r="L56" s="6" t="s">
        <v>42</v>
      </c>
      <c r="M56" s="5" t="s">
        <v>8746</v>
      </c>
      <c r="N56" s="5" t="s">
        <v>64</v>
      </c>
      <c r="O56" s="5" t="s">
        <v>16514</v>
      </c>
      <c r="P56" s="6">
        <v>5773.0</v>
      </c>
    </row>
    <row r="57" ht="56.25" customHeight="1">
      <c r="A57" s="20" t="s">
        <v>16512</v>
      </c>
      <c r="B57" s="16" t="str">
        <f>image("https://storage.googleapis.com/acdb/accessories/AccessoryGlassmouthStraw1.png")</f>
        <v/>
      </c>
      <c r="C57" s="5" t="s">
        <v>68</v>
      </c>
      <c r="D57" s="5" t="s">
        <v>36</v>
      </c>
      <c r="E57" s="6">
        <v>560.0</v>
      </c>
      <c r="F57" s="6">
        <v>140.0</v>
      </c>
      <c r="G57" s="5" t="s">
        <v>83</v>
      </c>
      <c r="H57" s="5" t="s">
        <v>83</v>
      </c>
      <c r="I57" s="6" t="s">
        <v>40</v>
      </c>
      <c r="J57" s="5" t="s">
        <v>8585</v>
      </c>
      <c r="K57" s="5" t="s">
        <v>8632</v>
      </c>
      <c r="L57" s="6" t="s">
        <v>42</v>
      </c>
      <c r="M57" s="5" t="s">
        <v>8746</v>
      </c>
      <c r="N57" s="5" t="s">
        <v>64</v>
      </c>
      <c r="O57" s="5" t="s">
        <v>16519</v>
      </c>
      <c r="P57" s="6">
        <v>11010.0</v>
      </c>
    </row>
    <row r="58" ht="56.25" customHeight="1">
      <c r="A58" s="20" t="s">
        <v>16512</v>
      </c>
      <c r="B58" s="16" t="str">
        <f>image("https://storage.googleapis.com/acdb/accessories/AccessoryGlassmouthStraw2.png")</f>
        <v/>
      </c>
      <c r="C58" s="5" t="s">
        <v>69</v>
      </c>
      <c r="D58" s="5" t="s">
        <v>36</v>
      </c>
      <c r="E58" s="6">
        <v>560.0</v>
      </c>
      <c r="F58" s="6">
        <v>140.0</v>
      </c>
      <c r="G58" s="5" t="s">
        <v>69</v>
      </c>
      <c r="H58" s="5" t="s">
        <v>69</v>
      </c>
      <c r="I58" s="6" t="s">
        <v>40</v>
      </c>
      <c r="J58" s="5" t="s">
        <v>8585</v>
      </c>
      <c r="K58" s="5" t="s">
        <v>8632</v>
      </c>
      <c r="L58" s="6" t="s">
        <v>42</v>
      </c>
      <c r="M58" s="5" t="s">
        <v>8746</v>
      </c>
      <c r="N58" s="5" t="s">
        <v>64</v>
      </c>
      <c r="O58" s="5" t="s">
        <v>16523</v>
      </c>
      <c r="P58" s="6">
        <v>11011.0</v>
      </c>
    </row>
    <row r="59" ht="56.25" customHeight="1">
      <c r="A59" s="20" t="s">
        <v>16512</v>
      </c>
      <c r="B59" s="16" t="str">
        <f>image("https://storage.googleapis.com/acdb/accessories/AccessoryGlassmouthStraw3.png")</f>
        <v/>
      </c>
      <c r="C59" s="5" t="s">
        <v>57</v>
      </c>
      <c r="D59" s="5" t="s">
        <v>36</v>
      </c>
      <c r="E59" s="6">
        <v>560.0</v>
      </c>
      <c r="F59" s="6">
        <v>140.0</v>
      </c>
      <c r="G59" s="5" t="s">
        <v>57</v>
      </c>
      <c r="H59" s="5" t="s">
        <v>57</v>
      </c>
      <c r="I59" s="6" t="s">
        <v>40</v>
      </c>
      <c r="J59" s="5" t="s">
        <v>8585</v>
      </c>
      <c r="K59" s="5" t="s">
        <v>8632</v>
      </c>
      <c r="L59" s="6" t="s">
        <v>42</v>
      </c>
      <c r="M59" s="5" t="s">
        <v>8746</v>
      </c>
      <c r="N59" s="5" t="s">
        <v>64</v>
      </c>
      <c r="O59" s="5" t="s">
        <v>16526</v>
      </c>
      <c r="P59" s="6">
        <v>11012.0</v>
      </c>
    </row>
    <row r="60" ht="56.25" customHeight="1">
      <c r="A60" s="20" t="s">
        <v>16527</v>
      </c>
      <c r="B60" s="16" t="str">
        <f>image("https://storage.googleapis.com/acdb/accessories/AccessoryGlassMask0.png")</f>
        <v/>
      </c>
      <c r="C60" s="5" t="s">
        <v>68</v>
      </c>
      <c r="D60" s="5" t="s">
        <v>36</v>
      </c>
      <c r="E60" s="6">
        <v>560.0</v>
      </c>
      <c r="F60" s="6">
        <v>140.0</v>
      </c>
      <c r="G60" s="5" t="s">
        <v>68</v>
      </c>
      <c r="H60" s="5" t="s">
        <v>54</v>
      </c>
      <c r="I60" s="6" t="s">
        <v>40</v>
      </c>
      <c r="J60" s="5" t="s">
        <v>8585</v>
      </c>
      <c r="K60" s="5" t="s">
        <v>8632</v>
      </c>
      <c r="L60" s="6" t="s">
        <v>42</v>
      </c>
      <c r="M60" s="5" t="s">
        <v>995</v>
      </c>
      <c r="N60" s="5" t="s">
        <v>64</v>
      </c>
      <c r="O60" s="5" t="s">
        <v>16532</v>
      </c>
      <c r="P60" s="6">
        <v>4425.0</v>
      </c>
    </row>
    <row r="61" ht="56.25" customHeight="1">
      <c r="A61" s="20" t="s">
        <v>16527</v>
      </c>
      <c r="B61" s="16" t="str">
        <f>image("https://storage.googleapis.com/acdb/accessories/AccessoryGlassMask1.png")</f>
        <v/>
      </c>
      <c r="C61" s="5" t="s">
        <v>69</v>
      </c>
      <c r="D61" s="5" t="s">
        <v>36</v>
      </c>
      <c r="E61" s="6">
        <v>560.0</v>
      </c>
      <c r="F61" s="6">
        <v>140.0</v>
      </c>
      <c r="G61" s="5" t="s">
        <v>69</v>
      </c>
      <c r="H61" s="5" t="s">
        <v>54</v>
      </c>
      <c r="I61" s="6" t="s">
        <v>40</v>
      </c>
      <c r="J61" s="5" t="s">
        <v>8585</v>
      </c>
      <c r="K61" s="5" t="s">
        <v>8632</v>
      </c>
      <c r="L61" s="6" t="s">
        <v>42</v>
      </c>
      <c r="M61" s="5" t="s">
        <v>995</v>
      </c>
      <c r="N61" s="5" t="s">
        <v>64</v>
      </c>
      <c r="O61" s="5" t="s">
        <v>16535</v>
      </c>
      <c r="P61" s="6">
        <v>11154.0</v>
      </c>
    </row>
    <row r="62" ht="56.25" customHeight="1">
      <c r="A62" s="20" t="s">
        <v>16527</v>
      </c>
      <c r="B62" s="16" t="str">
        <f>image("https://storage.googleapis.com/acdb/accessories/AccessoryGlassMask2.png")</f>
        <v/>
      </c>
      <c r="C62" s="5" t="s">
        <v>95</v>
      </c>
      <c r="D62" s="5" t="s">
        <v>36</v>
      </c>
      <c r="E62" s="6">
        <v>560.0</v>
      </c>
      <c r="F62" s="6">
        <v>140.0</v>
      </c>
      <c r="G62" s="5" t="s">
        <v>95</v>
      </c>
      <c r="H62" s="5" t="s">
        <v>54</v>
      </c>
      <c r="I62" s="6" t="s">
        <v>40</v>
      </c>
      <c r="J62" s="5" t="s">
        <v>8585</v>
      </c>
      <c r="K62" s="5" t="s">
        <v>8632</v>
      </c>
      <c r="L62" s="6" t="s">
        <v>42</v>
      </c>
      <c r="M62" s="5" t="s">
        <v>995</v>
      </c>
      <c r="N62" s="5" t="s">
        <v>64</v>
      </c>
      <c r="O62" s="5" t="s">
        <v>16540</v>
      </c>
      <c r="P62" s="6">
        <v>11155.0</v>
      </c>
    </row>
    <row r="63" ht="56.25" customHeight="1">
      <c r="A63" s="20" t="s">
        <v>16527</v>
      </c>
      <c r="B63" s="16" t="str">
        <f>image("https://storage.googleapis.com/acdb/accessories/AccessoryGlassMask3.png")</f>
        <v/>
      </c>
      <c r="C63" s="5" t="s">
        <v>96</v>
      </c>
      <c r="D63" s="5" t="s">
        <v>36</v>
      </c>
      <c r="E63" s="6">
        <v>560.0</v>
      </c>
      <c r="F63" s="6">
        <v>140.0</v>
      </c>
      <c r="G63" s="5" t="s">
        <v>96</v>
      </c>
      <c r="H63" s="5" t="s">
        <v>54</v>
      </c>
      <c r="I63" s="6" t="s">
        <v>40</v>
      </c>
      <c r="J63" s="5" t="s">
        <v>8585</v>
      </c>
      <c r="K63" s="5" t="s">
        <v>8632</v>
      </c>
      <c r="L63" s="6" t="s">
        <v>42</v>
      </c>
      <c r="M63" s="5" t="s">
        <v>995</v>
      </c>
      <c r="N63" s="5" t="s">
        <v>64</v>
      </c>
      <c r="O63" s="5" t="s">
        <v>16543</v>
      </c>
      <c r="P63" s="6">
        <v>11156.0</v>
      </c>
    </row>
    <row r="64" ht="56.25" customHeight="1">
      <c r="A64" s="20" t="s">
        <v>16527</v>
      </c>
      <c r="B64" s="16" t="str">
        <f>image("https://storage.googleapis.com/acdb/accessories/AccessoryGlassMask4.png")</f>
        <v/>
      </c>
      <c r="C64" s="5" t="s">
        <v>142</v>
      </c>
      <c r="D64" s="5" t="s">
        <v>36</v>
      </c>
      <c r="E64" s="6">
        <v>560.0</v>
      </c>
      <c r="F64" s="6">
        <v>140.0</v>
      </c>
      <c r="G64" s="5" t="s">
        <v>142</v>
      </c>
      <c r="H64" s="5" t="s">
        <v>54</v>
      </c>
      <c r="I64" s="6" t="s">
        <v>40</v>
      </c>
      <c r="J64" s="5" t="s">
        <v>8585</v>
      </c>
      <c r="K64" s="5" t="s">
        <v>8632</v>
      </c>
      <c r="L64" s="6" t="s">
        <v>42</v>
      </c>
      <c r="M64" s="5" t="s">
        <v>995</v>
      </c>
      <c r="N64" s="5" t="s">
        <v>64</v>
      </c>
      <c r="O64" s="5" t="s">
        <v>16547</v>
      </c>
      <c r="P64" s="6">
        <v>11157.0</v>
      </c>
    </row>
    <row r="65" ht="56.25" customHeight="1">
      <c r="A65" s="20" t="s">
        <v>16527</v>
      </c>
      <c r="B65" s="16" t="str">
        <f>image("https://storage.googleapis.com/acdb/accessories/AccessoryGlassMask5.png")</f>
        <v/>
      </c>
      <c r="C65" s="5" t="s">
        <v>52</v>
      </c>
      <c r="D65" s="5" t="s">
        <v>36</v>
      </c>
      <c r="E65" s="6">
        <v>560.0</v>
      </c>
      <c r="F65" s="6">
        <v>140.0</v>
      </c>
      <c r="G65" s="5" t="s">
        <v>52</v>
      </c>
      <c r="H65" s="5" t="s">
        <v>54</v>
      </c>
      <c r="I65" s="6" t="s">
        <v>40</v>
      </c>
      <c r="J65" s="5" t="s">
        <v>8585</v>
      </c>
      <c r="K65" s="5" t="s">
        <v>8632</v>
      </c>
      <c r="L65" s="6" t="s">
        <v>42</v>
      </c>
      <c r="M65" s="5" t="s">
        <v>995</v>
      </c>
      <c r="N65" s="5" t="s">
        <v>64</v>
      </c>
      <c r="O65" s="5" t="s">
        <v>16552</v>
      </c>
      <c r="P65" s="6">
        <v>11158.0</v>
      </c>
    </row>
    <row r="66" ht="56.25" customHeight="1">
      <c r="A66" s="20" t="s">
        <v>16554</v>
      </c>
      <c r="B66" s="16" t="str">
        <f>image("https://storage.googleapis.com/acdb/accessories/AccessoryGlassPatchBlack.png")</f>
        <v/>
      </c>
      <c r="C66" s="5" t="s">
        <v>54</v>
      </c>
      <c r="D66" s="5" t="s">
        <v>36</v>
      </c>
      <c r="E66" s="6">
        <v>140.0</v>
      </c>
      <c r="F66" s="6">
        <v>35.0</v>
      </c>
      <c r="G66" s="5" t="s">
        <v>54</v>
      </c>
      <c r="H66" s="5" t="s">
        <v>54</v>
      </c>
      <c r="I66" s="6" t="s">
        <v>40</v>
      </c>
      <c r="J66" s="5" t="s">
        <v>8585</v>
      </c>
      <c r="K66" s="5" t="s">
        <v>8586</v>
      </c>
      <c r="L66" s="6" t="s">
        <v>42</v>
      </c>
      <c r="M66" s="5" t="s">
        <v>1952</v>
      </c>
      <c r="N66" s="5" t="s">
        <v>64</v>
      </c>
      <c r="O66" s="5" t="s">
        <v>16556</v>
      </c>
      <c r="P66" s="6">
        <v>4457.0</v>
      </c>
    </row>
    <row r="67" ht="56.25" customHeight="1">
      <c r="A67" s="20" t="s">
        <v>16557</v>
      </c>
      <c r="B67" s="16" t="str">
        <f>image("https://storage.googleapis.com/acdb/accessories/AccessoryGlassmouthPackWhite.png")</f>
        <v/>
      </c>
      <c r="C67" s="5" t="s">
        <v>57</v>
      </c>
      <c r="D67" s="5" t="s">
        <v>36</v>
      </c>
      <c r="E67" s="6">
        <v>560.0</v>
      </c>
      <c r="F67" s="6">
        <v>140.0</v>
      </c>
      <c r="G67" s="5" t="s">
        <v>57</v>
      </c>
      <c r="H67" s="5" t="s">
        <v>57</v>
      </c>
      <c r="I67" s="6" t="s">
        <v>40</v>
      </c>
      <c r="J67" s="5" t="s">
        <v>8585</v>
      </c>
      <c r="K67" s="5" t="s">
        <v>8586</v>
      </c>
      <c r="L67" s="6" t="s">
        <v>42</v>
      </c>
      <c r="M67" s="5" t="s">
        <v>995</v>
      </c>
      <c r="N67" s="5" t="s">
        <v>64</v>
      </c>
      <c r="O67" s="5" t="s">
        <v>16561</v>
      </c>
      <c r="P67" s="6">
        <v>4512.0</v>
      </c>
    </row>
    <row r="68" ht="56.25" customHeight="1">
      <c r="A68" s="20" t="s">
        <v>16562</v>
      </c>
      <c r="B68" s="16" t="str">
        <f>image("https://storage.googleapis.com/acdb/accessories/AccessoryGlassmouthNoseRed.png")</f>
        <v/>
      </c>
      <c r="C68" s="5" t="s">
        <v>52</v>
      </c>
      <c r="D68" s="5" t="s">
        <v>36</v>
      </c>
      <c r="E68" s="6">
        <v>490.0</v>
      </c>
      <c r="F68" s="6">
        <v>122.0</v>
      </c>
      <c r="G68" s="5" t="s">
        <v>52</v>
      </c>
      <c r="H68" s="5" t="s">
        <v>52</v>
      </c>
      <c r="I68" s="6" t="s">
        <v>40</v>
      </c>
      <c r="J68" s="5" t="s">
        <v>8585</v>
      </c>
      <c r="K68" s="5" t="s">
        <v>8586</v>
      </c>
      <c r="L68" s="6" t="s">
        <v>42</v>
      </c>
      <c r="M68" s="5" t="s">
        <v>1959</v>
      </c>
      <c r="N68" s="5" t="s">
        <v>64</v>
      </c>
      <c r="O68" s="5" t="s">
        <v>16564</v>
      </c>
      <c r="P68" s="6">
        <v>4496.0</v>
      </c>
    </row>
    <row r="69" ht="56.25" customHeight="1">
      <c r="A69" s="20" t="s">
        <v>16565</v>
      </c>
      <c r="B69" s="16" t="str">
        <f>image("https://storage.googleapis.com/acdb/accessories/AccessoryGlassFlower0.png")</f>
        <v/>
      </c>
      <c r="C69" s="5" t="s">
        <v>52</v>
      </c>
      <c r="D69" s="5" t="s">
        <v>36</v>
      </c>
      <c r="E69" s="6">
        <v>770.0</v>
      </c>
      <c r="F69" s="6">
        <v>192.0</v>
      </c>
      <c r="G69" s="5" t="s">
        <v>52</v>
      </c>
      <c r="H69" s="5" t="s">
        <v>54</v>
      </c>
      <c r="I69" s="6" t="s">
        <v>40</v>
      </c>
      <c r="J69" s="5" t="s">
        <v>8585</v>
      </c>
      <c r="K69" s="5" t="s">
        <v>8632</v>
      </c>
      <c r="L69" s="6" t="s">
        <v>42</v>
      </c>
      <c r="M69" s="5" t="s">
        <v>1959</v>
      </c>
      <c r="N69" s="5" t="s">
        <v>64</v>
      </c>
      <c r="O69" s="5" t="s">
        <v>16567</v>
      </c>
      <c r="P69" s="6">
        <v>5739.0</v>
      </c>
    </row>
    <row r="70" ht="56.25" customHeight="1">
      <c r="A70" s="20" t="s">
        <v>16565</v>
      </c>
      <c r="B70" s="16" t="str">
        <f>image("https://storage.googleapis.com/acdb/accessories/AccessoryGlassFlower1.png")</f>
        <v/>
      </c>
      <c r="C70" s="5" t="s">
        <v>142</v>
      </c>
      <c r="D70" s="5" t="s">
        <v>36</v>
      </c>
      <c r="E70" s="6">
        <v>770.0</v>
      </c>
      <c r="F70" s="6">
        <v>192.0</v>
      </c>
      <c r="G70" s="5" t="s">
        <v>142</v>
      </c>
      <c r="H70" s="5" t="s">
        <v>54</v>
      </c>
      <c r="I70" s="6" t="s">
        <v>40</v>
      </c>
      <c r="J70" s="5" t="s">
        <v>8585</v>
      </c>
      <c r="K70" s="5" t="s">
        <v>8632</v>
      </c>
      <c r="L70" s="6" t="s">
        <v>42</v>
      </c>
      <c r="M70" s="5" t="s">
        <v>1959</v>
      </c>
      <c r="N70" s="5" t="s">
        <v>64</v>
      </c>
      <c r="O70" s="5" t="s">
        <v>16569</v>
      </c>
      <c r="P70" s="6">
        <v>11228.0</v>
      </c>
    </row>
    <row r="71" ht="56.25" customHeight="1">
      <c r="A71" s="20" t="s">
        <v>16565</v>
      </c>
      <c r="B71" s="16" t="str">
        <f>image("https://storage.googleapis.com/acdb/accessories/AccessoryGlassFlower2.png")</f>
        <v/>
      </c>
      <c r="C71" s="5" t="s">
        <v>68</v>
      </c>
      <c r="D71" s="5" t="s">
        <v>36</v>
      </c>
      <c r="E71" s="6">
        <v>770.0</v>
      </c>
      <c r="F71" s="6">
        <v>192.0</v>
      </c>
      <c r="G71" s="5" t="s">
        <v>68</v>
      </c>
      <c r="H71" s="5" t="s">
        <v>54</v>
      </c>
      <c r="I71" s="6" t="s">
        <v>40</v>
      </c>
      <c r="J71" s="5" t="s">
        <v>8585</v>
      </c>
      <c r="K71" s="5" t="s">
        <v>8632</v>
      </c>
      <c r="L71" s="6" t="s">
        <v>42</v>
      </c>
      <c r="M71" s="5" t="s">
        <v>1959</v>
      </c>
      <c r="N71" s="5" t="s">
        <v>64</v>
      </c>
      <c r="O71" s="5" t="s">
        <v>16572</v>
      </c>
      <c r="P71" s="6">
        <v>11229.0</v>
      </c>
    </row>
    <row r="72" ht="56.25" customHeight="1">
      <c r="A72" s="20" t="s">
        <v>16565</v>
      </c>
      <c r="B72" s="16" t="str">
        <f>image("https://storage.googleapis.com/acdb/accessories/AccessoryGlassFlower3.png")</f>
        <v/>
      </c>
      <c r="C72" s="5" t="s">
        <v>106</v>
      </c>
      <c r="D72" s="5" t="s">
        <v>36</v>
      </c>
      <c r="E72" s="6">
        <v>770.0</v>
      </c>
      <c r="F72" s="6">
        <v>192.0</v>
      </c>
      <c r="G72" s="5" t="s">
        <v>106</v>
      </c>
      <c r="H72" s="5" t="s">
        <v>54</v>
      </c>
      <c r="I72" s="6" t="s">
        <v>40</v>
      </c>
      <c r="J72" s="5" t="s">
        <v>8585</v>
      </c>
      <c r="K72" s="5" t="s">
        <v>8632</v>
      </c>
      <c r="L72" s="6" t="s">
        <v>42</v>
      </c>
      <c r="M72" s="5" t="s">
        <v>1959</v>
      </c>
      <c r="N72" s="5" t="s">
        <v>64</v>
      </c>
      <c r="O72" s="5" t="s">
        <v>16573</v>
      </c>
      <c r="P72" s="6">
        <v>11230.0</v>
      </c>
    </row>
    <row r="73" ht="56.25" customHeight="1">
      <c r="A73" s="20" t="s">
        <v>16565</v>
      </c>
      <c r="B73" s="16" t="str">
        <f>image("https://storage.googleapis.com/acdb/accessories/AccessoryGlassFlower4.png")</f>
        <v/>
      </c>
      <c r="C73" s="5" t="s">
        <v>96</v>
      </c>
      <c r="D73" s="5" t="s">
        <v>36</v>
      </c>
      <c r="E73" s="6">
        <v>770.0</v>
      </c>
      <c r="F73" s="6">
        <v>192.0</v>
      </c>
      <c r="G73" s="5" t="s">
        <v>96</v>
      </c>
      <c r="H73" s="5" t="s">
        <v>54</v>
      </c>
      <c r="I73" s="6" t="s">
        <v>40</v>
      </c>
      <c r="J73" s="5" t="s">
        <v>8585</v>
      </c>
      <c r="K73" s="5" t="s">
        <v>8632</v>
      </c>
      <c r="L73" s="6" t="s">
        <v>42</v>
      </c>
      <c r="M73" s="5" t="s">
        <v>1959</v>
      </c>
      <c r="N73" s="5" t="s">
        <v>64</v>
      </c>
      <c r="O73" s="5" t="s">
        <v>16576</v>
      </c>
      <c r="P73" s="6">
        <v>11231.0</v>
      </c>
    </row>
    <row r="74" ht="56.25" customHeight="1">
      <c r="A74" s="20" t="s">
        <v>16578</v>
      </c>
      <c r="B74" s="16" t="str">
        <f>image("https://storage.googleapis.com/acdb/accessories/AccessoryMouthPasta.png")</f>
        <v/>
      </c>
      <c r="C74" s="5" t="s">
        <v>1942</v>
      </c>
      <c r="D74" s="5" t="s">
        <v>36</v>
      </c>
      <c r="E74" s="6">
        <v>490.0</v>
      </c>
      <c r="F74" s="6">
        <v>122.0</v>
      </c>
      <c r="G74" s="5" t="s">
        <v>142</v>
      </c>
      <c r="H74" s="5" t="s">
        <v>38</v>
      </c>
      <c r="I74" s="6" t="s">
        <v>40</v>
      </c>
      <c r="J74" s="5" t="s">
        <v>8585</v>
      </c>
      <c r="K74" s="5" t="s">
        <v>8632</v>
      </c>
      <c r="L74" s="6" t="s">
        <v>42</v>
      </c>
      <c r="M74" s="5" t="s">
        <v>995</v>
      </c>
      <c r="N74" s="5" t="s">
        <v>64</v>
      </c>
      <c r="O74" s="5" t="s">
        <v>16580</v>
      </c>
      <c r="P74" s="6">
        <v>5857.0</v>
      </c>
    </row>
    <row r="75" ht="56.25" customHeight="1">
      <c r="A75" s="20" t="s">
        <v>16581</v>
      </c>
      <c r="B75" s="16" t="str">
        <f>image("https://storage.googleapis.com/acdb/accessories/AccessoryGlassEyes0.png")</f>
        <v/>
      </c>
      <c r="C75" s="5" t="s">
        <v>39</v>
      </c>
      <c r="D75" s="5" t="s">
        <v>36</v>
      </c>
      <c r="E75" s="6">
        <v>1100.0</v>
      </c>
      <c r="F75" s="6">
        <v>275.0</v>
      </c>
      <c r="G75" s="5" t="s">
        <v>39</v>
      </c>
      <c r="H75" s="5" t="s">
        <v>54</v>
      </c>
      <c r="I75" s="6" t="s">
        <v>40</v>
      </c>
      <c r="J75" s="5" t="s">
        <v>8585</v>
      </c>
      <c r="K75" s="5" t="s">
        <v>8586</v>
      </c>
      <c r="L75" s="6" t="s">
        <v>42</v>
      </c>
      <c r="M75" s="5" t="s">
        <v>1959</v>
      </c>
      <c r="N75" s="5" t="s">
        <v>64</v>
      </c>
      <c r="O75" s="5" t="s">
        <v>16583</v>
      </c>
      <c r="P75" s="6">
        <v>4513.0</v>
      </c>
    </row>
    <row r="76" ht="56.25" customHeight="1">
      <c r="A76" s="20" t="s">
        <v>16581</v>
      </c>
      <c r="B76" s="16" t="str">
        <f>image("https://storage.googleapis.com/acdb/accessories/AccessoryGlassEyes1.png")</f>
        <v/>
      </c>
      <c r="C76" s="5" t="s">
        <v>69</v>
      </c>
      <c r="D76" s="5" t="s">
        <v>36</v>
      </c>
      <c r="E76" s="6">
        <v>1100.0</v>
      </c>
      <c r="F76" s="6">
        <v>275.0</v>
      </c>
      <c r="G76" s="5" t="s">
        <v>69</v>
      </c>
      <c r="H76" s="5" t="s">
        <v>54</v>
      </c>
      <c r="I76" s="6" t="s">
        <v>40</v>
      </c>
      <c r="J76" s="5" t="s">
        <v>8585</v>
      </c>
      <c r="K76" s="5" t="s">
        <v>8586</v>
      </c>
      <c r="L76" s="6" t="s">
        <v>42</v>
      </c>
      <c r="M76" s="5" t="s">
        <v>1959</v>
      </c>
      <c r="N76" s="5" t="s">
        <v>64</v>
      </c>
      <c r="O76" s="5" t="s">
        <v>16588</v>
      </c>
      <c r="P76" s="6">
        <v>11008.0</v>
      </c>
    </row>
    <row r="77" ht="56.25" customHeight="1">
      <c r="A77" s="20" t="s">
        <v>16581</v>
      </c>
      <c r="B77" s="16" t="str">
        <f>image("https://storage.googleapis.com/acdb/accessories/AccessoryGlassEyes2.png")</f>
        <v/>
      </c>
      <c r="C77" s="5" t="s">
        <v>68</v>
      </c>
      <c r="D77" s="5" t="s">
        <v>36</v>
      </c>
      <c r="E77" s="6">
        <v>1100.0</v>
      </c>
      <c r="F77" s="6">
        <v>275.0</v>
      </c>
      <c r="G77" s="5" t="s">
        <v>83</v>
      </c>
      <c r="H77" s="5" t="s">
        <v>54</v>
      </c>
      <c r="I77" s="6" t="s">
        <v>40</v>
      </c>
      <c r="J77" s="5" t="s">
        <v>8585</v>
      </c>
      <c r="K77" s="5" t="s">
        <v>8586</v>
      </c>
      <c r="L77" s="6" t="s">
        <v>42</v>
      </c>
      <c r="M77" s="5" t="s">
        <v>1959</v>
      </c>
      <c r="N77" s="5" t="s">
        <v>64</v>
      </c>
      <c r="O77" s="5" t="s">
        <v>16589</v>
      </c>
      <c r="P77" s="6">
        <v>11009.0</v>
      </c>
    </row>
    <row r="78" ht="56.25" customHeight="1">
      <c r="A78" s="20" t="s">
        <v>16590</v>
      </c>
      <c r="B78" s="16" t="str">
        <f>image("https://storage.googleapis.com/acdb/accessories/AccessoryGlassmouthGasmask0.png")</f>
        <v/>
      </c>
      <c r="C78" s="5" t="s">
        <v>54</v>
      </c>
      <c r="D78" s="5" t="s">
        <v>36</v>
      </c>
      <c r="E78" s="6">
        <v>1100.0</v>
      </c>
      <c r="F78" s="6">
        <v>275.0</v>
      </c>
      <c r="G78" s="5" t="s">
        <v>54</v>
      </c>
      <c r="H78" s="5" t="s">
        <v>54</v>
      </c>
      <c r="I78" s="6" t="s">
        <v>40</v>
      </c>
      <c r="J78" s="5" t="s">
        <v>8585</v>
      </c>
      <c r="K78" s="5" t="s">
        <v>8586</v>
      </c>
      <c r="L78" s="6" t="s">
        <v>42</v>
      </c>
      <c r="M78" s="5" t="s">
        <v>1952</v>
      </c>
      <c r="N78" s="5" t="s">
        <v>64</v>
      </c>
      <c r="O78" s="5" t="s">
        <v>16594</v>
      </c>
      <c r="P78" s="6">
        <v>4649.0</v>
      </c>
    </row>
    <row r="79" ht="56.25" customHeight="1">
      <c r="A79" s="20" t="s">
        <v>16590</v>
      </c>
      <c r="B79" s="16" t="str">
        <f>image("https://storage.googleapis.com/acdb/accessories/AccessoryGlassmouthGasmask1.png")</f>
        <v/>
      </c>
      <c r="C79" s="5" t="s">
        <v>2222</v>
      </c>
      <c r="D79" s="5" t="s">
        <v>36</v>
      </c>
      <c r="E79" s="6">
        <v>1100.0</v>
      </c>
      <c r="F79" s="6">
        <v>275.0</v>
      </c>
      <c r="G79" s="5" t="s">
        <v>96</v>
      </c>
      <c r="H79" s="5" t="s">
        <v>96</v>
      </c>
      <c r="I79" s="6" t="s">
        <v>40</v>
      </c>
      <c r="J79" s="5" t="s">
        <v>8585</v>
      </c>
      <c r="K79" s="5" t="s">
        <v>8586</v>
      </c>
      <c r="L79" s="6" t="s">
        <v>42</v>
      </c>
      <c r="M79" s="5" t="s">
        <v>1952</v>
      </c>
      <c r="N79" s="5" t="s">
        <v>64</v>
      </c>
      <c r="O79" s="5" t="s">
        <v>16599</v>
      </c>
      <c r="P79" s="6">
        <v>11160.0</v>
      </c>
    </row>
    <row r="80" ht="56.25" customHeight="1">
      <c r="A80" s="20" t="s">
        <v>16600</v>
      </c>
      <c r="B80" s="16" t="str">
        <f>image("https://storage.googleapis.com/acdb/accessories/AccessoryGlassBottleBlack.png")</f>
        <v/>
      </c>
      <c r="C80" s="5" t="s">
        <v>54</v>
      </c>
      <c r="D80" s="5" t="s">
        <v>36</v>
      </c>
      <c r="E80" s="6">
        <v>1100.0</v>
      </c>
      <c r="F80" s="6">
        <v>275.0</v>
      </c>
      <c r="G80" s="5" t="s">
        <v>54</v>
      </c>
      <c r="H80" s="5" t="s">
        <v>95</v>
      </c>
      <c r="I80" s="6" t="s">
        <v>40</v>
      </c>
      <c r="J80" s="5" t="s">
        <v>8585</v>
      </c>
      <c r="K80" s="5" t="s">
        <v>8632</v>
      </c>
      <c r="L80" s="6" t="s">
        <v>42</v>
      </c>
      <c r="M80" s="5" t="s">
        <v>995</v>
      </c>
      <c r="N80" s="5" t="s">
        <v>64</v>
      </c>
      <c r="O80" s="5" t="s">
        <v>16603</v>
      </c>
      <c r="P80" s="6">
        <v>4282.0</v>
      </c>
    </row>
    <row r="81" ht="56.25" customHeight="1">
      <c r="A81" s="20" t="s">
        <v>16604</v>
      </c>
      <c r="B81" s="16" t="str">
        <f>image("https://storage.googleapis.com/acdb/accessories/AccessoryMouthBeardChinBlack.png")</f>
        <v/>
      </c>
      <c r="C81" s="5" t="s">
        <v>54</v>
      </c>
      <c r="D81" s="5" t="s">
        <v>36</v>
      </c>
      <c r="E81" s="6">
        <v>980.0</v>
      </c>
      <c r="F81" s="6">
        <v>245.0</v>
      </c>
      <c r="G81" s="5" t="s">
        <v>58</v>
      </c>
      <c r="H81" s="5" t="s">
        <v>58</v>
      </c>
      <c r="I81" s="6" t="s">
        <v>40</v>
      </c>
      <c r="J81" s="5" t="s">
        <v>8585</v>
      </c>
      <c r="K81" s="5" t="s">
        <v>8586</v>
      </c>
      <c r="L81" s="6" t="s">
        <v>42</v>
      </c>
      <c r="M81" s="5" t="s">
        <v>1952</v>
      </c>
      <c r="N81" s="5" t="s">
        <v>64</v>
      </c>
      <c r="O81" s="5" t="s">
        <v>16607</v>
      </c>
      <c r="P81" s="6">
        <v>4676.0</v>
      </c>
    </row>
    <row r="82" ht="56.25" customHeight="1">
      <c r="A82" s="20" t="s">
        <v>16609</v>
      </c>
      <c r="B82" s="16" t="str">
        <f>image("https://storage.googleapis.com/acdb/accessories/AccessoryGlassGoggles0.png")</f>
        <v/>
      </c>
      <c r="C82" s="5" t="s">
        <v>54</v>
      </c>
      <c r="D82" s="5" t="s">
        <v>36</v>
      </c>
      <c r="E82" s="6">
        <v>560.0</v>
      </c>
      <c r="F82" s="6">
        <v>140.0</v>
      </c>
      <c r="G82" s="5" t="s">
        <v>54</v>
      </c>
      <c r="H82" s="5" t="s">
        <v>54</v>
      </c>
      <c r="I82" s="6" t="s">
        <v>40</v>
      </c>
      <c r="J82" s="5" t="s">
        <v>8585</v>
      </c>
      <c r="K82" s="5" t="s">
        <v>8632</v>
      </c>
      <c r="L82" s="6" t="s">
        <v>42</v>
      </c>
      <c r="M82" s="5" t="s">
        <v>8746</v>
      </c>
      <c r="N82" s="5" t="s">
        <v>64</v>
      </c>
      <c r="O82" s="5" t="s">
        <v>16610</v>
      </c>
      <c r="P82" s="6">
        <v>4454.0</v>
      </c>
    </row>
    <row r="83" ht="56.25" customHeight="1">
      <c r="A83" s="20" t="s">
        <v>16609</v>
      </c>
      <c r="B83" s="16" t="str">
        <f>image("https://storage.googleapis.com/acdb/accessories/AccessoryGlassGoggles1.png")</f>
        <v/>
      </c>
      <c r="C83" s="5" t="s">
        <v>68</v>
      </c>
      <c r="D83" s="5" t="s">
        <v>36</v>
      </c>
      <c r="E83" s="6">
        <v>560.0</v>
      </c>
      <c r="F83" s="6">
        <v>140.0</v>
      </c>
      <c r="G83" s="5" t="s">
        <v>68</v>
      </c>
      <c r="H83" s="5" t="s">
        <v>68</v>
      </c>
      <c r="I83" s="6" t="s">
        <v>40</v>
      </c>
      <c r="J83" s="5" t="s">
        <v>8585</v>
      </c>
      <c r="K83" s="5" t="s">
        <v>8632</v>
      </c>
      <c r="L83" s="6" t="s">
        <v>42</v>
      </c>
      <c r="M83" s="5" t="s">
        <v>8746</v>
      </c>
      <c r="N83" s="5" t="s">
        <v>64</v>
      </c>
      <c r="O83" s="5" t="s">
        <v>16614</v>
      </c>
      <c r="P83" s="6">
        <v>11484.0</v>
      </c>
    </row>
    <row r="84" ht="56.25" customHeight="1">
      <c r="A84" s="20" t="s">
        <v>16609</v>
      </c>
      <c r="B84" s="16" t="str">
        <f>image("https://storage.googleapis.com/acdb/accessories/AccessoryGlassGoggles2.png")</f>
        <v/>
      </c>
      <c r="C84" s="5" t="s">
        <v>69</v>
      </c>
      <c r="D84" s="5" t="s">
        <v>36</v>
      </c>
      <c r="E84" s="6">
        <v>560.0</v>
      </c>
      <c r="F84" s="6">
        <v>140.0</v>
      </c>
      <c r="G84" s="5" t="s">
        <v>69</v>
      </c>
      <c r="H84" s="5" t="s">
        <v>69</v>
      </c>
      <c r="I84" s="6" t="s">
        <v>40</v>
      </c>
      <c r="J84" s="5" t="s">
        <v>8585</v>
      </c>
      <c r="K84" s="5" t="s">
        <v>8632</v>
      </c>
      <c r="L84" s="6" t="s">
        <v>42</v>
      </c>
      <c r="M84" s="5" t="s">
        <v>8746</v>
      </c>
      <c r="N84" s="5" t="s">
        <v>64</v>
      </c>
      <c r="O84" s="5" t="s">
        <v>16616</v>
      </c>
      <c r="P84" s="6">
        <v>11485.0</v>
      </c>
    </row>
    <row r="85" ht="56.25" customHeight="1">
      <c r="A85" s="20" t="s">
        <v>16609</v>
      </c>
      <c r="B85" s="16" t="str">
        <f>image("https://storage.googleapis.com/acdb/accessories/AccessoryGlassGoggles3.png")</f>
        <v/>
      </c>
      <c r="C85" s="5" t="s">
        <v>96</v>
      </c>
      <c r="D85" s="5" t="s">
        <v>36</v>
      </c>
      <c r="E85" s="6">
        <v>560.0</v>
      </c>
      <c r="F85" s="6">
        <v>140.0</v>
      </c>
      <c r="G85" s="5" t="s">
        <v>96</v>
      </c>
      <c r="H85" s="5" t="s">
        <v>96</v>
      </c>
      <c r="I85" s="6" t="s">
        <v>40</v>
      </c>
      <c r="J85" s="5" t="s">
        <v>8585</v>
      </c>
      <c r="K85" s="5" t="s">
        <v>8632</v>
      </c>
      <c r="L85" s="6" t="s">
        <v>42</v>
      </c>
      <c r="M85" s="5" t="s">
        <v>8746</v>
      </c>
      <c r="N85" s="5" t="s">
        <v>64</v>
      </c>
      <c r="O85" s="5" t="s">
        <v>16619</v>
      </c>
      <c r="P85" s="6">
        <v>11486.0</v>
      </c>
    </row>
    <row r="86" ht="56.25" customHeight="1">
      <c r="A86" s="20" t="s">
        <v>16609</v>
      </c>
      <c r="B86" s="16" t="str">
        <f>image("https://storage.googleapis.com/acdb/accessories/AccessoryGlassGoggles4.png")</f>
        <v/>
      </c>
      <c r="C86" s="5" t="s">
        <v>106</v>
      </c>
      <c r="D86" s="5" t="s">
        <v>36</v>
      </c>
      <c r="E86" s="6">
        <v>560.0</v>
      </c>
      <c r="F86" s="6">
        <v>140.0</v>
      </c>
      <c r="G86" s="5" t="s">
        <v>106</v>
      </c>
      <c r="H86" s="5" t="s">
        <v>106</v>
      </c>
      <c r="I86" s="6" t="s">
        <v>40</v>
      </c>
      <c r="J86" s="5" t="s">
        <v>8585</v>
      </c>
      <c r="K86" s="5" t="s">
        <v>8632</v>
      </c>
      <c r="L86" s="6" t="s">
        <v>42</v>
      </c>
      <c r="M86" s="5" t="s">
        <v>8746</v>
      </c>
      <c r="N86" s="5" t="s">
        <v>64</v>
      </c>
      <c r="O86" s="5" t="s">
        <v>16621</v>
      </c>
      <c r="P86" s="6">
        <v>11487.0</v>
      </c>
    </row>
    <row r="87" ht="56.25" customHeight="1">
      <c r="A87" s="20" t="s">
        <v>16609</v>
      </c>
      <c r="B87" s="16" t="str">
        <f>image("https://storage.googleapis.com/acdb/accessories/AccessoryGlassGoggles5.png")</f>
        <v/>
      </c>
      <c r="C87" s="5" t="s">
        <v>52</v>
      </c>
      <c r="D87" s="5" t="s">
        <v>36</v>
      </c>
      <c r="E87" s="6">
        <v>560.0</v>
      </c>
      <c r="F87" s="6">
        <v>140.0</v>
      </c>
      <c r="G87" s="5" t="s">
        <v>52</v>
      </c>
      <c r="H87" s="5" t="s">
        <v>52</v>
      </c>
      <c r="I87" s="6" t="s">
        <v>40</v>
      </c>
      <c r="J87" s="5" t="s">
        <v>8585</v>
      </c>
      <c r="K87" s="5" t="s">
        <v>8632</v>
      </c>
      <c r="L87" s="6" t="s">
        <v>42</v>
      </c>
      <c r="M87" s="5" t="s">
        <v>8746</v>
      </c>
      <c r="N87" s="5" t="s">
        <v>64</v>
      </c>
      <c r="O87" s="5" t="s">
        <v>16625</v>
      </c>
      <c r="P87" s="6">
        <v>11488.0</v>
      </c>
    </row>
    <row r="88" ht="56.25" customHeight="1">
      <c r="A88" s="20" t="s">
        <v>16626</v>
      </c>
      <c r="B88" s="16" t="str">
        <f>image("https://storage.googleapis.com/acdb/accessories/AccessoryMouthBeardBlack.png")</f>
        <v/>
      </c>
      <c r="C88" s="5" t="s">
        <v>54</v>
      </c>
      <c r="D88" s="5" t="s">
        <v>36</v>
      </c>
      <c r="E88" s="6">
        <v>1120.0</v>
      </c>
      <c r="F88" s="6">
        <v>280.0</v>
      </c>
      <c r="G88" s="5" t="s">
        <v>58</v>
      </c>
      <c r="H88" s="5" t="s">
        <v>58</v>
      </c>
      <c r="I88" s="6" t="s">
        <v>40</v>
      </c>
      <c r="J88" s="5" t="s">
        <v>8585</v>
      </c>
      <c r="K88" s="5" t="s">
        <v>8586</v>
      </c>
      <c r="L88" s="6" t="s">
        <v>42</v>
      </c>
      <c r="M88" s="5" t="s">
        <v>1059</v>
      </c>
      <c r="N88" s="5" t="s">
        <v>64</v>
      </c>
      <c r="O88" s="5" t="s">
        <v>16630</v>
      </c>
      <c r="P88" s="6">
        <v>3550.0</v>
      </c>
    </row>
    <row r="89" ht="56.25" customHeight="1">
      <c r="A89" s="20" t="s">
        <v>16631</v>
      </c>
      <c r="B89" s="16" t="str">
        <f>image("https://storage.googleapis.com/acdb/accessories/AccessoryGlassHeart0.png")</f>
        <v/>
      </c>
      <c r="C89" s="5" t="s">
        <v>69</v>
      </c>
      <c r="D89" s="5" t="s">
        <v>36</v>
      </c>
      <c r="E89" s="6">
        <v>1040.0</v>
      </c>
      <c r="F89" s="6">
        <v>260.0</v>
      </c>
      <c r="G89" s="5" t="s">
        <v>69</v>
      </c>
      <c r="H89" s="5" t="s">
        <v>68</v>
      </c>
      <c r="I89" s="6" t="s">
        <v>40</v>
      </c>
      <c r="J89" s="5" t="s">
        <v>8585</v>
      </c>
      <c r="K89" s="5" t="s">
        <v>8632</v>
      </c>
      <c r="L89" s="6" t="s">
        <v>42</v>
      </c>
      <c r="M89" s="5" t="s">
        <v>1959</v>
      </c>
      <c r="N89" s="5" t="s">
        <v>64</v>
      </c>
      <c r="O89" s="5" t="s">
        <v>16633</v>
      </c>
      <c r="P89" s="6">
        <v>4237.0</v>
      </c>
    </row>
    <row r="90" ht="56.25" customHeight="1">
      <c r="A90" s="20" t="s">
        <v>16631</v>
      </c>
      <c r="B90" s="16" t="str">
        <f>image("https://storage.googleapis.com/acdb/accessories/AccessoryGlassHeart1.png")</f>
        <v/>
      </c>
      <c r="C90" s="5" t="s">
        <v>114</v>
      </c>
      <c r="D90" s="5" t="s">
        <v>36</v>
      </c>
      <c r="E90" s="6">
        <v>1040.0</v>
      </c>
      <c r="F90" s="6">
        <v>260.0</v>
      </c>
      <c r="G90" s="5" t="s">
        <v>114</v>
      </c>
      <c r="H90" s="5" t="s">
        <v>68</v>
      </c>
      <c r="I90" s="6" t="s">
        <v>40</v>
      </c>
      <c r="J90" s="5" t="s">
        <v>8585</v>
      </c>
      <c r="K90" s="5" t="s">
        <v>8632</v>
      </c>
      <c r="L90" s="6" t="s">
        <v>42</v>
      </c>
      <c r="M90" s="5" t="s">
        <v>1959</v>
      </c>
      <c r="N90" s="5" t="s">
        <v>64</v>
      </c>
      <c r="O90" s="5" t="s">
        <v>16636</v>
      </c>
      <c r="P90" s="6">
        <v>11188.0</v>
      </c>
    </row>
    <row r="91" ht="56.25" customHeight="1">
      <c r="A91" s="20" t="s">
        <v>16631</v>
      </c>
      <c r="B91" s="16" t="str">
        <f>image("https://storage.googleapis.com/acdb/accessories/AccessoryGlassHeart2.png")</f>
        <v/>
      </c>
      <c r="C91" s="5" t="s">
        <v>68</v>
      </c>
      <c r="D91" s="5" t="s">
        <v>36</v>
      </c>
      <c r="E91" s="6">
        <v>1040.0</v>
      </c>
      <c r="F91" s="6">
        <v>260.0</v>
      </c>
      <c r="G91" s="5" t="s">
        <v>83</v>
      </c>
      <c r="H91" s="5" t="s">
        <v>68</v>
      </c>
      <c r="I91" s="6" t="s">
        <v>40</v>
      </c>
      <c r="J91" s="5" t="s">
        <v>8585</v>
      </c>
      <c r="K91" s="5" t="s">
        <v>8632</v>
      </c>
      <c r="L91" s="6" t="s">
        <v>42</v>
      </c>
      <c r="M91" s="5" t="s">
        <v>1959</v>
      </c>
      <c r="N91" s="5" t="s">
        <v>64</v>
      </c>
      <c r="O91" s="5" t="s">
        <v>16640</v>
      </c>
      <c r="P91" s="6">
        <v>11189.0</v>
      </c>
    </row>
    <row r="92" ht="56.25" customHeight="1">
      <c r="A92" s="20" t="s">
        <v>16631</v>
      </c>
      <c r="B92" s="16" t="str">
        <f>image("https://storage.googleapis.com/acdb/accessories/AccessoryGlassHeart3.png")</f>
        <v/>
      </c>
      <c r="C92" s="5" t="s">
        <v>106</v>
      </c>
      <c r="D92" s="5" t="s">
        <v>36</v>
      </c>
      <c r="E92" s="6">
        <v>1040.0</v>
      </c>
      <c r="F92" s="6">
        <v>260.0</v>
      </c>
      <c r="G92" s="5" t="s">
        <v>106</v>
      </c>
      <c r="H92" s="5" t="s">
        <v>68</v>
      </c>
      <c r="I92" s="6" t="s">
        <v>40</v>
      </c>
      <c r="J92" s="5" t="s">
        <v>8585</v>
      </c>
      <c r="K92" s="5" t="s">
        <v>8632</v>
      </c>
      <c r="L92" s="6" t="s">
        <v>42</v>
      </c>
      <c r="M92" s="5" t="s">
        <v>1959</v>
      </c>
      <c r="N92" s="5" t="s">
        <v>64</v>
      </c>
      <c r="O92" s="5" t="s">
        <v>16643</v>
      </c>
      <c r="P92" s="6">
        <v>11190.0</v>
      </c>
    </row>
    <row r="93" ht="56.25" customHeight="1">
      <c r="A93" s="20" t="s">
        <v>16631</v>
      </c>
      <c r="B93" s="16" t="str">
        <f>image("https://storage.googleapis.com/acdb/accessories/AccessoryGlassHeart4.png")</f>
        <v/>
      </c>
      <c r="C93" s="5" t="s">
        <v>96</v>
      </c>
      <c r="D93" s="5" t="s">
        <v>36</v>
      </c>
      <c r="E93" s="6">
        <v>1040.0</v>
      </c>
      <c r="F93" s="6">
        <v>260.0</v>
      </c>
      <c r="G93" s="5" t="s">
        <v>96</v>
      </c>
      <c r="H93" s="5" t="s">
        <v>68</v>
      </c>
      <c r="I93" s="6" t="s">
        <v>40</v>
      </c>
      <c r="J93" s="5" t="s">
        <v>8585</v>
      </c>
      <c r="K93" s="5" t="s">
        <v>8632</v>
      </c>
      <c r="L93" s="6" t="s">
        <v>42</v>
      </c>
      <c r="M93" s="5" t="s">
        <v>1959</v>
      </c>
      <c r="N93" s="5" t="s">
        <v>64</v>
      </c>
      <c r="O93" s="5" t="s">
        <v>16647</v>
      </c>
      <c r="P93" s="6">
        <v>11191.0</v>
      </c>
    </row>
    <row r="94" ht="56.25" customHeight="1">
      <c r="A94" s="20" t="s">
        <v>16648</v>
      </c>
      <c r="B94" s="16" t="str">
        <f>image("https://storage.googleapis.com/acdb/accessories/AccessoryGlassHmdWhite.png")</f>
        <v/>
      </c>
      <c r="C94" s="5" t="s">
        <v>57</v>
      </c>
      <c r="D94" s="5" t="s">
        <v>36</v>
      </c>
      <c r="E94" s="6">
        <v>2000.0</v>
      </c>
      <c r="F94" s="6">
        <v>500.0</v>
      </c>
      <c r="G94" s="5" t="s">
        <v>57</v>
      </c>
      <c r="H94" s="5" t="s">
        <v>54</v>
      </c>
      <c r="I94" s="6" t="s">
        <v>40</v>
      </c>
      <c r="J94" s="5" t="s">
        <v>8585</v>
      </c>
      <c r="K94" s="5" t="s">
        <v>8586</v>
      </c>
      <c r="L94" s="6" t="s">
        <v>42</v>
      </c>
      <c r="M94" s="5" t="s">
        <v>1952</v>
      </c>
      <c r="N94" s="5" t="s">
        <v>64</v>
      </c>
      <c r="O94" s="5" t="s">
        <v>16651</v>
      </c>
      <c r="P94" s="6">
        <v>5182.0</v>
      </c>
    </row>
    <row r="95" ht="56.25" customHeight="1">
      <c r="A95" s="20" t="s">
        <v>16653</v>
      </c>
      <c r="B95" s="16" t="str">
        <f>image("https://storage.googleapis.com/acdb/accessories/AccessoryGlassmouthPierrot0.png")</f>
        <v/>
      </c>
      <c r="C95" s="5" t="s">
        <v>54</v>
      </c>
      <c r="D95" s="5" t="s">
        <v>36</v>
      </c>
      <c r="E95" s="6">
        <v>1760.0</v>
      </c>
      <c r="F95" s="6">
        <v>440.0</v>
      </c>
      <c r="G95" s="5" t="s">
        <v>54</v>
      </c>
      <c r="H95" s="5" t="s">
        <v>57</v>
      </c>
      <c r="I95" s="6" t="s">
        <v>40</v>
      </c>
      <c r="J95" s="5" t="s">
        <v>8585</v>
      </c>
      <c r="K95" s="5" t="s">
        <v>8586</v>
      </c>
      <c r="L95" s="6" t="s">
        <v>42</v>
      </c>
      <c r="M95" s="5" t="s">
        <v>1952</v>
      </c>
      <c r="N95" s="5" t="s">
        <v>64</v>
      </c>
      <c r="O95" s="5" t="s">
        <v>16658</v>
      </c>
      <c r="P95" s="6">
        <v>4678.0</v>
      </c>
    </row>
    <row r="96" ht="56.25" customHeight="1">
      <c r="A96" s="20" t="s">
        <v>16653</v>
      </c>
      <c r="B96" s="16" t="str">
        <f>image("https://storage.googleapis.com/acdb/accessories/AccessoryGlassmouthPierrot1.png")</f>
        <v/>
      </c>
      <c r="C96" s="5" t="s">
        <v>52</v>
      </c>
      <c r="D96" s="5" t="s">
        <v>36</v>
      </c>
      <c r="E96" s="6">
        <v>1760.0</v>
      </c>
      <c r="F96" s="6">
        <v>440.0</v>
      </c>
      <c r="G96" s="5" t="s">
        <v>52</v>
      </c>
      <c r="H96" s="5" t="s">
        <v>57</v>
      </c>
      <c r="I96" s="6" t="s">
        <v>40</v>
      </c>
      <c r="J96" s="5" t="s">
        <v>8585</v>
      </c>
      <c r="K96" s="5" t="s">
        <v>8586</v>
      </c>
      <c r="L96" s="6" t="s">
        <v>42</v>
      </c>
      <c r="M96" s="5" t="s">
        <v>1952</v>
      </c>
      <c r="N96" s="5" t="s">
        <v>64</v>
      </c>
      <c r="O96" s="5" t="s">
        <v>16662</v>
      </c>
      <c r="P96" s="6">
        <v>11166.0</v>
      </c>
    </row>
    <row r="97" ht="56.25" customHeight="1">
      <c r="A97" s="20" t="s">
        <v>16653</v>
      </c>
      <c r="B97" s="16" t="str">
        <f>image("https://storage.googleapis.com/acdb/accessories/AccessoryGlassmouthPierrot2.png")</f>
        <v/>
      </c>
      <c r="C97" s="5" t="s">
        <v>96</v>
      </c>
      <c r="D97" s="5" t="s">
        <v>36</v>
      </c>
      <c r="E97" s="6">
        <v>1760.0</v>
      </c>
      <c r="F97" s="6">
        <v>440.0</v>
      </c>
      <c r="G97" s="5" t="s">
        <v>96</v>
      </c>
      <c r="H97" s="5" t="s">
        <v>57</v>
      </c>
      <c r="I97" s="6" t="s">
        <v>40</v>
      </c>
      <c r="J97" s="5" t="s">
        <v>8585</v>
      </c>
      <c r="K97" s="5" t="s">
        <v>8586</v>
      </c>
      <c r="L97" s="6" t="s">
        <v>42</v>
      </c>
      <c r="M97" s="5" t="s">
        <v>1952</v>
      </c>
      <c r="N97" s="5" t="s">
        <v>64</v>
      </c>
      <c r="O97" s="5" t="s">
        <v>16666</v>
      </c>
      <c r="P97" s="6">
        <v>11167.0</v>
      </c>
    </row>
    <row r="98" ht="56.25" customHeight="1">
      <c r="A98" s="20" t="s">
        <v>16653</v>
      </c>
      <c r="B98" s="16" t="str">
        <f>image("https://storage.googleapis.com/acdb/accessories/AccessoryGlassmouthPierrot3.png")</f>
        <v/>
      </c>
      <c r="C98" s="5" t="s">
        <v>68</v>
      </c>
      <c r="D98" s="5" t="s">
        <v>36</v>
      </c>
      <c r="E98" s="6">
        <v>1760.0</v>
      </c>
      <c r="F98" s="6">
        <v>440.0</v>
      </c>
      <c r="G98" s="5" t="s">
        <v>68</v>
      </c>
      <c r="H98" s="5" t="s">
        <v>57</v>
      </c>
      <c r="I98" s="6" t="s">
        <v>40</v>
      </c>
      <c r="J98" s="5" t="s">
        <v>8585</v>
      </c>
      <c r="K98" s="5" t="s">
        <v>8586</v>
      </c>
      <c r="L98" s="6" t="s">
        <v>42</v>
      </c>
      <c r="M98" s="5" t="s">
        <v>1952</v>
      </c>
      <c r="N98" s="5" t="s">
        <v>64</v>
      </c>
      <c r="O98" s="5" t="s">
        <v>16669</v>
      </c>
      <c r="P98" s="6">
        <v>11168.0</v>
      </c>
    </row>
    <row r="99" ht="56.25" customHeight="1">
      <c r="A99" s="20" t="s">
        <v>16671</v>
      </c>
      <c r="B99" s="16" t="str">
        <f>image("https://storage.googleapis.com/acdb/accessories/AccessoryGlassKate0.png")</f>
        <v/>
      </c>
      <c r="C99" s="5" t="s">
        <v>10055</v>
      </c>
      <c r="D99" s="5" t="s">
        <v>36</v>
      </c>
      <c r="E99" s="6">
        <v>2000.0</v>
      </c>
      <c r="F99" s="6">
        <v>500.0</v>
      </c>
      <c r="G99" s="5" t="s">
        <v>106</v>
      </c>
      <c r="H99" s="5" t="s">
        <v>106</v>
      </c>
      <c r="I99" s="6" t="s">
        <v>40</v>
      </c>
      <c r="J99" s="5" t="s">
        <v>10058</v>
      </c>
      <c r="K99" s="5"/>
      <c r="L99" s="6" t="s">
        <v>42</v>
      </c>
      <c r="M99" s="5" t="s">
        <v>612</v>
      </c>
      <c r="N99" s="5" t="s">
        <v>64</v>
      </c>
      <c r="O99" s="5" t="s">
        <v>16674</v>
      </c>
      <c r="P99" s="6">
        <v>9887.0</v>
      </c>
    </row>
    <row r="100" ht="56.25" customHeight="1">
      <c r="A100" s="20" t="s">
        <v>16671</v>
      </c>
      <c r="B100" s="16" t="str">
        <f>image("https://storage.googleapis.com/acdb/accessories/AccessoryGlassKate1.png")</f>
        <v/>
      </c>
      <c r="C100" s="5" t="s">
        <v>10061</v>
      </c>
      <c r="D100" s="5" t="s">
        <v>36</v>
      </c>
      <c r="E100" s="6">
        <v>2000.0</v>
      </c>
      <c r="F100" s="6">
        <v>500.0</v>
      </c>
      <c r="G100" s="5" t="s">
        <v>54</v>
      </c>
      <c r="H100" s="5" t="s">
        <v>54</v>
      </c>
      <c r="I100" s="6" t="s">
        <v>40</v>
      </c>
      <c r="J100" s="5" t="s">
        <v>10058</v>
      </c>
      <c r="K100" s="5"/>
      <c r="L100" s="6" t="s">
        <v>42</v>
      </c>
      <c r="M100" s="5" t="s">
        <v>612</v>
      </c>
      <c r="N100" s="5" t="s">
        <v>64</v>
      </c>
      <c r="O100" s="5" t="s">
        <v>16678</v>
      </c>
      <c r="P100" s="6">
        <v>11776.0</v>
      </c>
    </row>
    <row r="101" ht="56.25" customHeight="1">
      <c r="A101" s="20" t="s">
        <v>16671</v>
      </c>
      <c r="B101" s="16" t="str">
        <f>image("https://storage.googleapis.com/acdb/accessories/AccessoryGlassKate2.png")</f>
        <v/>
      </c>
      <c r="C101" s="5" t="s">
        <v>10065</v>
      </c>
      <c r="D101" s="5" t="s">
        <v>36</v>
      </c>
      <c r="E101" s="6">
        <v>2000.0</v>
      </c>
      <c r="F101" s="6">
        <v>500.0</v>
      </c>
      <c r="G101" s="5" t="s">
        <v>52</v>
      </c>
      <c r="H101" s="5" t="s">
        <v>52</v>
      </c>
      <c r="I101" s="6" t="s">
        <v>40</v>
      </c>
      <c r="J101" s="5" t="s">
        <v>10058</v>
      </c>
      <c r="K101" s="5"/>
      <c r="L101" s="6" t="s">
        <v>42</v>
      </c>
      <c r="M101" s="5" t="s">
        <v>612</v>
      </c>
      <c r="N101" s="5" t="s">
        <v>64</v>
      </c>
      <c r="O101" s="5" t="s">
        <v>16681</v>
      </c>
      <c r="P101" s="6">
        <v>11777.0</v>
      </c>
    </row>
    <row r="102" ht="56.25" customHeight="1">
      <c r="A102" s="20" t="s">
        <v>16671</v>
      </c>
      <c r="B102" s="16" t="str">
        <f>image("https://storage.googleapis.com/acdb/accessories/AccessoryGlassKate3.png")</f>
        <v/>
      </c>
      <c r="C102" s="5" t="s">
        <v>10069</v>
      </c>
      <c r="D102" s="5" t="s">
        <v>36</v>
      </c>
      <c r="E102" s="6">
        <v>2000.0</v>
      </c>
      <c r="F102" s="6">
        <v>500.0</v>
      </c>
      <c r="G102" s="5" t="s">
        <v>68</v>
      </c>
      <c r="H102" s="5" t="s">
        <v>68</v>
      </c>
      <c r="I102" s="6" t="s">
        <v>40</v>
      </c>
      <c r="J102" s="5" t="s">
        <v>10058</v>
      </c>
      <c r="K102" s="5"/>
      <c r="L102" s="6" t="s">
        <v>42</v>
      </c>
      <c r="M102" s="5" t="s">
        <v>612</v>
      </c>
      <c r="N102" s="5" t="s">
        <v>64</v>
      </c>
      <c r="O102" s="5" t="s">
        <v>16686</v>
      </c>
      <c r="P102" s="6">
        <v>11778.0</v>
      </c>
    </row>
    <row r="103" ht="56.25" customHeight="1">
      <c r="A103" s="20" t="s">
        <v>16671</v>
      </c>
      <c r="B103" s="16" t="str">
        <f>image("https://storage.googleapis.com/acdb/accessories/AccessoryGlassKate4.png")</f>
        <v/>
      </c>
      <c r="C103" s="5" t="s">
        <v>4665</v>
      </c>
      <c r="D103" s="5" t="s">
        <v>36</v>
      </c>
      <c r="E103" s="6">
        <v>2000.0</v>
      </c>
      <c r="F103" s="6">
        <v>500.0</v>
      </c>
      <c r="G103" s="5" t="s">
        <v>114</v>
      </c>
      <c r="H103" s="5" t="s">
        <v>114</v>
      </c>
      <c r="I103" s="6" t="s">
        <v>40</v>
      </c>
      <c r="J103" s="5" t="s">
        <v>10058</v>
      </c>
      <c r="K103" s="5"/>
      <c r="L103" s="6" t="s">
        <v>42</v>
      </c>
      <c r="M103" s="5" t="s">
        <v>612</v>
      </c>
      <c r="N103" s="5" t="s">
        <v>64</v>
      </c>
      <c r="O103" s="5" t="s">
        <v>16689</v>
      </c>
      <c r="P103" s="6">
        <v>11779.0</v>
      </c>
    </row>
    <row r="104" ht="56.25" customHeight="1">
      <c r="A104" s="20" t="s">
        <v>16671</v>
      </c>
      <c r="B104" s="16" t="str">
        <f>image("https://storage.googleapis.com/acdb/accessories/AccessoryGlassKate5.png")</f>
        <v/>
      </c>
      <c r="C104" s="5" t="s">
        <v>10075</v>
      </c>
      <c r="D104" s="5" t="s">
        <v>36</v>
      </c>
      <c r="E104" s="6">
        <v>2000.0</v>
      </c>
      <c r="F104" s="6">
        <v>500.0</v>
      </c>
      <c r="G104" s="5" t="s">
        <v>69</v>
      </c>
      <c r="H104" s="5" t="s">
        <v>69</v>
      </c>
      <c r="I104" s="6" t="s">
        <v>40</v>
      </c>
      <c r="J104" s="5" t="s">
        <v>10058</v>
      </c>
      <c r="K104" s="5"/>
      <c r="L104" s="6" t="s">
        <v>42</v>
      </c>
      <c r="M104" s="5" t="s">
        <v>612</v>
      </c>
      <c r="N104" s="5" t="s">
        <v>64</v>
      </c>
      <c r="O104" s="5" t="s">
        <v>16690</v>
      </c>
      <c r="P104" s="6">
        <v>11780.0</v>
      </c>
    </row>
    <row r="105" ht="56.25" customHeight="1">
      <c r="A105" s="5" t="s">
        <v>16693</v>
      </c>
      <c r="B105" s="16" t="str">
        <f>image("https://storage.googleapis.com/acdb/accessories/AccessoryGlassBlind0.png")</f>
        <v/>
      </c>
      <c r="C105" s="5" t="s">
        <v>52</v>
      </c>
      <c r="D105" s="5" t="s">
        <v>36</v>
      </c>
      <c r="E105" s="6">
        <v>880.0</v>
      </c>
      <c r="F105" s="6">
        <v>220.0</v>
      </c>
      <c r="G105" s="5" t="s">
        <v>52</v>
      </c>
      <c r="H105" s="5" t="s">
        <v>52</v>
      </c>
      <c r="I105" s="6" t="s">
        <v>40</v>
      </c>
      <c r="J105" s="5" t="s">
        <v>8585</v>
      </c>
      <c r="K105" s="5" t="s">
        <v>8586</v>
      </c>
      <c r="L105" s="6" t="s">
        <v>42</v>
      </c>
      <c r="M105" s="5" t="s">
        <v>8746</v>
      </c>
      <c r="N105" s="5" t="s">
        <v>64</v>
      </c>
      <c r="O105" s="5" t="s">
        <v>16695</v>
      </c>
      <c r="P105" s="6">
        <v>4464.0</v>
      </c>
    </row>
    <row r="106" ht="56.25" customHeight="1">
      <c r="A106" s="5" t="s">
        <v>16693</v>
      </c>
      <c r="B106" s="16" t="str">
        <f>image("https://storage.googleapis.com/acdb/accessories/AccessoryGlassBlind1.png")</f>
        <v/>
      </c>
      <c r="C106" s="5" t="s">
        <v>68</v>
      </c>
      <c r="D106" s="5" t="s">
        <v>36</v>
      </c>
      <c r="E106" s="6">
        <v>880.0</v>
      </c>
      <c r="F106" s="6">
        <v>220.0</v>
      </c>
      <c r="G106" s="5" t="s">
        <v>68</v>
      </c>
      <c r="H106" s="5" t="s">
        <v>68</v>
      </c>
      <c r="I106" s="6" t="s">
        <v>40</v>
      </c>
      <c r="J106" s="5" t="s">
        <v>8585</v>
      </c>
      <c r="K106" s="5" t="s">
        <v>8586</v>
      </c>
      <c r="L106" s="6" t="s">
        <v>42</v>
      </c>
      <c r="M106" s="5" t="s">
        <v>8746</v>
      </c>
      <c r="N106" s="5" t="s">
        <v>64</v>
      </c>
      <c r="O106" s="5" t="s">
        <v>16697</v>
      </c>
      <c r="P106" s="6">
        <v>11002.0</v>
      </c>
    </row>
    <row r="107" ht="56.25" customHeight="1">
      <c r="A107" s="5" t="s">
        <v>16693</v>
      </c>
      <c r="B107" s="16" t="str">
        <f>image("https://storage.googleapis.com/acdb/accessories/AccessoryGlassBlind2.png")</f>
        <v/>
      </c>
      <c r="C107" s="5" t="s">
        <v>96</v>
      </c>
      <c r="D107" s="5" t="s">
        <v>36</v>
      </c>
      <c r="E107" s="6">
        <v>880.0</v>
      </c>
      <c r="F107" s="6">
        <v>220.0</v>
      </c>
      <c r="G107" s="5" t="s">
        <v>96</v>
      </c>
      <c r="H107" s="5" t="s">
        <v>96</v>
      </c>
      <c r="I107" s="6" t="s">
        <v>40</v>
      </c>
      <c r="J107" s="5" t="s">
        <v>8585</v>
      </c>
      <c r="K107" s="5" t="s">
        <v>8586</v>
      </c>
      <c r="L107" s="6" t="s">
        <v>42</v>
      </c>
      <c r="M107" s="5" t="s">
        <v>8746</v>
      </c>
      <c r="N107" s="5" t="s">
        <v>64</v>
      </c>
      <c r="O107" s="5" t="s">
        <v>16700</v>
      </c>
      <c r="P107" s="6">
        <v>11003.0</v>
      </c>
    </row>
    <row r="108" ht="56.25" customHeight="1">
      <c r="A108" s="5" t="s">
        <v>16693</v>
      </c>
      <c r="B108" s="16" t="str">
        <f>image("https://storage.googleapis.com/acdb/accessories/AccessoryGlassBlind3.png")</f>
        <v/>
      </c>
      <c r="C108" s="5" t="s">
        <v>69</v>
      </c>
      <c r="D108" s="5" t="s">
        <v>36</v>
      </c>
      <c r="E108" s="6">
        <v>880.0</v>
      </c>
      <c r="F108" s="6">
        <v>220.0</v>
      </c>
      <c r="G108" s="5" t="s">
        <v>69</v>
      </c>
      <c r="H108" s="5" t="s">
        <v>69</v>
      </c>
      <c r="I108" s="6" t="s">
        <v>40</v>
      </c>
      <c r="J108" s="5" t="s">
        <v>8585</v>
      </c>
      <c r="K108" s="5" t="s">
        <v>8586</v>
      </c>
      <c r="L108" s="6" t="s">
        <v>42</v>
      </c>
      <c r="M108" s="5" t="s">
        <v>8746</v>
      </c>
      <c r="N108" s="5" t="s">
        <v>64</v>
      </c>
      <c r="O108" s="5" t="s">
        <v>16703</v>
      </c>
      <c r="P108" s="6">
        <v>11004.0</v>
      </c>
    </row>
    <row r="109" ht="56.25" customHeight="1">
      <c r="A109" s="5" t="s">
        <v>16693</v>
      </c>
      <c r="B109" s="16" t="str">
        <f>image("https://storage.googleapis.com/acdb/accessories/AccessoryGlassBlind4.png")</f>
        <v/>
      </c>
      <c r="C109" s="5" t="s">
        <v>114</v>
      </c>
      <c r="D109" s="5" t="s">
        <v>36</v>
      </c>
      <c r="E109" s="6">
        <v>880.0</v>
      </c>
      <c r="F109" s="6">
        <v>220.0</v>
      </c>
      <c r="G109" s="5" t="s">
        <v>114</v>
      </c>
      <c r="H109" s="5" t="s">
        <v>114</v>
      </c>
      <c r="I109" s="6" t="s">
        <v>40</v>
      </c>
      <c r="J109" s="5" t="s">
        <v>8585</v>
      </c>
      <c r="K109" s="5" t="s">
        <v>8586</v>
      </c>
      <c r="L109" s="6" t="s">
        <v>42</v>
      </c>
      <c r="M109" s="5" t="s">
        <v>8746</v>
      </c>
      <c r="N109" s="5" t="s">
        <v>64</v>
      </c>
      <c r="O109" s="5" t="s">
        <v>16704</v>
      </c>
      <c r="P109" s="6">
        <v>11005.0</v>
      </c>
    </row>
    <row r="110" ht="56.25" customHeight="1">
      <c r="A110" s="5" t="s">
        <v>16693</v>
      </c>
      <c r="B110" s="16" t="str">
        <f>image("https://storage.googleapis.com/acdb/accessories/AccessoryGlassBlind5.png")</f>
        <v/>
      </c>
      <c r="C110" s="5" t="s">
        <v>151</v>
      </c>
      <c r="D110" s="5" t="s">
        <v>36</v>
      </c>
      <c r="E110" s="6">
        <v>880.0</v>
      </c>
      <c r="F110" s="6">
        <v>220.0</v>
      </c>
      <c r="G110" s="5" t="s">
        <v>39</v>
      </c>
      <c r="H110" s="5" t="s">
        <v>39</v>
      </c>
      <c r="I110" s="6" t="s">
        <v>40</v>
      </c>
      <c r="J110" s="5" t="s">
        <v>8585</v>
      </c>
      <c r="K110" s="5" t="s">
        <v>8586</v>
      </c>
      <c r="L110" s="6" t="s">
        <v>42</v>
      </c>
      <c r="M110" s="5" t="s">
        <v>8746</v>
      </c>
      <c r="N110" s="5" t="s">
        <v>64</v>
      </c>
      <c r="O110" s="5" t="s">
        <v>16708</v>
      </c>
      <c r="P110" s="6">
        <v>11006.0</v>
      </c>
    </row>
    <row r="111" ht="56.25" customHeight="1">
      <c r="A111" s="20" t="s">
        <v>16710</v>
      </c>
      <c r="B111" s="16" t="str">
        <f>image("https://storage.googleapis.com/acdb/accessories/AccessoryMouthLeafGreen.png")</f>
        <v/>
      </c>
      <c r="C111" s="5" t="s">
        <v>96</v>
      </c>
      <c r="D111" s="5" t="s">
        <v>35</v>
      </c>
      <c r="E111" s="6" t="s">
        <v>37</v>
      </c>
      <c r="F111" s="6">
        <v>100.0</v>
      </c>
      <c r="G111" s="5" t="s">
        <v>96</v>
      </c>
      <c r="H111" s="5" t="s">
        <v>96</v>
      </c>
      <c r="I111" s="6" t="s">
        <v>40</v>
      </c>
      <c r="J111" s="5" t="s">
        <v>41</v>
      </c>
      <c r="K111" s="5"/>
      <c r="L111" s="6" t="s">
        <v>42</v>
      </c>
      <c r="M111" s="5" t="s">
        <v>995</v>
      </c>
      <c r="N111" s="5" t="s">
        <v>48</v>
      </c>
      <c r="O111" s="5" t="s">
        <v>16714</v>
      </c>
      <c r="P111" s="6">
        <v>4682.0</v>
      </c>
    </row>
    <row r="112" ht="56.25" customHeight="1">
      <c r="A112" s="20" t="s">
        <v>16716</v>
      </c>
      <c r="B112" s="16" t="str">
        <f>image("https://storage.googleapis.com/acdb/accessories/AccessoryGlassVenetian0.png")</f>
        <v/>
      </c>
      <c r="C112" s="5" t="s">
        <v>106</v>
      </c>
      <c r="D112" s="5" t="s">
        <v>36</v>
      </c>
      <c r="E112" s="6">
        <v>910.0</v>
      </c>
      <c r="F112" s="6">
        <v>227.0</v>
      </c>
      <c r="G112" s="5" t="s">
        <v>69</v>
      </c>
      <c r="H112" s="5" t="s">
        <v>114</v>
      </c>
      <c r="I112" s="6" t="s">
        <v>40</v>
      </c>
      <c r="J112" s="5" t="s">
        <v>8585</v>
      </c>
      <c r="K112" s="5" t="s">
        <v>8586</v>
      </c>
      <c r="L112" s="6" t="s">
        <v>42</v>
      </c>
      <c r="M112" s="5" t="s">
        <v>612</v>
      </c>
      <c r="N112" s="5" t="s">
        <v>64</v>
      </c>
      <c r="O112" s="5" t="s">
        <v>16719</v>
      </c>
      <c r="P112" s="6">
        <v>4667.0</v>
      </c>
    </row>
    <row r="113" ht="56.25" customHeight="1">
      <c r="A113" s="20" t="s">
        <v>16716</v>
      </c>
      <c r="B113" s="16" t="str">
        <f>image("https://storage.googleapis.com/acdb/accessories/AccessoryGlassVenetian1.png")</f>
        <v/>
      </c>
      <c r="C113" s="5" t="s">
        <v>54</v>
      </c>
      <c r="D113" s="5" t="s">
        <v>36</v>
      </c>
      <c r="E113" s="6">
        <v>910.0</v>
      </c>
      <c r="F113" s="6">
        <v>227.0</v>
      </c>
      <c r="G113" s="5" t="s">
        <v>54</v>
      </c>
      <c r="H113" s="5" t="s">
        <v>114</v>
      </c>
      <c r="I113" s="6" t="s">
        <v>40</v>
      </c>
      <c r="J113" s="5" t="s">
        <v>8585</v>
      </c>
      <c r="K113" s="5" t="s">
        <v>8586</v>
      </c>
      <c r="L113" s="6" t="s">
        <v>42</v>
      </c>
      <c r="M113" s="5" t="s">
        <v>612</v>
      </c>
      <c r="N113" s="5" t="s">
        <v>64</v>
      </c>
      <c r="O113" s="5" t="s">
        <v>16723</v>
      </c>
      <c r="P113" s="6">
        <v>11161.0</v>
      </c>
    </row>
    <row r="114" ht="56.25" customHeight="1">
      <c r="A114" s="20" t="s">
        <v>16716</v>
      </c>
      <c r="B114" s="16" t="str">
        <f>image("https://storage.googleapis.com/acdb/accessories/AccessoryGlassVenetian2.png")</f>
        <v/>
      </c>
      <c r="C114" s="5" t="s">
        <v>68</v>
      </c>
      <c r="D114" s="5" t="s">
        <v>36</v>
      </c>
      <c r="E114" s="6">
        <v>910.0</v>
      </c>
      <c r="F114" s="6">
        <v>227.0</v>
      </c>
      <c r="G114" s="5" t="s">
        <v>68</v>
      </c>
      <c r="H114" s="5" t="s">
        <v>114</v>
      </c>
      <c r="I114" s="6" t="s">
        <v>40</v>
      </c>
      <c r="J114" s="5" t="s">
        <v>8585</v>
      </c>
      <c r="K114" s="5" t="s">
        <v>8586</v>
      </c>
      <c r="L114" s="6" t="s">
        <v>42</v>
      </c>
      <c r="M114" s="5" t="s">
        <v>612</v>
      </c>
      <c r="N114" s="5" t="s">
        <v>64</v>
      </c>
      <c r="O114" s="5" t="s">
        <v>16727</v>
      </c>
      <c r="P114" s="6">
        <v>11162.0</v>
      </c>
    </row>
    <row r="115" ht="56.25" customHeight="1">
      <c r="A115" s="20" t="s">
        <v>16716</v>
      </c>
      <c r="B115" s="16" t="str">
        <f>image("https://storage.googleapis.com/acdb/accessories/AccessoryGlassVenetian3.png")</f>
        <v/>
      </c>
      <c r="C115" s="5" t="s">
        <v>52</v>
      </c>
      <c r="D115" s="5" t="s">
        <v>36</v>
      </c>
      <c r="E115" s="6">
        <v>910.0</v>
      </c>
      <c r="F115" s="6">
        <v>227.0</v>
      </c>
      <c r="G115" s="5" t="s">
        <v>52</v>
      </c>
      <c r="H115" s="5" t="s">
        <v>114</v>
      </c>
      <c r="I115" s="6" t="s">
        <v>40</v>
      </c>
      <c r="J115" s="5" t="s">
        <v>8585</v>
      </c>
      <c r="K115" s="5" t="s">
        <v>8586</v>
      </c>
      <c r="L115" s="6" t="s">
        <v>42</v>
      </c>
      <c r="M115" s="5" t="s">
        <v>612</v>
      </c>
      <c r="N115" s="5" t="s">
        <v>64</v>
      </c>
      <c r="O115" s="5" t="s">
        <v>16730</v>
      </c>
      <c r="P115" s="6">
        <v>11163.0</v>
      </c>
    </row>
    <row r="116" ht="56.25" customHeight="1">
      <c r="A116" s="20" t="s">
        <v>16716</v>
      </c>
      <c r="B116" s="16" t="str">
        <f>image("https://storage.googleapis.com/acdb/accessories/AccessoryGlassVenetian4.png")</f>
        <v/>
      </c>
      <c r="C116" s="5" t="s">
        <v>96</v>
      </c>
      <c r="D116" s="5" t="s">
        <v>36</v>
      </c>
      <c r="E116" s="6">
        <v>910.0</v>
      </c>
      <c r="F116" s="6">
        <v>227.0</v>
      </c>
      <c r="G116" s="5" t="s">
        <v>96</v>
      </c>
      <c r="H116" s="5" t="s">
        <v>114</v>
      </c>
      <c r="I116" s="6" t="s">
        <v>40</v>
      </c>
      <c r="J116" s="5" t="s">
        <v>8585</v>
      </c>
      <c r="K116" s="5" t="s">
        <v>8586</v>
      </c>
      <c r="L116" s="6" t="s">
        <v>42</v>
      </c>
      <c r="M116" s="5" t="s">
        <v>612</v>
      </c>
      <c r="N116" s="5" t="s">
        <v>64</v>
      </c>
      <c r="O116" s="5" t="s">
        <v>16733</v>
      </c>
      <c r="P116" s="6">
        <v>11164.0</v>
      </c>
    </row>
    <row r="117" ht="56.25" customHeight="1">
      <c r="A117" s="20" t="s">
        <v>16716</v>
      </c>
      <c r="B117" s="16" t="str">
        <f>image("https://storage.googleapis.com/acdb/accessories/AccessoryGlassVenetian5.png")</f>
        <v/>
      </c>
      <c r="C117" s="5" t="s">
        <v>151</v>
      </c>
      <c r="D117" s="5" t="s">
        <v>36</v>
      </c>
      <c r="E117" s="6">
        <v>910.0</v>
      </c>
      <c r="F117" s="6">
        <v>227.0</v>
      </c>
      <c r="G117" s="5" t="s">
        <v>142</v>
      </c>
      <c r="H117" s="5" t="s">
        <v>114</v>
      </c>
      <c r="I117" s="6" t="s">
        <v>40</v>
      </c>
      <c r="J117" s="5" t="s">
        <v>8585</v>
      </c>
      <c r="K117" s="5" t="s">
        <v>8586</v>
      </c>
      <c r="L117" s="6" t="s">
        <v>42</v>
      </c>
      <c r="M117" s="5" t="s">
        <v>612</v>
      </c>
      <c r="N117" s="5" t="s">
        <v>64</v>
      </c>
      <c r="O117" s="5" t="s">
        <v>16736</v>
      </c>
      <c r="P117" s="6">
        <v>11165.0</v>
      </c>
    </row>
    <row r="118" ht="56.25" customHeight="1">
      <c r="A118" s="20" t="s">
        <v>16737</v>
      </c>
      <c r="B118" s="16" t="str">
        <f>image("https://storage.googleapis.com/acdb/accessories/AccessoryGlassMonocle0.png")</f>
        <v/>
      </c>
      <c r="C118" s="5" t="s">
        <v>54</v>
      </c>
      <c r="D118" s="5" t="s">
        <v>36</v>
      </c>
      <c r="E118" s="6">
        <v>1100.0</v>
      </c>
      <c r="F118" s="6">
        <v>275.0</v>
      </c>
      <c r="G118" s="5" t="s">
        <v>54</v>
      </c>
      <c r="H118" s="5" t="s">
        <v>54</v>
      </c>
      <c r="I118" s="6" t="s">
        <v>40</v>
      </c>
      <c r="J118" s="5" t="s">
        <v>8585</v>
      </c>
      <c r="K118" s="5" t="s">
        <v>8586</v>
      </c>
      <c r="L118" s="6" t="s">
        <v>42</v>
      </c>
      <c r="M118" s="5" t="s">
        <v>1059</v>
      </c>
      <c r="N118" s="5" t="s">
        <v>64</v>
      </c>
      <c r="O118" s="5" t="s">
        <v>16742</v>
      </c>
      <c r="P118" s="6">
        <v>4462.0</v>
      </c>
    </row>
    <row r="119" ht="56.25" customHeight="1">
      <c r="A119" s="20" t="s">
        <v>16737</v>
      </c>
      <c r="B119" s="16" t="str">
        <f>image("https://storage.googleapis.com/acdb/accessories/AccessoryGlassMonocle1.png")</f>
        <v/>
      </c>
      <c r="C119" s="5" t="s">
        <v>151</v>
      </c>
      <c r="D119" s="5" t="s">
        <v>36</v>
      </c>
      <c r="E119" s="6">
        <v>1100.0</v>
      </c>
      <c r="F119" s="6">
        <v>275.0</v>
      </c>
      <c r="G119" s="5" t="s">
        <v>114</v>
      </c>
      <c r="H119" s="5" t="s">
        <v>114</v>
      </c>
      <c r="I119" s="6" t="s">
        <v>40</v>
      </c>
      <c r="J119" s="5" t="s">
        <v>8585</v>
      </c>
      <c r="K119" s="5" t="s">
        <v>8586</v>
      </c>
      <c r="L119" s="6" t="s">
        <v>42</v>
      </c>
      <c r="M119" s="5" t="s">
        <v>1059</v>
      </c>
      <c r="N119" s="5" t="s">
        <v>64</v>
      </c>
      <c r="O119" s="5" t="s">
        <v>16745</v>
      </c>
      <c r="P119" s="6">
        <v>11000.0</v>
      </c>
    </row>
    <row r="120" ht="56.25" customHeight="1">
      <c r="A120" s="20" t="s">
        <v>16737</v>
      </c>
      <c r="B120" s="16" t="str">
        <f>image("https://storage.googleapis.com/acdb/accessories/AccessoryGlassMonocle2.png")</f>
        <v/>
      </c>
      <c r="C120" s="5" t="s">
        <v>146</v>
      </c>
      <c r="D120" s="5" t="s">
        <v>36</v>
      </c>
      <c r="E120" s="6">
        <v>1100.0</v>
      </c>
      <c r="F120" s="6">
        <v>275.0</v>
      </c>
      <c r="G120" s="5" t="s">
        <v>95</v>
      </c>
      <c r="H120" s="5" t="s">
        <v>95</v>
      </c>
      <c r="I120" s="6" t="s">
        <v>40</v>
      </c>
      <c r="J120" s="5" t="s">
        <v>8585</v>
      </c>
      <c r="K120" s="5" t="s">
        <v>8586</v>
      </c>
      <c r="L120" s="6" t="s">
        <v>42</v>
      </c>
      <c r="M120" s="5" t="s">
        <v>1059</v>
      </c>
      <c r="N120" s="5" t="s">
        <v>64</v>
      </c>
      <c r="O120" s="5" t="s">
        <v>16749</v>
      </c>
      <c r="P120" s="6">
        <v>11001.0</v>
      </c>
    </row>
    <row r="121" ht="56.25" customHeight="1">
      <c r="A121" s="20" t="s">
        <v>16750</v>
      </c>
      <c r="B121" s="16" t="str">
        <f>image("https://storage.googleapis.com/acdb/accessories/AccessoryGlassNightvisionBlack.png")</f>
        <v/>
      </c>
      <c r="C121" s="5" t="s">
        <v>54</v>
      </c>
      <c r="D121" s="5" t="s">
        <v>36</v>
      </c>
      <c r="E121" s="6">
        <v>1560.0</v>
      </c>
      <c r="F121" s="6">
        <v>390.0</v>
      </c>
      <c r="G121" s="5" t="s">
        <v>54</v>
      </c>
      <c r="H121" s="5" t="s">
        <v>96</v>
      </c>
      <c r="I121" s="6" t="s">
        <v>40</v>
      </c>
      <c r="J121" s="5" t="s">
        <v>8585</v>
      </c>
      <c r="K121" s="5" t="s">
        <v>8586</v>
      </c>
      <c r="L121" s="6" t="s">
        <v>42</v>
      </c>
      <c r="M121" s="5" t="s">
        <v>8746</v>
      </c>
      <c r="N121" s="5" t="s">
        <v>64</v>
      </c>
      <c r="O121" s="5" t="s">
        <v>16756</v>
      </c>
      <c r="P121" s="6">
        <v>5261.0</v>
      </c>
    </row>
    <row r="122" ht="56.25" customHeight="1">
      <c r="A122" s="20" t="s">
        <v>16758</v>
      </c>
      <c r="B122" s="16" t="str">
        <f>image("https://storage.googleapis.com/acdb/accessories/AccessoryGlassNook0.png")</f>
        <v/>
      </c>
      <c r="C122" s="5" t="s">
        <v>96</v>
      </c>
      <c r="D122" s="5" t="s">
        <v>36</v>
      </c>
      <c r="E122" s="6" t="s">
        <v>37</v>
      </c>
      <c r="F122" s="6">
        <v>2000.0</v>
      </c>
      <c r="G122" s="5" t="s">
        <v>96</v>
      </c>
      <c r="H122" s="5" t="s">
        <v>57</v>
      </c>
      <c r="I122" s="6" t="s">
        <v>40</v>
      </c>
      <c r="J122" s="5" t="s">
        <v>2140</v>
      </c>
      <c r="K122" s="5"/>
      <c r="L122" s="6" t="s">
        <v>42</v>
      </c>
      <c r="M122" s="5" t="s">
        <v>995</v>
      </c>
      <c r="N122" s="5" t="s">
        <v>48</v>
      </c>
      <c r="O122" s="5" t="s">
        <v>16762</v>
      </c>
      <c r="P122" s="6">
        <v>9654.0</v>
      </c>
    </row>
    <row r="123" ht="56.25" customHeight="1">
      <c r="A123" s="20" t="s">
        <v>16766</v>
      </c>
      <c r="B123" s="16" t="str">
        <f>image("https://storage.googleapis.com/acdb/accessories/AccessoryMouthJokeDripCyan.png")</f>
        <v/>
      </c>
      <c r="C123" s="5" t="s">
        <v>83</v>
      </c>
      <c r="D123" s="5" t="s">
        <v>36</v>
      </c>
      <c r="E123" s="6">
        <v>490.0</v>
      </c>
      <c r="F123" s="6">
        <v>122.0</v>
      </c>
      <c r="G123" s="5" t="s">
        <v>83</v>
      </c>
      <c r="H123" s="5" t="s">
        <v>83</v>
      </c>
      <c r="I123" s="6" t="s">
        <v>40</v>
      </c>
      <c r="J123" s="5" t="s">
        <v>8585</v>
      </c>
      <c r="K123" s="5" t="s">
        <v>8632</v>
      </c>
      <c r="L123" s="6" t="s">
        <v>42</v>
      </c>
      <c r="M123" s="5" t="s">
        <v>995</v>
      </c>
      <c r="N123" s="5" t="s">
        <v>64</v>
      </c>
      <c r="O123" s="5" t="s">
        <v>16771</v>
      </c>
      <c r="P123" s="6">
        <v>5833.0</v>
      </c>
    </row>
    <row r="124" ht="56.25" customHeight="1">
      <c r="A124" s="20" t="s">
        <v>16772</v>
      </c>
      <c r="B124" s="16" t="str">
        <f>image("https://storage.googleapis.com/acdb/accessories/AccessoryGlassOctagon0.png")</f>
        <v/>
      </c>
      <c r="C124" s="5" t="s">
        <v>95</v>
      </c>
      <c r="D124" s="5" t="s">
        <v>36</v>
      </c>
      <c r="E124" s="6">
        <v>1100.0</v>
      </c>
      <c r="F124" s="6">
        <v>275.0</v>
      </c>
      <c r="G124" s="5" t="s">
        <v>95</v>
      </c>
      <c r="H124" s="5" t="s">
        <v>95</v>
      </c>
      <c r="I124" s="6" t="s">
        <v>40</v>
      </c>
      <c r="J124" s="5" t="s">
        <v>8585</v>
      </c>
      <c r="K124" s="5" t="s">
        <v>8586</v>
      </c>
      <c r="L124" s="6" t="s">
        <v>42</v>
      </c>
      <c r="M124" s="5" t="s">
        <v>1959</v>
      </c>
      <c r="N124" s="5" t="s">
        <v>64</v>
      </c>
      <c r="O124" s="5" t="s">
        <v>16774</v>
      </c>
      <c r="P124" s="6">
        <v>4239.0</v>
      </c>
    </row>
    <row r="125" ht="56.25" customHeight="1">
      <c r="A125" s="20" t="s">
        <v>16772</v>
      </c>
      <c r="B125" s="16" t="str">
        <f>image("https://storage.googleapis.com/acdb/accessories/AccessoryGlassOctagon1.png")</f>
        <v/>
      </c>
      <c r="C125" s="5" t="s">
        <v>96</v>
      </c>
      <c r="D125" s="5" t="s">
        <v>36</v>
      </c>
      <c r="E125" s="6">
        <v>1100.0</v>
      </c>
      <c r="F125" s="6">
        <v>275.0</v>
      </c>
      <c r="G125" s="5" t="s">
        <v>96</v>
      </c>
      <c r="H125" s="5" t="s">
        <v>96</v>
      </c>
      <c r="I125" s="6" t="s">
        <v>40</v>
      </c>
      <c r="J125" s="5" t="s">
        <v>8585</v>
      </c>
      <c r="K125" s="5" t="s">
        <v>8586</v>
      </c>
      <c r="L125" s="6" t="s">
        <v>42</v>
      </c>
      <c r="M125" s="5" t="s">
        <v>1959</v>
      </c>
      <c r="N125" s="5" t="s">
        <v>64</v>
      </c>
      <c r="O125" s="5" t="s">
        <v>16777</v>
      </c>
      <c r="P125" s="6">
        <v>11072.0</v>
      </c>
    </row>
    <row r="126" ht="56.25" customHeight="1">
      <c r="A126" s="20" t="s">
        <v>16772</v>
      </c>
      <c r="B126" s="16" t="str">
        <f>image("https://storage.googleapis.com/acdb/accessories/AccessoryGlassOctagon2.png")</f>
        <v/>
      </c>
      <c r="C126" s="5" t="s">
        <v>106</v>
      </c>
      <c r="D126" s="5" t="s">
        <v>36</v>
      </c>
      <c r="E126" s="6">
        <v>1100.0</v>
      </c>
      <c r="F126" s="6">
        <v>275.0</v>
      </c>
      <c r="G126" s="5" t="s">
        <v>106</v>
      </c>
      <c r="H126" s="5" t="s">
        <v>106</v>
      </c>
      <c r="I126" s="6" t="s">
        <v>40</v>
      </c>
      <c r="J126" s="5" t="s">
        <v>8585</v>
      </c>
      <c r="K126" s="5" t="s">
        <v>8586</v>
      </c>
      <c r="L126" s="6" t="s">
        <v>42</v>
      </c>
      <c r="M126" s="5" t="s">
        <v>1959</v>
      </c>
      <c r="N126" s="5" t="s">
        <v>64</v>
      </c>
      <c r="O126" s="5" t="s">
        <v>16781</v>
      </c>
      <c r="P126" s="6">
        <v>11073.0</v>
      </c>
    </row>
    <row r="127" ht="56.25" customHeight="1">
      <c r="A127" s="20" t="s">
        <v>16772</v>
      </c>
      <c r="B127" s="16" t="str">
        <f>image("https://storage.googleapis.com/acdb/accessories/AccessoryGlassOctagon3.png")</f>
        <v/>
      </c>
      <c r="C127" s="5" t="s">
        <v>151</v>
      </c>
      <c r="D127" s="5" t="s">
        <v>36</v>
      </c>
      <c r="E127" s="6">
        <v>1100.0</v>
      </c>
      <c r="F127" s="6">
        <v>275.0</v>
      </c>
      <c r="G127" s="5" t="s">
        <v>38</v>
      </c>
      <c r="H127" s="5" t="s">
        <v>38</v>
      </c>
      <c r="I127" s="6" t="s">
        <v>40</v>
      </c>
      <c r="J127" s="5" t="s">
        <v>8585</v>
      </c>
      <c r="K127" s="5" t="s">
        <v>8586</v>
      </c>
      <c r="L127" s="6" t="s">
        <v>42</v>
      </c>
      <c r="M127" s="5" t="s">
        <v>1959</v>
      </c>
      <c r="N127" s="5" t="s">
        <v>64</v>
      </c>
      <c r="O127" s="5" t="s">
        <v>16784</v>
      </c>
      <c r="P127" s="6">
        <v>11074.0</v>
      </c>
    </row>
    <row r="128" ht="56.25" customHeight="1">
      <c r="A128" s="20" t="s">
        <v>16772</v>
      </c>
      <c r="B128" s="16" t="str">
        <f>image("https://storage.googleapis.com/acdb/accessories/AccessoryGlassOctagon4.png")</f>
        <v/>
      </c>
      <c r="C128" s="5" t="s">
        <v>54</v>
      </c>
      <c r="D128" s="5" t="s">
        <v>36</v>
      </c>
      <c r="E128" s="6">
        <v>1100.0</v>
      </c>
      <c r="F128" s="6">
        <v>275.0</v>
      </c>
      <c r="G128" s="5" t="s">
        <v>54</v>
      </c>
      <c r="H128" s="5" t="s">
        <v>54</v>
      </c>
      <c r="I128" s="6" t="s">
        <v>40</v>
      </c>
      <c r="J128" s="5" t="s">
        <v>8585</v>
      </c>
      <c r="K128" s="5" t="s">
        <v>8586</v>
      </c>
      <c r="L128" s="6" t="s">
        <v>42</v>
      </c>
      <c r="M128" s="5" t="s">
        <v>1959</v>
      </c>
      <c r="N128" s="5" t="s">
        <v>64</v>
      </c>
      <c r="O128" s="5" t="s">
        <v>16789</v>
      </c>
      <c r="P128" s="6">
        <v>11075.0</v>
      </c>
    </row>
    <row r="129" ht="56.25" customHeight="1">
      <c r="A129" s="20" t="s">
        <v>16790</v>
      </c>
      <c r="B129" s="16" t="str">
        <f>image("https://storage.googleapis.com/acdb/accessories/AccessoryGlassOval0.png")</f>
        <v/>
      </c>
      <c r="C129" s="5" t="s">
        <v>96</v>
      </c>
      <c r="D129" s="5" t="s">
        <v>36</v>
      </c>
      <c r="E129" s="6">
        <v>880.0</v>
      </c>
      <c r="F129" s="6">
        <v>220.0</v>
      </c>
      <c r="G129" s="5" t="s">
        <v>96</v>
      </c>
      <c r="H129" s="5" t="s">
        <v>96</v>
      </c>
      <c r="I129" s="6" t="s">
        <v>40</v>
      </c>
      <c r="J129" s="5" t="s">
        <v>8585</v>
      </c>
      <c r="K129" s="5" t="s">
        <v>8632</v>
      </c>
      <c r="L129" s="6" t="s">
        <v>42</v>
      </c>
      <c r="M129" s="5" t="s">
        <v>995</v>
      </c>
      <c r="N129" s="5" t="s">
        <v>64</v>
      </c>
      <c r="O129" s="5" t="s">
        <v>16795</v>
      </c>
      <c r="P129" s="6">
        <v>4609.0</v>
      </c>
    </row>
    <row r="130" ht="56.25" customHeight="1">
      <c r="A130" s="20" t="s">
        <v>16790</v>
      </c>
      <c r="B130" s="16" t="str">
        <f>image("https://storage.googleapis.com/acdb/accessories/AccessoryGlassOval1.png")</f>
        <v/>
      </c>
      <c r="C130" s="5" t="s">
        <v>142</v>
      </c>
      <c r="D130" s="5" t="s">
        <v>36</v>
      </c>
      <c r="E130" s="6">
        <v>880.0</v>
      </c>
      <c r="F130" s="6">
        <v>220.0</v>
      </c>
      <c r="G130" s="5" t="s">
        <v>142</v>
      </c>
      <c r="H130" s="5" t="s">
        <v>142</v>
      </c>
      <c r="I130" s="6" t="s">
        <v>40</v>
      </c>
      <c r="J130" s="5" t="s">
        <v>8585</v>
      </c>
      <c r="K130" s="5" t="s">
        <v>8632</v>
      </c>
      <c r="L130" s="6" t="s">
        <v>42</v>
      </c>
      <c r="M130" s="5" t="s">
        <v>995</v>
      </c>
      <c r="N130" s="5" t="s">
        <v>64</v>
      </c>
      <c r="O130" s="5" t="s">
        <v>16800</v>
      </c>
      <c r="P130" s="6">
        <v>11087.0</v>
      </c>
    </row>
    <row r="131" ht="56.25" customHeight="1">
      <c r="A131" s="20" t="s">
        <v>16790</v>
      </c>
      <c r="B131" s="16" t="str">
        <f>image("https://storage.googleapis.com/acdb/accessories/AccessoryGlassOval2.png")</f>
        <v/>
      </c>
      <c r="C131" s="5" t="s">
        <v>68</v>
      </c>
      <c r="D131" s="5" t="s">
        <v>36</v>
      </c>
      <c r="E131" s="6">
        <v>880.0</v>
      </c>
      <c r="F131" s="6">
        <v>220.0</v>
      </c>
      <c r="G131" s="5" t="s">
        <v>83</v>
      </c>
      <c r="H131" s="5" t="s">
        <v>83</v>
      </c>
      <c r="I131" s="6" t="s">
        <v>40</v>
      </c>
      <c r="J131" s="5" t="s">
        <v>8585</v>
      </c>
      <c r="K131" s="5" t="s">
        <v>8632</v>
      </c>
      <c r="L131" s="6" t="s">
        <v>42</v>
      </c>
      <c r="M131" s="5" t="s">
        <v>995</v>
      </c>
      <c r="N131" s="5" t="s">
        <v>64</v>
      </c>
      <c r="O131" s="5" t="s">
        <v>16803</v>
      </c>
      <c r="P131" s="6">
        <v>11088.0</v>
      </c>
    </row>
    <row r="132" ht="56.25" customHeight="1">
      <c r="A132" s="20" t="s">
        <v>16790</v>
      </c>
      <c r="B132" s="16" t="str">
        <f>image("https://storage.googleapis.com/acdb/accessories/AccessoryGlassOval3.png")</f>
        <v/>
      </c>
      <c r="C132" s="5" t="s">
        <v>106</v>
      </c>
      <c r="D132" s="5" t="s">
        <v>36</v>
      </c>
      <c r="E132" s="6">
        <v>880.0</v>
      </c>
      <c r="F132" s="6">
        <v>220.0</v>
      </c>
      <c r="G132" s="5" t="s">
        <v>106</v>
      </c>
      <c r="H132" s="5" t="s">
        <v>106</v>
      </c>
      <c r="I132" s="6" t="s">
        <v>40</v>
      </c>
      <c r="J132" s="5" t="s">
        <v>8585</v>
      </c>
      <c r="K132" s="5" t="s">
        <v>8632</v>
      </c>
      <c r="L132" s="6" t="s">
        <v>42</v>
      </c>
      <c r="M132" s="5" t="s">
        <v>995</v>
      </c>
      <c r="N132" s="5" t="s">
        <v>64</v>
      </c>
      <c r="O132" s="5" t="s">
        <v>16806</v>
      </c>
      <c r="P132" s="6">
        <v>11089.0</v>
      </c>
    </row>
    <row r="133" ht="56.25" customHeight="1">
      <c r="A133" s="20" t="s">
        <v>16790</v>
      </c>
      <c r="B133" s="16" t="str">
        <f>image("https://storage.googleapis.com/acdb/accessories/AccessoryGlassOval4.png")</f>
        <v/>
      </c>
      <c r="C133" s="5" t="s">
        <v>1196</v>
      </c>
      <c r="D133" s="5" t="s">
        <v>36</v>
      </c>
      <c r="E133" s="6">
        <v>880.0</v>
      </c>
      <c r="F133" s="6">
        <v>220.0</v>
      </c>
      <c r="G133" s="5" t="s">
        <v>52</v>
      </c>
      <c r="H133" s="5" t="s">
        <v>52</v>
      </c>
      <c r="I133" s="6" t="s">
        <v>40</v>
      </c>
      <c r="J133" s="5" t="s">
        <v>8585</v>
      </c>
      <c r="K133" s="5" t="s">
        <v>8632</v>
      </c>
      <c r="L133" s="6" t="s">
        <v>42</v>
      </c>
      <c r="M133" s="5" t="s">
        <v>995</v>
      </c>
      <c r="N133" s="5" t="s">
        <v>64</v>
      </c>
      <c r="O133" s="5" t="s">
        <v>16812</v>
      </c>
      <c r="P133" s="6">
        <v>11090.0</v>
      </c>
    </row>
    <row r="134" ht="56.25" customHeight="1">
      <c r="A134" s="20" t="s">
        <v>16790</v>
      </c>
      <c r="B134" s="16" t="str">
        <f>image("https://storage.googleapis.com/acdb/accessories/AccessoryGlassOval5.png")</f>
        <v/>
      </c>
      <c r="C134" s="5" t="s">
        <v>8709</v>
      </c>
      <c r="D134" s="5" t="s">
        <v>36</v>
      </c>
      <c r="E134" s="6">
        <v>880.0</v>
      </c>
      <c r="F134" s="6">
        <v>220.0</v>
      </c>
      <c r="G134" s="5" t="s">
        <v>114</v>
      </c>
      <c r="H134" s="5" t="s">
        <v>114</v>
      </c>
      <c r="I134" s="6" t="s">
        <v>40</v>
      </c>
      <c r="J134" s="5" t="s">
        <v>8585</v>
      </c>
      <c r="K134" s="5" t="s">
        <v>8632</v>
      </c>
      <c r="L134" s="6" t="s">
        <v>42</v>
      </c>
      <c r="M134" s="5" t="s">
        <v>995</v>
      </c>
      <c r="N134" s="5" t="s">
        <v>64</v>
      </c>
      <c r="O134" s="5" t="s">
        <v>16814</v>
      </c>
      <c r="P134" s="6">
        <v>11091.0</v>
      </c>
    </row>
    <row r="135" ht="56.25" customHeight="1">
      <c r="A135" s="20" t="s">
        <v>16790</v>
      </c>
      <c r="B135" s="16" t="str">
        <f>image("https://storage.googleapis.com/acdb/accessories/AccessoryGlassOval6.png")</f>
        <v/>
      </c>
      <c r="C135" s="5" t="s">
        <v>54</v>
      </c>
      <c r="D135" s="5" t="s">
        <v>36</v>
      </c>
      <c r="E135" s="6">
        <v>880.0</v>
      </c>
      <c r="F135" s="6">
        <v>220.0</v>
      </c>
      <c r="G135" s="5" t="s">
        <v>54</v>
      </c>
      <c r="H135" s="5" t="s">
        <v>54</v>
      </c>
      <c r="I135" s="6" t="s">
        <v>40</v>
      </c>
      <c r="J135" s="5" t="s">
        <v>8585</v>
      </c>
      <c r="K135" s="5" t="s">
        <v>8632</v>
      </c>
      <c r="L135" s="6" t="s">
        <v>42</v>
      </c>
      <c r="M135" s="5" t="s">
        <v>995</v>
      </c>
      <c r="N135" s="5" t="s">
        <v>64</v>
      </c>
      <c r="O135" s="5" t="s">
        <v>16817</v>
      </c>
      <c r="P135" s="6">
        <v>11092.0</v>
      </c>
    </row>
    <row r="136" ht="56.25" customHeight="1">
      <c r="A136" s="20" t="s">
        <v>16819</v>
      </c>
      <c r="B136" s="16" t="str">
        <f>image("https://storage.googleapis.com/acdb/accessories/AccessoryMouthPacifier0.png")</f>
        <v/>
      </c>
      <c r="C136" s="5" t="s">
        <v>14432</v>
      </c>
      <c r="D136" s="5" t="s">
        <v>36</v>
      </c>
      <c r="E136" s="6">
        <v>560.0</v>
      </c>
      <c r="F136" s="6">
        <v>140.0</v>
      </c>
      <c r="G136" s="5" t="s">
        <v>69</v>
      </c>
      <c r="H136" s="5" t="s">
        <v>69</v>
      </c>
      <c r="I136" s="6" t="s">
        <v>40</v>
      </c>
      <c r="J136" s="5" t="s">
        <v>8585</v>
      </c>
      <c r="K136" s="5" t="s">
        <v>8632</v>
      </c>
      <c r="L136" s="6" t="s">
        <v>42</v>
      </c>
      <c r="M136" s="5" t="s">
        <v>1959</v>
      </c>
      <c r="N136" s="5" t="s">
        <v>64</v>
      </c>
      <c r="O136" s="5" t="s">
        <v>16821</v>
      </c>
      <c r="P136" s="6">
        <v>2298.0</v>
      </c>
    </row>
    <row r="137" ht="56.25" customHeight="1">
      <c r="A137" s="20" t="s">
        <v>16819</v>
      </c>
      <c r="B137" s="16" t="str">
        <f>image("https://storage.googleapis.com/acdb/accessories/AccessoryMouthPacifier1.png")</f>
        <v/>
      </c>
      <c r="C137" s="5" t="s">
        <v>14440</v>
      </c>
      <c r="D137" s="5" t="s">
        <v>36</v>
      </c>
      <c r="E137" s="6">
        <v>560.0</v>
      </c>
      <c r="F137" s="6">
        <v>140.0</v>
      </c>
      <c r="G137" s="5" t="s">
        <v>83</v>
      </c>
      <c r="H137" s="5" t="s">
        <v>83</v>
      </c>
      <c r="I137" s="6" t="s">
        <v>40</v>
      </c>
      <c r="J137" s="5" t="s">
        <v>8585</v>
      </c>
      <c r="K137" s="5" t="s">
        <v>8632</v>
      </c>
      <c r="L137" s="6" t="s">
        <v>42</v>
      </c>
      <c r="M137" s="5" t="s">
        <v>1959</v>
      </c>
      <c r="N137" s="5" t="s">
        <v>64</v>
      </c>
      <c r="O137" s="5" t="s">
        <v>16824</v>
      </c>
      <c r="P137" s="6">
        <v>11013.0</v>
      </c>
    </row>
    <row r="138" ht="56.25" customHeight="1">
      <c r="A138" s="20" t="s">
        <v>16819</v>
      </c>
      <c r="B138" s="16" t="str">
        <f>image("https://storage.googleapis.com/acdb/accessories/AccessoryMouthPacifier2.png")</f>
        <v/>
      </c>
      <c r="C138" s="5" t="s">
        <v>14436</v>
      </c>
      <c r="D138" s="5" t="s">
        <v>36</v>
      </c>
      <c r="E138" s="6">
        <v>560.0</v>
      </c>
      <c r="F138" s="6">
        <v>140.0</v>
      </c>
      <c r="G138" s="5" t="s">
        <v>114</v>
      </c>
      <c r="H138" s="5" t="s">
        <v>114</v>
      </c>
      <c r="I138" s="6" t="s">
        <v>40</v>
      </c>
      <c r="J138" s="5" t="s">
        <v>8585</v>
      </c>
      <c r="K138" s="5" t="s">
        <v>8632</v>
      </c>
      <c r="L138" s="6" t="s">
        <v>42</v>
      </c>
      <c r="M138" s="5" t="s">
        <v>1959</v>
      </c>
      <c r="N138" s="5" t="s">
        <v>64</v>
      </c>
      <c r="O138" s="5" t="s">
        <v>16827</v>
      </c>
      <c r="P138" s="6">
        <v>11014.0</v>
      </c>
    </row>
    <row r="139" ht="56.25" customHeight="1">
      <c r="A139" s="20" t="s">
        <v>16819</v>
      </c>
      <c r="B139" s="16" t="str">
        <f>image("https://storage.googleapis.com/acdb/accessories/AccessoryMouthPacifier3.png")</f>
        <v/>
      </c>
      <c r="C139" s="5" t="s">
        <v>14444</v>
      </c>
      <c r="D139" s="5" t="s">
        <v>36</v>
      </c>
      <c r="E139" s="6">
        <v>560.0</v>
      </c>
      <c r="F139" s="6">
        <v>140.0</v>
      </c>
      <c r="G139" s="5" t="s">
        <v>96</v>
      </c>
      <c r="H139" s="5" t="s">
        <v>96</v>
      </c>
      <c r="I139" s="6" t="s">
        <v>40</v>
      </c>
      <c r="J139" s="5" t="s">
        <v>8585</v>
      </c>
      <c r="K139" s="5" t="s">
        <v>8632</v>
      </c>
      <c r="L139" s="6" t="s">
        <v>42</v>
      </c>
      <c r="M139" s="5" t="s">
        <v>1959</v>
      </c>
      <c r="N139" s="5" t="s">
        <v>64</v>
      </c>
      <c r="O139" s="5" t="s">
        <v>16831</v>
      </c>
      <c r="P139" s="6">
        <v>11015.0</v>
      </c>
    </row>
    <row r="140" ht="56.25" customHeight="1">
      <c r="A140" s="20" t="s">
        <v>16819</v>
      </c>
      <c r="B140" s="16" t="str">
        <f>image("https://storage.googleapis.com/acdb/accessories/AccessoryMouthPacifier4.png")</f>
        <v/>
      </c>
      <c r="C140" s="5" t="s">
        <v>14447</v>
      </c>
      <c r="D140" s="5" t="s">
        <v>36</v>
      </c>
      <c r="E140" s="6">
        <v>560.0</v>
      </c>
      <c r="F140" s="6">
        <v>140.0</v>
      </c>
      <c r="G140" s="5" t="s">
        <v>52</v>
      </c>
      <c r="H140" s="5" t="s">
        <v>52</v>
      </c>
      <c r="I140" s="6" t="s">
        <v>40</v>
      </c>
      <c r="J140" s="5" t="s">
        <v>8585</v>
      </c>
      <c r="K140" s="5" t="s">
        <v>8632</v>
      </c>
      <c r="L140" s="6" t="s">
        <v>42</v>
      </c>
      <c r="M140" s="5" t="s">
        <v>1959</v>
      </c>
      <c r="N140" s="5" t="s">
        <v>64</v>
      </c>
      <c r="O140" s="5" t="s">
        <v>16836</v>
      </c>
      <c r="P140" s="6">
        <v>11016.0</v>
      </c>
    </row>
    <row r="141" ht="56.25" customHeight="1">
      <c r="A141" s="20" t="s">
        <v>16819</v>
      </c>
      <c r="B141" s="16" t="str">
        <f>image("https://storage.googleapis.com/acdb/accessories/AccessoryMouthPacifier5.png")</f>
        <v/>
      </c>
      <c r="C141" s="5" t="s">
        <v>14449</v>
      </c>
      <c r="D141" s="5" t="s">
        <v>36</v>
      </c>
      <c r="E141" s="6">
        <v>560.0</v>
      </c>
      <c r="F141" s="6">
        <v>140.0</v>
      </c>
      <c r="G141" s="5" t="s">
        <v>95</v>
      </c>
      <c r="H141" s="5" t="s">
        <v>95</v>
      </c>
      <c r="I141" s="6" t="s">
        <v>40</v>
      </c>
      <c r="J141" s="5" t="s">
        <v>8585</v>
      </c>
      <c r="K141" s="5" t="s">
        <v>8632</v>
      </c>
      <c r="L141" s="6" t="s">
        <v>42</v>
      </c>
      <c r="M141" s="5" t="s">
        <v>1959</v>
      </c>
      <c r="N141" s="5" t="s">
        <v>64</v>
      </c>
      <c r="O141" s="5" t="s">
        <v>16841</v>
      </c>
      <c r="P141" s="6">
        <v>11017.0</v>
      </c>
    </row>
    <row r="142" ht="56.25" customHeight="1">
      <c r="A142" s="20" t="s">
        <v>16819</v>
      </c>
      <c r="B142" s="16" t="str">
        <f>image("https://storage.googleapis.com/acdb/accessories/AccessoryMouthPacifier6.png")</f>
        <v/>
      </c>
      <c r="C142" s="5" t="s">
        <v>14454</v>
      </c>
      <c r="D142" s="5" t="s">
        <v>36</v>
      </c>
      <c r="E142" s="6">
        <v>560.0</v>
      </c>
      <c r="F142" s="6">
        <v>140.0</v>
      </c>
      <c r="G142" s="5" t="s">
        <v>106</v>
      </c>
      <c r="H142" s="5" t="s">
        <v>106</v>
      </c>
      <c r="I142" s="6" t="s">
        <v>40</v>
      </c>
      <c r="J142" s="5" t="s">
        <v>8585</v>
      </c>
      <c r="K142" s="5" t="s">
        <v>8632</v>
      </c>
      <c r="L142" s="6" t="s">
        <v>42</v>
      </c>
      <c r="M142" s="5" t="s">
        <v>1959</v>
      </c>
      <c r="N142" s="5" t="s">
        <v>64</v>
      </c>
      <c r="O142" s="5" t="s">
        <v>16844</v>
      </c>
      <c r="P142" s="6">
        <v>11018.0</v>
      </c>
    </row>
    <row r="143" ht="56.25" customHeight="1">
      <c r="A143" s="20" t="s">
        <v>16819</v>
      </c>
      <c r="B143" s="16" t="str">
        <f>image("https://storage.googleapis.com/acdb/accessories/AccessoryMouthPacifier7.png")</f>
        <v/>
      </c>
      <c r="C143" s="5" t="s">
        <v>14457</v>
      </c>
      <c r="D143" s="5" t="s">
        <v>36</v>
      </c>
      <c r="E143" s="6">
        <v>560.0</v>
      </c>
      <c r="F143" s="6">
        <v>140.0</v>
      </c>
      <c r="G143" s="5" t="s">
        <v>142</v>
      </c>
      <c r="H143" s="5" t="s">
        <v>142</v>
      </c>
      <c r="I143" s="6" t="s">
        <v>40</v>
      </c>
      <c r="J143" s="5" t="s">
        <v>8585</v>
      </c>
      <c r="K143" s="5" t="s">
        <v>8632</v>
      </c>
      <c r="L143" s="6" t="s">
        <v>42</v>
      </c>
      <c r="M143" s="5" t="s">
        <v>1959</v>
      </c>
      <c r="N143" s="5" t="s">
        <v>64</v>
      </c>
      <c r="O143" s="5" t="s">
        <v>16847</v>
      </c>
      <c r="P143" s="6">
        <v>11019.0</v>
      </c>
    </row>
    <row r="144" ht="56.25" customHeight="1">
      <c r="A144" s="20" t="s">
        <v>16848</v>
      </c>
      <c r="B144" s="16" t="str">
        <f>image("https://storage.googleapis.com/acdb/accessories/AccessoryMouthPigPink.png")</f>
        <v/>
      </c>
      <c r="C144" s="5" t="s">
        <v>69</v>
      </c>
      <c r="D144" s="5" t="s">
        <v>36</v>
      </c>
      <c r="E144" s="6">
        <v>560.0</v>
      </c>
      <c r="F144" s="6">
        <v>140.0</v>
      </c>
      <c r="G144" s="5" t="s">
        <v>69</v>
      </c>
      <c r="H144" s="5" t="s">
        <v>69</v>
      </c>
      <c r="I144" s="6" t="s">
        <v>40</v>
      </c>
      <c r="J144" s="5" t="s">
        <v>8585</v>
      </c>
      <c r="K144" s="5" t="s">
        <v>8586</v>
      </c>
      <c r="L144" s="6" t="s">
        <v>42</v>
      </c>
      <c r="M144" s="5" t="s">
        <v>1959</v>
      </c>
      <c r="N144" s="5" t="s">
        <v>64</v>
      </c>
      <c r="O144" s="5" t="s">
        <v>16852</v>
      </c>
      <c r="P144" s="6">
        <v>4647.0</v>
      </c>
    </row>
    <row r="145" ht="56.25" customHeight="1">
      <c r="A145" s="20" t="s">
        <v>16853</v>
      </c>
      <c r="B145" s="16" t="str">
        <f>image("https://storage.googleapis.com/acdb/accessories/AccessoryGlassPilot0.png")</f>
        <v/>
      </c>
      <c r="C145" s="5" t="s">
        <v>54</v>
      </c>
      <c r="D145" s="5" t="s">
        <v>36</v>
      </c>
      <c r="E145" s="6">
        <v>1300.0</v>
      </c>
      <c r="F145" s="6">
        <v>325.0</v>
      </c>
      <c r="G145" s="5" t="s">
        <v>54</v>
      </c>
      <c r="H145" s="5" t="s">
        <v>39</v>
      </c>
      <c r="I145" s="6" t="s">
        <v>40</v>
      </c>
      <c r="J145" s="5" t="s">
        <v>8585</v>
      </c>
      <c r="K145" s="5" t="s">
        <v>8632</v>
      </c>
      <c r="L145" s="6" t="s">
        <v>42</v>
      </c>
      <c r="M145" s="5" t="s">
        <v>1952</v>
      </c>
      <c r="N145" s="5" t="s">
        <v>64</v>
      </c>
      <c r="O145" s="5" t="s">
        <v>16857</v>
      </c>
      <c r="P145" s="6">
        <v>4459.0</v>
      </c>
    </row>
    <row r="146" ht="56.25" customHeight="1">
      <c r="A146" s="20" t="s">
        <v>16853</v>
      </c>
      <c r="B146" s="16" t="str">
        <f>image("https://storage.googleapis.com/acdb/accessories/AccessoryGlassPilot1.png")</f>
        <v/>
      </c>
      <c r="C146" s="5" t="s">
        <v>151</v>
      </c>
      <c r="D146" s="5" t="s">
        <v>36</v>
      </c>
      <c r="E146" s="6">
        <v>1300.0</v>
      </c>
      <c r="F146" s="6">
        <v>325.0</v>
      </c>
      <c r="G146" s="5" t="s">
        <v>114</v>
      </c>
      <c r="H146" s="5" t="s">
        <v>54</v>
      </c>
      <c r="I146" s="6" t="s">
        <v>40</v>
      </c>
      <c r="J146" s="5" t="s">
        <v>8585</v>
      </c>
      <c r="K146" s="5" t="s">
        <v>8632</v>
      </c>
      <c r="L146" s="6" t="s">
        <v>42</v>
      </c>
      <c r="M146" s="5" t="s">
        <v>1952</v>
      </c>
      <c r="N146" s="5" t="s">
        <v>64</v>
      </c>
      <c r="O146" s="5" t="s">
        <v>16861</v>
      </c>
      <c r="P146" s="6">
        <v>11214.0</v>
      </c>
    </row>
    <row r="147" ht="56.25" customHeight="1">
      <c r="A147" s="20" t="s">
        <v>16862</v>
      </c>
      <c r="B147" s="16" t="str">
        <f>image("https://storage.googleapis.com/acdb/accessories/AccessoryGlassDot0.png")</f>
        <v/>
      </c>
      <c r="C147" s="5" t="s">
        <v>52</v>
      </c>
      <c r="D147" s="5" t="s">
        <v>36</v>
      </c>
      <c r="E147" s="6">
        <v>1320.0</v>
      </c>
      <c r="F147" s="6">
        <v>330.0</v>
      </c>
      <c r="G147" s="5" t="s">
        <v>52</v>
      </c>
      <c r="H147" s="5" t="s">
        <v>54</v>
      </c>
      <c r="I147" s="6" t="s">
        <v>40</v>
      </c>
      <c r="J147" s="5" t="s">
        <v>8585</v>
      </c>
      <c r="K147" s="5" t="s">
        <v>8586</v>
      </c>
      <c r="L147" s="6" t="s">
        <v>42</v>
      </c>
      <c r="M147" s="5" t="s">
        <v>1952</v>
      </c>
      <c r="N147" s="5" t="s">
        <v>64</v>
      </c>
      <c r="O147" s="5" t="s">
        <v>16864</v>
      </c>
      <c r="P147" s="6">
        <v>4646.0</v>
      </c>
    </row>
    <row r="148" ht="56.25" customHeight="1">
      <c r="A148" s="20" t="s">
        <v>16862</v>
      </c>
      <c r="B148" s="16" t="str">
        <f>image("https://storage.googleapis.com/acdb/accessories/AccessoryGlassDot1.png")</f>
        <v/>
      </c>
      <c r="C148" s="5" t="s">
        <v>96</v>
      </c>
      <c r="D148" s="5" t="s">
        <v>36</v>
      </c>
      <c r="E148" s="6">
        <v>1320.0</v>
      </c>
      <c r="F148" s="6">
        <v>330.0</v>
      </c>
      <c r="G148" s="5" t="s">
        <v>96</v>
      </c>
      <c r="H148" s="5" t="s">
        <v>54</v>
      </c>
      <c r="I148" s="6" t="s">
        <v>40</v>
      </c>
      <c r="J148" s="5" t="s">
        <v>8585</v>
      </c>
      <c r="K148" s="5" t="s">
        <v>8586</v>
      </c>
      <c r="L148" s="6" t="s">
        <v>42</v>
      </c>
      <c r="M148" s="5" t="s">
        <v>1952</v>
      </c>
      <c r="N148" s="5" t="s">
        <v>64</v>
      </c>
      <c r="O148" s="5" t="s">
        <v>16866</v>
      </c>
      <c r="P148" s="6">
        <v>11223.0</v>
      </c>
    </row>
    <row r="149" ht="56.25" customHeight="1">
      <c r="A149" s="20" t="s">
        <v>16862</v>
      </c>
      <c r="B149" s="16" t="str">
        <f>image("https://storage.googleapis.com/acdb/accessories/AccessoryGlassDot2.png")</f>
        <v/>
      </c>
      <c r="C149" s="5" t="s">
        <v>68</v>
      </c>
      <c r="D149" s="5" t="s">
        <v>36</v>
      </c>
      <c r="E149" s="6">
        <v>1320.0</v>
      </c>
      <c r="F149" s="6">
        <v>330.0</v>
      </c>
      <c r="G149" s="5" t="s">
        <v>68</v>
      </c>
      <c r="H149" s="5" t="s">
        <v>54</v>
      </c>
      <c r="I149" s="6" t="s">
        <v>40</v>
      </c>
      <c r="J149" s="5" t="s">
        <v>8585</v>
      </c>
      <c r="K149" s="5" t="s">
        <v>8586</v>
      </c>
      <c r="L149" s="6" t="s">
        <v>42</v>
      </c>
      <c r="M149" s="5" t="s">
        <v>1952</v>
      </c>
      <c r="N149" s="5" t="s">
        <v>64</v>
      </c>
      <c r="O149" s="5" t="s">
        <v>16870</v>
      </c>
      <c r="P149" s="6">
        <v>11224.0</v>
      </c>
    </row>
    <row r="150" ht="56.25" customHeight="1">
      <c r="A150" s="20" t="s">
        <v>16862</v>
      </c>
      <c r="B150" s="16" t="str">
        <f>image("https://storage.googleapis.com/acdb/accessories/AccessoryGlassDot3.png")</f>
        <v/>
      </c>
      <c r="C150" s="5" t="s">
        <v>54</v>
      </c>
      <c r="D150" s="5" t="s">
        <v>36</v>
      </c>
      <c r="E150" s="6">
        <v>1320.0</v>
      </c>
      <c r="F150" s="6">
        <v>330.0</v>
      </c>
      <c r="G150" s="5" t="s">
        <v>54</v>
      </c>
      <c r="H150" s="5" t="s">
        <v>54</v>
      </c>
      <c r="I150" s="6" t="s">
        <v>40</v>
      </c>
      <c r="J150" s="5" t="s">
        <v>8585</v>
      </c>
      <c r="K150" s="5" t="s">
        <v>8586</v>
      </c>
      <c r="L150" s="6" t="s">
        <v>42</v>
      </c>
      <c r="M150" s="5" t="s">
        <v>1952</v>
      </c>
      <c r="N150" s="5" t="s">
        <v>64</v>
      </c>
      <c r="O150" s="5" t="s">
        <v>16872</v>
      </c>
      <c r="P150" s="6">
        <v>11225.0</v>
      </c>
    </row>
    <row r="151" ht="56.25" customHeight="1">
      <c r="A151" s="20" t="s">
        <v>16873</v>
      </c>
      <c r="B151" s="16" t="str">
        <f>image("https://storage.googleapis.com/acdb/accessories/AccessoryMouthLeatherBlack.png")</f>
        <v/>
      </c>
      <c r="C151" s="5" t="s">
        <v>54</v>
      </c>
      <c r="D151" s="5" t="s">
        <v>36</v>
      </c>
      <c r="E151" s="6">
        <v>770.0</v>
      </c>
      <c r="F151" s="6">
        <v>192.0</v>
      </c>
      <c r="G151" s="5" t="s">
        <v>54</v>
      </c>
      <c r="H151" s="5" t="s">
        <v>95</v>
      </c>
      <c r="I151" s="6" t="s">
        <v>40</v>
      </c>
      <c r="J151" s="5" t="s">
        <v>8585</v>
      </c>
      <c r="K151" s="5" t="s">
        <v>8586</v>
      </c>
      <c r="L151" s="6" t="s">
        <v>42</v>
      </c>
      <c r="M151" s="5" t="s">
        <v>1952</v>
      </c>
      <c r="N151" s="5" t="s">
        <v>64</v>
      </c>
      <c r="O151" s="5" t="s">
        <v>16876</v>
      </c>
      <c r="P151" s="6">
        <v>6040.0</v>
      </c>
    </row>
    <row r="152" ht="56.25" customHeight="1">
      <c r="A152" s="20" t="s">
        <v>16877</v>
      </c>
      <c r="B152" s="16" t="str">
        <f>image("https://storage.googleapis.com/acdb/accessories/AccessoryGlassEyepatchWhite.png")</f>
        <v/>
      </c>
      <c r="C152" s="5" t="s">
        <v>57</v>
      </c>
      <c r="D152" s="5" t="s">
        <v>36</v>
      </c>
      <c r="E152" s="6">
        <v>490.0</v>
      </c>
      <c r="F152" s="6">
        <v>122.0</v>
      </c>
      <c r="G152" s="5" t="s">
        <v>57</v>
      </c>
      <c r="H152" s="5" t="s">
        <v>57</v>
      </c>
      <c r="I152" s="6" t="s">
        <v>40</v>
      </c>
      <c r="J152" s="5" t="s">
        <v>8585</v>
      </c>
      <c r="K152" s="5" t="s">
        <v>8632</v>
      </c>
      <c r="L152" s="6" t="s">
        <v>42</v>
      </c>
      <c r="M152" s="5" t="s">
        <v>995</v>
      </c>
      <c r="N152" s="5" t="s">
        <v>64</v>
      </c>
      <c r="O152" s="5" t="s">
        <v>16885</v>
      </c>
      <c r="P152" s="6">
        <v>4452.0</v>
      </c>
    </row>
    <row r="153" ht="56.25" customHeight="1">
      <c r="A153" s="20" t="s">
        <v>16886</v>
      </c>
      <c r="B153" s="16" t="str">
        <f>image("https://storage.googleapis.com/acdb/accessories/AccessoryMouthCrowBlack.png")</f>
        <v/>
      </c>
      <c r="C153" s="5" t="s">
        <v>54</v>
      </c>
      <c r="D153" s="5" t="s">
        <v>36</v>
      </c>
      <c r="E153" s="6">
        <v>560.0</v>
      </c>
      <c r="F153" s="6">
        <v>140.0</v>
      </c>
      <c r="G153" s="5" t="s">
        <v>54</v>
      </c>
      <c r="H153" s="5" t="s">
        <v>54</v>
      </c>
      <c r="I153" s="6" t="s">
        <v>40</v>
      </c>
      <c r="J153" s="5" t="s">
        <v>8585</v>
      </c>
      <c r="K153" s="5" t="s">
        <v>8586</v>
      </c>
      <c r="L153" s="6" t="s">
        <v>42</v>
      </c>
      <c r="M153" s="5" t="s">
        <v>1952</v>
      </c>
      <c r="N153" s="5" t="s">
        <v>64</v>
      </c>
      <c r="O153" s="5" t="s">
        <v>16890</v>
      </c>
      <c r="P153" s="6">
        <v>4671.0</v>
      </c>
    </row>
    <row r="154" ht="56.25" customHeight="1">
      <c r="A154" s="20" t="s">
        <v>16891</v>
      </c>
      <c r="B154" s="16" t="str">
        <f>image("https://storage.googleapis.com/acdb/accessories/AccessoryGlassMirrorGray.png")</f>
        <v/>
      </c>
      <c r="C154" s="5" t="s">
        <v>95</v>
      </c>
      <c r="D154" s="5" t="s">
        <v>36</v>
      </c>
      <c r="E154" s="6">
        <v>560.0</v>
      </c>
      <c r="F154" s="6">
        <v>140.0</v>
      </c>
      <c r="G154" s="5" t="s">
        <v>95</v>
      </c>
      <c r="H154" s="5" t="s">
        <v>54</v>
      </c>
      <c r="I154" s="6" t="s">
        <v>40</v>
      </c>
      <c r="J154" s="5" t="s">
        <v>8585</v>
      </c>
      <c r="K154" s="5" t="s">
        <v>8586</v>
      </c>
      <c r="L154" s="6" t="s">
        <v>42</v>
      </c>
      <c r="M154" s="5" t="s">
        <v>1952</v>
      </c>
      <c r="N154" s="5" t="s">
        <v>64</v>
      </c>
      <c r="O154" s="5" t="s">
        <v>16893</v>
      </c>
      <c r="P154" s="6">
        <v>6039.0</v>
      </c>
    </row>
    <row r="155" ht="56.25" customHeight="1">
      <c r="A155" s="20" t="s">
        <v>16894</v>
      </c>
      <c r="B155" s="16" t="str">
        <f>image("https://storage.googleapis.com/acdb/accessories/AccessoryGlassRetro0.png")</f>
        <v/>
      </c>
      <c r="C155" s="5" t="s">
        <v>114</v>
      </c>
      <c r="D155" s="5" t="s">
        <v>36</v>
      </c>
      <c r="E155" s="6">
        <v>1560.0</v>
      </c>
      <c r="F155" s="6">
        <v>390.0</v>
      </c>
      <c r="G155" s="5" t="s">
        <v>57</v>
      </c>
      <c r="H155" s="5" t="s">
        <v>142</v>
      </c>
      <c r="I155" s="6" t="s">
        <v>40</v>
      </c>
      <c r="J155" s="5" t="s">
        <v>8585</v>
      </c>
      <c r="K155" s="5" t="s">
        <v>8586</v>
      </c>
      <c r="L155" s="6" t="s">
        <v>42</v>
      </c>
      <c r="M155" s="5" t="s">
        <v>1059</v>
      </c>
      <c r="N155" s="5" t="s">
        <v>64</v>
      </c>
      <c r="O155" s="5" t="s">
        <v>16897</v>
      </c>
      <c r="P155" s="6">
        <v>4456.0</v>
      </c>
    </row>
    <row r="156" ht="56.25" customHeight="1">
      <c r="A156" s="20" t="s">
        <v>16894</v>
      </c>
      <c r="B156" s="16" t="str">
        <f>image("https://storage.googleapis.com/acdb/accessories/AccessoryGlassRetro1.png")</f>
        <v/>
      </c>
      <c r="C156" s="5" t="s">
        <v>96</v>
      </c>
      <c r="D156" s="5" t="s">
        <v>36</v>
      </c>
      <c r="E156" s="6">
        <v>1560.0</v>
      </c>
      <c r="F156" s="6">
        <v>390.0</v>
      </c>
      <c r="G156" s="5" t="s">
        <v>96</v>
      </c>
      <c r="H156" s="5" t="s">
        <v>96</v>
      </c>
      <c r="I156" s="6" t="s">
        <v>40</v>
      </c>
      <c r="J156" s="5" t="s">
        <v>8585</v>
      </c>
      <c r="K156" s="5" t="s">
        <v>8586</v>
      </c>
      <c r="L156" s="6" t="s">
        <v>42</v>
      </c>
      <c r="M156" s="5" t="s">
        <v>1059</v>
      </c>
      <c r="N156" s="5" t="s">
        <v>64</v>
      </c>
      <c r="O156" s="5" t="s">
        <v>16900</v>
      </c>
      <c r="P156" s="6">
        <v>11209.0</v>
      </c>
    </row>
    <row r="157" ht="56.25" customHeight="1">
      <c r="A157" s="20" t="s">
        <v>16894</v>
      </c>
      <c r="B157" s="16" t="str">
        <f>image("https://storage.googleapis.com/acdb/accessories/AccessoryGlassRetro2.png")</f>
        <v/>
      </c>
      <c r="C157" s="5" t="s">
        <v>52</v>
      </c>
      <c r="D157" s="5" t="s">
        <v>36</v>
      </c>
      <c r="E157" s="6">
        <v>1560.0</v>
      </c>
      <c r="F157" s="6">
        <v>390.0</v>
      </c>
      <c r="G157" s="5" t="s">
        <v>69</v>
      </c>
      <c r="H157" s="5" t="s">
        <v>52</v>
      </c>
      <c r="I157" s="6" t="s">
        <v>40</v>
      </c>
      <c r="J157" s="5" t="s">
        <v>8585</v>
      </c>
      <c r="K157" s="5" t="s">
        <v>8586</v>
      </c>
      <c r="L157" s="6" t="s">
        <v>42</v>
      </c>
      <c r="M157" s="5" t="s">
        <v>1059</v>
      </c>
      <c r="N157" s="5" t="s">
        <v>64</v>
      </c>
      <c r="O157" s="5" t="s">
        <v>16904</v>
      </c>
      <c r="P157" s="6">
        <v>11210.0</v>
      </c>
    </row>
    <row r="158" ht="56.25" customHeight="1">
      <c r="A158" s="20" t="s">
        <v>16894</v>
      </c>
      <c r="B158" s="16" t="str">
        <f>image("https://storage.googleapis.com/acdb/accessories/AccessoryGlassRetro3.png")</f>
        <v/>
      </c>
      <c r="C158" s="5" t="s">
        <v>106</v>
      </c>
      <c r="D158" s="5" t="s">
        <v>36</v>
      </c>
      <c r="E158" s="6">
        <v>1560.0</v>
      </c>
      <c r="F158" s="6">
        <v>390.0</v>
      </c>
      <c r="G158" s="5" t="s">
        <v>69</v>
      </c>
      <c r="H158" s="5" t="s">
        <v>106</v>
      </c>
      <c r="I158" s="6" t="s">
        <v>40</v>
      </c>
      <c r="J158" s="5" t="s">
        <v>8585</v>
      </c>
      <c r="K158" s="5" t="s">
        <v>8586</v>
      </c>
      <c r="L158" s="6" t="s">
        <v>42</v>
      </c>
      <c r="M158" s="5" t="s">
        <v>1059</v>
      </c>
      <c r="N158" s="5" t="s">
        <v>64</v>
      </c>
      <c r="O158" s="5" t="s">
        <v>16906</v>
      </c>
      <c r="P158" s="6">
        <v>11211.0</v>
      </c>
    </row>
    <row r="159" ht="56.25" customHeight="1">
      <c r="A159" s="20" t="s">
        <v>16894</v>
      </c>
      <c r="B159" s="16" t="str">
        <f>image("https://storage.googleapis.com/acdb/accessories/AccessoryGlassRetro4.png")</f>
        <v/>
      </c>
      <c r="C159" s="5" t="s">
        <v>68</v>
      </c>
      <c r="D159" s="5" t="s">
        <v>36</v>
      </c>
      <c r="E159" s="6">
        <v>1560.0</v>
      </c>
      <c r="F159" s="6">
        <v>390.0</v>
      </c>
      <c r="G159" s="5" t="s">
        <v>83</v>
      </c>
      <c r="H159" s="5" t="s">
        <v>96</v>
      </c>
      <c r="I159" s="6" t="s">
        <v>40</v>
      </c>
      <c r="J159" s="5" t="s">
        <v>8585</v>
      </c>
      <c r="K159" s="5" t="s">
        <v>8586</v>
      </c>
      <c r="L159" s="6" t="s">
        <v>42</v>
      </c>
      <c r="M159" s="5" t="s">
        <v>1059</v>
      </c>
      <c r="N159" s="5" t="s">
        <v>64</v>
      </c>
      <c r="O159" s="5" t="s">
        <v>16909</v>
      </c>
      <c r="P159" s="6">
        <v>11212.0</v>
      </c>
    </row>
    <row r="160" ht="56.25" customHeight="1">
      <c r="A160" s="20" t="s">
        <v>16894</v>
      </c>
      <c r="B160" s="16" t="str">
        <f>image("https://storage.googleapis.com/acdb/accessories/AccessoryGlassRetro5.png")</f>
        <v/>
      </c>
      <c r="C160" s="5" t="s">
        <v>95</v>
      </c>
      <c r="D160" s="5" t="s">
        <v>36</v>
      </c>
      <c r="E160" s="6">
        <v>1560.0</v>
      </c>
      <c r="F160" s="6">
        <v>390.0</v>
      </c>
      <c r="G160" s="5" t="s">
        <v>95</v>
      </c>
      <c r="H160" s="5" t="s">
        <v>54</v>
      </c>
      <c r="I160" s="6" t="s">
        <v>40</v>
      </c>
      <c r="J160" s="5" t="s">
        <v>8585</v>
      </c>
      <c r="K160" s="5" t="s">
        <v>8586</v>
      </c>
      <c r="L160" s="6" t="s">
        <v>42</v>
      </c>
      <c r="M160" s="5" t="s">
        <v>1059</v>
      </c>
      <c r="N160" s="5" t="s">
        <v>64</v>
      </c>
      <c r="O160" s="5" t="s">
        <v>16912</v>
      </c>
      <c r="P160" s="6">
        <v>11213.0</v>
      </c>
    </row>
    <row r="161" ht="56.25" customHeight="1">
      <c r="A161" s="20" t="s">
        <v>16913</v>
      </c>
      <c r="B161" s="16" t="str">
        <f>image("https://storage.googleapis.com/acdb/accessories/AccessoryGlassRhinestone0.png")</f>
        <v/>
      </c>
      <c r="C161" s="5" t="s">
        <v>52</v>
      </c>
      <c r="D161" s="5" t="s">
        <v>36</v>
      </c>
      <c r="E161" s="6">
        <v>1040.0</v>
      </c>
      <c r="F161" s="6">
        <v>260.0</v>
      </c>
      <c r="G161" s="5" t="s">
        <v>52</v>
      </c>
      <c r="H161" s="5" t="s">
        <v>52</v>
      </c>
      <c r="I161" s="6" t="s">
        <v>40</v>
      </c>
      <c r="J161" s="5" t="s">
        <v>8585</v>
      </c>
      <c r="K161" s="5" t="s">
        <v>8586</v>
      </c>
      <c r="L161" s="6" t="s">
        <v>42</v>
      </c>
      <c r="M161" s="5" t="s">
        <v>612</v>
      </c>
      <c r="N161" s="5" t="s">
        <v>64</v>
      </c>
      <c r="O161" s="5" t="s">
        <v>16916</v>
      </c>
      <c r="P161" s="6">
        <v>4683.0</v>
      </c>
    </row>
    <row r="162" ht="56.25" customHeight="1">
      <c r="A162" s="20" t="s">
        <v>16913</v>
      </c>
      <c r="B162" s="16" t="str">
        <f>image("https://storage.googleapis.com/acdb/accessories/AccessoryGlassRhinestone1.png")</f>
        <v/>
      </c>
      <c r="C162" s="5" t="s">
        <v>9911</v>
      </c>
      <c r="D162" s="5" t="s">
        <v>36</v>
      </c>
      <c r="E162" s="6">
        <v>1040.0</v>
      </c>
      <c r="F162" s="6">
        <v>260.0</v>
      </c>
      <c r="G162" s="5" t="s">
        <v>39</v>
      </c>
      <c r="H162" s="5" t="s">
        <v>54</v>
      </c>
      <c r="I162" s="6" t="s">
        <v>40</v>
      </c>
      <c r="J162" s="5" t="s">
        <v>8585</v>
      </c>
      <c r="K162" s="5" t="s">
        <v>8586</v>
      </c>
      <c r="L162" s="6" t="s">
        <v>42</v>
      </c>
      <c r="M162" s="5" t="s">
        <v>612</v>
      </c>
      <c r="N162" s="5" t="s">
        <v>64</v>
      </c>
      <c r="O162" s="5" t="s">
        <v>16919</v>
      </c>
      <c r="P162" s="6">
        <v>11226.0</v>
      </c>
    </row>
    <row r="163" ht="56.25" customHeight="1">
      <c r="A163" s="20" t="s">
        <v>16913</v>
      </c>
      <c r="B163" s="16" t="str">
        <f>image("https://storage.googleapis.com/acdb/accessories/AccessoryGlassRhinestone2.png")</f>
        <v/>
      </c>
      <c r="C163" s="5" t="s">
        <v>106</v>
      </c>
      <c r="D163" s="5" t="s">
        <v>36</v>
      </c>
      <c r="E163" s="6">
        <v>1040.0</v>
      </c>
      <c r="F163" s="6">
        <v>260.0</v>
      </c>
      <c r="G163" s="5" t="s">
        <v>106</v>
      </c>
      <c r="H163" s="5" t="s">
        <v>54</v>
      </c>
      <c r="I163" s="6" t="s">
        <v>40</v>
      </c>
      <c r="J163" s="5" t="s">
        <v>8585</v>
      </c>
      <c r="K163" s="5" t="s">
        <v>8586</v>
      </c>
      <c r="L163" s="6" t="s">
        <v>42</v>
      </c>
      <c r="M163" s="5" t="s">
        <v>612</v>
      </c>
      <c r="N163" s="5" t="s">
        <v>64</v>
      </c>
      <c r="O163" s="5" t="s">
        <v>16921</v>
      </c>
      <c r="P163" s="6">
        <v>11227.0</v>
      </c>
    </row>
    <row r="164" ht="56.25" customHeight="1">
      <c r="A164" s="20" t="s">
        <v>16923</v>
      </c>
      <c r="B164" s="16" t="str">
        <f>image("https://storage.googleapis.com/acdb/accessories/AccessoryGlassCircle0.png")</f>
        <v/>
      </c>
      <c r="C164" s="5" t="s">
        <v>54</v>
      </c>
      <c r="D164" s="5" t="s">
        <v>36</v>
      </c>
      <c r="E164" s="6">
        <v>630.0</v>
      </c>
      <c r="F164" s="6">
        <v>157.0</v>
      </c>
      <c r="G164" s="5" t="s">
        <v>54</v>
      </c>
      <c r="H164" s="5" t="s">
        <v>54</v>
      </c>
      <c r="I164" s="6" t="s">
        <v>40</v>
      </c>
      <c r="J164" s="5" t="s">
        <v>8585</v>
      </c>
      <c r="K164" s="5" t="s">
        <v>8632</v>
      </c>
      <c r="L164" s="6" t="s">
        <v>42</v>
      </c>
      <c r="M164" s="5" t="s">
        <v>1059</v>
      </c>
      <c r="N164" s="5" t="s">
        <v>64</v>
      </c>
      <c r="O164" s="5" t="s">
        <v>16926</v>
      </c>
      <c r="P164" s="6">
        <v>4235.0</v>
      </c>
    </row>
    <row r="165" ht="56.25" customHeight="1">
      <c r="A165" s="20" t="s">
        <v>16923</v>
      </c>
      <c r="B165" s="16" t="str">
        <f>image("https://storage.googleapis.com/acdb/accessories/AccessoryGlassCircle1.png")</f>
        <v/>
      </c>
      <c r="C165" s="5" t="s">
        <v>151</v>
      </c>
      <c r="D165" s="5" t="s">
        <v>36</v>
      </c>
      <c r="E165" s="6">
        <v>630.0</v>
      </c>
      <c r="F165" s="6">
        <v>157.0</v>
      </c>
      <c r="G165" s="5" t="s">
        <v>114</v>
      </c>
      <c r="H165" s="5" t="s">
        <v>114</v>
      </c>
      <c r="I165" s="6" t="s">
        <v>40</v>
      </c>
      <c r="J165" s="5" t="s">
        <v>8585</v>
      </c>
      <c r="K165" s="5" t="s">
        <v>8632</v>
      </c>
      <c r="L165" s="6" t="s">
        <v>42</v>
      </c>
      <c r="M165" s="5" t="s">
        <v>1059</v>
      </c>
      <c r="N165" s="5" t="s">
        <v>64</v>
      </c>
      <c r="O165" s="5" t="s">
        <v>16929</v>
      </c>
      <c r="P165" s="6">
        <v>11184.0</v>
      </c>
    </row>
    <row r="166" ht="56.25" customHeight="1">
      <c r="A166" s="20" t="s">
        <v>16923</v>
      </c>
      <c r="B166" s="16" t="str">
        <f>image("https://storage.googleapis.com/acdb/accessories/AccessoryGlassCircle2.png")</f>
        <v/>
      </c>
      <c r="C166" s="5" t="s">
        <v>95</v>
      </c>
      <c r="D166" s="5" t="s">
        <v>36</v>
      </c>
      <c r="E166" s="6">
        <v>630.0</v>
      </c>
      <c r="F166" s="6">
        <v>157.0</v>
      </c>
      <c r="G166" s="5" t="s">
        <v>95</v>
      </c>
      <c r="H166" s="5" t="s">
        <v>95</v>
      </c>
      <c r="I166" s="6" t="s">
        <v>40</v>
      </c>
      <c r="J166" s="5" t="s">
        <v>8585</v>
      </c>
      <c r="K166" s="5" t="s">
        <v>8632</v>
      </c>
      <c r="L166" s="6" t="s">
        <v>42</v>
      </c>
      <c r="M166" s="5" t="s">
        <v>1059</v>
      </c>
      <c r="N166" s="5" t="s">
        <v>64</v>
      </c>
      <c r="O166" s="5" t="s">
        <v>16932</v>
      </c>
      <c r="P166" s="6">
        <v>11185.0</v>
      </c>
    </row>
    <row r="167" ht="56.25" customHeight="1">
      <c r="A167" s="20" t="s">
        <v>16923</v>
      </c>
      <c r="B167" s="16" t="str">
        <f>image("https://storage.googleapis.com/acdb/accessories/AccessoryGlassCircle3.png")</f>
        <v/>
      </c>
      <c r="C167" s="5" t="s">
        <v>39</v>
      </c>
      <c r="D167" s="5" t="s">
        <v>36</v>
      </c>
      <c r="E167" s="6">
        <v>630.0</v>
      </c>
      <c r="F167" s="6">
        <v>157.0</v>
      </c>
      <c r="G167" s="5" t="s">
        <v>39</v>
      </c>
      <c r="H167" s="5" t="s">
        <v>39</v>
      </c>
      <c r="I167" s="6" t="s">
        <v>40</v>
      </c>
      <c r="J167" s="5" t="s">
        <v>8585</v>
      </c>
      <c r="K167" s="5" t="s">
        <v>8632</v>
      </c>
      <c r="L167" s="6" t="s">
        <v>42</v>
      </c>
      <c r="M167" s="5" t="s">
        <v>1059</v>
      </c>
      <c r="N167" s="5" t="s">
        <v>64</v>
      </c>
      <c r="O167" s="5" t="s">
        <v>16936</v>
      </c>
      <c r="P167" s="6">
        <v>11186.0</v>
      </c>
    </row>
    <row r="168" ht="56.25" customHeight="1">
      <c r="A168" s="20" t="s">
        <v>16923</v>
      </c>
      <c r="B168" s="16" t="str">
        <f>image("https://storage.googleapis.com/acdb/accessories/AccessoryGlassCircle4.png")</f>
        <v/>
      </c>
      <c r="C168" s="5" t="s">
        <v>106</v>
      </c>
      <c r="D168" s="5" t="s">
        <v>36</v>
      </c>
      <c r="E168" s="6">
        <v>630.0</v>
      </c>
      <c r="F168" s="6">
        <v>157.0</v>
      </c>
      <c r="G168" s="5" t="s">
        <v>106</v>
      </c>
      <c r="H168" s="5" t="s">
        <v>106</v>
      </c>
      <c r="I168" s="6" t="s">
        <v>40</v>
      </c>
      <c r="J168" s="5" t="s">
        <v>8585</v>
      </c>
      <c r="K168" s="5" t="s">
        <v>8632</v>
      </c>
      <c r="L168" s="6" t="s">
        <v>42</v>
      </c>
      <c r="M168" s="5" t="s">
        <v>1059</v>
      </c>
      <c r="N168" s="5" t="s">
        <v>64</v>
      </c>
      <c r="O168" s="5" t="s">
        <v>16940</v>
      </c>
      <c r="P168" s="6">
        <v>11187.0</v>
      </c>
    </row>
    <row r="169" ht="56.25" customHeight="1">
      <c r="A169" s="20" t="s">
        <v>16941</v>
      </c>
      <c r="B169" s="16" t="str">
        <f>image("https://storage.googleapis.com/acdb/accessories/AccessoryGlassBoston0.png")</f>
        <v/>
      </c>
      <c r="C169" s="5" t="s">
        <v>54</v>
      </c>
      <c r="D169" s="5" t="s">
        <v>36</v>
      </c>
      <c r="E169" s="6">
        <v>1560.0</v>
      </c>
      <c r="F169" s="6">
        <v>390.0</v>
      </c>
      <c r="G169" s="5" t="s">
        <v>54</v>
      </c>
      <c r="H169" s="5" t="s">
        <v>54</v>
      </c>
      <c r="I169" s="6" t="s">
        <v>40</v>
      </c>
      <c r="J169" s="5" t="s">
        <v>8585</v>
      </c>
      <c r="K169" s="5" t="s">
        <v>8586</v>
      </c>
      <c r="L169" s="6" t="s">
        <v>42</v>
      </c>
      <c r="M169" s="5" t="s">
        <v>1952</v>
      </c>
      <c r="N169" s="5" t="s">
        <v>64</v>
      </c>
      <c r="O169" s="5" t="s">
        <v>16945</v>
      </c>
      <c r="P169" s="6">
        <v>4241.0</v>
      </c>
    </row>
    <row r="170" ht="56.25" customHeight="1">
      <c r="A170" s="20" t="s">
        <v>16941</v>
      </c>
      <c r="B170" s="16" t="str">
        <f>image("https://storage.googleapis.com/acdb/accessories/AccessoryGlassBoston1.png")</f>
        <v/>
      </c>
      <c r="C170" s="5" t="s">
        <v>96</v>
      </c>
      <c r="D170" s="5" t="s">
        <v>36</v>
      </c>
      <c r="E170" s="6">
        <v>1560.0</v>
      </c>
      <c r="F170" s="6">
        <v>390.0</v>
      </c>
      <c r="G170" s="5" t="s">
        <v>96</v>
      </c>
      <c r="H170" s="5" t="s">
        <v>54</v>
      </c>
      <c r="I170" s="6" t="s">
        <v>40</v>
      </c>
      <c r="J170" s="5" t="s">
        <v>8585</v>
      </c>
      <c r="K170" s="5" t="s">
        <v>8586</v>
      </c>
      <c r="L170" s="6" t="s">
        <v>42</v>
      </c>
      <c r="M170" s="5" t="s">
        <v>1952</v>
      </c>
      <c r="N170" s="5" t="s">
        <v>64</v>
      </c>
      <c r="O170" s="5" t="s">
        <v>16948</v>
      </c>
      <c r="P170" s="6">
        <v>11196.0</v>
      </c>
    </row>
    <row r="171" ht="56.25" customHeight="1">
      <c r="A171" s="20" t="s">
        <v>16941</v>
      </c>
      <c r="B171" s="16" t="str">
        <f>image("https://storage.googleapis.com/acdb/accessories/AccessoryGlassBoston2.png")</f>
        <v/>
      </c>
      <c r="C171" s="5" t="s">
        <v>68</v>
      </c>
      <c r="D171" s="5" t="s">
        <v>36</v>
      </c>
      <c r="E171" s="6">
        <v>1560.0</v>
      </c>
      <c r="F171" s="6">
        <v>390.0</v>
      </c>
      <c r="G171" s="5" t="s">
        <v>68</v>
      </c>
      <c r="H171" s="5" t="s">
        <v>54</v>
      </c>
      <c r="I171" s="6" t="s">
        <v>40</v>
      </c>
      <c r="J171" s="5" t="s">
        <v>8585</v>
      </c>
      <c r="K171" s="5" t="s">
        <v>8586</v>
      </c>
      <c r="L171" s="6" t="s">
        <v>42</v>
      </c>
      <c r="M171" s="5" t="s">
        <v>1952</v>
      </c>
      <c r="N171" s="5" t="s">
        <v>64</v>
      </c>
      <c r="O171" s="5" t="s">
        <v>16953</v>
      </c>
      <c r="P171" s="6">
        <v>11197.0</v>
      </c>
    </row>
    <row r="172" ht="56.25" customHeight="1">
      <c r="A172" s="20" t="s">
        <v>16941</v>
      </c>
      <c r="B172" s="16" t="str">
        <f>image("https://storage.googleapis.com/acdb/accessories/AccessoryGlassBoston3.png")</f>
        <v/>
      </c>
      <c r="C172" s="5" t="s">
        <v>114</v>
      </c>
      <c r="D172" s="5" t="s">
        <v>36</v>
      </c>
      <c r="E172" s="6">
        <v>1560.0</v>
      </c>
      <c r="F172" s="6">
        <v>390.0</v>
      </c>
      <c r="G172" s="5" t="s">
        <v>114</v>
      </c>
      <c r="H172" s="5" t="s">
        <v>54</v>
      </c>
      <c r="I172" s="6" t="s">
        <v>40</v>
      </c>
      <c r="J172" s="5" t="s">
        <v>8585</v>
      </c>
      <c r="K172" s="5" t="s">
        <v>8586</v>
      </c>
      <c r="L172" s="6" t="s">
        <v>42</v>
      </c>
      <c r="M172" s="5" t="s">
        <v>1952</v>
      </c>
      <c r="N172" s="5" t="s">
        <v>64</v>
      </c>
      <c r="O172" s="5" t="s">
        <v>16956</v>
      </c>
      <c r="P172" s="6">
        <v>11198.0</v>
      </c>
    </row>
    <row r="173" ht="56.25" customHeight="1">
      <c r="A173" s="20" t="s">
        <v>16941</v>
      </c>
      <c r="B173" s="16" t="str">
        <f>image("https://storage.googleapis.com/acdb/accessories/AccessoryGlassBoston4.png")</f>
        <v/>
      </c>
      <c r="C173" s="5" t="s">
        <v>69</v>
      </c>
      <c r="D173" s="5" t="s">
        <v>36</v>
      </c>
      <c r="E173" s="6">
        <v>1560.0</v>
      </c>
      <c r="F173" s="6">
        <v>390.0</v>
      </c>
      <c r="G173" s="5" t="s">
        <v>69</v>
      </c>
      <c r="H173" s="5" t="s">
        <v>54</v>
      </c>
      <c r="I173" s="6" t="s">
        <v>40</v>
      </c>
      <c r="J173" s="5" t="s">
        <v>8585</v>
      </c>
      <c r="K173" s="5" t="s">
        <v>8586</v>
      </c>
      <c r="L173" s="6" t="s">
        <v>42</v>
      </c>
      <c r="M173" s="5" t="s">
        <v>1952</v>
      </c>
      <c r="N173" s="5" t="s">
        <v>64</v>
      </c>
      <c r="O173" s="5" t="s">
        <v>16959</v>
      </c>
      <c r="P173" s="6">
        <v>11199.0</v>
      </c>
    </row>
    <row r="174" ht="56.25" customHeight="1">
      <c r="A174" s="20" t="s">
        <v>16941</v>
      </c>
      <c r="B174" s="16" t="str">
        <f>image("https://storage.googleapis.com/acdb/accessories/AccessoryGlassBoston5.png")</f>
        <v/>
      </c>
      <c r="C174" s="5" t="s">
        <v>52</v>
      </c>
      <c r="D174" s="5" t="s">
        <v>36</v>
      </c>
      <c r="E174" s="6">
        <v>1560.0</v>
      </c>
      <c r="F174" s="6">
        <v>390.0</v>
      </c>
      <c r="G174" s="5" t="s">
        <v>52</v>
      </c>
      <c r="H174" s="5" t="s">
        <v>54</v>
      </c>
      <c r="I174" s="6" t="s">
        <v>40</v>
      </c>
      <c r="J174" s="5" t="s">
        <v>8585</v>
      </c>
      <c r="K174" s="5" t="s">
        <v>8586</v>
      </c>
      <c r="L174" s="6" t="s">
        <v>42</v>
      </c>
      <c r="M174" s="5" t="s">
        <v>1952</v>
      </c>
      <c r="N174" s="5" t="s">
        <v>64</v>
      </c>
      <c r="O174" s="5" t="s">
        <v>16962</v>
      </c>
      <c r="P174" s="6">
        <v>11200.0</v>
      </c>
    </row>
    <row r="175" ht="56.25" customHeight="1">
      <c r="A175" s="20" t="s">
        <v>16941</v>
      </c>
      <c r="B175" s="16" t="str">
        <f>image("https://storage.googleapis.com/acdb/accessories/AccessoryGlassBoston6.png")</f>
        <v/>
      </c>
      <c r="C175" s="5" t="s">
        <v>57</v>
      </c>
      <c r="D175" s="5" t="s">
        <v>36</v>
      </c>
      <c r="E175" s="6">
        <v>1560.0</v>
      </c>
      <c r="F175" s="6">
        <v>390.0</v>
      </c>
      <c r="G175" s="5" t="s">
        <v>57</v>
      </c>
      <c r="H175" s="5" t="s">
        <v>54</v>
      </c>
      <c r="I175" s="6" t="s">
        <v>40</v>
      </c>
      <c r="J175" s="5" t="s">
        <v>8585</v>
      </c>
      <c r="K175" s="5" t="s">
        <v>8586</v>
      </c>
      <c r="L175" s="6" t="s">
        <v>42</v>
      </c>
      <c r="M175" s="5" t="s">
        <v>1952</v>
      </c>
      <c r="N175" s="5" t="s">
        <v>64</v>
      </c>
      <c r="O175" s="5" t="s">
        <v>16965</v>
      </c>
      <c r="P175" s="6">
        <v>11201.0</v>
      </c>
    </row>
    <row r="176" ht="56.25" customHeight="1">
      <c r="A176" s="20" t="s">
        <v>16941</v>
      </c>
      <c r="B176" s="16" t="str">
        <f>image("https://storage.googleapis.com/acdb/accessories/AccessoryGlassBoston7.png")</f>
        <v/>
      </c>
      <c r="C176" s="5" t="s">
        <v>106</v>
      </c>
      <c r="D176" s="5" t="s">
        <v>36</v>
      </c>
      <c r="E176" s="6">
        <v>1560.0</v>
      </c>
      <c r="F176" s="6">
        <v>390.0</v>
      </c>
      <c r="G176" s="5" t="s">
        <v>106</v>
      </c>
      <c r="H176" s="5" t="s">
        <v>54</v>
      </c>
      <c r="I176" s="6" t="s">
        <v>40</v>
      </c>
      <c r="J176" s="5" t="s">
        <v>8585</v>
      </c>
      <c r="K176" s="5" t="s">
        <v>8586</v>
      </c>
      <c r="L176" s="6" t="s">
        <v>42</v>
      </c>
      <c r="M176" s="5" t="s">
        <v>1952</v>
      </c>
      <c r="N176" s="5" t="s">
        <v>64</v>
      </c>
      <c r="O176" s="5" t="s">
        <v>16970</v>
      </c>
      <c r="P176" s="6">
        <v>11202.0</v>
      </c>
    </row>
    <row r="177" ht="56.25" customHeight="1">
      <c r="A177" s="20" t="s">
        <v>16972</v>
      </c>
      <c r="B177" s="16" t="str">
        <f>image("https://storage.googleapis.com/acdb/accessories/AccessoryGlassRound0.png")</f>
        <v/>
      </c>
      <c r="C177" s="5" t="s">
        <v>39</v>
      </c>
      <c r="D177" s="5" t="s">
        <v>36</v>
      </c>
      <c r="E177" s="6">
        <v>880.0</v>
      </c>
      <c r="F177" s="6">
        <v>220.0</v>
      </c>
      <c r="G177" s="5" t="s">
        <v>142</v>
      </c>
      <c r="H177" s="5" t="s">
        <v>39</v>
      </c>
      <c r="I177" s="6" t="s">
        <v>40</v>
      </c>
      <c r="J177" s="5" t="s">
        <v>8585</v>
      </c>
      <c r="K177" s="5" t="s">
        <v>8632</v>
      </c>
      <c r="L177" s="6" t="s">
        <v>42</v>
      </c>
      <c r="M177" s="5" t="s">
        <v>995</v>
      </c>
      <c r="N177" s="5" t="s">
        <v>64</v>
      </c>
      <c r="O177" s="5" t="s">
        <v>16976</v>
      </c>
      <c r="P177" s="6">
        <v>4607.0</v>
      </c>
    </row>
    <row r="178" ht="56.25" customHeight="1">
      <c r="A178" s="20" t="s">
        <v>16972</v>
      </c>
      <c r="B178" s="16" t="str">
        <f>image("https://storage.googleapis.com/acdb/accessories/AccessoryGlassRound1.png")</f>
        <v/>
      </c>
      <c r="C178" s="5" t="s">
        <v>935</v>
      </c>
      <c r="D178" s="5" t="s">
        <v>36</v>
      </c>
      <c r="E178" s="6">
        <v>880.0</v>
      </c>
      <c r="F178" s="6">
        <v>220.0</v>
      </c>
      <c r="G178" s="5" t="s">
        <v>142</v>
      </c>
      <c r="H178" s="5" t="s">
        <v>39</v>
      </c>
      <c r="I178" s="6" t="s">
        <v>40</v>
      </c>
      <c r="J178" s="5" t="s">
        <v>8585</v>
      </c>
      <c r="K178" s="5" t="s">
        <v>8632</v>
      </c>
      <c r="L178" s="6" t="s">
        <v>42</v>
      </c>
      <c r="M178" s="5" t="s">
        <v>995</v>
      </c>
      <c r="N178" s="5" t="s">
        <v>64</v>
      </c>
      <c r="O178" s="5" t="s">
        <v>16981</v>
      </c>
      <c r="P178" s="6">
        <v>11220.0</v>
      </c>
    </row>
    <row r="179" ht="56.25" customHeight="1">
      <c r="A179" s="20" t="s">
        <v>16972</v>
      </c>
      <c r="B179" s="16" t="str">
        <f>image("https://storage.googleapis.com/acdb/accessories/AccessoryGlassRound2.png")</f>
        <v/>
      </c>
      <c r="C179" s="5" t="s">
        <v>387</v>
      </c>
      <c r="D179" s="5" t="s">
        <v>36</v>
      </c>
      <c r="E179" s="6">
        <v>880.0</v>
      </c>
      <c r="F179" s="6">
        <v>220.0</v>
      </c>
      <c r="G179" s="5" t="s">
        <v>39</v>
      </c>
      <c r="H179" s="5" t="s">
        <v>39</v>
      </c>
      <c r="I179" s="6" t="s">
        <v>40</v>
      </c>
      <c r="J179" s="5" t="s">
        <v>8585</v>
      </c>
      <c r="K179" s="5" t="s">
        <v>8632</v>
      </c>
      <c r="L179" s="6" t="s">
        <v>42</v>
      </c>
      <c r="M179" s="5" t="s">
        <v>995</v>
      </c>
      <c r="N179" s="5" t="s">
        <v>64</v>
      </c>
      <c r="O179" s="5" t="s">
        <v>16987</v>
      </c>
      <c r="P179" s="6">
        <v>11221.0</v>
      </c>
    </row>
    <row r="180" ht="56.25" customHeight="1">
      <c r="A180" s="20" t="s">
        <v>16972</v>
      </c>
      <c r="B180" s="16" t="str">
        <f>image("https://storage.googleapis.com/acdb/accessories/AccessoryGlassRound3.png")</f>
        <v/>
      </c>
      <c r="C180" s="5" t="s">
        <v>96</v>
      </c>
      <c r="D180" s="5" t="s">
        <v>36</v>
      </c>
      <c r="E180" s="6">
        <v>880.0</v>
      </c>
      <c r="F180" s="6">
        <v>220.0</v>
      </c>
      <c r="G180" s="5" t="s">
        <v>96</v>
      </c>
      <c r="H180" s="5" t="s">
        <v>39</v>
      </c>
      <c r="I180" s="6" t="s">
        <v>40</v>
      </c>
      <c r="J180" s="5" t="s">
        <v>8585</v>
      </c>
      <c r="K180" s="5" t="s">
        <v>8632</v>
      </c>
      <c r="L180" s="6" t="s">
        <v>42</v>
      </c>
      <c r="M180" s="5" t="s">
        <v>995</v>
      </c>
      <c r="N180" s="5" t="s">
        <v>64</v>
      </c>
      <c r="O180" s="5" t="s">
        <v>16993</v>
      </c>
      <c r="P180" s="6">
        <v>11222.0</v>
      </c>
    </row>
    <row r="181" ht="56.25" customHeight="1">
      <c r="A181" s="20" t="s">
        <v>16994</v>
      </c>
      <c r="B181" s="16" t="str">
        <f>image("https://storage.googleapis.com/acdb/accessories/AccessoryMouthBeardRoundBlack.png")</f>
        <v/>
      </c>
      <c r="C181" s="5" t="s">
        <v>54</v>
      </c>
      <c r="D181" s="5" t="s">
        <v>36</v>
      </c>
      <c r="E181" s="6">
        <v>980.0</v>
      </c>
      <c r="F181" s="6">
        <v>245.0</v>
      </c>
      <c r="G181" s="5" t="s">
        <v>58</v>
      </c>
      <c r="H181" s="5" t="s">
        <v>58</v>
      </c>
      <c r="I181" s="6" t="s">
        <v>40</v>
      </c>
      <c r="J181" s="5" t="s">
        <v>8585</v>
      </c>
      <c r="K181" s="5" t="s">
        <v>8586</v>
      </c>
      <c r="L181" s="6" t="s">
        <v>42</v>
      </c>
      <c r="M181" s="5" t="s">
        <v>1952</v>
      </c>
      <c r="N181" s="5" t="s">
        <v>64</v>
      </c>
      <c r="O181" s="5" t="s">
        <v>16998</v>
      </c>
      <c r="P181" s="6">
        <v>4679.0</v>
      </c>
    </row>
    <row r="182" ht="56.25" customHeight="1">
      <c r="A182" s="20" t="s">
        <v>16999</v>
      </c>
      <c r="B182" s="16" t="str">
        <f>image("https://storage.googleapis.com/acdb/accessories/AccessoryGlassCrackBlack.png")</f>
        <v/>
      </c>
      <c r="C182" s="5" t="s">
        <v>54</v>
      </c>
      <c r="D182" s="5" t="s">
        <v>36</v>
      </c>
      <c r="E182" s="6" t="s">
        <v>37</v>
      </c>
      <c r="F182" s="6">
        <v>10.0</v>
      </c>
      <c r="G182" s="5" t="s">
        <v>54</v>
      </c>
      <c r="H182" s="5" t="s">
        <v>83</v>
      </c>
      <c r="I182" s="6" t="s">
        <v>40</v>
      </c>
      <c r="J182" s="5" t="s">
        <v>8763</v>
      </c>
      <c r="K182" s="5"/>
      <c r="L182" s="6" t="s">
        <v>42</v>
      </c>
      <c r="M182" s="5" t="s">
        <v>995</v>
      </c>
      <c r="N182" s="5" t="s">
        <v>48</v>
      </c>
      <c r="O182" s="5" t="s">
        <v>17003</v>
      </c>
      <c r="P182" s="6">
        <v>4337.0</v>
      </c>
    </row>
    <row r="183" ht="56.25" customHeight="1">
      <c r="A183" s="20" t="s">
        <v>17004</v>
      </c>
      <c r="B183" s="16" t="str">
        <f>image("https://storage.googleapis.com/acdb/accessories/AccessoryGlassGogglesski0.png")</f>
        <v/>
      </c>
      <c r="C183" s="5" t="s">
        <v>57</v>
      </c>
      <c r="D183" s="5" t="s">
        <v>36</v>
      </c>
      <c r="E183" s="6">
        <v>980.0</v>
      </c>
      <c r="F183" s="6">
        <v>245.0</v>
      </c>
      <c r="G183" s="5" t="s">
        <v>142</v>
      </c>
      <c r="H183" s="5" t="s">
        <v>57</v>
      </c>
      <c r="I183" s="6" t="s">
        <v>40</v>
      </c>
      <c r="J183" s="5" t="s">
        <v>8585</v>
      </c>
      <c r="K183" s="5" t="s">
        <v>8586</v>
      </c>
      <c r="L183" s="6" t="s">
        <v>42</v>
      </c>
      <c r="M183" s="5" t="s">
        <v>8746</v>
      </c>
      <c r="N183" s="5" t="s">
        <v>64</v>
      </c>
      <c r="O183" s="5" t="s">
        <v>17007</v>
      </c>
      <c r="P183" s="6">
        <v>4453.0</v>
      </c>
    </row>
    <row r="184" ht="56.25" customHeight="1">
      <c r="A184" s="20" t="s">
        <v>17004</v>
      </c>
      <c r="B184" s="16" t="str">
        <f>image("https://storage.googleapis.com/acdb/accessories/AccessoryGlassGogglesski1.png")</f>
        <v/>
      </c>
      <c r="C184" s="5" t="s">
        <v>114</v>
      </c>
      <c r="D184" s="5" t="s">
        <v>36</v>
      </c>
      <c r="E184" s="6">
        <v>980.0</v>
      </c>
      <c r="F184" s="6">
        <v>245.0</v>
      </c>
      <c r="G184" s="5" t="s">
        <v>69</v>
      </c>
      <c r="H184" s="5" t="s">
        <v>114</v>
      </c>
      <c r="I184" s="6" t="s">
        <v>40</v>
      </c>
      <c r="J184" s="5" t="s">
        <v>8585</v>
      </c>
      <c r="K184" s="5" t="s">
        <v>8586</v>
      </c>
      <c r="L184" s="6" t="s">
        <v>42</v>
      </c>
      <c r="M184" s="5" t="s">
        <v>8746</v>
      </c>
      <c r="N184" s="5" t="s">
        <v>64</v>
      </c>
      <c r="O184" s="5" t="s">
        <v>17010</v>
      </c>
      <c r="P184" s="6">
        <v>11479.0</v>
      </c>
    </row>
    <row r="185" ht="56.25" customHeight="1">
      <c r="A185" s="20" t="s">
        <v>17004</v>
      </c>
      <c r="B185" s="16" t="str">
        <f>image("https://storage.googleapis.com/acdb/accessories/AccessoryGlassGogglesski2.png")</f>
        <v/>
      </c>
      <c r="C185" s="5" t="s">
        <v>106</v>
      </c>
      <c r="D185" s="5" t="s">
        <v>36</v>
      </c>
      <c r="E185" s="6">
        <v>980.0</v>
      </c>
      <c r="F185" s="6">
        <v>245.0</v>
      </c>
      <c r="G185" s="5" t="s">
        <v>96</v>
      </c>
      <c r="H185" s="5" t="s">
        <v>68</v>
      </c>
      <c r="I185" s="6" t="s">
        <v>40</v>
      </c>
      <c r="J185" s="5" t="s">
        <v>8585</v>
      </c>
      <c r="K185" s="5" t="s">
        <v>8586</v>
      </c>
      <c r="L185" s="6" t="s">
        <v>42</v>
      </c>
      <c r="M185" s="5" t="s">
        <v>8746</v>
      </c>
      <c r="N185" s="5" t="s">
        <v>64</v>
      </c>
      <c r="O185" s="5" t="s">
        <v>17014</v>
      </c>
      <c r="P185" s="6">
        <v>11480.0</v>
      </c>
    </row>
    <row r="186" ht="56.25" customHeight="1">
      <c r="A186" s="20" t="s">
        <v>17004</v>
      </c>
      <c r="B186" s="16" t="str">
        <f>image("https://storage.googleapis.com/acdb/accessories/AccessoryGlassGogglesski3.png")</f>
        <v/>
      </c>
      <c r="C186" s="5" t="s">
        <v>69</v>
      </c>
      <c r="D186" s="5" t="s">
        <v>36</v>
      </c>
      <c r="E186" s="6">
        <v>980.0</v>
      </c>
      <c r="F186" s="6">
        <v>245.0</v>
      </c>
      <c r="G186" s="5" t="s">
        <v>106</v>
      </c>
      <c r="H186" s="5" t="s">
        <v>69</v>
      </c>
      <c r="I186" s="6" t="s">
        <v>40</v>
      </c>
      <c r="J186" s="5" t="s">
        <v>8585</v>
      </c>
      <c r="K186" s="5" t="s">
        <v>8586</v>
      </c>
      <c r="L186" s="6" t="s">
        <v>42</v>
      </c>
      <c r="M186" s="5" t="s">
        <v>8746</v>
      </c>
      <c r="N186" s="5" t="s">
        <v>64</v>
      </c>
      <c r="O186" s="5" t="s">
        <v>17017</v>
      </c>
      <c r="P186" s="6">
        <v>11481.0</v>
      </c>
    </row>
    <row r="187" ht="56.25" customHeight="1">
      <c r="A187" s="20" t="s">
        <v>17004</v>
      </c>
      <c r="B187" s="16" t="str">
        <f>image("https://storage.googleapis.com/acdb/accessories/AccessoryGlassGogglesski4.png")</f>
        <v/>
      </c>
      <c r="C187" s="5" t="s">
        <v>96</v>
      </c>
      <c r="D187" s="5" t="s">
        <v>36</v>
      </c>
      <c r="E187" s="6">
        <v>980.0</v>
      </c>
      <c r="F187" s="6">
        <v>245.0</v>
      </c>
      <c r="G187" s="5" t="s">
        <v>68</v>
      </c>
      <c r="H187" s="5" t="s">
        <v>96</v>
      </c>
      <c r="I187" s="6" t="s">
        <v>40</v>
      </c>
      <c r="J187" s="5" t="s">
        <v>8585</v>
      </c>
      <c r="K187" s="5" t="s">
        <v>8586</v>
      </c>
      <c r="L187" s="6" t="s">
        <v>42</v>
      </c>
      <c r="M187" s="5" t="s">
        <v>8746</v>
      </c>
      <c r="N187" s="5" t="s">
        <v>64</v>
      </c>
      <c r="O187" s="5" t="s">
        <v>17020</v>
      </c>
      <c r="P187" s="6">
        <v>11482.0</v>
      </c>
    </row>
    <row r="188" ht="56.25" customHeight="1">
      <c r="A188" s="20" t="s">
        <v>17004</v>
      </c>
      <c r="B188" s="16" t="str">
        <f>image("https://storage.googleapis.com/acdb/accessories/AccessoryGlassGogglesski5.png")</f>
        <v/>
      </c>
      <c r="C188" s="5" t="s">
        <v>142</v>
      </c>
      <c r="D188" s="5" t="s">
        <v>36</v>
      </c>
      <c r="E188" s="6">
        <v>980.0</v>
      </c>
      <c r="F188" s="6">
        <v>245.0</v>
      </c>
      <c r="G188" s="5" t="s">
        <v>83</v>
      </c>
      <c r="H188" s="5" t="s">
        <v>142</v>
      </c>
      <c r="I188" s="6" t="s">
        <v>40</v>
      </c>
      <c r="J188" s="5" t="s">
        <v>8585</v>
      </c>
      <c r="K188" s="5" t="s">
        <v>8586</v>
      </c>
      <c r="L188" s="6" t="s">
        <v>42</v>
      </c>
      <c r="M188" s="5" t="s">
        <v>8746</v>
      </c>
      <c r="N188" s="5" t="s">
        <v>64</v>
      </c>
      <c r="O188" s="5" t="s">
        <v>17024</v>
      </c>
      <c r="P188" s="6">
        <v>11483.0</v>
      </c>
    </row>
    <row r="189" ht="56.25" customHeight="1">
      <c r="A189" s="20" t="s">
        <v>17025</v>
      </c>
      <c r="B189" s="16" t="str">
        <f>image("https://storage.googleapis.com/acdb/accessories/AccessoryGlassSports0.png")</f>
        <v/>
      </c>
      <c r="C189" s="5" t="s">
        <v>54</v>
      </c>
      <c r="D189" s="5" t="s">
        <v>36</v>
      </c>
      <c r="E189" s="6">
        <v>1300.0</v>
      </c>
      <c r="F189" s="6">
        <v>325.0</v>
      </c>
      <c r="G189" s="5" t="s">
        <v>54</v>
      </c>
      <c r="H189" s="5" t="s">
        <v>142</v>
      </c>
      <c r="I189" s="6" t="s">
        <v>40</v>
      </c>
      <c r="J189" s="5" t="s">
        <v>8585</v>
      </c>
      <c r="K189" s="5" t="s">
        <v>8632</v>
      </c>
      <c r="L189" s="6" t="s">
        <v>42</v>
      </c>
      <c r="M189" s="5" t="s">
        <v>8746</v>
      </c>
      <c r="N189" s="5" t="s">
        <v>64</v>
      </c>
      <c r="O189" s="5" t="s">
        <v>17030</v>
      </c>
      <c r="P189" s="6">
        <v>4458.0</v>
      </c>
    </row>
    <row r="190" ht="56.25" customHeight="1">
      <c r="A190" s="20" t="s">
        <v>17025</v>
      </c>
      <c r="B190" s="16" t="str">
        <f>image("https://storage.googleapis.com/acdb/accessories/AccessoryGlassSports1.png")</f>
        <v/>
      </c>
      <c r="C190" s="5" t="s">
        <v>57</v>
      </c>
      <c r="D190" s="5" t="s">
        <v>36</v>
      </c>
      <c r="E190" s="6">
        <v>1300.0</v>
      </c>
      <c r="F190" s="6">
        <v>325.0</v>
      </c>
      <c r="G190" s="5" t="s">
        <v>57</v>
      </c>
      <c r="H190" s="5" t="s">
        <v>142</v>
      </c>
      <c r="I190" s="6" t="s">
        <v>40</v>
      </c>
      <c r="J190" s="5" t="s">
        <v>8585</v>
      </c>
      <c r="K190" s="5" t="s">
        <v>8632</v>
      </c>
      <c r="L190" s="6" t="s">
        <v>42</v>
      </c>
      <c r="M190" s="5" t="s">
        <v>8746</v>
      </c>
      <c r="N190" s="5" t="s">
        <v>64</v>
      </c>
      <c r="O190" s="5" t="s">
        <v>17033</v>
      </c>
      <c r="P190" s="6">
        <v>11489.0</v>
      </c>
    </row>
    <row r="191" ht="56.25" customHeight="1">
      <c r="A191" s="20" t="s">
        <v>17025</v>
      </c>
      <c r="B191" s="16" t="str">
        <f>image("https://storage.googleapis.com/acdb/accessories/AccessoryGlassSports2.png")</f>
        <v/>
      </c>
      <c r="C191" s="5" t="s">
        <v>69</v>
      </c>
      <c r="D191" s="5" t="s">
        <v>36</v>
      </c>
      <c r="E191" s="6">
        <v>1300.0</v>
      </c>
      <c r="F191" s="6">
        <v>325.0</v>
      </c>
      <c r="G191" s="5" t="s">
        <v>69</v>
      </c>
      <c r="H191" s="5" t="s">
        <v>69</v>
      </c>
      <c r="I191" s="6" t="s">
        <v>40</v>
      </c>
      <c r="J191" s="5" t="s">
        <v>8585</v>
      </c>
      <c r="K191" s="5" t="s">
        <v>8632</v>
      </c>
      <c r="L191" s="6" t="s">
        <v>42</v>
      </c>
      <c r="M191" s="5" t="s">
        <v>8746</v>
      </c>
      <c r="N191" s="5" t="s">
        <v>64</v>
      </c>
      <c r="O191" s="5" t="s">
        <v>17036</v>
      </c>
      <c r="P191" s="6">
        <v>11490.0</v>
      </c>
    </row>
    <row r="192" ht="56.25" customHeight="1">
      <c r="A192" s="20" t="s">
        <v>17025</v>
      </c>
      <c r="B192" s="16" t="str">
        <f>image("https://storage.googleapis.com/acdb/accessories/AccessoryGlassSports3.png")</f>
        <v/>
      </c>
      <c r="C192" s="5" t="s">
        <v>1458</v>
      </c>
      <c r="D192" s="5" t="s">
        <v>36</v>
      </c>
      <c r="E192" s="6">
        <v>1300.0</v>
      </c>
      <c r="F192" s="6">
        <v>325.0</v>
      </c>
      <c r="G192" s="5" t="s">
        <v>96</v>
      </c>
      <c r="H192" s="5" t="s">
        <v>83</v>
      </c>
      <c r="I192" s="6" t="s">
        <v>40</v>
      </c>
      <c r="J192" s="5" t="s">
        <v>8585</v>
      </c>
      <c r="K192" s="5" t="s">
        <v>8632</v>
      </c>
      <c r="L192" s="6" t="s">
        <v>42</v>
      </c>
      <c r="M192" s="5" t="s">
        <v>8746</v>
      </c>
      <c r="N192" s="5" t="s">
        <v>64</v>
      </c>
      <c r="O192" s="5" t="s">
        <v>17039</v>
      </c>
      <c r="P192" s="6">
        <v>11491.0</v>
      </c>
    </row>
    <row r="193" ht="56.25" customHeight="1">
      <c r="A193" s="20" t="s">
        <v>17025</v>
      </c>
      <c r="B193" s="16" t="str">
        <f>image("https://storage.googleapis.com/acdb/accessories/AccessoryGlassSports4.png")</f>
        <v/>
      </c>
      <c r="C193" s="5" t="s">
        <v>83</v>
      </c>
      <c r="D193" s="5" t="s">
        <v>36</v>
      </c>
      <c r="E193" s="6">
        <v>1300.0</v>
      </c>
      <c r="F193" s="6">
        <v>325.0</v>
      </c>
      <c r="G193" s="5" t="s">
        <v>83</v>
      </c>
      <c r="H193" s="5" t="s">
        <v>68</v>
      </c>
      <c r="I193" s="6" t="s">
        <v>40</v>
      </c>
      <c r="J193" s="5" t="s">
        <v>8585</v>
      </c>
      <c r="K193" s="5" t="s">
        <v>8632</v>
      </c>
      <c r="L193" s="6" t="s">
        <v>42</v>
      </c>
      <c r="M193" s="5" t="s">
        <v>8746</v>
      </c>
      <c r="N193" s="5" t="s">
        <v>64</v>
      </c>
      <c r="O193" s="5" t="s">
        <v>17043</v>
      </c>
      <c r="P193" s="6">
        <v>11492.0</v>
      </c>
    </row>
    <row r="194" ht="56.25" customHeight="1">
      <c r="A194" s="20" t="s">
        <v>17044</v>
      </c>
      <c r="B194" s="16" t="str">
        <f>image("https://storage.googleapis.com/acdb/accessories/AccessoryGlassSquare0.png")</f>
        <v/>
      </c>
      <c r="C194" s="5" t="s">
        <v>39</v>
      </c>
      <c r="D194" s="5" t="s">
        <v>36</v>
      </c>
      <c r="E194" s="6">
        <v>880.0</v>
      </c>
      <c r="F194" s="6">
        <v>220.0</v>
      </c>
      <c r="G194" s="5" t="s">
        <v>39</v>
      </c>
      <c r="H194" s="5" t="s">
        <v>39</v>
      </c>
      <c r="I194" s="6" t="s">
        <v>40</v>
      </c>
      <c r="J194" s="5" t="s">
        <v>8585</v>
      </c>
      <c r="K194" s="5" t="s">
        <v>8632</v>
      </c>
      <c r="L194" s="6" t="s">
        <v>42</v>
      </c>
      <c r="M194" s="5" t="s">
        <v>995</v>
      </c>
      <c r="N194" s="5" t="s">
        <v>64</v>
      </c>
      <c r="O194" s="5" t="s">
        <v>17047</v>
      </c>
      <c r="P194" s="6">
        <v>4236.0</v>
      </c>
    </row>
    <row r="195" ht="56.25" customHeight="1">
      <c r="A195" s="20" t="s">
        <v>17044</v>
      </c>
      <c r="B195" s="16" t="str">
        <f>image("https://storage.googleapis.com/acdb/accessories/AccessoryGlassSquare1.png")</f>
        <v/>
      </c>
      <c r="C195" s="5" t="s">
        <v>54</v>
      </c>
      <c r="D195" s="5" t="s">
        <v>36</v>
      </c>
      <c r="E195" s="6">
        <v>880.0</v>
      </c>
      <c r="F195" s="6">
        <v>220.0</v>
      </c>
      <c r="G195" s="5" t="s">
        <v>54</v>
      </c>
      <c r="H195" s="5" t="s">
        <v>54</v>
      </c>
      <c r="I195" s="6" t="s">
        <v>40</v>
      </c>
      <c r="J195" s="5" t="s">
        <v>8585</v>
      </c>
      <c r="K195" s="5" t="s">
        <v>8632</v>
      </c>
      <c r="L195" s="6" t="s">
        <v>42</v>
      </c>
      <c r="M195" s="5" t="s">
        <v>995</v>
      </c>
      <c r="N195" s="5" t="s">
        <v>64</v>
      </c>
      <c r="O195" s="5" t="s">
        <v>17050</v>
      </c>
      <c r="P195" s="6">
        <v>11066.0</v>
      </c>
    </row>
    <row r="196" ht="56.25" customHeight="1">
      <c r="A196" s="20" t="s">
        <v>17044</v>
      </c>
      <c r="B196" s="16" t="str">
        <f>image("https://storage.googleapis.com/acdb/accessories/AccessoryGlassSquare2.png")</f>
        <v/>
      </c>
      <c r="C196" s="5" t="s">
        <v>95</v>
      </c>
      <c r="D196" s="5" t="s">
        <v>36</v>
      </c>
      <c r="E196" s="6">
        <v>880.0</v>
      </c>
      <c r="F196" s="6">
        <v>220.0</v>
      </c>
      <c r="G196" s="5" t="s">
        <v>95</v>
      </c>
      <c r="H196" s="5" t="s">
        <v>95</v>
      </c>
      <c r="I196" s="6" t="s">
        <v>40</v>
      </c>
      <c r="J196" s="5" t="s">
        <v>8585</v>
      </c>
      <c r="K196" s="5" t="s">
        <v>8632</v>
      </c>
      <c r="L196" s="6" t="s">
        <v>42</v>
      </c>
      <c r="M196" s="5" t="s">
        <v>995</v>
      </c>
      <c r="N196" s="5" t="s">
        <v>64</v>
      </c>
      <c r="O196" s="5" t="s">
        <v>17056</v>
      </c>
      <c r="P196" s="6">
        <v>11067.0</v>
      </c>
    </row>
    <row r="197" ht="56.25" customHeight="1">
      <c r="A197" s="20" t="s">
        <v>17044</v>
      </c>
      <c r="B197" s="16" t="str">
        <f>image("https://storage.googleapis.com/acdb/accessories/AccessoryGlassSquare3.png")</f>
        <v/>
      </c>
      <c r="C197" s="5" t="s">
        <v>68</v>
      </c>
      <c r="D197" s="5" t="s">
        <v>36</v>
      </c>
      <c r="E197" s="6">
        <v>880.0</v>
      </c>
      <c r="F197" s="6">
        <v>220.0</v>
      </c>
      <c r="G197" s="5" t="s">
        <v>68</v>
      </c>
      <c r="H197" s="5" t="s">
        <v>68</v>
      </c>
      <c r="I197" s="6" t="s">
        <v>40</v>
      </c>
      <c r="J197" s="5" t="s">
        <v>8585</v>
      </c>
      <c r="K197" s="5" t="s">
        <v>8632</v>
      </c>
      <c r="L197" s="6" t="s">
        <v>42</v>
      </c>
      <c r="M197" s="5" t="s">
        <v>995</v>
      </c>
      <c r="N197" s="5" t="s">
        <v>64</v>
      </c>
      <c r="O197" s="5" t="s">
        <v>17060</v>
      </c>
      <c r="P197" s="6">
        <v>11068.0</v>
      </c>
    </row>
    <row r="198" ht="56.25" customHeight="1">
      <c r="A198" s="20" t="s">
        <v>17061</v>
      </c>
      <c r="B198" s="16" t="str">
        <f>image("https://storage.googleapis.com/acdb/accessories/AccessoryGlassmouthBeard0.png")</f>
        <v/>
      </c>
      <c r="C198" s="5" t="s">
        <v>54</v>
      </c>
      <c r="D198" s="5" t="s">
        <v>36</v>
      </c>
      <c r="E198" s="6">
        <v>770.0</v>
      </c>
      <c r="F198" s="6">
        <v>192.0</v>
      </c>
      <c r="G198" s="5" t="s">
        <v>54</v>
      </c>
      <c r="H198" s="5" t="s">
        <v>142</v>
      </c>
      <c r="I198" s="6" t="s">
        <v>40</v>
      </c>
      <c r="J198" s="5" t="s">
        <v>8585</v>
      </c>
      <c r="K198" s="5" t="s">
        <v>8586</v>
      </c>
      <c r="L198" s="6" t="s">
        <v>42</v>
      </c>
      <c r="M198" s="5" t="s">
        <v>1959</v>
      </c>
      <c r="N198" s="5" t="s">
        <v>64</v>
      </c>
      <c r="O198" s="5" t="s">
        <v>17066</v>
      </c>
      <c r="P198" s="6">
        <v>4501.0</v>
      </c>
    </row>
    <row r="199" ht="56.25" customHeight="1">
      <c r="A199" s="20" t="s">
        <v>17061</v>
      </c>
      <c r="B199" s="16" t="str">
        <f>image("https://storage.googleapis.com/acdb/accessories/AccessoryGlassmouthBeard1.png")</f>
        <v/>
      </c>
      <c r="C199" s="5" t="s">
        <v>52</v>
      </c>
      <c r="D199" s="5" t="s">
        <v>36</v>
      </c>
      <c r="E199" s="6">
        <v>770.0</v>
      </c>
      <c r="F199" s="6">
        <v>192.0</v>
      </c>
      <c r="G199" s="5" t="s">
        <v>52</v>
      </c>
      <c r="H199" s="5" t="s">
        <v>54</v>
      </c>
      <c r="I199" s="6" t="s">
        <v>40</v>
      </c>
      <c r="J199" s="5" t="s">
        <v>8585</v>
      </c>
      <c r="K199" s="5" t="s">
        <v>8586</v>
      </c>
      <c r="L199" s="6" t="s">
        <v>42</v>
      </c>
      <c r="M199" s="5" t="s">
        <v>1959</v>
      </c>
      <c r="N199" s="5" t="s">
        <v>64</v>
      </c>
      <c r="O199" s="5" t="s">
        <v>17072</v>
      </c>
      <c r="P199" s="6">
        <v>11007.0</v>
      </c>
    </row>
    <row r="200" ht="56.25" customHeight="1">
      <c r="A200" s="20" t="s">
        <v>17073</v>
      </c>
      <c r="B200" s="16" t="str">
        <f>image("https://storage.googleapis.com/acdb/accessories/AccessoryGlassStar0.png")</f>
        <v/>
      </c>
      <c r="C200" s="5" t="s">
        <v>114</v>
      </c>
      <c r="D200" s="5" t="s">
        <v>36</v>
      </c>
      <c r="E200" s="6">
        <v>880.0</v>
      </c>
      <c r="F200" s="6">
        <v>220.0</v>
      </c>
      <c r="G200" s="5" t="s">
        <v>114</v>
      </c>
      <c r="H200" s="5" t="s">
        <v>54</v>
      </c>
      <c r="I200" s="6" t="s">
        <v>40</v>
      </c>
      <c r="J200" s="5" t="s">
        <v>8585</v>
      </c>
      <c r="K200" s="5" t="s">
        <v>8632</v>
      </c>
      <c r="L200" s="6" t="s">
        <v>42</v>
      </c>
      <c r="M200" s="5" t="s">
        <v>1959</v>
      </c>
      <c r="N200" s="5" t="s">
        <v>64</v>
      </c>
      <c r="O200" s="5" t="s">
        <v>17077</v>
      </c>
      <c r="P200" s="6">
        <v>4240.0</v>
      </c>
    </row>
    <row r="201" ht="56.25" customHeight="1">
      <c r="A201" s="20" t="s">
        <v>17073</v>
      </c>
      <c r="B201" s="16" t="str">
        <f>image("https://storage.googleapis.com/acdb/accessories/AccessoryGlassStar1.png")</f>
        <v/>
      </c>
      <c r="C201" s="5" t="s">
        <v>69</v>
      </c>
      <c r="D201" s="5" t="s">
        <v>36</v>
      </c>
      <c r="E201" s="6">
        <v>880.0</v>
      </c>
      <c r="F201" s="6">
        <v>220.0</v>
      </c>
      <c r="G201" s="5" t="s">
        <v>69</v>
      </c>
      <c r="H201" s="5" t="s">
        <v>54</v>
      </c>
      <c r="I201" s="6" t="s">
        <v>40</v>
      </c>
      <c r="J201" s="5" t="s">
        <v>8585</v>
      </c>
      <c r="K201" s="5" t="s">
        <v>8632</v>
      </c>
      <c r="L201" s="6" t="s">
        <v>42</v>
      </c>
      <c r="M201" s="5" t="s">
        <v>1959</v>
      </c>
      <c r="N201" s="5" t="s">
        <v>64</v>
      </c>
      <c r="O201" s="5" t="s">
        <v>17083</v>
      </c>
      <c r="P201" s="6">
        <v>11192.0</v>
      </c>
    </row>
    <row r="202" ht="56.25" customHeight="1">
      <c r="A202" s="20" t="s">
        <v>17073</v>
      </c>
      <c r="B202" s="16" t="str">
        <f>image("https://storage.googleapis.com/acdb/accessories/AccessoryGlassStar2.png")</f>
        <v/>
      </c>
      <c r="C202" s="5" t="s">
        <v>68</v>
      </c>
      <c r="D202" s="5" t="s">
        <v>36</v>
      </c>
      <c r="E202" s="6">
        <v>880.0</v>
      </c>
      <c r="F202" s="6">
        <v>220.0</v>
      </c>
      <c r="G202" s="5" t="s">
        <v>83</v>
      </c>
      <c r="H202" s="5" t="s">
        <v>54</v>
      </c>
      <c r="I202" s="6" t="s">
        <v>40</v>
      </c>
      <c r="J202" s="5" t="s">
        <v>8585</v>
      </c>
      <c r="K202" s="5" t="s">
        <v>8632</v>
      </c>
      <c r="L202" s="6" t="s">
        <v>42</v>
      </c>
      <c r="M202" s="5" t="s">
        <v>1959</v>
      </c>
      <c r="N202" s="5" t="s">
        <v>64</v>
      </c>
      <c r="O202" s="5" t="s">
        <v>17088</v>
      </c>
      <c r="P202" s="6">
        <v>11193.0</v>
      </c>
    </row>
    <row r="203" ht="56.25" customHeight="1">
      <c r="A203" s="20" t="s">
        <v>17073</v>
      </c>
      <c r="B203" s="16" t="str">
        <f>image("https://storage.googleapis.com/acdb/accessories/AccessoryGlassStar3.png")</f>
        <v/>
      </c>
      <c r="C203" s="5" t="s">
        <v>106</v>
      </c>
      <c r="D203" s="5" t="s">
        <v>36</v>
      </c>
      <c r="E203" s="6">
        <v>880.0</v>
      </c>
      <c r="F203" s="6">
        <v>220.0</v>
      </c>
      <c r="G203" s="5" t="s">
        <v>106</v>
      </c>
      <c r="H203" s="5" t="s">
        <v>54</v>
      </c>
      <c r="I203" s="6" t="s">
        <v>40</v>
      </c>
      <c r="J203" s="5" t="s">
        <v>8585</v>
      </c>
      <c r="K203" s="5" t="s">
        <v>8632</v>
      </c>
      <c r="L203" s="6" t="s">
        <v>42</v>
      </c>
      <c r="M203" s="5" t="s">
        <v>1959</v>
      </c>
      <c r="N203" s="5" t="s">
        <v>64</v>
      </c>
      <c r="O203" s="5" t="s">
        <v>17094</v>
      </c>
      <c r="P203" s="6">
        <v>11194.0</v>
      </c>
    </row>
    <row r="204" ht="56.25" customHeight="1">
      <c r="A204" s="20" t="s">
        <v>17073</v>
      </c>
      <c r="B204" s="16" t="str">
        <f>image("https://storage.googleapis.com/acdb/accessories/AccessoryGlassStar4.png")</f>
        <v/>
      </c>
      <c r="C204" s="5" t="s">
        <v>96</v>
      </c>
      <c r="D204" s="5" t="s">
        <v>36</v>
      </c>
      <c r="E204" s="6">
        <v>880.0</v>
      </c>
      <c r="F204" s="6">
        <v>220.0</v>
      </c>
      <c r="G204" s="5" t="s">
        <v>96</v>
      </c>
      <c r="H204" s="5" t="s">
        <v>54</v>
      </c>
      <c r="I204" s="6" t="s">
        <v>40</v>
      </c>
      <c r="J204" s="5" t="s">
        <v>8585</v>
      </c>
      <c r="K204" s="5" t="s">
        <v>8632</v>
      </c>
      <c r="L204" s="6" t="s">
        <v>42</v>
      </c>
      <c r="M204" s="5" t="s">
        <v>1959</v>
      </c>
      <c r="N204" s="5" t="s">
        <v>64</v>
      </c>
      <c r="O204" s="5" t="s">
        <v>17100</v>
      </c>
      <c r="P204" s="6">
        <v>11195.0</v>
      </c>
    </row>
    <row r="205" ht="56.25" customHeight="1">
      <c r="A205" s="20" t="s">
        <v>17101</v>
      </c>
      <c r="B205" s="16" t="str">
        <f>image("https://storage.googleapis.com/acdb/accessories/AccessoryGlassSteampunk0.png")</f>
        <v/>
      </c>
      <c r="C205" s="5" t="s">
        <v>96</v>
      </c>
      <c r="D205" s="5" t="s">
        <v>36</v>
      </c>
      <c r="E205" s="6">
        <v>1300.0</v>
      </c>
      <c r="F205" s="6">
        <v>325.0</v>
      </c>
      <c r="G205" s="5" t="s">
        <v>39</v>
      </c>
      <c r="H205" s="5" t="s">
        <v>96</v>
      </c>
      <c r="I205" s="6" t="s">
        <v>40</v>
      </c>
      <c r="J205" s="5" t="s">
        <v>8585</v>
      </c>
      <c r="K205" s="5" t="s">
        <v>8586</v>
      </c>
      <c r="L205" s="6" t="s">
        <v>42</v>
      </c>
      <c r="M205" s="5" t="s">
        <v>612</v>
      </c>
      <c r="N205" s="5" t="s">
        <v>64</v>
      </c>
      <c r="O205" s="5" t="s">
        <v>17105</v>
      </c>
      <c r="P205" s="6">
        <v>4685.0</v>
      </c>
    </row>
    <row r="206" ht="56.25" customHeight="1">
      <c r="A206" s="20" t="s">
        <v>17101</v>
      </c>
      <c r="B206" s="16" t="str">
        <f>image("https://storage.googleapis.com/acdb/accessories/AccessoryGlassSteampunk1.png")</f>
        <v/>
      </c>
      <c r="C206" s="5" t="s">
        <v>106</v>
      </c>
      <c r="D206" s="5" t="s">
        <v>36</v>
      </c>
      <c r="E206" s="6">
        <v>1300.0</v>
      </c>
      <c r="F206" s="6">
        <v>325.0</v>
      </c>
      <c r="G206" s="5" t="s">
        <v>39</v>
      </c>
      <c r="H206" s="5" t="s">
        <v>106</v>
      </c>
      <c r="I206" s="6" t="s">
        <v>40</v>
      </c>
      <c r="J206" s="5" t="s">
        <v>8585</v>
      </c>
      <c r="K206" s="5" t="s">
        <v>8586</v>
      </c>
      <c r="L206" s="6" t="s">
        <v>42</v>
      </c>
      <c r="M206" s="5" t="s">
        <v>612</v>
      </c>
      <c r="N206" s="5" t="s">
        <v>64</v>
      </c>
      <c r="O206" s="5" t="s">
        <v>17108</v>
      </c>
      <c r="P206" s="6">
        <v>11505.0</v>
      </c>
    </row>
    <row r="207" ht="56.25" customHeight="1">
      <c r="A207" s="20" t="s">
        <v>17109</v>
      </c>
      <c r="B207" s="16" t="str">
        <f>image("https://storage.googleapis.com/acdb/accessories/AccessoryMouthRice.png")</f>
        <v/>
      </c>
      <c r="C207" s="5" t="s">
        <v>57</v>
      </c>
      <c r="D207" s="5" t="s">
        <v>36</v>
      </c>
      <c r="E207" s="6">
        <v>490.0</v>
      </c>
      <c r="F207" s="6">
        <v>122.0</v>
      </c>
      <c r="G207" s="5" t="s">
        <v>57</v>
      </c>
      <c r="H207" s="5" t="s">
        <v>57</v>
      </c>
      <c r="I207" s="6" t="s">
        <v>40</v>
      </c>
      <c r="J207" s="5" t="s">
        <v>8585</v>
      </c>
      <c r="K207" s="5" t="s">
        <v>8632</v>
      </c>
      <c r="L207" s="6" t="s">
        <v>42</v>
      </c>
      <c r="M207" s="5" t="s">
        <v>995</v>
      </c>
      <c r="N207" s="5" t="s">
        <v>64</v>
      </c>
      <c r="O207" s="5" t="s">
        <v>17113</v>
      </c>
      <c r="P207" s="6">
        <v>4652.0</v>
      </c>
    </row>
    <row r="208" ht="56.25" customHeight="1">
      <c r="A208" s="20" t="s">
        <v>17114</v>
      </c>
      <c r="B208" s="16" t="str">
        <f>image("https://storage.googleapis.com/acdb/accessories/AccessoryGlassHeromaskBlack.png")</f>
        <v/>
      </c>
      <c r="C208" s="5" t="s">
        <v>54</v>
      </c>
      <c r="D208" s="5" t="s">
        <v>36</v>
      </c>
      <c r="E208" s="6">
        <v>1040.0</v>
      </c>
      <c r="F208" s="6">
        <v>260.0</v>
      </c>
      <c r="G208" s="5" t="s">
        <v>54</v>
      </c>
      <c r="H208" s="5" t="s">
        <v>54</v>
      </c>
      <c r="I208" s="6" t="s">
        <v>40</v>
      </c>
      <c r="J208" s="5" t="s">
        <v>8585</v>
      </c>
      <c r="K208" s="5" t="s">
        <v>8586</v>
      </c>
      <c r="L208" s="6" t="s">
        <v>42</v>
      </c>
      <c r="M208" s="5" t="s">
        <v>1952</v>
      </c>
      <c r="N208" s="5" t="s">
        <v>64</v>
      </c>
      <c r="O208" s="5" t="s">
        <v>17117</v>
      </c>
      <c r="P208" s="6">
        <v>4684.0</v>
      </c>
    </row>
    <row r="209" ht="56.25" customHeight="1">
      <c r="A209" s="20" t="s">
        <v>17118</v>
      </c>
      <c r="B209" s="16" t="str">
        <f>image("https://storage.googleapis.com/acdb/accessories/AccessoryGlassMini0.png")</f>
        <v/>
      </c>
      <c r="C209" s="5" t="s">
        <v>151</v>
      </c>
      <c r="D209" s="5" t="s">
        <v>36</v>
      </c>
      <c r="E209" s="6">
        <v>1100.0</v>
      </c>
      <c r="F209" s="6">
        <v>275.0</v>
      </c>
      <c r="G209" s="5" t="s">
        <v>114</v>
      </c>
      <c r="H209" s="5" t="s">
        <v>54</v>
      </c>
      <c r="I209" s="6" t="s">
        <v>40</v>
      </c>
      <c r="J209" s="5" t="s">
        <v>8585</v>
      </c>
      <c r="K209" s="5" t="s">
        <v>8632</v>
      </c>
      <c r="L209" s="6" t="s">
        <v>42</v>
      </c>
      <c r="M209" s="5" t="s">
        <v>1952</v>
      </c>
      <c r="N209" s="5" t="s">
        <v>64</v>
      </c>
      <c r="O209" s="5" t="s">
        <v>17121</v>
      </c>
      <c r="P209" s="6">
        <v>4461.0</v>
      </c>
    </row>
    <row r="210" ht="56.25" customHeight="1">
      <c r="A210" s="20" t="s">
        <v>17118</v>
      </c>
      <c r="B210" s="16" t="str">
        <f>image("https://storage.googleapis.com/acdb/accessories/AccessoryGlassMini1.png")</f>
        <v/>
      </c>
      <c r="C210" s="5" t="s">
        <v>54</v>
      </c>
      <c r="D210" s="5" t="s">
        <v>36</v>
      </c>
      <c r="E210" s="6">
        <v>1100.0</v>
      </c>
      <c r="F210" s="6">
        <v>275.0</v>
      </c>
      <c r="G210" s="5" t="s">
        <v>54</v>
      </c>
      <c r="H210" s="5" t="s">
        <v>54</v>
      </c>
      <c r="I210" s="6" t="s">
        <v>40</v>
      </c>
      <c r="J210" s="5" t="s">
        <v>8585</v>
      </c>
      <c r="K210" s="5" t="s">
        <v>8632</v>
      </c>
      <c r="L210" s="6" t="s">
        <v>42</v>
      </c>
      <c r="M210" s="5" t="s">
        <v>1952</v>
      </c>
      <c r="N210" s="5" t="s">
        <v>64</v>
      </c>
      <c r="O210" s="5" t="s">
        <v>17126</v>
      </c>
      <c r="P210" s="6">
        <v>11215.0</v>
      </c>
    </row>
    <row r="211" ht="56.25" customHeight="1">
      <c r="A211" s="20" t="s">
        <v>17118</v>
      </c>
      <c r="B211" s="16" t="str">
        <f>image("https://storage.googleapis.com/acdb/accessories/AccessoryGlassMini2.png")</f>
        <v/>
      </c>
      <c r="C211" s="5" t="s">
        <v>4883</v>
      </c>
      <c r="D211" s="5" t="s">
        <v>36</v>
      </c>
      <c r="E211" s="6">
        <v>1100.0</v>
      </c>
      <c r="F211" s="6">
        <v>275.0</v>
      </c>
      <c r="G211" s="5" t="s">
        <v>52</v>
      </c>
      <c r="H211" s="5" t="s">
        <v>54</v>
      </c>
      <c r="I211" s="6" t="s">
        <v>40</v>
      </c>
      <c r="J211" s="5" t="s">
        <v>8585</v>
      </c>
      <c r="K211" s="5" t="s">
        <v>8632</v>
      </c>
      <c r="L211" s="6" t="s">
        <v>42</v>
      </c>
      <c r="M211" s="5" t="s">
        <v>1952</v>
      </c>
      <c r="N211" s="5" t="s">
        <v>64</v>
      </c>
      <c r="O211" s="5" t="s">
        <v>17128</v>
      </c>
      <c r="P211" s="6">
        <v>11216.0</v>
      </c>
    </row>
    <row r="212" ht="56.25" customHeight="1">
      <c r="A212" s="20" t="s">
        <v>17130</v>
      </c>
      <c r="B212" s="16" t="str">
        <f>image("https://storage.googleapis.com/acdb/accessories/AccessoryGlassTortoiseshell0.png")</f>
        <v/>
      </c>
      <c r="C212" s="5" t="s">
        <v>39</v>
      </c>
      <c r="D212" s="5" t="s">
        <v>36</v>
      </c>
      <c r="E212" s="6">
        <v>1040.0</v>
      </c>
      <c r="F212" s="6">
        <v>260.0</v>
      </c>
      <c r="G212" s="5" t="s">
        <v>39</v>
      </c>
      <c r="H212" s="5" t="s">
        <v>142</v>
      </c>
      <c r="I212" s="6" t="s">
        <v>40</v>
      </c>
      <c r="J212" s="5" t="s">
        <v>8585</v>
      </c>
      <c r="K212" s="5" t="s">
        <v>8632</v>
      </c>
      <c r="L212" s="6" t="s">
        <v>42</v>
      </c>
      <c r="M212" s="5" t="s">
        <v>995</v>
      </c>
      <c r="N212" s="5" t="s">
        <v>64</v>
      </c>
      <c r="O212" s="5" t="s">
        <v>17132</v>
      </c>
      <c r="P212" s="6">
        <v>4460.0</v>
      </c>
    </row>
    <row r="213" ht="56.25" customHeight="1">
      <c r="A213" s="20" t="s">
        <v>17130</v>
      </c>
      <c r="B213" s="16" t="str">
        <f>image("https://storage.googleapis.com/acdb/accessories/AccessoryGlassTortoiseshell1.png")</f>
        <v/>
      </c>
      <c r="C213" s="5" t="s">
        <v>38</v>
      </c>
      <c r="D213" s="5" t="s">
        <v>36</v>
      </c>
      <c r="E213" s="6">
        <v>1040.0</v>
      </c>
      <c r="F213" s="6">
        <v>260.0</v>
      </c>
      <c r="G213" s="5" t="s">
        <v>142</v>
      </c>
      <c r="H213" s="5" t="s">
        <v>38</v>
      </c>
      <c r="I213" s="6" t="s">
        <v>40</v>
      </c>
      <c r="J213" s="5" t="s">
        <v>8585</v>
      </c>
      <c r="K213" s="5" t="s">
        <v>8632</v>
      </c>
      <c r="L213" s="6" t="s">
        <v>42</v>
      </c>
      <c r="M213" s="5" t="s">
        <v>995</v>
      </c>
      <c r="N213" s="5" t="s">
        <v>64</v>
      </c>
      <c r="O213" s="5" t="s">
        <v>17138</v>
      </c>
      <c r="P213" s="6">
        <v>11079.0</v>
      </c>
    </row>
    <row r="214" ht="56.25" customHeight="1">
      <c r="A214" s="20" t="s">
        <v>17130</v>
      </c>
      <c r="B214" s="16" t="str">
        <f>image("https://storage.googleapis.com/acdb/accessories/AccessoryGlassTortoiseshell2.png")</f>
        <v/>
      </c>
      <c r="C214" s="5" t="s">
        <v>54</v>
      </c>
      <c r="D214" s="5" t="s">
        <v>36</v>
      </c>
      <c r="E214" s="6">
        <v>1040.0</v>
      </c>
      <c r="F214" s="6">
        <v>260.0</v>
      </c>
      <c r="G214" s="5" t="s">
        <v>54</v>
      </c>
      <c r="H214" s="5" t="s">
        <v>38</v>
      </c>
      <c r="I214" s="6" t="s">
        <v>40</v>
      </c>
      <c r="J214" s="5" t="s">
        <v>8585</v>
      </c>
      <c r="K214" s="5" t="s">
        <v>8632</v>
      </c>
      <c r="L214" s="6" t="s">
        <v>42</v>
      </c>
      <c r="M214" s="5" t="s">
        <v>995</v>
      </c>
      <c r="N214" s="5" t="s">
        <v>64</v>
      </c>
      <c r="O214" s="5" t="s">
        <v>17142</v>
      </c>
      <c r="P214" s="6">
        <v>11080.0</v>
      </c>
    </row>
    <row r="215" ht="56.25" customHeight="1">
      <c r="A215" s="20" t="s">
        <v>17144</v>
      </c>
      <c r="B215" s="16" t="str">
        <f>image("https://storage.googleapis.com/acdb/accessories/AccessoryGlassTriangle0.png")</f>
        <v/>
      </c>
      <c r="C215" s="5" t="s">
        <v>52</v>
      </c>
      <c r="D215" s="5" t="s">
        <v>36</v>
      </c>
      <c r="E215" s="6">
        <v>880.0</v>
      </c>
      <c r="F215" s="6">
        <v>220.0</v>
      </c>
      <c r="G215" s="5" t="s">
        <v>52</v>
      </c>
      <c r="H215" s="5" t="s">
        <v>106</v>
      </c>
      <c r="I215" s="6" t="s">
        <v>40</v>
      </c>
      <c r="J215" s="5" t="s">
        <v>8585</v>
      </c>
      <c r="K215" s="5" t="s">
        <v>8632</v>
      </c>
      <c r="L215" s="6" t="s">
        <v>42</v>
      </c>
      <c r="M215" s="5" t="s">
        <v>1959</v>
      </c>
      <c r="N215" s="5" t="s">
        <v>64</v>
      </c>
      <c r="O215" s="5" t="s">
        <v>17148</v>
      </c>
      <c r="P215" s="6">
        <v>4242.0</v>
      </c>
    </row>
    <row r="216" ht="56.25" customHeight="1">
      <c r="A216" s="20" t="s">
        <v>17144</v>
      </c>
      <c r="B216" s="16" t="str">
        <f>image("https://storage.googleapis.com/acdb/accessories/AccessoryGlassTriangle1.png")</f>
        <v/>
      </c>
      <c r="C216" s="5" t="s">
        <v>142</v>
      </c>
      <c r="D216" s="5" t="s">
        <v>36</v>
      </c>
      <c r="E216" s="6">
        <v>880.0</v>
      </c>
      <c r="F216" s="6">
        <v>220.0</v>
      </c>
      <c r="G216" s="5" t="s">
        <v>142</v>
      </c>
      <c r="H216" s="5" t="s">
        <v>106</v>
      </c>
      <c r="I216" s="6" t="s">
        <v>40</v>
      </c>
      <c r="J216" s="5" t="s">
        <v>8585</v>
      </c>
      <c r="K216" s="5" t="s">
        <v>8632</v>
      </c>
      <c r="L216" s="6" t="s">
        <v>42</v>
      </c>
      <c r="M216" s="5" t="s">
        <v>1959</v>
      </c>
      <c r="N216" s="5" t="s">
        <v>64</v>
      </c>
      <c r="O216" s="5" t="s">
        <v>17152</v>
      </c>
      <c r="P216" s="6">
        <v>11203.0</v>
      </c>
    </row>
    <row r="217" ht="56.25" customHeight="1">
      <c r="A217" s="20" t="s">
        <v>17144</v>
      </c>
      <c r="B217" s="16" t="str">
        <f>image("https://storage.googleapis.com/acdb/accessories/AccessoryGlassTriangle2.png")</f>
        <v/>
      </c>
      <c r="C217" s="5" t="s">
        <v>68</v>
      </c>
      <c r="D217" s="5" t="s">
        <v>36</v>
      </c>
      <c r="E217" s="6">
        <v>880.0</v>
      </c>
      <c r="F217" s="6">
        <v>220.0</v>
      </c>
      <c r="G217" s="5" t="s">
        <v>83</v>
      </c>
      <c r="H217" s="5" t="s">
        <v>106</v>
      </c>
      <c r="I217" s="6" t="s">
        <v>40</v>
      </c>
      <c r="J217" s="5" t="s">
        <v>8585</v>
      </c>
      <c r="K217" s="5" t="s">
        <v>8632</v>
      </c>
      <c r="L217" s="6" t="s">
        <v>42</v>
      </c>
      <c r="M217" s="5" t="s">
        <v>1959</v>
      </c>
      <c r="N217" s="5" t="s">
        <v>64</v>
      </c>
      <c r="O217" s="5" t="s">
        <v>17157</v>
      </c>
      <c r="P217" s="6">
        <v>11204.0</v>
      </c>
    </row>
    <row r="218" ht="56.25" customHeight="1">
      <c r="A218" s="20" t="s">
        <v>17144</v>
      </c>
      <c r="B218" s="16" t="str">
        <f>image("https://storage.googleapis.com/acdb/accessories/AccessoryGlassTriangle3.png")</f>
        <v/>
      </c>
      <c r="C218" s="5" t="s">
        <v>106</v>
      </c>
      <c r="D218" s="5" t="s">
        <v>36</v>
      </c>
      <c r="E218" s="6">
        <v>880.0</v>
      </c>
      <c r="F218" s="6">
        <v>220.0</v>
      </c>
      <c r="G218" s="5" t="s">
        <v>106</v>
      </c>
      <c r="H218" s="5" t="s">
        <v>106</v>
      </c>
      <c r="I218" s="6" t="s">
        <v>40</v>
      </c>
      <c r="J218" s="5" t="s">
        <v>8585</v>
      </c>
      <c r="K218" s="5" t="s">
        <v>8632</v>
      </c>
      <c r="L218" s="6" t="s">
        <v>42</v>
      </c>
      <c r="M218" s="5" t="s">
        <v>1959</v>
      </c>
      <c r="N218" s="5" t="s">
        <v>64</v>
      </c>
      <c r="O218" s="5" t="s">
        <v>17161</v>
      </c>
      <c r="P218" s="6">
        <v>11205.0</v>
      </c>
    </row>
    <row r="219" ht="56.25" customHeight="1">
      <c r="A219" s="20" t="s">
        <v>17144</v>
      </c>
      <c r="B219" s="16" t="str">
        <f>image("https://storage.googleapis.com/acdb/accessories/AccessoryGlassTriangle4.png")</f>
        <v/>
      </c>
      <c r="C219" s="5" t="s">
        <v>96</v>
      </c>
      <c r="D219" s="5" t="s">
        <v>36</v>
      </c>
      <c r="E219" s="6">
        <v>880.0</v>
      </c>
      <c r="F219" s="6">
        <v>220.0</v>
      </c>
      <c r="G219" s="5" t="s">
        <v>96</v>
      </c>
      <c r="H219" s="5" t="s">
        <v>106</v>
      </c>
      <c r="I219" s="6" t="s">
        <v>40</v>
      </c>
      <c r="J219" s="5" t="s">
        <v>8585</v>
      </c>
      <c r="K219" s="5" t="s">
        <v>8632</v>
      </c>
      <c r="L219" s="6" t="s">
        <v>42</v>
      </c>
      <c r="M219" s="5" t="s">
        <v>1959</v>
      </c>
      <c r="N219" s="5" t="s">
        <v>64</v>
      </c>
      <c r="O219" s="5" t="s">
        <v>17166</v>
      </c>
      <c r="P219" s="6">
        <v>11206.0</v>
      </c>
    </row>
    <row r="220" ht="56.25" customHeight="1">
      <c r="A220" s="20" t="s">
        <v>17144</v>
      </c>
      <c r="B220" s="16" t="str">
        <f>image("https://storage.googleapis.com/acdb/accessories/AccessoryGlassTriangle5.png")</f>
        <v/>
      </c>
      <c r="C220" s="5" t="s">
        <v>57</v>
      </c>
      <c r="D220" s="5" t="s">
        <v>36</v>
      </c>
      <c r="E220" s="6">
        <v>880.0</v>
      </c>
      <c r="F220" s="6">
        <v>220.0</v>
      </c>
      <c r="G220" s="5" t="s">
        <v>57</v>
      </c>
      <c r="H220" s="5" t="s">
        <v>106</v>
      </c>
      <c r="I220" s="6" t="s">
        <v>40</v>
      </c>
      <c r="J220" s="5" t="s">
        <v>8585</v>
      </c>
      <c r="K220" s="5" t="s">
        <v>8632</v>
      </c>
      <c r="L220" s="6" t="s">
        <v>42</v>
      </c>
      <c r="M220" s="5" t="s">
        <v>1959</v>
      </c>
      <c r="N220" s="5" t="s">
        <v>64</v>
      </c>
      <c r="O220" s="5" t="s">
        <v>17168</v>
      </c>
      <c r="P220" s="6">
        <v>11207.0</v>
      </c>
    </row>
    <row r="221" ht="56.25" customHeight="1">
      <c r="A221" s="20" t="s">
        <v>17144</v>
      </c>
      <c r="B221" s="16" t="str">
        <f>image("https://storage.googleapis.com/acdb/accessories/AccessoryGlassTriangle6.png")</f>
        <v/>
      </c>
      <c r="C221" s="5" t="s">
        <v>54</v>
      </c>
      <c r="D221" s="5" t="s">
        <v>36</v>
      </c>
      <c r="E221" s="6">
        <v>880.0</v>
      </c>
      <c r="F221" s="6">
        <v>220.0</v>
      </c>
      <c r="G221" s="5" t="s">
        <v>54</v>
      </c>
      <c r="H221" s="5" t="s">
        <v>106</v>
      </c>
      <c r="I221" s="6" t="s">
        <v>40</v>
      </c>
      <c r="J221" s="5" t="s">
        <v>8585</v>
      </c>
      <c r="K221" s="5" t="s">
        <v>8632</v>
      </c>
      <c r="L221" s="6" t="s">
        <v>42</v>
      </c>
      <c r="M221" s="5" t="s">
        <v>1959</v>
      </c>
      <c r="N221" s="5" t="s">
        <v>64</v>
      </c>
      <c r="O221" s="5" t="s">
        <v>17171</v>
      </c>
      <c r="P221" s="6">
        <v>11208.0</v>
      </c>
    </row>
    <row r="222" ht="56.25" customHeight="1">
      <c r="A222" s="20" t="s">
        <v>17172</v>
      </c>
      <c r="B222" s="16" t="str">
        <f>image("https://storage.googleapis.com/acdb/accessories/AccessoryGlassWood0.png")</f>
        <v/>
      </c>
      <c r="C222" s="5" t="s">
        <v>39</v>
      </c>
      <c r="D222" s="5" t="s">
        <v>36</v>
      </c>
      <c r="E222" s="6">
        <v>1560.0</v>
      </c>
      <c r="F222" s="6">
        <v>390.0</v>
      </c>
      <c r="G222" s="5" t="s">
        <v>39</v>
      </c>
      <c r="H222" s="5" t="s">
        <v>95</v>
      </c>
      <c r="I222" s="6" t="s">
        <v>40</v>
      </c>
      <c r="J222" s="5" t="s">
        <v>8585</v>
      </c>
      <c r="K222" s="5" t="s">
        <v>8632</v>
      </c>
      <c r="L222" s="6" t="s">
        <v>42</v>
      </c>
      <c r="M222" s="5" t="s">
        <v>995</v>
      </c>
      <c r="N222" s="5" t="s">
        <v>64</v>
      </c>
      <c r="O222" s="5" t="s">
        <v>17174</v>
      </c>
      <c r="P222" s="6">
        <v>4669.0</v>
      </c>
    </row>
    <row r="223" ht="56.25" customHeight="1">
      <c r="A223" s="20" t="s">
        <v>17172</v>
      </c>
      <c r="B223" s="16" t="str">
        <f>image("https://storage.googleapis.com/acdb/accessories/AccessoryGlassWood1.png")</f>
        <v/>
      </c>
      <c r="C223" s="5" t="s">
        <v>387</v>
      </c>
      <c r="D223" s="5" t="s">
        <v>36</v>
      </c>
      <c r="E223" s="6">
        <v>1560.0</v>
      </c>
      <c r="F223" s="6">
        <v>390.0</v>
      </c>
      <c r="G223" s="5" t="s">
        <v>39</v>
      </c>
      <c r="H223" s="5" t="s">
        <v>114</v>
      </c>
      <c r="I223" s="6" t="s">
        <v>40</v>
      </c>
      <c r="J223" s="5" t="s">
        <v>8585</v>
      </c>
      <c r="K223" s="5" t="s">
        <v>8632</v>
      </c>
      <c r="L223" s="6" t="s">
        <v>42</v>
      </c>
      <c r="M223" s="5" t="s">
        <v>995</v>
      </c>
      <c r="N223" s="5" t="s">
        <v>64</v>
      </c>
      <c r="O223" s="5" t="s">
        <v>17177</v>
      </c>
      <c r="P223" s="6">
        <v>11093.0</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3" width="10.86"/>
    <col customWidth="1" min="4" max="4" width="4.43"/>
    <col customWidth="1" min="5" max="6" width="5.86"/>
    <col customWidth="1" min="7" max="8" width="8.0"/>
    <col customWidth="1" min="9" max="9" width="5.14"/>
    <col customWidth="1" min="10" max="10" width="12.29"/>
    <col customWidth="1" min="11" max="11" width="25.14"/>
    <col customWidth="1" min="12" max="12" width="8.0"/>
    <col customWidth="1" min="13" max="13" width="9.43"/>
    <col customWidth="1" min="14" max="14" width="8.0"/>
    <col customWidth="1" min="15" max="15" width="10.86"/>
    <col customWidth="1" min="16" max="16" width="8.0"/>
  </cols>
  <sheetData>
    <row r="1" ht="26.25" customHeight="1">
      <c r="A1" s="1" t="s">
        <v>0</v>
      </c>
      <c r="B1" s="2" t="s">
        <v>1</v>
      </c>
      <c r="C1" s="1" t="s">
        <v>2</v>
      </c>
      <c r="D1" s="1" t="s">
        <v>6</v>
      </c>
      <c r="E1" s="2" t="s">
        <v>10</v>
      </c>
      <c r="F1" s="2" t="s">
        <v>11</v>
      </c>
      <c r="G1" s="1" t="s">
        <v>12</v>
      </c>
      <c r="H1" s="1" t="s">
        <v>13</v>
      </c>
      <c r="I1" s="2" t="s">
        <v>14</v>
      </c>
      <c r="J1" s="1" t="s">
        <v>15</v>
      </c>
      <c r="K1" s="1" t="s">
        <v>16</v>
      </c>
      <c r="L1" s="2" t="s">
        <v>17</v>
      </c>
      <c r="M1" s="1" t="s">
        <v>8575</v>
      </c>
      <c r="N1" s="1" t="s">
        <v>26</v>
      </c>
      <c r="O1" s="1" t="s">
        <v>27</v>
      </c>
      <c r="P1" s="2" t="s">
        <v>29</v>
      </c>
    </row>
    <row r="2" ht="56.25" customHeight="1">
      <c r="A2" s="5" t="s">
        <v>17199</v>
      </c>
      <c r="B2" s="6" t="str">
        <f>IMAGE("https://storage.googleapis.com/acdb/socks/SocksTexAerobics1.png")</f>
        <v/>
      </c>
      <c r="C2" s="5" t="s">
        <v>17201</v>
      </c>
      <c r="D2" s="5" t="s">
        <v>36</v>
      </c>
      <c r="E2" s="6">
        <v>700.0</v>
      </c>
      <c r="F2" s="6">
        <v>175.0</v>
      </c>
      <c r="G2" s="5" t="s">
        <v>96</v>
      </c>
      <c r="H2" s="5" t="s">
        <v>83</v>
      </c>
      <c r="I2" s="6" t="s">
        <v>40</v>
      </c>
      <c r="J2" s="5" t="s">
        <v>17203</v>
      </c>
      <c r="K2" s="5"/>
      <c r="L2" s="6" t="s">
        <v>42</v>
      </c>
      <c r="M2" s="5" t="s">
        <v>8746</v>
      </c>
      <c r="N2" s="5" t="s">
        <v>64</v>
      </c>
      <c r="O2" s="5" t="s">
        <v>17206</v>
      </c>
      <c r="P2" s="6">
        <v>9794.0</v>
      </c>
    </row>
    <row r="3" ht="56.25" customHeight="1">
      <c r="A3" s="5" t="s">
        <v>17199</v>
      </c>
      <c r="B3" s="6" t="str">
        <f>IMAGE("https://storage.googleapis.com/acdb/socks/SocksTexAerobics2.png")</f>
        <v/>
      </c>
      <c r="C3" s="5" t="s">
        <v>17209</v>
      </c>
      <c r="D3" s="5" t="s">
        <v>36</v>
      </c>
      <c r="E3" s="6">
        <v>700.0</v>
      </c>
      <c r="F3" s="6">
        <v>175.0</v>
      </c>
      <c r="G3" s="5" t="s">
        <v>142</v>
      </c>
      <c r="H3" s="5" t="s">
        <v>106</v>
      </c>
      <c r="I3" s="6" t="s">
        <v>40</v>
      </c>
      <c r="J3" s="5" t="s">
        <v>17203</v>
      </c>
      <c r="K3" s="5"/>
      <c r="L3" s="6" t="s">
        <v>42</v>
      </c>
      <c r="M3" s="5" t="s">
        <v>8746</v>
      </c>
      <c r="N3" s="5" t="s">
        <v>64</v>
      </c>
      <c r="O3" s="5" t="s">
        <v>17212</v>
      </c>
      <c r="P3" s="6">
        <v>9795.0</v>
      </c>
    </row>
    <row r="4" ht="56.25" customHeight="1">
      <c r="A4" s="5" t="s">
        <v>17199</v>
      </c>
      <c r="B4" s="6" t="str">
        <f>IMAGE("https://storage.googleapis.com/acdb/socks/SocksTexAerobics3.png")</f>
        <v/>
      </c>
      <c r="C4" s="5" t="s">
        <v>17215</v>
      </c>
      <c r="D4" s="5" t="s">
        <v>36</v>
      </c>
      <c r="E4" s="6">
        <v>700.0</v>
      </c>
      <c r="F4" s="6">
        <v>175.0</v>
      </c>
      <c r="G4" s="5" t="s">
        <v>69</v>
      </c>
      <c r="H4" s="5" t="s">
        <v>83</v>
      </c>
      <c r="I4" s="6" t="s">
        <v>40</v>
      </c>
      <c r="J4" s="5" t="s">
        <v>17203</v>
      </c>
      <c r="K4" s="5"/>
      <c r="L4" s="6" t="s">
        <v>42</v>
      </c>
      <c r="M4" s="5" t="s">
        <v>8746</v>
      </c>
      <c r="N4" s="5" t="s">
        <v>64</v>
      </c>
      <c r="O4" s="5" t="s">
        <v>17217</v>
      </c>
      <c r="P4" s="6">
        <v>9796.0</v>
      </c>
    </row>
    <row r="5" ht="56.25" customHeight="1">
      <c r="A5" s="5" t="s">
        <v>17199</v>
      </c>
      <c r="B5" s="6" t="str">
        <f>IMAGE("https://storage.googleapis.com/acdb/socks/SocksTexAerobics4.png")</f>
        <v/>
      </c>
      <c r="C5" s="5" t="s">
        <v>17222</v>
      </c>
      <c r="D5" s="5" t="s">
        <v>36</v>
      </c>
      <c r="E5" s="6">
        <v>700.0</v>
      </c>
      <c r="F5" s="6">
        <v>175.0</v>
      </c>
      <c r="G5" s="5" t="s">
        <v>68</v>
      </c>
      <c r="H5" s="5" t="s">
        <v>114</v>
      </c>
      <c r="I5" s="6" t="s">
        <v>40</v>
      </c>
      <c r="J5" s="5" t="s">
        <v>17203</v>
      </c>
      <c r="K5" s="5"/>
      <c r="L5" s="6" t="s">
        <v>42</v>
      </c>
      <c r="M5" s="5" t="s">
        <v>8746</v>
      </c>
      <c r="N5" s="5" t="s">
        <v>64</v>
      </c>
      <c r="O5" s="5" t="s">
        <v>17224</v>
      </c>
      <c r="P5" s="6">
        <v>9797.0</v>
      </c>
    </row>
    <row r="6" ht="56.25" customHeight="1">
      <c r="A6" s="5" t="s">
        <v>17199</v>
      </c>
      <c r="B6" s="6" t="str">
        <f>IMAGE("https://storage.googleapis.com/acdb/socks/SocksTexAerobics0.png")</f>
        <v/>
      </c>
      <c r="C6" s="5" t="s">
        <v>17227</v>
      </c>
      <c r="D6" s="5" t="s">
        <v>36</v>
      </c>
      <c r="E6" s="6">
        <v>700.0</v>
      </c>
      <c r="F6" s="6">
        <v>175.0</v>
      </c>
      <c r="G6" s="5" t="s">
        <v>69</v>
      </c>
      <c r="H6" s="5" t="s">
        <v>52</v>
      </c>
      <c r="I6" s="6" t="s">
        <v>40</v>
      </c>
      <c r="J6" s="5" t="s">
        <v>17203</v>
      </c>
      <c r="K6" s="5"/>
      <c r="L6" s="6" t="s">
        <v>42</v>
      </c>
      <c r="M6" s="5" t="s">
        <v>8746</v>
      </c>
      <c r="N6" s="5" t="s">
        <v>64</v>
      </c>
      <c r="O6" s="5" t="s">
        <v>17230</v>
      </c>
      <c r="P6" s="6">
        <v>5197.0</v>
      </c>
    </row>
    <row r="7" ht="56.25" customHeight="1">
      <c r="A7" s="5" t="s">
        <v>17231</v>
      </c>
      <c r="B7" s="6" t="str">
        <f>IMAGE("https://storage.googleapis.com/acdb/socks/SocksTexAlan1.png")</f>
        <v/>
      </c>
      <c r="C7" s="5" t="s">
        <v>57</v>
      </c>
      <c r="D7" s="5" t="s">
        <v>36</v>
      </c>
      <c r="E7" s="6">
        <v>720.0</v>
      </c>
      <c r="F7" s="6">
        <v>180.0</v>
      </c>
      <c r="G7" s="5" t="s">
        <v>57</v>
      </c>
      <c r="H7" s="5" t="s">
        <v>57</v>
      </c>
      <c r="I7" s="6" t="s">
        <v>40</v>
      </c>
      <c r="J7" s="5" t="s">
        <v>8585</v>
      </c>
      <c r="K7" s="5" t="s">
        <v>8632</v>
      </c>
      <c r="L7" s="6" t="s">
        <v>42</v>
      </c>
      <c r="M7" s="5" t="s">
        <v>995</v>
      </c>
      <c r="N7" s="5" t="s">
        <v>64</v>
      </c>
      <c r="O7" s="5" t="s">
        <v>17236</v>
      </c>
      <c r="P7" s="6">
        <v>9058.0</v>
      </c>
    </row>
    <row r="8" ht="56.25" customHeight="1">
      <c r="A8" s="5" t="s">
        <v>17231</v>
      </c>
      <c r="B8" s="6" t="str">
        <f>IMAGE("https://storage.googleapis.com/acdb/socks/SocksTexAlan2.png")</f>
        <v/>
      </c>
      <c r="C8" s="5" t="s">
        <v>52</v>
      </c>
      <c r="D8" s="5" t="s">
        <v>36</v>
      </c>
      <c r="E8" s="6">
        <v>720.0</v>
      </c>
      <c r="F8" s="6">
        <v>180.0</v>
      </c>
      <c r="G8" s="5" t="s">
        <v>52</v>
      </c>
      <c r="H8" s="5" t="s">
        <v>52</v>
      </c>
      <c r="I8" s="6" t="s">
        <v>40</v>
      </c>
      <c r="J8" s="5" t="s">
        <v>8585</v>
      </c>
      <c r="K8" s="5" t="s">
        <v>8632</v>
      </c>
      <c r="L8" s="6" t="s">
        <v>42</v>
      </c>
      <c r="M8" s="5" t="s">
        <v>995</v>
      </c>
      <c r="N8" s="5" t="s">
        <v>64</v>
      </c>
      <c r="O8" s="5" t="s">
        <v>17240</v>
      </c>
      <c r="P8" s="6">
        <v>9059.0</v>
      </c>
    </row>
    <row r="9" ht="56.25" customHeight="1">
      <c r="A9" s="5" t="s">
        <v>17231</v>
      </c>
      <c r="B9" s="6" t="str">
        <f>IMAGE("https://storage.googleapis.com/acdb/socks/SocksTexAlan3.png")</f>
        <v/>
      </c>
      <c r="C9" s="5" t="s">
        <v>96</v>
      </c>
      <c r="D9" s="5" t="s">
        <v>36</v>
      </c>
      <c r="E9" s="6">
        <v>720.0</v>
      </c>
      <c r="F9" s="6">
        <v>180.0</v>
      </c>
      <c r="G9" s="5" t="s">
        <v>96</v>
      </c>
      <c r="H9" s="5" t="s">
        <v>96</v>
      </c>
      <c r="I9" s="6" t="s">
        <v>40</v>
      </c>
      <c r="J9" s="5" t="s">
        <v>8585</v>
      </c>
      <c r="K9" s="5" t="s">
        <v>8632</v>
      </c>
      <c r="L9" s="6" t="s">
        <v>42</v>
      </c>
      <c r="M9" s="5" t="s">
        <v>995</v>
      </c>
      <c r="N9" s="5" t="s">
        <v>64</v>
      </c>
      <c r="O9" s="5" t="s">
        <v>17246</v>
      </c>
      <c r="P9" s="6">
        <v>9060.0</v>
      </c>
    </row>
    <row r="10" ht="56.25" customHeight="1">
      <c r="A10" s="5" t="s">
        <v>17231</v>
      </c>
      <c r="B10" s="6" t="str">
        <f>IMAGE("https://storage.googleapis.com/acdb/socks/SocksTexAlan4.png")</f>
        <v/>
      </c>
      <c r="C10" s="5" t="s">
        <v>68</v>
      </c>
      <c r="D10" s="5" t="s">
        <v>36</v>
      </c>
      <c r="E10" s="6">
        <v>720.0</v>
      </c>
      <c r="F10" s="6">
        <v>180.0</v>
      </c>
      <c r="G10" s="5" t="s">
        <v>68</v>
      </c>
      <c r="H10" s="5" t="s">
        <v>68</v>
      </c>
      <c r="I10" s="6" t="s">
        <v>40</v>
      </c>
      <c r="J10" s="5" t="s">
        <v>8585</v>
      </c>
      <c r="K10" s="5" t="s">
        <v>8632</v>
      </c>
      <c r="L10" s="6" t="s">
        <v>42</v>
      </c>
      <c r="M10" s="5" t="s">
        <v>995</v>
      </c>
      <c r="N10" s="5" t="s">
        <v>64</v>
      </c>
      <c r="O10" s="5" t="s">
        <v>17251</v>
      </c>
      <c r="P10" s="6">
        <v>9061.0</v>
      </c>
    </row>
    <row r="11" ht="56.25" customHeight="1">
      <c r="A11" s="5" t="s">
        <v>17231</v>
      </c>
      <c r="B11" s="6" t="str">
        <f>IMAGE("https://storage.googleapis.com/acdb/socks/SocksTexAlan5.png")</f>
        <v/>
      </c>
      <c r="C11" s="5" t="s">
        <v>54</v>
      </c>
      <c r="D11" s="5" t="s">
        <v>36</v>
      </c>
      <c r="E11" s="6">
        <v>720.0</v>
      </c>
      <c r="F11" s="6">
        <v>180.0</v>
      </c>
      <c r="G11" s="5" t="s">
        <v>54</v>
      </c>
      <c r="H11" s="5" t="s">
        <v>54</v>
      </c>
      <c r="I11" s="6" t="s">
        <v>40</v>
      </c>
      <c r="J11" s="5" t="s">
        <v>8585</v>
      </c>
      <c r="K11" s="5" t="s">
        <v>8632</v>
      </c>
      <c r="L11" s="6" t="s">
        <v>42</v>
      </c>
      <c r="M11" s="5" t="s">
        <v>995</v>
      </c>
      <c r="N11" s="5" t="s">
        <v>64</v>
      </c>
      <c r="O11" s="5" t="s">
        <v>17255</v>
      </c>
      <c r="P11" s="6">
        <v>9062.0</v>
      </c>
    </row>
    <row r="12" ht="56.25" customHeight="1">
      <c r="A12" s="5" t="s">
        <v>17231</v>
      </c>
      <c r="B12" s="6" t="str">
        <f>IMAGE("https://storage.googleapis.com/acdb/socks/SocksTexAlan0.png")</f>
        <v/>
      </c>
      <c r="C12" s="5" t="s">
        <v>38</v>
      </c>
      <c r="D12" s="5" t="s">
        <v>36</v>
      </c>
      <c r="E12" s="6">
        <v>720.0</v>
      </c>
      <c r="F12" s="6">
        <v>180.0</v>
      </c>
      <c r="G12" s="5" t="s">
        <v>38</v>
      </c>
      <c r="H12" s="5" t="s">
        <v>38</v>
      </c>
      <c r="I12" s="6" t="s">
        <v>40</v>
      </c>
      <c r="J12" s="5" t="s">
        <v>8585</v>
      </c>
      <c r="K12" s="5" t="s">
        <v>8632</v>
      </c>
      <c r="L12" s="6" t="s">
        <v>42</v>
      </c>
      <c r="M12" s="5" t="s">
        <v>995</v>
      </c>
      <c r="N12" s="5" t="s">
        <v>64</v>
      </c>
      <c r="O12" s="5" t="s">
        <v>17259</v>
      </c>
      <c r="P12" s="6">
        <v>4742.0</v>
      </c>
    </row>
    <row r="13" ht="56.25" customHeight="1">
      <c r="A13" s="5" t="s">
        <v>17261</v>
      </c>
      <c r="B13" s="6" t="str">
        <f>IMAGE("https://storage.googleapis.com/acdb/socks/SocksTexArgyle1.png")</f>
        <v/>
      </c>
      <c r="C13" s="5" t="s">
        <v>52</v>
      </c>
      <c r="D13" s="5" t="s">
        <v>36</v>
      </c>
      <c r="E13" s="6">
        <v>720.0</v>
      </c>
      <c r="F13" s="6">
        <v>180.0</v>
      </c>
      <c r="G13" s="5" t="s">
        <v>52</v>
      </c>
      <c r="H13" s="5" t="s">
        <v>57</v>
      </c>
      <c r="I13" s="6" t="s">
        <v>40</v>
      </c>
      <c r="J13" s="5" t="s">
        <v>8585</v>
      </c>
      <c r="K13" s="5" t="s">
        <v>8586</v>
      </c>
      <c r="L13" s="6" t="s">
        <v>42</v>
      </c>
      <c r="M13" s="5" t="s">
        <v>1059</v>
      </c>
      <c r="N13" s="5" t="s">
        <v>64</v>
      </c>
      <c r="O13" s="5" t="s">
        <v>17263</v>
      </c>
      <c r="P13" s="6">
        <v>9921.0</v>
      </c>
    </row>
    <row r="14" ht="56.25" customHeight="1">
      <c r="A14" s="5" t="s">
        <v>17261</v>
      </c>
      <c r="B14" s="6" t="str">
        <f>IMAGE("https://storage.googleapis.com/acdb/socks/SocksTexArgyle2.png")</f>
        <v/>
      </c>
      <c r="C14" s="5" t="s">
        <v>96</v>
      </c>
      <c r="D14" s="5" t="s">
        <v>36</v>
      </c>
      <c r="E14" s="6">
        <v>720.0</v>
      </c>
      <c r="F14" s="6">
        <v>180.0</v>
      </c>
      <c r="G14" s="5" t="s">
        <v>96</v>
      </c>
      <c r="H14" s="5" t="s">
        <v>114</v>
      </c>
      <c r="I14" s="6" t="s">
        <v>40</v>
      </c>
      <c r="J14" s="5" t="s">
        <v>8585</v>
      </c>
      <c r="K14" s="5" t="s">
        <v>8586</v>
      </c>
      <c r="L14" s="6" t="s">
        <v>42</v>
      </c>
      <c r="M14" s="5" t="s">
        <v>1059</v>
      </c>
      <c r="N14" s="5" t="s">
        <v>64</v>
      </c>
      <c r="O14" s="5" t="s">
        <v>17269</v>
      </c>
      <c r="P14" s="6">
        <v>9922.0</v>
      </c>
    </row>
    <row r="15" ht="56.25" customHeight="1">
      <c r="A15" s="5" t="s">
        <v>17261</v>
      </c>
      <c r="B15" s="6" t="str">
        <f>IMAGE("https://storage.googleapis.com/acdb/socks/SocksTexArgyle3.png")</f>
        <v/>
      </c>
      <c r="C15" s="5" t="s">
        <v>38</v>
      </c>
      <c r="D15" s="5" t="s">
        <v>36</v>
      </c>
      <c r="E15" s="6">
        <v>720.0</v>
      </c>
      <c r="F15" s="6">
        <v>180.0</v>
      </c>
      <c r="G15" s="5" t="s">
        <v>38</v>
      </c>
      <c r="H15" s="5" t="s">
        <v>39</v>
      </c>
      <c r="I15" s="6" t="s">
        <v>40</v>
      </c>
      <c r="J15" s="5" t="s">
        <v>8585</v>
      </c>
      <c r="K15" s="5" t="s">
        <v>8586</v>
      </c>
      <c r="L15" s="6" t="s">
        <v>42</v>
      </c>
      <c r="M15" s="5" t="s">
        <v>1059</v>
      </c>
      <c r="N15" s="5" t="s">
        <v>64</v>
      </c>
      <c r="O15" s="5" t="s">
        <v>17273</v>
      </c>
      <c r="P15" s="6">
        <v>9923.0</v>
      </c>
    </row>
    <row r="16" ht="56.25" customHeight="1">
      <c r="A16" s="5" t="s">
        <v>17261</v>
      </c>
      <c r="B16" s="6" t="str">
        <f>IMAGE("https://storage.googleapis.com/acdb/socks/SocksTexArgyle4.png")</f>
        <v/>
      </c>
      <c r="C16" s="5" t="s">
        <v>95</v>
      </c>
      <c r="D16" s="5" t="s">
        <v>36</v>
      </c>
      <c r="E16" s="6">
        <v>720.0</v>
      </c>
      <c r="F16" s="6">
        <v>180.0</v>
      </c>
      <c r="G16" s="5" t="s">
        <v>95</v>
      </c>
      <c r="H16" s="5" t="s">
        <v>69</v>
      </c>
      <c r="I16" s="6" t="s">
        <v>40</v>
      </c>
      <c r="J16" s="5" t="s">
        <v>8585</v>
      </c>
      <c r="K16" s="5" t="s">
        <v>8586</v>
      </c>
      <c r="L16" s="6" t="s">
        <v>42</v>
      </c>
      <c r="M16" s="5" t="s">
        <v>1059</v>
      </c>
      <c r="N16" s="5" t="s">
        <v>64</v>
      </c>
      <c r="O16" s="5" t="s">
        <v>17278</v>
      </c>
      <c r="P16" s="6">
        <v>9924.0</v>
      </c>
    </row>
    <row r="17" ht="56.25" customHeight="1">
      <c r="A17" s="5" t="s">
        <v>17261</v>
      </c>
      <c r="B17" s="6" t="str">
        <f>IMAGE("https://storage.googleapis.com/acdb/socks/SocksTexArgyle5.png")</f>
        <v/>
      </c>
      <c r="C17" s="5" t="s">
        <v>57</v>
      </c>
      <c r="D17" s="5" t="s">
        <v>36</v>
      </c>
      <c r="E17" s="6">
        <v>720.0</v>
      </c>
      <c r="F17" s="6">
        <v>180.0</v>
      </c>
      <c r="G17" s="5" t="s">
        <v>57</v>
      </c>
      <c r="H17" s="5" t="s">
        <v>52</v>
      </c>
      <c r="I17" s="6" t="s">
        <v>40</v>
      </c>
      <c r="J17" s="5" t="s">
        <v>8585</v>
      </c>
      <c r="K17" s="5" t="s">
        <v>8586</v>
      </c>
      <c r="L17" s="6" t="s">
        <v>42</v>
      </c>
      <c r="M17" s="5" t="s">
        <v>1059</v>
      </c>
      <c r="N17" s="5" t="s">
        <v>64</v>
      </c>
      <c r="O17" s="5" t="s">
        <v>17280</v>
      </c>
      <c r="P17" s="6">
        <v>9925.0</v>
      </c>
    </row>
    <row r="18" ht="56.25" customHeight="1">
      <c r="A18" s="5" t="s">
        <v>17261</v>
      </c>
      <c r="B18" s="6" t="str">
        <f>IMAGE("https://storage.googleapis.com/acdb/socks/SocksTexArgyle6.png")</f>
        <v/>
      </c>
      <c r="C18" s="5" t="s">
        <v>142</v>
      </c>
      <c r="D18" s="5" t="s">
        <v>36</v>
      </c>
      <c r="E18" s="6">
        <v>720.0</v>
      </c>
      <c r="F18" s="6">
        <v>180.0</v>
      </c>
      <c r="G18" s="5" t="s">
        <v>142</v>
      </c>
      <c r="H18" s="5" t="s">
        <v>57</v>
      </c>
      <c r="I18" s="6" t="s">
        <v>40</v>
      </c>
      <c r="J18" s="5" t="s">
        <v>8585</v>
      </c>
      <c r="K18" s="5" t="s">
        <v>8586</v>
      </c>
      <c r="L18" s="6" t="s">
        <v>42</v>
      </c>
      <c r="M18" s="5" t="s">
        <v>1059</v>
      </c>
      <c r="N18" s="5" t="s">
        <v>64</v>
      </c>
      <c r="O18" s="5" t="s">
        <v>17284</v>
      </c>
      <c r="P18" s="6">
        <v>9926.0</v>
      </c>
    </row>
    <row r="19" ht="56.25" customHeight="1">
      <c r="A19" s="5" t="s">
        <v>17261</v>
      </c>
      <c r="B19" s="6" t="str">
        <f>IMAGE("https://storage.googleapis.com/acdb/socks/SocksTexArgyle7.png")</f>
        <v/>
      </c>
      <c r="C19" s="5" t="s">
        <v>69</v>
      </c>
      <c r="D19" s="5" t="s">
        <v>36</v>
      </c>
      <c r="E19" s="6">
        <v>720.0</v>
      </c>
      <c r="F19" s="6">
        <v>180.0</v>
      </c>
      <c r="G19" s="5" t="s">
        <v>69</v>
      </c>
      <c r="H19" s="5" t="s">
        <v>57</v>
      </c>
      <c r="I19" s="6" t="s">
        <v>40</v>
      </c>
      <c r="J19" s="5" t="s">
        <v>8585</v>
      </c>
      <c r="K19" s="5" t="s">
        <v>8586</v>
      </c>
      <c r="L19" s="6" t="s">
        <v>42</v>
      </c>
      <c r="M19" s="5" t="s">
        <v>1059</v>
      </c>
      <c r="N19" s="5" t="s">
        <v>64</v>
      </c>
      <c r="O19" s="5" t="s">
        <v>17288</v>
      </c>
      <c r="P19" s="6">
        <v>9927.0</v>
      </c>
    </row>
    <row r="20" ht="56.25" customHeight="1">
      <c r="A20" s="5" t="s">
        <v>17261</v>
      </c>
      <c r="B20" s="6" t="str">
        <f>IMAGE("https://storage.googleapis.com/acdb/socks/SocksTexArgyle0.png")</f>
        <v/>
      </c>
      <c r="C20" s="5" t="s">
        <v>68</v>
      </c>
      <c r="D20" s="5" t="s">
        <v>36</v>
      </c>
      <c r="E20" s="6">
        <v>720.0</v>
      </c>
      <c r="F20" s="6">
        <v>180.0</v>
      </c>
      <c r="G20" s="5" t="s">
        <v>68</v>
      </c>
      <c r="H20" s="5" t="s">
        <v>83</v>
      </c>
      <c r="I20" s="6" t="s">
        <v>40</v>
      </c>
      <c r="J20" s="5" t="s">
        <v>8585</v>
      </c>
      <c r="K20" s="5" t="s">
        <v>8586</v>
      </c>
      <c r="L20" s="6" t="s">
        <v>42</v>
      </c>
      <c r="M20" s="5" t="s">
        <v>1059</v>
      </c>
      <c r="N20" s="5" t="s">
        <v>64</v>
      </c>
      <c r="O20" s="5" t="s">
        <v>17293</v>
      </c>
      <c r="P20" s="6">
        <v>5806.0</v>
      </c>
    </row>
    <row r="21" ht="56.25" customHeight="1">
      <c r="A21" s="5" t="s">
        <v>17294</v>
      </c>
      <c r="B21" s="6" t="str">
        <f>IMAGE("https://storage.googleapis.com/acdb/socks/SocksTexRibbon1.png")</f>
        <v/>
      </c>
      <c r="C21" s="5" t="s">
        <v>114</v>
      </c>
      <c r="D21" s="5" t="s">
        <v>36</v>
      </c>
      <c r="E21" s="6">
        <v>600.0</v>
      </c>
      <c r="F21" s="6">
        <v>150.0</v>
      </c>
      <c r="G21" s="5" t="s">
        <v>114</v>
      </c>
      <c r="H21" s="5" t="s">
        <v>96</v>
      </c>
      <c r="I21" s="6" t="s">
        <v>40</v>
      </c>
      <c r="J21" s="5" t="s">
        <v>17203</v>
      </c>
      <c r="K21" s="5"/>
      <c r="L21" s="6" t="s">
        <v>42</v>
      </c>
      <c r="M21" s="5" t="s">
        <v>1959</v>
      </c>
      <c r="N21" s="5" t="s">
        <v>64</v>
      </c>
      <c r="O21" s="5" t="s">
        <v>17299</v>
      </c>
      <c r="P21" s="6">
        <v>9053.0</v>
      </c>
    </row>
    <row r="22" ht="56.25" customHeight="1">
      <c r="A22" s="5" t="s">
        <v>17294</v>
      </c>
      <c r="B22" s="6" t="str">
        <f>IMAGE("https://storage.googleapis.com/acdb/socks/SocksTexRibbon2.png")</f>
        <v/>
      </c>
      <c r="C22" s="5" t="s">
        <v>54</v>
      </c>
      <c r="D22" s="5" t="s">
        <v>36</v>
      </c>
      <c r="E22" s="6">
        <v>600.0</v>
      </c>
      <c r="F22" s="6">
        <v>150.0</v>
      </c>
      <c r="G22" s="5" t="s">
        <v>54</v>
      </c>
      <c r="H22" s="5" t="s">
        <v>57</v>
      </c>
      <c r="I22" s="6" t="s">
        <v>40</v>
      </c>
      <c r="J22" s="5" t="s">
        <v>17203</v>
      </c>
      <c r="K22" s="5"/>
      <c r="L22" s="6" t="s">
        <v>42</v>
      </c>
      <c r="M22" s="5" t="s">
        <v>1959</v>
      </c>
      <c r="N22" s="5" t="s">
        <v>64</v>
      </c>
      <c r="O22" s="5" t="s">
        <v>17300</v>
      </c>
      <c r="P22" s="6">
        <v>9054.0</v>
      </c>
    </row>
    <row r="23" ht="56.25" customHeight="1">
      <c r="A23" s="5" t="s">
        <v>17294</v>
      </c>
      <c r="B23" s="6" t="str">
        <f>IMAGE("https://storage.googleapis.com/acdb/socks/SocksTexRibbon3.png")</f>
        <v/>
      </c>
      <c r="C23" s="5" t="s">
        <v>57</v>
      </c>
      <c r="D23" s="5" t="s">
        <v>36</v>
      </c>
      <c r="E23" s="6">
        <v>600.0</v>
      </c>
      <c r="F23" s="6">
        <v>150.0</v>
      </c>
      <c r="G23" s="5" t="s">
        <v>57</v>
      </c>
      <c r="H23" s="5" t="s">
        <v>69</v>
      </c>
      <c r="I23" s="6" t="s">
        <v>40</v>
      </c>
      <c r="J23" s="5" t="s">
        <v>17203</v>
      </c>
      <c r="K23" s="5"/>
      <c r="L23" s="6" t="s">
        <v>42</v>
      </c>
      <c r="M23" s="5" t="s">
        <v>1959</v>
      </c>
      <c r="N23" s="5" t="s">
        <v>64</v>
      </c>
      <c r="O23" s="5" t="s">
        <v>17303</v>
      </c>
      <c r="P23" s="6">
        <v>9055.0</v>
      </c>
    </row>
    <row r="24" ht="56.25" customHeight="1">
      <c r="A24" s="5" t="s">
        <v>17294</v>
      </c>
      <c r="B24" s="6" t="str">
        <f>IMAGE("https://storage.googleapis.com/acdb/socks/SocksTexRibbon4.png")</f>
        <v/>
      </c>
      <c r="C24" s="5" t="s">
        <v>68</v>
      </c>
      <c r="D24" s="5" t="s">
        <v>36</v>
      </c>
      <c r="E24" s="6">
        <v>600.0</v>
      </c>
      <c r="F24" s="6">
        <v>150.0</v>
      </c>
      <c r="G24" s="5" t="s">
        <v>83</v>
      </c>
      <c r="H24" s="5" t="s">
        <v>114</v>
      </c>
      <c r="I24" s="6" t="s">
        <v>40</v>
      </c>
      <c r="J24" s="5" t="s">
        <v>17203</v>
      </c>
      <c r="K24" s="5"/>
      <c r="L24" s="6" t="s">
        <v>42</v>
      </c>
      <c r="M24" s="5" t="s">
        <v>1959</v>
      </c>
      <c r="N24" s="5" t="s">
        <v>64</v>
      </c>
      <c r="O24" s="5" t="s">
        <v>17306</v>
      </c>
      <c r="P24" s="6">
        <v>9056.0</v>
      </c>
    </row>
    <row r="25" ht="56.25" customHeight="1">
      <c r="A25" s="5" t="s">
        <v>17294</v>
      </c>
      <c r="B25" s="6" t="str">
        <f>IMAGE("https://storage.googleapis.com/acdb/socks/SocksTexRibbon0.png")</f>
        <v/>
      </c>
      <c r="C25" s="5" t="s">
        <v>69</v>
      </c>
      <c r="D25" s="5" t="s">
        <v>36</v>
      </c>
      <c r="E25" s="6">
        <v>600.0</v>
      </c>
      <c r="F25" s="6">
        <v>150.0</v>
      </c>
      <c r="G25" s="5" t="s">
        <v>69</v>
      </c>
      <c r="H25" s="5" t="s">
        <v>54</v>
      </c>
      <c r="I25" s="6" t="s">
        <v>40</v>
      </c>
      <c r="J25" s="5" t="s">
        <v>17203</v>
      </c>
      <c r="K25" s="5"/>
      <c r="L25" s="6" t="s">
        <v>42</v>
      </c>
      <c r="M25" s="5" t="s">
        <v>1959</v>
      </c>
      <c r="N25" s="5" t="s">
        <v>64</v>
      </c>
      <c r="O25" s="5" t="s">
        <v>17309</v>
      </c>
      <c r="P25" s="6">
        <v>4718.0</v>
      </c>
    </row>
    <row r="26" ht="56.25" customHeight="1">
      <c r="A26" s="5" t="s">
        <v>17294</v>
      </c>
      <c r="B26" s="6" t="str">
        <f>IMAGE("https://storage.googleapis.com/acdb/socks/SocksTexRibbon5.png")</f>
        <v/>
      </c>
      <c r="C26" s="5" t="s">
        <v>10689</v>
      </c>
      <c r="D26" s="5" t="s">
        <v>36</v>
      </c>
      <c r="E26" s="6">
        <v>600.0</v>
      </c>
      <c r="F26" s="6">
        <v>150.0</v>
      </c>
      <c r="G26" s="5" t="s">
        <v>96</v>
      </c>
      <c r="H26" s="5" t="s">
        <v>69</v>
      </c>
      <c r="I26" s="6" t="s">
        <v>40</v>
      </c>
      <c r="J26" s="5" t="s">
        <v>17203</v>
      </c>
      <c r="K26" s="5"/>
      <c r="L26" s="6" t="s">
        <v>42</v>
      </c>
      <c r="M26" s="5" t="s">
        <v>1959</v>
      </c>
      <c r="N26" s="5" t="s">
        <v>64</v>
      </c>
      <c r="O26" s="5" t="s">
        <v>17311</v>
      </c>
      <c r="P26" s="6">
        <v>9057.0</v>
      </c>
    </row>
    <row r="27" ht="56.25" customHeight="1">
      <c r="A27" s="5" t="s">
        <v>17312</v>
      </c>
      <c r="B27" s="6" t="str">
        <f>IMAGE("https://storage.googleapis.com/acdb/socks/SocksTexFolded0.png")</f>
        <v/>
      </c>
      <c r="C27" s="5" t="s">
        <v>57</v>
      </c>
      <c r="D27" s="5" t="s">
        <v>36</v>
      </c>
      <c r="E27" s="6">
        <v>480.0</v>
      </c>
      <c r="F27" s="6">
        <v>120.0</v>
      </c>
      <c r="G27" s="5" t="s">
        <v>57</v>
      </c>
      <c r="H27" s="5" t="s">
        <v>57</v>
      </c>
      <c r="I27" s="6" t="s">
        <v>40</v>
      </c>
      <c r="J27" s="5" t="s">
        <v>8585</v>
      </c>
      <c r="K27" s="5" t="s">
        <v>8632</v>
      </c>
      <c r="L27" s="6" t="s">
        <v>42</v>
      </c>
      <c r="M27" s="5" t="s">
        <v>1059</v>
      </c>
      <c r="N27" s="5" t="s">
        <v>64</v>
      </c>
      <c r="O27" s="5" t="s">
        <v>17315</v>
      </c>
      <c r="P27" s="6">
        <v>5171.0</v>
      </c>
    </row>
    <row r="28" ht="56.25" customHeight="1">
      <c r="A28" s="5" t="s">
        <v>17312</v>
      </c>
      <c r="B28" s="6" t="str">
        <f>IMAGE("https://storage.googleapis.com/acdb/socks/SocksTexFolded1.png")</f>
        <v/>
      </c>
      <c r="C28" s="5" t="s">
        <v>95</v>
      </c>
      <c r="D28" s="5" t="s">
        <v>36</v>
      </c>
      <c r="E28" s="6">
        <v>480.0</v>
      </c>
      <c r="F28" s="6">
        <v>120.0</v>
      </c>
      <c r="G28" s="5" t="s">
        <v>95</v>
      </c>
      <c r="H28" s="5" t="s">
        <v>95</v>
      </c>
      <c r="I28" s="6" t="s">
        <v>40</v>
      </c>
      <c r="J28" s="5" t="s">
        <v>8585</v>
      </c>
      <c r="K28" s="5" t="s">
        <v>8632</v>
      </c>
      <c r="L28" s="6" t="s">
        <v>42</v>
      </c>
      <c r="M28" s="5" t="s">
        <v>1059</v>
      </c>
      <c r="N28" s="5" t="s">
        <v>64</v>
      </c>
      <c r="O28" s="5" t="s">
        <v>17318</v>
      </c>
      <c r="P28" s="6">
        <v>10017.0</v>
      </c>
    </row>
    <row r="29" ht="56.25" customHeight="1">
      <c r="A29" s="5" t="s">
        <v>17312</v>
      </c>
      <c r="B29" s="6" t="str">
        <f>IMAGE("https://storage.googleapis.com/acdb/socks/SocksTexFolded2.png")</f>
        <v/>
      </c>
      <c r="C29" s="5" t="s">
        <v>54</v>
      </c>
      <c r="D29" s="5" t="s">
        <v>36</v>
      </c>
      <c r="E29" s="6">
        <v>480.0</v>
      </c>
      <c r="F29" s="6">
        <v>120.0</v>
      </c>
      <c r="G29" s="5" t="s">
        <v>54</v>
      </c>
      <c r="H29" s="5" t="s">
        <v>54</v>
      </c>
      <c r="I29" s="6" t="s">
        <v>40</v>
      </c>
      <c r="J29" s="5" t="s">
        <v>8585</v>
      </c>
      <c r="K29" s="5" t="s">
        <v>8632</v>
      </c>
      <c r="L29" s="6" t="s">
        <v>42</v>
      </c>
      <c r="M29" s="5" t="s">
        <v>1059</v>
      </c>
      <c r="N29" s="5" t="s">
        <v>64</v>
      </c>
      <c r="O29" s="5" t="s">
        <v>17323</v>
      </c>
      <c r="P29" s="6">
        <v>10018.0</v>
      </c>
    </row>
    <row r="30" ht="56.25" customHeight="1">
      <c r="A30" s="5" t="s">
        <v>17312</v>
      </c>
      <c r="B30" s="6" t="str">
        <f>IMAGE("https://storage.googleapis.com/acdb/socks/SocksTexFolded3.png")</f>
        <v/>
      </c>
      <c r="C30" s="5" t="s">
        <v>39</v>
      </c>
      <c r="D30" s="5" t="s">
        <v>36</v>
      </c>
      <c r="E30" s="6">
        <v>480.0</v>
      </c>
      <c r="F30" s="6">
        <v>120.0</v>
      </c>
      <c r="G30" s="5" t="s">
        <v>39</v>
      </c>
      <c r="H30" s="5" t="s">
        <v>39</v>
      </c>
      <c r="I30" s="6" t="s">
        <v>40</v>
      </c>
      <c r="J30" s="5" t="s">
        <v>8585</v>
      </c>
      <c r="K30" s="5" t="s">
        <v>8632</v>
      </c>
      <c r="L30" s="6" t="s">
        <v>42</v>
      </c>
      <c r="M30" s="5" t="s">
        <v>1059</v>
      </c>
      <c r="N30" s="5" t="s">
        <v>64</v>
      </c>
      <c r="O30" s="5" t="s">
        <v>17326</v>
      </c>
      <c r="P30" s="6">
        <v>10019.0</v>
      </c>
    </row>
    <row r="31" ht="56.25" customHeight="1">
      <c r="A31" s="5" t="s">
        <v>17327</v>
      </c>
      <c r="B31" s="6" t="str">
        <f>IMAGE("https://storage.googleapis.com/acdb/socks/SocksTexMultiblock0.png")</f>
        <v/>
      </c>
      <c r="C31" s="5" t="s">
        <v>106</v>
      </c>
      <c r="D31" s="5" t="s">
        <v>36</v>
      </c>
      <c r="E31" s="6">
        <v>840.0</v>
      </c>
      <c r="F31" s="6">
        <v>210.0</v>
      </c>
      <c r="G31" s="5" t="s">
        <v>106</v>
      </c>
      <c r="H31" s="5" t="s">
        <v>58</v>
      </c>
      <c r="I31" s="6" t="s">
        <v>40</v>
      </c>
      <c r="J31" s="5" t="s">
        <v>17203</v>
      </c>
      <c r="K31" s="5"/>
      <c r="L31" s="6" t="s">
        <v>42</v>
      </c>
      <c r="M31" s="5" t="s">
        <v>1959</v>
      </c>
      <c r="N31" s="5" t="s">
        <v>64</v>
      </c>
      <c r="O31" s="5" t="s">
        <v>17331</v>
      </c>
      <c r="P31" s="6">
        <v>5180.0</v>
      </c>
    </row>
    <row r="32" ht="56.25" customHeight="1">
      <c r="A32" s="5" t="s">
        <v>17327</v>
      </c>
      <c r="B32" s="6" t="str">
        <f>IMAGE("https://storage.googleapis.com/acdb/socks/SocksTexMultiblock1.png")</f>
        <v/>
      </c>
      <c r="C32" s="5" t="s">
        <v>96</v>
      </c>
      <c r="D32" s="5" t="s">
        <v>36</v>
      </c>
      <c r="E32" s="6">
        <v>840.0</v>
      </c>
      <c r="F32" s="6">
        <v>210.0</v>
      </c>
      <c r="G32" s="5" t="s">
        <v>96</v>
      </c>
      <c r="H32" s="5" t="s">
        <v>58</v>
      </c>
      <c r="I32" s="6" t="s">
        <v>40</v>
      </c>
      <c r="J32" s="5" t="s">
        <v>17203</v>
      </c>
      <c r="K32" s="5"/>
      <c r="L32" s="6" t="s">
        <v>42</v>
      </c>
      <c r="M32" s="5" t="s">
        <v>1959</v>
      </c>
      <c r="N32" s="5" t="s">
        <v>64</v>
      </c>
      <c r="O32" s="5" t="s">
        <v>17335</v>
      </c>
      <c r="P32" s="6">
        <v>9895.0</v>
      </c>
    </row>
    <row r="33" ht="56.25" customHeight="1">
      <c r="A33" s="5" t="s">
        <v>17327</v>
      </c>
      <c r="B33" s="6" t="str">
        <f>IMAGE("https://storage.googleapis.com/acdb/socks/SocksTexMultiblock2.png")</f>
        <v/>
      </c>
      <c r="C33" s="5" t="s">
        <v>39</v>
      </c>
      <c r="D33" s="5" t="s">
        <v>36</v>
      </c>
      <c r="E33" s="6">
        <v>840.0</v>
      </c>
      <c r="F33" s="6">
        <v>210.0</v>
      </c>
      <c r="G33" s="5" t="s">
        <v>39</v>
      </c>
      <c r="H33" s="5" t="s">
        <v>58</v>
      </c>
      <c r="I33" s="6" t="s">
        <v>40</v>
      </c>
      <c r="J33" s="5" t="s">
        <v>17203</v>
      </c>
      <c r="K33" s="5"/>
      <c r="L33" s="6" t="s">
        <v>42</v>
      </c>
      <c r="M33" s="5" t="s">
        <v>1959</v>
      </c>
      <c r="N33" s="5" t="s">
        <v>64</v>
      </c>
      <c r="O33" s="5" t="s">
        <v>17339</v>
      </c>
      <c r="P33" s="6">
        <v>9896.0</v>
      </c>
    </row>
    <row r="34" ht="56.25" customHeight="1">
      <c r="A34" s="5" t="s">
        <v>17327</v>
      </c>
      <c r="B34" s="6" t="str">
        <f>IMAGE("https://storage.googleapis.com/acdb/socks/SocksTexMultiblock3.png")</f>
        <v/>
      </c>
      <c r="C34" s="5" t="s">
        <v>68</v>
      </c>
      <c r="D34" s="5" t="s">
        <v>36</v>
      </c>
      <c r="E34" s="6">
        <v>840.0</v>
      </c>
      <c r="F34" s="6">
        <v>210.0</v>
      </c>
      <c r="G34" s="5" t="s">
        <v>68</v>
      </c>
      <c r="H34" s="5" t="s">
        <v>58</v>
      </c>
      <c r="I34" s="6" t="s">
        <v>40</v>
      </c>
      <c r="J34" s="5" t="s">
        <v>17203</v>
      </c>
      <c r="K34" s="5"/>
      <c r="L34" s="6" t="s">
        <v>42</v>
      </c>
      <c r="M34" s="5" t="s">
        <v>1959</v>
      </c>
      <c r="N34" s="5" t="s">
        <v>64</v>
      </c>
      <c r="O34" s="5" t="s">
        <v>17343</v>
      </c>
      <c r="P34" s="6">
        <v>9897.0</v>
      </c>
    </row>
    <row r="35" ht="56.25" customHeight="1">
      <c r="A35" s="5" t="s">
        <v>17327</v>
      </c>
      <c r="B35" s="6" t="str">
        <f>IMAGE("https://storage.googleapis.com/acdb/socks/SocksTexMultiblock4.png")</f>
        <v/>
      </c>
      <c r="C35" s="5" t="s">
        <v>38</v>
      </c>
      <c r="D35" s="5" t="s">
        <v>36</v>
      </c>
      <c r="E35" s="6">
        <v>840.0</v>
      </c>
      <c r="F35" s="6">
        <v>210.0</v>
      </c>
      <c r="G35" s="5" t="s">
        <v>38</v>
      </c>
      <c r="H35" s="5" t="s">
        <v>58</v>
      </c>
      <c r="I35" s="6" t="s">
        <v>40</v>
      </c>
      <c r="J35" s="5" t="s">
        <v>17203</v>
      </c>
      <c r="K35" s="5"/>
      <c r="L35" s="6" t="s">
        <v>42</v>
      </c>
      <c r="M35" s="5" t="s">
        <v>1959</v>
      </c>
      <c r="N35" s="5" t="s">
        <v>64</v>
      </c>
      <c r="O35" s="5" t="s">
        <v>17346</v>
      </c>
      <c r="P35" s="6">
        <v>9898.0</v>
      </c>
    </row>
    <row r="36" ht="56.25" customHeight="1">
      <c r="A36" s="5" t="s">
        <v>17327</v>
      </c>
      <c r="B36" s="6" t="str">
        <f>IMAGE("https://storage.googleapis.com/acdb/socks/SocksTexMultiblock5.png")</f>
        <v/>
      </c>
      <c r="C36" s="5" t="s">
        <v>57</v>
      </c>
      <c r="D36" s="5" t="s">
        <v>36</v>
      </c>
      <c r="E36" s="6">
        <v>840.0</v>
      </c>
      <c r="F36" s="6">
        <v>210.0</v>
      </c>
      <c r="G36" s="5" t="s">
        <v>57</v>
      </c>
      <c r="H36" s="5" t="s">
        <v>58</v>
      </c>
      <c r="I36" s="6" t="s">
        <v>40</v>
      </c>
      <c r="J36" s="5" t="s">
        <v>17203</v>
      </c>
      <c r="K36" s="5"/>
      <c r="L36" s="6" t="s">
        <v>42</v>
      </c>
      <c r="M36" s="5" t="s">
        <v>1959</v>
      </c>
      <c r="N36" s="5" t="s">
        <v>64</v>
      </c>
      <c r="O36" s="5" t="s">
        <v>17348</v>
      </c>
      <c r="P36" s="6">
        <v>9899.0</v>
      </c>
    </row>
    <row r="37" ht="56.25" customHeight="1">
      <c r="A37" s="5" t="s">
        <v>17327</v>
      </c>
      <c r="B37" s="6" t="str">
        <f>IMAGE("https://storage.googleapis.com/acdb/socks/SocksTexMultiblock6.png")</f>
        <v/>
      </c>
      <c r="C37" s="5" t="s">
        <v>1458</v>
      </c>
      <c r="D37" s="5" t="s">
        <v>36</v>
      </c>
      <c r="E37" s="6">
        <v>840.0</v>
      </c>
      <c r="F37" s="6">
        <v>210.0</v>
      </c>
      <c r="G37" s="5" t="s">
        <v>96</v>
      </c>
      <c r="H37" s="5" t="s">
        <v>58</v>
      </c>
      <c r="I37" s="6" t="s">
        <v>40</v>
      </c>
      <c r="J37" s="5" t="s">
        <v>17203</v>
      </c>
      <c r="K37" s="5"/>
      <c r="L37" s="6" t="s">
        <v>42</v>
      </c>
      <c r="M37" s="5" t="s">
        <v>1959</v>
      </c>
      <c r="N37" s="5" t="s">
        <v>64</v>
      </c>
      <c r="O37" s="5" t="s">
        <v>17350</v>
      </c>
      <c r="P37" s="6">
        <v>9900.0</v>
      </c>
    </row>
    <row r="38" ht="56.25" customHeight="1">
      <c r="A38" s="5" t="s">
        <v>17327</v>
      </c>
      <c r="B38" s="6" t="str">
        <f>IMAGE("https://storage.googleapis.com/acdb/socks/SocksTexMultiblock7.png")</f>
        <v/>
      </c>
      <c r="C38" s="5" t="s">
        <v>69</v>
      </c>
      <c r="D38" s="5" t="s">
        <v>36</v>
      </c>
      <c r="E38" s="6">
        <v>840.0</v>
      </c>
      <c r="F38" s="6">
        <v>210.0</v>
      </c>
      <c r="G38" s="5" t="s">
        <v>69</v>
      </c>
      <c r="H38" s="5" t="s">
        <v>58</v>
      </c>
      <c r="I38" s="6" t="s">
        <v>40</v>
      </c>
      <c r="J38" s="5" t="s">
        <v>17203</v>
      </c>
      <c r="K38" s="5"/>
      <c r="L38" s="6" t="s">
        <v>42</v>
      </c>
      <c r="M38" s="5" t="s">
        <v>1959</v>
      </c>
      <c r="N38" s="5" t="s">
        <v>64</v>
      </c>
      <c r="O38" s="5" t="s">
        <v>17352</v>
      </c>
      <c r="P38" s="6">
        <v>9901.0</v>
      </c>
    </row>
    <row r="39" ht="56.25" customHeight="1">
      <c r="A39" s="5" t="s">
        <v>17353</v>
      </c>
      <c r="B39" s="6" t="str">
        <f>IMAGE("https://storage.googleapis.com/acdb/socks/SocksTexCompression1.png")</f>
        <v/>
      </c>
      <c r="C39" s="5" t="s">
        <v>114</v>
      </c>
      <c r="D39" s="5" t="s">
        <v>36</v>
      </c>
      <c r="E39" s="6">
        <v>600.0</v>
      </c>
      <c r="F39" s="6">
        <v>150.0</v>
      </c>
      <c r="G39" s="5" t="s">
        <v>54</v>
      </c>
      <c r="H39" s="5" t="s">
        <v>114</v>
      </c>
      <c r="I39" s="6" t="s">
        <v>40</v>
      </c>
      <c r="J39" s="5" t="s">
        <v>17203</v>
      </c>
      <c r="K39" s="5"/>
      <c r="L39" s="6" t="s">
        <v>42</v>
      </c>
      <c r="M39" s="5" t="s">
        <v>8746</v>
      </c>
      <c r="N39" s="5" t="s">
        <v>64</v>
      </c>
      <c r="O39" s="5" t="s">
        <v>17355</v>
      </c>
      <c r="P39" s="6">
        <v>9790.0</v>
      </c>
    </row>
    <row r="40" ht="56.25" customHeight="1">
      <c r="A40" s="5" t="s">
        <v>17353</v>
      </c>
      <c r="B40" s="6" t="str">
        <f>IMAGE("https://storage.googleapis.com/acdb/socks/SocksTexCompression2.png")</f>
        <v/>
      </c>
      <c r="C40" s="5" t="s">
        <v>69</v>
      </c>
      <c r="D40" s="5" t="s">
        <v>36</v>
      </c>
      <c r="E40" s="6">
        <v>600.0</v>
      </c>
      <c r="F40" s="6">
        <v>150.0</v>
      </c>
      <c r="G40" s="5" t="s">
        <v>54</v>
      </c>
      <c r="H40" s="5" t="s">
        <v>69</v>
      </c>
      <c r="I40" s="6" t="s">
        <v>40</v>
      </c>
      <c r="J40" s="5" t="s">
        <v>17203</v>
      </c>
      <c r="K40" s="5"/>
      <c r="L40" s="6" t="s">
        <v>42</v>
      </c>
      <c r="M40" s="5" t="s">
        <v>8746</v>
      </c>
      <c r="N40" s="5" t="s">
        <v>64</v>
      </c>
      <c r="O40" s="5" t="s">
        <v>17357</v>
      </c>
      <c r="P40" s="6">
        <v>9791.0</v>
      </c>
    </row>
    <row r="41" ht="56.25" customHeight="1">
      <c r="A41" s="5" t="s">
        <v>17353</v>
      </c>
      <c r="B41" s="6" t="str">
        <f>IMAGE("https://storage.googleapis.com/acdb/socks/SocksTexCompression3.png")</f>
        <v/>
      </c>
      <c r="C41" s="5" t="s">
        <v>9021</v>
      </c>
      <c r="D41" s="5" t="s">
        <v>36</v>
      </c>
      <c r="E41" s="6">
        <v>600.0</v>
      </c>
      <c r="F41" s="6">
        <v>150.0</v>
      </c>
      <c r="G41" s="5" t="s">
        <v>54</v>
      </c>
      <c r="H41" s="5" t="s">
        <v>96</v>
      </c>
      <c r="I41" s="6" t="s">
        <v>40</v>
      </c>
      <c r="J41" s="5" t="s">
        <v>17203</v>
      </c>
      <c r="K41" s="5"/>
      <c r="L41" s="6" t="s">
        <v>42</v>
      </c>
      <c r="M41" s="5" t="s">
        <v>8746</v>
      </c>
      <c r="N41" s="5" t="s">
        <v>64</v>
      </c>
      <c r="O41" s="5" t="s">
        <v>17361</v>
      </c>
      <c r="P41" s="6">
        <v>9792.0</v>
      </c>
    </row>
    <row r="42" ht="56.25" customHeight="1">
      <c r="A42" s="5" t="s">
        <v>17353</v>
      </c>
      <c r="B42" s="6" t="str">
        <f>IMAGE("https://storage.googleapis.com/acdb/socks/SocksTexCompression4.png")</f>
        <v/>
      </c>
      <c r="C42" s="5" t="s">
        <v>52</v>
      </c>
      <c r="D42" s="5" t="s">
        <v>36</v>
      </c>
      <c r="E42" s="6">
        <v>600.0</v>
      </c>
      <c r="F42" s="6">
        <v>150.0</v>
      </c>
      <c r="G42" s="5" t="s">
        <v>54</v>
      </c>
      <c r="H42" s="5" t="s">
        <v>52</v>
      </c>
      <c r="I42" s="6" t="s">
        <v>40</v>
      </c>
      <c r="J42" s="5" t="s">
        <v>17203</v>
      </c>
      <c r="K42" s="5"/>
      <c r="L42" s="6" t="s">
        <v>42</v>
      </c>
      <c r="M42" s="5" t="s">
        <v>8746</v>
      </c>
      <c r="N42" s="5" t="s">
        <v>64</v>
      </c>
      <c r="O42" s="5" t="s">
        <v>17363</v>
      </c>
      <c r="P42" s="6">
        <v>9793.0</v>
      </c>
    </row>
    <row r="43" ht="56.25" customHeight="1">
      <c r="A43" s="5" t="s">
        <v>17353</v>
      </c>
      <c r="B43" s="6" t="str">
        <f>IMAGE("https://storage.googleapis.com/acdb/socks/SocksTexCompression0.png")</f>
        <v/>
      </c>
      <c r="C43" s="5" t="s">
        <v>68</v>
      </c>
      <c r="D43" s="5" t="s">
        <v>36</v>
      </c>
      <c r="E43" s="6">
        <v>600.0</v>
      </c>
      <c r="F43" s="6">
        <v>150.0</v>
      </c>
      <c r="G43" s="5" t="s">
        <v>54</v>
      </c>
      <c r="H43" s="5" t="s">
        <v>68</v>
      </c>
      <c r="I43" s="6" t="s">
        <v>40</v>
      </c>
      <c r="J43" s="5" t="s">
        <v>17203</v>
      </c>
      <c r="K43" s="5"/>
      <c r="L43" s="6" t="s">
        <v>42</v>
      </c>
      <c r="M43" s="5" t="s">
        <v>8746</v>
      </c>
      <c r="N43" s="5" t="s">
        <v>64</v>
      </c>
      <c r="O43" s="5" t="s">
        <v>17365</v>
      </c>
      <c r="P43" s="6">
        <v>5170.0</v>
      </c>
    </row>
    <row r="44" ht="56.25" customHeight="1">
      <c r="A44" s="5" t="s">
        <v>17366</v>
      </c>
      <c r="B44" s="6" t="str">
        <f>IMAGE("https://storage.googleapis.com/acdb/socks/SocksTexCountry0.png")</f>
        <v/>
      </c>
      <c r="C44" s="5" t="s">
        <v>17367</v>
      </c>
      <c r="D44" s="5" t="s">
        <v>36</v>
      </c>
      <c r="E44" s="6">
        <v>720.0</v>
      </c>
      <c r="F44" s="6">
        <v>180.0</v>
      </c>
      <c r="G44" s="5" t="s">
        <v>57</v>
      </c>
      <c r="H44" s="5" t="s">
        <v>52</v>
      </c>
      <c r="I44" s="6" t="s">
        <v>40</v>
      </c>
      <c r="J44" s="5" t="s">
        <v>8585</v>
      </c>
      <c r="K44" s="5" t="s">
        <v>8586</v>
      </c>
      <c r="L44" s="6" t="s">
        <v>42</v>
      </c>
      <c r="M44" s="5" t="s">
        <v>1059</v>
      </c>
      <c r="N44" s="5" t="s">
        <v>64</v>
      </c>
      <c r="O44" s="5" t="s">
        <v>17368</v>
      </c>
      <c r="P44" s="6">
        <v>6044.0</v>
      </c>
    </row>
    <row r="45" ht="56.25" customHeight="1">
      <c r="A45" s="5" t="s">
        <v>17366</v>
      </c>
      <c r="B45" s="6" t="str">
        <f>IMAGE("https://storage.googleapis.com/acdb/socks/SocksTexCountry1.png")</f>
        <v/>
      </c>
      <c r="C45" s="5" t="s">
        <v>17369</v>
      </c>
      <c r="D45" s="5" t="s">
        <v>36</v>
      </c>
      <c r="E45" s="6">
        <v>720.0</v>
      </c>
      <c r="F45" s="6">
        <v>180.0</v>
      </c>
      <c r="G45" s="5" t="s">
        <v>57</v>
      </c>
      <c r="H45" s="5" t="s">
        <v>96</v>
      </c>
      <c r="I45" s="6" t="s">
        <v>40</v>
      </c>
      <c r="J45" s="5" t="s">
        <v>8585</v>
      </c>
      <c r="K45" s="5" t="s">
        <v>8586</v>
      </c>
      <c r="L45" s="6" t="s">
        <v>42</v>
      </c>
      <c r="M45" s="5" t="s">
        <v>1059</v>
      </c>
      <c r="N45" s="5" t="s">
        <v>64</v>
      </c>
      <c r="O45" s="5" t="s">
        <v>17371</v>
      </c>
      <c r="P45" s="6">
        <v>8942.0</v>
      </c>
    </row>
    <row r="46" ht="56.25" customHeight="1">
      <c r="A46" s="5" t="s">
        <v>17366</v>
      </c>
      <c r="B46" s="6" t="str">
        <f>IMAGE("https://storage.googleapis.com/acdb/socks/SocksTexCountry2.png")</f>
        <v/>
      </c>
      <c r="C46" s="5" t="s">
        <v>17372</v>
      </c>
      <c r="D46" s="5" t="s">
        <v>36</v>
      </c>
      <c r="E46" s="6">
        <v>720.0</v>
      </c>
      <c r="F46" s="6">
        <v>180.0</v>
      </c>
      <c r="G46" s="5" t="s">
        <v>57</v>
      </c>
      <c r="H46" s="5" t="s">
        <v>68</v>
      </c>
      <c r="I46" s="6" t="s">
        <v>40</v>
      </c>
      <c r="J46" s="5" t="s">
        <v>8585</v>
      </c>
      <c r="K46" s="5" t="s">
        <v>8586</v>
      </c>
      <c r="L46" s="6" t="s">
        <v>42</v>
      </c>
      <c r="M46" s="5" t="s">
        <v>1059</v>
      </c>
      <c r="N46" s="5" t="s">
        <v>64</v>
      </c>
      <c r="O46" s="5" t="s">
        <v>17374</v>
      </c>
      <c r="P46" s="6">
        <v>8943.0</v>
      </c>
    </row>
    <row r="47" ht="56.25" customHeight="1">
      <c r="A47" s="5" t="s">
        <v>17366</v>
      </c>
      <c r="B47" s="6" t="str">
        <f>IMAGE("https://storage.googleapis.com/acdb/socks/SocksTexCountry3.png")</f>
        <v/>
      </c>
      <c r="C47" s="5" t="s">
        <v>17375</v>
      </c>
      <c r="D47" s="5" t="s">
        <v>36</v>
      </c>
      <c r="E47" s="6">
        <v>720.0</v>
      </c>
      <c r="F47" s="6">
        <v>180.0</v>
      </c>
      <c r="G47" s="5" t="s">
        <v>57</v>
      </c>
      <c r="H47" s="5" t="s">
        <v>54</v>
      </c>
      <c r="I47" s="6" t="s">
        <v>40</v>
      </c>
      <c r="J47" s="5" t="s">
        <v>8585</v>
      </c>
      <c r="K47" s="5" t="s">
        <v>8586</v>
      </c>
      <c r="L47" s="6" t="s">
        <v>42</v>
      </c>
      <c r="M47" s="5" t="s">
        <v>1059</v>
      </c>
      <c r="N47" s="5" t="s">
        <v>64</v>
      </c>
      <c r="O47" s="5" t="s">
        <v>17377</v>
      </c>
      <c r="P47" s="6">
        <v>8944.0</v>
      </c>
    </row>
    <row r="48" ht="56.25" customHeight="1">
      <c r="A48" s="5" t="s">
        <v>17378</v>
      </c>
      <c r="B48" s="6" t="str">
        <f>IMAGE("https://storage.googleapis.com/acdb/socks/SocksTexCrocheting0.png")</f>
        <v/>
      </c>
      <c r="C48" s="5" t="s">
        <v>38</v>
      </c>
      <c r="D48" s="5" t="s">
        <v>36</v>
      </c>
      <c r="E48" s="6">
        <v>600.0</v>
      </c>
      <c r="F48" s="6">
        <v>150.0</v>
      </c>
      <c r="G48" s="5" t="s">
        <v>38</v>
      </c>
      <c r="H48" s="5" t="s">
        <v>38</v>
      </c>
      <c r="I48" s="6" t="s">
        <v>40</v>
      </c>
      <c r="J48" s="5" t="s">
        <v>8585</v>
      </c>
      <c r="K48" s="5" t="s">
        <v>8632</v>
      </c>
      <c r="L48" s="6" t="s">
        <v>42</v>
      </c>
      <c r="M48" s="5" t="s">
        <v>1059</v>
      </c>
      <c r="N48" s="5" t="s">
        <v>64</v>
      </c>
      <c r="O48" s="5" t="s">
        <v>17381</v>
      </c>
      <c r="P48" s="6">
        <v>5202.0</v>
      </c>
    </row>
    <row r="49" ht="56.25" customHeight="1">
      <c r="A49" s="5" t="s">
        <v>17378</v>
      </c>
      <c r="B49" s="6" t="str">
        <f>IMAGE("https://storage.googleapis.com/acdb/socks/SocksTexCrocheting2.png")</f>
        <v/>
      </c>
      <c r="C49" s="5" t="s">
        <v>106</v>
      </c>
      <c r="D49" s="5" t="s">
        <v>36</v>
      </c>
      <c r="E49" s="6">
        <v>600.0</v>
      </c>
      <c r="F49" s="6">
        <v>150.0</v>
      </c>
      <c r="G49" s="5" t="s">
        <v>69</v>
      </c>
      <c r="H49" s="5" t="s">
        <v>69</v>
      </c>
      <c r="I49" s="6" t="s">
        <v>40</v>
      </c>
      <c r="J49" s="5" t="s">
        <v>8585</v>
      </c>
      <c r="K49" s="5" t="s">
        <v>8632</v>
      </c>
      <c r="L49" s="6" t="s">
        <v>42</v>
      </c>
      <c r="M49" s="5" t="s">
        <v>1059</v>
      </c>
      <c r="N49" s="5" t="s">
        <v>64</v>
      </c>
      <c r="O49" s="5" t="s">
        <v>17384</v>
      </c>
      <c r="P49" s="6">
        <v>8940.0</v>
      </c>
    </row>
    <row r="50" ht="56.25" customHeight="1">
      <c r="A50" s="5" t="s">
        <v>17378</v>
      </c>
      <c r="B50" s="6" t="str">
        <f>IMAGE("https://storage.googleapis.com/acdb/socks/SocksTexCrocheting3.png")</f>
        <v/>
      </c>
      <c r="C50" s="5" t="s">
        <v>68</v>
      </c>
      <c r="D50" s="5" t="s">
        <v>36</v>
      </c>
      <c r="E50" s="6">
        <v>600.0</v>
      </c>
      <c r="F50" s="6">
        <v>150.0</v>
      </c>
      <c r="G50" s="5" t="s">
        <v>83</v>
      </c>
      <c r="H50" s="5" t="s">
        <v>83</v>
      </c>
      <c r="I50" s="6" t="s">
        <v>40</v>
      </c>
      <c r="J50" s="5" t="s">
        <v>8585</v>
      </c>
      <c r="K50" s="5" t="s">
        <v>8632</v>
      </c>
      <c r="L50" s="6" t="s">
        <v>42</v>
      </c>
      <c r="M50" s="5" t="s">
        <v>1059</v>
      </c>
      <c r="N50" s="5" t="s">
        <v>64</v>
      </c>
      <c r="O50" s="5" t="s">
        <v>17386</v>
      </c>
      <c r="P50" s="6">
        <v>8941.0</v>
      </c>
    </row>
    <row r="51" ht="56.25" customHeight="1">
      <c r="A51" s="5" t="s">
        <v>17378</v>
      </c>
      <c r="B51" s="6" t="str">
        <f>IMAGE("https://storage.googleapis.com/acdb/socks/SocksTexCrocheting1.png")</f>
        <v/>
      </c>
      <c r="C51" s="5" t="s">
        <v>95</v>
      </c>
      <c r="D51" s="5" t="s">
        <v>36</v>
      </c>
      <c r="E51" s="6">
        <v>600.0</v>
      </c>
      <c r="F51" s="6">
        <v>150.0</v>
      </c>
      <c r="G51" s="5" t="s">
        <v>95</v>
      </c>
      <c r="H51" s="5" t="s">
        <v>95</v>
      </c>
      <c r="I51" s="6" t="s">
        <v>40</v>
      </c>
      <c r="J51" s="5" t="s">
        <v>8585</v>
      </c>
      <c r="K51" s="5" t="s">
        <v>8632</v>
      </c>
      <c r="L51" s="6" t="s">
        <v>42</v>
      </c>
      <c r="M51" s="5" t="s">
        <v>1059</v>
      </c>
      <c r="N51" s="5" t="s">
        <v>64</v>
      </c>
      <c r="O51" s="5" t="s">
        <v>17389</v>
      </c>
      <c r="P51" s="6">
        <v>8939.0</v>
      </c>
    </row>
    <row r="52" ht="56.25" customHeight="1">
      <c r="A52" s="5" t="s">
        <v>17390</v>
      </c>
      <c r="B52" s="6" t="str">
        <f>IMAGE("https://storage.googleapis.com/acdb/socks/SocksTexDenimleggings0.png")</f>
        <v/>
      </c>
      <c r="C52" s="5" t="s">
        <v>68</v>
      </c>
      <c r="D52" s="5" t="s">
        <v>36</v>
      </c>
      <c r="E52" s="6">
        <v>540.0</v>
      </c>
      <c r="F52" s="6">
        <v>135.0</v>
      </c>
      <c r="G52" s="5" t="s">
        <v>68</v>
      </c>
      <c r="H52" s="5" t="s">
        <v>68</v>
      </c>
      <c r="I52" s="6" t="s">
        <v>40</v>
      </c>
      <c r="J52" s="5" t="s">
        <v>8585</v>
      </c>
      <c r="K52" s="5" t="s">
        <v>8632</v>
      </c>
      <c r="L52" s="6" t="s">
        <v>42</v>
      </c>
      <c r="M52" s="5" t="s">
        <v>995</v>
      </c>
      <c r="N52" s="5" t="s">
        <v>64</v>
      </c>
      <c r="O52" s="5" t="s">
        <v>17392</v>
      </c>
      <c r="P52" s="6">
        <v>4745.0</v>
      </c>
    </row>
    <row r="53" ht="56.25" customHeight="1">
      <c r="A53" s="5" t="s">
        <v>17390</v>
      </c>
      <c r="B53" s="6" t="str">
        <f>IMAGE("https://storage.googleapis.com/acdb/socks/SocksTexDenimleggings1.png")</f>
        <v/>
      </c>
      <c r="C53" s="5" t="s">
        <v>14705</v>
      </c>
      <c r="D53" s="5" t="s">
        <v>36</v>
      </c>
      <c r="E53" s="6">
        <v>540.0</v>
      </c>
      <c r="F53" s="6">
        <v>135.0</v>
      </c>
      <c r="G53" s="5" t="s">
        <v>68</v>
      </c>
      <c r="H53" s="5" t="s">
        <v>68</v>
      </c>
      <c r="I53" s="6" t="s">
        <v>40</v>
      </c>
      <c r="J53" s="5" t="s">
        <v>8585</v>
      </c>
      <c r="K53" s="5" t="s">
        <v>8632</v>
      </c>
      <c r="L53" s="6" t="s">
        <v>42</v>
      </c>
      <c r="M53" s="5" t="s">
        <v>995</v>
      </c>
      <c r="N53" s="5" t="s">
        <v>64</v>
      </c>
      <c r="O53" s="5" t="s">
        <v>17393</v>
      </c>
      <c r="P53" s="6">
        <v>9782.0</v>
      </c>
    </row>
    <row r="54" ht="56.25" customHeight="1">
      <c r="A54" s="5" t="s">
        <v>17390</v>
      </c>
      <c r="B54" s="6" t="str">
        <f>IMAGE("https://storage.googleapis.com/acdb/socks/SocksTexDenimleggings2.png")</f>
        <v/>
      </c>
      <c r="C54" s="5" t="s">
        <v>17395</v>
      </c>
      <c r="D54" s="5" t="s">
        <v>36</v>
      </c>
      <c r="E54" s="6">
        <v>540.0</v>
      </c>
      <c r="F54" s="6">
        <v>135.0</v>
      </c>
      <c r="G54" s="5" t="s">
        <v>83</v>
      </c>
      <c r="H54" s="5" t="s">
        <v>83</v>
      </c>
      <c r="I54" s="6" t="s">
        <v>40</v>
      </c>
      <c r="J54" s="5" t="s">
        <v>8585</v>
      </c>
      <c r="K54" s="5" t="s">
        <v>8632</v>
      </c>
      <c r="L54" s="6" t="s">
        <v>42</v>
      </c>
      <c r="M54" s="5" t="s">
        <v>995</v>
      </c>
      <c r="N54" s="5" t="s">
        <v>64</v>
      </c>
      <c r="O54" s="5" t="s">
        <v>17396</v>
      </c>
      <c r="P54" s="6">
        <v>9783.0</v>
      </c>
    </row>
    <row r="55" ht="56.25" customHeight="1">
      <c r="A55" s="5" t="s">
        <v>17390</v>
      </c>
      <c r="B55" s="6" t="str">
        <f>IMAGE("https://storage.googleapis.com/acdb/socks/SocksTexDenimleggings3.png")</f>
        <v/>
      </c>
      <c r="C55" s="5" t="s">
        <v>83</v>
      </c>
      <c r="D55" s="5" t="s">
        <v>36</v>
      </c>
      <c r="E55" s="6">
        <v>540.0</v>
      </c>
      <c r="F55" s="6">
        <v>135.0</v>
      </c>
      <c r="G55" s="5" t="s">
        <v>83</v>
      </c>
      <c r="H55" s="5" t="s">
        <v>83</v>
      </c>
      <c r="I55" s="6" t="s">
        <v>40</v>
      </c>
      <c r="J55" s="5" t="s">
        <v>8585</v>
      </c>
      <c r="K55" s="5" t="s">
        <v>8632</v>
      </c>
      <c r="L55" s="6" t="s">
        <v>42</v>
      </c>
      <c r="M55" s="5" t="s">
        <v>995</v>
      </c>
      <c r="N55" s="5" t="s">
        <v>64</v>
      </c>
      <c r="O55" s="5" t="s">
        <v>17397</v>
      </c>
      <c r="P55" s="6">
        <v>9784.0</v>
      </c>
    </row>
    <row r="56" ht="56.25" customHeight="1">
      <c r="A56" s="5" t="s">
        <v>17398</v>
      </c>
      <c r="B56" s="6" t="str">
        <f>IMAGE("https://storage.googleapis.com/acdb/socks/SocksTexDotknee0.png")</f>
        <v/>
      </c>
      <c r="C56" s="5" t="s">
        <v>54</v>
      </c>
      <c r="D56" s="5" t="s">
        <v>36</v>
      </c>
      <c r="E56" s="6">
        <v>720.0</v>
      </c>
      <c r="F56" s="6">
        <v>180.0</v>
      </c>
      <c r="G56" s="5" t="s">
        <v>54</v>
      </c>
      <c r="H56" s="5" t="s">
        <v>54</v>
      </c>
      <c r="I56" s="6" t="s">
        <v>40</v>
      </c>
      <c r="J56" s="5" t="s">
        <v>8585</v>
      </c>
      <c r="K56" s="5" t="s">
        <v>8586</v>
      </c>
      <c r="L56" s="6" t="s">
        <v>42</v>
      </c>
      <c r="M56" s="5" t="s">
        <v>1959</v>
      </c>
      <c r="N56" s="5" t="s">
        <v>64</v>
      </c>
      <c r="O56" s="5" t="s">
        <v>17400</v>
      </c>
      <c r="P56" s="6">
        <v>12174.0</v>
      </c>
    </row>
    <row r="57" ht="56.25" customHeight="1">
      <c r="A57" s="5" t="s">
        <v>17398</v>
      </c>
      <c r="B57" s="6" t="str">
        <f>IMAGE("https://storage.googleapis.com/acdb/socks/SocksTexDotknee1.png")</f>
        <v/>
      </c>
      <c r="C57" s="5" t="s">
        <v>114</v>
      </c>
      <c r="D57" s="5" t="s">
        <v>36</v>
      </c>
      <c r="E57" s="6">
        <v>720.0</v>
      </c>
      <c r="F57" s="6">
        <v>180.0</v>
      </c>
      <c r="G57" s="5" t="s">
        <v>114</v>
      </c>
      <c r="H57" s="5" t="s">
        <v>114</v>
      </c>
      <c r="I57" s="6" t="s">
        <v>40</v>
      </c>
      <c r="J57" s="5" t="s">
        <v>8585</v>
      </c>
      <c r="K57" s="5" t="s">
        <v>8586</v>
      </c>
      <c r="L57" s="6" t="s">
        <v>42</v>
      </c>
      <c r="M57" s="5" t="s">
        <v>1959</v>
      </c>
      <c r="N57" s="5" t="s">
        <v>64</v>
      </c>
      <c r="O57" s="5" t="s">
        <v>17401</v>
      </c>
      <c r="P57" s="6">
        <v>12179.0</v>
      </c>
    </row>
    <row r="58" ht="56.25" customHeight="1">
      <c r="A58" s="5" t="s">
        <v>17398</v>
      </c>
      <c r="B58" s="6" t="str">
        <f>IMAGE("https://storage.googleapis.com/acdb/socks/SocksTexDotknee2.png")</f>
        <v/>
      </c>
      <c r="C58" s="5" t="s">
        <v>13483</v>
      </c>
      <c r="D58" s="5" t="s">
        <v>36</v>
      </c>
      <c r="E58" s="6">
        <v>720.0</v>
      </c>
      <c r="F58" s="6">
        <v>180.0</v>
      </c>
      <c r="G58" s="5" t="s">
        <v>96</v>
      </c>
      <c r="H58" s="5" t="s">
        <v>96</v>
      </c>
      <c r="I58" s="6" t="s">
        <v>40</v>
      </c>
      <c r="J58" s="5" t="s">
        <v>8585</v>
      </c>
      <c r="K58" s="5" t="s">
        <v>8586</v>
      </c>
      <c r="L58" s="6" t="s">
        <v>42</v>
      </c>
      <c r="M58" s="5" t="s">
        <v>1959</v>
      </c>
      <c r="N58" s="5" t="s">
        <v>64</v>
      </c>
      <c r="O58" s="5" t="s">
        <v>17403</v>
      </c>
      <c r="P58" s="6">
        <v>12180.0</v>
      </c>
    </row>
    <row r="59" ht="56.25" customHeight="1">
      <c r="A59" s="5" t="s">
        <v>17398</v>
      </c>
      <c r="B59" s="6" t="str">
        <f>IMAGE("https://storage.googleapis.com/acdb/socks/SocksTexDotknee3.png")</f>
        <v/>
      </c>
      <c r="C59" s="5" t="s">
        <v>95</v>
      </c>
      <c r="D59" s="5" t="s">
        <v>36</v>
      </c>
      <c r="E59" s="6">
        <v>720.0</v>
      </c>
      <c r="F59" s="6">
        <v>180.0</v>
      </c>
      <c r="G59" s="5" t="s">
        <v>95</v>
      </c>
      <c r="H59" s="5" t="s">
        <v>95</v>
      </c>
      <c r="I59" s="6" t="s">
        <v>40</v>
      </c>
      <c r="J59" s="5" t="s">
        <v>8585</v>
      </c>
      <c r="K59" s="5" t="s">
        <v>8586</v>
      </c>
      <c r="L59" s="6" t="s">
        <v>42</v>
      </c>
      <c r="M59" s="5" t="s">
        <v>1959</v>
      </c>
      <c r="N59" s="5" t="s">
        <v>64</v>
      </c>
      <c r="O59" s="5" t="s">
        <v>17404</v>
      </c>
      <c r="P59" s="6">
        <v>12181.0</v>
      </c>
    </row>
    <row r="60" ht="56.25" customHeight="1">
      <c r="A60" s="5" t="s">
        <v>17405</v>
      </c>
      <c r="B60" s="6" t="str">
        <f>IMAGE("https://storage.googleapis.com/acdb/socks/SocksTexEmbroidery1.png")</f>
        <v/>
      </c>
      <c r="C60" s="5" t="s">
        <v>54</v>
      </c>
      <c r="D60" s="5" t="s">
        <v>36</v>
      </c>
      <c r="E60" s="6">
        <v>1000.0</v>
      </c>
      <c r="F60" s="6">
        <v>250.0</v>
      </c>
      <c r="G60" s="5" t="s">
        <v>54</v>
      </c>
      <c r="H60" s="5" t="s">
        <v>57</v>
      </c>
      <c r="I60" s="6" t="s">
        <v>40</v>
      </c>
      <c r="J60" s="5" t="s">
        <v>8585</v>
      </c>
      <c r="K60" s="5" t="s">
        <v>8586</v>
      </c>
      <c r="L60" s="6" t="s">
        <v>42</v>
      </c>
      <c r="M60" s="5" t="s">
        <v>1959</v>
      </c>
      <c r="N60" s="5" t="s">
        <v>64</v>
      </c>
      <c r="O60" s="5" t="s">
        <v>17408</v>
      </c>
      <c r="P60" s="6">
        <v>9907.0</v>
      </c>
    </row>
    <row r="61" ht="56.25" customHeight="1">
      <c r="A61" s="5" t="s">
        <v>17405</v>
      </c>
      <c r="B61" s="6" t="str">
        <f>IMAGE("https://storage.googleapis.com/acdb/socks/SocksTexEmbroidery2.png")</f>
        <v/>
      </c>
      <c r="C61" s="5" t="s">
        <v>96</v>
      </c>
      <c r="D61" s="5" t="s">
        <v>36</v>
      </c>
      <c r="E61" s="6">
        <v>1000.0</v>
      </c>
      <c r="F61" s="6">
        <v>250.0</v>
      </c>
      <c r="G61" s="5" t="s">
        <v>96</v>
      </c>
      <c r="H61" s="5" t="s">
        <v>114</v>
      </c>
      <c r="I61" s="6" t="s">
        <v>40</v>
      </c>
      <c r="J61" s="5" t="s">
        <v>8585</v>
      </c>
      <c r="K61" s="5" t="s">
        <v>8586</v>
      </c>
      <c r="L61" s="6" t="s">
        <v>42</v>
      </c>
      <c r="M61" s="5" t="s">
        <v>1959</v>
      </c>
      <c r="N61" s="5" t="s">
        <v>64</v>
      </c>
      <c r="O61" s="5" t="s">
        <v>17409</v>
      </c>
      <c r="P61" s="6">
        <v>9908.0</v>
      </c>
    </row>
    <row r="62" ht="56.25" customHeight="1">
      <c r="A62" s="5" t="s">
        <v>17405</v>
      </c>
      <c r="B62" s="6" t="str">
        <f>IMAGE("https://storage.googleapis.com/acdb/socks/SocksTexEmbroidery3.png")</f>
        <v/>
      </c>
      <c r="C62" s="5" t="s">
        <v>38</v>
      </c>
      <c r="D62" s="5" t="s">
        <v>36</v>
      </c>
      <c r="E62" s="6">
        <v>1000.0</v>
      </c>
      <c r="F62" s="6">
        <v>250.0</v>
      </c>
      <c r="G62" s="5" t="s">
        <v>38</v>
      </c>
      <c r="H62" s="5" t="s">
        <v>52</v>
      </c>
      <c r="I62" s="6" t="s">
        <v>40</v>
      </c>
      <c r="J62" s="5" t="s">
        <v>8585</v>
      </c>
      <c r="K62" s="5" t="s">
        <v>8586</v>
      </c>
      <c r="L62" s="6" t="s">
        <v>42</v>
      </c>
      <c r="M62" s="5" t="s">
        <v>1959</v>
      </c>
      <c r="N62" s="5" t="s">
        <v>64</v>
      </c>
      <c r="O62" s="5" t="s">
        <v>17412</v>
      </c>
      <c r="P62" s="6">
        <v>9909.0</v>
      </c>
    </row>
    <row r="63" ht="56.25" customHeight="1">
      <c r="A63" s="5" t="s">
        <v>17405</v>
      </c>
      <c r="B63" s="6" t="str">
        <f>IMAGE("https://storage.googleapis.com/acdb/socks/SocksTexEmbroidery0.png")</f>
        <v/>
      </c>
      <c r="C63" s="5" t="s">
        <v>39</v>
      </c>
      <c r="D63" s="5" t="s">
        <v>36</v>
      </c>
      <c r="E63" s="6">
        <v>1000.0</v>
      </c>
      <c r="F63" s="6">
        <v>250.0</v>
      </c>
      <c r="G63" s="5" t="s">
        <v>39</v>
      </c>
      <c r="H63" s="5" t="s">
        <v>52</v>
      </c>
      <c r="I63" s="6" t="s">
        <v>40</v>
      </c>
      <c r="J63" s="5" t="s">
        <v>8585</v>
      </c>
      <c r="K63" s="5" t="s">
        <v>8586</v>
      </c>
      <c r="L63" s="6" t="s">
        <v>42</v>
      </c>
      <c r="M63" s="5" t="s">
        <v>1959</v>
      </c>
      <c r="N63" s="5" t="s">
        <v>64</v>
      </c>
      <c r="O63" s="5" t="s">
        <v>17415</v>
      </c>
      <c r="P63" s="6">
        <v>5204.0</v>
      </c>
    </row>
    <row r="64" ht="56.25" customHeight="1">
      <c r="A64" s="5" t="s">
        <v>17405</v>
      </c>
      <c r="B64" s="6" t="str">
        <f>IMAGE("https://storage.googleapis.com/acdb/socks/SocksTexEmbroidery4.png")</f>
        <v/>
      </c>
      <c r="C64" s="5" t="s">
        <v>68</v>
      </c>
      <c r="D64" s="5" t="s">
        <v>36</v>
      </c>
      <c r="E64" s="6">
        <v>1000.0</v>
      </c>
      <c r="F64" s="6">
        <v>250.0</v>
      </c>
      <c r="G64" s="5" t="s">
        <v>68</v>
      </c>
      <c r="H64" s="5" t="s">
        <v>142</v>
      </c>
      <c r="I64" s="6" t="s">
        <v>40</v>
      </c>
      <c r="J64" s="5" t="s">
        <v>8585</v>
      </c>
      <c r="K64" s="5" t="s">
        <v>8586</v>
      </c>
      <c r="L64" s="6" t="s">
        <v>42</v>
      </c>
      <c r="M64" s="5" t="s">
        <v>1959</v>
      </c>
      <c r="N64" s="5" t="s">
        <v>64</v>
      </c>
      <c r="O64" s="5" t="s">
        <v>17416</v>
      </c>
      <c r="P64" s="6">
        <v>9910.0</v>
      </c>
    </row>
    <row r="65" ht="56.25" customHeight="1">
      <c r="A65" s="5" t="s">
        <v>17405</v>
      </c>
      <c r="B65" s="6" t="str">
        <f>IMAGE("https://storage.googleapis.com/acdb/socks/SocksTexEmbroidery5.png")</f>
        <v/>
      </c>
      <c r="C65" s="5" t="s">
        <v>106</v>
      </c>
      <c r="D65" s="5" t="s">
        <v>36</v>
      </c>
      <c r="E65" s="6">
        <v>1000.0</v>
      </c>
      <c r="F65" s="6">
        <v>250.0</v>
      </c>
      <c r="G65" s="5" t="s">
        <v>106</v>
      </c>
      <c r="H65" s="5" t="s">
        <v>69</v>
      </c>
      <c r="I65" s="6" t="s">
        <v>40</v>
      </c>
      <c r="J65" s="5" t="s">
        <v>8585</v>
      </c>
      <c r="K65" s="5" t="s">
        <v>8586</v>
      </c>
      <c r="L65" s="6" t="s">
        <v>42</v>
      </c>
      <c r="M65" s="5" t="s">
        <v>1959</v>
      </c>
      <c r="N65" s="5" t="s">
        <v>64</v>
      </c>
      <c r="O65" s="5" t="s">
        <v>17419</v>
      </c>
      <c r="P65" s="6">
        <v>9911.0</v>
      </c>
    </row>
    <row r="66" ht="56.25" customHeight="1">
      <c r="A66" s="5" t="s">
        <v>17420</v>
      </c>
      <c r="B66" s="6" t="str">
        <f>IMAGE("https://storage.googleapis.com/acdb/socks/SocksTexDailysocks1.png")</f>
        <v/>
      </c>
      <c r="C66" s="5" t="s">
        <v>54</v>
      </c>
      <c r="D66" s="5" t="s">
        <v>36</v>
      </c>
      <c r="E66" s="6">
        <v>600.0</v>
      </c>
      <c r="F66" s="6">
        <v>150.0</v>
      </c>
      <c r="G66" s="5" t="s">
        <v>54</v>
      </c>
      <c r="H66" s="5" t="s">
        <v>54</v>
      </c>
      <c r="I66" s="6" t="s">
        <v>40</v>
      </c>
      <c r="J66" s="5" t="s">
        <v>8585</v>
      </c>
      <c r="K66" s="5" t="s">
        <v>8632</v>
      </c>
      <c r="L66" s="6" t="s">
        <v>42</v>
      </c>
      <c r="M66" s="5" t="s">
        <v>995</v>
      </c>
      <c r="N66" s="5" t="s">
        <v>64</v>
      </c>
      <c r="O66" s="5" t="s">
        <v>17422</v>
      </c>
      <c r="P66" s="6">
        <v>10034.0</v>
      </c>
    </row>
    <row r="67" ht="56.25" customHeight="1">
      <c r="A67" s="5" t="s">
        <v>17420</v>
      </c>
      <c r="B67" s="6" t="str">
        <f>IMAGE("https://storage.googleapis.com/acdb/socks/SocksTexDailysocks2.png")</f>
        <v/>
      </c>
      <c r="C67" s="5" t="s">
        <v>1187</v>
      </c>
      <c r="D67" s="5" t="s">
        <v>36</v>
      </c>
      <c r="E67" s="6">
        <v>600.0</v>
      </c>
      <c r="F67" s="6">
        <v>150.0</v>
      </c>
      <c r="G67" s="5" t="s">
        <v>68</v>
      </c>
      <c r="H67" s="5" t="s">
        <v>68</v>
      </c>
      <c r="I67" s="6" t="s">
        <v>40</v>
      </c>
      <c r="J67" s="5" t="s">
        <v>8585</v>
      </c>
      <c r="K67" s="5" t="s">
        <v>8632</v>
      </c>
      <c r="L67" s="6" t="s">
        <v>42</v>
      </c>
      <c r="M67" s="5" t="s">
        <v>995</v>
      </c>
      <c r="N67" s="5" t="s">
        <v>64</v>
      </c>
      <c r="O67" s="5" t="s">
        <v>17425</v>
      </c>
      <c r="P67" s="6">
        <v>10035.0</v>
      </c>
    </row>
    <row r="68" ht="56.25" customHeight="1">
      <c r="A68" s="5" t="s">
        <v>17420</v>
      </c>
      <c r="B68" s="6" t="str">
        <f>IMAGE("https://storage.googleapis.com/acdb/socks/SocksTexDailysocks3.png")</f>
        <v/>
      </c>
      <c r="C68" s="5" t="s">
        <v>95</v>
      </c>
      <c r="D68" s="5" t="s">
        <v>36</v>
      </c>
      <c r="E68" s="6">
        <v>600.0</v>
      </c>
      <c r="F68" s="6">
        <v>150.0</v>
      </c>
      <c r="G68" s="5" t="s">
        <v>95</v>
      </c>
      <c r="H68" s="5" t="s">
        <v>95</v>
      </c>
      <c r="I68" s="6" t="s">
        <v>40</v>
      </c>
      <c r="J68" s="5" t="s">
        <v>8585</v>
      </c>
      <c r="K68" s="5" t="s">
        <v>8632</v>
      </c>
      <c r="L68" s="6" t="s">
        <v>42</v>
      </c>
      <c r="M68" s="5" t="s">
        <v>995</v>
      </c>
      <c r="N68" s="5" t="s">
        <v>64</v>
      </c>
      <c r="O68" s="5" t="s">
        <v>17429</v>
      </c>
      <c r="P68" s="6">
        <v>10036.0</v>
      </c>
    </row>
    <row r="69" ht="56.25" customHeight="1">
      <c r="A69" s="5" t="s">
        <v>17420</v>
      </c>
      <c r="B69" s="6" t="str">
        <f>IMAGE("https://storage.googleapis.com/acdb/socks/SocksTexDailysocks4.png")</f>
        <v/>
      </c>
      <c r="C69" s="5" t="s">
        <v>38</v>
      </c>
      <c r="D69" s="5" t="s">
        <v>36</v>
      </c>
      <c r="E69" s="6">
        <v>600.0</v>
      </c>
      <c r="F69" s="6">
        <v>150.0</v>
      </c>
      <c r="G69" s="5" t="s">
        <v>38</v>
      </c>
      <c r="H69" s="5" t="s">
        <v>38</v>
      </c>
      <c r="I69" s="6" t="s">
        <v>40</v>
      </c>
      <c r="J69" s="5" t="s">
        <v>8585</v>
      </c>
      <c r="K69" s="5" t="s">
        <v>8632</v>
      </c>
      <c r="L69" s="6" t="s">
        <v>42</v>
      </c>
      <c r="M69" s="5" t="s">
        <v>995</v>
      </c>
      <c r="N69" s="5" t="s">
        <v>64</v>
      </c>
      <c r="O69" s="5" t="s">
        <v>17435</v>
      </c>
      <c r="P69" s="6">
        <v>10037.0</v>
      </c>
    </row>
    <row r="70" ht="56.25" customHeight="1">
      <c r="A70" s="5" t="s">
        <v>17420</v>
      </c>
      <c r="B70" s="6" t="str">
        <f>IMAGE("https://storage.googleapis.com/acdb/socks/SocksTexDailysocks5.png")</f>
        <v/>
      </c>
      <c r="C70" s="5" t="s">
        <v>57</v>
      </c>
      <c r="D70" s="5" t="s">
        <v>36</v>
      </c>
      <c r="E70" s="6">
        <v>600.0</v>
      </c>
      <c r="F70" s="6">
        <v>150.0</v>
      </c>
      <c r="G70" s="5" t="s">
        <v>57</v>
      </c>
      <c r="H70" s="5" t="s">
        <v>57</v>
      </c>
      <c r="I70" s="6" t="s">
        <v>40</v>
      </c>
      <c r="J70" s="5" t="s">
        <v>8585</v>
      </c>
      <c r="K70" s="5" t="s">
        <v>8632</v>
      </c>
      <c r="L70" s="6" t="s">
        <v>42</v>
      </c>
      <c r="M70" s="5" t="s">
        <v>995</v>
      </c>
      <c r="N70" s="5" t="s">
        <v>64</v>
      </c>
      <c r="O70" s="5" t="s">
        <v>17442</v>
      </c>
      <c r="P70" s="6">
        <v>10038.0</v>
      </c>
    </row>
    <row r="71" ht="56.25" customHeight="1">
      <c r="A71" s="5" t="s">
        <v>17420</v>
      </c>
      <c r="B71" s="6" t="str">
        <f>IMAGE("https://storage.googleapis.com/acdb/socks/SocksTexDailysocks0.png")</f>
        <v/>
      </c>
      <c r="C71" s="5" t="s">
        <v>39</v>
      </c>
      <c r="D71" s="5" t="s">
        <v>36</v>
      </c>
      <c r="E71" s="6">
        <v>600.0</v>
      </c>
      <c r="F71" s="6">
        <v>150.0</v>
      </c>
      <c r="G71" s="5" t="s">
        <v>39</v>
      </c>
      <c r="H71" s="5" t="s">
        <v>39</v>
      </c>
      <c r="I71" s="6" t="s">
        <v>40</v>
      </c>
      <c r="J71" s="5" t="s">
        <v>8585</v>
      </c>
      <c r="K71" s="5" t="s">
        <v>8632</v>
      </c>
      <c r="L71" s="6" t="s">
        <v>42</v>
      </c>
      <c r="M71" s="5" t="s">
        <v>995</v>
      </c>
      <c r="N71" s="5" t="s">
        <v>64</v>
      </c>
      <c r="O71" s="5" t="s">
        <v>17445</v>
      </c>
      <c r="P71" s="6">
        <v>9645.0</v>
      </c>
    </row>
    <row r="72" ht="56.25" customHeight="1">
      <c r="A72" s="5" t="s">
        <v>17446</v>
      </c>
      <c r="B72" s="6" t="str">
        <f>IMAGE("https://storage.googleapis.com/acdb/socks/SocksTexDailytights1.png")</f>
        <v/>
      </c>
      <c r="C72" s="5" t="s">
        <v>11996</v>
      </c>
      <c r="D72" s="5" t="s">
        <v>36</v>
      </c>
      <c r="E72" s="6">
        <v>720.0</v>
      </c>
      <c r="F72" s="6">
        <v>180.0</v>
      </c>
      <c r="G72" s="5" t="s">
        <v>95</v>
      </c>
      <c r="H72" s="5" t="s">
        <v>95</v>
      </c>
      <c r="I72" s="6" t="s">
        <v>40</v>
      </c>
      <c r="J72" s="5" t="s">
        <v>8585</v>
      </c>
      <c r="K72" s="5" t="s">
        <v>8632</v>
      </c>
      <c r="L72" s="6" t="s">
        <v>42</v>
      </c>
      <c r="M72" s="5" t="s">
        <v>995</v>
      </c>
      <c r="N72" s="5" t="s">
        <v>64</v>
      </c>
      <c r="O72" s="5" t="s">
        <v>17450</v>
      </c>
      <c r="P72" s="6">
        <v>9682.0</v>
      </c>
    </row>
    <row r="73" ht="56.25" customHeight="1">
      <c r="A73" s="5" t="s">
        <v>17446</v>
      </c>
      <c r="B73" s="6" t="str">
        <f>IMAGE("https://storage.googleapis.com/acdb/socks/SocksTexDailytights2.png")</f>
        <v/>
      </c>
      <c r="C73" s="5" t="s">
        <v>95</v>
      </c>
      <c r="D73" s="5" t="s">
        <v>36</v>
      </c>
      <c r="E73" s="6">
        <v>720.0</v>
      </c>
      <c r="F73" s="6">
        <v>180.0</v>
      </c>
      <c r="G73" s="5" t="s">
        <v>95</v>
      </c>
      <c r="H73" s="5" t="s">
        <v>95</v>
      </c>
      <c r="I73" s="6" t="s">
        <v>40</v>
      </c>
      <c r="J73" s="5" t="s">
        <v>8585</v>
      </c>
      <c r="K73" s="5" t="s">
        <v>8632</v>
      </c>
      <c r="L73" s="6" t="s">
        <v>42</v>
      </c>
      <c r="M73" s="5" t="s">
        <v>995</v>
      </c>
      <c r="N73" s="5" t="s">
        <v>64</v>
      </c>
      <c r="O73" s="5" t="s">
        <v>17454</v>
      </c>
      <c r="P73" s="6">
        <v>9683.0</v>
      </c>
    </row>
    <row r="74" ht="56.25" customHeight="1">
      <c r="A74" s="5" t="s">
        <v>17446</v>
      </c>
      <c r="B74" s="6" t="str">
        <f>IMAGE("https://storage.googleapis.com/acdb/socks/SocksTexDailytights3.png")</f>
        <v/>
      </c>
      <c r="C74" s="5" t="s">
        <v>57</v>
      </c>
      <c r="D74" s="5" t="s">
        <v>36</v>
      </c>
      <c r="E74" s="6">
        <v>720.0</v>
      </c>
      <c r="F74" s="6">
        <v>180.0</v>
      </c>
      <c r="G74" s="5" t="s">
        <v>57</v>
      </c>
      <c r="H74" s="5" t="s">
        <v>57</v>
      </c>
      <c r="I74" s="6" t="s">
        <v>40</v>
      </c>
      <c r="J74" s="5" t="s">
        <v>8585</v>
      </c>
      <c r="K74" s="5" t="s">
        <v>8632</v>
      </c>
      <c r="L74" s="6" t="s">
        <v>42</v>
      </c>
      <c r="M74" s="5" t="s">
        <v>995</v>
      </c>
      <c r="N74" s="5" t="s">
        <v>64</v>
      </c>
      <c r="O74" s="5" t="s">
        <v>17457</v>
      </c>
      <c r="P74" s="6">
        <v>9684.0</v>
      </c>
    </row>
    <row r="75" ht="56.25" customHeight="1">
      <c r="A75" s="5" t="s">
        <v>17446</v>
      </c>
      <c r="B75" s="6" t="str">
        <f>IMAGE("https://storage.googleapis.com/acdb/socks/SocksTexDailytights4.png")</f>
        <v/>
      </c>
      <c r="C75" s="5" t="s">
        <v>1187</v>
      </c>
      <c r="D75" s="5" t="s">
        <v>36</v>
      </c>
      <c r="E75" s="6">
        <v>720.0</v>
      </c>
      <c r="F75" s="6">
        <v>180.0</v>
      </c>
      <c r="G75" s="5" t="s">
        <v>68</v>
      </c>
      <c r="H75" s="5" t="s">
        <v>68</v>
      </c>
      <c r="I75" s="6" t="s">
        <v>40</v>
      </c>
      <c r="J75" s="5" t="s">
        <v>8585</v>
      </c>
      <c r="K75" s="5" t="s">
        <v>8632</v>
      </c>
      <c r="L75" s="6" t="s">
        <v>42</v>
      </c>
      <c r="M75" s="5" t="s">
        <v>995</v>
      </c>
      <c r="N75" s="5" t="s">
        <v>64</v>
      </c>
      <c r="O75" s="5" t="s">
        <v>17459</v>
      </c>
      <c r="P75" s="6">
        <v>9685.0</v>
      </c>
    </row>
    <row r="76" ht="56.25" customHeight="1">
      <c r="A76" s="5" t="s">
        <v>17446</v>
      </c>
      <c r="B76" s="6" t="str">
        <f>IMAGE("https://storage.googleapis.com/acdb/socks/SocksTexDailytights5.png")</f>
        <v/>
      </c>
      <c r="C76" s="5" t="s">
        <v>38</v>
      </c>
      <c r="D76" s="5" t="s">
        <v>36</v>
      </c>
      <c r="E76" s="6">
        <v>720.0</v>
      </c>
      <c r="F76" s="6">
        <v>180.0</v>
      </c>
      <c r="G76" s="5" t="s">
        <v>38</v>
      </c>
      <c r="H76" s="5" t="s">
        <v>38</v>
      </c>
      <c r="I76" s="6" t="s">
        <v>40</v>
      </c>
      <c r="J76" s="5" t="s">
        <v>8585</v>
      </c>
      <c r="K76" s="5" t="s">
        <v>8632</v>
      </c>
      <c r="L76" s="6" t="s">
        <v>42</v>
      </c>
      <c r="M76" s="5" t="s">
        <v>995</v>
      </c>
      <c r="N76" s="5" t="s">
        <v>64</v>
      </c>
      <c r="O76" s="5" t="s">
        <v>17462</v>
      </c>
      <c r="P76" s="6">
        <v>9686.0</v>
      </c>
    </row>
    <row r="77" ht="56.25" customHeight="1">
      <c r="A77" s="5" t="s">
        <v>17446</v>
      </c>
      <c r="B77" s="6" t="str">
        <f>IMAGE("https://storage.googleapis.com/acdb/socks/SocksTexDailytights0.png")</f>
        <v/>
      </c>
      <c r="C77" s="5" t="s">
        <v>54</v>
      </c>
      <c r="D77" s="5" t="s">
        <v>36</v>
      </c>
      <c r="E77" s="6">
        <v>720.0</v>
      </c>
      <c r="F77" s="6">
        <v>180.0</v>
      </c>
      <c r="G77" s="5" t="s">
        <v>54</v>
      </c>
      <c r="H77" s="5" t="s">
        <v>54</v>
      </c>
      <c r="I77" s="6" t="s">
        <v>40</v>
      </c>
      <c r="J77" s="5" t="s">
        <v>8585</v>
      </c>
      <c r="K77" s="5" t="s">
        <v>8632</v>
      </c>
      <c r="L77" s="6" t="s">
        <v>42</v>
      </c>
      <c r="M77" s="5" t="s">
        <v>995</v>
      </c>
      <c r="N77" s="5" t="s">
        <v>64</v>
      </c>
      <c r="O77" s="5" t="s">
        <v>17465</v>
      </c>
      <c r="P77" s="6">
        <v>9581.0</v>
      </c>
    </row>
    <row r="78" ht="56.25" customHeight="1">
      <c r="A78" s="5" t="s">
        <v>17466</v>
      </c>
      <c r="B78" s="6" t="str">
        <f>IMAGE("https://storage.googleapis.com/acdb/socks/SocksTexAmitights1.png")</f>
        <v/>
      </c>
      <c r="C78" s="5" t="s">
        <v>57</v>
      </c>
      <c r="D78" s="5" t="s">
        <v>36</v>
      </c>
      <c r="E78" s="6">
        <v>480.0</v>
      </c>
      <c r="F78" s="6">
        <v>120.0</v>
      </c>
      <c r="G78" s="5" t="s">
        <v>57</v>
      </c>
      <c r="H78" s="5" t="s">
        <v>57</v>
      </c>
      <c r="I78" s="6" t="s">
        <v>40</v>
      </c>
      <c r="J78" s="5" t="s">
        <v>8585</v>
      </c>
      <c r="K78" s="5" t="s">
        <v>8586</v>
      </c>
      <c r="L78" s="6" t="s">
        <v>42</v>
      </c>
      <c r="M78" s="5" t="s">
        <v>1059</v>
      </c>
      <c r="N78" s="5" t="s">
        <v>64</v>
      </c>
      <c r="O78" s="5" t="s">
        <v>17470</v>
      </c>
      <c r="P78" s="6">
        <v>9659.0</v>
      </c>
    </row>
    <row r="79" ht="56.25" customHeight="1">
      <c r="A79" s="5" t="s">
        <v>17466</v>
      </c>
      <c r="B79" s="6" t="str">
        <f>IMAGE("https://storage.googleapis.com/acdb/socks/SocksTexAmitights2.png")</f>
        <v/>
      </c>
      <c r="C79" s="5" t="s">
        <v>52</v>
      </c>
      <c r="D79" s="5" t="s">
        <v>36</v>
      </c>
      <c r="E79" s="6">
        <v>480.0</v>
      </c>
      <c r="F79" s="6">
        <v>120.0</v>
      </c>
      <c r="G79" s="5" t="s">
        <v>52</v>
      </c>
      <c r="H79" s="5" t="s">
        <v>52</v>
      </c>
      <c r="I79" s="6" t="s">
        <v>40</v>
      </c>
      <c r="J79" s="5" t="s">
        <v>8585</v>
      </c>
      <c r="K79" s="5" t="s">
        <v>8586</v>
      </c>
      <c r="L79" s="6" t="s">
        <v>42</v>
      </c>
      <c r="M79" s="5" t="s">
        <v>1059</v>
      </c>
      <c r="N79" s="5" t="s">
        <v>64</v>
      </c>
      <c r="O79" s="5" t="s">
        <v>17472</v>
      </c>
      <c r="P79" s="6">
        <v>9660.0</v>
      </c>
    </row>
    <row r="80" ht="56.25" customHeight="1">
      <c r="A80" s="5" t="s">
        <v>17466</v>
      </c>
      <c r="B80" s="6" t="str">
        <f>IMAGE("https://storage.googleapis.com/acdb/socks/SocksTexAmitights0.png")</f>
        <v/>
      </c>
      <c r="C80" s="5" t="s">
        <v>54</v>
      </c>
      <c r="D80" s="5" t="s">
        <v>36</v>
      </c>
      <c r="E80" s="6">
        <v>480.0</v>
      </c>
      <c r="F80" s="6">
        <v>120.0</v>
      </c>
      <c r="G80" s="5" t="s">
        <v>54</v>
      </c>
      <c r="H80" s="5" t="s">
        <v>54</v>
      </c>
      <c r="I80" s="6" t="s">
        <v>40</v>
      </c>
      <c r="J80" s="5" t="s">
        <v>8585</v>
      </c>
      <c r="K80" s="5" t="s">
        <v>8586</v>
      </c>
      <c r="L80" s="6" t="s">
        <v>42</v>
      </c>
      <c r="M80" s="5" t="s">
        <v>1059</v>
      </c>
      <c r="N80" s="5" t="s">
        <v>64</v>
      </c>
      <c r="O80" s="5" t="s">
        <v>17475</v>
      </c>
      <c r="P80" s="6">
        <v>3096.0</v>
      </c>
    </row>
    <row r="81" ht="56.25" customHeight="1">
      <c r="A81" s="5" t="s">
        <v>17476</v>
      </c>
      <c r="B81" s="6" t="str">
        <f>IMAGE("https://storage.googleapis.com/acdb/socks/SocksTexFlowerdot0.png")</f>
        <v/>
      </c>
      <c r="C81" s="5" t="s">
        <v>57</v>
      </c>
      <c r="D81" s="5" t="s">
        <v>36</v>
      </c>
      <c r="E81" s="6">
        <v>720.0</v>
      </c>
      <c r="F81" s="6">
        <v>180.0</v>
      </c>
      <c r="G81" s="5" t="s">
        <v>57</v>
      </c>
      <c r="H81" s="5" t="s">
        <v>57</v>
      </c>
      <c r="I81" s="6" t="s">
        <v>40</v>
      </c>
      <c r="J81" s="5" t="s">
        <v>8585</v>
      </c>
      <c r="K81" s="5" t="s">
        <v>8586</v>
      </c>
      <c r="L81" s="6" t="s">
        <v>42</v>
      </c>
      <c r="M81" s="5" t="s">
        <v>1059</v>
      </c>
      <c r="N81" s="5" t="s">
        <v>64</v>
      </c>
      <c r="O81" s="5" t="s">
        <v>17477</v>
      </c>
      <c r="P81" s="6">
        <v>5804.0</v>
      </c>
    </row>
    <row r="82" ht="56.25" customHeight="1">
      <c r="A82" s="5" t="s">
        <v>17476</v>
      </c>
      <c r="B82" s="6" t="str">
        <f>IMAGE("https://storage.googleapis.com/acdb/socks/SocksTexFlowerdot1.png")</f>
        <v/>
      </c>
      <c r="C82" s="5" t="s">
        <v>69</v>
      </c>
      <c r="D82" s="5" t="s">
        <v>36</v>
      </c>
      <c r="E82" s="6">
        <v>720.0</v>
      </c>
      <c r="F82" s="6">
        <v>180.0</v>
      </c>
      <c r="G82" s="5" t="s">
        <v>69</v>
      </c>
      <c r="H82" s="5" t="s">
        <v>57</v>
      </c>
      <c r="I82" s="6" t="s">
        <v>40</v>
      </c>
      <c r="J82" s="5" t="s">
        <v>8585</v>
      </c>
      <c r="K82" s="5" t="s">
        <v>8586</v>
      </c>
      <c r="L82" s="6" t="s">
        <v>42</v>
      </c>
      <c r="M82" s="5" t="s">
        <v>1059</v>
      </c>
      <c r="N82" s="5" t="s">
        <v>64</v>
      </c>
      <c r="O82" s="5" t="s">
        <v>17480</v>
      </c>
      <c r="P82" s="6">
        <v>9917.0</v>
      </c>
    </row>
    <row r="83" ht="56.25" customHeight="1">
      <c r="A83" s="5" t="s">
        <v>17476</v>
      </c>
      <c r="B83" s="6" t="str">
        <f>IMAGE("https://storage.googleapis.com/acdb/socks/SocksTexFlowerdot2.png")</f>
        <v/>
      </c>
      <c r="C83" s="5" t="s">
        <v>68</v>
      </c>
      <c r="D83" s="5" t="s">
        <v>36</v>
      </c>
      <c r="E83" s="6">
        <v>720.0</v>
      </c>
      <c r="F83" s="6">
        <v>180.0</v>
      </c>
      <c r="G83" s="5" t="s">
        <v>83</v>
      </c>
      <c r="H83" s="5" t="s">
        <v>57</v>
      </c>
      <c r="I83" s="6" t="s">
        <v>40</v>
      </c>
      <c r="J83" s="5" t="s">
        <v>8585</v>
      </c>
      <c r="K83" s="5" t="s">
        <v>8586</v>
      </c>
      <c r="L83" s="6" t="s">
        <v>42</v>
      </c>
      <c r="M83" s="5" t="s">
        <v>1059</v>
      </c>
      <c r="N83" s="5" t="s">
        <v>64</v>
      </c>
      <c r="O83" s="5" t="s">
        <v>17482</v>
      </c>
      <c r="P83" s="6">
        <v>9918.0</v>
      </c>
    </row>
    <row r="84" ht="56.25" customHeight="1">
      <c r="A84" s="5" t="s">
        <v>17476</v>
      </c>
      <c r="B84" s="6" t="str">
        <f>IMAGE("https://storage.googleapis.com/acdb/socks/SocksTexFlowerdot3.png")</f>
        <v/>
      </c>
      <c r="C84" s="5" t="s">
        <v>114</v>
      </c>
      <c r="D84" s="5" t="s">
        <v>36</v>
      </c>
      <c r="E84" s="6">
        <v>720.0</v>
      </c>
      <c r="F84" s="6">
        <v>180.0</v>
      </c>
      <c r="G84" s="5" t="s">
        <v>114</v>
      </c>
      <c r="H84" s="5" t="s">
        <v>57</v>
      </c>
      <c r="I84" s="6" t="s">
        <v>40</v>
      </c>
      <c r="J84" s="5" t="s">
        <v>8585</v>
      </c>
      <c r="K84" s="5" t="s">
        <v>8586</v>
      </c>
      <c r="L84" s="6" t="s">
        <v>42</v>
      </c>
      <c r="M84" s="5" t="s">
        <v>1059</v>
      </c>
      <c r="N84" s="5" t="s">
        <v>64</v>
      </c>
      <c r="O84" s="5" t="s">
        <v>17485</v>
      </c>
      <c r="P84" s="6">
        <v>9919.0</v>
      </c>
    </row>
    <row r="85" ht="56.25" customHeight="1">
      <c r="A85" s="5" t="s">
        <v>17476</v>
      </c>
      <c r="B85" s="6" t="str">
        <f>IMAGE("https://storage.googleapis.com/acdb/socks/SocksTexFlowerdot4.png")</f>
        <v/>
      </c>
      <c r="C85" s="5" t="s">
        <v>54</v>
      </c>
      <c r="D85" s="5" t="s">
        <v>36</v>
      </c>
      <c r="E85" s="6">
        <v>720.0</v>
      </c>
      <c r="F85" s="6">
        <v>180.0</v>
      </c>
      <c r="G85" s="5" t="s">
        <v>54</v>
      </c>
      <c r="H85" s="5" t="s">
        <v>54</v>
      </c>
      <c r="I85" s="6" t="s">
        <v>40</v>
      </c>
      <c r="J85" s="5" t="s">
        <v>8585</v>
      </c>
      <c r="K85" s="5" t="s">
        <v>8586</v>
      </c>
      <c r="L85" s="6" t="s">
        <v>42</v>
      </c>
      <c r="M85" s="5" t="s">
        <v>1059</v>
      </c>
      <c r="N85" s="5" t="s">
        <v>64</v>
      </c>
      <c r="O85" s="5" t="s">
        <v>17488</v>
      </c>
      <c r="P85" s="6">
        <v>9920.0</v>
      </c>
    </row>
    <row r="86" ht="56.25" customHeight="1">
      <c r="A86" s="5" t="s">
        <v>17489</v>
      </c>
      <c r="B86" s="6" t="str">
        <f>IMAGE("https://storage.googleapis.com/acdb/socks/SocksTexFrilledknee0.png")</f>
        <v/>
      </c>
      <c r="C86" s="5" t="s">
        <v>54</v>
      </c>
      <c r="D86" s="5" t="s">
        <v>36</v>
      </c>
      <c r="E86" s="6">
        <v>840.0</v>
      </c>
      <c r="F86" s="6">
        <v>210.0</v>
      </c>
      <c r="G86" s="5" t="s">
        <v>54</v>
      </c>
      <c r="H86" s="5" t="s">
        <v>57</v>
      </c>
      <c r="I86" s="6" t="s">
        <v>40</v>
      </c>
      <c r="J86" s="5" t="s">
        <v>17203</v>
      </c>
      <c r="K86" s="5"/>
      <c r="L86" s="6" t="s">
        <v>42</v>
      </c>
      <c r="M86" s="5" t="s">
        <v>1959</v>
      </c>
      <c r="N86" s="5" t="s">
        <v>64</v>
      </c>
      <c r="O86" s="5" t="s">
        <v>17491</v>
      </c>
      <c r="P86" s="6">
        <v>5172.0</v>
      </c>
    </row>
    <row r="87" ht="56.25" customHeight="1">
      <c r="A87" s="5" t="s">
        <v>17489</v>
      </c>
      <c r="B87" s="6" t="str">
        <f>IMAGE("https://storage.googleapis.com/acdb/socks/SocksTexFrilledknee2.png")</f>
        <v/>
      </c>
      <c r="C87" s="5" t="s">
        <v>52</v>
      </c>
      <c r="D87" s="5" t="s">
        <v>36</v>
      </c>
      <c r="E87" s="6">
        <v>840.0</v>
      </c>
      <c r="F87" s="6">
        <v>210.0</v>
      </c>
      <c r="G87" s="5" t="s">
        <v>52</v>
      </c>
      <c r="H87" s="5" t="s">
        <v>57</v>
      </c>
      <c r="I87" s="6" t="s">
        <v>40</v>
      </c>
      <c r="J87" s="5" t="s">
        <v>17203</v>
      </c>
      <c r="K87" s="5"/>
      <c r="L87" s="6" t="s">
        <v>42</v>
      </c>
      <c r="M87" s="5" t="s">
        <v>1959</v>
      </c>
      <c r="N87" s="5" t="s">
        <v>64</v>
      </c>
      <c r="O87" s="5" t="s">
        <v>17494</v>
      </c>
      <c r="P87" s="6">
        <v>11590.0</v>
      </c>
    </row>
    <row r="88" ht="56.25" customHeight="1">
      <c r="A88" s="5" t="s">
        <v>17489</v>
      </c>
      <c r="B88" s="6" t="str">
        <f>IMAGE("https://storage.googleapis.com/acdb/socks/SocksTexFrilledknee3.png")</f>
        <v/>
      </c>
      <c r="C88" s="5" t="s">
        <v>39</v>
      </c>
      <c r="D88" s="5" t="s">
        <v>36</v>
      </c>
      <c r="E88" s="6">
        <v>840.0</v>
      </c>
      <c r="F88" s="6">
        <v>210.0</v>
      </c>
      <c r="G88" s="5" t="s">
        <v>142</v>
      </c>
      <c r="H88" s="5" t="s">
        <v>57</v>
      </c>
      <c r="I88" s="6" t="s">
        <v>40</v>
      </c>
      <c r="J88" s="5" t="s">
        <v>17203</v>
      </c>
      <c r="K88" s="5"/>
      <c r="L88" s="6" t="s">
        <v>42</v>
      </c>
      <c r="M88" s="5" t="s">
        <v>1959</v>
      </c>
      <c r="N88" s="5" t="s">
        <v>64</v>
      </c>
      <c r="O88" s="5" t="s">
        <v>17496</v>
      </c>
      <c r="P88" s="6">
        <v>11591.0</v>
      </c>
    </row>
    <row r="89" ht="56.25" customHeight="1">
      <c r="A89" s="5" t="s">
        <v>17489</v>
      </c>
      <c r="B89" s="6" t="str">
        <f>IMAGE("https://storage.googleapis.com/acdb/socks/SocksTexFrilledknee4.png")</f>
        <v/>
      </c>
      <c r="C89" s="5" t="s">
        <v>9021</v>
      </c>
      <c r="D89" s="5" t="s">
        <v>36</v>
      </c>
      <c r="E89" s="6">
        <v>840.0</v>
      </c>
      <c r="F89" s="6">
        <v>210.0</v>
      </c>
      <c r="G89" s="5" t="s">
        <v>83</v>
      </c>
      <c r="H89" s="5" t="s">
        <v>57</v>
      </c>
      <c r="I89" s="6" t="s">
        <v>40</v>
      </c>
      <c r="J89" s="5" t="s">
        <v>17203</v>
      </c>
      <c r="K89" s="5"/>
      <c r="L89" s="6" t="s">
        <v>42</v>
      </c>
      <c r="M89" s="5" t="s">
        <v>1959</v>
      </c>
      <c r="N89" s="5" t="s">
        <v>64</v>
      </c>
      <c r="O89" s="5" t="s">
        <v>17499</v>
      </c>
      <c r="P89" s="6">
        <v>11592.0</v>
      </c>
    </row>
    <row r="90" ht="56.25" customHeight="1">
      <c r="A90" s="5" t="s">
        <v>17489</v>
      </c>
      <c r="B90" s="6" t="str">
        <f>IMAGE("https://storage.googleapis.com/acdb/socks/SocksTexFrilledknee5.png")</f>
        <v/>
      </c>
      <c r="C90" s="5" t="s">
        <v>69</v>
      </c>
      <c r="D90" s="5" t="s">
        <v>36</v>
      </c>
      <c r="E90" s="6">
        <v>840.0</v>
      </c>
      <c r="F90" s="6">
        <v>210.0</v>
      </c>
      <c r="G90" s="5" t="s">
        <v>69</v>
      </c>
      <c r="H90" s="5" t="s">
        <v>57</v>
      </c>
      <c r="I90" s="6" t="s">
        <v>40</v>
      </c>
      <c r="J90" s="5" t="s">
        <v>17203</v>
      </c>
      <c r="K90" s="5"/>
      <c r="L90" s="6" t="s">
        <v>42</v>
      </c>
      <c r="M90" s="5" t="s">
        <v>1959</v>
      </c>
      <c r="N90" s="5" t="s">
        <v>64</v>
      </c>
      <c r="O90" s="5" t="s">
        <v>17503</v>
      </c>
      <c r="P90" s="6">
        <v>11593.0</v>
      </c>
    </row>
    <row r="91" ht="56.25" customHeight="1">
      <c r="A91" s="5" t="s">
        <v>17489</v>
      </c>
      <c r="B91" s="6" t="str">
        <f>IMAGE("https://storage.googleapis.com/acdb/socks/SocksTexFrilledknee6.png")</f>
        <v/>
      </c>
      <c r="C91" s="5" t="s">
        <v>106</v>
      </c>
      <c r="D91" s="5" t="s">
        <v>36</v>
      </c>
      <c r="E91" s="6">
        <v>840.0</v>
      </c>
      <c r="F91" s="6">
        <v>210.0</v>
      </c>
      <c r="G91" s="5" t="s">
        <v>106</v>
      </c>
      <c r="H91" s="5" t="s">
        <v>57</v>
      </c>
      <c r="I91" s="6" t="s">
        <v>40</v>
      </c>
      <c r="J91" s="5" t="s">
        <v>17203</v>
      </c>
      <c r="K91" s="5"/>
      <c r="L91" s="6" t="s">
        <v>42</v>
      </c>
      <c r="M91" s="5" t="s">
        <v>1959</v>
      </c>
      <c r="N91" s="5" t="s">
        <v>64</v>
      </c>
      <c r="O91" s="5" t="s">
        <v>17504</v>
      </c>
      <c r="P91" s="6">
        <v>11594.0</v>
      </c>
    </row>
    <row r="92" ht="56.25" customHeight="1">
      <c r="A92" s="5" t="s">
        <v>17489</v>
      </c>
      <c r="B92" s="6" t="str">
        <f>IMAGE("https://storage.googleapis.com/acdb/socks/SocksTexFrilledknee7.png")</f>
        <v/>
      </c>
      <c r="C92" s="5" t="s">
        <v>114</v>
      </c>
      <c r="D92" s="5" t="s">
        <v>36</v>
      </c>
      <c r="E92" s="6">
        <v>840.0</v>
      </c>
      <c r="F92" s="6">
        <v>210.0</v>
      </c>
      <c r="G92" s="5" t="s">
        <v>114</v>
      </c>
      <c r="H92" s="5" t="s">
        <v>57</v>
      </c>
      <c r="I92" s="6" t="s">
        <v>40</v>
      </c>
      <c r="J92" s="5" t="s">
        <v>17203</v>
      </c>
      <c r="K92" s="5"/>
      <c r="L92" s="6" t="s">
        <v>42</v>
      </c>
      <c r="M92" s="5" t="s">
        <v>1959</v>
      </c>
      <c r="N92" s="5" t="s">
        <v>64</v>
      </c>
      <c r="O92" s="5" t="s">
        <v>17507</v>
      </c>
      <c r="P92" s="6">
        <v>11595.0</v>
      </c>
    </row>
    <row r="93" ht="56.25" customHeight="1">
      <c r="A93" s="5" t="s">
        <v>17489</v>
      </c>
      <c r="B93" s="6" t="str">
        <f>IMAGE("https://storage.googleapis.com/acdb/socks/SocksTexFrilledknee1.png")</f>
        <v/>
      </c>
      <c r="C93" s="5" t="s">
        <v>96</v>
      </c>
      <c r="D93" s="5" t="s">
        <v>36</v>
      </c>
      <c r="E93" s="6">
        <v>840.0</v>
      </c>
      <c r="F93" s="6">
        <v>210.0</v>
      </c>
      <c r="G93" s="5" t="s">
        <v>96</v>
      </c>
      <c r="H93" s="5" t="s">
        <v>57</v>
      </c>
      <c r="I93" s="6" t="s">
        <v>40</v>
      </c>
      <c r="J93" s="5" t="s">
        <v>17203</v>
      </c>
      <c r="K93" s="5"/>
      <c r="L93" s="6" t="s">
        <v>42</v>
      </c>
      <c r="M93" s="5" t="s">
        <v>1959</v>
      </c>
      <c r="N93" s="5" t="s">
        <v>64</v>
      </c>
      <c r="O93" s="5" t="s">
        <v>17509</v>
      </c>
      <c r="P93" s="6">
        <v>11589.0</v>
      </c>
    </row>
    <row r="94" ht="56.25" customHeight="1">
      <c r="A94" s="5" t="s">
        <v>17510</v>
      </c>
      <c r="B94" s="6" t="str">
        <f>IMAGE("https://storage.googleapis.com/acdb/socks/SocksTexFrilled0.png")</f>
        <v/>
      </c>
      <c r="C94" s="5" t="s">
        <v>57</v>
      </c>
      <c r="D94" s="5" t="s">
        <v>36</v>
      </c>
      <c r="E94" s="6">
        <v>720.0</v>
      </c>
      <c r="F94" s="6">
        <v>180.0</v>
      </c>
      <c r="G94" s="5" t="s">
        <v>57</v>
      </c>
      <c r="H94" s="5" t="s">
        <v>57</v>
      </c>
      <c r="I94" s="6" t="s">
        <v>40</v>
      </c>
      <c r="J94" s="5" t="s">
        <v>8585</v>
      </c>
      <c r="K94" s="5" t="s">
        <v>8586</v>
      </c>
      <c r="L94" s="6" t="s">
        <v>42</v>
      </c>
      <c r="M94" s="5" t="s">
        <v>1959</v>
      </c>
      <c r="N94" s="5" t="s">
        <v>64</v>
      </c>
      <c r="O94" s="5" t="s">
        <v>17512</v>
      </c>
      <c r="P94" s="6">
        <v>5174.0</v>
      </c>
    </row>
    <row r="95" ht="56.25" customHeight="1">
      <c r="A95" s="5" t="s">
        <v>17510</v>
      </c>
      <c r="B95" s="6" t="str">
        <f>IMAGE("https://storage.googleapis.com/acdb/socks/SocksTexFrilled1.png")</f>
        <v/>
      </c>
      <c r="C95" s="5" t="s">
        <v>114</v>
      </c>
      <c r="D95" s="5" t="s">
        <v>36</v>
      </c>
      <c r="E95" s="6">
        <v>720.0</v>
      </c>
      <c r="F95" s="6">
        <v>180.0</v>
      </c>
      <c r="G95" s="5" t="s">
        <v>114</v>
      </c>
      <c r="H95" s="5" t="s">
        <v>57</v>
      </c>
      <c r="I95" s="6" t="s">
        <v>40</v>
      </c>
      <c r="J95" s="5" t="s">
        <v>8585</v>
      </c>
      <c r="K95" s="5" t="s">
        <v>8586</v>
      </c>
      <c r="L95" s="6" t="s">
        <v>42</v>
      </c>
      <c r="M95" s="5" t="s">
        <v>1959</v>
      </c>
      <c r="N95" s="5" t="s">
        <v>64</v>
      </c>
      <c r="O95" s="5" t="s">
        <v>17515</v>
      </c>
      <c r="P95" s="6">
        <v>8934.0</v>
      </c>
    </row>
    <row r="96" ht="56.25" customHeight="1">
      <c r="A96" s="5" t="s">
        <v>17510</v>
      </c>
      <c r="B96" s="6" t="str">
        <f>IMAGE("https://storage.googleapis.com/acdb/socks/SocksTexFrilled2.png")</f>
        <v/>
      </c>
      <c r="C96" s="5" t="s">
        <v>69</v>
      </c>
      <c r="D96" s="5" t="s">
        <v>36</v>
      </c>
      <c r="E96" s="6">
        <v>720.0</v>
      </c>
      <c r="F96" s="6">
        <v>180.0</v>
      </c>
      <c r="G96" s="5" t="s">
        <v>69</v>
      </c>
      <c r="H96" s="5" t="s">
        <v>57</v>
      </c>
      <c r="I96" s="6" t="s">
        <v>40</v>
      </c>
      <c r="J96" s="5" t="s">
        <v>8585</v>
      </c>
      <c r="K96" s="5" t="s">
        <v>8586</v>
      </c>
      <c r="L96" s="6" t="s">
        <v>42</v>
      </c>
      <c r="M96" s="5" t="s">
        <v>1959</v>
      </c>
      <c r="N96" s="5" t="s">
        <v>64</v>
      </c>
      <c r="O96" s="5" t="s">
        <v>17516</v>
      </c>
      <c r="P96" s="6">
        <v>8935.0</v>
      </c>
    </row>
    <row r="97" ht="56.25" customHeight="1">
      <c r="A97" s="5" t="s">
        <v>17510</v>
      </c>
      <c r="B97" s="6" t="str">
        <f>IMAGE("https://storage.googleapis.com/acdb/socks/SocksTexFrilled3.png")</f>
        <v/>
      </c>
      <c r="C97" s="5" t="s">
        <v>96</v>
      </c>
      <c r="D97" s="5" t="s">
        <v>36</v>
      </c>
      <c r="E97" s="6">
        <v>720.0</v>
      </c>
      <c r="F97" s="6">
        <v>180.0</v>
      </c>
      <c r="G97" s="5" t="s">
        <v>96</v>
      </c>
      <c r="H97" s="5" t="s">
        <v>57</v>
      </c>
      <c r="I97" s="6" t="s">
        <v>40</v>
      </c>
      <c r="J97" s="5" t="s">
        <v>8585</v>
      </c>
      <c r="K97" s="5" t="s">
        <v>8586</v>
      </c>
      <c r="L97" s="6" t="s">
        <v>42</v>
      </c>
      <c r="M97" s="5" t="s">
        <v>1959</v>
      </c>
      <c r="N97" s="5" t="s">
        <v>64</v>
      </c>
      <c r="O97" s="5" t="s">
        <v>17519</v>
      </c>
      <c r="P97" s="6">
        <v>8936.0</v>
      </c>
    </row>
    <row r="98" ht="56.25" customHeight="1">
      <c r="A98" s="5" t="s">
        <v>17510</v>
      </c>
      <c r="B98" s="6" t="str">
        <f>IMAGE("https://storage.googleapis.com/acdb/socks/SocksTexFrilled4.png")</f>
        <v/>
      </c>
      <c r="C98" s="5" t="s">
        <v>106</v>
      </c>
      <c r="D98" s="5" t="s">
        <v>36</v>
      </c>
      <c r="E98" s="6">
        <v>720.0</v>
      </c>
      <c r="F98" s="6">
        <v>180.0</v>
      </c>
      <c r="G98" s="5" t="s">
        <v>106</v>
      </c>
      <c r="H98" s="5" t="s">
        <v>57</v>
      </c>
      <c r="I98" s="6" t="s">
        <v>40</v>
      </c>
      <c r="J98" s="5" t="s">
        <v>8585</v>
      </c>
      <c r="K98" s="5" t="s">
        <v>8586</v>
      </c>
      <c r="L98" s="6" t="s">
        <v>42</v>
      </c>
      <c r="M98" s="5" t="s">
        <v>1959</v>
      </c>
      <c r="N98" s="5" t="s">
        <v>64</v>
      </c>
      <c r="O98" s="5" t="s">
        <v>17521</v>
      </c>
      <c r="P98" s="6">
        <v>8937.0</v>
      </c>
    </row>
    <row r="99" ht="56.25" customHeight="1">
      <c r="A99" s="5" t="s">
        <v>17510</v>
      </c>
      <c r="B99" s="6" t="str">
        <f>IMAGE("https://storage.googleapis.com/acdb/socks/SocksTexFrilled5.png")</f>
        <v/>
      </c>
      <c r="C99" s="5" t="s">
        <v>68</v>
      </c>
      <c r="D99" s="5" t="s">
        <v>36</v>
      </c>
      <c r="E99" s="6">
        <v>720.0</v>
      </c>
      <c r="F99" s="6">
        <v>180.0</v>
      </c>
      <c r="G99" s="5" t="s">
        <v>83</v>
      </c>
      <c r="H99" s="5" t="s">
        <v>57</v>
      </c>
      <c r="I99" s="6" t="s">
        <v>40</v>
      </c>
      <c r="J99" s="5" t="s">
        <v>8585</v>
      </c>
      <c r="K99" s="5" t="s">
        <v>8586</v>
      </c>
      <c r="L99" s="6" t="s">
        <v>42</v>
      </c>
      <c r="M99" s="5" t="s">
        <v>1959</v>
      </c>
      <c r="N99" s="5" t="s">
        <v>64</v>
      </c>
      <c r="O99" s="5" t="s">
        <v>17523</v>
      </c>
      <c r="P99" s="6">
        <v>8938.0</v>
      </c>
    </row>
    <row r="100" ht="56.25" customHeight="1">
      <c r="A100" s="5" t="s">
        <v>17524</v>
      </c>
      <c r="B100" s="6" t="str">
        <f>IMAGE("https://storage.googleapis.com/acdb/socks/SocksTexCharacter0.png")</f>
        <v/>
      </c>
      <c r="C100" s="5" t="s">
        <v>69</v>
      </c>
      <c r="D100" s="5" t="s">
        <v>36</v>
      </c>
      <c r="E100" s="6">
        <v>600.0</v>
      </c>
      <c r="F100" s="6">
        <v>150.0</v>
      </c>
      <c r="G100" s="5" t="s">
        <v>69</v>
      </c>
      <c r="H100" s="5" t="s">
        <v>83</v>
      </c>
      <c r="I100" s="6" t="s">
        <v>40</v>
      </c>
      <c r="J100" s="5" t="s">
        <v>17203</v>
      </c>
      <c r="K100" s="5"/>
      <c r="L100" s="6" t="s">
        <v>42</v>
      </c>
      <c r="M100" s="5" t="s">
        <v>8746</v>
      </c>
      <c r="N100" s="5" t="s">
        <v>64</v>
      </c>
      <c r="O100" s="5" t="s">
        <v>17526</v>
      </c>
      <c r="P100" s="6">
        <v>5406.0</v>
      </c>
    </row>
    <row r="101" ht="56.25" customHeight="1">
      <c r="A101" s="5" t="s">
        <v>17524</v>
      </c>
      <c r="B101" s="6" t="str">
        <f>IMAGE("https://storage.googleapis.com/acdb/socks/SocksTexCharacter1.png")</f>
        <v/>
      </c>
      <c r="C101" s="5" t="s">
        <v>68</v>
      </c>
      <c r="D101" s="5" t="s">
        <v>36</v>
      </c>
      <c r="E101" s="6">
        <v>600.0</v>
      </c>
      <c r="F101" s="6">
        <v>150.0</v>
      </c>
      <c r="G101" s="5" t="s">
        <v>68</v>
      </c>
      <c r="H101" s="5" t="s">
        <v>96</v>
      </c>
      <c r="I101" s="6" t="s">
        <v>40</v>
      </c>
      <c r="J101" s="5" t="s">
        <v>17203</v>
      </c>
      <c r="K101" s="5"/>
      <c r="L101" s="6" t="s">
        <v>42</v>
      </c>
      <c r="M101" s="5" t="s">
        <v>8746</v>
      </c>
      <c r="N101" s="5" t="s">
        <v>64</v>
      </c>
      <c r="O101" s="5" t="s">
        <v>17528</v>
      </c>
      <c r="P101" s="6">
        <v>9992.0</v>
      </c>
    </row>
    <row r="102" ht="56.25" customHeight="1">
      <c r="A102" s="5" t="s">
        <v>17524</v>
      </c>
      <c r="B102" s="6" t="str">
        <f>IMAGE("https://storage.googleapis.com/acdb/socks/SocksTexCharacter2.png")</f>
        <v/>
      </c>
      <c r="C102" s="5" t="s">
        <v>52</v>
      </c>
      <c r="D102" s="5" t="s">
        <v>36</v>
      </c>
      <c r="E102" s="6">
        <v>600.0</v>
      </c>
      <c r="F102" s="6">
        <v>150.0</v>
      </c>
      <c r="G102" s="5" t="s">
        <v>52</v>
      </c>
      <c r="H102" s="5" t="s">
        <v>114</v>
      </c>
      <c r="I102" s="6" t="s">
        <v>40</v>
      </c>
      <c r="J102" s="5" t="s">
        <v>17203</v>
      </c>
      <c r="K102" s="5"/>
      <c r="L102" s="6" t="s">
        <v>42</v>
      </c>
      <c r="M102" s="5" t="s">
        <v>8746</v>
      </c>
      <c r="N102" s="5" t="s">
        <v>64</v>
      </c>
      <c r="O102" s="5" t="s">
        <v>17531</v>
      </c>
      <c r="P102" s="6">
        <v>9993.0</v>
      </c>
    </row>
    <row r="103" ht="56.25" customHeight="1">
      <c r="A103" s="5" t="s">
        <v>17524</v>
      </c>
      <c r="B103" s="6" t="str">
        <f>IMAGE("https://storage.googleapis.com/acdb/socks/SocksTexCharacter3.png")</f>
        <v/>
      </c>
      <c r="C103" s="5" t="s">
        <v>96</v>
      </c>
      <c r="D103" s="5" t="s">
        <v>36</v>
      </c>
      <c r="E103" s="6">
        <v>600.0</v>
      </c>
      <c r="F103" s="6">
        <v>150.0</v>
      </c>
      <c r="G103" s="5" t="s">
        <v>96</v>
      </c>
      <c r="H103" s="5" t="s">
        <v>68</v>
      </c>
      <c r="I103" s="6" t="s">
        <v>40</v>
      </c>
      <c r="J103" s="5" t="s">
        <v>17203</v>
      </c>
      <c r="K103" s="5"/>
      <c r="L103" s="6" t="s">
        <v>42</v>
      </c>
      <c r="M103" s="5" t="s">
        <v>8746</v>
      </c>
      <c r="N103" s="5" t="s">
        <v>64</v>
      </c>
      <c r="O103" s="5" t="s">
        <v>17534</v>
      </c>
      <c r="P103" s="6">
        <v>9994.0</v>
      </c>
    </row>
    <row r="104" ht="56.25" customHeight="1">
      <c r="A104" s="5" t="s">
        <v>17524</v>
      </c>
      <c r="B104" s="6" t="str">
        <f>IMAGE("https://storage.googleapis.com/acdb/socks/SocksTexCharacter4.png")</f>
        <v/>
      </c>
      <c r="C104" s="5" t="s">
        <v>54</v>
      </c>
      <c r="D104" s="5" t="s">
        <v>36</v>
      </c>
      <c r="E104" s="6">
        <v>600.0</v>
      </c>
      <c r="F104" s="6">
        <v>150.0</v>
      </c>
      <c r="G104" s="5" t="s">
        <v>54</v>
      </c>
      <c r="H104" s="5" t="s">
        <v>95</v>
      </c>
      <c r="I104" s="6" t="s">
        <v>40</v>
      </c>
      <c r="J104" s="5" t="s">
        <v>17203</v>
      </c>
      <c r="K104" s="5"/>
      <c r="L104" s="6" t="s">
        <v>42</v>
      </c>
      <c r="M104" s="5" t="s">
        <v>8746</v>
      </c>
      <c r="N104" s="5" t="s">
        <v>64</v>
      </c>
      <c r="O104" s="5" t="s">
        <v>17535</v>
      </c>
      <c r="P104" s="6">
        <v>9995.0</v>
      </c>
    </row>
    <row r="105" ht="56.25" customHeight="1">
      <c r="A105" s="5" t="s">
        <v>17536</v>
      </c>
      <c r="B105" s="6" t="str">
        <f>IMAGE("https://storage.googleapis.com/acdb/socks/SocksTexGarter0.png")</f>
        <v/>
      </c>
      <c r="C105" s="5" t="s">
        <v>54</v>
      </c>
      <c r="D105" s="5" t="s">
        <v>36</v>
      </c>
      <c r="E105" s="6">
        <v>980.0</v>
      </c>
      <c r="F105" s="6">
        <v>245.0</v>
      </c>
      <c r="G105" s="5" t="s">
        <v>54</v>
      </c>
      <c r="H105" s="5" t="s">
        <v>54</v>
      </c>
      <c r="I105" s="6" t="s">
        <v>40</v>
      </c>
      <c r="J105" s="5" t="s">
        <v>17203</v>
      </c>
      <c r="K105" s="5"/>
      <c r="L105" s="6" t="s">
        <v>42</v>
      </c>
      <c r="M105" s="5" t="s">
        <v>1952</v>
      </c>
      <c r="N105" s="5" t="s">
        <v>64</v>
      </c>
      <c r="O105" s="5" t="s">
        <v>17540</v>
      </c>
      <c r="P105" s="6">
        <v>4747.0</v>
      </c>
    </row>
    <row r="106" ht="56.25" customHeight="1">
      <c r="A106" s="5" t="s">
        <v>17536</v>
      </c>
      <c r="B106" s="6" t="str">
        <f>IMAGE("https://storage.googleapis.com/acdb/socks/SocksTexGarter1.png")</f>
        <v/>
      </c>
      <c r="C106" s="5" t="s">
        <v>57</v>
      </c>
      <c r="D106" s="5" t="s">
        <v>36</v>
      </c>
      <c r="E106" s="6">
        <v>980.0</v>
      </c>
      <c r="F106" s="6">
        <v>245.0</v>
      </c>
      <c r="G106" s="5" t="s">
        <v>57</v>
      </c>
      <c r="H106" s="5" t="s">
        <v>57</v>
      </c>
      <c r="I106" s="6" t="s">
        <v>40</v>
      </c>
      <c r="J106" s="5" t="s">
        <v>17203</v>
      </c>
      <c r="K106" s="5"/>
      <c r="L106" s="6" t="s">
        <v>42</v>
      </c>
      <c r="M106" s="5" t="s">
        <v>1952</v>
      </c>
      <c r="N106" s="5" t="s">
        <v>64</v>
      </c>
      <c r="O106" s="5" t="s">
        <v>17541</v>
      </c>
      <c r="P106" s="6">
        <v>9661.0</v>
      </c>
    </row>
    <row r="107" ht="56.25" customHeight="1">
      <c r="A107" s="5" t="s">
        <v>17536</v>
      </c>
      <c r="B107" s="6" t="str">
        <f>IMAGE("https://storage.googleapis.com/acdb/socks/SocksTexGarter2.png")</f>
        <v/>
      </c>
      <c r="C107" s="5" t="s">
        <v>106</v>
      </c>
      <c r="D107" s="5" t="s">
        <v>36</v>
      </c>
      <c r="E107" s="6">
        <v>980.0</v>
      </c>
      <c r="F107" s="6">
        <v>245.0</v>
      </c>
      <c r="G107" s="5" t="s">
        <v>106</v>
      </c>
      <c r="H107" s="5" t="s">
        <v>106</v>
      </c>
      <c r="I107" s="6" t="s">
        <v>40</v>
      </c>
      <c r="J107" s="5" t="s">
        <v>17203</v>
      </c>
      <c r="K107" s="5"/>
      <c r="L107" s="6" t="s">
        <v>42</v>
      </c>
      <c r="M107" s="5" t="s">
        <v>1952</v>
      </c>
      <c r="N107" s="5" t="s">
        <v>64</v>
      </c>
      <c r="O107" s="5" t="s">
        <v>17545</v>
      </c>
      <c r="P107" s="6">
        <v>9662.0</v>
      </c>
    </row>
    <row r="108" ht="56.25" customHeight="1">
      <c r="A108" s="5" t="s">
        <v>17536</v>
      </c>
      <c r="B108" s="6" t="str">
        <f>IMAGE("https://storage.googleapis.com/acdb/socks/SocksTexGarter3.png")</f>
        <v/>
      </c>
      <c r="C108" s="5" t="s">
        <v>52</v>
      </c>
      <c r="D108" s="5" t="s">
        <v>36</v>
      </c>
      <c r="E108" s="6">
        <v>980.0</v>
      </c>
      <c r="F108" s="6">
        <v>245.0</v>
      </c>
      <c r="G108" s="5" t="s">
        <v>52</v>
      </c>
      <c r="H108" s="5" t="s">
        <v>52</v>
      </c>
      <c r="I108" s="6" t="s">
        <v>40</v>
      </c>
      <c r="J108" s="5" t="s">
        <v>17203</v>
      </c>
      <c r="K108" s="5"/>
      <c r="L108" s="6" t="s">
        <v>42</v>
      </c>
      <c r="M108" s="5" t="s">
        <v>1952</v>
      </c>
      <c r="N108" s="5" t="s">
        <v>64</v>
      </c>
      <c r="O108" s="5" t="s">
        <v>17546</v>
      </c>
      <c r="P108" s="6">
        <v>9663.0</v>
      </c>
    </row>
    <row r="109" ht="56.25" customHeight="1">
      <c r="A109" s="5" t="s">
        <v>17548</v>
      </c>
      <c r="B109" s="6" t="str">
        <f>IMAGE("https://storage.googleapis.com/acdb/socks/SocksTexChimayo0.png")</f>
        <v/>
      </c>
      <c r="C109" s="5" t="s">
        <v>114</v>
      </c>
      <c r="D109" s="5" t="s">
        <v>36</v>
      </c>
      <c r="E109" s="6">
        <v>950.0</v>
      </c>
      <c r="F109" s="6">
        <v>237.0</v>
      </c>
      <c r="G109" s="5" t="s">
        <v>114</v>
      </c>
      <c r="H109" s="5" t="s">
        <v>58</v>
      </c>
      <c r="I109" s="6" t="s">
        <v>40</v>
      </c>
      <c r="J109" s="5" t="s">
        <v>8585</v>
      </c>
      <c r="K109" s="5" t="s">
        <v>8586</v>
      </c>
      <c r="L109" s="6" t="s">
        <v>42</v>
      </c>
      <c r="M109" s="5" t="s">
        <v>8746</v>
      </c>
      <c r="N109" s="5" t="s">
        <v>64</v>
      </c>
      <c r="O109" s="5" t="s">
        <v>17551</v>
      </c>
      <c r="P109" s="6">
        <v>5444.0</v>
      </c>
    </row>
    <row r="110" ht="56.25" customHeight="1">
      <c r="A110" s="5" t="s">
        <v>17548</v>
      </c>
      <c r="B110" s="6" t="str">
        <f>IMAGE("https://storage.googleapis.com/acdb/socks/SocksTexChimayo1.png")</f>
        <v/>
      </c>
      <c r="C110" s="5" t="s">
        <v>10689</v>
      </c>
      <c r="D110" s="5" t="s">
        <v>36</v>
      </c>
      <c r="E110" s="6">
        <v>950.0</v>
      </c>
      <c r="F110" s="6">
        <v>237.0</v>
      </c>
      <c r="G110" s="5" t="s">
        <v>83</v>
      </c>
      <c r="H110" s="5" t="s">
        <v>58</v>
      </c>
      <c r="I110" s="6" t="s">
        <v>40</v>
      </c>
      <c r="J110" s="5" t="s">
        <v>8585</v>
      </c>
      <c r="K110" s="5" t="s">
        <v>8586</v>
      </c>
      <c r="L110" s="6" t="s">
        <v>42</v>
      </c>
      <c r="M110" s="5" t="s">
        <v>8746</v>
      </c>
      <c r="N110" s="5" t="s">
        <v>64</v>
      </c>
      <c r="O110" s="5" t="s">
        <v>17553</v>
      </c>
      <c r="P110" s="6">
        <v>9912.0</v>
      </c>
    </row>
    <row r="111" ht="56.25" customHeight="1">
      <c r="A111" s="5" t="s">
        <v>17548</v>
      </c>
      <c r="B111" s="6" t="str">
        <f>IMAGE("https://storage.googleapis.com/acdb/socks/SocksTexChimayo2.png")</f>
        <v/>
      </c>
      <c r="C111" s="5" t="s">
        <v>106</v>
      </c>
      <c r="D111" s="5" t="s">
        <v>36</v>
      </c>
      <c r="E111" s="6">
        <v>950.0</v>
      </c>
      <c r="F111" s="6">
        <v>237.0</v>
      </c>
      <c r="G111" s="5" t="s">
        <v>106</v>
      </c>
      <c r="H111" s="5" t="s">
        <v>58</v>
      </c>
      <c r="I111" s="6" t="s">
        <v>40</v>
      </c>
      <c r="J111" s="5" t="s">
        <v>8585</v>
      </c>
      <c r="K111" s="5" t="s">
        <v>8586</v>
      </c>
      <c r="L111" s="6" t="s">
        <v>42</v>
      </c>
      <c r="M111" s="5" t="s">
        <v>8746</v>
      </c>
      <c r="N111" s="5" t="s">
        <v>64</v>
      </c>
      <c r="O111" s="5" t="s">
        <v>17557</v>
      </c>
      <c r="P111" s="6">
        <v>9913.0</v>
      </c>
    </row>
    <row r="112" ht="56.25" customHeight="1">
      <c r="A112" s="5" t="s">
        <v>17548</v>
      </c>
      <c r="B112" s="6" t="str">
        <f>IMAGE("https://storage.googleapis.com/acdb/socks/SocksTexChimayo3.png")</f>
        <v/>
      </c>
      <c r="C112" s="5" t="s">
        <v>38</v>
      </c>
      <c r="D112" s="5" t="s">
        <v>36</v>
      </c>
      <c r="E112" s="6">
        <v>950.0</v>
      </c>
      <c r="F112" s="6">
        <v>237.0</v>
      </c>
      <c r="G112" s="5" t="s">
        <v>38</v>
      </c>
      <c r="H112" s="5" t="s">
        <v>58</v>
      </c>
      <c r="I112" s="6" t="s">
        <v>40</v>
      </c>
      <c r="J112" s="5" t="s">
        <v>8585</v>
      </c>
      <c r="K112" s="5" t="s">
        <v>8586</v>
      </c>
      <c r="L112" s="6" t="s">
        <v>42</v>
      </c>
      <c r="M112" s="5" t="s">
        <v>8746</v>
      </c>
      <c r="N112" s="5" t="s">
        <v>64</v>
      </c>
      <c r="O112" s="5" t="s">
        <v>17560</v>
      </c>
      <c r="P112" s="6">
        <v>9914.0</v>
      </c>
    </row>
    <row r="113" ht="56.25" customHeight="1">
      <c r="A113" s="5" t="s">
        <v>17548</v>
      </c>
      <c r="B113" s="6" t="str">
        <f>IMAGE("https://storage.googleapis.com/acdb/socks/SocksTexChimayo4.png")</f>
        <v/>
      </c>
      <c r="C113" s="5" t="s">
        <v>69</v>
      </c>
      <c r="D113" s="5" t="s">
        <v>36</v>
      </c>
      <c r="E113" s="6">
        <v>950.0</v>
      </c>
      <c r="F113" s="6">
        <v>237.0</v>
      </c>
      <c r="G113" s="5" t="s">
        <v>69</v>
      </c>
      <c r="H113" s="5" t="s">
        <v>58</v>
      </c>
      <c r="I113" s="6" t="s">
        <v>40</v>
      </c>
      <c r="J113" s="5" t="s">
        <v>8585</v>
      </c>
      <c r="K113" s="5" t="s">
        <v>8586</v>
      </c>
      <c r="L113" s="6" t="s">
        <v>42</v>
      </c>
      <c r="M113" s="5" t="s">
        <v>8746</v>
      </c>
      <c r="N113" s="5" t="s">
        <v>64</v>
      </c>
      <c r="O113" s="5" t="s">
        <v>17562</v>
      </c>
      <c r="P113" s="6">
        <v>9915.0</v>
      </c>
    </row>
    <row r="114" ht="56.25" customHeight="1">
      <c r="A114" s="5" t="s">
        <v>17548</v>
      </c>
      <c r="B114" s="6" t="str">
        <f>IMAGE("https://storage.googleapis.com/acdb/socks/SocksTexChimayo5.png")</f>
        <v/>
      </c>
      <c r="C114" s="5" t="s">
        <v>96</v>
      </c>
      <c r="D114" s="5" t="s">
        <v>36</v>
      </c>
      <c r="E114" s="6">
        <v>950.0</v>
      </c>
      <c r="F114" s="6">
        <v>237.0</v>
      </c>
      <c r="G114" s="5" t="s">
        <v>96</v>
      </c>
      <c r="H114" s="5" t="s">
        <v>58</v>
      </c>
      <c r="I114" s="6" t="s">
        <v>40</v>
      </c>
      <c r="J114" s="5" t="s">
        <v>8585</v>
      </c>
      <c r="K114" s="5" t="s">
        <v>8586</v>
      </c>
      <c r="L114" s="6" t="s">
        <v>42</v>
      </c>
      <c r="M114" s="5" t="s">
        <v>8746</v>
      </c>
      <c r="N114" s="5" t="s">
        <v>64</v>
      </c>
      <c r="O114" s="5" t="s">
        <v>17564</v>
      </c>
      <c r="P114" s="6">
        <v>9916.0</v>
      </c>
    </row>
    <row r="115" ht="56.25" customHeight="1">
      <c r="A115" s="5" t="s">
        <v>17565</v>
      </c>
      <c r="B115" s="6" t="str">
        <f>IMAGE("https://storage.googleapis.com/acdb/socks/SocksTexHandknit0.png")</f>
        <v/>
      </c>
      <c r="C115" s="5" t="s">
        <v>96</v>
      </c>
      <c r="D115" s="5" t="s">
        <v>36</v>
      </c>
      <c r="E115" s="6">
        <v>700.0</v>
      </c>
      <c r="F115" s="6">
        <v>175.0</v>
      </c>
      <c r="G115" s="5" t="s">
        <v>96</v>
      </c>
      <c r="H115" s="5" t="s">
        <v>96</v>
      </c>
      <c r="I115" s="6" t="s">
        <v>40</v>
      </c>
      <c r="J115" s="5" t="s">
        <v>8585</v>
      </c>
      <c r="K115" s="5" t="s">
        <v>8632</v>
      </c>
      <c r="L115" s="6" t="s">
        <v>42</v>
      </c>
      <c r="M115" s="5" t="s">
        <v>995</v>
      </c>
      <c r="N115" s="5" t="s">
        <v>64</v>
      </c>
      <c r="O115" s="5" t="s">
        <v>17568</v>
      </c>
      <c r="P115" s="6">
        <v>5196.0</v>
      </c>
    </row>
    <row r="116" ht="56.25" customHeight="1">
      <c r="A116" s="5" t="s">
        <v>17565</v>
      </c>
      <c r="B116" s="6" t="str">
        <f>IMAGE("https://storage.googleapis.com/acdb/socks/SocksTexHandknit1.png")</f>
        <v/>
      </c>
      <c r="C116" s="5" t="s">
        <v>106</v>
      </c>
      <c r="D116" s="5" t="s">
        <v>36</v>
      </c>
      <c r="E116" s="6">
        <v>700.0</v>
      </c>
      <c r="F116" s="6">
        <v>175.0</v>
      </c>
      <c r="G116" s="5" t="s">
        <v>106</v>
      </c>
      <c r="H116" s="5" t="s">
        <v>106</v>
      </c>
      <c r="I116" s="6" t="s">
        <v>40</v>
      </c>
      <c r="J116" s="5" t="s">
        <v>8585</v>
      </c>
      <c r="K116" s="5" t="s">
        <v>8632</v>
      </c>
      <c r="L116" s="6" t="s">
        <v>42</v>
      </c>
      <c r="M116" s="5" t="s">
        <v>995</v>
      </c>
      <c r="N116" s="5" t="s">
        <v>64</v>
      </c>
      <c r="O116" s="5" t="s">
        <v>17570</v>
      </c>
      <c r="P116" s="6">
        <v>9076.0</v>
      </c>
    </row>
    <row r="117" ht="56.25" customHeight="1">
      <c r="A117" s="5" t="s">
        <v>17565</v>
      </c>
      <c r="B117" s="6" t="str">
        <f>IMAGE("https://storage.googleapis.com/acdb/socks/SocksTexHandknit2.png")</f>
        <v/>
      </c>
      <c r="C117" s="5" t="s">
        <v>142</v>
      </c>
      <c r="D117" s="5" t="s">
        <v>36</v>
      </c>
      <c r="E117" s="6">
        <v>700.0</v>
      </c>
      <c r="F117" s="6">
        <v>175.0</v>
      </c>
      <c r="G117" s="5" t="s">
        <v>142</v>
      </c>
      <c r="H117" s="5" t="s">
        <v>142</v>
      </c>
      <c r="I117" s="6" t="s">
        <v>40</v>
      </c>
      <c r="J117" s="5" t="s">
        <v>8585</v>
      </c>
      <c r="K117" s="5" t="s">
        <v>8632</v>
      </c>
      <c r="L117" s="6" t="s">
        <v>42</v>
      </c>
      <c r="M117" s="5" t="s">
        <v>995</v>
      </c>
      <c r="N117" s="5" t="s">
        <v>64</v>
      </c>
      <c r="O117" s="5" t="s">
        <v>17573</v>
      </c>
      <c r="P117" s="6">
        <v>9077.0</v>
      </c>
    </row>
    <row r="118" ht="56.25" customHeight="1">
      <c r="A118" s="5" t="s">
        <v>17574</v>
      </c>
      <c r="B118" s="6" t="str">
        <f>IMAGE("https://storage.googleapis.com/acdb/socks/SocksTexHole1.png")</f>
        <v/>
      </c>
      <c r="C118" s="5" t="s">
        <v>1187</v>
      </c>
      <c r="D118" s="5" t="s">
        <v>36</v>
      </c>
      <c r="E118" s="6" t="s">
        <v>37</v>
      </c>
      <c r="F118" s="6">
        <v>10.0</v>
      </c>
      <c r="G118" s="5" t="s">
        <v>68</v>
      </c>
      <c r="H118" s="5" t="s">
        <v>68</v>
      </c>
      <c r="I118" s="6" t="s">
        <v>40</v>
      </c>
      <c r="J118" s="5" t="s">
        <v>8763</v>
      </c>
      <c r="K118" s="5"/>
      <c r="L118" s="6" t="s">
        <v>42</v>
      </c>
      <c r="M118" s="5" t="s">
        <v>995</v>
      </c>
      <c r="N118" s="5" t="s">
        <v>48</v>
      </c>
      <c r="O118" s="5" t="s">
        <v>17577</v>
      </c>
      <c r="P118" s="6">
        <v>9070.0</v>
      </c>
    </row>
    <row r="119" ht="56.25" customHeight="1">
      <c r="A119" s="5" t="s">
        <v>17574</v>
      </c>
      <c r="B119" s="6" t="str">
        <f>IMAGE("https://storage.googleapis.com/acdb/socks/SocksTexHole2.png")</f>
        <v/>
      </c>
      <c r="C119" s="5" t="s">
        <v>57</v>
      </c>
      <c r="D119" s="5" t="s">
        <v>36</v>
      </c>
      <c r="E119" s="6" t="s">
        <v>37</v>
      </c>
      <c r="F119" s="6">
        <v>10.0</v>
      </c>
      <c r="G119" s="5" t="s">
        <v>38</v>
      </c>
      <c r="H119" s="5" t="s">
        <v>38</v>
      </c>
      <c r="I119" s="6" t="s">
        <v>40</v>
      </c>
      <c r="J119" s="5" t="s">
        <v>8763</v>
      </c>
      <c r="K119" s="5"/>
      <c r="L119" s="6" t="s">
        <v>42</v>
      </c>
      <c r="M119" s="5" t="s">
        <v>995</v>
      </c>
      <c r="N119" s="5" t="s">
        <v>48</v>
      </c>
      <c r="O119" s="5" t="s">
        <v>17580</v>
      </c>
      <c r="P119" s="6">
        <v>9071.0</v>
      </c>
    </row>
    <row r="120" ht="56.25" customHeight="1">
      <c r="A120" s="5" t="s">
        <v>17574</v>
      </c>
      <c r="B120" s="6" t="str">
        <f>IMAGE("https://storage.googleapis.com/acdb/socks/SocksTexHole0.png")</f>
        <v/>
      </c>
      <c r="C120" s="5" t="s">
        <v>68</v>
      </c>
      <c r="D120" s="5" t="s">
        <v>36</v>
      </c>
      <c r="E120" s="6" t="s">
        <v>37</v>
      </c>
      <c r="F120" s="6">
        <v>10.0</v>
      </c>
      <c r="G120" s="5" t="s">
        <v>68</v>
      </c>
      <c r="H120" s="5" t="s">
        <v>68</v>
      </c>
      <c r="I120" s="6" t="s">
        <v>40</v>
      </c>
      <c r="J120" s="5" t="s">
        <v>8763</v>
      </c>
      <c r="K120" s="5"/>
      <c r="L120" s="6" t="s">
        <v>42</v>
      </c>
      <c r="M120" s="5" t="s">
        <v>995</v>
      </c>
      <c r="N120" s="5" t="s">
        <v>48</v>
      </c>
      <c r="O120" s="5" t="s">
        <v>17582</v>
      </c>
      <c r="P120" s="6">
        <v>5178.0</v>
      </c>
    </row>
    <row r="121" ht="56.25" customHeight="1">
      <c r="A121" s="5" t="s">
        <v>17583</v>
      </c>
      <c r="B121" s="6" t="str">
        <f>IMAGE("https://storage.googleapis.com/acdb/socks/SocksTexHoletights7.png")</f>
        <v/>
      </c>
      <c r="C121" s="5" t="s">
        <v>114</v>
      </c>
      <c r="D121" s="5" t="s">
        <v>36</v>
      </c>
      <c r="E121" s="6">
        <v>350.0</v>
      </c>
      <c r="F121" s="6">
        <v>87.0</v>
      </c>
      <c r="G121" s="5" t="s">
        <v>114</v>
      </c>
      <c r="H121" s="5" t="s">
        <v>114</v>
      </c>
      <c r="I121" s="6" t="s">
        <v>40</v>
      </c>
      <c r="J121" s="5" t="s">
        <v>8585</v>
      </c>
      <c r="K121" s="5" t="s">
        <v>8632</v>
      </c>
      <c r="L121" s="6" t="s">
        <v>42</v>
      </c>
      <c r="M121" s="5" t="s">
        <v>1952</v>
      </c>
      <c r="N121" s="5" t="s">
        <v>64</v>
      </c>
      <c r="O121" s="5" t="s">
        <v>17586</v>
      </c>
      <c r="P121" s="6">
        <v>9670.0</v>
      </c>
    </row>
    <row r="122" ht="56.25" customHeight="1">
      <c r="A122" s="5" t="s">
        <v>17583</v>
      </c>
      <c r="B122" s="6" t="str">
        <f>IMAGE("https://storage.googleapis.com/acdb/socks/SocksTexHoletights1.png")</f>
        <v/>
      </c>
      <c r="C122" s="5" t="s">
        <v>69</v>
      </c>
      <c r="D122" s="5" t="s">
        <v>36</v>
      </c>
      <c r="E122" s="6">
        <v>350.0</v>
      </c>
      <c r="F122" s="6">
        <v>87.0</v>
      </c>
      <c r="G122" s="5" t="s">
        <v>69</v>
      </c>
      <c r="H122" s="5" t="s">
        <v>69</v>
      </c>
      <c r="I122" s="6" t="s">
        <v>40</v>
      </c>
      <c r="J122" s="5" t="s">
        <v>8585</v>
      </c>
      <c r="K122" s="5" t="s">
        <v>8632</v>
      </c>
      <c r="L122" s="6" t="s">
        <v>42</v>
      </c>
      <c r="M122" s="5" t="s">
        <v>1952</v>
      </c>
      <c r="N122" s="5" t="s">
        <v>64</v>
      </c>
      <c r="O122" s="5" t="s">
        <v>17589</v>
      </c>
      <c r="P122" s="6">
        <v>9664.0</v>
      </c>
    </row>
    <row r="123" ht="56.25" customHeight="1">
      <c r="A123" s="5" t="s">
        <v>17583</v>
      </c>
      <c r="B123" s="6" t="str">
        <f>IMAGE("https://storage.googleapis.com/acdb/socks/SocksTexHoletights2.png")</f>
        <v/>
      </c>
      <c r="C123" s="5" t="s">
        <v>83</v>
      </c>
      <c r="D123" s="5" t="s">
        <v>36</v>
      </c>
      <c r="E123" s="6">
        <v>350.0</v>
      </c>
      <c r="F123" s="6">
        <v>87.0</v>
      </c>
      <c r="G123" s="5" t="s">
        <v>83</v>
      </c>
      <c r="H123" s="5" t="s">
        <v>83</v>
      </c>
      <c r="I123" s="6" t="s">
        <v>40</v>
      </c>
      <c r="J123" s="5" t="s">
        <v>8585</v>
      </c>
      <c r="K123" s="5" t="s">
        <v>8632</v>
      </c>
      <c r="L123" s="6" t="s">
        <v>42</v>
      </c>
      <c r="M123" s="5" t="s">
        <v>1952</v>
      </c>
      <c r="N123" s="5" t="s">
        <v>64</v>
      </c>
      <c r="O123" s="5" t="s">
        <v>17593</v>
      </c>
      <c r="P123" s="6">
        <v>9665.0</v>
      </c>
    </row>
    <row r="124" ht="56.25" customHeight="1">
      <c r="A124" s="5" t="s">
        <v>17583</v>
      </c>
      <c r="B124" s="6" t="str">
        <f>IMAGE("https://storage.googleapis.com/acdb/socks/SocksTexHoletights3.png")</f>
        <v/>
      </c>
      <c r="C124" s="5" t="s">
        <v>52</v>
      </c>
      <c r="D124" s="5" t="s">
        <v>36</v>
      </c>
      <c r="E124" s="6">
        <v>350.0</v>
      </c>
      <c r="F124" s="6">
        <v>87.0</v>
      </c>
      <c r="G124" s="5" t="s">
        <v>52</v>
      </c>
      <c r="H124" s="5" t="s">
        <v>52</v>
      </c>
      <c r="I124" s="6" t="s">
        <v>40</v>
      </c>
      <c r="J124" s="5" t="s">
        <v>8585</v>
      </c>
      <c r="K124" s="5" t="s">
        <v>8632</v>
      </c>
      <c r="L124" s="6" t="s">
        <v>42</v>
      </c>
      <c r="M124" s="5" t="s">
        <v>1952</v>
      </c>
      <c r="N124" s="5" t="s">
        <v>64</v>
      </c>
      <c r="O124" s="5" t="s">
        <v>17595</v>
      </c>
      <c r="P124" s="6">
        <v>9666.0</v>
      </c>
    </row>
    <row r="125" ht="56.25" customHeight="1">
      <c r="A125" s="5" t="s">
        <v>17583</v>
      </c>
      <c r="B125" s="6" t="str">
        <f>IMAGE("https://storage.googleapis.com/acdb/socks/SocksTexHoletights4.png")</f>
        <v/>
      </c>
      <c r="C125" s="5" t="s">
        <v>106</v>
      </c>
      <c r="D125" s="5" t="s">
        <v>36</v>
      </c>
      <c r="E125" s="6">
        <v>350.0</v>
      </c>
      <c r="F125" s="6">
        <v>87.0</v>
      </c>
      <c r="G125" s="5" t="s">
        <v>106</v>
      </c>
      <c r="H125" s="5" t="s">
        <v>106</v>
      </c>
      <c r="I125" s="6" t="s">
        <v>40</v>
      </c>
      <c r="J125" s="5" t="s">
        <v>8585</v>
      </c>
      <c r="K125" s="5" t="s">
        <v>8632</v>
      </c>
      <c r="L125" s="6" t="s">
        <v>42</v>
      </c>
      <c r="M125" s="5" t="s">
        <v>1952</v>
      </c>
      <c r="N125" s="5" t="s">
        <v>64</v>
      </c>
      <c r="O125" s="5" t="s">
        <v>17599</v>
      </c>
      <c r="P125" s="6">
        <v>9667.0</v>
      </c>
    </row>
    <row r="126" ht="56.25" customHeight="1">
      <c r="A126" s="5" t="s">
        <v>17583</v>
      </c>
      <c r="B126" s="6" t="str">
        <f>IMAGE("https://storage.googleapis.com/acdb/socks/SocksTexHoletights5.png")</f>
        <v/>
      </c>
      <c r="C126" s="5" t="s">
        <v>96</v>
      </c>
      <c r="D126" s="5" t="s">
        <v>36</v>
      </c>
      <c r="E126" s="6">
        <v>350.0</v>
      </c>
      <c r="F126" s="6">
        <v>87.0</v>
      </c>
      <c r="G126" s="5" t="s">
        <v>96</v>
      </c>
      <c r="H126" s="5" t="s">
        <v>96</v>
      </c>
      <c r="I126" s="6" t="s">
        <v>40</v>
      </c>
      <c r="J126" s="5" t="s">
        <v>8585</v>
      </c>
      <c r="K126" s="5" t="s">
        <v>8632</v>
      </c>
      <c r="L126" s="6" t="s">
        <v>42</v>
      </c>
      <c r="M126" s="5" t="s">
        <v>1952</v>
      </c>
      <c r="N126" s="5" t="s">
        <v>64</v>
      </c>
      <c r="O126" s="5" t="s">
        <v>17601</v>
      </c>
      <c r="P126" s="6">
        <v>9668.0</v>
      </c>
    </row>
    <row r="127" ht="56.25" customHeight="1">
      <c r="A127" s="5" t="s">
        <v>17583</v>
      </c>
      <c r="B127" s="6" t="str">
        <f>IMAGE("https://storage.googleapis.com/acdb/socks/SocksTexHoletights6.png")</f>
        <v/>
      </c>
      <c r="C127" s="5" t="s">
        <v>68</v>
      </c>
      <c r="D127" s="5" t="s">
        <v>36</v>
      </c>
      <c r="E127" s="6">
        <v>350.0</v>
      </c>
      <c r="F127" s="6">
        <v>87.0</v>
      </c>
      <c r="G127" s="5" t="s">
        <v>68</v>
      </c>
      <c r="H127" s="5" t="s">
        <v>68</v>
      </c>
      <c r="I127" s="6" t="s">
        <v>40</v>
      </c>
      <c r="J127" s="5" t="s">
        <v>8585</v>
      </c>
      <c r="K127" s="5" t="s">
        <v>8632</v>
      </c>
      <c r="L127" s="6" t="s">
        <v>42</v>
      </c>
      <c r="M127" s="5" t="s">
        <v>1952</v>
      </c>
      <c r="N127" s="5" t="s">
        <v>64</v>
      </c>
      <c r="O127" s="5" t="s">
        <v>17604</v>
      </c>
      <c r="P127" s="6">
        <v>9669.0</v>
      </c>
    </row>
    <row r="128" ht="56.25" customHeight="1">
      <c r="A128" s="5" t="s">
        <v>17583</v>
      </c>
      <c r="B128" s="6" t="str">
        <f>IMAGE("https://storage.googleapis.com/acdb/socks/SocksTexHoletights0.png")</f>
        <v/>
      </c>
      <c r="C128" s="5" t="s">
        <v>54</v>
      </c>
      <c r="D128" s="5" t="s">
        <v>36</v>
      </c>
      <c r="E128" s="6">
        <v>350.0</v>
      </c>
      <c r="F128" s="6">
        <v>87.0</v>
      </c>
      <c r="G128" s="5" t="s">
        <v>54</v>
      </c>
      <c r="H128" s="5" t="s">
        <v>54</v>
      </c>
      <c r="I128" s="6" t="s">
        <v>40</v>
      </c>
      <c r="J128" s="5" t="s">
        <v>8585</v>
      </c>
      <c r="K128" s="5" t="s">
        <v>8632</v>
      </c>
      <c r="L128" s="6" t="s">
        <v>42</v>
      </c>
      <c r="M128" s="5" t="s">
        <v>1952</v>
      </c>
      <c r="N128" s="5" t="s">
        <v>64</v>
      </c>
      <c r="O128" s="5" t="s">
        <v>17606</v>
      </c>
      <c r="P128" s="6">
        <v>5176.0</v>
      </c>
    </row>
    <row r="129" ht="56.25" customHeight="1">
      <c r="A129" s="5" t="s">
        <v>17609</v>
      </c>
      <c r="B129" s="6" t="str">
        <f>IMAGE("https://storage.googleapis.com/acdb/socks/SocksTexKids0.png")</f>
        <v/>
      </c>
      <c r="C129" s="5" t="s">
        <v>17610</v>
      </c>
      <c r="D129" s="5" t="s">
        <v>36</v>
      </c>
      <c r="E129" s="6">
        <v>600.0</v>
      </c>
      <c r="F129" s="6">
        <v>150.0</v>
      </c>
      <c r="G129" s="5" t="s">
        <v>52</v>
      </c>
      <c r="H129" s="5" t="s">
        <v>83</v>
      </c>
      <c r="I129" s="6" t="s">
        <v>40</v>
      </c>
      <c r="J129" s="5" t="s">
        <v>17203</v>
      </c>
      <c r="K129" s="5"/>
      <c r="L129" s="6" t="s">
        <v>42</v>
      </c>
      <c r="M129" s="5" t="s">
        <v>1959</v>
      </c>
      <c r="N129" s="5" t="s">
        <v>64</v>
      </c>
      <c r="O129" s="5" t="s">
        <v>17612</v>
      </c>
      <c r="P129" s="6">
        <v>5201.0</v>
      </c>
    </row>
    <row r="130" ht="56.25" customHeight="1">
      <c r="A130" s="5" t="s">
        <v>17609</v>
      </c>
      <c r="B130" s="6" t="str">
        <f>IMAGE("https://storage.googleapis.com/acdb/socks/SocksTexKids1.png")</f>
        <v/>
      </c>
      <c r="C130" s="5" t="s">
        <v>17614</v>
      </c>
      <c r="D130" s="5" t="s">
        <v>36</v>
      </c>
      <c r="E130" s="6">
        <v>600.0</v>
      </c>
      <c r="F130" s="6">
        <v>150.0</v>
      </c>
      <c r="G130" s="5" t="s">
        <v>68</v>
      </c>
      <c r="H130" s="5" t="s">
        <v>142</v>
      </c>
      <c r="I130" s="6" t="s">
        <v>40</v>
      </c>
      <c r="J130" s="5" t="s">
        <v>17203</v>
      </c>
      <c r="K130" s="5"/>
      <c r="L130" s="6" t="s">
        <v>42</v>
      </c>
      <c r="M130" s="5" t="s">
        <v>1959</v>
      </c>
      <c r="N130" s="5" t="s">
        <v>64</v>
      </c>
      <c r="O130" s="5" t="s">
        <v>17616</v>
      </c>
      <c r="P130" s="6">
        <v>9985.0</v>
      </c>
    </row>
    <row r="131" ht="56.25" customHeight="1">
      <c r="A131" s="5" t="s">
        <v>17609</v>
      </c>
      <c r="B131" s="6" t="str">
        <f>IMAGE("https://storage.googleapis.com/acdb/socks/SocksTexKids2.png")</f>
        <v/>
      </c>
      <c r="C131" s="5" t="s">
        <v>17620</v>
      </c>
      <c r="D131" s="5" t="s">
        <v>36</v>
      </c>
      <c r="E131" s="6">
        <v>600.0</v>
      </c>
      <c r="F131" s="6">
        <v>150.0</v>
      </c>
      <c r="G131" s="5" t="s">
        <v>96</v>
      </c>
      <c r="H131" s="5" t="s">
        <v>69</v>
      </c>
      <c r="I131" s="6" t="s">
        <v>40</v>
      </c>
      <c r="J131" s="5" t="s">
        <v>17203</v>
      </c>
      <c r="K131" s="5"/>
      <c r="L131" s="6" t="s">
        <v>42</v>
      </c>
      <c r="M131" s="5" t="s">
        <v>1959</v>
      </c>
      <c r="N131" s="5" t="s">
        <v>64</v>
      </c>
      <c r="O131" s="5" t="s">
        <v>17622</v>
      </c>
      <c r="P131" s="6">
        <v>9986.0</v>
      </c>
    </row>
    <row r="132" ht="56.25" customHeight="1">
      <c r="A132" s="5" t="s">
        <v>17609</v>
      </c>
      <c r="B132" s="6" t="str">
        <f>IMAGE("https://storage.googleapis.com/acdb/socks/SocksTexKids3.png")</f>
        <v/>
      </c>
      <c r="C132" s="5" t="s">
        <v>17624</v>
      </c>
      <c r="D132" s="5" t="s">
        <v>36</v>
      </c>
      <c r="E132" s="6">
        <v>600.0</v>
      </c>
      <c r="F132" s="6">
        <v>150.0</v>
      </c>
      <c r="G132" s="5" t="s">
        <v>114</v>
      </c>
      <c r="H132" s="5" t="s">
        <v>106</v>
      </c>
      <c r="I132" s="6" t="s">
        <v>40</v>
      </c>
      <c r="J132" s="5" t="s">
        <v>17203</v>
      </c>
      <c r="K132" s="5"/>
      <c r="L132" s="6" t="s">
        <v>42</v>
      </c>
      <c r="M132" s="5" t="s">
        <v>1959</v>
      </c>
      <c r="N132" s="5" t="s">
        <v>64</v>
      </c>
      <c r="O132" s="5" t="s">
        <v>17625</v>
      </c>
      <c r="P132" s="6">
        <v>9987.0</v>
      </c>
    </row>
    <row r="133" ht="56.25" customHeight="1">
      <c r="A133" s="5" t="s">
        <v>17609</v>
      </c>
      <c r="B133" s="6" t="str">
        <f>IMAGE("https://storage.googleapis.com/acdb/socks/SocksTexKids4.png")</f>
        <v/>
      </c>
      <c r="C133" s="5" t="s">
        <v>17627</v>
      </c>
      <c r="D133" s="5" t="s">
        <v>36</v>
      </c>
      <c r="E133" s="6">
        <v>600.0</v>
      </c>
      <c r="F133" s="6">
        <v>150.0</v>
      </c>
      <c r="G133" s="5" t="s">
        <v>83</v>
      </c>
      <c r="H133" s="5" t="s">
        <v>52</v>
      </c>
      <c r="I133" s="6" t="s">
        <v>40</v>
      </c>
      <c r="J133" s="5" t="s">
        <v>17203</v>
      </c>
      <c r="K133" s="5"/>
      <c r="L133" s="6" t="s">
        <v>42</v>
      </c>
      <c r="M133" s="5" t="s">
        <v>1959</v>
      </c>
      <c r="N133" s="5" t="s">
        <v>64</v>
      </c>
      <c r="O133" s="5" t="s">
        <v>17629</v>
      </c>
      <c r="P133" s="6">
        <v>9988.0</v>
      </c>
    </row>
    <row r="134" ht="56.25" customHeight="1">
      <c r="A134" s="5" t="s">
        <v>17609</v>
      </c>
      <c r="B134" s="6" t="str">
        <f>IMAGE("https://storage.googleapis.com/acdb/socks/SocksTexKids5.png")</f>
        <v/>
      </c>
      <c r="C134" s="5" t="s">
        <v>17631</v>
      </c>
      <c r="D134" s="5" t="s">
        <v>36</v>
      </c>
      <c r="E134" s="6">
        <v>600.0</v>
      </c>
      <c r="F134" s="6">
        <v>150.0</v>
      </c>
      <c r="G134" s="5" t="s">
        <v>106</v>
      </c>
      <c r="H134" s="5" t="s">
        <v>96</v>
      </c>
      <c r="I134" s="6" t="s">
        <v>40</v>
      </c>
      <c r="J134" s="5" t="s">
        <v>17203</v>
      </c>
      <c r="K134" s="5"/>
      <c r="L134" s="6" t="s">
        <v>42</v>
      </c>
      <c r="M134" s="5" t="s">
        <v>1959</v>
      </c>
      <c r="N134" s="5" t="s">
        <v>64</v>
      </c>
      <c r="O134" s="5" t="s">
        <v>17632</v>
      </c>
      <c r="P134" s="6">
        <v>9989.0</v>
      </c>
    </row>
    <row r="135" ht="56.25" customHeight="1">
      <c r="A135" s="5" t="s">
        <v>17609</v>
      </c>
      <c r="B135" s="6" t="str">
        <f>IMAGE("https://storage.googleapis.com/acdb/socks/SocksTexKids6.png")</f>
        <v/>
      </c>
      <c r="C135" s="5" t="s">
        <v>7957</v>
      </c>
      <c r="D135" s="5" t="s">
        <v>36</v>
      </c>
      <c r="E135" s="6">
        <v>600.0</v>
      </c>
      <c r="F135" s="6">
        <v>150.0</v>
      </c>
      <c r="G135" s="5" t="s">
        <v>69</v>
      </c>
      <c r="H135" s="5" t="s">
        <v>114</v>
      </c>
      <c r="I135" s="6" t="s">
        <v>40</v>
      </c>
      <c r="J135" s="5" t="s">
        <v>17203</v>
      </c>
      <c r="K135" s="5"/>
      <c r="L135" s="6" t="s">
        <v>42</v>
      </c>
      <c r="M135" s="5" t="s">
        <v>1959</v>
      </c>
      <c r="N135" s="5" t="s">
        <v>64</v>
      </c>
      <c r="O135" s="5" t="s">
        <v>17636</v>
      </c>
      <c r="P135" s="6">
        <v>9990.0</v>
      </c>
    </row>
    <row r="136" ht="56.25" customHeight="1">
      <c r="A136" s="5" t="s">
        <v>17609</v>
      </c>
      <c r="B136" s="6" t="str">
        <f>IMAGE("https://storage.googleapis.com/acdb/socks/SocksTexKids7.png")</f>
        <v/>
      </c>
      <c r="C136" s="5" t="s">
        <v>17638</v>
      </c>
      <c r="D136" s="5" t="s">
        <v>36</v>
      </c>
      <c r="E136" s="6">
        <v>600.0</v>
      </c>
      <c r="F136" s="6">
        <v>150.0</v>
      </c>
      <c r="G136" s="5" t="s">
        <v>54</v>
      </c>
      <c r="H136" s="5" t="s">
        <v>95</v>
      </c>
      <c r="I136" s="6" t="s">
        <v>40</v>
      </c>
      <c r="J136" s="5" t="s">
        <v>17203</v>
      </c>
      <c r="K136" s="5"/>
      <c r="L136" s="6" t="s">
        <v>42</v>
      </c>
      <c r="M136" s="5" t="s">
        <v>1959</v>
      </c>
      <c r="N136" s="5" t="s">
        <v>64</v>
      </c>
      <c r="O136" s="5" t="s">
        <v>17640</v>
      </c>
      <c r="P136" s="6">
        <v>9991.0</v>
      </c>
    </row>
    <row r="137" ht="56.25" customHeight="1">
      <c r="A137" s="5" t="s">
        <v>17641</v>
      </c>
      <c r="B137" s="6" t="str">
        <f>IMAGE("https://storage.googleapis.com/acdb/socks/SocksTexKatesocks1.png")</f>
        <v/>
      </c>
      <c r="C137" s="5" t="s">
        <v>10061</v>
      </c>
      <c r="D137" s="5" t="s">
        <v>36</v>
      </c>
      <c r="E137" s="6">
        <v>940.0</v>
      </c>
      <c r="F137" s="6">
        <v>235.0</v>
      </c>
      <c r="G137" s="5" t="s">
        <v>54</v>
      </c>
      <c r="H137" s="5" t="s">
        <v>54</v>
      </c>
      <c r="I137" s="6" t="s">
        <v>40</v>
      </c>
      <c r="J137" s="5" t="s">
        <v>10058</v>
      </c>
      <c r="K137" s="5"/>
      <c r="L137" s="6" t="s">
        <v>42</v>
      </c>
      <c r="M137" s="5" t="s">
        <v>1952</v>
      </c>
      <c r="N137" s="5" t="s">
        <v>64</v>
      </c>
      <c r="O137" s="5" t="s">
        <v>17644</v>
      </c>
      <c r="P137" s="6">
        <v>11761.0</v>
      </c>
    </row>
    <row r="138" ht="56.25" customHeight="1">
      <c r="A138" s="5" t="s">
        <v>17641</v>
      </c>
      <c r="B138" s="6" t="str">
        <f>IMAGE("https://storage.googleapis.com/acdb/socks/SocksTexKatesocks2.png")</f>
        <v/>
      </c>
      <c r="C138" s="5" t="s">
        <v>10065</v>
      </c>
      <c r="D138" s="5" t="s">
        <v>36</v>
      </c>
      <c r="E138" s="6">
        <v>940.0</v>
      </c>
      <c r="F138" s="6">
        <v>235.0</v>
      </c>
      <c r="G138" s="5" t="s">
        <v>52</v>
      </c>
      <c r="H138" s="5" t="s">
        <v>52</v>
      </c>
      <c r="I138" s="6" t="s">
        <v>40</v>
      </c>
      <c r="J138" s="5" t="s">
        <v>10058</v>
      </c>
      <c r="K138" s="5"/>
      <c r="L138" s="6" t="s">
        <v>42</v>
      </c>
      <c r="M138" s="5" t="s">
        <v>1952</v>
      </c>
      <c r="N138" s="5" t="s">
        <v>64</v>
      </c>
      <c r="O138" s="5" t="s">
        <v>17647</v>
      </c>
      <c r="P138" s="6">
        <v>11762.0</v>
      </c>
    </row>
    <row r="139" ht="56.25" customHeight="1">
      <c r="A139" s="5" t="s">
        <v>17641</v>
      </c>
      <c r="B139" s="6" t="str">
        <f>IMAGE("https://storage.googleapis.com/acdb/socks/SocksTexKatesocks3.png")</f>
        <v/>
      </c>
      <c r="C139" s="5" t="s">
        <v>10069</v>
      </c>
      <c r="D139" s="5" t="s">
        <v>36</v>
      </c>
      <c r="E139" s="6">
        <v>940.0</v>
      </c>
      <c r="F139" s="6">
        <v>235.0</v>
      </c>
      <c r="G139" s="5" t="s">
        <v>68</v>
      </c>
      <c r="H139" s="5" t="s">
        <v>68</v>
      </c>
      <c r="I139" s="6" t="s">
        <v>40</v>
      </c>
      <c r="J139" s="5" t="s">
        <v>10058</v>
      </c>
      <c r="K139" s="5"/>
      <c r="L139" s="6" t="s">
        <v>42</v>
      </c>
      <c r="M139" s="5" t="s">
        <v>1952</v>
      </c>
      <c r="N139" s="5" t="s">
        <v>64</v>
      </c>
      <c r="O139" s="5" t="s">
        <v>17652</v>
      </c>
      <c r="P139" s="6">
        <v>11763.0</v>
      </c>
    </row>
    <row r="140" ht="56.25" customHeight="1">
      <c r="A140" s="5" t="s">
        <v>17641</v>
      </c>
      <c r="B140" s="6" t="str">
        <f>IMAGE("https://storage.googleapis.com/acdb/socks/SocksTexKatesocks4.png")</f>
        <v/>
      </c>
      <c r="C140" s="5" t="s">
        <v>4665</v>
      </c>
      <c r="D140" s="5" t="s">
        <v>36</v>
      </c>
      <c r="E140" s="6">
        <v>940.0</v>
      </c>
      <c r="F140" s="6">
        <v>235.0</v>
      </c>
      <c r="G140" s="5" t="s">
        <v>114</v>
      </c>
      <c r="H140" s="5" t="s">
        <v>114</v>
      </c>
      <c r="I140" s="6" t="s">
        <v>40</v>
      </c>
      <c r="J140" s="5" t="s">
        <v>10058</v>
      </c>
      <c r="K140" s="5"/>
      <c r="L140" s="6" t="s">
        <v>42</v>
      </c>
      <c r="M140" s="5" t="s">
        <v>1952</v>
      </c>
      <c r="N140" s="5" t="s">
        <v>64</v>
      </c>
      <c r="O140" s="5" t="s">
        <v>17656</v>
      </c>
      <c r="P140" s="6">
        <v>11764.0</v>
      </c>
    </row>
    <row r="141" ht="56.25" customHeight="1">
      <c r="A141" s="5" t="s">
        <v>17641</v>
      </c>
      <c r="B141" s="6" t="str">
        <f>IMAGE("https://storage.googleapis.com/acdb/socks/SocksTexKatesocks5.png")</f>
        <v/>
      </c>
      <c r="C141" s="5" t="s">
        <v>10075</v>
      </c>
      <c r="D141" s="5" t="s">
        <v>36</v>
      </c>
      <c r="E141" s="6">
        <v>940.0</v>
      </c>
      <c r="F141" s="6">
        <v>235.0</v>
      </c>
      <c r="G141" s="5" t="s">
        <v>69</v>
      </c>
      <c r="H141" s="5" t="s">
        <v>69</v>
      </c>
      <c r="I141" s="6" t="s">
        <v>40</v>
      </c>
      <c r="J141" s="5" t="s">
        <v>10058</v>
      </c>
      <c r="K141" s="5"/>
      <c r="L141" s="6" t="s">
        <v>42</v>
      </c>
      <c r="M141" s="5" t="s">
        <v>1952</v>
      </c>
      <c r="N141" s="5" t="s">
        <v>64</v>
      </c>
      <c r="O141" s="5" t="s">
        <v>17660</v>
      </c>
      <c r="P141" s="6">
        <v>11765.0</v>
      </c>
    </row>
    <row r="142" ht="56.25" customHeight="1">
      <c r="A142" s="5" t="s">
        <v>17641</v>
      </c>
      <c r="B142" s="6" t="str">
        <f>IMAGE("https://storage.googleapis.com/acdb/socks/SocksTexKatesocks0.png")</f>
        <v/>
      </c>
      <c r="C142" s="5" t="s">
        <v>10055</v>
      </c>
      <c r="D142" s="5" t="s">
        <v>36</v>
      </c>
      <c r="E142" s="6">
        <v>940.0</v>
      </c>
      <c r="F142" s="6">
        <v>235.0</v>
      </c>
      <c r="G142" s="5" t="s">
        <v>106</v>
      </c>
      <c r="H142" s="5" t="s">
        <v>106</v>
      </c>
      <c r="I142" s="6" t="s">
        <v>40</v>
      </c>
      <c r="J142" s="5" t="s">
        <v>10058</v>
      </c>
      <c r="K142" s="5"/>
      <c r="L142" s="6" t="s">
        <v>42</v>
      </c>
      <c r="M142" s="5" t="s">
        <v>1952</v>
      </c>
      <c r="N142" s="5" t="s">
        <v>64</v>
      </c>
      <c r="O142" s="5" t="s">
        <v>17663</v>
      </c>
      <c r="P142" s="6">
        <v>9883.0</v>
      </c>
    </row>
    <row r="143" ht="56.25" customHeight="1">
      <c r="A143" s="5" t="s">
        <v>17665</v>
      </c>
      <c r="B143" s="6" t="str">
        <f>IMAGE("https://storage.googleapis.com/acdb/socks/SocksTexKatetights1.png")</f>
        <v/>
      </c>
      <c r="C143" s="5" t="s">
        <v>10061</v>
      </c>
      <c r="D143" s="5" t="s">
        <v>36</v>
      </c>
      <c r="E143" s="6">
        <v>1240.0</v>
      </c>
      <c r="F143" s="6">
        <v>310.0</v>
      </c>
      <c r="G143" s="5" t="s">
        <v>54</v>
      </c>
      <c r="H143" s="5" t="s">
        <v>54</v>
      </c>
      <c r="I143" s="6" t="s">
        <v>40</v>
      </c>
      <c r="J143" s="5" t="s">
        <v>10058</v>
      </c>
      <c r="K143" s="5"/>
      <c r="L143" s="6" t="s">
        <v>42</v>
      </c>
      <c r="M143" s="5" t="s">
        <v>1059</v>
      </c>
      <c r="N143" s="5" t="s">
        <v>64</v>
      </c>
      <c r="O143" s="5" t="s">
        <v>17666</v>
      </c>
      <c r="P143" s="6">
        <v>11756.0</v>
      </c>
    </row>
    <row r="144" ht="56.25" customHeight="1">
      <c r="A144" s="5" t="s">
        <v>17665</v>
      </c>
      <c r="B144" s="6" t="str">
        <f>IMAGE("https://storage.googleapis.com/acdb/socks/SocksTexKatetights2.png")</f>
        <v/>
      </c>
      <c r="C144" s="5" t="s">
        <v>10065</v>
      </c>
      <c r="D144" s="5" t="s">
        <v>36</v>
      </c>
      <c r="E144" s="6">
        <v>1240.0</v>
      </c>
      <c r="F144" s="6">
        <v>310.0</v>
      </c>
      <c r="G144" s="5" t="s">
        <v>52</v>
      </c>
      <c r="H144" s="5" t="s">
        <v>52</v>
      </c>
      <c r="I144" s="6" t="s">
        <v>40</v>
      </c>
      <c r="J144" s="5" t="s">
        <v>10058</v>
      </c>
      <c r="K144" s="5"/>
      <c r="L144" s="6" t="s">
        <v>42</v>
      </c>
      <c r="M144" s="5" t="s">
        <v>1059</v>
      </c>
      <c r="N144" s="5" t="s">
        <v>64</v>
      </c>
      <c r="O144" s="5" t="s">
        <v>17670</v>
      </c>
      <c r="P144" s="6">
        <v>11757.0</v>
      </c>
    </row>
    <row r="145" ht="56.25" customHeight="1">
      <c r="A145" s="5" t="s">
        <v>17665</v>
      </c>
      <c r="B145" s="6" t="str">
        <f>IMAGE("https://storage.googleapis.com/acdb/socks/SocksTexKatetights3.png")</f>
        <v/>
      </c>
      <c r="C145" s="5" t="s">
        <v>10069</v>
      </c>
      <c r="D145" s="5" t="s">
        <v>36</v>
      </c>
      <c r="E145" s="6">
        <v>1240.0</v>
      </c>
      <c r="F145" s="6">
        <v>310.0</v>
      </c>
      <c r="G145" s="5" t="s">
        <v>68</v>
      </c>
      <c r="H145" s="5" t="s">
        <v>68</v>
      </c>
      <c r="I145" s="6" t="s">
        <v>40</v>
      </c>
      <c r="J145" s="5" t="s">
        <v>10058</v>
      </c>
      <c r="K145" s="5"/>
      <c r="L145" s="6" t="s">
        <v>42</v>
      </c>
      <c r="M145" s="5" t="s">
        <v>1059</v>
      </c>
      <c r="N145" s="5" t="s">
        <v>64</v>
      </c>
      <c r="O145" s="5" t="s">
        <v>17673</v>
      </c>
      <c r="P145" s="6">
        <v>11758.0</v>
      </c>
    </row>
    <row r="146" ht="56.25" customHeight="1">
      <c r="A146" s="5" t="s">
        <v>17665</v>
      </c>
      <c r="B146" s="6" t="str">
        <f>IMAGE("https://storage.googleapis.com/acdb/socks/SocksTexKatetights4.png")</f>
        <v/>
      </c>
      <c r="C146" s="5" t="s">
        <v>4665</v>
      </c>
      <c r="D146" s="5" t="s">
        <v>36</v>
      </c>
      <c r="E146" s="6">
        <v>1240.0</v>
      </c>
      <c r="F146" s="6">
        <v>310.0</v>
      </c>
      <c r="G146" s="5" t="s">
        <v>142</v>
      </c>
      <c r="H146" s="5" t="s">
        <v>142</v>
      </c>
      <c r="I146" s="6" t="s">
        <v>40</v>
      </c>
      <c r="J146" s="5" t="s">
        <v>10058</v>
      </c>
      <c r="K146" s="5"/>
      <c r="L146" s="6" t="s">
        <v>42</v>
      </c>
      <c r="M146" s="5" t="s">
        <v>1059</v>
      </c>
      <c r="N146" s="5" t="s">
        <v>64</v>
      </c>
      <c r="O146" s="5" t="s">
        <v>17675</v>
      </c>
      <c r="P146" s="6">
        <v>11759.0</v>
      </c>
    </row>
    <row r="147" ht="56.25" customHeight="1">
      <c r="A147" s="5" t="s">
        <v>17665</v>
      </c>
      <c r="B147" s="6" t="str">
        <f>IMAGE("https://storage.googleapis.com/acdb/socks/SocksTexKatetights0.png")</f>
        <v/>
      </c>
      <c r="C147" s="5" t="s">
        <v>10055</v>
      </c>
      <c r="D147" s="5" t="s">
        <v>36</v>
      </c>
      <c r="E147" s="6">
        <v>1240.0</v>
      </c>
      <c r="F147" s="6">
        <v>310.0</v>
      </c>
      <c r="G147" s="5" t="s">
        <v>106</v>
      </c>
      <c r="H147" s="5" t="s">
        <v>106</v>
      </c>
      <c r="I147" s="6" t="s">
        <v>40</v>
      </c>
      <c r="J147" s="5" t="s">
        <v>10058</v>
      </c>
      <c r="K147" s="5"/>
      <c r="L147" s="6" t="s">
        <v>42</v>
      </c>
      <c r="M147" s="5" t="s">
        <v>1059</v>
      </c>
      <c r="N147" s="5" t="s">
        <v>64</v>
      </c>
      <c r="O147" s="5" t="s">
        <v>17678</v>
      </c>
      <c r="P147" s="6">
        <v>9882.0</v>
      </c>
    </row>
    <row r="148" ht="56.25" customHeight="1">
      <c r="A148" s="5" t="s">
        <v>17665</v>
      </c>
      <c r="B148" s="6" t="str">
        <f>IMAGE("https://storage.googleapis.com/acdb/socks/SocksTexKatetights5.png")</f>
        <v/>
      </c>
      <c r="C148" s="5" t="s">
        <v>10075</v>
      </c>
      <c r="D148" s="5" t="s">
        <v>36</v>
      </c>
      <c r="E148" s="6">
        <v>1240.0</v>
      </c>
      <c r="F148" s="6">
        <v>310.0</v>
      </c>
      <c r="G148" s="5" t="s">
        <v>69</v>
      </c>
      <c r="H148" s="5" t="s">
        <v>69</v>
      </c>
      <c r="I148" s="6" t="s">
        <v>40</v>
      </c>
      <c r="J148" s="5" t="s">
        <v>10058</v>
      </c>
      <c r="K148" s="5"/>
      <c r="L148" s="6" t="s">
        <v>42</v>
      </c>
      <c r="M148" s="5" t="s">
        <v>1059</v>
      </c>
      <c r="N148" s="5" t="s">
        <v>64</v>
      </c>
      <c r="O148" s="5" t="s">
        <v>17681</v>
      </c>
      <c r="P148" s="6">
        <v>11760.0</v>
      </c>
    </row>
    <row r="149" ht="56.25" customHeight="1">
      <c r="A149" s="5" t="s">
        <v>17682</v>
      </c>
      <c r="B149" s="6" t="str">
        <f>IMAGE("https://storage.googleapis.com/acdb/socks/SocksTexLace0.png")</f>
        <v/>
      </c>
      <c r="C149" s="5" t="s">
        <v>57</v>
      </c>
      <c r="D149" s="5" t="s">
        <v>36</v>
      </c>
      <c r="E149" s="6">
        <v>720.0</v>
      </c>
      <c r="F149" s="6">
        <v>180.0</v>
      </c>
      <c r="G149" s="5" t="s">
        <v>57</v>
      </c>
      <c r="H149" s="5" t="s">
        <v>57</v>
      </c>
      <c r="I149" s="6" t="s">
        <v>40</v>
      </c>
      <c r="J149" s="5" t="s">
        <v>8585</v>
      </c>
      <c r="K149" s="5" t="s">
        <v>8586</v>
      </c>
      <c r="L149" s="6" t="s">
        <v>42</v>
      </c>
      <c r="M149" s="5" t="s">
        <v>1059</v>
      </c>
      <c r="N149" s="5" t="s">
        <v>64</v>
      </c>
      <c r="O149" s="5" t="s">
        <v>17684</v>
      </c>
      <c r="P149" s="6">
        <v>5173.0</v>
      </c>
    </row>
    <row r="150" ht="56.25" customHeight="1">
      <c r="A150" s="5" t="s">
        <v>17682</v>
      </c>
      <c r="B150" s="6" t="str">
        <f>IMAGE("https://storage.googleapis.com/acdb/socks/SocksTexLace1.png")</f>
        <v/>
      </c>
      <c r="C150" s="5" t="s">
        <v>69</v>
      </c>
      <c r="D150" s="5" t="s">
        <v>36</v>
      </c>
      <c r="E150" s="6">
        <v>720.0</v>
      </c>
      <c r="F150" s="6">
        <v>180.0</v>
      </c>
      <c r="G150" s="5" t="s">
        <v>69</v>
      </c>
      <c r="H150" s="5" t="s">
        <v>57</v>
      </c>
      <c r="I150" s="6" t="s">
        <v>40</v>
      </c>
      <c r="J150" s="5" t="s">
        <v>8585</v>
      </c>
      <c r="K150" s="5" t="s">
        <v>8586</v>
      </c>
      <c r="L150" s="6" t="s">
        <v>42</v>
      </c>
      <c r="M150" s="5" t="s">
        <v>1059</v>
      </c>
      <c r="N150" s="5" t="s">
        <v>64</v>
      </c>
      <c r="O150" s="5" t="s">
        <v>17688</v>
      </c>
      <c r="P150" s="6">
        <v>8931.0</v>
      </c>
    </row>
    <row r="151" ht="56.25" customHeight="1">
      <c r="A151" s="5" t="s">
        <v>17682</v>
      </c>
      <c r="B151" s="6" t="str">
        <f>IMAGE("https://storage.googleapis.com/acdb/socks/SocksTexLace2.png")</f>
        <v/>
      </c>
      <c r="C151" s="5" t="s">
        <v>96</v>
      </c>
      <c r="D151" s="5" t="s">
        <v>36</v>
      </c>
      <c r="E151" s="6">
        <v>720.0</v>
      </c>
      <c r="F151" s="6">
        <v>180.0</v>
      </c>
      <c r="G151" s="5" t="s">
        <v>96</v>
      </c>
      <c r="H151" s="5" t="s">
        <v>57</v>
      </c>
      <c r="I151" s="6" t="s">
        <v>40</v>
      </c>
      <c r="J151" s="5" t="s">
        <v>8585</v>
      </c>
      <c r="K151" s="5" t="s">
        <v>8586</v>
      </c>
      <c r="L151" s="6" t="s">
        <v>42</v>
      </c>
      <c r="M151" s="5" t="s">
        <v>1059</v>
      </c>
      <c r="N151" s="5" t="s">
        <v>64</v>
      </c>
      <c r="O151" s="5" t="s">
        <v>17690</v>
      </c>
      <c r="P151" s="6">
        <v>8932.0</v>
      </c>
    </row>
    <row r="152" ht="56.25" customHeight="1">
      <c r="A152" s="5" t="s">
        <v>17682</v>
      </c>
      <c r="B152" s="6" t="str">
        <f>IMAGE("https://storage.googleapis.com/acdb/socks/SocksTexLace3.png")</f>
        <v/>
      </c>
      <c r="C152" s="5" t="s">
        <v>54</v>
      </c>
      <c r="D152" s="5" t="s">
        <v>36</v>
      </c>
      <c r="E152" s="6">
        <v>720.0</v>
      </c>
      <c r="F152" s="6">
        <v>180.0</v>
      </c>
      <c r="G152" s="5" t="s">
        <v>54</v>
      </c>
      <c r="H152" s="5" t="s">
        <v>57</v>
      </c>
      <c r="I152" s="6" t="s">
        <v>40</v>
      </c>
      <c r="J152" s="5" t="s">
        <v>8585</v>
      </c>
      <c r="K152" s="5" t="s">
        <v>8586</v>
      </c>
      <c r="L152" s="6" t="s">
        <v>42</v>
      </c>
      <c r="M152" s="5" t="s">
        <v>1059</v>
      </c>
      <c r="N152" s="5" t="s">
        <v>64</v>
      </c>
      <c r="O152" s="5" t="s">
        <v>17694</v>
      </c>
      <c r="P152" s="6">
        <v>8933.0</v>
      </c>
    </row>
    <row r="153" ht="56.25" customHeight="1">
      <c r="A153" s="5" t="s">
        <v>17682</v>
      </c>
      <c r="B153" s="6" t="str">
        <f>IMAGE("https://storage.googleapis.com/acdb/socks/SocksTexLace4.png")</f>
        <v/>
      </c>
      <c r="C153" s="5" t="s">
        <v>38</v>
      </c>
      <c r="D153" s="5" t="s">
        <v>36</v>
      </c>
      <c r="E153" s="6">
        <v>720.0</v>
      </c>
      <c r="F153" s="6">
        <v>180.0</v>
      </c>
      <c r="G153" s="5" t="s">
        <v>38</v>
      </c>
      <c r="H153" s="5" t="s">
        <v>57</v>
      </c>
      <c r="I153" s="6" t="s">
        <v>40</v>
      </c>
      <c r="J153" s="5" t="s">
        <v>8585</v>
      </c>
      <c r="K153" s="5" t="s">
        <v>8586</v>
      </c>
      <c r="L153" s="6" t="s">
        <v>42</v>
      </c>
      <c r="M153" s="5" t="s">
        <v>1059</v>
      </c>
      <c r="N153" s="5" t="s">
        <v>64</v>
      </c>
      <c r="O153" s="5" t="s">
        <v>17696</v>
      </c>
      <c r="P153" s="6">
        <v>10170.0</v>
      </c>
    </row>
    <row r="154" ht="56.25" customHeight="1">
      <c r="A154" s="5" t="s">
        <v>17697</v>
      </c>
      <c r="B154" s="6" t="str">
        <f>IMAGE("https://storage.googleapis.com/acdb/socks/SockstTexOverlapping1.png")</f>
        <v/>
      </c>
      <c r="C154" s="5" t="s">
        <v>68</v>
      </c>
      <c r="D154" s="5" t="s">
        <v>36</v>
      </c>
      <c r="E154" s="6">
        <v>720.0</v>
      </c>
      <c r="F154" s="6">
        <v>180.0</v>
      </c>
      <c r="G154" s="5" t="s">
        <v>95</v>
      </c>
      <c r="H154" s="5" t="s">
        <v>68</v>
      </c>
      <c r="I154" s="6" t="s">
        <v>40</v>
      </c>
      <c r="J154" s="5" t="s">
        <v>8585</v>
      </c>
      <c r="K154" s="5" t="s">
        <v>8586</v>
      </c>
      <c r="L154" s="6" t="s">
        <v>42</v>
      </c>
      <c r="M154" s="5" t="s">
        <v>995</v>
      </c>
      <c r="N154" s="5" t="s">
        <v>64</v>
      </c>
      <c r="O154" s="5" t="s">
        <v>17701</v>
      </c>
      <c r="P154" s="6">
        <v>9902.0</v>
      </c>
    </row>
    <row r="155" ht="56.25" customHeight="1">
      <c r="A155" s="5" t="s">
        <v>17697</v>
      </c>
      <c r="B155" s="6" t="str">
        <f>IMAGE("https://storage.googleapis.com/acdb/socks/SockstTexOverlapping2.png")</f>
        <v/>
      </c>
      <c r="C155" s="5" t="s">
        <v>114</v>
      </c>
      <c r="D155" s="5" t="s">
        <v>36</v>
      </c>
      <c r="E155" s="6">
        <v>720.0</v>
      </c>
      <c r="F155" s="6">
        <v>180.0</v>
      </c>
      <c r="G155" s="5" t="s">
        <v>95</v>
      </c>
      <c r="H155" s="5" t="s">
        <v>114</v>
      </c>
      <c r="I155" s="6" t="s">
        <v>40</v>
      </c>
      <c r="J155" s="5" t="s">
        <v>8585</v>
      </c>
      <c r="K155" s="5" t="s">
        <v>8586</v>
      </c>
      <c r="L155" s="6" t="s">
        <v>42</v>
      </c>
      <c r="M155" s="5" t="s">
        <v>995</v>
      </c>
      <c r="N155" s="5" t="s">
        <v>64</v>
      </c>
      <c r="O155" s="5" t="s">
        <v>17704</v>
      </c>
      <c r="P155" s="6">
        <v>9903.0</v>
      </c>
    </row>
    <row r="156" ht="56.25" customHeight="1">
      <c r="A156" s="5" t="s">
        <v>17697</v>
      </c>
      <c r="B156" s="6" t="str">
        <f>IMAGE("https://storage.googleapis.com/acdb/socks/SockstTexOverlapping3.png")</f>
        <v/>
      </c>
      <c r="C156" s="5" t="s">
        <v>96</v>
      </c>
      <c r="D156" s="5" t="s">
        <v>36</v>
      </c>
      <c r="E156" s="6">
        <v>720.0</v>
      </c>
      <c r="F156" s="6">
        <v>180.0</v>
      </c>
      <c r="G156" s="5" t="s">
        <v>95</v>
      </c>
      <c r="H156" s="5" t="s">
        <v>96</v>
      </c>
      <c r="I156" s="6" t="s">
        <v>40</v>
      </c>
      <c r="J156" s="5" t="s">
        <v>8585</v>
      </c>
      <c r="K156" s="5" t="s">
        <v>8586</v>
      </c>
      <c r="L156" s="6" t="s">
        <v>42</v>
      </c>
      <c r="M156" s="5" t="s">
        <v>995</v>
      </c>
      <c r="N156" s="5" t="s">
        <v>64</v>
      </c>
      <c r="O156" s="5" t="s">
        <v>17707</v>
      </c>
      <c r="P156" s="6">
        <v>9904.0</v>
      </c>
    </row>
    <row r="157" ht="56.25" customHeight="1">
      <c r="A157" s="5" t="s">
        <v>17697</v>
      </c>
      <c r="B157" s="6" t="str">
        <f>IMAGE("https://storage.googleapis.com/acdb/socks/SockstTexOverlapping4.png")</f>
        <v/>
      </c>
      <c r="C157" s="5" t="s">
        <v>52</v>
      </c>
      <c r="D157" s="5" t="s">
        <v>36</v>
      </c>
      <c r="E157" s="6">
        <v>720.0</v>
      </c>
      <c r="F157" s="6">
        <v>180.0</v>
      </c>
      <c r="G157" s="5" t="s">
        <v>95</v>
      </c>
      <c r="H157" s="5" t="s">
        <v>52</v>
      </c>
      <c r="I157" s="6" t="s">
        <v>40</v>
      </c>
      <c r="J157" s="5" t="s">
        <v>8585</v>
      </c>
      <c r="K157" s="5" t="s">
        <v>8586</v>
      </c>
      <c r="L157" s="6" t="s">
        <v>42</v>
      </c>
      <c r="M157" s="5" t="s">
        <v>995</v>
      </c>
      <c r="N157" s="5" t="s">
        <v>64</v>
      </c>
      <c r="O157" s="5" t="s">
        <v>17711</v>
      </c>
      <c r="P157" s="6">
        <v>9905.0</v>
      </c>
    </row>
    <row r="158" ht="56.25" customHeight="1">
      <c r="A158" s="5" t="s">
        <v>17697</v>
      </c>
      <c r="B158" s="6" t="str">
        <f>IMAGE("https://storage.googleapis.com/acdb/socks/SockstTexOverlapping5.png")</f>
        <v/>
      </c>
      <c r="C158" s="5" t="s">
        <v>142</v>
      </c>
      <c r="D158" s="5" t="s">
        <v>36</v>
      </c>
      <c r="E158" s="6">
        <v>720.0</v>
      </c>
      <c r="F158" s="6">
        <v>180.0</v>
      </c>
      <c r="G158" s="5" t="s">
        <v>95</v>
      </c>
      <c r="H158" s="5" t="s">
        <v>142</v>
      </c>
      <c r="I158" s="6" t="s">
        <v>40</v>
      </c>
      <c r="J158" s="5" t="s">
        <v>8585</v>
      </c>
      <c r="K158" s="5" t="s">
        <v>8586</v>
      </c>
      <c r="L158" s="6" t="s">
        <v>42</v>
      </c>
      <c r="M158" s="5" t="s">
        <v>995</v>
      </c>
      <c r="N158" s="5" t="s">
        <v>64</v>
      </c>
      <c r="O158" s="5" t="s">
        <v>17713</v>
      </c>
      <c r="P158" s="6">
        <v>9906.0</v>
      </c>
    </row>
    <row r="159" ht="56.25" customHeight="1">
      <c r="A159" s="5" t="s">
        <v>17697</v>
      </c>
      <c r="B159" s="6" t="str">
        <f>IMAGE("https://storage.googleapis.com/acdb/socks/SockstTexOverlapping0.png")</f>
        <v/>
      </c>
      <c r="C159" s="5" t="s">
        <v>106</v>
      </c>
      <c r="D159" s="5" t="s">
        <v>36</v>
      </c>
      <c r="E159" s="6">
        <v>720.0</v>
      </c>
      <c r="F159" s="6">
        <v>180.0</v>
      </c>
      <c r="G159" s="5" t="s">
        <v>95</v>
      </c>
      <c r="H159" s="5" t="s">
        <v>106</v>
      </c>
      <c r="I159" s="6" t="s">
        <v>40</v>
      </c>
      <c r="J159" s="5" t="s">
        <v>8585</v>
      </c>
      <c r="K159" s="5" t="s">
        <v>8586</v>
      </c>
      <c r="L159" s="6" t="s">
        <v>42</v>
      </c>
      <c r="M159" s="5" t="s">
        <v>995</v>
      </c>
      <c r="N159" s="5" t="s">
        <v>64</v>
      </c>
      <c r="O159" s="5" t="s">
        <v>17716</v>
      </c>
      <c r="P159" s="6">
        <v>5195.0</v>
      </c>
    </row>
    <row r="160" ht="56.25" customHeight="1">
      <c r="A160" s="5" t="s">
        <v>17717</v>
      </c>
      <c r="B160" s="6" t="str">
        <f>IMAGE("https://storage.googleapis.com/acdb/socks/SocksTexLegwarmer0.png")</f>
        <v/>
      </c>
      <c r="C160" s="5" t="s">
        <v>106</v>
      </c>
      <c r="D160" s="5" t="s">
        <v>36</v>
      </c>
      <c r="E160" s="6">
        <v>440.0</v>
      </c>
      <c r="F160" s="6">
        <v>110.0</v>
      </c>
      <c r="G160" s="5" t="s">
        <v>106</v>
      </c>
      <c r="H160" s="5" t="s">
        <v>106</v>
      </c>
      <c r="I160" s="6" t="s">
        <v>40</v>
      </c>
      <c r="J160" s="5" t="s">
        <v>8585</v>
      </c>
      <c r="K160" s="5" t="s">
        <v>8632</v>
      </c>
      <c r="L160" s="6" t="s">
        <v>42</v>
      </c>
      <c r="M160" s="5" t="s">
        <v>8746</v>
      </c>
      <c r="N160" s="5" t="s">
        <v>64</v>
      </c>
      <c r="O160" s="5" t="s">
        <v>17719</v>
      </c>
      <c r="P160" s="6">
        <v>5169.0</v>
      </c>
    </row>
    <row r="161" ht="56.25" customHeight="1">
      <c r="A161" s="5" t="s">
        <v>17717</v>
      </c>
      <c r="B161" s="6" t="str">
        <f>IMAGE("https://storage.googleapis.com/acdb/socks/SocksTexLegwarmer1.png")</f>
        <v/>
      </c>
      <c r="C161" s="5" t="s">
        <v>54</v>
      </c>
      <c r="D161" s="5" t="s">
        <v>36</v>
      </c>
      <c r="E161" s="6">
        <v>440.0</v>
      </c>
      <c r="F161" s="6">
        <v>110.0</v>
      </c>
      <c r="G161" s="5" t="s">
        <v>54</v>
      </c>
      <c r="H161" s="5" t="s">
        <v>54</v>
      </c>
      <c r="I161" s="6" t="s">
        <v>40</v>
      </c>
      <c r="J161" s="5" t="s">
        <v>8585</v>
      </c>
      <c r="K161" s="5" t="s">
        <v>8632</v>
      </c>
      <c r="L161" s="6" t="s">
        <v>42</v>
      </c>
      <c r="M161" s="5" t="s">
        <v>8746</v>
      </c>
      <c r="N161" s="5" t="s">
        <v>64</v>
      </c>
      <c r="O161" s="5" t="s">
        <v>17724</v>
      </c>
      <c r="P161" s="6">
        <v>9785.0</v>
      </c>
    </row>
    <row r="162" ht="56.25" customHeight="1">
      <c r="A162" s="5" t="s">
        <v>17717</v>
      </c>
      <c r="B162" s="6" t="str">
        <f>IMAGE("https://storage.googleapis.com/acdb/socks/SocksTexLegwarmer2.png")</f>
        <v/>
      </c>
      <c r="C162" s="5" t="s">
        <v>95</v>
      </c>
      <c r="D162" s="5" t="s">
        <v>36</v>
      </c>
      <c r="E162" s="6">
        <v>440.0</v>
      </c>
      <c r="F162" s="6">
        <v>110.0</v>
      </c>
      <c r="G162" s="5" t="s">
        <v>95</v>
      </c>
      <c r="H162" s="5" t="s">
        <v>95</v>
      </c>
      <c r="I162" s="6" t="s">
        <v>40</v>
      </c>
      <c r="J162" s="5" t="s">
        <v>8585</v>
      </c>
      <c r="K162" s="5" t="s">
        <v>8632</v>
      </c>
      <c r="L162" s="6" t="s">
        <v>42</v>
      </c>
      <c r="M162" s="5" t="s">
        <v>8746</v>
      </c>
      <c r="N162" s="5" t="s">
        <v>64</v>
      </c>
      <c r="O162" s="5" t="s">
        <v>17732</v>
      </c>
      <c r="P162" s="6">
        <v>9786.0</v>
      </c>
    </row>
    <row r="163" ht="56.25" customHeight="1">
      <c r="A163" s="5" t="s">
        <v>17717</v>
      </c>
      <c r="B163" s="6" t="str">
        <f>IMAGE("https://storage.googleapis.com/acdb/socks/SocksTexLegwarmer3.png")</f>
        <v/>
      </c>
      <c r="C163" s="5" t="s">
        <v>69</v>
      </c>
      <c r="D163" s="5" t="s">
        <v>36</v>
      </c>
      <c r="E163" s="6">
        <v>440.0</v>
      </c>
      <c r="F163" s="6">
        <v>110.0</v>
      </c>
      <c r="G163" s="5" t="s">
        <v>69</v>
      </c>
      <c r="H163" s="5" t="s">
        <v>69</v>
      </c>
      <c r="I163" s="6" t="s">
        <v>40</v>
      </c>
      <c r="J163" s="5" t="s">
        <v>8585</v>
      </c>
      <c r="K163" s="5" t="s">
        <v>8632</v>
      </c>
      <c r="L163" s="6" t="s">
        <v>42</v>
      </c>
      <c r="M163" s="5" t="s">
        <v>8746</v>
      </c>
      <c r="N163" s="5" t="s">
        <v>64</v>
      </c>
      <c r="O163" s="5" t="s">
        <v>17736</v>
      </c>
      <c r="P163" s="6">
        <v>9787.0</v>
      </c>
    </row>
    <row r="164" ht="56.25" customHeight="1">
      <c r="A164" s="5" t="s">
        <v>17717</v>
      </c>
      <c r="B164" s="6" t="str">
        <f>IMAGE("https://storage.googleapis.com/acdb/socks/SocksTexLegwarmer4.png")</f>
        <v/>
      </c>
      <c r="C164" s="5" t="s">
        <v>13835</v>
      </c>
      <c r="D164" s="5" t="s">
        <v>36</v>
      </c>
      <c r="E164" s="6">
        <v>440.0</v>
      </c>
      <c r="F164" s="6">
        <v>110.0</v>
      </c>
      <c r="G164" s="5" t="s">
        <v>106</v>
      </c>
      <c r="H164" s="5" t="s">
        <v>106</v>
      </c>
      <c r="I164" s="6" t="s">
        <v>40</v>
      </c>
      <c r="J164" s="5" t="s">
        <v>8585</v>
      </c>
      <c r="K164" s="5" t="s">
        <v>8632</v>
      </c>
      <c r="L164" s="6" t="s">
        <v>42</v>
      </c>
      <c r="M164" s="5" t="s">
        <v>8746</v>
      </c>
      <c r="N164" s="5" t="s">
        <v>64</v>
      </c>
      <c r="O164" s="5" t="s">
        <v>17738</v>
      </c>
      <c r="P164" s="6">
        <v>9788.0</v>
      </c>
    </row>
    <row r="165" ht="56.25" customHeight="1">
      <c r="A165" s="5" t="s">
        <v>17717</v>
      </c>
      <c r="B165" s="6" t="str">
        <f>IMAGE("https://storage.googleapis.com/acdb/socks/SocksTexLegwarmer5.png")</f>
        <v/>
      </c>
      <c r="C165" s="5" t="s">
        <v>68</v>
      </c>
      <c r="D165" s="5" t="s">
        <v>36</v>
      </c>
      <c r="E165" s="6">
        <v>440.0</v>
      </c>
      <c r="F165" s="6">
        <v>110.0</v>
      </c>
      <c r="G165" s="5" t="s">
        <v>68</v>
      </c>
      <c r="H165" s="5" t="s">
        <v>68</v>
      </c>
      <c r="I165" s="6" t="s">
        <v>40</v>
      </c>
      <c r="J165" s="5" t="s">
        <v>8585</v>
      </c>
      <c r="K165" s="5" t="s">
        <v>8632</v>
      </c>
      <c r="L165" s="6" t="s">
        <v>42</v>
      </c>
      <c r="M165" s="5" t="s">
        <v>8746</v>
      </c>
      <c r="N165" s="5" t="s">
        <v>64</v>
      </c>
      <c r="O165" s="5" t="s">
        <v>17742</v>
      </c>
      <c r="P165" s="6">
        <v>9789.0</v>
      </c>
    </row>
    <row r="166" ht="56.25" customHeight="1">
      <c r="A166" s="5" t="s">
        <v>17743</v>
      </c>
      <c r="B166" s="6" t="str">
        <f>IMAGE("https://storage.googleapis.com/acdb/socks/SocksTexMixtweed1.png")</f>
        <v/>
      </c>
      <c r="C166" s="5" t="s">
        <v>2222</v>
      </c>
      <c r="D166" s="5" t="s">
        <v>36</v>
      </c>
      <c r="E166" s="6">
        <v>800.0</v>
      </c>
      <c r="F166" s="6">
        <v>200.0</v>
      </c>
      <c r="G166" s="5" t="s">
        <v>96</v>
      </c>
      <c r="H166" s="5" t="s">
        <v>96</v>
      </c>
      <c r="I166" s="6" t="s">
        <v>40</v>
      </c>
      <c r="J166" s="5" t="s">
        <v>8585</v>
      </c>
      <c r="K166" s="5" t="s">
        <v>8632</v>
      </c>
      <c r="L166" s="6" t="s">
        <v>42</v>
      </c>
      <c r="M166" s="5" t="s">
        <v>995</v>
      </c>
      <c r="N166" s="5" t="s">
        <v>64</v>
      </c>
      <c r="O166" s="5" t="s">
        <v>17746</v>
      </c>
      <c r="P166" s="6">
        <v>9063.0</v>
      </c>
    </row>
    <row r="167" ht="56.25" customHeight="1">
      <c r="A167" s="5" t="s">
        <v>17743</v>
      </c>
      <c r="B167" s="6" t="str">
        <f>IMAGE("https://storage.googleapis.com/acdb/socks/SocksTexMixtweed2.png")</f>
        <v/>
      </c>
      <c r="C167" s="5" t="s">
        <v>83</v>
      </c>
      <c r="D167" s="5" t="s">
        <v>36</v>
      </c>
      <c r="E167" s="6">
        <v>800.0</v>
      </c>
      <c r="F167" s="6">
        <v>200.0</v>
      </c>
      <c r="G167" s="5" t="s">
        <v>83</v>
      </c>
      <c r="H167" s="5" t="s">
        <v>83</v>
      </c>
      <c r="I167" s="6" t="s">
        <v>40</v>
      </c>
      <c r="J167" s="5" t="s">
        <v>8585</v>
      </c>
      <c r="K167" s="5" t="s">
        <v>8632</v>
      </c>
      <c r="L167" s="6" t="s">
        <v>42</v>
      </c>
      <c r="M167" s="5" t="s">
        <v>995</v>
      </c>
      <c r="N167" s="5" t="s">
        <v>64</v>
      </c>
      <c r="O167" s="5" t="s">
        <v>17749</v>
      </c>
      <c r="P167" s="6">
        <v>9064.0</v>
      </c>
    </row>
    <row r="168" ht="56.25" customHeight="1">
      <c r="A168" s="5" t="s">
        <v>17743</v>
      </c>
      <c r="B168" s="6" t="str">
        <f>IMAGE("https://storage.googleapis.com/acdb/socks/SocksTexMixtweed3.png")</f>
        <v/>
      </c>
      <c r="C168" s="5" t="s">
        <v>106</v>
      </c>
      <c r="D168" s="5" t="s">
        <v>36</v>
      </c>
      <c r="E168" s="6">
        <v>800.0</v>
      </c>
      <c r="F168" s="6">
        <v>200.0</v>
      </c>
      <c r="G168" s="5" t="s">
        <v>106</v>
      </c>
      <c r="H168" s="5" t="s">
        <v>106</v>
      </c>
      <c r="I168" s="6" t="s">
        <v>40</v>
      </c>
      <c r="J168" s="5" t="s">
        <v>8585</v>
      </c>
      <c r="K168" s="5" t="s">
        <v>8632</v>
      </c>
      <c r="L168" s="6" t="s">
        <v>42</v>
      </c>
      <c r="M168" s="5" t="s">
        <v>995</v>
      </c>
      <c r="N168" s="5" t="s">
        <v>64</v>
      </c>
      <c r="O168" s="5" t="s">
        <v>17751</v>
      </c>
      <c r="P168" s="6">
        <v>9065.0</v>
      </c>
    </row>
    <row r="169" ht="56.25" customHeight="1">
      <c r="A169" s="5" t="s">
        <v>17743</v>
      </c>
      <c r="B169" s="6" t="str">
        <f>IMAGE("https://storage.googleapis.com/acdb/socks/SocksTexMixtweed4.png")</f>
        <v/>
      </c>
      <c r="C169" s="5" t="s">
        <v>68</v>
      </c>
      <c r="D169" s="5" t="s">
        <v>36</v>
      </c>
      <c r="E169" s="6">
        <v>800.0</v>
      </c>
      <c r="F169" s="6">
        <v>200.0</v>
      </c>
      <c r="G169" s="5" t="s">
        <v>68</v>
      </c>
      <c r="H169" s="5" t="s">
        <v>68</v>
      </c>
      <c r="I169" s="6" t="s">
        <v>40</v>
      </c>
      <c r="J169" s="5" t="s">
        <v>8585</v>
      </c>
      <c r="K169" s="5" t="s">
        <v>8632</v>
      </c>
      <c r="L169" s="6" t="s">
        <v>42</v>
      </c>
      <c r="M169" s="5" t="s">
        <v>995</v>
      </c>
      <c r="N169" s="5" t="s">
        <v>64</v>
      </c>
      <c r="O169" s="5" t="s">
        <v>17753</v>
      </c>
      <c r="P169" s="6">
        <v>9066.0</v>
      </c>
    </row>
    <row r="170" ht="56.25" customHeight="1">
      <c r="A170" s="5" t="s">
        <v>17743</v>
      </c>
      <c r="B170" s="6" t="str">
        <f>IMAGE("https://storage.googleapis.com/acdb/socks/SocksTexMixtweed0.png")</f>
        <v/>
      </c>
      <c r="C170" s="5" t="s">
        <v>52</v>
      </c>
      <c r="D170" s="5" t="s">
        <v>36</v>
      </c>
      <c r="E170" s="6">
        <v>800.0</v>
      </c>
      <c r="F170" s="6">
        <v>200.0</v>
      </c>
      <c r="G170" s="5" t="s">
        <v>52</v>
      </c>
      <c r="H170" s="5" t="s">
        <v>52</v>
      </c>
      <c r="I170" s="6" t="s">
        <v>40</v>
      </c>
      <c r="J170" s="5" t="s">
        <v>8585</v>
      </c>
      <c r="K170" s="5" t="s">
        <v>8632</v>
      </c>
      <c r="L170" s="6" t="s">
        <v>42</v>
      </c>
      <c r="M170" s="5" t="s">
        <v>995</v>
      </c>
      <c r="N170" s="5" t="s">
        <v>64</v>
      </c>
      <c r="O170" s="5" t="s">
        <v>17756</v>
      </c>
      <c r="P170" s="6">
        <v>5168.0</v>
      </c>
    </row>
    <row r="171" ht="56.25" customHeight="1">
      <c r="A171" s="5" t="s">
        <v>17743</v>
      </c>
      <c r="B171" s="6" t="str">
        <f>IMAGE("https://storage.googleapis.com/acdb/socks/SocksTexMixtweed5.png")</f>
        <v/>
      </c>
      <c r="C171" s="5" t="s">
        <v>142</v>
      </c>
      <c r="D171" s="5" t="s">
        <v>36</v>
      </c>
      <c r="E171" s="6">
        <v>800.0</v>
      </c>
      <c r="F171" s="6">
        <v>200.0</v>
      </c>
      <c r="G171" s="5" t="s">
        <v>142</v>
      </c>
      <c r="H171" s="5" t="s">
        <v>142</v>
      </c>
      <c r="I171" s="6" t="s">
        <v>40</v>
      </c>
      <c r="J171" s="5" t="s">
        <v>8585</v>
      </c>
      <c r="K171" s="5" t="s">
        <v>8632</v>
      </c>
      <c r="L171" s="6" t="s">
        <v>42</v>
      </c>
      <c r="M171" s="5" t="s">
        <v>995</v>
      </c>
      <c r="N171" s="5" t="s">
        <v>64</v>
      </c>
      <c r="O171" s="5" t="s">
        <v>17759</v>
      </c>
      <c r="P171" s="6">
        <v>9067.0</v>
      </c>
    </row>
    <row r="172" ht="56.25" customHeight="1">
      <c r="A172" s="5" t="s">
        <v>17743</v>
      </c>
      <c r="B172" s="6" t="str">
        <f>IMAGE("https://storage.googleapis.com/acdb/socks/SocksTexMixtweed6.png")</f>
        <v/>
      </c>
      <c r="C172" s="5" t="s">
        <v>1458</v>
      </c>
      <c r="D172" s="5" t="s">
        <v>36</v>
      </c>
      <c r="E172" s="6">
        <v>800.0</v>
      </c>
      <c r="F172" s="6">
        <v>200.0</v>
      </c>
      <c r="G172" s="5" t="s">
        <v>114</v>
      </c>
      <c r="H172" s="5" t="s">
        <v>114</v>
      </c>
      <c r="I172" s="6" t="s">
        <v>40</v>
      </c>
      <c r="J172" s="5" t="s">
        <v>8585</v>
      </c>
      <c r="K172" s="5" t="s">
        <v>8632</v>
      </c>
      <c r="L172" s="6" t="s">
        <v>42</v>
      </c>
      <c r="M172" s="5" t="s">
        <v>995</v>
      </c>
      <c r="N172" s="5" t="s">
        <v>64</v>
      </c>
      <c r="O172" s="5" t="s">
        <v>17762</v>
      </c>
      <c r="P172" s="6">
        <v>9068.0</v>
      </c>
    </row>
    <row r="173" ht="56.25" customHeight="1">
      <c r="A173" s="5" t="s">
        <v>17743</v>
      </c>
      <c r="B173" s="6" t="str">
        <f>IMAGE("https://storage.googleapis.com/acdb/socks/SocksTexMixtweed7.png")</f>
        <v/>
      </c>
      <c r="C173" s="5" t="s">
        <v>69</v>
      </c>
      <c r="D173" s="5" t="s">
        <v>36</v>
      </c>
      <c r="E173" s="6">
        <v>800.0</v>
      </c>
      <c r="F173" s="6">
        <v>200.0</v>
      </c>
      <c r="G173" s="5" t="s">
        <v>38</v>
      </c>
      <c r="H173" s="5" t="s">
        <v>38</v>
      </c>
      <c r="I173" s="6" t="s">
        <v>40</v>
      </c>
      <c r="J173" s="5" t="s">
        <v>8585</v>
      </c>
      <c r="K173" s="5" t="s">
        <v>8632</v>
      </c>
      <c r="L173" s="6" t="s">
        <v>42</v>
      </c>
      <c r="M173" s="5" t="s">
        <v>995</v>
      </c>
      <c r="N173" s="5" t="s">
        <v>64</v>
      </c>
      <c r="O173" s="5" t="s">
        <v>17765</v>
      </c>
      <c r="P173" s="6">
        <v>9069.0</v>
      </c>
    </row>
    <row r="174" ht="56.25" customHeight="1">
      <c r="A174" s="5" t="s">
        <v>17766</v>
      </c>
      <c r="B174" s="6" t="str">
        <f>IMAGE("https://storage.googleapis.com/acdb/socks/SocksTexNeonleggings1.png")</f>
        <v/>
      </c>
      <c r="C174" s="5" t="s">
        <v>69</v>
      </c>
      <c r="D174" s="5" t="s">
        <v>36</v>
      </c>
      <c r="E174" s="6">
        <v>540.0</v>
      </c>
      <c r="F174" s="6">
        <v>135.0</v>
      </c>
      <c r="G174" s="5" t="s">
        <v>69</v>
      </c>
      <c r="H174" s="5" t="s">
        <v>106</v>
      </c>
      <c r="I174" s="6" t="s">
        <v>40</v>
      </c>
      <c r="J174" s="5" t="s">
        <v>8585</v>
      </c>
      <c r="K174" s="5" t="s">
        <v>8632</v>
      </c>
      <c r="L174" s="6" t="s">
        <v>42</v>
      </c>
      <c r="M174" s="5" t="s">
        <v>8746</v>
      </c>
      <c r="N174" s="5" t="s">
        <v>64</v>
      </c>
      <c r="O174" s="5" t="s">
        <v>17767</v>
      </c>
      <c r="P174" s="6">
        <v>9808.0</v>
      </c>
    </row>
    <row r="175" ht="56.25" customHeight="1">
      <c r="A175" s="5" t="s">
        <v>17766</v>
      </c>
      <c r="B175" s="6" t="str">
        <f>IMAGE("https://storage.googleapis.com/acdb/socks/SocksTexNeonleggings2.png")</f>
        <v/>
      </c>
      <c r="C175" s="5" t="s">
        <v>142</v>
      </c>
      <c r="D175" s="5" t="s">
        <v>36</v>
      </c>
      <c r="E175" s="6">
        <v>540.0</v>
      </c>
      <c r="F175" s="6">
        <v>135.0</v>
      </c>
      <c r="G175" s="5" t="s">
        <v>142</v>
      </c>
      <c r="H175" s="5" t="s">
        <v>69</v>
      </c>
      <c r="I175" s="6" t="s">
        <v>40</v>
      </c>
      <c r="J175" s="5" t="s">
        <v>8585</v>
      </c>
      <c r="K175" s="5" t="s">
        <v>8632</v>
      </c>
      <c r="L175" s="6" t="s">
        <v>42</v>
      </c>
      <c r="M175" s="5" t="s">
        <v>8746</v>
      </c>
      <c r="N175" s="5" t="s">
        <v>64</v>
      </c>
      <c r="O175" s="5" t="s">
        <v>17771</v>
      </c>
      <c r="P175" s="6">
        <v>9809.0</v>
      </c>
    </row>
    <row r="176" ht="56.25" customHeight="1">
      <c r="A176" s="5" t="s">
        <v>17766</v>
      </c>
      <c r="B176" s="6" t="str">
        <f>IMAGE("https://storage.googleapis.com/acdb/socks/SocksTexNeonleggings0.png")</f>
        <v/>
      </c>
      <c r="C176" s="5" t="s">
        <v>114</v>
      </c>
      <c r="D176" s="5" t="s">
        <v>36</v>
      </c>
      <c r="E176" s="6">
        <v>540.0</v>
      </c>
      <c r="F176" s="6">
        <v>135.0</v>
      </c>
      <c r="G176" s="5" t="s">
        <v>114</v>
      </c>
      <c r="H176" s="5" t="s">
        <v>142</v>
      </c>
      <c r="I176" s="6" t="s">
        <v>40</v>
      </c>
      <c r="J176" s="5" t="s">
        <v>8585</v>
      </c>
      <c r="K176" s="5" t="s">
        <v>8632</v>
      </c>
      <c r="L176" s="6" t="s">
        <v>42</v>
      </c>
      <c r="M176" s="5" t="s">
        <v>8746</v>
      </c>
      <c r="N176" s="5" t="s">
        <v>64</v>
      </c>
      <c r="O176" s="5" t="s">
        <v>17773</v>
      </c>
      <c r="P176" s="6">
        <v>9586.0</v>
      </c>
    </row>
    <row r="177" ht="56.25" customHeight="1">
      <c r="A177" s="5" t="s">
        <v>17766</v>
      </c>
      <c r="B177" s="6" t="str">
        <f>IMAGE("https://storage.googleapis.com/acdb/socks/SocksTexNeonleggings3.png")</f>
        <v/>
      </c>
      <c r="C177" s="5" t="s">
        <v>96</v>
      </c>
      <c r="D177" s="5" t="s">
        <v>36</v>
      </c>
      <c r="E177" s="6">
        <v>540.0</v>
      </c>
      <c r="F177" s="6">
        <v>135.0</v>
      </c>
      <c r="G177" s="5" t="s">
        <v>96</v>
      </c>
      <c r="H177" s="5" t="s">
        <v>83</v>
      </c>
      <c r="I177" s="6" t="s">
        <v>40</v>
      </c>
      <c r="J177" s="5" t="s">
        <v>8585</v>
      </c>
      <c r="K177" s="5" t="s">
        <v>8632</v>
      </c>
      <c r="L177" s="6" t="s">
        <v>42</v>
      </c>
      <c r="M177" s="5" t="s">
        <v>8746</v>
      </c>
      <c r="N177" s="5" t="s">
        <v>64</v>
      </c>
      <c r="O177" s="5" t="s">
        <v>17775</v>
      </c>
      <c r="P177" s="6">
        <v>9810.0</v>
      </c>
    </row>
    <row r="178" ht="56.25" customHeight="1">
      <c r="A178" s="5" t="s">
        <v>17766</v>
      </c>
      <c r="B178" s="6" t="str">
        <f>IMAGE("https://storage.googleapis.com/acdb/socks/SocksTexNeonleggings4.png")</f>
        <v/>
      </c>
      <c r="C178" s="5" t="s">
        <v>106</v>
      </c>
      <c r="D178" s="5" t="s">
        <v>36</v>
      </c>
      <c r="E178" s="6">
        <v>540.0</v>
      </c>
      <c r="F178" s="6">
        <v>135.0</v>
      </c>
      <c r="G178" s="5" t="s">
        <v>106</v>
      </c>
      <c r="H178" s="5" t="s">
        <v>68</v>
      </c>
      <c r="I178" s="6" t="s">
        <v>40</v>
      </c>
      <c r="J178" s="5" t="s">
        <v>8585</v>
      </c>
      <c r="K178" s="5" t="s">
        <v>8632</v>
      </c>
      <c r="L178" s="6" t="s">
        <v>42</v>
      </c>
      <c r="M178" s="5" t="s">
        <v>8746</v>
      </c>
      <c r="N178" s="5" t="s">
        <v>64</v>
      </c>
      <c r="O178" s="5" t="s">
        <v>17777</v>
      </c>
      <c r="P178" s="6">
        <v>9811.0</v>
      </c>
    </row>
    <row r="179" ht="56.25" customHeight="1">
      <c r="A179" s="5" t="s">
        <v>17779</v>
      </c>
      <c r="B179" s="6" t="str">
        <f>IMAGE("https://storage.googleapis.com/acdb/socks/SocksTexNeontights1.png")</f>
        <v/>
      </c>
      <c r="C179" s="5" t="s">
        <v>69</v>
      </c>
      <c r="D179" s="5" t="s">
        <v>36</v>
      </c>
      <c r="E179" s="6">
        <v>720.0</v>
      </c>
      <c r="F179" s="6">
        <v>180.0</v>
      </c>
      <c r="G179" s="5" t="s">
        <v>69</v>
      </c>
      <c r="H179" s="5" t="s">
        <v>106</v>
      </c>
      <c r="I179" s="6" t="s">
        <v>40</v>
      </c>
      <c r="J179" s="5" t="s">
        <v>8585</v>
      </c>
      <c r="K179" s="5" t="s">
        <v>8632</v>
      </c>
      <c r="L179" s="6" t="s">
        <v>42</v>
      </c>
      <c r="M179" s="5" t="s">
        <v>8746</v>
      </c>
      <c r="N179" s="5" t="s">
        <v>64</v>
      </c>
      <c r="O179" s="5" t="s">
        <v>17782</v>
      </c>
      <c r="P179" s="6">
        <v>9694.0</v>
      </c>
    </row>
    <row r="180" ht="56.25" customHeight="1">
      <c r="A180" s="5" t="s">
        <v>17779</v>
      </c>
      <c r="B180" s="6" t="str">
        <f>IMAGE("https://storage.googleapis.com/acdb/socks/SocksTexNeontights2.png")</f>
        <v/>
      </c>
      <c r="C180" s="5" t="s">
        <v>142</v>
      </c>
      <c r="D180" s="5" t="s">
        <v>36</v>
      </c>
      <c r="E180" s="6">
        <v>720.0</v>
      </c>
      <c r="F180" s="6">
        <v>180.0</v>
      </c>
      <c r="G180" s="5" t="s">
        <v>142</v>
      </c>
      <c r="H180" s="5" t="s">
        <v>69</v>
      </c>
      <c r="I180" s="6" t="s">
        <v>40</v>
      </c>
      <c r="J180" s="5" t="s">
        <v>8585</v>
      </c>
      <c r="K180" s="5" t="s">
        <v>8632</v>
      </c>
      <c r="L180" s="6" t="s">
        <v>42</v>
      </c>
      <c r="M180" s="5" t="s">
        <v>8746</v>
      </c>
      <c r="N180" s="5" t="s">
        <v>64</v>
      </c>
      <c r="O180" s="5" t="s">
        <v>17785</v>
      </c>
      <c r="P180" s="6">
        <v>9695.0</v>
      </c>
    </row>
    <row r="181" ht="56.25" customHeight="1">
      <c r="A181" s="5" t="s">
        <v>17779</v>
      </c>
      <c r="B181" s="6" t="str">
        <f>IMAGE("https://storage.googleapis.com/acdb/socks/SocksTexNeontights3.png")</f>
        <v/>
      </c>
      <c r="C181" s="5" t="s">
        <v>96</v>
      </c>
      <c r="D181" s="5" t="s">
        <v>36</v>
      </c>
      <c r="E181" s="6">
        <v>720.0</v>
      </c>
      <c r="F181" s="6">
        <v>180.0</v>
      </c>
      <c r="G181" s="5" t="s">
        <v>96</v>
      </c>
      <c r="H181" s="5" t="s">
        <v>83</v>
      </c>
      <c r="I181" s="6" t="s">
        <v>40</v>
      </c>
      <c r="J181" s="5" t="s">
        <v>8585</v>
      </c>
      <c r="K181" s="5" t="s">
        <v>8632</v>
      </c>
      <c r="L181" s="6" t="s">
        <v>42</v>
      </c>
      <c r="M181" s="5" t="s">
        <v>8746</v>
      </c>
      <c r="N181" s="5" t="s">
        <v>64</v>
      </c>
      <c r="O181" s="5" t="s">
        <v>17789</v>
      </c>
      <c r="P181" s="6">
        <v>9696.0</v>
      </c>
    </row>
    <row r="182" ht="56.25" customHeight="1">
      <c r="A182" s="5" t="s">
        <v>17779</v>
      </c>
      <c r="B182" s="6" t="str">
        <f>IMAGE("https://storage.googleapis.com/acdb/socks/SocksTexNeontights4.png")</f>
        <v/>
      </c>
      <c r="C182" s="5" t="s">
        <v>106</v>
      </c>
      <c r="D182" s="5" t="s">
        <v>36</v>
      </c>
      <c r="E182" s="6">
        <v>720.0</v>
      </c>
      <c r="F182" s="6">
        <v>180.0</v>
      </c>
      <c r="G182" s="5" t="s">
        <v>106</v>
      </c>
      <c r="H182" s="5" t="s">
        <v>68</v>
      </c>
      <c r="I182" s="6" t="s">
        <v>40</v>
      </c>
      <c r="J182" s="5" t="s">
        <v>8585</v>
      </c>
      <c r="K182" s="5" t="s">
        <v>8632</v>
      </c>
      <c r="L182" s="6" t="s">
        <v>42</v>
      </c>
      <c r="M182" s="5" t="s">
        <v>8746</v>
      </c>
      <c r="N182" s="5" t="s">
        <v>64</v>
      </c>
      <c r="O182" s="5" t="s">
        <v>17791</v>
      </c>
      <c r="P182" s="6">
        <v>9697.0</v>
      </c>
    </row>
    <row r="183" ht="56.25" customHeight="1">
      <c r="A183" s="5" t="s">
        <v>17779</v>
      </c>
      <c r="B183" s="6" t="str">
        <f>IMAGE("https://storage.googleapis.com/acdb/socks/SocksTexNeontights0.png")</f>
        <v/>
      </c>
      <c r="C183" s="5" t="s">
        <v>114</v>
      </c>
      <c r="D183" s="5" t="s">
        <v>36</v>
      </c>
      <c r="E183" s="6">
        <v>720.0</v>
      </c>
      <c r="F183" s="6">
        <v>180.0</v>
      </c>
      <c r="G183" s="5" t="s">
        <v>114</v>
      </c>
      <c r="H183" s="5" t="s">
        <v>142</v>
      </c>
      <c r="I183" s="6" t="s">
        <v>40</v>
      </c>
      <c r="J183" s="5" t="s">
        <v>8585</v>
      </c>
      <c r="K183" s="5" t="s">
        <v>8632</v>
      </c>
      <c r="L183" s="6" t="s">
        <v>42</v>
      </c>
      <c r="M183" s="5" t="s">
        <v>8746</v>
      </c>
      <c r="N183" s="5" t="s">
        <v>64</v>
      </c>
      <c r="O183" s="5" t="s">
        <v>17794</v>
      </c>
      <c r="P183" s="6">
        <v>9583.0</v>
      </c>
    </row>
    <row r="184" ht="56.25" customHeight="1">
      <c r="A184" s="5" t="s">
        <v>17795</v>
      </c>
      <c r="B184" s="6" t="str">
        <f>IMAGE("https://storage.googleapis.com/acdb/socks/SocksTexSneakerin1.png")</f>
        <v/>
      </c>
      <c r="C184" s="5" t="s">
        <v>57</v>
      </c>
      <c r="D184" s="5" t="s">
        <v>36</v>
      </c>
      <c r="E184" s="6">
        <v>480.0</v>
      </c>
      <c r="F184" s="6">
        <v>120.0</v>
      </c>
      <c r="G184" s="5" t="s">
        <v>57</v>
      </c>
      <c r="H184" s="5" t="s">
        <v>52</v>
      </c>
      <c r="I184" s="6" t="s">
        <v>40</v>
      </c>
      <c r="J184" s="5" t="s">
        <v>8585</v>
      </c>
      <c r="K184" s="5" t="s">
        <v>8632</v>
      </c>
      <c r="L184" s="6" t="s">
        <v>42</v>
      </c>
      <c r="M184" s="5" t="s">
        <v>995</v>
      </c>
      <c r="N184" s="5" t="s">
        <v>64</v>
      </c>
      <c r="O184" s="5" t="s">
        <v>17796</v>
      </c>
      <c r="P184" s="6">
        <v>10003.0</v>
      </c>
    </row>
    <row r="185" ht="56.25" customHeight="1">
      <c r="A185" s="5" t="s">
        <v>17795</v>
      </c>
      <c r="B185" s="6" t="str">
        <f>IMAGE("https://storage.googleapis.com/acdb/socks/SocksTexSneakerin2.png")</f>
        <v/>
      </c>
      <c r="C185" s="5" t="s">
        <v>4883</v>
      </c>
      <c r="D185" s="5" t="s">
        <v>36</v>
      </c>
      <c r="E185" s="6">
        <v>480.0</v>
      </c>
      <c r="F185" s="6">
        <v>120.0</v>
      </c>
      <c r="G185" s="5" t="s">
        <v>52</v>
      </c>
      <c r="H185" s="5" t="s">
        <v>95</v>
      </c>
      <c r="I185" s="6" t="s">
        <v>40</v>
      </c>
      <c r="J185" s="5" t="s">
        <v>8585</v>
      </c>
      <c r="K185" s="5" t="s">
        <v>8632</v>
      </c>
      <c r="L185" s="6" t="s">
        <v>42</v>
      </c>
      <c r="M185" s="5" t="s">
        <v>995</v>
      </c>
      <c r="N185" s="5" t="s">
        <v>64</v>
      </c>
      <c r="O185" s="5" t="s">
        <v>17799</v>
      </c>
      <c r="P185" s="6">
        <v>10004.0</v>
      </c>
    </row>
    <row r="186" ht="56.25" customHeight="1">
      <c r="A186" s="5" t="s">
        <v>17795</v>
      </c>
      <c r="B186" s="6" t="str">
        <f>IMAGE("https://storage.googleapis.com/acdb/socks/SocksTexSneakerin3.png")</f>
        <v/>
      </c>
      <c r="C186" s="5" t="s">
        <v>83</v>
      </c>
      <c r="D186" s="5" t="s">
        <v>36</v>
      </c>
      <c r="E186" s="6">
        <v>480.0</v>
      </c>
      <c r="F186" s="6">
        <v>120.0</v>
      </c>
      <c r="G186" s="5" t="s">
        <v>83</v>
      </c>
      <c r="H186" s="5" t="s">
        <v>57</v>
      </c>
      <c r="I186" s="6" t="s">
        <v>40</v>
      </c>
      <c r="J186" s="5" t="s">
        <v>8585</v>
      </c>
      <c r="K186" s="5" t="s">
        <v>8632</v>
      </c>
      <c r="L186" s="6" t="s">
        <v>42</v>
      </c>
      <c r="M186" s="5" t="s">
        <v>995</v>
      </c>
      <c r="N186" s="5" t="s">
        <v>64</v>
      </c>
      <c r="O186" s="5" t="s">
        <v>17802</v>
      </c>
      <c r="P186" s="6">
        <v>10005.0</v>
      </c>
    </row>
    <row r="187" ht="56.25" customHeight="1">
      <c r="A187" s="5" t="s">
        <v>17795</v>
      </c>
      <c r="B187" s="6" t="str">
        <f>IMAGE("https://storage.googleapis.com/acdb/socks/SocksTexSneakerin4.png")</f>
        <v/>
      </c>
      <c r="C187" s="5" t="s">
        <v>142</v>
      </c>
      <c r="D187" s="5" t="s">
        <v>36</v>
      </c>
      <c r="E187" s="6">
        <v>480.0</v>
      </c>
      <c r="F187" s="6">
        <v>120.0</v>
      </c>
      <c r="G187" s="5" t="s">
        <v>142</v>
      </c>
      <c r="H187" s="5" t="s">
        <v>106</v>
      </c>
      <c r="I187" s="6" t="s">
        <v>40</v>
      </c>
      <c r="J187" s="5" t="s">
        <v>8585</v>
      </c>
      <c r="K187" s="5" t="s">
        <v>8632</v>
      </c>
      <c r="L187" s="6" t="s">
        <v>42</v>
      </c>
      <c r="M187" s="5" t="s">
        <v>995</v>
      </c>
      <c r="N187" s="5" t="s">
        <v>64</v>
      </c>
      <c r="O187" s="5" t="s">
        <v>17806</v>
      </c>
      <c r="P187" s="6">
        <v>10006.0</v>
      </c>
    </row>
    <row r="188" ht="56.25" customHeight="1">
      <c r="A188" s="5" t="s">
        <v>17795</v>
      </c>
      <c r="B188" s="6" t="str">
        <f>IMAGE("https://storage.googleapis.com/acdb/socks/SocksTexSneakerin5.png")</f>
        <v/>
      </c>
      <c r="C188" s="5" t="s">
        <v>96</v>
      </c>
      <c r="D188" s="5" t="s">
        <v>36</v>
      </c>
      <c r="E188" s="6">
        <v>480.0</v>
      </c>
      <c r="F188" s="6">
        <v>120.0</v>
      </c>
      <c r="G188" s="5" t="s">
        <v>96</v>
      </c>
      <c r="H188" s="5" t="s">
        <v>68</v>
      </c>
      <c r="I188" s="6" t="s">
        <v>40</v>
      </c>
      <c r="J188" s="5" t="s">
        <v>8585</v>
      </c>
      <c r="K188" s="5" t="s">
        <v>8632</v>
      </c>
      <c r="L188" s="6" t="s">
        <v>42</v>
      </c>
      <c r="M188" s="5" t="s">
        <v>995</v>
      </c>
      <c r="N188" s="5" t="s">
        <v>64</v>
      </c>
      <c r="O188" s="5" t="s">
        <v>17809</v>
      </c>
      <c r="P188" s="6">
        <v>10007.0</v>
      </c>
    </row>
    <row r="189" ht="56.25" customHeight="1">
      <c r="A189" s="5" t="s">
        <v>17795</v>
      </c>
      <c r="B189" s="6" t="str">
        <f>IMAGE("https://storage.googleapis.com/acdb/socks/SocksTexSneakerin6.png")</f>
        <v/>
      </c>
      <c r="C189" s="5" t="s">
        <v>1187</v>
      </c>
      <c r="D189" s="5" t="s">
        <v>36</v>
      </c>
      <c r="E189" s="6">
        <v>480.0</v>
      </c>
      <c r="F189" s="6">
        <v>120.0</v>
      </c>
      <c r="G189" s="5" t="s">
        <v>68</v>
      </c>
      <c r="H189" s="5" t="s">
        <v>114</v>
      </c>
      <c r="I189" s="6" t="s">
        <v>40</v>
      </c>
      <c r="J189" s="5" t="s">
        <v>8585</v>
      </c>
      <c r="K189" s="5" t="s">
        <v>8632</v>
      </c>
      <c r="L189" s="6" t="s">
        <v>42</v>
      </c>
      <c r="M189" s="5" t="s">
        <v>995</v>
      </c>
      <c r="N189" s="5" t="s">
        <v>64</v>
      </c>
      <c r="O189" s="5" t="s">
        <v>17811</v>
      </c>
      <c r="P189" s="6">
        <v>10008.0</v>
      </c>
    </row>
    <row r="190" ht="56.25" customHeight="1">
      <c r="A190" s="5" t="s">
        <v>17795</v>
      </c>
      <c r="B190" s="6" t="str">
        <f>IMAGE("https://storage.googleapis.com/acdb/socks/SocksTexSneakerin7.png")</f>
        <v/>
      </c>
      <c r="C190" s="5" t="s">
        <v>114</v>
      </c>
      <c r="D190" s="5" t="s">
        <v>36</v>
      </c>
      <c r="E190" s="6">
        <v>480.0</v>
      </c>
      <c r="F190" s="6">
        <v>120.0</v>
      </c>
      <c r="G190" s="5" t="s">
        <v>114</v>
      </c>
      <c r="H190" s="5" t="s">
        <v>83</v>
      </c>
      <c r="I190" s="6" t="s">
        <v>40</v>
      </c>
      <c r="J190" s="5" t="s">
        <v>8585</v>
      </c>
      <c r="K190" s="5" t="s">
        <v>8632</v>
      </c>
      <c r="L190" s="6" t="s">
        <v>42</v>
      </c>
      <c r="M190" s="5" t="s">
        <v>995</v>
      </c>
      <c r="N190" s="5" t="s">
        <v>64</v>
      </c>
      <c r="O190" s="5" t="s">
        <v>17815</v>
      </c>
      <c r="P190" s="6">
        <v>10009.0</v>
      </c>
    </row>
    <row r="191" ht="56.25" customHeight="1">
      <c r="A191" s="5" t="s">
        <v>17795</v>
      </c>
      <c r="B191" s="6" t="str">
        <f>IMAGE("https://storage.googleapis.com/acdb/socks/SocksTexSneakerin0.png")</f>
        <v/>
      </c>
      <c r="C191" s="5" t="s">
        <v>95</v>
      </c>
      <c r="D191" s="5" t="s">
        <v>36</v>
      </c>
      <c r="E191" s="6">
        <v>480.0</v>
      </c>
      <c r="F191" s="6">
        <v>120.0</v>
      </c>
      <c r="G191" s="5" t="s">
        <v>95</v>
      </c>
      <c r="H191" s="5" t="s">
        <v>54</v>
      </c>
      <c r="I191" s="6" t="s">
        <v>40</v>
      </c>
      <c r="J191" s="5" t="s">
        <v>8585</v>
      </c>
      <c r="K191" s="5" t="s">
        <v>8632</v>
      </c>
      <c r="L191" s="6" t="s">
        <v>42</v>
      </c>
      <c r="M191" s="5" t="s">
        <v>995</v>
      </c>
      <c r="N191" s="5" t="s">
        <v>64</v>
      </c>
      <c r="O191" s="5" t="s">
        <v>17818</v>
      </c>
      <c r="P191" s="6">
        <v>4741.0</v>
      </c>
    </row>
    <row r="192" ht="56.25" customHeight="1">
      <c r="A192" s="5" t="s">
        <v>17819</v>
      </c>
      <c r="B192" s="6" t="str">
        <f>IMAGE("https://storage.googleapis.com/acdb/socks/SocksTexBorderRco.png")</f>
        <v/>
      </c>
      <c r="C192" s="5" t="s">
        <v>114</v>
      </c>
      <c r="D192" s="5" t="s">
        <v>36</v>
      </c>
      <c r="E192" s="6" t="s">
        <v>37</v>
      </c>
      <c r="F192" s="6">
        <v>2000.0</v>
      </c>
      <c r="G192" s="5" t="s">
        <v>114</v>
      </c>
      <c r="H192" s="5" t="s">
        <v>142</v>
      </c>
      <c r="I192" s="6" t="s">
        <v>40</v>
      </c>
      <c r="J192" s="5" t="s">
        <v>2140</v>
      </c>
      <c r="K192" s="5"/>
      <c r="L192" s="6" t="s">
        <v>42</v>
      </c>
      <c r="M192" s="5" t="s">
        <v>8746</v>
      </c>
      <c r="N192" s="5" t="s">
        <v>48</v>
      </c>
      <c r="O192" s="5" t="s">
        <v>17822</v>
      </c>
      <c r="P192" s="6">
        <v>5629.0</v>
      </c>
    </row>
    <row r="193" ht="56.25" customHeight="1">
      <c r="A193" s="5" t="s">
        <v>17824</v>
      </c>
      <c r="B193" s="6" t="str">
        <f>IMAGE("https://storage.googleapis.com/acdb/socks/SocksTexNordic1.png")</f>
        <v/>
      </c>
      <c r="C193" s="5" t="s">
        <v>186</v>
      </c>
      <c r="D193" s="5" t="s">
        <v>36</v>
      </c>
      <c r="E193" s="6">
        <v>840.0</v>
      </c>
      <c r="F193" s="6">
        <v>210.0</v>
      </c>
      <c r="G193" s="5" t="s">
        <v>38</v>
      </c>
      <c r="H193" s="5" t="s">
        <v>54</v>
      </c>
      <c r="I193" s="6" t="s">
        <v>40</v>
      </c>
      <c r="J193" s="5" t="s">
        <v>8585</v>
      </c>
      <c r="K193" s="5" t="s">
        <v>8632</v>
      </c>
      <c r="L193" s="6" t="s">
        <v>42</v>
      </c>
      <c r="M193" s="5" t="s">
        <v>1059</v>
      </c>
      <c r="N193" s="5" t="s">
        <v>64</v>
      </c>
      <c r="O193" s="5" t="s">
        <v>17827</v>
      </c>
      <c r="P193" s="6">
        <v>9889.0</v>
      </c>
    </row>
    <row r="194" ht="56.25" customHeight="1">
      <c r="A194" s="5" t="s">
        <v>17824</v>
      </c>
      <c r="B194" s="6" t="str">
        <f>IMAGE("https://storage.googleapis.com/acdb/socks/SocksTexNordic0.png")</f>
        <v/>
      </c>
      <c r="C194" s="5" t="s">
        <v>1187</v>
      </c>
      <c r="D194" s="5" t="s">
        <v>36</v>
      </c>
      <c r="E194" s="6">
        <v>840.0</v>
      </c>
      <c r="F194" s="6">
        <v>210.0</v>
      </c>
      <c r="G194" s="5" t="s">
        <v>68</v>
      </c>
      <c r="H194" s="5" t="s">
        <v>54</v>
      </c>
      <c r="I194" s="6" t="s">
        <v>40</v>
      </c>
      <c r="J194" s="5" t="s">
        <v>8585</v>
      </c>
      <c r="K194" s="5" t="s">
        <v>8632</v>
      </c>
      <c r="L194" s="6" t="s">
        <v>42</v>
      </c>
      <c r="M194" s="5" t="s">
        <v>1059</v>
      </c>
      <c r="N194" s="5" t="s">
        <v>64</v>
      </c>
      <c r="O194" s="5" t="s">
        <v>17828</v>
      </c>
      <c r="P194" s="6">
        <v>4748.0</v>
      </c>
    </row>
    <row r="195" ht="56.25" customHeight="1">
      <c r="A195" s="5" t="s">
        <v>17824</v>
      </c>
      <c r="B195" s="6" t="str">
        <f>IMAGE("https://storage.googleapis.com/acdb/socks/SocksTexNordic2.png")</f>
        <v/>
      </c>
      <c r="C195" s="5" t="s">
        <v>52</v>
      </c>
      <c r="D195" s="5" t="s">
        <v>36</v>
      </c>
      <c r="E195" s="6">
        <v>840.0</v>
      </c>
      <c r="F195" s="6">
        <v>210.0</v>
      </c>
      <c r="G195" s="5" t="s">
        <v>52</v>
      </c>
      <c r="H195" s="5" t="s">
        <v>54</v>
      </c>
      <c r="I195" s="6" t="s">
        <v>40</v>
      </c>
      <c r="J195" s="5" t="s">
        <v>8585</v>
      </c>
      <c r="K195" s="5" t="s">
        <v>8632</v>
      </c>
      <c r="L195" s="6" t="s">
        <v>42</v>
      </c>
      <c r="M195" s="5" t="s">
        <v>1059</v>
      </c>
      <c r="N195" s="5" t="s">
        <v>64</v>
      </c>
      <c r="O195" s="5" t="s">
        <v>17831</v>
      </c>
      <c r="P195" s="6">
        <v>9890.0</v>
      </c>
    </row>
    <row r="196" ht="56.25" customHeight="1">
      <c r="A196" s="5" t="s">
        <v>17824</v>
      </c>
      <c r="B196" s="6" t="str">
        <f>IMAGE("https://storage.googleapis.com/acdb/socks/SocksTexNordic3.png")</f>
        <v/>
      </c>
      <c r="C196" s="5" t="s">
        <v>68</v>
      </c>
      <c r="D196" s="5" t="s">
        <v>36</v>
      </c>
      <c r="E196" s="6">
        <v>840.0</v>
      </c>
      <c r="F196" s="6">
        <v>210.0</v>
      </c>
      <c r="G196" s="5" t="s">
        <v>68</v>
      </c>
      <c r="H196" s="5" t="s">
        <v>54</v>
      </c>
      <c r="I196" s="6" t="s">
        <v>40</v>
      </c>
      <c r="J196" s="5" t="s">
        <v>8585</v>
      </c>
      <c r="K196" s="5" t="s">
        <v>8632</v>
      </c>
      <c r="L196" s="6" t="s">
        <v>42</v>
      </c>
      <c r="M196" s="5" t="s">
        <v>1059</v>
      </c>
      <c r="N196" s="5" t="s">
        <v>64</v>
      </c>
      <c r="O196" s="5" t="s">
        <v>17833</v>
      </c>
      <c r="P196" s="6">
        <v>9891.0</v>
      </c>
    </row>
    <row r="197" ht="56.25" customHeight="1">
      <c r="A197" s="5" t="s">
        <v>17824</v>
      </c>
      <c r="B197" s="6" t="str">
        <f>IMAGE("https://storage.googleapis.com/acdb/socks/SocksTexNordic4.png")</f>
        <v/>
      </c>
      <c r="C197" s="5" t="s">
        <v>95</v>
      </c>
      <c r="D197" s="5" t="s">
        <v>36</v>
      </c>
      <c r="E197" s="6">
        <v>840.0</v>
      </c>
      <c r="F197" s="6">
        <v>210.0</v>
      </c>
      <c r="G197" s="5" t="s">
        <v>95</v>
      </c>
      <c r="H197" s="5" t="s">
        <v>54</v>
      </c>
      <c r="I197" s="6" t="s">
        <v>40</v>
      </c>
      <c r="J197" s="5" t="s">
        <v>8585</v>
      </c>
      <c r="K197" s="5" t="s">
        <v>8632</v>
      </c>
      <c r="L197" s="6" t="s">
        <v>42</v>
      </c>
      <c r="M197" s="5" t="s">
        <v>1059</v>
      </c>
      <c r="N197" s="5" t="s">
        <v>64</v>
      </c>
      <c r="O197" s="5" t="s">
        <v>17838</v>
      </c>
      <c r="P197" s="6">
        <v>9892.0</v>
      </c>
    </row>
    <row r="198" ht="56.25" customHeight="1">
      <c r="A198" s="5" t="s">
        <v>17824</v>
      </c>
      <c r="B198" s="6" t="str">
        <f>IMAGE("https://storage.googleapis.com/acdb/socks/SocksTexNordic5.png")</f>
        <v/>
      </c>
      <c r="C198" s="5" t="s">
        <v>96</v>
      </c>
      <c r="D198" s="5" t="s">
        <v>36</v>
      </c>
      <c r="E198" s="6">
        <v>840.0</v>
      </c>
      <c r="F198" s="6">
        <v>210.0</v>
      </c>
      <c r="G198" s="5" t="s">
        <v>96</v>
      </c>
      <c r="H198" s="5" t="s">
        <v>54</v>
      </c>
      <c r="I198" s="6" t="s">
        <v>40</v>
      </c>
      <c r="J198" s="5" t="s">
        <v>8585</v>
      </c>
      <c r="K198" s="5" t="s">
        <v>8632</v>
      </c>
      <c r="L198" s="6" t="s">
        <v>42</v>
      </c>
      <c r="M198" s="5" t="s">
        <v>1059</v>
      </c>
      <c r="N198" s="5" t="s">
        <v>64</v>
      </c>
      <c r="O198" s="5" t="s">
        <v>17841</v>
      </c>
      <c r="P198" s="6">
        <v>9893.0</v>
      </c>
    </row>
    <row r="199" ht="56.25" customHeight="1">
      <c r="A199" s="5" t="s">
        <v>17824</v>
      </c>
      <c r="B199" s="6" t="str">
        <f>IMAGE("https://storage.googleapis.com/acdb/socks/SocksTexNordic6.png")</f>
        <v/>
      </c>
      <c r="C199" s="5" t="s">
        <v>83</v>
      </c>
      <c r="D199" s="5" t="s">
        <v>36</v>
      </c>
      <c r="E199" s="6">
        <v>840.0</v>
      </c>
      <c r="F199" s="6">
        <v>210.0</v>
      </c>
      <c r="G199" s="5" t="s">
        <v>83</v>
      </c>
      <c r="H199" s="5" t="s">
        <v>54</v>
      </c>
      <c r="I199" s="6" t="s">
        <v>40</v>
      </c>
      <c r="J199" s="5" t="s">
        <v>8585</v>
      </c>
      <c r="K199" s="5" t="s">
        <v>8632</v>
      </c>
      <c r="L199" s="6" t="s">
        <v>42</v>
      </c>
      <c r="M199" s="5" t="s">
        <v>1059</v>
      </c>
      <c r="N199" s="5" t="s">
        <v>64</v>
      </c>
      <c r="O199" s="5" t="s">
        <v>17843</v>
      </c>
      <c r="P199" s="6">
        <v>9894.0</v>
      </c>
    </row>
    <row r="200" ht="56.25" customHeight="1">
      <c r="A200" s="5" t="s">
        <v>17844</v>
      </c>
      <c r="B200" s="6" t="str">
        <f>IMAGE("https://storage.googleapis.com/acdb/socks/SocksTexStripedot0.png")</f>
        <v/>
      </c>
      <c r="C200" s="5" t="s">
        <v>54</v>
      </c>
      <c r="D200" s="5" t="s">
        <v>36</v>
      </c>
      <c r="E200" s="6">
        <v>940.0</v>
      </c>
      <c r="F200" s="6">
        <v>235.0</v>
      </c>
      <c r="G200" s="5" t="s">
        <v>54</v>
      </c>
      <c r="H200" s="5" t="s">
        <v>54</v>
      </c>
      <c r="I200" s="6" t="s">
        <v>40</v>
      </c>
      <c r="J200" s="5" t="s">
        <v>8585</v>
      </c>
      <c r="K200" s="5" t="s">
        <v>8586</v>
      </c>
      <c r="L200" s="6" t="s">
        <v>42</v>
      </c>
      <c r="M200" s="5" t="s">
        <v>1059</v>
      </c>
      <c r="N200" s="5" t="s">
        <v>64</v>
      </c>
      <c r="O200" s="5" t="s">
        <v>17850</v>
      </c>
      <c r="P200" s="6">
        <v>6046.0</v>
      </c>
    </row>
    <row r="201" ht="56.25" customHeight="1">
      <c r="A201" s="5" t="s">
        <v>17844</v>
      </c>
      <c r="B201" s="6" t="str">
        <f>IMAGE("https://storage.googleapis.com/acdb/socks/SocksTexStripedot1.png")</f>
        <v/>
      </c>
      <c r="C201" s="5" t="s">
        <v>57</v>
      </c>
      <c r="D201" s="5" t="s">
        <v>36</v>
      </c>
      <c r="E201" s="6">
        <v>940.0</v>
      </c>
      <c r="F201" s="6">
        <v>235.0</v>
      </c>
      <c r="G201" s="5" t="s">
        <v>57</v>
      </c>
      <c r="H201" s="5" t="s">
        <v>57</v>
      </c>
      <c r="I201" s="6" t="s">
        <v>40</v>
      </c>
      <c r="J201" s="5" t="s">
        <v>8585</v>
      </c>
      <c r="K201" s="5" t="s">
        <v>8586</v>
      </c>
      <c r="L201" s="6" t="s">
        <v>42</v>
      </c>
      <c r="M201" s="5" t="s">
        <v>1059</v>
      </c>
      <c r="N201" s="5" t="s">
        <v>64</v>
      </c>
      <c r="O201" s="5" t="s">
        <v>17854</v>
      </c>
      <c r="P201" s="6">
        <v>9674.0</v>
      </c>
    </row>
    <row r="202" ht="56.25" customHeight="1">
      <c r="A202" s="5" t="s">
        <v>17855</v>
      </c>
      <c r="B202" s="6" t="str">
        <f>IMAGE("https://storage.googleapis.com/acdb/socks/SocksTexBobble1.png")</f>
        <v/>
      </c>
      <c r="C202" s="5" t="s">
        <v>68</v>
      </c>
      <c r="D202" s="5" t="s">
        <v>36</v>
      </c>
      <c r="E202" s="6">
        <v>720.0</v>
      </c>
      <c r="F202" s="6">
        <v>180.0</v>
      </c>
      <c r="G202" s="5" t="s">
        <v>83</v>
      </c>
      <c r="H202" s="5" t="s">
        <v>57</v>
      </c>
      <c r="I202" s="6" t="s">
        <v>40</v>
      </c>
      <c r="J202" s="5" t="s">
        <v>8585</v>
      </c>
      <c r="K202" s="5" t="s">
        <v>8586</v>
      </c>
      <c r="L202" s="6" t="s">
        <v>42</v>
      </c>
      <c r="M202" s="5" t="s">
        <v>1959</v>
      </c>
      <c r="N202" s="5" t="s">
        <v>64</v>
      </c>
      <c r="O202" s="5" t="s">
        <v>17859</v>
      </c>
      <c r="P202" s="6">
        <v>9072.0</v>
      </c>
    </row>
    <row r="203" ht="56.25" customHeight="1">
      <c r="A203" s="5" t="s">
        <v>17855</v>
      </c>
      <c r="B203" s="6" t="str">
        <f>IMAGE("https://storage.googleapis.com/acdb/socks/SocksTexBobble2.png")</f>
        <v/>
      </c>
      <c r="C203" s="5" t="s">
        <v>96</v>
      </c>
      <c r="D203" s="5" t="s">
        <v>36</v>
      </c>
      <c r="E203" s="6">
        <v>720.0</v>
      </c>
      <c r="F203" s="6">
        <v>180.0</v>
      </c>
      <c r="G203" s="5" t="s">
        <v>96</v>
      </c>
      <c r="H203" s="5" t="s">
        <v>57</v>
      </c>
      <c r="I203" s="6" t="s">
        <v>40</v>
      </c>
      <c r="J203" s="5" t="s">
        <v>8585</v>
      </c>
      <c r="K203" s="5" t="s">
        <v>8586</v>
      </c>
      <c r="L203" s="6" t="s">
        <v>42</v>
      </c>
      <c r="M203" s="5" t="s">
        <v>1959</v>
      </c>
      <c r="N203" s="5" t="s">
        <v>64</v>
      </c>
      <c r="O203" s="5" t="s">
        <v>17864</v>
      </c>
      <c r="P203" s="6">
        <v>9073.0</v>
      </c>
    </row>
    <row r="204" ht="56.25" customHeight="1">
      <c r="A204" s="5" t="s">
        <v>17855</v>
      </c>
      <c r="B204" s="6" t="str">
        <f>IMAGE("https://storage.googleapis.com/acdb/socks/SocksTexBobble3.png")</f>
        <v/>
      </c>
      <c r="C204" s="5" t="s">
        <v>142</v>
      </c>
      <c r="D204" s="5" t="s">
        <v>36</v>
      </c>
      <c r="E204" s="6">
        <v>720.0</v>
      </c>
      <c r="F204" s="6">
        <v>180.0</v>
      </c>
      <c r="G204" s="5" t="s">
        <v>142</v>
      </c>
      <c r="H204" s="5" t="s">
        <v>57</v>
      </c>
      <c r="I204" s="6" t="s">
        <v>40</v>
      </c>
      <c r="J204" s="5" t="s">
        <v>8585</v>
      </c>
      <c r="K204" s="5" t="s">
        <v>8586</v>
      </c>
      <c r="L204" s="6" t="s">
        <v>42</v>
      </c>
      <c r="M204" s="5" t="s">
        <v>1959</v>
      </c>
      <c r="N204" s="5" t="s">
        <v>64</v>
      </c>
      <c r="O204" s="5" t="s">
        <v>17867</v>
      </c>
      <c r="P204" s="6">
        <v>9074.0</v>
      </c>
    </row>
    <row r="205" ht="56.25" customHeight="1">
      <c r="A205" s="5" t="s">
        <v>17855</v>
      </c>
      <c r="B205" s="6" t="str">
        <f>IMAGE("https://storage.googleapis.com/acdb/socks/SocksTexBobble4.png")</f>
        <v/>
      </c>
      <c r="C205" s="5" t="s">
        <v>106</v>
      </c>
      <c r="D205" s="5" t="s">
        <v>36</v>
      </c>
      <c r="E205" s="6">
        <v>720.0</v>
      </c>
      <c r="F205" s="6">
        <v>180.0</v>
      </c>
      <c r="G205" s="5" t="s">
        <v>106</v>
      </c>
      <c r="H205" s="5" t="s">
        <v>57</v>
      </c>
      <c r="I205" s="6" t="s">
        <v>40</v>
      </c>
      <c r="J205" s="5" t="s">
        <v>8585</v>
      </c>
      <c r="K205" s="5" t="s">
        <v>8586</v>
      </c>
      <c r="L205" s="6" t="s">
        <v>42</v>
      </c>
      <c r="M205" s="5" t="s">
        <v>1959</v>
      </c>
      <c r="N205" s="5" t="s">
        <v>64</v>
      </c>
      <c r="O205" s="5" t="s">
        <v>17872</v>
      </c>
      <c r="P205" s="6">
        <v>9075.0</v>
      </c>
    </row>
    <row r="206" ht="56.25" customHeight="1">
      <c r="A206" s="5" t="s">
        <v>17855</v>
      </c>
      <c r="B206" s="6" t="str">
        <f>IMAGE("https://storage.googleapis.com/acdb/socks/SocksTexBobble0.png")</f>
        <v/>
      </c>
      <c r="C206" s="5" t="s">
        <v>69</v>
      </c>
      <c r="D206" s="5" t="s">
        <v>36</v>
      </c>
      <c r="E206" s="6">
        <v>720.0</v>
      </c>
      <c r="F206" s="6">
        <v>180.0</v>
      </c>
      <c r="G206" s="5" t="s">
        <v>69</v>
      </c>
      <c r="H206" s="5" t="s">
        <v>57</v>
      </c>
      <c r="I206" s="6" t="s">
        <v>40</v>
      </c>
      <c r="J206" s="5" t="s">
        <v>8585</v>
      </c>
      <c r="K206" s="5" t="s">
        <v>8586</v>
      </c>
      <c r="L206" s="6" t="s">
        <v>42</v>
      </c>
      <c r="M206" s="5" t="s">
        <v>1959</v>
      </c>
      <c r="N206" s="5" t="s">
        <v>64</v>
      </c>
      <c r="O206" s="5" t="s">
        <v>17875</v>
      </c>
      <c r="P206" s="6">
        <v>5179.0</v>
      </c>
    </row>
    <row r="207" ht="56.25" customHeight="1">
      <c r="A207" s="5" t="s">
        <v>17877</v>
      </c>
      <c r="B207" s="6" t="str">
        <f>IMAGE("https://storage.googleapis.com/acdb/socks/SocksTexPucker1.png")</f>
        <v/>
      </c>
      <c r="C207" s="5" t="s">
        <v>52</v>
      </c>
      <c r="D207" s="5" t="s">
        <v>36</v>
      </c>
      <c r="E207" s="6">
        <v>600.0</v>
      </c>
      <c r="F207" s="6">
        <v>150.0</v>
      </c>
      <c r="G207" s="5" t="s">
        <v>52</v>
      </c>
      <c r="H207" s="5" t="s">
        <v>52</v>
      </c>
      <c r="I207" s="6" t="s">
        <v>40</v>
      </c>
      <c r="J207" s="5" t="s">
        <v>8585</v>
      </c>
      <c r="K207" s="5" t="s">
        <v>8586</v>
      </c>
      <c r="L207" s="6" t="s">
        <v>42</v>
      </c>
      <c r="M207" s="5" t="s">
        <v>1059</v>
      </c>
      <c r="N207" s="5" t="s">
        <v>64</v>
      </c>
      <c r="O207" s="5" t="s">
        <v>17881</v>
      </c>
      <c r="P207" s="6">
        <v>9078.0</v>
      </c>
    </row>
    <row r="208" ht="56.25" customHeight="1">
      <c r="A208" s="5" t="s">
        <v>17877</v>
      </c>
      <c r="B208" s="6" t="str">
        <f>IMAGE("https://storage.googleapis.com/acdb/socks/SocksTexPucker2.png")</f>
        <v/>
      </c>
      <c r="C208" s="5" t="s">
        <v>68</v>
      </c>
      <c r="D208" s="5" t="s">
        <v>36</v>
      </c>
      <c r="E208" s="6">
        <v>600.0</v>
      </c>
      <c r="F208" s="6">
        <v>150.0</v>
      </c>
      <c r="G208" s="5" t="s">
        <v>68</v>
      </c>
      <c r="H208" s="5" t="s">
        <v>68</v>
      </c>
      <c r="I208" s="6" t="s">
        <v>40</v>
      </c>
      <c r="J208" s="5" t="s">
        <v>8585</v>
      </c>
      <c r="K208" s="5" t="s">
        <v>8586</v>
      </c>
      <c r="L208" s="6" t="s">
        <v>42</v>
      </c>
      <c r="M208" s="5" t="s">
        <v>1059</v>
      </c>
      <c r="N208" s="5" t="s">
        <v>64</v>
      </c>
      <c r="O208" s="5" t="s">
        <v>17882</v>
      </c>
      <c r="P208" s="6">
        <v>9079.0</v>
      </c>
    </row>
    <row r="209" ht="56.25" customHeight="1">
      <c r="A209" s="5" t="s">
        <v>17877</v>
      </c>
      <c r="B209" s="6" t="str">
        <f>IMAGE("https://storage.googleapis.com/acdb/socks/SocksTexPucker0.png")</f>
        <v/>
      </c>
      <c r="C209" s="5" t="s">
        <v>8709</v>
      </c>
      <c r="D209" s="5" t="s">
        <v>36</v>
      </c>
      <c r="E209" s="6">
        <v>600.0</v>
      </c>
      <c r="F209" s="6">
        <v>150.0</v>
      </c>
      <c r="G209" s="5" t="s">
        <v>142</v>
      </c>
      <c r="H209" s="5" t="s">
        <v>142</v>
      </c>
      <c r="I209" s="6" t="s">
        <v>40</v>
      </c>
      <c r="J209" s="5" t="s">
        <v>8585</v>
      </c>
      <c r="K209" s="5" t="s">
        <v>8586</v>
      </c>
      <c r="L209" s="6" t="s">
        <v>42</v>
      </c>
      <c r="M209" s="5" t="s">
        <v>1059</v>
      </c>
      <c r="N209" s="5" t="s">
        <v>64</v>
      </c>
      <c r="O209" s="5" t="s">
        <v>17885</v>
      </c>
      <c r="P209" s="6">
        <v>5198.0</v>
      </c>
    </row>
    <row r="210" ht="56.25" customHeight="1">
      <c r="A210" s="5" t="s">
        <v>17877</v>
      </c>
      <c r="B210" s="6" t="str">
        <f>IMAGE("https://storage.googleapis.com/acdb/socks/SocksTexPucker3.png")</f>
        <v/>
      </c>
      <c r="C210" s="5" t="s">
        <v>96</v>
      </c>
      <c r="D210" s="5" t="s">
        <v>36</v>
      </c>
      <c r="E210" s="6">
        <v>600.0</v>
      </c>
      <c r="F210" s="6">
        <v>150.0</v>
      </c>
      <c r="G210" s="5" t="s">
        <v>96</v>
      </c>
      <c r="H210" s="5" t="s">
        <v>96</v>
      </c>
      <c r="I210" s="6" t="s">
        <v>40</v>
      </c>
      <c r="J210" s="5" t="s">
        <v>8585</v>
      </c>
      <c r="K210" s="5" t="s">
        <v>8586</v>
      </c>
      <c r="L210" s="6" t="s">
        <v>42</v>
      </c>
      <c r="M210" s="5" t="s">
        <v>1059</v>
      </c>
      <c r="N210" s="5" t="s">
        <v>64</v>
      </c>
      <c r="O210" s="5" t="s">
        <v>17888</v>
      </c>
      <c r="P210" s="6">
        <v>9080.0</v>
      </c>
    </row>
    <row r="211" ht="56.25" customHeight="1">
      <c r="A211" s="5" t="s">
        <v>17877</v>
      </c>
      <c r="B211" s="6" t="str">
        <f>IMAGE("https://storage.googleapis.com/acdb/socks/SocksTexPucker4.png")</f>
        <v/>
      </c>
      <c r="C211" s="5" t="s">
        <v>106</v>
      </c>
      <c r="D211" s="5" t="s">
        <v>36</v>
      </c>
      <c r="E211" s="6">
        <v>600.0</v>
      </c>
      <c r="F211" s="6">
        <v>150.0</v>
      </c>
      <c r="G211" s="5" t="s">
        <v>106</v>
      </c>
      <c r="H211" s="5" t="s">
        <v>106</v>
      </c>
      <c r="I211" s="6" t="s">
        <v>40</v>
      </c>
      <c r="J211" s="5" t="s">
        <v>8585</v>
      </c>
      <c r="K211" s="5" t="s">
        <v>8586</v>
      </c>
      <c r="L211" s="6" t="s">
        <v>42</v>
      </c>
      <c r="M211" s="5" t="s">
        <v>1059</v>
      </c>
      <c r="N211" s="5" t="s">
        <v>64</v>
      </c>
      <c r="O211" s="5" t="s">
        <v>17891</v>
      </c>
      <c r="P211" s="6">
        <v>9081.0</v>
      </c>
    </row>
    <row r="212" ht="56.25" customHeight="1">
      <c r="A212" s="5" t="s">
        <v>17893</v>
      </c>
      <c r="B212" s="6" t="str">
        <f>IMAGE("https://storage.googleapis.com/acdb/socks/SocksTexRun0.png")</f>
        <v/>
      </c>
      <c r="C212" s="5" t="s">
        <v>69</v>
      </c>
      <c r="D212" s="5" t="s">
        <v>36</v>
      </c>
      <c r="E212" s="6">
        <v>550.0</v>
      </c>
      <c r="F212" s="6">
        <v>137.0</v>
      </c>
      <c r="G212" s="5" t="s">
        <v>54</v>
      </c>
      <c r="H212" s="5" t="s">
        <v>69</v>
      </c>
      <c r="I212" s="6" t="s">
        <v>40</v>
      </c>
      <c r="J212" s="5" t="s">
        <v>8585</v>
      </c>
      <c r="K212" s="5" t="s">
        <v>8632</v>
      </c>
      <c r="L212" s="6" t="s">
        <v>42</v>
      </c>
      <c r="M212" s="5" t="s">
        <v>8746</v>
      </c>
      <c r="N212" s="5" t="s">
        <v>64</v>
      </c>
      <c r="O212" s="5" t="s">
        <v>17895</v>
      </c>
      <c r="P212" s="6">
        <v>5214.0</v>
      </c>
    </row>
    <row r="213" ht="56.25" customHeight="1">
      <c r="A213" s="5" t="s">
        <v>17893</v>
      </c>
      <c r="B213" s="6" t="str">
        <f>IMAGE("https://storage.googleapis.com/acdb/socks/SocksTexRun1.png")</f>
        <v/>
      </c>
      <c r="C213" s="5" t="s">
        <v>114</v>
      </c>
      <c r="D213" s="5" t="s">
        <v>36</v>
      </c>
      <c r="E213" s="6">
        <v>550.0</v>
      </c>
      <c r="F213" s="6">
        <v>137.0</v>
      </c>
      <c r="G213" s="5" t="s">
        <v>54</v>
      </c>
      <c r="H213" s="5" t="s">
        <v>114</v>
      </c>
      <c r="I213" s="6" t="s">
        <v>40</v>
      </c>
      <c r="J213" s="5" t="s">
        <v>8585</v>
      </c>
      <c r="K213" s="5" t="s">
        <v>8632</v>
      </c>
      <c r="L213" s="6" t="s">
        <v>42</v>
      </c>
      <c r="M213" s="5" t="s">
        <v>8746</v>
      </c>
      <c r="N213" s="5" t="s">
        <v>64</v>
      </c>
      <c r="O213" s="5" t="s">
        <v>17902</v>
      </c>
      <c r="P213" s="6">
        <v>9798.0</v>
      </c>
    </row>
    <row r="214" ht="56.25" customHeight="1">
      <c r="A214" s="5" t="s">
        <v>17893</v>
      </c>
      <c r="B214" s="6" t="str">
        <f>IMAGE("https://storage.googleapis.com/acdb/socks/SocksTexRun2.png")</f>
        <v/>
      </c>
      <c r="C214" s="5" t="s">
        <v>68</v>
      </c>
      <c r="D214" s="5" t="s">
        <v>36</v>
      </c>
      <c r="E214" s="6">
        <v>550.0</v>
      </c>
      <c r="F214" s="6">
        <v>137.0</v>
      </c>
      <c r="G214" s="5" t="s">
        <v>54</v>
      </c>
      <c r="H214" s="5" t="s">
        <v>68</v>
      </c>
      <c r="I214" s="6" t="s">
        <v>40</v>
      </c>
      <c r="J214" s="5" t="s">
        <v>8585</v>
      </c>
      <c r="K214" s="5" t="s">
        <v>8632</v>
      </c>
      <c r="L214" s="6" t="s">
        <v>42</v>
      </c>
      <c r="M214" s="5" t="s">
        <v>8746</v>
      </c>
      <c r="N214" s="5" t="s">
        <v>64</v>
      </c>
      <c r="O214" s="5" t="s">
        <v>17905</v>
      </c>
      <c r="P214" s="6">
        <v>9799.0</v>
      </c>
    </row>
    <row r="215" ht="56.25" customHeight="1">
      <c r="A215" s="5" t="s">
        <v>17893</v>
      </c>
      <c r="B215" s="6" t="str">
        <f>IMAGE("https://storage.googleapis.com/acdb/socks/SocksTexRun3.png")</f>
        <v/>
      </c>
      <c r="C215" s="5" t="s">
        <v>96</v>
      </c>
      <c r="D215" s="5" t="s">
        <v>36</v>
      </c>
      <c r="E215" s="6">
        <v>550.0</v>
      </c>
      <c r="F215" s="6">
        <v>137.0</v>
      </c>
      <c r="G215" s="5" t="s">
        <v>54</v>
      </c>
      <c r="H215" s="5" t="s">
        <v>96</v>
      </c>
      <c r="I215" s="6" t="s">
        <v>40</v>
      </c>
      <c r="J215" s="5" t="s">
        <v>8585</v>
      </c>
      <c r="K215" s="5" t="s">
        <v>8632</v>
      </c>
      <c r="L215" s="6" t="s">
        <v>42</v>
      </c>
      <c r="M215" s="5" t="s">
        <v>8746</v>
      </c>
      <c r="N215" s="5" t="s">
        <v>64</v>
      </c>
      <c r="O215" s="5" t="s">
        <v>17910</v>
      </c>
      <c r="P215" s="6">
        <v>9800.0</v>
      </c>
    </row>
    <row r="216" ht="56.25" customHeight="1">
      <c r="A216" s="5" t="s">
        <v>17911</v>
      </c>
      <c r="B216" s="6" t="str">
        <f>IMAGE("https://storage.googleapis.com/acdb/socks/SocksTexNuancesocks4.png")</f>
        <v/>
      </c>
      <c r="C216" s="5" t="s">
        <v>106</v>
      </c>
      <c r="D216" s="5" t="s">
        <v>36</v>
      </c>
      <c r="E216" s="6">
        <v>480.0</v>
      </c>
      <c r="F216" s="6">
        <v>120.0</v>
      </c>
      <c r="G216" s="5" t="s">
        <v>69</v>
      </c>
      <c r="H216" s="5" t="s">
        <v>69</v>
      </c>
      <c r="I216" s="6" t="s">
        <v>40</v>
      </c>
      <c r="J216" s="5" t="s">
        <v>8585</v>
      </c>
      <c r="K216" s="5" t="s">
        <v>8586</v>
      </c>
      <c r="L216" s="6" t="s">
        <v>42</v>
      </c>
      <c r="M216" s="5" t="s">
        <v>1059</v>
      </c>
      <c r="N216" s="5" t="s">
        <v>64</v>
      </c>
      <c r="O216" s="5" t="s">
        <v>17915</v>
      </c>
      <c r="P216" s="6">
        <v>10030.0</v>
      </c>
    </row>
    <row r="217" ht="56.25" customHeight="1">
      <c r="A217" s="5" t="s">
        <v>17911</v>
      </c>
      <c r="B217" s="6" t="str">
        <f>IMAGE("https://storage.googleapis.com/acdb/socks/SocksTexNuancesocks5.png")</f>
        <v/>
      </c>
      <c r="C217" s="5" t="s">
        <v>2408</v>
      </c>
      <c r="D217" s="5" t="s">
        <v>36</v>
      </c>
      <c r="E217" s="6">
        <v>480.0</v>
      </c>
      <c r="F217" s="6">
        <v>120.0</v>
      </c>
      <c r="G217" s="5" t="s">
        <v>114</v>
      </c>
      <c r="H217" s="5" t="s">
        <v>114</v>
      </c>
      <c r="I217" s="6" t="s">
        <v>40</v>
      </c>
      <c r="J217" s="5" t="s">
        <v>8585</v>
      </c>
      <c r="K217" s="5" t="s">
        <v>8586</v>
      </c>
      <c r="L217" s="6" t="s">
        <v>42</v>
      </c>
      <c r="M217" s="5" t="s">
        <v>1059</v>
      </c>
      <c r="N217" s="5" t="s">
        <v>64</v>
      </c>
      <c r="O217" s="5" t="s">
        <v>17919</v>
      </c>
      <c r="P217" s="6">
        <v>10031.0</v>
      </c>
    </row>
    <row r="218" ht="56.25" customHeight="1">
      <c r="A218" s="5" t="s">
        <v>17911</v>
      </c>
      <c r="B218" s="6" t="str">
        <f>IMAGE("https://storage.googleapis.com/acdb/socks/SocksTexNuancesocks6.png")</f>
        <v/>
      </c>
      <c r="C218" s="5" t="s">
        <v>2222</v>
      </c>
      <c r="D218" s="5" t="s">
        <v>36</v>
      </c>
      <c r="E218" s="6">
        <v>480.0</v>
      </c>
      <c r="F218" s="6">
        <v>120.0</v>
      </c>
      <c r="G218" s="5" t="s">
        <v>96</v>
      </c>
      <c r="H218" s="5" t="s">
        <v>96</v>
      </c>
      <c r="I218" s="6" t="s">
        <v>40</v>
      </c>
      <c r="J218" s="5" t="s">
        <v>8585</v>
      </c>
      <c r="K218" s="5" t="s">
        <v>8586</v>
      </c>
      <c r="L218" s="6" t="s">
        <v>42</v>
      </c>
      <c r="M218" s="5" t="s">
        <v>1059</v>
      </c>
      <c r="N218" s="5" t="s">
        <v>64</v>
      </c>
      <c r="O218" s="5" t="s">
        <v>17925</v>
      </c>
      <c r="P218" s="6">
        <v>10032.0</v>
      </c>
    </row>
    <row r="219" ht="56.25" customHeight="1">
      <c r="A219" s="5" t="s">
        <v>17911</v>
      </c>
      <c r="B219" s="6" t="str">
        <f>IMAGE("https://storage.googleapis.com/acdb/socks/SocksTexNuancesocks7.png")</f>
        <v/>
      </c>
      <c r="C219" s="5" t="s">
        <v>39</v>
      </c>
      <c r="D219" s="5" t="s">
        <v>36</v>
      </c>
      <c r="E219" s="6">
        <v>480.0</v>
      </c>
      <c r="F219" s="6">
        <v>120.0</v>
      </c>
      <c r="G219" s="5" t="s">
        <v>39</v>
      </c>
      <c r="H219" s="5" t="s">
        <v>39</v>
      </c>
      <c r="I219" s="6" t="s">
        <v>40</v>
      </c>
      <c r="J219" s="5" t="s">
        <v>8585</v>
      </c>
      <c r="K219" s="5" t="s">
        <v>8586</v>
      </c>
      <c r="L219" s="6" t="s">
        <v>42</v>
      </c>
      <c r="M219" s="5" t="s">
        <v>1059</v>
      </c>
      <c r="N219" s="5" t="s">
        <v>64</v>
      </c>
      <c r="O219" s="5" t="s">
        <v>17933</v>
      </c>
      <c r="P219" s="6">
        <v>10033.0</v>
      </c>
    </row>
    <row r="220" ht="56.25" customHeight="1">
      <c r="A220" s="5" t="s">
        <v>17911</v>
      </c>
      <c r="B220" s="6" t="str">
        <f>IMAGE("https://storage.googleapis.com/acdb/socks/SocksTexNuancesocks0.png")</f>
        <v/>
      </c>
      <c r="C220" s="5" t="s">
        <v>96</v>
      </c>
      <c r="D220" s="5" t="s">
        <v>36</v>
      </c>
      <c r="E220" s="6">
        <v>480.0</v>
      </c>
      <c r="F220" s="6">
        <v>120.0</v>
      </c>
      <c r="G220" s="5" t="s">
        <v>96</v>
      </c>
      <c r="H220" s="5" t="s">
        <v>96</v>
      </c>
      <c r="I220" s="6" t="s">
        <v>40</v>
      </c>
      <c r="J220" s="5" t="s">
        <v>8585</v>
      </c>
      <c r="K220" s="5" t="s">
        <v>8586</v>
      </c>
      <c r="L220" s="6" t="s">
        <v>42</v>
      </c>
      <c r="M220" s="5" t="s">
        <v>1059</v>
      </c>
      <c r="N220" s="5" t="s">
        <v>64</v>
      </c>
      <c r="O220" s="5" t="s">
        <v>17937</v>
      </c>
      <c r="P220" s="6">
        <v>9644.0</v>
      </c>
    </row>
    <row r="221" ht="56.25" customHeight="1">
      <c r="A221" s="5" t="s">
        <v>17911</v>
      </c>
      <c r="B221" s="6" t="str">
        <f>IMAGE("https://storage.googleapis.com/acdb/socks/SocksTexNuancesocks1.png")</f>
        <v/>
      </c>
      <c r="C221" s="5" t="s">
        <v>52</v>
      </c>
      <c r="D221" s="5" t="s">
        <v>36</v>
      </c>
      <c r="E221" s="6">
        <v>480.0</v>
      </c>
      <c r="F221" s="6">
        <v>120.0</v>
      </c>
      <c r="G221" s="5" t="s">
        <v>52</v>
      </c>
      <c r="H221" s="5" t="s">
        <v>52</v>
      </c>
      <c r="I221" s="6" t="s">
        <v>40</v>
      </c>
      <c r="J221" s="5" t="s">
        <v>8585</v>
      </c>
      <c r="K221" s="5" t="s">
        <v>8586</v>
      </c>
      <c r="L221" s="6" t="s">
        <v>42</v>
      </c>
      <c r="M221" s="5" t="s">
        <v>1059</v>
      </c>
      <c r="N221" s="5" t="s">
        <v>64</v>
      </c>
      <c r="O221" s="5" t="s">
        <v>17941</v>
      </c>
      <c r="P221" s="6">
        <v>10027.0</v>
      </c>
    </row>
    <row r="222" ht="56.25" customHeight="1">
      <c r="A222" s="5" t="s">
        <v>17911</v>
      </c>
      <c r="B222" s="6" t="str">
        <f>IMAGE("https://storage.googleapis.com/acdb/socks/SocksTexNuancesocks2.png")</f>
        <v/>
      </c>
      <c r="C222" s="5" t="s">
        <v>68</v>
      </c>
      <c r="D222" s="5" t="s">
        <v>36</v>
      </c>
      <c r="E222" s="6">
        <v>480.0</v>
      </c>
      <c r="F222" s="6">
        <v>120.0</v>
      </c>
      <c r="G222" s="5" t="s">
        <v>68</v>
      </c>
      <c r="H222" s="5" t="s">
        <v>68</v>
      </c>
      <c r="I222" s="6" t="s">
        <v>40</v>
      </c>
      <c r="J222" s="5" t="s">
        <v>8585</v>
      </c>
      <c r="K222" s="5" t="s">
        <v>8586</v>
      </c>
      <c r="L222" s="6" t="s">
        <v>42</v>
      </c>
      <c r="M222" s="5" t="s">
        <v>1059</v>
      </c>
      <c r="N222" s="5" t="s">
        <v>64</v>
      </c>
      <c r="O222" s="5" t="s">
        <v>17946</v>
      </c>
      <c r="P222" s="6">
        <v>10028.0</v>
      </c>
    </row>
    <row r="223" ht="56.25" customHeight="1">
      <c r="A223" s="5" t="s">
        <v>17911</v>
      </c>
      <c r="B223" s="6" t="str">
        <f>IMAGE("https://storage.googleapis.com/acdb/socks/SocksTexNuancesocks3.png")</f>
        <v/>
      </c>
      <c r="C223" s="5" t="s">
        <v>1187</v>
      </c>
      <c r="D223" s="5" t="s">
        <v>36</v>
      </c>
      <c r="E223" s="6">
        <v>480.0</v>
      </c>
      <c r="F223" s="6">
        <v>120.0</v>
      </c>
      <c r="G223" s="5" t="s">
        <v>106</v>
      </c>
      <c r="H223" s="5" t="s">
        <v>106</v>
      </c>
      <c r="I223" s="6" t="s">
        <v>40</v>
      </c>
      <c r="J223" s="5" t="s">
        <v>8585</v>
      </c>
      <c r="K223" s="5" t="s">
        <v>8586</v>
      </c>
      <c r="L223" s="6" t="s">
        <v>42</v>
      </c>
      <c r="M223" s="5" t="s">
        <v>1059</v>
      </c>
      <c r="N223" s="5" t="s">
        <v>64</v>
      </c>
      <c r="O223" s="5" t="s">
        <v>17951</v>
      </c>
      <c r="P223" s="6">
        <v>10029.0</v>
      </c>
    </row>
    <row r="224" ht="56.25" customHeight="1">
      <c r="A224" s="5" t="s">
        <v>17952</v>
      </c>
      <c r="B224" s="6" t="str">
        <f>IMAGE("https://storage.googleapis.com/acdb/socks/SocksTexNuancetights6.png")</f>
        <v/>
      </c>
      <c r="C224" s="5" t="s">
        <v>52</v>
      </c>
      <c r="D224" s="5" t="s">
        <v>36</v>
      </c>
      <c r="E224" s="6">
        <v>720.0</v>
      </c>
      <c r="F224" s="6">
        <v>180.0</v>
      </c>
      <c r="G224" s="5" t="s">
        <v>52</v>
      </c>
      <c r="H224" s="5" t="s">
        <v>52</v>
      </c>
      <c r="I224" s="6" t="s">
        <v>40</v>
      </c>
      <c r="J224" s="5" t="s">
        <v>8585</v>
      </c>
      <c r="K224" s="5" t="s">
        <v>8586</v>
      </c>
      <c r="L224" s="6" t="s">
        <v>42</v>
      </c>
      <c r="M224" s="5" t="s">
        <v>1059</v>
      </c>
      <c r="N224" s="5" t="s">
        <v>64</v>
      </c>
      <c r="O224" s="5" t="s">
        <v>17954</v>
      </c>
      <c r="P224" s="6">
        <v>9680.0</v>
      </c>
    </row>
    <row r="225" ht="56.25" customHeight="1">
      <c r="A225" s="5" t="s">
        <v>17952</v>
      </c>
      <c r="B225" s="6" t="str">
        <f>IMAGE("https://storage.googleapis.com/acdb/socks/SocksTexNuancetights7.png")</f>
        <v/>
      </c>
      <c r="C225" s="5" t="s">
        <v>10398</v>
      </c>
      <c r="D225" s="5" t="s">
        <v>36</v>
      </c>
      <c r="E225" s="6">
        <v>720.0</v>
      </c>
      <c r="F225" s="6">
        <v>180.0</v>
      </c>
      <c r="G225" s="5" t="s">
        <v>96</v>
      </c>
      <c r="H225" s="5" t="s">
        <v>96</v>
      </c>
      <c r="I225" s="6" t="s">
        <v>40</v>
      </c>
      <c r="J225" s="5" t="s">
        <v>8585</v>
      </c>
      <c r="K225" s="5" t="s">
        <v>8586</v>
      </c>
      <c r="L225" s="6" t="s">
        <v>42</v>
      </c>
      <c r="M225" s="5" t="s">
        <v>1059</v>
      </c>
      <c r="N225" s="5" t="s">
        <v>64</v>
      </c>
      <c r="O225" s="5" t="s">
        <v>17958</v>
      </c>
      <c r="P225" s="6">
        <v>9681.0</v>
      </c>
    </row>
    <row r="226" ht="56.25" customHeight="1">
      <c r="A226" s="5" t="s">
        <v>17952</v>
      </c>
      <c r="B226" s="6" t="str">
        <f>IMAGE("https://storage.googleapis.com/acdb/socks/SocksTexNuancetights1.png")</f>
        <v/>
      </c>
      <c r="C226" s="5" t="s">
        <v>114</v>
      </c>
      <c r="D226" s="5" t="s">
        <v>36</v>
      </c>
      <c r="E226" s="6">
        <v>720.0</v>
      </c>
      <c r="F226" s="6">
        <v>180.0</v>
      </c>
      <c r="G226" s="5" t="s">
        <v>114</v>
      </c>
      <c r="H226" s="5" t="s">
        <v>114</v>
      </c>
      <c r="I226" s="6" t="s">
        <v>40</v>
      </c>
      <c r="J226" s="5" t="s">
        <v>8585</v>
      </c>
      <c r="K226" s="5" t="s">
        <v>8586</v>
      </c>
      <c r="L226" s="6" t="s">
        <v>42</v>
      </c>
      <c r="M226" s="5" t="s">
        <v>1059</v>
      </c>
      <c r="N226" s="5" t="s">
        <v>64</v>
      </c>
      <c r="O226" s="5" t="s">
        <v>17962</v>
      </c>
      <c r="P226" s="6">
        <v>9675.0</v>
      </c>
    </row>
    <row r="227" ht="56.25" customHeight="1">
      <c r="A227" s="5" t="s">
        <v>17952</v>
      </c>
      <c r="B227" s="6" t="str">
        <f>IMAGE("https://storage.googleapis.com/acdb/socks/SocksTexNuancetights2.png")</f>
        <v/>
      </c>
      <c r="C227" s="5" t="s">
        <v>96</v>
      </c>
      <c r="D227" s="5" t="s">
        <v>36</v>
      </c>
      <c r="E227" s="6">
        <v>720.0</v>
      </c>
      <c r="F227" s="6">
        <v>180.0</v>
      </c>
      <c r="G227" s="5" t="s">
        <v>96</v>
      </c>
      <c r="H227" s="5" t="s">
        <v>96</v>
      </c>
      <c r="I227" s="6" t="s">
        <v>40</v>
      </c>
      <c r="J227" s="5" t="s">
        <v>8585</v>
      </c>
      <c r="K227" s="5" t="s">
        <v>8586</v>
      </c>
      <c r="L227" s="6" t="s">
        <v>42</v>
      </c>
      <c r="M227" s="5" t="s">
        <v>1059</v>
      </c>
      <c r="N227" s="5" t="s">
        <v>64</v>
      </c>
      <c r="O227" s="5" t="s">
        <v>17965</v>
      </c>
      <c r="P227" s="6">
        <v>9676.0</v>
      </c>
    </row>
    <row r="228" ht="56.25" customHeight="1">
      <c r="A228" s="5" t="s">
        <v>17952</v>
      </c>
      <c r="B228" s="6" t="str">
        <f>IMAGE("https://storage.googleapis.com/acdb/socks/SocksTexNuancetights3.png")</f>
        <v/>
      </c>
      <c r="C228" s="5" t="s">
        <v>106</v>
      </c>
      <c r="D228" s="5" t="s">
        <v>36</v>
      </c>
      <c r="E228" s="6">
        <v>720.0</v>
      </c>
      <c r="F228" s="6">
        <v>180.0</v>
      </c>
      <c r="G228" s="5" t="s">
        <v>106</v>
      </c>
      <c r="H228" s="5" t="s">
        <v>106</v>
      </c>
      <c r="I228" s="6" t="s">
        <v>40</v>
      </c>
      <c r="J228" s="5" t="s">
        <v>8585</v>
      </c>
      <c r="K228" s="5" t="s">
        <v>8586</v>
      </c>
      <c r="L228" s="6" t="s">
        <v>42</v>
      </c>
      <c r="M228" s="5" t="s">
        <v>1059</v>
      </c>
      <c r="N228" s="5" t="s">
        <v>64</v>
      </c>
      <c r="O228" s="5" t="s">
        <v>17971</v>
      </c>
      <c r="P228" s="6">
        <v>9677.0</v>
      </c>
    </row>
    <row r="229" ht="56.25" customHeight="1">
      <c r="A229" s="5" t="s">
        <v>17952</v>
      </c>
      <c r="B229" s="6" t="str">
        <f>IMAGE("https://storage.googleapis.com/acdb/socks/SocksTexNuancetights4.png")</f>
        <v/>
      </c>
      <c r="C229" s="5" t="s">
        <v>68</v>
      </c>
      <c r="D229" s="5" t="s">
        <v>36</v>
      </c>
      <c r="E229" s="6">
        <v>720.0</v>
      </c>
      <c r="F229" s="6">
        <v>180.0</v>
      </c>
      <c r="G229" s="5" t="s">
        <v>68</v>
      </c>
      <c r="H229" s="5" t="s">
        <v>68</v>
      </c>
      <c r="I229" s="6" t="s">
        <v>40</v>
      </c>
      <c r="J229" s="5" t="s">
        <v>8585</v>
      </c>
      <c r="K229" s="5" t="s">
        <v>8586</v>
      </c>
      <c r="L229" s="6" t="s">
        <v>42</v>
      </c>
      <c r="M229" s="5" t="s">
        <v>1059</v>
      </c>
      <c r="N229" s="5" t="s">
        <v>64</v>
      </c>
      <c r="O229" s="5" t="s">
        <v>17974</v>
      </c>
      <c r="P229" s="6">
        <v>9678.0</v>
      </c>
    </row>
    <row r="230" ht="56.25" customHeight="1">
      <c r="A230" s="5" t="s">
        <v>17952</v>
      </c>
      <c r="B230" s="6" t="str">
        <f>IMAGE("https://storage.googleapis.com/acdb/socks/SocksTexNuancetights5.png")</f>
        <v/>
      </c>
      <c r="C230" s="5" t="s">
        <v>69</v>
      </c>
      <c r="D230" s="5" t="s">
        <v>36</v>
      </c>
      <c r="E230" s="6">
        <v>720.0</v>
      </c>
      <c r="F230" s="6">
        <v>180.0</v>
      </c>
      <c r="G230" s="5" t="s">
        <v>69</v>
      </c>
      <c r="H230" s="5" t="s">
        <v>69</v>
      </c>
      <c r="I230" s="6" t="s">
        <v>40</v>
      </c>
      <c r="J230" s="5" t="s">
        <v>8585</v>
      </c>
      <c r="K230" s="5" t="s">
        <v>8586</v>
      </c>
      <c r="L230" s="6" t="s">
        <v>42</v>
      </c>
      <c r="M230" s="5" t="s">
        <v>1059</v>
      </c>
      <c r="N230" s="5" t="s">
        <v>64</v>
      </c>
      <c r="O230" s="5" t="s">
        <v>17978</v>
      </c>
      <c r="P230" s="6">
        <v>9679.0</v>
      </c>
    </row>
    <row r="231" ht="56.25" customHeight="1">
      <c r="A231" s="5" t="s">
        <v>17952</v>
      </c>
      <c r="B231" s="6" t="str">
        <f>IMAGE("https://storage.googleapis.com/acdb/socks/SocksTexNuancetights0.png")</f>
        <v/>
      </c>
      <c r="C231" s="5" t="s">
        <v>39</v>
      </c>
      <c r="D231" s="5" t="s">
        <v>36</v>
      </c>
      <c r="E231" s="6">
        <v>720.0</v>
      </c>
      <c r="F231" s="6">
        <v>180.0</v>
      </c>
      <c r="G231" s="5" t="s">
        <v>142</v>
      </c>
      <c r="H231" s="5" t="s">
        <v>142</v>
      </c>
      <c r="I231" s="6" t="s">
        <v>40</v>
      </c>
      <c r="J231" s="5" t="s">
        <v>8585</v>
      </c>
      <c r="K231" s="5" t="s">
        <v>8586</v>
      </c>
      <c r="L231" s="6" t="s">
        <v>42</v>
      </c>
      <c r="M231" s="5" t="s">
        <v>1059</v>
      </c>
      <c r="N231" s="5" t="s">
        <v>64</v>
      </c>
      <c r="O231" s="5" t="s">
        <v>17981</v>
      </c>
      <c r="P231" s="6">
        <v>9580.0</v>
      </c>
    </row>
    <row r="232" ht="56.25" customHeight="1">
      <c r="A232" s="5" t="s">
        <v>17982</v>
      </c>
      <c r="B232" s="6" t="str">
        <f>IMAGE("https://storage.googleapis.com/acdb/socks/SocksTexSequins0.png")</f>
        <v/>
      </c>
      <c r="C232" s="5" t="s">
        <v>69</v>
      </c>
      <c r="D232" s="5" t="s">
        <v>36</v>
      </c>
      <c r="E232" s="6">
        <v>940.0</v>
      </c>
      <c r="F232" s="6">
        <v>235.0</v>
      </c>
      <c r="G232" s="5" t="s">
        <v>69</v>
      </c>
      <c r="H232" s="5" t="s">
        <v>69</v>
      </c>
      <c r="I232" s="6" t="s">
        <v>40</v>
      </c>
      <c r="J232" s="5" t="s">
        <v>17203</v>
      </c>
      <c r="K232" s="5"/>
      <c r="L232" s="6" t="s">
        <v>42</v>
      </c>
      <c r="M232" s="5" t="s">
        <v>612</v>
      </c>
      <c r="N232" s="5" t="s">
        <v>64</v>
      </c>
      <c r="O232" s="5" t="s">
        <v>17987</v>
      </c>
      <c r="P232" s="6">
        <v>4743.0</v>
      </c>
    </row>
    <row r="233" ht="56.25" customHeight="1">
      <c r="A233" s="5" t="s">
        <v>17982</v>
      </c>
      <c r="B233" s="6" t="str">
        <f>IMAGE("https://storage.googleapis.com/acdb/socks/SocksTexSequins1.png")</f>
        <v/>
      </c>
      <c r="C233" s="5" t="s">
        <v>52</v>
      </c>
      <c r="D233" s="5" t="s">
        <v>36</v>
      </c>
      <c r="E233" s="6">
        <v>940.0</v>
      </c>
      <c r="F233" s="6">
        <v>235.0</v>
      </c>
      <c r="G233" s="5" t="s">
        <v>52</v>
      </c>
      <c r="H233" s="5" t="s">
        <v>52</v>
      </c>
      <c r="I233" s="6" t="s">
        <v>40</v>
      </c>
      <c r="J233" s="5" t="s">
        <v>17203</v>
      </c>
      <c r="K233" s="5"/>
      <c r="L233" s="6" t="s">
        <v>42</v>
      </c>
      <c r="M233" s="5" t="s">
        <v>612</v>
      </c>
      <c r="N233" s="5" t="s">
        <v>64</v>
      </c>
      <c r="O233" s="5" t="s">
        <v>17990</v>
      </c>
      <c r="P233" s="6">
        <v>11580.0</v>
      </c>
    </row>
    <row r="234" ht="56.25" customHeight="1">
      <c r="A234" s="5" t="s">
        <v>17982</v>
      </c>
      <c r="B234" s="6" t="str">
        <f>IMAGE("https://storage.googleapis.com/acdb/socks/SocksTexSequins2.png")</f>
        <v/>
      </c>
      <c r="C234" s="5" t="s">
        <v>54</v>
      </c>
      <c r="D234" s="5" t="s">
        <v>36</v>
      </c>
      <c r="E234" s="6">
        <v>940.0</v>
      </c>
      <c r="F234" s="6">
        <v>235.0</v>
      </c>
      <c r="G234" s="5" t="s">
        <v>54</v>
      </c>
      <c r="H234" s="5" t="s">
        <v>54</v>
      </c>
      <c r="I234" s="6" t="s">
        <v>40</v>
      </c>
      <c r="J234" s="5" t="s">
        <v>17203</v>
      </c>
      <c r="K234" s="5"/>
      <c r="L234" s="6" t="s">
        <v>42</v>
      </c>
      <c r="M234" s="5" t="s">
        <v>612</v>
      </c>
      <c r="N234" s="5" t="s">
        <v>64</v>
      </c>
      <c r="O234" s="5" t="s">
        <v>17992</v>
      </c>
      <c r="P234" s="6">
        <v>11581.0</v>
      </c>
    </row>
    <row r="235" ht="56.25" customHeight="1">
      <c r="A235" s="5" t="s">
        <v>17982</v>
      </c>
      <c r="B235" s="6" t="str">
        <f>IMAGE("https://storage.googleapis.com/acdb/socks/SocksTexSequins3.png")</f>
        <v/>
      </c>
      <c r="C235" s="5" t="s">
        <v>114</v>
      </c>
      <c r="D235" s="5" t="s">
        <v>36</v>
      </c>
      <c r="E235" s="6">
        <v>940.0</v>
      </c>
      <c r="F235" s="6">
        <v>235.0</v>
      </c>
      <c r="G235" s="5" t="s">
        <v>114</v>
      </c>
      <c r="H235" s="5" t="s">
        <v>114</v>
      </c>
      <c r="I235" s="6" t="s">
        <v>40</v>
      </c>
      <c r="J235" s="5" t="s">
        <v>17203</v>
      </c>
      <c r="K235" s="5"/>
      <c r="L235" s="6" t="s">
        <v>42</v>
      </c>
      <c r="M235" s="5" t="s">
        <v>612</v>
      </c>
      <c r="N235" s="5" t="s">
        <v>64</v>
      </c>
      <c r="O235" s="5" t="s">
        <v>17995</v>
      </c>
      <c r="P235" s="6">
        <v>11582.0</v>
      </c>
    </row>
    <row r="236" ht="56.25" customHeight="1">
      <c r="A236" s="5" t="s">
        <v>17982</v>
      </c>
      <c r="B236" s="6" t="str">
        <f>IMAGE("https://storage.googleapis.com/acdb/socks/SocksTexSequins4.png")</f>
        <v/>
      </c>
      <c r="C236" s="5" t="s">
        <v>57</v>
      </c>
      <c r="D236" s="5" t="s">
        <v>36</v>
      </c>
      <c r="E236" s="6">
        <v>940.0</v>
      </c>
      <c r="F236" s="6">
        <v>235.0</v>
      </c>
      <c r="G236" s="5" t="s">
        <v>57</v>
      </c>
      <c r="H236" s="5" t="s">
        <v>57</v>
      </c>
      <c r="I236" s="6" t="s">
        <v>40</v>
      </c>
      <c r="J236" s="5" t="s">
        <v>17203</v>
      </c>
      <c r="K236" s="5"/>
      <c r="L236" s="6" t="s">
        <v>42</v>
      </c>
      <c r="M236" s="5" t="s">
        <v>612</v>
      </c>
      <c r="N236" s="5" t="s">
        <v>64</v>
      </c>
      <c r="O236" s="5" t="s">
        <v>17997</v>
      </c>
      <c r="P236" s="6">
        <v>11583.0</v>
      </c>
    </row>
    <row r="237" ht="56.25" customHeight="1">
      <c r="A237" s="5" t="s">
        <v>17982</v>
      </c>
      <c r="B237" s="6" t="str">
        <f>IMAGE("https://storage.googleapis.com/acdb/socks/SocksTexSequins5.png")</f>
        <v/>
      </c>
      <c r="C237" s="5" t="s">
        <v>68</v>
      </c>
      <c r="D237" s="5" t="s">
        <v>36</v>
      </c>
      <c r="E237" s="6">
        <v>940.0</v>
      </c>
      <c r="F237" s="6">
        <v>235.0</v>
      </c>
      <c r="G237" s="5" t="s">
        <v>68</v>
      </c>
      <c r="H237" s="5" t="s">
        <v>68</v>
      </c>
      <c r="I237" s="6" t="s">
        <v>40</v>
      </c>
      <c r="J237" s="5" t="s">
        <v>17203</v>
      </c>
      <c r="K237" s="5"/>
      <c r="L237" s="6" t="s">
        <v>42</v>
      </c>
      <c r="M237" s="5" t="s">
        <v>612</v>
      </c>
      <c r="N237" s="5" t="s">
        <v>64</v>
      </c>
      <c r="O237" s="5" t="s">
        <v>17999</v>
      </c>
      <c r="P237" s="6">
        <v>11584.0</v>
      </c>
    </row>
    <row r="238" ht="56.25" customHeight="1">
      <c r="A238" s="5" t="s">
        <v>17982</v>
      </c>
      <c r="B238" s="6" t="str">
        <f>IMAGE("https://storage.googleapis.com/acdb/socks/SocksTexSequins6.png")</f>
        <v/>
      </c>
      <c r="C238" s="5" t="s">
        <v>106</v>
      </c>
      <c r="D238" s="5" t="s">
        <v>36</v>
      </c>
      <c r="E238" s="6">
        <v>940.0</v>
      </c>
      <c r="F238" s="6">
        <v>235.0</v>
      </c>
      <c r="G238" s="5" t="s">
        <v>106</v>
      </c>
      <c r="H238" s="5" t="s">
        <v>106</v>
      </c>
      <c r="I238" s="6" t="s">
        <v>40</v>
      </c>
      <c r="J238" s="5" t="s">
        <v>17203</v>
      </c>
      <c r="K238" s="5"/>
      <c r="L238" s="6" t="s">
        <v>42</v>
      </c>
      <c r="M238" s="5" t="s">
        <v>612</v>
      </c>
      <c r="N238" s="5" t="s">
        <v>64</v>
      </c>
      <c r="O238" s="5" t="s">
        <v>18002</v>
      </c>
      <c r="P238" s="6">
        <v>11585.0</v>
      </c>
    </row>
    <row r="239" ht="56.25" customHeight="1">
      <c r="A239" s="5" t="s">
        <v>17982</v>
      </c>
      <c r="B239" s="6" t="str">
        <f>IMAGE("https://storage.googleapis.com/acdb/socks/SocksTexSequins7.png")</f>
        <v/>
      </c>
      <c r="C239" s="5" t="s">
        <v>96</v>
      </c>
      <c r="D239" s="5" t="s">
        <v>36</v>
      </c>
      <c r="E239" s="6">
        <v>940.0</v>
      </c>
      <c r="F239" s="6">
        <v>235.0</v>
      </c>
      <c r="G239" s="5" t="s">
        <v>96</v>
      </c>
      <c r="H239" s="5" t="s">
        <v>96</v>
      </c>
      <c r="I239" s="6" t="s">
        <v>40</v>
      </c>
      <c r="J239" s="5" t="s">
        <v>17203</v>
      </c>
      <c r="K239" s="5"/>
      <c r="L239" s="6" t="s">
        <v>42</v>
      </c>
      <c r="M239" s="5" t="s">
        <v>612</v>
      </c>
      <c r="N239" s="5" t="s">
        <v>64</v>
      </c>
      <c r="O239" s="5" t="s">
        <v>18004</v>
      </c>
      <c r="P239" s="6">
        <v>11586.0</v>
      </c>
    </row>
    <row r="240" ht="56.25" customHeight="1">
      <c r="A240" s="5" t="s">
        <v>18005</v>
      </c>
      <c r="B240" s="6" t="str">
        <f>IMAGE("https://storage.googleapis.com/acdb/socks/SocksTexSeethrough3.png")</f>
        <v/>
      </c>
      <c r="C240" s="5" t="s">
        <v>96</v>
      </c>
      <c r="D240" s="5" t="s">
        <v>36</v>
      </c>
      <c r="E240" s="6">
        <v>600.0</v>
      </c>
      <c r="F240" s="6">
        <v>150.0</v>
      </c>
      <c r="G240" s="5" t="s">
        <v>96</v>
      </c>
      <c r="H240" s="5" t="s">
        <v>96</v>
      </c>
      <c r="I240" s="6" t="s">
        <v>40</v>
      </c>
      <c r="J240" s="5" t="s">
        <v>17203</v>
      </c>
      <c r="K240" s="5"/>
      <c r="L240" s="6" t="s">
        <v>42</v>
      </c>
      <c r="M240" s="5" t="s">
        <v>1059</v>
      </c>
      <c r="N240" s="5" t="s">
        <v>64</v>
      </c>
      <c r="O240" s="5" t="s">
        <v>18009</v>
      </c>
      <c r="P240" s="6">
        <v>9930.0</v>
      </c>
    </row>
    <row r="241" ht="56.25" customHeight="1">
      <c r="A241" s="5" t="s">
        <v>18005</v>
      </c>
      <c r="B241" s="6" t="str">
        <f>IMAGE("https://storage.googleapis.com/acdb/socks/SocksTexSeethrough4.png")</f>
        <v/>
      </c>
      <c r="C241" s="5" t="s">
        <v>10757</v>
      </c>
      <c r="D241" s="5" t="s">
        <v>36</v>
      </c>
      <c r="E241" s="6">
        <v>600.0</v>
      </c>
      <c r="F241" s="6">
        <v>150.0</v>
      </c>
      <c r="G241" s="5" t="s">
        <v>96</v>
      </c>
      <c r="H241" s="5" t="s">
        <v>96</v>
      </c>
      <c r="I241" s="6" t="s">
        <v>40</v>
      </c>
      <c r="J241" s="5" t="s">
        <v>17203</v>
      </c>
      <c r="K241" s="5"/>
      <c r="L241" s="6" t="s">
        <v>42</v>
      </c>
      <c r="M241" s="5" t="s">
        <v>1059</v>
      </c>
      <c r="N241" s="5" t="s">
        <v>64</v>
      </c>
      <c r="O241" s="5" t="s">
        <v>18011</v>
      </c>
      <c r="P241" s="6">
        <v>9931.0</v>
      </c>
    </row>
    <row r="242" ht="56.25" customHeight="1">
      <c r="A242" s="5" t="s">
        <v>18005</v>
      </c>
      <c r="B242" s="6" t="str">
        <f>IMAGE("https://storage.googleapis.com/acdb/socks/SocksTexSeethrough5.png")</f>
        <v/>
      </c>
      <c r="C242" s="5" t="s">
        <v>95</v>
      </c>
      <c r="D242" s="5" t="s">
        <v>36</v>
      </c>
      <c r="E242" s="6">
        <v>600.0</v>
      </c>
      <c r="F242" s="6">
        <v>150.0</v>
      </c>
      <c r="G242" s="5" t="s">
        <v>95</v>
      </c>
      <c r="H242" s="5" t="s">
        <v>95</v>
      </c>
      <c r="I242" s="6" t="s">
        <v>40</v>
      </c>
      <c r="J242" s="5" t="s">
        <v>17203</v>
      </c>
      <c r="K242" s="5"/>
      <c r="L242" s="6" t="s">
        <v>42</v>
      </c>
      <c r="M242" s="5" t="s">
        <v>1059</v>
      </c>
      <c r="N242" s="5" t="s">
        <v>64</v>
      </c>
      <c r="O242" s="5" t="s">
        <v>18013</v>
      </c>
      <c r="P242" s="6">
        <v>9932.0</v>
      </c>
    </row>
    <row r="243" ht="56.25" customHeight="1">
      <c r="A243" s="5" t="s">
        <v>18005</v>
      </c>
      <c r="B243" s="6" t="str">
        <f>IMAGE("https://storage.googleapis.com/acdb/socks/SocksTexSeethrough0.png")</f>
        <v/>
      </c>
      <c r="C243" s="5" t="s">
        <v>68</v>
      </c>
      <c r="D243" s="5" t="s">
        <v>36</v>
      </c>
      <c r="E243" s="6">
        <v>600.0</v>
      </c>
      <c r="F243" s="6">
        <v>150.0</v>
      </c>
      <c r="G243" s="5" t="s">
        <v>68</v>
      </c>
      <c r="H243" s="5" t="s">
        <v>68</v>
      </c>
      <c r="I243" s="6" t="s">
        <v>40</v>
      </c>
      <c r="J243" s="5" t="s">
        <v>17203</v>
      </c>
      <c r="K243" s="5"/>
      <c r="L243" s="6" t="s">
        <v>42</v>
      </c>
      <c r="M243" s="5" t="s">
        <v>1059</v>
      </c>
      <c r="N243" s="5" t="s">
        <v>64</v>
      </c>
      <c r="O243" s="5" t="s">
        <v>18017</v>
      </c>
      <c r="P243" s="6">
        <v>5812.0</v>
      </c>
    </row>
    <row r="244" ht="56.25" customHeight="1">
      <c r="A244" s="5" t="s">
        <v>18005</v>
      </c>
      <c r="B244" s="6" t="str">
        <f>IMAGE("https://storage.googleapis.com/acdb/socks/SocksTexSeethrough1.png")</f>
        <v/>
      </c>
      <c r="C244" s="5" t="s">
        <v>4883</v>
      </c>
      <c r="D244" s="5" t="s">
        <v>36</v>
      </c>
      <c r="E244" s="6">
        <v>600.0</v>
      </c>
      <c r="F244" s="6">
        <v>150.0</v>
      </c>
      <c r="G244" s="5" t="s">
        <v>52</v>
      </c>
      <c r="H244" s="5" t="s">
        <v>52</v>
      </c>
      <c r="I244" s="6" t="s">
        <v>40</v>
      </c>
      <c r="J244" s="5" t="s">
        <v>17203</v>
      </c>
      <c r="K244" s="5"/>
      <c r="L244" s="6" t="s">
        <v>42</v>
      </c>
      <c r="M244" s="5" t="s">
        <v>1059</v>
      </c>
      <c r="N244" s="5" t="s">
        <v>64</v>
      </c>
      <c r="O244" s="5" t="s">
        <v>18020</v>
      </c>
      <c r="P244" s="6">
        <v>9928.0</v>
      </c>
    </row>
    <row r="245" ht="56.25" customHeight="1">
      <c r="A245" s="5" t="s">
        <v>18005</v>
      </c>
      <c r="B245" s="6" t="str">
        <f>IMAGE("https://storage.googleapis.com/acdb/socks/SocksTexSeethrough2.png")</f>
        <v/>
      </c>
      <c r="C245" s="5" t="s">
        <v>39</v>
      </c>
      <c r="D245" s="5" t="s">
        <v>36</v>
      </c>
      <c r="E245" s="6">
        <v>600.0</v>
      </c>
      <c r="F245" s="6">
        <v>150.0</v>
      </c>
      <c r="G245" s="5" t="s">
        <v>39</v>
      </c>
      <c r="H245" s="5" t="s">
        <v>39</v>
      </c>
      <c r="I245" s="6" t="s">
        <v>40</v>
      </c>
      <c r="J245" s="5" t="s">
        <v>17203</v>
      </c>
      <c r="K245" s="5"/>
      <c r="L245" s="6" t="s">
        <v>42</v>
      </c>
      <c r="M245" s="5" t="s">
        <v>1059</v>
      </c>
      <c r="N245" s="5" t="s">
        <v>64</v>
      </c>
      <c r="O245" s="5" t="s">
        <v>18021</v>
      </c>
      <c r="P245" s="6">
        <v>9929.0</v>
      </c>
    </row>
    <row r="246" ht="56.25" customHeight="1">
      <c r="A246" s="5" t="s">
        <v>18022</v>
      </c>
      <c r="B246" s="6" t="str">
        <f>IMAGE("https://storage.googleapis.com/acdb/socks/SocksTexSimpleknee1.png")</f>
        <v/>
      </c>
      <c r="C246" s="5" t="s">
        <v>57</v>
      </c>
      <c r="D246" s="5" t="s">
        <v>36</v>
      </c>
      <c r="E246" s="6">
        <v>600.0</v>
      </c>
      <c r="F246" s="6">
        <v>150.0</v>
      </c>
      <c r="G246" s="5" t="s">
        <v>57</v>
      </c>
      <c r="H246" s="5" t="s">
        <v>57</v>
      </c>
      <c r="I246" s="6" t="s">
        <v>40</v>
      </c>
      <c r="J246" s="5" t="s">
        <v>17203</v>
      </c>
      <c r="K246" s="5"/>
      <c r="L246" s="6" t="s">
        <v>42</v>
      </c>
      <c r="M246" s="5" t="s">
        <v>1959</v>
      </c>
      <c r="N246" s="5" t="s">
        <v>64</v>
      </c>
      <c r="O246" s="5" t="s">
        <v>18025</v>
      </c>
      <c r="P246" s="6">
        <v>12182.0</v>
      </c>
    </row>
    <row r="247" ht="56.25" customHeight="1">
      <c r="A247" s="5" t="s">
        <v>18022</v>
      </c>
      <c r="B247" s="6" t="str">
        <f>IMAGE("https://storage.googleapis.com/acdb/socks/SocksTexSimpleknee2.png")</f>
        <v/>
      </c>
      <c r="C247" s="5" t="s">
        <v>52</v>
      </c>
      <c r="D247" s="5" t="s">
        <v>36</v>
      </c>
      <c r="E247" s="6">
        <v>600.0</v>
      </c>
      <c r="F247" s="6">
        <v>150.0</v>
      </c>
      <c r="G247" s="5" t="s">
        <v>52</v>
      </c>
      <c r="H247" s="5" t="s">
        <v>52</v>
      </c>
      <c r="I247" s="6" t="s">
        <v>40</v>
      </c>
      <c r="J247" s="5" t="s">
        <v>17203</v>
      </c>
      <c r="K247" s="5"/>
      <c r="L247" s="6" t="s">
        <v>42</v>
      </c>
      <c r="M247" s="5" t="s">
        <v>1959</v>
      </c>
      <c r="N247" s="5" t="s">
        <v>64</v>
      </c>
      <c r="O247" s="5" t="s">
        <v>18028</v>
      </c>
      <c r="P247" s="6">
        <v>12183.0</v>
      </c>
    </row>
    <row r="248" ht="56.25" customHeight="1">
      <c r="A248" s="5" t="s">
        <v>18022</v>
      </c>
      <c r="B248" s="6" t="str">
        <f>IMAGE("https://storage.googleapis.com/acdb/socks/SocksTexSimpleknee3.png")</f>
        <v/>
      </c>
      <c r="C248" s="5" t="s">
        <v>68</v>
      </c>
      <c r="D248" s="5" t="s">
        <v>36</v>
      </c>
      <c r="E248" s="6">
        <v>600.0</v>
      </c>
      <c r="F248" s="6">
        <v>150.0</v>
      </c>
      <c r="G248" s="5" t="s">
        <v>83</v>
      </c>
      <c r="H248" s="5" t="s">
        <v>83</v>
      </c>
      <c r="I248" s="6" t="s">
        <v>40</v>
      </c>
      <c r="J248" s="5" t="s">
        <v>17203</v>
      </c>
      <c r="K248" s="5"/>
      <c r="L248" s="6" t="s">
        <v>42</v>
      </c>
      <c r="M248" s="5" t="s">
        <v>1959</v>
      </c>
      <c r="N248" s="5" t="s">
        <v>64</v>
      </c>
      <c r="O248" s="5" t="s">
        <v>18030</v>
      </c>
      <c r="P248" s="6">
        <v>12184.0</v>
      </c>
    </row>
    <row r="249" ht="56.25" customHeight="1">
      <c r="A249" s="5" t="s">
        <v>18022</v>
      </c>
      <c r="B249" s="6" t="str">
        <f>IMAGE("https://storage.googleapis.com/acdb/socks/SocksTexSimpleknee0.png")</f>
        <v/>
      </c>
      <c r="C249" s="5" t="s">
        <v>69</v>
      </c>
      <c r="D249" s="5" t="s">
        <v>36</v>
      </c>
      <c r="E249" s="6">
        <v>600.0</v>
      </c>
      <c r="F249" s="6">
        <v>150.0</v>
      </c>
      <c r="G249" s="5" t="s">
        <v>69</v>
      </c>
      <c r="H249" s="5" t="s">
        <v>69</v>
      </c>
      <c r="I249" s="6" t="s">
        <v>40</v>
      </c>
      <c r="J249" s="5" t="s">
        <v>17203</v>
      </c>
      <c r="K249" s="5"/>
      <c r="L249" s="6" t="s">
        <v>42</v>
      </c>
      <c r="M249" s="5" t="s">
        <v>1959</v>
      </c>
      <c r="N249" s="5" t="s">
        <v>64</v>
      </c>
      <c r="O249" s="5" t="s">
        <v>18034</v>
      </c>
      <c r="P249" s="6">
        <v>12175.0</v>
      </c>
    </row>
    <row r="250" ht="56.25" customHeight="1">
      <c r="A250" s="5" t="s">
        <v>18035</v>
      </c>
      <c r="B250" s="6" t="str">
        <f>IMAGE("https://storage.googleapis.com/acdb/socks/SocksTexOnepoint1.png")</f>
        <v/>
      </c>
      <c r="C250" s="5" t="s">
        <v>54</v>
      </c>
      <c r="D250" s="5" t="s">
        <v>36</v>
      </c>
      <c r="E250" s="6">
        <v>720.0</v>
      </c>
      <c r="F250" s="6">
        <v>180.0</v>
      </c>
      <c r="G250" s="5" t="s">
        <v>54</v>
      </c>
      <c r="H250" s="5" t="s">
        <v>57</v>
      </c>
      <c r="I250" s="6" t="s">
        <v>40</v>
      </c>
      <c r="J250" s="5" t="s">
        <v>8585</v>
      </c>
      <c r="K250" s="5" t="s">
        <v>8632</v>
      </c>
      <c r="L250" s="6" t="s">
        <v>42</v>
      </c>
      <c r="M250" s="5" t="s">
        <v>995</v>
      </c>
      <c r="N250" s="5" t="s">
        <v>64</v>
      </c>
      <c r="O250" s="5" t="s">
        <v>18037</v>
      </c>
      <c r="P250" s="6">
        <v>9082.0</v>
      </c>
    </row>
    <row r="251" ht="56.25" customHeight="1">
      <c r="A251" s="5" t="s">
        <v>18035</v>
      </c>
      <c r="B251" s="6" t="str">
        <f>IMAGE("https://storage.googleapis.com/acdb/socks/SocksTexOnepoint2.png")</f>
        <v/>
      </c>
      <c r="C251" s="5" t="s">
        <v>57</v>
      </c>
      <c r="D251" s="5" t="s">
        <v>36</v>
      </c>
      <c r="E251" s="6">
        <v>720.0</v>
      </c>
      <c r="F251" s="6">
        <v>180.0</v>
      </c>
      <c r="G251" s="5" t="s">
        <v>57</v>
      </c>
      <c r="H251" s="5" t="s">
        <v>54</v>
      </c>
      <c r="I251" s="6" t="s">
        <v>40</v>
      </c>
      <c r="J251" s="5" t="s">
        <v>8585</v>
      </c>
      <c r="K251" s="5" t="s">
        <v>8632</v>
      </c>
      <c r="L251" s="6" t="s">
        <v>42</v>
      </c>
      <c r="M251" s="5" t="s">
        <v>995</v>
      </c>
      <c r="N251" s="5" t="s">
        <v>64</v>
      </c>
      <c r="O251" s="5" t="s">
        <v>18039</v>
      </c>
      <c r="P251" s="6">
        <v>9083.0</v>
      </c>
    </row>
    <row r="252" ht="56.25" customHeight="1">
      <c r="A252" s="5" t="s">
        <v>18035</v>
      </c>
      <c r="B252" s="6" t="str">
        <f>IMAGE("https://storage.googleapis.com/acdb/socks/SocksTexOnepoint3.png")</f>
        <v/>
      </c>
      <c r="C252" s="5" t="s">
        <v>95</v>
      </c>
      <c r="D252" s="5" t="s">
        <v>36</v>
      </c>
      <c r="E252" s="6">
        <v>720.0</v>
      </c>
      <c r="F252" s="6">
        <v>180.0</v>
      </c>
      <c r="G252" s="5" t="s">
        <v>95</v>
      </c>
      <c r="H252" s="5" t="s">
        <v>83</v>
      </c>
      <c r="I252" s="6" t="s">
        <v>40</v>
      </c>
      <c r="J252" s="5" t="s">
        <v>8585</v>
      </c>
      <c r="K252" s="5" t="s">
        <v>8632</v>
      </c>
      <c r="L252" s="6" t="s">
        <v>42</v>
      </c>
      <c r="M252" s="5" t="s">
        <v>995</v>
      </c>
      <c r="N252" s="5" t="s">
        <v>64</v>
      </c>
      <c r="O252" s="5" t="s">
        <v>18041</v>
      </c>
      <c r="P252" s="6">
        <v>9084.0</v>
      </c>
    </row>
    <row r="253" ht="56.25" customHeight="1">
      <c r="A253" s="5" t="s">
        <v>18035</v>
      </c>
      <c r="B253" s="6" t="str">
        <f>IMAGE("https://storage.googleapis.com/acdb/socks/SocksTexOnepoint4.png")</f>
        <v/>
      </c>
      <c r="C253" s="5" t="s">
        <v>68</v>
      </c>
      <c r="D253" s="5" t="s">
        <v>36</v>
      </c>
      <c r="E253" s="6">
        <v>720.0</v>
      </c>
      <c r="F253" s="6">
        <v>180.0</v>
      </c>
      <c r="G253" s="5" t="s">
        <v>68</v>
      </c>
      <c r="H253" s="5" t="s">
        <v>83</v>
      </c>
      <c r="I253" s="6" t="s">
        <v>40</v>
      </c>
      <c r="J253" s="5" t="s">
        <v>8585</v>
      </c>
      <c r="K253" s="5" t="s">
        <v>8632</v>
      </c>
      <c r="L253" s="6" t="s">
        <v>42</v>
      </c>
      <c r="M253" s="5" t="s">
        <v>995</v>
      </c>
      <c r="N253" s="5" t="s">
        <v>64</v>
      </c>
      <c r="O253" s="5" t="s">
        <v>18045</v>
      </c>
      <c r="P253" s="6">
        <v>9085.0</v>
      </c>
    </row>
    <row r="254" ht="56.25" customHeight="1">
      <c r="A254" s="5" t="s">
        <v>18035</v>
      </c>
      <c r="B254" s="6" t="str">
        <f>IMAGE("https://storage.googleapis.com/acdb/socks/SocksTexOnepoint5.png")</f>
        <v/>
      </c>
      <c r="C254" s="5" t="s">
        <v>142</v>
      </c>
      <c r="D254" s="5" t="s">
        <v>36</v>
      </c>
      <c r="E254" s="6">
        <v>720.0</v>
      </c>
      <c r="F254" s="6">
        <v>180.0</v>
      </c>
      <c r="G254" s="5" t="s">
        <v>142</v>
      </c>
      <c r="H254" s="5" t="s">
        <v>114</v>
      </c>
      <c r="I254" s="6" t="s">
        <v>40</v>
      </c>
      <c r="J254" s="5" t="s">
        <v>8585</v>
      </c>
      <c r="K254" s="5" t="s">
        <v>8632</v>
      </c>
      <c r="L254" s="6" t="s">
        <v>42</v>
      </c>
      <c r="M254" s="5" t="s">
        <v>995</v>
      </c>
      <c r="N254" s="5" t="s">
        <v>64</v>
      </c>
      <c r="O254" s="5" t="s">
        <v>18047</v>
      </c>
      <c r="P254" s="6">
        <v>9086.0</v>
      </c>
    </row>
    <row r="255" ht="56.25" customHeight="1">
      <c r="A255" s="5" t="s">
        <v>18035</v>
      </c>
      <c r="B255" s="6" t="str">
        <f>IMAGE("https://storage.googleapis.com/acdb/socks/SocksTexOnepoint6.png")</f>
        <v/>
      </c>
      <c r="C255" s="5" t="s">
        <v>52</v>
      </c>
      <c r="D255" s="5" t="s">
        <v>36</v>
      </c>
      <c r="E255" s="6">
        <v>720.0</v>
      </c>
      <c r="F255" s="6">
        <v>180.0</v>
      </c>
      <c r="G255" s="5" t="s">
        <v>52</v>
      </c>
      <c r="H255" s="5" t="s">
        <v>54</v>
      </c>
      <c r="I255" s="6" t="s">
        <v>40</v>
      </c>
      <c r="J255" s="5" t="s">
        <v>8585</v>
      </c>
      <c r="K255" s="5" t="s">
        <v>8632</v>
      </c>
      <c r="L255" s="6" t="s">
        <v>42</v>
      </c>
      <c r="M255" s="5" t="s">
        <v>995</v>
      </c>
      <c r="N255" s="5" t="s">
        <v>64</v>
      </c>
      <c r="O255" s="5" t="s">
        <v>18049</v>
      </c>
      <c r="P255" s="6">
        <v>9087.0</v>
      </c>
    </row>
    <row r="256" ht="56.25" customHeight="1">
      <c r="A256" s="5" t="s">
        <v>18035</v>
      </c>
      <c r="B256" s="6" t="str">
        <f>IMAGE("https://storage.googleapis.com/acdb/socks/SocksTexOnepoint7.png")</f>
        <v/>
      </c>
      <c r="C256" s="5" t="s">
        <v>69</v>
      </c>
      <c r="D256" s="5" t="s">
        <v>36</v>
      </c>
      <c r="E256" s="6">
        <v>720.0</v>
      </c>
      <c r="F256" s="6">
        <v>180.0</v>
      </c>
      <c r="G256" s="5" t="s">
        <v>69</v>
      </c>
      <c r="H256" s="5" t="s">
        <v>57</v>
      </c>
      <c r="I256" s="6" t="s">
        <v>40</v>
      </c>
      <c r="J256" s="5" t="s">
        <v>8585</v>
      </c>
      <c r="K256" s="5" t="s">
        <v>8632</v>
      </c>
      <c r="L256" s="6" t="s">
        <v>42</v>
      </c>
      <c r="M256" s="5" t="s">
        <v>995</v>
      </c>
      <c r="N256" s="5" t="s">
        <v>64</v>
      </c>
      <c r="O256" s="5" t="s">
        <v>18053</v>
      </c>
      <c r="P256" s="6">
        <v>9088.0</v>
      </c>
    </row>
    <row r="257" ht="56.25" customHeight="1">
      <c r="A257" s="5" t="s">
        <v>18035</v>
      </c>
      <c r="B257" s="6" t="str">
        <f>IMAGE("https://storage.googleapis.com/acdb/socks/SocksTexOnepoint0.png")</f>
        <v/>
      </c>
      <c r="C257" s="5" t="s">
        <v>1187</v>
      </c>
      <c r="D257" s="5" t="s">
        <v>36</v>
      </c>
      <c r="E257" s="6">
        <v>720.0</v>
      </c>
      <c r="F257" s="6">
        <v>180.0</v>
      </c>
      <c r="G257" s="5" t="s">
        <v>68</v>
      </c>
      <c r="H257" s="5" t="s">
        <v>52</v>
      </c>
      <c r="I257" s="6" t="s">
        <v>40</v>
      </c>
      <c r="J257" s="5" t="s">
        <v>8585</v>
      </c>
      <c r="K257" s="5" t="s">
        <v>8632</v>
      </c>
      <c r="L257" s="6" t="s">
        <v>42</v>
      </c>
      <c r="M257" s="5" t="s">
        <v>995</v>
      </c>
      <c r="N257" s="5" t="s">
        <v>64</v>
      </c>
      <c r="O257" s="5" t="s">
        <v>18056</v>
      </c>
      <c r="P257" s="6">
        <v>5200.0</v>
      </c>
    </row>
    <row r="258" ht="56.25" customHeight="1">
      <c r="A258" s="5" t="s">
        <v>18057</v>
      </c>
      <c r="B258" s="6" t="str">
        <f>IMAGE("https://storage.googleapis.com/acdb/socks/SocksTexFootball1.png")</f>
        <v/>
      </c>
      <c r="C258" s="5" t="s">
        <v>52</v>
      </c>
      <c r="D258" s="5" t="s">
        <v>36</v>
      </c>
      <c r="E258" s="6">
        <v>800.0</v>
      </c>
      <c r="F258" s="6">
        <v>200.0</v>
      </c>
      <c r="G258" s="5" t="s">
        <v>52</v>
      </c>
      <c r="H258" s="5" t="s">
        <v>57</v>
      </c>
      <c r="I258" s="6" t="s">
        <v>40</v>
      </c>
      <c r="J258" s="5" t="s">
        <v>17203</v>
      </c>
      <c r="K258" s="5"/>
      <c r="L258" s="6" t="s">
        <v>42</v>
      </c>
      <c r="M258" s="5" t="s">
        <v>8746</v>
      </c>
      <c r="N258" s="5" t="s">
        <v>64</v>
      </c>
      <c r="O258" s="5" t="s">
        <v>18059</v>
      </c>
      <c r="P258" s="6">
        <v>9973.0</v>
      </c>
    </row>
    <row r="259" ht="56.25" customHeight="1">
      <c r="A259" s="5" t="s">
        <v>18057</v>
      </c>
      <c r="B259" s="6" t="str">
        <f>IMAGE("https://storage.googleapis.com/acdb/socks/SocksTexFootball2.png")</f>
        <v/>
      </c>
      <c r="C259" s="5" t="s">
        <v>96</v>
      </c>
      <c r="D259" s="5" t="s">
        <v>36</v>
      </c>
      <c r="E259" s="6">
        <v>800.0</v>
      </c>
      <c r="F259" s="6">
        <v>200.0</v>
      </c>
      <c r="G259" s="5" t="s">
        <v>96</v>
      </c>
      <c r="H259" s="5" t="s">
        <v>57</v>
      </c>
      <c r="I259" s="6" t="s">
        <v>40</v>
      </c>
      <c r="J259" s="5" t="s">
        <v>17203</v>
      </c>
      <c r="K259" s="5"/>
      <c r="L259" s="6" t="s">
        <v>42</v>
      </c>
      <c r="M259" s="5" t="s">
        <v>8746</v>
      </c>
      <c r="N259" s="5" t="s">
        <v>64</v>
      </c>
      <c r="O259" s="5" t="s">
        <v>18062</v>
      </c>
      <c r="P259" s="6">
        <v>9974.0</v>
      </c>
    </row>
    <row r="260" ht="56.25" customHeight="1">
      <c r="A260" s="5" t="s">
        <v>18057</v>
      </c>
      <c r="B260" s="6" t="str">
        <f>IMAGE("https://storage.googleapis.com/acdb/socks/SocksTexFootball3.png")</f>
        <v/>
      </c>
      <c r="C260" s="5" t="s">
        <v>83</v>
      </c>
      <c r="D260" s="5" t="s">
        <v>36</v>
      </c>
      <c r="E260" s="6">
        <v>800.0</v>
      </c>
      <c r="F260" s="6">
        <v>200.0</v>
      </c>
      <c r="G260" s="5" t="s">
        <v>83</v>
      </c>
      <c r="H260" s="5" t="s">
        <v>57</v>
      </c>
      <c r="I260" s="6" t="s">
        <v>40</v>
      </c>
      <c r="J260" s="5" t="s">
        <v>17203</v>
      </c>
      <c r="K260" s="5"/>
      <c r="L260" s="6" t="s">
        <v>42</v>
      </c>
      <c r="M260" s="5" t="s">
        <v>8746</v>
      </c>
      <c r="N260" s="5" t="s">
        <v>64</v>
      </c>
      <c r="O260" s="5" t="s">
        <v>18065</v>
      </c>
      <c r="P260" s="6">
        <v>9975.0</v>
      </c>
    </row>
    <row r="261" ht="56.25" customHeight="1">
      <c r="A261" s="5" t="s">
        <v>18057</v>
      </c>
      <c r="B261" s="6" t="str">
        <f>IMAGE("https://storage.googleapis.com/acdb/socks/SocksTexFootball4.png")</f>
        <v/>
      </c>
      <c r="C261" s="5" t="s">
        <v>54</v>
      </c>
      <c r="D261" s="5" t="s">
        <v>36</v>
      </c>
      <c r="E261" s="6">
        <v>800.0</v>
      </c>
      <c r="F261" s="6">
        <v>200.0</v>
      </c>
      <c r="G261" s="5" t="s">
        <v>54</v>
      </c>
      <c r="H261" s="5" t="s">
        <v>57</v>
      </c>
      <c r="I261" s="6" t="s">
        <v>40</v>
      </c>
      <c r="J261" s="5" t="s">
        <v>17203</v>
      </c>
      <c r="K261" s="5"/>
      <c r="L261" s="6" t="s">
        <v>42</v>
      </c>
      <c r="M261" s="5" t="s">
        <v>8746</v>
      </c>
      <c r="N261" s="5" t="s">
        <v>64</v>
      </c>
      <c r="O261" s="5" t="s">
        <v>18068</v>
      </c>
      <c r="P261" s="6">
        <v>9976.0</v>
      </c>
    </row>
    <row r="262" ht="56.25" customHeight="1">
      <c r="A262" s="5" t="s">
        <v>18057</v>
      </c>
      <c r="B262" s="6" t="str">
        <f>IMAGE("https://storage.googleapis.com/acdb/socks/SocksTexFootball5.png")</f>
        <v/>
      </c>
      <c r="C262" s="5" t="s">
        <v>142</v>
      </c>
      <c r="D262" s="5" t="s">
        <v>36</v>
      </c>
      <c r="E262" s="6">
        <v>800.0</v>
      </c>
      <c r="F262" s="6">
        <v>200.0</v>
      </c>
      <c r="G262" s="5" t="s">
        <v>142</v>
      </c>
      <c r="H262" s="5" t="s">
        <v>57</v>
      </c>
      <c r="I262" s="6" t="s">
        <v>40</v>
      </c>
      <c r="J262" s="5" t="s">
        <v>17203</v>
      </c>
      <c r="K262" s="5"/>
      <c r="L262" s="6" t="s">
        <v>42</v>
      </c>
      <c r="M262" s="5" t="s">
        <v>8746</v>
      </c>
      <c r="N262" s="5" t="s">
        <v>64</v>
      </c>
      <c r="O262" s="5" t="s">
        <v>18071</v>
      </c>
      <c r="P262" s="6">
        <v>9977.0</v>
      </c>
    </row>
    <row r="263" ht="56.25" customHeight="1">
      <c r="A263" s="5" t="s">
        <v>18057</v>
      </c>
      <c r="B263" s="6" t="str">
        <f>IMAGE("https://storage.googleapis.com/acdb/socks/SocksTexFootball6.png")</f>
        <v/>
      </c>
      <c r="C263" s="5" t="s">
        <v>57</v>
      </c>
      <c r="D263" s="5" t="s">
        <v>36</v>
      </c>
      <c r="E263" s="6">
        <v>800.0</v>
      </c>
      <c r="F263" s="6">
        <v>200.0</v>
      </c>
      <c r="G263" s="5" t="s">
        <v>57</v>
      </c>
      <c r="H263" s="5" t="s">
        <v>54</v>
      </c>
      <c r="I263" s="6" t="s">
        <v>40</v>
      </c>
      <c r="J263" s="5" t="s">
        <v>17203</v>
      </c>
      <c r="K263" s="5"/>
      <c r="L263" s="6" t="s">
        <v>42</v>
      </c>
      <c r="M263" s="5" t="s">
        <v>8746</v>
      </c>
      <c r="N263" s="5" t="s">
        <v>64</v>
      </c>
      <c r="O263" s="5" t="s">
        <v>18073</v>
      </c>
      <c r="P263" s="6">
        <v>9978.0</v>
      </c>
    </row>
    <row r="264" ht="56.25" customHeight="1">
      <c r="A264" s="5" t="s">
        <v>18057</v>
      </c>
      <c r="B264" s="6" t="str">
        <f>IMAGE("https://storage.googleapis.com/acdb/socks/SocksTexFootball0.png")</f>
        <v/>
      </c>
      <c r="C264" s="5" t="s">
        <v>68</v>
      </c>
      <c r="D264" s="5" t="s">
        <v>36</v>
      </c>
      <c r="E264" s="6">
        <v>800.0</v>
      </c>
      <c r="F264" s="6">
        <v>200.0</v>
      </c>
      <c r="G264" s="5" t="s">
        <v>68</v>
      </c>
      <c r="H264" s="5" t="s">
        <v>57</v>
      </c>
      <c r="I264" s="6" t="s">
        <v>40</v>
      </c>
      <c r="J264" s="5" t="s">
        <v>17203</v>
      </c>
      <c r="K264" s="5"/>
      <c r="L264" s="6" t="s">
        <v>42</v>
      </c>
      <c r="M264" s="5" t="s">
        <v>8746</v>
      </c>
      <c r="N264" s="5" t="s">
        <v>64</v>
      </c>
      <c r="O264" s="5" t="s">
        <v>18077</v>
      </c>
      <c r="P264" s="6">
        <v>5177.0</v>
      </c>
    </row>
    <row r="265" ht="56.25" customHeight="1">
      <c r="A265" s="5" t="s">
        <v>18078</v>
      </c>
      <c r="B265" s="6" t="str">
        <f>IMAGE("https://storage.googleapis.com/acdb/socks/SocksTexSpider0.png")</f>
        <v/>
      </c>
      <c r="C265" s="5" t="s">
        <v>54</v>
      </c>
      <c r="D265" s="5" t="s">
        <v>36</v>
      </c>
      <c r="E265" s="6">
        <v>720.0</v>
      </c>
      <c r="F265" s="6">
        <v>180.0</v>
      </c>
      <c r="G265" s="5" t="s">
        <v>54</v>
      </c>
      <c r="H265" s="5" t="s">
        <v>54</v>
      </c>
      <c r="I265" s="6" t="s">
        <v>40</v>
      </c>
      <c r="J265" s="5" t="s">
        <v>17203</v>
      </c>
      <c r="K265" s="5"/>
      <c r="L265" s="6" t="s">
        <v>42</v>
      </c>
      <c r="M265" s="5" t="s">
        <v>1952</v>
      </c>
      <c r="N265" s="5" t="s">
        <v>64</v>
      </c>
      <c r="O265" s="5" t="s">
        <v>18079</v>
      </c>
      <c r="P265" s="6">
        <v>5203.0</v>
      </c>
    </row>
    <row r="266" ht="56.25" customHeight="1">
      <c r="A266" s="5" t="s">
        <v>18078</v>
      </c>
      <c r="B266" s="6" t="str">
        <f>IMAGE("https://storage.googleapis.com/acdb/socks/SocksTexSpider1.png")</f>
        <v/>
      </c>
      <c r="C266" s="5" t="s">
        <v>57</v>
      </c>
      <c r="D266" s="5" t="s">
        <v>36</v>
      </c>
      <c r="E266" s="6">
        <v>720.0</v>
      </c>
      <c r="F266" s="6">
        <v>180.0</v>
      </c>
      <c r="G266" s="5" t="s">
        <v>57</v>
      </c>
      <c r="H266" s="5" t="s">
        <v>57</v>
      </c>
      <c r="I266" s="6" t="s">
        <v>40</v>
      </c>
      <c r="J266" s="5" t="s">
        <v>17203</v>
      </c>
      <c r="K266" s="5"/>
      <c r="L266" s="6" t="s">
        <v>42</v>
      </c>
      <c r="M266" s="5" t="s">
        <v>1952</v>
      </c>
      <c r="N266" s="5" t="s">
        <v>64</v>
      </c>
      <c r="O266" s="5" t="s">
        <v>18082</v>
      </c>
      <c r="P266" s="6">
        <v>9671.0</v>
      </c>
    </row>
    <row r="267" ht="56.25" customHeight="1">
      <c r="A267" s="5" t="s">
        <v>18078</v>
      </c>
      <c r="B267" s="6" t="str">
        <f>IMAGE("https://storage.googleapis.com/acdb/socks/SocksTexSpider2.png")</f>
        <v/>
      </c>
      <c r="C267" s="5" t="s">
        <v>142</v>
      </c>
      <c r="D267" s="5" t="s">
        <v>36</v>
      </c>
      <c r="E267" s="6">
        <v>720.0</v>
      </c>
      <c r="F267" s="6">
        <v>180.0</v>
      </c>
      <c r="G267" s="5" t="s">
        <v>142</v>
      </c>
      <c r="H267" s="5" t="s">
        <v>142</v>
      </c>
      <c r="I267" s="6" t="s">
        <v>40</v>
      </c>
      <c r="J267" s="5" t="s">
        <v>17203</v>
      </c>
      <c r="K267" s="5"/>
      <c r="L267" s="6" t="s">
        <v>42</v>
      </c>
      <c r="M267" s="5" t="s">
        <v>1952</v>
      </c>
      <c r="N267" s="5" t="s">
        <v>64</v>
      </c>
      <c r="O267" s="5" t="s">
        <v>18087</v>
      </c>
      <c r="P267" s="6">
        <v>9672.0</v>
      </c>
    </row>
    <row r="268" ht="56.25" customHeight="1">
      <c r="A268" s="5" t="s">
        <v>18078</v>
      </c>
      <c r="B268" s="6" t="str">
        <f>IMAGE("https://storage.googleapis.com/acdb/socks/SocksTexSpider3.png")</f>
        <v/>
      </c>
      <c r="C268" s="5" t="s">
        <v>106</v>
      </c>
      <c r="D268" s="5" t="s">
        <v>36</v>
      </c>
      <c r="E268" s="6">
        <v>720.0</v>
      </c>
      <c r="F268" s="6">
        <v>180.0</v>
      </c>
      <c r="G268" s="5" t="s">
        <v>106</v>
      </c>
      <c r="H268" s="5" t="s">
        <v>106</v>
      </c>
      <c r="I268" s="6" t="s">
        <v>40</v>
      </c>
      <c r="J268" s="5" t="s">
        <v>17203</v>
      </c>
      <c r="K268" s="5"/>
      <c r="L268" s="6" t="s">
        <v>42</v>
      </c>
      <c r="M268" s="5" t="s">
        <v>1952</v>
      </c>
      <c r="N268" s="5" t="s">
        <v>64</v>
      </c>
      <c r="O268" s="5" t="s">
        <v>18090</v>
      </c>
      <c r="P268" s="6">
        <v>9673.0</v>
      </c>
    </row>
    <row r="269" ht="56.25" customHeight="1">
      <c r="A269" s="5" t="s">
        <v>18092</v>
      </c>
      <c r="B269" s="6" t="str">
        <f>IMAGE("https://storage.googleapis.com/acdb/socks/SocksTexTights1.png")</f>
        <v/>
      </c>
      <c r="C269" s="5" t="s">
        <v>95</v>
      </c>
      <c r="D269" s="5" t="s">
        <v>36</v>
      </c>
      <c r="E269" s="6">
        <v>480.0</v>
      </c>
      <c r="F269" s="6">
        <v>120.0</v>
      </c>
      <c r="G269" s="5" t="s">
        <v>95</v>
      </c>
      <c r="H269" s="5" t="s">
        <v>95</v>
      </c>
      <c r="I269" s="6" t="s">
        <v>40</v>
      </c>
      <c r="J269" s="5" t="s">
        <v>8585</v>
      </c>
      <c r="K269" s="5" t="s">
        <v>8632</v>
      </c>
      <c r="L269" s="6" t="s">
        <v>42</v>
      </c>
      <c r="M269" s="5" t="s">
        <v>995</v>
      </c>
      <c r="N269" s="5" t="s">
        <v>64</v>
      </c>
      <c r="O269" s="5" t="s">
        <v>18097</v>
      </c>
      <c r="P269" s="6">
        <v>9655.0</v>
      </c>
    </row>
    <row r="270" ht="56.25" customHeight="1">
      <c r="A270" s="5" t="s">
        <v>18092</v>
      </c>
      <c r="B270" s="6" t="str">
        <f>IMAGE("https://storage.googleapis.com/acdb/socks/SocksTexTights2.png")</f>
        <v/>
      </c>
      <c r="C270" s="5" t="s">
        <v>57</v>
      </c>
      <c r="D270" s="5" t="s">
        <v>36</v>
      </c>
      <c r="E270" s="6">
        <v>480.0</v>
      </c>
      <c r="F270" s="6">
        <v>120.0</v>
      </c>
      <c r="G270" s="5" t="s">
        <v>57</v>
      </c>
      <c r="H270" s="5" t="s">
        <v>57</v>
      </c>
      <c r="I270" s="6" t="s">
        <v>40</v>
      </c>
      <c r="J270" s="5" t="s">
        <v>8585</v>
      </c>
      <c r="K270" s="5" t="s">
        <v>8632</v>
      </c>
      <c r="L270" s="6" t="s">
        <v>42</v>
      </c>
      <c r="M270" s="5" t="s">
        <v>995</v>
      </c>
      <c r="N270" s="5" t="s">
        <v>64</v>
      </c>
      <c r="O270" s="5" t="s">
        <v>18101</v>
      </c>
      <c r="P270" s="6">
        <v>9656.0</v>
      </c>
    </row>
    <row r="271" ht="56.25" customHeight="1">
      <c r="A271" s="5" t="s">
        <v>18092</v>
      </c>
      <c r="B271" s="6" t="str">
        <f>IMAGE("https://storage.googleapis.com/acdb/socks/SocksTexTights3.png")</f>
        <v/>
      </c>
      <c r="C271" s="5" t="s">
        <v>39</v>
      </c>
      <c r="D271" s="5" t="s">
        <v>36</v>
      </c>
      <c r="E271" s="6">
        <v>480.0</v>
      </c>
      <c r="F271" s="6">
        <v>120.0</v>
      </c>
      <c r="G271" s="5" t="s">
        <v>39</v>
      </c>
      <c r="H271" s="5" t="s">
        <v>39</v>
      </c>
      <c r="I271" s="6" t="s">
        <v>40</v>
      </c>
      <c r="J271" s="5" t="s">
        <v>8585</v>
      </c>
      <c r="K271" s="5" t="s">
        <v>8632</v>
      </c>
      <c r="L271" s="6" t="s">
        <v>42</v>
      </c>
      <c r="M271" s="5" t="s">
        <v>995</v>
      </c>
      <c r="N271" s="5" t="s">
        <v>64</v>
      </c>
      <c r="O271" s="5" t="s">
        <v>18106</v>
      </c>
      <c r="P271" s="6">
        <v>9657.0</v>
      </c>
    </row>
    <row r="272" ht="56.25" customHeight="1">
      <c r="A272" s="5" t="s">
        <v>18092</v>
      </c>
      <c r="B272" s="6" t="str">
        <f>IMAGE("https://storage.googleapis.com/acdb/socks/SocksTexTights4.png")</f>
        <v/>
      </c>
      <c r="C272" s="5" t="s">
        <v>38</v>
      </c>
      <c r="D272" s="5" t="s">
        <v>36</v>
      </c>
      <c r="E272" s="6">
        <v>480.0</v>
      </c>
      <c r="F272" s="6">
        <v>120.0</v>
      </c>
      <c r="G272" s="5" t="s">
        <v>38</v>
      </c>
      <c r="H272" s="5" t="s">
        <v>38</v>
      </c>
      <c r="I272" s="6" t="s">
        <v>40</v>
      </c>
      <c r="J272" s="5" t="s">
        <v>8585</v>
      </c>
      <c r="K272" s="5" t="s">
        <v>8632</v>
      </c>
      <c r="L272" s="6" t="s">
        <v>42</v>
      </c>
      <c r="M272" s="5" t="s">
        <v>995</v>
      </c>
      <c r="N272" s="5" t="s">
        <v>64</v>
      </c>
      <c r="O272" s="5" t="s">
        <v>18110</v>
      </c>
      <c r="P272" s="6">
        <v>9658.0</v>
      </c>
    </row>
    <row r="273" ht="56.25" customHeight="1">
      <c r="A273" s="5" t="s">
        <v>18092</v>
      </c>
      <c r="B273" s="6" t="str">
        <f>IMAGE("https://storage.googleapis.com/acdb/socks/SocksTexTights0.png")</f>
        <v/>
      </c>
      <c r="C273" s="5" t="s">
        <v>54</v>
      </c>
      <c r="D273" s="5" t="s">
        <v>36</v>
      </c>
      <c r="E273" s="6">
        <v>480.0</v>
      </c>
      <c r="F273" s="6">
        <v>120.0</v>
      </c>
      <c r="G273" s="5" t="s">
        <v>54</v>
      </c>
      <c r="H273" s="5" t="s">
        <v>54</v>
      </c>
      <c r="I273" s="6" t="s">
        <v>40</v>
      </c>
      <c r="J273" s="5" t="s">
        <v>8585</v>
      </c>
      <c r="K273" s="5" t="s">
        <v>8632</v>
      </c>
      <c r="L273" s="6" t="s">
        <v>42</v>
      </c>
      <c r="M273" s="5" t="s">
        <v>995</v>
      </c>
      <c r="N273" s="5" t="s">
        <v>64</v>
      </c>
      <c r="O273" s="5" t="s">
        <v>18113</v>
      </c>
      <c r="P273" s="6">
        <v>3095.0</v>
      </c>
    </row>
    <row r="274" ht="56.25" customHeight="1">
      <c r="A274" s="5" t="s">
        <v>18114</v>
      </c>
      <c r="B274" s="6" t="str">
        <f>IMAGE("https://storage.googleapis.com/acdb/socks/SocksTexLeggings0.png")</f>
        <v/>
      </c>
      <c r="C274" s="5" t="s">
        <v>1187</v>
      </c>
      <c r="D274" s="5" t="s">
        <v>36</v>
      </c>
      <c r="E274" s="6">
        <v>450.0</v>
      </c>
      <c r="F274" s="6">
        <v>112.0</v>
      </c>
      <c r="G274" s="5" t="s">
        <v>68</v>
      </c>
      <c r="H274" s="5" t="s">
        <v>68</v>
      </c>
      <c r="I274" s="6" t="s">
        <v>40</v>
      </c>
      <c r="J274" s="5" t="s">
        <v>8585</v>
      </c>
      <c r="K274" s="5" t="s">
        <v>8632</v>
      </c>
      <c r="L274" s="6" t="s">
        <v>42</v>
      </c>
      <c r="M274" s="5" t="s">
        <v>995</v>
      </c>
      <c r="N274" s="5" t="s">
        <v>64</v>
      </c>
      <c r="O274" s="5" t="s">
        <v>18118</v>
      </c>
      <c r="P274" s="6">
        <v>4744.0</v>
      </c>
    </row>
    <row r="275" ht="56.25" customHeight="1">
      <c r="A275" s="5" t="s">
        <v>18114</v>
      </c>
      <c r="B275" s="6" t="str">
        <f>IMAGE("https://storage.googleapis.com/acdb/socks/SocksTexLeggings5.png")</f>
        <v/>
      </c>
      <c r="C275" s="5" t="s">
        <v>39</v>
      </c>
      <c r="D275" s="5" t="s">
        <v>36</v>
      </c>
      <c r="E275" s="6">
        <v>450.0</v>
      </c>
      <c r="F275" s="6">
        <v>112.0</v>
      </c>
      <c r="G275" s="5" t="s">
        <v>39</v>
      </c>
      <c r="H275" s="5" t="s">
        <v>39</v>
      </c>
      <c r="I275" s="6" t="s">
        <v>40</v>
      </c>
      <c r="J275" s="5" t="s">
        <v>8585</v>
      </c>
      <c r="K275" s="5" t="s">
        <v>8632</v>
      </c>
      <c r="L275" s="6" t="s">
        <v>42</v>
      </c>
      <c r="M275" s="5" t="s">
        <v>995</v>
      </c>
      <c r="N275" s="5" t="s">
        <v>64</v>
      </c>
      <c r="O275" s="5" t="s">
        <v>18124</v>
      </c>
      <c r="P275" s="6">
        <v>9780.0</v>
      </c>
    </row>
    <row r="276" ht="56.25" customHeight="1">
      <c r="A276" s="5" t="s">
        <v>18114</v>
      </c>
      <c r="B276" s="6" t="str">
        <f>IMAGE("https://storage.googleapis.com/acdb/socks/SocksTexLeggings6.png")</f>
        <v/>
      </c>
      <c r="C276" s="5" t="s">
        <v>96</v>
      </c>
      <c r="D276" s="5" t="s">
        <v>36</v>
      </c>
      <c r="E276" s="6">
        <v>450.0</v>
      </c>
      <c r="F276" s="6">
        <v>112.0</v>
      </c>
      <c r="G276" s="5" t="s">
        <v>96</v>
      </c>
      <c r="H276" s="5" t="s">
        <v>96</v>
      </c>
      <c r="I276" s="6" t="s">
        <v>40</v>
      </c>
      <c r="J276" s="5" t="s">
        <v>8585</v>
      </c>
      <c r="K276" s="5" t="s">
        <v>8632</v>
      </c>
      <c r="L276" s="6" t="s">
        <v>42</v>
      </c>
      <c r="M276" s="5" t="s">
        <v>995</v>
      </c>
      <c r="N276" s="5" t="s">
        <v>64</v>
      </c>
      <c r="O276" s="5" t="s">
        <v>18128</v>
      </c>
      <c r="P276" s="6">
        <v>9781.0</v>
      </c>
    </row>
    <row r="277" ht="56.25" customHeight="1">
      <c r="A277" s="5" t="s">
        <v>18114</v>
      </c>
      <c r="B277" s="6" t="str">
        <f>IMAGE("https://storage.googleapis.com/acdb/socks/SocksTexLeggings1.png")</f>
        <v/>
      </c>
      <c r="C277" s="5" t="s">
        <v>95</v>
      </c>
      <c r="D277" s="5" t="s">
        <v>36</v>
      </c>
      <c r="E277" s="6">
        <v>450.0</v>
      </c>
      <c r="F277" s="6">
        <v>112.0</v>
      </c>
      <c r="G277" s="5" t="s">
        <v>95</v>
      </c>
      <c r="H277" s="5" t="s">
        <v>95</v>
      </c>
      <c r="I277" s="6" t="s">
        <v>40</v>
      </c>
      <c r="J277" s="5" t="s">
        <v>8585</v>
      </c>
      <c r="K277" s="5" t="s">
        <v>8632</v>
      </c>
      <c r="L277" s="6" t="s">
        <v>42</v>
      </c>
      <c r="M277" s="5" t="s">
        <v>995</v>
      </c>
      <c r="N277" s="5" t="s">
        <v>64</v>
      </c>
      <c r="O277" s="5" t="s">
        <v>18130</v>
      </c>
      <c r="P277" s="6">
        <v>9776.0</v>
      </c>
    </row>
    <row r="278" ht="56.25" customHeight="1">
      <c r="A278" s="5" t="s">
        <v>18114</v>
      </c>
      <c r="B278" s="6" t="str">
        <f>IMAGE("https://storage.googleapis.com/acdb/socks/SocksTexLeggings2.png")</f>
        <v/>
      </c>
      <c r="C278" s="5" t="s">
        <v>1943</v>
      </c>
      <c r="D278" s="5" t="s">
        <v>36</v>
      </c>
      <c r="E278" s="6">
        <v>450.0</v>
      </c>
      <c r="F278" s="6">
        <v>112.0</v>
      </c>
      <c r="G278" s="5" t="s">
        <v>95</v>
      </c>
      <c r="H278" s="5" t="s">
        <v>95</v>
      </c>
      <c r="I278" s="6" t="s">
        <v>40</v>
      </c>
      <c r="J278" s="5" t="s">
        <v>8585</v>
      </c>
      <c r="K278" s="5" t="s">
        <v>8632</v>
      </c>
      <c r="L278" s="6" t="s">
        <v>42</v>
      </c>
      <c r="M278" s="5" t="s">
        <v>995</v>
      </c>
      <c r="N278" s="5" t="s">
        <v>64</v>
      </c>
      <c r="O278" s="5" t="s">
        <v>18134</v>
      </c>
      <c r="P278" s="6">
        <v>9777.0</v>
      </c>
    </row>
    <row r="279" ht="56.25" customHeight="1">
      <c r="A279" s="5" t="s">
        <v>18114</v>
      </c>
      <c r="B279" s="6" t="str">
        <f>IMAGE("https://storage.googleapis.com/acdb/socks/SocksTexLeggings3.png")</f>
        <v/>
      </c>
      <c r="C279" s="5" t="s">
        <v>57</v>
      </c>
      <c r="D279" s="5" t="s">
        <v>36</v>
      </c>
      <c r="E279" s="6">
        <v>450.0</v>
      </c>
      <c r="F279" s="6">
        <v>112.0</v>
      </c>
      <c r="G279" s="5" t="s">
        <v>57</v>
      </c>
      <c r="H279" s="5" t="s">
        <v>57</v>
      </c>
      <c r="I279" s="6" t="s">
        <v>40</v>
      </c>
      <c r="J279" s="5" t="s">
        <v>8585</v>
      </c>
      <c r="K279" s="5" t="s">
        <v>8632</v>
      </c>
      <c r="L279" s="6" t="s">
        <v>42</v>
      </c>
      <c r="M279" s="5" t="s">
        <v>995</v>
      </c>
      <c r="N279" s="5" t="s">
        <v>64</v>
      </c>
      <c r="O279" s="5" t="s">
        <v>18140</v>
      </c>
      <c r="P279" s="6">
        <v>9778.0</v>
      </c>
    </row>
    <row r="280" ht="56.25" customHeight="1">
      <c r="A280" s="5" t="s">
        <v>18114</v>
      </c>
      <c r="B280" s="6" t="str">
        <f>IMAGE("https://storage.googleapis.com/acdb/socks/SocksTexLeggings4.png")</f>
        <v/>
      </c>
      <c r="C280" s="5" t="s">
        <v>54</v>
      </c>
      <c r="D280" s="5" t="s">
        <v>36</v>
      </c>
      <c r="E280" s="6">
        <v>450.0</v>
      </c>
      <c r="F280" s="6">
        <v>112.0</v>
      </c>
      <c r="G280" s="5" t="s">
        <v>54</v>
      </c>
      <c r="H280" s="5" t="s">
        <v>54</v>
      </c>
      <c r="I280" s="6" t="s">
        <v>40</v>
      </c>
      <c r="J280" s="5" t="s">
        <v>8585</v>
      </c>
      <c r="K280" s="5" t="s">
        <v>8632</v>
      </c>
      <c r="L280" s="6" t="s">
        <v>42</v>
      </c>
      <c r="M280" s="5" t="s">
        <v>995</v>
      </c>
      <c r="N280" s="5" t="s">
        <v>64</v>
      </c>
      <c r="O280" s="5" t="s">
        <v>18145</v>
      </c>
      <c r="P280" s="6">
        <v>9779.0</v>
      </c>
    </row>
    <row r="281" ht="56.25" customHeight="1">
      <c r="A281" s="5" t="s">
        <v>18148</v>
      </c>
      <c r="B281" s="6" t="str">
        <f>IMAGE("https://storage.googleapis.com/acdb/socks/SocksTexBorder6.png")</f>
        <v/>
      </c>
      <c r="C281" s="5" t="s">
        <v>106</v>
      </c>
      <c r="D281" s="5" t="s">
        <v>36</v>
      </c>
      <c r="E281" s="6">
        <v>600.0</v>
      </c>
      <c r="F281" s="6">
        <v>150.0</v>
      </c>
      <c r="G281" s="5" t="s">
        <v>106</v>
      </c>
      <c r="H281" s="5" t="s">
        <v>57</v>
      </c>
      <c r="I281" s="6" t="s">
        <v>40</v>
      </c>
      <c r="J281" s="5" t="s">
        <v>8585</v>
      </c>
      <c r="K281" s="5" t="s">
        <v>8632</v>
      </c>
      <c r="L281" s="6" t="s">
        <v>42</v>
      </c>
      <c r="M281" s="5" t="s">
        <v>995</v>
      </c>
      <c r="N281" s="5" t="s">
        <v>64</v>
      </c>
      <c r="O281" s="5" t="s">
        <v>18152</v>
      </c>
      <c r="P281" s="6">
        <v>10000.0</v>
      </c>
    </row>
    <row r="282" ht="56.25" customHeight="1">
      <c r="A282" s="5" t="s">
        <v>18148</v>
      </c>
      <c r="B282" s="6" t="str">
        <f>IMAGE("https://storage.googleapis.com/acdb/socks/SocksTexBorder7.png")</f>
        <v/>
      </c>
      <c r="C282" s="5" t="s">
        <v>68</v>
      </c>
      <c r="D282" s="5" t="s">
        <v>36</v>
      </c>
      <c r="E282" s="6">
        <v>600.0</v>
      </c>
      <c r="F282" s="6">
        <v>150.0</v>
      </c>
      <c r="G282" s="5" t="s">
        <v>68</v>
      </c>
      <c r="H282" s="5" t="s">
        <v>57</v>
      </c>
      <c r="I282" s="6" t="s">
        <v>40</v>
      </c>
      <c r="J282" s="5" t="s">
        <v>8585</v>
      </c>
      <c r="K282" s="5" t="s">
        <v>8632</v>
      </c>
      <c r="L282" s="6" t="s">
        <v>42</v>
      </c>
      <c r="M282" s="5" t="s">
        <v>995</v>
      </c>
      <c r="N282" s="5" t="s">
        <v>64</v>
      </c>
      <c r="O282" s="5" t="s">
        <v>18157</v>
      </c>
      <c r="P282" s="6">
        <v>10001.0</v>
      </c>
    </row>
    <row r="283" ht="56.25" customHeight="1">
      <c r="A283" s="5" t="s">
        <v>18148</v>
      </c>
      <c r="B283" s="6" t="str">
        <f>IMAGE("https://storage.googleapis.com/acdb/socks/SocksTexBorder2.png")</f>
        <v/>
      </c>
      <c r="C283" s="5" t="s">
        <v>96</v>
      </c>
      <c r="D283" s="5" t="s">
        <v>36</v>
      </c>
      <c r="E283" s="6">
        <v>600.0</v>
      </c>
      <c r="F283" s="6">
        <v>150.0</v>
      </c>
      <c r="G283" s="5" t="s">
        <v>96</v>
      </c>
      <c r="H283" s="5" t="s">
        <v>57</v>
      </c>
      <c r="I283" s="6" t="s">
        <v>40</v>
      </c>
      <c r="J283" s="5" t="s">
        <v>8585</v>
      </c>
      <c r="K283" s="5" t="s">
        <v>8632</v>
      </c>
      <c r="L283" s="6" t="s">
        <v>42</v>
      </c>
      <c r="M283" s="5" t="s">
        <v>995</v>
      </c>
      <c r="N283" s="5" t="s">
        <v>64</v>
      </c>
      <c r="O283" s="5" t="s">
        <v>18162</v>
      </c>
      <c r="P283" s="6">
        <v>9996.0</v>
      </c>
    </row>
    <row r="284" ht="56.25" customHeight="1">
      <c r="A284" s="5" t="s">
        <v>18148</v>
      </c>
      <c r="B284" s="6" t="str">
        <f>IMAGE("https://storage.googleapis.com/acdb/socks/SocksTexBorder1.png")</f>
        <v/>
      </c>
      <c r="C284" s="5" t="s">
        <v>83</v>
      </c>
      <c r="D284" s="5" t="s">
        <v>36</v>
      </c>
      <c r="E284" s="6">
        <v>600.0</v>
      </c>
      <c r="F284" s="6">
        <v>150.0</v>
      </c>
      <c r="G284" s="5" t="s">
        <v>83</v>
      </c>
      <c r="H284" s="5" t="s">
        <v>57</v>
      </c>
      <c r="I284" s="6" t="s">
        <v>40</v>
      </c>
      <c r="J284" s="5" t="s">
        <v>8585</v>
      </c>
      <c r="K284" s="5" t="s">
        <v>8632</v>
      </c>
      <c r="L284" s="6" t="s">
        <v>42</v>
      </c>
      <c r="M284" s="5" t="s">
        <v>995</v>
      </c>
      <c r="N284" s="5" t="s">
        <v>64</v>
      </c>
      <c r="O284" s="5" t="s">
        <v>18168</v>
      </c>
      <c r="P284" s="6">
        <v>6902.0</v>
      </c>
    </row>
    <row r="285" ht="56.25" customHeight="1">
      <c r="A285" s="5" t="s">
        <v>18148</v>
      </c>
      <c r="B285" s="6" t="str">
        <f>IMAGE("https://storage.googleapis.com/acdb/socks/SocksTexBorder3.png")</f>
        <v/>
      </c>
      <c r="C285" s="5" t="s">
        <v>114</v>
      </c>
      <c r="D285" s="5" t="s">
        <v>36</v>
      </c>
      <c r="E285" s="6">
        <v>600.0</v>
      </c>
      <c r="F285" s="6">
        <v>150.0</v>
      </c>
      <c r="G285" s="5" t="s">
        <v>114</v>
      </c>
      <c r="H285" s="5" t="s">
        <v>57</v>
      </c>
      <c r="I285" s="6" t="s">
        <v>40</v>
      </c>
      <c r="J285" s="5" t="s">
        <v>8585</v>
      </c>
      <c r="K285" s="5" t="s">
        <v>8632</v>
      </c>
      <c r="L285" s="6" t="s">
        <v>42</v>
      </c>
      <c r="M285" s="5" t="s">
        <v>995</v>
      </c>
      <c r="N285" s="5" t="s">
        <v>64</v>
      </c>
      <c r="O285" s="5" t="s">
        <v>18172</v>
      </c>
      <c r="P285" s="6">
        <v>9997.0</v>
      </c>
    </row>
    <row r="286" ht="56.25" customHeight="1">
      <c r="A286" s="5" t="s">
        <v>18148</v>
      </c>
      <c r="B286" s="6" t="str">
        <f>IMAGE("https://storage.googleapis.com/acdb/socks/SocksTexBorder4.png")</f>
        <v/>
      </c>
      <c r="C286" s="5" t="s">
        <v>142</v>
      </c>
      <c r="D286" s="5" t="s">
        <v>36</v>
      </c>
      <c r="E286" s="6">
        <v>600.0</v>
      </c>
      <c r="F286" s="6">
        <v>150.0</v>
      </c>
      <c r="G286" s="5" t="s">
        <v>142</v>
      </c>
      <c r="H286" s="5" t="s">
        <v>57</v>
      </c>
      <c r="I286" s="6" t="s">
        <v>40</v>
      </c>
      <c r="J286" s="5" t="s">
        <v>8585</v>
      </c>
      <c r="K286" s="5" t="s">
        <v>8632</v>
      </c>
      <c r="L286" s="6" t="s">
        <v>42</v>
      </c>
      <c r="M286" s="5" t="s">
        <v>995</v>
      </c>
      <c r="N286" s="5" t="s">
        <v>64</v>
      </c>
      <c r="O286" s="5" t="s">
        <v>18178</v>
      </c>
      <c r="P286" s="6">
        <v>9998.0</v>
      </c>
    </row>
    <row r="287" ht="56.25" customHeight="1">
      <c r="A287" s="5" t="s">
        <v>18148</v>
      </c>
      <c r="B287" s="6" t="str">
        <f>IMAGE("https://storage.googleapis.com/acdb/socks/SocksTexBorder5.png")</f>
        <v/>
      </c>
      <c r="C287" s="5" t="s">
        <v>52</v>
      </c>
      <c r="D287" s="5" t="s">
        <v>36</v>
      </c>
      <c r="E287" s="6">
        <v>600.0</v>
      </c>
      <c r="F287" s="6">
        <v>150.0</v>
      </c>
      <c r="G287" s="5" t="s">
        <v>52</v>
      </c>
      <c r="H287" s="5" t="s">
        <v>57</v>
      </c>
      <c r="I287" s="6" t="s">
        <v>40</v>
      </c>
      <c r="J287" s="5" t="s">
        <v>8585</v>
      </c>
      <c r="K287" s="5" t="s">
        <v>8632</v>
      </c>
      <c r="L287" s="6" t="s">
        <v>42</v>
      </c>
      <c r="M287" s="5" t="s">
        <v>995</v>
      </c>
      <c r="N287" s="5" t="s">
        <v>64</v>
      </c>
      <c r="O287" s="5" t="s">
        <v>18184</v>
      </c>
      <c r="P287" s="6">
        <v>9999.0</v>
      </c>
    </row>
    <row r="288" ht="56.25" customHeight="1">
      <c r="A288" s="5" t="s">
        <v>18148</v>
      </c>
      <c r="B288" s="6" t="str">
        <f>IMAGE("https://storage.googleapis.com/acdb/socks/SocksTexBorder0.png")</f>
        <v/>
      </c>
      <c r="C288" s="5" t="s">
        <v>843</v>
      </c>
      <c r="D288" s="5" t="s">
        <v>36</v>
      </c>
      <c r="E288" s="6">
        <v>600.0</v>
      </c>
      <c r="F288" s="6">
        <v>150.0</v>
      </c>
      <c r="G288" s="5" t="s">
        <v>54</v>
      </c>
      <c r="H288" s="5" t="s">
        <v>57</v>
      </c>
      <c r="I288" s="6" t="s">
        <v>40</v>
      </c>
      <c r="J288" s="5" t="s">
        <v>8585</v>
      </c>
      <c r="K288" s="5" t="s">
        <v>8632</v>
      </c>
      <c r="L288" s="6" t="s">
        <v>42</v>
      </c>
      <c r="M288" s="5" t="s">
        <v>995</v>
      </c>
      <c r="N288" s="5" t="s">
        <v>64</v>
      </c>
      <c r="O288" s="5" t="s">
        <v>18190</v>
      </c>
      <c r="P288" s="6">
        <v>5199.0</v>
      </c>
    </row>
    <row r="289" ht="56.25" customHeight="1">
      <c r="A289" s="5" t="s">
        <v>18191</v>
      </c>
      <c r="B289" s="6" t="str">
        <f>IMAGE("https://storage.googleapis.com/acdb/socks/SocksTexStripe4.png")</f>
        <v/>
      </c>
      <c r="C289" s="5" t="s">
        <v>114</v>
      </c>
      <c r="D289" s="5" t="s">
        <v>36</v>
      </c>
      <c r="E289" s="6">
        <v>720.0</v>
      </c>
      <c r="F289" s="6">
        <v>180.0</v>
      </c>
      <c r="G289" s="5" t="s">
        <v>114</v>
      </c>
      <c r="H289" s="5" t="s">
        <v>54</v>
      </c>
      <c r="I289" s="6" t="s">
        <v>40</v>
      </c>
      <c r="J289" s="5" t="s">
        <v>8585</v>
      </c>
      <c r="K289" s="5" t="s">
        <v>8586</v>
      </c>
      <c r="L289" s="6" t="s">
        <v>42</v>
      </c>
      <c r="M289" s="5" t="s">
        <v>612</v>
      </c>
      <c r="N289" s="5" t="s">
        <v>64</v>
      </c>
      <c r="O289" s="5" t="s">
        <v>18196</v>
      </c>
      <c r="P289" s="6">
        <v>9940.0</v>
      </c>
    </row>
    <row r="290" ht="56.25" customHeight="1">
      <c r="A290" s="5" t="s">
        <v>18191</v>
      </c>
      <c r="B290" s="6" t="str">
        <f>IMAGE("https://storage.googleapis.com/acdb/socks/SocksTexStripe5.png")</f>
        <v/>
      </c>
      <c r="C290" s="5" t="s">
        <v>106</v>
      </c>
      <c r="D290" s="5" t="s">
        <v>36</v>
      </c>
      <c r="E290" s="6">
        <v>720.0</v>
      </c>
      <c r="F290" s="6">
        <v>180.0</v>
      </c>
      <c r="G290" s="5" t="s">
        <v>106</v>
      </c>
      <c r="H290" s="5" t="s">
        <v>54</v>
      </c>
      <c r="I290" s="6" t="s">
        <v>40</v>
      </c>
      <c r="J290" s="5" t="s">
        <v>8585</v>
      </c>
      <c r="K290" s="5" t="s">
        <v>8586</v>
      </c>
      <c r="L290" s="6" t="s">
        <v>42</v>
      </c>
      <c r="M290" s="5" t="s">
        <v>612</v>
      </c>
      <c r="N290" s="5" t="s">
        <v>64</v>
      </c>
      <c r="O290" s="5" t="s">
        <v>18199</v>
      </c>
      <c r="P290" s="6">
        <v>9941.0</v>
      </c>
    </row>
    <row r="291" ht="56.25" customHeight="1">
      <c r="A291" s="5" t="s">
        <v>18191</v>
      </c>
      <c r="B291" s="6" t="str">
        <f>IMAGE("https://storage.googleapis.com/acdb/socks/SocksTexStripe6.png")</f>
        <v/>
      </c>
      <c r="C291" s="5" t="s">
        <v>96</v>
      </c>
      <c r="D291" s="5" t="s">
        <v>36</v>
      </c>
      <c r="E291" s="6">
        <v>720.0</v>
      </c>
      <c r="F291" s="6">
        <v>180.0</v>
      </c>
      <c r="G291" s="5" t="s">
        <v>96</v>
      </c>
      <c r="H291" s="5" t="s">
        <v>54</v>
      </c>
      <c r="I291" s="6" t="s">
        <v>40</v>
      </c>
      <c r="J291" s="5" t="s">
        <v>8585</v>
      </c>
      <c r="K291" s="5" t="s">
        <v>8586</v>
      </c>
      <c r="L291" s="6" t="s">
        <v>42</v>
      </c>
      <c r="M291" s="5" t="s">
        <v>612</v>
      </c>
      <c r="N291" s="5" t="s">
        <v>64</v>
      </c>
      <c r="O291" s="5" t="s">
        <v>18204</v>
      </c>
      <c r="P291" s="6">
        <v>9942.0</v>
      </c>
    </row>
    <row r="292" ht="56.25" customHeight="1">
      <c r="A292" s="5" t="s">
        <v>18191</v>
      </c>
      <c r="B292" s="6" t="str">
        <f>IMAGE("https://storage.googleapis.com/acdb/socks/SocksTexStripe7.png")</f>
        <v/>
      </c>
      <c r="C292" s="5" t="s">
        <v>142</v>
      </c>
      <c r="D292" s="5" t="s">
        <v>36</v>
      </c>
      <c r="E292" s="6">
        <v>720.0</v>
      </c>
      <c r="F292" s="6">
        <v>180.0</v>
      </c>
      <c r="G292" s="5" t="s">
        <v>142</v>
      </c>
      <c r="H292" s="5" t="s">
        <v>54</v>
      </c>
      <c r="I292" s="6" t="s">
        <v>40</v>
      </c>
      <c r="J292" s="5" t="s">
        <v>8585</v>
      </c>
      <c r="K292" s="5" t="s">
        <v>8586</v>
      </c>
      <c r="L292" s="6" t="s">
        <v>42</v>
      </c>
      <c r="M292" s="5" t="s">
        <v>612</v>
      </c>
      <c r="N292" s="5" t="s">
        <v>64</v>
      </c>
      <c r="O292" s="5" t="s">
        <v>18207</v>
      </c>
      <c r="P292" s="6">
        <v>9943.0</v>
      </c>
    </row>
    <row r="293" ht="56.25" customHeight="1">
      <c r="A293" s="5" t="s">
        <v>18191</v>
      </c>
      <c r="B293" s="6" t="str">
        <f>IMAGE("https://storage.googleapis.com/acdb/socks/SocksTexStripe0.png")</f>
        <v/>
      </c>
      <c r="C293" s="5" t="s">
        <v>52</v>
      </c>
      <c r="D293" s="5" t="s">
        <v>36</v>
      </c>
      <c r="E293" s="6">
        <v>720.0</v>
      </c>
      <c r="F293" s="6">
        <v>180.0</v>
      </c>
      <c r="G293" s="5" t="s">
        <v>52</v>
      </c>
      <c r="H293" s="5" t="s">
        <v>54</v>
      </c>
      <c r="I293" s="6" t="s">
        <v>40</v>
      </c>
      <c r="J293" s="5" t="s">
        <v>8585</v>
      </c>
      <c r="K293" s="5" t="s">
        <v>8586</v>
      </c>
      <c r="L293" s="6" t="s">
        <v>42</v>
      </c>
      <c r="M293" s="5" t="s">
        <v>612</v>
      </c>
      <c r="N293" s="5" t="s">
        <v>64</v>
      </c>
      <c r="O293" s="5" t="s">
        <v>18211</v>
      </c>
      <c r="P293" s="6">
        <v>6045.0</v>
      </c>
    </row>
    <row r="294" ht="56.25" customHeight="1">
      <c r="A294" s="5" t="s">
        <v>18191</v>
      </c>
      <c r="B294" s="6" t="str">
        <f>IMAGE("https://storage.googleapis.com/acdb/socks/SocksTexStripe1.png")</f>
        <v/>
      </c>
      <c r="C294" s="5" t="s">
        <v>95</v>
      </c>
      <c r="D294" s="5" t="s">
        <v>36</v>
      </c>
      <c r="E294" s="6">
        <v>720.0</v>
      </c>
      <c r="F294" s="6">
        <v>180.0</v>
      </c>
      <c r="G294" s="5" t="s">
        <v>95</v>
      </c>
      <c r="H294" s="5" t="s">
        <v>54</v>
      </c>
      <c r="I294" s="6" t="s">
        <v>40</v>
      </c>
      <c r="J294" s="5" t="s">
        <v>8585</v>
      </c>
      <c r="K294" s="5" t="s">
        <v>8586</v>
      </c>
      <c r="L294" s="6" t="s">
        <v>42</v>
      </c>
      <c r="M294" s="5" t="s">
        <v>612</v>
      </c>
      <c r="N294" s="5" t="s">
        <v>64</v>
      </c>
      <c r="O294" s="5" t="s">
        <v>18216</v>
      </c>
      <c r="P294" s="6">
        <v>9937.0</v>
      </c>
    </row>
    <row r="295" ht="56.25" customHeight="1">
      <c r="A295" s="5" t="s">
        <v>18191</v>
      </c>
      <c r="B295" s="6" t="str">
        <f>IMAGE("https://storage.googleapis.com/acdb/socks/SocksTexStripe2.png")</f>
        <v/>
      </c>
      <c r="C295" s="5" t="s">
        <v>69</v>
      </c>
      <c r="D295" s="5" t="s">
        <v>36</v>
      </c>
      <c r="E295" s="6">
        <v>720.0</v>
      </c>
      <c r="F295" s="6">
        <v>180.0</v>
      </c>
      <c r="G295" s="5" t="s">
        <v>69</v>
      </c>
      <c r="H295" s="5" t="s">
        <v>54</v>
      </c>
      <c r="I295" s="6" t="s">
        <v>40</v>
      </c>
      <c r="J295" s="5" t="s">
        <v>8585</v>
      </c>
      <c r="K295" s="5" t="s">
        <v>8586</v>
      </c>
      <c r="L295" s="6" t="s">
        <v>42</v>
      </c>
      <c r="M295" s="5" t="s">
        <v>612</v>
      </c>
      <c r="N295" s="5" t="s">
        <v>64</v>
      </c>
      <c r="O295" s="5" t="s">
        <v>18219</v>
      </c>
      <c r="P295" s="6">
        <v>9938.0</v>
      </c>
    </row>
    <row r="296" ht="56.25" customHeight="1">
      <c r="A296" s="5" t="s">
        <v>18191</v>
      </c>
      <c r="B296" s="6" t="str">
        <f>IMAGE("https://storage.googleapis.com/acdb/socks/SocksTexStripe3.png")</f>
        <v/>
      </c>
      <c r="C296" s="5" t="s">
        <v>83</v>
      </c>
      <c r="D296" s="5" t="s">
        <v>36</v>
      </c>
      <c r="E296" s="6">
        <v>720.0</v>
      </c>
      <c r="F296" s="6">
        <v>180.0</v>
      </c>
      <c r="G296" s="5" t="s">
        <v>83</v>
      </c>
      <c r="H296" s="5" t="s">
        <v>54</v>
      </c>
      <c r="I296" s="6" t="s">
        <v>40</v>
      </c>
      <c r="J296" s="5" t="s">
        <v>8585</v>
      </c>
      <c r="K296" s="5" t="s">
        <v>8586</v>
      </c>
      <c r="L296" s="6" t="s">
        <v>42</v>
      </c>
      <c r="M296" s="5" t="s">
        <v>612</v>
      </c>
      <c r="N296" s="5" t="s">
        <v>64</v>
      </c>
      <c r="O296" s="5" t="s">
        <v>18225</v>
      </c>
      <c r="P296" s="6">
        <v>9939.0</v>
      </c>
    </row>
    <row r="297" ht="56.25" customHeight="1">
      <c r="A297" s="5" t="s">
        <v>18227</v>
      </c>
      <c r="B297" s="6" t="str">
        <f>IMAGE("https://storage.googleapis.com/acdb/socks/SocksTexTabi2.png")</f>
        <v/>
      </c>
      <c r="C297" s="5" t="s">
        <v>1187</v>
      </c>
      <c r="D297" s="5" t="s">
        <v>36</v>
      </c>
      <c r="E297" s="6">
        <v>1200.0</v>
      </c>
      <c r="F297" s="6">
        <v>300.0</v>
      </c>
      <c r="G297" s="5" t="s">
        <v>68</v>
      </c>
      <c r="H297" s="5" t="s">
        <v>68</v>
      </c>
      <c r="I297" s="6" t="s">
        <v>40</v>
      </c>
      <c r="J297" s="5" t="s">
        <v>8585</v>
      </c>
      <c r="K297" s="5" t="s">
        <v>8586</v>
      </c>
      <c r="L297" s="6" t="s">
        <v>42</v>
      </c>
      <c r="M297" s="5" t="s">
        <v>995</v>
      </c>
      <c r="N297" s="5" t="s">
        <v>64</v>
      </c>
      <c r="O297" s="5" t="s">
        <v>18232</v>
      </c>
      <c r="P297" s="6">
        <v>8930.0</v>
      </c>
    </row>
    <row r="298" ht="56.25" customHeight="1">
      <c r="A298" s="5" t="s">
        <v>18227</v>
      </c>
      <c r="B298" s="6" t="str">
        <f>IMAGE("https://storage.googleapis.com/acdb/socks/SocksTexTabi0.png")</f>
        <v/>
      </c>
      <c r="C298" s="5" t="s">
        <v>57</v>
      </c>
      <c r="D298" s="5" t="s">
        <v>36</v>
      </c>
      <c r="E298" s="6">
        <v>1200.0</v>
      </c>
      <c r="F298" s="6">
        <v>300.0</v>
      </c>
      <c r="G298" s="5" t="s">
        <v>57</v>
      </c>
      <c r="H298" s="5" t="s">
        <v>57</v>
      </c>
      <c r="I298" s="6" t="s">
        <v>40</v>
      </c>
      <c r="J298" s="5" t="s">
        <v>8585</v>
      </c>
      <c r="K298" s="5" t="s">
        <v>8586</v>
      </c>
      <c r="L298" s="6" t="s">
        <v>42</v>
      </c>
      <c r="M298" s="5" t="s">
        <v>995</v>
      </c>
      <c r="N298" s="5" t="s">
        <v>64</v>
      </c>
      <c r="O298" s="5" t="s">
        <v>18234</v>
      </c>
      <c r="P298" s="6">
        <v>4749.0</v>
      </c>
    </row>
    <row r="299" ht="56.25" customHeight="1">
      <c r="A299" s="5" t="s">
        <v>18227</v>
      </c>
      <c r="B299" s="6" t="str">
        <f>IMAGE("https://storage.googleapis.com/acdb/socks/SocksTexTabi1.png")</f>
        <v/>
      </c>
      <c r="C299" s="5" t="s">
        <v>54</v>
      </c>
      <c r="D299" s="5" t="s">
        <v>36</v>
      </c>
      <c r="E299" s="6">
        <v>1200.0</v>
      </c>
      <c r="F299" s="6">
        <v>300.0</v>
      </c>
      <c r="G299" s="5" t="s">
        <v>54</v>
      </c>
      <c r="H299" s="5" t="s">
        <v>54</v>
      </c>
      <c r="I299" s="6" t="s">
        <v>40</v>
      </c>
      <c r="J299" s="5" t="s">
        <v>8585</v>
      </c>
      <c r="K299" s="5" t="s">
        <v>8586</v>
      </c>
      <c r="L299" s="6" t="s">
        <v>42</v>
      </c>
      <c r="M299" s="5" t="s">
        <v>995</v>
      </c>
      <c r="N299" s="5" t="s">
        <v>64</v>
      </c>
      <c r="O299" s="5" t="s">
        <v>18238</v>
      </c>
      <c r="P299" s="6">
        <v>8929.0</v>
      </c>
    </row>
    <row r="300" ht="56.25" customHeight="1">
      <c r="A300" s="5" t="s">
        <v>18239</v>
      </c>
      <c r="B300" s="6" t="str">
        <f>IMAGE("https://storage.googleapis.com/acdb/socks/SocksTexFluffy1.png")</f>
        <v/>
      </c>
      <c r="C300" s="5" t="s">
        <v>106</v>
      </c>
      <c r="D300" s="5" t="s">
        <v>36</v>
      </c>
      <c r="E300" s="6">
        <v>600.0</v>
      </c>
      <c r="F300" s="6">
        <v>150.0</v>
      </c>
      <c r="G300" s="5" t="s">
        <v>106</v>
      </c>
      <c r="H300" s="5" t="s">
        <v>57</v>
      </c>
      <c r="I300" s="6" t="s">
        <v>40</v>
      </c>
      <c r="J300" s="5" t="s">
        <v>8585</v>
      </c>
      <c r="K300" s="5" t="s">
        <v>8632</v>
      </c>
      <c r="L300" s="6" t="s">
        <v>42</v>
      </c>
      <c r="M300" s="5" t="s">
        <v>1959</v>
      </c>
      <c r="N300" s="5" t="s">
        <v>64</v>
      </c>
      <c r="O300" s="5" t="s">
        <v>18243</v>
      </c>
      <c r="P300" s="6">
        <v>9979.0</v>
      </c>
    </row>
    <row r="301" ht="56.25" customHeight="1">
      <c r="A301" s="5" t="s">
        <v>18239</v>
      </c>
      <c r="B301" s="6" t="str">
        <f>IMAGE("https://storage.googleapis.com/acdb/socks/SocksTexFluffy0.png")</f>
        <v/>
      </c>
      <c r="C301" s="5" t="s">
        <v>69</v>
      </c>
      <c r="D301" s="5" t="s">
        <v>36</v>
      </c>
      <c r="E301" s="6">
        <v>600.0</v>
      </c>
      <c r="F301" s="6">
        <v>150.0</v>
      </c>
      <c r="G301" s="5" t="s">
        <v>69</v>
      </c>
      <c r="H301" s="5" t="s">
        <v>57</v>
      </c>
      <c r="I301" s="6" t="s">
        <v>40</v>
      </c>
      <c r="J301" s="5" t="s">
        <v>8585</v>
      </c>
      <c r="K301" s="5" t="s">
        <v>8632</v>
      </c>
      <c r="L301" s="6" t="s">
        <v>42</v>
      </c>
      <c r="M301" s="5" t="s">
        <v>1959</v>
      </c>
      <c r="N301" s="5" t="s">
        <v>64</v>
      </c>
      <c r="O301" s="5" t="s">
        <v>18246</v>
      </c>
      <c r="P301" s="6">
        <v>5181.0</v>
      </c>
    </row>
    <row r="302" ht="56.25" customHeight="1">
      <c r="A302" s="5" t="s">
        <v>18239</v>
      </c>
      <c r="B302" s="6" t="str">
        <f>IMAGE("https://storage.googleapis.com/acdb/socks/SocksTexFluffy2.png")</f>
        <v/>
      </c>
      <c r="C302" s="5" t="s">
        <v>68</v>
      </c>
      <c r="D302" s="5" t="s">
        <v>36</v>
      </c>
      <c r="E302" s="6">
        <v>600.0</v>
      </c>
      <c r="F302" s="6">
        <v>150.0</v>
      </c>
      <c r="G302" s="5" t="s">
        <v>83</v>
      </c>
      <c r="H302" s="5" t="s">
        <v>57</v>
      </c>
      <c r="I302" s="6" t="s">
        <v>40</v>
      </c>
      <c r="J302" s="5" t="s">
        <v>8585</v>
      </c>
      <c r="K302" s="5" t="s">
        <v>8632</v>
      </c>
      <c r="L302" s="6" t="s">
        <v>42</v>
      </c>
      <c r="M302" s="5" t="s">
        <v>1959</v>
      </c>
      <c r="N302" s="5" t="s">
        <v>64</v>
      </c>
      <c r="O302" s="5" t="s">
        <v>18248</v>
      </c>
      <c r="P302" s="6">
        <v>9980.0</v>
      </c>
    </row>
    <row r="303" ht="56.25" customHeight="1">
      <c r="A303" s="5" t="s">
        <v>18239</v>
      </c>
      <c r="B303" s="6" t="str">
        <f>IMAGE("https://storage.googleapis.com/acdb/socks/SocksTexFluffy3.png")</f>
        <v/>
      </c>
      <c r="C303" s="5" t="s">
        <v>96</v>
      </c>
      <c r="D303" s="5" t="s">
        <v>36</v>
      </c>
      <c r="E303" s="6">
        <v>600.0</v>
      </c>
      <c r="F303" s="6">
        <v>150.0</v>
      </c>
      <c r="G303" s="5" t="s">
        <v>96</v>
      </c>
      <c r="H303" s="5" t="s">
        <v>57</v>
      </c>
      <c r="I303" s="6" t="s">
        <v>40</v>
      </c>
      <c r="J303" s="5" t="s">
        <v>8585</v>
      </c>
      <c r="K303" s="5" t="s">
        <v>8632</v>
      </c>
      <c r="L303" s="6" t="s">
        <v>42</v>
      </c>
      <c r="M303" s="5" t="s">
        <v>1959</v>
      </c>
      <c r="N303" s="5" t="s">
        <v>64</v>
      </c>
      <c r="O303" s="5" t="s">
        <v>18250</v>
      </c>
      <c r="P303" s="6">
        <v>9981.0</v>
      </c>
    </row>
    <row r="304" ht="56.25" customHeight="1">
      <c r="A304" s="5" t="s">
        <v>18239</v>
      </c>
      <c r="B304" s="6" t="str">
        <f>IMAGE("https://storage.googleapis.com/acdb/socks/SocksTexFluffy4.png")</f>
        <v/>
      </c>
      <c r="C304" s="5" t="s">
        <v>38</v>
      </c>
      <c r="D304" s="5" t="s">
        <v>36</v>
      </c>
      <c r="E304" s="6">
        <v>600.0</v>
      </c>
      <c r="F304" s="6">
        <v>150.0</v>
      </c>
      <c r="G304" s="5" t="s">
        <v>38</v>
      </c>
      <c r="H304" s="5" t="s">
        <v>57</v>
      </c>
      <c r="I304" s="6" t="s">
        <v>40</v>
      </c>
      <c r="J304" s="5" t="s">
        <v>8585</v>
      </c>
      <c r="K304" s="5" t="s">
        <v>8632</v>
      </c>
      <c r="L304" s="6" t="s">
        <v>42</v>
      </c>
      <c r="M304" s="5" t="s">
        <v>1959</v>
      </c>
      <c r="N304" s="5" t="s">
        <v>64</v>
      </c>
      <c r="O304" s="5" t="s">
        <v>18253</v>
      </c>
      <c r="P304" s="6">
        <v>9982.0</v>
      </c>
    </row>
    <row r="305" ht="56.25" customHeight="1">
      <c r="A305" s="5" t="s">
        <v>18239</v>
      </c>
      <c r="B305" s="6" t="str">
        <f>IMAGE("https://storage.googleapis.com/acdb/socks/SocksTexFluffy5.png")</f>
        <v/>
      </c>
      <c r="C305" s="5" t="s">
        <v>52</v>
      </c>
      <c r="D305" s="5" t="s">
        <v>36</v>
      </c>
      <c r="E305" s="6">
        <v>600.0</v>
      </c>
      <c r="F305" s="6">
        <v>150.0</v>
      </c>
      <c r="G305" s="5" t="s">
        <v>52</v>
      </c>
      <c r="H305" s="5" t="s">
        <v>57</v>
      </c>
      <c r="I305" s="6" t="s">
        <v>40</v>
      </c>
      <c r="J305" s="5" t="s">
        <v>8585</v>
      </c>
      <c r="K305" s="5" t="s">
        <v>8632</v>
      </c>
      <c r="L305" s="6" t="s">
        <v>42</v>
      </c>
      <c r="M305" s="5" t="s">
        <v>1959</v>
      </c>
      <c r="N305" s="5" t="s">
        <v>64</v>
      </c>
      <c r="O305" s="5" t="s">
        <v>18257</v>
      </c>
      <c r="P305" s="6">
        <v>9983.0</v>
      </c>
    </row>
    <row r="306" ht="56.25" customHeight="1">
      <c r="A306" s="5" t="s">
        <v>18239</v>
      </c>
      <c r="B306" s="6" t="str">
        <f>IMAGE("https://storage.googleapis.com/acdb/socks/SocksTexFluffy6.png")</f>
        <v/>
      </c>
      <c r="C306" s="5" t="s">
        <v>95</v>
      </c>
      <c r="D306" s="5" t="s">
        <v>36</v>
      </c>
      <c r="E306" s="6">
        <v>600.0</v>
      </c>
      <c r="F306" s="6">
        <v>150.0</v>
      </c>
      <c r="G306" s="5" t="s">
        <v>95</v>
      </c>
      <c r="H306" s="5" t="s">
        <v>57</v>
      </c>
      <c r="I306" s="6" t="s">
        <v>40</v>
      </c>
      <c r="J306" s="5" t="s">
        <v>8585</v>
      </c>
      <c r="K306" s="5" t="s">
        <v>8632</v>
      </c>
      <c r="L306" s="6" t="s">
        <v>42</v>
      </c>
      <c r="M306" s="5" t="s">
        <v>1959</v>
      </c>
      <c r="N306" s="5" t="s">
        <v>64</v>
      </c>
      <c r="O306" s="5" t="s">
        <v>18259</v>
      </c>
      <c r="P306" s="6">
        <v>9984.0</v>
      </c>
    </row>
    <row r="307" ht="56.25" customHeight="1">
      <c r="A307" s="5" t="s">
        <v>18260</v>
      </c>
      <c r="B307" s="6" t="str">
        <f>IMAGE("https://storage.googleapis.com/acdb/socks/SocksTexLine0.png")</f>
        <v/>
      </c>
      <c r="C307" s="5" t="s">
        <v>68</v>
      </c>
      <c r="D307" s="5" t="s">
        <v>36</v>
      </c>
      <c r="E307" s="6">
        <v>480.0</v>
      </c>
      <c r="F307" s="6">
        <v>120.0</v>
      </c>
      <c r="G307" s="5" t="s">
        <v>57</v>
      </c>
      <c r="H307" s="5" t="s">
        <v>68</v>
      </c>
      <c r="I307" s="6" t="s">
        <v>40</v>
      </c>
      <c r="J307" s="5" t="s">
        <v>8585</v>
      </c>
      <c r="K307" s="5" t="s">
        <v>8632</v>
      </c>
      <c r="L307" s="6" t="s">
        <v>42</v>
      </c>
      <c r="M307" s="5" t="s">
        <v>995</v>
      </c>
      <c r="N307" s="5" t="s">
        <v>64</v>
      </c>
      <c r="O307" s="5" t="s">
        <v>18263</v>
      </c>
      <c r="P307" s="6">
        <v>4746.0</v>
      </c>
    </row>
    <row r="308" ht="56.25" customHeight="1">
      <c r="A308" s="5" t="s">
        <v>18260</v>
      </c>
      <c r="B308" s="6" t="str">
        <f>IMAGE("https://storage.googleapis.com/acdb/socks/SocksTexLine1.png")</f>
        <v/>
      </c>
      <c r="C308" s="5" t="s">
        <v>142</v>
      </c>
      <c r="D308" s="5" t="s">
        <v>36</v>
      </c>
      <c r="E308" s="6">
        <v>480.0</v>
      </c>
      <c r="F308" s="6">
        <v>120.0</v>
      </c>
      <c r="G308" s="5" t="s">
        <v>57</v>
      </c>
      <c r="H308" s="5" t="s">
        <v>142</v>
      </c>
      <c r="I308" s="6" t="s">
        <v>40</v>
      </c>
      <c r="J308" s="5" t="s">
        <v>8585</v>
      </c>
      <c r="K308" s="5" t="s">
        <v>8632</v>
      </c>
      <c r="L308" s="6" t="s">
        <v>42</v>
      </c>
      <c r="M308" s="5" t="s">
        <v>995</v>
      </c>
      <c r="N308" s="5" t="s">
        <v>64</v>
      </c>
      <c r="O308" s="5" t="s">
        <v>18266</v>
      </c>
      <c r="P308" s="6">
        <v>9966.0</v>
      </c>
    </row>
    <row r="309" ht="56.25" customHeight="1">
      <c r="A309" s="5" t="s">
        <v>18260</v>
      </c>
      <c r="B309" s="6" t="str">
        <f>IMAGE("https://storage.googleapis.com/acdb/socks/SocksTexLine2.png")</f>
        <v/>
      </c>
      <c r="C309" s="5" t="s">
        <v>96</v>
      </c>
      <c r="D309" s="5" t="s">
        <v>36</v>
      </c>
      <c r="E309" s="6">
        <v>480.0</v>
      </c>
      <c r="F309" s="6">
        <v>120.0</v>
      </c>
      <c r="G309" s="5" t="s">
        <v>57</v>
      </c>
      <c r="H309" s="5" t="s">
        <v>96</v>
      </c>
      <c r="I309" s="6" t="s">
        <v>40</v>
      </c>
      <c r="J309" s="5" t="s">
        <v>8585</v>
      </c>
      <c r="K309" s="5" t="s">
        <v>8632</v>
      </c>
      <c r="L309" s="6" t="s">
        <v>42</v>
      </c>
      <c r="M309" s="5" t="s">
        <v>995</v>
      </c>
      <c r="N309" s="5" t="s">
        <v>64</v>
      </c>
      <c r="O309" s="5" t="s">
        <v>18268</v>
      </c>
      <c r="P309" s="6">
        <v>9967.0</v>
      </c>
    </row>
    <row r="310" ht="56.25" customHeight="1">
      <c r="A310" s="5" t="s">
        <v>18260</v>
      </c>
      <c r="B310" s="6" t="str">
        <f>IMAGE("https://storage.googleapis.com/acdb/socks/SocksTexLine3.png")</f>
        <v/>
      </c>
      <c r="C310" s="5" t="s">
        <v>52</v>
      </c>
      <c r="D310" s="5" t="s">
        <v>36</v>
      </c>
      <c r="E310" s="6">
        <v>480.0</v>
      </c>
      <c r="F310" s="6">
        <v>120.0</v>
      </c>
      <c r="G310" s="5" t="s">
        <v>57</v>
      </c>
      <c r="H310" s="5" t="s">
        <v>52</v>
      </c>
      <c r="I310" s="6" t="s">
        <v>40</v>
      </c>
      <c r="J310" s="5" t="s">
        <v>8585</v>
      </c>
      <c r="K310" s="5" t="s">
        <v>8632</v>
      </c>
      <c r="L310" s="6" t="s">
        <v>42</v>
      </c>
      <c r="M310" s="5" t="s">
        <v>995</v>
      </c>
      <c r="N310" s="5" t="s">
        <v>64</v>
      </c>
      <c r="O310" s="5" t="s">
        <v>18270</v>
      </c>
      <c r="P310" s="6">
        <v>9968.0</v>
      </c>
    </row>
    <row r="311" ht="56.25" customHeight="1">
      <c r="A311" s="5" t="s">
        <v>18260</v>
      </c>
      <c r="B311" s="6" t="str">
        <f>IMAGE("https://storage.googleapis.com/acdb/socks/SocksTexLine4.png")</f>
        <v/>
      </c>
      <c r="C311" s="5" t="s">
        <v>1187</v>
      </c>
      <c r="D311" s="5" t="s">
        <v>36</v>
      </c>
      <c r="E311" s="6">
        <v>480.0</v>
      </c>
      <c r="F311" s="6">
        <v>120.0</v>
      </c>
      <c r="G311" s="5" t="s">
        <v>95</v>
      </c>
      <c r="H311" s="5" t="s">
        <v>68</v>
      </c>
      <c r="I311" s="6" t="s">
        <v>40</v>
      </c>
      <c r="J311" s="5" t="s">
        <v>8585</v>
      </c>
      <c r="K311" s="5" t="s">
        <v>8632</v>
      </c>
      <c r="L311" s="6" t="s">
        <v>42</v>
      </c>
      <c r="M311" s="5" t="s">
        <v>995</v>
      </c>
      <c r="N311" s="5" t="s">
        <v>64</v>
      </c>
      <c r="O311" s="5" t="s">
        <v>18273</v>
      </c>
      <c r="P311" s="6">
        <v>9969.0</v>
      </c>
    </row>
    <row r="312" ht="56.25" customHeight="1">
      <c r="A312" s="5" t="s">
        <v>18260</v>
      </c>
      <c r="B312" s="6" t="str">
        <f>IMAGE("https://storage.googleapis.com/acdb/socks/SocksTexLine5.png")</f>
        <v/>
      </c>
      <c r="C312" s="5" t="s">
        <v>4883</v>
      </c>
      <c r="D312" s="5" t="s">
        <v>36</v>
      </c>
      <c r="E312" s="6">
        <v>480.0</v>
      </c>
      <c r="F312" s="6">
        <v>120.0</v>
      </c>
      <c r="G312" s="5" t="s">
        <v>95</v>
      </c>
      <c r="H312" s="5" t="s">
        <v>52</v>
      </c>
      <c r="I312" s="6" t="s">
        <v>40</v>
      </c>
      <c r="J312" s="5" t="s">
        <v>8585</v>
      </c>
      <c r="K312" s="5" t="s">
        <v>8632</v>
      </c>
      <c r="L312" s="6" t="s">
        <v>42</v>
      </c>
      <c r="M312" s="5" t="s">
        <v>995</v>
      </c>
      <c r="N312" s="5" t="s">
        <v>64</v>
      </c>
      <c r="O312" s="5" t="s">
        <v>18277</v>
      </c>
      <c r="P312" s="6">
        <v>9970.0</v>
      </c>
    </row>
    <row r="313" ht="56.25" customHeight="1">
      <c r="A313" s="5" t="s">
        <v>18260</v>
      </c>
      <c r="B313" s="6" t="str">
        <f>IMAGE("https://storage.googleapis.com/acdb/socks/SocksTexLine6.png")</f>
        <v/>
      </c>
      <c r="C313" s="5" t="s">
        <v>14848</v>
      </c>
      <c r="D313" s="5" t="s">
        <v>36</v>
      </c>
      <c r="E313" s="6">
        <v>480.0</v>
      </c>
      <c r="F313" s="6">
        <v>120.0</v>
      </c>
      <c r="G313" s="5" t="s">
        <v>95</v>
      </c>
      <c r="H313" s="5" t="s">
        <v>96</v>
      </c>
      <c r="I313" s="6" t="s">
        <v>40</v>
      </c>
      <c r="J313" s="5" t="s">
        <v>8585</v>
      </c>
      <c r="K313" s="5" t="s">
        <v>8632</v>
      </c>
      <c r="L313" s="6" t="s">
        <v>42</v>
      </c>
      <c r="M313" s="5" t="s">
        <v>995</v>
      </c>
      <c r="N313" s="5" t="s">
        <v>64</v>
      </c>
      <c r="O313" s="5" t="s">
        <v>18279</v>
      </c>
      <c r="P313" s="6">
        <v>9971.0</v>
      </c>
    </row>
    <row r="314" ht="56.25" customHeight="1">
      <c r="A314" s="5" t="s">
        <v>18260</v>
      </c>
      <c r="B314" s="6" t="str">
        <f>IMAGE("https://storage.googleapis.com/acdb/socks/SocksTexLine7.png")</f>
        <v/>
      </c>
      <c r="C314" s="5" t="s">
        <v>106</v>
      </c>
      <c r="D314" s="5" t="s">
        <v>36</v>
      </c>
      <c r="E314" s="6">
        <v>480.0</v>
      </c>
      <c r="F314" s="6">
        <v>120.0</v>
      </c>
      <c r="G314" s="5" t="s">
        <v>95</v>
      </c>
      <c r="H314" s="5" t="s">
        <v>106</v>
      </c>
      <c r="I314" s="6" t="s">
        <v>40</v>
      </c>
      <c r="J314" s="5" t="s">
        <v>8585</v>
      </c>
      <c r="K314" s="5" t="s">
        <v>8632</v>
      </c>
      <c r="L314" s="6" t="s">
        <v>42</v>
      </c>
      <c r="M314" s="5" t="s">
        <v>995</v>
      </c>
      <c r="N314" s="5" t="s">
        <v>64</v>
      </c>
      <c r="O314" s="5" t="s">
        <v>18282</v>
      </c>
      <c r="P314" s="6">
        <v>9972.0</v>
      </c>
    </row>
    <row r="315" ht="56.25" customHeight="1">
      <c r="A315" s="5" t="s">
        <v>18283</v>
      </c>
      <c r="B315" s="6" t="str">
        <f>IMAGE("https://storage.googleapis.com/acdb/socks/SocksTexFootcover1.png")</f>
        <v/>
      </c>
      <c r="C315" s="5" t="s">
        <v>69</v>
      </c>
      <c r="D315" s="5" t="s">
        <v>36</v>
      </c>
      <c r="E315" s="6">
        <v>480.0</v>
      </c>
      <c r="F315" s="6">
        <v>120.0</v>
      </c>
      <c r="G315" s="5" t="s">
        <v>69</v>
      </c>
      <c r="H315" s="5" t="s">
        <v>69</v>
      </c>
      <c r="I315" s="6" t="s">
        <v>40</v>
      </c>
      <c r="J315" s="5" t="s">
        <v>8585</v>
      </c>
      <c r="K315" s="5" t="s">
        <v>8632</v>
      </c>
      <c r="L315" s="6" t="s">
        <v>42</v>
      </c>
      <c r="M315" s="5" t="s">
        <v>995</v>
      </c>
      <c r="N315" s="5" t="s">
        <v>64</v>
      </c>
      <c r="O315" s="5" t="s">
        <v>18285</v>
      </c>
      <c r="P315" s="6">
        <v>10010.0</v>
      </c>
    </row>
    <row r="316" ht="56.25" customHeight="1">
      <c r="A316" s="5" t="s">
        <v>18283</v>
      </c>
      <c r="B316" s="6" t="str">
        <f>IMAGE("https://storage.googleapis.com/acdb/socks/SocksTexFootcover2.png")</f>
        <v/>
      </c>
      <c r="C316" s="5" t="s">
        <v>39</v>
      </c>
      <c r="D316" s="5" t="s">
        <v>36</v>
      </c>
      <c r="E316" s="6">
        <v>480.0</v>
      </c>
      <c r="F316" s="6">
        <v>120.0</v>
      </c>
      <c r="G316" s="5" t="s">
        <v>39</v>
      </c>
      <c r="H316" s="5" t="s">
        <v>39</v>
      </c>
      <c r="I316" s="6" t="s">
        <v>40</v>
      </c>
      <c r="J316" s="5" t="s">
        <v>8585</v>
      </c>
      <c r="K316" s="5" t="s">
        <v>8632</v>
      </c>
      <c r="L316" s="6" t="s">
        <v>42</v>
      </c>
      <c r="M316" s="5" t="s">
        <v>995</v>
      </c>
      <c r="N316" s="5" t="s">
        <v>64</v>
      </c>
      <c r="O316" s="5" t="s">
        <v>18288</v>
      </c>
      <c r="P316" s="6">
        <v>10011.0</v>
      </c>
    </row>
    <row r="317" ht="56.25" customHeight="1">
      <c r="A317" s="5" t="s">
        <v>18283</v>
      </c>
      <c r="B317" s="6" t="str">
        <f>IMAGE("https://storage.googleapis.com/acdb/socks/SocksTexFootcover3.png")</f>
        <v/>
      </c>
      <c r="C317" s="5" t="s">
        <v>10757</v>
      </c>
      <c r="D317" s="5" t="s">
        <v>36</v>
      </c>
      <c r="E317" s="6">
        <v>480.0</v>
      </c>
      <c r="F317" s="6">
        <v>120.0</v>
      </c>
      <c r="G317" s="5" t="s">
        <v>96</v>
      </c>
      <c r="H317" s="5" t="s">
        <v>96</v>
      </c>
      <c r="I317" s="6" t="s">
        <v>40</v>
      </c>
      <c r="J317" s="5" t="s">
        <v>8585</v>
      </c>
      <c r="K317" s="5" t="s">
        <v>8632</v>
      </c>
      <c r="L317" s="6" t="s">
        <v>42</v>
      </c>
      <c r="M317" s="5" t="s">
        <v>995</v>
      </c>
      <c r="N317" s="5" t="s">
        <v>64</v>
      </c>
      <c r="O317" s="5" t="s">
        <v>18290</v>
      </c>
      <c r="P317" s="6">
        <v>10012.0</v>
      </c>
    </row>
    <row r="318" ht="56.25" customHeight="1">
      <c r="A318" s="5" t="s">
        <v>18283</v>
      </c>
      <c r="B318" s="6" t="str">
        <f>IMAGE("https://storage.googleapis.com/acdb/socks/SocksTexFootcover4.png")</f>
        <v/>
      </c>
      <c r="C318" s="5" t="s">
        <v>96</v>
      </c>
      <c r="D318" s="5" t="s">
        <v>36</v>
      </c>
      <c r="E318" s="6">
        <v>480.0</v>
      </c>
      <c r="F318" s="6">
        <v>120.0</v>
      </c>
      <c r="G318" s="5" t="s">
        <v>96</v>
      </c>
      <c r="H318" s="5" t="s">
        <v>96</v>
      </c>
      <c r="I318" s="6" t="s">
        <v>40</v>
      </c>
      <c r="J318" s="5" t="s">
        <v>8585</v>
      </c>
      <c r="K318" s="5" t="s">
        <v>8632</v>
      </c>
      <c r="L318" s="6" t="s">
        <v>42</v>
      </c>
      <c r="M318" s="5" t="s">
        <v>995</v>
      </c>
      <c r="N318" s="5" t="s">
        <v>64</v>
      </c>
      <c r="O318" s="5" t="s">
        <v>18293</v>
      </c>
      <c r="P318" s="6">
        <v>10013.0</v>
      </c>
    </row>
    <row r="319" ht="56.25" customHeight="1">
      <c r="A319" s="5" t="s">
        <v>18283</v>
      </c>
      <c r="B319" s="6" t="str">
        <f>IMAGE("https://storage.googleapis.com/acdb/socks/SocksTexFootcover5.png")</f>
        <v/>
      </c>
      <c r="C319" s="5" t="s">
        <v>106</v>
      </c>
      <c r="D319" s="5" t="s">
        <v>36</v>
      </c>
      <c r="E319" s="6">
        <v>480.0</v>
      </c>
      <c r="F319" s="6">
        <v>120.0</v>
      </c>
      <c r="G319" s="5" t="s">
        <v>106</v>
      </c>
      <c r="H319" s="5" t="s">
        <v>106</v>
      </c>
      <c r="I319" s="6" t="s">
        <v>40</v>
      </c>
      <c r="J319" s="5" t="s">
        <v>8585</v>
      </c>
      <c r="K319" s="5" t="s">
        <v>8632</v>
      </c>
      <c r="L319" s="6" t="s">
        <v>42</v>
      </c>
      <c r="M319" s="5" t="s">
        <v>995</v>
      </c>
      <c r="N319" s="5" t="s">
        <v>64</v>
      </c>
      <c r="O319" s="5" t="s">
        <v>18295</v>
      </c>
      <c r="P319" s="6">
        <v>10014.0</v>
      </c>
    </row>
    <row r="320" ht="56.25" customHeight="1">
      <c r="A320" s="5" t="s">
        <v>18283</v>
      </c>
      <c r="B320" s="6" t="str">
        <f>IMAGE("https://storage.googleapis.com/acdb/socks/SocksTexFootcover6.png")</f>
        <v/>
      </c>
      <c r="C320" s="5" t="s">
        <v>54</v>
      </c>
      <c r="D320" s="5" t="s">
        <v>36</v>
      </c>
      <c r="E320" s="6">
        <v>480.0</v>
      </c>
      <c r="F320" s="6">
        <v>120.0</v>
      </c>
      <c r="G320" s="5" t="s">
        <v>54</v>
      </c>
      <c r="H320" s="5" t="s">
        <v>54</v>
      </c>
      <c r="I320" s="6" t="s">
        <v>40</v>
      </c>
      <c r="J320" s="5" t="s">
        <v>8585</v>
      </c>
      <c r="K320" s="5" t="s">
        <v>8632</v>
      </c>
      <c r="L320" s="6" t="s">
        <v>42</v>
      </c>
      <c r="M320" s="5" t="s">
        <v>995</v>
      </c>
      <c r="N320" s="5" t="s">
        <v>64</v>
      </c>
      <c r="O320" s="5" t="s">
        <v>18299</v>
      </c>
      <c r="P320" s="6">
        <v>10015.0</v>
      </c>
    </row>
    <row r="321" ht="56.25" customHeight="1">
      <c r="A321" s="5" t="s">
        <v>18283</v>
      </c>
      <c r="B321" s="6" t="str">
        <f>IMAGE("https://storage.googleapis.com/acdb/socks/SocksTexFootcover0.png")</f>
        <v/>
      </c>
      <c r="C321" s="5" t="s">
        <v>68</v>
      </c>
      <c r="D321" s="5" t="s">
        <v>36</v>
      </c>
      <c r="E321" s="6">
        <v>480.0</v>
      </c>
      <c r="F321" s="6">
        <v>120.0</v>
      </c>
      <c r="G321" s="5" t="s">
        <v>68</v>
      </c>
      <c r="H321" s="5" t="s">
        <v>68</v>
      </c>
      <c r="I321" s="6" t="s">
        <v>40</v>
      </c>
      <c r="J321" s="5" t="s">
        <v>8585</v>
      </c>
      <c r="K321" s="5" t="s">
        <v>8632</v>
      </c>
      <c r="L321" s="6" t="s">
        <v>42</v>
      </c>
      <c r="M321" s="5" t="s">
        <v>995</v>
      </c>
      <c r="N321" s="5" t="s">
        <v>64</v>
      </c>
      <c r="O321" s="5" t="s">
        <v>18302</v>
      </c>
      <c r="P321" s="6">
        <v>5167.0</v>
      </c>
    </row>
    <row r="322" ht="56.25" customHeight="1">
      <c r="A322" s="5" t="s">
        <v>18283</v>
      </c>
      <c r="B322" s="6" t="str">
        <f>IMAGE("https://storage.googleapis.com/acdb/socks/SocksTexFootcover7.png")</f>
        <v/>
      </c>
      <c r="C322" s="5" t="s">
        <v>57</v>
      </c>
      <c r="D322" s="5" t="s">
        <v>36</v>
      </c>
      <c r="E322" s="6">
        <v>480.0</v>
      </c>
      <c r="F322" s="6">
        <v>120.0</v>
      </c>
      <c r="G322" s="5" t="s">
        <v>57</v>
      </c>
      <c r="H322" s="5" t="s">
        <v>57</v>
      </c>
      <c r="I322" s="6" t="s">
        <v>40</v>
      </c>
      <c r="J322" s="5" t="s">
        <v>8585</v>
      </c>
      <c r="K322" s="5" t="s">
        <v>8632</v>
      </c>
      <c r="L322" s="6" t="s">
        <v>42</v>
      </c>
      <c r="M322" s="5" t="s">
        <v>995</v>
      </c>
      <c r="N322" s="5" t="s">
        <v>64</v>
      </c>
      <c r="O322" s="5" t="s">
        <v>18305</v>
      </c>
      <c r="P322" s="6">
        <v>10016.0</v>
      </c>
    </row>
    <row r="323" ht="56.25" customHeight="1">
      <c r="A323" s="5" t="s">
        <v>18306</v>
      </c>
      <c r="B323" s="6" t="str">
        <f>IMAGE("https://storage.googleapis.com/acdb/socks/SocksTexVividleggings1.png")</f>
        <v/>
      </c>
      <c r="C323" s="5" t="s">
        <v>106</v>
      </c>
      <c r="D323" s="5" t="s">
        <v>36</v>
      </c>
      <c r="E323" s="6">
        <v>450.0</v>
      </c>
      <c r="F323" s="6">
        <v>112.0</v>
      </c>
      <c r="G323" s="5" t="s">
        <v>106</v>
      </c>
      <c r="H323" s="5" t="s">
        <v>106</v>
      </c>
      <c r="I323" s="6" t="s">
        <v>40</v>
      </c>
      <c r="J323" s="5" t="s">
        <v>8585</v>
      </c>
      <c r="K323" s="5" t="s">
        <v>8586</v>
      </c>
      <c r="L323" s="6" t="s">
        <v>42</v>
      </c>
      <c r="M323" s="5" t="s">
        <v>995</v>
      </c>
      <c r="N323" s="5" t="s">
        <v>64</v>
      </c>
      <c r="O323" s="5" t="s">
        <v>18311</v>
      </c>
      <c r="P323" s="6">
        <v>9801.0</v>
      </c>
    </row>
    <row r="324" ht="56.25" customHeight="1">
      <c r="A324" s="5" t="s">
        <v>18306</v>
      </c>
      <c r="B324" s="6" t="str">
        <f>IMAGE("https://storage.googleapis.com/acdb/socks/SocksTexVividleggings2.png")</f>
        <v/>
      </c>
      <c r="C324" s="5" t="s">
        <v>52</v>
      </c>
      <c r="D324" s="5" t="s">
        <v>36</v>
      </c>
      <c r="E324" s="6">
        <v>450.0</v>
      </c>
      <c r="F324" s="6">
        <v>112.0</v>
      </c>
      <c r="G324" s="5" t="s">
        <v>52</v>
      </c>
      <c r="H324" s="5" t="s">
        <v>52</v>
      </c>
      <c r="I324" s="6" t="s">
        <v>40</v>
      </c>
      <c r="J324" s="5" t="s">
        <v>8585</v>
      </c>
      <c r="K324" s="5" t="s">
        <v>8586</v>
      </c>
      <c r="L324" s="6" t="s">
        <v>42</v>
      </c>
      <c r="M324" s="5" t="s">
        <v>995</v>
      </c>
      <c r="N324" s="5" t="s">
        <v>64</v>
      </c>
      <c r="O324" s="5" t="s">
        <v>18314</v>
      </c>
      <c r="P324" s="6">
        <v>9802.0</v>
      </c>
    </row>
    <row r="325" ht="56.25" customHeight="1">
      <c r="A325" s="5" t="s">
        <v>18306</v>
      </c>
      <c r="B325" s="6" t="str">
        <f>IMAGE("https://storage.googleapis.com/acdb/socks/SocksTexVividleggings3.png")</f>
        <v/>
      </c>
      <c r="C325" s="5" t="s">
        <v>69</v>
      </c>
      <c r="D325" s="5" t="s">
        <v>36</v>
      </c>
      <c r="E325" s="6">
        <v>450.0</v>
      </c>
      <c r="F325" s="6">
        <v>112.0</v>
      </c>
      <c r="G325" s="5" t="s">
        <v>69</v>
      </c>
      <c r="H325" s="5" t="s">
        <v>69</v>
      </c>
      <c r="I325" s="6" t="s">
        <v>40</v>
      </c>
      <c r="J325" s="5" t="s">
        <v>8585</v>
      </c>
      <c r="K325" s="5" t="s">
        <v>8586</v>
      </c>
      <c r="L325" s="6" t="s">
        <v>42</v>
      </c>
      <c r="M325" s="5" t="s">
        <v>995</v>
      </c>
      <c r="N325" s="5" t="s">
        <v>64</v>
      </c>
      <c r="O325" s="5" t="s">
        <v>18316</v>
      </c>
      <c r="P325" s="6">
        <v>9803.0</v>
      </c>
    </row>
    <row r="326" ht="56.25" customHeight="1">
      <c r="A326" s="5" t="s">
        <v>18306</v>
      </c>
      <c r="B326" s="6" t="str">
        <f>IMAGE("https://storage.googleapis.com/acdb/socks/SocksTexVividleggings4.png")</f>
        <v/>
      </c>
      <c r="C326" s="5" t="s">
        <v>68</v>
      </c>
      <c r="D326" s="5" t="s">
        <v>36</v>
      </c>
      <c r="E326" s="6">
        <v>450.0</v>
      </c>
      <c r="F326" s="6">
        <v>112.0</v>
      </c>
      <c r="G326" s="5" t="s">
        <v>68</v>
      </c>
      <c r="H326" s="5" t="s">
        <v>68</v>
      </c>
      <c r="I326" s="6" t="s">
        <v>40</v>
      </c>
      <c r="J326" s="5" t="s">
        <v>8585</v>
      </c>
      <c r="K326" s="5" t="s">
        <v>8586</v>
      </c>
      <c r="L326" s="6" t="s">
        <v>42</v>
      </c>
      <c r="M326" s="5" t="s">
        <v>995</v>
      </c>
      <c r="N326" s="5" t="s">
        <v>64</v>
      </c>
      <c r="O326" s="5" t="s">
        <v>18319</v>
      </c>
      <c r="P326" s="6">
        <v>9804.0</v>
      </c>
    </row>
    <row r="327" ht="56.25" customHeight="1">
      <c r="A327" s="5" t="s">
        <v>18306</v>
      </c>
      <c r="B327" s="6" t="str">
        <f>IMAGE("https://storage.googleapis.com/acdb/socks/SocksTexVividleggings5.png")</f>
        <v/>
      </c>
      <c r="C327" s="5" t="s">
        <v>114</v>
      </c>
      <c r="D327" s="5" t="s">
        <v>36</v>
      </c>
      <c r="E327" s="6">
        <v>450.0</v>
      </c>
      <c r="F327" s="6">
        <v>112.0</v>
      </c>
      <c r="G327" s="5" t="s">
        <v>114</v>
      </c>
      <c r="H327" s="5" t="s">
        <v>114</v>
      </c>
      <c r="I327" s="6" t="s">
        <v>40</v>
      </c>
      <c r="J327" s="5" t="s">
        <v>8585</v>
      </c>
      <c r="K327" s="5" t="s">
        <v>8586</v>
      </c>
      <c r="L327" s="6" t="s">
        <v>42</v>
      </c>
      <c r="M327" s="5" t="s">
        <v>995</v>
      </c>
      <c r="N327" s="5" t="s">
        <v>64</v>
      </c>
      <c r="O327" s="5" t="s">
        <v>18321</v>
      </c>
      <c r="P327" s="6">
        <v>9805.0</v>
      </c>
    </row>
    <row r="328" ht="56.25" customHeight="1">
      <c r="A328" s="5" t="s">
        <v>18306</v>
      </c>
      <c r="B328" s="6" t="str">
        <f>IMAGE("https://storage.googleapis.com/acdb/socks/SocksTexVividleggings6.png")</f>
        <v/>
      </c>
      <c r="C328" s="5" t="s">
        <v>96</v>
      </c>
      <c r="D328" s="5" t="s">
        <v>36</v>
      </c>
      <c r="E328" s="6">
        <v>450.0</v>
      </c>
      <c r="F328" s="6">
        <v>112.0</v>
      </c>
      <c r="G328" s="5" t="s">
        <v>96</v>
      </c>
      <c r="H328" s="5" t="s">
        <v>96</v>
      </c>
      <c r="I328" s="6" t="s">
        <v>40</v>
      </c>
      <c r="J328" s="5" t="s">
        <v>8585</v>
      </c>
      <c r="K328" s="5" t="s">
        <v>8586</v>
      </c>
      <c r="L328" s="6" t="s">
        <v>42</v>
      </c>
      <c r="M328" s="5" t="s">
        <v>995</v>
      </c>
      <c r="N328" s="5" t="s">
        <v>64</v>
      </c>
      <c r="O328" s="5" t="s">
        <v>18324</v>
      </c>
      <c r="P328" s="6">
        <v>9806.0</v>
      </c>
    </row>
    <row r="329" ht="56.25" customHeight="1">
      <c r="A329" s="5" t="s">
        <v>18306</v>
      </c>
      <c r="B329" s="6" t="str">
        <f>IMAGE("https://storage.googleapis.com/acdb/socks/SocksTexVividleggings7.png")</f>
        <v/>
      </c>
      <c r="C329" s="5" t="s">
        <v>142</v>
      </c>
      <c r="D329" s="5" t="s">
        <v>36</v>
      </c>
      <c r="E329" s="6">
        <v>450.0</v>
      </c>
      <c r="F329" s="6">
        <v>112.0</v>
      </c>
      <c r="G329" s="5" t="s">
        <v>142</v>
      </c>
      <c r="H329" s="5" t="s">
        <v>142</v>
      </c>
      <c r="I329" s="6" t="s">
        <v>40</v>
      </c>
      <c r="J329" s="5" t="s">
        <v>8585</v>
      </c>
      <c r="K329" s="5" t="s">
        <v>8586</v>
      </c>
      <c r="L329" s="6" t="s">
        <v>42</v>
      </c>
      <c r="M329" s="5" t="s">
        <v>995</v>
      </c>
      <c r="N329" s="5" t="s">
        <v>64</v>
      </c>
      <c r="O329" s="5" t="s">
        <v>18328</v>
      </c>
      <c r="P329" s="6">
        <v>9807.0</v>
      </c>
    </row>
    <row r="330" ht="56.25" customHeight="1">
      <c r="A330" s="5" t="s">
        <v>18306</v>
      </c>
      <c r="B330" s="6" t="str">
        <f>IMAGE("https://storage.googleapis.com/acdb/socks/SocksTexVividleggings0.png")</f>
        <v/>
      </c>
      <c r="C330" s="5" t="s">
        <v>83</v>
      </c>
      <c r="D330" s="5" t="s">
        <v>36</v>
      </c>
      <c r="E330" s="6">
        <v>450.0</v>
      </c>
      <c r="F330" s="6">
        <v>112.0</v>
      </c>
      <c r="G330" s="5" t="s">
        <v>83</v>
      </c>
      <c r="H330" s="5" t="s">
        <v>83</v>
      </c>
      <c r="I330" s="6" t="s">
        <v>40</v>
      </c>
      <c r="J330" s="5" t="s">
        <v>8585</v>
      </c>
      <c r="K330" s="5" t="s">
        <v>8586</v>
      </c>
      <c r="L330" s="6" t="s">
        <v>42</v>
      </c>
      <c r="M330" s="5" t="s">
        <v>995</v>
      </c>
      <c r="N330" s="5" t="s">
        <v>64</v>
      </c>
      <c r="O330" s="5" t="s">
        <v>18333</v>
      </c>
      <c r="P330" s="6">
        <v>9585.0</v>
      </c>
    </row>
    <row r="331" ht="56.25" customHeight="1">
      <c r="A331" s="5" t="s">
        <v>18334</v>
      </c>
      <c r="B331" s="6" t="str">
        <f>IMAGE("https://storage.googleapis.com/acdb/socks/SocksTexVividsocks0.png")</f>
        <v/>
      </c>
      <c r="C331" s="5" t="s">
        <v>52</v>
      </c>
      <c r="D331" s="5" t="s">
        <v>36</v>
      </c>
      <c r="E331" s="6">
        <v>480.0</v>
      </c>
      <c r="F331" s="6">
        <v>120.0</v>
      </c>
      <c r="G331" s="5" t="s">
        <v>52</v>
      </c>
      <c r="H331" s="5" t="s">
        <v>52</v>
      </c>
      <c r="I331" s="6" t="s">
        <v>40</v>
      </c>
      <c r="J331" s="5" t="s">
        <v>8585</v>
      </c>
      <c r="K331" s="5" t="s">
        <v>8586</v>
      </c>
      <c r="L331" s="6" t="s">
        <v>42</v>
      </c>
      <c r="M331" s="5" t="s">
        <v>995</v>
      </c>
      <c r="N331" s="5" t="s">
        <v>64</v>
      </c>
      <c r="O331" s="5" t="s">
        <v>18338</v>
      </c>
      <c r="P331" s="6">
        <v>9643.0</v>
      </c>
    </row>
    <row r="332" ht="56.25" customHeight="1">
      <c r="A332" s="5" t="s">
        <v>18334</v>
      </c>
      <c r="B332" s="6" t="str">
        <f>IMAGE("https://storage.googleapis.com/acdb/socks/SocksTexStandard1.png")</f>
        <v/>
      </c>
      <c r="C332" s="5" t="s">
        <v>96</v>
      </c>
      <c r="D332" s="5" t="s">
        <v>36</v>
      </c>
      <c r="E332" s="6">
        <v>480.0</v>
      </c>
      <c r="F332" s="6">
        <v>120.0</v>
      </c>
      <c r="G332" s="5" t="s">
        <v>96</v>
      </c>
      <c r="H332" s="5" t="s">
        <v>96</v>
      </c>
      <c r="I332" s="6" t="s">
        <v>40</v>
      </c>
      <c r="J332" s="5" t="s">
        <v>8585</v>
      </c>
      <c r="K332" s="5" t="s">
        <v>8586</v>
      </c>
      <c r="L332" s="6" t="s">
        <v>42</v>
      </c>
      <c r="M332" s="5" t="s">
        <v>995</v>
      </c>
      <c r="N332" s="5" t="s">
        <v>64</v>
      </c>
      <c r="O332" s="5" t="s">
        <v>18340</v>
      </c>
      <c r="P332" s="6">
        <v>6898.0</v>
      </c>
    </row>
    <row r="333" ht="56.25" customHeight="1">
      <c r="A333" s="5" t="s">
        <v>18334</v>
      </c>
      <c r="B333" s="6" t="str">
        <f>IMAGE("https://storage.googleapis.com/acdb/socks/SocksTexVividsocks2.png")</f>
        <v/>
      </c>
      <c r="C333" s="5" t="s">
        <v>83</v>
      </c>
      <c r="D333" s="5" t="s">
        <v>36</v>
      </c>
      <c r="E333" s="6">
        <v>480.0</v>
      </c>
      <c r="F333" s="6">
        <v>120.0</v>
      </c>
      <c r="G333" s="5" t="s">
        <v>83</v>
      </c>
      <c r="H333" s="5" t="s">
        <v>83</v>
      </c>
      <c r="I333" s="6" t="s">
        <v>40</v>
      </c>
      <c r="J333" s="5" t="s">
        <v>8585</v>
      </c>
      <c r="K333" s="5" t="s">
        <v>8586</v>
      </c>
      <c r="L333" s="6" t="s">
        <v>42</v>
      </c>
      <c r="M333" s="5" t="s">
        <v>995</v>
      </c>
      <c r="N333" s="5" t="s">
        <v>64</v>
      </c>
      <c r="O333" s="5" t="s">
        <v>18343</v>
      </c>
      <c r="P333" s="6">
        <v>10021.0</v>
      </c>
    </row>
    <row r="334" ht="56.25" customHeight="1">
      <c r="A334" s="5" t="s">
        <v>18334</v>
      </c>
      <c r="B334" s="6" t="str">
        <f>IMAGE("https://storage.googleapis.com/acdb/socks/SocksTexVividsocks3.png")</f>
        <v/>
      </c>
      <c r="C334" s="5" t="s">
        <v>68</v>
      </c>
      <c r="D334" s="5" t="s">
        <v>36</v>
      </c>
      <c r="E334" s="6">
        <v>480.0</v>
      </c>
      <c r="F334" s="6">
        <v>120.0</v>
      </c>
      <c r="G334" s="5" t="s">
        <v>68</v>
      </c>
      <c r="H334" s="5" t="s">
        <v>68</v>
      </c>
      <c r="I334" s="6" t="s">
        <v>40</v>
      </c>
      <c r="J334" s="5" t="s">
        <v>8585</v>
      </c>
      <c r="K334" s="5" t="s">
        <v>8586</v>
      </c>
      <c r="L334" s="6" t="s">
        <v>42</v>
      </c>
      <c r="M334" s="5" t="s">
        <v>995</v>
      </c>
      <c r="N334" s="5" t="s">
        <v>64</v>
      </c>
      <c r="O334" s="5" t="s">
        <v>18345</v>
      </c>
      <c r="P334" s="6">
        <v>10022.0</v>
      </c>
    </row>
    <row r="335" ht="56.25" customHeight="1">
      <c r="A335" s="5" t="s">
        <v>18334</v>
      </c>
      <c r="B335" s="6" t="str">
        <f>IMAGE("https://storage.googleapis.com/acdb/socks/SocksTexVividsocks4.png")</f>
        <v/>
      </c>
      <c r="C335" s="5" t="s">
        <v>106</v>
      </c>
      <c r="D335" s="5" t="s">
        <v>36</v>
      </c>
      <c r="E335" s="6">
        <v>480.0</v>
      </c>
      <c r="F335" s="6">
        <v>120.0</v>
      </c>
      <c r="G335" s="5" t="s">
        <v>106</v>
      </c>
      <c r="H335" s="5" t="s">
        <v>106</v>
      </c>
      <c r="I335" s="6" t="s">
        <v>40</v>
      </c>
      <c r="J335" s="5" t="s">
        <v>8585</v>
      </c>
      <c r="K335" s="5" t="s">
        <v>8586</v>
      </c>
      <c r="L335" s="6" t="s">
        <v>42</v>
      </c>
      <c r="M335" s="5" t="s">
        <v>995</v>
      </c>
      <c r="N335" s="5" t="s">
        <v>64</v>
      </c>
      <c r="O335" s="5" t="s">
        <v>18348</v>
      </c>
      <c r="P335" s="6">
        <v>10023.0</v>
      </c>
    </row>
    <row r="336" ht="56.25" customHeight="1">
      <c r="A336" s="5" t="s">
        <v>18334</v>
      </c>
      <c r="B336" s="6" t="str">
        <f>IMAGE("https://storage.googleapis.com/acdb/socks/SocksTexVividsocks5.png")</f>
        <v/>
      </c>
      <c r="C336" s="5" t="s">
        <v>69</v>
      </c>
      <c r="D336" s="5" t="s">
        <v>36</v>
      </c>
      <c r="E336" s="6">
        <v>480.0</v>
      </c>
      <c r="F336" s="6">
        <v>120.0</v>
      </c>
      <c r="G336" s="5" t="s">
        <v>69</v>
      </c>
      <c r="H336" s="5" t="s">
        <v>69</v>
      </c>
      <c r="I336" s="6" t="s">
        <v>40</v>
      </c>
      <c r="J336" s="5" t="s">
        <v>8585</v>
      </c>
      <c r="K336" s="5" t="s">
        <v>8586</v>
      </c>
      <c r="L336" s="6" t="s">
        <v>42</v>
      </c>
      <c r="M336" s="5" t="s">
        <v>995</v>
      </c>
      <c r="N336" s="5" t="s">
        <v>64</v>
      </c>
      <c r="O336" s="5" t="s">
        <v>18350</v>
      </c>
      <c r="P336" s="6">
        <v>10024.0</v>
      </c>
    </row>
    <row r="337" ht="56.25" customHeight="1">
      <c r="A337" s="5" t="s">
        <v>18334</v>
      </c>
      <c r="B337" s="6" t="str">
        <f>IMAGE("https://storage.googleapis.com/acdb/socks/SocksTexVividsocks6.png")</f>
        <v/>
      </c>
      <c r="C337" s="5" t="s">
        <v>142</v>
      </c>
      <c r="D337" s="5" t="s">
        <v>36</v>
      </c>
      <c r="E337" s="6">
        <v>480.0</v>
      </c>
      <c r="F337" s="6">
        <v>120.0</v>
      </c>
      <c r="G337" s="5" t="s">
        <v>142</v>
      </c>
      <c r="H337" s="5" t="s">
        <v>142</v>
      </c>
      <c r="I337" s="6" t="s">
        <v>40</v>
      </c>
      <c r="J337" s="5" t="s">
        <v>8585</v>
      </c>
      <c r="K337" s="5" t="s">
        <v>8586</v>
      </c>
      <c r="L337" s="6" t="s">
        <v>42</v>
      </c>
      <c r="M337" s="5" t="s">
        <v>995</v>
      </c>
      <c r="N337" s="5" t="s">
        <v>64</v>
      </c>
      <c r="O337" s="5" t="s">
        <v>18354</v>
      </c>
      <c r="P337" s="6">
        <v>10025.0</v>
      </c>
    </row>
    <row r="338" ht="56.25" customHeight="1">
      <c r="A338" s="5" t="s">
        <v>18334</v>
      </c>
      <c r="B338" s="6" t="str">
        <f>IMAGE("https://storage.googleapis.com/acdb/socks/SocksTexVividsocks7.png")</f>
        <v/>
      </c>
      <c r="C338" s="5" t="s">
        <v>114</v>
      </c>
      <c r="D338" s="5" t="s">
        <v>36</v>
      </c>
      <c r="E338" s="6">
        <v>480.0</v>
      </c>
      <c r="F338" s="6">
        <v>120.0</v>
      </c>
      <c r="G338" s="5" t="s">
        <v>114</v>
      </c>
      <c r="H338" s="5" t="s">
        <v>114</v>
      </c>
      <c r="I338" s="6" t="s">
        <v>40</v>
      </c>
      <c r="J338" s="5" t="s">
        <v>8585</v>
      </c>
      <c r="K338" s="5" t="s">
        <v>8586</v>
      </c>
      <c r="L338" s="6" t="s">
        <v>42</v>
      </c>
      <c r="M338" s="5" t="s">
        <v>995</v>
      </c>
      <c r="N338" s="5" t="s">
        <v>64</v>
      </c>
      <c r="O338" s="5" t="s">
        <v>18359</v>
      </c>
      <c r="P338" s="6">
        <v>10026.0</v>
      </c>
    </row>
    <row r="339" ht="56.25" customHeight="1">
      <c r="A339" s="5" t="s">
        <v>18360</v>
      </c>
      <c r="B339" s="6" t="str">
        <f>IMAGE("https://storage.googleapis.com/acdb/socks/SocksTexVividtights4.png")</f>
        <v/>
      </c>
      <c r="C339" s="5" t="s">
        <v>68</v>
      </c>
      <c r="D339" s="5" t="s">
        <v>36</v>
      </c>
      <c r="E339" s="6">
        <v>720.0</v>
      </c>
      <c r="F339" s="6">
        <v>180.0</v>
      </c>
      <c r="G339" s="5" t="s">
        <v>68</v>
      </c>
      <c r="H339" s="5" t="s">
        <v>68</v>
      </c>
      <c r="I339" s="6" t="s">
        <v>40</v>
      </c>
      <c r="J339" s="5" t="s">
        <v>8585</v>
      </c>
      <c r="K339" s="5" t="s">
        <v>8586</v>
      </c>
      <c r="L339" s="6" t="s">
        <v>42</v>
      </c>
      <c r="M339" s="5" t="s">
        <v>995</v>
      </c>
      <c r="N339" s="5" t="s">
        <v>64</v>
      </c>
      <c r="O339" s="5" t="s">
        <v>18362</v>
      </c>
      <c r="P339" s="6">
        <v>9690.0</v>
      </c>
    </row>
    <row r="340" ht="56.25" customHeight="1">
      <c r="A340" s="5" t="s">
        <v>18360</v>
      </c>
      <c r="B340" s="6" t="str">
        <f>IMAGE("https://storage.googleapis.com/acdb/socks/SocksTexVividtights5.png")</f>
        <v/>
      </c>
      <c r="C340" s="5" t="s">
        <v>114</v>
      </c>
      <c r="D340" s="5" t="s">
        <v>36</v>
      </c>
      <c r="E340" s="6">
        <v>720.0</v>
      </c>
      <c r="F340" s="6">
        <v>180.0</v>
      </c>
      <c r="G340" s="5" t="s">
        <v>114</v>
      </c>
      <c r="H340" s="5" t="s">
        <v>114</v>
      </c>
      <c r="I340" s="6" t="s">
        <v>40</v>
      </c>
      <c r="J340" s="5" t="s">
        <v>8585</v>
      </c>
      <c r="K340" s="5" t="s">
        <v>8586</v>
      </c>
      <c r="L340" s="6" t="s">
        <v>42</v>
      </c>
      <c r="M340" s="5" t="s">
        <v>995</v>
      </c>
      <c r="N340" s="5" t="s">
        <v>64</v>
      </c>
      <c r="O340" s="5" t="s">
        <v>18365</v>
      </c>
      <c r="P340" s="6">
        <v>9691.0</v>
      </c>
    </row>
    <row r="341" ht="56.25" customHeight="1">
      <c r="A341" s="5" t="s">
        <v>18360</v>
      </c>
      <c r="B341" s="6" t="str">
        <f>IMAGE("https://storage.googleapis.com/acdb/socks/SocksTexVividtights6.png")</f>
        <v/>
      </c>
      <c r="C341" s="5" t="s">
        <v>96</v>
      </c>
      <c r="D341" s="5" t="s">
        <v>36</v>
      </c>
      <c r="E341" s="6">
        <v>720.0</v>
      </c>
      <c r="F341" s="6">
        <v>180.0</v>
      </c>
      <c r="G341" s="5" t="s">
        <v>96</v>
      </c>
      <c r="H341" s="5" t="s">
        <v>96</v>
      </c>
      <c r="I341" s="6" t="s">
        <v>40</v>
      </c>
      <c r="J341" s="5" t="s">
        <v>8585</v>
      </c>
      <c r="K341" s="5" t="s">
        <v>8586</v>
      </c>
      <c r="L341" s="6" t="s">
        <v>42</v>
      </c>
      <c r="M341" s="5" t="s">
        <v>995</v>
      </c>
      <c r="N341" s="5" t="s">
        <v>64</v>
      </c>
      <c r="O341" s="5" t="s">
        <v>18367</v>
      </c>
      <c r="P341" s="6">
        <v>9692.0</v>
      </c>
    </row>
    <row r="342" ht="56.25" customHeight="1">
      <c r="A342" s="5" t="s">
        <v>18360</v>
      </c>
      <c r="B342" s="6" t="str">
        <f>IMAGE("https://storage.googleapis.com/acdb/socks/SocksTexVividtights7.png")</f>
        <v/>
      </c>
      <c r="C342" s="5" t="s">
        <v>142</v>
      </c>
      <c r="D342" s="5" t="s">
        <v>36</v>
      </c>
      <c r="E342" s="6">
        <v>720.0</v>
      </c>
      <c r="F342" s="6">
        <v>180.0</v>
      </c>
      <c r="G342" s="5" t="s">
        <v>142</v>
      </c>
      <c r="H342" s="5" t="s">
        <v>142</v>
      </c>
      <c r="I342" s="6" t="s">
        <v>40</v>
      </c>
      <c r="J342" s="5" t="s">
        <v>8585</v>
      </c>
      <c r="K342" s="5" t="s">
        <v>8586</v>
      </c>
      <c r="L342" s="6" t="s">
        <v>42</v>
      </c>
      <c r="M342" s="5" t="s">
        <v>995</v>
      </c>
      <c r="N342" s="5" t="s">
        <v>64</v>
      </c>
      <c r="O342" s="5" t="s">
        <v>18369</v>
      </c>
      <c r="P342" s="6">
        <v>9693.0</v>
      </c>
    </row>
    <row r="343" ht="56.25" customHeight="1">
      <c r="A343" s="5" t="s">
        <v>18360</v>
      </c>
      <c r="B343" s="6" t="str">
        <f>IMAGE("https://storage.googleapis.com/acdb/socks/SocksTexVividtights1.png")</f>
        <v/>
      </c>
      <c r="C343" s="5" t="s">
        <v>106</v>
      </c>
      <c r="D343" s="5" t="s">
        <v>36</v>
      </c>
      <c r="E343" s="6">
        <v>720.0</v>
      </c>
      <c r="F343" s="6">
        <v>180.0</v>
      </c>
      <c r="G343" s="5" t="s">
        <v>106</v>
      </c>
      <c r="H343" s="5" t="s">
        <v>106</v>
      </c>
      <c r="I343" s="6" t="s">
        <v>40</v>
      </c>
      <c r="J343" s="5" t="s">
        <v>8585</v>
      </c>
      <c r="K343" s="5" t="s">
        <v>8586</v>
      </c>
      <c r="L343" s="6" t="s">
        <v>42</v>
      </c>
      <c r="M343" s="5" t="s">
        <v>995</v>
      </c>
      <c r="N343" s="5" t="s">
        <v>64</v>
      </c>
      <c r="O343" s="5" t="s">
        <v>18372</v>
      </c>
      <c r="P343" s="6">
        <v>9687.0</v>
      </c>
    </row>
    <row r="344" ht="56.25" customHeight="1">
      <c r="A344" s="5" t="s">
        <v>18360</v>
      </c>
      <c r="B344" s="6" t="str">
        <f>IMAGE("https://storage.googleapis.com/acdb/socks/SocksTexVividtights2.png")</f>
        <v/>
      </c>
      <c r="C344" s="5" t="s">
        <v>52</v>
      </c>
      <c r="D344" s="5" t="s">
        <v>36</v>
      </c>
      <c r="E344" s="6">
        <v>720.0</v>
      </c>
      <c r="F344" s="6">
        <v>180.0</v>
      </c>
      <c r="G344" s="5" t="s">
        <v>52</v>
      </c>
      <c r="H344" s="5" t="s">
        <v>52</v>
      </c>
      <c r="I344" s="6" t="s">
        <v>40</v>
      </c>
      <c r="J344" s="5" t="s">
        <v>8585</v>
      </c>
      <c r="K344" s="5" t="s">
        <v>8586</v>
      </c>
      <c r="L344" s="6" t="s">
        <v>42</v>
      </c>
      <c r="M344" s="5" t="s">
        <v>995</v>
      </c>
      <c r="N344" s="5" t="s">
        <v>64</v>
      </c>
      <c r="O344" s="5" t="s">
        <v>18375</v>
      </c>
      <c r="P344" s="6">
        <v>9688.0</v>
      </c>
    </row>
    <row r="345" ht="56.25" customHeight="1">
      <c r="A345" s="5" t="s">
        <v>18360</v>
      </c>
      <c r="B345" s="6" t="str">
        <f>IMAGE("https://storage.googleapis.com/acdb/socks/SocksTexVividtights3.png")</f>
        <v/>
      </c>
      <c r="C345" s="5" t="s">
        <v>69</v>
      </c>
      <c r="D345" s="5" t="s">
        <v>36</v>
      </c>
      <c r="E345" s="6">
        <v>720.0</v>
      </c>
      <c r="F345" s="6">
        <v>180.0</v>
      </c>
      <c r="G345" s="5" t="s">
        <v>69</v>
      </c>
      <c r="H345" s="5" t="s">
        <v>69</v>
      </c>
      <c r="I345" s="6" t="s">
        <v>40</v>
      </c>
      <c r="J345" s="5" t="s">
        <v>8585</v>
      </c>
      <c r="K345" s="5" t="s">
        <v>8586</v>
      </c>
      <c r="L345" s="6" t="s">
        <v>42</v>
      </c>
      <c r="M345" s="5" t="s">
        <v>995</v>
      </c>
      <c r="N345" s="5" t="s">
        <v>64</v>
      </c>
      <c r="O345" s="5" t="s">
        <v>18378</v>
      </c>
      <c r="P345" s="6">
        <v>9689.0</v>
      </c>
    </row>
    <row r="346" ht="56.25" customHeight="1">
      <c r="A346" s="5" t="s">
        <v>18360</v>
      </c>
      <c r="B346" s="6" t="str">
        <f>IMAGE("https://storage.googleapis.com/acdb/socks/SocksTexVividtights0.png")</f>
        <v/>
      </c>
      <c r="C346" s="5" t="s">
        <v>83</v>
      </c>
      <c r="D346" s="5" t="s">
        <v>36</v>
      </c>
      <c r="E346" s="6">
        <v>720.0</v>
      </c>
      <c r="F346" s="6">
        <v>180.0</v>
      </c>
      <c r="G346" s="5" t="s">
        <v>83</v>
      </c>
      <c r="H346" s="5" t="s">
        <v>83</v>
      </c>
      <c r="I346" s="6" t="s">
        <v>40</v>
      </c>
      <c r="J346" s="5" t="s">
        <v>8585</v>
      </c>
      <c r="K346" s="5" t="s">
        <v>8586</v>
      </c>
      <c r="L346" s="6" t="s">
        <v>42</v>
      </c>
      <c r="M346" s="5" t="s">
        <v>995</v>
      </c>
      <c r="N346" s="5" t="s">
        <v>64</v>
      </c>
      <c r="O346" s="5" t="s">
        <v>18380</v>
      </c>
      <c r="P346" s="6">
        <v>9582.0</v>
      </c>
    </row>
    <row r="347" ht="56.25" customHeight="1">
      <c r="A347" s="5" t="s">
        <v>18381</v>
      </c>
      <c r="B347" s="6" t="str">
        <f>IMAGE("https://storage.googleapis.com/acdb/socks/SocksTexWave0.png")</f>
        <v/>
      </c>
      <c r="C347" s="5" t="s">
        <v>68</v>
      </c>
      <c r="D347" s="5" t="s">
        <v>36</v>
      </c>
      <c r="E347" s="6">
        <v>600.0</v>
      </c>
      <c r="F347" s="6">
        <v>150.0</v>
      </c>
      <c r="G347" s="5" t="s">
        <v>68</v>
      </c>
      <c r="H347" s="5" t="s">
        <v>83</v>
      </c>
      <c r="I347" s="6" t="s">
        <v>40</v>
      </c>
      <c r="J347" s="5" t="s">
        <v>17203</v>
      </c>
      <c r="K347" s="5"/>
      <c r="L347" s="6" t="s">
        <v>42</v>
      </c>
      <c r="M347" s="5" t="s">
        <v>1952</v>
      </c>
      <c r="N347" s="5" t="s">
        <v>64</v>
      </c>
      <c r="O347" s="5" t="s">
        <v>18384</v>
      </c>
      <c r="P347" s="6">
        <v>5813.0</v>
      </c>
    </row>
    <row r="348" ht="56.25" customHeight="1">
      <c r="A348" s="5" t="s">
        <v>18381</v>
      </c>
      <c r="B348" s="6" t="str">
        <f>IMAGE("https://storage.googleapis.com/acdb/socks/SocksTexWave1.png")</f>
        <v/>
      </c>
      <c r="C348" s="5" t="s">
        <v>39</v>
      </c>
      <c r="D348" s="5" t="s">
        <v>36</v>
      </c>
      <c r="E348" s="6">
        <v>600.0</v>
      </c>
      <c r="F348" s="6">
        <v>150.0</v>
      </c>
      <c r="G348" s="5" t="s">
        <v>39</v>
      </c>
      <c r="H348" s="5" t="s">
        <v>38</v>
      </c>
      <c r="I348" s="6" t="s">
        <v>40</v>
      </c>
      <c r="J348" s="5" t="s">
        <v>17203</v>
      </c>
      <c r="K348" s="5"/>
      <c r="L348" s="6" t="s">
        <v>42</v>
      </c>
      <c r="M348" s="5" t="s">
        <v>1952</v>
      </c>
      <c r="N348" s="5" t="s">
        <v>64</v>
      </c>
      <c r="O348" s="5" t="s">
        <v>18387</v>
      </c>
      <c r="P348" s="6">
        <v>9933.0</v>
      </c>
    </row>
    <row r="349" ht="56.25" customHeight="1">
      <c r="A349" s="5" t="s">
        <v>18381</v>
      </c>
      <c r="B349" s="6" t="str">
        <f>IMAGE("https://storage.googleapis.com/acdb/socks/SocksTexWave2.png")</f>
        <v/>
      </c>
      <c r="C349" s="5" t="s">
        <v>106</v>
      </c>
      <c r="D349" s="5" t="s">
        <v>36</v>
      </c>
      <c r="E349" s="6">
        <v>600.0</v>
      </c>
      <c r="F349" s="6">
        <v>150.0</v>
      </c>
      <c r="G349" s="5" t="s">
        <v>106</v>
      </c>
      <c r="H349" s="5" t="s">
        <v>69</v>
      </c>
      <c r="I349" s="6" t="s">
        <v>40</v>
      </c>
      <c r="J349" s="5" t="s">
        <v>17203</v>
      </c>
      <c r="K349" s="5"/>
      <c r="L349" s="6" t="s">
        <v>42</v>
      </c>
      <c r="M349" s="5" t="s">
        <v>1952</v>
      </c>
      <c r="N349" s="5" t="s">
        <v>64</v>
      </c>
      <c r="O349" s="5" t="s">
        <v>18389</v>
      </c>
      <c r="P349" s="6">
        <v>9934.0</v>
      </c>
    </row>
    <row r="350" ht="56.25" customHeight="1">
      <c r="A350" s="5" t="s">
        <v>18381</v>
      </c>
      <c r="B350" s="6" t="str">
        <f>IMAGE("https://storage.googleapis.com/acdb/socks/SocksTexWave3.png")</f>
        <v/>
      </c>
      <c r="C350" s="5" t="s">
        <v>96</v>
      </c>
      <c r="D350" s="5" t="s">
        <v>36</v>
      </c>
      <c r="E350" s="6">
        <v>600.0</v>
      </c>
      <c r="F350" s="6">
        <v>150.0</v>
      </c>
      <c r="G350" s="5" t="s">
        <v>96</v>
      </c>
      <c r="H350" s="5" t="s">
        <v>96</v>
      </c>
      <c r="I350" s="6" t="s">
        <v>40</v>
      </c>
      <c r="J350" s="5" t="s">
        <v>17203</v>
      </c>
      <c r="K350" s="5"/>
      <c r="L350" s="6" t="s">
        <v>42</v>
      </c>
      <c r="M350" s="5" t="s">
        <v>1952</v>
      </c>
      <c r="N350" s="5" t="s">
        <v>64</v>
      </c>
      <c r="O350" s="5" t="s">
        <v>18392</v>
      </c>
      <c r="P350" s="6">
        <v>9935.0</v>
      </c>
    </row>
    <row r="351" ht="56.25" customHeight="1">
      <c r="A351" s="5" t="s">
        <v>18381</v>
      </c>
      <c r="B351" s="6" t="str">
        <f>IMAGE("https://storage.googleapis.com/acdb/socks/SocksTexWave4.png")</f>
        <v/>
      </c>
      <c r="C351" s="5" t="s">
        <v>95</v>
      </c>
      <c r="D351" s="5" t="s">
        <v>36</v>
      </c>
      <c r="E351" s="6">
        <v>600.0</v>
      </c>
      <c r="F351" s="6">
        <v>150.0</v>
      </c>
      <c r="G351" s="5" t="s">
        <v>54</v>
      </c>
      <c r="H351" s="5" t="s">
        <v>95</v>
      </c>
      <c r="I351" s="6" t="s">
        <v>40</v>
      </c>
      <c r="J351" s="5" t="s">
        <v>17203</v>
      </c>
      <c r="K351" s="5"/>
      <c r="L351" s="6" t="s">
        <v>42</v>
      </c>
      <c r="M351" s="5" t="s">
        <v>1952</v>
      </c>
      <c r="N351" s="5" t="s">
        <v>64</v>
      </c>
      <c r="O351" s="5" t="s">
        <v>18394</v>
      </c>
      <c r="P351" s="6">
        <v>9936.0</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3" width="10.86"/>
    <col customWidth="1" min="4" max="4" width="4.43"/>
    <col customWidth="1" min="5" max="6" width="5.86"/>
    <col customWidth="1" min="7" max="8" width="8.0"/>
    <col customWidth="1" min="9" max="9" width="5.14"/>
    <col customWidth="1" min="10" max="10" width="12.29"/>
    <col customWidth="1" min="11" max="11" width="25.14"/>
    <col customWidth="1" min="12" max="12" width="8.0"/>
    <col customWidth="1" min="13" max="13" width="9.43"/>
    <col customWidth="1" min="14" max="14" width="8.0"/>
    <col customWidth="1" min="15" max="15" width="10.86"/>
    <col customWidth="1" min="16" max="16" width="8.0"/>
  </cols>
  <sheetData>
    <row r="1" ht="26.25" customHeight="1">
      <c r="A1" s="1" t="s">
        <v>0</v>
      </c>
      <c r="B1" s="2" t="s">
        <v>1</v>
      </c>
      <c r="C1" s="1" t="s">
        <v>2</v>
      </c>
      <c r="D1" s="1" t="s">
        <v>6</v>
      </c>
      <c r="E1" s="2" t="s">
        <v>10</v>
      </c>
      <c r="F1" s="2" t="s">
        <v>11</v>
      </c>
      <c r="G1" s="1" t="s">
        <v>12</v>
      </c>
      <c r="H1" s="1" t="s">
        <v>13</v>
      </c>
      <c r="I1" s="2" t="s">
        <v>14</v>
      </c>
      <c r="J1" s="1" t="s">
        <v>15</v>
      </c>
      <c r="K1" s="1" t="s">
        <v>16</v>
      </c>
      <c r="L1" s="2" t="s">
        <v>17</v>
      </c>
      <c r="M1" s="1" t="s">
        <v>8575</v>
      </c>
      <c r="N1" s="1" t="s">
        <v>26</v>
      </c>
      <c r="O1" s="1" t="s">
        <v>27</v>
      </c>
      <c r="P1" s="2" t="s">
        <v>29</v>
      </c>
    </row>
    <row r="2" ht="56.25" customHeight="1">
      <c r="A2" s="5" t="s">
        <v>17423</v>
      </c>
      <c r="B2" s="16" t="str">
        <f>IMAGE("https://storage.googleapis.com/acdb/shoes/ShoesKneeAntique0.png")</f>
        <v/>
      </c>
      <c r="C2" s="5" t="s">
        <v>39</v>
      </c>
      <c r="D2" s="5" t="s">
        <v>36</v>
      </c>
      <c r="E2" s="6">
        <v>2640.0</v>
      </c>
      <c r="F2" s="6">
        <v>660.0</v>
      </c>
      <c r="G2" s="5" t="s">
        <v>39</v>
      </c>
      <c r="H2" s="5" t="s">
        <v>39</v>
      </c>
      <c r="I2" s="6" t="s">
        <v>40</v>
      </c>
      <c r="J2" s="5" t="s">
        <v>8585</v>
      </c>
      <c r="K2" s="5" t="s">
        <v>8632</v>
      </c>
      <c r="L2" s="6" t="s">
        <v>42</v>
      </c>
      <c r="M2" s="5" t="s">
        <v>995</v>
      </c>
      <c r="N2" s="5" t="s">
        <v>64</v>
      </c>
      <c r="O2" s="5" t="s">
        <v>17426</v>
      </c>
      <c r="P2" s="6">
        <v>5523.0</v>
      </c>
    </row>
    <row r="3" ht="56.25" customHeight="1">
      <c r="A3" s="5" t="s">
        <v>17423</v>
      </c>
      <c r="B3" s="16" t="str">
        <f>IMAGE("https://storage.googleapis.com/acdb/shoes/ShoesKneeAntique1.png")</f>
        <v/>
      </c>
      <c r="C3" s="5" t="s">
        <v>54</v>
      </c>
      <c r="D3" s="5" t="s">
        <v>36</v>
      </c>
      <c r="E3" s="6">
        <v>2640.0</v>
      </c>
      <c r="F3" s="6">
        <v>660.0</v>
      </c>
      <c r="G3" s="5" t="s">
        <v>54</v>
      </c>
      <c r="H3" s="5" t="s">
        <v>54</v>
      </c>
      <c r="I3" s="6" t="s">
        <v>40</v>
      </c>
      <c r="J3" s="5" t="s">
        <v>8585</v>
      </c>
      <c r="K3" s="5" t="s">
        <v>8632</v>
      </c>
      <c r="L3" s="6" t="s">
        <v>42</v>
      </c>
      <c r="M3" s="5" t="s">
        <v>995</v>
      </c>
      <c r="N3" s="5" t="s">
        <v>64</v>
      </c>
      <c r="O3" s="5" t="s">
        <v>17430</v>
      </c>
      <c r="P3" s="6">
        <v>5523.0</v>
      </c>
    </row>
    <row r="4" ht="56.25" customHeight="1">
      <c r="A4" s="5" t="s">
        <v>17423</v>
      </c>
      <c r="B4" s="16" t="str">
        <f>IMAGE("https://storage.googleapis.com/acdb/shoes/ShoesKneeAntique2.png")</f>
        <v/>
      </c>
      <c r="C4" s="5" t="s">
        <v>17082</v>
      </c>
      <c r="D4" s="5" t="s">
        <v>36</v>
      </c>
      <c r="E4" s="6">
        <v>2640.0</v>
      </c>
      <c r="F4" s="6">
        <v>660.0</v>
      </c>
      <c r="G4" s="5" t="s">
        <v>38</v>
      </c>
      <c r="H4" s="5" t="s">
        <v>38</v>
      </c>
      <c r="I4" s="6" t="s">
        <v>40</v>
      </c>
      <c r="J4" s="5" t="s">
        <v>8585</v>
      </c>
      <c r="K4" s="5" t="s">
        <v>8632</v>
      </c>
      <c r="L4" s="6" t="s">
        <v>42</v>
      </c>
      <c r="M4" s="5" t="s">
        <v>995</v>
      </c>
      <c r="N4" s="5" t="s">
        <v>64</v>
      </c>
      <c r="O4" s="5" t="s">
        <v>17431</v>
      </c>
      <c r="P4" s="6">
        <v>5523.0</v>
      </c>
    </row>
    <row r="5" ht="56.25" customHeight="1">
      <c r="A5" s="5" t="s">
        <v>17432</v>
      </c>
      <c r="B5" s="16" t="str">
        <f>IMAGE("https://storage.googleapis.com/acdb/shoes/ShoesKneeKnightIron.png")</f>
        <v/>
      </c>
      <c r="C5" s="5" t="s">
        <v>95</v>
      </c>
      <c r="D5" s="5" t="s">
        <v>35</v>
      </c>
      <c r="E5" s="6" t="s">
        <v>37</v>
      </c>
      <c r="F5" s="6">
        <v>3000.0</v>
      </c>
      <c r="G5" s="5" t="s">
        <v>95</v>
      </c>
      <c r="H5" s="5" t="s">
        <v>95</v>
      </c>
      <c r="I5" s="6" t="s">
        <v>40</v>
      </c>
      <c r="J5" s="5" t="s">
        <v>41</v>
      </c>
      <c r="K5" s="5"/>
      <c r="L5" s="6" t="s">
        <v>42</v>
      </c>
      <c r="M5" s="5" t="s">
        <v>1952</v>
      </c>
      <c r="N5" s="5" t="s">
        <v>48</v>
      </c>
      <c r="O5" s="5" t="s">
        <v>17438</v>
      </c>
      <c r="P5" s="6">
        <v>5472.0</v>
      </c>
    </row>
    <row r="6" ht="56.25" customHeight="1">
      <c r="A6" s="5" t="s">
        <v>17439</v>
      </c>
      <c r="B6" s="16" t="str">
        <f>IMAGE("https://storage.googleapis.com/acdb/shoes/ShoesSandalBaboush0.png")</f>
        <v/>
      </c>
      <c r="C6" s="5" t="s">
        <v>68</v>
      </c>
      <c r="D6" s="5" t="s">
        <v>36</v>
      </c>
      <c r="E6" s="6">
        <v>560.0</v>
      </c>
      <c r="F6" s="6">
        <v>140.0</v>
      </c>
      <c r="G6" s="5" t="s">
        <v>83</v>
      </c>
      <c r="H6" s="5" t="s">
        <v>57</v>
      </c>
      <c r="I6" s="6" t="s">
        <v>40</v>
      </c>
      <c r="J6" s="5" t="s">
        <v>17203</v>
      </c>
      <c r="K6" s="5"/>
      <c r="L6" s="6" t="s">
        <v>42</v>
      </c>
      <c r="M6" s="5" t="s">
        <v>1959</v>
      </c>
      <c r="N6" s="5" t="s">
        <v>64</v>
      </c>
      <c r="O6" s="5" t="s">
        <v>17441</v>
      </c>
      <c r="P6" s="6">
        <v>6043.0</v>
      </c>
    </row>
    <row r="7" ht="56.25" customHeight="1">
      <c r="A7" s="5" t="s">
        <v>17439</v>
      </c>
      <c r="B7" s="16" t="str">
        <f>IMAGE("https://storage.googleapis.com/acdb/shoes/ShoesSandalBaboush1.png")</f>
        <v/>
      </c>
      <c r="C7" s="5" t="s">
        <v>142</v>
      </c>
      <c r="D7" s="5" t="s">
        <v>36</v>
      </c>
      <c r="E7" s="6">
        <v>560.0</v>
      </c>
      <c r="F7" s="6">
        <v>140.0</v>
      </c>
      <c r="G7" s="5" t="s">
        <v>142</v>
      </c>
      <c r="H7" s="5" t="s">
        <v>57</v>
      </c>
      <c r="I7" s="6" t="s">
        <v>40</v>
      </c>
      <c r="J7" s="5" t="s">
        <v>17203</v>
      </c>
      <c r="K7" s="5"/>
      <c r="L7" s="6" t="s">
        <v>42</v>
      </c>
      <c r="M7" s="5" t="s">
        <v>1959</v>
      </c>
      <c r="N7" s="5" t="s">
        <v>64</v>
      </c>
      <c r="O7" s="5" t="s">
        <v>17443</v>
      </c>
      <c r="P7" s="6">
        <v>6043.0</v>
      </c>
    </row>
    <row r="8" ht="56.25" customHeight="1">
      <c r="A8" s="5" t="s">
        <v>17439</v>
      </c>
      <c r="B8" s="16" t="str">
        <f>IMAGE("https://storage.googleapis.com/acdb/shoes/ShoesSandalBaboush2.png")</f>
        <v/>
      </c>
      <c r="C8" s="5" t="s">
        <v>69</v>
      </c>
      <c r="D8" s="5" t="s">
        <v>36</v>
      </c>
      <c r="E8" s="6">
        <v>560.0</v>
      </c>
      <c r="F8" s="6">
        <v>140.0</v>
      </c>
      <c r="G8" s="5" t="s">
        <v>69</v>
      </c>
      <c r="H8" s="5" t="s">
        <v>57</v>
      </c>
      <c r="I8" s="6" t="s">
        <v>40</v>
      </c>
      <c r="J8" s="5" t="s">
        <v>17203</v>
      </c>
      <c r="K8" s="5"/>
      <c r="L8" s="6" t="s">
        <v>42</v>
      </c>
      <c r="M8" s="5" t="s">
        <v>1959</v>
      </c>
      <c r="N8" s="5" t="s">
        <v>64</v>
      </c>
      <c r="O8" s="5" t="s">
        <v>17447</v>
      </c>
      <c r="P8" s="6">
        <v>6043.0</v>
      </c>
    </row>
    <row r="9" ht="56.25" customHeight="1">
      <c r="A9" s="5" t="s">
        <v>17439</v>
      </c>
      <c r="B9" s="16" t="str">
        <f>IMAGE("https://storage.googleapis.com/acdb/shoes/ShoesSandalBaboush3.png")</f>
        <v/>
      </c>
      <c r="C9" s="5" t="s">
        <v>114</v>
      </c>
      <c r="D9" s="5" t="s">
        <v>36</v>
      </c>
      <c r="E9" s="6">
        <v>560.0</v>
      </c>
      <c r="F9" s="6">
        <v>140.0</v>
      </c>
      <c r="G9" s="5" t="s">
        <v>114</v>
      </c>
      <c r="H9" s="5" t="s">
        <v>57</v>
      </c>
      <c r="I9" s="6" t="s">
        <v>40</v>
      </c>
      <c r="J9" s="5" t="s">
        <v>17203</v>
      </c>
      <c r="K9" s="5"/>
      <c r="L9" s="6" t="s">
        <v>42</v>
      </c>
      <c r="M9" s="5" t="s">
        <v>1959</v>
      </c>
      <c r="N9" s="5" t="s">
        <v>64</v>
      </c>
      <c r="O9" s="5" t="s">
        <v>17451</v>
      </c>
      <c r="P9" s="6">
        <v>6043.0</v>
      </c>
    </row>
    <row r="10" ht="56.25" customHeight="1">
      <c r="A10" s="5" t="s">
        <v>17439</v>
      </c>
      <c r="B10" s="16" t="str">
        <f>IMAGE("https://storage.googleapis.com/acdb/shoes/ShoesSandalBaboush4.png")</f>
        <v/>
      </c>
      <c r="C10" s="5" t="s">
        <v>95</v>
      </c>
      <c r="D10" s="5" t="s">
        <v>36</v>
      </c>
      <c r="E10" s="6">
        <v>560.0</v>
      </c>
      <c r="F10" s="6">
        <v>140.0</v>
      </c>
      <c r="G10" s="5" t="s">
        <v>95</v>
      </c>
      <c r="H10" s="5" t="s">
        <v>114</v>
      </c>
      <c r="I10" s="6" t="s">
        <v>40</v>
      </c>
      <c r="J10" s="5" t="s">
        <v>17203</v>
      </c>
      <c r="K10" s="5"/>
      <c r="L10" s="6" t="s">
        <v>42</v>
      </c>
      <c r="M10" s="5" t="s">
        <v>1959</v>
      </c>
      <c r="N10" s="5" t="s">
        <v>64</v>
      </c>
      <c r="O10" s="5" t="s">
        <v>17456</v>
      </c>
      <c r="P10" s="6">
        <v>6043.0</v>
      </c>
    </row>
    <row r="11" ht="56.25" customHeight="1">
      <c r="A11" s="5" t="s">
        <v>17439</v>
      </c>
      <c r="B11" s="16" t="str">
        <f>IMAGE("https://storage.googleapis.com/acdb/shoes/ShoesSandalBaboush5.png")</f>
        <v/>
      </c>
      <c r="C11" s="5" t="s">
        <v>106</v>
      </c>
      <c r="D11" s="5" t="s">
        <v>36</v>
      </c>
      <c r="E11" s="6">
        <v>560.0</v>
      </c>
      <c r="F11" s="6">
        <v>140.0</v>
      </c>
      <c r="G11" s="5" t="s">
        <v>106</v>
      </c>
      <c r="H11" s="5" t="s">
        <v>114</v>
      </c>
      <c r="I11" s="6" t="s">
        <v>40</v>
      </c>
      <c r="J11" s="5" t="s">
        <v>17203</v>
      </c>
      <c r="K11" s="5"/>
      <c r="L11" s="6" t="s">
        <v>42</v>
      </c>
      <c r="M11" s="5" t="s">
        <v>1959</v>
      </c>
      <c r="N11" s="5" t="s">
        <v>64</v>
      </c>
      <c r="O11" s="5" t="s">
        <v>17460</v>
      </c>
      <c r="P11" s="6">
        <v>6043.0</v>
      </c>
    </row>
    <row r="12" ht="56.25" customHeight="1">
      <c r="A12" s="5" t="s">
        <v>17439</v>
      </c>
      <c r="B12" s="16" t="str">
        <f>IMAGE("https://storage.googleapis.com/acdb/shoes/ShoesSandalBaboush6.png")</f>
        <v/>
      </c>
      <c r="C12" s="5" t="s">
        <v>9021</v>
      </c>
      <c r="D12" s="5" t="s">
        <v>36</v>
      </c>
      <c r="E12" s="6">
        <v>560.0</v>
      </c>
      <c r="F12" s="6">
        <v>140.0</v>
      </c>
      <c r="G12" s="5" t="s">
        <v>96</v>
      </c>
      <c r="H12" s="5" t="s">
        <v>114</v>
      </c>
      <c r="I12" s="6" t="s">
        <v>40</v>
      </c>
      <c r="J12" s="5" t="s">
        <v>17203</v>
      </c>
      <c r="K12" s="5"/>
      <c r="L12" s="6" t="s">
        <v>42</v>
      </c>
      <c r="M12" s="5" t="s">
        <v>1959</v>
      </c>
      <c r="N12" s="5" t="s">
        <v>64</v>
      </c>
      <c r="O12" s="5" t="s">
        <v>17463</v>
      </c>
      <c r="P12" s="6">
        <v>6043.0</v>
      </c>
    </row>
    <row r="13" ht="56.25" customHeight="1">
      <c r="A13" s="5" t="s">
        <v>17439</v>
      </c>
      <c r="B13" s="16" t="str">
        <f>IMAGE("https://storage.googleapis.com/acdb/shoes/ShoesSandalBaboush7.png")</f>
        <v/>
      </c>
      <c r="C13" s="5" t="s">
        <v>52</v>
      </c>
      <c r="D13" s="5" t="s">
        <v>36</v>
      </c>
      <c r="E13" s="6">
        <v>560.0</v>
      </c>
      <c r="F13" s="6">
        <v>140.0</v>
      </c>
      <c r="G13" s="5" t="s">
        <v>52</v>
      </c>
      <c r="H13" s="5" t="s">
        <v>114</v>
      </c>
      <c r="I13" s="6" t="s">
        <v>40</v>
      </c>
      <c r="J13" s="5" t="s">
        <v>17203</v>
      </c>
      <c r="K13" s="5"/>
      <c r="L13" s="6" t="s">
        <v>42</v>
      </c>
      <c r="M13" s="5" t="s">
        <v>1959</v>
      </c>
      <c r="N13" s="5" t="s">
        <v>64</v>
      </c>
      <c r="O13" s="5" t="s">
        <v>17467</v>
      </c>
      <c r="P13" s="6">
        <v>6043.0</v>
      </c>
    </row>
    <row r="14" ht="56.25" customHeight="1">
      <c r="A14" s="5" t="s">
        <v>17468</v>
      </c>
      <c r="B14" s="16" t="str">
        <f>IMAGE("https://storage.googleapis.com/acdb/shoes/ShoesLowcutBallet0.png")</f>
        <v/>
      </c>
      <c r="C14" s="5" t="s">
        <v>69</v>
      </c>
      <c r="D14" s="5" t="s">
        <v>36</v>
      </c>
      <c r="E14" s="6">
        <v>2200.0</v>
      </c>
      <c r="F14" s="6">
        <v>550.0</v>
      </c>
      <c r="G14" s="5" t="s">
        <v>69</v>
      </c>
      <c r="H14" s="5" t="s">
        <v>69</v>
      </c>
      <c r="I14" s="6" t="s">
        <v>40</v>
      </c>
      <c r="J14" s="5" t="s">
        <v>17203</v>
      </c>
      <c r="K14" s="5"/>
      <c r="L14" s="6" t="s">
        <v>42</v>
      </c>
      <c r="M14" s="5" t="s">
        <v>1059</v>
      </c>
      <c r="N14" s="5" t="s">
        <v>64</v>
      </c>
      <c r="O14" s="5" t="s">
        <v>17471</v>
      </c>
      <c r="P14" s="6">
        <v>5608.0</v>
      </c>
    </row>
    <row r="15" ht="56.25" customHeight="1">
      <c r="A15" s="5" t="s">
        <v>17468</v>
      </c>
      <c r="B15" s="16" t="str">
        <f>IMAGE("https://storage.googleapis.com/acdb/shoes/ShoesLowcutBallet1.png")</f>
        <v/>
      </c>
      <c r="C15" s="5" t="s">
        <v>9021</v>
      </c>
      <c r="D15" s="5" t="s">
        <v>36</v>
      </c>
      <c r="E15" s="6">
        <v>2200.0</v>
      </c>
      <c r="F15" s="6">
        <v>550.0</v>
      </c>
      <c r="G15" s="5" t="s">
        <v>83</v>
      </c>
      <c r="H15" s="5" t="s">
        <v>83</v>
      </c>
      <c r="I15" s="6" t="s">
        <v>40</v>
      </c>
      <c r="J15" s="5" t="s">
        <v>17203</v>
      </c>
      <c r="K15" s="5"/>
      <c r="L15" s="6" t="s">
        <v>42</v>
      </c>
      <c r="M15" s="5" t="s">
        <v>1059</v>
      </c>
      <c r="N15" s="5" t="s">
        <v>64</v>
      </c>
      <c r="O15" s="5" t="s">
        <v>17474</v>
      </c>
      <c r="P15" s="6">
        <v>5608.0</v>
      </c>
    </row>
    <row r="16" ht="56.25" customHeight="1">
      <c r="A16" s="5" t="s">
        <v>17468</v>
      </c>
      <c r="B16" s="16" t="str">
        <f>IMAGE("https://storage.googleapis.com/acdb/shoes/ShoesLowcutBallet2.png")</f>
        <v/>
      </c>
      <c r="C16" s="5" t="s">
        <v>68</v>
      </c>
      <c r="D16" s="5" t="s">
        <v>36</v>
      </c>
      <c r="E16" s="6">
        <v>2200.0</v>
      </c>
      <c r="F16" s="6">
        <v>550.0</v>
      </c>
      <c r="G16" s="5" t="s">
        <v>68</v>
      </c>
      <c r="H16" s="5" t="s">
        <v>68</v>
      </c>
      <c r="I16" s="6" t="s">
        <v>40</v>
      </c>
      <c r="J16" s="5" t="s">
        <v>17203</v>
      </c>
      <c r="K16" s="5"/>
      <c r="L16" s="6" t="s">
        <v>42</v>
      </c>
      <c r="M16" s="5" t="s">
        <v>1059</v>
      </c>
      <c r="N16" s="5" t="s">
        <v>64</v>
      </c>
      <c r="O16" s="5" t="s">
        <v>17478</v>
      </c>
      <c r="P16" s="6">
        <v>5608.0</v>
      </c>
    </row>
    <row r="17" ht="56.25" customHeight="1">
      <c r="A17" s="5" t="s">
        <v>17468</v>
      </c>
      <c r="B17" s="16" t="str">
        <f>IMAGE("https://storage.googleapis.com/acdb/shoes/ShoesLowcutBallet3.png")</f>
        <v/>
      </c>
      <c r="C17" s="5" t="s">
        <v>106</v>
      </c>
      <c r="D17" s="5" t="s">
        <v>36</v>
      </c>
      <c r="E17" s="6">
        <v>2200.0</v>
      </c>
      <c r="F17" s="6">
        <v>550.0</v>
      </c>
      <c r="G17" s="5" t="s">
        <v>106</v>
      </c>
      <c r="H17" s="5" t="s">
        <v>106</v>
      </c>
      <c r="I17" s="6" t="s">
        <v>40</v>
      </c>
      <c r="J17" s="5" t="s">
        <v>17203</v>
      </c>
      <c r="K17" s="5"/>
      <c r="L17" s="6" t="s">
        <v>42</v>
      </c>
      <c r="M17" s="5" t="s">
        <v>1059</v>
      </c>
      <c r="N17" s="5" t="s">
        <v>64</v>
      </c>
      <c r="O17" s="5" t="s">
        <v>17481</v>
      </c>
      <c r="P17" s="6">
        <v>5608.0</v>
      </c>
    </row>
    <row r="18" ht="56.25" customHeight="1">
      <c r="A18" s="5" t="s">
        <v>17468</v>
      </c>
      <c r="B18" s="16" t="str">
        <f>IMAGE("https://storage.googleapis.com/acdb/shoes/ShoesLowcutBallet4.png")</f>
        <v/>
      </c>
      <c r="C18" s="5" t="s">
        <v>54</v>
      </c>
      <c r="D18" s="5" t="s">
        <v>36</v>
      </c>
      <c r="E18" s="6">
        <v>2200.0</v>
      </c>
      <c r="F18" s="6">
        <v>550.0</v>
      </c>
      <c r="G18" s="5" t="s">
        <v>54</v>
      </c>
      <c r="H18" s="5" t="s">
        <v>54</v>
      </c>
      <c r="I18" s="6" t="s">
        <v>40</v>
      </c>
      <c r="J18" s="5" t="s">
        <v>17203</v>
      </c>
      <c r="K18" s="5"/>
      <c r="L18" s="6" t="s">
        <v>42</v>
      </c>
      <c r="M18" s="5" t="s">
        <v>1059</v>
      </c>
      <c r="N18" s="5" t="s">
        <v>64</v>
      </c>
      <c r="O18" s="5" t="s">
        <v>17486</v>
      </c>
      <c r="P18" s="6">
        <v>5608.0</v>
      </c>
    </row>
    <row r="19" ht="56.25" customHeight="1">
      <c r="A19" s="5" t="s">
        <v>17468</v>
      </c>
      <c r="B19" s="16" t="str">
        <f>IMAGE("https://storage.googleapis.com/acdb/shoes/ShoesLowcutBallet5.png")</f>
        <v/>
      </c>
      <c r="C19" s="5" t="s">
        <v>57</v>
      </c>
      <c r="D19" s="5" t="s">
        <v>36</v>
      </c>
      <c r="E19" s="6">
        <v>2200.0</v>
      </c>
      <c r="F19" s="6">
        <v>550.0</v>
      </c>
      <c r="G19" s="5" t="s">
        <v>38</v>
      </c>
      <c r="H19" s="5" t="s">
        <v>38</v>
      </c>
      <c r="I19" s="6" t="s">
        <v>40</v>
      </c>
      <c r="J19" s="5" t="s">
        <v>17203</v>
      </c>
      <c r="K19" s="5"/>
      <c r="L19" s="6" t="s">
        <v>42</v>
      </c>
      <c r="M19" s="5" t="s">
        <v>1059</v>
      </c>
      <c r="N19" s="5" t="s">
        <v>64</v>
      </c>
      <c r="O19" s="5" t="s">
        <v>17490</v>
      </c>
      <c r="P19" s="6">
        <v>5608.0</v>
      </c>
    </row>
    <row r="20" ht="56.25" customHeight="1">
      <c r="A20" s="5" t="s">
        <v>17468</v>
      </c>
      <c r="B20" s="16" t="str">
        <f>IMAGE("https://storage.googleapis.com/acdb/shoes/ShoesLowcutBallet6.png")</f>
        <v/>
      </c>
      <c r="C20" s="5" t="s">
        <v>114</v>
      </c>
      <c r="D20" s="5" t="s">
        <v>36</v>
      </c>
      <c r="E20" s="6">
        <v>2200.0</v>
      </c>
      <c r="F20" s="6">
        <v>550.0</v>
      </c>
      <c r="G20" s="5" t="s">
        <v>114</v>
      </c>
      <c r="H20" s="5" t="s">
        <v>114</v>
      </c>
      <c r="I20" s="6" t="s">
        <v>40</v>
      </c>
      <c r="J20" s="5" t="s">
        <v>17203</v>
      </c>
      <c r="K20" s="5"/>
      <c r="L20" s="6" t="s">
        <v>42</v>
      </c>
      <c r="M20" s="5" t="s">
        <v>1059</v>
      </c>
      <c r="N20" s="5" t="s">
        <v>64</v>
      </c>
      <c r="O20" s="5" t="s">
        <v>17493</v>
      </c>
      <c r="P20" s="6">
        <v>5608.0</v>
      </c>
    </row>
    <row r="21" ht="56.25" customHeight="1">
      <c r="A21" s="5" t="s">
        <v>17468</v>
      </c>
      <c r="B21" s="16" t="str">
        <f>IMAGE("https://storage.googleapis.com/acdb/shoes/ShoesLowcutBallet7.png")</f>
        <v/>
      </c>
      <c r="C21" s="5" t="s">
        <v>52</v>
      </c>
      <c r="D21" s="5" t="s">
        <v>36</v>
      </c>
      <c r="E21" s="6">
        <v>2200.0</v>
      </c>
      <c r="F21" s="6">
        <v>550.0</v>
      </c>
      <c r="G21" s="5" t="s">
        <v>142</v>
      </c>
      <c r="H21" s="5" t="s">
        <v>142</v>
      </c>
      <c r="I21" s="6" t="s">
        <v>40</v>
      </c>
      <c r="J21" s="5" t="s">
        <v>17203</v>
      </c>
      <c r="K21" s="5"/>
      <c r="L21" s="6" t="s">
        <v>42</v>
      </c>
      <c r="M21" s="5" t="s">
        <v>1059</v>
      </c>
      <c r="N21" s="5" t="s">
        <v>64</v>
      </c>
      <c r="O21" s="5" t="s">
        <v>17497</v>
      </c>
      <c r="P21" s="6">
        <v>5608.0</v>
      </c>
    </row>
    <row r="22" ht="56.25" customHeight="1">
      <c r="A22" s="5" t="s">
        <v>17498</v>
      </c>
      <c r="B22" s="16" t="str">
        <f>IMAGE("https://storage.googleapis.com/acdb/shoes/ShoesHighcutBasket0.png")</f>
        <v/>
      </c>
      <c r="C22" s="5" t="s">
        <v>52</v>
      </c>
      <c r="D22" s="5" t="s">
        <v>36</v>
      </c>
      <c r="E22" s="6">
        <v>1500.0</v>
      </c>
      <c r="F22" s="6">
        <v>375.0</v>
      </c>
      <c r="G22" s="5" t="s">
        <v>52</v>
      </c>
      <c r="H22" s="5" t="s">
        <v>54</v>
      </c>
      <c r="I22" s="6" t="s">
        <v>40</v>
      </c>
      <c r="J22" s="5" t="s">
        <v>8585</v>
      </c>
      <c r="K22" s="5" t="s">
        <v>8632</v>
      </c>
      <c r="L22" s="6" t="s">
        <v>42</v>
      </c>
      <c r="M22" s="5" t="s">
        <v>8746</v>
      </c>
      <c r="N22" s="5" t="s">
        <v>64</v>
      </c>
      <c r="O22" s="5" t="s">
        <v>17502</v>
      </c>
      <c r="P22" s="6">
        <v>5638.0</v>
      </c>
    </row>
    <row r="23" ht="56.25" customHeight="1">
      <c r="A23" s="5" t="s">
        <v>17498</v>
      </c>
      <c r="B23" s="16" t="str">
        <f>IMAGE("https://storage.googleapis.com/acdb/shoes/ShoesHighcutBasket1.png")</f>
        <v/>
      </c>
      <c r="C23" s="5" t="s">
        <v>96</v>
      </c>
      <c r="D23" s="5" t="s">
        <v>36</v>
      </c>
      <c r="E23" s="6">
        <v>1500.0</v>
      </c>
      <c r="F23" s="6">
        <v>375.0</v>
      </c>
      <c r="G23" s="5" t="s">
        <v>96</v>
      </c>
      <c r="H23" s="5" t="s">
        <v>54</v>
      </c>
      <c r="I23" s="6" t="s">
        <v>40</v>
      </c>
      <c r="J23" s="5" t="s">
        <v>8585</v>
      </c>
      <c r="K23" s="5" t="s">
        <v>8632</v>
      </c>
      <c r="L23" s="6" t="s">
        <v>42</v>
      </c>
      <c r="M23" s="5" t="s">
        <v>8746</v>
      </c>
      <c r="N23" s="5" t="s">
        <v>64</v>
      </c>
      <c r="O23" s="5" t="s">
        <v>17505</v>
      </c>
      <c r="P23" s="6">
        <v>5638.0</v>
      </c>
    </row>
    <row r="24" ht="56.25" customHeight="1">
      <c r="A24" s="5" t="s">
        <v>17498</v>
      </c>
      <c r="B24" s="16" t="str">
        <f>IMAGE("https://storage.googleapis.com/acdb/shoes/ShoesHighcutBasket2.png")</f>
        <v/>
      </c>
      <c r="C24" s="5" t="s">
        <v>38</v>
      </c>
      <c r="D24" s="5" t="s">
        <v>36</v>
      </c>
      <c r="E24" s="6">
        <v>1500.0</v>
      </c>
      <c r="F24" s="6">
        <v>375.0</v>
      </c>
      <c r="G24" s="5" t="s">
        <v>38</v>
      </c>
      <c r="H24" s="5" t="s">
        <v>54</v>
      </c>
      <c r="I24" s="6" t="s">
        <v>40</v>
      </c>
      <c r="J24" s="5" t="s">
        <v>8585</v>
      </c>
      <c r="K24" s="5" t="s">
        <v>8632</v>
      </c>
      <c r="L24" s="6" t="s">
        <v>42</v>
      </c>
      <c r="M24" s="5" t="s">
        <v>8746</v>
      </c>
      <c r="N24" s="5" t="s">
        <v>64</v>
      </c>
      <c r="O24" s="5" t="s">
        <v>17508</v>
      </c>
      <c r="P24" s="6">
        <v>5638.0</v>
      </c>
    </row>
    <row r="25" ht="56.25" customHeight="1">
      <c r="A25" s="5" t="s">
        <v>17498</v>
      </c>
      <c r="B25" s="16" t="str">
        <f>IMAGE("https://storage.googleapis.com/acdb/shoes/ShoesHighcutBasket3.png")</f>
        <v/>
      </c>
      <c r="C25" s="5" t="s">
        <v>142</v>
      </c>
      <c r="D25" s="5" t="s">
        <v>36</v>
      </c>
      <c r="E25" s="6">
        <v>1500.0</v>
      </c>
      <c r="F25" s="6">
        <v>375.0</v>
      </c>
      <c r="G25" s="5" t="s">
        <v>114</v>
      </c>
      <c r="H25" s="5" t="s">
        <v>54</v>
      </c>
      <c r="I25" s="6" t="s">
        <v>40</v>
      </c>
      <c r="J25" s="5" t="s">
        <v>8585</v>
      </c>
      <c r="K25" s="5" t="s">
        <v>8632</v>
      </c>
      <c r="L25" s="6" t="s">
        <v>42</v>
      </c>
      <c r="M25" s="5" t="s">
        <v>8746</v>
      </c>
      <c r="N25" s="5" t="s">
        <v>64</v>
      </c>
      <c r="O25" s="5" t="s">
        <v>17513</v>
      </c>
      <c r="P25" s="6">
        <v>5638.0</v>
      </c>
    </row>
    <row r="26" ht="56.25" customHeight="1">
      <c r="A26" s="5" t="s">
        <v>17498</v>
      </c>
      <c r="B26" s="16" t="str">
        <f>IMAGE("https://storage.googleapis.com/acdb/shoes/ShoesHighcutBasket4.png")</f>
        <v/>
      </c>
      <c r="C26" s="5" t="s">
        <v>68</v>
      </c>
      <c r="D26" s="5" t="s">
        <v>36</v>
      </c>
      <c r="E26" s="6">
        <v>1500.0</v>
      </c>
      <c r="F26" s="6">
        <v>375.0</v>
      </c>
      <c r="G26" s="5" t="s">
        <v>68</v>
      </c>
      <c r="H26" s="5" t="s">
        <v>54</v>
      </c>
      <c r="I26" s="6" t="s">
        <v>40</v>
      </c>
      <c r="J26" s="5" t="s">
        <v>8585</v>
      </c>
      <c r="K26" s="5" t="s">
        <v>8632</v>
      </c>
      <c r="L26" s="6" t="s">
        <v>42</v>
      </c>
      <c r="M26" s="5" t="s">
        <v>8746</v>
      </c>
      <c r="N26" s="5" t="s">
        <v>64</v>
      </c>
      <c r="O26" s="5" t="s">
        <v>17517</v>
      </c>
      <c r="P26" s="6">
        <v>5638.0</v>
      </c>
    </row>
    <row r="27" ht="56.25" customHeight="1">
      <c r="A27" s="5" t="s">
        <v>17498</v>
      </c>
      <c r="B27" s="16" t="str">
        <f>IMAGE("https://storage.googleapis.com/acdb/shoes/ShoesHighcutBasket5.png")</f>
        <v/>
      </c>
      <c r="C27" s="5" t="s">
        <v>106</v>
      </c>
      <c r="D27" s="5" t="s">
        <v>36</v>
      </c>
      <c r="E27" s="6">
        <v>1500.0</v>
      </c>
      <c r="F27" s="6">
        <v>375.0</v>
      </c>
      <c r="G27" s="5" t="s">
        <v>106</v>
      </c>
      <c r="H27" s="5" t="s">
        <v>54</v>
      </c>
      <c r="I27" s="6" t="s">
        <v>40</v>
      </c>
      <c r="J27" s="5" t="s">
        <v>8585</v>
      </c>
      <c r="K27" s="5" t="s">
        <v>8632</v>
      </c>
      <c r="L27" s="6" t="s">
        <v>42</v>
      </c>
      <c r="M27" s="5" t="s">
        <v>8746</v>
      </c>
      <c r="N27" s="5" t="s">
        <v>64</v>
      </c>
      <c r="O27" s="5" t="s">
        <v>17520</v>
      </c>
      <c r="P27" s="6">
        <v>5638.0</v>
      </c>
    </row>
    <row r="28" ht="56.25" customHeight="1">
      <c r="A28" s="5" t="s">
        <v>17498</v>
      </c>
      <c r="B28" s="16" t="str">
        <f>IMAGE("https://storage.googleapis.com/acdb/shoes/ShoesHighcutBasket6.png")</f>
        <v/>
      </c>
      <c r="C28" s="5" t="s">
        <v>83</v>
      </c>
      <c r="D28" s="5" t="s">
        <v>36</v>
      </c>
      <c r="E28" s="6">
        <v>1500.0</v>
      </c>
      <c r="F28" s="6">
        <v>375.0</v>
      </c>
      <c r="G28" s="5" t="s">
        <v>83</v>
      </c>
      <c r="H28" s="5" t="s">
        <v>54</v>
      </c>
      <c r="I28" s="6" t="s">
        <v>40</v>
      </c>
      <c r="J28" s="5" t="s">
        <v>8585</v>
      </c>
      <c r="K28" s="5" t="s">
        <v>8632</v>
      </c>
      <c r="L28" s="6" t="s">
        <v>42</v>
      </c>
      <c r="M28" s="5" t="s">
        <v>8746</v>
      </c>
      <c r="N28" s="5" t="s">
        <v>64</v>
      </c>
      <c r="O28" s="5" t="s">
        <v>17525</v>
      </c>
      <c r="P28" s="6">
        <v>5638.0</v>
      </c>
    </row>
    <row r="29" ht="56.25" customHeight="1">
      <c r="A29" s="5" t="s">
        <v>17498</v>
      </c>
      <c r="B29" s="16" t="str">
        <f>IMAGE("https://storage.googleapis.com/acdb/shoes/ShoesHighcutBasket7.png")</f>
        <v/>
      </c>
      <c r="C29" s="5" t="s">
        <v>69</v>
      </c>
      <c r="D29" s="5" t="s">
        <v>36</v>
      </c>
      <c r="E29" s="6">
        <v>1500.0</v>
      </c>
      <c r="F29" s="6">
        <v>375.0</v>
      </c>
      <c r="G29" s="5" t="s">
        <v>69</v>
      </c>
      <c r="H29" s="5" t="s">
        <v>54</v>
      </c>
      <c r="I29" s="6" t="s">
        <v>40</v>
      </c>
      <c r="J29" s="5" t="s">
        <v>8585</v>
      </c>
      <c r="K29" s="5" t="s">
        <v>8632</v>
      </c>
      <c r="L29" s="6" t="s">
        <v>42</v>
      </c>
      <c r="M29" s="5" t="s">
        <v>8746</v>
      </c>
      <c r="N29" s="5" t="s">
        <v>64</v>
      </c>
      <c r="O29" s="5" t="s">
        <v>17529</v>
      </c>
      <c r="P29" s="6">
        <v>5638.0</v>
      </c>
    </row>
    <row r="30" ht="56.25" customHeight="1">
      <c r="A30" s="5" t="s">
        <v>17530</v>
      </c>
      <c r="B30" s="16" t="str">
        <f>IMAGE("https://storage.googleapis.com/acdb/shoes/ShoesSandalBeads0.png")</f>
        <v/>
      </c>
      <c r="C30" s="5" t="s">
        <v>142</v>
      </c>
      <c r="D30" s="5" t="s">
        <v>36</v>
      </c>
      <c r="E30" s="6">
        <v>1800.0</v>
      </c>
      <c r="F30" s="6">
        <v>450.0</v>
      </c>
      <c r="G30" s="5" t="s">
        <v>142</v>
      </c>
      <c r="H30" s="5" t="s">
        <v>58</v>
      </c>
      <c r="I30" s="6" t="s">
        <v>40</v>
      </c>
      <c r="J30" s="5" t="s">
        <v>8585</v>
      </c>
      <c r="K30" s="5" t="s">
        <v>8632</v>
      </c>
      <c r="L30" s="6" t="s">
        <v>42</v>
      </c>
      <c r="M30" s="5" t="s">
        <v>612</v>
      </c>
      <c r="N30" s="5" t="s">
        <v>64</v>
      </c>
      <c r="O30" s="5" t="s">
        <v>17533</v>
      </c>
      <c r="P30" s="6">
        <v>5478.0</v>
      </c>
    </row>
    <row r="31" ht="56.25" customHeight="1">
      <c r="A31" s="5" t="s">
        <v>17530</v>
      </c>
      <c r="B31" s="16" t="str">
        <f>IMAGE("https://storage.googleapis.com/acdb/shoes/ShoesSandalBeads1.png")</f>
        <v/>
      </c>
      <c r="C31" s="5" t="s">
        <v>106</v>
      </c>
      <c r="D31" s="5" t="s">
        <v>36</v>
      </c>
      <c r="E31" s="6">
        <v>1800.0</v>
      </c>
      <c r="F31" s="6">
        <v>450.0</v>
      </c>
      <c r="G31" s="5" t="s">
        <v>106</v>
      </c>
      <c r="H31" s="5" t="s">
        <v>58</v>
      </c>
      <c r="I31" s="6" t="s">
        <v>40</v>
      </c>
      <c r="J31" s="5" t="s">
        <v>8585</v>
      </c>
      <c r="K31" s="5" t="s">
        <v>8632</v>
      </c>
      <c r="L31" s="6" t="s">
        <v>42</v>
      </c>
      <c r="M31" s="5" t="s">
        <v>612</v>
      </c>
      <c r="N31" s="5" t="s">
        <v>64</v>
      </c>
      <c r="O31" s="5" t="s">
        <v>17539</v>
      </c>
      <c r="P31" s="6">
        <v>5478.0</v>
      </c>
    </row>
    <row r="32" ht="56.25" customHeight="1">
      <c r="A32" s="5" t="s">
        <v>17530</v>
      </c>
      <c r="B32" s="16" t="str">
        <f>IMAGE("https://storage.googleapis.com/acdb/shoes/ShoesSandalBeads2.png")</f>
        <v/>
      </c>
      <c r="C32" s="5" t="s">
        <v>114</v>
      </c>
      <c r="D32" s="5" t="s">
        <v>36</v>
      </c>
      <c r="E32" s="6">
        <v>1800.0</v>
      </c>
      <c r="F32" s="6">
        <v>450.0</v>
      </c>
      <c r="G32" s="5" t="s">
        <v>114</v>
      </c>
      <c r="H32" s="5" t="s">
        <v>58</v>
      </c>
      <c r="I32" s="6" t="s">
        <v>40</v>
      </c>
      <c r="J32" s="5" t="s">
        <v>8585</v>
      </c>
      <c r="K32" s="5" t="s">
        <v>8632</v>
      </c>
      <c r="L32" s="6" t="s">
        <v>42</v>
      </c>
      <c r="M32" s="5" t="s">
        <v>612</v>
      </c>
      <c r="N32" s="5" t="s">
        <v>64</v>
      </c>
      <c r="O32" s="5" t="s">
        <v>17544</v>
      </c>
      <c r="P32" s="6">
        <v>5478.0</v>
      </c>
    </row>
    <row r="33" ht="56.25" customHeight="1">
      <c r="A33" s="5" t="s">
        <v>17530</v>
      </c>
      <c r="B33" s="16" t="str">
        <f>IMAGE("https://storage.googleapis.com/acdb/shoes/ShoesSandalBeads3.png")</f>
        <v/>
      </c>
      <c r="C33" s="5" t="s">
        <v>52</v>
      </c>
      <c r="D33" s="5" t="s">
        <v>36</v>
      </c>
      <c r="E33" s="6">
        <v>1800.0</v>
      </c>
      <c r="F33" s="6">
        <v>450.0</v>
      </c>
      <c r="G33" s="5" t="s">
        <v>52</v>
      </c>
      <c r="H33" s="5" t="s">
        <v>58</v>
      </c>
      <c r="I33" s="6" t="s">
        <v>40</v>
      </c>
      <c r="J33" s="5" t="s">
        <v>8585</v>
      </c>
      <c r="K33" s="5" t="s">
        <v>8632</v>
      </c>
      <c r="L33" s="6" t="s">
        <v>42</v>
      </c>
      <c r="M33" s="5" t="s">
        <v>612</v>
      </c>
      <c r="N33" s="5" t="s">
        <v>64</v>
      </c>
      <c r="O33" s="5" t="s">
        <v>17547</v>
      </c>
      <c r="P33" s="6">
        <v>5478.0</v>
      </c>
    </row>
    <row r="34" ht="56.25" customHeight="1">
      <c r="A34" s="5" t="s">
        <v>17530</v>
      </c>
      <c r="B34" s="16" t="str">
        <f>IMAGE("https://storage.googleapis.com/acdb/shoes/ShoesSandalBeads4.png")</f>
        <v/>
      </c>
      <c r="C34" s="5" t="s">
        <v>96</v>
      </c>
      <c r="D34" s="5" t="s">
        <v>36</v>
      </c>
      <c r="E34" s="6">
        <v>1800.0</v>
      </c>
      <c r="F34" s="6">
        <v>450.0</v>
      </c>
      <c r="G34" s="5" t="s">
        <v>96</v>
      </c>
      <c r="H34" s="5" t="s">
        <v>58</v>
      </c>
      <c r="I34" s="6" t="s">
        <v>40</v>
      </c>
      <c r="J34" s="5" t="s">
        <v>8585</v>
      </c>
      <c r="K34" s="5" t="s">
        <v>8632</v>
      </c>
      <c r="L34" s="6" t="s">
        <v>42</v>
      </c>
      <c r="M34" s="5" t="s">
        <v>612</v>
      </c>
      <c r="N34" s="5" t="s">
        <v>64</v>
      </c>
      <c r="O34" s="5" t="s">
        <v>17552</v>
      </c>
      <c r="P34" s="6">
        <v>5478.0</v>
      </c>
    </row>
    <row r="35" ht="56.25" customHeight="1">
      <c r="A35" s="5" t="s">
        <v>17530</v>
      </c>
      <c r="B35" s="16" t="str">
        <f>IMAGE("https://storage.googleapis.com/acdb/shoes/ShoesSandalBeads5.png")</f>
        <v/>
      </c>
      <c r="C35" s="5" t="s">
        <v>38</v>
      </c>
      <c r="D35" s="5" t="s">
        <v>36</v>
      </c>
      <c r="E35" s="6">
        <v>1800.0</v>
      </c>
      <c r="F35" s="6">
        <v>450.0</v>
      </c>
      <c r="G35" s="5" t="s">
        <v>38</v>
      </c>
      <c r="H35" s="5" t="s">
        <v>58</v>
      </c>
      <c r="I35" s="6" t="s">
        <v>40</v>
      </c>
      <c r="J35" s="5" t="s">
        <v>8585</v>
      </c>
      <c r="K35" s="5" t="s">
        <v>8632</v>
      </c>
      <c r="L35" s="6" t="s">
        <v>42</v>
      </c>
      <c r="M35" s="5" t="s">
        <v>612</v>
      </c>
      <c r="N35" s="5" t="s">
        <v>64</v>
      </c>
      <c r="O35" s="5" t="s">
        <v>17555</v>
      </c>
      <c r="P35" s="6">
        <v>5478.0</v>
      </c>
    </row>
    <row r="36" ht="56.25" customHeight="1">
      <c r="A36" s="5" t="s">
        <v>17556</v>
      </c>
      <c r="B36" s="16" t="str">
        <f>IMAGE("https://storage.googleapis.com/acdb/shoes/ShoesKneeRubberboots0.png")</f>
        <v/>
      </c>
      <c r="C36" s="5" t="s">
        <v>96</v>
      </c>
      <c r="D36" s="5" t="s">
        <v>36</v>
      </c>
      <c r="E36" s="6">
        <v>560.0</v>
      </c>
      <c r="F36" s="6">
        <v>140.0</v>
      </c>
      <c r="G36" s="5" t="s">
        <v>96</v>
      </c>
      <c r="H36" s="5" t="s">
        <v>54</v>
      </c>
      <c r="I36" s="6" t="s">
        <v>40</v>
      </c>
      <c r="J36" s="5" t="s">
        <v>8585</v>
      </c>
      <c r="K36" s="5" t="s">
        <v>8632</v>
      </c>
      <c r="L36" s="6" t="s">
        <v>42</v>
      </c>
      <c r="M36" s="5" t="s">
        <v>995</v>
      </c>
      <c r="N36" s="5" t="s">
        <v>64</v>
      </c>
      <c r="O36" s="5" t="s">
        <v>17559</v>
      </c>
      <c r="P36" s="6">
        <v>5479.0</v>
      </c>
    </row>
    <row r="37" ht="56.25" customHeight="1">
      <c r="A37" s="5" t="s">
        <v>17556</v>
      </c>
      <c r="B37" s="16" t="str">
        <f>IMAGE("https://storage.googleapis.com/acdb/shoes/ShoesKneeRubberboots1.png")</f>
        <v/>
      </c>
      <c r="C37" s="5" t="s">
        <v>54</v>
      </c>
      <c r="D37" s="5" t="s">
        <v>36</v>
      </c>
      <c r="E37" s="6">
        <v>560.0</v>
      </c>
      <c r="F37" s="6">
        <v>140.0</v>
      </c>
      <c r="G37" s="5" t="s">
        <v>54</v>
      </c>
      <c r="H37" s="5" t="s">
        <v>54</v>
      </c>
      <c r="I37" s="6" t="s">
        <v>40</v>
      </c>
      <c r="J37" s="5" t="s">
        <v>8585</v>
      </c>
      <c r="K37" s="5" t="s">
        <v>8632</v>
      </c>
      <c r="L37" s="6" t="s">
        <v>42</v>
      </c>
      <c r="M37" s="5" t="s">
        <v>995</v>
      </c>
      <c r="N37" s="5" t="s">
        <v>64</v>
      </c>
      <c r="O37" s="5" t="s">
        <v>17563</v>
      </c>
      <c r="P37" s="6">
        <v>5479.0</v>
      </c>
    </row>
    <row r="38" ht="56.25" customHeight="1">
      <c r="A38" s="5" t="s">
        <v>17556</v>
      </c>
      <c r="B38" s="16" t="str">
        <f>IMAGE("https://storage.googleapis.com/acdb/shoes/ShoesKneeRubberboots2.png")</f>
        <v/>
      </c>
      <c r="C38" s="5" t="s">
        <v>68</v>
      </c>
      <c r="D38" s="5" t="s">
        <v>36</v>
      </c>
      <c r="E38" s="6">
        <v>560.0</v>
      </c>
      <c r="F38" s="6">
        <v>140.0</v>
      </c>
      <c r="G38" s="5" t="s">
        <v>68</v>
      </c>
      <c r="H38" s="5" t="s">
        <v>54</v>
      </c>
      <c r="I38" s="6" t="s">
        <v>40</v>
      </c>
      <c r="J38" s="5" t="s">
        <v>8585</v>
      </c>
      <c r="K38" s="5" t="s">
        <v>8632</v>
      </c>
      <c r="L38" s="6" t="s">
        <v>42</v>
      </c>
      <c r="M38" s="5" t="s">
        <v>995</v>
      </c>
      <c r="N38" s="5" t="s">
        <v>64</v>
      </c>
      <c r="O38" s="5" t="s">
        <v>17567</v>
      </c>
      <c r="P38" s="6">
        <v>5479.0</v>
      </c>
    </row>
    <row r="39" ht="56.25" customHeight="1">
      <c r="A39" s="5" t="s">
        <v>17556</v>
      </c>
      <c r="B39" s="16" t="str">
        <f>IMAGE("https://storage.googleapis.com/acdb/shoes/ShoesKneeRubberboots3.png")</f>
        <v/>
      </c>
      <c r="C39" s="5" t="s">
        <v>52</v>
      </c>
      <c r="D39" s="5" t="s">
        <v>36</v>
      </c>
      <c r="E39" s="6">
        <v>560.0</v>
      </c>
      <c r="F39" s="6">
        <v>140.0</v>
      </c>
      <c r="G39" s="5" t="s">
        <v>52</v>
      </c>
      <c r="H39" s="5" t="s">
        <v>54</v>
      </c>
      <c r="I39" s="6" t="s">
        <v>40</v>
      </c>
      <c r="J39" s="5" t="s">
        <v>8585</v>
      </c>
      <c r="K39" s="5" t="s">
        <v>8632</v>
      </c>
      <c r="L39" s="6" t="s">
        <v>42</v>
      </c>
      <c r="M39" s="5" t="s">
        <v>995</v>
      </c>
      <c r="N39" s="5" t="s">
        <v>64</v>
      </c>
      <c r="O39" s="5" t="s">
        <v>17572</v>
      </c>
      <c r="P39" s="6">
        <v>5479.0</v>
      </c>
    </row>
    <row r="40" ht="56.25" customHeight="1">
      <c r="A40" s="5" t="s">
        <v>17556</v>
      </c>
      <c r="B40" s="16" t="str">
        <f>IMAGE("https://storage.googleapis.com/acdb/shoes/ShoesKneeRubberboots4.png")</f>
        <v/>
      </c>
      <c r="C40" s="5" t="s">
        <v>10757</v>
      </c>
      <c r="D40" s="5" t="s">
        <v>36</v>
      </c>
      <c r="E40" s="6">
        <v>560.0</v>
      </c>
      <c r="F40" s="6">
        <v>140.0</v>
      </c>
      <c r="G40" s="5" t="s">
        <v>114</v>
      </c>
      <c r="H40" s="5" t="s">
        <v>54</v>
      </c>
      <c r="I40" s="6" t="s">
        <v>40</v>
      </c>
      <c r="J40" s="5" t="s">
        <v>8585</v>
      </c>
      <c r="K40" s="5" t="s">
        <v>8632</v>
      </c>
      <c r="L40" s="6" t="s">
        <v>42</v>
      </c>
      <c r="M40" s="5" t="s">
        <v>995</v>
      </c>
      <c r="N40" s="5" t="s">
        <v>64</v>
      </c>
      <c r="O40" s="5" t="s">
        <v>17576</v>
      </c>
      <c r="P40" s="6">
        <v>5479.0</v>
      </c>
    </row>
    <row r="41" ht="56.25" customHeight="1">
      <c r="A41" s="5" t="s">
        <v>17578</v>
      </c>
      <c r="B41" s="16" t="str">
        <f>IMAGE("https://storage.googleapis.com/acdb/shoes/ShoesLowcutBusiness0.png")</f>
        <v/>
      </c>
      <c r="C41" s="5" t="s">
        <v>54</v>
      </c>
      <c r="D41" s="5" t="s">
        <v>36</v>
      </c>
      <c r="E41" s="6">
        <v>1300.0</v>
      </c>
      <c r="F41" s="6">
        <v>325.0</v>
      </c>
      <c r="G41" s="5" t="s">
        <v>54</v>
      </c>
      <c r="H41" s="5" t="s">
        <v>54</v>
      </c>
      <c r="I41" s="6" t="s">
        <v>40</v>
      </c>
      <c r="J41" s="5" t="s">
        <v>8585</v>
      </c>
      <c r="K41" s="5" t="s">
        <v>8586</v>
      </c>
      <c r="L41" s="6" t="s">
        <v>42</v>
      </c>
      <c r="M41" s="5" t="s">
        <v>995</v>
      </c>
      <c r="N41" s="5" t="s">
        <v>64</v>
      </c>
      <c r="O41" s="5" t="s">
        <v>17581</v>
      </c>
      <c r="P41" s="6">
        <v>4730.0</v>
      </c>
    </row>
    <row r="42" ht="56.25" customHeight="1">
      <c r="A42" s="5" t="s">
        <v>17578</v>
      </c>
      <c r="B42" s="16" t="str">
        <f>IMAGE("https://storage.googleapis.com/acdb/shoes/ShoesLowcutBusiness1.png")</f>
        <v/>
      </c>
      <c r="C42" s="5" t="s">
        <v>39</v>
      </c>
      <c r="D42" s="5" t="s">
        <v>36</v>
      </c>
      <c r="E42" s="6">
        <v>1300.0</v>
      </c>
      <c r="F42" s="6">
        <v>325.0</v>
      </c>
      <c r="G42" s="5" t="s">
        <v>39</v>
      </c>
      <c r="H42" s="5" t="s">
        <v>39</v>
      </c>
      <c r="I42" s="6" t="s">
        <v>40</v>
      </c>
      <c r="J42" s="5" t="s">
        <v>8585</v>
      </c>
      <c r="K42" s="5" t="s">
        <v>8586</v>
      </c>
      <c r="L42" s="6" t="s">
        <v>42</v>
      </c>
      <c r="M42" s="5" t="s">
        <v>995</v>
      </c>
      <c r="N42" s="5" t="s">
        <v>64</v>
      </c>
      <c r="O42" s="5" t="s">
        <v>17587</v>
      </c>
      <c r="P42" s="6">
        <v>4730.0</v>
      </c>
    </row>
    <row r="43" ht="56.25" customHeight="1">
      <c r="A43" s="5" t="s">
        <v>17588</v>
      </c>
      <c r="B43" s="16" t="str">
        <f>IMAGE("https://storage.googleapis.com/acdb/shoes/ShoesLowcutSpike0.png")</f>
        <v/>
      </c>
      <c r="C43" s="5" t="s">
        <v>68</v>
      </c>
      <c r="D43" s="5" t="s">
        <v>36</v>
      </c>
      <c r="E43" s="6">
        <v>1200.0</v>
      </c>
      <c r="F43" s="6">
        <v>300.0</v>
      </c>
      <c r="G43" s="5" t="s">
        <v>68</v>
      </c>
      <c r="H43" s="5" t="s">
        <v>95</v>
      </c>
      <c r="I43" s="6" t="s">
        <v>40</v>
      </c>
      <c r="J43" s="5" t="s">
        <v>17203</v>
      </c>
      <c r="K43" s="5"/>
      <c r="L43" s="6" t="s">
        <v>42</v>
      </c>
      <c r="M43" s="5" t="s">
        <v>8746</v>
      </c>
      <c r="N43" s="5" t="s">
        <v>64</v>
      </c>
      <c r="O43" s="5" t="s">
        <v>17592</v>
      </c>
      <c r="P43" s="6">
        <v>5654.0</v>
      </c>
    </row>
    <row r="44" ht="56.25" customHeight="1">
      <c r="A44" s="5" t="s">
        <v>17588</v>
      </c>
      <c r="B44" s="16" t="str">
        <f>IMAGE("https://storage.googleapis.com/acdb/shoes/ShoesLowcutSpike1.png")</f>
        <v/>
      </c>
      <c r="C44" s="5" t="s">
        <v>83</v>
      </c>
      <c r="D44" s="5" t="s">
        <v>36</v>
      </c>
      <c r="E44" s="6">
        <v>1200.0</v>
      </c>
      <c r="F44" s="6">
        <v>300.0</v>
      </c>
      <c r="G44" s="5" t="s">
        <v>83</v>
      </c>
      <c r="H44" s="5" t="s">
        <v>95</v>
      </c>
      <c r="I44" s="6" t="s">
        <v>40</v>
      </c>
      <c r="J44" s="5" t="s">
        <v>17203</v>
      </c>
      <c r="K44" s="5"/>
      <c r="L44" s="6" t="s">
        <v>42</v>
      </c>
      <c r="M44" s="5" t="s">
        <v>8746</v>
      </c>
      <c r="N44" s="5" t="s">
        <v>64</v>
      </c>
      <c r="O44" s="5" t="s">
        <v>17594</v>
      </c>
      <c r="P44" s="6">
        <v>5654.0</v>
      </c>
    </row>
    <row r="45" ht="56.25" customHeight="1">
      <c r="A45" s="5" t="s">
        <v>17588</v>
      </c>
      <c r="B45" s="16" t="str">
        <f>IMAGE("https://storage.googleapis.com/acdb/shoes/ShoesLowcutSpike2.png")</f>
        <v/>
      </c>
      <c r="C45" s="5" t="s">
        <v>52</v>
      </c>
      <c r="D45" s="5" t="s">
        <v>36</v>
      </c>
      <c r="E45" s="6">
        <v>1200.0</v>
      </c>
      <c r="F45" s="6">
        <v>300.0</v>
      </c>
      <c r="G45" s="5" t="s">
        <v>52</v>
      </c>
      <c r="H45" s="5" t="s">
        <v>95</v>
      </c>
      <c r="I45" s="6" t="s">
        <v>40</v>
      </c>
      <c r="J45" s="5" t="s">
        <v>17203</v>
      </c>
      <c r="K45" s="5"/>
      <c r="L45" s="6" t="s">
        <v>42</v>
      </c>
      <c r="M45" s="5" t="s">
        <v>8746</v>
      </c>
      <c r="N45" s="5" t="s">
        <v>64</v>
      </c>
      <c r="O45" s="5" t="s">
        <v>17597</v>
      </c>
      <c r="P45" s="6">
        <v>5654.0</v>
      </c>
    </row>
    <row r="46" ht="56.25" customHeight="1">
      <c r="A46" s="5" t="s">
        <v>17588</v>
      </c>
      <c r="B46" s="16" t="str">
        <f>IMAGE("https://storage.googleapis.com/acdb/shoes/ShoesLowcutSpike3.png")</f>
        <v/>
      </c>
      <c r="C46" s="5" t="s">
        <v>114</v>
      </c>
      <c r="D46" s="5" t="s">
        <v>36</v>
      </c>
      <c r="E46" s="6">
        <v>1200.0</v>
      </c>
      <c r="F46" s="6">
        <v>300.0</v>
      </c>
      <c r="G46" s="5" t="s">
        <v>114</v>
      </c>
      <c r="H46" s="5" t="s">
        <v>95</v>
      </c>
      <c r="I46" s="6" t="s">
        <v>40</v>
      </c>
      <c r="J46" s="5" t="s">
        <v>17203</v>
      </c>
      <c r="K46" s="5"/>
      <c r="L46" s="6" t="s">
        <v>42</v>
      </c>
      <c r="M46" s="5" t="s">
        <v>8746</v>
      </c>
      <c r="N46" s="5" t="s">
        <v>64</v>
      </c>
      <c r="O46" s="5" t="s">
        <v>17600</v>
      </c>
      <c r="P46" s="6">
        <v>5654.0</v>
      </c>
    </row>
    <row r="47" ht="56.25" customHeight="1">
      <c r="A47" s="5" t="s">
        <v>17588</v>
      </c>
      <c r="B47" s="16" t="str">
        <f>IMAGE("https://storage.googleapis.com/acdb/shoes/ShoesLowcutSpike4.png")</f>
        <v/>
      </c>
      <c r="C47" s="5" t="s">
        <v>54</v>
      </c>
      <c r="D47" s="5" t="s">
        <v>36</v>
      </c>
      <c r="E47" s="6">
        <v>1200.0</v>
      </c>
      <c r="F47" s="6">
        <v>300.0</v>
      </c>
      <c r="G47" s="5" t="s">
        <v>54</v>
      </c>
      <c r="H47" s="5" t="s">
        <v>95</v>
      </c>
      <c r="I47" s="6" t="s">
        <v>40</v>
      </c>
      <c r="J47" s="5" t="s">
        <v>17203</v>
      </c>
      <c r="K47" s="5"/>
      <c r="L47" s="6" t="s">
        <v>42</v>
      </c>
      <c r="M47" s="5" t="s">
        <v>8746</v>
      </c>
      <c r="N47" s="5" t="s">
        <v>64</v>
      </c>
      <c r="O47" s="5" t="s">
        <v>17605</v>
      </c>
      <c r="P47" s="6">
        <v>5654.0</v>
      </c>
    </row>
    <row r="48" ht="56.25" customHeight="1">
      <c r="A48" s="5" t="s">
        <v>17588</v>
      </c>
      <c r="B48" s="16" t="str">
        <f>IMAGE("https://storage.googleapis.com/acdb/shoes/ShoesLowcutSpike5.png")</f>
        <v/>
      </c>
      <c r="C48" s="5" t="s">
        <v>142</v>
      </c>
      <c r="D48" s="5" t="s">
        <v>36</v>
      </c>
      <c r="E48" s="6">
        <v>1200.0</v>
      </c>
      <c r="F48" s="6">
        <v>300.0</v>
      </c>
      <c r="G48" s="5" t="s">
        <v>142</v>
      </c>
      <c r="H48" s="5" t="s">
        <v>95</v>
      </c>
      <c r="I48" s="6" t="s">
        <v>40</v>
      </c>
      <c r="J48" s="5" t="s">
        <v>17203</v>
      </c>
      <c r="K48" s="5"/>
      <c r="L48" s="6" t="s">
        <v>42</v>
      </c>
      <c r="M48" s="5" t="s">
        <v>8746</v>
      </c>
      <c r="N48" s="5" t="s">
        <v>64</v>
      </c>
      <c r="O48" s="5" t="s">
        <v>17607</v>
      </c>
      <c r="P48" s="6">
        <v>5654.0</v>
      </c>
    </row>
    <row r="49" ht="56.25" customHeight="1">
      <c r="A49" s="5" t="s">
        <v>17588</v>
      </c>
      <c r="B49" s="16" t="str">
        <f>IMAGE("https://storage.googleapis.com/acdb/shoes/ShoesLowcutSpike6.png")</f>
        <v/>
      </c>
      <c r="C49" s="5" t="s">
        <v>96</v>
      </c>
      <c r="D49" s="5" t="s">
        <v>36</v>
      </c>
      <c r="E49" s="6">
        <v>1200.0</v>
      </c>
      <c r="F49" s="6">
        <v>300.0</v>
      </c>
      <c r="G49" s="5" t="s">
        <v>96</v>
      </c>
      <c r="H49" s="5" t="s">
        <v>95</v>
      </c>
      <c r="I49" s="6" t="s">
        <v>40</v>
      </c>
      <c r="J49" s="5" t="s">
        <v>17203</v>
      </c>
      <c r="K49" s="5"/>
      <c r="L49" s="6" t="s">
        <v>42</v>
      </c>
      <c r="M49" s="5" t="s">
        <v>8746</v>
      </c>
      <c r="N49" s="5" t="s">
        <v>64</v>
      </c>
      <c r="O49" s="5" t="s">
        <v>17611</v>
      </c>
      <c r="P49" s="6">
        <v>5654.0</v>
      </c>
    </row>
    <row r="50" ht="56.25" customHeight="1">
      <c r="A50" s="5" t="s">
        <v>17588</v>
      </c>
      <c r="B50" s="16" t="str">
        <f>IMAGE("https://storage.googleapis.com/acdb/shoes/ShoesLowcutSpike7.png")</f>
        <v/>
      </c>
      <c r="C50" s="5" t="s">
        <v>106</v>
      </c>
      <c r="D50" s="5" t="s">
        <v>36</v>
      </c>
      <c r="E50" s="6">
        <v>1200.0</v>
      </c>
      <c r="F50" s="6">
        <v>300.0</v>
      </c>
      <c r="G50" s="5" t="s">
        <v>106</v>
      </c>
      <c r="H50" s="5" t="s">
        <v>95</v>
      </c>
      <c r="I50" s="6" t="s">
        <v>40</v>
      </c>
      <c r="J50" s="5" t="s">
        <v>17203</v>
      </c>
      <c r="K50" s="5"/>
      <c r="L50" s="6" t="s">
        <v>42</v>
      </c>
      <c r="M50" s="5" t="s">
        <v>8746</v>
      </c>
      <c r="N50" s="5" t="s">
        <v>64</v>
      </c>
      <c r="O50" s="5" t="s">
        <v>17615</v>
      </c>
      <c r="P50" s="6">
        <v>5654.0</v>
      </c>
    </row>
    <row r="51" ht="56.25" customHeight="1">
      <c r="A51" s="5" t="s">
        <v>17617</v>
      </c>
      <c r="B51" s="16" t="str">
        <f>IMAGE("https://storage.googleapis.com/acdb/shoes/ShoesSandalComfort0.png")</f>
        <v/>
      </c>
      <c r="C51" s="5" t="s">
        <v>39</v>
      </c>
      <c r="D51" s="5" t="s">
        <v>36</v>
      </c>
      <c r="E51" s="6">
        <v>1040.0</v>
      </c>
      <c r="F51" s="6">
        <v>260.0</v>
      </c>
      <c r="G51" s="5" t="s">
        <v>39</v>
      </c>
      <c r="H51" s="5" t="s">
        <v>38</v>
      </c>
      <c r="I51" s="6" t="s">
        <v>40</v>
      </c>
      <c r="J51" s="5" t="s">
        <v>8585</v>
      </c>
      <c r="K51" s="5" t="s">
        <v>8632</v>
      </c>
      <c r="L51" s="6" t="s">
        <v>42</v>
      </c>
      <c r="M51" s="5" t="s">
        <v>995</v>
      </c>
      <c r="N51" s="5" t="s">
        <v>64</v>
      </c>
      <c r="O51" s="5" t="s">
        <v>17621</v>
      </c>
      <c r="P51" s="6">
        <v>5619.0</v>
      </c>
    </row>
    <row r="52" ht="56.25" customHeight="1">
      <c r="A52" s="5" t="s">
        <v>17617</v>
      </c>
      <c r="B52" s="16" t="str">
        <f>IMAGE("https://storage.googleapis.com/acdb/shoes/ShoesSandalComfort1.png")</f>
        <v/>
      </c>
      <c r="C52" s="5" t="s">
        <v>57</v>
      </c>
      <c r="D52" s="5" t="s">
        <v>36</v>
      </c>
      <c r="E52" s="6">
        <v>1040.0</v>
      </c>
      <c r="F52" s="6">
        <v>260.0</v>
      </c>
      <c r="G52" s="5" t="s">
        <v>57</v>
      </c>
      <c r="H52" s="5" t="s">
        <v>38</v>
      </c>
      <c r="I52" s="6" t="s">
        <v>40</v>
      </c>
      <c r="J52" s="5" t="s">
        <v>8585</v>
      </c>
      <c r="K52" s="5" t="s">
        <v>8632</v>
      </c>
      <c r="L52" s="6" t="s">
        <v>42</v>
      </c>
      <c r="M52" s="5" t="s">
        <v>995</v>
      </c>
      <c r="N52" s="5" t="s">
        <v>64</v>
      </c>
      <c r="O52" s="5" t="s">
        <v>17626</v>
      </c>
      <c r="P52" s="6">
        <v>5619.0</v>
      </c>
    </row>
    <row r="53" ht="56.25" customHeight="1">
      <c r="A53" s="5" t="s">
        <v>17617</v>
      </c>
      <c r="B53" s="16" t="str">
        <f>IMAGE("https://storage.googleapis.com/acdb/shoes/ShoesSandalComfort2.png")</f>
        <v/>
      </c>
      <c r="C53" s="5" t="s">
        <v>96</v>
      </c>
      <c r="D53" s="5" t="s">
        <v>36</v>
      </c>
      <c r="E53" s="6">
        <v>1040.0</v>
      </c>
      <c r="F53" s="6">
        <v>260.0</v>
      </c>
      <c r="G53" s="5" t="s">
        <v>96</v>
      </c>
      <c r="H53" s="5" t="s">
        <v>38</v>
      </c>
      <c r="I53" s="6" t="s">
        <v>40</v>
      </c>
      <c r="J53" s="5" t="s">
        <v>8585</v>
      </c>
      <c r="K53" s="5" t="s">
        <v>8632</v>
      </c>
      <c r="L53" s="6" t="s">
        <v>42</v>
      </c>
      <c r="M53" s="5" t="s">
        <v>995</v>
      </c>
      <c r="N53" s="5" t="s">
        <v>64</v>
      </c>
      <c r="O53" s="5" t="s">
        <v>17630</v>
      </c>
      <c r="P53" s="6">
        <v>5619.0</v>
      </c>
    </row>
    <row r="54" ht="56.25" customHeight="1">
      <c r="A54" s="5" t="s">
        <v>17617</v>
      </c>
      <c r="B54" s="16" t="str">
        <f>IMAGE("https://storage.googleapis.com/acdb/shoes/ShoesSandalComfort3.png")</f>
        <v/>
      </c>
      <c r="C54" s="5" t="s">
        <v>68</v>
      </c>
      <c r="D54" s="5" t="s">
        <v>36</v>
      </c>
      <c r="E54" s="6">
        <v>1040.0</v>
      </c>
      <c r="F54" s="6">
        <v>260.0</v>
      </c>
      <c r="G54" s="5" t="s">
        <v>68</v>
      </c>
      <c r="H54" s="5" t="s">
        <v>38</v>
      </c>
      <c r="I54" s="6" t="s">
        <v>40</v>
      </c>
      <c r="J54" s="5" t="s">
        <v>8585</v>
      </c>
      <c r="K54" s="5" t="s">
        <v>8632</v>
      </c>
      <c r="L54" s="6" t="s">
        <v>42</v>
      </c>
      <c r="M54" s="5" t="s">
        <v>995</v>
      </c>
      <c r="N54" s="5" t="s">
        <v>64</v>
      </c>
      <c r="O54" s="5" t="s">
        <v>17634</v>
      </c>
      <c r="P54" s="6">
        <v>5619.0</v>
      </c>
    </row>
    <row r="55" ht="56.25" customHeight="1">
      <c r="A55" s="5" t="s">
        <v>17617</v>
      </c>
      <c r="B55" s="16" t="str">
        <f>IMAGE("https://storage.googleapis.com/acdb/shoes/ShoesSandalComfort4.png")</f>
        <v/>
      </c>
      <c r="C55" s="5" t="s">
        <v>52</v>
      </c>
      <c r="D55" s="5" t="s">
        <v>36</v>
      </c>
      <c r="E55" s="6">
        <v>1040.0</v>
      </c>
      <c r="F55" s="6">
        <v>260.0</v>
      </c>
      <c r="G55" s="5" t="s">
        <v>52</v>
      </c>
      <c r="H55" s="5" t="s">
        <v>38</v>
      </c>
      <c r="I55" s="6" t="s">
        <v>40</v>
      </c>
      <c r="J55" s="5" t="s">
        <v>8585</v>
      </c>
      <c r="K55" s="5" t="s">
        <v>8632</v>
      </c>
      <c r="L55" s="6" t="s">
        <v>42</v>
      </c>
      <c r="M55" s="5" t="s">
        <v>995</v>
      </c>
      <c r="N55" s="5" t="s">
        <v>64</v>
      </c>
      <c r="O55" s="5" t="s">
        <v>17637</v>
      </c>
      <c r="P55" s="6">
        <v>5619.0</v>
      </c>
    </row>
    <row r="56" ht="56.25" customHeight="1">
      <c r="A56" s="5" t="s">
        <v>17617</v>
      </c>
      <c r="B56" s="16" t="str">
        <f>IMAGE("https://storage.googleapis.com/acdb/shoes/ShoesSandalComfort5.png")</f>
        <v/>
      </c>
      <c r="C56" s="5" t="s">
        <v>142</v>
      </c>
      <c r="D56" s="5" t="s">
        <v>36</v>
      </c>
      <c r="E56" s="6">
        <v>1040.0</v>
      </c>
      <c r="F56" s="6">
        <v>260.0</v>
      </c>
      <c r="G56" s="5" t="s">
        <v>142</v>
      </c>
      <c r="H56" s="5" t="s">
        <v>38</v>
      </c>
      <c r="I56" s="6" t="s">
        <v>40</v>
      </c>
      <c r="J56" s="5" t="s">
        <v>8585</v>
      </c>
      <c r="K56" s="5" t="s">
        <v>8632</v>
      </c>
      <c r="L56" s="6" t="s">
        <v>42</v>
      </c>
      <c r="M56" s="5" t="s">
        <v>995</v>
      </c>
      <c r="N56" s="5" t="s">
        <v>64</v>
      </c>
      <c r="O56" s="5" t="s">
        <v>17643</v>
      </c>
      <c r="P56" s="6">
        <v>5619.0</v>
      </c>
    </row>
    <row r="57" ht="56.25" customHeight="1">
      <c r="A57" s="5" t="s">
        <v>17617</v>
      </c>
      <c r="B57" s="16" t="str">
        <f>IMAGE("https://storage.googleapis.com/acdb/shoes/ShoesSandalComfort6.png")</f>
        <v/>
      </c>
      <c r="C57" s="5" t="s">
        <v>114</v>
      </c>
      <c r="D57" s="5" t="s">
        <v>36</v>
      </c>
      <c r="E57" s="6">
        <v>1040.0</v>
      </c>
      <c r="F57" s="6">
        <v>260.0</v>
      </c>
      <c r="G57" s="5" t="s">
        <v>114</v>
      </c>
      <c r="H57" s="5" t="s">
        <v>38</v>
      </c>
      <c r="I57" s="6" t="s">
        <v>40</v>
      </c>
      <c r="J57" s="5" t="s">
        <v>8585</v>
      </c>
      <c r="K57" s="5" t="s">
        <v>8632</v>
      </c>
      <c r="L57" s="6" t="s">
        <v>42</v>
      </c>
      <c r="M57" s="5" t="s">
        <v>995</v>
      </c>
      <c r="N57" s="5" t="s">
        <v>64</v>
      </c>
      <c r="O57" s="5" t="s">
        <v>17646</v>
      </c>
      <c r="P57" s="6">
        <v>5619.0</v>
      </c>
    </row>
    <row r="58" ht="56.25" customHeight="1">
      <c r="A58" s="5" t="s">
        <v>17617</v>
      </c>
      <c r="B58" s="16" t="str">
        <f>IMAGE("https://storage.googleapis.com/acdb/shoes/ShoesSandalComfort7.png")</f>
        <v/>
      </c>
      <c r="C58" s="5" t="s">
        <v>106</v>
      </c>
      <c r="D58" s="5" t="s">
        <v>36</v>
      </c>
      <c r="E58" s="6">
        <v>1040.0</v>
      </c>
      <c r="F58" s="6">
        <v>260.0</v>
      </c>
      <c r="G58" s="5" t="s">
        <v>106</v>
      </c>
      <c r="H58" s="5" t="s">
        <v>38</v>
      </c>
      <c r="I58" s="6" t="s">
        <v>40</v>
      </c>
      <c r="J58" s="5" t="s">
        <v>8585</v>
      </c>
      <c r="K58" s="5" t="s">
        <v>8632</v>
      </c>
      <c r="L58" s="6" t="s">
        <v>42</v>
      </c>
      <c r="M58" s="5" t="s">
        <v>995</v>
      </c>
      <c r="N58" s="5" t="s">
        <v>64</v>
      </c>
      <c r="O58" s="5" t="s">
        <v>17649</v>
      </c>
      <c r="P58" s="6">
        <v>5619.0</v>
      </c>
    </row>
    <row r="59" ht="56.25" customHeight="1">
      <c r="A59" s="5" t="s">
        <v>17650</v>
      </c>
      <c r="B59" s="16" t="str">
        <f>IMAGE("https://storage.googleapis.com/acdb/shoes/ShoesKneeWestern0.png")</f>
        <v/>
      </c>
      <c r="C59" s="5" t="s">
        <v>39</v>
      </c>
      <c r="D59" s="5" t="s">
        <v>36</v>
      </c>
      <c r="E59" s="6">
        <v>2380.0</v>
      </c>
      <c r="F59" s="6">
        <v>595.0</v>
      </c>
      <c r="G59" s="5" t="s">
        <v>39</v>
      </c>
      <c r="H59" s="5" t="s">
        <v>39</v>
      </c>
      <c r="I59" s="6" t="s">
        <v>40</v>
      </c>
      <c r="J59" s="5" t="s">
        <v>8585</v>
      </c>
      <c r="K59" s="5" t="s">
        <v>8586</v>
      </c>
      <c r="L59" s="6" t="s">
        <v>42</v>
      </c>
      <c r="M59" s="5" t="s">
        <v>1059</v>
      </c>
      <c r="N59" s="5" t="s">
        <v>64</v>
      </c>
      <c r="O59" s="5" t="s">
        <v>17653</v>
      </c>
      <c r="P59" s="6">
        <v>5643.0</v>
      </c>
    </row>
    <row r="60" ht="56.25" customHeight="1">
      <c r="A60" s="5" t="s">
        <v>17650</v>
      </c>
      <c r="B60" s="16" t="str">
        <f>IMAGE("https://storage.googleapis.com/acdb/shoes/ShoesKneeWestern1.png")</f>
        <v/>
      </c>
      <c r="C60" s="5" t="s">
        <v>54</v>
      </c>
      <c r="D60" s="5" t="s">
        <v>36</v>
      </c>
      <c r="E60" s="6">
        <v>2380.0</v>
      </c>
      <c r="F60" s="6">
        <v>595.0</v>
      </c>
      <c r="G60" s="5" t="s">
        <v>54</v>
      </c>
      <c r="H60" s="5" t="s">
        <v>39</v>
      </c>
      <c r="I60" s="6" t="s">
        <v>40</v>
      </c>
      <c r="J60" s="5" t="s">
        <v>8585</v>
      </c>
      <c r="K60" s="5" t="s">
        <v>8586</v>
      </c>
      <c r="L60" s="6" t="s">
        <v>42</v>
      </c>
      <c r="M60" s="5" t="s">
        <v>1059</v>
      </c>
      <c r="N60" s="5" t="s">
        <v>64</v>
      </c>
      <c r="O60" s="5" t="s">
        <v>17655</v>
      </c>
      <c r="P60" s="6">
        <v>5643.0</v>
      </c>
    </row>
    <row r="61" ht="56.25" customHeight="1">
      <c r="A61" s="5" t="s">
        <v>17650</v>
      </c>
      <c r="B61" s="16" t="str">
        <f>IMAGE("https://storage.googleapis.com/acdb/shoes/ShoesKneeWestern2.png")</f>
        <v/>
      </c>
      <c r="C61" s="5" t="s">
        <v>186</v>
      </c>
      <c r="D61" s="5" t="s">
        <v>36</v>
      </c>
      <c r="E61" s="6">
        <v>2380.0</v>
      </c>
      <c r="F61" s="6">
        <v>595.0</v>
      </c>
      <c r="G61" s="5" t="s">
        <v>57</v>
      </c>
      <c r="H61" s="5" t="s">
        <v>39</v>
      </c>
      <c r="I61" s="6" t="s">
        <v>40</v>
      </c>
      <c r="J61" s="5" t="s">
        <v>8585</v>
      </c>
      <c r="K61" s="5" t="s">
        <v>8586</v>
      </c>
      <c r="L61" s="6" t="s">
        <v>42</v>
      </c>
      <c r="M61" s="5" t="s">
        <v>1059</v>
      </c>
      <c r="N61" s="5" t="s">
        <v>64</v>
      </c>
      <c r="O61" s="5" t="s">
        <v>17659</v>
      </c>
      <c r="P61" s="6">
        <v>5643.0</v>
      </c>
    </row>
    <row r="62" ht="56.25" customHeight="1">
      <c r="A62" s="5" t="s">
        <v>17650</v>
      </c>
      <c r="B62" s="16" t="str">
        <f>IMAGE("https://storage.googleapis.com/acdb/shoes/ShoesKneeWestern3.png")</f>
        <v/>
      </c>
      <c r="C62" s="5" t="s">
        <v>69</v>
      </c>
      <c r="D62" s="5" t="s">
        <v>36</v>
      </c>
      <c r="E62" s="6">
        <v>2380.0</v>
      </c>
      <c r="F62" s="6">
        <v>595.0</v>
      </c>
      <c r="G62" s="5" t="s">
        <v>69</v>
      </c>
      <c r="H62" s="5" t="s">
        <v>39</v>
      </c>
      <c r="I62" s="6" t="s">
        <v>40</v>
      </c>
      <c r="J62" s="5" t="s">
        <v>8585</v>
      </c>
      <c r="K62" s="5" t="s">
        <v>8586</v>
      </c>
      <c r="L62" s="6" t="s">
        <v>42</v>
      </c>
      <c r="M62" s="5" t="s">
        <v>1059</v>
      </c>
      <c r="N62" s="5" t="s">
        <v>64</v>
      </c>
      <c r="O62" s="5" t="s">
        <v>17664</v>
      </c>
      <c r="P62" s="6">
        <v>5643.0</v>
      </c>
    </row>
    <row r="63" ht="56.25" customHeight="1">
      <c r="A63" s="5" t="s">
        <v>17650</v>
      </c>
      <c r="B63" s="16" t="str">
        <f>IMAGE("https://storage.googleapis.com/acdb/shoes/ShoesKneeWestern4.png")</f>
        <v/>
      </c>
      <c r="C63" s="5" t="s">
        <v>68</v>
      </c>
      <c r="D63" s="5" t="s">
        <v>36</v>
      </c>
      <c r="E63" s="6">
        <v>2380.0</v>
      </c>
      <c r="F63" s="6">
        <v>595.0</v>
      </c>
      <c r="G63" s="5" t="s">
        <v>83</v>
      </c>
      <c r="H63" s="5" t="s">
        <v>39</v>
      </c>
      <c r="I63" s="6" t="s">
        <v>40</v>
      </c>
      <c r="J63" s="5" t="s">
        <v>8585</v>
      </c>
      <c r="K63" s="5" t="s">
        <v>8586</v>
      </c>
      <c r="L63" s="6" t="s">
        <v>42</v>
      </c>
      <c r="M63" s="5" t="s">
        <v>1059</v>
      </c>
      <c r="N63" s="5" t="s">
        <v>64</v>
      </c>
      <c r="O63" s="5" t="s">
        <v>17668</v>
      </c>
      <c r="P63" s="6">
        <v>5643.0</v>
      </c>
    </row>
    <row r="64" ht="56.25" customHeight="1">
      <c r="A64" s="5" t="s">
        <v>17669</v>
      </c>
      <c r="B64" s="16" t="str">
        <f>IMAGE("https://storage.googleapis.com/acdb/shoes/ShoesSandalCrossbelt0.png")</f>
        <v/>
      </c>
      <c r="C64" s="5" t="s">
        <v>96</v>
      </c>
      <c r="D64" s="5" t="s">
        <v>36</v>
      </c>
      <c r="E64" s="6">
        <v>1040.0</v>
      </c>
      <c r="F64" s="6">
        <v>260.0</v>
      </c>
      <c r="G64" s="5" t="s">
        <v>96</v>
      </c>
      <c r="H64" s="5" t="s">
        <v>96</v>
      </c>
      <c r="I64" s="6" t="s">
        <v>40</v>
      </c>
      <c r="J64" s="5" t="s">
        <v>8585</v>
      </c>
      <c r="K64" s="5" t="s">
        <v>8586</v>
      </c>
      <c r="L64" s="6" t="s">
        <v>42</v>
      </c>
      <c r="M64" s="5" t="s">
        <v>1059</v>
      </c>
      <c r="N64" s="5" t="s">
        <v>64</v>
      </c>
      <c r="O64" s="5" t="s">
        <v>17672</v>
      </c>
      <c r="P64" s="6">
        <v>4725.0</v>
      </c>
    </row>
    <row r="65" ht="56.25" customHeight="1">
      <c r="A65" s="5" t="s">
        <v>17669</v>
      </c>
      <c r="B65" s="16" t="str">
        <f>IMAGE("https://storage.googleapis.com/acdb/shoes/ShoesSandalCrossbelt1.png")</f>
        <v/>
      </c>
      <c r="C65" s="5" t="s">
        <v>69</v>
      </c>
      <c r="D65" s="5" t="s">
        <v>36</v>
      </c>
      <c r="E65" s="6">
        <v>1040.0</v>
      </c>
      <c r="F65" s="6">
        <v>260.0</v>
      </c>
      <c r="G65" s="5" t="s">
        <v>69</v>
      </c>
      <c r="H65" s="5" t="s">
        <v>69</v>
      </c>
      <c r="I65" s="6" t="s">
        <v>40</v>
      </c>
      <c r="J65" s="5" t="s">
        <v>8585</v>
      </c>
      <c r="K65" s="5" t="s">
        <v>8586</v>
      </c>
      <c r="L65" s="6" t="s">
        <v>42</v>
      </c>
      <c r="M65" s="5" t="s">
        <v>1059</v>
      </c>
      <c r="N65" s="5" t="s">
        <v>64</v>
      </c>
      <c r="O65" s="5" t="s">
        <v>17674</v>
      </c>
      <c r="P65" s="6">
        <v>4725.0</v>
      </c>
    </row>
    <row r="66" ht="56.25" customHeight="1">
      <c r="A66" s="5" t="s">
        <v>17669</v>
      </c>
      <c r="B66" s="16" t="str">
        <f>IMAGE("https://storage.googleapis.com/acdb/shoes/ShoesSandalCrossbelt2.png")</f>
        <v/>
      </c>
      <c r="C66" s="5" t="s">
        <v>95</v>
      </c>
      <c r="D66" s="5" t="s">
        <v>36</v>
      </c>
      <c r="E66" s="6">
        <v>1040.0</v>
      </c>
      <c r="F66" s="6">
        <v>260.0</v>
      </c>
      <c r="G66" s="5" t="s">
        <v>95</v>
      </c>
      <c r="H66" s="5" t="s">
        <v>95</v>
      </c>
      <c r="I66" s="6" t="s">
        <v>40</v>
      </c>
      <c r="J66" s="5" t="s">
        <v>8585</v>
      </c>
      <c r="K66" s="5" t="s">
        <v>8586</v>
      </c>
      <c r="L66" s="6" t="s">
        <v>42</v>
      </c>
      <c r="M66" s="5" t="s">
        <v>1059</v>
      </c>
      <c r="N66" s="5" t="s">
        <v>64</v>
      </c>
      <c r="O66" s="5" t="s">
        <v>17677</v>
      </c>
      <c r="P66" s="6">
        <v>4725.0</v>
      </c>
    </row>
    <row r="67" ht="56.25" customHeight="1">
      <c r="A67" s="5" t="s">
        <v>17669</v>
      </c>
      <c r="B67" s="16" t="str">
        <f>IMAGE("https://storage.googleapis.com/acdb/shoes/ShoesSandalCrossbelt3.png")</f>
        <v/>
      </c>
      <c r="C67" s="5" t="s">
        <v>39</v>
      </c>
      <c r="D67" s="5" t="s">
        <v>36</v>
      </c>
      <c r="E67" s="6">
        <v>1040.0</v>
      </c>
      <c r="F67" s="6">
        <v>260.0</v>
      </c>
      <c r="G67" s="5" t="s">
        <v>39</v>
      </c>
      <c r="H67" s="5" t="s">
        <v>39</v>
      </c>
      <c r="I67" s="6" t="s">
        <v>40</v>
      </c>
      <c r="J67" s="5" t="s">
        <v>8585</v>
      </c>
      <c r="K67" s="5" t="s">
        <v>8586</v>
      </c>
      <c r="L67" s="6" t="s">
        <v>42</v>
      </c>
      <c r="M67" s="5" t="s">
        <v>1059</v>
      </c>
      <c r="N67" s="5" t="s">
        <v>64</v>
      </c>
      <c r="O67" s="5" t="s">
        <v>17679</v>
      </c>
      <c r="P67" s="6">
        <v>4725.0</v>
      </c>
    </row>
    <row r="68" ht="56.25" customHeight="1">
      <c r="A68" s="5" t="s">
        <v>17669</v>
      </c>
      <c r="B68" s="16" t="str">
        <f>IMAGE("https://storage.googleapis.com/acdb/shoes/ShoesSandalCrossbelt4.png")</f>
        <v/>
      </c>
      <c r="C68" s="5" t="s">
        <v>54</v>
      </c>
      <c r="D68" s="5" t="s">
        <v>36</v>
      </c>
      <c r="E68" s="6">
        <v>1040.0</v>
      </c>
      <c r="F68" s="6">
        <v>260.0</v>
      </c>
      <c r="G68" s="5" t="s">
        <v>54</v>
      </c>
      <c r="H68" s="5" t="s">
        <v>54</v>
      </c>
      <c r="I68" s="6" t="s">
        <v>40</v>
      </c>
      <c r="J68" s="5" t="s">
        <v>8585</v>
      </c>
      <c r="K68" s="5" t="s">
        <v>8586</v>
      </c>
      <c r="L68" s="6" t="s">
        <v>42</v>
      </c>
      <c r="M68" s="5" t="s">
        <v>1059</v>
      </c>
      <c r="N68" s="5" t="s">
        <v>64</v>
      </c>
      <c r="O68" s="5" t="s">
        <v>17683</v>
      </c>
      <c r="P68" s="6">
        <v>4725.0</v>
      </c>
    </row>
    <row r="69" ht="56.25" customHeight="1">
      <c r="A69" s="5" t="s">
        <v>17669</v>
      </c>
      <c r="B69" s="16" t="str">
        <f>IMAGE("https://storage.googleapis.com/acdb/shoes/ShoesSandalCrossbelt5.png")</f>
        <v/>
      </c>
      <c r="C69" s="5" t="s">
        <v>106</v>
      </c>
      <c r="D69" s="5" t="s">
        <v>36</v>
      </c>
      <c r="E69" s="6">
        <v>1040.0</v>
      </c>
      <c r="F69" s="6">
        <v>260.0</v>
      </c>
      <c r="G69" s="5" t="s">
        <v>106</v>
      </c>
      <c r="H69" s="5" t="s">
        <v>106</v>
      </c>
      <c r="I69" s="6" t="s">
        <v>40</v>
      </c>
      <c r="J69" s="5" t="s">
        <v>8585</v>
      </c>
      <c r="K69" s="5" t="s">
        <v>8586</v>
      </c>
      <c r="L69" s="6" t="s">
        <v>42</v>
      </c>
      <c r="M69" s="5" t="s">
        <v>1059</v>
      </c>
      <c r="N69" s="5" t="s">
        <v>64</v>
      </c>
      <c r="O69" s="5" t="s">
        <v>17686</v>
      </c>
      <c r="P69" s="6">
        <v>4725.0</v>
      </c>
    </row>
    <row r="70" ht="56.25" customHeight="1">
      <c r="A70" s="5" t="s">
        <v>17687</v>
      </c>
      <c r="B70" s="16" t="str">
        <f>IMAGE("https://storage.googleapis.com/acdb/shoes/ShoesHighcutCute0.png")</f>
        <v/>
      </c>
      <c r="C70" s="5" t="s">
        <v>83</v>
      </c>
      <c r="D70" s="5" t="s">
        <v>36</v>
      </c>
      <c r="E70" s="6">
        <v>1260.0</v>
      </c>
      <c r="F70" s="6">
        <v>315.0</v>
      </c>
      <c r="G70" s="5" t="s">
        <v>83</v>
      </c>
      <c r="H70" s="5" t="s">
        <v>69</v>
      </c>
      <c r="I70" s="6" t="s">
        <v>40</v>
      </c>
      <c r="J70" s="5" t="s">
        <v>8585</v>
      </c>
      <c r="K70" s="5" t="s">
        <v>8632</v>
      </c>
      <c r="L70" s="6" t="s">
        <v>42</v>
      </c>
      <c r="M70" s="5" t="s">
        <v>1959</v>
      </c>
      <c r="N70" s="5" t="s">
        <v>64</v>
      </c>
      <c r="O70" s="5" t="s">
        <v>17689</v>
      </c>
      <c r="P70" s="6">
        <v>5803.0</v>
      </c>
    </row>
    <row r="71" ht="56.25" customHeight="1">
      <c r="A71" s="5" t="s">
        <v>17687</v>
      </c>
      <c r="B71" s="16" t="str">
        <f>IMAGE("https://storage.googleapis.com/acdb/shoes/ShoesHighcutCute1.png")</f>
        <v/>
      </c>
      <c r="C71" s="5" t="s">
        <v>96</v>
      </c>
      <c r="D71" s="5" t="s">
        <v>36</v>
      </c>
      <c r="E71" s="6">
        <v>1260.0</v>
      </c>
      <c r="F71" s="6">
        <v>315.0</v>
      </c>
      <c r="G71" s="5" t="s">
        <v>96</v>
      </c>
      <c r="H71" s="5" t="s">
        <v>114</v>
      </c>
      <c r="I71" s="6" t="s">
        <v>40</v>
      </c>
      <c r="J71" s="5" t="s">
        <v>8585</v>
      </c>
      <c r="K71" s="5" t="s">
        <v>8632</v>
      </c>
      <c r="L71" s="6" t="s">
        <v>42</v>
      </c>
      <c r="M71" s="5" t="s">
        <v>1959</v>
      </c>
      <c r="N71" s="5" t="s">
        <v>64</v>
      </c>
      <c r="O71" s="5" t="s">
        <v>17693</v>
      </c>
      <c r="P71" s="6">
        <v>5803.0</v>
      </c>
    </row>
    <row r="72" ht="56.25" customHeight="1">
      <c r="A72" s="5" t="s">
        <v>17687</v>
      </c>
      <c r="B72" s="16" t="str">
        <f>IMAGE("https://storage.googleapis.com/acdb/shoes/ShoesHighcutCute2.png")</f>
        <v/>
      </c>
      <c r="C72" s="5" t="s">
        <v>69</v>
      </c>
      <c r="D72" s="5" t="s">
        <v>36</v>
      </c>
      <c r="E72" s="6">
        <v>1260.0</v>
      </c>
      <c r="F72" s="6">
        <v>315.0</v>
      </c>
      <c r="G72" s="5" t="s">
        <v>69</v>
      </c>
      <c r="H72" s="5" t="s">
        <v>106</v>
      </c>
      <c r="I72" s="6" t="s">
        <v>40</v>
      </c>
      <c r="J72" s="5" t="s">
        <v>8585</v>
      </c>
      <c r="K72" s="5" t="s">
        <v>8632</v>
      </c>
      <c r="L72" s="6" t="s">
        <v>42</v>
      </c>
      <c r="M72" s="5" t="s">
        <v>1959</v>
      </c>
      <c r="N72" s="5" t="s">
        <v>64</v>
      </c>
      <c r="O72" s="5" t="s">
        <v>17695</v>
      </c>
      <c r="P72" s="6">
        <v>5803.0</v>
      </c>
    </row>
    <row r="73" ht="56.25" customHeight="1">
      <c r="A73" s="5" t="s">
        <v>17687</v>
      </c>
      <c r="B73" s="16" t="str">
        <f>IMAGE("https://storage.googleapis.com/acdb/shoes/ShoesHighcutCute3.png")</f>
        <v/>
      </c>
      <c r="C73" s="5" t="s">
        <v>114</v>
      </c>
      <c r="D73" s="5" t="s">
        <v>36</v>
      </c>
      <c r="E73" s="6">
        <v>1260.0</v>
      </c>
      <c r="F73" s="6">
        <v>315.0</v>
      </c>
      <c r="G73" s="5" t="s">
        <v>114</v>
      </c>
      <c r="H73" s="5" t="s">
        <v>96</v>
      </c>
      <c r="I73" s="6" t="s">
        <v>40</v>
      </c>
      <c r="J73" s="5" t="s">
        <v>8585</v>
      </c>
      <c r="K73" s="5" t="s">
        <v>8632</v>
      </c>
      <c r="L73" s="6" t="s">
        <v>42</v>
      </c>
      <c r="M73" s="5" t="s">
        <v>1959</v>
      </c>
      <c r="N73" s="5" t="s">
        <v>64</v>
      </c>
      <c r="O73" s="5" t="s">
        <v>17700</v>
      </c>
      <c r="P73" s="6">
        <v>5803.0</v>
      </c>
    </row>
    <row r="74" ht="56.25" customHeight="1">
      <c r="A74" s="5" t="s">
        <v>17687</v>
      </c>
      <c r="B74" s="16" t="str">
        <f>IMAGE("https://storage.googleapis.com/acdb/shoes/ShoesHighcutCute4.png")</f>
        <v/>
      </c>
      <c r="C74" s="5" t="s">
        <v>106</v>
      </c>
      <c r="D74" s="5" t="s">
        <v>36</v>
      </c>
      <c r="E74" s="6">
        <v>1260.0</v>
      </c>
      <c r="F74" s="6">
        <v>315.0</v>
      </c>
      <c r="G74" s="5" t="s">
        <v>106</v>
      </c>
      <c r="H74" s="5" t="s">
        <v>96</v>
      </c>
      <c r="I74" s="6" t="s">
        <v>40</v>
      </c>
      <c r="J74" s="5" t="s">
        <v>8585</v>
      </c>
      <c r="K74" s="5" t="s">
        <v>8632</v>
      </c>
      <c r="L74" s="6" t="s">
        <v>42</v>
      </c>
      <c r="M74" s="5" t="s">
        <v>1959</v>
      </c>
      <c r="N74" s="5" t="s">
        <v>64</v>
      </c>
      <c r="O74" s="5" t="s">
        <v>17702</v>
      </c>
      <c r="P74" s="6">
        <v>5803.0</v>
      </c>
    </row>
    <row r="75" ht="56.25" customHeight="1">
      <c r="A75" s="5" t="s">
        <v>17687</v>
      </c>
      <c r="B75" s="16" t="str">
        <f>IMAGE("https://storage.googleapis.com/acdb/shoes/ShoesHighcutCute5.png")</f>
        <v/>
      </c>
      <c r="C75" s="5" t="s">
        <v>68</v>
      </c>
      <c r="D75" s="5" t="s">
        <v>36</v>
      </c>
      <c r="E75" s="6">
        <v>1260.0</v>
      </c>
      <c r="F75" s="6">
        <v>315.0</v>
      </c>
      <c r="G75" s="5" t="s">
        <v>68</v>
      </c>
      <c r="H75" s="5" t="s">
        <v>69</v>
      </c>
      <c r="I75" s="6" t="s">
        <v>40</v>
      </c>
      <c r="J75" s="5" t="s">
        <v>8585</v>
      </c>
      <c r="K75" s="5" t="s">
        <v>8632</v>
      </c>
      <c r="L75" s="6" t="s">
        <v>42</v>
      </c>
      <c r="M75" s="5" t="s">
        <v>1959</v>
      </c>
      <c r="N75" s="5" t="s">
        <v>64</v>
      </c>
      <c r="O75" s="5" t="s">
        <v>17705</v>
      </c>
      <c r="P75" s="6">
        <v>5803.0</v>
      </c>
    </row>
    <row r="76" ht="56.25" customHeight="1">
      <c r="A76" s="5" t="s">
        <v>17706</v>
      </c>
      <c r="B76" s="16" t="str">
        <f>IMAGE("https://storage.googleapis.com/acdb/shoes/AccessoryGlassSlippers0.png")</f>
        <v/>
      </c>
      <c r="C76" s="5" t="s">
        <v>68</v>
      </c>
      <c r="D76" s="5" t="s">
        <v>36</v>
      </c>
      <c r="E76" s="6">
        <v>4040.0</v>
      </c>
      <c r="F76" s="6">
        <v>1010.0</v>
      </c>
      <c r="G76" s="5" t="s">
        <v>68</v>
      </c>
      <c r="H76" s="5" t="s">
        <v>68</v>
      </c>
      <c r="I76" s="6" t="s">
        <v>40</v>
      </c>
      <c r="J76" s="5" t="s">
        <v>1263</v>
      </c>
      <c r="K76" s="5" t="s">
        <v>1264</v>
      </c>
      <c r="L76" s="6" t="s">
        <v>42</v>
      </c>
      <c r="M76" s="5" t="s">
        <v>995</v>
      </c>
      <c r="N76" s="5" t="s">
        <v>48</v>
      </c>
      <c r="O76" s="5" t="s">
        <v>17709</v>
      </c>
      <c r="P76" s="6">
        <v>12130.0</v>
      </c>
    </row>
    <row r="77" ht="56.25" customHeight="1">
      <c r="A77" s="5" t="s">
        <v>17710</v>
      </c>
      <c r="B77" s="16" t="str">
        <f>IMAGE("https://storage.googleapis.com/acdb/shoes/ShoesLowcutEggground0.png")</f>
        <v/>
      </c>
      <c r="C77" s="5" t="s">
        <v>44</v>
      </c>
      <c r="D77" s="5" t="s">
        <v>35</v>
      </c>
      <c r="E77" s="6" t="s">
        <v>37</v>
      </c>
      <c r="F77" s="6">
        <v>800.0</v>
      </c>
      <c r="G77" s="5" t="s">
        <v>52</v>
      </c>
      <c r="H77" s="5" t="s">
        <v>114</v>
      </c>
      <c r="I77" s="6" t="s">
        <v>40</v>
      </c>
      <c r="J77" s="5" t="s">
        <v>41</v>
      </c>
      <c r="K77" s="5" t="s">
        <v>15019</v>
      </c>
      <c r="L77" s="6" t="s">
        <v>1410</v>
      </c>
      <c r="M77" s="5" t="s">
        <v>8746</v>
      </c>
      <c r="N77" s="5" t="s">
        <v>48</v>
      </c>
      <c r="O77" s="5" t="s">
        <v>17712</v>
      </c>
      <c r="P77" s="6">
        <v>12455.0</v>
      </c>
    </row>
    <row r="78" ht="56.25" customHeight="1">
      <c r="A78" s="5" t="s">
        <v>17714</v>
      </c>
      <c r="B78" s="16" t="str">
        <f>IMAGE("https://storage.googleapis.com/acdb/shoes/ShoesLowcutEmbroidery0.png")</f>
        <v/>
      </c>
      <c r="C78" s="5" t="s">
        <v>52</v>
      </c>
      <c r="D78" s="5" t="s">
        <v>36</v>
      </c>
      <c r="E78" s="6">
        <v>2100.0</v>
      </c>
      <c r="F78" s="6">
        <v>525.0</v>
      </c>
      <c r="G78" s="5" t="s">
        <v>52</v>
      </c>
      <c r="H78" s="5" t="s">
        <v>69</v>
      </c>
      <c r="I78" s="6" t="s">
        <v>40</v>
      </c>
      <c r="J78" s="5" t="s">
        <v>17203</v>
      </c>
      <c r="K78" s="5"/>
      <c r="L78" s="6" t="s">
        <v>42</v>
      </c>
      <c r="M78" s="5" t="s">
        <v>1059</v>
      </c>
      <c r="N78" s="5" t="s">
        <v>64</v>
      </c>
      <c r="O78" s="5" t="s">
        <v>17718</v>
      </c>
      <c r="P78" s="6">
        <v>9847.0</v>
      </c>
    </row>
    <row r="79" ht="56.25" customHeight="1">
      <c r="A79" s="5" t="s">
        <v>17714</v>
      </c>
      <c r="B79" s="16" t="str">
        <f>IMAGE("https://storage.googleapis.com/acdb/shoes/ShoesLowcutEmbroidery1.png")</f>
        <v/>
      </c>
      <c r="C79" s="5" t="s">
        <v>57</v>
      </c>
      <c r="D79" s="5" t="s">
        <v>36</v>
      </c>
      <c r="E79" s="6">
        <v>2100.0</v>
      </c>
      <c r="F79" s="6">
        <v>525.0</v>
      </c>
      <c r="G79" s="5" t="s">
        <v>57</v>
      </c>
      <c r="H79" s="5" t="s">
        <v>69</v>
      </c>
      <c r="I79" s="6" t="s">
        <v>40</v>
      </c>
      <c r="J79" s="5" t="s">
        <v>17203</v>
      </c>
      <c r="K79" s="5"/>
      <c r="L79" s="6" t="s">
        <v>42</v>
      </c>
      <c r="M79" s="5" t="s">
        <v>1059</v>
      </c>
      <c r="N79" s="5" t="s">
        <v>64</v>
      </c>
      <c r="O79" s="5" t="s">
        <v>17720</v>
      </c>
      <c r="P79" s="6">
        <v>9847.0</v>
      </c>
    </row>
    <row r="80" ht="56.25" customHeight="1">
      <c r="A80" s="5" t="s">
        <v>17714</v>
      </c>
      <c r="B80" s="16" t="str">
        <f>IMAGE("https://storage.googleapis.com/acdb/shoes/ShoesLowcutEmbroidery2.png")</f>
        <v/>
      </c>
      <c r="C80" s="5" t="s">
        <v>54</v>
      </c>
      <c r="D80" s="5" t="s">
        <v>36</v>
      </c>
      <c r="E80" s="6">
        <v>2100.0</v>
      </c>
      <c r="F80" s="6">
        <v>525.0</v>
      </c>
      <c r="G80" s="5" t="s">
        <v>54</v>
      </c>
      <c r="H80" s="5" t="s">
        <v>69</v>
      </c>
      <c r="I80" s="6" t="s">
        <v>40</v>
      </c>
      <c r="J80" s="5" t="s">
        <v>17203</v>
      </c>
      <c r="K80" s="5"/>
      <c r="L80" s="6" t="s">
        <v>42</v>
      </c>
      <c r="M80" s="5" t="s">
        <v>1059</v>
      </c>
      <c r="N80" s="5" t="s">
        <v>64</v>
      </c>
      <c r="O80" s="5" t="s">
        <v>17723</v>
      </c>
      <c r="P80" s="6">
        <v>9847.0</v>
      </c>
    </row>
    <row r="81" ht="56.25" customHeight="1">
      <c r="A81" s="5" t="s">
        <v>17714</v>
      </c>
      <c r="B81" s="16" t="str">
        <f>IMAGE("https://storage.googleapis.com/acdb/shoes/ShoesLowcutEmbroidery3.png")</f>
        <v/>
      </c>
      <c r="C81" s="5" t="s">
        <v>68</v>
      </c>
      <c r="D81" s="5" t="s">
        <v>36</v>
      </c>
      <c r="E81" s="6">
        <v>2100.0</v>
      </c>
      <c r="F81" s="6">
        <v>525.0</v>
      </c>
      <c r="G81" s="5" t="s">
        <v>83</v>
      </c>
      <c r="H81" s="5" t="s">
        <v>69</v>
      </c>
      <c r="I81" s="6" t="s">
        <v>40</v>
      </c>
      <c r="J81" s="5" t="s">
        <v>17203</v>
      </c>
      <c r="K81" s="5"/>
      <c r="L81" s="6" t="s">
        <v>42</v>
      </c>
      <c r="M81" s="5" t="s">
        <v>1059</v>
      </c>
      <c r="N81" s="5" t="s">
        <v>64</v>
      </c>
      <c r="O81" s="5" t="s">
        <v>17725</v>
      </c>
      <c r="P81" s="6">
        <v>9847.0</v>
      </c>
    </row>
    <row r="82" ht="56.25" customHeight="1">
      <c r="A82" s="5" t="s">
        <v>17727</v>
      </c>
      <c r="B82" s="16" t="str">
        <f>IMAGE("https://storage.googleapis.com/acdb/shoes/ShoesHighcutFurboots0.png")</f>
        <v/>
      </c>
      <c r="C82" s="5" t="s">
        <v>10757</v>
      </c>
      <c r="D82" s="5" t="s">
        <v>36</v>
      </c>
      <c r="E82" s="6">
        <v>1450.0</v>
      </c>
      <c r="F82" s="6">
        <v>362.0</v>
      </c>
      <c r="G82" s="5" t="s">
        <v>96</v>
      </c>
      <c r="H82" s="5" t="s">
        <v>57</v>
      </c>
      <c r="I82" s="6" t="s">
        <v>40</v>
      </c>
      <c r="J82" s="5" t="s">
        <v>8585</v>
      </c>
      <c r="K82" s="5" t="s">
        <v>8632</v>
      </c>
      <c r="L82" s="6" t="s">
        <v>42</v>
      </c>
      <c r="M82" s="5" t="s">
        <v>1059</v>
      </c>
      <c r="N82" s="5" t="s">
        <v>64</v>
      </c>
      <c r="O82" s="5" t="s">
        <v>17729</v>
      </c>
      <c r="P82" s="6">
        <v>5476.0</v>
      </c>
    </row>
    <row r="83" ht="56.25" customHeight="1">
      <c r="A83" s="5" t="s">
        <v>17727</v>
      </c>
      <c r="B83" s="16" t="str">
        <f>IMAGE("https://storage.googleapis.com/acdb/shoes/ShoesHighcutFurboots1.png")</f>
        <v/>
      </c>
      <c r="C83" s="5" t="s">
        <v>38</v>
      </c>
      <c r="D83" s="5" t="s">
        <v>36</v>
      </c>
      <c r="E83" s="6">
        <v>1450.0</v>
      </c>
      <c r="F83" s="6">
        <v>362.0</v>
      </c>
      <c r="G83" s="5" t="s">
        <v>38</v>
      </c>
      <c r="H83" s="5" t="s">
        <v>57</v>
      </c>
      <c r="I83" s="6" t="s">
        <v>40</v>
      </c>
      <c r="J83" s="5" t="s">
        <v>8585</v>
      </c>
      <c r="K83" s="5" t="s">
        <v>8632</v>
      </c>
      <c r="L83" s="6" t="s">
        <v>42</v>
      </c>
      <c r="M83" s="5" t="s">
        <v>1059</v>
      </c>
      <c r="N83" s="5" t="s">
        <v>64</v>
      </c>
      <c r="O83" s="5" t="s">
        <v>17733</v>
      </c>
      <c r="P83" s="6">
        <v>5476.0</v>
      </c>
    </row>
    <row r="84" ht="56.25" customHeight="1">
      <c r="A84" s="5" t="s">
        <v>17727</v>
      </c>
      <c r="B84" s="16" t="str">
        <f>IMAGE("https://storage.googleapis.com/acdb/shoes/ShoesHighcutFurboots2.png")</f>
        <v/>
      </c>
      <c r="C84" s="5" t="s">
        <v>10410</v>
      </c>
      <c r="D84" s="5" t="s">
        <v>36</v>
      </c>
      <c r="E84" s="6">
        <v>1450.0</v>
      </c>
      <c r="F84" s="6">
        <v>362.0</v>
      </c>
      <c r="G84" s="5" t="s">
        <v>52</v>
      </c>
      <c r="H84" s="5" t="s">
        <v>38</v>
      </c>
      <c r="I84" s="6" t="s">
        <v>40</v>
      </c>
      <c r="J84" s="5" t="s">
        <v>8585</v>
      </c>
      <c r="K84" s="5" t="s">
        <v>8632</v>
      </c>
      <c r="L84" s="6" t="s">
        <v>42</v>
      </c>
      <c r="M84" s="5" t="s">
        <v>1059</v>
      </c>
      <c r="N84" s="5" t="s">
        <v>64</v>
      </c>
      <c r="O84" s="5" t="s">
        <v>17737</v>
      </c>
      <c r="P84" s="6">
        <v>5476.0</v>
      </c>
    </row>
    <row r="85" ht="56.25" customHeight="1">
      <c r="A85" s="5" t="s">
        <v>17727</v>
      </c>
      <c r="B85" s="16" t="str">
        <f>IMAGE("https://storage.googleapis.com/acdb/shoes/ShoesHighcutFurboots3.png")</f>
        <v/>
      </c>
      <c r="C85" s="5" t="s">
        <v>1187</v>
      </c>
      <c r="D85" s="5" t="s">
        <v>36</v>
      </c>
      <c r="E85" s="6">
        <v>1450.0</v>
      </c>
      <c r="F85" s="6">
        <v>362.0</v>
      </c>
      <c r="G85" s="5" t="s">
        <v>68</v>
      </c>
      <c r="H85" s="5" t="s">
        <v>95</v>
      </c>
      <c r="I85" s="6" t="s">
        <v>40</v>
      </c>
      <c r="J85" s="5" t="s">
        <v>8585</v>
      </c>
      <c r="K85" s="5" t="s">
        <v>8632</v>
      </c>
      <c r="L85" s="6" t="s">
        <v>42</v>
      </c>
      <c r="M85" s="5" t="s">
        <v>1059</v>
      </c>
      <c r="N85" s="5" t="s">
        <v>64</v>
      </c>
      <c r="O85" s="5" t="s">
        <v>17739</v>
      </c>
      <c r="P85" s="6">
        <v>5476.0</v>
      </c>
    </row>
    <row r="86" ht="56.25" customHeight="1">
      <c r="A86" s="5" t="s">
        <v>17741</v>
      </c>
      <c r="B86" s="16" t="str">
        <f>IMAGE("https://storage.googleapis.com/acdb/shoes/ShoesHighcutMouton0.png")</f>
        <v/>
      </c>
      <c r="C86" s="5" t="s">
        <v>38</v>
      </c>
      <c r="D86" s="5" t="s">
        <v>36</v>
      </c>
      <c r="E86" s="6">
        <v>1600.0</v>
      </c>
      <c r="F86" s="6">
        <v>400.0</v>
      </c>
      <c r="G86" s="5" t="s">
        <v>38</v>
      </c>
      <c r="H86" s="5" t="s">
        <v>57</v>
      </c>
      <c r="I86" s="6" t="s">
        <v>40</v>
      </c>
      <c r="J86" s="5" t="s">
        <v>8585</v>
      </c>
      <c r="K86" s="5" t="s">
        <v>8632</v>
      </c>
      <c r="L86" s="6" t="s">
        <v>42</v>
      </c>
      <c r="M86" s="5" t="s">
        <v>1959</v>
      </c>
      <c r="N86" s="5" t="s">
        <v>64</v>
      </c>
      <c r="O86" s="5" t="s">
        <v>17744</v>
      </c>
      <c r="P86" s="6">
        <v>4721.0</v>
      </c>
    </row>
    <row r="87" ht="56.25" customHeight="1">
      <c r="A87" s="5" t="s">
        <v>17741</v>
      </c>
      <c r="B87" s="16" t="str">
        <f>IMAGE("https://storage.googleapis.com/acdb/shoes/ShoesHighcutMouton1.png")</f>
        <v/>
      </c>
      <c r="C87" s="5" t="s">
        <v>69</v>
      </c>
      <c r="D87" s="5" t="s">
        <v>36</v>
      </c>
      <c r="E87" s="6">
        <v>1600.0</v>
      </c>
      <c r="F87" s="6">
        <v>400.0</v>
      </c>
      <c r="G87" s="5" t="s">
        <v>69</v>
      </c>
      <c r="H87" s="5" t="s">
        <v>57</v>
      </c>
      <c r="I87" s="6" t="s">
        <v>40</v>
      </c>
      <c r="J87" s="5" t="s">
        <v>8585</v>
      </c>
      <c r="K87" s="5" t="s">
        <v>8632</v>
      </c>
      <c r="L87" s="6" t="s">
        <v>42</v>
      </c>
      <c r="M87" s="5" t="s">
        <v>1959</v>
      </c>
      <c r="N87" s="5" t="s">
        <v>64</v>
      </c>
      <c r="O87" s="5" t="s">
        <v>17747</v>
      </c>
      <c r="P87" s="6">
        <v>4721.0</v>
      </c>
    </row>
    <row r="88" ht="56.25" customHeight="1">
      <c r="A88" s="5" t="s">
        <v>17741</v>
      </c>
      <c r="B88" s="16" t="str">
        <f>IMAGE("https://storage.googleapis.com/acdb/shoes/ShoesHighcutMouton2.png")</f>
        <v/>
      </c>
      <c r="C88" s="5" t="s">
        <v>96</v>
      </c>
      <c r="D88" s="5" t="s">
        <v>36</v>
      </c>
      <c r="E88" s="6">
        <v>1600.0</v>
      </c>
      <c r="F88" s="6">
        <v>400.0</v>
      </c>
      <c r="G88" s="5" t="s">
        <v>96</v>
      </c>
      <c r="H88" s="5" t="s">
        <v>57</v>
      </c>
      <c r="I88" s="6" t="s">
        <v>40</v>
      </c>
      <c r="J88" s="5" t="s">
        <v>8585</v>
      </c>
      <c r="K88" s="5" t="s">
        <v>8632</v>
      </c>
      <c r="L88" s="6" t="s">
        <v>42</v>
      </c>
      <c r="M88" s="5" t="s">
        <v>1959</v>
      </c>
      <c r="N88" s="5" t="s">
        <v>64</v>
      </c>
      <c r="O88" s="5" t="s">
        <v>17750</v>
      </c>
      <c r="P88" s="6">
        <v>4721.0</v>
      </c>
    </row>
    <row r="89" ht="56.25" customHeight="1">
      <c r="A89" s="5" t="s">
        <v>17741</v>
      </c>
      <c r="B89" s="16" t="str">
        <f>IMAGE("https://storage.googleapis.com/acdb/shoes/ShoesHighcutMouton3.png")</f>
        <v/>
      </c>
      <c r="C89" s="5" t="s">
        <v>54</v>
      </c>
      <c r="D89" s="5" t="s">
        <v>36</v>
      </c>
      <c r="E89" s="6">
        <v>1600.0</v>
      </c>
      <c r="F89" s="6">
        <v>400.0</v>
      </c>
      <c r="G89" s="5" t="s">
        <v>54</v>
      </c>
      <c r="H89" s="5" t="s">
        <v>57</v>
      </c>
      <c r="I89" s="6" t="s">
        <v>40</v>
      </c>
      <c r="J89" s="5" t="s">
        <v>8585</v>
      </c>
      <c r="K89" s="5" t="s">
        <v>8632</v>
      </c>
      <c r="L89" s="6" t="s">
        <v>42</v>
      </c>
      <c r="M89" s="5" t="s">
        <v>1959</v>
      </c>
      <c r="N89" s="5" t="s">
        <v>64</v>
      </c>
      <c r="O89" s="5" t="s">
        <v>17754</v>
      </c>
      <c r="P89" s="6">
        <v>4721.0</v>
      </c>
    </row>
    <row r="90" ht="56.25" customHeight="1">
      <c r="A90" s="5" t="s">
        <v>17741</v>
      </c>
      <c r="B90" s="16" t="str">
        <f>IMAGE("https://storage.googleapis.com/acdb/shoes/ShoesHighcutMouton4.png")</f>
        <v/>
      </c>
      <c r="C90" s="5" t="s">
        <v>95</v>
      </c>
      <c r="D90" s="5" t="s">
        <v>36</v>
      </c>
      <c r="E90" s="6">
        <v>1600.0</v>
      </c>
      <c r="F90" s="6">
        <v>400.0</v>
      </c>
      <c r="G90" s="5" t="s">
        <v>95</v>
      </c>
      <c r="H90" s="5" t="s">
        <v>57</v>
      </c>
      <c r="I90" s="6" t="s">
        <v>40</v>
      </c>
      <c r="J90" s="5" t="s">
        <v>8585</v>
      </c>
      <c r="K90" s="5" t="s">
        <v>8632</v>
      </c>
      <c r="L90" s="6" t="s">
        <v>42</v>
      </c>
      <c r="M90" s="5" t="s">
        <v>1959</v>
      </c>
      <c r="N90" s="5" t="s">
        <v>64</v>
      </c>
      <c r="O90" s="5" t="s">
        <v>17757</v>
      </c>
      <c r="P90" s="6">
        <v>4721.0</v>
      </c>
    </row>
    <row r="91" ht="56.25" customHeight="1">
      <c r="A91" s="5" t="s">
        <v>17758</v>
      </c>
      <c r="B91" s="16" t="str">
        <f>IMAGE("https://storage.googleapis.com/acdb/shoes/ShoesLowcutSuede0.png")</f>
        <v/>
      </c>
      <c r="C91" s="5" t="s">
        <v>96</v>
      </c>
      <c r="D91" s="5" t="s">
        <v>36</v>
      </c>
      <c r="E91" s="6">
        <v>1080.0</v>
      </c>
      <c r="F91" s="6">
        <v>270.0</v>
      </c>
      <c r="G91" s="5" t="s">
        <v>96</v>
      </c>
      <c r="H91" s="5" t="s">
        <v>57</v>
      </c>
      <c r="I91" s="6" t="s">
        <v>40</v>
      </c>
      <c r="J91" s="5" t="s">
        <v>8585</v>
      </c>
      <c r="K91" s="5" t="s">
        <v>8586</v>
      </c>
      <c r="L91" s="6" t="s">
        <v>42</v>
      </c>
      <c r="M91" s="5" t="s">
        <v>995</v>
      </c>
      <c r="N91" s="5" t="s">
        <v>64</v>
      </c>
      <c r="O91" s="5" t="s">
        <v>17761</v>
      </c>
      <c r="P91" s="6">
        <v>6893.0</v>
      </c>
    </row>
    <row r="92" ht="56.25" customHeight="1">
      <c r="A92" s="5" t="s">
        <v>17758</v>
      </c>
      <c r="B92" s="16" t="str">
        <f>IMAGE("https://storage.googleapis.com/acdb/shoes/ShoesLowcutSuede1.png")</f>
        <v/>
      </c>
      <c r="C92" s="5" t="s">
        <v>1187</v>
      </c>
      <c r="D92" s="5" t="s">
        <v>36</v>
      </c>
      <c r="E92" s="6">
        <v>1080.0</v>
      </c>
      <c r="F92" s="6">
        <v>270.0</v>
      </c>
      <c r="G92" s="5" t="s">
        <v>68</v>
      </c>
      <c r="H92" s="5" t="s">
        <v>57</v>
      </c>
      <c r="I92" s="6" t="s">
        <v>40</v>
      </c>
      <c r="J92" s="5" t="s">
        <v>8585</v>
      </c>
      <c r="K92" s="5" t="s">
        <v>8586</v>
      </c>
      <c r="L92" s="6" t="s">
        <v>42</v>
      </c>
      <c r="M92" s="5" t="s">
        <v>995</v>
      </c>
      <c r="N92" s="5" t="s">
        <v>64</v>
      </c>
      <c r="O92" s="5" t="s">
        <v>17763</v>
      </c>
      <c r="P92" s="6">
        <v>6893.0</v>
      </c>
    </row>
    <row r="93" ht="56.25" customHeight="1">
      <c r="A93" s="5" t="s">
        <v>17758</v>
      </c>
      <c r="B93" s="16" t="str">
        <f>IMAGE("https://storage.googleapis.com/acdb/shoes/ShoesLowcutSuede2.png")</f>
        <v/>
      </c>
      <c r="C93" s="5" t="s">
        <v>38</v>
      </c>
      <c r="D93" s="5" t="s">
        <v>36</v>
      </c>
      <c r="E93" s="6">
        <v>1080.0</v>
      </c>
      <c r="F93" s="6">
        <v>270.0</v>
      </c>
      <c r="G93" s="5" t="s">
        <v>38</v>
      </c>
      <c r="H93" s="5" t="s">
        <v>57</v>
      </c>
      <c r="I93" s="6" t="s">
        <v>40</v>
      </c>
      <c r="J93" s="5" t="s">
        <v>8585</v>
      </c>
      <c r="K93" s="5" t="s">
        <v>8586</v>
      </c>
      <c r="L93" s="6" t="s">
        <v>42</v>
      </c>
      <c r="M93" s="5" t="s">
        <v>995</v>
      </c>
      <c r="N93" s="5" t="s">
        <v>64</v>
      </c>
      <c r="O93" s="5" t="s">
        <v>17768</v>
      </c>
      <c r="P93" s="6">
        <v>6893.0</v>
      </c>
    </row>
    <row r="94" ht="56.25" customHeight="1">
      <c r="A94" s="5" t="s">
        <v>17758</v>
      </c>
      <c r="B94" s="16" t="str">
        <f>IMAGE("https://storage.googleapis.com/acdb/shoes/ShoesLowcutSuede3.png")</f>
        <v/>
      </c>
      <c r="C94" s="5" t="s">
        <v>142</v>
      </c>
      <c r="D94" s="5" t="s">
        <v>36</v>
      </c>
      <c r="E94" s="6">
        <v>1080.0</v>
      </c>
      <c r="F94" s="6">
        <v>270.0</v>
      </c>
      <c r="G94" s="5" t="s">
        <v>142</v>
      </c>
      <c r="H94" s="5" t="s">
        <v>57</v>
      </c>
      <c r="I94" s="6" t="s">
        <v>40</v>
      </c>
      <c r="J94" s="5" t="s">
        <v>8585</v>
      </c>
      <c r="K94" s="5" t="s">
        <v>8586</v>
      </c>
      <c r="L94" s="6" t="s">
        <v>42</v>
      </c>
      <c r="M94" s="5" t="s">
        <v>995</v>
      </c>
      <c r="N94" s="5" t="s">
        <v>64</v>
      </c>
      <c r="O94" s="5" t="s">
        <v>17772</v>
      </c>
      <c r="P94" s="6">
        <v>6893.0</v>
      </c>
    </row>
    <row r="95" ht="56.25" customHeight="1">
      <c r="A95" s="5" t="s">
        <v>17758</v>
      </c>
      <c r="B95" s="16" t="str">
        <f>IMAGE("https://storage.googleapis.com/acdb/shoes/ShoesLowcutSuede4.png")</f>
        <v/>
      </c>
      <c r="C95" s="5" t="s">
        <v>69</v>
      </c>
      <c r="D95" s="5" t="s">
        <v>36</v>
      </c>
      <c r="E95" s="6">
        <v>1080.0</v>
      </c>
      <c r="F95" s="6">
        <v>270.0</v>
      </c>
      <c r="G95" s="5" t="s">
        <v>69</v>
      </c>
      <c r="H95" s="5" t="s">
        <v>57</v>
      </c>
      <c r="I95" s="6" t="s">
        <v>40</v>
      </c>
      <c r="J95" s="5" t="s">
        <v>8585</v>
      </c>
      <c r="K95" s="5" t="s">
        <v>8586</v>
      </c>
      <c r="L95" s="6" t="s">
        <v>42</v>
      </c>
      <c r="M95" s="5" t="s">
        <v>995</v>
      </c>
      <c r="N95" s="5" t="s">
        <v>64</v>
      </c>
      <c r="O95" s="5" t="s">
        <v>17776</v>
      </c>
      <c r="P95" s="6">
        <v>6893.0</v>
      </c>
    </row>
    <row r="96" ht="56.25" customHeight="1">
      <c r="A96" s="5" t="s">
        <v>17758</v>
      </c>
      <c r="B96" s="16" t="str">
        <f>IMAGE("https://storage.googleapis.com/acdb/shoes/ShoesLowcutSuede5.png")</f>
        <v/>
      </c>
      <c r="C96" s="5" t="s">
        <v>83</v>
      </c>
      <c r="D96" s="5" t="s">
        <v>36</v>
      </c>
      <c r="E96" s="6">
        <v>1080.0</v>
      </c>
      <c r="F96" s="6">
        <v>270.0</v>
      </c>
      <c r="G96" s="5" t="s">
        <v>83</v>
      </c>
      <c r="H96" s="5" t="s">
        <v>57</v>
      </c>
      <c r="I96" s="6" t="s">
        <v>40</v>
      </c>
      <c r="J96" s="5" t="s">
        <v>8585</v>
      </c>
      <c r="K96" s="5" t="s">
        <v>8586</v>
      </c>
      <c r="L96" s="6" t="s">
        <v>42</v>
      </c>
      <c r="M96" s="5" t="s">
        <v>995</v>
      </c>
      <c r="N96" s="5" t="s">
        <v>64</v>
      </c>
      <c r="O96" s="5" t="s">
        <v>17780</v>
      </c>
      <c r="P96" s="6">
        <v>6893.0</v>
      </c>
    </row>
    <row r="97" ht="56.25" customHeight="1">
      <c r="A97" s="5" t="s">
        <v>17758</v>
      </c>
      <c r="B97" s="16" t="str">
        <f>IMAGE("https://storage.googleapis.com/acdb/shoes/ShoesLowcutSuede6.png")</f>
        <v/>
      </c>
      <c r="C97" s="5" t="s">
        <v>106</v>
      </c>
      <c r="D97" s="5" t="s">
        <v>36</v>
      </c>
      <c r="E97" s="6">
        <v>1080.0</v>
      </c>
      <c r="F97" s="6">
        <v>270.0</v>
      </c>
      <c r="G97" s="5" t="s">
        <v>106</v>
      </c>
      <c r="H97" s="5" t="s">
        <v>57</v>
      </c>
      <c r="I97" s="6" t="s">
        <v>40</v>
      </c>
      <c r="J97" s="5" t="s">
        <v>8585</v>
      </c>
      <c r="K97" s="5" t="s">
        <v>8586</v>
      </c>
      <c r="L97" s="6" t="s">
        <v>42</v>
      </c>
      <c r="M97" s="5" t="s">
        <v>995</v>
      </c>
      <c r="N97" s="5" t="s">
        <v>64</v>
      </c>
      <c r="O97" s="5" t="s">
        <v>17783</v>
      </c>
      <c r="P97" s="6">
        <v>6893.0</v>
      </c>
    </row>
    <row r="98" ht="56.25" customHeight="1">
      <c r="A98" s="5" t="s">
        <v>17758</v>
      </c>
      <c r="B98" s="16" t="str">
        <f>IMAGE("https://storage.googleapis.com/acdb/shoes/ShoesLowcutSuede7.png")</f>
        <v/>
      </c>
      <c r="C98" s="5" t="s">
        <v>4883</v>
      </c>
      <c r="D98" s="5" t="s">
        <v>36</v>
      </c>
      <c r="E98" s="6">
        <v>1080.0</v>
      </c>
      <c r="F98" s="6">
        <v>270.0</v>
      </c>
      <c r="G98" s="5" t="s">
        <v>52</v>
      </c>
      <c r="H98" s="5" t="s">
        <v>57</v>
      </c>
      <c r="I98" s="6" t="s">
        <v>40</v>
      </c>
      <c r="J98" s="5" t="s">
        <v>8585</v>
      </c>
      <c r="K98" s="5" t="s">
        <v>8586</v>
      </c>
      <c r="L98" s="6" t="s">
        <v>42</v>
      </c>
      <c r="M98" s="5" t="s">
        <v>995</v>
      </c>
      <c r="N98" s="5" t="s">
        <v>64</v>
      </c>
      <c r="O98" s="5" t="s">
        <v>17786</v>
      </c>
      <c r="P98" s="6">
        <v>6893.0</v>
      </c>
    </row>
    <row r="99" ht="56.25" customHeight="1">
      <c r="A99" s="5" t="s">
        <v>17787</v>
      </c>
      <c r="B99" s="16" t="str">
        <f>IMAGE("https://storage.googleapis.com/acdb/shoes/ShoesSandalBeachborder0.png")</f>
        <v/>
      </c>
      <c r="C99" s="5" t="s">
        <v>68</v>
      </c>
      <c r="D99" s="5" t="s">
        <v>36</v>
      </c>
      <c r="E99" s="6">
        <v>350.0</v>
      </c>
      <c r="F99" s="6">
        <v>87.0</v>
      </c>
      <c r="G99" s="5" t="s">
        <v>68</v>
      </c>
      <c r="H99" s="5" t="s">
        <v>83</v>
      </c>
      <c r="I99" s="6" t="s">
        <v>40</v>
      </c>
      <c r="J99" s="5" t="s">
        <v>8585</v>
      </c>
      <c r="K99" s="5" t="s">
        <v>8632</v>
      </c>
      <c r="L99" s="6" t="s">
        <v>42</v>
      </c>
      <c r="M99" s="5" t="s">
        <v>8746</v>
      </c>
      <c r="N99" s="5" t="s">
        <v>64</v>
      </c>
      <c r="O99" s="5" t="s">
        <v>17790</v>
      </c>
      <c r="P99" s="6">
        <v>5470.0</v>
      </c>
    </row>
    <row r="100" ht="56.25" customHeight="1">
      <c r="A100" s="5" t="s">
        <v>17787</v>
      </c>
      <c r="B100" s="16" t="str">
        <f>IMAGE("https://storage.googleapis.com/acdb/shoes/ShoesSandalBeachborder1.png")</f>
        <v/>
      </c>
      <c r="C100" s="5" t="s">
        <v>96</v>
      </c>
      <c r="D100" s="5" t="s">
        <v>36</v>
      </c>
      <c r="E100" s="6">
        <v>350.0</v>
      </c>
      <c r="F100" s="6">
        <v>87.0</v>
      </c>
      <c r="G100" s="5" t="s">
        <v>96</v>
      </c>
      <c r="H100" s="5" t="s">
        <v>142</v>
      </c>
      <c r="I100" s="6" t="s">
        <v>40</v>
      </c>
      <c r="J100" s="5" t="s">
        <v>8585</v>
      </c>
      <c r="K100" s="5" t="s">
        <v>8632</v>
      </c>
      <c r="L100" s="6" t="s">
        <v>42</v>
      </c>
      <c r="M100" s="5" t="s">
        <v>8746</v>
      </c>
      <c r="N100" s="5" t="s">
        <v>64</v>
      </c>
      <c r="O100" s="5" t="s">
        <v>17793</v>
      </c>
      <c r="P100" s="6">
        <v>5470.0</v>
      </c>
    </row>
    <row r="101" ht="56.25" customHeight="1">
      <c r="A101" s="5" t="s">
        <v>17787</v>
      </c>
      <c r="B101" s="16" t="str">
        <f>IMAGE("https://storage.googleapis.com/acdb/shoes/ShoesSandalBeachborder2.png")</f>
        <v/>
      </c>
      <c r="C101" s="5" t="s">
        <v>114</v>
      </c>
      <c r="D101" s="5" t="s">
        <v>36</v>
      </c>
      <c r="E101" s="6">
        <v>350.0</v>
      </c>
      <c r="F101" s="6">
        <v>87.0</v>
      </c>
      <c r="G101" s="5" t="s">
        <v>114</v>
      </c>
      <c r="H101" s="5" t="s">
        <v>96</v>
      </c>
      <c r="I101" s="6" t="s">
        <v>40</v>
      </c>
      <c r="J101" s="5" t="s">
        <v>8585</v>
      </c>
      <c r="K101" s="5" t="s">
        <v>8632</v>
      </c>
      <c r="L101" s="6" t="s">
        <v>42</v>
      </c>
      <c r="M101" s="5" t="s">
        <v>8746</v>
      </c>
      <c r="N101" s="5" t="s">
        <v>64</v>
      </c>
      <c r="O101" s="5" t="s">
        <v>17797</v>
      </c>
      <c r="P101" s="6">
        <v>5470.0</v>
      </c>
    </row>
    <row r="102" ht="56.25" customHeight="1">
      <c r="A102" s="5" t="s">
        <v>17787</v>
      </c>
      <c r="B102" s="16" t="str">
        <f>IMAGE("https://storage.googleapis.com/acdb/shoes/ShoesSandalBeachborder3.png")</f>
        <v/>
      </c>
      <c r="C102" s="5" t="s">
        <v>57</v>
      </c>
      <c r="D102" s="5" t="s">
        <v>36</v>
      </c>
      <c r="E102" s="6">
        <v>350.0</v>
      </c>
      <c r="F102" s="6">
        <v>87.0</v>
      </c>
      <c r="G102" s="5" t="s">
        <v>57</v>
      </c>
      <c r="H102" s="5" t="s">
        <v>69</v>
      </c>
      <c r="I102" s="6" t="s">
        <v>40</v>
      </c>
      <c r="J102" s="5" t="s">
        <v>8585</v>
      </c>
      <c r="K102" s="5" t="s">
        <v>8632</v>
      </c>
      <c r="L102" s="6" t="s">
        <v>42</v>
      </c>
      <c r="M102" s="5" t="s">
        <v>8746</v>
      </c>
      <c r="N102" s="5" t="s">
        <v>64</v>
      </c>
      <c r="O102" s="5" t="s">
        <v>17800</v>
      </c>
      <c r="P102" s="6">
        <v>5470.0</v>
      </c>
    </row>
    <row r="103" ht="56.25" customHeight="1">
      <c r="A103" s="5" t="s">
        <v>17787</v>
      </c>
      <c r="B103" s="16" t="str">
        <f>IMAGE("https://storage.googleapis.com/acdb/shoes/ShoesSandalBeachborder4.png")</f>
        <v/>
      </c>
      <c r="C103" s="5" t="s">
        <v>142</v>
      </c>
      <c r="D103" s="5" t="s">
        <v>36</v>
      </c>
      <c r="E103" s="6">
        <v>350.0</v>
      </c>
      <c r="F103" s="6">
        <v>87.0</v>
      </c>
      <c r="G103" s="5" t="s">
        <v>142</v>
      </c>
      <c r="H103" s="5" t="s">
        <v>68</v>
      </c>
      <c r="I103" s="6" t="s">
        <v>40</v>
      </c>
      <c r="J103" s="5" t="s">
        <v>8585</v>
      </c>
      <c r="K103" s="5" t="s">
        <v>8632</v>
      </c>
      <c r="L103" s="6" t="s">
        <v>42</v>
      </c>
      <c r="M103" s="5" t="s">
        <v>8746</v>
      </c>
      <c r="N103" s="5" t="s">
        <v>64</v>
      </c>
      <c r="O103" s="5" t="s">
        <v>17803</v>
      </c>
      <c r="P103" s="6">
        <v>5470.0</v>
      </c>
    </row>
    <row r="104" ht="56.25" customHeight="1">
      <c r="A104" s="5" t="s">
        <v>17787</v>
      </c>
      <c r="B104" s="16" t="str">
        <f>IMAGE("https://storage.googleapis.com/acdb/shoes/ShoesSandalBeachborder5.png")</f>
        <v/>
      </c>
      <c r="C104" s="5" t="s">
        <v>83</v>
      </c>
      <c r="D104" s="5" t="s">
        <v>36</v>
      </c>
      <c r="E104" s="6">
        <v>350.0</v>
      </c>
      <c r="F104" s="6">
        <v>87.0</v>
      </c>
      <c r="G104" s="5" t="s">
        <v>83</v>
      </c>
      <c r="H104" s="5" t="s">
        <v>142</v>
      </c>
      <c r="I104" s="6" t="s">
        <v>40</v>
      </c>
      <c r="J104" s="5" t="s">
        <v>8585</v>
      </c>
      <c r="K104" s="5" t="s">
        <v>8632</v>
      </c>
      <c r="L104" s="6" t="s">
        <v>42</v>
      </c>
      <c r="M104" s="5" t="s">
        <v>8746</v>
      </c>
      <c r="N104" s="5" t="s">
        <v>64</v>
      </c>
      <c r="O104" s="5" t="s">
        <v>17805</v>
      </c>
      <c r="P104" s="6">
        <v>5470.0</v>
      </c>
    </row>
    <row r="105" ht="56.25" customHeight="1">
      <c r="A105" s="5" t="s">
        <v>17787</v>
      </c>
      <c r="B105" s="16" t="str">
        <f>IMAGE("https://storage.googleapis.com/acdb/shoes/ShoesSandalBeachborder6.png")</f>
        <v/>
      </c>
      <c r="C105" s="5" t="s">
        <v>69</v>
      </c>
      <c r="D105" s="5" t="s">
        <v>36</v>
      </c>
      <c r="E105" s="6">
        <v>350.0</v>
      </c>
      <c r="F105" s="6">
        <v>87.0</v>
      </c>
      <c r="G105" s="5" t="s">
        <v>69</v>
      </c>
      <c r="H105" s="5" t="s">
        <v>95</v>
      </c>
      <c r="I105" s="6" t="s">
        <v>40</v>
      </c>
      <c r="J105" s="5" t="s">
        <v>8585</v>
      </c>
      <c r="K105" s="5" t="s">
        <v>8632</v>
      </c>
      <c r="L105" s="6" t="s">
        <v>42</v>
      </c>
      <c r="M105" s="5" t="s">
        <v>8746</v>
      </c>
      <c r="N105" s="5" t="s">
        <v>64</v>
      </c>
      <c r="O105" s="5" t="s">
        <v>17808</v>
      </c>
      <c r="P105" s="6">
        <v>5470.0</v>
      </c>
    </row>
    <row r="106" ht="56.25" customHeight="1">
      <c r="A106" s="5" t="s">
        <v>17787</v>
      </c>
      <c r="B106" s="16" t="str">
        <f>IMAGE("https://storage.googleapis.com/acdb/shoes/ShoesSandalBeachborder7.png")</f>
        <v/>
      </c>
      <c r="C106" s="5" t="s">
        <v>52</v>
      </c>
      <c r="D106" s="5" t="s">
        <v>36</v>
      </c>
      <c r="E106" s="6">
        <v>350.0</v>
      </c>
      <c r="F106" s="6">
        <v>87.0</v>
      </c>
      <c r="G106" s="5" t="s">
        <v>52</v>
      </c>
      <c r="H106" s="5" t="s">
        <v>114</v>
      </c>
      <c r="I106" s="6" t="s">
        <v>40</v>
      </c>
      <c r="J106" s="5" t="s">
        <v>8585</v>
      </c>
      <c r="K106" s="5" t="s">
        <v>8632</v>
      </c>
      <c r="L106" s="6" t="s">
        <v>42</v>
      </c>
      <c r="M106" s="5" t="s">
        <v>8746</v>
      </c>
      <c r="N106" s="5" t="s">
        <v>64</v>
      </c>
      <c r="O106" s="5" t="s">
        <v>17812</v>
      </c>
      <c r="P106" s="6">
        <v>5470.0</v>
      </c>
    </row>
    <row r="107" ht="56.25" customHeight="1">
      <c r="A107" s="5" t="s">
        <v>17813</v>
      </c>
      <c r="B107" s="16" t="str">
        <f>IMAGE("https://storage.googleapis.com/acdb/shoes/ShoesSandalFlower0.png")</f>
        <v/>
      </c>
      <c r="C107" s="5" t="s">
        <v>114</v>
      </c>
      <c r="D107" s="5" t="s">
        <v>36</v>
      </c>
      <c r="E107" s="6">
        <v>1200.0</v>
      </c>
      <c r="F107" s="6">
        <v>300.0</v>
      </c>
      <c r="G107" s="5" t="s">
        <v>114</v>
      </c>
      <c r="H107" s="5" t="s">
        <v>57</v>
      </c>
      <c r="I107" s="6" t="s">
        <v>40</v>
      </c>
      <c r="J107" s="5" t="s">
        <v>8585</v>
      </c>
      <c r="K107" s="5" t="s">
        <v>8586</v>
      </c>
      <c r="L107" s="6" t="s">
        <v>42</v>
      </c>
      <c r="M107" s="5" t="s">
        <v>1959</v>
      </c>
      <c r="N107" s="5" t="s">
        <v>64</v>
      </c>
      <c r="O107" s="5" t="s">
        <v>17816</v>
      </c>
      <c r="P107" s="6">
        <v>5475.0</v>
      </c>
    </row>
    <row r="108" ht="56.25" customHeight="1">
      <c r="A108" s="5" t="s">
        <v>17813</v>
      </c>
      <c r="B108" s="16" t="str">
        <f>IMAGE("https://storage.googleapis.com/acdb/shoes/ShoesSandalFlower1.png")</f>
        <v/>
      </c>
      <c r="C108" s="5" t="s">
        <v>69</v>
      </c>
      <c r="D108" s="5" t="s">
        <v>36</v>
      </c>
      <c r="E108" s="6">
        <v>1200.0</v>
      </c>
      <c r="F108" s="6">
        <v>300.0</v>
      </c>
      <c r="G108" s="5" t="s">
        <v>52</v>
      </c>
      <c r="H108" s="5" t="s">
        <v>69</v>
      </c>
      <c r="I108" s="6" t="s">
        <v>40</v>
      </c>
      <c r="J108" s="5" t="s">
        <v>8585</v>
      </c>
      <c r="K108" s="5" t="s">
        <v>8586</v>
      </c>
      <c r="L108" s="6" t="s">
        <v>42</v>
      </c>
      <c r="M108" s="5" t="s">
        <v>1959</v>
      </c>
      <c r="N108" s="5" t="s">
        <v>64</v>
      </c>
      <c r="O108" s="5" t="s">
        <v>17820</v>
      </c>
      <c r="P108" s="6">
        <v>5475.0</v>
      </c>
    </row>
    <row r="109" ht="56.25" customHeight="1">
      <c r="A109" s="5" t="s">
        <v>17813</v>
      </c>
      <c r="B109" s="16" t="str">
        <f>IMAGE("https://storage.googleapis.com/acdb/shoes/ShoesSandalFlower2.png")</f>
        <v/>
      </c>
      <c r="C109" s="5" t="s">
        <v>96</v>
      </c>
      <c r="D109" s="5" t="s">
        <v>36</v>
      </c>
      <c r="E109" s="6">
        <v>1200.0</v>
      </c>
      <c r="F109" s="6">
        <v>300.0</v>
      </c>
      <c r="G109" s="5" t="s">
        <v>96</v>
      </c>
      <c r="H109" s="5" t="s">
        <v>96</v>
      </c>
      <c r="I109" s="6" t="s">
        <v>40</v>
      </c>
      <c r="J109" s="5" t="s">
        <v>8585</v>
      </c>
      <c r="K109" s="5" t="s">
        <v>8586</v>
      </c>
      <c r="L109" s="6" t="s">
        <v>42</v>
      </c>
      <c r="M109" s="5" t="s">
        <v>1959</v>
      </c>
      <c r="N109" s="5" t="s">
        <v>64</v>
      </c>
      <c r="O109" s="5" t="s">
        <v>17823</v>
      </c>
      <c r="P109" s="6">
        <v>5475.0</v>
      </c>
    </row>
    <row r="110" ht="56.25" customHeight="1">
      <c r="A110" s="5" t="s">
        <v>17813</v>
      </c>
      <c r="B110" s="16" t="str">
        <f>IMAGE("https://storage.googleapis.com/acdb/shoes/ShoesSandalFlower3.png")</f>
        <v/>
      </c>
      <c r="C110" s="5" t="s">
        <v>106</v>
      </c>
      <c r="D110" s="5" t="s">
        <v>36</v>
      </c>
      <c r="E110" s="6">
        <v>1200.0</v>
      </c>
      <c r="F110" s="6">
        <v>300.0</v>
      </c>
      <c r="G110" s="5" t="s">
        <v>106</v>
      </c>
      <c r="H110" s="5" t="s">
        <v>106</v>
      </c>
      <c r="I110" s="6" t="s">
        <v>40</v>
      </c>
      <c r="J110" s="5" t="s">
        <v>8585</v>
      </c>
      <c r="K110" s="5" t="s">
        <v>8586</v>
      </c>
      <c r="L110" s="6" t="s">
        <v>42</v>
      </c>
      <c r="M110" s="5" t="s">
        <v>1959</v>
      </c>
      <c r="N110" s="5" t="s">
        <v>64</v>
      </c>
      <c r="O110" s="5" t="s">
        <v>17826</v>
      </c>
      <c r="P110" s="6">
        <v>5475.0</v>
      </c>
    </row>
    <row r="111" ht="56.25" customHeight="1">
      <c r="A111" s="5" t="s">
        <v>17813</v>
      </c>
      <c r="B111" s="16" t="str">
        <f>IMAGE("https://storage.googleapis.com/acdb/shoes/ShoesSandalFlower4.png")</f>
        <v/>
      </c>
      <c r="C111" s="5" t="s">
        <v>68</v>
      </c>
      <c r="D111" s="5" t="s">
        <v>36</v>
      </c>
      <c r="E111" s="6">
        <v>1200.0</v>
      </c>
      <c r="F111" s="6">
        <v>300.0</v>
      </c>
      <c r="G111" s="5" t="s">
        <v>68</v>
      </c>
      <c r="H111" s="5" t="s">
        <v>83</v>
      </c>
      <c r="I111" s="6" t="s">
        <v>40</v>
      </c>
      <c r="J111" s="5" t="s">
        <v>8585</v>
      </c>
      <c r="K111" s="5" t="s">
        <v>8586</v>
      </c>
      <c r="L111" s="6" t="s">
        <v>42</v>
      </c>
      <c r="M111" s="5" t="s">
        <v>1959</v>
      </c>
      <c r="N111" s="5" t="s">
        <v>64</v>
      </c>
      <c r="O111" s="5" t="s">
        <v>17829</v>
      </c>
      <c r="P111" s="6">
        <v>5475.0</v>
      </c>
    </row>
    <row r="112" ht="56.25" customHeight="1">
      <c r="A112" s="5" t="s">
        <v>17813</v>
      </c>
      <c r="B112" s="16" t="str">
        <f>IMAGE("https://storage.googleapis.com/acdb/shoes/ShoesSandalFlower5.png")</f>
        <v/>
      </c>
      <c r="C112" s="5" t="s">
        <v>54</v>
      </c>
      <c r="D112" s="5" t="s">
        <v>36</v>
      </c>
      <c r="E112" s="6">
        <v>1200.0</v>
      </c>
      <c r="F112" s="6">
        <v>300.0</v>
      </c>
      <c r="G112" s="5" t="s">
        <v>54</v>
      </c>
      <c r="H112" s="5" t="s">
        <v>95</v>
      </c>
      <c r="I112" s="6" t="s">
        <v>40</v>
      </c>
      <c r="J112" s="5" t="s">
        <v>8585</v>
      </c>
      <c r="K112" s="5" t="s">
        <v>8586</v>
      </c>
      <c r="L112" s="6" t="s">
        <v>42</v>
      </c>
      <c r="M112" s="5" t="s">
        <v>1959</v>
      </c>
      <c r="N112" s="5" t="s">
        <v>64</v>
      </c>
      <c r="O112" s="5" t="s">
        <v>17832</v>
      </c>
      <c r="P112" s="6">
        <v>5475.0</v>
      </c>
    </row>
    <row r="113" ht="56.25" customHeight="1">
      <c r="A113" s="5" t="s">
        <v>17813</v>
      </c>
      <c r="B113" s="16" t="str">
        <f>IMAGE("https://storage.googleapis.com/acdb/shoes/ShoesSandalFlower6.png")</f>
        <v/>
      </c>
      <c r="C113" s="5" t="s">
        <v>57</v>
      </c>
      <c r="D113" s="5" t="s">
        <v>36</v>
      </c>
      <c r="E113" s="6">
        <v>1200.0</v>
      </c>
      <c r="F113" s="6">
        <v>300.0</v>
      </c>
      <c r="G113" s="5" t="s">
        <v>57</v>
      </c>
      <c r="H113" s="5" t="s">
        <v>95</v>
      </c>
      <c r="I113" s="6" t="s">
        <v>40</v>
      </c>
      <c r="J113" s="5" t="s">
        <v>8585</v>
      </c>
      <c r="K113" s="5" t="s">
        <v>8586</v>
      </c>
      <c r="L113" s="6" t="s">
        <v>42</v>
      </c>
      <c r="M113" s="5" t="s">
        <v>1959</v>
      </c>
      <c r="N113" s="5" t="s">
        <v>64</v>
      </c>
      <c r="O113" s="5" t="s">
        <v>17836</v>
      </c>
      <c r="P113" s="6">
        <v>5475.0</v>
      </c>
    </row>
    <row r="114" ht="56.25" customHeight="1">
      <c r="A114" s="5" t="s">
        <v>17837</v>
      </c>
      <c r="B114" s="16" t="str">
        <f>IMAGE("https://storage.googleapis.com/acdb/shoes/ShoesLowcutBrogues0.png")</f>
        <v/>
      </c>
      <c r="C114" s="5" t="s">
        <v>39</v>
      </c>
      <c r="D114" s="5" t="s">
        <v>36</v>
      </c>
      <c r="E114" s="6">
        <v>2340.0</v>
      </c>
      <c r="F114" s="6">
        <v>585.0</v>
      </c>
      <c r="G114" s="5" t="s">
        <v>39</v>
      </c>
      <c r="H114" s="5" t="s">
        <v>39</v>
      </c>
      <c r="I114" s="6" t="s">
        <v>40</v>
      </c>
      <c r="J114" s="5" t="s">
        <v>17203</v>
      </c>
      <c r="K114" s="5"/>
      <c r="L114" s="6" t="s">
        <v>42</v>
      </c>
      <c r="M114" s="5" t="s">
        <v>612</v>
      </c>
      <c r="N114" s="5" t="s">
        <v>64</v>
      </c>
      <c r="O114" s="5" t="s">
        <v>17839</v>
      </c>
      <c r="P114" s="6">
        <v>6042.0</v>
      </c>
    </row>
    <row r="115" ht="56.25" customHeight="1">
      <c r="A115" s="5" t="s">
        <v>17837</v>
      </c>
      <c r="B115" s="16" t="str">
        <f>IMAGE("https://storage.googleapis.com/acdb/shoes/ShoesLowcutBrogues1.png")</f>
        <v/>
      </c>
      <c r="C115" s="5" t="s">
        <v>54</v>
      </c>
      <c r="D115" s="5" t="s">
        <v>36</v>
      </c>
      <c r="E115" s="6">
        <v>2340.0</v>
      </c>
      <c r="F115" s="6">
        <v>585.0</v>
      </c>
      <c r="G115" s="5" t="s">
        <v>54</v>
      </c>
      <c r="H115" s="5" t="s">
        <v>54</v>
      </c>
      <c r="I115" s="6" t="s">
        <v>40</v>
      </c>
      <c r="J115" s="5" t="s">
        <v>17203</v>
      </c>
      <c r="K115" s="5"/>
      <c r="L115" s="6" t="s">
        <v>42</v>
      </c>
      <c r="M115" s="5" t="s">
        <v>612</v>
      </c>
      <c r="N115" s="5" t="s">
        <v>64</v>
      </c>
      <c r="O115" s="5" t="s">
        <v>17842</v>
      </c>
      <c r="P115" s="6">
        <v>6042.0</v>
      </c>
    </row>
    <row r="116" ht="56.25" customHeight="1">
      <c r="A116" s="5" t="s">
        <v>17837</v>
      </c>
      <c r="B116" s="16" t="str">
        <f>IMAGE("https://storage.googleapis.com/acdb/shoes/ShoesLowcutBrogues2.png")</f>
        <v/>
      </c>
      <c r="C116" s="5" t="s">
        <v>57</v>
      </c>
      <c r="D116" s="5" t="s">
        <v>36</v>
      </c>
      <c r="E116" s="6">
        <v>2340.0</v>
      </c>
      <c r="F116" s="6">
        <v>585.0</v>
      </c>
      <c r="G116" s="5" t="s">
        <v>57</v>
      </c>
      <c r="H116" s="5" t="s">
        <v>57</v>
      </c>
      <c r="I116" s="6" t="s">
        <v>40</v>
      </c>
      <c r="J116" s="5" t="s">
        <v>17203</v>
      </c>
      <c r="K116" s="5"/>
      <c r="L116" s="6" t="s">
        <v>42</v>
      </c>
      <c r="M116" s="5" t="s">
        <v>612</v>
      </c>
      <c r="N116" s="5" t="s">
        <v>64</v>
      </c>
      <c r="O116" s="5" t="s">
        <v>17845</v>
      </c>
      <c r="P116" s="6">
        <v>6042.0</v>
      </c>
    </row>
    <row r="117" ht="56.25" customHeight="1">
      <c r="A117" s="5" t="s">
        <v>17847</v>
      </c>
      <c r="B117" s="16" t="str">
        <f>IMAGE("https://storage.googleapis.com/acdb/shoes/ShoesSandalGladiator0.png")</f>
        <v/>
      </c>
      <c r="C117" s="5" t="s">
        <v>39</v>
      </c>
      <c r="D117" s="5" t="s">
        <v>36</v>
      </c>
      <c r="E117" s="6">
        <v>1800.0</v>
      </c>
      <c r="F117" s="6">
        <v>450.0</v>
      </c>
      <c r="G117" s="5" t="s">
        <v>39</v>
      </c>
      <c r="H117" s="5" t="s">
        <v>39</v>
      </c>
      <c r="I117" s="6" t="s">
        <v>40</v>
      </c>
      <c r="J117" s="5" t="s">
        <v>8585</v>
      </c>
      <c r="K117" s="5" t="s">
        <v>8632</v>
      </c>
      <c r="L117" s="6" t="s">
        <v>42</v>
      </c>
      <c r="M117" s="5" t="s">
        <v>1059</v>
      </c>
      <c r="N117" s="5" t="s">
        <v>64</v>
      </c>
      <c r="O117" s="5" t="s">
        <v>17848</v>
      </c>
      <c r="P117" s="6">
        <v>5620.0</v>
      </c>
    </row>
    <row r="118" ht="56.25" customHeight="1">
      <c r="A118" s="5" t="s">
        <v>17847</v>
      </c>
      <c r="B118" s="16" t="str">
        <f>IMAGE("https://storage.googleapis.com/acdb/shoes/ShoesSandalGladiator1.png")</f>
        <v/>
      </c>
      <c r="C118" s="5" t="s">
        <v>54</v>
      </c>
      <c r="D118" s="5" t="s">
        <v>36</v>
      </c>
      <c r="E118" s="6">
        <v>1800.0</v>
      </c>
      <c r="F118" s="6">
        <v>450.0</v>
      </c>
      <c r="G118" s="5" t="s">
        <v>54</v>
      </c>
      <c r="H118" s="5" t="s">
        <v>54</v>
      </c>
      <c r="I118" s="6" t="s">
        <v>40</v>
      </c>
      <c r="J118" s="5" t="s">
        <v>8585</v>
      </c>
      <c r="K118" s="5" t="s">
        <v>8632</v>
      </c>
      <c r="L118" s="6" t="s">
        <v>42</v>
      </c>
      <c r="M118" s="5" t="s">
        <v>1059</v>
      </c>
      <c r="N118" s="5" t="s">
        <v>64</v>
      </c>
      <c r="O118" s="5" t="s">
        <v>17851</v>
      </c>
      <c r="P118" s="6">
        <v>5620.0</v>
      </c>
    </row>
    <row r="119" ht="56.25" customHeight="1">
      <c r="A119" s="5" t="s">
        <v>17847</v>
      </c>
      <c r="B119" s="16" t="str">
        <f>IMAGE("https://storage.googleapis.com/acdb/shoes/ShoesSandalGladiator2.png")</f>
        <v/>
      </c>
      <c r="C119" s="5" t="s">
        <v>52</v>
      </c>
      <c r="D119" s="5" t="s">
        <v>36</v>
      </c>
      <c r="E119" s="6">
        <v>1800.0</v>
      </c>
      <c r="F119" s="6">
        <v>450.0</v>
      </c>
      <c r="G119" s="5" t="s">
        <v>52</v>
      </c>
      <c r="H119" s="5" t="s">
        <v>52</v>
      </c>
      <c r="I119" s="6" t="s">
        <v>40</v>
      </c>
      <c r="J119" s="5" t="s">
        <v>8585</v>
      </c>
      <c r="K119" s="5" t="s">
        <v>8632</v>
      </c>
      <c r="L119" s="6" t="s">
        <v>42</v>
      </c>
      <c r="M119" s="5" t="s">
        <v>1059</v>
      </c>
      <c r="N119" s="5" t="s">
        <v>64</v>
      </c>
      <c r="O119" s="5" t="s">
        <v>17856</v>
      </c>
      <c r="P119" s="6">
        <v>5620.0</v>
      </c>
    </row>
    <row r="120" ht="56.25" customHeight="1">
      <c r="A120" s="5" t="s">
        <v>17857</v>
      </c>
      <c r="B120" s="16" t="str">
        <f>IMAGE("https://storage.googleapis.com/acdb/shoes/ShoesKneeKnightGold.png")</f>
        <v/>
      </c>
      <c r="C120" s="5" t="s">
        <v>151</v>
      </c>
      <c r="D120" s="5" t="s">
        <v>35</v>
      </c>
      <c r="E120" s="6" t="s">
        <v>37</v>
      </c>
      <c r="F120" s="6">
        <v>40000.0</v>
      </c>
      <c r="G120" s="5" t="s">
        <v>114</v>
      </c>
      <c r="H120" s="5" t="s">
        <v>114</v>
      </c>
      <c r="I120" s="6" t="s">
        <v>40</v>
      </c>
      <c r="J120" s="5" t="s">
        <v>41</v>
      </c>
      <c r="K120" s="5"/>
      <c r="L120" s="6" t="s">
        <v>42</v>
      </c>
      <c r="M120" s="5" t="s">
        <v>612</v>
      </c>
      <c r="N120" s="5" t="s">
        <v>48</v>
      </c>
      <c r="O120" s="5" t="s">
        <v>17860</v>
      </c>
      <c r="P120" s="6">
        <v>5524.0</v>
      </c>
    </row>
    <row r="121" ht="56.25" customHeight="1">
      <c r="A121" s="5" t="s">
        <v>17861</v>
      </c>
      <c r="B121" s="16" t="str">
        <f>IMAGE("https://storage.googleapis.com/acdb/shoes/ShoesHighcutHightech0.png")</f>
        <v/>
      </c>
      <c r="C121" s="5" t="s">
        <v>142</v>
      </c>
      <c r="D121" s="5" t="s">
        <v>36</v>
      </c>
      <c r="E121" s="6">
        <v>1260.0</v>
      </c>
      <c r="F121" s="6">
        <v>315.0</v>
      </c>
      <c r="G121" s="5" t="s">
        <v>142</v>
      </c>
      <c r="H121" s="5" t="s">
        <v>114</v>
      </c>
      <c r="I121" s="6" t="s">
        <v>40</v>
      </c>
      <c r="J121" s="5" t="s">
        <v>8585</v>
      </c>
      <c r="K121" s="5" t="s">
        <v>8586</v>
      </c>
      <c r="L121" s="6" t="s">
        <v>42</v>
      </c>
      <c r="M121" s="5" t="s">
        <v>1952</v>
      </c>
      <c r="N121" s="5" t="s">
        <v>64</v>
      </c>
      <c r="O121" s="5" t="s">
        <v>17863</v>
      </c>
      <c r="P121" s="6">
        <v>5659.0</v>
      </c>
    </row>
    <row r="122" ht="56.25" customHeight="1">
      <c r="A122" s="5" t="s">
        <v>17861</v>
      </c>
      <c r="B122" s="16" t="str">
        <f>IMAGE("https://storage.googleapis.com/acdb/shoes/ShoesHighcutHightech1.png")</f>
        <v/>
      </c>
      <c r="C122" s="5" t="s">
        <v>69</v>
      </c>
      <c r="D122" s="5" t="s">
        <v>36</v>
      </c>
      <c r="E122" s="6">
        <v>1260.0</v>
      </c>
      <c r="F122" s="6">
        <v>315.0</v>
      </c>
      <c r="G122" s="5" t="s">
        <v>69</v>
      </c>
      <c r="H122" s="5" t="s">
        <v>96</v>
      </c>
      <c r="I122" s="6" t="s">
        <v>40</v>
      </c>
      <c r="J122" s="5" t="s">
        <v>8585</v>
      </c>
      <c r="K122" s="5" t="s">
        <v>8586</v>
      </c>
      <c r="L122" s="6" t="s">
        <v>42</v>
      </c>
      <c r="M122" s="5" t="s">
        <v>1952</v>
      </c>
      <c r="N122" s="5" t="s">
        <v>64</v>
      </c>
      <c r="O122" s="5" t="s">
        <v>17865</v>
      </c>
      <c r="P122" s="6">
        <v>5659.0</v>
      </c>
    </row>
    <row r="123" ht="56.25" customHeight="1">
      <c r="A123" s="5" t="s">
        <v>17861</v>
      </c>
      <c r="B123" s="16" t="str">
        <f>IMAGE("https://storage.googleapis.com/acdb/shoes/ShoesHighcutHightech2.png")</f>
        <v/>
      </c>
      <c r="C123" s="5" t="s">
        <v>96</v>
      </c>
      <c r="D123" s="5" t="s">
        <v>36</v>
      </c>
      <c r="E123" s="6">
        <v>1260.0</v>
      </c>
      <c r="F123" s="6">
        <v>315.0</v>
      </c>
      <c r="G123" s="5" t="s">
        <v>96</v>
      </c>
      <c r="H123" s="5" t="s">
        <v>83</v>
      </c>
      <c r="I123" s="6" t="s">
        <v>40</v>
      </c>
      <c r="J123" s="5" t="s">
        <v>8585</v>
      </c>
      <c r="K123" s="5" t="s">
        <v>8586</v>
      </c>
      <c r="L123" s="6" t="s">
        <v>42</v>
      </c>
      <c r="M123" s="5" t="s">
        <v>1952</v>
      </c>
      <c r="N123" s="5" t="s">
        <v>64</v>
      </c>
      <c r="O123" s="5" t="s">
        <v>17869</v>
      </c>
      <c r="P123" s="6">
        <v>5659.0</v>
      </c>
    </row>
    <row r="124" ht="56.25" customHeight="1">
      <c r="A124" s="5" t="s">
        <v>17861</v>
      </c>
      <c r="B124" s="16" t="str">
        <f>IMAGE("https://storage.googleapis.com/acdb/shoes/ShoesHighcutHightech3.png")</f>
        <v/>
      </c>
      <c r="C124" s="5" t="s">
        <v>83</v>
      </c>
      <c r="D124" s="5" t="s">
        <v>36</v>
      </c>
      <c r="E124" s="6">
        <v>1260.0</v>
      </c>
      <c r="F124" s="6">
        <v>315.0</v>
      </c>
      <c r="G124" s="5" t="s">
        <v>83</v>
      </c>
      <c r="H124" s="5" t="s">
        <v>106</v>
      </c>
      <c r="I124" s="6" t="s">
        <v>40</v>
      </c>
      <c r="J124" s="5" t="s">
        <v>8585</v>
      </c>
      <c r="K124" s="5" t="s">
        <v>8586</v>
      </c>
      <c r="L124" s="6" t="s">
        <v>42</v>
      </c>
      <c r="M124" s="5" t="s">
        <v>1952</v>
      </c>
      <c r="N124" s="5" t="s">
        <v>64</v>
      </c>
      <c r="O124" s="5" t="s">
        <v>17871</v>
      </c>
      <c r="P124" s="6">
        <v>5659.0</v>
      </c>
    </row>
    <row r="125" ht="56.25" customHeight="1">
      <c r="A125" s="5" t="s">
        <v>17861</v>
      </c>
      <c r="B125" s="16" t="str">
        <f>IMAGE("https://storage.googleapis.com/acdb/shoes/ShoesHighcutHightech4.png")</f>
        <v/>
      </c>
      <c r="C125" s="5" t="s">
        <v>68</v>
      </c>
      <c r="D125" s="5" t="s">
        <v>36</v>
      </c>
      <c r="E125" s="6">
        <v>1260.0</v>
      </c>
      <c r="F125" s="6">
        <v>315.0</v>
      </c>
      <c r="G125" s="5" t="s">
        <v>68</v>
      </c>
      <c r="H125" s="5" t="s">
        <v>52</v>
      </c>
      <c r="I125" s="6" t="s">
        <v>40</v>
      </c>
      <c r="J125" s="5" t="s">
        <v>8585</v>
      </c>
      <c r="K125" s="5" t="s">
        <v>8586</v>
      </c>
      <c r="L125" s="6" t="s">
        <v>42</v>
      </c>
      <c r="M125" s="5" t="s">
        <v>1952</v>
      </c>
      <c r="N125" s="5" t="s">
        <v>64</v>
      </c>
      <c r="O125" s="5" t="s">
        <v>17874</v>
      </c>
      <c r="P125" s="6">
        <v>5659.0</v>
      </c>
    </row>
    <row r="126" ht="56.25" customHeight="1">
      <c r="A126" s="5" t="s">
        <v>17876</v>
      </c>
      <c r="B126" s="16" t="str">
        <f>IMAGE("https://storage.googleapis.com/acdb/shoes/ShoesHighcutSneaker0.png")</f>
        <v/>
      </c>
      <c r="C126" s="5" t="s">
        <v>95</v>
      </c>
      <c r="D126" s="5" t="s">
        <v>36</v>
      </c>
      <c r="E126" s="6">
        <v>1080.0</v>
      </c>
      <c r="F126" s="6">
        <v>270.0</v>
      </c>
      <c r="G126" s="5" t="s">
        <v>95</v>
      </c>
      <c r="H126" s="5" t="s">
        <v>54</v>
      </c>
      <c r="I126" s="6" t="s">
        <v>40</v>
      </c>
      <c r="J126" s="5" t="s">
        <v>8585</v>
      </c>
      <c r="K126" s="5" t="s">
        <v>8586</v>
      </c>
      <c r="L126" s="6" t="s">
        <v>42</v>
      </c>
      <c r="M126" s="5" t="s">
        <v>995</v>
      </c>
      <c r="N126" s="5" t="s">
        <v>64</v>
      </c>
      <c r="O126" s="5" t="s">
        <v>17880</v>
      </c>
      <c r="P126" s="6">
        <v>2572.0</v>
      </c>
    </row>
    <row r="127" ht="56.25" customHeight="1">
      <c r="A127" s="5" t="s">
        <v>17876</v>
      </c>
      <c r="B127" s="16" t="str">
        <f>IMAGE("https://storage.googleapis.com/acdb/shoes/ShoesHighcutSneaker1.png")</f>
        <v/>
      </c>
      <c r="C127" s="5" t="s">
        <v>39</v>
      </c>
      <c r="D127" s="5" t="s">
        <v>36</v>
      </c>
      <c r="E127" s="6">
        <v>1080.0</v>
      </c>
      <c r="F127" s="6">
        <v>270.0</v>
      </c>
      <c r="G127" s="5" t="s">
        <v>39</v>
      </c>
      <c r="H127" s="5" t="s">
        <v>54</v>
      </c>
      <c r="I127" s="6" t="s">
        <v>40</v>
      </c>
      <c r="J127" s="5" t="s">
        <v>8585</v>
      </c>
      <c r="K127" s="5" t="s">
        <v>8586</v>
      </c>
      <c r="L127" s="6" t="s">
        <v>42</v>
      </c>
      <c r="M127" s="5" t="s">
        <v>995</v>
      </c>
      <c r="N127" s="5" t="s">
        <v>64</v>
      </c>
      <c r="O127" s="5" t="s">
        <v>17883</v>
      </c>
      <c r="P127" s="6">
        <v>2572.0</v>
      </c>
    </row>
    <row r="128" ht="56.25" customHeight="1">
      <c r="A128" s="5" t="s">
        <v>17876</v>
      </c>
      <c r="B128" s="16" t="str">
        <f>IMAGE("https://storage.googleapis.com/acdb/shoes/ShoesHighcutSneaker2.png")</f>
        <v/>
      </c>
      <c r="C128" s="5" t="s">
        <v>96</v>
      </c>
      <c r="D128" s="5" t="s">
        <v>36</v>
      </c>
      <c r="E128" s="6">
        <v>1080.0</v>
      </c>
      <c r="F128" s="6">
        <v>270.0</v>
      </c>
      <c r="G128" s="5" t="s">
        <v>96</v>
      </c>
      <c r="H128" s="5" t="s">
        <v>54</v>
      </c>
      <c r="I128" s="6" t="s">
        <v>40</v>
      </c>
      <c r="J128" s="5" t="s">
        <v>8585</v>
      </c>
      <c r="K128" s="5" t="s">
        <v>8586</v>
      </c>
      <c r="L128" s="6" t="s">
        <v>42</v>
      </c>
      <c r="M128" s="5" t="s">
        <v>995</v>
      </c>
      <c r="N128" s="5" t="s">
        <v>64</v>
      </c>
      <c r="O128" s="5" t="s">
        <v>17886</v>
      </c>
      <c r="P128" s="6">
        <v>2572.0</v>
      </c>
    </row>
    <row r="129" ht="56.25" customHeight="1">
      <c r="A129" s="5" t="s">
        <v>17876</v>
      </c>
      <c r="B129" s="16" t="str">
        <f>IMAGE("https://storage.googleapis.com/acdb/shoes/ShoesHighcutSneaker3.png")</f>
        <v/>
      </c>
      <c r="C129" s="5" t="s">
        <v>68</v>
      </c>
      <c r="D129" s="5" t="s">
        <v>36</v>
      </c>
      <c r="E129" s="6">
        <v>1080.0</v>
      </c>
      <c r="F129" s="6">
        <v>270.0</v>
      </c>
      <c r="G129" s="5" t="s">
        <v>68</v>
      </c>
      <c r="H129" s="5" t="s">
        <v>54</v>
      </c>
      <c r="I129" s="6" t="s">
        <v>40</v>
      </c>
      <c r="J129" s="5" t="s">
        <v>8585</v>
      </c>
      <c r="K129" s="5" t="s">
        <v>8586</v>
      </c>
      <c r="L129" s="6" t="s">
        <v>42</v>
      </c>
      <c r="M129" s="5" t="s">
        <v>995</v>
      </c>
      <c r="N129" s="5" t="s">
        <v>64</v>
      </c>
      <c r="O129" s="5" t="s">
        <v>17889</v>
      </c>
      <c r="P129" s="6">
        <v>2572.0</v>
      </c>
    </row>
    <row r="130" ht="56.25" customHeight="1">
      <c r="A130" s="5" t="s">
        <v>17876</v>
      </c>
      <c r="B130" s="16" t="str">
        <f>IMAGE("https://storage.googleapis.com/acdb/shoes/ShoesHighcutSneaker4.png")</f>
        <v/>
      </c>
      <c r="C130" s="5" t="s">
        <v>106</v>
      </c>
      <c r="D130" s="5" t="s">
        <v>36</v>
      </c>
      <c r="E130" s="6">
        <v>1080.0</v>
      </c>
      <c r="F130" s="6">
        <v>270.0</v>
      </c>
      <c r="G130" s="5" t="s">
        <v>106</v>
      </c>
      <c r="H130" s="5" t="s">
        <v>54</v>
      </c>
      <c r="I130" s="6" t="s">
        <v>40</v>
      </c>
      <c r="J130" s="5" t="s">
        <v>8585</v>
      </c>
      <c r="K130" s="5" t="s">
        <v>8586</v>
      </c>
      <c r="L130" s="6" t="s">
        <v>42</v>
      </c>
      <c r="M130" s="5" t="s">
        <v>995</v>
      </c>
      <c r="N130" s="5" t="s">
        <v>64</v>
      </c>
      <c r="O130" s="5" t="s">
        <v>17890</v>
      </c>
      <c r="P130" s="6">
        <v>2572.0</v>
      </c>
    </row>
    <row r="131" ht="56.25" customHeight="1">
      <c r="A131" s="5" t="s">
        <v>17876</v>
      </c>
      <c r="B131" s="16" t="str">
        <f>IMAGE("https://storage.googleapis.com/acdb/shoes/ShoesHighcutSneaker5.png")</f>
        <v/>
      </c>
      <c r="C131" s="5" t="s">
        <v>52</v>
      </c>
      <c r="D131" s="5" t="s">
        <v>36</v>
      </c>
      <c r="E131" s="6">
        <v>1080.0</v>
      </c>
      <c r="F131" s="6">
        <v>270.0</v>
      </c>
      <c r="G131" s="5" t="s">
        <v>52</v>
      </c>
      <c r="H131" s="5" t="s">
        <v>54</v>
      </c>
      <c r="I131" s="6" t="s">
        <v>40</v>
      </c>
      <c r="J131" s="5" t="s">
        <v>8585</v>
      </c>
      <c r="K131" s="5" t="s">
        <v>8586</v>
      </c>
      <c r="L131" s="6" t="s">
        <v>42</v>
      </c>
      <c r="M131" s="5" t="s">
        <v>995</v>
      </c>
      <c r="N131" s="5" t="s">
        <v>64</v>
      </c>
      <c r="O131" s="5" t="s">
        <v>17894</v>
      </c>
      <c r="P131" s="6">
        <v>2572.0</v>
      </c>
    </row>
    <row r="132" ht="56.25" customHeight="1">
      <c r="A132" s="5" t="s">
        <v>17876</v>
      </c>
      <c r="B132" s="16" t="str">
        <f>IMAGE("https://storage.googleapis.com/acdb/shoes/ShoesHighcutSneaker6.png")</f>
        <v/>
      </c>
      <c r="C132" s="5" t="s">
        <v>114</v>
      </c>
      <c r="D132" s="5" t="s">
        <v>36</v>
      </c>
      <c r="E132" s="6">
        <v>1080.0</v>
      </c>
      <c r="F132" s="6">
        <v>270.0</v>
      </c>
      <c r="G132" s="5" t="s">
        <v>114</v>
      </c>
      <c r="H132" s="5" t="s">
        <v>54</v>
      </c>
      <c r="I132" s="6" t="s">
        <v>40</v>
      </c>
      <c r="J132" s="5" t="s">
        <v>8585</v>
      </c>
      <c r="K132" s="5" t="s">
        <v>8586</v>
      </c>
      <c r="L132" s="6" t="s">
        <v>42</v>
      </c>
      <c r="M132" s="5" t="s">
        <v>995</v>
      </c>
      <c r="N132" s="5" t="s">
        <v>64</v>
      </c>
      <c r="O132" s="5" t="s">
        <v>17896</v>
      </c>
      <c r="P132" s="6">
        <v>2572.0</v>
      </c>
    </row>
    <row r="133" ht="56.25" customHeight="1">
      <c r="A133" s="5" t="s">
        <v>17876</v>
      </c>
      <c r="B133" s="16" t="str">
        <f>IMAGE("https://storage.googleapis.com/acdb/shoes/ShoesHighcutSneaker7.png")</f>
        <v/>
      </c>
      <c r="C133" s="5" t="s">
        <v>57</v>
      </c>
      <c r="D133" s="5" t="s">
        <v>36</v>
      </c>
      <c r="E133" s="6">
        <v>1080.0</v>
      </c>
      <c r="F133" s="6">
        <v>270.0</v>
      </c>
      <c r="G133" s="5" t="s">
        <v>57</v>
      </c>
      <c r="H133" s="5" t="s">
        <v>54</v>
      </c>
      <c r="I133" s="6" t="s">
        <v>40</v>
      </c>
      <c r="J133" s="5" t="s">
        <v>8585</v>
      </c>
      <c r="K133" s="5" t="s">
        <v>8586</v>
      </c>
      <c r="L133" s="6" t="s">
        <v>42</v>
      </c>
      <c r="M133" s="5" t="s">
        <v>995</v>
      </c>
      <c r="N133" s="5" t="s">
        <v>64</v>
      </c>
      <c r="O133" s="5" t="s">
        <v>17899</v>
      </c>
      <c r="P133" s="6">
        <v>2572.0</v>
      </c>
    </row>
    <row r="134" ht="56.25" customHeight="1">
      <c r="A134" s="5" t="s">
        <v>17901</v>
      </c>
      <c r="B134" s="16" t="str">
        <f>IMAGE("https://storage.googleapis.com/acdb/shoes/ShoesSandalRoomborder0.png")</f>
        <v/>
      </c>
      <c r="C134" s="5" t="s">
        <v>95</v>
      </c>
      <c r="D134" s="5" t="s">
        <v>36</v>
      </c>
      <c r="E134" s="6">
        <v>490.0</v>
      </c>
      <c r="F134" s="6">
        <v>122.0</v>
      </c>
      <c r="G134" s="5" t="s">
        <v>95</v>
      </c>
      <c r="H134" s="5" t="s">
        <v>57</v>
      </c>
      <c r="I134" s="6" t="s">
        <v>40</v>
      </c>
      <c r="J134" s="5" t="s">
        <v>8585</v>
      </c>
      <c r="K134" s="5" t="s">
        <v>8632</v>
      </c>
      <c r="L134" s="6" t="s">
        <v>42</v>
      </c>
      <c r="M134" s="5" t="s">
        <v>995</v>
      </c>
      <c r="N134" s="5" t="s">
        <v>64</v>
      </c>
      <c r="O134" s="5" t="s">
        <v>17904</v>
      </c>
      <c r="P134" s="6">
        <v>5564.0</v>
      </c>
    </row>
    <row r="135" ht="56.25" customHeight="1">
      <c r="A135" s="5" t="s">
        <v>17901</v>
      </c>
      <c r="B135" s="16" t="str">
        <f>IMAGE("https://storage.googleapis.com/acdb/shoes/ShoesSandalRoomborder1.png")</f>
        <v/>
      </c>
      <c r="C135" s="5" t="s">
        <v>1187</v>
      </c>
      <c r="D135" s="5" t="s">
        <v>36</v>
      </c>
      <c r="E135" s="6">
        <v>490.0</v>
      </c>
      <c r="F135" s="6">
        <v>122.0</v>
      </c>
      <c r="G135" s="5" t="s">
        <v>68</v>
      </c>
      <c r="H135" s="5" t="s">
        <v>57</v>
      </c>
      <c r="I135" s="6" t="s">
        <v>40</v>
      </c>
      <c r="J135" s="5" t="s">
        <v>8585</v>
      </c>
      <c r="K135" s="5" t="s">
        <v>8632</v>
      </c>
      <c r="L135" s="6" t="s">
        <v>42</v>
      </c>
      <c r="M135" s="5" t="s">
        <v>995</v>
      </c>
      <c r="N135" s="5" t="s">
        <v>64</v>
      </c>
      <c r="O135" s="5" t="s">
        <v>17907</v>
      </c>
      <c r="P135" s="6">
        <v>5564.0</v>
      </c>
    </row>
    <row r="136" ht="56.25" customHeight="1">
      <c r="A136" s="5" t="s">
        <v>17901</v>
      </c>
      <c r="B136" s="16" t="str">
        <f>IMAGE("https://storage.googleapis.com/acdb/shoes/ShoesSandalRoomborder2.png")</f>
        <v/>
      </c>
      <c r="C136" s="5" t="s">
        <v>69</v>
      </c>
      <c r="D136" s="5" t="s">
        <v>36</v>
      </c>
      <c r="E136" s="6">
        <v>490.0</v>
      </c>
      <c r="F136" s="6">
        <v>122.0</v>
      </c>
      <c r="G136" s="5" t="s">
        <v>69</v>
      </c>
      <c r="H136" s="5" t="s">
        <v>57</v>
      </c>
      <c r="I136" s="6" t="s">
        <v>40</v>
      </c>
      <c r="J136" s="5" t="s">
        <v>8585</v>
      </c>
      <c r="K136" s="5" t="s">
        <v>8632</v>
      </c>
      <c r="L136" s="6" t="s">
        <v>42</v>
      </c>
      <c r="M136" s="5" t="s">
        <v>995</v>
      </c>
      <c r="N136" s="5" t="s">
        <v>64</v>
      </c>
      <c r="O136" s="5" t="s">
        <v>17913</v>
      </c>
      <c r="P136" s="6">
        <v>5564.0</v>
      </c>
    </row>
    <row r="137" ht="56.25" customHeight="1">
      <c r="A137" s="5" t="s">
        <v>17901</v>
      </c>
      <c r="B137" s="16" t="str">
        <f>IMAGE("https://storage.googleapis.com/acdb/shoes/ShoesSandalRoomborder3.png")</f>
        <v/>
      </c>
      <c r="C137" s="5" t="s">
        <v>114</v>
      </c>
      <c r="D137" s="5" t="s">
        <v>36</v>
      </c>
      <c r="E137" s="6">
        <v>490.0</v>
      </c>
      <c r="F137" s="6">
        <v>122.0</v>
      </c>
      <c r="G137" s="5" t="s">
        <v>114</v>
      </c>
      <c r="H137" s="5" t="s">
        <v>57</v>
      </c>
      <c r="I137" s="6" t="s">
        <v>40</v>
      </c>
      <c r="J137" s="5" t="s">
        <v>8585</v>
      </c>
      <c r="K137" s="5" t="s">
        <v>8632</v>
      </c>
      <c r="L137" s="6" t="s">
        <v>42</v>
      </c>
      <c r="M137" s="5" t="s">
        <v>995</v>
      </c>
      <c r="N137" s="5" t="s">
        <v>64</v>
      </c>
      <c r="O137" s="5" t="s">
        <v>17916</v>
      </c>
      <c r="P137" s="6">
        <v>5564.0</v>
      </c>
    </row>
    <row r="138" ht="56.25" customHeight="1">
      <c r="A138" s="5" t="s">
        <v>17901</v>
      </c>
      <c r="B138" s="16" t="str">
        <f>IMAGE("https://storage.googleapis.com/acdb/shoes/ShoesSandalRoomborder4.png")</f>
        <v/>
      </c>
      <c r="C138" s="5" t="s">
        <v>96</v>
      </c>
      <c r="D138" s="5" t="s">
        <v>36</v>
      </c>
      <c r="E138" s="6">
        <v>490.0</v>
      </c>
      <c r="F138" s="6">
        <v>122.0</v>
      </c>
      <c r="G138" s="5" t="s">
        <v>96</v>
      </c>
      <c r="H138" s="5" t="s">
        <v>57</v>
      </c>
      <c r="I138" s="6" t="s">
        <v>40</v>
      </c>
      <c r="J138" s="5" t="s">
        <v>8585</v>
      </c>
      <c r="K138" s="5" t="s">
        <v>8632</v>
      </c>
      <c r="L138" s="6" t="s">
        <v>42</v>
      </c>
      <c r="M138" s="5" t="s">
        <v>995</v>
      </c>
      <c r="N138" s="5" t="s">
        <v>64</v>
      </c>
      <c r="O138" s="5" t="s">
        <v>17918</v>
      </c>
      <c r="P138" s="6">
        <v>5564.0</v>
      </c>
    </row>
    <row r="139" ht="56.25" customHeight="1">
      <c r="A139" s="5" t="s">
        <v>17901</v>
      </c>
      <c r="B139" s="16" t="str">
        <f>IMAGE("https://storage.googleapis.com/acdb/shoes/ShoesSandalRoomborder5.png")</f>
        <v/>
      </c>
      <c r="C139" s="5" t="s">
        <v>68</v>
      </c>
      <c r="D139" s="5" t="s">
        <v>36</v>
      </c>
      <c r="E139" s="6">
        <v>490.0</v>
      </c>
      <c r="F139" s="6">
        <v>122.0</v>
      </c>
      <c r="G139" s="5" t="s">
        <v>83</v>
      </c>
      <c r="H139" s="5" t="s">
        <v>57</v>
      </c>
      <c r="I139" s="6" t="s">
        <v>40</v>
      </c>
      <c r="J139" s="5" t="s">
        <v>8585</v>
      </c>
      <c r="K139" s="5" t="s">
        <v>8632</v>
      </c>
      <c r="L139" s="6" t="s">
        <v>42</v>
      </c>
      <c r="M139" s="5" t="s">
        <v>995</v>
      </c>
      <c r="N139" s="5" t="s">
        <v>64</v>
      </c>
      <c r="O139" s="5" t="s">
        <v>17921</v>
      </c>
      <c r="P139" s="6">
        <v>5564.0</v>
      </c>
    </row>
    <row r="140" ht="56.25" customHeight="1">
      <c r="A140" s="5" t="s">
        <v>17901</v>
      </c>
      <c r="B140" s="16" t="str">
        <f>IMAGE("https://storage.googleapis.com/acdb/shoes/ShoesSandalRoomborder6.png")</f>
        <v/>
      </c>
      <c r="C140" s="5" t="s">
        <v>52</v>
      </c>
      <c r="D140" s="5" t="s">
        <v>36</v>
      </c>
      <c r="E140" s="6">
        <v>490.0</v>
      </c>
      <c r="F140" s="6">
        <v>122.0</v>
      </c>
      <c r="G140" s="5" t="s">
        <v>52</v>
      </c>
      <c r="H140" s="5" t="s">
        <v>57</v>
      </c>
      <c r="I140" s="6" t="s">
        <v>40</v>
      </c>
      <c r="J140" s="5" t="s">
        <v>8585</v>
      </c>
      <c r="K140" s="5" t="s">
        <v>8632</v>
      </c>
      <c r="L140" s="6" t="s">
        <v>42</v>
      </c>
      <c r="M140" s="5" t="s">
        <v>995</v>
      </c>
      <c r="N140" s="5" t="s">
        <v>64</v>
      </c>
      <c r="O140" s="5" t="s">
        <v>17924</v>
      </c>
      <c r="P140" s="6">
        <v>5564.0</v>
      </c>
    </row>
    <row r="141" ht="56.25" customHeight="1">
      <c r="A141" s="5" t="s">
        <v>17901</v>
      </c>
      <c r="B141" s="16" t="str">
        <f>IMAGE("https://storage.googleapis.com/acdb/shoes/ShoesSandalRoomborder7.png")</f>
        <v/>
      </c>
      <c r="C141" s="5" t="s">
        <v>38</v>
      </c>
      <c r="D141" s="5" t="s">
        <v>36</v>
      </c>
      <c r="E141" s="6">
        <v>490.0</v>
      </c>
      <c r="F141" s="6">
        <v>122.0</v>
      </c>
      <c r="G141" s="5" t="s">
        <v>38</v>
      </c>
      <c r="H141" s="5" t="s">
        <v>57</v>
      </c>
      <c r="I141" s="6" t="s">
        <v>40</v>
      </c>
      <c r="J141" s="5" t="s">
        <v>8585</v>
      </c>
      <c r="K141" s="5" t="s">
        <v>8632</v>
      </c>
      <c r="L141" s="6" t="s">
        <v>42</v>
      </c>
      <c r="M141" s="5" t="s">
        <v>995</v>
      </c>
      <c r="N141" s="5" t="s">
        <v>64</v>
      </c>
      <c r="O141" s="5" t="s">
        <v>17928</v>
      </c>
      <c r="P141" s="6">
        <v>5564.0</v>
      </c>
    </row>
    <row r="142" ht="56.25" customHeight="1">
      <c r="A142" s="5" t="s">
        <v>17929</v>
      </c>
      <c r="B142" s="16" t="str">
        <f>IMAGE("https://storage.googleapis.com/acdb/shoes/ShoesKneeClown0.png")</f>
        <v/>
      </c>
      <c r="C142" s="5" t="s">
        <v>106</v>
      </c>
      <c r="D142" s="5" t="s">
        <v>36</v>
      </c>
      <c r="E142" s="6">
        <v>1900.0</v>
      </c>
      <c r="F142" s="6">
        <v>475.0</v>
      </c>
      <c r="G142" s="5" t="s">
        <v>106</v>
      </c>
      <c r="H142" s="5" t="s">
        <v>52</v>
      </c>
      <c r="I142" s="6" t="s">
        <v>40</v>
      </c>
      <c r="J142" s="5" t="s">
        <v>17203</v>
      </c>
      <c r="K142" s="5"/>
      <c r="L142" s="6" t="s">
        <v>42</v>
      </c>
      <c r="M142" s="5" t="s">
        <v>8746</v>
      </c>
      <c r="N142" s="5" t="s">
        <v>64</v>
      </c>
      <c r="O142" s="5" t="s">
        <v>17931</v>
      </c>
      <c r="P142" s="6">
        <v>5639.0</v>
      </c>
    </row>
    <row r="143" ht="56.25" customHeight="1">
      <c r="A143" s="5" t="s">
        <v>17929</v>
      </c>
      <c r="B143" s="16" t="str">
        <f>IMAGE("https://storage.googleapis.com/acdb/shoes/ShoesKneeClown1.png")</f>
        <v/>
      </c>
      <c r="C143" s="5" t="s">
        <v>54</v>
      </c>
      <c r="D143" s="5" t="s">
        <v>36</v>
      </c>
      <c r="E143" s="6">
        <v>1900.0</v>
      </c>
      <c r="F143" s="6">
        <v>475.0</v>
      </c>
      <c r="G143" s="5" t="s">
        <v>54</v>
      </c>
      <c r="H143" s="5" t="s">
        <v>52</v>
      </c>
      <c r="I143" s="6" t="s">
        <v>40</v>
      </c>
      <c r="J143" s="5" t="s">
        <v>17203</v>
      </c>
      <c r="K143" s="5"/>
      <c r="L143" s="6" t="s">
        <v>42</v>
      </c>
      <c r="M143" s="5" t="s">
        <v>8746</v>
      </c>
      <c r="N143" s="5" t="s">
        <v>64</v>
      </c>
      <c r="O143" s="5" t="s">
        <v>17935</v>
      </c>
      <c r="P143" s="6">
        <v>5639.0</v>
      </c>
    </row>
    <row r="144" ht="56.25" customHeight="1">
      <c r="A144" s="5" t="s">
        <v>17929</v>
      </c>
      <c r="B144" s="16" t="str">
        <f>IMAGE("https://storage.googleapis.com/acdb/shoes/ShoesKneeClown2.png")</f>
        <v/>
      </c>
      <c r="C144" s="5" t="s">
        <v>52</v>
      </c>
      <c r="D144" s="5" t="s">
        <v>36</v>
      </c>
      <c r="E144" s="6">
        <v>1900.0</v>
      </c>
      <c r="F144" s="6">
        <v>475.0</v>
      </c>
      <c r="G144" s="5" t="s">
        <v>52</v>
      </c>
      <c r="H144" s="5" t="s">
        <v>68</v>
      </c>
      <c r="I144" s="6" t="s">
        <v>40</v>
      </c>
      <c r="J144" s="5" t="s">
        <v>17203</v>
      </c>
      <c r="K144" s="5"/>
      <c r="L144" s="6" t="s">
        <v>42</v>
      </c>
      <c r="M144" s="5" t="s">
        <v>8746</v>
      </c>
      <c r="N144" s="5" t="s">
        <v>64</v>
      </c>
      <c r="O144" s="5" t="s">
        <v>17940</v>
      </c>
      <c r="P144" s="6">
        <v>5639.0</v>
      </c>
    </row>
    <row r="145" ht="56.25" customHeight="1">
      <c r="A145" s="5" t="s">
        <v>17929</v>
      </c>
      <c r="B145" s="16" t="str">
        <f>IMAGE("https://storage.googleapis.com/acdb/shoes/ShoesKneeClown3.png")</f>
        <v/>
      </c>
      <c r="C145" s="5" t="s">
        <v>96</v>
      </c>
      <c r="D145" s="5" t="s">
        <v>36</v>
      </c>
      <c r="E145" s="6">
        <v>1900.0</v>
      </c>
      <c r="F145" s="6">
        <v>475.0</v>
      </c>
      <c r="G145" s="5" t="s">
        <v>96</v>
      </c>
      <c r="H145" s="5" t="s">
        <v>114</v>
      </c>
      <c r="I145" s="6" t="s">
        <v>40</v>
      </c>
      <c r="J145" s="5" t="s">
        <v>17203</v>
      </c>
      <c r="K145" s="5"/>
      <c r="L145" s="6" t="s">
        <v>42</v>
      </c>
      <c r="M145" s="5" t="s">
        <v>8746</v>
      </c>
      <c r="N145" s="5" t="s">
        <v>64</v>
      </c>
      <c r="O145" s="5" t="s">
        <v>17944</v>
      </c>
      <c r="P145" s="6">
        <v>5639.0</v>
      </c>
    </row>
    <row r="146" ht="56.25" customHeight="1">
      <c r="A146" s="5" t="s">
        <v>17945</v>
      </c>
      <c r="B146" s="16" t="str">
        <f>IMAGE("https://storage.googleapis.com/acdb/shoes/ShoesHighcutSports0.png")</f>
        <v/>
      </c>
      <c r="C146" s="5" t="s">
        <v>52</v>
      </c>
      <c r="D146" s="5" t="s">
        <v>36</v>
      </c>
      <c r="E146" s="6">
        <v>700.0</v>
      </c>
      <c r="F146" s="6">
        <v>175.0</v>
      </c>
      <c r="G146" s="5" t="s">
        <v>52</v>
      </c>
      <c r="H146" s="5" t="s">
        <v>114</v>
      </c>
      <c r="I146" s="6" t="s">
        <v>40</v>
      </c>
      <c r="J146" s="5" t="s">
        <v>17203</v>
      </c>
      <c r="K146" s="5"/>
      <c r="L146" s="6" t="s">
        <v>42</v>
      </c>
      <c r="M146" s="5" t="s">
        <v>8746</v>
      </c>
      <c r="N146" s="5" t="s">
        <v>64</v>
      </c>
      <c r="O146" s="5" t="s">
        <v>17947</v>
      </c>
      <c r="P146" s="6">
        <v>5761.0</v>
      </c>
    </row>
    <row r="147" ht="56.25" customHeight="1">
      <c r="A147" s="5" t="s">
        <v>17945</v>
      </c>
      <c r="B147" s="16" t="str">
        <f>IMAGE("https://storage.googleapis.com/acdb/shoes/ShoesHighcutSports1.png")</f>
        <v/>
      </c>
      <c r="C147" s="5" t="s">
        <v>68</v>
      </c>
      <c r="D147" s="5" t="s">
        <v>36</v>
      </c>
      <c r="E147" s="6">
        <v>700.0</v>
      </c>
      <c r="F147" s="6">
        <v>175.0</v>
      </c>
      <c r="G147" s="5" t="s">
        <v>68</v>
      </c>
      <c r="H147" s="5" t="s">
        <v>52</v>
      </c>
      <c r="I147" s="6" t="s">
        <v>40</v>
      </c>
      <c r="J147" s="5" t="s">
        <v>17203</v>
      </c>
      <c r="K147" s="5"/>
      <c r="L147" s="6" t="s">
        <v>42</v>
      </c>
      <c r="M147" s="5" t="s">
        <v>8746</v>
      </c>
      <c r="N147" s="5" t="s">
        <v>64</v>
      </c>
      <c r="O147" s="5" t="s">
        <v>17949</v>
      </c>
      <c r="P147" s="6">
        <v>5761.0</v>
      </c>
    </row>
    <row r="148" ht="56.25" customHeight="1">
      <c r="A148" s="5" t="s">
        <v>17945</v>
      </c>
      <c r="B148" s="16" t="str">
        <f>IMAGE("https://storage.googleapis.com/acdb/shoes/ShoesHighcutSports2.png")</f>
        <v/>
      </c>
      <c r="C148" s="5" t="s">
        <v>96</v>
      </c>
      <c r="D148" s="5" t="s">
        <v>36</v>
      </c>
      <c r="E148" s="6">
        <v>700.0</v>
      </c>
      <c r="F148" s="6">
        <v>175.0</v>
      </c>
      <c r="G148" s="5" t="s">
        <v>96</v>
      </c>
      <c r="H148" s="5" t="s">
        <v>68</v>
      </c>
      <c r="I148" s="6" t="s">
        <v>40</v>
      </c>
      <c r="J148" s="5" t="s">
        <v>17203</v>
      </c>
      <c r="K148" s="5"/>
      <c r="L148" s="6" t="s">
        <v>42</v>
      </c>
      <c r="M148" s="5" t="s">
        <v>8746</v>
      </c>
      <c r="N148" s="5" t="s">
        <v>64</v>
      </c>
      <c r="O148" s="5" t="s">
        <v>17953</v>
      </c>
      <c r="P148" s="6">
        <v>5761.0</v>
      </c>
    </row>
    <row r="149" ht="56.25" customHeight="1">
      <c r="A149" s="5" t="s">
        <v>17945</v>
      </c>
      <c r="B149" s="16" t="str">
        <f>IMAGE("https://storage.googleapis.com/acdb/shoes/ShoesHighcutSports3.png")</f>
        <v/>
      </c>
      <c r="C149" s="5" t="s">
        <v>106</v>
      </c>
      <c r="D149" s="5" t="s">
        <v>36</v>
      </c>
      <c r="E149" s="6">
        <v>700.0</v>
      </c>
      <c r="F149" s="6">
        <v>175.0</v>
      </c>
      <c r="G149" s="5" t="s">
        <v>106</v>
      </c>
      <c r="H149" s="5" t="s">
        <v>142</v>
      </c>
      <c r="I149" s="6" t="s">
        <v>40</v>
      </c>
      <c r="J149" s="5" t="s">
        <v>17203</v>
      </c>
      <c r="K149" s="5"/>
      <c r="L149" s="6" t="s">
        <v>42</v>
      </c>
      <c r="M149" s="5" t="s">
        <v>8746</v>
      </c>
      <c r="N149" s="5" t="s">
        <v>64</v>
      </c>
      <c r="O149" s="5" t="s">
        <v>17955</v>
      </c>
      <c r="P149" s="6">
        <v>5761.0</v>
      </c>
    </row>
    <row r="150" ht="56.25" customHeight="1">
      <c r="A150" s="5" t="s">
        <v>17945</v>
      </c>
      <c r="B150" s="16" t="str">
        <f>IMAGE("https://storage.googleapis.com/acdb/shoes/ShoesHighcutSports4.png")</f>
        <v/>
      </c>
      <c r="C150" s="5" t="s">
        <v>146</v>
      </c>
      <c r="D150" s="5" t="s">
        <v>36</v>
      </c>
      <c r="E150" s="6">
        <v>700.0</v>
      </c>
      <c r="F150" s="6">
        <v>175.0</v>
      </c>
      <c r="G150" s="5" t="s">
        <v>95</v>
      </c>
      <c r="H150" s="5" t="s">
        <v>68</v>
      </c>
      <c r="I150" s="6" t="s">
        <v>40</v>
      </c>
      <c r="J150" s="5" t="s">
        <v>17203</v>
      </c>
      <c r="K150" s="5"/>
      <c r="L150" s="6" t="s">
        <v>42</v>
      </c>
      <c r="M150" s="5" t="s">
        <v>8746</v>
      </c>
      <c r="N150" s="5" t="s">
        <v>64</v>
      </c>
      <c r="O150" s="5" t="s">
        <v>17957</v>
      </c>
      <c r="P150" s="6">
        <v>5761.0</v>
      </c>
    </row>
    <row r="151" ht="56.25" customHeight="1">
      <c r="A151" s="5" t="s">
        <v>17945</v>
      </c>
      <c r="B151" s="16" t="str">
        <f>IMAGE("https://storage.googleapis.com/acdb/shoes/ShoesHighcutSports5.png")</f>
        <v/>
      </c>
      <c r="C151" s="5" t="s">
        <v>54</v>
      </c>
      <c r="D151" s="5" t="s">
        <v>36</v>
      </c>
      <c r="E151" s="6">
        <v>700.0</v>
      </c>
      <c r="F151" s="6">
        <v>175.0</v>
      </c>
      <c r="G151" s="5" t="s">
        <v>54</v>
      </c>
      <c r="H151" s="5" t="s">
        <v>52</v>
      </c>
      <c r="I151" s="6" t="s">
        <v>40</v>
      </c>
      <c r="J151" s="5" t="s">
        <v>17203</v>
      </c>
      <c r="K151" s="5"/>
      <c r="L151" s="6" t="s">
        <v>42</v>
      </c>
      <c r="M151" s="5" t="s">
        <v>8746</v>
      </c>
      <c r="N151" s="5" t="s">
        <v>64</v>
      </c>
      <c r="O151" s="5" t="s">
        <v>17960</v>
      </c>
      <c r="P151" s="6">
        <v>5761.0</v>
      </c>
    </row>
    <row r="152" ht="56.25" customHeight="1">
      <c r="A152" s="5" t="s">
        <v>17961</v>
      </c>
      <c r="B152" s="16" t="str">
        <f>IMAGE("https://storage.googleapis.com/acdb/shoes/ShoesSandalGeta0.png")</f>
        <v/>
      </c>
      <c r="C152" s="5" t="s">
        <v>54</v>
      </c>
      <c r="D152" s="5" t="s">
        <v>36</v>
      </c>
      <c r="E152" s="6">
        <v>1600.0</v>
      </c>
      <c r="F152" s="6">
        <v>400.0</v>
      </c>
      <c r="G152" s="5" t="s">
        <v>54</v>
      </c>
      <c r="H152" s="5" t="s">
        <v>38</v>
      </c>
      <c r="I152" s="6" t="s">
        <v>40</v>
      </c>
      <c r="J152" s="5" t="s">
        <v>17203</v>
      </c>
      <c r="K152" s="5"/>
      <c r="L152" s="6" t="s">
        <v>42</v>
      </c>
      <c r="M152" s="5" t="s">
        <v>995</v>
      </c>
      <c r="N152" s="5" t="s">
        <v>64</v>
      </c>
      <c r="O152" s="5" t="s">
        <v>17963</v>
      </c>
      <c r="P152" s="6">
        <v>3704.0</v>
      </c>
    </row>
    <row r="153" ht="56.25" customHeight="1">
      <c r="A153" s="5" t="s">
        <v>17961</v>
      </c>
      <c r="B153" s="16" t="str">
        <f>IMAGE("https://storage.googleapis.com/acdb/shoes/ShoesSandalGeta1.png")</f>
        <v/>
      </c>
      <c r="C153" s="5" t="s">
        <v>52</v>
      </c>
      <c r="D153" s="5" t="s">
        <v>36</v>
      </c>
      <c r="E153" s="6">
        <v>1600.0</v>
      </c>
      <c r="F153" s="6">
        <v>400.0</v>
      </c>
      <c r="G153" s="5" t="s">
        <v>52</v>
      </c>
      <c r="H153" s="5" t="s">
        <v>38</v>
      </c>
      <c r="I153" s="6" t="s">
        <v>40</v>
      </c>
      <c r="J153" s="5" t="s">
        <v>17203</v>
      </c>
      <c r="K153" s="5"/>
      <c r="L153" s="6" t="s">
        <v>42</v>
      </c>
      <c r="M153" s="5" t="s">
        <v>995</v>
      </c>
      <c r="N153" s="5" t="s">
        <v>64</v>
      </c>
      <c r="O153" s="5" t="s">
        <v>17967</v>
      </c>
      <c r="P153" s="6">
        <v>3704.0</v>
      </c>
    </row>
    <row r="154" ht="56.25" customHeight="1">
      <c r="A154" s="5" t="s">
        <v>17961</v>
      </c>
      <c r="B154" s="16" t="str">
        <f>IMAGE("https://storage.googleapis.com/acdb/shoes/ShoesSandalGeta2.png")</f>
        <v/>
      </c>
      <c r="C154" s="5" t="s">
        <v>69</v>
      </c>
      <c r="D154" s="5" t="s">
        <v>36</v>
      </c>
      <c r="E154" s="6">
        <v>1600.0</v>
      </c>
      <c r="F154" s="6">
        <v>400.0</v>
      </c>
      <c r="G154" s="5" t="s">
        <v>69</v>
      </c>
      <c r="H154" s="5" t="s">
        <v>38</v>
      </c>
      <c r="I154" s="6" t="s">
        <v>40</v>
      </c>
      <c r="J154" s="5" t="s">
        <v>17203</v>
      </c>
      <c r="K154" s="5"/>
      <c r="L154" s="6" t="s">
        <v>42</v>
      </c>
      <c r="M154" s="5" t="s">
        <v>995</v>
      </c>
      <c r="N154" s="5" t="s">
        <v>64</v>
      </c>
      <c r="O154" s="5" t="s">
        <v>17968</v>
      </c>
      <c r="P154" s="6">
        <v>3704.0</v>
      </c>
    </row>
    <row r="155" ht="56.25" customHeight="1">
      <c r="A155" s="5" t="s">
        <v>17961</v>
      </c>
      <c r="B155" s="16" t="str">
        <f>IMAGE("https://storage.googleapis.com/acdb/shoes/ShoesSandalGeta3.png")</f>
        <v/>
      </c>
      <c r="C155" s="5" t="s">
        <v>2431</v>
      </c>
      <c r="D155" s="5" t="s">
        <v>36</v>
      </c>
      <c r="E155" s="6">
        <v>1600.0</v>
      </c>
      <c r="F155" s="6">
        <v>400.0</v>
      </c>
      <c r="G155" s="5" t="s">
        <v>68</v>
      </c>
      <c r="H155" s="5" t="s">
        <v>38</v>
      </c>
      <c r="I155" s="6" t="s">
        <v>40</v>
      </c>
      <c r="J155" s="5" t="s">
        <v>17203</v>
      </c>
      <c r="K155" s="5"/>
      <c r="L155" s="6" t="s">
        <v>42</v>
      </c>
      <c r="M155" s="5" t="s">
        <v>995</v>
      </c>
      <c r="N155" s="5" t="s">
        <v>64</v>
      </c>
      <c r="O155" s="5" t="s">
        <v>17972</v>
      </c>
      <c r="P155" s="6">
        <v>3704.0</v>
      </c>
    </row>
    <row r="156" ht="56.25" customHeight="1">
      <c r="A156" s="5" t="s">
        <v>17961</v>
      </c>
      <c r="B156" s="16" t="str">
        <f>IMAGE("https://storage.googleapis.com/acdb/shoes/ShoesSandalGeta4.png")</f>
        <v/>
      </c>
      <c r="C156" s="5" t="s">
        <v>95</v>
      </c>
      <c r="D156" s="5" t="s">
        <v>36</v>
      </c>
      <c r="E156" s="6">
        <v>1600.0</v>
      </c>
      <c r="F156" s="6">
        <v>400.0</v>
      </c>
      <c r="G156" s="5" t="s">
        <v>95</v>
      </c>
      <c r="H156" s="5" t="s">
        <v>38</v>
      </c>
      <c r="I156" s="6" t="s">
        <v>40</v>
      </c>
      <c r="J156" s="5" t="s">
        <v>17203</v>
      </c>
      <c r="K156" s="5"/>
      <c r="L156" s="6" t="s">
        <v>42</v>
      </c>
      <c r="M156" s="5" t="s">
        <v>995</v>
      </c>
      <c r="N156" s="5" t="s">
        <v>64</v>
      </c>
      <c r="O156" s="5" t="s">
        <v>17975</v>
      </c>
      <c r="P156" s="6">
        <v>3704.0</v>
      </c>
    </row>
    <row r="157" ht="56.25" customHeight="1">
      <c r="A157" s="5" t="s">
        <v>17961</v>
      </c>
      <c r="B157" s="16" t="str">
        <f>IMAGE("https://storage.googleapis.com/acdb/shoes/ShoesSandalGeta5.png")</f>
        <v/>
      </c>
      <c r="C157" s="5" t="s">
        <v>106</v>
      </c>
      <c r="D157" s="5" t="s">
        <v>36</v>
      </c>
      <c r="E157" s="6">
        <v>1600.0</v>
      </c>
      <c r="F157" s="6">
        <v>400.0</v>
      </c>
      <c r="G157" s="5" t="s">
        <v>106</v>
      </c>
      <c r="H157" s="5" t="s">
        <v>38</v>
      </c>
      <c r="I157" s="6" t="s">
        <v>40</v>
      </c>
      <c r="J157" s="5" t="s">
        <v>17203</v>
      </c>
      <c r="K157" s="5"/>
      <c r="L157" s="6" t="s">
        <v>42</v>
      </c>
      <c r="M157" s="5" t="s">
        <v>995</v>
      </c>
      <c r="N157" s="5" t="s">
        <v>64</v>
      </c>
      <c r="O157" s="5" t="s">
        <v>17977</v>
      </c>
      <c r="P157" s="6">
        <v>3704.0</v>
      </c>
    </row>
    <row r="158" ht="56.25" customHeight="1">
      <c r="A158" s="5" t="s">
        <v>17961</v>
      </c>
      <c r="B158" s="16" t="str">
        <f>IMAGE("https://storage.googleapis.com/acdb/shoes/ShoesSandalGeta6.png")</f>
        <v/>
      </c>
      <c r="C158" s="5" t="s">
        <v>114</v>
      </c>
      <c r="D158" s="5" t="s">
        <v>36</v>
      </c>
      <c r="E158" s="6">
        <v>1600.0</v>
      </c>
      <c r="F158" s="6">
        <v>400.0</v>
      </c>
      <c r="G158" s="5" t="s">
        <v>114</v>
      </c>
      <c r="H158" s="5" t="s">
        <v>38</v>
      </c>
      <c r="I158" s="6" t="s">
        <v>40</v>
      </c>
      <c r="J158" s="5" t="s">
        <v>17203</v>
      </c>
      <c r="K158" s="5"/>
      <c r="L158" s="6" t="s">
        <v>42</v>
      </c>
      <c r="M158" s="5" t="s">
        <v>995</v>
      </c>
      <c r="N158" s="5" t="s">
        <v>64</v>
      </c>
      <c r="O158" s="5" t="s">
        <v>17980</v>
      </c>
      <c r="P158" s="6">
        <v>3704.0</v>
      </c>
    </row>
    <row r="159" ht="56.25" customHeight="1">
      <c r="A159" s="5" t="s">
        <v>17961</v>
      </c>
      <c r="B159" s="16" t="str">
        <f>IMAGE("https://storage.googleapis.com/acdb/shoes/ShoesSandalGeta7.png")</f>
        <v/>
      </c>
      <c r="C159" s="5" t="s">
        <v>96</v>
      </c>
      <c r="D159" s="5" t="s">
        <v>36</v>
      </c>
      <c r="E159" s="6">
        <v>1600.0</v>
      </c>
      <c r="F159" s="6">
        <v>400.0</v>
      </c>
      <c r="G159" s="5" t="s">
        <v>96</v>
      </c>
      <c r="H159" s="5" t="s">
        <v>38</v>
      </c>
      <c r="I159" s="6" t="s">
        <v>40</v>
      </c>
      <c r="J159" s="5" t="s">
        <v>17203</v>
      </c>
      <c r="K159" s="5"/>
      <c r="L159" s="6" t="s">
        <v>42</v>
      </c>
      <c r="M159" s="5" t="s">
        <v>995</v>
      </c>
      <c r="N159" s="5" t="s">
        <v>64</v>
      </c>
      <c r="O159" s="5" t="s">
        <v>17983</v>
      </c>
      <c r="P159" s="6">
        <v>3704.0</v>
      </c>
    </row>
    <row r="160" ht="56.25" customHeight="1">
      <c r="A160" s="5" t="s">
        <v>17984</v>
      </c>
      <c r="B160" s="16" t="str">
        <f>IMAGE("https://storage.googleapis.com/acdb/shoes/ShoesLowcutKungfu0.png")</f>
        <v/>
      </c>
      <c r="C160" s="5" t="s">
        <v>54</v>
      </c>
      <c r="D160" s="5" t="s">
        <v>36</v>
      </c>
      <c r="E160" s="6">
        <v>1260.0</v>
      </c>
      <c r="F160" s="6">
        <v>315.0</v>
      </c>
      <c r="G160" s="5" t="s">
        <v>54</v>
      </c>
      <c r="H160" s="5" t="s">
        <v>57</v>
      </c>
      <c r="I160" s="6" t="s">
        <v>40</v>
      </c>
      <c r="J160" s="5" t="s">
        <v>17203</v>
      </c>
      <c r="K160" s="5"/>
      <c r="L160" s="6" t="s">
        <v>42</v>
      </c>
      <c r="M160" s="5" t="s">
        <v>8746</v>
      </c>
      <c r="N160" s="5" t="s">
        <v>64</v>
      </c>
      <c r="O160" s="5" t="s">
        <v>17989</v>
      </c>
      <c r="P160" s="6">
        <v>9846.0</v>
      </c>
    </row>
    <row r="161" ht="56.25" customHeight="1">
      <c r="A161" s="5" t="s">
        <v>17991</v>
      </c>
      <c r="B161" s="16" t="str">
        <f>IMAGE("https://storage.googleapis.com/acdb/shoes/ShoesLowcutKateheel0.png")</f>
        <v/>
      </c>
      <c r="C161" s="5" t="s">
        <v>10055</v>
      </c>
      <c r="D161" s="5" t="s">
        <v>36</v>
      </c>
      <c r="E161" s="6">
        <v>3500.0</v>
      </c>
      <c r="F161" s="6">
        <v>875.0</v>
      </c>
      <c r="G161" s="5" t="s">
        <v>106</v>
      </c>
      <c r="H161" s="5" t="s">
        <v>95</v>
      </c>
      <c r="I161" s="6" t="s">
        <v>40</v>
      </c>
      <c r="J161" s="5" t="s">
        <v>10058</v>
      </c>
      <c r="K161" s="5"/>
      <c r="L161" s="6" t="s">
        <v>42</v>
      </c>
      <c r="M161" s="5" t="s">
        <v>1059</v>
      </c>
      <c r="N161" s="5" t="s">
        <v>64</v>
      </c>
      <c r="O161" s="5" t="s">
        <v>17994</v>
      </c>
      <c r="P161" s="6">
        <v>9884.0</v>
      </c>
    </row>
    <row r="162" ht="56.25" customHeight="1">
      <c r="A162" s="5" t="s">
        <v>17991</v>
      </c>
      <c r="B162" s="16" t="str">
        <f>IMAGE("https://storage.googleapis.com/acdb/shoes/ShoesLowcutKateheel1.png")</f>
        <v/>
      </c>
      <c r="C162" s="5" t="s">
        <v>10061</v>
      </c>
      <c r="D162" s="5" t="s">
        <v>36</v>
      </c>
      <c r="E162" s="6">
        <v>3500.0</v>
      </c>
      <c r="F162" s="6">
        <v>875.0</v>
      </c>
      <c r="G162" s="5" t="s">
        <v>54</v>
      </c>
      <c r="H162" s="5" t="s">
        <v>95</v>
      </c>
      <c r="I162" s="6" t="s">
        <v>40</v>
      </c>
      <c r="J162" s="5" t="s">
        <v>10058</v>
      </c>
      <c r="K162" s="5"/>
      <c r="L162" s="6" t="s">
        <v>42</v>
      </c>
      <c r="M162" s="5" t="s">
        <v>1059</v>
      </c>
      <c r="N162" s="5" t="s">
        <v>64</v>
      </c>
      <c r="O162" s="5" t="s">
        <v>17998</v>
      </c>
      <c r="P162" s="6">
        <v>9884.0</v>
      </c>
    </row>
    <row r="163" ht="56.25" customHeight="1">
      <c r="A163" s="5" t="s">
        <v>17991</v>
      </c>
      <c r="B163" s="16" t="str">
        <f>IMAGE("https://storage.googleapis.com/acdb/shoes/ShoesLowcutKateheel2.png")</f>
        <v/>
      </c>
      <c r="C163" s="5" t="s">
        <v>10065</v>
      </c>
      <c r="D163" s="5" t="s">
        <v>36</v>
      </c>
      <c r="E163" s="6">
        <v>3500.0</v>
      </c>
      <c r="F163" s="6">
        <v>875.0</v>
      </c>
      <c r="G163" s="5" t="s">
        <v>52</v>
      </c>
      <c r="H163" s="5" t="s">
        <v>95</v>
      </c>
      <c r="I163" s="6" t="s">
        <v>40</v>
      </c>
      <c r="J163" s="5" t="s">
        <v>10058</v>
      </c>
      <c r="K163" s="5"/>
      <c r="L163" s="6" t="s">
        <v>42</v>
      </c>
      <c r="M163" s="5" t="s">
        <v>1059</v>
      </c>
      <c r="N163" s="5" t="s">
        <v>64</v>
      </c>
      <c r="O163" s="5" t="s">
        <v>18003</v>
      </c>
      <c r="P163" s="6">
        <v>9884.0</v>
      </c>
    </row>
    <row r="164" ht="56.25" customHeight="1">
      <c r="A164" s="5" t="s">
        <v>17991</v>
      </c>
      <c r="B164" s="16" t="str">
        <f>IMAGE("https://storage.googleapis.com/acdb/shoes/ShoesLowcutKateheel3.png")</f>
        <v/>
      </c>
      <c r="C164" s="5" t="s">
        <v>10069</v>
      </c>
      <c r="D164" s="5" t="s">
        <v>36</v>
      </c>
      <c r="E164" s="6">
        <v>3500.0</v>
      </c>
      <c r="F164" s="6">
        <v>875.0</v>
      </c>
      <c r="G164" s="5" t="s">
        <v>68</v>
      </c>
      <c r="H164" s="5" t="s">
        <v>95</v>
      </c>
      <c r="I164" s="6" t="s">
        <v>40</v>
      </c>
      <c r="J164" s="5" t="s">
        <v>10058</v>
      </c>
      <c r="K164" s="5"/>
      <c r="L164" s="6" t="s">
        <v>42</v>
      </c>
      <c r="M164" s="5" t="s">
        <v>1059</v>
      </c>
      <c r="N164" s="5" t="s">
        <v>64</v>
      </c>
      <c r="O164" s="5" t="s">
        <v>18008</v>
      </c>
      <c r="P164" s="6">
        <v>9884.0</v>
      </c>
    </row>
    <row r="165" ht="56.25" customHeight="1">
      <c r="A165" s="5" t="s">
        <v>17991</v>
      </c>
      <c r="B165" s="16" t="str">
        <f>IMAGE("https://storage.googleapis.com/acdb/shoes/ShoesLowcutKateheel4.png")</f>
        <v/>
      </c>
      <c r="C165" s="5" t="s">
        <v>4665</v>
      </c>
      <c r="D165" s="5" t="s">
        <v>36</v>
      </c>
      <c r="E165" s="6">
        <v>3500.0</v>
      </c>
      <c r="F165" s="6">
        <v>875.0</v>
      </c>
      <c r="G165" s="5" t="s">
        <v>114</v>
      </c>
      <c r="H165" s="5" t="s">
        <v>95</v>
      </c>
      <c r="I165" s="6" t="s">
        <v>40</v>
      </c>
      <c r="J165" s="5" t="s">
        <v>10058</v>
      </c>
      <c r="K165" s="5"/>
      <c r="L165" s="6" t="s">
        <v>42</v>
      </c>
      <c r="M165" s="5" t="s">
        <v>1059</v>
      </c>
      <c r="N165" s="5" t="s">
        <v>64</v>
      </c>
      <c r="O165" s="5" t="s">
        <v>18012</v>
      </c>
      <c r="P165" s="6">
        <v>9884.0</v>
      </c>
    </row>
    <row r="166" ht="56.25" customHeight="1">
      <c r="A166" s="5" t="s">
        <v>17991</v>
      </c>
      <c r="B166" s="16" t="str">
        <f>IMAGE("https://storage.googleapis.com/acdb/shoes/ShoesLowcutKateheel5.png")</f>
        <v/>
      </c>
      <c r="C166" s="5" t="s">
        <v>10075</v>
      </c>
      <c r="D166" s="5" t="s">
        <v>36</v>
      </c>
      <c r="E166" s="6">
        <v>3500.0</v>
      </c>
      <c r="F166" s="6">
        <v>875.0</v>
      </c>
      <c r="G166" s="5" t="s">
        <v>69</v>
      </c>
      <c r="H166" s="5" t="s">
        <v>95</v>
      </c>
      <c r="I166" s="6" t="s">
        <v>40</v>
      </c>
      <c r="J166" s="5" t="s">
        <v>10058</v>
      </c>
      <c r="K166" s="5"/>
      <c r="L166" s="6" t="s">
        <v>42</v>
      </c>
      <c r="M166" s="5" t="s">
        <v>1059</v>
      </c>
      <c r="N166" s="5" t="s">
        <v>64</v>
      </c>
      <c r="O166" s="5" t="s">
        <v>18015</v>
      </c>
      <c r="P166" s="6">
        <v>9884.0</v>
      </c>
    </row>
    <row r="167" ht="56.25" customHeight="1">
      <c r="A167" s="5" t="s">
        <v>18016</v>
      </c>
      <c r="B167" s="16" t="str">
        <f>IMAGE("https://storage.googleapis.com/acdb/shoes/ShoesHighcutKatesneaker0.png")</f>
        <v/>
      </c>
      <c r="C167" s="5" t="s">
        <v>10055</v>
      </c>
      <c r="D167" s="5" t="s">
        <v>36</v>
      </c>
      <c r="E167" s="6">
        <v>3300.0</v>
      </c>
      <c r="F167" s="6">
        <v>825.0</v>
      </c>
      <c r="G167" s="5" t="s">
        <v>106</v>
      </c>
      <c r="H167" s="5" t="s">
        <v>54</v>
      </c>
      <c r="I167" s="6" t="s">
        <v>40</v>
      </c>
      <c r="J167" s="5" t="s">
        <v>10058</v>
      </c>
      <c r="K167" s="5"/>
      <c r="L167" s="6" t="s">
        <v>42</v>
      </c>
      <c r="M167" s="5" t="s">
        <v>1952</v>
      </c>
      <c r="N167" s="5" t="s">
        <v>64</v>
      </c>
      <c r="O167" s="5" t="s">
        <v>18019</v>
      </c>
      <c r="P167" s="6">
        <v>9885.0</v>
      </c>
    </row>
    <row r="168" ht="56.25" customHeight="1">
      <c r="A168" s="5" t="s">
        <v>18016</v>
      </c>
      <c r="B168" s="16" t="str">
        <f>IMAGE("https://storage.googleapis.com/acdb/shoes/ShoesHighcutKatesneaker1.png")</f>
        <v/>
      </c>
      <c r="C168" s="5" t="s">
        <v>10061</v>
      </c>
      <c r="D168" s="5" t="s">
        <v>36</v>
      </c>
      <c r="E168" s="6">
        <v>3300.0</v>
      </c>
      <c r="F168" s="6">
        <v>825.0</v>
      </c>
      <c r="G168" s="5" t="s">
        <v>54</v>
      </c>
      <c r="H168" s="5" t="s">
        <v>57</v>
      </c>
      <c r="I168" s="6" t="s">
        <v>40</v>
      </c>
      <c r="J168" s="5" t="s">
        <v>10058</v>
      </c>
      <c r="K168" s="5"/>
      <c r="L168" s="6" t="s">
        <v>42</v>
      </c>
      <c r="M168" s="5" t="s">
        <v>1952</v>
      </c>
      <c r="N168" s="5" t="s">
        <v>64</v>
      </c>
      <c r="O168" s="5" t="s">
        <v>18024</v>
      </c>
      <c r="P168" s="6">
        <v>9885.0</v>
      </c>
    </row>
    <row r="169" ht="56.25" customHeight="1">
      <c r="A169" s="5" t="s">
        <v>18016</v>
      </c>
      <c r="B169" s="16" t="str">
        <f>IMAGE("https://storage.googleapis.com/acdb/shoes/ShoesHighcutKatesneaker2.png")</f>
        <v/>
      </c>
      <c r="C169" s="5" t="s">
        <v>10065</v>
      </c>
      <c r="D169" s="5" t="s">
        <v>36</v>
      </c>
      <c r="E169" s="6">
        <v>3300.0</v>
      </c>
      <c r="F169" s="6">
        <v>825.0</v>
      </c>
      <c r="G169" s="5" t="s">
        <v>52</v>
      </c>
      <c r="H169" s="5" t="s">
        <v>54</v>
      </c>
      <c r="I169" s="6" t="s">
        <v>40</v>
      </c>
      <c r="J169" s="5" t="s">
        <v>10058</v>
      </c>
      <c r="K169" s="5"/>
      <c r="L169" s="6" t="s">
        <v>42</v>
      </c>
      <c r="M169" s="5" t="s">
        <v>1952</v>
      </c>
      <c r="N169" s="5" t="s">
        <v>64</v>
      </c>
      <c r="O169" s="5" t="s">
        <v>18029</v>
      </c>
      <c r="P169" s="6">
        <v>9885.0</v>
      </c>
    </row>
    <row r="170" ht="56.25" customHeight="1">
      <c r="A170" s="5" t="s">
        <v>18016</v>
      </c>
      <c r="B170" s="16" t="str">
        <f>IMAGE("https://storage.googleapis.com/acdb/shoes/ShoesHighcutKatesneaker3.png")</f>
        <v/>
      </c>
      <c r="C170" s="5" t="s">
        <v>10069</v>
      </c>
      <c r="D170" s="5" t="s">
        <v>36</v>
      </c>
      <c r="E170" s="6">
        <v>3300.0</v>
      </c>
      <c r="F170" s="6">
        <v>825.0</v>
      </c>
      <c r="G170" s="5" t="s">
        <v>68</v>
      </c>
      <c r="H170" s="5" t="s">
        <v>54</v>
      </c>
      <c r="I170" s="6" t="s">
        <v>40</v>
      </c>
      <c r="J170" s="5" t="s">
        <v>10058</v>
      </c>
      <c r="K170" s="5"/>
      <c r="L170" s="6" t="s">
        <v>42</v>
      </c>
      <c r="M170" s="5" t="s">
        <v>1952</v>
      </c>
      <c r="N170" s="5" t="s">
        <v>64</v>
      </c>
      <c r="O170" s="5" t="s">
        <v>18033</v>
      </c>
      <c r="P170" s="6">
        <v>9885.0</v>
      </c>
    </row>
    <row r="171" ht="56.25" customHeight="1">
      <c r="A171" s="5" t="s">
        <v>18016</v>
      </c>
      <c r="B171" s="16" t="str">
        <f>IMAGE("https://storage.googleapis.com/acdb/shoes/ShoesHighcutKatesneaker4.png")</f>
        <v/>
      </c>
      <c r="C171" s="5" t="s">
        <v>4665</v>
      </c>
      <c r="D171" s="5" t="s">
        <v>36</v>
      </c>
      <c r="E171" s="6">
        <v>3300.0</v>
      </c>
      <c r="F171" s="6">
        <v>825.0</v>
      </c>
      <c r="G171" s="5" t="s">
        <v>114</v>
      </c>
      <c r="H171" s="5" t="s">
        <v>54</v>
      </c>
      <c r="I171" s="6" t="s">
        <v>40</v>
      </c>
      <c r="J171" s="5" t="s">
        <v>10058</v>
      </c>
      <c r="K171" s="5"/>
      <c r="L171" s="6" t="s">
        <v>42</v>
      </c>
      <c r="M171" s="5" t="s">
        <v>1952</v>
      </c>
      <c r="N171" s="5" t="s">
        <v>64</v>
      </c>
      <c r="O171" s="5" t="s">
        <v>18038</v>
      </c>
      <c r="P171" s="6">
        <v>9885.0</v>
      </c>
    </row>
    <row r="172" ht="56.25" customHeight="1">
      <c r="A172" s="5" t="s">
        <v>18016</v>
      </c>
      <c r="B172" s="16" t="str">
        <f>IMAGE("https://storage.googleapis.com/acdb/shoes/ShoesHighcutKatesneaker5.png")</f>
        <v/>
      </c>
      <c r="C172" s="5" t="s">
        <v>10075</v>
      </c>
      <c r="D172" s="5" t="s">
        <v>36</v>
      </c>
      <c r="E172" s="6">
        <v>3300.0</v>
      </c>
      <c r="F172" s="6">
        <v>825.0</v>
      </c>
      <c r="G172" s="5" t="s">
        <v>69</v>
      </c>
      <c r="H172" s="5" t="s">
        <v>54</v>
      </c>
      <c r="I172" s="6" t="s">
        <v>40</v>
      </c>
      <c r="J172" s="5" t="s">
        <v>10058</v>
      </c>
      <c r="K172" s="5"/>
      <c r="L172" s="6" t="s">
        <v>42</v>
      </c>
      <c r="M172" s="5" t="s">
        <v>1952</v>
      </c>
      <c r="N172" s="5" t="s">
        <v>64</v>
      </c>
      <c r="O172" s="5" t="s">
        <v>18042</v>
      </c>
      <c r="P172" s="6">
        <v>9885.0</v>
      </c>
    </row>
    <row r="173" ht="56.25" customHeight="1">
      <c r="A173" s="5" t="s">
        <v>18043</v>
      </c>
      <c r="B173" s="16" t="str">
        <f>IMAGE("https://storage.googleapis.com/acdb/shoes/ShoesKneeLaceup0.png")</f>
        <v/>
      </c>
      <c r="C173" s="5" t="s">
        <v>54</v>
      </c>
      <c r="D173" s="5" t="s">
        <v>36</v>
      </c>
      <c r="E173" s="6">
        <v>1920.0</v>
      </c>
      <c r="F173" s="6">
        <v>480.0</v>
      </c>
      <c r="G173" s="5" t="s">
        <v>54</v>
      </c>
      <c r="H173" s="5" t="s">
        <v>54</v>
      </c>
      <c r="I173" s="6" t="s">
        <v>40</v>
      </c>
      <c r="J173" s="5" t="s">
        <v>8585</v>
      </c>
      <c r="K173" s="5" t="s">
        <v>8586</v>
      </c>
      <c r="L173" s="6" t="s">
        <v>42</v>
      </c>
      <c r="M173" s="5" t="s">
        <v>1952</v>
      </c>
      <c r="N173" s="5" t="s">
        <v>64</v>
      </c>
      <c r="O173" s="5" t="s">
        <v>18046</v>
      </c>
      <c r="P173" s="6">
        <v>5667.0</v>
      </c>
    </row>
    <row r="174" ht="56.25" customHeight="1">
      <c r="A174" s="5" t="s">
        <v>18043</v>
      </c>
      <c r="B174" s="16" t="str">
        <f>IMAGE("https://storage.googleapis.com/acdb/shoes/ShoesKneeLaceup1.png")</f>
        <v/>
      </c>
      <c r="C174" s="5" t="s">
        <v>57</v>
      </c>
      <c r="D174" s="5" t="s">
        <v>36</v>
      </c>
      <c r="E174" s="6">
        <v>1920.0</v>
      </c>
      <c r="F174" s="6">
        <v>480.0</v>
      </c>
      <c r="G174" s="5" t="s">
        <v>57</v>
      </c>
      <c r="H174" s="5" t="s">
        <v>57</v>
      </c>
      <c r="I174" s="6" t="s">
        <v>40</v>
      </c>
      <c r="J174" s="5" t="s">
        <v>8585</v>
      </c>
      <c r="K174" s="5" t="s">
        <v>8586</v>
      </c>
      <c r="L174" s="6" t="s">
        <v>42</v>
      </c>
      <c r="M174" s="5" t="s">
        <v>1952</v>
      </c>
      <c r="N174" s="5" t="s">
        <v>64</v>
      </c>
      <c r="O174" s="5" t="s">
        <v>18052</v>
      </c>
      <c r="P174" s="6">
        <v>5667.0</v>
      </c>
    </row>
    <row r="175" ht="56.25" customHeight="1">
      <c r="A175" s="5" t="s">
        <v>18043</v>
      </c>
      <c r="B175" s="16" t="str">
        <f>IMAGE("https://storage.googleapis.com/acdb/shoes/ShoesKneeLaceup2.png")</f>
        <v/>
      </c>
      <c r="C175" s="5" t="s">
        <v>39</v>
      </c>
      <c r="D175" s="5" t="s">
        <v>36</v>
      </c>
      <c r="E175" s="6">
        <v>1920.0</v>
      </c>
      <c r="F175" s="6">
        <v>480.0</v>
      </c>
      <c r="G175" s="5" t="s">
        <v>39</v>
      </c>
      <c r="H175" s="5" t="s">
        <v>39</v>
      </c>
      <c r="I175" s="6" t="s">
        <v>40</v>
      </c>
      <c r="J175" s="5" t="s">
        <v>8585</v>
      </c>
      <c r="K175" s="5" t="s">
        <v>8586</v>
      </c>
      <c r="L175" s="6" t="s">
        <v>42</v>
      </c>
      <c r="M175" s="5" t="s">
        <v>1952</v>
      </c>
      <c r="N175" s="5" t="s">
        <v>64</v>
      </c>
      <c r="O175" s="5" t="s">
        <v>18058</v>
      </c>
      <c r="P175" s="6">
        <v>5667.0</v>
      </c>
    </row>
    <row r="176" ht="56.25" customHeight="1">
      <c r="A176" s="5" t="s">
        <v>18043</v>
      </c>
      <c r="B176" s="16" t="str">
        <f>IMAGE("https://storage.googleapis.com/acdb/shoes/ShoesKneeLaceup3.png")</f>
        <v/>
      </c>
      <c r="C176" s="5" t="s">
        <v>52</v>
      </c>
      <c r="D176" s="5" t="s">
        <v>36</v>
      </c>
      <c r="E176" s="6">
        <v>1920.0</v>
      </c>
      <c r="F176" s="6">
        <v>480.0</v>
      </c>
      <c r="G176" s="5" t="s">
        <v>52</v>
      </c>
      <c r="H176" s="5" t="s">
        <v>39</v>
      </c>
      <c r="I176" s="6" t="s">
        <v>40</v>
      </c>
      <c r="J176" s="5" t="s">
        <v>8585</v>
      </c>
      <c r="K176" s="5" t="s">
        <v>8586</v>
      </c>
      <c r="L176" s="6" t="s">
        <v>42</v>
      </c>
      <c r="M176" s="5" t="s">
        <v>1952</v>
      </c>
      <c r="N176" s="5" t="s">
        <v>64</v>
      </c>
      <c r="O176" s="5" t="s">
        <v>18061</v>
      </c>
      <c r="P176" s="6">
        <v>5667.0</v>
      </c>
    </row>
    <row r="177" ht="56.25" customHeight="1">
      <c r="A177" s="5" t="s">
        <v>18063</v>
      </c>
      <c r="B177" s="16" t="str">
        <f>IMAGE("https://storage.googleapis.com/acdb/shoes/ShoesLowcutEggleaf0.png")</f>
        <v/>
      </c>
      <c r="C177" s="5" t="s">
        <v>44</v>
      </c>
      <c r="D177" s="5" t="s">
        <v>35</v>
      </c>
      <c r="E177" s="6" t="s">
        <v>37</v>
      </c>
      <c r="F177" s="6">
        <v>800.0</v>
      </c>
      <c r="G177" s="5" t="s">
        <v>114</v>
      </c>
      <c r="H177" s="5" t="s">
        <v>142</v>
      </c>
      <c r="I177" s="6" t="s">
        <v>40</v>
      </c>
      <c r="J177" s="5" t="s">
        <v>41</v>
      </c>
      <c r="K177" s="5" t="s">
        <v>15739</v>
      </c>
      <c r="L177" s="6" t="s">
        <v>1410</v>
      </c>
      <c r="M177" s="5" t="s">
        <v>8746</v>
      </c>
      <c r="N177" s="5" t="s">
        <v>48</v>
      </c>
      <c r="O177" s="5" t="s">
        <v>18066</v>
      </c>
      <c r="P177" s="6">
        <v>12457.0</v>
      </c>
    </row>
    <row r="178" ht="56.25" customHeight="1">
      <c r="A178" s="5" t="s">
        <v>18067</v>
      </c>
      <c r="B178" s="16" t="str">
        <f>IMAGE("https://storage.googleapis.com/acdb/shoes/ShoesLowcutLeopard0.png")</f>
        <v/>
      </c>
      <c r="C178" s="5" t="s">
        <v>38</v>
      </c>
      <c r="D178" s="5" t="s">
        <v>36</v>
      </c>
      <c r="E178" s="6">
        <v>1560.0</v>
      </c>
      <c r="F178" s="6">
        <v>390.0</v>
      </c>
      <c r="G178" s="5" t="s">
        <v>38</v>
      </c>
      <c r="H178" s="5" t="s">
        <v>39</v>
      </c>
      <c r="I178" s="6" t="s">
        <v>40</v>
      </c>
      <c r="J178" s="5" t="s">
        <v>8585</v>
      </c>
      <c r="K178" s="5" t="s">
        <v>8586</v>
      </c>
      <c r="L178" s="6" t="s">
        <v>42</v>
      </c>
      <c r="M178" s="5" t="s">
        <v>1059</v>
      </c>
      <c r="N178" s="5" t="s">
        <v>64</v>
      </c>
      <c r="O178" s="5" t="s">
        <v>18072</v>
      </c>
      <c r="P178" s="6">
        <v>5477.0</v>
      </c>
    </row>
    <row r="179" ht="56.25" customHeight="1">
      <c r="A179" s="5" t="s">
        <v>18067</v>
      </c>
      <c r="B179" s="16" t="str">
        <f>IMAGE("https://storage.googleapis.com/acdb/shoes/ShoesLowcutLeopard1.png")</f>
        <v/>
      </c>
      <c r="C179" s="5" t="s">
        <v>95</v>
      </c>
      <c r="D179" s="5" t="s">
        <v>36</v>
      </c>
      <c r="E179" s="6">
        <v>1560.0</v>
      </c>
      <c r="F179" s="6">
        <v>390.0</v>
      </c>
      <c r="G179" s="5" t="s">
        <v>95</v>
      </c>
      <c r="H179" s="5" t="s">
        <v>54</v>
      </c>
      <c r="I179" s="6" t="s">
        <v>40</v>
      </c>
      <c r="J179" s="5" t="s">
        <v>8585</v>
      </c>
      <c r="K179" s="5" t="s">
        <v>8586</v>
      </c>
      <c r="L179" s="6" t="s">
        <v>42</v>
      </c>
      <c r="M179" s="5" t="s">
        <v>1059</v>
      </c>
      <c r="N179" s="5" t="s">
        <v>64</v>
      </c>
      <c r="O179" s="5" t="s">
        <v>18076</v>
      </c>
      <c r="P179" s="6">
        <v>5477.0</v>
      </c>
    </row>
    <row r="180" ht="56.25" customHeight="1">
      <c r="A180" s="5" t="s">
        <v>18067</v>
      </c>
      <c r="B180" s="16" t="str">
        <f>IMAGE("https://storage.googleapis.com/acdb/shoes/ShoesLowcutLeopard2.png")</f>
        <v/>
      </c>
      <c r="C180" s="5" t="s">
        <v>68</v>
      </c>
      <c r="D180" s="5" t="s">
        <v>36</v>
      </c>
      <c r="E180" s="6">
        <v>1560.0</v>
      </c>
      <c r="F180" s="6">
        <v>390.0</v>
      </c>
      <c r="G180" s="5" t="s">
        <v>68</v>
      </c>
      <c r="H180" s="5" t="s">
        <v>68</v>
      </c>
      <c r="I180" s="6" t="s">
        <v>40</v>
      </c>
      <c r="J180" s="5" t="s">
        <v>8585</v>
      </c>
      <c r="K180" s="5" t="s">
        <v>8586</v>
      </c>
      <c r="L180" s="6" t="s">
        <v>42</v>
      </c>
      <c r="M180" s="5" t="s">
        <v>1059</v>
      </c>
      <c r="N180" s="5" t="s">
        <v>64</v>
      </c>
      <c r="O180" s="5" t="s">
        <v>18081</v>
      </c>
      <c r="P180" s="6">
        <v>5477.0</v>
      </c>
    </row>
    <row r="181" ht="56.25" customHeight="1">
      <c r="A181" s="5" t="s">
        <v>18067</v>
      </c>
      <c r="B181" s="16" t="str">
        <f>IMAGE("https://storage.googleapis.com/acdb/shoes/ShoesLowcutLeopard3.png")</f>
        <v/>
      </c>
      <c r="C181" s="5" t="s">
        <v>96</v>
      </c>
      <c r="D181" s="5" t="s">
        <v>36</v>
      </c>
      <c r="E181" s="6">
        <v>1560.0</v>
      </c>
      <c r="F181" s="6">
        <v>390.0</v>
      </c>
      <c r="G181" s="5" t="s">
        <v>96</v>
      </c>
      <c r="H181" s="5" t="s">
        <v>96</v>
      </c>
      <c r="I181" s="6" t="s">
        <v>40</v>
      </c>
      <c r="J181" s="5" t="s">
        <v>8585</v>
      </c>
      <c r="K181" s="5" t="s">
        <v>8586</v>
      </c>
      <c r="L181" s="6" t="s">
        <v>42</v>
      </c>
      <c r="M181" s="5" t="s">
        <v>1059</v>
      </c>
      <c r="N181" s="5" t="s">
        <v>64</v>
      </c>
      <c r="O181" s="5" t="s">
        <v>18084</v>
      </c>
      <c r="P181" s="6">
        <v>5477.0</v>
      </c>
    </row>
    <row r="182" ht="56.25" customHeight="1">
      <c r="A182" s="5" t="s">
        <v>18067</v>
      </c>
      <c r="B182" s="16" t="str">
        <f>IMAGE("https://storage.googleapis.com/acdb/shoes/ShoesLowcutLeopard4.png")</f>
        <v/>
      </c>
      <c r="C182" s="5" t="s">
        <v>106</v>
      </c>
      <c r="D182" s="5" t="s">
        <v>36</v>
      </c>
      <c r="E182" s="6">
        <v>1560.0</v>
      </c>
      <c r="F182" s="6">
        <v>390.0</v>
      </c>
      <c r="G182" s="5" t="s">
        <v>106</v>
      </c>
      <c r="H182" s="5" t="s">
        <v>106</v>
      </c>
      <c r="I182" s="6" t="s">
        <v>40</v>
      </c>
      <c r="J182" s="5" t="s">
        <v>8585</v>
      </c>
      <c r="K182" s="5" t="s">
        <v>8586</v>
      </c>
      <c r="L182" s="6" t="s">
        <v>42</v>
      </c>
      <c r="M182" s="5" t="s">
        <v>1059</v>
      </c>
      <c r="N182" s="5" t="s">
        <v>64</v>
      </c>
      <c r="O182" s="5" t="s">
        <v>18086</v>
      </c>
      <c r="P182" s="6">
        <v>5477.0</v>
      </c>
    </row>
    <row r="183" ht="56.25" customHeight="1">
      <c r="A183" s="5" t="s">
        <v>18067</v>
      </c>
      <c r="B183" s="16" t="str">
        <f>IMAGE("https://storage.googleapis.com/acdb/shoes/ShoesLowcutLeopard5.png")</f>
        <v/>
      </c>
      <c r="C183" s="5" t="s">
        <v>69</v>
      </c>
      <c r="D183" s="5" t="s">
        <v>36</v>
      </c>
      <c r="E183" s="6">
        <v>1560.0</v>
      </c>
      <c r="F183" s="6">
        <v>390.0</v>
      </c>
      <c r="G183" s="5" t="s">
        <v>69</v>
      </c>
      <c r="H183" s="5" t="s">
        <v>69</v>
      </c>
      <c r="I183" s="6" t="s">
        <v>40</v>
      </c>
      <c r="J183" s="5" t="s">
        <v>8585</v>
      </c>
      <c r="K183" s="5" t="s">
        <v>8586</v>
      </c>
      <c r="L183" s="6" t="s">
        <v>42</v>
      </c>
      <c r="M183" s="5" t="s">
        <v>1059</v>
      </c>
      <c r="N183" s="5" t="s">
        <v>64</v>
      </c>
      <c r="O183" s="5" t="s">
        <v>18091</v>
      </c>
      <c r="P183" s="6">
        <v>5477.0</v>
      </c>
    </row>
    <row r="184" ht="56.25" customHeight="1">
      <c r="A184" s="5" t="s">
        <v>18093</v>
      </c>
      <c r="B184" s="16" t="str">
        <f>IMAGE("https://storage.googleapis.com/acdb/shoes/ShoesLowcutLoafers0.png")</f>
        <v/>
      </c>
      <c r="C184" s="5" t="s">
        <v>39</v>
      </c>
      <c r="D184" s="5" t="s">
        <v>36</v>
      </c>
      <c r="E184" s="6">
        <v>1300.0</v>
      </c>
      <c r="F184" s="6">
        <v>325.0</v>
      </c>
      <c r="G184" s="5" t="s">
        <v>39</v>
      </c>
      <c r="H184" s="5" t="s">
        <v>39</v>
      </c>
      <c r="I184" s="6" t="s">
        <v>40</v>
      </c>
      <c r="J184" s="5" t="s">
        <v>8585</v>
      </c>
      <c r="K184" s="5" t="s">
        <v>8586</v>
      </c>
      <c r="L184" s="6" t="s">
        <v>42</v>
      </c>
      <c r="M184" s="5" t="s">
        <v>995</v>
      </c>
      <c r="N184" s="5" t="s">
        <v>64</v>
      </c>
      <c r="O184" s="5" t="s">
        <v>18096</v>
      </c>
      <c r="P184" s="6">
        <v>4724.0</v>
      </c>
    </row>
    <row r="185" ht="56.25" customHeight="1">
      <c r="A185" s="5" t="s">
        <v>18093</v>
      </c>
      <c r="B185" s="16" t="str">
        <f>IMAGE("https://storage.googleapis.com/acdb/shoes/ShoesLowcutLoafers1.png")</f>
        <v/>
      </c>
      <c r="C185" s="5" t="s">
        <v>54</v>
      </c>
      <c r="D185" s="5" t="s">
        <v>36</v>
      </c>
      <c r="E185" s="6">
        <v>1300.0</v>
      </c>
      <c r="F185" s="6">
        <v>325.0</v>
      </c>
      <c r="G185" s="5" t="s">
        <v>54</v>
      </c>
      <c r="H185" s="5" t="s">
        <v>54</v>
      </c>
      <c r="I185" s="6" t="s">
        <v>40</v>
      </c>
      <c r="J185" s="5" t="s">
        <v>8585</v>
      </c>
      <c r="K185" s="5" t="s">
        <v>8586</v>
      </c>
      <c r="L185" s="6" t="s">
        <v>42</v>
      </c>
      <c r="M185" s="5" t="s">
        <v>995</v>
      </c>
      <c r="N185" s="5" t="s">
        <v>64</v>
      </c>
      <c r="O185" s="5" t="s">
        <v>18100</v>
      </c>
      <c r="P185" s="6">
        <v>4724.0</v>
      </c>
    </row>
    <row r="186" ht="56.25" customHeight="1">
      <c r="A186" s="5" t="s">
        <v>18093</v>
      </c>
      <c r="B186" s="16" t="str">
        <f>IMAGE("https://storage.googleapis.com/acdb/shoes/ShoesLowcutLoafers2.png")</f>
        <v/>
      </c>
      <c r="C186" s="5" t="s">
        <v>57</v>
      </c>
      <c r="D186" s="5" t="s">
        <v>36</v>
      </c>
      <c r="E186" s="6">
        <v>1300.0</v>
      </c>
      <c r="F186" s="6">
        <v>325.0</v>
      </c>
      <c r="G186" s="5" t="s">
        <v>57</v>
      </c>
      <c r="H186" s="5" t="s">
        <v>39</v>
      </c>
      <c r="I186" s="6" t="s">
        <v>40</v>
      </c>
      <c r="J186" s="5" t="s">
        <v>8585</v>
      </c>
      <c r="K186" s="5" t="s">
        <v>8586</v>
      </c>
      <c r="L186" s="6" t="s">
        <v>42</v>
      </c>
      <c r="M186" s="5" t="s">
        <v>995</v>
      </c>
      <c r="N186" s="5" t="s">
        <v>64</v>
      </c>
      <c r="O186" s="5" t="s">
        <v>18105</v>
      </c>
      <c r="P186" s="6">
        <v>4724.0</v>
      </c>
    </row>
    <row r="187" ht="56.25" customHeight="1">
      <c r="A187" s="5" t="s">
        <v>18093</v>
      </c>
      <c r="B187" s="16" t="str">
        <f>IMAGE("https://storage.googleapis.com/acdb/shoes/ShoesLowcutLoafers3.png")</f>
        <v/>
      </c>
      <c r="C187" s="5" t="s">
        <v>69</v>
      </c>
      <c r="D187" s="5" t="s">
        <v>36</v>
      </c>
      <c r="E187" s="6">
        <v>1300.0</v>
      </c>
      <c r="F187" s="6">
        <v>325.0</v>
      </c>
      <c r="G187" s="5" t="s">
        <v>69</v>
      </c>
      <c r="H187" s="5" t="s">
        <v>54</v>
      </c>
      <c r="I187" s="6" t="s">
        <v>40</v>
      </c>
      <c r="J187" s="5" t="s">
        <v>8585</v>
      </c>
      <c r="K187" s="5" t="s">
        <v>8586</v>
      </c>
      <c r="L187" s="6" t="s">
        <v>42</v>
      </c>
      <c r="M187" s="5" t="s">
        <v>995</v>
      </c>
      <c r="N187" s="5" t="s">
        <v>64</v>
      </c>
      <c r="O187" s="5" t="s">
        <v>18108</v>
      </c>
      <c r="P187" s="6">
        <v>4724.0</v>
      </c>
    </row>
    <row r="188" ht="56.25" customHeight="1">
      <c r="A188" s="5" t="s">
        <v>18093</v>
      </c>
      <c r="B188" s="16" t="str">
        <f>IMAGE("https://storage.googleapis.com/acdb/shoes/ShoesLowcutLoafers4.png")</f>
        <v/>
      </c>
      <c r="C188" s="5" t="s">
        <v>68</v>
      </c>
      <c r="D188" s="5" t="s">
        <v>36</v>
      </c>
      <c r="E188" s="6">
        <v>1300.0</v>
      </c>
      <c r="F188" s="6">
        <v>325.0</v>
      </c>
      <c r="G188" s="5" t="s">
        <v>68</v>
      </c>
      <c r="H188" s="5" t="s">
        <v>54</v>
      </c>
      <c r="I188" s="6" t="s">
        <v>40</v>
      </c>
      <c r="J188" s="5" t="s">
        <v>8585</v>
      </c>
      <c r="K188" s="5" t="s">
        <v>8586</v>
      </c>
      <c r="L188" s="6" t="s">
        <v>42</v>
      </c>
      <c r="M188" s="5" t="s">
        <v>995</v>
      </c>
      <c r="N188" s="5" t="s">
        <v>64</v>
      </c>
      <c r="O188" s="5" t="s">
        <v>18112</v>
      </c>
      <c r="P188" s="6">
        <v>4724.0</v>
      </c>
    </row>
    <row r="189" ht="56.25" customHeight="1">
      <c r="A189" s="5" t="s">
        <v>18093</v>
      </c>
      <c r="B189" s="16" t="str">
        <f>IMAGE("https://storage.googleapis.com/acdb/shoes/ShoesLowcutLoafers5.png")</f>
        <v/>
      </c>
      <c r="C189" s="5" t="s">
        <v>114</v>
      </c>
      <c r="D189" s="5" t="s">
        <v>36</v>
      </c>
      <c r="E189" s="6">
        <v>1300.0</v>
      </c>
      <c r="F189" s="6">
        <v>325.0</v>
      </c>
      <c r="G189" s="5" t="s">
        <v>114</v>
      </c>
      <c r="H189" s="5" t="s">
        <v>54</v>
      </c>
      <c r="I189" s="6" t="s">
        <v>40</v>
      </c>
      <c r="J189" s="5" t="s">
        <v>8585</v>
      </c>
      <c r="K189" s="5" t="s">
        <v>8586</v>
      </c>
      <c r="L189" s="6" t="s">
        <v>42</v>
      </c>
      <c r="M189" s="5" t="s">
        <v>995</v>
      </c>
      <c r="N189" s="5" t="s">
        <v>64</v>
      </c>
      <c r="O189" s="5" t="s">
        <v>18119</v>
      </c>
      <c r="P189" s="6">
        <v>4724.0</v>
      </c>
    </row>
    <row r="190" ht="56.25" customHeight="1">
      <c r="A190" s="5" t="s">
        <v>18093</v>
      </c>
      <c r="B190" s="16" t="str">
        <f>IMAGE("https://storage.googleapis.com/acdb/shoes/ShoesLowcutLoafers6.png")</f>
        <v/>
      </c>
      <c r="C190" s="5" t="s">
        <v>52</v>
      </c>
      <c r="D190" s="5" t="s">
        <v>36</v>
      </c>
      <c r="E190" s="6">
        <v>1300.0</v>
      </c>
      <c r="F190" s="6">
        <v>325.0</v>
      </c>
      <c r="G190" s="5" t="s">
        <v>52</v>
      </c>
      <c r="H190" s="5" t="s">
        <v>54</v>
      </c>
      <c r="I190" s="6" t="s">
        <v>40</v>
      </c>
      <c r="J190" s="5" t="s">
        <v>8585</v>
      </c>
      <c r="K190" s="5" t="s">
        <v>8586</v>
      </c>
      <c r="L190" s="6" t="s">
        <v>42</v>
      </c>
      <c r="M190" s="5" t="s">
        <v>995</v>
      </c>
      <c r="N190" s="5" t="s">
        <v>64</v>
      </c>
      <c r="O190" s="5" t="s">
        <v>18125</v>
      </c>
      <c r="P190" s="6">
        <v>4724.0</v>
      </c>
    </row>
    <row r="191" ht="56.25" customHeight="1">
      <c r="A191" s="5" t="s">
        <v>18126</v>
      </c>
      <c r="B191" s="16" t="str">
        <f>IMAGE("https://storage.googleapis.com/acdb/shoes/ShoesKneeWitch0.png")</f>
        <v/>
      </c>
      <c r="C191" s="5" t="s">
        <v>54</v>
      </c>
      <c r="D191" s="5" t="s">
        <v>36</v>
      </c>
      <c r="E191" s="6">
        <v>1550.0</v>
      </c>
      <c r="F191" s="6">
        <v>387.0</v>
      </c>
      <c r="G191" s="5" t="s">
        <v>54</v>
      </c>
      <c r="H191" s="5" t="s">
        <v>106</v>
      </c>
      <c r="I191" s="6" t="s">
        <v>40</v>
      </c>
      <c r="J191" s="5" t="s">
        <v>17203</v>
      </c>
      <c r="K191" s="5"/>
      <c r="L191" s="6" t="s">
        <v>42</v>
      </c>
      <c r="M191" s="5" t="s">
        <v>1952</v>
      </c>
      <c r="N191" s="5" t="s">
        <v>64</v>
      </c>
      <c r="O191" s="5" t="s">
        <v>18129</v>
      </c>
      <c r="P191" s="6">
        <v>6894.0</v>
      </c>
    </row>
    <row r="192" ht="56.25" customHeight="1">
      <c r="A192" s="5" t="s">
        <v>18126</v>
      </c>
      <c r="B192" s="16" t="str">
        <f>IMAGE("https://storage.googleapis.com/acdb/shoes/ShoesKneeWitch1.png")</f>
        <v/>
      </c>
      <c r="C192" s="5" t="s">
        <v>68</v>
      </c>
      <c r="D192" s="5" t="s">
        <v>36</v>
      </c>
      <c r="E192" s="6">
        <v>1550.0</v>
      </c>
      <c r="F192" s="6">
        <v>387.0</v>
      </c>
      <c r="G192" s="5" t="s">
        <v>68</v>
      </c>
      <c r="H192" s="5" t="s">
        <v>83</v>
      </c>
      <c r="I192" s="6" t="s">
        <v>40</v>
      </c>
      <c r="J192" s="5" t="s">
        <v>17203</v>
      </c>
      <c r="K192" s="5"/>
      <c r="L192" s="6" t="s">
        <v>42</v>
      </c>
      <c r="M192" s="5" t="s">
        <v>1952</v>
      </c>
      <c r="N192" s="5" t="s">
        <v>64</v>
      </c>
      <c r="O192" s="5" t="s">
        <v>18132</v>
      </c>
      <c r="P192" s="6">
        <v>6894.0</v>
      </c>
    </row>
    <row r="193" ht="56.25" customHeight="1">
      <c r="A193" s="5" t="s">
        <v>18126</v>
      </c>
      <c r="B193" s="16" t="str">
        <f>IMAGE("https://storage.googleapis.com/acdb/shoes/ShoesKneeWitch2.png")</f>
        <v/>
      </c>
      <c r="C193" s="5" t="s">
        <v>57</v>
      </c>
      <c r="D193" s="5" t="s">
        <v>36</v>
      </c>
      <c r="E193" s="6">
        <v>1550.0</v>
      </c>
      <c r="F193" s="6">
        <v>387.0</v>
      </c>
      <c r="G193" s="5" t="s">
        <v>57</v>
      </c>
      <c r="H193" s="5" t="s">
        <v>57</v>
      </c>
      <c r="I193" s="6" t="s">
        <v>40</v>
      </c>
      <c r="J193" s="5" t="s">
        <v>17203</v>
      </c>
      <c r="K193" s="5"/>
      <c r="L193" s="6" t="s">
        <v>42</v>
      </c>
      <c r="M193" s="5" t="s">
        <v>1952</v>
      </c>
      <c r="N193" s="5" t="s">
        <v>64</v>
      </c>
      <c r="O193" s="5" t="s">
        <v>18136</v>
      </c>
      <c r="P193" s="6">
        <v>6894.0</v>
      </c>
    </row>
    <row r="194" ht="56.25" customHeight="1">
      <c r="A194" s="5" t="s">
        <v>18126</v>
      </c>
      <c r="B194" s="16" t="str">
        <f>IMAGE("https://storage.googleapis.com/acdb/shoes/ShoesKneeWitch3.png")</f>
        <v/>
      </c>
      <c r="C194" s="5" t="s">
        <v>52</v>
      </c>
      <c r="D194" s="5" t="s">
        <v>36</v>
      </c>
      <c r="E194" s="6">
        <v>1550.0</v>
      </c>
      <c r="F194" s="6">
        <v>387.0</v>
      </c>
      <c r="G194" s="5" t="s">
        <v>52</v>
      </c>
      <c r="H194" s="5" t="s">
        <v>52</v>
      </c>
      <c r="I194" s="6" t="s">
        <v>40</v>
      </c>
      <c r="J194" s="5" t="s">
        <v>17203</v>
      </c>
      <c r="K194" s="5"/>
      <c r="L194" s="6" t="s">
        <v>42</v>
      </c>
      <c r="M194" s="5" t="s">
        <v>1952</v>
      </c>
      <c r="N194" s="5" t="s">
        <v>64</v>
      </c>
      <c r="O194" s="5" t="s">
        <v>18139</v>
      </c>
      <c r="P194" s="6">
        <v>6894.0</v>
      </c>
    </row>
    <row r="195" ht="56.25" customHeight="1">
      <c r="A195" s="5" t="s">
        <v>18141</v>
      </c>
      <c r="B195" s="16" t="str">
        <f>IMAGE("https://storage.googleapis.com/acdb/shoes/ShoesLowcutStrap0.png")</f>
        <v/>
      </c>
      <c r="C195" s="5" t="s">
        <v>54</v>
      </c>
      <c r="D195" s="5" t="s">
        <v>36</v>
      </c>
      <c r="E195" s="6">
        <v>1800.0</v>
      </c>
      <c r="F195" s="6">
        <v>450.0</v>
      </c>
      <c r="G195" s="5" t="s">
        <v>54</v>
      </c>
      <c r="H195" s="5" t="s">
        <v>54</v>
      </c>
      <c r="I195" s="6" t="s">
        <v>40</v>
      </c>
      <c r="J195" s="5" t="s">
        <v>8585</v>
      </c>
      <c r="K195" s="5" t="s">
        <v>8586</v>
      </c>
      <c r="L195" s="6" t="s">
        <v>42</v>
      </c>
      <c r="M195" s="5" t="s">
        <v>1959</v>
      </c>
      <c r="N195" s="5" t="s">
        <v>64</v>
      </c>
      <c r="O195" s="5" t="s">
        <v>18143</v>
      </c>
      <c r="P195" s="6">
        <v>5471.0</v>
      </c>
    </row>
    <row r="196" ht="56.25" customHeight="1">
      <c r="A196" s="5" t="s">
        <v>18141</v>
      </c>
      <c r="B196" s="16" t="str">
        <f>IMAGE("https://storage.googleapis.com/acdb/shoes/ShoesLowcutStrap1.png")</f>
        <v/>
      </c>
      <c r="C196" s="5" t="s">
        <v>52</v>
      </c>
      <c r="D196" s="5" t="s">
        <v>36</v>
      </c>
      <c r="E196" s="6">
        <v>1800.0</v>
      </c>
      <c r="F196" s="6">
        <v>450.0</v>
      </c>
      <c r="G196" s="5" t="s">
        <v>52</v>
      </c>
      <c r="H196" s="5" t="s">
        <v>52</v>
      </c>
      <c r="I196" s="6" t="s">
        <v>40</v>
      </c>
      <c r="J196" s="5" t="s">
        <v>8585</v>
      </c>
      <c r="K196" s="5" t="s">
        <v>8586</v>
      </c>
      <c r="L196" s="6" t="s">
        <v>42</v>
      </c>
      <c r="M196" s="5" t="s">
        <v>1959</v>
      </c>
      <c r="N196" s="5" t="s">
        <v>64</v>
      </c>
      <c r="O196" s="5" t="s">
        <v>18147</v>
      </c>
      <c r="P196" s="6">
        <v>5471.0</v>
      </c>
    </row>
    <row r="197" ht="56.25" customHeight="1">
      <c r="A197" s="5" t="s">
        <v>18141</v>
      </c>
      <c r="B197" s="16" t="str">
        <f>IMAGE("https://storage.googleapis.com/acdb/shoes/ShoesLowcutStrap2.png")</f>
        <v/>
      </c>
      <c r="C197" s="5" t="s">
        <v>57</v>
      </c>
      <c r="D197" s="5" t="s">
        <v>36</v>
      </c>
      <c r="E197" s="6">
        <v>1800.0</v>
      </c>
      <c r="F197" s="6">
        <v>450.0</v>
      </c>
      <c r="G197" s="5" t="s">
        <v>57</v>
      </c>
      <c r="H197" s="5" t="s">
        <v>57</v>
      </c>
      <c r="I197" s="6" t="s">
        <v>40</v>
      </c>
      <c r="J197" s="5" t="s">
        <v>8585</v>
      </c>
      <c r="K197" s="5" t="s">
        <v>8586</v>
      </c>
      <c r="L197" s="6" t="s">
        <v>42</v>
      </c>
      <c r="M197" s="5" t="s">
        <v>1959</v>
      </c>
      <c r="N197" s="5" t="s">
        <v>64</v>
      </c>
      <c r="O197" s="5" t="s">
        <v>18151</v>
      </c>
      <c r="P197" s="6">
        <v>5471.0</v>
      </c>
    </row>
    <row r="198" ht="56.25" customHeight="1">
      <c r="A198" s="5" t="s">
        <v>18141</v>
      </c>
      <c r="B198" s="16" t="str">
        <f>IMAGE("https://storage.googleapis.com/acdb/shoes/ShoesLowcutStrap3.png")</f>
        <v/>
      </c>
      <c r="C198" s="5" t="s">
        <v>83</v>
      </c>
      <c r="D198" s="5" t="s">
        <v>36</v>
      </c>
      <c r="E198" s="6">
        <v>1800.0</v>
      </c>
      <c r="F198" s="6">
        <v>450.0</v>
      </c>
      <c r="G198" s="5" t="s">
        <v>83</v>
      </c>
      <c r="H198" s="5" t="s">
        <v>83</v>
      </c>
      <c r="I198" s="6" t="s">
        <v>40</v>
      </c>
      <c r="J198" s="5" t="s">
        <v>8585</v>
      </c>
      <c r="K198" s="5" t="s">
        <v>8586</v>
      </c>
      <c r="L198" s="6" t="s">
        <v>42</v>
      </c>
      <c r="M198" s="5" t="s">
        <v>1959</v>
      </c>
      <c r="N198" s="5" t="s">
        <v>64</v>
      </c>
      <c r="O198" s="5" t="s">
        <v>18154</v>
      </c>
      <c r="P198" s="6">
        <v>5471.0</v>
      </c>
    </row>
    <row r="199" ht="56.25" customHeight="1">
      <c r="A199" s="5" t="s">
        <v>18141</v>
      </c>
      <c r="B199" s="16" t="str">
        <f>IMAGE("https://storage.googleapis.com/acdb/shoes/ShoesLowcutStrap4.png")</f>
        <v/>
      </c>
      <c r="C199" s="5" t="s">
        <v>114</v>
      </c>
      <c r="D199" s="5" t="s">
        <v>36</v>
      </c>
      <c r="E199" s="6">
        <v>1800.0</v>
      </c>
      <c r="F199" s="6">
        <v>450.0</v>
      </c>
      <c r="G199" s="5" t="s">
        <v>114</v>
      </c>
      <c r="H199" s="5" t="s">
        <v>114</v>
      </c>
      <c r="I199" s="6" t="s">
        <v>40</v>
      </c>
      <c r="J199" s="5" t="s">
        <v>8585</v>
      </c>
      <c r="K199" s="5" t="s">
        <v>8586</v>
      </c>
      <c r="L199" s="6" t="s">
        <v>42</v>
      </c>
      <c r="M199" s="5" t="s">
        <v>1959</v>
      </c>
      <c r="N199" s="5" t="s">
        <v>64</v>
      </c>
      <c r="O199" s="5" t="s">
        <v>18156</v>
      </c>
      <c r="P199" s="6">
        <v>5471.0</v>
      </c>
    </row>
    <row r="200" ht="56.25" customHeight="1">
      <c r="A200" s="5" t="s">
        <v>18141</v>
      </c>
      <c r="B200" s="16" t="str">
        <f>IMAGE("https://storage.googleapis.com/acdb/shoes/ShoesLowcutStrap5.png")</f>
        <v/>
      </c>
      <c r="C200" s="5" t="s">
        <v>68</v>
      </c>
      <c r="D200" s="5" t="s">
        <v>36</v>
      </c>
      <c r="E200" s="6">
        <v>1800.0</v>
      </c>
      <c r="F200" s="6">
        <v>450.0</v>
      </c>
      <c r="G200" s="5" t="s">
        <v>68</v>
      </c>
      <c r="H200" s="5" t="s">
        <v>68</v>
      </c>
      <c r="I200" s="6" t="s">
        <v>40</v>
      </c>
      <c r="J200" s="5" t="s">
        <v>8585</v>
      </c>
      <c r="K200" s="5" t="s">
        <v>8586</v>
      </c>
      <c r="L200" s="6" t="s">
        <v>42</v>
      </c>
      <c r="M200" s="5" t="s">
        <v>1959</v>
      </c>
      <c r="N200" s="5" t="s">
        <v>64</v>
      </c>
      <c r="O200" s="5" t="s">
        <v>18159</v>
      </c>
      <c r="P200" s="6">
        <v>5471.0</v>
      </c>
    </row>
    <row r="201" ht="56.25" customHeight="1">
      <c r="A201" s="5" t="s">
        <v>18141</v>
      </c>
      <c r="B201" s="16" t="str">
        <f>IMAGE("https://storage.googleapis.com/acdb/shoes/ShoesLowcutStrap6.png")</f>
        <v/>
      </c>
      <c r="C201" s="5" t="s">
        <v>96</v>
      </c>
      <c r="D201" s="5" t="s">
        <v>36</v>
      </c>
      <c r="E201" s="6">
        <v>1800.0</v>
      </c>
      <c r="F201" s="6">
        <v>450.0</v>
      </c>
      <c r="G201" s="5" t="s">
        <v>96</v>
      </c>
      <c r="H201" s="5" t="s">
        <v>96</v>
      </c>
      <c r="I201" s="6" t="s">
        <v>40</v>
      </c>
      <c r="J201" s="5" t="s">
        <v>8585</v>
      </c>
      <c r="K201" s="5" t="s">
        <v>8586</v>
      </c>
      <c r="L201" s="6" t="s">
        <v>42</v>
      </c>
      <c r="M201" s="5" t="s">
        <v>1959</v>
      </c>
      <c r="N201" s="5" t="s">
        <v>64</v>
      </c>
      <c r="O201" s="5" t="s">
        <v>18163</v>
      </c>
      <c r="P201" s="6">
        <v>5471.0</v>
      </c>
    </row>
    <row r="202" ht="56.25" customHeight="1">
      <c r="A202" s="5" t="s">
        <v>18141</v>
      </c>
      <c r="B202" s="16" t="str">
        <f>IMAGE("https://storage.googleapis.com/acdb/shoes/ShoesLowcutStrap7.png")</f>
        <v/>
      </c>
      <c r="C202" s="5" t="s">
        <v>69</v>
      </c>
      <c r="D202" s="5" t="s">
        <v>36</v>
      </c>
      <c r="E202" s="6">
        <v>1800.0</v>
      </c>
      <c r="F202" s="6">
        <v>450.0</v>
      </c>
      <c r="G202" s="5" t="s">
        <v>69</v>
      </c>
      <c r="H202" s="5" t="s">
        <v>69</v>
      </c>
      <c r="I202" s="6" t="s">
        <v>40</v>
      </c>
      <c r="J202" s="5" t="s">
        <v>8585</v>
      </c>
      <c r="K202" s="5" t="s">
        <v>8586</v>
      </c>
      <c r="L202" s="6" t="s">
        <v>42</v>
      </c>
      <c r="M202" s="5" t="s">
        <v>1959</v>
      </c>
      <c r="N202" s="5" t="s">
        <v>64</v>
      </c>
      <c r="O202" s="5" t="s">
        <v>18166</v>
      </c>
      <c r="P202" s="6">
        <v>5471.0</v>
      </c>
    </row>
    <row r="203" ht="56.25" customHeight="1">
      <c r="A203" s="5" t="s">
        <v>18167</v>
      </c>
      <c r="B203" s="16" t="str">
        <f>IMAGE("https://storage.googleapis.com/acdb/shoes/ShoesHighcutMoccasin0.png")</f>
        <v/>
      </c>
      <c r="C203" s="5" t="s">
        <v>2408</v>
      </c>
      <c r="D203" s="5" t="s">
        <v>36</v>
      </c>
      <c r="E203" s="6">
        <v>1120.0</v>
      </c>
      <c r="F203" s="6">
        <v>280.0</v>
      </c>
      <c r="G203" s="5" t="s">
        <v>114</v>
      </c>
      <c r="H203" s="5" t="s">
        <v>38</v>
      </c>
      <c r="I203" s="6" t="s">
        <v>40</v>
      </c>
      <c r="J203" s="5" t="s">
        <v>8585</v>
      </c>
      <c r="K203" s="5" t="s">
        <v>8586</v>
      </c>
      <c r="L203" s="6" t="s">
        <v>42</v>
      </c>
      <c r="M203" s="5" t="s">
        <v>995</v>
      </c>
      <c r="N203" s="5" t="s">
        <v>64</v>
      </c>
      <c r="O203" s="5" t="s">
        <v>18170</v>
      </c>
      <c r="P203" s="6">
        <v>5542.0</v>
      </c>
    </row>
    <row r="204" ht="56.25" customHeight="1">
      <c r="A204" s="5" t="s">
        <v>18167</v>
      </c>
      <c r="B204" s="16" t="str">
        <f>IMAGE("https://storage.googleapis.com/acdb/shoes/ShoesHighcutMoccasin1.png")</f>
        <v/>
      </c>
      <c r="C204" s="5" t="s">
        <v>10757</v>
      </c>
      <c r="D204" s="5" t="s">
        <v>36</v>
      </c>
      <c r="E204" s="6">
        <v>1120.0</v>
      </c>
      <c r="F204" s="6">
        <v>280.0</v>
      </c>
      <c r="G204" s="5" t="s">
        <v>96</v>
      </c>
      <c r="H204" s="5" t="s">
        <v>38</v>
      </c>
      <c r="I204" s="6" t="s">
        <v>40</v>
      </c>
      <c r="J204" s="5" t="s">
        <v>8585</v>
      </c>
      <c r="K204" s="5" t="s">
        <v>8586</v>
      </c>
      <c r="L204" s="6" t="s">
        <v>42</v>
      </c>
      <c r="M204" s="5" t="s">
        <v>995</v>
      </c>
      <c r="N204" s="5" t="s">
        <v>64</v>
      </c>
      <c r="O204" s="5" t="s">
        <v>18173</v>
      </c>
      <c r="P204" s="6">
        <v>5542.0</v>
      </c>
    </row>
    <row r="205" ht="56.25" customHeight="1">
      <c r="A205" s="5" t="s">
        <v>18167</v>
      </c>
      <c r="B205" s="16" t="str">
        <f>IMAGE("https://storage.googleapis.com/acdb/shoes/ShoesHighcutMoccasin2.png")</f>
        <v/>
      </c>
      <c r="C205" s="5" t="s">
        <v>38</v>
      </c>
      <c r="D205" s="5" t="s">
        <v>36</v>
      </c>
      <c r="E205" s="6">
        <v>1120.0</v>
      </c>
      <c r="F205" s="6">
        <v>280.0</v>
      </c>
      <c r="G205" s="5" t="s">
        <v>38</v>
      </c>
      <c r="H205" s="5" t="s">
        <v>38</v>
      </c>
      <c r="I205" s="6" t="s">
        <v>40</v>
      </c>
      <c r="J205" s="5" t="s">
        <v>8585</v>
      </c>
      <c r="K205" s="5" t="s">
        <v>8586</v>
      </c>
      <c r="L205" s="6" t="s">
        <v>42</v>
      </c>
      <c r="M205" s="5" t="s">
        <v>995</v>
      </c>
      <c r="N205" s="5" t="s">
        <v>64</v>
      </c>
      <c r="O205" s="5" t="s">
        <v>18175</v>
      </c>
      <c r="P205" s="6">
        <v>5542.0</v>
      </c>
    </row>
    <row r="206" ht="56.25" customHeight="1">
      <c r="A206" s="5" t="s">
        <v>18167</v>
      </c>
      <c r="B206" s="16" t="str">
        <f>IMAGE("https://storage.googleapis.com/acdb/shoes/ShoesHighcutMoccasin3.png")</f>
        <v/>
      </c>
      <c r="C206" s="5" t="s">
        <v>69</v>
      </c>
      <c r="D206" s="5" t="s">
        <v>36</v>
      </c>
      <c r="E206" s="6">
        <v>1120.0</v>
      </c>
      <c r="F206" s="6">
        <v>280.0</v>
      </c>
      <c r="G206" s="5" t="s">
        <v>69</v>
      </c>
      <c r="H206" s="5" t="s">
        <v>38</v>
      </c>
      <c r="I206" s="6" t="s">
        <v>40</v>
      </c>
      <c r="J206" s="5" t="s">
        <v>8585</v>
      </c>
      <c r="K206" s="5" t="s">
        <v>8586</v>
      </c>
      <c r="L206" s="6" t="s">
        <v>42</v>
      </c>
      <c r="M206" s="5" t="s">
        <v>995</v>
      </c>
      <c r="N206" s="5" t="s">
        <v>64</v>
      </c>
      <c r="O206" s="5" t="s">
        <v>18177</v>
      </c>
      <c r="P206" s="6">
        <v>5542.0</v>
      </c>
    </row>
    <row r="207" ht="56.25" customHeight="1">
      <c r="A207" s="5" t="s">
        <v>18167</v>
      </c>
      <c r="B207" s="16" t="str">
        <f>IMAGE("https://storage.googleapis.com/acdb/shoes/ShoesHighcutMoccasin4.png")</f>
        <v/>
      </c>
      <c r="C207" s="5" t="s">
        <v>54</v>
      </c>
      <c r="D207" s="5" t="s">
        <v>36</v>
      </c>
      <c r="E207" s="6">
        <v>1120.0</v>
      </c>
      <c r="F207" s="6">
        <v>280.0</v>
      </c>
      <c r="G207" s="5" t="s">
        <v>54</v>
      </c>
      <c r="H207" s="5" t="s">
        <v>38</v>
      </c>
      <c r="I207" s="6" t="s">
        <v>40</v>
      </c>
      <c r="J207" s="5" t="s">
        <v>8585</v>
      </c>
      <c r="K207" s="5" t="s">
        <v>8586</v>
      </c>
      <c r="L207" s="6" t="s">
        <v>42</v>
      </c>
      <c r="M207" s="5" t="s">
        <v>995</v>
      </c>
      <c r="N207" s="5" t="s">
        <v>64</v>
      </c>
      <c r="O207" s="5" t="s">
        <v>18181</v>
      </c>
      <c r="P207" s="6">
        <v>5542.0</v>
      </c>
    </row>
    <row r="208" ht="56.25" customHeight="1">
      <c r="A208" s="5" t="s">
        <v>18167</v>
      </c>
      <c r="B208" s="16" t="str">
        <f>IMAGE("https://storage.googleapis.com/acdb/shoes/ShoesHighcutMoccasin5.png")</f>
        <v/>
      </c>
      <c r="C208" s="5" t="s">
        <v>68</v>
      </c>
      <c r="D208" s="5" t="s">
        <v>36</v>
      </c>
      <c r="E208" s="6">
        <v>1120.0</v>
      </c>
      <c r="F208" s="6">
        <v>280.0</v>
      </c>
      <c r="G208" s="5" t="s">
        <v>83</v>
      </c>
      <c r="H208" s="5" t="s">
        <v>38</v>
      </c>
      <c r="I208" s="6" t="s">
        <v>40</v>
      </c>
      <c r="J208" s="5" t="s">
        <v>8585</v>
      </c>
      <c r="K208" s="5" t="s">
        <v>8586</v>
      </c>
      <c r="L208" s="6" t="s">
        <v>42</v>
      </c>
      <c r="M208" s="5" t="s">
        <v>995</v>
      </c>
      <c r="N208" s="5" t="s">
        <v>64</v>
      </c>
      <c r="O208" s="5" t="s">
        <v>18185</v>
      </c>
      <c r="P208" s="6">
        <v>5542.0</v>
      </c>
    </row>
    <row r="209" ht="56.25" customHeight="1">
      <c r="A209" s="5" t="s">
        <v>18167</v>
      </c>
      <c r="B209" s="16" t="str">
        <f>IMAGE("https://storage.googleapis.com/acdb/shoes/ShoesHighcutMoccasin6.png")</f>
        <v/>
      </c>
      <c r="C209" s="5" t="s">
        <v>142</v>
      </c>
      <c r="D209" s="5" t="s">
        <v>36</v>
      </c>
      <c r="E209" s="6">
        <v>1120.0</v>
      </c>
      <c r="F209" s="6">
        <v>280.0</v>
      </c>
      <c r="G209" s="5" t="s">
        <v>39</v>
      </c>
      <c r="H209" s="5" t="s">
        <v>38</v>
      </c>
      <c r="I209" s="6" t="s">
        <v>40</v>
      </c>
      <c r="J209" s="5" t="s">
        <v>8585</v>
      </c>
      <c r="K209" s="5" t="s">
        <v>8586</v>
      </c>
      <c r="L209" s="6" t="s">
        <v>42</v>
      </c>
      <c r="M209" s="5" t="s">
        <v>995</v>
      </c>
      <c r="N209" s="5" t="s">
        <v>64</v>
      </c>
      <c r="O209" s="5" t="s">
        <v>18188</v>
      </c>
      <c r="P209" s="6">
        <v>5542.0</v>
      </c>
    </row>
    <row r="210" ht="56.25" customHeight="1">
      <c r="A210" s="5" t="s">
        <v>18189</v>
      </c>
      <c r="B210" s="16" t="str">
        <f>IMAGE("https://storage.googleapis.com/acdb/shoes/ShoesLowcutMoccasin0.png")</f>
        <v/>
      </c>
      <c r="C210" s="5" t="s">
        <v>2408</v>
      </c>
      <c r="D210" s="5" t="s">
        <v>36</v>
      </c>
      <c r="E210" s="6">
        <v>1080.0</v>
      </c>
      <c r="F210" s="6">
        <v>270.0</v>
      </c>
      <c r="G210" s="5" t="s">
        <v>114</v>
      </c>
      <c r="H210" s="5" t="s">
        <v>39</v>
      </c>
      <c r="I210" s="6" t="s">
        <v>40</v>
      </c>
      <c r="J210" s="5" t="s">
        <v>8585</v>
      </c>
      <c r="K210" s="5" t="s">
        <v>8586</v>
      </c>
      <c r="L210" s="6" t="s">
        <v>42</v>
      </c>
      <c r="M210" s="5" t="s">
        <v>1059</v>
      </c>
      <c r="N210" s="5" t="s">
        <v>64</v>
      </c>
      <c r="O210" s="5" t="s">
        <v>18193</v>
      </c>
      <c r="P210" s="6">
        <v>5807.0</v>
      </c>
    </row>
    <row r="211" ht="56.25" customHeight="1">
      <c r="A211" s="5" t="s">
        <v>18189</v>
      </c>
      <c r="B211" s="16" t="str">
        <f>IMAGE("https://storage.googleapis.com/acdb/shoes/ShoesLowcutMoccasin1.png")</f>
        <v/>
      </c>
      <c r="C211" s="5" t="s">
        <v>52</v>
      </c>
      <c r="D211" s="5" t="s">
        <v>36</v>
      </c>
      <c r="E211" s="6">
        <v>1080.0</v>
      </c>
      <c r="F211" s="6">
        <v>270.0</v>
      </c>
      <c r="G211" s="5" t="s">
        <v>52</v>
      </c>
      <c r="H211" s="5" t="s">
        <v>54</v>
      </c>
      <c r="I211" s="6" t="s">
        <v>40</v>
      </c>
      <c r="J211" s="5" t="s">
        <v>8585</v>
      </c>
      <c r="K211" s="5" t="s">
        <v>8586</v>
      </c>
      <c r="L211" s="6" t="s">
        <v>42</v>
      </c>
      <c r="M211" s="5" t="s">
        <v>1059</v>
      </c>
      <c r="N211" s="5" t="s">
        <v>64</v>
      </c>
      <c r="O211" s="5" t="s">
        <v>18195</v>
      </c>
      <c r="P211" s="6">
        <v>5807.0</v>
      </c>
    </row>
    <row r="212" ht="56.25" customHeight="1">
      <c r="A212" s="5" t="s">
        <v>18189</v>
      </c>
      <c r="B212" s="16" t="str">
        <f>IMAGE("https://storage.googleapis.com/acdb/shoes/ShoesLowcutMoccasin2.png")</f>
        <v/>
      </c>
      <c r="C212" s="5" t="s">
        <v>83</v>
      </c>
      <c r="D212" s="5" t="s">
        <v>36</v>
      </c>
      <c r="E212" s="6">
        <v>1080.0</v>
      </c>
      <c r="F212" s="6">
        <v>270.0</v>
      </c>
      <c r="G212" s="5" t="s">
        <v>83</v>
      </c>
      <c r="H212" s="5" t="s">
        <v>39</v>
      </c>
      <c r="I212" s="6" t="s">
        <v>40</v>
      </c>
      <c r="J212" s="5" t="s">
        <v>8585</v>
      </c>
      <c r="K212" s="5" t="s">
        <v>8586</v>
      </c>
      <c r="L212" s="6" t="s">
        <v>42</v>
      </c>
      <c r="M212" s="5" t="s">
        <v>1059</v>
      </c>
      <c r="N212" s="5" t="s">
        <v>64</v>
      </c>
      <c r="O212" s="5" t="s">
        <v>18198</v>
      </c>
      <c r="P212" s="6">
        <v>5807.0</v>
      </c>
    </row>
    <row r="213" ht="56.25" customHeight="1">
      <c r="A213" s="5" t="s">
        <v>18189</v>
      </c>
      <c r="B213" s="16" t="str">
        <f>IMAGE("https://storage.googleapis.com/acdb/shoes/ShoesLowcutMoccasin3.png")</f>
        <v/>
      </c>
      <c r="C213" s="5" t="s">
        <v>57</v>
      </c>
      <c r="D213" s="5" t="s">
        <v>36</v>
      </c>
      <c r="E213" s="6">
        <v>1080.0</v>
      </c>
      <c r="F213" s="6">
        <v>270.0</v>
      </c>
      <c r="G213" s="5" t="s">
        <v>57</v>
      </c>
      <c r="H213" s="5" t="s">
        <v>54</v>
      </c>
      <c r="I213" s="6" t="s">
        <v>40</v>
      </c>
      <c r="J213" s="5" t="s">
        <v>8585</v>
      </c>
      <c r="K213" s="5" t="s">
        <v>8586</v>
      </c>
      <c r="L213" s="6" t="s">
        <v>42</v>
      </c>
      <c r="M213" s="5" t="s">
        <v>1059</v>
      </c>
      <c r="N213" s="5" t="s">
        <v>64</v>
      </c>
      <c r="O213" s="5" t="s">
        <v>18201</v>
      </c>
      <c r="P213" s="6">
        <v>5807.0</v>
      </c>
    </row>
    <row r="214" ht="56.25" customHeight="1">
      <c r="A214" s="5" t="s">
        <v>18189</v>
      </c>
      <c r="B214" s="16" t="str">
        <f>IMAGE("https://storage.googleapis.com/acdb/shoes/ShoesLowcutMoccasin4.png")</f>
        <v/>
      </c>
      <c r="C214" s="5" t="s">
        <v>69</v>
      </c>
      <c r="D214" s="5" t="s">
        <v>36</v>
      </c>
      <c r="E214" s="6">
        <v>1080.0</v>
      </c>
      <c r="F214" s="6">
        <v>270.0</v>
      </c>
      <c r="G214" s="5" t="s">
        <v>69</v>
      </c>
      <c r="H214" s="5" t="s">
        <v>39</v>
      </c>
      <c r="I214" s="6" t="s">
        <v>40</v>
      </c>
      <c r="J214" s="5" t="s">
        <v>8585</v>
      </c>
      <c r="K214" s="5" t="s">
        <v>8586</v>
      </c>
      <c r="L214" s="6" t="s">
        <v>42</v>
      </c>
      <c r="M214" s="5" t="s">
        <v>1059</v>
      </c>
      <c r="N214" s="5" t="s">
        <v>64</v>
      </c>
      <c r="O214" s="5" t="s">
        <v>18203</v>
      </c>
      <c r="P214" s="6">
        <v>5807.0</v>
      </c>
    </row>
    <row r="215" ht="56.25" customHeight="1">
      <c r="A215" s="5" t="s">
        <v>18189</v>
      </c>
      <c r="B215" s="16" t="str">
        <f>IMAGE("https://storage.googleapis.com/acdb/shoes/ShoesLowcutMoccasin5.png")</f>
        <v/>
      </c>
      <c r="C215" s="5" t="s">
        <v>95</v>
      </c>
      <c r="D215" s="5" t="s">
        <v>36</v>
      </c>
      <c r="E215" s="6">
        <v>1080.0</v>
      </c>
      <c r="F215" s="6">
        <v>270.0</v>
      </c>
      <c r="G215" s="5" t="s">
        <v>95</v>
      </c>
      <c r="H215" s="5" t="s">
        <v>54</v>
      </c>
      <c r="I215" s="6" t="s">
        <v>40</v>
      </c>
      <c r="J215" s="5" t="s">
        <v>8585</v>
      </c>
      <c r="K215" s="5" t="s">
        <v>8586</v>
      </c>
      <c r="L215" s="6" t="s">
        <v>42</v>
      </c>
      <c r="M215" s="5" t="s">
        <v>1059</v>
      </c>
      <c r="N215" s="5" t="s">
        <v>64</v>
      </c>
      <c r="O215" s="5" t="s">
        <v>18206</v>
      </c>
      <c r="P215" s="6">
        <v>5807.0</v>
      </c>
    </row>
    <row r="216" ht="56.25" customHeight="1">
      <c r="A216" s="5" t="s">
        <v>18189</v>
      </c>
      <c r="B216" s="16" t="str">
        <f>IMAGE("https://storage.googleapis.com/acdb/shoes/ShoesLowcutMoccasin6.png")</f>
        <v/>
      </c>
      <c r="C216" s="5" t="s">
        <v>54</v>
      </c>
      <c r="D216" s="5" t="s">
        <v>36</v>
      </c>
      <c r="E216" s="6">
        <v>1080.0</v>
      </c>
      <c r="F216" s="6">
        <v>270.0</v>
      </c>
      <c r="G216" s="5" t="s">
        <v>54</v>
      </c>
      <c r="H216" s="5" t="s">
        <v>54</v>
      </c>
      <c r="I216" s="6" t="s">
        <v>40</v>
      </c>
      <c r="J216" s="5" t="s">
        <v>8585</v>
      </c>
      <c r="K216" s="5" t="s">
        <v>8586</v>
      </c>
      <c r="L216" s="6" t="s">
        <v>42</v>
      </c>
      <c r="M216" s="5" t="s">
        <v>1059</v>
      </c>
      <c r="N216" s="5" t="s">
        <v>64</v>
      </c>
      <c r="O216" s="5" t="s">
        <v>18209</v>
      </c>
      <c r="P216" s="6">
        <v>5807.0</v>
      </c>
    </row>
    <row r="217" ht="56.25" customHeight="1">
      <c r="A217" s="5" t="s">
        <v>18210</v>
      </c>
      <c r="B217" s="16" t="str">
        <f>IMAGE("https://storage.googleapis.com/acdb/shoes/ShoesSandalRco.png")</f>
        <v/>
      </c>
      <c r="C217" s="5" t="s">
        <v>57</v>
      </c>
      <c r="D217" s="5" t="s">
        <v>36</v>
      </c>
      <c r="E217" s="6" t="s">
        <v>37</v>
      </c>
      <c r="F217" s="6">
        <v>2000.0</v>
      </c>
      <c r="G217" s="5" t="s">
        <v>57</v>
      </c>
      <c r="H217" s="5" t="s">
        <v>96</v>
      </c>
      <c r="I217" s="6" t="s">
        <v>40</v>
      </c>
      <c r="J217" s="5" t="s">
        <v>2140</v>
      </c>
      <c r="K217" s="5"/>
      <c r="L217" s="6" t="s">
        <v>42</v>
      </c>
      <c r="M217" s="5" t="s">
        <v>995</v>
      </c>
      <c r="N217" s="5" t="s">
        <v>48</v>
      </c>
      <c r="O217" s="5" t="s">
        <v>18214</v>
      </c>
      <c r="P217" s="6">
        <v>5630.0</v>
      </c>
    </row>
    <row r="218" ht="56.25" customHeight="1">
      <c r="A218" s="5" t="s">
        <v>18215</v>
      </c>
      <c r="B218" s="16" t="str">
        <f>IMAGE("https://storage.googleapis.com/acdb/shoes/ShoesSandalOutdoor0.png")</f>
        <v/>
      </c>
      <c r="C218" s="5" t="s">
        <v>96</v>
      </c>
      <c r="D218" s="5" t="s">
        <v>36</v>
      </c>
      <c r="E218" s="6">
        <v>630.0</v>
      </c>
      <c r="F218" s="6">
        <v>157.0</v>
      </c>
      <c r="G218" s="5" t="s">
        <v>96</v>
      </c>
      <c r="H218" s="5" t="s">
        <v>54</v>
      </c>
      <c r="I218" s="6" t="s">
        <v>40</v>
      </c>
      <c r="J218" s="5" t="s">
        <v>8585</v>
      </c>
      <c r="K218" s="5" t="s">
        <v>8632</v>
      </c>
      <c r="L218" s="6" t="s">
        <v>42</v>
      </c>
      <c r="M218" s="5" t="s">
        <v>8746</v>
      </c>
      <c r="N218" s="5" t="s">
        <v>64</v>
      </c>
      <c r="O218" s="5" t="s">
        <v>18218</v>
      </c>
      <c r="P218" s="6">
        <v>5640.0</v>
      </c>
    </row>
    <row r="219" ht="56.25" customHeight="1">
      <c r="A219" s="5" t="s">
        <v>18215</v>
      </c>
      <c r="B219" s="16" t="str">
        <f>IMAGE("https://storage.googleapis.com/acdb/shoes/ShoesSandalOutdoor1.png")</f>
        <v/>
      </c>
      <c r="C219" s="5" t="s">
        <v>52</v>
      </c>
      <c r="D219" s="5" t="s">
        <v>36</v>
      </c>
      <c r="E219" s="6">
        <v>630.0</v>
      </c>
      <c r="F219" s="6">
        <v>157.0</v>
      </c>
      <c r="G219" s="5" t="s">
        <v>52</v>
      </c>
      <c r="H219" s="5" t="s">
        <v>54</v>
      </c>
      <c r="I219" s="6" t="s">
        <v>40</v>
      </c>
      <c r="J219" s="5" t="s">
        <v>8585</v>
      </c>
      <c r="K219" s="5" t="s">
        <v>8632</v>
      </c>
      <c r="L219" s="6" t="s">
        <v>42</v>
      </c>
      <c r="M219" s="5" t="s">
        <v>8746</v>
      </c>
      <c r="N219" s="5" t="s">
        <v>64</v>
      </c>
      <c r="O219" s="5" t="s">
        <v>18221</v>
      </c>
      <c r="P219" s="6">
        <v>5640.0</v>
      </c>
    </row>
    <row r="220" ht="56.25" customHeight="1">
      <c r="A220" s="5" t="s">
        <v>18215</v>
      </c>
      <c r="B220" s="16" t="str">
        <f>IMAGE("https://storage.googleapis.com/acdb/shoes/ShoesSandalOutdoor2.png")</f>
        <v/>
      </c>
      <c r="C220" s="5" t="s">
        <v>68</v>
      </c>
      <c r="D220" s="5" t="s">
        <v>36</v>
      </c>
      <c r="E220" s="6">
        <v>630.0</v>
      </c>
      <c r="F220" s="6">
        <v>157.0</v>
      </c>
      <c r="G220" s="5" t="s">
        <v>68</v>
      </c>
      <c r="H220" s="5" t="s">
        <v>54</v>
      </c>
      <c r="I220" s="6" t="s">
        <v>40</v>
      </c>
      <c r="J220" s="5" t="s">
        <v>8585</v>
      </c>
      <c r="K220" s="5" t="s">
        <v>8632</v>
      </c>
      <c r="L220" s="6" t="s">
        <v>42</v>
      </c>
      <c r="M220" s="5" t="s">
        <v>8746</v>
      </c>
      <c r="N220" s="5" t="s">
        <v>64</v>
      </c>
      <c r="O220" s="5" t="s">
        <v>18224</v>
      </c>
      <c r="P220" s="6">
        <v>5640.0</v>
      </c>
    </row>
    <row r="221" ht="56.25" customHeight="1">
      <c r="A221" s="5" t="s">
        <v>18215</v>
      </c>
      <c r="B221" s="16" t="str">
        <f>IMAGE("https://storage.googleapis.com/acdb/shoes/ShoesSandalOutdoor3.png")</f>
        <v/>
      </c>
      <c r="C221" s="5" t="s">
        <v>106</v>
      </c>
      <c r="D221" s="5" t="s">
        <v>36</v>
      </c>
      <c r="E221" s="6">
        <v>630.0</v>
      </c>
      <c r="F221" s="6">
        <v>157.0</v>
      </c>
      <c r="G221" s="5" t="s">
        <v>106</v>
      </c>
      <c r="H221" s="5" t="s">
        <v>54</v>
      </c>
      <c r="I221" s="6" t="s">
        <v>40</v>
      </c>
      <c r="J221" s="5" t="s">
        <v>8585</v>
      </c>
      <c r="K221" s="5" t="s">
        <v>8632</v>
      </c>
      <c r="L221" s="6" t="s">
        <v>42</v>
      </c>
      <c r="M221" s="5" t="s">
        <v>8746</v>
      </c>
      <c r="N221" s="5" t="s">
        <v>64</v>
      </c>
      <c r="O221" s="5" t="s">
        <v>18229</v>
      </c>
      <c r="P221" s="6">
        <v>5640.0</v>
      </c>
    </row>
    <row r="222" ht="56.25" customHeight="1">
      <c r="A222" s="5" t="s">
        <v>18215</v>
      </c>
      <c r="B222" s="16" t="str">
        <f>IMAGE("https://storage.googleapis.com/acdb/shoes/ShoesSandalOutdoor4.png")</f>
        <v/>
      </c>
      <c r="C222" s="5" t="s">
        <v>114</v>
      </c>
      <c r="D222" s="5" t="s">
        <v>36</v>
      </c>
      <c r="E222" s="6">
        <v>630.0</v>
      </c>
      <c r="F222" s="6">
        <v>157.0</v>
      </c>
      <c r="G222" s="5" t="s">
        <v>114</v>
      </c>
      <c r="H222" s="5" t="s">
        <v>54</v>
      </c>
      <c r="I222" s="6" t="s">
        <v>40</v>
      </c>
      <c r="J222" s="5" t="s">
        <v>8585</v>
      </c>
      <c r="K222" s="5" t="s">
        <v>8632</v>
      </c>
      <c r="L222" s="6" t="s">
        <v>42</v>
      </c>
      <c r="M222" s="5" t="s">
        <v>8746</v>
      </c>
      <c r="N222" s="5" t="s">
        <v>64</v>
      </c>
      <c r="O222" s="5" t="s">
        <v>18233</v>
      </c>
      <c r="P222" s="6">
        <v>5640.0</v>
      </c>
    </row>
    <row r="223" ht="56.25" customHeight="1">
      <c r="A223" s="5" t="s">
        <v>18215</v>
      </c>
      <c r="B223" s="16" t="str">
        <f>IMAGE("https://storage.googleapis.com/acdb/shoes/ShoesSandalOutdoor5.png")</f>
        <v/>
      </c>
      <c r="C223" s="5" t="s">
        <v>142</v>
      </c>
      <c r="D223" s="5" t="s">
        <v>36</v>
      </c>
      <c r="E223" s="6">
        <v>630.0</v>
      </c>
      <c r="F223" s="6">
        <v>157.0</v>
      </c>
      <c r="G223" s="5" t="s">
        <v>142</v>
      </c>
      <c r="H223" s="5" t="s">
        <v>54</v>
      </c>
      <c r="I223" s="6" t="s">
        <v>40</v>
      </c>
      <c r="J223" s="5" t="s">
        <v>8585</v>
      </c>
      <c r="K223" s="5" t="s">
        <v>8632</v>
      </c>
      <c r="L223" s="6" t="s">
        <v>42</v>
      </c>
      <c r="M223" s="5" t="s">
        <v>8746</v>
      </c>
      <c r="N223" s="5" t="s">
        <v>64</v>
      </c>
      <c r="O223" s="5" t="s">
        <v>18236</v>
      </c>
      <c r="P223" s="6">
        <v>5640.0</v>
      </c>
    </row>
    <row r="224" ht="56.25" customHeight="1">
      <c r="A224" s="5" t="s">
        <v>18215</v>
      </c>
      <c r="B224" s="16" t="str">
        <f>IMAGE("https://storage.googleapis.com/acdb/shoes/ShoesSandalOutdoor6.png")</f>
        <v/>
      </c>
      <c r="C224" s="5" t="s">
        <v>57</v>
      </c>
      <c r="D224" s="5" t="s">
        <v>36</v>
      </c>
      <c r="E224" s="6">
        <v>630.0</v>
      </c>
      <c r="F224" s="6">
        <v>157.0</v>
      </c>
      <c r="G224" s="5" t="s">
        <v>57</v>
      </c>
      <c r="H224" s="5" t="s">
        <v>54</v>
      </c>
      <c r="I224" s="6" t="s">
        <v>40</v>
      </c>
      <c r="J224" s="5" t="s">
        <v>8585</v>
      </c>
      <c r="K224" s="5" t="s">
        <v>8632</v>
      </c>
      <c r="L224" s="6" t="s">
        <v>42</v>
      </c>
      <c r="M224" s="5" t="s">
        <v>8746</v>
      </c>
      <c r="N224" s="5" t="s">
        <v>64</v>
      </c>
      <c r="O224" s="5" t="s">
        <v>18237</v>
      </c>
      <c r="P224" s="6">
        <v>5640.0</v>
      </c>
    </row>
    <row r="225" ht="56.25" customHeight="1">
      <c r="A225" s="5" t="s">
        <v>18215</v>
      </c>
      <c r="B225" s="16" t="str">
        <f>IMAGE("https://storage.googleapis.com/acdb/shoes/ShoesSandalOutdoor7.png")</f>
        <v/>
      </c>
      <c r="C225" s="5" t="s">
        <v>54</v>
      </c>
      <c r="D225" s="5" t="s">
        <v>36</v>
      </c>
      <c r="E225" s="6">
        <v>630.0</v>
      </c>
      <c r="F225" s="6">
        <v>157.0</v>
      </c>
      <c r="G225" s="5" t="s">
        <v>54</v>
      </c>
      <c r="H225" s="5" t="s">
        <v>54</v>
      </c>
      <c r="I225" s="6" t="s">
        <v>40</v>
      </c>
      <c r="J225" s="5" t="s">
        <v>8585</v>
      </c>
      <c r="K225" s="5" t="s">
        <v>8632</v>
      </c>
      <c r="L225" s="6" t="s">
        <v>42</v>
      </c>
      <c r="M225" s="5" t="s">
        <v>8746</v>
      </c>
      <c r="N225" s="5" t="s">
        <v>64</v>
      </c>
      <c r="O225" s="5" t="s">
        <v>18241</v>
      </c>
      <c r="P225" s="6">
        <v>5640.0</v>
      </c>
    </row>
    <row r="226" ht="56.25" customHeight="1">
      <c r="A226" s="5" t="s">
        <v>18242</v>
      </c>
      <c r="B226" s="16" t="str">
        <f>IMAGE("https://storage.googleapis.com/acdb/shoes/ShoesLowcutAnimal0.png")</f>
        <v/>
      </c>
      <c r="C226" s="5" t="s">
        <v>69</v>
      </c>
      <c r="D226" s="5" t="s">
        <v>36</v>
      </c>
      <c r="E226" s="6">
        <v>1260.0</v>
      </c>
      <c r="F226" s="6">
        <v>315.0</v>
      </c>
      <c r="G226" s="5" t="s">
        <v>69</v>
      </c>
      <c r="H226" s="5" t="s">
        <v>69</v>
      </c>
      <c r="I226" s="6" t="s">
        <v>40</v>
      </c>
      <c r="J226" s="5" t="s">
        <v>17203</v>
      </c>
      <c r="K226" s="5"/>
      <c r="L226" s="6" t="s">
        <v>42</v>
      </c>
      <c r="M226" s="5" t="s">
        <v>1959</v>
      </c>
      <c r="N226" s="5" t="s">
        <v>64</v>
      </c>
      <c r="O226" s="5" t="s">
        <v>18244</v>
      </c>
      <c r="P226" s="6">
        <v>5469.0</v>
      </c>
    </row>
    <row r="227" ht="56.25" customHeight="1">
      <c r="A227" s="5" t="s">
        <v>18242</v>
      </c>
      <c r="B227" s="16" t="str">
        <f>IMAGE("https://storage.googleapis.com/acdb/shoes/ShoesLowcutAnimal1.png")</f>
        <v/>
      </c>
      <c r="C227" s="5" t="s">
        <v>39</v>
      </c>
      <c r="D227" s="5" t="s">
        <v>36</v>
      </c>
      <c r="E227" s="6">
        <v>1260.0</v>
      </c>
      <c r="F227" s="6">
        <v>315.0</v>
      </c>
      <c r="G227" s="5" t="s">
        <v>39</v>
      </c>
      <c r="H227" s="5" t="s">
        <v>39</v>
      </c>
      <c r="I227" s="6" t="s">
        <v>40</v>
      </c>
      <c r="J227" s="5" t="s">
        <v>17203</v>
      </c>
      <c r="K227" s="5"/>
      <c r="L227" s="6" t="s">
        <v>42</v>
      </c>
      <c r="M227" s="5" t="s">
        <v>1959</v>
      </c>
      <c r="N227" s="5" t="s">
        <v>64</v>
      </c>
      <c r="O227" s="5" t="s">
        <v>18247</v>
      </c>
      <c r="P227" s="6">
        <v>5469.0</v>
      </c>
    </row>
    <row r="228" ht="56.25" customHeight="1">
      <c r="A228" s="5" t="s">
        <v>18242</v>
      </c>
      <c r="B228" s="16" t="str">
        <f>IMAGE("https://storage.googleapis.com/acdb/shoes/ShoesLowcutAnimal2.png")</f>
        <v/>
      </c>
      <c r="C228" s="5" t="s">
        <v>57</v>
      </c>
      <c r="D228" s="5" t="s">
        <v>36</v>
      </c>
      <c r="E228" s="6">
        <v>1260.0</v>
      </c>
      <c r="F228" s="6">
        <v>315.0</v>
      </c>
      <c r="G228" s="5" t="s">
        <v>57</v>
      </c>
      <c r="H228" s="5" t="s">
        <v>57</v>
      </c>
      <c r="I228" s="6" t="s">
        <v>40</v>
      </c>
      <c r="J228" s="5" t="s">
        <v>17203</v>
      </c>
      <c r="K228" s="5"/>
      <c r="L228" s="6" t="s">
        <v>42</v>
      </c>
      <c r="M228" s="5" t="s">
        <v>1959</v>
      </c>
      <c r="N228" s="5" t="s">
        <v>64</v>
      </c>
      <c r="O228" s="5" t="s">
        <v>18249</v>
      </c>
      <c r="P228" s="6">
        <v>5469.0</v>
      </c>
    </row>
    <row r="229" ht="56.25" customHeight="1">
      <c r="A229" s="5" t="s">
        <v>18242</v>
      </c>
      <c r="B229" s="16" t="str">
        <f>IMAGE("https://storage.googleapis.com/acdb/shoes/ShoesLowcutAnimal3.png")</f>
        <v/>
      </c>
      <c r="C229" s="5" t="s">
        <v>68</v>
      </c>
      <c r="D229" s="5" t="s">
        <v>36</v>
      </c>
      <c r="E229" s="6">
        <v>1260.0</v>
      </c>
      <c r="F229" s="6">
        <v>315.0</v>
      </c>
      <c r="G229" s="5" t="s">
        <v>83</v>
      </c>
      <c r="H229" s="5" t="s">
        <v>83</v>
      </c>
      <c r="I229" s="6" t="s">
        <v>40</v>
      </c>
      <c r="J229" s="5" t="s">
        <v>17203</v>
      </c>
      <c r="K229" s="5"/>
      <c r="L229" s="6" t="s">
        <v>42</v>
      </c>
      <c r="M229" s="5" t="s">
        <v>1959</v>
      </c>
      <c r="N229" s="5" t="s">
        <v>64</v>
      </c>
      <c r="O229" s="5" t="s">
        <v>18252</v>
      </c>
      <c r="P229" s="6">
        <v>5469.0</v>
      </c>
    </row>
    <row r="230" ht="56.25" customHeight="1">
      <c r="A230" s="5" t="s">
        <v>18242</v>
      </c>
      <c r="B230" s="16" t="str">
        <f>IMAGE("https://storage.googleapis.com/acdb/shoes/ShoesLowcutAnimal4.png")</f>
        <v/>
      </c>
      <c r="C230" s="5" t="s">
        <v>54</v>
      </c>
      <c r="D230" s="5" t="s">
        <v>36</v>
      </c>
      <c r="E230" s="6">
        <v>1260.0</v>
      </c>
      <c r="F230" s="6">
        <v>315.0</v>
      </c>
      <c r="G230" s="5" t="s">
        <v>54</v>
      </c>
      <c r="H230" s="5" t="s">
        <v>54</v>
      </c>
      <c r="I230" s="6" t="s">
        <v>40</v>
      </c>
      <c r="J230" s="5" t="s">
        <v>17203</v>
      </c>
      <c r="K230" s="5"/>
      <c r="L230" s="6" t="s">
        <v>42</v>
      </c>
      <c r="M230" s="5" t="s">
        <v>1959</v>
      </c>
      <c r="N230" s="5" t="s">
        <v>64</v>
      </c>
      <c r="O230" s="5" t="s">
        <v>18254</v>
      </c>
      <c r="P230" s="6">
        <v>5469.0</v>
      </c>
    </row>
    <row r="231" ht="56.25" customHeight="1">
      <c r="A231" s="5" t="s">
        <v>18255</v>
      </c>
      <c r="B231" s="16" t="str">
        <f>IMAGE("https://storage.googleapis.com/acdb/shoes/ShoesHighcutShortboots0.png")</f>
        <v/>
      </c>
      <c r="C231" s="5" t="s">
        <v>39</v>
      </c>
      <c r="D231" s="5" t="s">
        <v>36</v>
      </c>
      <c r="E231" s="6">
        <v>1280.0</v>
      </c>
      <c r="F231" s="6">
        <v>320.0</v>
      </c>
      <c r="G231" s="5" t="s">
        <v>39</v>
      </c>
      <c r="H231" s="5" t="s">
        <v>39</v>
      </c>
      <c r="I231" s="6" t="s">
        <v>40</v>
      </c>
      <c r="J231" s="5" t="s">
        <v>8585</v>
      </c>
      <c r="K231" s="5" t="s">
        <v>8586</v>
      </c>
      <c r="L231" s="6" t="s">
        <v>42</v>
      </c>
      <c r="M231" s="5" t="s">
        <v>1059</v>
      </c>
      <c r="N231" s="5" t="s">
        <v>64</v>
      </c>
      <c r="O231" s="5" t="s">
        <v>18261</v>
      </c>
      <c r="P231" s="6">
        <v>5474.0</v>
      </c>
    </row>
    <row r="232" ht="56.25" customHeight="1">
      <c r="A232" s="5" t="s">
        <v>18255</v>
      </c>
      <c r="B232" s="16" t="str">
        <f>IMAGE("https://storage.googleapis.com/acdb/shoes/ShoesHighcutShortboots1.png")</f>
        <v/>
      </c>
      <c r="C232" s="5" t="s">
        <v>54</v>
      </c>
      <c r="D232" s="5" t="s">
        <v>36</v>
      </c>
      <c r="E232" s="6">
        <v>1280.0</v>
      </c>
      <c r="F232" s="6">
        <v>320.0</v>
      </c>
      <c r="G232" s="5" t="s">
        <v>54</v>
      </c>
      <c r="H232" s="5" t="s">
        <v>54</v>
      </c>
      <c r="I232" s="6" t="s">
        <v>40</v>
      </c>
      <c r="J232" s="5" t="s">
        <v>8585</v>
      </c>
      <c r="K232" s="5" t="s">
        <v>8586</v>
      </c>
      <c r="L232" s="6" t="s">
        <v>42</v>
      </c>
      <c r="M232" s="5" t="s">
        <v>1059</v>
      </c>
      <c r="N232" s="5" t="s">
        <v>64</v>
      </c>
      <c r="O232" s="5" t="s">
        <v>18265</v>
      </c>
      <c r="P232" s="6">
        <v>5474.0</v>
      </c>
    </row>
    <row r="233" ht="56.25" customHeight="1">
      <c r="A233" s="5" t="s">
        <v>18255</v>
      </c>
      <c r="B233" s="16" t="str">
        <f>IMAGE("https://storage.googleapis.com/acdb/shoes/ShoesHighcutShortboots2.png")</f>
        <v/>
      </c>
      <c r="C233" s="5" t="s">
        <v>96</v>
      </c>
      <c r="D233" s="5" t="s">
        <v>36</v>
      </c>
      <c r="E233" s="6">
        <v>1280.0</v>
      </c>
      <c r="F233" s="6">
        <v>320.0</v>
      </c>
      <c r="G233" s="5" t="s">
        <v>96</v>
      </c>
      <c r="H233" s="5" t="s">
        <v>96</v>
      </c>
      <c r="I233" s="6" t="s">
        <v>40</v>
      </c>
      <c r="J233" s="5" t="s">
        <v>8585</v>
      </c>
      <c r="K233" s="5" t="s">
        <v>8586</v>
      </c>
      <c r="L233" s="6" t="s">
        <v>42</v>
      </c>
      <c r="M233" s="5" t="s">
        <v>1059</v>
      </c>
      <c r="N233" s="5" t="s">
        <v>64</v>
      </c>
      <c r="O233" s="5" t="s">
        <v>18269</v>
      </c>
      <c r="P233" s="6">
        <v>5474.0</v>
      </c>
    </row>
    <row r="234" ht="56.25" customHeight="1">
      <c r="A234" s="5" t="s">
        <v>18255</v>
      </c>
      <c r="B234" s="16" t="str">
        <f>IMAGE("https://storage.googleapis.com/acdb/shoes/ShoesHighcutShortboots3.png")</f>
        <v/>
      </c>
      <c r="C234" s="5" t="s">
        <v>8709</v>
      </c>
      <c r="D234" s="5" t="s">
        <v>36</v>
      </c>
      <c r="E234" s="6">
        <v>1280.0</v>
      </c>
      <c r="F234" s="6">
        <v>320.0</v>
      </c>
      <c r="G234" s="5" t="s">
        <v>114</v>
      </c>
      <c r="H234" s="5" t="s">
        <v>114</v>
      </c>
      <c r="I234" s="6" t="s">
        <v>40</v>
      </c>
      <c r="J234" s="5" t="s">
        <v>8585</v>
      </c>
      <c r="K234" s="5" t="s">
        <v>8586</v>
      </c>
      <c r="L234" s="6" t="s">
        <v>42</v>
      </c>
      <c r="M234" s="5" t="s">
        <v>1059</v>
      </c>
      <c r="N234" s="5" t="s">
        <v>64</v>
      </c>
      <c r="O234" s="5" t="s">
        <v>18274</v>
      </c>
      <c r="P234" s="6">
        <v>5474.0</v>
      </c>
    </row>
    <row r="235" ht="56.25" customHeight="1">
      <c r="A235" s="5" t="s">
        <v>18275</v>
      </c>
      <c r="B235" s="16" t="str">
        <f>IMAGE("https://storage.googleapis.com/acdb/shoes/ShoesLowcutLeathersneker0.png")</f>
        <v/>
      </c>
      <c r="C235" s="5" t="s">
        <v>57</v>
      </c>
      <c r="D235" s="5" t="s">
        <v>36</v>
      </c>
      <c r="E235" s="6">
        <v>700.0</v>
      </c>
      <c r="F235" s="6">
        <v>175.0</v>
      </c>
      <c r="G235" s="5" t="s">
        <v>57</v>
      </c>
      <c r="H235" s="5" t="s">
        <v>57</v>
      </c>
      <c r="I235" s="6" t="s">
        <v>40</v>
      </c>
      <c r="J235" s="5" t="s">
        <v>8585</v>
      </c>
      <c r="K235" s="5" t="s">
        <v>8632</v>
      </c>
      <c r="L235" s="6" t="s">
        <v>42</v>
      </c>
      <c r="M235" s="5" t="s">
        <v>995</v>
      </c>
      <c r="N235" s="5" t="s">
        <v>64</v>
      </c>
      <c r="O235" s="5" t="s">
        <v>18278</v>
      </c>
      <c r="P235" s="6">
        <v>4716.0</v>
      </c>
    </row>
    <row r="236" ht="56.25" customHeight="1">
      <c r="A236" s="5" t="s">
        <v>18275</v>
      </c>
      <c r="B236" s="16" t="str">
        <f>IMAGE("https://storage.googleapis.com/acdb/shoes/ShoesLowcutLeathersneker1.png")</f>
        <v/>
      </c>
      <c r="C236" s="5" t="s">
        <v>54</v>
      </c>
      <c r="D236" s="5" t="s">
        <v>36</v>
      </c>
      <c r="E236" s="6">
        <v>700.0</v>
      </c>
      <c r="F236" s="6">
        <v>175.0</v>
      </c>
      <c r="G236" s="5" t="s">
        <v>54</v>
      </c>
      <c r="H236" s="5" t="s">
        <v>54</v>
      </c>
      <c r="I236" s="6" t="s">
        <v>40</v>
      </c>
      <c r="J236" s="5" t="s">
        <v>8585</v>
      </c>
      <c r="K236" s="5" t="s">
        <v>8632</v>
      </c>
      <c r="L236" s="6" t="s">
        <v>42</v>
      </c>
      <c r="M236" s="5" t="s">
        <v>995</v>
      </c>
      <c r="N236" s="5" t="s">
        <v>64</v>
      </c>
      <c r="O236" s="5" t="s">
        <v>18280</v>
      </c>
      <c r="P236" s="6">
        <v>4716.0</v>
      </c>
    </row>
    <row r="237" ht="56.25" customHeight="1">
      <c r="A237" s="5" t="s">
        <v>18275</v>
      </c>
      <c r="B237" s="16" t="str">
        <f>IMAGE("https://storage.googleapis.com/acdb/shoes/ShoesLowcutLeathersneker2.png")</f>
        <v/>
      </c>
      <c r="C237" s="5" t="s">
        <v>52</v>
      </c>
      <c r="D237" s="5" t="s">
        <v>36</v>
      </c>
      <c r="E237" s="6">
        <v>700.0</v>
      </c>
      <c r="F237" s="6">
        <v>175.0</v>
      </c>
      <c r="G237" s="5" t="s">
        <v>52</v>
      </c>
      <c r="H237" s="5" t="s">
        <v>57</v>
      </c>
      <c r="I237" s="6" t="s">
        <v>40</v>
      </c>
      <c r="J237" s="5" t="s">
        <v>8585</v>
      </c>
      <c r="K237" s="5" t="s">
        <v>8632</v>
      </c>
      <c r="L237" s="6" t="s">
        <v>42</v>
      </c>
      <c r="M237" s="5" t="s">
        <v>995</v>
      </c>
      <c r="N237" s="5" t="s">
        <v>64</v>
      </c>
      <c r="O237" s="5" t="s">
        <v>18284</v>
      </c>
      <c r="P237" s="6">
        <v>4716.0</v>
      </c>
    </row>
    <row r="238" ht="56.25" customHeight="1">
      <c r="A238" s="5" t="s">
        <v>18275</v>
      </c>
      <c r="B238" s="16" t="str">
        <f>IMAGE("https://storage.googleapis.com/acdb/shoes/ShoesLowcutLeathersneker3.png")</f>
        <v/>
      </c>
      <c r="C238" s="5" t="s">
        <v>96</v>
      </c>
      <c r="D238" s="5" t="s">
        <v>36</v>
      </c>
      <c r="E238" s="6">
        <v>700.0</v>
      </c>
      <c r="F238" s="6">
        <v>175.0</v>
      </c>
      <c r="G238" s="5" t="s">
        <v>96</v>
      </c>
      <c r="H238" s="5" t="s">
        <v>57</v>
      </c>
      <c r="I238" s="6" t="s">
        <v>40</v>
      </c>
      <c r="J238" s="5" t="s">
        <v>8585</v>
      </c>
      <c r="K238" s="5" t="s">
        <v>8632</v>
      </c>
      <c r="L238" s="6" t="s">
        <v>42</v>
      </c>
      <c r="M238" s="5" t="s">
        <v>995</v>
      </c>
      <c r="N238" s="5" t="s">
        <v>64</v>
      </c>
      <c r="O238" s="5" t="s">
        <v>18286</v>
      </c>
      <c r="P238" s="6">
        <v>4716.0</v>
      </c>
    </row>
    <row r="239" ht="56.25" customHeight="1">
      <c r="A239" s="5" t="s">
        <v>18275</v>
      </c>
      <c r="B239" s="16" t="str">
        <f>IMAGE("https://storage.googleapis.com/acdb/shoes/ShoesLowcutLeathersneker4.png")</f>
        <v/>
      </c>
      <c r="C239" s="5" t="s">
        <v>68</v>
      </c>
      <c r="D239" s="5" t="s">
        <v>36</v>
      </c>
      <c r="E239" s="6">
        <v>700.0</v>
      </c>
      <c r="F239" s="6">
        <v>175.0</v>
      </c>
      <c r="G239" s="5" t="s">
        <v>68</v>
      </c>
      <c r="H239" s="5" t="s">
        <v>57</v>
      </c>
      <c r="I239" s="6" t="s">
        <v>40</v>
      </c>
      <c r="J239" s="5" t="s">
        <v>8585</v>
      </c>
      <c r="K239" s="5" t="s">
        <v>8632</v>
      </c>
      <c r="L239" s="6" t="s">
        <v>42</v>
      </c>
      <c r="M239" s="5" t="s">
        <v>995</v>
      </c>
      <c r="N239" s="5" t="s">
        <v>64</v>
      </c>
      <c r="O239" s="5" t="s">
        <v>18289</v>
      </c>
      <c r="P239" s="6">
        <v>4716.0</v>
      </c>
    </row>
    <row r="240" ht="56.25" customHeight="1">
      <c r="A240" s="5" t="s">
        <v>18275</v>
      </c>
      <c r="B240" s="16" t="str">
        <f>IMAGE("https://storage.googleapis.com/acdb/shoes/ShoesLowcutLeathersneker5.png")</f>
        <v/>
      </c>
      <c r="C240" s="5" t="s">
        <v>114</v>
      </c>
      <c r="D240" s="5" t="s">
        <v>36</v>
      </c>
      <c r="E240" s="6">
        <v>700.0</v>
      </c>
      <c r="F240" s="6">
        <v>175.0</v>
      </c>
      <c r="G240" s="5" t="s">
        <v>114</v>
      </c>
      <c r="H240" s="5" t="s">
        <v>57</v>
      </c>
      <c r="I240" s="6" t="s">
        <v>40</v>
      </c>
      <c r="J240" s="5" t="s">
        <v>8585</v>
      </c>
      <c r="K240" s="5" t="s">
        <v>8632</v>
      </c>
      <c r="L240" s="6" t="s">
        <v>42</v>
      </c>
      <c r="M240" s="5" t="s">
        <v>995</v>
      </c>
      <c r="N240" s="5" t="s">
        <v>64</v>
      </c>
      <c r="O240" s="5" t="s">
        <v>18292</v>
      </c>
      <c r="P240" s="6">
        <v>4716.0</v>
      </c>
    </row>
    <row r="241" ht="56.25" customHeight="1">
      <c r="A241" s="5" t="s">
        <v>18275</v>
      </c>
      <c r="B241" s="16" t="str">
        <f>IMAGE("https://storage.googleapis.com/acdb/shoes/ShoesLowcutLeathersneker6.png")</f>
        <v/>
      </c>
      <c r="C241" s="5" t="s">
        <v>83</v>
      </c>
      <c r="D241" s="5" t="s">
        <v>36</v>
      </c>
      <c r="E241" s="6">
        <v>700.0</v>
      </c>
      <c r="F241" s="6">
        <v>175.0</v>
      </c>
      <c r="G241" s="5" t="s">
        <v>83</v>
      </c>
      <c r="H241" s="5" t="s">
        <v>57</v>
      </c>
      <c r="I241" s="6" t="s">
        <v>40</v>
      </c>
      <c r="J241" s="5" t="s">
        <v>8585</v>
      </c>
      <c r="K241" s="5" t="s">
        <v>8632</v>
      </c>
      <c r="L241" s="6" t="s">
        <v>42</v>
      </c>
      <c r="M241" s="5" t="s">
        <v>995</v>
      </c>
      <c r="N241" s="5" t="s">
        <v>64</v>
      </c>
      <c r="O241" s="5" t="s">
        <v>18294</v>
      </c>
      <c r="P241" s="6">
        <v>4716.0</v>
      </c>
    </row>
    <row r="242" ht="56.25" customHeight="1">
      <c r="A242" s="5" t="s">
        <v>18275</v>
      </c>
      <c r="B242" s="16" t="str">
        <f>IMAGE("https://storage.googleapis.com/acdb/shoes/ShoesLowcutLeathersneker7.png")</f>
        <v/>
      </c>
      <c r="C242" s="5" t="s">
        <v>142</v>
      </c>
      <c r="D242" s="5" t="s">
        <v>36</v>
      </c>
      <c r="E242" s="6">
        <v>700.0</v>
      </c>
      <c r="F242" s="6">
        <v>175.0</v>
      </c>
      <c r="G242" s="5" t="s">
        <v>142</v>
      </c>
      <c r="H242" s="5" t="s">
        <v>57</v>
      </c>
      <c r="I242" s="6" t="s">
        <v>40</v>
      </c>
      <c r="J242" s="5" t="s">
        <v>8585</v>
      </c>
      <c r="K242" s="5" t="s">
        <v>8632</v>
      </c>
      <c r="L242" s="6" t="s">
        <v>42</v>
      </c>
      <c r="M242" s="5" t="s">
        <v>995</v>
      </c>
      <c r="N242" s="5" t="s">
        <v>64</v>
      </c>
      <c r="O242" s="5" t="s">
        <v>18297</v>
      </c>
      <c r="P242" s="6">
        <v>4716.0</v>
      </c>
    </row>
    <row r="243" ht="56.25" customHeight="1">
      <c r="A243" s="5" t="s">
        <v>18298</v>
      </c>
      <c r="B243" s="16" t="str">
        <f>IMAGE("https://storage.googleapis.com/acdb/shoes/ShoesHighcutBobbles0.png")</f>
        <v/>
      </c>
      <c r="C243" s="5" t="s">
        <v>69</v>
      </c>
      <c r="D243" s="5" t="s">
        <v>36</v>
      </c>
      <c r="E243" s="6">
        <v>1600.0</v>
      </c>
      <c r="F243" s="6">
        <v>400.0</v>
      </c>
      <c r="G243" s="5" t="s">
        <v>69</v>
      </c>
      <c r="H243" s="5" t="s">
        <v>57</v>
      </c>
      <c r="I243" s="6" t="s">
        <v>40</v>
      </c>
      <c r="J243" s="5" t="s">
        <v>8585</v>
      </c>
      <c r="K243" s="5" t="s">
        <v>8586</v>
      </c>
      <c r="L243" s="6" t="s">
        <v>42</v>
      </c>
      <c r="M243" s="5" t="s">
        <v>1959</v>
      </c>
      <c r="N243" s="5" t="s">
        <v>64</v>
      </c>
      <c r="O243" s="5" t="s">
        <v>18301</v>
      </c>
      <c r="P243" s="6">
        <v>5545.0</v>
      </c>
    </row>
    <row r="244" ht="56.25" customHeight="1">
      <c r="A244" s="5" t="s">
        <v>18298</v>
      </c>
      <c r="B244" s="16" t="str">
        <f>IMAGE("https://storage.googleapis.com/acdb/shoes/ShoesHighcutBobbles1.png")</f>
        <v/>
      </c>
      <c r="C244" s="5" t="s">
        <v>52</v>
      </c>
      <c r="D244" s="5" t="s">
        <v>36</v>
      </c>
      <c r="E244" s="6">
        <v>1600.0</v>
      </c>
      <c r="F244" s="6">
        <v>400.0</v>
      </c>
      <c r="G244" s="5" t="s">
        <v>52</v>
      </c>
      <c r="H244" s="5" t="s">
        <v>57</v>
      </c>
      <c r="I244" s="6" t="s">
        <v>40</v>
      </c>
      <c r="J244" s="5" t="s">
        <v>8585</v>
      </c>
      <c r="K244" s="5" t="s">
        <v>8586</v>
      </c>
      <c r="L244" s="6" t="s">
        <v>42</v>
      </c>
      <c r="M244" s="5" t="s">
        <v>1959</v>
      </c>
      <c r="N244" s="5" t="s">
        <v>64</v>
      </c>
      <c r="O244" s="5" t="s">
        <v>18304</v>
      </c>
      <c r="P244" s="6">
        <v>5545.0</v>
      </c>
    </row>
    <row r="245" ht="56.25" customHeight="1">
      <c r="A245" s="5" t="s">
        <v>18298</v>
      </c>
      <c r="B245" s="16" t="str">
        <f>IMAGE("https://storage.googleapis.com/acdb/shoes/ShoesHighcutBobbles2.png")</f>
        <v/>
      </c>
      <c r="C245" s="5" t="s">
        <v>114</v>
      </c>
      <c r="D245" s="5" t="s">
        <v>36</v>
      </c>
      <c r="E245" s="6">
        <v>1600.0</v>
      </c>
      <c r="F245" s="6">
        <v>400.0</v>
      </c>
      <c r="G245" s="5" t="s">
        <v>114</v>
      </c>
      <c r="H245" s="5" t="s">
        <v>57</v>
      </c>
      <c r="I245" s="6" t="s">
        <v>40</v>
      </c>
      <c r="J245" s="5" t="s">
        <v>8585</v>
      </c>
      <c r="K245" s="5" t="s">
        <v>8586</v>
      </c>
      <c r="L245" s="6" t="s">
        <v>42</v>
      </c>
      <c r="M245" s="5" t="s">
        <v>1959</v>
      </c>
      <c r="N245" s="5" t="s">
        <v>64</v>
      </c>
      <c r="O245" s="5" t="s">
        <v>18307</v>
      </c>
      <c r="P245" s="6">
        <v>5545.0</v>
      </c>
    </row>
    <row r="246" ht="56.25" customHeight="1">
      <c r="A246" s="5" t="s">
        <v>18298</v>
      </c>
      <c r="B246" s="16" t="str">
        <f>IMAGE("https://storage.googleapis.com/acdb/shoes/ShoesHighcutBobbles3.png")</f>
        <v/>
      </c>
      <c r="C246" s="5" t="s">
        <v>106</v>
      </c>
      <c r="D246" s="5" t="s">
        <v>36</v>
      </c>
      <c r="E246" s="6">
        <v>1600.0</v>
      </c>
      <c r="F246" s="6">
        <v>400.0</v>
      </c>
      <c r="G246" s="5" t="s">
        <v>106</v>
      </c>
      <c r="H246" s="5" t="s">
        <v>57</v>
      </c>
      <c r="I246" s="6" t="s">
        <v>40</v>
      </c>
      <c r="J246" s="5" t="s">
        <v>8585</v>
      </c>
      <c r="K246" s="5" t="s">
        <v>8586</v>
      </c>
      <c r="L246" s="6" t="s">
        <v>42</v>
      </c>
      <c r="M246" s="5" t="s">
        <v>1959</v>
      </c>
      <c r="N246" s="5" t="s">
        <v>64</v>
      </c>
      <c r="O246" s="5" t="s">
        <v>18310</v>
      </c>
      <c r="P246" s="6">
        <v>5545.0</v>
      </c>
    </row>
    <row r="247" ht="56.25" customHeight="1">
      <c r="A247" s="5" t="s">
        <v>18298</v>
      </c>
      <c r="B247" s="16" t="str">
        <f>IMAGE("https://storage.googleapis.com/acdb/shoes/ShoesHighcutBobbles4.png")</f>
        <v/>
      </c>
      <c r="C247" s="5" t="s">
        <v>96</v>
      </c>
      <c r="D247" s="5" t="s">
        <v>36</v>
      </c>
      <c r="E247" s="6">
        <v>1600.0</v>
      </c>
      <c r="F247" s="6">
        <v>400.0</v>
      </c>
      <c r="G247" s="5" t="s">
        <v>96</v>
      </c>
      <c r="H247" s="5" t="s">
        <v>57</v>
      </c>
      <c r="I247" s="6" t="s">
        <v>40</v>
      </c>
      <c r="J247" s="5" t="s">
        <v>8585</v>
      </c>
      <c r="K247" s="5" t="s">
        <v>8586</v>
      </c>
      <c r="L247" s="6" t="s">
        <v>42</v>
      </c>
      <c r="M247" s="5" t="s">
        <v>1959</v>
      </c>
      <c r="N247" s="5" t="s">
        <v>64</v>
      </c>
      <c r="O247" s="5" t="s">
        <v>18313</v>
      </c>
      <c r="P247" s="6">
        <v>5545.0</v>
      </c>
    </row>
    <row r="248" ht="56.25" customHeight="1">
      <c r="A248" s="5" t="s">
        <v>18298</v>
      </c>
      <c r="B248" s="16" t="str">
        <f>IMAGE("https://storage.googleapis.com/acdb/shoes/ShoesHighcutBobbles5.png")</f>
        <v/>
      </c>
      <c r="C248" s="5" t="s">
        <v>68</v>
      </c>
      <c r="D248" s="5" t="s">
        <v>36</v>
      </c>
      <c r="E248" s="6">
        <v>1600.0</v>
      </c>
      <c r="F248" s="6">
        <v>400.0</v>
      </c>
      <c r="G248" s="5" t="s">
        <v>68</v>
      </c>
      <c r="H248" s="5" t="s">
        <v>57</v>
      </c>
      <c r="I248" s="6" t="s">
        <v>40</v>
      </c>
      <c r="J248" s="5" t="s">
        <v>8585</v>
      </c>
      <c r="K248" s="5" t="s">
        <v>8586</v>
      </c>
      <c r="L248" s="6" t="s">
        <v>42</v>
      </c>
      <c r="M248" s="5" t="s">
        <v>1959</v>
      </c>
      <c r="N248" s="5" t="s">
        <v>64</v>
      </c>
      <c r="O248" s="5" t="s">
        <v>18315</v>
      </c>
      <c r="P248" s="6">
        <v>5545.0</v>
      </c>
    </row>
    <row r="249" ht="56.25" customHeight="1">
      <c r="A249" s="5" t="s">
        <v>18298</v>
      </c>
      <c r="B249" s="16" t="str">
        <f>IMAGE("https://storage.googleapis.com/acdb/shoes/ShoesHighcutBobbles6.png")</f>
        <v/>
      </c>
      <c r="C249" s="5" t="s">
        <v>54</v>
      </c>
      <c r="D249" s="5" t="s">
        <v>36</v>
      </c>
      <c r="E249" s="6">
        <v>1600.0</v>
      </c>
      <c r="F249" s="6">
        <v>400.0</v>
      </c>
      <c r="G249" s="5" t="s">
        <v>95</v>
      </c>
      <c r="H249" s="5" t="s">
        <v>54</v>
      </c>
      <c r="I249" s="6" t="s">
        <v>40</v>
      </c>
      <c r="J249" s="5" t="s">
        <v>8585</v>
      </c>
      <c r="K249" s="5" t="s">
        <v>8586</v>
      </c>
      <c r="L249" s="6" t="s">
        <v>42</v>
      </c>
      <c r="M249" s="5" t="s">
        <v>1959</v>
      </c>
      <c r="N249" s="5" t="s">
        <v>64</v>
      </c>
      <c r="O249" s="5" t="s">
        <v>18318</v>
      </c>
      <c r="P249" s="6">
        <v>5545.0</v>
      </c>
    </row>
    <row r="250" ht="56.25" customHeight="1">
      <c r="A250" s="5" t="s">
        <v>18320</v>
      </c>
      <c r="B250" s="16" t="str">
        <f>IMAGE("https://storage.googleapis.com/acdb/shoes/ShoesKneePowered0.png")</f>
        <v/>
      </c>
      <c r="C250" s="5" t="s">
        <v>52</v>
      </c>
      <c r="D250" s="5" t="s">
        <v>36</v>
      </c>
      <c r="E250" s="6">
        <v>3150.0</v>
      </c>
      <c r="F250" s="6">
        <v>787.0</v>
      </c>
      <c r="G250" s="5" t="s">
        <v>52</v>
      </c>
      <c r="H250" s="5" t="s">
        <v>95</v>
      </c>
      <c r="I250" s="6" t="s">
        <v>40</v>
      </c>
      <c r="J250" s="5" t="s">
        <v>17203</v>
      </c>
      <c r="K250" s="5"/>
      <c r="L250" s="6" t="s">
        <v>42</v>
      </c>
      <c r="M250" s="5" t="s">
        <v>8746</v>
      </c>
      <c r="N250" s="5" t="s">
        <v>64</v>
      </c>
      <c r="O250" s="5" t="s">
        <v>18323</v>
      </c>
      <c r="P250" s="6">
        <v>5698.0</v>
      </c>
    </row>
    <row r="251" ht="56.25" customHeight="1">
      <c r="A251" s="5" t="s">
        <v>18320</v>
      </c>
      <c r="B251" s="16" t="str">
        <f>IMAGE("https://storage.googleapis.com/acdb/shoes/ShoesKneePowered1.png")</f>
        <v/>
      </c>
      <c r="C251" s="5" t="s">
        <v>68</v>
      </c>
      <c r="D251" s="5" t="s">
        <v>36</v>
      </c>
      <c r="E251" s="6">
        <v>3150.0</v>
      </c>
      <c r="F251" s="6">
        <v>787.0</v>
      </c>
      <c r="G251" s="5" t="s">
        <v>68</v>
      </c>
      <c r="H251" s="5" t="s">
        <v>96</v>
      </c>
      <c r="I251" s="6" t="s">
        <v>40</v>
      </c>
      <c r="J251" s="5" t="s">
        <v>17203</v>
      </c>
      <c r="K251" s="5"/>
      <c r="L251" s="6" t="s">
        <v>42</v>
      </c>
      <c r="M251" s="5" t="s">
        <v>8746</v>
      </c>
      <c r="N251" s="5" t="s">
        <v>64</v>
      </c>
      <c r="O251" s="5" t="s">
        <v>18325</v>
      </c>
      <c r="P251" s="6">
        <v>5698.0</v>
      </c>
    </row>
    <row r="252" ht="56.25" customHeight="1">
      <c r="A252" s="5" t="s">
        <v>18320</v>
      </c>
      <c r="B252" s="16" t="str">
        <f>IMAGE("https://storage.googleapis.com/acdb/shoes/ShoesKneePowered2.png")</f>
        <v/>
      </c>
      <c r="C252" s="5" t="s">
        <v>96</v>
      </c>
      <c r="D252" s="5" t="s">
        <v>36</v>
      </c>
      <c r="E252" s="6">
        <v>3150.0</v>
      </c>
      <c r="F252" s="6">
        <v>787.0</v>
      </c>
      <c r="G252" s="5" t="s">
        <v>96</v>
      </c>
      <c r="H252" s="5" t="s">
        <v>106</v>
      </c>
      <c r="I252" s="6" t="s">
        <v>40</v>
      </c>
      <c r="J252" s="5" t="s">
        <v>17203</v>
      </c>
      <c r="K252" s="5"/>
      <c r="L252" s="6" t="s">
        <v>42</v>
      </c>
      <c r="M252" s="5" t="s">
        <v>8746</v>
      </c>
      <c r="N252" s="5" t="s">
        <v>64</v>
      </c>
      <c r="O252" s="5" t="s">
        <v>18329</v>
      </c>
      <c r="P252" s="6">
        <v>5698.0</v>
      </c>
    </row>
    <row r="253" ht="56.25" customHeight="1">
      <c r="A253" s="5" t="s">
        <v>18320</v>
      </c>
      <c r="B253" s="16" t="str">
        <f>IMAGE("https://storage.googleapis.com/acdb/shoes/ShoesKneePowered3.png")</f>
        <v/>
      </c>
      <c r="C253" s="5" t="s">
        <v>54</v>
      </c>
      <c r="D253" s="5" t="s">
        <v>36</v>
      </c>
      <c r="E253" s="6">
        <v>3150.0</v>
      </c>
      <c r="F253" s="6">
        <v>787.0</v>
      </c>
      <c r="G253" s="5" t="s">
        <v>54</v>
      </c>
      <c r="H253" s="5" t="s">
        <v>52</v>
      </c>
      <c r="I253" s="6" t="s">
        <v>40</v>
      </c>
      <c r="J253" s="5" t="s">
        <v>17203</v>
      </c>
      <c r="K253" s="5"/>
      <c r="L253" s="6" t="s">
        <v>42</v>
      </c>
      <c r="M253" s="5" t="s">
        <v>8746</v>
      </c>
      <c r="N253" s="5" t="s">
        <v>64</v>
      </c>
      <c r="O253" s="5" t="s">
        <v>18330</v>
      </c>
      <c r="P253" s="6">
        <v>5698.0</v>
      </c>
    </row>
    <row r="254" ht="56.25" customHeight="1">
      <c r="A254" s="5" t="s">
        <v>18331</v>
      </c>
      <c r="B254" s="16" t="str">
        <f>IMAGE("https://storage.googleapis.com/acdb/shoes/ShoesKneeRainboots0.png")</f>
        <v/>
      </c>
      <c r="C254" s="5" t="s">
        <v>114</v>
      </c>
      <c r="D254" s="5" t="s">
        <v>36</v>
      </c>
      <c r="E254" s="6">
        <v>490.0</v>
      </c>
      <c r="F254" s="6">
        <v>122.0</v>
      </c>
      <c r="G254" s="5" t="s">
        <v>114</v>
      </c>
      <c r="H254" s="5" t="s">
        <v>114</v>
      </c>
      <c r="I254" s="6" t="s">
        <v>40</v>
      </c>
      <c r="J254" s="5" t="s">
        <v>8585</v>
      </c>
      <c r="K254" s="5" t="s">
        <v>8632</v>
      </c>
      <c r="L254" s="6" t="s">
        <v>42</v>
      </c>
      <c r="M254" s="5" t="s">
        <v>995</v>
      </c>
      <c r="N254" s="5" t="s">
        <v>64</v>
      </c>
      <c r="O254" s="5" t="s">
        <v>18335</v>
      </c>
      <c r="P254" s="6">
        <v>4733.0</v>
      </c>
    </row>
    <row r="255" ht="56.25" customHeight="1">
      <c r="A255" s="5" t="s">
        <v>18331</v>
      </c>
      <c r="B255" s="16" t="str">
        <f>IMAGE("https://storage.googleapis.com/acdb/shoes/ShoesKneeRainboots1.png")</f>
        <v/>
      </c>
      <c r="C255" s="5" t="s">
        <v>96</v>
      </c>
      <c r="D255" s="5" t="s">
        <v>36</v>
      </c>
      <c r="E255" s="6">
        <v>490.0</v>
      </c>
      <c r="F255" s="6">
        <v>122.0</v>
      </c>
      <c r="G255" s="5" t="s">
        <v>96</v>
      </c>
      <c r="H255" s="5" t="s">
        <v>96</v>
      </c>
      <c r="I255" s="6" t="s">
        <v>40</v>
      </c>
      <c r="J255" s="5" t="s">
        <v>8585</v>
      </c>
      <c r="K255" s="5" t="s">
        <v>8632</v>
      </c>
      <c r="L255" s="6" t="s">
        <v>42</v>
      </c>
      <c r="M255" s="5" t="s">
        <v>995</v>
      </c>
      <c r="N255" s="5" t="s">
        <v>64</v>
      </c>
      <c r="O255" s="5" t="s">
        <v>18337</v>
      </c>
      <c r="P255" s="6">
        <v>4733.0</v>
      </c>
    </row>
    <row r="256" ht="56.25" customHeight="1">
      <c r="A256" s="5" t="s">
        <v>18331</v>
      </c>
      <c r="B256" s="16" t="str">
        <f>IMAGE("https://storage.googleapis.com/acdb/shoes/ShoesKneeRainboots2.png")</f>
        <v/>
      </c>
      <c r="C256" s="5" t="s">
        <v>68</v>
      </c>
      <c r="D256" s="5" t="s">
        <v>36</v>
      </c>
      <c r="E256" s="6">
        <v>490.0</v>
      </c>
      <c r="F256" s="6">
        <v>122.0</v>
      </c>
      <c r="G256" s="5" t="s">
        <v>68</v>
      </c>
      <c r="H256" s="5" t="s">
        <v>68</v>
      </c>
      <c r="I256" s="6" t="s">
        <v>40</v>
      </c>
      <c r="J256" s="5" t="s">
        <v>8585</v>
      </c>
      <c r="K256" s="5" t="s">
        <v>8632</v>
      </c>
      <c r="L256" s="6" t="s">
        <v>42</v>
      </c>
      <c r="M256" s="5" t="s">
        <v>995</v>
      </c>
      <c r="N256" s="5" t="s">
        <v>64</v>
      </c>
      <c r="O256" s="5" t="s">
        <v>18339</v>
      </c>
      <c r="P256" s="6">
        <v>4733.0</v>
      </c>
    </row>
    <row r="257" ht="56.25" customHeight="1">
      <c r="A257" s="5" t="s">
        <v>18331</v>
      </c>
      <c r="B257" s="16" t="str">
        <f>IMAGE("https://storage.googleapis.com/acdb/shoes/ShoesKneeRainboots3.png")</f>
        <v/>
      </c>
      <c r="C257" s="5" t="s">
        <v>106</v>
      </c>
      <c r="D257" s="5" t="s">
        <v>36</v>
      </c>
      <c r="E257" s="6">
        <v>490.0</v>
      </c>
      <c r="F257" s="6">
        <v>122.0</v>
      </c>
      <c r="G257" s="5" t="s">
        <v>106</v>
      </c>
      <c r="H257" s="5" t="s">
        <v>106</v>
      </c>
      <c r="I257" s="6" t="s">
        <v>40</v>
      </c>
      <c r="J257" s="5" t="s">
        <v>8585</v>
      </c>
      <c r="K257" s="5" t="s">
        <v>8632</v>
      </c>
      <c r="L257" s="6" t="s">
        <v>42</v>
      </c>
      <c r="M257" s="5" t="s">
        <v>995</v>
      </c>
      <c r="N257" s="5" t="s">
        <v>64</v>
      </c>
      <c r="O257" s="5" t="s">
        <v>18342</v>
      </c>
      <c r="P257" s="6">
        <v>4733.0</v>
      </c>
    </row>
    <row r="258" ht="56.25" customHeight="1">
      <c r="A258" s="5" t="s">
        <v>18331</v>
      </c>
      <c r="B258" s="16" t="str">
        <f>IMAGE("https://storage.googleapis.com/acdb/shoes/ShoesKneeRainboots4.png")</f>
        <v/>
      </c>
      <c r="C258" s="5" t="s">
        <v>69</v>
      </c>
      <c r="D258" s="5" t="s">
        <v>36</v>
      </c>
      <c r="E258" s="6">
        <v>490.0</v>
      </c>
      <c r="F258" s="6">
        <v>122.0</v>
      </c>
      <c r="G258" s="5" t="s">
        <v>69</v>
      </c>
      <c r="H258" s="5" t="s">
        <v>69</v>
      </c>
      <c r="I258" s="6" t="s">
        <v>40</v>
      </c>
      <c r="J258" s="5" t="s">
        <v>8585</v>
      </c>
      <c r="K258" s="5" t="s">
        <v>8632</v>
      </c>
      <c r="L258" s="6" t="s">
        <v>42</v>
      </c>
      <c r="M258" s="5" t="s">
        <v>995</v>
      </c>
      <c r="N258" s="5" t="s">
        <v>64</v>
      </c>
      <c r="O258" s="5" t="s">
        <v>18344</v>
      </c>
      <c r="P258" s="6">
        <v>4733.0</v>
      </c>
    </row>
    <row r="259" ht="56.25" customHeight="1">
      <c r="A259" s="5" t="s">
        <v>18331</v>
      </c>
      <c r="B259" s="16" t="str">
        <f>IMAGE("https://storage.googleapis.com/acdb/shoes/ShoesKneeRainboots5.png")</f>
        <v/>
      </c>
      <c r="C259" s="5" t="s">
        <v>52</v>
      </c>
      <c r="D259" s="5" t="s">
        <v>36</v>
      </c>
      <c r="E259" s="6">
        <v>490.0</v>
      </c>
      <c r="F259" s="6">
        <v>122.0</v>
      </c>
      <c r="G259" s="5" t="s">
        <v>52</v>
      </c>
      <c r="H259" s="5" t="s">
        <v>52</v>
      </c>
      <c r="I259" s="6" t="s">
        <v>40</v>
      </c>
      <c r="J259" s="5" t="s">
        <v>8585</v>
      </c>
      <c r="K259" s="5" t="s">
        <v>8632</v>
      </c>
      <c r="L259" s="6" t="s">
        <v>42</v>
      </c>
      <c r="M259" s="5" t="s">
        <v>995</v>
      </c>
      <c r="N259" s="5" t="s">
        <v>64</v>
      </c>
      <c r="O259" s="5" t="s">
        <v>18347</v>
      </c>
      <c r="P259" s="6">
        <v>4733.0</v>
      </c>
    </row>
    <row r="260" ht="56.25" customHeight="1">
      <c r="A260" s="5" t="s">
        <v>18331</v>
      </c>
      <c r="B260" s="16" t="str">
        <f>IMAGE("https://storage.googleapis.com/acdb/shoes/ShoesKneeRainboots6.png")</f>
        <v/>
      </c>
      <c r="C260" s="5" t="s">
        <v>38</v>
      </c>
      <c r="D260" s="5" t="s">
        <v>36</v>
      </c>
      <c r="E260" s="6">
        <v>490.0</v>
      </c>
      <c r="F260" s="6">
        <v>122.0</v>
      </c>
      <c r="G260" s="5" t="s">
        <v>38</v>
      </c>
      <c r="H260" s="5" t="s">
        <v>38</v>
      </c>
      <c r="I260" s="6" t="s">
        <v>40</v>
      </c>
      <c r="J260" s="5" t="s">
        <v>8585</v>
      </c>
      <c r="K260" s="5" t="s">
        <v>8632</v>
      </c>
      <c r="L260" s="6" t="s">
        <v>42</v>
      </c>
      <c r="M260" s="5" t="s">
        <v>995</v>
      </c>
      <c r="N260" s="5" t="s">
        <v>64</v>
      </c>
      <c r="O260" s="5" t="s">
        <v>18349</v>
      </c>
      <c r="P260" s="6">
        <v>4733.0</v>
      </c>
    </row>
    <row r="261" ht="56.25" customHeight="1">
      <c r="A261" s="5" t="s">
        <v>18331</v>
      </c>
      <c r="B261" s="16" t="str">
        <f>IMAGE("https://storage.googleapis.com/acdb/shoes/ShoesKneeRainboots7.png")</f>
        <v/>
      </c>
      <c r="C261" s="5" t="s">
        <v>54</v>
      </c>
      <c r="D261" s="5" t="s">
        <v>36</v>
      </c>
      <c r="E261" s="6">
        <v>490.0</v>
      </c>
      <c r="F261" s="6">
        <v>122.0</v>
      </c>
      <c r="G261" s="5" t="s">
        <v>54</v>
      </c>
      <c r="H261" s="5" t="s">
        <v>54</v>
      </c>
      <c r="I261" s="6" t="s">
        <v>40</v>
      </c>
      <c r="J261" s="5" t="s">
        <v>8585</v>
      </c>
      <c r="K261" s="5" t="s">
        <v>8632</v>
      </c>
      <c r="L261" s="6" t="s">
        <v>42</v>
      </c>
      <c r="M261" s="5" t="s">
        <v>995</v>
      </c>
      <c r="N261" s="5" t="s">
        <v>64</v>
      </c>
      <c r="O261" s="5" t="s">
        <v>18352</v>
      </c>
      <c r="P261" s="6">
        <v>4733.0</v>
      </c>
    </row>
    <row r="262" ht="56.25" customHeight="1">
      <c r="A262" s="5" t="s">
        <v>18353</v>
      </c>
      <c r="B262" s="16" t="str">
        <f>IMAGE("https://storage.googleapis.com/acdb/shoes/ShoesKneeRecyclingboots0.png")</f>
        <v/>
      </c>
      <c r="C262" s="5" t="s">
        <v>39</v>
      </c>
      <c r="D262" s="5" t="s">
        <v>35</v>
      </c>
      <c r="E262" s="6" t="s">
        <v>37</v>
      </c>
      <c r="F262" s="6">
        <v>40.0</v>
      </c>
      <c r="G262" s="5" t="s">
        <v>39</v>
      </c>
      <c r="H262" s="5" t="s">
        <v>95</v>
      </c>
      <c r="I262" s="6" t="s">
        <v>40</v>
      </c>
      <c r="J262" s="5" t="s">
        <v>41</v>
      </c>
      <c r="K262" s="5"/>
      <c r="L262" s="6" t="s">
        <v>42</v>
      </c>
      <c r="M262" s="5" t="s">
        <v>995</v>
      </c>
      <c r="N262" s="5" t="s">
        <v>48</v>
      </c>
      <c r="O262" s="5" t="s">
        <v>18356</v>
      </c>
      <c r="P262" s="6">
        <v>12326.0</v>
      </c>
    </row>
    <row r="263" ht="56.25" customHeight="1">
      <c r="A263" s="5" t="s">
        <v>18358</v>
      </c>
      <c r="B263" s="16" t="str">
        <f>IMAGE("https://storage.googleapis.com/acdb/shoes/ShoesLowcutToilet0.png")</f>
        <v/>
      </c>
      <c r="C263" s="5" t="s">
        <v>1187</v>
      </c>
      <c r="D263" s="5" t="s">
        <v>36</v>
      </c>
      <c r="E263" s="6">
        <v>350.0</v>
      </c>
      <c r="F263" s="6">
        <v>87.0</v>
      </c>
      <c r="G263" s="5" t="s">
        <v>68</v>
      </c>
      <c r="H263" s="5" t="s">
        <v>68</v>
      </c>
      <c r="I263" s="6" t="s">
        <v>40</v>
      </c>
      <c r="J263" s="5" t="s">
        <v>17203</v>
      </c>
      <c r="K263" s="5"/>
      <c r="L263" s="6" t="s">
        <v>42</v>
      </c>
      <c r="M263" s="5" t="s">
        <v>995</v>
      </c>
      <c r="N263" s="5" t="s">
        <v>64</v>
      </c>
      <c r="O263" s="5" t="s">
        <v>18361</v>
      </c>
      <c r="P263" s="6">
        <v>5800.0</v>
      </c>
    </row>
    <row r="264" ht="56.25" customHeight="1">
      <c r="A264" s="5" t="s">
        <v>18358</v>
      </c>
      <c r="B264" s="16" t="str">
        <f>IMAGE("https://storage.googleapis.com/acdb/shoes/ShoesLowcutToilet1.png")</f>
        <v/>
      </c>
      <c r="C264" s="5" t="s">
        <v>52</v>
      </c>
      <c r="D264" s="5" t="s">
        <v>36</v>
      </c>
      <c r="E264" s="6">
        <v>350.0</v>
      </c>
      <c r="F264" s="6">
        <v>87.0</v>
      </c>
      <c r="G264" s="5" t="s">
        <v>52</v>
      </c>
      <c r="H264" s="5" t="s">
        <v>52</v>
      </c>
      <c r="I264" s="6" t="s">
        <v>40</v>
      </c>
      <c r="J264" s="5" t="s">
        <v>17203</v>
      </c>
      <c r="K264" s="5"/>
      <c r="L264" s="6" t="s">
        <v>42</v>
      </c>
      <c r="M264" s="5" t="s">
        <v>995</v>
      </c>
      <c r="N264" s="5" t="s">
        <v>64</v>
      </c>
      <c r="O264" s="5" t="s">
        <v>18364</v>
      </c>
      <c r="P264" s="6">
        <v>5800.0</v>
      </c>
    </row>
    <row r="265" ht="56.25" customHeight="1">
      <c r="A265" s="5" t="s">
        <v>18358</v>
      </c>
      <c r="B265" s="16" t="str">
        <f>IMAGE("https://storage.googleapis.com/acdb/shoes/ShoesLowcutToilet2.png")</f>
        <v/>
      </c>
      <c r="C265" s="5" t="s">
        <v>96</v>
      </c>
      <c r="D265" s="5" t="s">
        <v>36</v>
      </c>
      <c r="E265" s="6">
        <v>350.0</v>
      </c>
      <c r="F265" s="6">
        <v>87.0</v>
      </c>
      <c r="G265" s="5" t="s">
        <v>96</v>
      </c>
      <c r="H265" s="5" t="s">
        <v>96</v>
      </c>
      <c r="I265" s="6" t="s">
        <v>40</v>
      </c>
      <c r="J265" s="5" t="s">
        <v>17203</v>
      </c>
      <c r="K265" s="5"/>
      <c r="L265" s="6" t="s">
        <v>42</v>
      </c>
      <c r="M265" s="5" t="s">
        <v>995</v>
      </c>
      <c r="N265" s="5" t="s">
        <v>64</v>
      </c>
      <c r="O265" s="5" t="s">
        <v>18368</v>
      </c>
      <c r="P265" s="6">
        <v>5800.0</v>
      </c>
    </row>
    <row r="266" ht="56.25" customHeight="1">
      <c r="A266" s="5" t="s">
        <v>18358</v>
      </c>
      <c r="B266" s="16" t="str">
        <f>IMAGE("https://storage.googleapis.com/acdb/shoes/ShoesLowcutToilet3.png")</f>
        <v/>
      </c>
      <c r="C266" s="5" t="s">
        <v>83</v>
      </c>
      <c r="D266" s="5" t="s">
        <v>36</v>
      </c>
      <c r="E266" s="6">
        <v>350.0</v>
      </c>
      <c r="F266" s="6">
        <v>87.0</v>
      </c>
      <c r="G266" s="5" t="s">
        <v>83</v>
      </c>
      <c r="H266" s="5" t="s">
        <v>83</v>
      </c>
      <c r="I266" s="6" t="s">
        <v>40</v>
      </c>
      <c r="J266" s="5" t="s">
        <v>17203</v>
      </c>
      <c r="K266" s="5"/>
      <c r="L266" s="6" t="s">
        <v>42</v>
      </c>
      <c r="M266" s="5" t="s">
        <v>995</v>
      </c>
      <c r="N266" s="5" t="s">
        <v>64</v>
      </c>
      <c r="O266" s="5" t="s">
        <v>18370</v>
      </c>
      <c r="P266" s="6">
        <v>5800.0</v>
      </c>
    </row>
    <row r="267" ht="56.25" customHeight="1">
      <c r="A267" s="5" t="s">
        <v>18358</v>
      </c>
      <c r="B267" s="16" t="str">
        <f>IMAGE("https://storage.googleapis.com/acdb/shoes/ShoesLowcutToilet4.png")</f>
        <v/>
      </c>
      <c r="C267" s="5" t="s">
        <v>69</v>
      </c>
      <c r="D267" s="5" t="s">
        <v>36</v>
      </c>
      <c r="E267" s="6">
        <v>350.0</v>
      </c>
      <c r="F267" s="6">
        <v>87.0</v>
      </c>
      <c r="G267" s="5" t="s">
        <v>69</v>
      </c>
      <c r="H267" s="5" t="s">
        <v>69</v>
      </c>
      <c r="I267" s="6" t="s">
        <v>40</v>
      </c>
      <c r="J267" s="5" t="s">
        <v>17203</v>
      </c>
      <c r="K267" s="5"/>
      <c r="L267" s="6" t="s">
        <v>42</v>
      </c>
      <c r="M267" s="5" t="s">
        <v>995</v>
      </c>
      <c r="N267" s="5" t="s">
        <v>64</v>
      </c>
      <c r="O267" s="5" t="s">
        <v>18373</v>
      </c>
      <c r="P267" s="6">
        <v>5800.0</v>
      </c>
    </row>
    <row r="268" ht="56.25" customHeight="1">
      <c r="A268" s="5" t="s">
        <v>18374</v>
      </c>
      <c r="B268" s="16" t="str">
        <f>IMAGE("https://storage.googleapis.com/acdb/shoes/ShoesSandalRibbon0.png")</f>
        <v/>
      </c>
      <c r="C268" s="5" t="s">
        <v>68</v>
      </c>
      <c r="D268" s="5" t="s">
        <v>36</v>
      </c>
      <c r="E268" s="6">
        <v>1300.0</v>
      </c>
      <c r="F268" s="6">
        <v>325.0</v>
      </c>
      <c r="G268" s="5" t="s">
        <v>68</v>
      </c>
      <c r="H268" s="5" t="s">
        <v>38</v>
      </c>
      <c r="I268" s="6" t="s">
        <v>40</v>
      </c>
      <c r="J268" s="5" t="s">
        <v>8585</v>
      </c>
      <c r="K268" s="5" t="s">
        <v>8632</v>
      </c>
      <c r="L268" s="6" t="s">
        <v>42</v>
      </c>
      <c r="M268" s="5" t="s">
        <v>1959</v>
      </c>
      <c r="N268" s="5" t="s">
        <v>64</v>
      </c>
      <c r="O268" s="5" t="s">
        <v>18377</v>
      </c>
      <c r="P268" s="6">
        <v>5814.0</v>
      </c>
    </row>
    <row r="269" ht="56.25" customHeight="1">
      <c r="A269" s="5" t="s">
        <v>18374</v>
      </c>
      <c r="B269" s="16" t="str">
        <f>IMAGE("https://storage.googleapis.com/acdb/shoes/ShoesSandalRibbon1.png")</f>
        <v/>
      </c>
      <c r="C269" s="5" t="s">
        <v>57</v>
      </c>
      <c r="D269" s="5" t="s">
        <v>36</v>
      </c>
      <c r="E269" s="6">
        <v>1300.0</v>
      </c>
      <c r="F269" s="6">
        <v>325.0</v>
      </c>
      <c r="G269" s="5" t="s">
        <v>57</v>
      </c>
      <c r="H269" s="5" t="s">
        <v>38</v>
      </c>
      <c r="I269" s="6" t="s">
        <v>40</v>
      </c>
      <c r="J269" s="5" t="s">
        <v>8585</v>
      </c>
      <c r="K269" s="5" t="s">
        <v>8632</v>
      </c>
      <c r="L269" s="6" t="s">
        <v>42</v>
      </c>
      <c r="M269" s="5" t="s">
        <v>1959</v>
      </c>
      <c r="N269" s="5" t="s">
        <v>64</v>
      </c>
      <c r="O269" s="5" t="s">
        <v>18379</v>
      </c>
      <c r="P269" s="6">
        <v>5814.0</v>
      </c>
    </row>
    <row r="270" ht="56.25" customHeight="1">
      <c r="A270" s="5" t="s">
        <v>18374</v>
      </c>
      <c r="B270" s="16" t="str">
        <f>IMAGE("https://storage.googleapis.com/acdb/shoes/ShoesSandalRibbon2.png")</f>
        <v/>
      </c>
      <c r="C270" s="5" t="s">
        <v>69</v>
      </c>
      <c r="D270" s="5" t="s">
        <v>36</v>
      </c>
      <c r="E270" s="6">
        <v>1300.0</v>
      </c>
      <c r="F270" s="6">
        <v>325.0</v>
      </c>
      <c r="G270" s="5" t="s">
        <v>69</v>
      </c>
      <c r="H270" s="5" t="s">
        <v>38</v>
      </c>
      <c r="I270" s="6" t="s">
        <v>40</v>
      </c>
      <c r="J270" s="5" t="s">
        <v>8585</v>
      </c>
      <c r="K270" s="5" t="s">
        <v>8632</v>
      </c>
      <c r="L270" s="6" t="s">
        <v>42</v>
      </c>
      <c r="M270" s="5" t="s">
        <v>1959</v>
      </c>
      <c r="N270" s="5" t="s">
        <v>64</v>
      </c>
      <c r="O270" s="5" t="s">
        <v>18383</v>
      </c>
      <c r="P270" s="6">
        <v>5814.0</v>
      </c>
    </row>
    <row r="271" ht="56.25" customHeight="1">
      <c r="A271" s="5" t="s">
        <v>18374</v>
      </c>
      <c r="B271" s="16" t="str">
        <f>IMAGE("https://storage.googleapis.com/acdb/shoes/ShoesSandalRibbon3.png")</f>
        <v/>
      </c>
      <c r="C271" s="5" t="s">
        <v>114</v>
      </c>
      <c r="D271" s="5" t="s">
        <v>36</v>
      </c>
      <c r="E271" s="6">
        <v>1300.0</v>
      </c>
      <c r="F271" s="6">
        <v>325.0</v>
      </c>
      <c r="G271" s="5" t="s">
        <v>114</v>
      </c>
      <c r="H271" s="5" t="s">
        <v>38</v>
      </c>
      <c r="I271" s="6" t="s">
        <v>40</v>
      </c>
      <c r="J271" s="5" t="s">
        <v>8585</v>
      </c>
      <c r="K271" s="5" t="s">
        <v>8632</v>
      </c>
      <c r="L271" s="6" t="s">
        <v>42</v>
      </c>
      <c r="M271" s="5" t="s">
        <v>1959</v>
      </c>
      <c r="N271" s="5" t="s">
        <v>64</v>
      </c>
      <c r="O271" s="5" t="s">
        <v>18385</v>
      </c>
      <c r="P271" s="6">
        <v>5814.0</v>
      </c>
    </row>
    <row r="272" ht="56.25" customHeight="1">
      <c r="A272" s="5" t="s">
        <v>18374</v>
      </c>
      <c r="B272" s="16" t="str">
        <f>IMAGE("https://storage.googleapis.com/acdb/shoes/ShoesSandalRibbon4.png")</f>
        <v/>
      </c>
      <c r="C272" s="5" t="s">
        <v>96</v>
      </c>
      <c r="D272" s="5" t="s">
        <v>36</v>
      </c>
      <c r="E272" s="6">
        <v>1300.0</v>
      </c>
      <c r="F272" s="6">
        <v>325.0</v>
      </c>
      <c r="G272" s="5" t="s">
        <v>96</v>
      </c>
      <c r="H272" s="5" t="s">
        <v>38</v>
      </c>
      <c r="I272" s="6" t="s">
        <v>40</v>
      </c>
      <c r="J272" s="5" t="s">
        <v>8585</v>
      </c>
      <c r="K272" s="5" t="s">
        <v>8632</v>
      </c>
      <c r="L272" s="6" t="s">
        <v>42</v>
      </c>
      <c r="M272" s="5" t="s">
        <v>1959</v>
      </c>
      <c r="N272" s="5" t="s">
        <v>64</v>
      </c>
      <c r="O272" s="5" t="s">
        <v>18388</v>
      </c>
      <c r="P272" s="6">
        <v>5814.0</v>
      </c>
    </row>
    <row r="273" ht="56.25" customHeight="1">
      <c r="A273" s="5" t="s">
        <v>18374</v>
      </c>
      <c r="B273" s="16" t="str">
        <f>IMAGE("https://storage.googleapis.com/acdb/shoes/ShoesSandalRibbon5.png")</f>
        <v/>
      </c>
      <c r="C273" s="5" t="s">
        <v>4883</v>
      </c>
      <c r="D273" s="5" t="s">
        <v>36</v>
      </c>
      <c r="E273" s="6">
        <v>1300.0</v>
      </c>
      <c r="F273" s="6">
        <v>325.0</v>
      </c>
      <c r="G273" s="5" t="s">
        <v>52</v>
      </c>
      <c r="H273" s="5" t="s">
        <v>38</v>
      </c>
      <c r="I273" s="6" t="s">
        <v>40</v>
      </c>
      <c r="J273" s="5" t="s">
        <v>8585</v>
      </c>
      <c r="K273" s="5" t="s">
        <v>8632</v>
      </c>
      <c r="L273" s="6" t="s">
        <v>42</v>
      </c>
      <c r="M273" s="5" t="s">
        <v>1959</v>
      </c>
      <c r="N273" s="5" t="s">
        <v>64</v>
      </c>
      <c r="O273" s="5" t="s">
        <v>18390</v>
      </c>
      <c r="P273" s="6">
        <v>5814.0</v>
      </c>
    </row>
    <row r="274" ht="56.25" customHeight="1">
      <c r="A274" s="5" t="s">
        <v>18374</v>
      </c>
      <c r="B274" s="16" t="str">
        <f>IMAGE("https://storage.googleapis.com/acdb/shoes/ShoesSandalRibbon6.png")</f>
        <v/>
      </c>
      <c r="C274" s="5" t="s">
        <v>54</v>
      </c>
      <c r="D274" s="5" t="s">
        <v>36</v>
      </c>
      <c r="E274" s="6">
        <v>1300.0</v>
      </c>
      <c r="F274" s="6">
        <v>325.0</v>
      </c>
      <c r="G274" s="5" t="s">
        <v>54</v>
      </c>
      <c r="H274" s="5" t="s">
        <v>38</v>
      </c>
      <c r="I274" s="6" t="s">
        <v>40</v>
      </c>
      <c r="J274" s="5" t="s">
        <v>8585</v>
      </c>
      <c r="K274" s="5" t="s">
        <v>8632</v>
      </c>
      <c r="L274" s="6" t="s">
        <v>42</v>
      </c>
      <c r="M274" s="5" t="s">
        <v>1959</v>
      </c>
      <c r="N274" s="5" t="s">
        <v>64</v>
      </c>
      <c r="O274" s="5" t="s">
        <v>18393</v>
      </c>
      <c r="P274" s="6">
        <v>5814.0</v>
      </c>
    </row>
    <row r="275" ht="56.25" customHeight="1">
      <c r="A275" s="5" t="s">
        <v>18374</v>
      </c>
      <c r="B275" s="16" t="str">
        <f>IMAGE("https://storage.googleapis.com/acdb/shoes/ShoesSandalRibbon7.png")</f>
        <v/>
      </c>
      <c r="C275" s="5" t="s">
        <v>38</v>
      </c>
      <c r="D275" s="5" t="s">
        <v>36</v>
      </c>
      <c r="E275" s="6">
        <v>1300.0</v>
      </c>
      <c r="F275" s="6">
        <v>325.0</v>
      </c>
      <c r="G275" s="5" t="s">
        <v>95</v>
      </c>
      <c r="H275" s="5" t="s">
        <v>38</v>
      </c>
      <c r="I275" s="6" t="s">
        <v>40</v>
      </c>
      <c r="J275" s="5" t="s">
        <v>8585</v>
      </c>
      <c r="K275" s="5" t="s">
        <v>8632</v>
      </c>
      <c r="L275" s="6" t="s">
        <v>42</v>
      </c>
      <c r="M275" s="5" t="s">
        <v>1959</v>
      </c>
      <c r="N275" s="5" t="s">
        <v>64</v>
      </c>
      <c r="O275" s="5" t="s">
        <v>18395</v>
      </c>
      <c r="P275" s="6">
        <v>5814.0</v>
      </c>
    </row>
    <row r="276" ht="56.25" customHeight="1">
      <c r="A276" s="5" t="s">
        <v>18396</v>
      </c>
      <c r="B276" s="16" t="str">
        <f>IMAGE("https://storage.googleapis.com/acdb/shoes/ShoesHighcutRubbertoe0.png")</f>
        <v/>
      </c>
      <c r="C276" s="5" t="s">
        <v>68</v>
      </c>
      <c r="D276" s="5" t="s">
        <v>36</v>
      </c>
      <c r="E276" s="6">
        <v>1260.0</v>
      </c>
      <c r="F276" s="6">
        <v>315.0</v>
      </c>
      <c r="G276" s="5" t="s">
        <v>68</v>
      </c>
      <c r="H276" s="5" t="s">
        <v>57</v>
      </c>
      <c r="I276" s="6" t="s">
        <v>40</v>
      </c>
      <c r="J276" s="5" t="s">
        <v>8585</v>
      </c>
      <c r="K276" s="5" t="s">
        <v>8586</v>
      </c>
      <c r="L276" s="6" t="s">
        <v>42</v>
      </c>
      <c r="M276" s="5" t="s">
        <v>995</v>
      </c>
      <c r="N276" s="5" t="s">
        <v>64</v>
      </c>
      <c r="O276" s="5" t="s">
        <v>18399</v>
      </c>
      <c r="P276" s="6">
        <v>5617.0</v>
      </c>
    </row>
    <row r="277" ht="56.25" customHeight="1">
      <c r="A277" s="5" t="s">
        <v>18396</v>
      </c>
      <c r="B277" s="16" t="str">
        <f>IMAGE("https://storage.googleapis.com/acdb/shoes/ShoesHighcutRubbertoe1.png")</f>
        <v/>
      </c>
      <c r="C277" s="5" t="s">
        <v>10757</v>
      </c>
      <c r="D277" s="5" t="s">
        <v>36</v>
      </c>
      <c r="E277" s="6">
        <v>1260.0</v>
      </c>
      <c r="F277" s="6">
        <v>315.0</v>
      </c>
      <c r="G277" s="5" t="s">
        <v>96</v>
      </c>
      <c r="H277" s="5" t="s">
        <v>57</v>
      </c>
      <c r="I277" s="6" t="s">
        <v>40</v>
      </c>
      <c r="J277" s="5" t="s">
        <v>8585</v>
      </c>
      <c r="K277" s="5" t="s">
        <v>8586</v>
      </c>
      <c r="L277" s="6" t="s">
        <v>42</v>
      </c>
      <c r="M277" s="5" t="s">
        <v>995</v>
      </c>
      <c r="N277" s="5" t="s">
        <v>64</v>
      </c>
      <c r="O277" s="5" t="s">
        <v>18401</v>
      </c>
      <c r="P277" s="6">
        <v>5617.0</v>
      </c>
    </row>
    <row r="278" ht="56.25" customHeight="1">
      <c r="A278" s="5" t="s">
        <v>18396</v>
      </c>
      <c r="B278" s="16" t="str">
        <f>IMAGE("https://storage.googleapis.com/acdb/shoes/ShoesHighcutRubbertoe2.png")</f>
        <v/>
      </c>
      <c r="C278" s="5" t="s">
        <v>38</v>
      </c>
      <c r="D278" s="5" t="s">
        <v>36</v>
      </c>
      <c r="E278" s="6">
        <v>1260.0</v>
      </c>
      <c r="F278" s="6">
        <v>315.0</v>
      </c>
      <c r="G278" s="5" t="s">
        <v>38</v>
      </c>
      <c r="H278" s="5" t="s">
        <v>57</v>
      </c>
      <c r="I278" s="6" t="s">
        <v>40</v>
      </c>
      <c r="J278" s="5" t="s">
        <v>8585</v>
      </c>
      <c r="K278" s="5" t="s">
        <v>8586</v>
      </c>
      <c r="L278" s="6" t="s">
        <v>42</v>
      </c>
      <c r="M278" s="5" t="s">
        <v>995</v>
      </c>
      <c r="N278" s="5" t="s">
        <v>64</v>
      </c>
      <c r="O278" s="5" t="s">
        <v>18403</v>
      </c>
      <c r="P278" s="6">
        <v>5617.0</v>
      </c>
    </row>
    <row r="279" ht="56.25" customHeight="1">
      <c r="A279" s="5" t="s">
        <v>18396</v>
      </c>
      <c r="B279" s="16" t="str">
        <f>IMAGE("https://storage.googleapis.com/acdb/shoes/ShoesHighcutRubbertoe3.png")</f>
        <v/>
      </c>
      <c r="C279" s="5" t="s">
        <v>69</v>
      </c>
      <c r="D279" s="5" t="s">
        <v>36</v>
      </c>
      <c r="E279" s="6">
        <v>1260.0</v>
      </c>
      <c r="F279" s="6">
        <v>315.0</v>
      </c>
      <c r="G279" s="5" t="s">
        <v>69</v>
      </c>
      <c r="H279" s="5" t="s">
        <v>57</v>
      </c>
      <c r="I279" s="6" t="s">
        <v>40</v>
      </c>
      <c r="J279" s="5" t="s">
        <v>8585</v>
      </c>
      <c r="K279" s="5" t="s">
        <v>8586</v>
      </c>
      <c r="L279" s="6" t="s">
        <v>42</v>
      </c>
      <c r="M279" s="5" t="s">
        <v>995</v>
      </c>
      <c r="N279" s="5" t="s">
        <v>64</v>
      </c>
      <c r="O279" s="5" t="s">
        <v>18405</v>
      </c>
      <c r="P279" s="6">
        <v>5617.0</v>
      </c>
    </row>
    <row r="280" ht="56.25" customHeight="1">
      <c r="A280" s="5" t="s">
        <v>18396</v>
      </c>
      <c r="B280" s="16" t="str">
        <f>IMAGE("https://storage.googleapis.com/acdb/shoes/ShoesHighcutRubbertoe4.png")</f>
        <v/>
      </c>
      <c r="C280" s="5" t="s">
        <v>4883</v>
      </c>
      <c r="D280" s="5" t="s">
        <v>36</v>
      </c>
      <c r="E280" s="6">
        <v>1260.0</v>
      </c>
      <c r="F280" s="6">
        <v>315.0</v>
      </c>
      <c r="G280" s="5" t="s">
        <v>52</v>
      </c>
      <c r="H280" s="5" t="s">
        <v>57</v>
      </c>
      <c r="I280" s="6" t="s">
        <v>40</v>
      </c>
      <c r="J280" s="5" t="s">
        <v>8585</v>
      </c>
      <c r="K280" s="5" t="s">
        <v>8586</v>
      </c>
      <c r="L280" s="6" t="s">
        <v>42</v>
      </c>
      <c r="M280" s="5" t="s">
        <v>995</v>
      </c>
      <c r="N280" s="5" t="s">
        <v>64</v>
      </c>
      <c r="O280" s="5" t="s">
        <v>18406</v>
      </c>
      <c r="P280" s="6">
        <v>5617.0</v>
      </c>
    </row>
    <row r="281" ht="56.25" customHeight="1">
      <c r="A281" s="5" t="s">
        <v>18396</v>
      </c>
      <c r="B281" s="16" t="str">
        <f>IMAGE("https://storage.googleapis.com/acdb/shoes/ShoesHighcutRubbertoe5.png")</f>
        <v/>
      </c>
      <c r="C281" s="5" t="s">
        <v>10486</v>
      </c>
      <c r="D281" s="5" t="s">
        <v>36</v>
      </c>
      <c r="E281" s="6">
        <v>1260.0</v>
      </c>
      <c r="F281" s="6">
        <v>315.0</v>
      </c>
      <c r="G281" s="5" t="s">
        <v>142</v>
      </c>
      <c r="H281" s="5" t="s">
        <v>57</v>
      </c>
      <c r="I281" s="6" t="s">
        <v>40</v>
      </c>
      <c r="J281" s="5" t="s">
        <v>8585</v>
      </c>
      <c r="K281" s="5" t="s">
        <v>8586</v>
      </c>
      <c r="L281" s="6" t="s">
        <v>42</v>
      </c>
      <c r="M281" s="5" t="s">
        <v>995</v>
      </c>
      <c r="N281" s="5" t="s">
        <v>64</v>
      </c>
      <c r="O281" s="5" t="s">
        <v>18409</v>
      </c>
      <c r="P281" s="6">
        <v>5617.0</v>
      </c>
    </row>
    <row r="282" ht="56.25" customHeight="1">
      <c r="A282" s="5" t="s">
        <v>18396</v>
      </c>
      <c r="B282" s="16" t="str">
        <f>IMAGE("https://storage.googleapis.com/acdb/shoes/ShoesHighcutRubbertoe6.png")</f>
        <v/>
      </c>
      <c r="C282" s="5" t="s">
        <v>186</v>
      </c>
      <c r="D282" s="5" t="s">
        <v>36</v>
      </c>
      <c r="E282" s="6">
        <v>1260.0</v>
      </c>
      <c r="F282" s="6">
        <v>315.0</v>
      </c>
      <c r="G282" s="5" t="s">
        <v>57</v>
      </c>
      <c r="H282" s="5" t="s">
        <v>57</v>
      </c>
      <c r="I282" s="6" t="s">
        <v>40</v>
      </c>
      <c r="J282" s="5" t="s">
        <v>8585</v>
      </c>
      <c r="K282" s="5" t="s">
        <v>8586</v>
      </c>
      <c r="L282" s="6" t="s">
        <v>42</v>
      </c>
      <c r="M282" s="5" t="s">
        <v>995</v>
      </c>
      <c r="N282" s="5" t="s">
        <v>64</v>
      </c>
      <c r="O282" s="5" t="s">
        <v>18410</v>
      </c>
      <c r="P282" s="6">
        <v>5617.0</v>
      </c>
    </row>
    <row r="283" ht="56.25" customHeight="1">
      <c r="A283" s="5" t="s">
        <v>18396</v>
      </c>
      <c r="B283" s="16" t="str">
        <f>IMAGE("https://storage.googleapis.com/acdb/shoes/ShoesHighcutRubbertoe7.png")</f>
        <v/>
      </c>
      <c r="C283" s="5" t="s">
        <v>54</v>
      </c>
      <c r="D283" s="5" t="s">
        <v>36</v>
      </c>
      <c r="E283" s="6">
        <v>1260.0</v>
      </c>
      <c r="F283" s="6">
        <v>315.0</v>
      </c>
      <c r="G283" s="5" t="s">
        <v>54</v>
      </c>
      <c r="H283" s="5" t="s">
        <v>54</v>
      </c>
      <c r="I283" s="6" t="s">
        <v>40</v>
      </c>
      <c r="J283" s="5" t="s">
        <v>8585</v>
      </c>
      <c r="K283" s="5" t="s">
        <v>8586</v>
      </c>
      <c r="L283" s="6" t="s">
        <v>42</v>
      </c>
      <c r="M283" s="5" t="s">
        <v>995</v>
      </c>
      <c r="N283" s="5" t="s">
        <v>64</v>
      </c>
      <c r="O283" s="5" t="s">
        <v>18412</v>
      </c>
      <c r="P283" s="6">
        <v>5617.0</v>
      </c>
    </row>
    <row r="284" ht="56.25" customHeight="1">
      <c r="A284" s="5" t="s">
        <v>18413</v>
      </c>
      <c r="B284" s="16" t="str">
        <f>IMAGE("https://storage.googleapis.com/acdb/shoes/ShoesLowcutRubbertoe0.png")</f>
        <v/>
      </c>
      <c r="C284" s="5" t="s">
        <v>106</v>
      </c>
      <c r="D284" s="5" t="s">
        <v>36</v>
      </c>
      <c r="E284" s="6">
        <v>1080.0</v>
      </c>
      <c r="F284" s="6">
        <v>270.0</v>
      </c>
      <c r="G284" s="5" t="s">
        <v>106</v>
      </c>
      <c r="H284" s="5" t="s">
        <v>57</v>
      </c>
      <c r="I284" s="6" t="s">
        <v>40</v>
      </c>
      <c r="J284" s="5" t="s">
        <v>8585</v>
      </c>
      <c r="K284" s="5" t="s">
        <v>8632</v>
      </c>
      <c r="L284" s="6" t="s">
        <v>42</v>
      </c>
      <c r="M284" s="5" t="s">
        <v>995</v>
      </c>
      <c r="N284" s="5" t="s">
        <v>64</v>
      </c>
      <c r="O284" s="5" t="s">
        <v>18414</v>
      </c>
      <c r="P284" s="6">
        <v>6892.0</v>
      </c>
    </row>
    <row r="285" ht="56.25" customHeight="1">
      <c r="A285" s="5" t="s">
        <v>18413</v>
      </c>
      <c r="B285" s="16" t="str">
        <f>IMAGE("https://storage.googleapis.com/acdb/shoes/ShoesLowcutRubbertoe1.png")</f>
        <v/>
      </c>
      <c r="C285" s="5" t="s">
        <v>96</v>
      </c>
      <c r="D285" s="5" t="s">
        <v>36</v>
      </c>
      <c r="E285" s="6">
        <v>1080.0</v>
      </c>
      <c r="F285" s="6">
        <v>270.0</v>
      </c>
      <c r="G285" s="5" t="s">
        <v>96</v>
      </c>
      <c r="H285" s="5" t="s">
        <v>57</v>
      </c>
      <c r="I285" s="6" t="s">
        <v>40</v>
      </c>
      <c r="J285" s="5" t="s">
        <v>8585</v>
      </c>
      <c r="K285" s="5" t="s">
        <v>8632</v>
      </c>
      <c r="L285" s="6" t="s">
        <v>42</v>
      </c>
      <c r="M285" s="5" t="s">
        <v>995</v>
      </c>
      <c r="N285" s="5" t="s">
        <v>64</v>
      </c>
      <c r="O285" s="5" t="s">
        <v>18416</v>
      </c>
      <c r="P285" s="6">
        <v>6892.0</v>
      </c>
    </row>
    <row r="286" ht="56.25" customHeight="1">
      <c r="A286" s="5" t="s">
        <v>18413</v>
      </c>
      <c r="B286" s="16" t="str">
        <f>IMAGE("https://storage.googleapis.com/acdb/shoes/ShoesLowcutRubbertoe2.png")</f>
        <v/>
      </c>
      <c r="C286" s="5" t="s">
        <v>114</v>
      </c>
      <c r="D286" s="5" t="s">
        <v>36</v>
      </c>
      <c r="E286" s="6">
        <v>1080.0</v>
      </c>
      <c r="F286" s="6">
        <v>270.0</v>
      </c>
      <c r="G286" s="5" t="s">
        <v>114</v>
      </c>
      <c r="H286" s="5" t="s">
        <v>57</v>
      </c>
      <c r="I286" s="6" t="s">
        <v>40</v>
      </c>
      <c r="J286" s="5" t="s">
        <v>8585</v>
      </c>
      <c r="K286" s="5" t="s">
        <v>8632</v>
      </c>
      <c r="L286" s="6" t="s">
        <v>42</v>
      </c>
      <c r="M286" s="5" t="s">
        <v>995</v>
      </c>
      <c r="N286" s="5" t="s">
        <v>64</v>
      </c>
      <c r="O286" s="5" t="s">
        <v>18420</v>
      </c>
      <c r="P286" s="6">
        <v>6892.0</v>
      </c>
    </row>
    <row r="287" ht="56.25" customHeight="1">
      <c r="A287" s="5" t="s">
        <v>18413</v>
      </c>
      <c r="B287" s="16" t="str">
        <f>IMAGE("https://storage.googleapis.com/acdb/shoes/ShoesLowcutRubbertoe3.png")</f>
        <v/>
      </c>
      <c r="C287" s="5" t="s">
        <v>83</v>
      </c>
      <c r="D287" s="5" t="s">
        <v>36</v>
      </c>
      <c r="E287" s="6">
        <v>1080.0</v>
      </c>
      <c r="F287" s="6">
        <v>270.0</v>
      </c>
      <c r="G287" s="5" t="s">
        <v>83</v>
      </c>
      <c r="H287" s="5" t="s">
        <v>57</v>
      </c>
      <c r="I287" s="6" t="s">
        <v>40</v>
      </c>
      <c r="J287" s="5" t="s">
        <v>8585</v>
      </c>
      <c r="K287" s="5" t="s">
        <v>8632</v>
      </c>
      <c r="L287" s="6" t="s">
        <v>42</v>
      </c>
      <c r="M287" s="5" t="s">
        <v>995</v>
      </c>
      <c r="N287" s="5" t="s">
        <v>64</v>
      </c>
      <c r="O287" s="5" t="s">
        <v>18423</v>
      </c>
      <c r="P287" s="6">
        <v>6892.0</v>
      </c>
    </row>
    <row r="288" ht="56.25" customHeight="1">
      <c r="A288" s="5" t="s">
        <v>18413</v>
      </c>
      <c r="B288" s="16" t="str">
        <f>IMAGE("https://storage.googleapis.com/acdb/shoes/ShoesLowcutRubbertoe4.png")</f>
        <v/>
      </c>
      <c r="C288" s="5" t="s">
        <v>52</v>
      </c>
      <c r="D288" s="5" t="s">
        <v>36</v>
      </c>
      <c r="E288" s="6">
        <v>1080.0</v>
      </c>
      <c r="F288" s="6">
        <v>270.0</v>
      </c>
      <c r="G288" s="5" t="s">
        <v>52</v>
      </c>
      <c r="H288" s="5" t="s">
        <v>57</v>
      </c>
      <c r="I288" s="6" t="s">
        <v>40</v>
      </c>
      <c r="J288" s="5" t="s">
        <v>8585</v>
      </c>
      <c r="K288" s="5" t="s">
        <v>8632</v>
      </c>
      <c r="L288" s="6" t="s">
        <v>42</v>
      </c>
      <c r="M288" s="5" t="s">
        <v>995</v>
      </c>
      <c r="N288" s="5" t="s">
        <v>64</v>
      </c>
      <c r="O288" s="5" t="s">
        <v>18427</v>
      </c>
      <c r="P288" s="6">
        <v>6892.0</v>
      </c>
    </row>
    <row r="289" ht="56.25" customHeight="1">
      <c r="A289" s="5" t="s">
        <v>18413</v>
      </c>
      <c r="B289" s="16" t="str">
        <f>IMAGE("https://storage.googleapis.com/acdb/shoes/ShoesLowcutRubbertoe5.png")</f>
        <v/>
      </c>
      <c r="C289" s="5" t="s">
        <v>69</v>
      </c>
      <c r="D289" s="5" t="s">
        <v>36</v>
      </c>
      <c r="E289" s="6">
        <v>1080.0</v>
      </c>
      <c r="F289" s="6">
        <v>270.0</v>
      </c>
      <c r="G289" s="5" t="s">
        <v>69</v>
      </c>
      <c r="H289" s="5" t="s">
        <v>57</v>
      </c>
      <c r="I289" s="6" t="s">
        <v>40</v>
      </c>
      <c r="J289" s="5" t="s">
        <v>8585</v>
      </c>
      <c r="K289" s="5" t="s">
        <v>8632</v>
      </c>
      <c r="L289" s="6" t="s">
        <v>42</v>
      </c>
      <c r="M289" s="5" t="s">
        <v>995</v>
      </c>
      <c r="N289" s="5" t="s">
        <v>64</v>
      </c>
      <c r="O289" s="5" t="s">
        <v>18430</v>
      </c>
      <c r="P289" s="6">
        <v>6892.0</v>
      </c>
    </row>
    <row r="290" ht="56.25" customHeight="1">
      <c r="A290" s="5" t="s">
        <v>18413</v>
      </c>
      <c r="B290" s="16" t="str">
        <f>IMAGE("https://storage.googleapis.com/acdb/shoes/ShoesLowcutRubbertoe6.png")</f>
        <v/>
      </c>
      <c r="C290" s="5" t="s">
        <v>68</v>
      </c>
      <c r="D290" s="5" t="s">
        <v>36</v>
      </c>
      <c r="E290" s="6">
        <v>1080.0</v>
      </c>
      <c r="F290" s="6">
        <v>270.0</v>
      </c>
      <c r="G290" s="5" t="s">
        <v>68</v>
      </c>
      <c r="H290" s="5" t="s">
        <v>57</v>
      </c>
      <c r="I290" s="6" t="s">
        <v>40</v>
      </c>
      <c r="J290" s="5" t="s">
        <v>8585</v>
      </c>
      <c r="K290" s="5" t="s">
        <v>8632</v>
      </c>
      <c r="L290" s="6" t="s">
        <v>42</v>
      </c>
      <c r="M290" s="5" t="s">
        <v>995</v>
      </c>
      <c r="N290" s="5" t="s">
        <v>64</v>
      </c>
      <c r="O290" s="5" t="s">
        <v>18434</v>
      </c>
      <c r="P290" s="6">
        <v>6892.0</v>
      </c>
    </row>
    <row r="291" ht="56.25" customHeight="1">
      <c r="A291" s="5" t="s">
        <v>18413</v>
      </c>
      <c r="B291" s="16" t="str">
        <f>IMAGE("https://storage.googleapis.com/acdb/shoes/ShoesLowcutRubbertoe7.png")</f>
        <v/>
      </c>
      <c r="C291" s="5" t="s">
        <v>54</v>
      </c>
      <c r="D291" s="5" t="s">
        <v>36</v>
      </c>
      <c r="E291" s="6">
        <v>1080.0</v>
      </c>
      <c r="F291" s="6">
        <v>270.0</v>
      </c>
      <c r="G291" s="5" t="s">
        <v>54</v>
      </c>
      <c r="H291" s="5" t="s">
        <v>57</v>
      </c>
      <c r="I291" s="6" t="s">
        <v>40</v>
      </c>
      <c r="J291" s="5" t="s">
        <v>8585</v>
      </c>
      <c r="K291" s="5" t="s">
        <v>8632</v>
      </c>
      <c r="L291" s="6" t="s">
        <v>42</v>
      </c>
      <c r="M291" s="5" t="s">
        <v>995</v>
      </c>
      <c r="N291" s="5" t="s">
        <v>64</v>
      </c>
      <c r="O291" s="5" t="s">
        <v>18438</v>
      </c>
      <c r="P291" s="6">
        <v>6892.0</v>
      </c>
    </row>
    <row r="292" ht="56.25" customHeight="1">
      <c r="A292" s="5" t="s">
        <v>18439</v>
      </c>
      <c r="B292" s="16" t="str">
        <f>IMAGE("https://storage.googleapis.com/acdb/shoes/ShoesKneeLegguard0.png")</f>
        <v/>
      </c>
      <c r="C292" s="5" t="s">
        <v>52</v>
      </c>
      <c r="D292" s="5" t="s">
        <v>36</v>
      </c>
      <c r="E292" s="6">
        <v>4300.0</v>
      </c>
      <c r="F292" s="6">
        <v>1075.0</v>
      </c>
      <c r="G292" s="5" t="s">
        <v>52</v>
      </c>
      <c r="H292" s="5" t="s">
        <v>68</v>
      </c>
      <c r="I292" s="6" t="s">
        <v>40</v>
      </c>
      <c r="J292" s="5" t="s">
        <v>17203</v>
      </c>
      <c r="K292" s="5"/>
      <c r="L292" s="6" t="s">
        <v>42</v>
      </c>
      <c r="M292" s="5" t="s">
        <v>1952</v>
      </c>
      <c r="N292" s="5" t="s">
        <v>64</v>
      </c>
      <c r="O292" s="5" t="s">
        <v>18442</v>
      </c>
      <c r="P292" s="6">
        <v>5546.0</v>
      </c>
    </row>
    <row r="293" ht="56.25" customHeight="1">
      <c r="A293" s="5" t="s">
        <v>18439</v>
      </c>
      <c r="B293" s="16" t="str">
        <f>IMAGE("https://storage.googleapis.com/acdb/shoes/ShoesKneeLegguard1.png")</f>
        <v/>
      </c>
      <c r="C293" s="5" t="s">
        <v>54</v>
      </c>
      <c r="D293" s="5" t="s">
        <v>36</v>
      </c>
      <c r="E293" s="6">
        <v>4300.0</v>
      </c>
      <c r="F293" s="6">
        <v>1075.0</v>
      </c>
      <c r="G293" s="5" t="s">
        <v>54</v>
      </c>
      <c r="H293" s="5" t="s">
        <v>68</v>
      </c>
      <c r="I293" s="6" t="s">
        <v>40</v>
      </c>
      <c r="J293" s="5" t="s">
        <v>17203</v>
      </c>
      <c r="K293" s="5"/>
      <c r="L293" s="6" t="s">
        <v>42</v>
      </c>
      <c r="M293" s="5" t="s">
        <v>1952</v>
      </c>
      <c r="N293" s="5" t="s">
        <v>64</v>
      </c>
      <c r="O293" s="5" t="s">
        <v>18447</v>
      </c>
      <c r="P293" s="6">
        <v>5546.0</v>
      </c>
    </row>
    <row r="294" ht="56.25" customHeight="1">
      <c r="A294" s="5" t="s">
        <v>18439</v>
      </c>
      <c r="B294" s="16" t="str">
        <f>IMAGE("https://storage.googleapis.com/acdb/shoes/ShoesKneeLegguard2.png")</f>
        <v/>
      </c>
      <c r="C294" s="5" t="s">
        <v>68</v>
      </c>
      <c r="D294" s="5" t="s">
        <v>36</v>
      </c>
      <c r="E294" s="6">
        <v>4300.0</v>
      </c>
      <c r="F294" s="6">
        <v>1075.0</v>
      </c>
      <c r="G294" s="5" t="s">
        <v>68</v>
      </c>
      <c r="H294" s="5" t="s">
        <v>68</v>
      </c>
      <c r="I294" s="6" t="s">
        <v>40</v>
      </c>
      <c r="J294" s="5" t="s">
        <v>17203</v>
      </c>
      <c r="K294" s="5"/>
      <c r="L294" s="6" t="s">
        <v>42</v>
      </c>
      <c r="M294" s="5" t="s">
        <v>1952</v>
      </c>
      <c r="N294" s="5" t="s">
        <v>64</v>
      </c>
      <c r="O294" s="5" t="s">
        <v>18450</v>
      </c>
      <c r="P294" s="6">
        <v>5546.0</v>
      </c>
    </row>
    <row r="295" ht="56.25" customHeight="1">
      <c r="A295" s="5" t="s">
        <v>18439</v>
      </c>
      <c r="B295" s="16" t="str">
        <f>IMAGE("https://storage.googleapis.com/acdb/shoes/ShoesKneeLegguard3.png")</f>
        <v/>
      </c>
      <c r="C295" s="5" t="s">
        <v>57</v>
      </c>
      <c r="D295" s="5" t="s">
        <v>36</v>
      </c>
      <c r="E295" s="6">
        <v>4300.0</v>
      </c>
      <c r="F295" s="6">
        <v>1075.0</v>
      </c>
      <c r="G295" s="5" t="s">
        <v>57</v>
      </c>
      <c r="H295" s="5" t="s">
        <v>68</v>
      </c>
      <c r="I295" s="6" t="s">
        <v>40</v>
      </c>
      <c r="J295" s="5" t="s">
        <v>17203</v>
      </c>
      <c r="K295" s="5"/>
      <c r="L295" s="6" t="s">
        <v>42</v>
      </c>
      <c r="M295" s="5" t="s">
        <v>1952</v>
      </c>
      <c r="N295" s="5" t="s">
        <v>64</v>
      </c>
      <c r="O295" s="5" t="s">
        <v>18456</v>
      </c>
      <c r="P295" s="6">
        <v>5546.0</v>
      </c>
    </row>
    <row r="296" ht="56.25" customHeight="1">
      <c r="A296" s="5" t="s">
        <v>18439</v>
      </c>
      <c r="B296" s="16" t="str">
        <f>IMAGE("https://storage.googleapis.com/acdb/shoes/ShoesKneeLegguard4.png")</f>
        <v/>
      </c>
      <c r="C296" s="5" t="s">
        <v>3173</v>
      </c>
      <c r="D296" s="5" t="s">
        <v>36</v>
      </c>
      <c r="E296" s="6">
        <v>4300.0</v>
      </c>
      <c r="F296" s="6">
        <v>1075.0</v>
      </c>
      <c r="G296" s="5" t="s">
        <v>142</v>
      </c>
      <c r="H296" s="5" t="s">
        <v>68</v>
      </c>
      <c r="I296" s="6" t="s">
        <v>40</v>
      </c>
      <c r="J296" s="5" t="s">
        <v>17203</v>
      </c>
      <c r="K296" s="5"/>
      <c r="L296" s="6" t="s">
        <v>42</v>
      </c>
      <c r="M296" s="5" t="s">
        <v>1952</v>
      </c>
      <c r="N296" s="5" t="s">
        <v>64</v>
      </c>
      <c r="O296" s="5" t="s">
        <v>18459</v>
      </c>
      <c r="P296" s="6">
        <v>5546.0</v>
      </c>
    </row>
    <row r="297" ht="56.25" customHeight="1">
      <c r="A297" s="5" t="s">
        <v>18460</v>
      </c>
      <c r="B297" s="16" t="str">
        <f>IMAGE("https://storage.googleapis.com/acdb/shoes/ShoesLowcutLolita0.png")</f>
        <v/>
      </c>
      <c r="C297" s="5" t="s">
        <v>69</v>
      </c>
      <c r="D297" s="5" t="s">
        <v>36</v>
      </c>
      <c r="E297" s="6">
        <v>2400.0</v>
      </c>
      <c r="F297" s="6">
        <v>600.0</v>
      </c>
      <c r="G297" s="5" t="s">
        <v>69</v>
      </c>
      <c r="H297" s="5" t="s">
        <v>69</v>
      </c>
      <c r="I297" s="6" t="s">
        <v>40</v>
      </c>
      <c r="J297" s="5" t="s">
        <v>17203</v>
      </c>
      <c r="K297" s="5"/>
      <c r="L297" s="6" t="s">
        <v>42</v>
      </c>
      <c r="M297" s="5" t="s">
        <v>1959</v>
      </c>
      <c r="N297" s="5" t="s">
        <v>64</v>
      </c>
      <c r="O297" s="5" t="s">
        <v>18465</v>
      </c>
      <c r="P297" s="6">
        <v>5606.0</v>
      </c>
    </row>
    <row r="298" ht="56.25" customHeight="1">
      <c r="A298" s="5" t="s">
        <v>18460</v>
      </c>
      <c r="B298" s="16" t="str">
        <f>IMAGE("https://storage.googleapis.com/acdb/shoes/ShoesLowcutLolita1.png")</f>
        <v/>
      </c>
      <c r="C298" s="5" t="s">
        <v>54</v>
      </c>
      <c r="D298" s="5" t="s">
        <v>36</v>
      </c>
      <c r="E298" s="6">
        <v>2400.0</v>
      </c>
      <c r="F298" s="6">
        <v>600.0</v>
      </c>
      <c r="G298" s="5" t="s">
        <v>54</v>
      </c>
      <c r="H298" s="5" t="s">
        <v>54</v>
      </c>
      <c r="I298" s="6" t="s">
        <v>40</v>
      </c>
      <c r="J298" s="5" t="s">
        <v>17203</v>
      </c>
      <c r="K298" s="5"/>
      <c r="L298" s="6" t="s">
        <v>42</v>
      </c>
      <c r="M298" s="5" t="s">
        <v>1959</v>
      </c>
      <c r="N298" s="5" t="s">
        <v>64</v>
      </c>
      <c r="O298" s="5" t="s">
        <v>18470</v>
      </c>
      <c r="P298" s="6">
        <v>5606.0</v>
      </c>
    </row>
    <row r="299" ht="56.25" customHeight="1">
      <c r="A299" s="5" t="s">
        <v>18460</v>
      </c>
      <c r="B299" s="16" t="str">
        <f>IMAGE("https://storage.googleapis.com/acdb/shoes/ShoesLowcutLolita2.png")</f>
        <v/>
      </c>
      <c r="C299" s="5" t="s">
        <v>52</v>
      </c>
      <c r="D299" s="5" t="s">
        <v>36</v>
      </c>
      <c r="E299" s="6">
        <v>2400.0</v>
      </c>
      <c r="F299" s="6">
        <v>600.0</v>
      </c>
      <c r="G299" s="5" t="s">
        <v>52</v>
      </c>
      <c r="H299" s="5" t="s">
        <v>52</v>
      </c>
      <c r="I299" s="6" t="s">
        <v>40</v>
      </c>
      <c r="J299" s="5" t="s">
        <v>17203</v>
      </c>
      <c r="K299" s="5"/>
      <c r="L299" s="6" t="s">
        <v>42</v>
      </c>
      <c r="M299" s="5" t="s">
        <v>1959</v>
      </c>
      <c r="N299" s="5" t="s">
        <v>64</v>
      </c>
      <c r="O299" s="5" t="s">
        <v>18474</v>
      </c>
      <c r="P299" s="6">
        <v>5606.0</v>
      </c>
    </row>
    <row r="300" ht="56.25" customHeight="1">
      <c r="A300" s="5" t="s">
        <v>18460</v>
      </c>
      <c r="B300" s="16" t="str">
        <f>IMAGE("https://storage.googleapis.com/acdb/shoes/ShoesLowcutLolita3.png")</f>
        <v/>
      </c>
      <c r="C300" s="5" t="s">
        <v>106</v>
      </c>
      <c r="D300" s="5" t="s">
        <v>36</v>
      </c>
      <c r="E300" s="6">
        <v>2400.0</v>
      </c>
      <c r="F300" s="6">
        <v>600.0</v>
      </c>
      <c r="G300" s="5" t="s">
        <v>106</v>
      </c>
      <c r="H300" s="5" t="s">
        <v>106</v>
      </c>
      <c r="I300" s="6" t="s">
        <v>40</v>
      </c>
      <c r="J300" s="5" t="s">
        <v>17203</v>
      </c>
      <c r="K300" s="5"/>
      <c r="L300" s="6" t="s">
        <v>42</v>
      </c>
      <c r="M300" s="5" t="s">
        <v>1959</v>
      </c>
      <c r="N300" s="5" t="s">
        <v>64</v>
      </c>
      <c r="O300" s="5" t="s">
        <v>18480</v>
      </c>
      <c r="P300" s="6">
        <v>5606.0</v>
      </c>
    </row>
    <row r="301" ht="56.25" customHeight="1">
      <c r="A301" s="5" t="s">
        <v>18460</v>
      </c>
      <c r="B301" s="16" t="str">
        <f>IMAGE("https://storage.googleapis.com/acdb/shoes/ShoesLowcutLolita4.png")</f>
        <v/>
      </c>
      <c r="C301" s="5" t="s">
        <v>83</v>
      </c>
      <c r="D301" s="5" t="s">
        <v>36</v>
      </c>
      <c r="E301" s="6">
        <v>2400.0</v>
      </c>
      <c r="F301" s="6">
        <v>600.0</v>
      </c>
      <c r="G301" s="5" t="s">
        <v>68</v>
      </c>
      <c r="H301" s="5" t="s">
        <v>68</v>
      </c>
      <c r="I301" s="6" t="s">
        <v>40</v>
      </c>
      <c r="J301" s="5" t="s">
        <v>17203</v>
      </c>
      <c r="K301" s="5"/>
      <c r="L301" s="6" t="s">
        <v>42</v>
      </c>
      <c r="M301" s="5" t="s">
        <v>1959</v>
      </c>
      <c r="N301" s="5" t="s">
        <v>64</v>
      </c>
      <c r="O301" s="5" t="s">
        <v>18485</v>
      </c>
      <c r="P301" s="6">
        <v>5606.0</v>
      </c>
    </row>
    <row r="302" ht="56.25" customHeight="1">
      <c r="A302" s="5" t="s">
        <v>18460</v>
      </c>
      <c r="B302" s="16" t="str">
        <f>IMAGE("https://storage.googleapis.com/acdb/shoes/ShoesLowcutLolita5.png")</f>
        <v/>
      </c>
      <c r="C302" s="5" t="s">
        <v>57</v>
      </c>
      <c r="D302" s="5" t="s">
        <v>36</v>
      </c>
      <c r="E302" s="6">
        <v>2400.0</v>
      </c>
      <c r="F302" s="6">
        <v>600.0</v>
      </c>
      <c r="G302" s="5" t="s">
        <v>57</v>
      </c>
      <c r="H302" s="5" t="s">
        <v>57</v>
      </c>
      <c r="I302" s="6" t="s">
        <v>40</v>
      </c>
      <c r="J302" s="5" t="s">
        <v>17203</v>
      </c>
      <c r="K302" s="5"/>
      <c r="L302" s="6" t="s">
        <v>42</v>
      </c>
      <c r="M302" s="5" t="s">
        <v>1959</v>
      </c>
      <c r="N302" s="5" t="s">
        <v>64</v>
      </c>
      <c r="O302" s="5" t="s">
        <v>18489</v>
      </c>
      <c r="P302" s="6">
        <v>5606.0</v>
      </c>
    </row>
    <row r="303" ht="56.25" customHeight="1">
      <c r="A303" s="5" t="s">
        <v>18460</v>
      </c>
      <c r="B303" s="16" t="str">
        <f>IMAGE("https://storage.googleapis.com/acdb/shoes/ShoesLowcutLolita6.png")</f>
        <v/>
      </c>
      <c r="C303" s="5" t="s">
        <v>13835</v>
      </c>
      <c r="D303" s="5" t="s">
        <v>36</v>
      </c>
      <c r="E303" s="6">
        <v>2400.0</v>
      </c>
      <c r="F303" s="6">
        <v>600.0</v>
      </c>
      <c r="G303" s="5" t="s">
        <v>106</v>
      </c>
      <c r="H303" s="5" t="s">
        <v>106</v>
      </c>
      <c r="I303" s="6" t="s">
        <v>40</v>
      </c>
      <c r="J303" s="5" t="s">
        <v>17203</v>
      </c>
      <c r="K303" s="5"/>
      <c r="L303" s="6" t="s">
        <v>42</v>
      </c>
      <c r="M303" s="5" t="s">
        <v>1959</v>
      </c>
      <c r="N303" s="5" t="s">
        <v>64</v>
      </c>
      <c r="O303" s="5" t="s">
        <v>18494</v>
      </c>
      <c r="P303" s="6">
        <v>5606.0</v>
      </c>
    </row>
    <row r="304" ht="56.25" customHeight="1">
      <c r="A304" s="5" t="s">
        <v>18495</v>
      </c>
      <c r="B304" s="16" t="str">
        <f>IMAGE("https://storage.googleapis.com/acdb/shoes/ShoesSandalShower0.png")</f>
        <v/>
      </c>
      <c r="C304" s="5" t="s">
        <v>54</v>
      </c>
      <c r="D304" s="5" t="s">
        <v>36</v>
      </c>
      <c r="E304" s="6">
        <v>350.0</v>
      </c>
      <c r="F304" s="6">
        <v>87.0</v>
      </c>
      <c r="G304" s="5" t="s">
        <v>54</v>
      </c>
      <c r="H304" s="5" t="s">
        <v>57</v>
      </c>
      <c r="I304" s="6" t="s">
        <v>40</v>
      </c>
      <c r="J304" s="5" t="s">
        <v>8585</v>
      </c>
      <c r="K304" s="5" t="s">
        <v>8632</v>
      </c>
      <c r="L304" s="6" t="s">
        <v>42</v>
      </c>
      <c r="M304" s="5" t="s">
        <v>8746</v>
      </c>
      <c r="N304" s="5" t="s">
        <v>64</v>
      </c>
      <c r="O304" s="5" t="s">
        <v>18501</v>
      </c>
      <c r="P304" s="6">
        <v>4714.0</v>
      </c>
    </row>
    <row r="305" ht="56.25" customHeight="1">
      <c r="A305" s="5" t="s">
        <v>18495</v>
      </c>
      <c r="B305" s="16" t="str">
        <f>IMAGE("https://storage.googleapis.com/acdb/shoes/ShoesSandalShower1.png")</f>
        <v/>
      </c>
      <c r="C305" s="5" t="s">
        <v>57</v>
      </c>
      <c r="D305" s="5" t="s">
        <v>36</v>
      </c>
      <c r="E305" s="6">
        <v>350.0</v>
      </c>
      <c r="F305" s="6">
        <v>87.0</v>
      </c>
      <c r="G305" s="5" t="s">
        <v>57</v>
      </c>
      <c r="H305" s="5" t="s">
        <v>95</v>
      </c>
      <c r="I305" s="6" t="s">
        <v>40</v>
      </c>
      <c r="J305" s="5" t="s">
        <v>8585</v>
      </c>
      <c r="K305" s="5" t="s">
        <v>8632</v>
      </c>
      <c r="L305" s="6" t="s">
        <v>42</v>
      </c>
      <c r="M305" s="5" t="s">
        <v>8746</v>
      </c>
      <c r="N305" s="5" t="s">
        <v>64</v>
      </c>
      <c r="O305" s="5" t="s">
        <v>18504</v>
      </c>
      <c r="P305" s="6">
        <v>4714.0</v>
      </c>
    </row>
    <row r="306" ht="56.25" customHeight="1">
      <c r="A306" s="5" t="s">
        <v>18495</v>
      </c>
      <c r="B306" s="16" t="str">
        <f>IMAGE("https://storage.googleapis.com/acdb/shoes/ShoesSandalShower2.png")</f>
        <v/>
      </c>
      <c r="C306" s="5" t="s">
        <v>151</v>
      </c>
      <c r="D306" s="5" t="s">
        <v>36</v>
      </c>
      <c r="E306" s="6">
        <v>350.0</v>
      </c>
      <c r="F306" s="6">
        <v>87.0</v>
      </c>
      <c r="G306" s="5" t="s">
        <v>114</v>
      </c>
      <c r="H306" s="5" t="s">
        <v>57</v>
      </c>
      <c r="I306" s="6" t="s">
        <v>40</v>
      </c>
      <c r="J306" s="5" t="s">
        <v>8585</v>
      </c>
      <c r="K306" s="5" t="s">
        <v>8632</v>
      </c>
      <c r="L306" s="6" t="s">
        <v>42</v>
      </c>
      <c r="M306" s="5" t="s">
        <v>8746</v>
      </c>
      <c r="N306" s="5" t="s">
        <v>64</v>
      </c>
      <c r="O306" s="5" t="s">
        <v>18508</v>
      </c>
      <c r="P306" s="6">
        <v>4714.0</v>
      </c>
    </row>
    <row r="307" ht="56.25" customHeight="1">
      <c r="A307" s="5" t="s">
        <v>18495</v>
      </c>
      <c r="B307" s="16" t="str">
        <f>IMAGE("https://storage.googleapis.com/acdb/shoes/ShoesSandalShower3.png")</f>
        <v/>
      </c>
      <c r="C307" s="5" t="s">
        <v>52</v>
      </c>
      <c r="D307" s="5" t="s">
        <v>36</v>
      </c>
      <c r="E307" s="6">
        <v>350.0</v>
      </c>
      <c r="F307" s="6">
        <v>87.0</v>
      </c>
      <c r="G307" s="5" t="s">
        <v>52</v>
      </c>
      <c r="H307" s="5" t="s">
        <v>57</v>
      </c>
      <c r="I307" s="6" t="s">
        <v>40</v>
      </c>
      <c r="J307" s="5" t="s">
        <v>8585</v>
      </c>
      <c r="K307" s="5" t="s">
        <v>8632</v>
      </c>
      <c r="L307" s="6" t="s">
        <v>42</v>
      </c>
      <c r="M307" s="5" t="s">
        <v>8746</v>
      </c>
      <c r="N307" s="5" t="s">
        <v>64</v>
      </c>
      <c r="O307" s="5" t="s">
        <v>18516</v>
      </c>
      <c r="P307" s="6">
        <v>4714.0</v>
      </c>
    </row>
    <row r="308" ht="56.25" customHeight="1">
      <c r="A308" s="5" t="s">
        <v>18495</v>
      </c>
      <c r="B308" s="16" t="str">
        <f>IMAGE("https://storage.googleapis.com/acdb/shoes/ShoesSandalShower4.png")</f>
        <v/>
      </c>
      <c r="C308" s="5" t="s">
        <v>68</v>
      </c>
      <c r="D308" s="5" t="s">
        <v>36</v>
      </c>
      <c r="E308" s="6">
        <v>350.0</v>
      </c>
      <c r="F308" s="6">
        <v>87.0</v>
      </c>
      <c r="G308" s="5" t="s">
        <v>68</v>
      </c>
      <c r="H308" s="5" t="s">
        <v>57</v>
      </c>
      <c r="I308" s="6" t="s">
        <v>40</v>
      </c>
      <c r="J308" s="5" t="s">
        <v>8585</v>
      </c>
      <c r="K308" s="5" t="s">
        <v>8632</v>
      </c>
      <c r="L308" s="6" t="s">
        <v>42</v>
      </c>
      <c r="M308" s="5" t="s">
        <v>8746</v>
      </c>
      <c r="N308" s="5" t="s">
        <v>64</v>
      </c>
      <c r="O308" s="5" t="s">
        <v>18521</v>
      </c>
      <c r="P308" s="6">
        <v>4714.0</v>
      </c>
    </row>
    <row r="309" ht="56.25" customHeight="1">
      <c r="A309" s="5" t="s">
        <v>18523</v>
      </c>
      <c r="B309" s="16" t="str">
        <f>IMAGE("https://storage.googleapis.com/acdb/shoes/ShoesKneeSki0.png")</f>
        <v/>
      </c>
      <c r="C309" s="5" t="s">
        <v>57</v>
      </c>
      <c r="D309" s="5" t="s">
        <v>36</v>
      </c>
      <c r="E309" s="6">
        <v>1800.0</v>
      </c>
      <c r="F309" s="6">
        <v>450.0</v>
      </c>
      <c r="G309" s="5" t="s">
        <v>57</v>
      </c>
      <c r="H309" s="5" t="s">
        <v>68</v>
      </c>
      <c r="I309" s="6" t="s">
        <v>40</v>
      </c>
      <c r="J309" s="5" t="s">
        <v>17203</v>
      </c>
      <c r="K309" s="5"/>
      <c r="L309" s="6" t="s">
        <v>42</v>
      </c>
      <c r="M309" s="5" t="s">
        <v>8746</v>
      </c>
      <c r="N309" s="5" t="s">
        <v>64</v>
      </c>
      <c r="O309" s="5" t="s">
        <v>18527</v>
      </c>
      <c r="P309" s="6">
        <v>5660.0</v>
      </c>
    </row>
    <row r="310" ht="56.25" customHeight="1">
      <c r="A310" s="5" t="s">
        <v>18523</v>
      </c>
      <c r="B310" s="16" t="str">
        <f>IMAGE("https://storage.googleapis.com/acdb/shoes/ShoesKneeSki1.png")</f>
        <v/>
      </c>
      <c r="C310" s="5" t="s">
        <v>142</v>
      </c>
      <c r="D310" s="5" t="s">
        <v>36</v>
      </c>
      <c r="E310" s="6">
        <v>1800.0</v>
      </c>
      <c r="F310" s="6">
        <v>450.0</v>
      </c>
      <c r="G310" s="5" t="s">
        <v>142</v>
      </c>
      <c r="H310" s="5" t="s">
        <v>54</v>
      </c>
      <c r="I310" s="6" t="s">
        <v>40</v>
      </c>
      <c r="J310" s="5" t="s">
        <v>17203</v>
      </c>
      <c r="K310" s="5"/>
      <c r="L310" s="6" t="s">
        <v>42</v>
      </c>
      <c r="M310" s="5" t="s">
        <v>8746</v>
      </c>
      <c r="N310" s="5" t="s">
        <v>64</v>
      </c>
      <c r="O310" s="5" t="s">
        <v>18532</v>
      </c>
      <c r="P310" s="6">
        <v>5660.0</v>
      </c>
    </row>
    <row r="311" ht="56.25" customHeight="1">
      <c r="A311" s="5" t="s">
        <v>18523</v>
      </c>
      <c r="B311" s="16" t="str">
        <f>IMAGE("https://storage.googleapis.com/acdb/shoes/ShoesKneeSki2.png")</f>
        <v/>
      </c>
      <c r="C311" s="5" t="s">
        <v>52</v>
      </c>
      <c r="D311" s="5" t="s">
        <v>36</v>
      </c>
      <c r="E311" s="6">
        <v>1800.0</v>
      </c>
      <c r="F311" s="6">
        <v>450.0</v>
      </c>
      <c r="G311" s="5" t="s">
        <v>52</v>
      </c>
      <c r="H311" s="5" t="s">
        <v>54</v>
      </c>
      <c r="I311" s="6" t="s">
        <v>40</v>
      </c>
      <c r="J311" s="5" t="s">
        <v>17203</v>
      </c>
      <c r="K311" s="5"/>
      <c r="L311" s="6" t="s">
        <v>42</v>
      </c>
      <c r="M311" s="5" t="s">
        <v>8746</v>
      </c>
      <c r="N311" s="5" t="s">
        <v>64</v>
      </c>
      <c r="O311" s="5" t="s">
        <v>18536</v>
      </c>
      <c r="P311" s="6">
        <v>5660.0</v>
      </c>
    </row>
    <row r="312" ht="56.25" customHeight="1">
      <c r="A312" s="5" t="s">
        <v>18523</v>
      </c>
      <c r="B312" s="16" t="str">
        <f>IMAGE("https://storage.googleapis.com/acdb/shoes/ShoesKneeSki3.png")</f>
        <v/>
      </c>
      <c r="C312" s="5" t="s">
        <v>1458</v>
      </c>
      <c r="D312" s="5" t="s">
        <v>36</v>
      </c>
      <c r="E312" s="6">
        <v>1800.0</v>
      </c>
      <c r="F312" s="6">
        <v>450.0</v>
      </c>
      <c r="G312" s="5" t="s">
        <v>114</v>
      </c>
      <c r="H312" s="5" t="s">
        <v>96</v>
      </c>
      <c r="I312" s="6" t="s">
        <v>40</v>
      </c>
      <c r="J312" s="5" t="s">
        <v>17203</v>
      </c>
      <c r="K312" s="5"/>
      <c r="L312" s="6" t="s">
        <v>42</v>
      </c>
      <c r="M312" s="5" t="s">
        <v>8746</v>
      </c>
      <c r="N312" s="5" t="s">
        <v>64</v>
      </c>
      <c r="O312" s="5" t="s">
        <v>18541</v>
      </c>
      <c r="P312" s="6">
        <v>5660.0</v>
      </c>
    </row>
    <row r="313" ht="56.25" customHeight="1">
      <c r="A313" s="5" t="s">
        <v>18523</v>
      </c>
      <c r="B313" s="16" t="str">
        <f>IMAGE("https://storage.googleapis.com/acdb/shoes/ShoesKneeSki4.png")</f>
        <v/>
      </c>
      <c r="C313" s="5" t="s">
        <v>83</v>
      </c>
      <c r="D313" s="5" t="s">
        <v>36</v>
      </c>
      <c r="E313" s="6">
        <v>1800.0</v>
      </c>
      <c r="F313" s="6">
        <v>450.0</v>
      </c>
      <c r="G313" s="5" t="s">
        <v>83</v>
      </c>
      <c r="H313" s="5" t="s">
        <v>114</v>
      </c>
      <c r="I313" s="6" t="s">
        <v>40</v>
      </c>
      <c r="J313" s="5" t="s">
        <v>17203</v>
      </c>
      <c r="K313" s="5"/>
      <c r="L313" s="6" t="s">
        <v>42</v>
      </c>
      <c r="M313" s="5" t="s">
        <v>8746</v>
      </c>
      <c r="N313" s="5" t="s">
        <v>64</v>
      </c>
      <c r="O313" s="5" t="s">
        <v>18547</v>
      </c>
      <c r="P313" s="6">
        <v>5660.0</v>
      </c>
    </row>
    <row r="314" ht="56.25" customHeight="1">
      <c r="A314" s="5" t="s">
        <v>18523</v>
      </c>
      <c r="B314" s="16" t="str">
        <f>IMAGE("https://storage.googleapis.com/acdb/shoes/ShoesKneeSki5.png")</f>
        <v/>
      </c>
      <c r="C314" s="5" t="s">
        <v>106</v>
      </c>
      <c r="D314" s="5" t="s">
        <v>36</v>
      </c>
      <c r="E314" s="6">
        <v>1800.0</v>
      </c>
      <c r="F314" s="6">
        <v>450.0</v>
      </c>
      <c r="G314" s="5" t="s">
        <v>68</v>
      </c>
      <c r="H314" s="5" t="s">
        <v>69</v>
      </c>
      <c r="I314" s="6" t="s">
        <v>40</v>
      </c>
      <c r="J314" s="5" t="s">
        <v>17203</v>
      </c>
      <c r="K314" s="5"/>
      <c r="L314" s="6" t="s">
        <v>42</v>
      </c>
      <c r="M314" s="5" t="s">
        <v>8746</v>
      </c>
      <c r="N314" s="5" t="s">
        <v>64</v>
      </c>
      <c r="O314" s="5" t="s">
        <v>18552</v>
      </c>
      <c r="P314" s="6">
        <v>5660.0</v>
      </c>
    </row>
    <row r="315" ht="56.25" customHeight="1">
      <c r="A315" s="5" t="s">
        <v>18554</v>
      </c>
      <c r="B315" s="16" t="str">
        <f>IMAGE("https://storage.googleapis.com/acdb/shoes/ShoesLowcutEggsky0.png")</f>
        <v/>
      </c>
      <c r="C315" s="5" t="s">
        <v>44</v>
      </c>
      <c r="D315" s="5" t="s">
        <v>35</v>
      </c>
      <c r="E315" s="6" t="s">
        <v>37</v>
      </c>
      <c r="F315" s="6">
        <v>800.0</v>
      </c>
      <c r="G315" s="5" t="s">
        <v>96</v>
      </c>
      <c r="H315" s="5" t="s">
        <v>96</v>
      </c>
      <c r="I315" s="6" t="s">
        <v>40</v>
      </c>
      <c r="J315" s="5" t="s">
        <v>41</v>
      </c>
      <c r="K315" s="5" t="s">
        <v>16755</v>
      </c>
      <c r="L315" s="6" t="s">
        <v>1410</v>
      </c>
      <c r="M315" s="5" t="s">
        <v>8746</v>
      </c>
      <c r="N315" s="5" t="s">
        <v>48</v>
      </c>
      <c r="O315" s="5" t="s">
        <v>18558</v>
      </c>
      <c r="P315" s="6">
        <v>12459.0</v>
      </c>
    </row>
    <row r="316" ht="56.25" customHeight="1">
      <c r="A316" s="5" t="s">
        <v>18559</v>
      </c>
      <c r="B316" s="16" t="str">
        <f>IMAGE("https://storage.googleapis.com/acdb/shoes/ShoesLowcutSlipon0.png")</f>
        <v/>
      </c>
      <c r="C316" s="5" t="s">
        <v>114</v>
      </c>
      <c r="D316" s="5" t="s">
        <v>36</v>
      </c>
      <c r="E316" s="6">
        <v>490.0</v>
      </c>
      <c r="F316" s="6">
        <v>122.0</v>
      </c>
      <c r="G316" s="5" t="s">
        <v>114</v>
      </c>
      <c r="H316" s="5" t="s">
        <v>57</v>
      </c>
      <c r="I316" s="6" t="s">
        <v>40</v>
      </c>
      <c r="J316" s="5" t="s">
        <v>8585</v>
      </c>
      <c r="K316" s="5" t="s">
        <v>8632</v>
      </c>
      <c r="L316" s="6" t="s">
        <v>42</v>
      </c>
      <c r="M316" s="5" t="s">
        <v>995</v>
      </c>
      <c r="N316" s="5" t="s">
        <v>64</v>
      </c>
      <c r="O316" s="5" t="s">
        <v>18564</v>
      </c>
      <c r="P316" s="6">
        <v>5566.0</v>
      </c>
    </row>
    <row r="317" ht="56.25" customHeight="1">
      <c r="A317" s="5" t="s">
        <v>18559</v>
      </c>
      <c r="B317" s="16" t="str">
        <f>IMAGE("https://storage.googleapis.com/acdb/shoes/ShoesLowcutSlipon1.png")</f>
        <v/>
      </c>
      <c r="C317" s="5" t="s">
        <v>52</v>
      </c>
      <c r="D317" s="5" t="s">
        <v>36</v>
      </c>
      <c r="E317" s="6">
        <v>490.0</v>
      </c>
      <c r="F317" s="6">
        <v>122.0</v>
      </c>
      <c r="G317" s="5" t="s">
        <v>52</v>
      </c>
      <c r="H317" s="5" t="s">
        <v>57</v>
      </c>
      <c r="I317" s="6" t="s">
        <v>40</v>
      </c>
      <c r="J317" s="5" t="s">
        <v>8585</v>
      </c>
      <c r="K317" s="5" t="s">
        <v>8632</v>
      </c>
      <c r="L317" s="6" t="s">
        <v>42</v>
      </c>
      <c r="M317" s="5" t="s">
        <v>995</v>
      </c>
      <c r="N317" s="5" t="s">
        <v>64</v>
      </c>
      <c r="O317" s="5" t="s">
        <v>18570</v>
      </c>
      <c r="P317" s="6">
        <v>5566.0</v>
      </c>
    </row>
    <row r="318" ht="56.25" customHeight="1">
      <c r="A318" s="5" t="s">
        <v>18559</v>
      </c>
      <c r="B318" s="16" t="str">
        <f>IMAGE("https://storage.googleapis.com/acdb/shoes/ShoesLowcutSlipon2.png")</f>
        <v/>
      </c>
      <c r="C318" s="5" t="s">
        <v>68</v>
      </c>
      <c r="D318" s="5" t="s">
        <v>36</v>
      </c>
      <c r="E318" s="6">
        <v>490.0</v>
      </c>
      <c r="F318" s="6">
        <v>122.0</v>
      </c>
      <c r="G318" s="5" t="s">
        <v>68</v>
      </c>
      <c r="H318" s="5" t="s">
        <v>57</v>
      </c>
      <c r="I318" s="6" t="s">
        <v>40</v>
      </c>
      <c r="J318" s="5" t="s">
        <v>8585</v>
      </c>
      <c r="K318" s="5" t="s">
        <v>8632</v>
      </c>
      <c r="L318" s="6" t="s">
        <v>42</v>
      </c>
      <c r="M318" s="5" t="s">
        <v>995</v>
      </c>
      <c r="N318" s="5" t="s">
        <v>64</v>
      </c>
      <c r="O318" s="5" t="s">
        <v>18576</v>
      </c>
      <c r="P318" s="6">
        <v>5566.0</v>
      </c>
    </row>
    <row r="319" ht="56.25" customHeight="1">
      <c r="A319" s="5" t="s">
        <v>18559</v>
      </c>
      <c r="B319" s="16" t="str">
        <f>IMAGE("https://storage.googleapis.com/acdb/shoes/ShoesLowcutSlipon3.png")</f>
        <v/>
      </c>
      <c r="C319" s="5" t="s">
        <v>96</v>
      </c>
      <c r="D319" s="5" t="s">
        <v>36</v>
      </c>
      <c r="E319" s="6">
        <v>490.0</v>
      </c>
      <c r="F319" s="6">
        <v>122.0</v>
      </c>
      <c r="G319" s="5" t="s">
        <v>96</v>
      </c>
      <c r="H319" s="5" t="s">
        <v>57</v>
      </c>
      <c r="I319" s="6" t="s">
        <v>40</v>
      </c>
      <c r="J319" s="5" t="s">
        <v>8585</v>
      </c>
      <c r="K319" s="5" t="s">
        <v>8632</v>
      </c>
      <c r="L319" s="6" t="s">
        <v>42</v>
      </c>
      <c r="M319" s="5" t="s">
        <v>995</v>
      </c>
      <c r="N319" s="5" t="s">
        <v>64</v>
      </c>
      <c r="O319" s="5" t="s">
        <v>18581</v>
      </c>
      <c r="P319" s="6">
        <v>5566.0</v>
      </c>
    </row>
    <row r="320" ht="56.25" customHeight="1">
      <c r="A320" s="5" t="s">
        <v>18559</v>
      </c>
      <c r="B320" s="16" t="str">
        <f>IMAGE("https://storage.googleapis.com/acdb/shoes/ShoesLowcutSlipon4.png")</f>
        <v/>
      </c>
      <c r="C320" s="5" t="s">
        <v>54</v>
      </c>
      <c r="D320" s="5" t="s">
        <v>36</v>
      </c>
      <c r="E320" s="6">
        <v>490.0</v>
      </c>
      <c r="F320" s="6">
        <v>122.0</v>
      </c>
      <c r="G320" s="5" t="s">
        <v>54</v>
      </c>
      <c r="H320" s="5" t="s">
        <v>57</v>
      </c>
      <c r="I320" s="6" t="s">
        <v>40</v>
      </c>
      <c r="J320" s="5" t="s">
        <v>8585</v>
      </c>
      <c r="K320" s="5" t="s">
        <v>8632</v>
      </c>
      <c r="L320" s="6" t="s">
        <v>42</v>
      </c>
      <c r="M320" s="5" t="s">
        <v>995</v>
      </c>
      <c r="N320" s="5" t="s">
        <v>64</v>
      </c>
      <c r="O320" s="5" t="s">
        <v>18584</v>
      </c>
      <c r="P320" s="6">
        <v>5566.0</v>
      </c>
    </row>
    <row r="321" ht="56.25" customHeight="1">
      <c r="A321" s="5" t="s">
        <v>18559</v>
      </c>
      <c r="B321" s="16" t="str">
        <f>IMAGE("https://storage.googleapis.com/acdb/shoes/ShoesLowcutSlipon5.png")</f>
        <v/>
      </c>
      <c r="C321" s="5" t="s">
        <v>83</v>
      </c>
      <c r="D321" s="5" t="s">
        <v>36</v>
      </c>
      <c r="E321" s="6">
        <v>490.0</v>
      </c>
      <c r="F321" s="6">
        <v>122.0</v>
      </c>
      <c r="G321" s="5" t="s">
        <v>83</v>
      </c>
      <c r="H321" s="5" t="s">
        <v>57</v>
      </c>
      <c r="I321" s="6" t="s">
        <v>40</v>
      </c>
      <c r="J321" s="5" t="s">
        <v>8585</v>
      </c>
      <c r="K321" s="5" t="s">
        <v>8632</v>
      </c>
      <c r="L321" s="6" t="s">
        <v>42</v>
      </c>
      <c r="M321" s="5" t="s">
        <v>995</v>
      </c>
      <c r="N321" s="5" t="s">
        <v>64</v>
      </c>
      <c r="O321" s="5" t="s">
        <v>18589</v>
      </c>
      <c r="P321" s="6">
        <v>5566.0</v>
      </c>
    </row>
    <row r="322" ht="56.25" customHeight="1">
      <c r="A322" s="5" t="s">
        <v>18559</v>
      </c>
      <c r="B322" s="16" t="str">
        <f>IMAGE("https://storage.googleapis.com/acdb/shoes/ShoesLowcutSlipon6.png")</f>
        <v/>
      </c>
      <c r="C322" s="5" t="s">
        <v>57</v>
      </c>
      <c r="D322" s="5" t="s">
        <v>36</v>
      </c>
      <c r="E322" s="6">
        <v>490.0</v>
      </c>
      <c r="F322" s="6">
        <v>122.0</v>
      </c>
      <c r="G322" s="5" t="s">
        <v>57</v>
      </c>
      <c r="H322" s="5" t="s">
        <v>57</v>
      </c>
      <c r="I322" s="6" t="s">
        <v>40</v>
      </c>
      <c r="J322" s="5" t="s">
        <v>8585</v>
      </c>
      <c r="K322" s="5" t="s">
        <v>8632</v>
      </c>
      <c r="L322" s="6" t="s">
        <v>42</v>
      </c>
      <c r="M322" s="5" t="s">
        <v>995</v>
      </c>
      <c r="N322" s="5" t="s">
        <v>64</v>
      </c>
      <c r="O322" s="5" t="s">
        <v>18596</v>
      </c>
      <c r="P322" s="6">
        <v>5566.0</v>
      </c>
    </row>
    <row r="323" ht="56.25" customHeight="1">
      <c r="A323" s="5" t="s">
        <v>18559</v>
      </c>
      <c r="B323" s="16" t="str">
        <f>IMAGE("https://storage.googleapis.com/acdb/shoes/ShoesLowcutSlipon7.png")</f>
        <v/>
      </c>
      <c r="C323" s="5" t="s">
        <v>38</v>
      </c>
      <c r="D323" s="5" t="s">
        <v>36</v>
      </c>
      <c r="E323" s="6">
        <v>490.0</v>
      </c>
      <c r="F323" s="6">
        <v>122.0</v>
      </c>
      <c r="G323" s="5" t="s">
        <v>38</v>
      </c>
      <c r="H323" s="5" t="s">
        <v>57</v>
      </c>
      <c r="I323" s="6" t="s">
        <v>40</v>
      </c>
      <c r="J323" s="5" t="s">
        <v>8585</v>
      </c>
      <c r="K323" s="5" t="s">
        <v>8632</v>
      </c>
      <c r="L323" s="6" t="s">
        <v>42</v>
      </c>
      <c r="M323" s="5" t="s">
        <v>995</v>
      </c>
      <c r="N323" s="5" t="s">
        <v>64</v>
      </c>
      <c r="O323" s="5" t="s">
        <v>18603</v>
      </c>
      <c r="P323" s="6">
        <v>5566.0</v>
      </c>
    </row>
    <row r="324" ht="56.25" customHeight="1">
      <c r="A324" s="5" t="s">
        <v>18605</v>
      </c>
      <c r="B324" s="16" t="str">
        <f>IMAGE("https://storage.googleapis.com/acdb/shoes/ShoesSandalResin0.png")</f>
        <v/>
      </c>
      <c r="C324" s="5" t="s">
        <v>83</v>
      </c>
      <c r="D324" s="5" t="s">
        <v>36</v>
      </c>
      <c r="E324" s="6">
        <v>560.0</v>
      </c>
      <c r="F324" s="6">
        <v>140.0</v>
      </c>
      <c r="G324" s="5" t="s">
        <v>83</v>
      </c>
      <c r="H324" s="5" t="s">
        <v>83</v>
      </c>
      <c r="I324" s="6" t="s">
        <v>40</v>
      </c>
      <c r="J324" s="5" t="s">
        <v>8585</v>
      </c>
      <c r="K324" s="5" t="s">
        <v>8632</v>
      </c>
      <c r="L324" s="6" t="s">
        <v>42</v>
      </c>
      <c r="M324" s="5" t="s">
        <v>8746</v>
      </c>
      <c r="N324" s="5" t="s">
        <v>64</v>
      </c>
      <c r="O324" s="5" t="s">
        <v>18610</v>
      </c>
      <c r="P324" s="6">
        <v>5565.0</v>
      </c>
    </row>
    <row r="325" ht="56.25" customHeight="1">
      <c r="A325" s="5" t="s">
        <v>18605</v>
      </c>
      <c r="B325" s="16" t="str">
        <f>IMAGE("https://storage.googleapis.com/acdb/shoes/ShoesSandalResin1.png")</f>
        <v/>
      </c>
      <c r="C325" s="5" t="s">
        <v>1458</v>
      </c>
      <c r="D325" s="5" t="s">
        <v>36</v>
      </c>
      <c r="E325" s="6">
        <v>560.0</v>
      </c>
      <c r="F325" s="6">
        <v>140.0</v>
      </c>
      <c r="G325" s="5" t="s">
        <v>114</v>
      </c>
      <c r="H325" s="5" t="s">
        <v>114</v>
      </c>
      <c r="I325" s="6" t="s">
        <v>40</v>
      </c>
      <c r="J325" s="5" t="s">
        <v>8585</v>
      </c>
      <c r="K325" s="5" t="s">
        <v>8632</v>
      </c>
      <c r="L325" s="6" t="s">
        <v>42</v>
      </c>
      <c r="M325" s="5" t="s">
        <v>8746</v>
      </c>
      <c r="N325" s="5" t="s">
        <v>64</v>
      </c>
      <c r="O325" s="5" t="s">
        <v>18618</v>
      </c>
      <c r="P325" s="6">
        <v>5565.0</v>
      </c>
    </row>
    <row r="326" ht="56.25" customHeight="1">
      <c r="A326" s="5" t="s">
        <v>18605</v>
      </c>
      <c r="B326" s="16" t="str">
        <f>IMAGE("https://storage.googleapis.com/acdb/shoes/ShoesSandalResin2.png")</f>
        <v/>
      </c>
      <c r="C326" s="5" t="s">
        <v>54</v>
      </c>
      <c r="D326" s="5" t="s">
        <v>36</v>
      </c>
      <c r="E326" s="6">
        <v>560.0</v>
      </c>
      <c r="F326" s="6">
        <v>140.0</v>
      </c>
      <c r="G326" s="5" t="s">
        <v>54</v>
      </c>
      <c r="H326" s="5" t="s">
        <v>54</v>
      </c>
      <c r="I326" s="6" t="s">
        <v>40</v>
      </c>
      <c r="J326" s="5" t="s">
        <v>8585</v>
      </c>
      <c r="K326" s="5" t="s">
        <v>8632</v>
      </c>
      <c r="L326" s="6" t="s">
        <v>42</v>
      </c>
      <c r="M326" s="5" t="s">
        <v>8746</v>
      </c>
      <c r="N326" s="5" t="s">
        <v>64</v>
      </c>
      <c r="O326" s="5" t="s">
        <v>18623</v>
      </c>
      <c r="P326" s="6">
        <v>5565.0</v>
      </c>
    </row>
    <row r="327" ht="56.25" customHeight="1">
      <c r="A327" s="5" t="s">
        <v>18605</v>
      </c>
      <c r="B327" s="16" t="str">
        <f>IMAGE("https://storage.googleapis.com/acdb/shoes/ShoesSandalResin3.png")</f>
        <v/>
      </c>
      <c r="C327" s="5" t="s">
        <v>69</v>
      </c>
      <c r="D327" s="5" t="s">
        <v>36</v>
      </c>
      <c r="E327" s="6">
        <v>560.0</v>
      </c>
      <c r="F327" s="6">
        <v>140.0</v>
      </c>
      <c r="G327" s="5" t="s">
        <v>69</v>
      </c>
      <c r="H327" s="5" t="s">
        <v>69</v>
      </c>
      <c r="I327" s="6" t="s">
        <v>40</v>
      </c>
      <c r="J327" s="5" t="s">
        <v>8585</v>
      </c>
      <c r="K327" s="5" t="s">
        <v>8632</v>
      </c>
      <c r="L327" s="6" t="s">
        <v>42</v>
      </c>
      <c r="M327" s="5" t="s">
        <v>8746</v>
      </c>
      <c r="N327" s="5" t="s">
        <v>64</v>
      </c>
      <c r="O327" s="5" t="s">
        <v>18627</v>
      </c>
      <c r="P327" s="6">
        <v>5565.0</v>
      </c>
    </row>
    <row r="328" ht="56.25" customHeight="1">
      <c r="A328" s="5" t="s">
        <v>18605</v>
      </c>
      <c r="B328" s="16" t="str">
        <f>IMAGE("https://storage.googleapis.com/acdb/shoes/ShoesSandalResin4.png")</f>
        <v/>
      </c>
      <c r="C328" s="5" t="s">
        <v>1187</v>
      </c>
      <c r="D328" s="5" t="s">
        <v>36</v>
      </c>
      <c r="E328" s="6">
        <v>560.0</v>
      </c>
      <c r="F328" s="6">
        <v>140.0</v>
      </c>
      <c r="G328" s="5" t="s">
        <v>68</v>
      </c>
      <c r="H328" s="5" t="s">
        <v>68</v>
      </c>
      <c r="I328" s="6" t="s">
        <v>40</v>
      </c>
      <c r="J328" s="5" t="s">
        <v>8585</v>
      </c>
      <c r="K328" s="5" t="s">
        <v>8632</v>
      </c>
      <c r="L328" s="6" t="s">
        <v>42</v>
      </c>
      <c r="M328" s="5" t="s">
        <v>8746</v>
      </c>
      <c r="N328" s="5" t="s">
        <v>64</v>
      </c>
      <c r="O328" s="5" t="s">
        <v>18634</v>
      </c>
      <c r="P328" s="6">
        <v>5565.0</v>
      </c>
    </row>
    <row r="329" ht="56.25" customHeight="1">
      <c r="A329" s="5" t="s">
        <v>18605</v>
      </c>
      <c r="B329" s="16" t="str">
        <f>IMAGE("https://storage.googleapis.com/acdb/shoes/ShoesSandalResin5.png")</f>
        <v/>
      </c>
      <c r="C329" s="5" t="s">
        <v>52</v>
      </c>
      <c r="D329" s="5" t="s">
        <v>36</v>
      </c>
      <c r="E329" s="6">
        <v>560.0</v>
      </c>
      <c r="F329" s="6">
        <v>140.0</v>
      </c>
      <c r="G329" s="5" t="s">
        <v>52</v>
      </c>
      <c r="H329" s="5" t="s">
        <v>52</v>
      </c>
      <c r="I329" s="6" t="s">
        <v>40</v>
      </c>
      <c r="J329" s="5" t="s">
        <v>8585</v>
      </c>
      <c r="K329" s="5" t="s">
        <v>8632</v>
      </c>
      <c r="L329" s="6" t="s">
        <v>42</v>
      </c>
      <c r="M329" s="5" t="s">
        <v>8746</v>
      </c>
      <c r="N329" s="5" t="s">
        <v>64</v>
      </c>
      <c r="O329" s="5" t="s">
        <v>18639</v>
      </c>
      <c r="P329" s="6">
        <v>5565.0</v>
      </c>
    </row>
    <row r="330" ht="56.25" customHeight="1">
      <c r="A330" s="5" t="s">
        <v>18605</v>
      </c>
      <c r="B330" s="16" t="str">
        <f>IMAGE("https://storage.googleapis.com/acdb/shoes/ShoesSandalResin6.png")</f>
        <v/>
      </c>
      <c r="C330" s="5" t="s">
        <v>142</v>
      </c>
      <c r="D330" s="5" t="s">
        <v>36</v>
      </c>
      <c r="E330" s="6">
        <v>560.0</v>
      </c>
      <c r="F330" s="6">
        <v>140.0</v>
      </c>
      <c r="G330" s="5" t="s">
        <v>142</v>
      </c>
      <c r="H330" s="5" t="s">
        <v>142</v>
      </c>
      <c r="I330" s="6" t="s">
        <v>40</v>
      </c>
      <c r="J330" s="5" t="s">
        <v>8585</v>
      </c>
      <c r="K330" s="5" t="s">
        <v>8632</v>
      </c>
      <c r="L330" s="6" t="s">
        <v>42</v>
      </c>
      <c r="M330" s="5" t="s">
        <v>8746</v>
      </c>
      <c r="N330" s="5" t="s">
        <v>64</v>
      </c>
      <c r="O330" s="5" t="s">
        <v>18644</v>
      </c>
      <c r="P330" s="6">
        <v>5565.0</v>
      </c>
    </row>
    <row r="331" ht="56.25" customHeight="1">
      <c r="A331" s="5" t="s">
        <v>18605</v>
      </c>
      <c r="B331" s="16" t="str">
        <f>IMAGE("https://storage.googleapis.com/acdb/shoes/ShoesSandalResin7.png")</f>
        <v/>
      </c>
      <c r="C331" s="5" t="s">
        <v>106</v>
      </c>
      <c r="D331" s="5" t="s">
        <v>36</v>
      </c>
      <c r="E331" s="6">
        <v>560.0</v>
      </c>
      <c r="F331" s="6">
        <v>140.0</v>
      </c>
      <c r="G331" s="5" t="s">
        <v>106</v>
      </c>
      <c r="H331" s="5" t="s">
        <v>106</v>
      </c>
      <c r="I331" s="6" t="s">
        <v>40</v>
      </c>
      <c r="J331" s="5" t="s">
        <v>8585</v>
      </c>
      <c r="K331" s="5" t="s">
        <v>8632</v>
      </c>
      <c r="L331" s="6" t="s">
        <v>42</v>
      </c>
      <c r="M331" s="5" t="s">
        <v>8746</v>
      </c>
      <c r="N331" s="5" t="s">
        <v>64</v>
      </c>
      <c r="O331" s="5" t="s">
        <v>18651</v>
      </c>
      <c r="P331" s="6">
        <v>5565.0</v>
      </c>
    </row>
    <row r="332" ht="56.25" customHeight="1">
      <c r="A332" s="5" t="s">
        <v>18652</v>
      </c>
      <c r="B332" s="16" t="str">
        <f>IMAGE("https://storage.googleapis.com/acdb/shoes/ShoesLowcutSchool0.png")</f>
        <v/>
      </c>
      <c r="C332" s="5" t="s">
        <v>52</v>
      </c>
      <c r="D332" s="5" t="s">
        <v>36</v>
      </c>
      <c r="E332" s="6">
        <v>350.0</v>
      </c>
      <c r="F332" s="6">
        <v>87.0</v>
      </c>
      <c r="G332" s="5" t="s">
        <v>52</v>
      </c>
      <c r="H332" s="5" t="s">
        <v>57</v>
      </c>
      <c r="I332" s="6" t="s">
        <v>40</v>
      </c>
      <c r="J332" s="5" t="s">
        <v>17203</v>
      </c>
      <c r="K332" s="5"/>
      <c r="L332" s="6" t="s">
        <v>42</v>
      </c>
      <c r="M332" s="5" t="s">
        <v>995</v>
      </c>
      <c r="N332" s="5" t="s">
        <v>64</v>
      </c>
      <c r="O332" s="5" t="s">
        <v>18658</v>
      </c>
      <c r="P332" s="6">
        <v>5473.0</v>
      </c>
    </row>
    <row r="333" ht="56.25" customHeight="1">
      <c r="A333" s="5" t="s">
        <v>18652</v>
      </c>
      <c r="B333" s="16" t="str">
        <f>IMAGE("https://storage.googleapis.com/acdb/shoes/ShoesLowcutSchool1.png")</f>
        <v/>
      </c>
      <c r="C333" s="5" t="s">
        <v>68</v>
      </c>
      <c r="D333" s="5" t="s">
        <v>36</v>
      </c>
      <c r="E333" s="6">
        <v>350.0</v>
      </c>
      <c r="F333" s="6">
        <v>87.0</v>
      </c>
      <c r="G333" s="5" t="s">
        <v>68</v>
      </c>
      <c r="H333" s="5" t="s">
        <v>57</v>
      </c>
      <c r="I333" s="6" t="s">
        <v>40</v>
      </c>
      <c r="J333" s="5" t="s">
        <v>17203</v>
      </c>
      <c r="K333" s="5"/>
      <c r="L333" s="6" t="s">
        <v>42</v>
      </c>
      <c r="M333" s="5" t="s">
        <v>995</v>
      </c>
      <c r="N333" s="5" t="s">
        <v>64</v>
      </c>
      <c r="O333" s="5" t="s">
        <v>18664</v>
      </c>
      <c r="P333" s="6">
        <v>5473.0</v>
      </c>
    </row>
    <row r="334" ht="56.25" customHeight="1">
      <c r="A334" s="5" t="s">
        <v>18652</v>
      </c>
      <c r="B334" s="16" t="str">
        <f>IMAGE("https://storage.googleapis.com/acdb/shoes/ShoesLowcutSchool2.png")</f>
        <v/>
      </c>
      <c r="C334" s="5" t="s">
        <v>96</v>
      </c>
      <c r="D334" s="5" t="s">
        <v>36</v>
      </c>
      <c r="E334" s="6">
        <v>350.0</v>
      </c>
      <c r="F334" s="6">
        <v>87.0</v>
      </c>
      <c r="G334" s="5" t="s">
        <v>96</v>
      </c>
      <c r="H334" s="5" t="s">
        <v>57</v>
      </c>
      <c r="I334" s="6" t="s">
        <v>40</v>
      </c>
      <c r="J334" s="5" t="s">
        <v>17203</v>
      </c>
      <c r="K334" s="5"/>
      <c r="L334" s="6" t="s">
        <v>42</v>
      </c>
      <c r="M334" s="5" t="s">
        <v>995</v>
      </c>
      <c r="N334" s="5" t="s">
        <v>64</v>
      </c>
      <c r="O334" s="5" t="s">
        <v>18669</v>
      </c>
      <c r="P334" s="6">
        <v>5473.0</v>
      </c>
    </row>
    <row r="335" ht="56.25" customHeight="1">
      <c r="A335" s="5" t="s">
        <v>18652</v>
      </c>
      <c r="B335" s="16" t="str">
        <f>IMAGE("https://storage.googleapis.com/acdb/shoes/ShoesLowcutSchool3.png")</f>
        <v/>
      </c>
      <c r="C335" s="5" t="s">
        <v>114</v>
      </c>
      <c r="D335" s="5" t="s">
        <v>36</v>
      </c>
      <c r="E335" s="6">
        <v>350.0</v>
      </c>
      <c r="F335" s="6">
        <v>87.0</v>
      </c>
      <c r="G335" s="5" t="s">
        <v>114</v>
      </c>
      <c r="H335" s="5" t="s">
        <v>57</v>
      </c>
      <c r="I335" s="6" t="s">
        <v>40</v>
      </c>
      <c r="J335" s="5" t="s">
        <v>17203</v>
      </c>
      <c r="K335" s="5"/>
      <c r="L335" s="6" t="s">
        <v>42</v>
      </c>
      <c r="M335" s="5" t="s">
        <v>995</v>
      </c>
      <c r="N335" s="5" t="s">
        <v>64</v>
      </c>
      <c r="O335" s="5" t="s">
        <v>18674</v>
      </c>
      <c r="P335" s="6">
        <v>5473.0</v>
      </c>
    </row>
    <row r="336" ht="56.25" customHeight="1">
      <c r="A336" s="5" t="s">
        <v>18652</v>
      </c>
      <c r="B336" s="16" t="str">
        <f>IMAGE("https://storage.googleapis.com/acdb/shoes/ShoesLowcutSchool4.png")</f>
        <v/>
      </c>
      <c r="C336" s="5" t="s">
        <v>69</v>
      </c>
      <c r="D336" s="5" t="s">
        <v>36</v>
      </c>
      <c r="E336" s="6">
        <v>350.0</v>
      </c>
      <c r="F336" s="6">
        <v>87.0</v>
      </c>
      <c r="G336" s="5" t="s">
        <v>69</v>
      </c>
      <c r="H336" s="5" t="s">
        <v>57</v>
      </c>
      <c r="I336" s="6" t="s">
        <v>40</v>
      </c>
      <c r="J336" s="5" t="s">
        <v>17203</v>
      </c>
      <c r="K336" s="5"/>
      <c r="L336" s="6" t="s">
        <v>42</v>
      </c>
      <c r="M336" s="5" t="s">
        <v>995</v>
      </c>
      <c r="N336" s="5" t="s">
        <v>64</v>
      </c>
      <c r="O336" s="5" t="s">
        <v>18677</v>
      </c>
      <c r="P336" s="6">
        <v>5473.0</v>
      </c>
    </row>
    <row r="337" ht="56.25" customHeight="1">
      <c r="A337" s="5" t="s">
        <v>18679</v>
      </c>
      <c r="B337" s="16" t="str">
        <f>IMAGE("https://storage.googleapis.com/acdb/shoes/ShoesLowcutSlipper0.png")</f>
        <v/>
      </c>
      <c r="C337" s="5" t="s">
        <v>95</v>
      </c>
      <c r="D337" s="5" t="s">
        <v>36</v>
      </c>
      <c r="E337" s="6">
        <v>350.0</v>
      </c>
      <c r="F337" s="6">
        <v>87.0</v>
      </c>
      <c r="G337" s="5" t="s">
        <v>95</v>
      </c>
      <c r="H337" s="5" t="s">
        <v>95</v>
      </c>
      <c r="I337" s="6" t="s">
        <v>40</v>
      </c>
      <c r="J337" s="5" t="s">
        <v>17203</v>
      </c>
      <c r="K337" s="5"/>
      <c r="L337" s="6" t="s">
        <v>42</v>
      </c>
      <c r="M337" s="5" t="s">
        <v>995</v>
      </c>
      <c r="N337" s="5" t="s">
        <v>64</v>
      </c>
      <c r="O337" s="5" t="s">
        <v>18683</v>
      </c>
      <c r="P337" s="6">
        <v>5525.0</v>
      </c>
    </row>
    <row r="338" ht="56.25" customHeight="1">
      <c r="A338" s="5" t="s">
        <v>18679</v>
      </c>
      <c r="B338" s="16" t="str">
        <f>IMAGE("https://storage.googleapis.com/acdb/shoes/ShoesLowcutSlipper1.png")</f>
        <v/>
      </c>
      <c r="C338" s="5" t="s">
        <v>54</v>
      </c>
      <c r="D338" s="5" t="s">
        <v>36</v>
      </c>
      <c r="E338" s="6">
        <v>350.0</v>
      </c>
      <c r="F338" s="6">
        <v>87.0</v>
      </c>
      <c r="G338" s="5" t="s">
        <v>54</v>
      </c>
      <c r="H338" s="5" t="s">
        <v>54</v>
      </c>
      <c r="I338" s="6" t="s">
        <v>40</v>
      </c>
      <c r="J338" s="5" t="s">
        <v>17203</v>
      </c>
      <c r="K338" s="5"/>
      <c r="L338" s="6" t="s">
        <v>42</v>
      </c>
      <c r="M338" s="5" t="s">
        <v>995</v>
      </c>
      <c r="N338" s="5" t="s">
        <v>64</v>
      </c>
      <c r="O338" s="5" t="s">
        <v>18692</v>
      </c>
      <c r="P338" s="6">
        <v>5525.0</v>
      </c>
    </row>
    <row r="339" ht="56.25" customHeight="1">
      <c r="A339" s="5" t="s">
        <v>18679</v>
      </c>
      <c r="B339" s="16" t="str">
        <f>IMAGE("https://storage.googleapis.com/acdb/shoes/ShoesLowcutSlipper2.png")</f>
        <v/>
      </c>
      <c r="C339" s="5" t="s">
        <v>57</v>
      </c>
      <c r="D339" s="5" t="s">
        <v>36</v>
      </c>
      <c r="E339" s="6">
        <v>350.0</v>
      </c>
      <c r="F339" s="6">
        <v>87.0</v>
      </c>
      <c r="G339" s="5" t="s">
        <v>57</v>
      </c>
      <c r="H339" s="5" t="s">
        <v>57</v>
      </c>
      <c r="I339" s="6" t="s">
        <v>40</v>
      </c>
      <c r="J339" s="5" t="s">
        <v>17203</v>
      </c>
      <c r="K339" s="5"/>
      <c r="L339" s="6" t="s">
        <v>42</v>
      </c>
      <c r="M339" s="5" t="s">
        <v>995</v>
      </c>
      <c r="N339" s="5" t="s">
        <v>64</v>
      </c>
      <c r="O339" s="5" t="s">
        <v>18696</v>
      </c>
      <c r="P339" s="6">
        <v>5525.0</v>
      </c>
    </row>
    <row r="340" ht="56.25" customHeight="1">
      <c r="A340" s="5" t="s">
        <v>18679</v>
      </c>
      <c r="B340" s="16" t="str">
        <f>IMAGE("https://storage.googleapis.com/acdb/shoes/ShoesLowcutSlipper3.png")</f>
        <v/>
      </c>
      <c r="C340" s="5" t="s">
        <v>69</v>
      </c>
      <c r="D340" s="5" t="s">
        <v>36</v>
      </c>
      <c r="E340" s="6">
        <v>350.0</v>
      </c>
      <c r="F340" s="6">
        <v>87.0</v>
      </c>
      <c r="G340" s="5" t="s">
        <v>69</v>
      </c>
      <c r="H340" s="5" t="s">
        <v>69</v>
      </c>
      <c r="I340" s="6" t="s">
        <v>40</v>
      </c>
      <c r="J340" s="5" t="s">
        <v>17203</v>
      </c>
      <c r="K340" s="5"/>
      <c r="L340" s="6" t="s">
        <v>42</v>
      </c>
      <c r="M340" s="5" t="s">
        <v>995</v>
      </c>
      <c r="N340" s="5" t="s">
        <v>64</v>
      </c>
      <c r="O340" s="5" t="s">
        <v>18699</v>
      </c>
      <c r="P340" s="6">
        <v>5525.0</v>
      </c>
    </row>
    <row r="341" ht="56.25" customHeight="1">
      <c r="A341" s="5" t="s">
        <v>18679</v>
      </c>
      <c r="B341" s="16" t="str">
        <f>IMAGE("https://storage.googleapis.com/acdb/shoes/ShoesLowcutSlipper4.png")</f>
        <v/>
      </c>
      <c r="C341" s="5" t="s">
        <v>96</v>
      </c>
      <c r="D341" s="5" t="s">
        <v>36</v>
      </c>
      <c r="E341" s="6">
        <v>350.0</v>
      </c>
      <c r="F341" s="6">
        <v>87.0</v>
      </c>
      <c r="G341" s="5" t="s">
        <v>96</v>
      </c>
      <c r="H341" s="5" t="s">
        <v>96</v>
      </c>
      <c r="I341" s="6" t="s">
        <v>40</v>
      </c>
      <c r="J341" s="5" t="s">
        <v>17203</v>
      </c>
      <c r="K341" s="5"/>
      <c r="L341" s="6" t="s">
        <v>42</v>
      </c>
      <c r="M341" s="5" t="s">
        <v>995</v>
      </c>
      <c r="N341" s="5" t="s">
        <v>64</v>
      </c>
      <c r="O341" s="5" t="s">
        <v>18704</v>
      </c>
      <c r="P341" s="6">
        <v>5525.0</v>
      </c>
    </row>
    <row r="342" ht="56.25" customHeight="1">
      <c r="A342" s="5" t="s">
        <v>18679</v>
      </c>
      <c r="B342" s="16" t="str">
        <f>IMAGE("https://storage.googleapis.com/acdb/shoes/ShoesLowcutSlipper5.png")</f>
        <v/>
      </c>
      <c r="C342" s="5" t="s">
        <v>68</v>
      </c>
      <c r="D342" s="5" t="s">
        <v>36</v>
      </c>
      <c r="E342" s="6">
        <v>350.0</v>
      </c>
      <c r="F342" s="6">
        <v>87.0</v>
      </c>
      <c r="G342" s="5" t="s">
        <v>83</v>
      </c>
      <c r="H342" s="5" t="s">
        <v>83</v>
      </c>
      <c r="I342" s="6" t="s">
        <v>40</v>
      </c>
      <c r="J342" s="5" t="s">
        <v>17203</v>
      </c>
      <c r="K342" s="5"/>
      <c r="L342" s="6" t="s">
        <v>42</v>
      </c>
      <c r="M342" s="5" t="s">
        <v>995</v>
      </c>
      <c r="N342" s="5" t="s">
        <v>64</v>
      </c>
      <c r="O342" s="5" t="s">
        <v>18707</v>
      </c>
      <c r="P342" s="6">
        <v>5525.0</v>
      </c>
    </row>
    <row r="343" ht="56.25" customHeight="1">
      <c r="A343" s="5" t="s">
        <v>18679</v>
      </c>
      <c r="B343" s="16" t="str">
        <f>IMAGE("https://storage.googleapis.com/acdb/shoes/ShoesLowcutSlipper6.png")</f>
        <v/>
      </c>
      <c r="C343" s="5" t="s">
        <v>52</v>
      </c>
      <c r="D343" s="5" t="s">
        <v>36</v>
      </c>
      <c r="E343" s="6">
        <v>350.0</v>
      </c>
      <c r="F343" s="6">
        <v>87.0</v>
      </c>
      <c r="G343" s="5" t="s">
        <v>52</v>
      </c>
      <c r="H343" s="5" t="s">
        <v>52</v>
      </c>
      <c r="I343" s="6" t="s">
        <v>40</v>
      </c>
      <c r="J343" s="5" t="s">
        <v>17203</v>
      </c>
      <c r="K343" s="5"/>
      <c r="L343" s="6" t="s">
        <v>42</v>
      </c>
      <c r="M343" s="5" t="s">
        <v>995</v>
      </c>
      <c r="N343" s="5" t="s">
        <v>64</v>
      </c>
      <c r="O343" s="5" t="s">
        <v>18710</v>
      </c>
      <c r="P343" s="6">
        <v>5525.0</v>
      </c>
    </row>
    <row r="344" ht="56.25" customHeight="1">
      <c r="A344" s="5" t="s">
        <v>18679</v>
      </c>
      <c r="B344" s="16" t="str">
        <f>IMAGE("https://storage.googleapis.com/acdb/shoes/ShoesLowcutSlipper7.png")</f>
        <v/>
      </c>
      <c r="C344" s="5" t="s">
        <v>114</v>
      </c>
      <c r="D344" s="5" t="s">
        <v>36</v>
      </c>
      <c r="E344" s="6">
        <v>350.0</v>
      </c>
      <c r="F344" s="6">
        <v>87.0</v>
      </c>
      <c r="G344" s="5" t="s">
        <v>114</v>
      </c>
      <c r="H344" s="5" t="s">
        <v>114</v>
      </c>
      <c r="I344" s="6" t="s">
        <v>40</v>
      </c>
      <c r="J344" s="5" t="s">
        <v>17203</v>
      </c>
      <c r="K344" s="5"/>
      <c r="L344" s="6" t="s">
        <v>42</v>
      </c>
      <c r="M344" s="5" t="s">
        <v>995</v>
      </c>
      <c r="N344" s="5" t="s">
        <v>64</v>
      </c>
      <c r="O344" s="5" t="s">
        <v>18715</v>
      </c>
      <c r="P344" s="6">
        <v>5525.0</v>
      </c>
    </row>
    <row r="345" ht="56.25" customHeight="1">
      <c r="A345" s="5" t="s">
        <v>18716</v>
      </c>
      <c r="B345" s="16" t="str">
        <f>IMAGE("https://storage.googleapis.com/acdb/shoes/ShoesKneeSpaceWhite.png")</f>
        <v/>
      </c>
      <c r="C345" s="5" t="s">
        <v>57</v>
      </c>
      <c r="D345" s="5" t="s">
        <v>36</v>
      </c>
      <c r="E345" s="6">
        <v>4300.0</v>
      </c>
      <c r="F345" s="6">
        <v>1075.0</v>
      </c>
      <c r="G345" s="5" t="s">
        <v>57</v>
      </c>
      <c r="H345" s="5" t="s">
        <v>57</v>
      </c>
      <c r="I345" s="6" t="s">
        <v>40</v>
      </c>
      <c r="J345" s="5" t="s">
        <v>17203</v>
      </c>
      <c r="K345" s="5"/>
      <c r="L345" s="6" t="s">
        <v>42</v>
      </c>
      <c r="M345" s="5" t="s">
        <v>8746</v>
      </c>
      <c r="N345" s="5" t="s">
        <v>64</v>
      </c>
      <c r="O345" s="5" t="s">
        <v>18718</v>
      </c>
      <c r="P345" s="6">
        <v>5760.0</v>
      </c>
    </row>
    <row r="346" ht="56.25" customHeight="1">
      <c r="A346" s="5" t="s">
        <v>18719</v>
      </c>
      <c r="B346" s="16" t="str">
        <f>IMAGE("https://storage.googleapis.com/acdb/shoes/ShoesSandalSports0.png")</f>
        <v/>
      </c>
      <c r="C346" s="5" t="s">
        <v>52</v>
      </c>
      <c r="D346" s="5" t="s">
        <v>36</v>
      </c>
      <c r="E346" s="6">
        <v>1300.0</v>
      </c>
      <c r="F346" s="6">
        <v>325.0</v>
      </c>
      <c r="G346" s="5" t="s">
        <v>52</v>
      </c>
      <c r="H346" s="5" t="s">
        <v>54</v>
      </c>
      <c r="I346" s="6" t="s">
        <v>40</v>
      </c>
      <c r="J346" s="5" t="s">
        <v>8585</v>
      </c>
      <c r="K346" s="5" t="s">
        <v>8586</v>
      </c>
      <c r="L346" s="6" t="s">
        <v>42</v>
      </c>
      <c r="M346" s="5" t="s">
        <v>8746</v>
      </c>
      <c r="N346" s="5" t="s">
        <v>64</v>
      </c>
      <c r="O346" s="5" t="s">
        <v>18722</v>
      </c>
      <c r="P346" s="6">
        <v>5824.0</v>
      </c>
    </row>
    <row r="347" ht="56.25" customHeight="1">
      <c r="A347" s="5" t="s">
        <v>18719</v>
      </c>
      <c r="B347" s="16" t="str">
        <f>IMAGE("https://storage.googleapis.com/acdb/shoes/ShoesSandalSports1.png")</f>
        <v/>
      </c>
      <c r="C347" s="5" t="s">
        <v>10757</v>
      </c>
      <c r="D347" s="5" t="s">
        <v>36</v>
      </c>
      <c r="E347" s="6">
        <v>1300.0</v>
      </c>
      <c r="F347" s="6">
        <v>325.0</v>
      </c>
      <c r="G347" s="5" t="s">
        <v>96</v>
      </c>
      <c r="H347" s="5" t="s">
        <v>54</v>
      </c>
      <c r="I347" s="6" t="s">
        <v>40</v>
      </c>
      <c r="J347" s="5" t="s">
        <v>8585</v>
      </c>
      <c r="K347" s="5" t="s">
        <v>8586</v>
      </c>
      <c r="L347" s="6" t="s">
        <v>42</v>
      </c>
      <c r="M347" s="5" t="s">
        <v>8746</v>
      </c>
      <c r="N347" s="5" t="s">
        <v>64</v>
      </c>
      <c r="O347" s="5" t="s">
        <v>18724</v>
      </c>
      <c r="P347" s="6">
        <v>5824.0</v>
      </c>
    </row>
    <row r="348" ht="56.25" customHeight="1">
      <c r="A348" s="5" t="s">
        <v>18719</v>
      </c>
      <c r="B348" s="16" t="str">
        <f>IMAGE("https://storage.googleapis.com/acdb/shoes/ShoesSandalSports2.png")</f>
        <v/>
      </c>
      <c r="C348" s="5" t="s">
        <v>68</v>
      </c>
      <c r="D348" s="5" t="s">
        <v>36</v>
      </c>
      <c r="E348" s="6">
        <v>1300.0</v>
      </c>
      <c r="F348" s="6">
        <v>325.0</v>
      </c>
      <c r="G348" s="5" t="s">
        <v>68</v>
      </c>
      <c r="H348" s="5" t="s">
        <v>54</v>
      </c>
      <c r="I348" s="6" t="s">
        <v>40</v>
      </c>
      <c r="J348" s="5" t="s">
        <v>8585</v>
      </c>
      <c r="K348" s="5" t="s">
        <v>8586</v>
      </c>
      <c r="L348" s="6" t="s">
        <v>42</v>
      </c>
      <c r="M348" s="5" t="s">
        <v>8746</v>
      </c>
      <c r="N348" s="5" t="s">
        <v>64</v>
      </c>
      <c r="O348" s="5" t="s">
        <v>18725</v>
      </c>
      <c r="P348" s="6">
        <v>5824.0</v>
      </c>
    </row>
    <row r="349" ht="56.25" customHeight="1">
      <c r="A349" s="5" t="s">
        <v>18719</v>
      </c>
      <c r="B349" s="16" t="str">
        <f>IMAGE("https://storage.googleapis.com/acdb/shoes/ShoesSandalSports3.png")</f>
        <v/>
      </c>
      <c r="C349" s="5" t="s">
        <v>106</v>
      </c>
      <c r="D349" s="5" t="s">
        <v>36</v>
      </c>
      <c r="E349" s="6">
        <v>1300.0</v>
      </c>
      <c r="F349" s="6">
        <v>325.0</v>
      </c>
      <c r="G349" s="5" t="s">
        <v>106</v>
      </c>
      <c r="H349" s="5" t="s">
        <v>54</v>
      </c>
      <c r="I349" s="6" t="s">
        <v>40</v>
      </c>
      <c r="J349" s="5" t="s">
        <v>8585</v>
      </c>
      <c r="K349" s="5" t="s">
        <v>8586</v>
      </c>
      <c r="L349" s="6" t="s">
        <v>42</v>
      </c>
      <c r="M349" s="5" t="s">
        <v>8746</v>
      </c>
      <c r="N349" s="5" t="s">
        <v>64</v>
      </c>
      <c r="O349" s="5" t="s">
        <v>18726</v>
      </c>
      <c r="P349" s="6">
        <v>5824.0</v>
      </c>
    </row>
    <row r="350" ht="56.25" customHeight="1">
      <c r="A350" s="5" t="s">
        <v>18719</v>
      </c>
      <c r="B350" s="16" t="str">
        <f>IMAGE("https://storage.googleapis.com/acdb/shoes/ShoesSandalSports4.png")</f>
        <v/>
      </c>
      <c r="C350" s="5" t="s">
        <v>96</v>
      </c>
      <c r="D350" s="5" t="s">
        <v>36</v>
      </c>
      <c r="E350" s="6">
        <v>1300.0</v>
      </c>
      <c r="F350" s="6">
        <v>325.0</v>
      </c>
      <c r="G350" s="5" t="s">
        <v>96</v>
      </c>
      <c r="H350" s="5" t="s">
        <v>54</v>
      </c>
      <c r="I350" s="6" t="s">
        <v>40</v>
      </c>
      <c r="J350" s="5" t="s">
        <v>8585</v>
      </c>
      <c r="K350" s="5" t="s">
        <v>8586</v>
      </c>
      <c r="L350" s="6" t="s">
        <v>42</v>
      </c>
      <c r="M350" s="5" t="s">
        <v>8746</v>
      </c>
      <c r="N350" s="5" t="s">
        <v>64</v>
      </c>
      <c r="O350" s="5" t="s">
        <v>18727</v>
      </c>
      <c r="P350" s="6">
        <v>5824.0</v>
      </c>
    </row>
    <row r="351" ht="56.25" customHeight="1">
      <c r="A351" s="5" t="s">
        <v>18719</v>
      </c>
      <c r="B351" s="16" t="str">
        <f>IMAGE("https://storage.googleapis.com/acdb/shoes/ShoesSandalSports5.png")</f>
        <v/>
      </c>
      <c r="C351" s="5" t="s">
        <v>69</v>
      </c>
      <c r="D351" s="5" t="s">
        <v>36</v>
      </c>
      <c r="E351" s="6">
        <v>1300.0</v>
      </c>
      <c r="F351" s="6">
        <v>325.0</v>
      </c>
      <c r="G351" s="5" t="s">
        <v>69</v>
      </c>
      <c r="H351" s="5" t="s">
        <v>54</v>
      </c>
      <c r="I351" s="6" t="s">
        <v>40</v>
      </c>
      <c r="J351" s="5" t="s">
        <v>8585</v>
      </c>
      <c r="K351" s="5" t="s">
        <v>8586</v>
      </c>
      <c r="L351" s="6" t="s">
        <v>42</v>
      </c>
      <c r="M351" s="5" t="s">
        <v>8746</v>
      </c>
      <c r="N351" s="5" t="s">
        <v>64</v>
      </c>
      <c r="O351" s="5" t="s">
        <v>18728</v>
      </c>
      <c r="P351" s="6">
        <v>5824.0</v>
      </c>
    </row>
    <row r="352" ht="56.25" customHeight="1">
      <c r="A352" s="5" t="s">
        <v>18719</v>
      </c>
      <c r="B352" s="16" t="str">
        <f>IMAGE("https://storage.googleapis.com/acdb/shoes/ShoesSandalSports6.png")</f>
        <v/>
      </c>
      <c r="C352" s="5" t="s">
        <v>38</v>
      </c>
      <c r="D352" s="5" t="s">
        <v>36</v>
      </c>
      <c r="E352" s="6">
        <v>1300.0</v>
      </c>
      <c r="F352" s="6">
        <v>325.0</v>
      </c>
      <c r="G352" s="5" t="s">
        <v>38</v>
      </c>
      <c r="H352" s="5" t="s">
        <v>54</v>
      </c>
      <c r="I352" s="6" t="s">
        <v>40</v>
      </c>
      <c r="J352" s="5" t="s">
        <v>8585</v>
      </c>
      <c r="K352" s="5" t="s">
        <v>8586</v>
      </c>
      <c r="L352" s="6" t="s">
        <v>42</v>
      </c>
      <c r="M352" s="5" t="s">
        <v>8746</v>
      </c>
      <c r="N352" s="5" t="s">
        <v>64</v>
      </c>
      <c r="O352" s="5" t="s">
        <v>18729</v>
      </c>
      <c r="P352" s="6">
        <v>5824.0</v>
      </c>
    </row>
    <row r="353" ht="56.25" customHeight="1">
      <c r="A353" s="5" t="s">
        <v>18719</v>
      </c>
      <c r="B353" s="16" t="str">
        <f>IMAGE("https://storage.googleapis.com/acdb/shoes/ShoesSandalSports7.png")</f>
        <v/>
      </c>
      <c r="C353" s="5" t="s">
        <v>95</v>
      </c>
      <c r="D353" s="5" t="s">
        <v>36</v>
      </c>
      <c r="E353" s="6">
        <v>1300.0</v>
      </c>
      <c r="F353" s="6">
        <v>325.0</v>
      </c>
      <c r="G353" s="5" t="s">
        <v>83</v>
      </c>
      <c r="H353" s="5" t="s">
        <v>54</v>
      </c>
      <c r="I353" s="6" t="s">
        <v>40</v>
      </c>
      <c r="J353" s="5" t="s">
        <v>8585</v>
      </c>
      <c r="K353" s="5" t="s">
        <v>8586</v>
      </c>
      <c r="L353" s="6" t="s">
        <v>42</v>
      </c>
      <c r="M353" s="5" t="s">
        <v>8746</v>
      </c>
      <c r="N353" s="5" t="s">
        <v>64</v>
      </c>
      <c r="O353" s="5" t="s">
        <v>18730</v>
      </c>
      <c r="P353" s="6">
        <v>5824.0</v>
      </c>
    </row>
    <row r="354" ht="56.25" customHeight="1">
      <c r="A354" s="5" t="s">
        <v>18731</v>
      </c>
      <c r="B354" s="16" t="str">
        <f>IMAGE("https://storage.googleapis.com/acdb/shoes/ShoesKneeEngineerboots0.png")</f>
        <v/>
      </c>
      <c r="C354" s="5" t="s">
        <v>39</v>
      </c>
      <c r="D354" s="5" t="s">
        <v>36</v>
      </c>
      <c r="E354" s="6">
        <v>2640.0</v>
      </c>
      <c r="F354" s="6">
        <v>660.0</v>
      </c>
      <c r="G354" s="5" t="s">
        <v>39</v>
      </c>
      <c r="H354" s="5" t="s">
        <v>39</v>
      </c>
      <c r="I354" s="6" t="s">
        <v>40</v>
      </c>
      <c r="J354" s="5" t="s">
        <v>8585</v>
      </c>
      <c r="K354" s="5" t="s">
        <v>8632</v>
      </c>
      <c r="L354" s="6" t="s">
        <v>42</v>
      </c>
      <c r="M354" s="5" t="s">
        <v>1952</v>
      </c>
      <c r="N354" s="5" t="s">
        <v>64</v>
      </c>
      <c r="O354" s="5" t="s">
        <v>18732</v>
      </c>
      <c r="P354" s="6">
        <v>2593.0</v>
      </c>
    </row>
    <row r="355" ht="56.25" customHeight="1">
      <c r="A355" s="5" t="s">
        <v>18731</v>
      </c>
      <c r="B355" s="16" t="str">
        <f>IMAGE("https://storage.googleapis.com/acdb/shoes/ShoesKneeEngineerboots1.png")</f>
        <v/>
      </c>
      <c r="C355" s="5" t="s">
        <v>38</v>
      </c>
      <c r="D355" s="5" t="s">
        <v>36</v>
      </c>
      <c r="E355" s="6">
        <v>2640.0</v>
      </c>
      <c r="F355" s="6">
        <v>660.0</v>
      </c>
      <c r="G355" s="5" t="s">
        <v>38</v>
      </c>
      <c r="H355" s="5" t="s">
        <v>39</v>
      </c>
      <c r="I355" s="6" t="s">
        <v>40</v>
      </c>
      <c r="J355" s="5" t="s">
        <v>8585</v>
      </c>
      <c r="K355" s="5" t="s">
        <v>8632</v>
      </c>
      <c r="L355" s="6" t="s">
        <v>42</v>
      </c>
      <c r="M355" s="5" t="s">
        <v>1952</v>
      </c>
      <c r="N355" s="5" t="s">
        <v>64</v>
      </c>
      <c r="O355" s="5" t="s">
        <v>18733</v>
      </c>
      <c r="P355" s="6">
        <v>2593.0</v>
      </c>
    </row>
    <row r="356" ht="56.25" customHeight="1">
      <c r="A356" s="5" t="s">
        <v>18731</v>
      </c>
      <c r="B356" s="16" t="str">
        <f>IMAGE("https://storage.googleapis.com/acdb/shoes/ShoesKneeEngineerboots2.png")</f>
        <v/>
      </c>
      <c r="C356" s="5" t="s">
        <v>96</v>
      </c>
      <c r="D356" s="5" t="s">
        <v>36</v>
      </c>
      <c r="E356" s="6">
        <v>2640.0</v>
      </c>
      <c r="F356" s="6">
        <v>660.0</v>
      </c>
      <c r="G356" s="5" t="s">
        <v>96</v>
      </c>
      <c r="H356" s="5" t="s">
        <v>39</v>
      </c>
      <c r="I356" s="6" t="s">
        <v>40</v>
      </c>
      <c r="J356" s="5" t="s">
        <v>8585</v>
      </c>
      <c r="K356" s="5" t="s">
        <v>8632</v>
      </c>
      <c r="L356" s="6" t="s">
        <v>42</v>
      </c>
      <c r="M356" s="5" t="s">
        <v>1952</v>
      </c>
      <c r="N356" s="5" t="s">
        <v>64</v>
      </c>
      <c r="O356" s="5" t="s">
        <v>18736</v>
      </c>
      <c r="P356" s="6">
        <v>2593.0</v>
      </c>
    </row>
    <row r="357" ht="56.25" customHeight="1">
      <c r="A357" s="5" t="s">
        <v>18731</v>
      </c>
      <c r="B357" s="16" t="str">
        <f>IMAGE("https://storage.googleapis.com/acdb/shoes/ShoesKneeEngineerboots3.png")</f>
        <v/>
      </c>
      <c r="C357" s="5" t="s">
        <v>54</v>
      </c>
      <c r="D357" s="5" t="s">
        <v>36</v>
      </c>
      <c r="E357" s="6">
        <v>2640.0</v>
      </c>
      <c r="F357" s="6">
        <v>660.0</v>
      </c>
      <c r="G357" s="5" t="s">
        <v>54</v>
      </c>
      <c r="H357" s="5" t="s">
        <v>95</v>
      </c>
      <c r="I357" s="6" t="s">
        <v>40</v>
      </c>
      <c r="J357" s="5" t="s">
        <v>8585</v>
      </c>
      <c r="K357" s="5" t="s">
        <v>8632</v>
      </c>
      <c r="L357" s="6" t="s">
        <v>42</v>
      </c>
      <c r="M357" s="5" t="s">
        <v>1952</v>
      </c>
      <c r="N357" s="5" t="s">
        <v>64</v>
      </c>
      <c r="O357" s="5" t="s">
        <v>18745</v>
      </c>
      <c r="P357" s="6">
        <v>2593.0</v>
      </c>
    </row>
    <row r="358" ht="56.25" customHeight="1">
      <c r="A358" s="5" t="s">
        <v>18731</v>
      </c>
      <c r="B358" s="16" t="str">
        <f>IMAGE("https://storage.googleapis.com/acdb/shoes/ShoesKneeEngineerboots4.png")</f>
        <v/>
      </c>
      <c r="C358" s="5" t="s">
        <v>52</v>
      </c>
      <c r="D358" s="5" t="s">
        <v>36</v>
      </c>
      <c r="E358" s="6">
        <v>2640.0</v>
      </c>
      <c r="F358" s="6">
        <v>660.0</v>
      </c>
      <c r="G358" s="5" t="s">
        <v>52</v>
      </c>
      <c r="H358" s="5" t="s">
        <v>39</v>
      </c>
      <c r="I358" s="6" t="s">
        <v>40</v>
      </c>
      <c r="J358" s="5" t="s">
        <v>8585</v>
      </c>
      <c r="K358" s="5" t="s">
        <v>8632</v>
      </c>
      <c r="L358" s="6" t="s">
        <v>42</v>
      </c>
      <c r="M358" s="5" t="s">
        <v>1952</v>
      </c>
      <c r="N358" s="5" t="s">
        <v>64</v>
      </c>
      <c r="O358" s="5" t="s">
        <v>18751</v>
      </c>
      <c r="P358" s="6">
        <v>2593.0</v>
      </c>
    </row>
    <row r="359" ht="56.25" customHeight="1">
      <c r="A359" s="5" t="s">
        <v>18731</v>
      </c>
      <c r="B359" s="16" t="str">
        <f>IMAGE("https://storage.googleapis.com/acdb/shoes/ShoesKneeEngineerboots5.png")</f>
        <v/>
      </c>
      <c r="C359" s="5" t="s">
        <v>95</v>
      </c>
      <c r="D359" s="5" t="s">
        <v>36</v>
      </c>
      <c r="E359" s="6">
        <v>2640.0</v>
      </c>
      <c r="F359" s="6">
        <v>660.0</v>
      </c>
      <c r="G359" s="5" t="s">
        <v>95</v>
      </c>
      <c r="H359" s="5" t="s">
        <v>39</v>
      </c>
      <c r="I359" s="6" t="s">
        <v>40</v>
      </c>
      <c r="J359" s="5" t="s">
        <v>8585</v>
      </c>
      <c r="K359" s="5" t="s">
        <v>8632</v>
      </c>
      <c r="L359" s="6" t="s">
        <v>42</v>
      </c>
      <c r="M359" s="5" t="s">
        <v>1952</v>
      </c>
      <c r="N359" s="5" t="s">
        <v>64</v>
      </c>
      <c r="O359" s="5" t="s">
        <v>18761</v>
      </c>
      <c r="P359" s="6">
        <v>2593.0</v>
      </c>
    </row>
    <row r="360" ht="56.25" customHeight="1">
      <c r="A360" s="5" t="s">
        <v>18762</v>
      </c>
      <c r="B360" s="16" t="str">
        <f>IMAGE("https://storage.googleapis.com/acdb/shoes/ShoesLowcutEggrock0.png")</f>
        <v/>
      </c>
      <c r="C360" s="5" t="s">
        <v>44</v>
      </c>
      <c r="D360" s="5" t="s">
        <v>35</v>
      </c>
      <c r="E360" s="6" t="s">
        <v>37</v>
      </c>
      <c r="F360" s="6">
        <v>800.0</v>
      </c>
      <c r="G360" s="5" t="s">
        <v>142</v>
      </c>
      <c r="H360" s="5" t="s">
        <v>39</v>
      </c>
      <c r="I360" s="6" t="s">
        <v>40</v>
      </c>
      <c r="J360" s="5" t="s">
        <v>41</v>
      </c>
      <c r="K360" s="5" t="s">
        <v>16881</v>
      </c>
      <c r="L360" s="6" t="s">
        <v>1410</v>
      </c>
      <c r="M360" s="5" t="s">
        <v>8746</v>
      </c>
      <c r="N360" s="5" t="s">
        <v>48</v>
      </c>
      <c r="O360" s="5" t="s">
        <v>18772</v>
      </c>
      <c r="P360" s="6">
        <v>12456.0</v>
      </c>
    </row>
    <row r="361" ht="56.25" customHeight="1">
      <c r="A361" s="5" t="s">
        <v>18775</v>
      </c>
      <c r="B361" s="16" t="str">
        <f>IMAGE("https://storage.googleapis.com/acdb/shoes/ShoesLowcutGlitter0.png")</f>
        <v/>
      </c>
      <c r="C361" s="5" t="s">
        <v>52</v>
      </c>
      <c r="D361" s="5" t="s">
        <v>36</v>
      </c>
      <c r="E361" s="6">
        <v>1560.0</v>
      </c>
      <c r="F361" s="6">
        <v>390.0</v>
      </c>
      <c r="G361" s="5" t="s">
        <v>52</v>
      </c>
      <c r="H361" s="5" t="s">
        <v>52</v>
      </c>
      <c r="I361" s="6" t="s">
        <v>40</v>
      </c>
      <c r="J361" s="5" t="s">
        <v>8585</v>
      </c>
      <c r="K361" s="5" t="s">
        <v>8586</v>
      </c>
      <c r="L361" s="6" t="s">
        <v>42</v>
      </c>
      <c r="M361" s="5" t="s">
        <v>612</v>
      </c>
      <c r="N361" s="5" t="s">
        <v>64</v>
      </c>
      <c r="O361" s="5" t="s">
        <v>18783</v>
      </c>
      <c r="P361" s="6">
        <v>5561.0</v>
      </c>
    </row>
    <row r="362" ht="56.25" customHeight="1">
      <c r="A362" s="5" t="s">
        <v>18775</v>
      </c>
      <c r="B362" s="16" t="str">
        <f>IMAGE("https://storage.googleapis.com/acdb/shoes/ShoesLowcutGlitter1.png")</f>
        <v/>
      </c>
      <c r="C362" s="5" t="s">
        <v>68</v>
      </c>
      <c r="D362" s="5" t="s">
        <v>36</v>
      </c>
      <c r="E362" s="6">
        <v>1560.0</v>
      </c>
      <c r="F362" s="6">
        <v>390.0</v>
      </c>
      <c r="G362" s="5" t="s">
        <v>68</v>
      </c>
      <c r="H362" s="5" t="s">
        <v>68</v>
      </c>
      <c r="I362" s="6" t="s">
        <v>40</v>
      </c>
      <c r="J362" s="5" t="s">
        <v>8585</v>
      </c>
      <c r="K362" s="5" t="s">
        <v>8586</v>
      </c>
      <c r="L362" s="6" t="s">
        <v>42</v>
      </c>
      <c r="M362" s="5" t="s">
        <v>612</v>
      </c>
      <c r="N362" s="5" t="s">
        <v>64</v>
      </c>
      <c r="O362" s="5" t="s">
        <v>18792</v>
      </c>
      <c r="P362" s="6">
        <v>5561.0</v>
      </c>
    </row>
    <row r="363" ht="56.25" customHeight="1">
      <c r="A363" s="5" t="s">
        <v>18775</v>
      </c>
      <c r="B363" s="16" t="str">
        <f>IMAGE("https://storage.googleapis.com/acdb/shoes/ShoesLowcutGlitter2.png")</f>
        <v/>
      </c>
      <c r="C363" s="5" t="s">
        <v>151</v>
      </c>
      <c r="D363" s="5" t="s">
        <v>36</v>
      </c>
      <c r="E363" s="6">
        <v>1560.0</v>
      </c>
      <c r="F363" s="6">
        <v>390.0</v>
      </c>
      <c r="G363" s="5" t="s">
        <v>142</v>
      </c>
      <c r="H363" s="5" t="s">
        <v>142</v>
      </c>
      <c r="I363" s="6" t="s">
        <v>40</v>
      </c>
      <c r="J363" s="5" t="s">
        <v>8585</v>
      </c>
      <c r="K363" s="5" t="s">
        <v>8586</v>
      </c>
      <c r="L363" s="6" t="s">
        <v>42</v>
      </c>
      <c r="M363" s="5" t="s">
        <v>612</v>
      </c>
      <c r="N363" s="5" t="s">
        <v>64</v>
      </c>
      <c r="O363" s="5" t="s">
        <v>18801</v>
      </c>
      <c r="P363" s="6">
        <v>5561.0</v>
      </c>
    </row>
    <row r="364" ht="56.25" customHeight="1">
      <c r="A364" s="5" t="s">
        <v>18775</v>
      </c>
      <c r="B364" s="16" t="str">
        <f>IMAGE("https://storage.googleapis.com/acdb/shoes/ShoesLowcutGlitter3.png")</f>
        <v/>
      </c>
      <c r="C364" s="5" t="s">
        <v>146</v>
      </c>
      <c r="D364" s="5" t="s">
        <v>36</v>
      </c>
      <c r="E364" s="6">
        <v>1560.0</v>
      </c>
      <c r="F364" s="6">
        <v>390.0</v>
      </c>
      <c r="G364" s="5" t="s">
        <v>95</v>
      </c>
      <c r="H364" s="5" t="s">
        <v>95</v>
      </c>
      <c r="I364" s="6" t="s">
        <v>40</v>
      </c>
      <c r="J364" s="5" t="s">
        <v>8585</v>
      </c>
      <c r="K364" s="5" t="s">
        <v>8586</v>
      </c>
      <c r="L364" s="6" t="s">
        <v>42</v>
      </c>
      <c r="M364" s="5" t="s">
        <v>612</v>
      </c>
      <c r="N364" s="5" t="s">
        <v>64</v>
      </c>
      <c r="O364" s="5" t="s">
        <v>18806</v>
      </c>
      <c r="P364" s="6">
        <v>5561.0</v>
      </c>
    </row>
    <row r="365" ht="56.25" customHeight="1">
      <c r="A365" s="5" t="s">
        <v>18775</v>
      </c>
      <c r="B365" s="16" t="str">
        <f>IMAGE("https://storage.googleapis.com/acdb/shoes/ShoesLowcutGlitter4.png")</f>
        <v/>
      </c>
      <c r="C365" s="5" t="s">
        <v>54</v>
      </c>
      <c r="D365" s="5" t="s">
        <v>36</v>
      </c>
      <c r="E365" s="6">
        <v>1560.0</v>
      </c>
      <c r="F365" s="6">
        <v>390.0</v>
      </c>
      <c r="G365" s="5" t="s">
        <v>54</v>
      </c>
      <c r="H365" s="5" t="s">
        <v>54</v>
      </c>
      <c r="I365" s="6" t="s">
        <v>40</v>
      </c>
      <c r="J365" s="5" t="s">
        <v>8585</v>
      </c>
      <c r="K365" s="5" t="s">
        <v>8586</v>
      </c>
      <c r="L365" s="6" t="s">
        <v>42</v>
      </c>
      <c r="M365" s="5" t="s">
        <v>612</v>
      </c>
      <c r="N365" s="5" t="s">
        <v>64</v>
      </c>
      <c r="O365" s="5" t="s">
        <v>18812</v>
      </c>
      <c r="P365" s="6">
        <v>5561.0</v>
      </c>
    </row>
    <row r="366" ht="56.25" customHeight="1">
      <c r="A366" s="5" t="s">
        <v>18775</v>
      </c>
      <c r="B366" s="16" t="str">
        <f>IMAGE("https://storage.googleapis.com/acdb/shoes/ShoesLowcutGlitter5.png")</f>
        <v/>
      </c>
      <c r="C366" s="5" t="s">
        <v>69</v>
      </c>
      <c r="D366" s="5" t="s">
        <v>36</v>
      </c>
      <c r="E366" s="6">
        <v>1560.0</v>
      </c>
      <c r="F366" s="6">
        <v>390.0</v>
      </c>
      <c r="G366" s="5" t="s">
        <v>69</v>
      </c>
      <c r="H366" s="5" t="s">
        <v>69</v>
      </c>
      <c r="I366" s="6" t="s">
        <v>40</v>
      </c>
      <c r="J366" s="5" t="s">
        <v>8585</v>
      </c>
      <c r="K366" s="5" t="s">
        <v>8586</v>
      </c>
      <c r="L366" s="6" t="s">
        <v>42</v>
      </c>
      <c r="M366" s="5" t="s">
        <v>612</v>
      </c>
      <c r="N366" s="5" t="s">
        <v>64</v>
      </c>
      <c r="O366" s="5" t="s">
        <v>18818</v>
      </c>
      <c r="P366" s="6">
        <v>5561.0</v>
      </c>
    </row>
    <row r="367" ht="56.25" customHeight="1">
      <c r="A367" s="5" t="s">
        <v>18775</v>
      </c>
      <c r="B367" s="16" t="str">
        <f>IMAGE("https://storage.googleapis.com/acdb/shoes/ShoesLowcutGlitter6.png")</f>
        <v/>
      </c>
      <c r="C367" s="5" t="s">
        <v>96</v>
      </c>
      <c r="D367" s="5" t="s">
        <v>36</v>
      </c>
      <c r="E367" s="6">
        <v>1560.0</v>
      </c>
      <c r="F367" s="6">
        <v>390.0</v>
      </c>
      <c r="G367" s="5" t="s">
        <v>96</v>
      </c>
      <c r="H367" s="5" t="s">
        <v>96</v>
      </c>
      <c r="I367" s="6" t="s">
        <v>40</v>
      </c>
      <c r="J367" s="5" t="s">
        <v>8585</v>
      </c>
      <c r="K367" s="5" t="s">
        <v>8586</v>
      </c>
      <c r="L367" s="6" t="s">
        <v>42</v>
      </c>
      <c r="M367" s="5" t="s">
        <v>612</v>
      </c>
      <c r="N367" s="5" t="s">
        <v>64</v>
      </c>
      <c r="O367" s="5" t="s">
        <v>18825</v>
      </c>
      <c r="P367" s="6">
        <v>5561.0</v>
      </c>
    </row>
    <row r="368" ht="56.25" customHeight="1">
      <c r="A368" s="5" t="s">
        <v>18775</v>
      </c>
      <c r="B368" s="16" t="str">
        <f>IMAGE("https://storage.googleapis.com/acdb/shoes/ShoesLowcutGlitter7.png")</f>
        <v/>
      </c>
      <c r="C368" s="5" t="s">
        <v>106</v>
      </c>
      <c r="D368" s="5" t="s">
        <v>36</v>
      </c>
      <c r="E368" s="6">
        <v>1560.0</v>
      </c>
      <c r="F368" s="6">
        <v>390.0</v>
      </c>
      <c r="G368" s="5" t="s">
        <v>106</v>
      </c>
      <c r="H368" s="5" t="s">
        <v>106</v>
      </c>
      <c r="I368" s="6" t="s">
        <v>40</v>
      </c>
      <c r="J368" s="5" t="s">
        <v>8585</v>
      </c>
      <c r="K368" s="5" t="s">
        <v>8586</v>
      </c>
      <c r="L368" s="6" t="s">
        <v>42</v>
      </c>
      <c r="M368" s="5" t="s">
        <v>612</v>
      </c>
      <c r="N368" s="5" t="s">
        <v>64</v>
      </c>
      <c r="O368" s="5" t="s">
        <v>18828</v>
      </c>
      <c r="P368" s="6">
        <v>5561.0</v>
      </c>
    </row>
    <row r="369" ht="56.25" customHeight="1">
      <c r="A369" s="5" t="s">
        <v>18829</v>
      </c>
      <c r="B369" s="16" t="str">
        <f>IMAGE("https://storage.googleapis.com/acdb/shoes/ShoesLowcutGgotshin0.png")</f>
        <v/>
      </c>
      <c r="C369" s="5" t="s">
        <v>52</v>
      </c>
      <c r="D369" s="5" t="s">
        <v>36</v>
      </c>
      <c r="E369" s="6">
        <v>1800.0</v>
      </c>
      <c r="F369" s="6">
        <v>450.0</v>
      </c>
      <c r="G369" s="5" t="s">
        <v>52</v>
      </c>
      <c r="H369" s="5" t="s">
        <v>68</v>
      </c>
      <c r="I369" s="6" t="s">
        <v>40</v>
      </c>
      <c r="J369" s="5" t="s">
        <v>17203</v>
      </c>
      <c r="K369" s="5"/>
      <c r="L369" s="6" t="s">
        <v>42</v>
      </c>
      <c r="M369" s="5" t="s">
        <v>1059</v>
      </c>
      <c r="N369" s="5" t="s">
        <v>64</v>
      </c>
      <c r="O369" s="5" t="s">
        <v>18834</v>
      </c>
      <c r="P369" s="6">
        <v>5622.0</v>
      </c>
    </row>
    <row r="370" ht="56.25" customHeight="1">
      <c r="A370" s="5" t="s">
        <v>18829</v>
      </c>
      <c r="B370" s="16" t="str">
        <f>IMAGE("https://storage.googleapis.com/acdb/shoes/ShoesLowcutGgotshin1.png")</f>
        <v/>
      </c>
      <c r="C370" s="5" t="s">
        <v>69</v>
      </c>
      <c r="D370" s="5" t="s">
        <v>36</v>
      </c>
      <c r="E370" s="6">
        <v>1800.0</v>
      </c>
      <c r="F370" s="6">
        <v>450.0</v>
      </c>
      <c r="G370" s="5" t="s">
        <v>69</v>
      </c>
      <c r="H370" s="5" t="s">
        <v>57</v>
      </c>
      <c r="I370" s="6" t="s">
        <v>40</v>
      </c>
      <c r="J370" s="5" t="s">
        <v>17203</v>
      </c>
      <c r="K370" s="5"/>
      <c r="L370" s="6" t="s">
        <v>42</v>
      </c>
      <c r="M370" s="5" t="s">
        <v>1059</v>
      </c>
      <c r="N370" s="5" t="s">
        <v>64</v>
      </c>
      <c r="O370" s="5" t="s">
        <v>18843</v>
      </c>
      <c r="P370" s="6">
        <v>5622.0</v>
      </c>
    </row>
    <row r="371" ht="56.25" customHeight="1">
      <c r="A371" s="5" t="s">
        <v>18829</v>
      </c>
      <c r="B371" s="16" t="str">
        <f>IMAGE("https://storage.googleapis.com/acdb/shoes/ShoesLowcutGgotshin2.png")</f>
        <v/>
      </c>
      <c r="C371" s="5" t="s">
        <v>68</v>
      </c>
      <c r="D371" s="5" t="s">
        <v>36</v>
      </c>
      <c r="E371" s="6">
        <v>1800.0</v>
      </c>
      <c r="F371" s="6">
        <v>450.0</v>
      </c>
      <c r="G371" s="5" t="s">
        <v>68</v>
      </c>
      <c r="H371" s="5" t="s">
        <v>39</v>
      </c>
      <c r="I371" s="6" t="s">
        <v>40</v>
      </c>
      <c r="J371" s="5" t="s">
        <v>17203</v>
      </c>
      <c r="K371" s="5"/>
      <c r="L371" s="6" t="s">
        <v>42</v>
      </c>
      <c r="M371" s="5" t="s">
        <v>1059</v>
      </c>
      <c r="N371" s="5" t="s">
        <v>64</v>
      </c>
      <c r="O371" s="5" t="s">
        <v>18850</v>
      </c>
      <c r="P371" s="6">
        <v>5622.0</v>
      </c>
    </row>
    <row r="372" ht="56.25" customHeight="1">
      <c r="A372" s="5" t="s">
        <v>18829</v>
      </c>
      <c r="B372" s="16" t="str">
        <f>IMAGE("https://storage.googleapis.com/acdb/shoes/ShoesLowcutGgotshin3.png")</f>
        <v/>
      </c>
      <c r="C372" s="5" t="s">
        <v>114</v>
      </c>
      <c r="D372" s="5" t="s">
        <v>36</v>
      </c>
      <c r="E372" s="6">
        <v>1800.0</v>
      </c>
      <c r="F372" s="6">
        <v>450.0</v>
      </c>
      <c r="G372" s="5" t="s">
        <v>114</v>
      </c>
      <c r="H372" s="5" t="s">
        <v>39</v>
      </c>
      <c r="I372" s="6" t="s">
        <v>40</v>
      </c>
      <c r="J372" s="5" t="s">
        <v>17203</v>
      </c>
      <c r="K372" s="5"/>
      <c r="L372" s="6" t="s">
        <v>42</v>
      </c>
      <c r="M372" s="5" t="s">
        <v>1059</v>
      </c>
      <c r="N372" s="5" t="s">
        <v>64</v>
      </c>
      <c r="O372" s="5" t="s">
        <v>18855</v>
      </c>
      <c r="P372" s="6">
        <v>5622.0</v>
      </c>
    </row>
    <row r="373" ht="56.25" customHeight="1">
      <c r="A373" s="5" t="s">
        <v>18829</v>
      </c>
      <c r="B373" s="16" t="str">
        <f>IMAGE("https://storage.googleapis.com/acdb/shoes/ShoesLowcutGgotshin4.png")</f>
        <v/>
      </c>
      <c r="C373" s="5" t="s">
        <v>1458</v>
      </c>
      <c r="D373" s="5" t="s">
        <v>36</v>
      </c>
      <c r="E373" s="6">
        <v>1800.0</v>
      </c>
      <c r="F373" s="6">
        <v>450.0</v>
      </c>
      <c r="G373" s="5" t="s">
        <v>114</v>
      </c>
      <c r="H373" s="5" t="s">
        <v>52</v>
      </c>
      <c r="I373" s="6" t="s">
        <v>40</v>
      </c>
      <c r="J373" s="5" t="s">
        <v>17203</v>
      </c>
      <c r="K373" s="5"/>
      <c r="L373" s="6" t="s">
        <v>42</v>
      </c>
      <c r="M373" s="5" t="s">
        <v>1059</v>
      </c>
      <c r="N373" s="5" t="s">
        <v>64</v>
      </c>
      <c r="O373" s="5" t="s">
        <v>18862</v>
      </c>
      <c r="P373" s="6">
        <v>5622.0</v>
      </c>
    </row>
    <row r="374" ht="56.25" customHeight="1">
      <c r="A374" s="5" t="s">
        <v>18863</v>
      </c>
      <c r="B374" s="16" t="str">
        <f>IMAGE("https://storage.googleapis.com/acdb/shoes/ShoesHighcutTrekking0.png")</f>
        <v/>
      </c>
      <c r="C374" s="5" t="s">
        <v>142</v>
      </c>
      <c r="D374" s="5" t="s">
        <v>36</v>
      </c>
      <c r="E374" s="6">
        <v>1500.0</v>
      </c>
      <c r="F374" s="6">
        <v>375.0</v>
      </c>
      <c r="G374" s="5" t="s">
        <v>39</v>
      </c>
      <c r="H374" s="5" t="s">
        <v>52</v>
      </c>
      <c r="I374" s="6" t="s">
        <v>40</v>
      </c>
      <c r="J374" s="5" t="s">
        <v>8585</v>
      </c>
      <c r="K374" s="5" t="s">
        <v>8632</v>
      </c>
      <c r="L374" s="6" t="s">
        <v>42</v>
      </c>
      <c r="M374" s="5" t="s">
        <v>8746</v>
      </c>
      <c r="N374" s="5" t="s">
        <v>64</v>
      </c>
      <c r="O374" s="5" t="s">
        <v>18868</v>
      </c>
      <c r="P374" s="6">
        <v>5388.0</v>
      </c>
    </row>
    <row r="375" ht="56.25" customHeight="1">
      <c r="A375" s="5" t="s">
        <v>18863</v>
      </c>
      <c r="B375" s="16" t="str">
        <f>IMAGE("https://storage.googleapis.com/acdb/shoes/ShoesHighcutTrekking1.png")</f>
        <v/>
      </c>
      <c r="C375" s="5" t="s">
        <v>95</v>
      </c>
      <c r="D375" s="5" t="s">
        <v>36</v>
      </c>
      <c r="E375" s="6">
        <v>1500.0</v>
      </c>
      <c r="F375" s="6">
        <v>375.0</v>
      </c>
      <c r="G375" s="5" t="s">
        <v>54</v>
      </c>
      <c r="H375" s="5" t="s">
        <v>96</v>
      </c>
      <c r="I375" s="6" t="s">
        <v>40</v>
      </c>
      <c r="J375" s="5" t="s">
        <v>8585</v>
      </c>
      <c r="K375" s="5" t="s">
        <v>8632</v>
      </c>
      <c r="L375" s="6" t="s">
        <v>42</v>
      </c>
      <c r="M375" s="5" t="s">
        <v>8746</v>
      </c>
      <c r="N375" s="5" t="s">
        <v>64</v>
      </c>
      <c r="O375" s="5" t="s">
        <v>18875</v>
      </c>
      <c r="P375" s="6">
        <v>5388.0</v>
      </c>
    </row>
    <row r="376" ht="56.25" customHeight="1">
      <c r="A376" s="5" t="s">
        <v>18863</v>
      </c>
      <c r="B376" s="16" t="str">
        <f>IMAGE("https://storage.googleapis.com/acdb/shoes/ShoesHighcutTrekking2.png")</f>
        <v/>
      </c>
      <c r="C376" s="5" t="s">
        <v>54</v>
      </c>
      <c r="D376" s="5" t="s">
        <v>36</v>
      </c>
      <c r="E376" s="6">
        <v>1500.0</v>
      </c>
      <c r="F376" s="6">
        <v>375.0</v>
      </c>
      <c r="G376" s="5" t="s">
        <v>54</v>
      </c>
      <c r="H376" s="5" t="s">
        <v>68</v>
      </c>
      <c r="I376" s="6" t="s">
        <v>40</v>
      </c>
      <c r="J376" s="5" t="s">
        <v>8585</v>
      </c>
      <c r="K376" s="5" t="s">
        <v>8632</v>
      </c>
      <c r="L376" s="6" t="s">
        <v>42</v>
      </c>
      <c r="M376" s="5" t="s">
        <v>8746</v>
      </c>
      <c r="N376" s="5" t="s">
        <v>64</v>
      </c>
      <c r="O376" s="5" t="s">
        <v>18884</v>
      </c>
      <c r="P376" s="6">
        <v>5388.0</v>
      </c>
    </row>
    <row r="377" ht="56.25" customHeight="1">
      <c r="A377" s="5" t="s">
        <v>18863</v>
      </c>
      <c r="B377" s="16" t="str">
        <f>IMAGE("https://storage.googleapis.com/acdb/shoes/ShoesHighcutTrekking3.png")</f>
        <v/>
      </c>
      <c r="C377" s="5" t="s">
        <v>83</v>
      </c>
      <c r="D377" s="5" t="s">
        <v>36</v>
      </c>
      <c r="E377" s="6">
        <v>1500.0</v>
      </c>
      <c r="F377" s="6">
        <v>375.0</v>
      </c>
      <c r="G377" s="5" t="s">
        <v>83</v>
      </c>
      <c r="H377" s="5" t="s">
        <v>106</v>
      </c>
      <c r="I377" s="6" t="s">
        <v>40</v>
      </c>
      <c r="J377" s="5" t="s">
        <v>8585</v>
      </c>
      <c r="K377" s="5" t="s">
        <v>8632</v>
      </c>
      <c r="L377" s="6" t="s">
        <v>42</v>
      </c>
      <c r="M377" s="5" t="s">
        <v>8746</v>
      </c>
      <c r="N377" s="5" t="s">
        <v>64</v>
      </c>
      <c r="O377" s="5" t="s">
        <v>18893</v>
      </c>
      <c r="P377" s="6">
        <v>5388.0</v>
      </c>
    </row>
    <row r="378" ht="56.25" customHeight="1">
      <c r="A378" s="5" t="s">
        <v>18863</v>
      </c>
      <c r="B378" s="16" t="str">
        <f>IMAGE("https://storage.googleapis.com/acdb/shoes/ShoesHighcutTrekking4.png")</f>
        <v/>
      </c>
      <c r="C378" s="5" t="s">
        <v>114</v>
      </c>
      <c r="D378" s="5" t="s">
        <v>36</v>
      </c>
      <c r="E378" s="6">
        <v>1500.0</v>
      </c>
      <c r="F378" s="6">
        <v>375.0</v>
      </c>
      <c r="G378" s="5" t="s">
        <v>114</v>
      </c>
      <c r="H378" s="5" t="s">
        <v>57</v>
      </c>
      <c r="I378" s="6" t="s">
        <v>40</v>
      </c>
      <c r="J378" s="5" t="s">
        <v>8585</v>
      </c>
      <c r="K378" s="5" t="s">
        <v>8632</v>
      </c>
      <c r="L378" s="6" t="s">
        <v>42</v>
      </c>
      <c r="M378" s="5" t="s">
        <v>8746</v>
      </c>
      <c r="N378" s="5" t="s">
        <v>64</v>
      </c>
      <c r="O378" s="5" t="s">
        <v>18902</v>
      </c>
      <c r="P378" s="6">
        <v>5388.0</v>
      </c>
    </row>
    <row r="379" ht="56.25" customHeight="1">
      <c r="A379" s="5" t="s">
        <v>18863</v>
      </c>
      <c r="B379" s="16" t="str">
        <f>IMAGE("https://storage.googleapis.com/acdb/shoes/ShoesHighcutTrekking5.png")</f>
        <v/>
      </c>
      <c r="C379" s="5" t="s">
        <v>106</v>
      </c>
      <c r="D379" s="5" t="s">
        <v>36</v>
      </c>
      <c r="E379" s="6">
        <v>1500.0</v>
      </c>
      <c r="F379" s="6">
        <v>375.0</v>
      </c>
      <c r="G379" s="5" t="s">
        <v>106</v>
      </c>
      <c r="H379" s="5" t="s">
        <v>69</v>
      </c>
      <c r="I379" s="6" t="s">
        <v>40</v>
      </c>
      <c r="J379" s="5" t="s">
        <v>8585</v>
      </c>
      <c r="K379" s="5" t="s">
        <v>8632</v>
      </c>
      <c r="L379" s="6" t="s">
        <v>42</v>
      </c>
      <c r="M379" s="5" t="s">
        <v>8746</v>
      </c>
      <c r="N379" s="5" t="s">
        <v>64</v>
      </c>
      <c r="O379" s="5" t="s">
        <v>18909</v>
      </c>
      <c r="P379" s="6">
        <v>5388.0</v>
      </c>
    </row>
    <row r="380" ht="56.25" customHeight="1">
      <c r="A380" s="5" t="s">
        <v>18863</v>
      </c>
      <c r="B380" s="16" t="str">
        <f>IMAGE("https://storage.googleapis.com/acdb/shoes/ShoesHighcutTrekking6.png")</f>
        <v/>
      </c>
      <c r="C380" s="5" t="s">
        <v>57</v>
      </c>
      <c r="D380" s="5" t="s">
        <v>36</v>
      </c>
      <c r="E380" s="6">
        <v>1500.0</v>
      </c>
      <c r="F380" s="6">
        <v>375.0</v>
      </c>
      <c r="G380" s="5" t="s">
        <v>57</v>
      </c>
      <c r="H380" s="5" t="s">
        <v>96</v>
      </c>
      <c r="I380" s="6" t="s">
        <v>40</v>
      </c>
      <c r="J380" s="5" t="s">
        <v>8585</v>
      </c>
      <c r="K380" s="5" t="s">
        <v>8632</v>
      </c>
      <c r="L380" s="6" t="s">
        <v>42</v>
      </c>
      <c r="M380" s="5" t="s">
        <v>8746</v>
      </c>
      <c r="N380" s="5" t="s">
        <v>64</v>
      </c>
      <c r="O380" s="5" t="s">
        <v>18920</v>
      </c>
      <c r="P380" s="6">
        <v>5388.0</v>
      </c>
    </row>
    <row r="381" ht="56.25" customHeight="1">
      <c r="A381" s="5" t="s">
        <v>18863</v>
      </c>
      <c r="B381" s="16" t="str">
        <f>IMAGE("https://storage.googleapis.com/acdb/shoes/ShoesHighcutTrekking7.png")</f>
        <v/>
      </c>
      <c r="C381" s="5" t="s">
        <v>39</v>
      </c>
      <c r="D381" s="5" t="s">
        <v>36</v>
      </c>
      <c r="E381" s="6">
        <v>1500.0</v>
      </c>
      <c r="F381" s="6">
        <v>375.0</v>
      </c>
      <c r="G381" s="5" t="s">
        <v>39</v>
      </c>
      <c r="H381" s="5" t="s">
        <v>38</v>
      </c>
      <c r="I381" s="6" t="s">
        <v>40</v>
      </c>
      <c r="J381" s="5" t="s">
        <v>8585</v>
      </c>
      <c r="K381" s="5" t="s">
        <v>8632</v>
      </c>
      <c r="L381" s="6" t="s">
        <v>42</v>
      </c>
      <c r="M381" s="5" t="s">
        <v>8746</v>
      </c>
      <c r="N381" s="5" t="s">
        <v>64</v>
      </c>
      <c r="O381" s="5" t="s">
        <v>18929</v>
      </c>
      <c r="P381" s="6">
        <v>5388.0</v>
      </c>
    </row>
    <row r="382" ht="56.25" customHeight="1">
      <c r="A382" s="5" t="s">
        <v>18930</v>
      </c>
      <c r="B382" s="16" t="str">
        <f>IMAGE("https://storage.googleapis.com/acdb/shoes/ShoesKneeVelour0.png")</f>
        <v/>
      </c>
      <c r="C382" s="5" t="s">
        <v>10410</v>
      </c>
      <c r="D382" s="5" t="s">
        <v>36</v>
      </c>
      <c r="E382" s="6">
        <v>1920.0</v>
      </c>
      <c r="F382" s="6">
        <v>480.0</v>
      </c>
      <c r="G382" s="5" t="s">
        <v>52</v>
      </c>
      <c r="H382" s="5" t="s">
        <v>54</v>
      </c>
      <c r="I382" s="6" t="s">
        <v>40</v>
      </c>
      <c r="J382" s="5" t="s">
        <v>8585</v>
      </c>
      <c r="K382" s="5" t="s">
        <v>8586</v>
      </c>
      <c r="L382" s="6" t="s">
        <v>42</v>
      </c>
      <c r="M382" s="5" t="s">
        <v>1059</v>
      </c>
      <c r="N382" s="5" t="s">
        <v>64</v>
      </c>
      <c r="O382" s="5" t="s">
        <v>18939</v>
      </c>
      <c r="P382" s="6">
        <v>4732.0</v>
      </c>
    </row>
    <row r="383" ht="56.25" customHeight="1">
      <c r="A383" s="5" t="s">
        <v>18930</v>
      </c>
      <c r="B383" s="16" t="str">
        <f>IMAGE("https://storage.googleapis.com/acdb/shoes/ShoesKneeVelour1.png")</f>
        <v/>
      </c>
      <c r="C383" s="5" t="s">
        <v>95</v>
      </c>
      <c r="D383" s="5" t="s">
        <v>36</v>
      </c>
      <c r="E383" s="6">
        <v>1920.0</v>
      </c>
      <c r="F383" s="6">
        <v>480.0</v>
      </c>
      <c r="G383" s="5" t="s">
        <v>95</v>
      </c>
      <c r="H383" s="5" t="s">
        <v>54</v>
      </c>
      <c r="I383" s="6" t="s">
        <v>40</v>
      </c>
      <c r="J383" s="5" t="s">
        <v>8585</v>
      </c>
      <c r="K383" s="5" t="s">
        <v>8586</v>
      </c>
      <c r="L383" s="6" t="s">
        <v>42</v>
      </c>
      <c r="M383" s="5" t="s">
        <v>1059</v>
      </c>
      <c r="N383" s="5" t="s">
        <v>64</v>
      </c>
      <c r="O383" s="5" t="s">
        <v>18948</v>
      </c>
      <c r="P383" s="6">
        <v>4732.0</v>
      </c>
    </row>
    <row r="384" ht="56.25" customHeight="1">
      <c r="A384" s="5" t="s">
        <v>18930</v>
      </c>
      <c r="B384" s="16" t="str">
        <f>IMAGE("https://storage.googleapis.com/acdb/shoes/ShoesKneeVelour2.png")</f>
        <v/>
      </c>
      <c r="C384" s="5" t="s">
        <v>39</v>
      </c>
      <c r="D384" s="5" t="s">
        <v>36</v>
      </c>
      <c r="E384" s="6">
        <v>1920.0</v>
      </c>
      <c r="F384" s="6">
        <v>480.0</v>
      </c>
      <c r="G384" s="5" t="s">
        <v>39</v>
      </c>
      <c r="H384" s="5" t="s">
        <v>54</v>
      </c>
      <c r="I384" s="6" t="s">
        <v>40</v>
      </c>
      <c r="J384" s="5" t="s">
        <v>8585</v>
      </c>
      <c r="K384" s="5" t="s">
        <v>8586</v>
      </c>
      <c r="L384" s="6" t="s">
        <v>42</v>
      </c>
      <c r="M384" s="5" t="s">
        <v>1059</v>
      </c>
      <c r="N384" s="5" t="s">
        <v>64</v>
      </c>
      <c r="O384" s="5" t="s">
        <v>18956</v>
      </c>
      <c r="P384" s="6">
        <v>4732.0</v>
      </c>
    </row>
    <row r="385" ht="56.25" customHeight="1">
      <c r="A385" s="5" t="s">
        <v>18930</v>
      </c>
      <c r="B385" s="16" t="str">
        <f>IMAGE("https://storage.googleapis.com/acdb/shoes/ShoesKneeVelour3.png")</f>
        <v/>
      </c>
      <c r="C385" s="5" t="s">
        <v>68</v>
      </c>
      <c r="D385" s="5" t="s">
        <v>36</v>
      </c>
      <c r="E385" s="6">
        <v>1920.0</v>
      </c>
      <c r="F385" s="6">
        <v>480.0</v>
      </c>
      <c r="G385" s="5" t="s">
        <v>68</v>
      </c>
      <c r="H385" s="5" t="s">
        <v>54</v>
      </c>
      <c r="I385" s="6" t="s">
        <v>40</v>
      </c>
      <c r="J385" s="5" t="s">
        <v>8585</v>
      </c>
      <c r="K385" s="5" t="s">
        <v>8586</v>
      </c>
      <c r="L385" s="6" t="s">
        <v>42</v>
      </c>
      <c r="M385" s="5" t="s">
        <v>1059</v>
      </c>
      <c r="N385" s="5" t="s">
        <v>64</v>
      </c>
      <c r="O385" s="5" t="s">
        <v>18964</v>
      </c>
      <c r="P385" s="6">
        <v>4732.0</v>
      </c>
    </row>
    <row r="386" ht="56.25" customHeight="1">
      <c r="A386" s="5" t="s">
        <v>18930</v>
      </c>
      <c r="B386" s="16" t="str">
        <f>IMAGE("https://storage.googleapis.com/acdb/shoes/ShoesKneeVelour4.png")</f>
        <v/>
      </c>
      <c r="C386" s="5" t="s">
        <v>8709</v>
      </c>
      <c r="D386" s="5" t="s">
        <v>36</v>
      </c>
      <c r="E386" s="6">
        <v>1920.0</v>
      </c>
      <c r="F386" s="6">
        <v>480.0</v>
      </c>
      <c r="G386" s="5" t="s">
        <v>114</v>
      </c>
      <c r="H386" s="5" t="s">
        <v>54</v>
      </c>
      <c r="I386" s="6" t="s">
        <v>40</v>
      </c>
      <c r="J386" s="5" t="s">
        <v>8585</v>
      </c>
      <c r="K386" s="5" t="s">
        <v>8586</v>
      </c>
      <c r="L386" s="6" t="s">
        <v>42</v>
      </c>
      <c r="M386" s="5" t="s">
        <v>1059</v>
      </c>
      <c r="N386" s="5" t="s">
        <v>64</v>
      </c>
      <c r="O386" s="5" t="s">
        <v>18975</v>
      </c>
      <c r="P386" s="6">
        <v>4732.0</v>
      </c>
    </row>
    <row r="387" ht="56.25" customHeight="1">
      <c r="A387" s="5" t="s">
        <v>18976</v>
      </c>
      <c r="B387" s="16" t="str">
        <f>IMAGE("https://storage.googleapis.com/acdb/shoes/ShoesLowcutEnamelpumps0.png")</f>
        <v/>
      </c>
      <c r="C387" s="5" t="s">
        <v>38</v>
      </c>
      <c r="D387" s="5" t="s">
        <v>36</v>
      </c>
      <c r="E387" s="6">
        <v>1500.0</v>
      </c>
      <c r="F387" s="6">
        <v>375.0</v>
      </c>
      <c r="G387" s="5" t="s">
        <v>38</v>
      </c>
      <c r="H387" s="5" t="s">
        <v>38</v>
      </c>
      <c r="I387" s="6" t="s">
        <v>40</v>
      </c>
      <c r="J387" s="5" t="s">
        <v>8585</v>
      </c>
      <c r="K387" s="5" t="s">
        <v>8586</v>
      </c>
      <c r="L387" s="6" t="s">
        <v>42</v>
      </c>
      <c r="M387" s="5" t="s">
        <v>995</v>
      </c>
      <c r="N387" s="5" t="s">
        <v>64</v>
      </c>
      <c r="O387" s="5" t="s">
        <v>18985</v>
      </c>
      <c r="P387" s="6">
        <v>4723.0</v>
      </c>
    </row>
    <row r="388" ht="56.25" customHeight="1">
      <c r="A388" s="5" t="s">
        <v>18976</v>
      </c>
      <c r="B388" s="16" t="str">
        <f>IMAGE("https://storage.googleapis.com/acdb/shoes/ShoesLowcutEnamelpumps1.png")</f>
        <v/>
      </c>
      <c r="C388" s="5" t="s">
        <v>9021</v>
      </c>
      <c r="D388" s="5" t="s">
        <v>36</v>
      </c>
      <c r="E388" s="6">
        <v>1500.0</v>
      </c>
      <c r="F388" s="6">
        <v>375.0</v>
      </c>
      <c r="G388" s="5" t="s">
        <v>83</v>
      </c>
      <c r="H388" s="5" t="s">
        <v>83</v>
      </c>
      <c r="I388" s="6" t="s">
        <v>40</v>
      </c>
      <c r="J388" s="5" t="s">
        <v>8585</v>
      </c>
      <c r="K388" s="5" t="s">
        <v>8586</v>
      </c>
      <c r="L388" s="6" t="s">
        <v>42</v>
      </c>
      <c r="M388" s="5" t="s">
        <v>995</v>
      </c>
      <c r="N388" s="5" t="s">
        <v>64</v>
      </c>
      <c r="O388" s="5" t="s">
        <v>18994</v>
      </c>
      <c r="P388" s="6">
        <v>4723.0</v>
      </c>
    </row>
    <row r="389" ht="56.25" customHeight="1">
      <c r="A389" s="5" t="s">
        <v>18976</v>
      </c>
      <c r="B389" s="16" t="str">
        <f>IMAGE("https://storage.googleapis.com/acdb/shoes/ShoesLowcutEnamelpumps2.png")</f>
        <v/>
      </c>
      <c r="C389" s="5" t="s">
        <v>39</v>
      </c>
      <c r="D389" s="5" t="s">
        <v>36</v>
      </c>
      <c r="E389" s="6">
        <v>1500.0</v>
      </c>
      <c r="F389" s="6">
        <v>375.0</v>
      </c>
      <c r="G389" s="5" t="s">
        <v>39</v>
      </c>
      <c r="H389" s="5" t="s">
        <v>39</v>
      </c>
      <c r="I389" s="6" t="s">
        <v>40</v>
      </c>
      <c r="J389" s="5" t="s">
        <v>8585</v>
      </c>
      <c r="K389" s="5" t="s">
        <v>8586</v>
      </c>
      <c r="L389" s="6" t="s">
        <v>42</v>
      </c>
      <c r="M389" s="5" t="s">
        <v>995</v>
      </c>
      <c r="N389" s="5" t="s">
        <v>64</v>
      </c>
      <c r="O389" s="5" t="s">
        <v>19003</v>
      </c>
      <c r="P389" s="6">
        <v>4723.0</v>
      </c>
    </row>
    <row r="390" ht="56.25" customHeight="1">
      <c r="A390" s="5" t="s">
        <v>18976</v>
      </c>
      <c r="B390" s="16" t="str">
        <f>IMAGE("https://storage.googleapis.com/acdb/shoes/ShoesLowcutEnamelpumps3.png")</f>
        <v/>
      </c>
      <c r="C390" s="5" t="s">
        <v>69</v>
      </c>
      <c r="D390" s="5" t="s">
        <v>36</v>
      </c>
      <c r="E390" s="6">
        <v>1500.0</v>
      </c>
      <c r="F390" s="6">
        <v>375.0</v>
      </c>
      <c r="G390" s="5" t="s">
        <v>69</v>
      </c>
      <c r="H390" s="5" t="s">
        <v>69</v>
      </c>
      <c r="I390" s="6" t="s">
        <v>40</v>
      </c>
      <c r="J390" s="5" t="s">
        <v>8585</v>
      </c>
      <c r="K390" s="5" t="s">
        <v>8586</v>
      </c>
      <c r="L390" s="6" t="s">
        <v>42</v>
      </c>
      <c r="M390" s="5" t="s">
        <v>995</v>
      </c>
      <c r="N390" s="5" t="s">
        <v>64</v>
      </c>
      <c r="O390" s="5" t="s">
        <v>19014</v>
      </c>
      <c r="P390" s="6">
        <v>4723.0</v>
      </c>
    </row>
    <row r="391" ht="56.25" customHeight="1">
      <c r="A391" s="5" t="s">
        <v>18976</v>
      </c>
      <c r="B391" s="16" t="str">
        <f>IMAGE("https://storage.googleapis.com/acdb/shoes/ShoesLowcutEnamelpumps4.png")</f>
        <v/>
      </c>
      <c r="C391" s="5" t="s">
        <v>57</v>
      </c>
      <c r="D391" s="5" t="s">
        <v>36</v>
      </c>
      <c r="E391" s="6">
        <v>1500.0</v>
      </c>
      <c r="F391" s="6">
        <v>375.0</v>
      </c>
      <c r="G391" s="5" t="s">
        <v>57</v>
      </c>
      <c r="H391" s="5" t="s">
        <v>57</v>
      </c>
      <c r="I391" s="6" t="s">
        <v>40</v>
      </c>
      <c r="J391" s="5" t="s">
        <v>8585</v>
      </c>
      <c r="K391" s="5" t="s">
        <v>8586</v>
      </c>
      <c r="L391" s="6" t="s">
        <v>42</v>
      </c>
      <c r="M391" s="5" t="s">
        <v>995</v>
      </c>
      <c r="N391" s="5" t="s">
        <v>64</v>
      </c>
      <c r="O391" s="5" t="s">
        <v>19021</v>
      </c>
      <c r="P391" s="6">
        <v>4723.0</v>
      </c>
    </row>
    <row r="392" ht="56.25" customHeight="1">
      <c r="A392" s="5" t="s">
        <v>18976</v>
      </c>
      <c r="B392" s="16" t="str">
        <f>IMAGE("https://storage.googleapis.com/acdb/shoes/ShoesLowcutEnamelpumps5.png")</f>
        <v/>
      </c>
      <c r="C392" s="5" t="s">
        <v>54</v>
      </c>
      <c r="D392" s="5" t="s">
        <v>36</v>
      </c>
      <c r="E392" s="6">
        <v>1500.0</v>
      </c>
      <c r="F392" s="6">
        <v>375.0</v>
      </c>
      <c r="G392" s="5" t="s">
        <v>54</v>
      </c>
      <c r="H392" s="5" t="s">
        <v>54</v>
      </c>
      <c r="I392" s="6" t="s">
        <v>40</v>
      </c>
      <c r="J392" s="5" t="s">
        <v>8585</v>
      </c>
      <c r="K392" s="5" t="s">
        <v>8586</v>
      </c>
      <c r="L392" s="6" t="s">
        <v>42</v>
      </c>
      <c r="M392" s="5" t="s">
        <v>995</v>
      </c>
      <c r="N392" s="5" t="s">
        <v>64</v>
      </c>
      <c r="O392" s="5" t="s">
        <v>19028</v>
      </c>
      <c r="P392" s="6">
        <v>4723.0</v>
      </c>
    </row>
    <row r="393" ht="56.25" customHeight="1">
      <c r="A393" s="5" t="s">
        <v>19029</v>
      </c>
      <c r="B393" s="16" t="str">
        <f>IMAGE("https://storage.googleapis.com/acdb/shoes/ShoesKneeVisualBlack.png")</f>
        <v/>
      </c>
      <c r="C393" s="5" t="s">
        <v>54</v>
      </c>
      <c r="D393" s="5" t="s">
        <v>36</v>
      </c>
      <c r="E393" s="6">
        <v>2200.0</v>
      </c>
      <c r="F393" s="6">
        <v>550.0</v>
      </c>
      <c r="G393" s="5" t="s">
        <v>54</v>
      </c>
      <c r="H393" s="5" t="s">
        <v>54</v>
      </c>
      <c r="I393" s="6" t="s">
        <v>40</v>
      </c>
      <c r="J393" s="5" t="s">
        <v>17203</v>
      </c>
      <c r="K393" s="5"/>
      <c r="L393" s="6" t="s">
        <v>42</v>
      </c>
      <c r="M393" s="5" t="s">
        <v>1952</v>
      </c>
      <c r="N393" s="5" t="s">
        <v>64</v>
      </c>
      <c r="O393" s="5" t="s">
        <v>19037</v>
      </c>
      <c r="P393" s="6">
        <v>5609.0</v>
      </c>
    </row>
    <row r="394" ht="56.25" customHeight="1">
      <c r="A394" s="5" t="s">
        <v>19039</v>
      </c>
      <c r="B394" s="16" t="str">
        <f>IMAGE("https://storage.googleapis.com/acdb/shoes/ShoesLowcutHealth0.png")</f>
        <v/>
      </c>
      <c r="C394" s="5" t="s">
        <v>69</v>
      </c>
      <c r="D394" s="5" t="s">
        <v>36</v>
      </c>
      <c r="E394" s="6">
        <v>560.0</v>
      </c>
      <c r="F394" s="6">
        <v>140.0</v>
      </c>
      <c r="G394" s="5" t="s">
        <v>69</v>
      </c>
      <c r="H394" s="5" t="s">
        <v>38</v>
      </c>
      <c r="I394" s="6" t="s">
        <v>40</v>
      </c>
      <c r="J394" s="5" t="s">
        <v>8585</v>
      </c>
      <c r="K394" s="5" t="s">
        <v>8632</v>
      </c>
      <c r="L394" s="6" t="s">
        <v>42</v>
      </c>
      <c r="M394" s="5" t="s">
        <v>995</v>
      </c>
      <c r="N394" s="5" t="s">
        <v>64</v>
      </c>
      <c r="O394" s="5" t="s">
        <v>19046</v>
      </c>
      <c r="P394" s="6">
        <v>5775.0</v>
      </c>
    </row>
    <row r="395" ht="56.25" customHeight="1">
      <c r="A395" s="5" t="s">
        <v>19039</v>
      </c>
      <c r="B395" s="16" t="str">
        <f>IMAGE("https://storage.googleapis.com/acdb/shoes/ShoesLowcutHealth1.png")</f>
        <v/>
      </c>
      <c r="C395" s="5" t="s">
        <v>38</v>
      </c>
      <c r="D395" s="5" t="s">
        <v>36</v>
      </c>
      <c r="E395" s="6">
        <v>560.0</v>
      </c>
      <c r="F395" s="6">
        <v>140.0</v>
      </c>
      <c r="G395" s="5" t="s">
        <v>38</v>
      </c>
      <c r="H395" s="5" t="s">
        <v>38</v>
      </c>
      <c r="I395" s="6" t="s">
        <v>40</v>
      </c>
      <c r="J395" s="5" t="s">
        <v>8585</v>
      </c>
      <c r="K395" s="5" t="s">
        <v>8632</v>
      </c>
      <c r="L395" s="6" t="s">
        <v>42</v>
      </c>
      <c r="M395" s="5" t="s">
        <v>995</v>
      </c>
      <c r="N395" s="5" t="s">
        <v>64</v>
      </c>
      <c r="O395" s="5" t="s">
        <v>19054</v>
      </c>
      <c r="P395" s="6">
        <v>5775.0</v>
      </c>
    </row>
    <row r="396" ht="56.25" customHeight="1">
      <c r="A396" s="5" t="s">
        <v>19039</v>
      </c>
      <c r="B396" s="16" t="str">
        <f>IMAGE("https://storage.googleapis.com/acdb/shoes/ShoesLowcutHealth2.png")</f>
        <v/>
      </c>
      <c r="C396" s="5" t="s">
        <v>52</v>
      </c>
      <c r="D396" s="5" t="s">
        <v>36</v>
      </c>
      <c r="E396" s="6">
        <v>560.0</v>
      </c>
      <c r="F396" s="6">
        <v>140.0</v>
      </c>
      <c r="G396" s="5" t="s">
        <v>52</v>
      </c>
      <c r="H396" s="5" t="s">
        <v>38</v>
      </c>
      <c r="I396" s="6" t="s">
        <v>40</v>
      </c>
      <c r="J396" s="5" t="s">
        <v>8585</v>
      </c>
      <c r="K396" s="5" t="s">
        <v>8632</v>
      </c>
      <c r="L396" s="6" t="s">
        <v>42</v>
      </c>
      <c r="M396" s="5" t="s">
        <v>995</v>
      </c>
      <c r="N396" s="5" t="s">
        <v>64</v>
      </c>
      <c r="O396" s="5" t="s">
        <v>19060</v>
      </c>
      <c r="P396" s="6">
        <v>5775.0</v>
      </c>
    </row>
    <row r="397" ht="56.25" customHeight="1">
      <c r="A397" s="5" t="s">
        <v>19061</v>
      </c>
      <c r="B397" s="16" t="str">
        <f>IMAGE("https://storage.googleapis.com/acdb/shoes/ShoesSandalAqua0.png")</f>
        <v/>
      </c>
      <c r="C397" s="5" t="s">
        <v>69</v>
      </c>
      <c r="D397" s="5" t="s">
        <v>36</v>
      </c>
      <c r="E397" s="6">
        <v>1040.0</v>
      </c>
      <c r="F397" s="6">
        <v>260.0</v>
      </c>
      <c r="G397" s="5" t="s">
        <v>69</v>
      </c>
      <c r="H397" s="5" t="s">
        <v>69</v>
      </c>
      <c r="I397" s="6" t="s">
        <v>40</v>
      </c>
      <c r="J397" s="5" t="s">
        <v>8585</v>
      </c>
      <c r="K397" s="5" t="s">
        <v>8632</v>
      </c>
      <c r="L397" s="6" t="s">
        <v>42</v>
      </c>
      <c r="M397" s="5" t="s">
        <v>1959</v>
      </c>
      <c r="N397" s="5" t="s">
        <v>64</v>
      </c>
      <c r="O397" s="5" t="s">
        <v>19068</v>
      </c>
      <c r="P397" s="6">
        <v>5652.0</v>
      </c>
    </row>
    <row r="398" ht="56.25" customHeight="1">
      <c r="A398" s="5" t="s">
        <v>19061</v>
      </c>
      <c r="B398" s="16" t="str">
        <f>IMAGE("https://storage.googleapis.com/acdb/shoes/ShoesSandalAqua1.png")</f>
        <v/>
      </c>
      <c r="C398" s="5" t="s">
        <v>1187</v>
      </c>
      <c r="D398" s="5" t="s">
        <v>36</v>
      </c>
      <c r="E398" s="6">
        <v>1040.0</v>
      </c>
      <c r="F398" s="6">
        <v>260.0</v>
      </c>
      <c r="G398" s="5" t="s">
        <v>68</v>
      </c>
      <c r="H398" s="5" t="s">
        <v>68</v>
      </c>
      <c r="I398" s="6" t="s">
        <v>40</v>
      </c>
      <c r="J398" s="5" t="s">
        <v>8585</v>
      </c>
      <c r="K398" s="5" t="s">
        <v>8632</v>
      </c>
      <c r="L398" s="6" t="s">
        <v>42</v>
      </c>
      <c r="M398" s="5" t="s">
        <v>1959</v>
      </c>
      <c r="N398" s="5" t="s">
        <v>64</v>
      </c>
      <c r="O398" s="5" t="s">
        <v>19074</v>
      </c>
      <c r="P398" s="6">
        <v>5652.0</v>
      </c>
    </row>
    <row r="399" ht="56.25" customHeight="1">
      <c r="A399" s="5" t="s">
        <v>19061</v>
      </c>
      <c r="B399" s="16" t="str">
        <f>IMAGE("https://storage.googleapis.com/acdb/shoes/ShoesSandalAqua2.png")</f>
        <v/>
      </c>
      <c r="C399" s="5" t="s">
        <v>52</v>
      </c>
      <c r="D399" s="5" t="s">
        <v>36</v>
      </c>
      <c r="E399" s="6">
        <v>1040.0</v>
      </c>
      <c r="F399" s="6">
        <v>260.0</v>
      </c>
      <c r="G399" s="5" t="s">
        <v>52</v>
      </c>
      <c r="H399" s="5" t="s">
        <v>52</v>
      </c>
      <c r="I399" s="6" t="s">
        <v>40</v>
      </c>
      <c r="J399" s="5" t="s">
        <v>8585</v>
      </c>
      <c r="K399" s="5" t="s">
        <v>8632</v>
      </c>
      <c r="L399" s="6" t="s">
        <v>42</v>
      </c>
      <c r="M399" s="5" t="s">
        <v>1959</v>
      </c>
      <c r="N399" s="5" t="s">
        <v>64</v>
      </c>
      <c r="O399" s="5" t="s">
        <v>19079</v>
      </c>
      <c r="P399" s="6">
        <v>5652.0</v>
      </c>
    </row>
    <row r="400" ht="56.25" customHeight="1">
      <c r="A400" s="5" t="s">
        <v>19061</v>
      </c>
      <c r="B400" s="16" t="str">
        <f>IMAGE("https://storage.googleapis.com/acdb/shoes/ShoesSandalAqua3.png")</f>
        <v/>
      </c>
      <c r="C400" s="5" t="s">
        <v>83</v>
      </c>
      <c r="D400" s="5" t="s">
        <v>36</v>
      </c>
      <c r="E400" s="6">
        <v>1040.0</v>
      </c>
      <c r="F400" s="6">
        <v>260.0</v>
      </c>
      <c r="G400" s="5" t="s">
        <v>83</v>
      </c>
      <c r="H400" s="5" t="s">
        <v>83</v>
      </c>
      <c r="I400" s="6" t="s">
        <v>40</v>
      </c>
      <c r="J400" s="5" t="s">
        <v>8585</v>
      </c>
      <c r="K400" s="5" t="s">
        <v>8632</v>
      </c>
      <c r="L400" s="6" t="s">
        <v>42</v>
      </c>
      <c r="M400" s="5" t="s">
        <v>1959</v>
      </c>
      <c r="N400" s="5" t="s">
        <v>64</v>
      </c>
      <c r="O400" s="5" t="s">
        <v>19084</v>
      </c>
      <c r="P400" s="6">
        <v>5652.0</v>
      </c>
    </row>
    <row r="401" ht="56.25" customHeight="1">
      <c r="A401" s="5" t="s">
        <v>19061</v>
      </c>
      <c r="B401" s="16" t="str">
        <f>IMAGE("https://storage.googleapis.com/acdb/shoes/ShoesSandalAqua4.png")</f>
        <v/>
      </c>
      <c r="C401" s="5" t="s">
        <v>142</v>
      </c>
      <c r="D401" s="5" t="s">
        <v>36</v>
      </c>
      <c r="E401" s="6">
        <v>1040.0</v>
      </c>
      <c r="F401" s="6">
        <v>260.0</v>
      </c>
      <c r="G401" s="5" t="s">
        <v>142</v>
      </c>
      <c r="H401" s="5" t="s">
        <v>142</v>
      </c>
      <c r="I401" s="6" t="s">
        <v>40</v>
      </c>
      <c r="J401" s="5" t="s">
        <v>8585</v>
      </c>
      <c r="K401" s="5" t="s">
        <v>8632</v>
      </c>
      <c r="L401" s="6" t="s">
        <v>42</v>
      </c>
      <c r="M401" s="5" t="s">
        <v>1959</v>
      </c>
      <c r="N401" s="5" t="s">
        <v>64</v>
      </c>
      <c r="O401" s="5" t="s">
        <v>19089</v>
      </c>
      <c r="P401" s="6">
        <v>5652.0</v>
      </c>
    </row>
    <row r="402" ht="56.25" customHeight="1">
      <c r="A402" s="5" t="s">
        <v>19061</v>
      </c>
      <c r="B402" s="16" t="str">
        <f>IMAGE("https://storage.googleapis.com/acdb/shoes/ShoesSandalAqua5.png")</f>
        <v/>
      </c>
      <c r="C402" s="5" t="s">
        <v>106</v>
      </c>
      <c r="D402" s="5" t="s">
        <v>36</v>
      </c>
      <c r="E402" s="6">
        <v>1040.0</v>
      </c>
      <c r="F402" s="6">
        <v>260.0</v>
      </c>
      <c r="G402" s="5" t="s">
        <v>106</v>
      </c>
      <c r="H402" s="5" t="s">
        <v>106</v>
      </c>
      <c r="I402" s="6" t="s">
        <v>40</v>
      </c>
      <c r="J402" s="5" t="s">
        <v>8585</v>
      </c>
      <c r="K402" s="5" t="s">
        <v>8632</v>
      </c>
      <c r="L402" s="6" t="s">
        <v>42</v>
      </c>
      <c r="M402" s="5" t="s">
        <v>1959</v>
      </c>
      <c r="N402" s="5" t="s">
        <v>64</v>
      </c>
      <c r="O402" s="5" t="s">
        <v>19094</v>
      </c>
      <c r="P402" s="6">
        <v>5652.0</v>
      </c>
    </row>
    <row r="403" ht="56.25" customHeight="1">
      <c r="A403" s="5" t="s">
        <v>19061</v>
      </c>
      <c r="B403" s="16" t="str">
        <f>IMAGE("https://storage.googleapis.com/acdb/shoes/ShoesSandalAqua6.png")</f>
        <v/>
      </c>
      <c r="C403" s="5" t="s">
        <v>96</v>
      </c>
      <c r="D403" s="5" t="s">
        <v>36</v>
      </c>
      <c r="E403" s="6">
        <v>1040.0</v>
      </c>
      <c r="F403" s="6">
        <v>260.0</v>
      </c>
      <c r="G403" s="5" t="s">
        <v>96</v>
      </c>
      <c r="H403" s="5" t="s">
        <v>96</v>
      </c>
      <c r="I403" s="6" t="s">
        <v>40</v>
      </c>
      <c r="J403" s="5" t="s">
        <v>8585</v>
      </c>
      <c r="K403" s="5" t="s">
        <v>8632</v>
      </c>
      <c r="L403" s="6" t="s">
        <v>42</v>
      </c>
      <c r="M403" s="5" t="s">
        <v>1959</v>
      </c>
      <c r="N403" s="5" t="s">
        <v>64</v>
      </c>
      <c r="O403" s="5" t="s">
        <v>19097</v>
      </c>
      <c r="P403" s="6">
        <v>5652.0</v>
      </c>
    </row>
    <row r="404" ht="56.25" customHeight="1">
      <c r="A404" s="5" t="s">
        <v>19061</v>
      </c>
      <c r="B404" s="16" t="str">
        <f>IMAGE("https://storage.googleapis.com/acdb/shoes/ShoesSandalAqua7.png")</f>
        <v/>
      </c>
      <c r="C404" s="5" t="s">
        <v>114</v>
      </c>
      <c r="D404" s="5" t="s">
        <v>36</v>
      </c>
      <c r="E404" s="6">
        <v>1040.0</v>
      </c>
      <c r="F404" s="6">
        <v>260.0</v>
      </c>
      <c r="G404" s="5" t="s">
        <v>114</v>
      </c>
      <c r="H404" s="5" t="s">
        <v>114</v>
      </c>
      <c r="I404" s="6" t="s">
        <v>40</v>
      </c>
      <c r="J404" s="5" t="s">
        <v>8585</v>
      </c>
      <c r="K404" s="5" t="s">
        <v>8632</v>
      </c>
      <c r="L404" s="6" t="s">
        <v>42</v>
      </c>
      <c r="M404" s="5" t="s">
        <v>1959</v>
      </c>
      <c r="N404" s="5" t="s">
        <v>64</v>
      </c>
      <c r="O404" s="5" t="s">
        <v>19106</v>
      </c>
      <c r="P404" s="6">
        <v>5652.0</v>
      </c>
    </row>
    <row r="405" ht="56.25" customHeight="1">
      <c r="A405" s="5" t="s">
        <v>19111</v>
      </c>
      <c r="B405" s="16" t="str">
        <f>IMAGE("https://storage.googleapis.com/acdb/shoes/ShoesLowcutMarine0.png")</f>
        <v/>
      </c>
      <c r="C405" s="5" t="s">
        <v>69</v>
      </c>
      <c r="D405" s="5" t="s">
        <v>36</v>
      </c>
      <c r="E405" s="6">
        <v>900.0</v>
      </c>
      <c r="F405" s="6">
        <v>225.0</v>
      </c>
      <c r="G405" s="5" t="s">
        <v>69</v>
      </c>
      <c r="H405" s="5" t="s">
        <v>54</v>
      </c>
      <c r="I405" s="6" t="s">
        <v>40</v>
      </c>
      <c r="J405" s="5" t="s">
        <v>8585</v>
      </c>
      <c r="K405" s="5" t="s">
        <v>8632</v>
      </c>
      <c r="L405" s="6" t="s">
        <v>42</v>
      </c>
      <c r="M405" s="5" t="s">
        <v>8746</v>
      </c>
      <c r="N405" s="5" t="s">
        <v>64</v>
      </c>
      <c r="O405" s="5" t="s">
        <v>19121</v>
      </c>
      <c r="P405" s="6">
        <v>5808.0</v>
      </c>
    </row>
    <row r="406" ht="56.25" customHeight="1">
      <c r="A406" s="5" t="s">
        <v>19111</v>
      </c>
      <c r="B406" s="16" t="str">
        <f>IMAGE("https://storage.googleapis.com/acdb/shoes/ShoesLowcutMarine1.png")</f>
        <v/>
      </c>
      <c r="C406" s="5" t="s">
        <v>83</v>
      </c>
      <c r="D406" s="5" t="s">
        <v>36</v>
      </c>
      <c r="E406" s="6">
        <v>900.0</v>
      </c>
      <c r="F406" s="6">
        <v>225.0</v>
      </c>
      <c r="G406" s="5" t="s">
        <v>83</v>
      </c>
      <c r="H406" s="5" t="s">
        <v>54</v>
      </c>
      <c r="I406" s="6" t="s">
        <v>40</v>
      </c>
      <c r="J406" s="5" t="s">
        <v>8585</v>
      </c>
      <c r="K406" s="5" t="s">
        <v>8632</v>
      </c>
      <c r="L406" s="6" t="s">
        <v>42</v>
      </c>
      <c r="M406" s="5" t="s">
        <v>8746</v>
      </c>
      <c r="N406" s="5" t="s">
        <v>64</v>
      </c>
      <c r="O406" s="5" t="s">
        <v>19127</v>
      </c>
      <c r="P406" s="6">
        <v>5808.0</v>
      </c>
    </row>
    <row r="407" ht="56.25" customHeight="1">
      <c r="A407" s="5" t="s">
        <v>19111</v>
      </c>
      <c r="B407" s="16" t="str">
        <f>IMAGE("https://storage.googleapis.com/acdb/shoes/ShoesLowcutMarine2.png")</f>
        <v/>
      </c>
      <c r="C407" s="5" t="s">
        <v>142</v>
      </c>
      <c r="D407" s="5" t="s">
        <v>36</v>
      </c>
      <c r="E407" s="6">
        <v>900.0</v>
      </c>
      <c r="F407" s="6">
        <v>225.0</v>
      </c>
      <c r="G407" s="5" t="s">
        <v>142</v>
      </c>
      <c r="H407" s="5" t="s">
        <v>54</v>
      </c>
      <c r="I407" s="6" t="s">
        <v>40</v>
      </c>
      <c r="J407" s="5" t="s">
        <v>8585</v>
      </c>
      <c r="K407" s="5" t="s">
        <v>8632</v>
      </c>
      <c r="L407" s="6" t="s">
        <v>42</v>
      </c>
      <c r="M407" s="5" t="s">
        <v>8746</v>
      </c>
      <c r="N407" s="5" t="s">
        <v>64</v>
      </c>
      <c r="O407" s="5" t="s">
        <v>19134</v>
      </c>
      <c r="P407" s="6">
        <v>5808.0</v>
      </c>
    </row>
    <row r="408" ht="56.25" customHeight="1">
      <c r="A408" s="5" t="s">
        <v>19111</v>
      </c>
      <c r="B408" s="16" t="str">
        <f>IMAGE("https://storage.googleapis.com/acdb/shoes/ShoesLowcutMarine3.png")</f>
        <v/>
      </c>
      <c r="C408" s="5" t="s">
        <v>96</v>
      </c>
      <c r="D408" s="5" t="s">
        <v>36</v>
      </c>
      <c r="E408" s="6">
        <v>900.0</v>
      </c>
      <c r="F408" s="6">
        <v>225.0</v>
      </c>
      <c r="G408" s="5" t="s">
        <v>96</v>
      </c>
      <c r="H408" s="5" t="s">
        <v>54</v>
      </c>
      <c r="I408" s="6" t="s">
        <v>40</v>
      </c>
      <c r="J408" s="5" t="s">
        <v>8585</v>
      </c>
      <c r="K408" s="5" t="s">
        <v>8632</v>
      </c>
      <c r="L408" s="6" t="s">
        <v>42</v>
      </c>
      <c r="M408" s="5" t="s">
        <v>8746</v>
      </c>
      <c r="N408" s="5" t="s">
        <v>64</v>
      </c>
      <c r="O408" s="5" t="s">
        <v>19140</v>
      </c>
      <c r="P408" s="6">
        <v>5808.0</v>
      </c>
    </row>
    <row r="409" ht="56.25" customHeight="1">
      <c r="A409" s="5" t="s">
        <v>19111</v>
      </c>
      <c r="B409" s="16" t="str">
        <f>IMAGE("https://storage.googleapis.com/acdb/shoes/ShoesLowcutMarine4.png")</f>
        <v/>
      </c>
      <c r="C409" s="5" t="s">
        <v>1187</v>
      </c>
      <c r="D409" s="5" t="s">
        <v>36</v>
      </c>
      <c r="E409" s="6">
        <v>900.0</v>
      </c>
      <c r="F409" s="6">
        <v>225.0</v>
      </c>
      <c r="G409" s="5" t="s">
        <v>68</v>
      </c>
      <c r="H409" s="5" t="s">
        <v>54</v>
      </c>
      <c r="I409" s="6" t="s">
        <v>40</v>
      </c>
      <c r="J409" s="5" t="s">
        <v>8585</v>
      </c>
      <c r="K409" s="5" t="s">
        <v>8632</v>
      </c>
      <c r="L409" s="6" t="s">
        <v>42</v>
      </c>
      <c r="M409" s="5" t="s">
        <v>8746</v>
      </c>
      <c r="N409" s="5" t="s">
        <v>64</v>
      </c>
      <c r="O409" s="5" t="s">
        <v>19150</v>
      </c>
      <c r="P409" s="6">
        <v>5808.0</v>
      </c>
    </row>
    <row r="410" ht="56.25" customHeight="1">
      <c r="A410" s="5" t="s">
        <v>19111</v>
      </c>
      <c r="B410" s="16" t="str">
        <f>IMAGE("https://storage.googleapis.com/acdb/shoes/ShoesLowcutMarine5.png")</f>
        <v/>
      </c>
      <c r="C410" s="5" t="s">
        <v>114</v>
      </c>
      <c r="D410" s="5" t="s">
        <v>36</v>
      </c>
      <c r="E410" s="6">
        <v>900.0</v>
      </c>
      <c r="F410" s="6">
        <v>225.0</v>
      </c>
      <c r="G410" s="5" t="s">
        <v>114</v>
      </c>
      <c r="H410" s="5" t="s">
        <v>54</v>
      </c>
      <c r="I410" s="6" t="s">
        <v>40</v>
      </c>
      <c r="J410" s="5" t="s">
        <v>8585</v>
      </c>
      <c r="K410" s="5" t="s">
        <v>8632</v>
      </c>
      <c r="L410" s="6" t="s">
        <v>42</v>
      </c>
      <c r="M410" s="5" t="s">
        <v>8746</v>
      </c>
      <c r="N410" s="5" t="s">
        <v>64</v>
      </c>
      <c r="O410" s="5" t="s">
        <v>19154</v>
      </c>
      <c r="P410" s="6">
        <v>5808.0</v>
      </c>
    </row>
    <row r="411" ht="56.25" customHeight="1">
      <c r="A411" s="5" t="s">
        <v>19111</v>
      </c>
      <c r="B411" s="16" t="str">
        <f>IMAGE("https://storage.googleapis.com/acdb/shoes/ShoesLowcutMarine6.png")</f>
        <v/>
      </c>
      <c r="C411" s="5" t="s">
        <v>52</v>
      </c>
      <c r="D411" s="5" t="s">
        <v>36</v>
      </c>
      <c r="E411" s="6">
        <v>900.0</v>
      </c>
      <c r="F411" s="6">
        <v>225.0</v>
      </c>
      <c r="G411" s="5" t="s">
        <v>52</v>
      </c>
      <c r="H411" s="5" t="s">
        <v>54</v>
      </c>
      <c r="I411" s="6" t="s">
        <v>40</v>
      </c>
      <c r="J411" s="5" t="s">
        <v>8585</v>
      </c>
      <c r="K411" s="5" t="s">
        <v>8632</v>
      </c>
      <c r="L411" s="6" t="s">
        <v>42</v>
      </c>
      <c r="M411" s="5" t="s">
        <v>8746</v>
      </c>
      <c r="N411" s="5" t="s">
        <v>64</v>
      </c>
      <c r="O411" s="5" t="s">
        <v>19160</v>
      </c>
      <c r="P411" s="6">
        <v>5808.0</v>
      </c>
    </row>
    <row r="412" ht="56.25" customHeight="1">
      <c r="A412" s="5" t="s">
        <v>19111</v>
      </c>
      <c r="B412" s="16" t="str">
        <f>IMAGE("https://storage.googleapis.com/acdb/shoes/ShoesLowcutMarine7.png")</f>
        <v/>
      </c>
      <c r="C412" s="5" t="s">
        <v>54</v>
      </c>
      <c r="D412" s="5" t="s">
        <v>36</v>
      </c>
      <c r="E412" s="6">
        <v>900.0</v>
      </c>
      <c r="F412" s="6">
        <v>225.0</v>
      </c>
      <c r="G412" s="5" t="s">
        <v>95</v>
      </c>
      <c r="H412" s="5" t="s">
        <v>54</v>
      </c>
      <c r="I412" s="6" t="s">
        <v>40</v>
      </c>
      <c r="J412" s="5" t="s">
        <v>8585</v>
      </c>
      <c r="K412" s="5" t="s">
        <v>8632</v>
      </c>
      <c r="L412" s="6" t="s">
        <v>42</v>
      </c>
      <c r="M412" s="5" t="s">
        <v>8746</v>
      </c>
      <c r="N412" s="5" t="s">
        <v>64</v>
      </c>
      <c r="O412" s="5" t="s">
        <v>19167</v>
      </c>
      <c r="P412" s="6">
        <v>5808.0</v>
      </c>
    </row>
    <row r="413" ht="56.25" customHeight="1">
      <c r="A413" s="5" t="s">
        <v>19168</v>
      </c>
      <c r="B413" s="16" t="str">
        <f>IMAGE("https://storage.googleapis.com/acdb/shoes/ShoesLowcutEggfish0.png")</f>
        <v/>
      </c>
      <c r="C413" s="5" t="s">
        <v>44</v>
      </c>
      <c r="D413" s="5" t="s">
        <v>35</v>
      </c>
      <c r="E413" s="6" t="s">
        <v>37</v>
      </c>
      <c r="F413" s="6">
        <v>800.0</v>
      </c>
      <c r="G413" s="5" t="s">
        <v>83</v>
      </c>
      <c r="H413" s="5" t="s">
        <v>52</v>
      </c>
      <c r="I413" s="6" t="s">
        <v>40</v>
      </c>
      <c r="J413" s="5" t="s">
        <v>41</v>
      </c>
      <c r="K413" s="5" t="s">
        <v>17218</v>
      </c>
      <c r="L413" s="6" t="s">
        <v>1410</v>
      </c>
      <c r="M413" s="5" t="s">
        <v>8746</v>
      </c>
      <c r="N413" s="5" t="s">
        <v>48</v>
      </c>
      <c r="O413" s="5" t="s">
        <v>19173</v>
      </c>
      <c r="P413" s="6">
        <v>12460.0</v>
      </c>
    </row>
    <row r="414" ht="56.25" customHeight="1">
      <c r="A414" s="5" t="s">
        <v>19174</v>
      </c>
      <c r="B414" s="16" t="str">
        <f>IMAGE("https://storage.googleapis.com/acdb/shoes/ShoesLowcutWing0.png")</f>
        <v/>
      </c>
      <c r="C414" s="5" t="s">
        <v>3399</v>
      </c>
      <c r="D414" s="5" t="s">
        <v>36</v>
      </c>
      <c r="E414" s="6">
        <v>900.0</v>
      </c>
      <c r="F414" s="6">
        <v>225.0</v>
      </c>
      <c r="G414" s="5" t="s">
        <v>54</v>
      </c>
      <c r="H414" s="5" t="s">
        <v>57</v>
      </c>
      <c r="I414" s="6" t="s">
        <v>40</v>
      </c>
      <c r="J414" s="5" t="s">
        <v>8585</v>
      </c>
      <c r="K414" s="5" t="s">
        <v>8586</v>
      </c>
      <c r="L414" s="6" t="s">
        <v>42</v>
      </c>
      <c r="M414" s="5" t="s">
        <v>1059</v>
      </c>
      <c r="N414" s="5" t="s">
        <v>64</v>
      </c>
      <c r="O414" s="5" t="s">
        <v>19182</v>
      </c>
      <c r="P414" s="6">
        <v>5809.0</v>
      </c>
    </row>
    <row r="415" ht="56.25" customHeight="1">
      <c r="A415" s="5" t="s">
        <v>19174</v>
      </c>
      <c r="B415" s="16" t="str">
        <f>IMAGE("https://storage.googleapis.com/acdb/shoes/ShoesLowcutWing1.png")</f>
        <v/>
      </c>
      <c r="C415" s="5" t="s">
        <v>39</v>
      </c>
      <c r="D415" s="5" t="s">
        <v>36</v>
      </c>
      <c r="E415" s="6">
        <v>900.0</v>
      </c>
      <c r="F415" s="6">
        <v>225.0</v>
      </c>
      <c r="G415" s="5" t="s">
        <v>39</v>
      </c>
      <c r="H415" s="5" t="s">
        <v>57</v>
      </c>
      <c r="I415" s="6" t="s">
        <v>40</v>
      </c>
      <c r="J415" s="5" t="s">
        <v>8585</v>
      </c>
      <c r="K415" s="5" t="s">
        <v>8586</v>
      </c>
      <c r="L415" s="6" t="s">
        <v>42</v>
      </c>
      <c r="M415" s="5" t="s">
        <v>1059</v>
      </c>
      <c r="N415" s="5" t="s">
        <v>64</v>
      </c>
      <c r="O415" s="5" t="s">
        <v>19184</v>
      </c>
      <c r="P415" s="6">
        <v>5809.0</v>
      </c>
    </row>
    <row r="416" ht="56.25" customHeight="1">
      <c r="A416" s="5" t="s">
        <v>19174</v>
      </c>
      <c r="B416" s="16" t="str">
        <f>IMAGE("https://storage.googleapis.com/acdb/shoes/ShoesLowcutWing2.png")</f>
        <v/>
      </c>
      <c r="C416" s="5" t="s">
        <v>17082</v>
      </c>
      <c r="D416" s="5" t="s">
        <v>36</v>
      </c>
      <c r="E416" s="6">
        <v>900.0</v>
      </c>
      <c r="F416" s="6">
        <v>225.0</v>
      </c>
      <c r="G416" s="5" t="s">
        <v>95</v>
      </c>
      <c r="H416" s="5" t="s">
        <v>57</v>
      </c>
      <c r="I416" s="6" t="s">
        <v>40</v>
      </c>
      <c r="J416" s="5" t="s">
        <v>8585</v>
      </c>
      <c r="K416" s="5" t="s">
        <v>8586</v>
      </c>
      <c r="L416" s="6" t="s">
        <v>42</v>
      </c>
      <c r="M416" s="5" t="s">
        <v>1059</v>
      </c>
      <c r="N416" s="5" t="s">
        <v>64</v>
      </c>
      <c r="O416" s="5" t="s">
        <v>19187</v>
      </c>
      <c r="P416" s="6">
        <v>5809.0</v>
      </c>
    </row>
    <row r="417" ht="56.25" customHeight="1">
      <c r="A417" s="5" t="s">
        <v>19174</v>
      </c>
      <c r="B417" s="16" t="str">
        <f>IMAGE("https://storage.googleapis.com/acdb/shoes/ShoesLowcutWing3.png")</f>
        <v/>
      </c>
      <c r="C417" s="5" t="s">
        <v>96</v>
      </c>
      <c r="D417" s="5" t="s">
        <v>36</v>
      </c>
      <c r="E417" s="6">
        <v>900.0</v>
      </c>
      <c r="F417" s="6">
        <v>225.0</v>
      </c>
      <c r="G417" s="5" t="s">
        <v>96</v>
      </c>
      <c r="H417" s="5" t="s">
        <v>96</v>
      </c>
      <c r="I417" s="6" t="s">
        <v>40</v>
      </c>
      <c r="J417" s="5" t="s">
        <v>8585</v>
      </c>
      <c r="K417" s="5" t="s">
        <v>8586</v>
      </c>
      <c r="L417" s="6" t="s">
        <v>42</v>
      </c>
      <c r="M417" s="5" t="s">
        <v>1059</v>
      </c>
      <c r="N417" s="5" t="s">
        <v>64</v>
      </c>
      <c r="O417" s="5" t="s">
        <v>19189</v>
      </c>
      <c r="P417" s="6">
        <v>5809.0</v>
      </c>
    </row>
    <row r="418" ht="56.25" customHeight="1">
      <c r="A418" s="5" t="s">
        <v>19174</v>
      </c>
      <c r="B418" s="16" t="str">
        <f>IMAGE("https://storage.googleapis.com/acdb/shoes/ShoesLowcutWing4.png")</f>
        <v/>
      </c>
      <c r="C418" s="5" t="s">
        <v>95</v>
      </c>
      <c r="D418" s="5" t="s">
        <v>36</v>
      </c>
      <c r="E418" s="6">
        <v>900.0</v>
      </c>
      <c r="F418" s="6">
        <v>225.0</v>
      </c>
      <c r="G418" s="5" t="s">
        <v>95</v>
      </c>
      <c r="H418" s="5" t="s">
        <v>95</v>
      </c>
      <c r="I418" s="6" t="s">
        <v>40</v>
      </c>
      <c r="J418" s="5" t="s">
        <v>8585</v>
      </c>
      <c r="K418" s="5" t="s">
        <v>8586</v>
      </c>
      <c r="L418" s="6" t="s">
        <v>42</v>
      </c>
      <c r="M418" s="5" t="s">
        <v>1059</v>
      </c>
      <c r="N418" s="5" t="s">
        <v>64</v>
      </c>
      <c r="O418" s="5" t="s">
        <v>19191</v>
      </c>
      <c r="P418" s="6">
        <v>5809.0</v>
      </c>
    </row>
    <row r="419" ht="56.25" customHeight="1">
      <c r="A419" s="5" t="s">
        <v>19174</v>
      </c>
      <c r="B419" s="16" t="str">
        <f>IMAGE("https://storage.googleapis.com/acdb/shoes/ShoesLowcutWing5.png")</f>
        <v/>
      </c>
      <c r="C419" s="5" t="s">
        <v>4883</v>
      </c>
      <c r="D419" s="5" t="s">
        <v>36</v>
      </c>
      <c r="E419" s="6">
        <v>900.0</v>
      </c>
      <c r="F419" s="6">
        <v>225.0</v>
      </c>
      <c r="G419" s="5" t="s">
        <v>52</v>
      </c>
      <c r="H419" s="5" t="s">
        <v>52</v>
      </c>
      <c r="I419" s="6" t="s">
        <v>40</v>
      </c>
      <c r="J419" s="5" t="s">
        <v>8585</v>
      </c>
      <c r="K419" s="5" t="s">
        <v>8586</v>
      </c>
      <c r="L419" s="6" t="s">
        <v>42</v>
      </c>
      <c r="M419" s="5" t="s">
        <v>1059</v>
      </c>
      <c r="N419" s="5" t="s">
        <v>64</v>
      </c>
      <c r="O419" s="5" t="s">
        <v>19193</v>
      </c>
      <c r="P419" s="6">
        <v>5809.0</v>
      </c>
    </row>
    <row r="420" ht="56.25" customHeight="1">
      <c r="A420" s="5" t="s">
        <v>19174</v>
      </c>
      <c r="B420" s="16" t="str">
        <f>IMAGE("https://storage.googleapis.com/acdb/shoes/ShoesLowcutWing6.png")</f>
        <v/>
      </c>
      <c r="C420" s="5" t="s">
        <v>54</v>
      </c>
      <c r="D420" s="5" t="s">
        <v>36</v>
      </c>
      <c r="E420" s="6">
        <v>900.0</v>
      </c>
      <c r="F420" s="6">
        <v>225.0</v>
      </c>
      <c r="G420" s="5" t="s">
        <v>54</v>
      </c>
      <c r="H420" s="5" t="s">
        <v>54</v>
      </c>
      <c r="I420" s="6" t="s">
        <v>40</v>
      </c>
      <c r="J420" s="5" t="s">
        <v>8585</v>
      </c>
      <c r="K420" s="5" t="s">
        <v>8586</v>
      </c>
      <c r="L420" s="6" t="s">
        <v>42</v>
      </c>
      <c r="M420" s="5" t="s">
        <v>1059</v>
      </c>
      <c r="N420" s="5" t="s">
        <v>64</v>
      </c>
      <c r="O420" s="5" t="s">
        <v>19195</v>
      </c>
      <c r="P420" s="6">
        <v>5809.0</v>
      </c>
    </row>
    <row r="421" ht="56.25" customHeight="1">
      <c r="A421" s="5" t="s">
        <v>19201</v>
      </c>
      <c r="B421" s="16" t="str">
        <f>IMAGE("https://storage.googleapis.com/acdb/shoes/ShoesLowcutPointedtoe0.png")</f>
        <v/>
      </c>
      <c r="C421" s="5" t="s">
        <v>52</v>
      </c>
      <c r="D421" s="5" t="s">
        <v>36</v>
      </c>
      <c r="E421" s="6">
        <v>910.0</v>
      </c>
      <c r="F421" s="6">
        <v>227.0</v>
      </c>
      <c r="G421" s="5" t="s">
        <v>52</v>
      </c>
      <c r="H421" s="5" t="s">
        <v>54</v>
      </c>
      <c r="I421" s="6" t="s">
        <v>40</v>
      </c>
      <c r="J421" s="5" t="s">
        <v>8585</v>
      </c>
      <c r="K421" s="5" t="s">
        <v>8586</v>
      </c>
      <c r="L421" s="6" t="s">
        <v>42</v>
      </c>
      <c r="M421" s="5" t="s">
        <v>1952</v>
      </c>
      <c r="N421" s="5" t="s">
        <v>64</v>
      </c>
      <c r="O421" s="5" t="s">
        <v>19207</v>
      </c>
      <c r="P421" s="6">
        <v>5655.0</v>
      </c>
    </row>
    <row r="422" ht="56.25" customHeight="1">
      <c r="A422" s="5" t="s">
        <v>19201</v>
      </c>
      <c r="B422" s="16" t="str">
        <f>IMAGE("https://storage.googleapis.com/acdb/shoes/ShoesLowcutPointedtoe1.png")</f>
        <v/>
      </c>
      <c r="C422" s="5" t="s">
        <v>57</v>
      </c>
      <c r="D422" s="5" t="s">
        <v>36</v>
      </c>
      <c r="E422" s="6">
        <v>910.0</v>
      </c>
      <c r="F422" s="6">
        <v>227.0</v>
      </c>
      <c r="G422" s="5" t="s">
        <v>57</v>
      </c>
      <c r="H422" s="5" t="s">
        <v>54</v>
      </c>
      <c r="I422" s="6" t="s">
        <v>40</v>
      </c>
      <c r="J422" s="5" t="s">
        <v>8585</v>
      </c>
      <c r="K422" s="5" t="s">
        <v>8586</v>
      </c>
      <c r="L422" s="6" t="s">
        <v>42</v>
      </c>
      <c r="M422" s="5" t="s">
        <v>1952</v>
      </c>
      <c r="N422" s="5" t="s">
        <v>64</v>
      </c>
      <c r="O422" s="5" t="s">
        <v>19210</v>
      </c>
      <c r="P422" s="6">
        <v>5655.0</v>
      </c>
    </row>
    <row r="423" ht="56.25" customHeight="1">
      <c r="A423" s="5" t="s">
        <v>19201</v>
      </c>
      <c r="B423" s="16" t="str">
        <f>IMAGE("https://storage.googleapis.com/acdb/shoes/ShoesLowcutPointedtoe2.png")</f>
        <v/>
      </c>
      <c r="C423" s="5" t="s">
        <v>54</v>
      </c>
      <c r="D423" s="5" t="s">
        <v>36</v>
      </c>
      <c r="E423" s="6">
        <v>910.0</v>
      </c>
      <c r="F423" s="6">
        <v>227.0</v>
      </c>
      <c r="G423" s="5" t="s">
        <v>54</v>
      </c>
      <c r="H423" s="5" t="s">
        <v>54</v>
      </c>
      <c r="I423" s="6" t="s">
        <v>40</v>
      </c>
      <c r="J423" s="5" t="s">
        <v>8585</v>
      </c>
      <c r="K423" s="5" t="s">
        <v>8586</v>
      </c>
      <c r="L423" s="6" t="s">
        <v>42</v>
      </c>
      <c r="M423" s="5" t="s">
        <v>1952</v>
      </c>
      <c r="N423" s="5" t="s">
        <v>64</v>
      </c>
      <c r="O423" s="5" t="s">
        <v>19214</v>
      </c>
      <c r="P423" s="6">
        <v>5655.0</v>
      </c>
    </row>
    <row r="424" ht="56.25" customHeight="1">
      <c r="A424" s="5" t="s">
        <v>19201</v>
      </c>
      <c r="B424" s="16" t="str">
        <f>IMAGE("https://storage.googleapis.com/acdb/shoes/ShoesLowcutPointedtoe3.png")</f>
        <v/>
      </c>
      <c r="C424" s="5" t="s">
        <v>68</v>
      </c>
      <c r="D424" s="5" t="s">
        <v>36</v>
      </c>
      <c r="E424" s="6">
        <v>910.0</v>
      </c>
      <c r="F424" s="6">
        <v>227.0</v>
      </c>
      <c r="G424" s="5" t="s">
        <v>68</v>
      </c>
      <c r="H424" s="5" t="s">
        <v>54</v>
      </c>
      <c r="I424" s="6" t="s">
        <v>40</v>
      </c>
      <c r="J424" s="5" t="s">
        <v>8585</v>
      </c>
      <c r="K424" s="5" t="s">
        <v>8586</v>
      </c>
      <c r="L424" s="6" t="s">
        <v>42</v>
      </c>
      <c r="M424" s="5" t="s">
        <v>1952</v>
      </c>
      <c r="N424" s="5" t="s">
        <v>64</v>
      </c>
      <c r="O424" s="5" t="s">
        <v>19219</v>
      </c>
      <c r="P424" s="6">
        <v>5655.0</v>
      </c>
    </row>
    <row r="425" ht="56.25" customHeight="1">
      <c r="A425" s="5" t="s">
        <v>19220</v>
      </c>
      <c r="B425" s="16" t="str">
        <f>IMAGE("https://storage.googleapis.com/acdb/shoes/ShoesLowcutEggforest0.png")</f>
        <v/>
      </c>
      <c r="C425" s="5" t="s">
        <v>44</v>
      </c>
      <c r="D425" s="5" t="s">
        <v>35</v>
      </c>
      <c r="E425" s="6" t="s">
        <v>37</v>
      </c>
      <c r="F425" s="6">
        <v>800.0</v>
      </c>
      <c r="G425" s="5" t="s">
        <v>106</v>
      </c>
      <c r="H425" s="5" t="s">
        <v>38</v>
      </c>
      <c r="I425" s="6" t="s">
        <v>40</v>
      </c>
      <c r="J425" s="5" t="s">
        <v>41</v>
      </c>
      <c r="K425" s="5" t="s">
        <v>17242</v>
      </c>
      <c r="L425" s="6" t="s">
        <v>1410</v>
      </c>
      <c r="M425" s="5" t="s">
        <v>8746</v>
      </c>
      <c r="N425" s="5" t="s">
        <v>48</v>
      </c>
      <c r="O425" s="5" t="s">
        <v>19228</v>
      </c>
      <c r="P425" s="6">
        <v>12458.0</v>
      </c>
    </row>
    <row r="426" ht="56.25" customHeight="1">
      <c r="A426" s="5" t="s">
        <v>19230</v>
      </c>
      <c r="B426" s="16" t="str">
        <f>IMAGE("https://storage.googleapis.com/acdb/shoes/ShoesLowcutClog0.png")</f>
        <v/>
      </c>
      <c r="C426" s="5" t="s">
        <v>114</v>
      </c>
      <c r="D426" s="5" t="s">
        <v>36</v>
      </c>
      <c r="E426" s="6">
        <v>1300.0</v>
      </c>
      <c r="F426" s="6">
        <v>325.0</v>
      </c>
      <c r="G426" s="5" t="s">
        <v>114</v>
      </c>
      <c r="H426" s="5" t="s">
        <v>52</v>
      </c>
      <c r="I426" s="6" t="s">
        <v>40</v>
      </c>
      <c r="J426" s="5" t="s">
        <v>17203</v>
      </c>
      <c r="K426" s="5"/>
      <c r="L426" s="6" t="s">
        <v>42</v>
      </c>
      <c r="M426" s="5" t="s">
        <v>1059</v>
      </c>
      <c r="N426" s="5" t="s">
        <v>64</v>
      </c>
      <c r="O426" s="5" t="s">
        <v>19233</v>
      </c>
      <c r="P426" s="6">
        <v>5618.0</v>
      </c>
    </row>
    <row r="427" ht="56.25" customHeight="1">
      <c r="A427" s="5" t="s">
        <v>19230</v>
      </c>
      <c r="B427" s="16" t="str">
        <f>IMAGE("https://storage.googleapis.com/acdb/shoes/ShoesLowcutClog1.png")</f>
        <v/>
      </c>
      <c r="C427" s="5" t="s">
        <v>68</v>
      </c>
      <c r="D427" s="5" t="s">
        <v>36</v>
      </c>
      <c r="E427" s="6">
        <v>1300.0</v>
      </c>
      <c r="F427" s="6">
        <v>325.0</v>
      </c>
      <c r="G427" s="5" t="s">
        <v>68</v>
      </c>
      <c r="H427" s="5" t="s">
        <v>69</v>
      </c>
      <c r="I427" s="6" t="s">
        <v>40</v>
      </c>
      <c r="J427" s="5" t="s">
        <v>17203</v>
      </c>
      <c r="K427" s="5"/>
      <c r="L427" s="6" t="s">
        <v>42</v>
      </c>
      <c r="M427" s="5" t="s">
        <v>1059</v>
      </c>
      <c r="N427" s="5" t="s">
        <v>64</v>
      </c>
      <c r="O427" s="5" t="s">
        <v>19237</v>
      </c>
      <c r="P427" s="6">
        <v>5618.0</v>
      </c>
    </row>
    <row r="428" ht="56.25" customHeight="1">
      <c r="A428" s="5" t="s">
        <v>19230</v>
      </c>
      <c r="B428" s="16" t="str">
        <f>IMAGE("https://storage.googleapis.com/acdb/shoes/ShoesLowcutClog2.png")</f>
        <v/>
      </c>
      <c r="C428" s="5" t="s">
        <v>52</v>
      </c>
      <c r="D428" s="5" t="s">
        <v>36</v>
      </c>
      <c r="E428" s="6">
        <v>1300.0</v>
      </c>
      <c r="F428" s="6">
        <v>325.0</v>
      </c>
      <c r="G428" s="5" t="s">
        <v>52</v>
      </c>
      <c r="H428" s="5" t="s">
        <v>114</v>
      </c>
      <c r="I428" s="6" t="s">
        <v>40</v>
      </c>
      <c r="J428" s="5" t="s">
        <v>17203</v>
      </c>
      <c r="K428" s="5"/>
      <c r="L428" s="6" t="s">
        <v>42</v>
      </c>
      <c r="M428" s="5" t="s">
        <v>1059</v>
      </c>
      <c r="N428" s="5" t="s">
        <v>64</v>
      </c>
      <c r="O428" s="5" t="s">
        <v>19239</v>
      </c>
      <c r="P428" s="6">
        <v>5618.0</v>
      </c>
    </row>
    <row r="429" ht="56.25" customHeight="1">
      <c r="A429" s="5" t="s">
        <v>19230</v>
      </c>
      <c r="B429" s="16" t="str">
        <f>IMAGE("https://storage.googleapis.com/acdb/shoes/ShoesLowcutClog3.png")</f>
        <v/>
      </c>
      <c r="C429" s="5" t="s">
        <v>96</v>
      </c>
      <c r="D429" s="5" t="s">
        <v>36</v>
      </c>
      <c r="E429" s="6">
        <v>1300.0</v>
      </c>
      <c r="F429" s="6">
        <v>325.0</v>
      </c>
      <c r="G429" s="5" t="s">
        <v>96</v>
      </c>
      <c r="H429" s="5" t="s">
        <v>52</v>
      </c>
      <c r="I429" s="6" t="s">
        <v>40</v>
      </c>
      <c r="J429" s="5" t="s">
        <v>17203</v>
      </c>
      <c r="K429" s="5"/>
      <c r="L429" s="6" t="s">
        <v>42</v>
      </c>
      <c r="M429" s="5" t="s">
        <v>1059</v>
      </c>
      <c r="N429" s="5" t="s">
        <v>64</v>
      </c>
      <c r="O429" s="5" t="s">
        <v>19241</v>
      </c>
      <c r="P429" s="6">
        <v>5618.0</v>
      </c>
    </row>
    <row r="430" ht="56.25" customHeight="1">
      <c r="A430" s="5" t="s">
        <v>19230</v>
      </c>
      <c r="B430" s="16" t="str">
        <f>IMAGE("https://storage.googleapis.com/acdb/shoes/ShoesLowcutClog4.png")</f>
        <v/>
      </c>
      <c r="C430" s="5" t="s">
        <v>39</v>
      </c>
      <c r="D430" s="5" t="s">
        <v>36</v>
      </c>
      <c r="E430" s="6">
        <v>1300.0</v>
      </c>
      <c r="F430" s="6">
        <v>325.0</v>
      </c>
      <c r="G430" s="5" t="s">
        <v>39</v>
      </c>
      <c r="H430" s="5" t="s">
        <v>142</v>
      </c>
      <c r="I430" s="6" t="s">
        <v>40</v>
      </c>
      <c r="J430" s="5" t="s">
        <v>17203</v>
      </c>
      <c r="K430" s="5"/>
      <c r="L430" s="6" t="s">
        <v>42</v>
      </c>
      <c r="M430" s="5" t="s">
        <v>1059</v>
      </c>
      <c r="N430" s="5" t="s">
        <v>64</v>
      </c>
      <c r="O430" s="5" t="s">
        <v>19245</v>
      </c>
      <c r="P430" s="6">
        <v>5618.0</v>
      </c>
    </row>
    <row r="431" ht="56.25" customHeight="1">
      <c r="A431" s="5" t="s">
        <v>19246</v>
      </c>
      <c r="B431" s="16" t="str">
        <f>IMAGE("https://storage.googleapis.com/acdb/shoes/ShoesHighcutWorkboots0.png")</f>
        <v/>
      </c>
      <c r="C431" s="5" t="s">
        <v>52</v>
      </c>
      <c r="D431" s="5" t="s">
        <v>36</v>
      </c>
      <c r="E431" s="6">
        <v>1920.0</v>
      </c>
      <c r="F431" s="6">
        <v>480.0</v>
      </c>
      <c r="G431" s="5" t="s">
        <v>52</v>
      </c>
      <c r="H431" s="5" t="s">
        <v>54</v>
      </c>
      <c r="I431" s="6" t="s">
        <v>40</v>
      </c>
      <c r="J431" s="5" t="s">
        <v>8585</v>
      </c>
      <c r="K431" s="5" t="s">
        <v>8632</v>
      </c>
      <c r="L431" s="6" t="s">
        <v>42</v>
      </c>
      <c r="M431" s="5" t="s">
        <v>1952</v>
      </c>
      <c r="N431" s="5" t="s">
        <v>64</v>
      </c>
      <c r="O431" s="5" t="s">
        <v>19251</v>
      </c>
      <c r="P431" s="6">
        <v>5541.0</v>
      </c>
    </row>
    <row r="432" ht="56.25" customHeight="1">
      <c r="A432" s="5" t="s">
        <v>19246</v>
      </c>
      <c r="B432" s="16" t="str">
        <f>IMAGE("https://storage.googleapis.com/acdb/shoes/ShoesHighcutWorkboots1.png")</f>
        <v/>
      </c>
      <c r="C432" s="5" t="s">
        <v>106</v>
      </c>
      <c r="D432" s="5" t="s">
        <v>36</v>
      </c>
      <c r="E432" s="6">
        <v>1920.0</v>
      </c>
      <c r="F432" s="6">
        <v>480.0</v>
      </c>
      <c r="G432" s="5" t="s">
        <v>106</v>
      </c>
      <c r="H432" s="5" t="s">
        <v>54</v>
      </c>
      <c r="I432" s="6" t="s">
        <v>40</v>
      </c>
      <c r="J432" s="5" t="s">
        <v>8585</v>
      </c>
      <c r="K432" s="5" t="s">
        <v>8632</v>
      </c>
      <c r="L432" s="6" t="s">
        <v>42</v>
      </c>
      <c r="M432" s="5" t="s">
        <v>1952</v>
      </c>
      <c r="N432" s="5" t="s">
        <v>64</v>
      </c>
      <c r="O432" s="5" t="s">
        <v>19254</v>
      </c>
      <c r="P432" s="6">
        <v>5541.0</v>
      </c>
    </row>
    <row r="433" ht="56.25" customHeight="1">
      <c r="A433" s="5" t="s">
        <v>19246</v>
      </c>
      <c r="B433" s="16" t="str">
        <f>IMAGE("https://storage.googleapis.com/acdb/shoes/ShoesHighcutWorkboots2.png")</f>
        <v/>
      </c>
      <c r="C433" s="5" t="s">
        <v>69</v>
      </c>
      <c r="D433" s="5" t="s">
        <v>36</v>
      </c>
      <c r="E433" s="6">
        <v>1920.0</v>
      </c>
      <c r="F433" s="6">
        <v>480.0</v>
      </c>
      <c r="G433" s="5" t="s">
        <v>69</v>
      </c>
      <c r="H433" s="5" t="s">
        <v>54</v>
      </c>
      <c r="I433" s="6" t="s">
        <v>40</v>
      </c>
      <c r="J433" s="5" t="s">
        <v>8585</v>
      </c>
      <c r="K433" s="5" t="s">
        <v>8632</v>
      </c>
      <c r="L433" s="6" t="s">
        <v>42</v>
      </c>
      <c r="M433" s="5" t="s">
        <v>1952</v>
      </c>
      <c r="N433" s="5" t="s">
        <v>64</v>
      </c>
      <c r="O433" s="5" t="s">
        <v>19256</v>
      </c>
      <c r="P433" s="6">
        <v>5541.0</v>
      </c>
    </row>
    <row r="434" ht="56.25" customHeight="1">
      <c r="A434" s="5" t="s">
        <v>19246</v>
      </c>
      <c r="B434" s="16" t="str">
        <f>IMAGE("https://storage.googleapis.com/acdb/shoes/ShoesHighcutWorkboots3.png")</f>
        <v/>
      </c>
      <c r="C434" s="5" t="s">
        <v>114</v>
      </c>
      <c r="D434" s="5" t="s">
        <v>36</v>
      </c>
      <c r="E434" s="6">
        <v>1920.0</v>
      </c>
      <c r="F434" s="6">
        <v>480.0</v>
      </c>
      <c r="G434" s="5" t="s">
        <v>114</v>
      </c>
      <c r="H434" s="5" t="s">
        <v>54</v>
      </c>
      <c r="I434" s="6" t="s">
        <v>40</v>
      </c>
      <c r="J434" s="5" t="s">
        <v>8585</v>
      </c>
      <c r="K434" s="5" t="s">
        <v>8632</v>
      </c>
      <c r="L434" s="6" t="s">
        <v>42</v>
      </c>
      <c r="M434" s="5" t="s">
        <v>1952</v>
      </c>
      <c r="N434" s="5" t="s">
        <v>64</v>
      </c>
      <c r="O434" s="5" t="s">
        <v>19260</v>
      </c>
      <c r="P434" s="6">
        <v>5541.0</v>
      </c>
    </row>
    <row r="435" ht="56.25" customHeight="1">
      <c r="A435" s="5" t="s">
        <v>19246</v>
      </c>
      <c r="B435" s="16" t="str">
        <f>IMAGE("https://storage.googleapis.com/acdb/shoes/ShoesHighcutWorkboots4.png")</f>
        <v/>
      </c>
      <c r="C435" s="5" t="s">
        <v>57</v>
      </c>
      <c r="D435" s="5" t="s">
        <v>36</v>
      </c>
      <c r="E435" s="6">
        <v>1920.0</v>
      </c>
      <c r="F435" s="6">
        <v>480.0</v>
      </c>
      <c r="G435" s="5" t="s">
        <v>57</v>
      </c>
      <c r="H435" s="5" t="s">
        <v>54</v>
      </c>
      <c r="I435" s="6" t="s">
        <v>40</v>
      </c>
      <c r="J435" s="5" t="s">
        <v>8585</v>
      </c>
      <c r="K435" s="5" t="s">
        <v>8632</v>
      </c>
      <c r="L435" s="6" t="s">
        <v>42</v>
      </c>
      <c r="M435" s="5" t="s">
        <v>1952</v>
      </c>
      <c r="N435" s="5" t="s">
        <v>64</v>
      </c>
      <c r="O435" s="5" t="s">
        <v>19262</v>
      </c>
      <c r="P435" s="6">
        <v>5541.0</v>
      </c>
    </row>
    <row r="436" ht="56.25" customHeight="1">
      <c r="A436" s="5" t="s">
        <v>19246</v>
      </c>
      <c r="B436" s="16" t="str">
        <f>IMAGE("https://storage.googleapis.com/acdb/shoes/ShoesHighcutWorkboots5.png")</f>
        <v/>
      </c>
      <c r="C436" s="5" t="s">
        <v>68</v>
      </c>
      <c r="D436" s="5" t="s">
        <v>36</v>
      </c>
      <c r="E436" s="6">
        <v>1920.0</v>
      </c>
      <c r="F436" s="6">
        <v>480.0</v>
      </c>
      <c r="G436" s="5" t="s">
        <v>68</v>
      </c>
      <c r="H436" s="5" t="s">
        <v>54</v>
      </c>
      <c r="I436" s="6" t="s">
        <v>40</v>
      </c>
      <c r="J436" s="5" t="s">
        <v>8585</v>
      </c>
      <c r="K436" s="5" t="s">
        <v>8632</v>
      </c>
      <c r="L436" s="6" t="s">
        <v>42</v>
      </c>
      <c r="M436" s="5" t="s">
        <v>1952</v>
      </c>
      <c r="N436" s="5" t="s">
        <v>64</v>
      </c>
      <c r="O436" s="5" t="s">
        <v>19268</v>
      </c>
      <c r="P436" s="6">
        <v>5541.0</v>
      </c>
    </row>
    <row r="437" ht="56.25" customHeight="1">
      <c r="A437" s="5" t="s">
        <v>19246</v>
      </c>
      <c r="B437" s="16" t="str">
        <f>IMAGE("https://storage.googleapis.com/acdb/shoes/ShoesHighcutWorkboots6.png")</f>
        <v/>
      </c>
      <c r="C437" s="5" t="s">
        <v>96</v>
      </c>
      <c r="D437" s="5" t="s">
        <v>36</v>
      </c>
      <c r="E437" s="6">
        <v>1920.0</v>
      </c>
      <c r="F437" s="6">
        <v>480.0</v>
      </c>
      <c r="G437" s="5" t="s">
        <v>96</v>
      </c>
      <c r="H437" s="5" t="s">
        <v>54</v>
      </c>
      <c r="I437" s="6" t="s">
        <v>40</v>
      </c>
      <c r="J437" s="5" t="s">
        <v>8585</v>
      </c>
      <c r="K437" s="5" t="s">
        <v>8632</v>
      </c>
      <c r="L437" s="6" t="s">
        <v>42</v>
      </c>
      <c r="M437" s="5" t="s">
        <v>1952</v>
      </c>
      <c r="N437" s="5" t="s">
        <v>64</v>
      </c>
      <c r="O437" s="5" t="s">
        <v>19272</v>
      </c>
      <c r="P437" s="6">
        <v>5541.0</v>
      </c>
    </row>
    <row r="438" ht="56.25" customHeight="1">
      <c r="A438" s="5" t="s">
        <v>19246</v>
      </c>
      <c r="B438" s="16" t="str">
        <f>IMAGE("https://storage.googleapis.com/acdb/shoes/ShoesHighcutWorkboots7.png")</f>
        <v/>
      </c>
      <c r="C438" s="5" t="s">
        <v>95</v>
      </c>
      <c r="D438" s="5" t="s">
        <v>36</v>
      </c>
      <c r="E438" s="6">
        <v>1920.0</v>
      </c>
      <c r="F438" s="6">
        <v>480.0</v>
      </c>
      <c r="G438" s="5" t="s">
        <v>95</v>
      </c>
      <c r="H438" s="5" t="s">
        <v>54</v>
      </c>
      <c r="I438" s="6" t="s">
        <v>40</v>
      </c>
      <c r="J438" s="5" t="s">
        <v>8585</v>
      </c>
      <c r="K438" s="5" t="s">
        <v>8632</v>
      </c>
      <c r="L438" s="6" t="s">
        <v>42</v>
      </c>
      <c r="M438" s="5" t="s">
        <v>1952</v>
      </c>
      <c r="N438" s="5" t="s">
        <v>64</v>
      </c>
      <c r="O438" s="5" t="s">
        <v>19275</v>
      </c>
      <c r="P438" s="6">
        <v>5541.0</v>
      </c>
    </row>
    <row r="439" ht="56.25" customHeight="1">
      <c r="A439" s="5" t="s">
        <v>19276</v>
      </c>
      <c r="B439" s="16" t="str">
        <f>IMAGE("https://storage.googleapis.com/acdb/shoes/ShoesKneeRing0.png")</f>
        <v/>
      </c>
      <c r="C439" s="5" t="s">
        <v>52</v>
      </c>
      <c r="D439" s="5" t="s">
        <v>36</v>
      </c>
      <c r="E439" s="6">
        <v>1080.0</v>
      </c>
      <c r="F439" s="6">
        <v>270.0</v>
      </c>
      <c r="G439" s="5" t="s">
        <v>52</v>
      </c>
      <c r="H439" s="5" t="s">
        <v>57</v>
      </c>
      <c r="I439" s="6" t="s">
        <v>40</v>
      </c>
      <c r="J439" s="5" t="s">
        <v>17203</v>
      </c>
      <c r="K439" s="5"/>
      <c r="L439" s="6" t="s">
        <v>42</v>
      </c>
      <c r="M439" s="5" t="s">
        <v>8746</v>
      </c>
      <c r="N439" s="5" t="s">
        <v>64</v>
      </c>
      <c r="O439" s="5" t="s">
        <v>19281</v>
      </c>
      <c r="P439" s="6">
        <v>5668.0</v>
      </c>
    </row>
    <row r="440" ht="56.25" customHeight="1">
      <c r="A440" s="5" t="s">
        <v>19276</v>
      </c>
      <c r="B440" s="16" t="str">
        <f>IMAGE("https://storage.googleapis.com/acdb/shoes/ShoesKneeRing1.png")</f>
        <v/>
      </c>
      <c r="C440" s="5" t="s">
        <v>68</v>
      </c>
      <c r="D440" s="5" t="s">
        <v>36</v>
      </c>
      <c r="E440" s="6">
        <v>1080.0</v>
      </c>
      <c r="F440" s="6">
        <v>270.0</v>
      </c>
      <c r="G440" s="5" t="s">
        <v>68</v>
      </c>
      <c r="H440" s="5" t="s">
        <v>57</v>
      </c>
      <c r="I440" s="6" t="s">
        <v>40</v>
      </c>
      <c r="J440" s="5" t="s">
        <v>17203</v>
      </c>
      <c r="K440" s="5"/>
      <c r="L440" s="6" t="s">
        <v>42</v>
      </c>
      <c r="M440" s="5" t="s">
        <v>8746</v>
      </c>
      <c r="N440" s="5" t="s">
        <v>64</v>
      </c>
      <c r="O440" s="5" t="s">
        <v>19284</v>
      </c>
      <c r="P440" s="6">
        <v>5668.0</v>
      </c>
    </row>
    <row r="441" ht="56.25" customHeight="1">
      <c r="A441" s="5" t="s">
        <v>19276</v>
      </c>
      <c r="B441" s="16" t="str">
        <f>IMAGE("https://storage.googleapis.com/acdb/shoes/ShoesKneeRing2.png")</f>
        <v/>
      </c>
      <c r="C441" s="5" t="s">
        <v>96</v>
      </c>
      <c r="D441" s="5" t="s">
        <v>36</v>
      </c>
      <c r="E441" s="6">
        <v>1080.0</v>
      </c>
      <c r="F441" s="6">
        <v>270.0</v>
      </c>
      <c r="G441" s="5" t="s">
        <v>96</v>
      </c>
      <c r="H441" s="5" t="s">
        <v>57</v>
      </c>
      <c r="I441" s="6" t="s">
        <v>40</v>
      </c>
      <c r="J441" s="5" t="s">
        <v>17203</v>
      </c>
      <c r="K441" s="5"/>
      <c r="L441" s="6" t="s">
        <v>42</v>
      </c>
      <c r="M441" s="5" t="s">
        <v>8746</v>
      </c>
      <c r="N441" s="5" t="s">
        <v>64</v>
      </c>
      <c r="O441" s="5" t="s">
        <v>19287</v>
      </c>
      <c r="P441" s="6">
        <v>5668.0</v>
      </c>
    </row>
    <row r="442" ht="56.25" customHeight="1">
      <c r="A442" s="5" t="s">
        <v>19276</v>
      </c>
      <c r="B442" s="16" t="str">
        <f>IMAGE("https://storage.googleapis.com/acdb/shoes/ShoesKneeRing3.png")</f>
        <v/>
      </c>
      <c r="C442" s="5" t="s">
        <v>69</v>
      </c>
      <c r="D442" s="5" t="s">
        <v>36</v>
      </c>
      <c r="E442" s="6">
        <v>1080.0</v>
      </c>
      <c r="F442" s="6">
        <v>270.0</v>
      </c>
      <c r="G442" s="5" t="s">
        <v>69</v>
      </c>
      <c r="H442" s="5" t="s">
        <v>57</v>
      </c>
      <c r="I442" s="6" t="s">
        <v>40</v>
      </c>
      <c r="J442" s="5" t="s">
        <v>17203</v>
      </c>
      <c r="K442" s="5"/>
      <c r="L442" s="6" t="s">
        <v>42</v>
      </c>
      <c r="M442" s="5" t="s">
        <v>8746</v>
      </c>
      <c r="N442" s="5" t="s">
        <v>64</v>
      </c>
      <c r="O442" s="5" t="s">
        <v>19290</v>
      </c>
      <c r="P442" s="6">
        <v>5668.0</v>
      </c>
    </row>
    <row r="443" ht="56.25" customHeight="1">
      <c r="A443" s="5" t="s">
        <v>19276</v>
      </c>
      <c r="B443" s="16" t="str">
        <f>IMAGE("https://storage.googleapis.com/acdb/shoes/ShoesKneeRing4.png")</f>
        <v/>
      </c>
      <c r="C443" s="5" t="s">
        <v>54</v>
      </c>
      <c r="D443" s="5" t="s">
        <v>36</v>
      </c>
      <c r="E443" s="6">
        <v>1080.0</v>
      </c>
      <c r="F443" s="6">
        <v>270.0</v>
      </c>
      <c r="G443" s="5" t="s">
        <v>54</v>
      </c>
      <c r="H443" s="5" t="s">
        <v>57</v>
      </c>
      <c r="I443" s="6" t="s">
        <v>40</v>
      </c>
      <c r="J443" s="5" t="s">
        <v>17203</v>
      </c>
      <c r="K443" s="5"/>
      <c r="L443" s="6" t="s">
        <v>42</v>
      </c>
      <c r="M443" s="5" t="s">
        <v>8746</v>
      </c>
      <c r="N443" s="5" t="s">
        <v>64</v>
      </c>
      <c r="O443" s="5" t="s">
        <v>19293</v>
      </c>
      <c r="P443" s="6">
        <v>5668.0</v>
      </c>
    </row>
    <row r="444" ht="56.25" customHeight="1">
      <c r="A444" s="5" t="s">
        <v>19276</v>
      </c>
      <c r="B444" s="16" t="str">
        <f>IMAGE("https://storage.googleapis.com/acdb/shoes/ShoesKneeRing5.png")</f>
        <v/>
      </c>
      <c r="C444" s="5" t="s">
        <v>114</v>
      </c>
      <c r="D444" s="5" t="s">
        <v>36</v>
      </c>
      <c r="E444" s="6">
        <v>1080.0</v>
      </c>
      <c r="F444" s="6">
        <v>270.0</v>
      </c>
      <c r="G444" s="5" t="s">
        <v>114</v>
      </c>
      <c r="H444" s="5" t="s">
        <v>57</v>
      </c>
      <c r="I444" s="6" t="s">
        <v>40</v>
      </c>
      <c r="J444" s="5" t="s">
        <v>17203</v>
      </c>
      <c r="K444" s="5"/>
      <c r="L444" s="6" t="s">
        <v>42</v>
      </c>
      <c r="M444" s="5" t="s">
        <v>8746</v>
      </c>
      <c r="N444" s="5" t="s">
        <v>64</v>
      </c>
      <c r="O444" s="5" t="s">
        <v>19296</v>
      </c>
      <c r="P444" s="6">
        <v>5668.0</v>
      </c>
    </row>
    <row r="445" ht="56.25" customHeight="1">
      <c r="A445" s="5" t="s">
        <v>19297</v>
      </c>
      <c r="B445" s="16" t="str">
        <f>IMAGE("https://storage.googleapis.com/acdb/shoes/ShoesKneeHeroWhite.png")</f>
        <v/>
      </c>
      <c r="C445" s="5" t="s">
        <v>57</v>
      </c>
      <c r="D445" s="5" t="s">
        <v>36</v>
      </c>
      <c r="E445" s="6">
        <v>2640.0</v>
      </c>
      <c r="F445" s="6">
        <v>660.0</v>
      </c>
      <c r="G445" s="5" t="s">
        <v>57</v>
      </c>
      <c r="H445" s="5" t="s">
        <v>52</v>
      </c>
      <c r="I445" s="6" t="s">
        <v>40</v>
      </c>
      <c r="J445" s="5" t="s">
        <v>17203</v>
      </c>
      <c r="K445" s="5"/>
      <c r="L445" s="6" t="s">
        <v>42</v>
      </c>
      <c r="M445" s="5" t="s">
        <v>8746</v>
      </c>
      <c r="N445" s="5" t="s">
        <v>64</v>
      </c>
      <c r="O445" s="5" t="s">
        <v>19298</v>
      </c>
      <c r="P445" s="6">
        <v>5624.0</v>
      </c>
    </row>
    <row r="446" ht="56.25" customHeight="1">
      <c r="A446" s="5" t="s">
        <v>19300</v>
      </c>
      <c r="B446" s="16" t="str">
        <f>IMAGE("https://storage.googleapis.com/acdb/shoes/ShoesSandalZori0.png")</f>
        <v/>
      </c>
      <c r="C446" s="5" t="s">
        <v>54</v>
      </c>
      <c r="D446" s="5" t="s">
        <v>36</v>
      </c>
      <c r="E446" s="6">
        <v>4300.0</v>
      </c>
      <c r="F446" s="6">
        <v>1075.0</v>
      </c>
      <c r="G446" s="5" t="s">
        <v>52</v>
      </c>
      <c r="H446" s="5" t="s">
        <v>54</v>
      </c>
      <c r="I446" s="6" t="s">
        <v>40</v>
      </c>
      <c r="J446" s="5" t="s">
        <v>8585</v>
      </c>
      <c r="K446" s="5" t="s">
        <v>8586</v>
      </c>
      <c r="L446" s="6" t="s">
        <v>42</v>
      </c>
      <c r="M446" s="5" t="s">
        <v>1059</v>
      </c>
      <c r="N446" s="5" t="s">
        <v>64</v>
      </c>
      <c r="O446" s="5" t="s">
        <v>19302</v>
      </c>
      <c r="P446" s="6">
        <v>4734.0</v>
      </c>
    </row>
    <row r="447" ht="56.25" customHeight="1">
      <c r="A447" s="5" t="s">
        <v>19300</v>
      </c>
      <c r="B447" s="16" t="str">
        <f>IMAGE("https://storage.googleapis.com/acdb/shoes/ShoesSandalZori1.png")</f>
        <v/>
      </c>
      <c r="C447" s="5" t="s">
        <v>151</v>
      </c>
      <c r="D447" s="5" t="s">
        <v>36</v>
      </c>
      <c r="E447" s="6">
        <v>4300.0</v>
      </c>
      <c r="F447" s="6">
        <v>1075.0</v>
      </c>
      <c r="G447" s="5" t="s">
        <v>114</v>
      </c>
      <c r="H447" s="5" t="s">
        <v>114</v>
      </c>
      <c r="I447" s="6" t="s">
        <v>40</v>
      </c>
      <c r="J447" s="5" t="s">
        <v>8585</v>
      </c>
      <c r="K447" s="5" t="s">
        <v>8586</v>
      </c>
      <c r="L447" s="6" t="s">
        <v>42</v>
      </c>
      <c r="M447" s="5" t="s">
        <v>1059</v>
      </c>
      <c r="N447" s="5" t="s">
        <v>64</v>
      </c>
      <c r="O447" s="5" t="s">
        <v>19306</v>
      </c>
      <c r="P447" s="6">
        <v>4734.0</v>
      </c>
    </row>
    <row r="448" ht="56.25" customHeight="1">
      <c r="A448" s="5" t="s">
        <v>19300</v>
      </c>
      <c r="B448" s="16" t="str">
        <f>IMAGE("https://storage.googleapis.com/acdb/shoes/ShoesSandalZori2.png")</f>
        <v/>
      </c>
      <c r="C448" s="5" t="s">
        <v>69</v>
      </c>
      <c r="D448" s="5" t="s">
        <v>36</v>
      </c>
      <c r="E448" s="6">
        <v>4300.0</v>
      </c>
      <c r="F448" s="6">
        <v>1075.0</v>
      </c>
      <c r="G448" s="5" t="s">
        <v>69</v>
      </c>
      <c r="H448" s="5" t="s">
        <v>69</v>
      </c>
      <c r="I448" s="6" t="s">
        <v>40</v>
      </c>
      <c r="J448" s="5" t="s">
        <v>8585</v>
      </c>
      <c r="K448" s="5" t="s">
        <v>8586</v>
      </c>
      <c r="L448" s="6" t="s">
        <v>42</v>
      </c>
      <c r="M448" s="5" t="s">
        <v>1059</v>
      </c>
      <c r="N448" s="5" t="s">
        <v>64</v>
      </c>
      <c r="O448" s="5" t="s">
        <v>19308</v>
      </c>
      <c r="P448" s="6">
        <v>4734.0</v>
      </c>
    </row>
    <row r="449" ht="56.25" customHeight="1">
      <c r="A449" s="5" t="s">
        <v>19300</v>
      </c>
      <c r="B449" s="16" t="str">
        <f>IMAGE("https://storage.googleapis.com/acdb/shoes/ShoesSandalZori3.png")</f>
        <v/>
      </c>
      <c r="C449" s="5" t="s">
        <v>19309</v>
      </c>
      <c r="D449" s="5" t="s">
        <v>36</v>
      </c>
      <c r="E449" s="6">
        <v>4300.0</v>
      </c>
      <c r="F449" s="6">
        <v>1075.0</v>
      </c>
      <c r="G449" s="5" t="s">
        <v>69</v>
      </c>
      <c r="H449" s="5" t="s">
        <v>38</v>
      </c>
      <c r="I449" s="6" t="s">
        <v>40</v>
      </c>
      <c r="J449" s="5" t="s">
        <v>8585</v>
      </c>
      <c r="K449" s="5" t="s">
        <v>8586</v>
      </c>
      <c r="L449" s="6" t="s">
        <v>42</v>
      </c>
      <c r="M449" s="5" t="s">
        <v>1059</v>
      </c>
      <c r="N449" s="5" t="s">
        <v>64</v>
      </c>
      <c r="O449" s="5" t="s">
        <v>19312</v>
      </c>
      <c r="P449" s="6">
        <v>4734.0</v>
      </c>
    </row>
    <row r="450" ht="56.25" customHeight="1">
      <c r="A450" s="5" t="s">
        <v>19300</v>
      </c>
      <c r="B450" s="16" t="str">
        <f>IMAGE("https://storage.googleapis.com/acdb/shoes/ShoesSandalZori4.png")</f>
        <v/>
      </c>
      <c r="C450" s="5" t="s">
        <v>96</v>
      </c>
      <c r="D450" s="5" t="s">
        <v>36</v>
      </c>
      <c r="E450" s="6">
        <v>4300.0</v>
      </c>
      <c r="F450" s="6">
        <v>1075.0</v>
      </c>
      <c r="G450" s="5" t="s">
        <v>96</v>
      </c>
      <c r="H450" s="5" t="s">
        <v>96</v>
      </c>
      <c r="I450" s="6" t="s">
        <v>40</v>
      </c>
      <c r="J450" s="5" t="s">
        <v>8585</v>
      </c>
      <c r="K450" s="5" t="s">
        <v>8586</v>
      </c>
      <c r="L450" s="6" t="s">
        <v>42</v>
      </c>
      <c r="M450" s="5" t="s">
        <v>1059</v>
      </c>
      <c r="N450" s="5" t="s">
        <v>64</v>
      </c>
      <c r="O450" s="5" t="s">
        <v>19313</v>
      </c>
      <c r="P450" s="6">
        <v>4734.0</v>
      </c>
    </row>
    <row r="451" ht="56.25" customHeight="1">
      <c r="A451" s="5" t="s">
        <v>19300</v>
      </c>
      <c r="B451" s="16" t="str">
        <f>IMAGE("https://storage.googleapis.com/acdb/shoes/ShoesSandalZori5.png")</f>
        <v/>
      </c>
      <c r="C451" s="5" t="s">
        <v>57</v>
      </c>
      <c r="D451" s="5" t="s">
        <v>36</v>
      </c>
      <c r="E451" s="6">
        <v>4300.0</v>
      </c>
      <c r="F451" s="6">
        <v>1075.0</v>
      </c>
      <c r="G451" s="5" t="s">
        <v>54</v>
      </c>
      <c r="H451" s="5" t="s">
        <v>57</v>
      </c>
      <c r="I451" s="6" t="s">
        <v>40</v>
      </c>
      <c r="J451" s="5" t="s">
        <v>8585</v>
      </c>
      <c r="K451" s="5" t="s">
        <v>8586</v>
      </c>
      <c r="L451" s="6" t="s">
        <v>42</v>
      </c>
      <c r="M451" s="5" t="s">
        <v>1059</v>
      </c>
      <c r="N451" s="5" t="s">
        <v>64</v>
      </c>
      <c r="O451" s="5" t="s">
        <v>19316</v>
      </c>
      <c r="P451" s="6">
        <v>4734.0</v>
      </c>
    </row>
    <row r="452" ht="56.25" customHeight="1">
      <c r="A452" s="5" t="s">
        <v>19300</v>
      </c>
      <c r="B452" s="16" t="str">
        <f>IMAGE("https://storage.googleapis.com/acdb/shoes/ShoesSandalZori6.png")</f>
        <v/>
      </c>
      <c r="C452" s="5" t="s">
        <v>14181</v>
      </c>
      <c r="D452" s="5" t="s">
        <v>36</v>
      </c>
      <c r="E452" s="6">
        <v>4300.0</v>
      </c>
      <c r="F452" s="6">
        <v>1075.0</v>
      </c>
      <c r="G452" s="5" t="s">
        <v>57</v>
      </c>
      <c r="H452" s="5" t="s">
        <v>83</v>
      </c>
      <c r="I452" s="6" t="s">
        <v>40</v>
      </c>
      <c r="J452" s="5" t="s">
        <v>8585</v>
      </c>
      <c r="K452" s="5" t="s">
        <v>8586</v>
      </c>
      <c r="L452" s="6" t="s">
        <v>42</v>
      </c>
      <c r="M452" s="5" t="s">
        <v>1059</v>
      </c>
      <c r="N452" s="5" t="s">
        <v>64</v>
      </c>
      <c r="O452" s="5" t="s">
        <v>19317</v>
      </c>
      <c r="P452" s="6">
        <v>4734.0</v>
      </c>
    </row>
    <row r="453" ht="56.25" customHeight="1">
      <c r="A453" s="5" t="s">
        <v>19300</v>
      </c>
      <c r="B453" s="16" t="str">
        <f>IMAGE("https://storage.googleapis.com/acdb/shoes/ShoesSandalZori7.png")</f>
        <v/>
      </c>
      <c r="C453" s="5" t="s">
        <v>52</v>
      </c>
      <c r="D453" s="5" t="s">
        <v>36</v>
      </c>
      <c r="E453" s="6">
        <v>4300.0</v>
      </c>
      <c r="F453" s="6">
        <v>1075.0</v>
      </c>
      <c r="G453" s="5" t="s">
        <v>114</v>
      </c>
      <c r="H453" s="5" t="s">
        <v>52</v>
      </c>
      <c r="I453" s="6" t="s">
        <v>40</v>
      </c>
      <c r="J453" s="5" t="s">
        <v>8585</v>
      </c>
      <c r="K453" s="5" t="s">
        <v>8586</v>
      </c>
      <c r="L453" s="6" t="s">
        <v>42</v>
      </c>
      <c r="M453" s="5" t="s">
        <v>1059</v>
      </c>
      <c r="N453" s="5" t="s">
        <v>64</v>
      </c>
      <c r="O453" s="5" t="s">
        <v>19320</v>
      </c>
      <c r="P453" s="6">
        <v>4734.0</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3" width="10.86"/>
    <col customWidth="1" min="4" max="4" width="4.43"/>
    <col customWidth="1" min="5" max="6" width="5.86"/>
    <col customWidth="1" min="7" max="8" width="8.0"/>
    <col customWidth="1" min="9" max="9" width="5.14"/>
    <col customWidth="1" min="10" max="10" width="12.29"/>
    <col customWidth="1" min="11" max="11" width="25.14"/>
    <col customWidth="1" min="12" max="12" width="8.0"/>
    <col customWidth="1" min="13" max="13" width="9.43"/>
    <col customWidth="1" min="14" max="14" width="8.0"/>
    <col customWidth="1" min="15" max="15" width="10.86"/>
    <col customWidth="1" min="16" max="16" width="8.0"/>
  </cols>
  <sheetData>
    <row r="1" ht="26.25" customHeight="1">
      <c r="A1" s="1" t="s">
        <v>0</v>
      </c>
      <c r="B1" s="2" t="s">
        <v>1</v>
      </c>
      <c r="C1" s="1" t="s">
        <v>2</v>
      </c>
      <c r="D1" s="1" t="s">
        <v>6</v>
      </c>
      <c r="E1" s="4" t="s">
        <v>10</v>
      </c>
      <c r="F1" s="4" t="s">
        <v>11</v>
      </c>
      <c r="G1" s="1" t="s">
        <v>12</v>
      </c>
      <c r="H1" s="1" t="s">
        <v>13</v>
      </c>
      <c r="I1" s="2" t="s">
        <v>14</v>
      </c>
      <c r="J1" s="1" t="s">
        <v>15</v>
      </c>
      <c r="K1" s="1" t="s">
        <v>16</v>
      </c>
      <c r="L1" s="2" t="s">
        <v>17</v>
      </c>
      <c r="M1" s="1" t="s">
        <v>8575</v>
      </c>
      <c r="N1" s="1" t="s">
        <v>26</v>
      </c>
      <c r="O1" s="1" t="s">
        <v>27</v>
      </c>
      <c r="P1" s="2" t="s">
        <v>29</v>
      </c>
    </row>
    <row r="2" ht="56.25" customHeight="1">
      <c r="A2" s="5" t="s">
        <v>18417</v>
      </c>
      <c r="B2" s="6" t="str">
        <f>IMAGE("https://storage.googleapis.com/acdb/bags/BagShoulderAcorn0.png")</f>
        <v/>
      </c>
      <c r="C2" s="5" t="s">
        <v>39</v>
      </c>
      <c r="D2" s="5" t="s">
        <v>35</v>
      </c>
      <c r="E2" s="8" t="s">
        <v>37</v>
      </c>
      <c r="F2" s="8">
        <v>2400.0</v>
      </c>
      <c r="G2" s="5" t="s">
        <v>39</v>
      </c>
      <c r="H2" s="5" t="s">
        <v>96</v>
      </c>
      <c r="I2" s="6" t="s">
        <v>40</v>
      </c>
      <c r="J2" s="5" t="s">
        <v>41</v>
      </c>
      <c r="K2" s="5" t="s">
        <v>2446</v>
      </c>
      <c r="L2" s="6" t="s">
        <v>42</v>
      </c>
      <c r="M2" s="5" t="s">
        <v>1959</v>
      </c>
      <c r="N2" s="5" t="s">
        <v>48</v>
      </c>
      <c r="O2" s="5" t="s">
        <v>18421</v>
      </c>
      <c r="P2" s="6">
        <v>7492.0</v>
      </c>
    </row>
    <row r="3" ht="56.25" customHeight="1">
      <c r="A3" s="5" t="s">
        <v>18422</v>
      </c>
      <c r="B3" s="6" t="str">
        <f>IMAGE("https://storage.googleapis.com/acdb/bags/BagBackpackBasket0.png")</f>
        <v/>
      </c>
      <c r="C3" s="5" t="s">
        <v>96</v>
      </c>
      <c r="D3" s="5" t="s">
        <v>35</v>
      </c>
      <c r="E3" s="8" t="s">
        <v>37</v>
      </c>
      <c r="F3" s="8">
        <v>2400.0</v>
      </c>
      <c r="G3" s="5" t="s">
        <v>96</v>
      </c>
      <c r="H3" s="5" t="s">
        <v>96</v>
      </c>
      <c r="I3" s="6" t="s">
        <v>40</v>
      </c>
      <c r="J3" s="5" t="s">
        <v>41</v>
      </c>
      <c r="K3" s="5"/>
      <c r="L3" s="6" t="s">
        <v>42</v>
      </c>
      <c r="M3" s="5" t="s">
        <v>995</v>
      </c>
      <c r="N3" s="5" t="s">
        <v>48</v>
      </c>
      <c r="O3" s="5" t="s">
        <v>18424</v>
      </c>
      <c r="P3" s="6">
        <v>7506.0</v>
      </c>
    </row>
    <row r="4" ht="56.25" customHeight="1">
      <c r="A4" s="5" t="s">
        <v>18426</v>
      </c>
      <c r="B4" s="6" t="str">
        <f>IMAGE("https://storage.googleapis.com/acdb/bags/BagShoulderCage0.png")</f>
        <v/>
      </c>
      <c r="C4" s="5" t="s">
        <v>96</v>
      </c>
      <c r="D4" s="5" t="s">
        <v>36</v>
      </c>
      <c r="E4" s="8" t="s">
        <v>37</v>
      </c>
      <c r="F4" s="8">
        <v>122.0</v>
      </c>
      <c r="G4" s="5" t="s">
        <v>96</v>
      </c>
      <c r="H4" s="5" t="s">
        <v>57</v>
      </c>
      <c r="I4" s="6" t="s">
        <v>40</v>
      </c>
      <c r="J4" s="5" t="s">
        <v>393</v>
      </c>
      <c r="K4" s="5"/>
      <c r="L4" s="6" t="s">
        <v>42</v>
      </c>
      <c r="M4" s="5" t="s">
        <v>8746</v>
      </c>
      <c r="N4" s="5" t="s">
        <v>48</v>
      </c>
      <c r="O4" s="5" t="s">
        <v>18428</v>
      </c>
      <c r="P4" s="6">
        <v>7479.0</v>
      </c>
    </row>
    <row r="5" ht="56.25" customHeight="1">
      <c r="A5" s="5" t="s">
        <v>18429</v>
      </c>
      <c r="B5" s="6" t="str">
        <f>image("https://storage.googleapis.com/acdb/bags/BagBackpackEgg0.png")</f>
        <v/>
      </c>
      <c r="C5" s="5" t="s">
        <v>44</v>
      </c>
      <c r="D5" s="5" t="s">
        <v>35</v>
      </c>
      <c r="E5" s="8" t="s">
        <v>37</v>
      </c>
      <c r="F5" s="8">
        <v>2400.0</v>
      </c>
      <c r="G5" s="5" t="s">
        <v>58</v>
      </c>
      <c r="H5" s="5" t="s">
        <v>58</v>
      </c>
      <c r="I5" s="6" t="s">
        <v>40</v>
      </c>
      <c r="J5" s="5" t="s">
        <v>41</v>
      </c>
      <c r="K5" s="5" t="s">
        <v>461</v>
      </c>
      <c r="L5" s="6" t="s">
        <v>1410</v>
      </c>
      <c r="M5" s="5" t="s">
        <v>8746</v>
      </c>
      <c r="N5" s="5" t="s">
        <v>48</v>
      </c>
      <c r="O5" s="5" t="s">
        <v>18432</v>
      </c>
      <c r="P5" s="6">
        <v>12447.0</v>
      </c>
    </row>
    <row r="6" ht="56.25" customHeight="1">
      <c r="A6" s="5" t="s">
        <v>18433</v>
      </c>
      <c r="B6" s="6" t="str">
        <f>IMAGE("https://storage.googleapis.com/acdb/bags/BagBackpackButterfly0.png")</f>
        <v/>
      </c>
      <c r="C6" s="5" t="s">
        <v>69</v>
      </c>
      <c r="D6" s="5" t="s">
        <v>36</v>
      </c>
      <c r="E6" s="8" t="s">
        <v>37</v>
      </c>
      <c r="F6" s="8">
        <v>210.0</v>
      </c>
      <c r="G6" s="5" t="s">
        <v>69</v>
      </c>
      <c r="H6" s="5" t="s">
        <v>114</v>
      </c>
      <c r="I6" s="6" t="s">
        <v>40</v>
      </c>
      <c r="J6" s="5" t="s">
        <v>393</v>
      </c>
      <c r="K6" s="5"/>
      <c r="L6" s="6" t="s">
        <v>42</v>
      </c>
      <c r="M6" s="5" t="s">
        <v>1959</v>
      </c>
      <c r="N6" s="5" t="s">
        <v>48</v>
      </c>
      <c r="O6" s="5" t="s">
        <v>18435</v>
      </c>
      <c r="P6" s="6">
        <v>7502.0</v>
      </c>
    </row>
    <row r="7" ht="56.25" customHeight="1">
      <c r="A7" s="5" t="s">
        <v>18437</v>
      </c>
      <c r="B7" s="6" t="str">
        <f>IMAGE("https://storage.googleapis.com/acdb/bags/BagBackpackTote0.png")</f>
        <v/>
      </c>
      <c r="C7" s="5" t="s">
        <v>57</v>
      </c>
      <c r="D7" s="5" t="s">
        <v>36</v>
      </c>
      <c r="E7" s="8">
        <v>1300.0</v>
      </c>
      <c r="F7" s="8">
        <v>325.0</v>
      </c>
      <c r="G7" s="5" t="s">
        <v>57</v>
      </c>
      <c r="H7" s="5" t="s">
        <v>142</v>
      </c>
      <c r="I7" s="6" t="s">
        <v>40</v>
      </c>
      <c r="J7" s="5" t="s">
        <v>17203</v>
      </c>
      <c r="K7" s="5"/>
      <c r="L7" s="6" t="s">
        <v>42</v>
      </c>
      <c r="M7" s="5" t="s">
        <v>995</v>
      </c>
      <c r="N7" s="5" t="s">
        <v>64</v>
      </c>
      <c r="O7" s="5" t="s">
        <v>18440</v>
      </c>
      <c r="P7" s="6">
        <v>7509.0</v>
      </c>
    </row>
    <row r="8" ht="56.25" customHeight="1">
      <c r="A8" s="5" t="s">
        <v>18441</v>
      </c>
      <c r="B8" s="6" t="str">
        <f>IMAGE("https://storage.googleapis.com/acdb/bags/BagShoulderCherryblossoms0.png")</f>
        <v/>
      </c>
      <c r="C8" s="5" t="s">
        <v>69</v>
      </c>
      <c r="D8" s="5" t="s">
        <v>35</v>
      </c>
      <c r="E8" s="8" t="s">
        <v>37</v>
      </c>
      <c r="F8" s="8">
        <v>2400.0</v>
      </c>
      <c r="G8" s="5" t="s">
        <v>69</v>
      </c>
      <c r="H8" s="5" t="s">
        <v>69</v>
      </c>
      <c r="I8" s="6" t="s">
        <v>40</v>
      </c>
      <c r="J8" s="5" t="s">
        <v>41</v>
      </c>
      <c r="K8" s="5" t="s">
        <v>513</v>
      </c>
      <c r="L8" s="6" t="s">
        <v>42</v>
      </c>
      <c r="M8" s="5" t="s">
        <v>1959</v>
      </c>
      <c r="N8" s="5" t="s">
        <v>48</v>
      </c>
      <c r="O8" s="5" t="s">
        <v>18443</v>
      </c>
      <c r="P8" s="6">
        <v>7490.0</v>
      </c>
    </row>
    <row r="9" ht="56.25" customHeight="1">
      <c r="A9" s="5" t="s">
        <v>18444</v>
      </c>
      <c r="B9" s="6" t="str">
        <f>IMAGE("https://storage.googleapis.com/acdb/bags/BagShoulderCanvas0.png")</f>
        <v/>
      </c>
      <c r="C9" s="5" t="s">
        <v>68</v>
      </c>
      <c r="D9" s="5" t="s">
        <v>36</v>
      </c>
      <c r="E9" s="8">
        <v>1400.0</v>
      </c>
      <c r="F9" s="8">
        <v>350.0</v>
      </c>
      <c r="G9" s="5" t="s">
        <v>83</v>
      </c>
      <c r="H9" s="5" t="s">
        <v>83</v>
      </c>
      <c r="I9" s="6" t="s">
        <v>40</v>
      </c>
      <c r="J9" s="5" t="s">
        <v>17203</v>
      </c>
      <c r="K9" s="5"/>
      <c r="L9" s="6" t="s">
        <v>42</v>
      </c>
      <c r="M9" s="5" t="s">
        <v>995</v>
      </c>
      <c r="N9" s="5" t="s">
        <v>64</v>
      </c>
      <c r="O9" s="5" t="s">
        <v>18446</v>
      </c>
      <c r="P9" s="6">
        <v>7487.0</v>
      </c>
    </row>
    <row r="10" ht="56.25" customHeight="1">
      <c r="A10" s="5" t="s">
        <v>18444</v>
      </c>
      <c r="B10" s="6" t="str">
        <f>IMAGE("https://storage.googleapis.com/acdb/bags/BagShoulderCanvas1.png")</f>
        <v/>
      </c>
      <c r="C10" s="5" t="s">
        <v>142</v>
      </c>
      <c r="D10" s="5" t="s">
        <v>36</v>
      </c>
      <c r="E10" s="8">
        <v>1400.0</v>
      </c>
      <c r="F10" s="8">
        <v>350.0</v>
      </c>
      <c r="G10" s="5" t="s">
        <v>142</v>
      </c>
      <c r="H10" s="5" t="s">
        <v>142</v>
      </c>
      <c r="I10" s="6" t="s">
        <v>40</v>
      </c>
      <c r="J10" s="5" t="s">
        <v>17203</v>
      </c>
      <c r="K10" s="5"/>
      <c r="L10" s="6" t="s">
        <v>42</v>
      </c>
      <c r="M10" s="5" t="s">
        <v>995</v>
      </c>
      <c r="N10" s="5" t="s">
        <v>64</v>
      </c>
      <c r="O10" s="5" t="s">
        <v>18448</v>
      </c>
      <c r="P10" s="6">
        <v>12013.0</v>
      </c>
    </row>
    <row r="11" ht="56.25" customHeight="1">
      <c r="A11" s="5" t="s">
        <v>18444</v>
      </c>
      <c r="B11" s="6" t="str">
        <f>IMAGE("https://storage.googleapis.com/acdb/bags/BagShoulderCanvas2.png")</f>
        <v/>
      </c>
      <c r="C11" s="5" t="s">
        <v>186</v>
      </c>
      <c r="D11" s="5" t="s">
        <v>36</v>
      </c>
      <c r="E11" s="8">
        <v>1400.0</v>
      </c>
      <c r="F11" s="8">
        <v>350.0</v>
      </c>
      <c r="G11" s="5" t="s">
        <v>57</v>
      </c>
      <c r="H11" s="5" t="s">
        <v>57</v>
      </c>
      <c r="I11" s="6" t="s">
        <v>40</v>
      </c>
      <c r="J11" s="5" t="s">
        <v>17203</v>
      </c>
      <c r="K11" s="5"/>
      <c r="L11" s="6" t="s">
        <v>42</v>
      </c>
      <c r="M11" s="5" t="s">
        <v>995</v>
      </c>
      <c r="N11" s="5" t="s">
        <v>64</v>
      </c>
      <c r="O11" s="5" t="s">
        <v>18451</v>
      </c>
      <c r="P11" s="6">
        <v>12014.0</v>
      </c>
    </row>
    <row r="12" ht="56.25" customHeight="1">
      <c r="A12" s="5" t="s">
        <v>18452</v>
      </c>
      <c r="B12" s="6" t="str">
        <f>IMAGE("https://storage.googleapis.com/acdb/bags/BagBackpackBody1.png")</f>
        <v/>
      </c>
      <c r="C12" s="5" t="s">
        <v>96</v>
      </c>
      <c r="D12" s="5" t="s">
        <v>36</v>
      </c>
      <c r="E12" s="8">
        <v>700.0</v>
      </c>
      <c r="F12" s="8">
        <v>175.0</v>
      </c>
      <c r="G12" s="5" t="s">
        <v>96</v>
      </c>
      <c r="H12" s="5" t="s">
        <v>54</v>
      </c>
      <c r="I12" s="6" t="s">
        <v>40</v>
      </c>
      <c r="J12" s="5" t="s">
        <v>17203</v>
      </c>
      <c r="K12" s="5"/>
      <c r="L12" s="6" t="s">
        <v>42</v>
      </c>
      <c r="M12" s="5" t="s">
        <v>8746</v>
      </c>
      <c r="N12" s="5" t="s">
        <v>64</v>
      </c>
      <c r="O12" s="5" t="s">
        <v>18453</v>
      </c>
      <c r="P12" s="6">
        <v>11980.0</v>
      </c>
    </row>
    <row r="13" ht="56.25" customHeight="1">
      <c r="A13" s="5" t="s">
        <v>18452</v>
      </c>
      <c r="B13" s="6" t="str">
        <f>IMAGE("https://storage.googleapis.com/acdb/bags/BagBackpackBody2.png")</f>
        <v/>
      </c>
      <c r="C13" s="5" t="s">
        <v>114</v>
      </c>
      <c r="D13" s="5" t="s">
        <v>36</v>
      </c>
      <c r="E13" s="8">
        <v>700.0</v>
      </c>
      <c r="F13" s="8">
        <v>175.0</v>
      </c>
      <c r="G13" s="5" t="s">
        <v>114</v>
      </c>
      <c r="H13" s="5" t="s">
        <v>54</v>
      </c>
      <c r="I13" s="6" t="s">
        <v>40</v>
      </c>
      <c r="J13" s="5" t="s">
        <v>17203</v>
      </c>
      <c r="K13" s="5"/>
      <c r="L13" s="6" t="s">
        <v>42</v>
      </c>
      <c r="M13" s="5" t="s">
        <v>8746</v>
      </c>
      <c r="N13" s="5" t="s">
        <v>64</v>
      </c>
      <c r="O13" s="5" t="s">
        <v>18457</v>
      </c>
      <c r="P13" s="6">
        <v>11981.0</v>
      </c>
    </row>
    <row r="14" ht="56.25" customHeight="1">
      <c r="A14" s="5" t="s">
        <v>18452</v>
      </c>
      <c r="B14" s="6" t="str">
        <f>IMAGE("https://storage.googleapis.com/acdb/bags/BagBackpackBody3.png")</f>
        <v/>
      </c>
      <c r="C14" s="5" t="s">
        <v>57</v>
      </c>
      <c r="D14" s="5" t="s">
        <v>36</v>
      </c>
      <c r="E14" s="8">
        <v>700.0</v>
      </c>
      <c r="F14" s="8">
        <v>175.0</v>
      </c>
      <c r="G14" s="5" t="s">
        <v>57</v>
      </c>
      <c r="H14" s="5" t="s">
        <v>54</v>
      </c>
      <c r="I14" s="6" t="s">
        <v>40</v>
      </c>
      <c r="J14" s="5" t="s">
        <v>17203</v>
      </c>
      <c r="K14" s="5"/>
      <c r="L14" s="6" t="s">
        <v>42</v>
      </c>
      <c r="M14" s="5" t="s">
        <v>8746</v>
      </c>
      <c r="N14" s="5" t="s">
        <v>64</v>
      </c>
      <c r="O14" s="5" t="s">
        <v>18461</v>
      </c>
      <c r="P14" s="6">
        <v>11982.0</v>
      </c>
    </row>
    <row r="15" ht="56.25" customHeight="1">
      <c r="A15" s="5" t="s">
        <v>18452</v>
      </c>
      <c r="B15" s="6" t="str">
        <f>IMAGE("https://storage.googleapis.com/acdb/bags/BagBackpackBody0.png")</f>
        <v/>
      </c>
      <c r="C15" s="5" t="s">
        <v>69</v>
      </c>
      <c r="D15" s="5" t="s">
        <v>36</v>
      </c>
      <c r="E15" s="8">
        <v>700.0</v>
      </c>
      <c r="F15" s="8">
        <v>175.0</v>
      </c>
      <c r="G15" s="5" t="s">
        <v>69</v>
      </c>
      <c r="H15" s="5" t="s">
        <v>54</v>
      </c>
      <c r="I15" s="6" t="s">
        <v>40</v>
      </c>
      <c r="J15" s="5" t="s">
        <v>17203</v>
      </c>
      <c r="K15" s="5"/>
      <c r="L15" s="6" t="s">
        <v>42</v>
      </c>
      <c r="M15" s="5" t="s">
        <v>8746</v>
      </c>
      <c r="N15" s="5" t="s">
        <v>64</v>
      </c>
      <c r="O15" s="5" t="s">
        <v>18462</v>
      </c>
      <c r="P15" s="6">
        <v>7483.0</v>
      </c>
    </row>
    <row r="16" ht="56.25" customHeight="1">
      <c r="A16" s="5" t="s">
        <v>18463</v>
      </c>
      <c r="B16" s="6" t="str">
        <f>IMAGE("https://storage.googleapis.com/acdb/bags/BagShoulderDrum0.png")</f>
        <v/>
      </c>
      <c r="C16" s="5" t="s">
        <v>52</v>
      </c>
      <c r="D16" s="5" t="s">
        <v>36</v>
      </c>
      <c r="E16" s="8">
        <v>1680.0</v>
      </c>
      <c r="F16" s="8">
        <v>420.0</v>
      </c>
      <c r="G16" s="5" t="s">
        <v>52</v>
      </c>
      <c r="H16" s="5" t="s">
        <v>54</v>
      </c>
      <c r="I16" s="6" t="s">
        <v>40</v>
      </c>
      <c r="J16" s="5" t="s">
        <v>17203</v>
      </c>
      <c r="K16" s="5"/>
      <c r="L16" s="6" t="s">
        <v>42</v>
      </c>
      <c r="M16" s="5" t="s">
        <v>995</v>
      </c>
      <c r="N16" s="5" t="s">
        <v>64</v>
      </c>
      <c r="O16" s="5" t="s">
        <v>18466</v>
      </c>
      <c r="P16" s="6">
        <v>7485.0</v>
      </c>
    </row>
    <row r="17" ht="56.25" customHeight="1">
      <c r="A17" s="5" t="s">
        <v>18463</v>
      </c>
      <c r="B17" s="6" t="str">
        <f>IMAGE("https://storage.googleapis.com/acdb/bags/BagShoulderDrum1.png")</f>
        <v/>
      </c>
      <c r="C17" s="5" t="s">
        <v>68</v>
      </c>
      <c r="D17" s="5" t="s">
        <v>36</v>
      </c>
      <c r="E17" s="8">
        <v>1680.0</v>
      </c>
      <c r="F17" s="8">
        <v>420.0</v>
      </c>
      <c r="G17" s="5" t="s">
        <v>68</v>
      </c>
      <c r="H17" s="5" t="s">
        <v>54</v>
      </c>
      <c r="I17" s="6" t="s">
        <v>40</v>
      </c>
      <c r="J17" s="5" t="s">
        <v>17203</v>
      </c>
      <c r="K17" s="5"/>
      <c r="L17" s="6" t="s">
        <v>42</v>
      </c>
      <c r="M17" s="5" t="s">
        <v>995</v>
      </c>
      <c r="N17" s="5" t="s">
        <v>64</v>
      </c>
      <c r="O17" s="5" t="s">
        <v>18468</v>
      </c>
      <c r="P17" s="6">
        <v>12011.0</v>
      </c>
    </row>
    <row r="18" ht="56.25" customHeight="1">
      <c r="A18" s="5" t="s">
        <v>18469</v>
      </c>
      <c r="B18" s="6" t="str">
        <f>IMAGE("https://storage.googleapis.com/acdb/bags/BagBackpackDal0.png")</f>
        <v/>
      </c>
      <c r="C18" s="5" t="s">
        <v>68</v>
      </c>
      <c r="D18" s="5" t="s">
        <v>36</v>
      </c>
      <c r="E18" s="8" t="s">
        <v>37</v>
      </c>
      <c r="F18" s="8">
        <v>1010.0</v>
      </c>
      <c r="G18" s="5" t="s">
        <v>68</v>
      </c>
      <c r="H18" s="5" t="s">
        <v>54</v>
      </c>
      <c r="I18" s="6" t="s">
        <v>40</v>
      </c>
      <c r="J18" s="5" t="s">
        <v>1263</v>
      </c>
      <c r="K18" s="5" t="s">
        <v>1264</v>
      </c>
      <c r="L18" s="6" t="s">
        <v>42</v>
      </c>
      <c r="M18" s="5" t="s">
        <v>1952</v>
      </c>
      <c r="N18" s="5" t="s">
        <v>48</v>
      </c>
      <c r="O18" s="5" t="s">
        <v>18472</v>
      </c>
      <c r="P18" s="6">
        <v>12131.0</v>
      </c>
    </row>
    <row r="19" ht="56.25" customHeight="1">
      <c r="A19" s="5" t="s">
        <v>18473</v>
      </c>
      <c r="B19" s="6" t="str">
        <f>IMAGE("https://storage.googleapis.com/acdb/bags/BagBackpackDry0.png")</f>
        <v/>
      </c>
      <c r="C19" s="5" t="s">
        <v>114</v>
      </c>
      <c r="D19" s="5" t="s">
        <v>36</v>
      </c>
      <c r="E19" s="8">
        <v>1040.0</v>
      </c>
      <c r="F19" s="8">
        <v>260.0</v>
      </c>
      <c r="G19" s="5" t="s">
        <v>114</v>
      </c>
      <c r="H19" s="5" t="s">
        <v>54</v>
      </c>
      <c r="I19" s="6" t="s">
        <v>40</v>
      </c>
      <c r="J19" s="5" t="s">
        <v>17203</v>
      </c>
      <c r="K19" s="5"/>
      <c r="L19" s="6" t="s">
        <v>42</v>
      </c>
      <c r="M19" s="5" t="s">
        <v>8746</v>
      </c>
      <c r="N19" s="5" t="s">
        <v>64</v>
      </c>
      <c r="O19" s="5" t="s">
        <v>18475</v>
      </c>
      <c r="P19" s="6">
        <v>7471.0</v>
      </c>
    </row>
    <row r="20" ht="56.25" customHeight="1">
      <c r="A20" s="5" t="s">
        <v>18473</v>
      </c>
      <c r="B20" s="6" t="str">
        <f>IMAGE("https://storage.googleapis.com/acdb/bags/BagBackpackDry1.png")</f>
        <v/>
      </c>
      <c r="C20" s="5" t="s">
        <v>68</v>
      </c>
      <c r="D20" s="5" t="s">
        <v>36</v>
      </c>
      <c r="E20" s="8">
        <v>1040.0</v>
      </c>
      <c r="F20" s="8">
        <v>260.0</v>
      </c>
      <c r="G20" s="5" t="s">
        <v>68</v>
      </c>
      <c r="H20" s="5" t="s">
        <v>54</v>
      </c>
      <c r="I20" s="6" t="s">
        <v>40</v>
      </c>
      <c r="J20" s="5" t="s">
        <v>17203</v>
      </c>
      <c r="K20" s="5"/>
      <c r="L20" s="6" t="s">
        <v>42</v>
      </c>
      <c r="M20" s="5" t="s">
        <v>8746</v>
      </c>
      <c r="N20" s="5" t="s">
        <v>64</v>
      </c>
      <c r="O20" s="5" t="s">
        <v>18478</v>
      </c>
      <c r="P20" s="6">
        <v>11964.0</v>
      </c>
    </row>
    <row r="21" ht="56.25" customHeight="1">
      <c r="A21" s="5" t="s">
        <v>18479</v>
      </c>
      <c r="B21" s="6" t="str">
        <f>IMAGE("https://storage.googleapis.com/acdb/bags/BagShoulderParty0.png")</f>
        <v/>
      </c>
      <c r="C21" s="5" t="s">
        <v>69</v>
      </c>
      <c r="D21" s="5" t="s">
        <v>36</v>
      </c>
      <c r="E21" s="8">
        <v>1250.0</v>
      </c>
      <c r="F21" s="8">
        <v>312.0</v>
      </c>
      <c r="G21" s="5" t="s">
        <v>69</v>
      </c>
      <c r="H21" s="5" t="s">
        <v>114</v>
      </c>
      <c r="I21" s="6" t="s">
        <v>40</v>
      </c>
      <c r="J21" s="5" t="s">
        <v>17203</v>
      </c>
      <c r="K21" s="5"/>
      <c r="L21" s="6" t="s">
        <v>42</v>
      </c>
      <c r="M21" s="5" t="s">
        <v>1959</v>
      </c>
      <c r="N21" s="5" t="s">
        <v>64</v>
      </c>
      <c r="O21" s="5" t="s">
        <v>18482</v>
      </c>
      <c r="P21" s="6">
        <v>7305.0</v>
      </c>
    </row>
    <row r="22" ht="56.25" customHeight="1">
      <c r="A22" s="5" t="s">
        <v>18479</v>
      </c>
      <c r="B22" s="6" t="str">
        <f>IMAGE("https://storage.googleapis.com/acdb/bags/BagShoulderParty1.png")</f>
        <v/>
      </c>
      <c r="C22" s="5" t="s">
        <v>68</v>
      </c>
      <c r="D22" s="5" t="s">
        <v>36</v>
      </c>
      <c r="E22" s="8">
        <v>1250.0</v>
      </c>
      <c r="F22" s="8">
        <v>312.0</v>
      </c>
      <c r="G22" s="5" t="s">
        <v>68</v>
      </c>
      <c r="H22" s="5" t="s">
        <v>114</v>
      </c>
      <c r="I22" s="6" t="s">
        <v>40</v>
      </c>
      <c r="J22" s="5" t="s">
        <v>17203</v>
      </c>
      <c r="K22" s="5"/>
      <c r="L22" s="6" t="s">
        <v>42</v>
      </c>
      <c r="M22" s="5" t="s">
        <v>1959</v>
      </c>
      <c r="N22" s="5" t="s">
        <v>64</v>
      </c>
      <c r="O22" s="5" t="s">
        <v>18484</v>
      </c>
      <c r="P22" s="6">
        <v>11976.0</v>
      </c>
    </row>
    <row r="23" ht="56.25" customHeight="1">
      <c r="A23" s="5" t="s">
        <v>18479</v>
      </c>
      <c r="B23" s="6" t="str">
        <f>IMAGE("https://storage.googleapis.com/acdb/bags/BagShoulderParty2.png")</f>
        <v/>
      </c>
      <c r="C23" s="5" t="s">
        <v>54</v>
      </c>
      <c r="D23" s="5" t="s">
        <v>36</v>
      </c>
      <c r="E23" s="8">
        <v>1250.0</v>
      </c>
      <c r="F23" s="8">
        <v>312.0</v>
      </c>
      <c r="G23" s="5" t="s">
        <v>54</v>
      </c>
      <c r="H23" s="5" t="s">
        <v>114</v>
      </c>
      <c r="I23" s="6" t="s">
        <v>40</v>
      </c>
      <c r="J23" s="5" t="s">
        <v>17203</v>
      </c>
      <c r="K23" s="5"/>
      <c r="L23" s="6" t="s">
        <v>42</v>
      </c>
      <c r="M23" s="5" t="s">
        <v>1959</v>
      </c>
      <c r="N23" s="5" t="s">
        <v>64</v>
      </c>
      <c r="O23" s="5" t="s">
        <v>18486</v>
      </c>
      <c r="P23" s="6">
        <v>11977.0</v>
      </c>
    </row>
    <row r="24" ht="56.25" customHeight="1">
      <c r="A24" s="5" t="s">
        <v>18487</v>
      </c>
      <c r="B24" s="6" t="str">
        <f>IMAGE("https://storage.googleapis.com/acdb/bags/BagBackpackMountain0.png")</f>
        <v/>
      </c>
      <c r="C24" s="5" t="s">
        <v>52</v>
      </c>
      <c r="D24" s="5" t="s">
        <v>36</v>
      </c>
      <c r="E24" s="8">
        <v>2100.0</v>
      </c>
      <c r="F24" s="8">
        <v>525.0</v>
      </c>
      <c r="G24" s="5" t="s">
        <v>52</v>
      </c>
      <c r="H24" s="5" t="s">
        <v>52</v>
      </c>
      <c r="I24" s="6" t="s">
        <v>40</v>
      </c>
      <c r="J24" s="5" t="s">
        <v>17203</v>
      </c>
      <c r="K24" s="5"/>
      <c r="L24" s="6" t="s">
        <v>42</v>
      </c>
      <c r="M24" s="5" t="s">
        <v>8746</v>
      </c>
      <c r="N24" s="5" t="s">
        <v>64</v>
      </c>
      <c r="O24" s="5" t="s">
        <v>18490</v>
      </c>
      <c r="P24" s="6">
        <v>7505.0</v>
      </c>
    </row>
    <row r="25" ht="56.25" customHeight="1">
      <c r="A25" s="5" t="s">
        <v>18487</v>
      </c>
      <c r="B25" s="6" t="str">
        <f>IMAGE("https://storage.googleapis.com/acdb/bags/BagBackpackMountain1.png")</f>
        <v/>
      </c>
      <c r="C25" s="5" t="s">
        <v>96</v>
      </c>
      <c r="D25" s="5" t="s">
        <v>36</v>
      </c>
      <c r="E25" s="8">
        <v>2100.0</v>
      </c>
      <c r="F25" s="8">
        <v>525.0</v>
      </c>
      <c r="G25" s="5" t="s">
        <v>96</v>
      </c>
      <c r="H25" s="5" t="s">
        <v>96</v>
      </c>
      <c r="I25" s="6" t="s">
        <v>40</v>
      </c>
      <c r="J25" s="5" t="s">
        <v>17203</v>
      </c>
      <c r="K25" s="5"/>
      <c r="L25" s="6" t="s">
        <v>42</v>
      </c>
      <c r="M25" s="5" t="s">
        <v>8746</v>
      </c>
      <c r="N25" s="5" t="s">
        <v>64</v>
      </c>
      <c r="O25" s="5" t="s">
        <v>18491</v>
      </c>
      <c r="P25" s="6">
        <v>11971.0</v>
      </c>
    </row>
    <row r="26" ht="56.25" customHeight="1">
      <c r="A26" s="5" t="s">
        <v>18487</v>
      </c>
      <c r="B26" s="6" t="str">
        <f>IMAGE("https://storage.googleapis.com/acdb/bags/BagBackpackMountain2.png")</f>
        <v/>
      </c>
      <c r="C26" s="5" t="s">
        <v>54</v>
      </c>
      <c r="D26" s="5" t="s">
        <v>36</v>
      </c>
      <c r="E26" s="8">
        <v>2100.0</v>
      </c>
      <c r="F26" s="8">
        <v>525.0</v>
      </c>
      <c r="G26" s="5" t="s">
        <v>54</v>
      </c>
      <c r="H26" s="5" t="s">
        <v>54</v>
      </c>
      <c r="I26" s="6" t="s">
        <v>40</v>
      </c>
      <c r="J26" s="5" t="s">
        <v>17203</v>
      </c>
      <c r="K26" s="5"/>
      <c r="L26" s="6" t="s">
        <v>42</v>
      </c>
      <c r="M26" s="5" t="s">
        <v>8746</v>
      </c>
      <c r="N26" s="5" t="s">
        <v>64</v>
      </c>
      <c r="O26" s="5" t="s">
        <v>18496</v>
      </c>
      <c r="P26" s="6">
        <v>11972.0</v>
      </c>
    </row>
    <row r="27" ht="56.25" customHeight="1">
      <c r="A27" s="5" t="s">
        <v>18487</v>
      </c>
      <c r="B27" s="6" t="str">
        <f>IMAGE("https://storage.googleapis.com/acdb/bags/BagBackpackMountain3.png")</f>
        <v/>
      </c>
      <c r="C27" s="5" t="s">
        <v>68</v>
      </c>
      <c r="D27" s="5" t="s">
        <v>36</v>
      </c>
      <c r="E27" s="8">
        <v>2100.0</v>
      </c>
      <c r="F27" s="8">
        <v>525.0</v>
      </c>
      <c r="G27" s="5" t="s">
        <v>68</v>
      </c>
      <c r="H27" s="5" t="s">
        <v>68</v>
      </c>
      <c r="I27" s="6" t="s">
        <v>40</v>
      </c>
      <c r="J27" s="5" t="s">
        <v>17203</v>
      </c>
      <c r="K27" s="5"/>
      <c r="L27" s="6" t="s">
        <v>42</v>
      </c>
      <c r="M27" s="5" t="s">
        <v>8746</v>
      </c>
      <c r="N27" s="5" t="s">
        <v>64</v>
      </c>
      <c r="O27" s="5" t="s">
        <v>18498</v>
      </c>
      <c r="P27" s="6">
        <v>11973.0</v>
      </c>
    </row>
    <row r="28" ht="56.25" customHeight="1">
      <c r="A28" s="5" t="s">
        <v>18500</v>
      </c>
      <c r="B28" s="6" t="str">
        <f>IMAGE("https://storage.googleapis.com/acdb/bags/BagShoulderFakefur0.png")</f>
        <v/>
      </c>
      <c r="C28" s="5" t="s">
        <v>69</v>
      </c>
      <c r="D28" s="5" t="s">
        <v>36</v>
      </c>
      <c r="E28" s="8">
        <v>1400.0</v>
      </c>
      <c r="F28" s="8">
        <v>350.0</v>
      </c>
      <c r="G28" s="5" t="s">
        <v>69</v>
      </c>
      <c r="H28" s="5" t="s">
        <v>114</v>
      </c>
      <c r="I28" s="6" t="s">
        <v>40</v>
      </c>
      <c r="J28" s="5" t="s">
        <v>17203</v>
      </c>
      <c r="K28" s="5"/>
      <c r="L28" s="6" t="s">
        <v>42</v>
      </c>
      <c r="M28" s="5" t="s">
        <v>1959</v>
      </c>
      <c r="N28" s="5" t="s">
        <v>64</v>
      </c>
      <c r="O28" s="5" t="s">
        <v>18502</v>
      </c>
      <c r="P28" s="6">
        <v>7480.0</v>
      </c>
    </row>
    <row r="29" ht="56.25" customHeight="1">
      <c r="A29" s="5" t="s">
        <v>18500</v>
      </c>
      <c r="B29" s="6" t="str">
        <f>IMAGE("https://storage.googleapis.com/acdb/bags/BagShoulderFakefur1.png")</f>
        <v/>
      </c>
      <c r="C29" s="5" t="s">
        <v>106</v>
      </c>
      <c r="D29" s="5" t="s">
        <v>36</v>
      </c>
      <c r="E29" s="8">
        <v>1400.0</v>
      </c>
      <c r="F29" s="8">
        <v>350.0</v>
      </c>
      <c r="G29" s="5" t="s">
        <v>106</v>
      </c>
      <c r="H29" s="5" t="s">
        <v>114</v>
      </c>
      <c r="I29" s="6" t="s">
        <v>40</v>
      </c>
      <c r="J29" s="5" t="s">
        <v>17203</v>
      </c>
      <c r="K29" s="5"/>
      <c r="L29" s="6" t="s">
        <v>42</v>
      </c>
      <c r="M29" s="5" t="s">
        <v>1959</v>
      </c>
      <c r="N29" s="5" t="s">
        <v>64</v>
      </c>
      <c r="O29" s="5" t="s">
        <v>18505</v>
      </c>
      <c r="P29" s="6">
        <v>12003.0</v>
      </c>
    </row>
    <row r="30" ht="56.25" customHeight="1">
      <c r="A30" s="5" t="s">
        <v>18507</v>
      </c>
      <c r="B30" s="6" t="str">
        <f>IMAGE("https://storage.googleapis.com/acdb/bags/BagShoulderFish0.png")</f>
        <v/>
      </c>
      <c r="C30" s="5" t="s">
        <v>68</v>
      </c>
      <c r="D30" s="5" t="s">
        <v>36</v>
      </c>
      <c r="E30" s="8" t="s">
        <v>37</v>
      </c>
      <c r="F30" s="8">
        <v>210.0</v>
      </c>
      <c r="G30" s="5" t="s">
        <v>83</v>
      </c>
      <c r="H30" s="5" t="s">
        <v>68</v>
      </c>
      <c r="I30" s="6" t="s">
        <v>40</v>
      </c>
      <c r="J30" s="5" t="s">
        <v>137</v>
      </c>
      <c r="K30" s="5"/>
      <c r="L30" s="6" t="s">
        <v>42</v>
      </c>
      <c r="M30" s="5" t="s">
        <v>1959</v>
      </c>
      <c r="N30" s="5" t="s">
        <v>48</v>
      </c>
      <c r="O30" s="5" t="s">
        <v>18509</v>
      </c>
      <c r="P30" s="6">
        <v>7477.0</v>
      </c>
    </row>
    <row r="31" ht="56.25" customHeight="1">
      <c r="A31" s="5" t="s">
        <v>18510</v>
      </c>
      <c r="B31" s="6" t="str">
        <f>IMAGE("https://storage.googleapis.com/acdb/bags/BagBackpackLid1.png")</f>
        <v/>
      </c>
      <c r="C31" s="5" t="s">
        <v>68</v>
      </c>
      <c r="D31" s="5" t="s">
        <v>36</v>
      </c>
      <c r="E31" s="8">
        <v>1300.0</v>
      </c>
      <c r="F31" s="8">
        <v>325.0</v>
      </c>
      <c r="G31" s="5" t="s">
        <v>68</v>
      </c>
      <c r="H31" s="5" t="s">
        <v>83</v>
      </c>
      <c r="I31" s="6" t="s">
        <v>40</v>
      </c>
      <c r="J31" s="5" t="s">
        <v>17203</v>
      </c>
      <c r="K31" s="5"/>
      <c r="L31" s="6" t="s">
        <v>42</v>
      </c>
      <c r="M31" s="5" t="s">
        <v>8746</v>
      </c>
      <c r="N31" s="5" t="s">
        <v>64</v>
      </c>
      <c r="O31" s="5" t="s">
        <v>18513</v>
      </c>
      <c r="P31" s="6">
        <v>12016.0</v>
      </c>
    </row>
    <row r="32" ht="56.25" customHeight="1">
      <c r="A32" s="5" t="s">
        <v>18510</v>
      </c>
      <c r="B32" s="6" t="str">
        <f>IMAGE("https://storage.googleapis.com/acdb/bags/BagBackpackLid2.png")</f>
        <v/>
      </c>
      <c r="C32" s="5" t="s">
        <v>95</v>
      </c>
      <c r="D32" s="5" t="s">
        <v>36</v>
      </c>
      <c r="E32" s="8">
        <v>1300.0</v>
      </c>
      <c r="F32" s="8">
        <v>325.0</v>
      </c>
      <c r="G32" s="5" t="s">
        <v>95</v>
      </c>
      <c r="H32" s="5" t="s">
        <v>57</v>
      </c>
      <c r="I32" s="6" t="s">
        <v>40</v>
      </c>
      <c r="J32" s="5" t="s">
        <v>17203</v>
      </c>
      <c r="K32" s="5"/>
      <c r="L32" s="6" t="s">
        <v>42</v>
      </c>
      <c r="M32" s="5" t="s">
        <v>8746</v>
      </c>
      <c r="N32" s="5" t="s">
        <v>64</v>
      </c>
      <c r="O32" s="5" t="s">
        <v>18514</v>
      </c>
      <c r="P32" s="6">
        <v>12017.0</v>
      </c>
    </row>
    <row r="33" ht="56.25" customHeight="1">
      <c r="A33" s="5" t="s">
        <v>18510</v>
      </c>
      <c r="B33" s="6" t="str">
        <f>IMAGE("https://storage.googleapis.com/acdb/bags/BagBackpackLid3.png")</f>
        <v/>
      </c>
      <c r="C33" s="5" t="s">
        <v>69</v>
      </c>
      <c r="D33" s="5" t="s">
        <v>36</v>
      </c>
      <c r="E33" s="8">
        <v>1300.0</v>
      </c>
      <c r="F33" s="8">
        <v>325.0</v>
      </c>
      <c r="G33" s="5" t="s">
        <v>69</v>
      </c>
      <c r="H33" s="5" t="s">
        <v>106</v>
      </c>
      <c r="I33" s="6" t="s">
        <v>40</v>
      </c>
      <c r="J33" s="5" t="s">
        <v>17203</v>
      </c>
      <c r="K33" s="5"/>
      <c r="L33" s="6" t="s">
        <v>42</v>
      </c>
      <c r="M33" s="5" t="s">
        <v>8746</v>
      </c>
      <c r="N33" s="5" t="s">
        <v>64</v>
      </c>
      <c r="O33" s="5" t="s">
        <v>18517</v>
      </c>
      <c r="P33" s="6">
        <v>12018.0</v>
      </c>
    </row>
    <row r="34" ht="56.25" customHeight="1">
      <c r="A34" s="5" t="s">
        <v>18510</v>
      </c>
      <c r="B34" s="6" t="str">
        <f>IMAGE("https://storage.googleapis.com/acdb/bags/BagBackpackLid0.png")</f>
        <v/>
      </c>
      <c r="C34" s="5" t="s">
        <v>96</v>
      </c>
      <c r="D34" s="5" t="s">
        <v>36</v>
      </c>
      <c r="E34" s="8">
        <v>1300.0</v>
      </c>
      <c r="F34" s="8">
        <v>325.0</v>
      </c>
      <c r="G34" s="5" t="s">
        <v>96</v>
      </c>
      <c r="H34" s="5" t="s">
        <v>38</v>
      </c>
      <c r="I34" s="6" t="s">
        <v>40</v>
      </c>
      <c r="J34" s="5" t="s">
        <v>17203</v>
      </c>
      <c r="K34" s="5"/>
      <c r="L34" s="6" t="s">
        <v>42</v>
      </c>
      <c r="M34" s="5" t="s">
        <v>8746</v>
      </c>
      <c r="N34" s="5" t="s">
        <v>64</v>
      </c>
      <c r="O34" s="5" t="s">
        <v>18518</v>
      </c>
      <c r="P34" s="6">
        <v>7507.0</v>
      </c>
    </row>
    <row r="35" ht="56.25" customHeight="1">
      <c r="A35" s="5" t="s">
        <v>18519</v>
      </c>
      <c r="B35" s="6" t="str">
        <f>IMAGE("https://storage.googleapis.com/acdb/bags/BagShoulderPattern0.png")</f>
        <v/>
      </c>
      <c r="C35" s="5" t="s">
        <v>1167</v>
      </c>
      <c r="D35" s="5" t="s">
        <v>36</v>
      </c>
      <c r="E35" s="8">
        <v>2000.0</v>
      </c>
      <c r="F35" s="8">
        <v>500.0</v>
      </c>
      <c r="G35" s="5" t="s">
        <v>69</v>
      </c>
      <c r="H35" s="5" t="s">
        <v>96</v>
      </c>
      <c r="I35" s="6" t="s">
        <v>40</v>
      </c>
      <c r="J35" s="5" t="s">
        <v>17203</v>
      </c>
      <c r="K35" s="5"/>
      <c r="L35" s="6" t="s">
        <v>42</v>
      </c>
      <c r="M35" s="5" t="s">
        <v>995</v>
      </c>
      <c r="N35" s="5" t="s">
        <v>64</v>
      </c>
      <c r="O35" s="5" t="s">
        <v>18522</v>
      </c>
      <c r="P35" s="6">
        <v>7486.0</v>
      </c>
    </row>
    <row r="36" ht="56.25" customHeight="1">
      <c r="A36" s="5" t="s">
        <v>18519</v>
      </c>
      <c r="B36" s="6" t="str">
        <f>IMAGE("https://storage.googleapis.com/acdb/bags/BagShoulderPattern1.png")</f>
        <v/>
      </c>
      <c r="C36" s="5" t="s">
        <v>1952</v>
      </c>
      <c r="D36" s="5" t="s">
        <v>36</v>
      </c>
      <c r="E36" s="8">
        <v>2000.0</v>
      </c>
      <c r="F36" s="8">
        <v>500.0</v>
      </c>
      <c r="G36" s="5" t="s">
        <v>106</v>
      </c>
      <c r="H36" s="5" t="s">
        <v>83</v>
      </c>
      <c r="I36" s="6" t="s">
        <v>40</v>
      </c>
      <c r="J36" s="5" t="s">
        <v>17203</v>
      </c>
      <c r="K36" s="5"/>
      <c r="L36" s="6" t="s">
        <v>42</v>
      </c>
      <c r="M36" s="5" t="s">
        <v>995</v>
      </c>
      <c r="N36" s="5" t="s">
        <v>64</v>
      </c>
      <c r="O36" s="5" t="s">
        <v>18525</v>
      </c>
      <c r="P36" s="6">
        <v>12012.0</v>
      </c>
    </row>
    <row r="37" ht="56.25" customHeight="1">
      <c r="A37" s="5" t="s">
        <v>18526</v>
      </c>
      <c r="B37" s="6" t="str">
        <f>IMAGE("https://storage.googleapis.com/acdb/bags/BagShoulderRace0.png")</f>
        <v/>
      </c>
      <c r="C37" s="5" t="s">
        <v>96</v>
      </c>
      <c r="D37" s="5" t="s">
        <v>36</v>
      </c>
      <c r="E37" s="8">
        <v>1250.0</v>
      </c>
      <c r="F37" s="8">
        <v>312.0</v>
      </c>
      <c r="G37" s="5" t="s">
        <v>96</v>
      </c>
      <c r="H37" s="5" t="s">
        <v>96</v>
      </c>
      <c r="I37" s="6" t="s">
        <v>40</v>
      </c>
      <c r="J37" s="5" t="s">
        <v>17203</v>
      </c>
      <c r="K37" s="5"/>
      <c r="L37" s="6" t="s">
        <v>42</v>
      </c>
      <c r="M37" s="5" t="s">
        <v>1059</v>
      </c>
      <c r="N37" s="5" t="s">
        <v>64</v>
      </c>
      <c r="O37" s="5" t="s">
        <v>18528</v>
      </c>
      <c r="P37" s="6">
        <v>7482.0</v>
      </c>
    </row>
    <row r="38" ht="56.25" customHeight="1">
      <c r="A38" s="5" t="s">
        <v>18526</v>
      </c>
      <c r="B38" s="6" t="str">
        <f>IMAGE("https://storage.googleapis.com/acdb/bags/BagShoulderRace1.png")</f>
        <v/>
      </c>
      <c r="C38" s="5" t="s">
        <v>106</v>
      </c>
      <c r="D38" s="5" t="s">
        <v>36</v>
      </c>
      <c r="E38" s="8">
        <v>1250.0</v>
      </c>
      <c r="F38" s="8">
        <v>312.0</v>
      </c>
      <c r="G38" s="5" t="s">
        <v>106</v>
      </c>
      <c r="H38" s="5" t="s">
        <v>106</v>
      </c>
      <c r="I38" s="6" t="s">
        <v>40</v>
      </c>
      <c r="J38" s="5" t="s">
        <v>17203</v>
      </c>
      <c r="K38" s="5"/>
      <c r="L38" s="6" t="s">
        <v>42</v>
      </c>
      <c r="M38" s="5" t="s">
        <v>1059</v>
      </c>
      <c r="N38" s="5" t="s">
        <v>64</v>
      </c>
      <c r="O38" s="5" t="s">
        <v>18531</v>
      </c>
      <c r="P38" s="6">
        <v>12004.0</v>
      </c>
    </row>
    <row r="39" ht="56.25" customHeight="1">
      <c r="A39" s="5" t="s">
        <v>18533</v>
      </c>
      <c r="B39" s="6" t="str">
        <f>IMAGE("https://storage.googleapis.com/acdb/bags/BagBackpackHardshell2.png")</f>
        <v/>
      </c>
      <c r="C39" s="5" t="s">
        <v>146</v>
      </c>
      <c r="D39" s="5" t="s">
        <v>36</v>
      </c>
      <c r="E39" s="8">
        <v>1680.0</v>
      </c>
      <c r="F39" s="8">
        <v>420.0</v>
      </c>
      <c r="G39" s="5" t="s">
        <v>95</v>
      </c>
      <c r="H39" s="5" t="s">
        <v>54</v>
      </c>
      <c r="I39" s="6" t="s">
        <v>40</v>
      </c>
      <c r="J39" s="5" t="s">
        <v>17203</v>
      </c>
      <c r="K39" s="5"/>
      <c r="L39" s="6" t="s">
        <v>42</v>
      </c>
      <c r="M39" s="5" t="s">
        <v>1952</v>
      </c>
      <c r="N39" s="5" t="s">
        <v>64</v>
      </c>
      <c r="O39" s="5" t="s">
        <v>18534</v>
      </c>
      <c r="P39" s="6">
        <v>11946.0</v>
      </c>
    </row>
    <row r="40" ht="56.25" customHeight="1">
      <c r="A40" s="5" t="s">
        <v>18533</v>
      </c>
      <c r="B40" s="6" t="str">
        <f>IMAGE("https://storage.googleapis.com/acdb/bags/BagBackpackHardshell1.png")</f>
        <v/>
      </c>
      <c r="C40" s="5" t="s">
        <v>52</v>
      </c>
      <c r="D40" s="5" t="s">
        <v>36</v>
      </c>
      <c r="E40" s="8">
        <v>1680.0</v>
      </c>
      <c r="F40" s="8">
        <v>420.0</v>
      </c>
      <c r="G40" s="5" t="s">
        <v>52</v>
      </c>
      <c r="H40" s="5" t="s">
        <v>54</v>
      </c>
      <c r="I40" s="6" t="s">
        <v>40</v>
      </c>
      <c r="J40" s="5" t="s">
        <v>17203</v>
      </c>
      <c r="K40" s="5"/>
      <c r="L40" s="6" t="s">
        <v>42</v>
      </c>
      <c r="M40" s="5" t="s">
        <v>1952</v>
      </c>
      <c r="N40" s="5" t="s">
        <v>64</v>
      </c>
      <c r="O40" s="5" t="s">
        <v>18537</v>
      </c>
      <c r="P40" s="6">
        <v>10184.0</v>
      </c>
    </row>
    <row r="41" ht="56.25" customHeight="1">
      <c r="A41" s="5" t="s">
        <v>18533</v>
      </c>
      <c r="B41" s="6" t="str">
        <f>IMAGE("https://storage.googleapis.com/acdb/bags/BagBackpackHardshell0.png")</f>
        <v/>
      </c>
      <c r="C41" s="5" t="s">
        <v>68</v>
      </c>
      <c r="D41" s="5" t="s">
        <v>36</v>
      </c>
      <c r="E41" s="8">
        <v>1680.0</v>
      </c>
      <c r="F41" s="8">
        <v>420.0</v>
      </c>
      <c r="G41" s="5" t="s">
        <v>68</v>
      </c>
      <c r="H41" s="5" t="s">
        <v>54</v>
      </c>
      <c r="I41" s="6" t="s">
        <v>40</v>
      </c>
      <c r="J41" s="5" t="s">
        <v>17203</v>
      </c>
      <c r="K41" s="5"/>
      <c r="L41" s="6" t="s">
        <v>42</v>
      </c>
      <c r="M41" s="5" t="s">
        <v>1952</v>
      </c>
      <c r="N41" s="5" t="s">
        <v>64</v>
      </c>
      <c r="O41" s="5" t="s">
        <v>18538</v>
      </c>
      <c r="P41" s="6">
        <v>7512.0</v>
      </c>
    </row>
    <row r="42" ht="56.25" customHeight="1">
      <c r="A42" s="5" t="s">
        <v>18539</v>
      </c>
      <c r="B42" s="6" t="str">
        <f>IMAGE("https://storage.googleapis.com/acdb/bags/BagBackpackKnapsack1.png")</f>
        <v/>
      </c>
      <c r="C42" s="5" t="s">
        <v>54</v>
      </c>
      <c r="D42" s="5" t="s">
        <v>36</v>
      </c>
      <c r="E42" s="8">
        <v>630.0</v>
      </c>
      <c r="F42" s="8">
        <v>157.0</v>
      </c>
      <c r="G42" s="5" t="s">
        <v>54</v>
      </c>
      <c r="H42" s="5" t="s">
        <v>54</v>
      </c>
      <c r="I42" s="6" t="s">
        <v>40</v>
      </c>
      <c r="J42" s="5" t="s">
        <v>17203</v>
      </c>
      <c r="K42" s="5"/>
      <c r="L42" s="6" t="s">
        <v>42</v>
      </c>
      <c r="M42" s="5" t="s">
        <v>8746</v>
      </c>
      <c r="N42" s="5" t="s">
        <v>64</v>
      </c>
      <c r="O42" s="5" t="s">
        <v>18542</v>
      </c>
      <c r="P42" s="6">
        <v>12019.0</v>
      </c>
    </row>
    <row r="43" ht="56.25" customHeight="1">
      <c r="A43" s="5" t="s">
        <v>18539</v>
      </c>
      <c r="B43" s="6" t="str">
        <f>IMAGE("https://storage.googleapis.com/acdb/bags/BagBackpackKnapsack0.png")</f>
        <v/>
      </c>
      <c r="C43" s="5" t="s">
        <v>68</v>
      </c>
      <c r="D43" s="5" t="s">
        <v>36</v>
      </c>
      <c r="E43" s="8">
        <v>630.0</v>
      </c>
      <c r="F43" s="8">
        <v>157.0</v>
      </c>
      <c r="G43" s="5" t="s">
        <v>68</v>
      </c>
      <c r="H43" s="5" t="s">
        <v>54</v>
      </c>
      <c r="I43" s="6" t="s">
        <v>40</v>
      </c>
      <c r="J43" s="5" t="s">
        <v>17203</v>
      </c>
      <c r="K43" s="5"/>
      <c r="L43" s="6" t="s">
        <v>42</v>
      </c>
      <c r="M43" s="5" t="s">
        <v>8746</v>
      </c>
      <c r="N43" s="5" t="s">
        <v>64</v>
      </c>
      <c r="O43" s="5" t="s">
        <v>18543</v>
      </c>
      <c r="P43" s="6">
        <v>7508.0</v>
      </c>
    </row>
    <row r="44" ht="56.25" customHeight="1">
      <c r="A44" s="5" t="s">
        <v>18545</v>
      </c>
      <c r="B44" s="6" t="str">
        <f>IMAGE("https://storage.googleapis.com/acdb/bags/BagBackpackGrass0.png")</f>
        <v/>
      </c>
      <c r="C44" s="5" t="s">
        <v>96</v>
      </c>
      <c r="D44" s="5" t="s">
        <v>35</v>
      </c>
      <c r="E44" s="8" t="s">
        <v>37</v>
      </c>
      <c r="F44" s="8">
        <v>400.0</v>
      </c>
      <c r="G44" s="5" t="s">
        <v>96</v>
      </c>
      <c r="H44" s="5" t="s">
        <v>39</v>
      </c>
      <c r="I44" s="6" t="s">
        <v>40</v>
      </c>
      <c r="J44" s="5" t="s">
        <v>41</v>
      </c>
      <c r="K44" s="5"/>
      <c r="L44" s="6" t="s">
        <v>42</v>
      </c>
      <c r="M44" s="5" t="s">
        <v>1059</v>
      </c>
      <c r="N44" s="5" t="s">
        <v>48</v>
      </c>
      <c r="O44" s="5" t="s">
        <v>18548</v>
      </c>
      <c r="P44" s="6">
        <v>7511.0</v>
      </c>
    </row>
    <row r="45" ht="56.25" customHeight="1">
      <c r="A45" s="5" t="s">
        <v>18549</v>
      </c>
      <c r="B45" s="6" t="str">
        <f>IMAGE("https://storage.googleapis.com/acdb/bags/BagBackpackWood0.png")</f>
        <v/>
      </c>
      <c r="C45" s="5" t="s">
        <v>39</v>
      </c>
      <c r="D45" s="5" t="s">
        <v>35</v>
      </c>
      <c r="E45" s="8" t="s">
        <v>37</v>
      </c>
      <c r="F45" s="8">
        <v>960.0</v>
      </c>
      <c r="G45" s="5" t="s">
        <v>39</v>
      </c>
      <c r="H45" s="5" t="s">
        <v>38</v>
      </c>
      <c r="I45" s="6" t="s">
        <v>40</v>
      </c>
      <c r="J45" s="5" t="s">
        <v>41</v>
      </c>
      <c r="K45" s="5"/>
      <c r="L45" s="6" t="s">
        <v>42</v>
      </c>
      <c r="M45" s="5" t="s">
        <v>995</v>
      </c>
      <c r="N45" s="5" t="s">
        <v>48</v>
      </c>
      <c r="O45" s="5" t="s">
        <v>18551</v>
      </c>
      <c r="P45" s="6">
        <v>7498.0</v>
      </c>
    </row>
    <row r="46" ht="56.25" customHeight="1">
      <c r="A46" s="5" t="s">
        <v>18553</v>
      </c>
      <c r="B46" s="6" t="str">
        <f>IMAGE("https://storage.googleapis.com/acdb/bags/BagShoulderMaple0.png")</f>
        <v/>
      </c>
      <c r="C46" s="5" t="s">
        <v>52</v>
      </c>
      <c r="D46" s="5" t="s">
        <v>35</v>
      </c>
      <c r="E46" s="8" t="s">
        <v>37</v>
      </c>
      <c r="F46" s="8">
        <v>2400.0</v>
      </c>
      <c r="G46" s="5" t="s">
        <v>142</v>
      </c>
      <c r="H46" s="5" t="s">
        <v>142</v>
      </c>
      <c r="I46" s="6" t="s">
        <v>40</v>
      </c>
      <c r="J46" s="5" t="s">
        <v>41</v>
      </c>
      <c r="K46" s="5" t="s">
        <v>2840</v>
      </c>
      <c r="L46" s="6" t="s">
        <v>42</v>
      </c>
      <c r="M46" s="5" t="s">
        <v>995</v>
      </c>
      <c r="N46" s="5" t="s">
        <v>48</v>
      </c>
      <c r="O46" s="5" t="s">
        <v>18555</v>
      </c>
      <c r="P46" s="6">
        <v>7491.0</v>
      </c>
    </row>
    <row r="47" ht="56.25" customHeight="1">
      <c r="A47" s="5" t="s">
        <v>18557</v>
      </c>
      <c r="B47" s="6" t="str">
        <f>IMAGE("https://storage.googleapis.com/acdb/bags/BagShoulderMessenger0.png")</f>
        <v/>
      </c>
      <c r="C47" s="5" t="s">
        <v>96</v>
      </c>
      <c r="D47" s="5" t="s">
        <v>36</v>
      </c>
      <c r="E47" s="8">
        <v>840.0</v>
      </c>
      <c r="F47" s="8">
        <v>210.0</v>
      </c>
      <c r="G47" s="5" t="s">
        <v>96</v>
      </c>
      <c r="H47" s="5" t="s">
        <v>54</v>
      </c>
      <c r="I47" s="6" t="s">
        <v>40</v>
      </c>
      <c r="J47" s="5" t="s">
        <v>17203</v>
      </c>
      <c r="K47" s="5"/>
      <c r="L47" s="6" t="s">
        <v>42</v>
      </c>
      <c r="M47" s="5" t="s">
        <v>995</v>
      </c>
      <c r="N47" s="5" t="s">
        <v>64</v>
      </c>
      <c r="O47" s="5" t="s">
        <v>18560</v>
      </c>
      <c r="P47" s="6">
        <v>7470.0</v>
      </c>
    </row>
    <row r="48" ht="56.25" customHeight="1">
      <c r="A48" s="5" t="s">
        <v>18557</v>
      </c>
      <c r="B48" s="6" t="str">
        <f>IMAGE("https://storage.googleapis.com/acdb/bags/BagShoulderMessenger1.png")</f>
        <v/>
      </c>
      <c r="C48" s="5" t="s">
        <v>142</v>
      </c>
      <c r="D48" s="5" t="s">
        <v>36</v>
      </c>
      <c r="E48" s="8">
        <v>840.0</v>
      </c>
      <c r="F48" s="8">
        <v>210.0</v>
      </c>
      <c r="G48" s="5" t="s">
        <v>142</v>
      </c>
      <c r="H48" s="5" t="s">
        <v>54</v>
      </c>
      <c r="I48" s="6" t="s">
        <v>40</v>
      </c>
      <c r="J48" s="5" t="s">
        <v>17203</v>
      </c>
      <c r="K48" s="5"/>
      <c r="L48" s="6" t="s">
        <v>42</v>
      </c>
      <c r="M48" s="5" t="s">
        <v>995</v>
      </c>
      <c r="N48" s="5" t="s">
        <v>64</v>
      </c>
      <c r="O48" s="5" t="s">
        <v>18562</v>
      </c>
      <c r="P48" s="6">
        <v>11978.0</v>
      </c>
    </row>
    <row r="49" ht="56.25" customHeight="1">
      <c r="A49" s="5" t="s">
        <v>18557</v>
      </c>
      <c r="B49" s="6" t="str">
        <f>IMAGE("https://storage.googleapis.com/acdb/bags/BagShoulderMessenger2.png")</f>
        <v/>
      </c>
      <c r="C49" s="5" t="s">
        <v>54</v>
      </c>
      <c r="D49" s="5" t="s">
        <v>36</v>
      </c>
      <c r="E49" s="8">
        <v>840.0</v>
      </c>
      <c r="F49" s="8">
        <v>210.0</v>
      </c>
      <c r="G49" s="5" t="s">
        <v>54</v>
      </c>
      <c r="H49" s="5" t="s">
        <v>54</v>
      </c>
      <c r="I49" s="6" t="s">
        <v>40</v>
      </c>
      <c r="J49" s="5" t="s">
        <v>17203</v>
      </c>
      <c r="K49" s="5"/>
      <c r="L49" s="6" t="s">
        <v>42</v>
      </c>
      <c r="M49" s="5" t="s">
        <v>995</v>
      </c>
      <c r="N49" s="5" t="s">
        <v>64</v>
      </c>
      <c r="O49" s="5" t="s">
        <v>18563</v>
      </c>
      <c r="P49" s="6">
        <v>11979.0</v>
      </c>
    </row>
    <row r="50" ht="56.25" customHeight="1">
      <c r="A50" s="5" t="s">
        <v>18565</v>
      </c>
      <c r="B50" s="6" t="str">
        <f>IMAGE("https://storage.googleapis.com/acdb/bags/BagBackpackSmall1.png")</f>
        <v/>
      </c>
      <c r="C50" s="5" t="s">
        <v>54</v>
      </c>
      <c r="D50" s="5" t="s">
        <v>36</v>
      </c>
      <c r="E50" s="8">
        <v>1600.0</v>
      </c>
      <c r="F50" s="8">
        <v>400.0</v>
      </c>
      <c r="G50" s="5" t="s">
        <v>54</v>
      </c>
      <c r="H50" s="5" t="s">
        <v>54</v>
      </c>
      <c r="I50" s="6" t="s">
        <v>40</v>
      </c>
      <c r="J50" s="5" t="s">
        <v>17203</v>
      </c>
      <c r="K50" s="5"/>
      <c r="L50" s="6" t="s">
        <v>42</v>
      </c>
      <c r="M50" s="5" t="s">
        <v>1059</v>
      </c>
      <c r="N50" s="5" t="s">
        <v>64</v>
      </c>
      <c r="O50" s="5" t="s">
        <v>18568</v>
      </c>
      <c r="P50" s="6">
        <v>12015.0</v>
      </c>
    </row>
    <row r="51" ht="56.25" customHeight="1">
      <c r="A51" s="5" t="s">
        <v>18565</v>
      </c>
      <c r="B51" s="6" t="str">
        <f>IMAGE("https://storage.googleapis.com/acdb/bags/BagBackpackSmall0.png")</f>
        <v/>
      </c>
      <c r="C51" s="5" t="s">
        <v>57</v>
      </c>
      <c r="D51" s="5" t="s">
        <v>36</v>
      </c>
      <c r="E51" s="8">
        <v>1600.0</v>
      </c>
      <c r="F51" s="8">
        <v>400.0</v>
      </c>
      <c r="G51" s="5" t="s">
        <v>57</v>
      </c>
      <c r="H51" s="5" t="s">
        <v>57</v>
      </c>
      <c r="I51" s="6" t="s">
        <v>40</v>
      </c>
      <c r="J51" s="5" t="s">
        <v>17203</v>
      </c>
      <c r="K51" s="5"/>
      <c r="L51" s="6" t="s">
        <v>42</v>
      </c>
      <c r="M51" s="5" t="s">
        <v>1059</v>
      </c>
      <c r="N51" s="5" t="s">
        <v>64</v>
      </c>
      <c r="O51" s="5" t="s">
        <v>18569</v>
      </c>
      <c r="P51" s="6">
        <v>7504.0</v>
      </c>
    </row>
    <row r="52" ht="56.25" customHeight="1">
      <c r="A52" s="5" t="s">
        <v>18571</v>
      </c>
      <c r="B52" s="6" t="str">
        <f>IMAGE("https://storage.googleapis.com/acdb/bags/BagBackpackQuilt2.png")</f>
        <v/>
      </c>
      <c r="C52" s="5" t="s">
        <v>1044</v>
      </c>
      <c r="D52" s="5" t="s">
        <v>36</v>
      </c>
      <c r="E52" s="8" t="s">
        <v>37</v>
      </c>
      <c r="F52" s="8">
        <v>175.0</v>
      </c>
      <c r="G52" s="5" t="s">
        <v>69</v>
      </c>
      <c r="H52" s="5" t="s">
        <v>38</v>
      </c>
      <c r="I52" s="6" t="s">
        <v>40</v>
      </c>
      <c r="J52" s="5" t="s">
        <v>1684</v>
      </c>
      <c r="K52" s="5"/>
      <c r="L52" s="6" t="s">
        <v>42</v>
      </c>
      <c r="M52" s="5" t="s">
        <v>1959</v>
      </c>
      <c r="N52" s="5" t="s">
        <v>48</v>
      </c>
      <c r="O52" s="5" t="s">
        <v>18573</v>
      </c>
      <c r="P52" s="6">
        <v>12149.0</v>
      </c>
    </row>
    <row r="53" ht="56.25" customHeight="1">
      <c r="A53" s="5" t="s">
        <v>18571</v>
      </c>
      <c r="B53" s="6" t="str">
        <f>IMAGE("https://storage.googleapis.com/acdb/bags/BagBackpackQuilt3.png")</f>
        <v/>
      </c>
      <c r="C53" s="5" t="s">
        <v>18574</v>
      </c>
      <c r="D53" s="5" t="s">
        <v>36</v>
      </c>
      <c r="E53" s="8" t="s">
        <v>37</v>
      </c>
      <c r="F53" s="8">
        <v>175.0</v>
      </c>
      <c r="G53" s="5" t="s">
        <v>58</v>
      </c>
      <c r="H53" s="5" t="s">
        <v>38</v>
      </c>
      <c r="I53" s="6" t="s">
        <v>40</v>
      </c>
      <c r="J53" s="5" t="s">
        <v>1684</v>
      </c>
      <c r="K53" s="5"/>
      <c r="L53" s="6" t="s">
        <v>42</v>
      </c>
      <c r="M53" s="5" t="s">
        <v>1959</v>
      </c>
      <c r="N53" s="5" t="s">
        <v>48</v>
      </c>
      <c r="O53" s="5" t="s">
        <v>18577</v>
      </c>
      <c r="P53" s="6">
        <v>12150.0</v>
      </c>
    </row>
    <row r="54" ht="56.25" customHeight="1">
      <c r="A54" s="5" t="s">
        <v>18571</v>
      </c>
      <c r="B54" s="6" t="str">
        <f>IMAGE("https://storage.googleapis.com/acdb/bags/BagBackpackQuilt4.png")</f>
        <v/>
      </c>
      <c r="C54" s="5" t="s">
        <v>839</v>
      </c>
      <c r="D54" s="5" t="s">
        <v>36</v>
      </c>
      <c r="E54" s="8" t="s">
        <v>37</v>
      </c>
      <c r="F54" s="8">
        <v>175.0</v>
      </c>
      <c r="G54" s="5" t="s">
        <v>83</v>
      </c>
      <c r="H54" s="5" t="s">
        <v>38</v>
      </c>
      <c r="I54" s="6" t="s">
        <v>40</v>
      </c>
      <c r="J54" s="5" t="s">
        <v>1684</v>
      </c>
      <c r="K54" s="5"/>
      <c r="L54" s="6" t="s">
        <v>42</v>
      </c>
      <c r="M54" s="5" t="s">
        <v>1959</v>
      </c>
      <c r="N54" s="5" t="s">
        <v>48</v>
      </c>
      <c r="O54" s="5" t="s">
        <v>18578</v>
      </c>
      <c r="P54" s="6">
        <v>12151.0</v>
      </c>
    </row>
    <row r="55" ht="56.25" customHeight="1">
      <c r="A55" s="5" t="s">
        <v>18571</v>
      </c>
      <c r="B55" s="6" t="str">
        <f>IMAGE("https://storage.googleapis.com/acdb/bags/BagBackpackQuilt0.png")</f>
        <v/>
      </c>
      <c r="C55" s="5" t="s">
        <v>10272</v>
      </c>
      <c r="D55" s="5" t="s">
        <v>36</v>
      </c>
      <c r="E55" s="8" t="s">
        <v>37</v>
      </c>
      <c r="F55" s="8">
        <v>175.0</v>
      </c>
      <c r="G55" s="5" t="s">
        <v>114</v>
      </c>
      <c r="H55" s="5" t="s">
        <v>38</v>
      </c>
      <c r="I55" s="6" t="s">
        <v>40</v>
      </c>
      <c r="J55" s="5" t="s">
        <v>1684</v>
      </c>
      <c r="K55" s="5"/>
      <c r="L55" s="6" t="s">
        <v>42</v>
      </c>
      <c r="M55" s="5" t="s">
        <v>1959</v>
      </c>
      <c r="N55" s="5" t="s">
        <v>48</v>
      </c>
      <c r="O55" s="5" t="s">
        <v>18580</v>
      </c>
      <c r="P55" s="6">
        <v>7510.0</v>
      </c>
    </row>
    <row r="56" ht="56.25" customHeight="1">
      <c r="A56" s="5" t="s">
        <v>18571</v>
      </c>
      <c r="B56" s="6" t="str">
        <f>IMAGE("https://storage.googleapis.com/acdb/bags/BagBackpackQuilt5.png")</f>
        <v/>
      </c>
      <c r="C56" s="5" t="s">
        <v>3568</v>
      </c>
      <c r="D56" s="5" t="s">
        <v>36</v>
      </c>
      <c r="E56" s="8" t="s">
        <v>37</v>
      </c>
      <c r="F56" s="8">
        <v>175.0</v>
      </c>
      <c r="G56" s="5" t="s">
        <v>68</v>
      </c>
      <c r="H56" s="5" t="s">
        <v>38</v>
      </c>
      <c r="I56" s="6" t="s">
        <v>40</v>
      </c>
      <c r="J56" s="5" t="s">
        <v>1684</v>
      </c>
      <c r="K56" s="5"/>
      <c r="L56" s="6" t="s">
        <v>42</v>
      </c>
      <c r="M56" s="5" t="s">
        <v>1959</v>
      </c>
      <c r="N56" s="5" t="s">
        <v>48</v>
      </c>
      <c r="O56" s="5" t="s">
        <v>18582</v>
      </c>
      <c r="P56" s="6">
        <v>12152.0</v>
      </c>
    </row>
    <row r="57" ht="56.25" customHeight="1">
      <c r="A57" s="5" t="s">
        <v>18571</v>
      </c>
      <c r="B57" s="6" t="str">
        <f>IMAGE("https://storage.googleapis.com/acdb/bags/BagBackpackQuilt6.png")</f>
        <v/>
      </c>
      <c r="C57" s="5" t="s">
        <v>10287</v>
      </c>
      <c r="D57" s="5" t="s">
        <v>36</v>
      </c>
      <c r="E57" s="8" t="s">
        <v>37</v>
      </c>
      <c r="F57" s="8">
        <v>175.0</v>
      </c>
      <c r="G57" s="5" t="s">
        <v>57</v>
      </c>
      <c r="H57" s="5" t="s">
        <v>38</v>
      </c>
      <c r="I57" s="6" t="s">
        <v>40</v>
      </c>
      <c r="J57" s="5" t="s">
        <v>1684</v>
      </c>
      <c r="K57" s="5"/>
      <c r="L57" s="6" t="s">
        <v>42</v>
      </c>
      <c r="M57" s="5" t="s">
        <v>1959</v>
      </c>
      <c r="N57" s="5" t="s">
        <v>48</v>
      </c>
      <c r="O57" s="5" t="s">
        <v>18585</v>
      </c>
      <c r="P57" s="6">
        <v>12153.0</v>
      </c>
    </row>
    <row r="58" ht="56.25" customHeight="1">
      <c r="A58" s="5" t="s">
        <v>18571</v>
      </c>
      <c r="B58" s="6" t="str">
        <f>IMAGE("https://storage.googleapis.com/acdb/bags/BagBackpackQuilt1.png")</f>
        <v/>
      </c>
      <c r="C58" s="5" t="s">
        <v>1726</v>
      </c>
      <c r="D58" s="5" t="s">
        <v>36</v>
      </c>
      <c r="E58" s="8" t="s">
        <v>37</v>
      </c>
      <c r="F58" s="8">
        <v>175.0</v>
      </c>
      <c r="G58" s="5" t="s">
        <v>95</v>
      </c>
      <c r="H58" s="5" t="s">
        <v>38</v>
      </c>
      <c r="I58" s="6" t="s">
        <v>40</v>
      </c>
      <c r="J58" s="5" t="s">
        <v>1684</v>
      </c>
      <c r="K58" s="5"/>
      <c r="L58" s="6" t="s">
        <v>42</v>
      </c>
      <c r="M58" s="5" t="s">
        <v>1959</v>
      </c>
      <c r="N58" s="5" t="s">
        <v>48</v>
      </c>
      <c r="O58" s="5" t="s">
        <v>18588</v>
      </c>
      <c r="P58" s="6">
        <v>12148.0</v>
      </c>
    </row>
    <row r="59" ht="56.25" customHeight="1">
      <c r="A59" s="5" t="s">
        <v>18571</v>
      </c>
      <c r="B59" s="6" t="str">
        <f>IMAGE("https://storage.googleapis.com/acdb/bags/BagBackpackQuilt7.png")</f>
        <v/>
      </c>
      <c r="C59" s="5" t="s">
        <v>10007</v>
      </c>
      <c r="D59" s="5" t="s">
        <v>36</v>
      </c>
      <c r="E59" s="8" t="s">
        <v>37</v>
      </c>
      <c r="F59" s="8">
        <v>175.0</v>
      </c>
      <c r="G59" s="5" t="s">
        <v>142</v>
      </c>
      <c r="H59" s="5" t="s">
        <v>38</v>
      </c>
      <c r="I59" s="6" t="s">
        <v>40</v>
      </c>
      <c r="J59" s="5" t="s">
        <v>1684</v>
      </c>
      <c r="K59" s="5"/>
      <c r="L59" s="6" t="s">
        <v>42</v>
      </c>
      <c r="M59" s="5" t="s">
        <v>1959</v>
      </c>
      <c r="N59" s="5" t="s">
        <v>48</v>
      </c>
      <c r="O59" s="5" t="s">
        <v>18591</v>
      </c>
      <c r="P59" s="6">
        <v>12154.0</v>
      </c>
    </row>
    <row r="60" ht="56.25" customHeight="1">
      <c r="A60" s="5" t="s">
        <v>18592</v>
      </c>
      <c r="B60" s="6" t="str">
        <f>IMAGE("https://storage.googleapis.com/acdb/bags/BagBackpackNook0.png")</f>
        <v/>
      </c>
      <c r="C60" s="5" t="s">
        <v>39</v>
      </c>
      <c r="D60" s="5" t="s">
        <v>36</v>
      </c>
      <c r="E60" s="8" t="s">
        <v>37</v>
      </c>
      <c r="F60" s="8">
        <v>4000.0</v>
      </c>
      <c r="G60" s="5" t="s">
        <v>39</v>
      </c>
      <c r="H60" s="5" t="s">
        <v>114</v>
      </c>
      <c r="I60" s="6" t="s">
        <v>40</v>
      </c>
      <c r="J60" s="5" t="s">
        <v>2140</v>
      </c>
      <c r="K60" s="5"/>
      <c r="L60" s="6" t="s">
        <v>42</v>
      </c>
      <c r="M60" s="5" t="s">
        <v>612</v>
      </c>
      <c r="N60" s="5" t="s">
        <v>48</v>
      </c>
      <c r="O60" s="5" t="s">
        <v>18593</v>
      </c>
      <c r="P60" s="6">
        <v>9761.0</v>
      </c>
    </row>
    <row r="61" ht="56.25" customHeight="1">
      <c r="A61" s="5" t="s">
        <v>18594</v>
      </c>
      <c r="B61" s="6" t="str">
        <f>IMAGE("https://storage.googleapis.com/acdb/bags/BagBackpackOutdoor2.png")</f>
        <v/>
      </c>
      <c r="C61" s="5" t="s">
        <v>1187</v>
      </c>
      <c r="D61" s="5" t="s">
        <v>36</v>
      </c>
      <c r="E61" s="8">
        <v>1560.0</v>
      </c>
      <c r="F61" s="8">
        <v>390.0</v>
      </c>
      <c r="G61" s="5" t="s">
        <v>68</v>
      </c>
      <c r="H61" s="5" t="s">
        <v>54</v>
      </c>
      <c r="I61" s="6" t="s">
        <v>40</v>
      </c>
      <c r="J61" s="5" t="s">
        <v>17203</v>
      </c>
      <c r="K61" s="5"/>
      <c r="L61" s="6" t="s">
        <v>42</v>
      </c>
      <c r="M61" s="5" t="s">
        <v>8746</v>
      </c>
      <c r="N61" s="5" t="s">
        <v>64</v>
      </c>
      <c r="O61" s="5" t="s">
        <v>18597</v>
      </c>
      <c r="P61" s="6">
        <v>11970.0</v>
      </c>
    </row>
    <row r="62" ht="56.25" customHeight="1">
      <c r="A62" s="5" t="s">
        <v>18594</v>
      </c>
      <c r="B62" s="6" t="str">
        <f>IMAGE("https://storage.googleapis.com/acdb/bags/BagBackpackOutdoor1.png")</f>
        <v/>
      </c>
      <c r="C62" s="5" t="s">
        <v>142</v>
      </c>
      <c r="D62" s="5" t="s">
        <v>36</v>
      </c>
      <c r="E62" s="8">
        <v>1560.0</v>
      </c>
      <c r="F62" s="8">
        <v>390.0</v>
      </c>
      <c r="G62" s="5" t="s">
        <v>142</v>
      </c>
      <c r="H62" s="5" t="s">
        <v>54</v>
      </c>
      <c r="I62" s="6" t="s">
        <v>40</v>
      </c>
      <c r="J62" s="5" t="s">
        <v>17203</v>
      </c>
      <c r="K62" s="5"/>
      <c r="L62" s="6" t="s">
        <v>42</v>
      </c>
      <c r="M62" s="5" t="s">
        <v>8746</v>
      </c>
      <c r="N62" s="5" t="s">
        <v>64</v>
      </c>
      <c r="O62" s="5" t="s">
        <v>18600</v>
      </c>
      <c r="P62" s="6">
        <v>11969.0</v>
      </c>
    </row>
    <row r="63" ht="56.25" customHeight="1">
      <c r="A63" s="5" t="s">
        <v>18594</v>
      </c>
      <c r="B63" s="6" t="str">
        <f>IMAGE("https://storage.googleapis.com/acdb/bags/BagBackpackOutdoor0.png")</f>
        <v/>
      </c>
      <c r="C63" s="5" t="s">
        <v>2222</v>
      </c>
      <c r="D63" s="5" t="s">
        <v>36</v>
      </c>
      <c r="E63" s="8">
        <v>1560.0</v>
      </c>
      <c r="F63" s="8">
        <v>390.0</v>
      </c>
      <c r="G63" s="5" t="s">
        <v>96</v>
      </c>
      <c r="H63" s="5" t="s">
        <v>54</v>
      </c>
      <c r="I63" s="6" t="s">
        <v>40</v>
      </c>
      <c r="J63" s="5" t="s">
        <v>17203</v>
      </c>
      <c r="K63" s="5"/>
      <c r="L63" s="6" t="s">
        <v>42</v>
      </c>
      <c r="M63" s="5" t="s">
        <v>8746</v>
      </c>
      <c r="N63" s="5" t="s">
        <v>64</v>
      </c>
      <c r="O63" s="5" t="s">
        <v>18604</v>
      </c>
      <c r="P63" s="6">
        <v>7501.0</v>
      </c>
    </row>
    <row r="64" ht="56.25" customHeight="1">
      <c r="A64" s="5" t="s">
        <v>18606</v>
      </c>
      <c r="B64" s="6" t="str">
        <f>IMAGE("https://storage.googleapis.com/acdb/bags/BagBackpackBodybag0.png")</f>
        <v/>
      </c>
      <c r="C64" s="5" t="s">
        <v>1187</v>
      </c>
      <c r="D64" s="5" t="s">
        <v>36</v>
      </c>
      <c r="E64" s="8">
        <v>1120.0</v>
      </c>
      <c r="F64" s="8">
        <v>280.0</v>
      </c>
      <c r="G64" s="5" t="s">
        <v>68</v>
      </c>
      <c r="H64" s="5" t="s">
        <v>39</v>
      </c>
      <c r="I64" s="6" t="s">
        <v>40</v>
      </c>
      <c r="J64" s="5" t="s">
        <v>17203</v>
      </c>
      <c r="K64" s="5"/>
      <c r="L64" s="6" t="s">
        <v>42</v>
      </c>
      <c r="M64" s="5" t="s">
        <v>1952</v>
      </c>
      <c r="N64" s="5" t="s">
        <v>64</v>
      </c>
      <c r="O64" s="5" t="s">
        <v>18609</v>
      </c>
      <c r="P64" s="6">
        <v>7484.0</v>
      </c>
    </row>
    <row r="65" ht="56.25" customHeight="1">
      <c r="A65" s="5" t="s">
        <v>18606</v>
      </c>
      <c r="B65" s="6" t="str">
        <f>IMAGE("https://storage.googleapis.com/acdb/bags/BagBackpackBodybag1.png")</f>
        <v/>
      </c>
      <c r="C65" s="5" t="s">
        <v>54</v>
      </c>
      <c r="D65" s="5" t="s">
        <v>36</v>
      </c>
      <c r="E65" s="8">
        <v>1120.0</v>
      </c>
      <c r="F65" s="8">
        <v>280.0</v>
      </c>
      <c r="G65" s="5" t="s">
        <v>54</v>
      </c>
      <c r="H65" s="5" t="s">
        <v>57</v>
      </c>
      <c r="I65" s="6" t="s">
        <v>40</v>
      </c>
      <c r="J65" s="5" t="s">
        <v>17203</v>
      </c>
      <c r="K65" s="5"/>
      <c r="L65" s="6" t="s">
        <v>42</v>
      </c>
      <c r="M65" s="5" t="s">
        <v>1952</v>
      </c>
      <c r="N65" s="5" t="s">
        <v>64</v>
      </c>
      <c r="O65" s="5" t="s">
        <v>18613</v>
      </c>
      <c r="P65" s="6">
        <v>12005.0</v>
      </c>
    </row>
    <row r="66" ht="56.25" customHeight="1">
      <c r="A66" s="5" t="s">
        <v>18614</v>
      </c>
      <c r="B66" s="6" t="str">
        <f>IMAGE("https://storage.googleapis.com/acdb/bags/BagShoulderFringe0.png")</f>
        <v/>
      </c>
      <c r="C66" s="5" t="s">
        <v>2408</v>
      </c>
      <c r="D66" s="5" t="s">
        <v>36</v>
      </c>
      <c r="E66" s="8">
        <v>2400.0</v>
      </c>
      <c r="F66" s="8">
        <v>600.0</v>
      </c>
      <c r="G66" s="5" t="s">
        <v>39</v>
      </c>
      <c r="H66" s="5" t="s">
        <v>39</v>
      </c>
      <c r="I66" s="6" t="s">
        <v>40</v>
      </c>
      <c r="J66" s="5" t="s">
        <v>17203</v>
      </c>
      <c r="K66" s="5"/>
      <c r="L66" s="6" t="s">
        <v>42</v>
      </c>
      <c r="M66" s="5" t="s">
        <v>1059</v>
      </c>
      <c r="N66" s="5" t="s">
        <v>64</v>
      </c>
      <c r="O66" s="5" t="s">
        <v>18617</v>
      </c>
      <c r="P66" s="6">
        <v>7481.0</v>
      </c>
    </row>
    <row r="67" ht="56.25" customHeight="1">
      <c r="A67" s="5" t="s">
        <v>18614</v>
      </c>
      <c r="B67" s="6" t="str">
        <f>IMAGE("https://storage.googleapis.com/acdb/bags/BagShoulderFringe1.png")</f>
        <v/>
      </c>
      <c r="C67" s="5" t="s">
        <v>57</v>
      </c>
      <c r="D67" s="5" t="s">
        <v>36</v>
      </c>
      <c r="E67" s="8">
        <v>2400.0</v>
      </c>
      <c r="F67" s="8">
        <v>600.0</v>
      </c>
      <c r="G67" s="5" t="s">
        <v>57</v>
      </c>
      <c r="H67" s="5" t="s">
        <v>57</v>
      </c>
      <c r="I67" s="6" t="s">
        <v>40</v>
      </c>
      <c r="J67" s="5" t="s">
        <v>17203</v>
      </c>
      <c r="K67" s="5"/>
      <c r="L67" s="6" t="s">
        <v>42</v>
      </c>
      <c r="M67" s="5" t="s">
        <v>1059</v>
      </c>
      <c r="N67" s="5" t="s">
        <v>64</v>
      </c>
      <c r="O67" s="5" t="s">
        <v>18619</v>
      </c>
      <c r="P67" s="6">
        <v>12010.0</v>
      </c>
    </row>
    <row r="68" ht="56.25" customHeight="1">
      <c r="A68" s="5" t="s">
        <v>18620</v>
      </c>
      <c r="B68" s="6" t="str">
        <f>IMAGE("https://storage.googleapis.com/acdb/bags/BagShoulderLeather0.png")</f>
        <v/>
      </c>
      <c r="C68" s="5" t="s">
        <v>39</v>
      </c>
      <c r="D68" s="5" t="s">
        <v>36</v>
      </c>
      <c r="E68" s="8">
        <v>2400.0</v>
      </c>
      <c r="F68" s="8">
        <v>600.0</v>
      </c>
      <c r="G68" s="5" t="s">
        <v>39</v>
      </c>
      <c r="H68" s="5" t="s">
        <v>39</v>
      </c>
      <c r="I68" s="6" t="s">
        <v>40</v>
      </c>
      <c r="J68" s="5" t="s">
        <v>17203</v>
      </c>
      <c r="K68" s="5"/>
      <c r="L68" s="6" t="s">
        <v>42</v>
      </c>
      <c r="M68" s="5" t="s">
        <v>1059</v>
      </c>
      <c r="N68" s="5" t="s">
        <v>64</v>
      </c>
      <c r="O68" s="5" t="s">
        <v>18622</v>
      </c>
      <c r="P68" s="6">
        <v>7476.0</v>
      </c>
    </row>
    <row r="69" ht="56.25" customHeight="1">
      <c r="A69" s="5" t="s">
        <v>18620</v>
      </c>
      <c r="B69" s="6" t="str">
        <f>IMAGE("https://storage.googleapis.com/acdb/bags/BagShoulderLeather1.png")</f>
        <v/>
      </c>
      <c r="C69" s="5" t="s">
        <v>1187</v>
      </c>
      <c r="D69" s="5" t="s">
        <v>36</v>
      </c>
      <c r="E69" s="8">
        <v>2400.0</v>
      </c>
      <c r="F69" s="8">
        <v>600.0</v>
      </c>
      <c r="G69" s="5" t="s">
        <v>68</v>
      </c>
      <c r="H69" s="5" t="s">
        <v>68</v>
      </c>
      <c r="I69" s="6" t="s">
        <v>40</v>
      </c>
      <c r="J69" s="5" t="s">
        <v>17203</v>
      </c>
      <c r="K69" s="5"/>
      <c r="L69" s="6" t="s">
        <v>42</v>
      </c>
      <c r="M69" s="5" t="s">
        <v>1059</v>
      </c>
      <c r="N69" s="5" t="s">
        <v>64</v>
      </c>
      <c r="O69" s="5" t="s">
        <v>18625</v>
      </c>
      <c r="P69" s="6">
        <v>12009.0</v>
      </c>
    </row>
    <row r="70" ht="56.25" customHeight="1">
      <c r="A70" s="5" t="s">
        <v>18626</v>
      </c>
      <c r="B70" s="6" t="str">
        <f>IMAGE("https://storage.googleapis.com/acdb/bags/BagShoulderSports1.png")</f>
        <v/>
      </c>
      <c r="C70" s="5" t="s">
        <v>52</v>
      </c>
      <c r="D70" s="5" t="s">
        <v>36</v>
      </c>
      <c r="E70" s="8">
        <v>1400.0</v>
      </c>
      <c r="F70" s="8">
        <v>350.0</v>
      </c>
      <c r="G70" s="5" t="s">
        <v>57</v>
      </c>
      <c r="H70" s="5" t="s">
        <v>52</v>
      </c>
      <c r="I70" s="6" t="s">
        <v>40</v>
      </c>
      <c r="J70" s="5" t="s">
        <v>17203</v>
      </c>
      <c r="K70" s="5"/>
      <c r="L70" s="6" t="s">
        <v>42</v>
      </c>
      <c r="M70" s="5" t="s">
        <v>8746</v>
      </c>
      <c r="N70" s="5" t="s">
        <v>64</v>
      </c>
      <c r="O70" s="5" t="s">
        <v>18628</v>
      </c>
      <c r="P70" s="6">
        <v>12007.0</v>
      </c>
    </row>
    <row r="71" ht="56.25" customHeight="1">
      <c r="A71" s="5" t="s">
        <v>18626</v>
      </c>
      <c r="B71" s="6" t="str">
        <f>IMAGE("https://storage.googleapis.com/acdb/bags/BagShoulderSports2.png")</f>
        <v/>
      </c>
      <c r="C71" s="5" t="s">
        <v>54</v>
      </c>
      <c r="D71" s="5" t="s">
        <v>36</v>
      </c>
      <c r="E71" s="8">
        <v>1400.0</v>
      </c>
      <c r="F71" s="8">
        <v>350.0</v>
      </c>
      <c r="G71" s="5" t="s">
        <v>54</v>
      </c>
      <c r="H71" s="5" t="s">
        <v>114</v>
      </c>
      <c r="I71" s="6" t="s">
        <v>40</v>
      </c>
      <c r="J71" s="5" t="s">
        <v>17203</v>
      </c>
      <c r="K71" s="5"/>
      <c r="L71" s="6" t="s">
        <v>42</v>
      </c>
      <c r="M71" s="5" t="s">
        <v>8746</v>
      </c>
      <c r="N71" s="5" t="s">
        <v>64</v>
      </c>
      <c r="O71" s="5" t="s">
        <v>18631</v>
      </c>
      <c r="P71" s="6">
        <v>12008.0</v>
      </c>
    </row>
    <row r="72" ht="56.25" customHeight="1">
      <c r="A72" s="5" t="s">
        <v>18626</v>
      </c>
      <c r="B72" s="6" t="str">
        <f>IMAGE("https://storage.googleapis.com/acdb/bags/BagShoulderSports0.png")</f>
        <v/>
      </c>
      <c r="C72" s="5" t="s">
        <v>68</v>
      </c>
      <c r="D72" s="5" t="s">
        <v>36</v>
      </c>
      <c r="E72" s="8">
        <v>1400.0</v>
      </c>
      <c r="F72" s="8">
        <v>350.0</v>
      </c>
      <c r="G72" s="5" t="s">
        <v>57</v>
      </c>
      <c r="H72" s="5" t="s">
        <v>68</v>
      </c>
      <c r="I72" s="6" t="s">
        <v>40</v>
      </c>
      <c r="J72" s="5" t="s">
        <v>17203</v>
      </c>
      <c r="K72" s="5"/>
      <c r="L72" s="6" t="s">
        <v>42</v>
      </c>
      <c r="M72" s="5" t="s">
        <v>8746</v>
      </c>
      <c r="N72" s="5" t="s">
        <v>64</v>
      </c>
      <c r="O72" s="5" t="s">
        <v>18635</v>
      </c>
      <c r="P72" s="6">
        <v>7302.0</v>
      </c>
    </row>
    <row r="73" ht="56.25" customHeight="1">
      <c r="A73" s="5" t="s">
        <v>18636</v>
      </c>
      <c r="B73" s="6" t="str">
        <f>IMAGE("https://storage.googleapis.com/acdb/bags/BagShoulderSacosh0.png")</f>
        <v/>
      </c>
      <c r="C73" s="5" t="s">
        <v>68</v>
      </c>
      <c r="D73" s="5" t="s">
        <v>36</v>
      </c>
      <c r="E73" s="8">
        <v>980.0</v>
      </c>
      <c r="F73" s="8">
        <v>245.0</v>
      </c>
      <c r="G73" s="5" t="s">
        <v>68</v>
      </c>
      <c r="H73" s="5" t="s">
        <v>96</v>
      </c>
      <c r="I73" s="6" t="s">
        <v>40</v>
      </c>
      <c r="J73" s="5" t="s">
        <v>17203</v>
      </c>
      <c r="K73" s="5"/>
      <c r="L73" s="6" t="s">
        <v>42</v>
      </c>
      <c r="M73" s="5" t="s">
        <v>8746</v>
      </c>
      <c r="N73" s="5" t="s">
        <v>64</v>
      </c>
      <c r="O73" s="5" t="s">
        <v>18637</v>
      </c>
      <c r="P73" s="6">
        <v>7304.0</v>
      </c>
    </row>
    <row r="74" ht="56.25" customHeight="1">
      <c r="A74" s="5" t="s">
        <v>18636</v>
      </c>
      <c r="B74" s="6" t="str">
        <f>IMAGE("https://storage.googleapis.com/acdb/bags/BagShoulderSacosh1.png")</f>
        <v/>
      </c>
      <c r="C74" s="5" t="s">
        <v>52</v>
      </c>
      <c r="D74" s="5" t="s">
        <v>36</v>
      </c>
      <c r="E74" s="8">
        <v>980.0</v>
      </c>
      <c r="F74" s="8">
        <v>245.0</v>
      </c>
      <c r="G74" s="5" t="s">
        <v>52</v>
      </c>
      <c r="H74" s="5" t="s">
        <v>114</v>
      </c>
      <c r="I74" s="6" t="s">
        <v>40</v>
      </c>
      <c r="J74" s="5" t="s">
        <v>17203</v>
      </c>
      <c r="K74" s="5"/>
      <c r="L74" s="6" t="s">
        <v>42</v>
      </c>
      <c r="M74" s="5" t="s">
        <v>8746</v>
      </c>
      <c r="N74" s="5" t="s">
        <v>64</v>
      </c>
      <c r="O74" s="5" t="s">
        <v>18640</v>
      </c>
      <c r="P74" s="6">
        <v>11974.0</v>
      </c>
    </row>
    <row r="75" ht="56.25" customHeight="1">
      <c r="A75" s="5" t="s">
        <v>18636</v>
      </c>
      <c r="B75" s="6" t="str">
        <f>IMAGE("https://storage.googleapis.com/acdb/bags/BagShoulderSacosh2.png")</f>
        <v/>
      </c>
      <c r="C75" s="5" t="s">
        <v>54</v>
      </c>
      <c r="D75" s="5" t="s">
        <v>36</v>
      </c>
      <c r="E75" s="8">
        <v>980.0</v>
      </c>
      <c r="F75" s="8">
        <v>245.0</v>
      </c>
      <c r="G75" s="5" t="s">
        <v>54</v>
      </c>
      <c r="H75" s="5" t="s">
        <v>57</v>
      </c>
      <c r="I75" s="6" t="s">
        <v>40</v>
      </c>
      <c r="J75" s="5" t="s">
        <v>17203</v>
      </c>
      <c r="K75" s="5"/>
      <c r="L75" s="6" t="s">
        <v>42</v>
      </c>
      <c r="M75" s="5" t="s">
        <v>8746</v>
      </c>
      <c r="N75" s="5" t="s">
        <v>64</v>
      </c>
      <c r="O75" s="5" t="s">
        <v>18643</v>
      </c>
      <c r="P75" s="6">
        <v>11975.0</v>
      </c>
    </row>
    <row r="76" ht="56.25" customHeight="1">
      <c r="A76" s="5" t="s">
        <v>18645</v>
      </c>
      <c r="B76" s="6" t="str">
        <f>IMAGE("https://storage.googleapis.com/acdb/bags/BagShoulderShell0.png")</f>
        <v/>
      </c>
      <c r="C76" s="5" t="s">
        <v>57</v>
      </c>
      <c r="D76" s="5" t="s">
        <v>35</v>
      </c>
      <c r="E76" s="8" t="s">
        <v>37</v>
      </c>
      <c r="F76" s="8">
        <v>10800.0</v>
      </c>
      <c r="G76" s="5" t="s">
        <v>57</v>
      </c>
      <c r="H76" s="5" t="s">
        <v>57</v>
      </c>
      <c r="I76" s="6" t="s">
        <v>40</v>
      </c>
      <c r="J76" s="5" t="s">
        <v>41</v>
      </c>
      <c r="K76" s="5" t="s">
        <v>3865</v>
      </c>
      <c r="L76" s="6" t="s">
        <v>42</v>
      </c>
      <c r="M76" s="5" t="s">
        <v>1959</v>
      </c>
      <c r="N76" s="5" t="s">
        <v>48</v>
      </c>
      <c r="O76" s="5" t="s">
        <v>18648</v>
      </c>
      <c r="P76" s="6">
        <v>7494.0</v>
      </c>
    </row>
    <row r="77" ht="56.25" customHeight="1">
      <c r="A77" s="5" t="s">
        <v>18649</v>
      </c>
      <c r="B77" s="6" t="str">
        <f>IMAGE("https://storage.googleapis.com/acdb/bags/BagShoulderSnow0.png")</f>
        <v/>
      </c>
      <c r="C77" s="5" t="s">
        <v>57</v>
      </c>
      <c r="D77" s="5" t="s">
        <v>35</v>
      </c>
      <c r="E77" s="8" t="s">
        <v>37</v>
      </c>
      <c r="F77" s="8">
        <v>2400.0</v>
      </c>
      <c r="G77" s="5" t="s">
        <v>83</v>
      </c>
      <c r="H77" s="5" t="s">
        <v>57</v>
      </c>
      <c r="I77" s="6" t="s">
        <v>40</v>
      </c>
      <c r="J77" s="5" t="s">
        <v>41</v>
      </c>
      <c r="K77" s="5" t="s">
        <v>2176</v>
      </c>
      <c r="L77" s="6" t="s">
        <v>42</v>
      </c>
      <c r="M77" s="5" t="s">
        <v>1059</v>
      </c>
      <c r="N77" s="5" t="s">
        <v>48</v>
      </c>
      <c r="O77" s="5" t="s">
        <v>18653</v>
      </c>
      <c r="P77" s="6">
        <v>7493.0</v>
      </c>
    </row>
    <row r="78" ht="56.25" customHeight="1">
      <c r="A78" s="5" t="s">
        <v>18654</v>
      </c>
      <c r="B78" s="6" t="str">
        <f>IMAGE("https://storage.googleapis.com/acdb/bags/BagBackpackSquare1.png")</f>
        <v/>
      </c>
      <c r="C78" s="5" t="s">
        <v>69</v>
      </c>
      <c r="D78" s="5" t="s">
        <v>36</v>
      </c>
      <c r="E78" s="8">
        <v>1300.0</v>
      </c>
      <c r="F78" s="8">
        <v>325.0</v>
      </c>
      <c r="G78" s="5" t="s">
        <v>69</v>
      </c>
      <c r="H78" s="5" t="s">
        <v>54</v>
      </c>
      <c r="I78" s="6" t="s">
        <v>40</v>
      </c>
      <c r="J78" s="5" t="s">
        <v>17203</v>
      </c>
      <c r="K78" s="5"/>
      <c r="L78" s="6" t="s">
        <v>42</v>
      </c>
      <c r="M78" s="5" t="s">
        <v>8746</v>
      </c>
      <c r="N78" s="5" t="s">
        <v>64</v>
      </c>
      <c r="O78" s="5" t="s">
        <v>18656</v>
      </c>
      <c r="P78" s="6">
        <v>11967.0</v>
      </c>
    </row>
    <row r="79" ht="56.25" customHeight="1">
      <c r="A79" s="5" t="s">
        <v>18654</v>
      </c>
      <c r="B79" s="6" t="str">
        <f>IMAGE("https://storage.googleapis.com/acdb/bags/BagBackpackSquare2.png")</f>
        <v/>
      </c>
      <c r="C79" s="5" t="s">
        <v>96</v>
      </c>
      <c r="D79" s="5" t="s">
        <v>36</v>
      </c>
      <c r="E79" s="8">
        <v>1300.0</v>
      </c>
      <c r="F79" s="8">
        <v>325.0</v>
      </c>
      <c r="G79" s="5" t="s">
        <v>96</v>
      </c>
      <c r="H79" s="5" t="s">
        <v>54</v>
      </c>
      <c r="I79" s="6" t="s">
        <v>40</v>
      </c>
      <c r="J79" s="5" t="s">
        <v>17203</v>
      </c>
      <c r="K79" s="5"/>
      <c r="L79" s="6" t="s">
        <v>42</v>
      </c>
      <c r="M79" s="5" t="s">
        <v>8746</v>
      </c>
      <c r="N79" s="5" t="s">
        <v>64</v>
      </c>
      <c r="O79" s="5" t="s">
        <v>18659</v>
      </c>
      <c r="P79" s="6">
        <v>11968.0</v>
      </c>
    </row>
    <row r="80" ht="56.25" customHeight="1">
      <c r="A80" s="5" t="s">
        <v>18654</v>
      </c>
      <c r="B80" s="6" t="str">
        <f>IMAGE("https://storage.googleapis.com/acdb/bags/BagBackpackSquare0.png")</f>
        <v/>
      </c>
      <c r="C80" s="5" t="s">
        <v>114</v>
      </c>
      <c r="D80" s="5" t="s">
        <v>36</v>
      </c>
      <c r="E80" s="8">
        <v>1300.0</v>
      </c>
      <c r="F80" s="8">
        <v>325.0</v>
      </c>
      <c r="G80" s="5" t="s">
        <v>114</v>
      </c>
      <c r="H80" s="5" t="s">
        <v>54</v>
      </c>
      <c r="I80" s="6" t="s">
        <v>40</v>
      </c>
      <c r="J80" s="5" t="s">
        <v>17203</v>
      </c>
      <c r="K80" s="5"/>
      <c r="L80" s="6" t="s">
        <v>42</v>
      </c>
      <c r="M80" s="5" t="s">
        <v>8746</v>
      </c>
      <c r="N80" s="5" t="s">
        <v>64</v>
      </c>
      <c r="O80" s="5" t="s">
        <v>18661</v>
      </c>
      <c r="P80" s="6">
        <v>7500.0</v>
      </c>
    </row>
    <row r="81" ht="56.25" customHeight="1">
      <c r="A81" s="5" t="s">
        <v>18663</v>
      </c>
      <c r="B81" s="6" t="str">
        <f>IMAGE("https://storage.googleapis.com/acdb/bags/BagShoulderStar0.png")</f>
        <v/>
      </c>
      <c r="C81" s="5" t="s">
        <v>114</v>
      </c>
      <c r="D81" s="5" t="s">
        <v>35</v>
      </c>
      <c r="E81" s="8" t="s">
        <v>37</v>
      </c>
      <c r="F81" s="8">
        <v>3000.0</v>
      </c>
      <c r="G81" s="5" t="s">
        <v>114</v>
      </c>
      <c r="H81" s="5" t="s">
        <v>114</v>
      </c>
      <c r="I81" s="6" t="s">
        <v>40</v>
      </c>
      <c r="J81" s="5" t="s">
        <v>41</v>
      </c>
      <c r="K81" s="5"/>
      <c r="L81" s="6" t="s">
        <v>42</v>
      </c>
      <c r="M81" s="5" t="s">
        <v>1959</v>
      </c>
      <c r="N81" s="5" t="s">
        <v>48</v>
      </c>
      <c r="O81" s="5" t="s">
        <v>18667</v>
      </c>
      <c r="P81" s="6">
        <v>7489.0</v>
      </c>
    </row>
    <row r="82" ht="56.25" customHeight="1">
      <c r="A82" s="5" t="s">
        <v>18668</v>
      </c>
      <c r="B82" s="6" t="str">
        <f>IMAGE("https://storage.googleapis.com/acdb/bags/BagShoulderRattan0.png")</f>
        <v/>
      </c>
      <c r="C82" s="5" t="s">
        <v>39</v>
      </c>
      <c r="D82" s="5" t="s">
        <v>36</v>
      </c>
      <c r="E82" s="8">
        <v>980.0</v>
      </c>
      <c r="F82" s="8">
        <v>245.0</v>
      </c>
      <c r="G82" s="5" t="s">
        <v>39</v>
      </c>
      <c r="H82" s="5" t="s">
        <v>39</v>
      </c>
      <c r="I82" s="6" t="s">
        <v>40</v>
      </c>
      <c r="J82" s="5" t="s">
        <v>17203</v>
      </c>
      <c r="K82" s="5"/>
      <c r="L82" s="6" t="s">
        <v>42</v>
      </c>
      <c r="M82" s="5" t="s">
        <v>995</v>
      </c>
      <c r="N82" s="5" t="s">
        <v>64</v>
      </c>
      <c r="O82" s="5" t="s">
        <v>18671</v>
      </c>
      <c r="P82" s="6">
        <v>7488.0</v>
      </c>
    </row>
    <row r="83" ht="56.25" customHeight="1">
      <c r="A83" s="5" t="s">
        <v>18672</v>
      </c>
      <c r="B83" s="6" t="str">
        <f>IMAGE("https://storage.googleapis.com/acdb/bags/BagBackpackStuds0.png")</f>
        <v/>
      </c>
      <c r="C83" s="5" t="s">
        <v>54</v>
      </c>
      <c r="D83" s="5" t="s">
        <v>36</v>
      </c>
      <c r="E83" s="8">
        <v>1560.0</v>
      </c>
      <c r="F83" s="8">
        <v>390.0</v>
      </c>
      <c r="G83" s="5" t="s">
        <v>54</v>
      </c>
      <c r="H83" s="5" t="s">
        <v>114</v>
      </c>
      <c r="I83" s="6" t="s">
        <v>40</v>
      </c>
      <c r="J83" s="5" t="s">
        <v>17203</v>
      </c>
      <c r="K83" s="5"/>
      <c r="L83" s="6" t="s">
        <v>42</v>
      </c>
      <c r="M83" s="5" t="s">
        <v>1952</v>
      </c>
      <c r="N83" s="5" t="s">
        <v>64</v>
      </c>
      <c r="O83" s="5" t="s">
        <v>18675</v>
      </c>
      <c r="P83" s="6">
        <v>7503.0</v>
      </c>
    </row>
    <row r="84" ht="56.25" customHeight="1">
      <c r="A84" s="5" t="s">
        <v>18672</v>
      </c>
      <c r="B84" s="6" t="str">
        <f>IMAGE("https://storage.googleapis.com/acdb/bags/BagBackpackStuds1.png")</f>
        <v/>
      </c>
      <c r="C84" s="5" t="s">
        <v>57</v>
      </c>
      <c r="D84" s="5" t="s">
        <v>36</v>
      </c>
      <c r="E84" s="8">
        <v>1560.0</v>
      </c>
      <c r="F84" s="8">
        <v>390.0</v>
      </c>
      <c r="G84" s="5" t="s">
        <v>57</v>
      </c>
      <c r="H84" s="5" t="s">
        <v>95</v>
      </c>
      <c r="I84" s="6" t="s">
        <v>40</v>
      </c>
      <c r="J84" s="5" t="s">
        <v>17203</v>
      </c>
      <c r="K84" s="5"/>
      <c r="L84" s="6" t="s">
        <v>42</v>
      </c>
      <c r="M84" s="5" t="s">
        <v>1952</v>
      </c>
      <c r="N84" s="5" t="s">
        <v>64</v>
      </c>
      <c r="O84" s="5" t="s">
        <v>18680</v>
      </c>
      <c r="P84" s="6">
        <v>12006.0</v>
      </c>
    </row>
    <row r="85" ht="56.25" customHeight="1">
      <c r="A85" s="5" t="s">
        <v>18681</v>
      </c>
      <c r="B85" s="6" t="str">
        <f>IMAGE("https://storage.googleapis.com/acdb/bags/BagShoulderFishing0.png")</f>
        <v/>
      </c>
      <c r="C85" s="5" t="s">
        <v>68</v>
      </c>
      <c r="D85" s="5" t="s">
        <v>36</v>
      </c>
      <c r="E85" s="8" t="s">
        <v>37</v>
      </c>
      <c r="F85" s="8">
        <v>175.0</v>
      </c>
      <c r="G85" s="5" t="s">
        <v>68</v>
      </c>
      <c r="H85" s="5" t="s">
        <v>142</v>
      </c>
      <c r="I85" s="6" t="s">
        <v>40</v>
      </c>
      <c r="J85" s="5" t="s">
        <v>137</v>
      </c>
      <c r="K85" s="5"/>
      <c r="L85" s="6" t="s">
        <v>42</v>
      </c>
      <c r="M85" s="5" t="s">
        <v>8746</v>
      </c>
      <c r="N85" s="5" t="s">
        <v>48</v>
      </c>
      <c r="O85" s="5" t="s">
        <v>18684</v>
      </c>
      <c r="P85" s="6">
        <v>7478.0</v>
      </c>
    </row>
    <row r="86" ht="56.25" customHeight="1">
      <c r="A86" s="5" t="s">
        <v>18685</v>
      </c>
      <c r="B86" s="6" t="str">
        <f>IMAGE("https://storage.googleapis.com/acdb/bags/BagShoulderTool0.png")</f>
        <v/>
      </c>
      <c r="C86" s="5" t="s">
        <v>54</v>
      </c>
      <c r="D86" s="5" t="s">
        <v>36</v>
      </c>
      <c r="E86" s="8">
        <v>910.0</v>
      </c>
      <c r="F86" s="8">
        <v>227.0</v>
      </c>
      <c r="G86" s="5" t="s">
        <v>54</v>
      </c>
      <c r="H86" s="5" t="s">
        <v>114</v>
      </c>
      <c r="I86" s="6" t="s">
        <v>40</v>
      </c>
      <c r="J86" s="5" t="s">
        <v>17203</v>
      </c>
      <c r="K86" s="5"/>
      <c r="L86" s="6" t="s">
        <v>42</v>
      </c>
      <c r="M86" s="5" t="s">
        <v>8746</v>
      </c>
      <c r="N86" s="5" t="s">
        <v>64</v>
      </c>
      <c r="O86" s="5" t="s">
        <v>18688</v>
      </c>
      <c r="P86" s="6">
        <v>7497.0</v>
      </c>
    </row>
    <row r="87" ht="56.25" customHeight="1">
      <c r="A87" s="5" t="s">
        <v>18689</v>
      </c>
      <c r="B87" s="6" t="str">
        <f>IMAGE("https://storage.googleapis.com/acdb/bags/BagBackpackTown2.png")</f>
        <v/>
      </c>
      <c r="C87" s="5" t="s">
        <v>68</v>
      </c>
      <c r="D87" s="5" t="s">
        <v>36</v>
      </c>
      <c r="E87" s="8">
        <v>1040.0</v>
      </c>
      <c r="F87" s="8">
        <v>260.0</v>
      </c>
      <c r="G87" s="5" t="s">
        <v>68</v>
      </c>
      <c r="H87" s="5" t="s">
        <v>68</v>
      </c>
      <c r="I87" s="6" t="s">
        <v>40</v>
      </c>
      <c r="J87" s="5" t="s">
        <v>17203</v>
      </c>
      <c r="K87" s="5"/>
      <c r="L87" s="6" t="s">
        <v>42</v>
      </c>
      <c r="M87" s="5" t="s">
        <v>8746</v>
      </c>
      <c r="N87" s="5" t="s">
        <v>64</v>
      </c>
      <c r="O87" s="5" t="s">
        <v>18691</v>
      </c>
      <c r="P87" s="6">
        <v>11944.0</v>
      </c>
    </row>
    <row r="88" ht="56.25" customHeight="1">
      <c r="A88" s="5" t="s">
        <v>18689</v>
      </c>
      <c r="B88" s="6" t="str">
        <f>IMAGE("https://storage.googleapis.com/acdb/bags/BagBackpackTown3.png")</f>
        <v/>
      </c>
      <c r="C88" s="5" t="s">
        <v>52</v>
      </c>
      <c r="D88" s="5" t="s">
        <v>36</v>
      </c>
      <c r="E88" s="8">
        <v>1040.0</v>
      </c>
      <c r="F88" s="8">
        <v>260.0</v>
      </c>
      <c r="G88" s="5" t="s">
        <v>52</v>
      </c>
      <c r="H88" s="5" t="s">
        <v>52</v>
      </c>
      <c r="I88" s="6" t="s">
        <v>40</v>
      </c>
      <c r="J88" s="5" t="s">
        <v>17203</v>
      </c>
      <c r="K88" s="5"/>
      <c r="L88" s="6" t="s">
        <v>42</v>
      </c>
      <c r="M88" s="5" t="s">
        <v>8746</v>
      </c>
      <c r="N88" s="5" t="s">
        <v>64</v>
      </c>
      <c r="O88" s="5" t="s">
        <v>18694</v>
      </c>
      <c r="P88" s="6">
        <v>11945.0</v>
      </c>
    </row>
    <row r="89" ht="56.25" customHeight="1">
      <c r="A89" s="5" t="s">
        <v>18689</v>
      </c>
      <c r="B89" s="6" t="str">
        <f>IMAGE("https://storage.googleapis.com/acdb/bags/BagBackpackTown0.png")</f>
        <v/>
      </c>
      <c r="C89" s="5" t="s">
        <v>96</v>
      </c>
      <c r="D89" s="5" t="s">
        <v>36</v>
      </c>
      <c r="E89" s="8">
        <v>1040.0</v>
      </c>
      <c r="F89" s="8">
        <v>260.0</v>
      </c>
      <c r="G89" s="5" t="s">
        <v>96</v>
      </c>
      <c r="H89" s="5" t="s">
        <v>96</v>
      </c>
      <c r="I89" s="6" t="s">
        <v>40</v>
      </c>
      <c r="J89" s="5" t="s">
        <v>17203</v>
      </c>
      <c r="K89" s="5"/>
      <c r="L89" s="6" t="s">
        <v>42</v>
      </c>
      <c r="M89" s="5" t="s">
        <v>8746</v>
      </c>
      <c r="N89" s="5" t="s">
        <v>64</v>
      </c>
      <c r="O89" s="5" t="s">
        <v>18697</v>
      </c>
      <c r="P89" s="6">
        <v>6838.0</v>
      </c>
    </row>
    <row r="90" ht="56.25" customHeight="1">
      <c r="A90" s="5" t="s">
        <v>18689</v>
      </c>
      <c r="B90" s="6" t="str">
        <f>IMAGE("https://storage.googleapis.com/acdb/bags/BagBackpackTown1.png")</f>
        <v/>
      </c>
      <c r="C90" s="5" t="s">
        <v>142</v>
      </c>
      <c r="D90" s="5" t="s">
        <v>36</v>
      </c>
      <c r="E90" s="8">
        <v>1040.0</v>
      </c>
      <c r="F90" s="8">
        <v>260.0</v>
      </c>
      <c r="G90" s="5" t="s">
        <v>142</v>
      </c>
      <c r="H90" s="5" t="s">
        <v>142</v>
      </c>
      <c r="I90" s="6" t="s">
        <v>40</v>
      </c>
      <c r="J90" s="5" t="s">
        <v>17203</v>
      </c>
      <c r="K90" s="5"/>
      <c r="L90" s="6" t="s">
        <v>42</v>
      </c>
      <c r="M90" s="5" t="s">
        <v>8746</v>
      </c>
      <c r="N90" s="5" t="s">
        <v>64</v>
      </c>
      <c r="O90" s="5" t="s">
        <v>18700</v>
      </c>
      <c r="P90" s="6">
        <v>6839.0</v>
      </c>
    </row>
    <row r="91" ht="56.25" customHeight="1">
      <c r="A91" s="5" t="s">
        <v>18701</v>
      </c>
      <c r="B91" s="6" t="str">
        <f>IMAGE("https://storage.googleapis.com/acdb/bags/BagShoulderTravel1.png")</f>
        <v/>
      </c>
      <c r="C91" s="5" t="s">
        <v>96</v>
      </c>
      <c r="D91" s="5" t="s">
        <v>36</v>
      </c>
      <c r="E91" s="8">
        <v>840.0</v>
      </c>
      <c r="F91" s="8">
        <v>210.0</v>
      </c>
      <c r="G91" s="5" t="s">
        <v>96</v>
      </c>
      <c r="H91" s="5" t="s">
        <v>54</v>
      </c>
      <c r="I91" s="6" t="s">
        <v>40</v>
      </c>
      <c r="J91" s="5" t="s">
        <v>17203</v>
      </c>
      <c r="K91" s="5"/>
      <c r="L91" s="6" t="s">
        <v>42</v>
      </c>
      <c r="M91" s="5" t="s">
        <v>8746</v>
      </c>
      <c r="N91" s="5" t="s">
        <v>64</v>
      </c>
      <c r="O91" s="5" t="s">
        <v>18703</v>
      </c>
      <c r="P91" s="6">
        <v>12000.0</v>
      </c>
    </row>
    <row r="92" ht="56.25" customHeight="1">
      <c r="A92" s="5" t="s">
        <v>18701</v>
      </c>
      <c r="B92" s="6" t="str">
        <f>IMAGE("https://storage.googleapis.com/acdb/bags/BagShoulderTravel2.png")</f>
        <v/>
      </c>
      <c r="C92" s="5" t="s">
        <v>83</v>
      </c>
      <c r="D92" s="5" t="s">
        <v>36</v>
      </c>
      <c r="E92" s="8">
        <v>840.0</v>
      </c>
      <c r="F92" s="8">
        <v>210.0</v>
      </c>
      <c r="G92" s="5" t="s">
        <v>83</v>
      </c>
      <c r="H92" s="5" t="s">
        <v>54</v>
      </c>
      <c r="I92" s="6" t="s">
        <v>40</v>
      </c>
      <c r="J92" s="5" t="s">
        <v>17203</v>
      </c>
      <c r="K92" s="5"/>
      <c r="L92" s="6" t="s">
        <v>42</v>
      </c>
      <c r="M92" s="5" t="s">
        <v>8746</v>
      </c>
      <c r="N92" s="5" t="s">
        <v>64</v>
      </c>
      <c r="O92" s="5" t="s">
        <v>18706</v>
      </c>
      <c r="P92" s="6">
        <v>12001.0</v>
      </c>
    </row>
    <row r="93" ht="56.25" customHeight="1">
      <c r="A93" s="5" t="s">
        <v>18701</v>
      </c>
      <c r="B93" s="6" t="str">
        <f>IMAGE("https://storage.googleapis.com/acdb/bags/BagShoulderTravel3.png")</f>
        <v/>
      </c>
      <c r="C93" s="5" t="s">
        <v>106</v>
      </c>
      <c r="D93" s="5" t="s">
        <v>36</v>
      </c>
      <c r="E93" s="8">
        <v>840.0</v>
      </c>
      <c r="F93" s="8">
        <v>210.0</v>
      </c>
      <c r="G93" s="5" t="s">
        <v>106</v>
      </c>
      <c r="H93" s="5" t="s">
        <v>54</v>
      </c>
      <c r="I93" s="6" t="s">
        <v>40</v>
      </c>
      <c r="J93" s="5" t="s">
        <v>17203</v>
      </c>
      <c r="K93" s="5"/>
      <c r="L93" s="6" t="s">
        <v>42</v>
      </c>
      <c r="M93" s="5" t="s">
        <v>8746</v>
      </c>
      <c r="N93" s="5" t="s">
        <v>64</v>
      </c>
      <c r="O93" s="5" t="s">
        <v>18708</v>
      </c>
      <c r="P93" s="6">
        <v>12002.0</v>
      </c>
    </row>
    <row r="94" ht="56.25" customHeight="1">
      <c r="A94" s="5" t="s">
        <v>18701</v>
      </c>
      <c r="B94" s="6" t="str">
        <f>IMAGE("https://storage.googleapis.com/acdb/bags/BagShoulderTravel0.png")</f>
        <v/>
      </c>
      <c r="C94" s="5" t="s">
        <v>69</v>
      </c>
      <c r="D94" s="5" t="s">
        <v>36</v>
      </c>
      <c r="E94" s="8">
        <v>840.0</v>
      </c>
      <c r="F94" s="8">
        <v>210.0</v>
      </c>
      <c r="G94" s="5" t="s">
        <v>69</v>
      </c>
      <c r="H94" s="5" t="s">
        <v>54</v>
      </c>
      <c r="I94" s="6" t="s">
        <v>40</v>
      </c>
      <c r="J94" s="5" t="s">
        <v>17203</v>
      </c>
      <c r="K94" s="5"/>
      <c r="L94" s="6" t="s">
        <v>42</v>
      </c>
      <c r="M94" s="5" t="s">
        <v>8746</v>
      </c>
      <c r="N94" s="5" t="s">
        <v>64</v>
      </c>
      <c r="O94" s="5" t="s">
        <v>18711</v>
      </c>
      <c r="P94" s="6">
        <v>2550.0</v>
      </c>
    </row>
    <row r="95" ht="56.25" customHeight="1">
      <c r="A95" s="5" t="s">
        <v>18712</v>
      </c>
      <c r="B95" s="6" t="str">
        <f>IMAGE("https://storage.googleapis.com/acdb/bags/BagBackpackJourney1.png")</f>
        <v/>
      </c>
      <c r="C95" s="5" t="s">
        <v>68</v>
      </c>
      <c r="D95" s="5" t="s">
        <v>36</v>
      </c>
      <c r="E95" s="8">
        <v>2940.0</v>
      </c>
      <c r="F95" s="8">
        <v>735.0</v>
      </c>
      <c r="G95" s="5" t="s">
        <v>68</v>
      </c>
      <c r="H95" s="5" t="s">
        <v>38</v>
      </c>
      <c r="I95" s="6" t="s">
        <v>40</v>
      </c>
      <c r="J95" s="5" t="s">
        <v>17203</v>
      </c>
      <c r="K95" s="5"/>
      <c r="L95" s="6" t="s">
        <v>42</v>
      </c>
      <c r="M95" s="5" t="s">
        <v>995</v>
      </c>
      <c r="N95" s="5" t="s">
        <v>64</v>
      </c>
      <c r="O95" s="5" t="s">
        <v>18714</v>
      </c>
      <c r="P95" s="6">
        <v>11965.0</v>
      </c>
    </row>
    <row r="96" ht="56.25" customHeight="1">
      <c r="A96" s="5" t="s">
        <v>18712</v>
      </c>
      <c r="B96" s="6" t="str">
        <f>IMAGE("https://storage.googleapis.com/acdb/bags/BagBackpackJourney2.png")</f>
        <v/>
      </c>
      <c r="C96" s="5" t="s">
        <v>39</v>
      </c>
      <c r="D96" s="5" t="s">
        <v>36</v>
      </c>
      <c r="E96" s="8">
        <v>2940.0</v>
      </c>
      <c r="F96" s="8">
        <v>735.0</v>
      </c>
      <c r="G96" s="5" t="s">
        <v>39</v>
      </c>
      <c r="H96" s="5" t="s">
        <v>38</v>
      </c>
      <c r="I96" s="6" t="s">
        <v>40</v>
      </c>
      <c r="J96" s="5" t="s">
        <v>17203</v>
      </c>
      <c r="K96" s="5"/>
      <c r="L96" s="6" t="s">
        <v>42</v>
      </c>
      <c r="M96" s="5" t="s">
        <v>995</v>
      </c>
      <c r="N96" s="5" t="s">
        <v>64</v>
      </c>
      <c r="O96" s="5" t="s">
        <v>18717</v>
      </c>
      <c r="P96" s="6">
        <v>11966.0</v>
      </c>
    </row>
    <row r="97" ht="56.25" customHeight="1">
      <c r="A97" s="5" t="s">
        <v>18712</v>
      </c>
      <c r="B97" s="6" t="str">
        <f>IMAGE("https://storage.googleapis.com/acdb/bags/BagBackpackJourney0.png")</f>
        <v/>
      </c>
      <c r="C97" s="5" t="s">
        <v>142</v>
      </c>
      <c r="D97" s="5" t="s">
        <v>36</v>
      </c>
      <c r="E97" s="8">
        <v>2940.0</v>
      </c>
      <c r="F97" s="8">
        <v>735.0</v>
      </c>
      <c r="G97" s="5" t="s">
        <v>142</v>
      </c>
      <c r="H97" s="5" t="s">
        <v>38</v>
      </c>
      <c r="I97" s="6" t="s">
        <v>40</v>
      </c>
      <c r="J97" s="5" t="s">
        <v>17203</v>
      </c>
      <c r="K97" s="5"/>
      <c r="L97" s="6" t="s">
        <v>42</v>
      </c>
      <c r="M97" s="5" t="s">
        <v>995</v>
      </c>
      <c r="N97" s="5" t="s">
        <v>64</v>
      </c>
      <c r="O97" s="5" t="s">
        <v>18721</v>
      </c>
      <c r="P97" s="6">
        <v>7499.0</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2" width="10.86"/>
    <col customWidth="1" min="3" max="3" width="4.43"/>
    <col customWidth="1" min="4" max="5" width="5.86"/>
    <col customWidth="1" min="6" max="7" width="8.0"/>
    <col customWidth="1" min="8" max="8" width="5.14"/>
    <col customWidth="1" min="9" max="9" width="12.29"/>
    <col customWidth="1" min="10" max="10" width="25.14"/>
    <col customWidth="1" min="11" max="12" width="8.0"/>
    <col customWidth="1" min="13" max="13" width="10.86"/>
    <col customWidth="1" min="14" max="14" width="8.0"/>
  </cols>
  <sheetData>
    <row r="1" ht="26.25" customHeight="1">
      <c r="A1" s="1" t="s">
        <v>0</v>
      </c>
      <c r="B1" s="2" t="s">
        <v>1</v>
      </c>
      <c r="C1" s="1" t="s">
        <v>6</v>
      </c>
      <c r="D1" s="2" t="s">
        <v>10</v>
      </c>
      <c r="E1" s="2" t="s">
        <v>11</v>
      </c>
      <c r="F1" s="1" t="s">
        <v>12</v>
      </c>
      <c r="G1" s="1" t="s">
        <v>13</v>
      </c>
      <c r="H1" s="2" t="s">
        <v>14</v>
      </c>
      <c r="I1" s="1" t="s">
        <v>15</v>
      </c>
      <c r="J1" s="1" t="s">
        <v>16</v>
      </c>
      <c r="K1" s="2" t="s">
        <v>17</v>
      </c>
      <c r="L1" s="1" t="s">
        <v>26</v>
      </c>
      <c r="M1" s="1" t="s">
        <v>27</v>
      </c>
      <c r="N1" s="2" t="s">
        <v>29</v>
      </c>
    </row>
    <row r="2" ht="56.25" customHeight="1">
      <c r="A2" s="5" t="s">
        <v>18735</v>
      </c>
      <c r="B2" s="6" t="str">
        <f>IMAGE("https://storage.googleapis.com/acdb/umbrellas/UmbrellaApple0.png")</f>
        <v/>
      </c>
      <c r="C2" s="5" t="s">
        <v>35</v>
      </c>
      <c r="D2" s="6">
        <v>5600.0</v>
      </c>
      <c r="E2" s="6">
        <v>1400.0</v>
      </c>
      <c r="F2" s="5" t="s">
        <v>114</v>
      </c>
      <c r="G2" s="5" t="s">
        <v>52</v>
      </c>
      <c r="H2" s="6" t="s">
        <v>40</v>
      </c>
      <c r="I2" s="5" t="s">
        <v>41</v>
      </c>
      <c r="J2" s="5"/>
      <c r="K2" s="6" t="s">
        <v>42</v>
      </c>
      <c r="L2" s="5" t="s">
        <v>48</v>
      </c>
      <c r="M2" s="5" t="s">
        <v>18738</v>
      </c>
      <c r="N2" s="6">
        <v>9948.0</v>
      </c>
    </row>
    <row r="3" ht="56.25" customHeight="1">
      <c r="A3" s="5" t="s">
        <v>18740</v>
      </c>
      <c r="B3" s="6" t="str">
        <f>IMAGE("https://storage.googleapis.com/acdb/umbrellas/UmbrellaBat0.png")</f>
        <v/>
      </c>
      <c r="C3" s="5" t="s">
        <v>36</v>
      </c>
      <c r="D3" s="6">
        <v>840.0</v>
      </c>
      <c r="E3" s="6">
        <v>210.0</v>
      </c>
      <c r="F3" s="5" t="s">
        <v>54</v>
      </c>
      <c r="G3" s="5" t="s">
        <v>54</v>
      </c>
      <c r="H3" s="6" t="s">
        <v>40</v>
      </c>
      <c r="I3" s="5" t="s">
        <v>59</v>
      </c>
      <c r="J3" s="5"/>
      <c r="K3" s="6" t="s">
        <v>42</v>
      </c>
      <c r="L3" s="5" t="s">
        <v>64</v>
      </c>
      <c r="M3" s="5" t="s">
        <v>18743</v>
      </c>
      <c r="N3" s="6">
        <v>6919.0</v>
      </c>
    </row>
    <row r="4" ht="56.25" customHeight="1">
      <c r="A4" s="5" t="s">
        <v>18744</v>
      </c>
      <c r="B4" s="6" t="str">
        <f>IMAGE("https://storage.googleapis.com/acdb/umbrellas/UmbrellaBeach0.png")</f>
        <v/>
      </c>
      <c r="C4" s="5" t="s">
        <v>36</v>
      </c>
      <c r="D4" s="6">
        <v>770.0</v>
      </c>
      <c r="E4" s="6">
        <v>192.0</v>
      </c>
      <c r="F4" s="5" t="s">
        <v>68</v>
      </c>
      <c r="G4" s="5" t="s">
        <v>57</v>
      </c>
      <c r="H4" s="6" t="s">
        <v>40</v>
      </c>
      <c r="I4" s="5" t="s">
        <v>59</v>
      </c>
      <c r="J4" s="5"/>
      <c r="K4" s="6" t="s">
        <v>42</v>
      </c>
      <c r="L4" s="5" t="s">
        <v>64</v>
      </c>
      <c r="M4" s="5" t="s">
        <v>18749</v>
      </c>
      <c r="N4" s="6">
        <v>9957.0</v>
      </c>
    </row>
    <row r="5" ht="56.25" customHeight="1">
      <c r="A5" s="5" t="s">
        <v>18750</v>
      </c>
      <c r="B5" s="6" t="str">
        <f>IMAGE("https://storage.googleapis.com/acdb/umbrellas/UmbrellaBear0.png")</f>
        <v/>
      </c>
      <c r="C5" s="5" t="s">
        <v>36</v>
      </c>
      <c r="D5" s="6">
        <v>1570.0</v>
      </c>
      <c r="E5" s="6">
        <v>392.0</v>
      </c>
      <c r="F5" s="5" t="s">
        <v>39</v>
      </c>
      <c r="G5" s="5" t="s">
        <v>38</v>
      </c>
      <c r="H5" s="6" t="s">
        <v>40</v>
      </c>
      <c r="I5" s="5" t="s">
        <v>59</v>
      </c>
      <c r="J5" s="5" t="s">
        <v>7922</v>
      </c>
      <c r="K5" s="6" t="s">
        <v>42</v>
      </c>
      <c r="L5" s="5" t="s">
        <v>64</v>
      </c>
      <c r="M5" s="5" t="s">
        <v>18757</v>
      </c>
      <c r="N5" s="6">
        <v>7167.0</v>
      </c>
    </row>
    <row r="6" ht="56.25" customHeight="1">
      <c r="A6" s="5" t="s">
        <v>18759</v>
      </c>
      <c r="B6" s="6" t="str">
        <f>IMAGE("https://storage.googleapis.com/acdb/umbrellas/UmbrellaPacodarace5.png")</f>
        <v/>
      </c>
      <c r="C6" s="5" t="s">
        <v>36</v>
      </c>
      <c r="D6" s="6">
        <v>1620.0</v>
      </c>
      <c r="E6" s="6">
        <v>405.0</v>
      </c>
      <c r="F6" s="5" t="s">
        <v>54</v>
      </c>
      <c r="G6" s="5" t="s">
        <v>54</v>
      </c>
      <c r="H6" s="6" t="s">
        <v>40</v>
      </c>
      <c r="I6" s="5" t="s">
        <v>59</v>
      </c>
      <c r="J6" s="5" t="s">
        <v>7922</v>
      </c>
      <c r="K6" s="6" t="s">
        <v>42</v>
      </c>
      <c r="L6" s="5" t="s">
        <v>64</v>
      </c>
      <c r="M6" s="5" t="s">
        <v>18764</v>
      </c>
      <c r="N6" s="6">
        <v>12137.0</v>
      </c>
    </row>
    <row r="7" ht="56.25" customHeight="1">
      <c r="A7" s="5" t="s">
        <v>18766</v>
      </c>
      <c r="B7" s="6" t="str">
        <f>IMAGE("https://storage.googleapis.com/acdb/umbrellas/UmbrellaRace0.png")</f>
        <v/>
      </c>
      <c r="C7" s="5" t="s">
        <v>36</v>
      </c>
      <c r="D7" s="6">
        <v>750.0</v>
      </c>
      <c r="E7" s="6">
        <v>187.0</v>
      </c>
      <c r="F7" s="5" t="s">
        <v>54</v>
      </c>
      <c r="G7" s="5" t="s">
        <v>57</v>
      </c>
      <c r="H7" s="6" t="s">
        <v>40</v>
      </c>
      <c r="I7" s="5" t="s">
        <v>59</v>
      </c>
      <c r="J7" s="5"/>
      <c r="K7" s="6" t="s">
        <v>42</v>
      </c>
      <c r="L7" s="5" t="s">
        <v>64</v>
      </c>
      <c r="M7" s="5" t="s">
        <v>18770</v>
      </c>
      <c r="N7" s="6">
        <v>6915.0</v>
      </c>
    </row>
    <row r="8" ht="56.25" customHeight="1">
      <c r="A8" s="5" t="s">
        <v>18771</v>
      </c>
      <c r="B8" s="6" t="str">
        <f>IMAGE("https://storage.googleapis.com/acdb/umbrellas/UmbrellaPolkadot2.png")</f>
        <v/>
      </c>
      <c r="C8" s="5" t="s">
        <v>36</v>
      </c>
      <c r="D8" s="6">
        <v>750.0</v>
      </c>
      <c r="E8" s="6">
        <v>187.0</v>
      </c>
      <c r="F8" s="5" t="s">
        <v>68</v>
      </c>
      <c r="G8" s="5" t="s">
        <v>57</v>
      </c>
      <c r="H8" s="6" t="s">
        <v>40</v>
      </c>
      <c r="I8" s="5" t="s">
        <v>59</v>
      </c>
      <c r="J8" s="5"/>
      <c r="K8" s="6" t="s">
        <v>42</v>
      </c>
      <c r="L8" s="5" t="s">
        <v>64</v>
      </c>
      <c r="M8" s="5" t="s">
        <v>18777</v>
      </c>
      <c r="N8" s="6">
        <v>9956.0</v>
      </c>
    </row>
    <row r="9" ht="56.25" customHeight="1">
      <c r="A9" s="5" t="s">
        <v>18778</v>
      </c>
      <c r="B9" s="6" t="str">
        <f>IMAGE("https://storage.googleapis.com/acdb/umbrellas/UmbrellaPacodarace2.png")</f>
        <v/>
      </c>
      <c r="C9" s="5" t="s">
        <v>36</v>
      </c>
      <c r="D9" s="6">
        <v>1620.0</v>
      </c>
      <c r="E9" s="6">
        <v>405.0</v>
      </c>
      <c r="F9" s="5" t="s">
        <v>68</v>
      </c>
      <c r="G9" s="5" t="s">
        <v>57</v>
      </c>
      <c r="H9" s="6" t="s">
        <v>40</v>
      </c>
      <c r="I9" s="5" t="s">
        <v>59</v>
      </c>
      <c r="J9" s="5" t="s">
        <v>7922</v>
      </c>
      <c r="K9" s="6" t="s">
        <v>42</v>
      </c>
      <c r="L9" s="5" t="s">
        <v>64</v>
      </c>
      <c r="M9" s="5" t="s">
        <v>18780</v>
      </c>
      <c r="N9" s="6">
        <v>12134.0</v>
      </c>
    </row>
    <row r="10" ht="56.25" customHeight="1">
      <c r="A10" s="5" t="s">
        <v>18781</v>
      </c>
      <c r="B10" s="6" t="str">
        <f>IMAGE("https://storage.googleapis.com/acdb/umbrellas/UmbrellaStandard2.png")</f>
        <v/>
      </c>
      <c r="C10" s="5" t="s">
        <v>36</v>
      </c>
      <c r="D10" s="6">
        <v>770.0</v>
      </c>
      <c r="E10" s="6">
        <v>192.0</v>
      </c>
      <c r="F10" s="5" t="s">
        <v>68</v>
      </c>
      <c r="G10" s="5" t="s">
        <v>68</v>
      </c>
      <c r="H10" s="6" t="s">
        <v>40</v>
      </c>
      <c r="I10" s="5" t="s">
        <v>59</v>
      </c>
      <c r="J10" s="5"/>
      <c r="K10" s="6" t="s">
        <v>42</v>
      </c>
      <c r="L10" s="5" t="s">
        <v>64</v>
      </c>
      <c r="M10" s="5" t="s">
        <v>18784</v>
      </c>
      <c r="N10" s="6">
        <v>9959.0</v>
      </c>
    </row>
    <row r="11" ht="56.25" customHeight="1">
      <c r="A11" s="5" t="s">
        <v>18785</v>
      </c>
      <c r="B11" s="6" t="str">
        <f>IMAGE("https://storage.googleapis.com/acdb/umbrellas/UmbrellaBroken0.png")</f>
        <v/>
      </c>
      <c r="C11" s="5" t="s">
        <v>36</v>
      </c>
      <c r="D11" s="6">
        <v>1570.0</v>
      </c>
      <c r="E11" s="6">
        <v>392.0</v>
      </c>
      <c r="F11" s="5" t="s">
        <v>54</v>
      </c>
      <c r="G11" s="5" t="s">
        <v>54</v>
      </c>
      <c r="H11" s="6" t="s">
        <v>40</v>
      </c>
      <c r="I11" s="5" t="s">
        <v>59</v>
      </c>
      <c r="J11" s="5" t="s">
        <v>7922</v>
      </c>
      <c r="K11" s="6" t="s">
        <v>42</v>
      </c>
      <c r="L11" s="5" t="s">
        <v>64</v>
      </c>
      <c r="M11" s="5" t="s">
        <v>18788</v>
      </c>
      <c r="N11" s="6">
        <v>7182.0</v>
      </c>
    </row>
    <row r="12" ht="56.25" customHeight="1">
      <c r="A12" s="5" t="s">
        <v>18789</v>
      </c>
      <c r="B12" s="6" t="str">
        <f>IMAGE("https://storage.googleapis.com/acdb/umbrellas/UmbrellaOutdoor0.png")</f>
        <v/>
      </c>
      <c r="C12" s="5" t="s">
        <v>36</v>
      </c>
      <c r="D12" s="6">
        <v>650.0</v>
      </c>
      <c r="E12" s="6">
        <v>162.0</v>
      </c>
      <c r="F12" s="5" t="s">
        <v>96</v>
      </c>
      <c r="G12" s="5" t="s">
        <v>38</v>
      </c>
      <c r="H12" s="6" t="s">
        <v>40</v>
      </c>
      <c r="I12" s="5" t="s">
        <v>59</v>
      </c>
      <c r="J12" s="5"/>
      <c r="K12" s="6" t="s">
        <v>42</v>
      </c>
      <c r="L12" s="5" t="s">
        <v>64</v>
      </c>
      <c r="M12" s="5" t="s">
        <v>18793</v>
      </c>
      <c r="N12" s="6">
        <v>6923.0</v>
      </c>
    </row>
    <row r="13" ht="56.25" customHeight="1">
      <c r="A13" s="5" t="s">
        <v>18794</v>
      </c>
      <c r="B13" s="6" t="str">
        <f>IMAGE("https://storage.googleapis.com/acdb/umbrellas/UmbrellaGingham0.png")</f>
        <v/>
      </c>
      <c r="C13" s="5" t="s">
        <v>36</v>
      </c>
      <c r="D13" s="6">
        <v>770.0</v>
      </c>
      <c r="E13" s="6">
        <v>192.0</v>
      </c>
      <c r="F13" s="5" t="s">
        <v>69</v>
      </c>
      <c r="G13" s="5" t="s">
        <v>57</v>
      </c>
      <c r="H13" s="6" t="s">
        <v>40</v>
      </c>
      <c r="I13" s="5" t="s">
        <v>59</v>
      </c>
      <c r="J13" s="5"/>
      <c r="K13" s="6" t="s">
        <v>42</v>
      </c>
      <c r="L13" s="5" t="s">
        <v>64</v>
      </c>
      <c r="M13" s="5" t="s">
        <v>18797</v>
      </c>
      <c r="N13" s="6">
        <v>6926.0</v>
      </c>
    </row>
    <row r="14" ht="56.25" customHeight="1">
      <c r="A14" s="5" t="s">
        <v>18798</v>
      </c>
      <c r="B14" s="6" t="str">
        <f>IMAGE("https://storage.googleapis.com/acdb/umbrellas/UmbrellaCherry0.png")</f>
        <v/>
      </c>
      <c r="C14" s="5" t="s">
        <v>35</v>
      </c>
      <c r="D14" s="6">
        <v>5600.0</v>
      </c>
      <c r="E14" s="6">
        <v>1400.0</v>
      </c>
      <c r="F14" s="5" t="s">
        <v>52</v>
      </c>
      <c r="G14" s="5" t="s">
        <v>52</v>
      </c>
      <c r="H14" s="6" t="s">
        <v>40</v>
      </c>
      <c r="I14" s="5" t="s">
        <v>41</v>
      </c>
      <c r="J14" s="5"/>
      <c r="K14" s="6" t="s">
        <v>42</v>
      </c>
      <c r="L14" s="5" t="s">
        <v>48</v>
      </c>
      <c r="M14" s="5" t="s">
        <v>18803</v>
      </c>
      <c r="N14" s="6">
        <v>9949.0</v>
      </c>
    </row>
    <row r="15" ht="56.25" customHeight="1">
      <c r="A15" s="5" t="s">
        <v>18805</v>
      </c>
      <c r="B15" s="6" t="str">
        <f>IMAGE("https://storage.googleapis.com/acdb/umbrellas/UmbrellaCherryblossom0.png")</f>
        <v/>
      </c>
      <c r="C15" s="5" t="s">
        <v>35</v>
      </c>
      <c r="D15" s="6">
        <v>11200.0</v>
      </c>
      <c r="E15" s="6">
        <v>2800.0</v>
      </c>
      <c r="F15" s="5" t="s">
        <v>69</v>
      </c>
      <c r="G15" s="5" t="s">
        <v>96</v>
      </c>
      <c r="H15" s="6" t="s">
        <v>40</v>
      </c>
      <c r="I15" s="5" t="s">
        <v>41</v>
      </c>
      <c r="J15" s="5" t="s">
        <v>513</v>
      </c>
      <c r="K15" s="6" t="s">
        <v>42</v>
      </c>
      <c r="L15" s="5" t="s">
        <v>48</v>
      </c>
      <c r="M15" s="5" t="s">
        <v>18809</v>
      </c>
      <c r="N15" s="6">
        <v>9945.0</v>
      </c>
    </row>
    <row r="16" ht="56.25" customHeight="1">
      <c r="A16" s="5" t="s">
        <v>18810</v>
      </c>
      <c r="B16" s="6" t="str">
        <f>IMAGE("https://storage.googleapis.com/acdb/umbrellas/UmbrellaDoc0.png")</f>
        <v/>
      </c>
      <c r="C16" s="5" t="s">
        <v>36</v>
      </c>
      <c r="D16" s="6">
        <v>4040.0</v>
      </c>
      <c r="E16" s="6">
        <v>1010.0</v>
      </c>
      <c r="F16" s="5" t="s">
        <v>68</v>
      </c>
      <c r="G16" s="5" t="s">
        <v>68</v>
      </c>
      <c r="H16" s="6" t="s">
        <v>40</v>
      </c>
      <c r="I16" s="5" t="s">
        <v>1263</v>
      </c>
      <c r="J16" s="5" t="s">
        <v>1264</v>
      </c>
      <c r="K16" s="6" t="s">
        <v>42</v>
      </c>
      <c r="L16" s="5" t="s">
        <v>48</v>
      </c>
      <c r="M16" s="5" t="s">
        <v>18815</v>
      </c>
      <c r="N16" s="6">
        <v>9560.0</v>
      </c>
    </row>
    <row r="17" ht="56.25" customHeight="1">
      <c r="A17" s="5" t="s">
        <v>18817</v>
      </c>
      <c r="B17" s="6" t="str">
        <f>IMAGE("https://storage.googleapis.com/acdb/umbrellas/UmbrellaPolkadot1.png")</f>
        <v/>
      </c>
      <c r="C17" s="5" t="s">
        <v>36</v>
      </c>
      <c r="D17" s="6">
        <v>750.0</v>
      </c>
      <c r="E17" s="6">
        <v>187.0</v>
      </c>
      <c r="F17" s="5" t="s">
        <v>114</v>
      </c>
      <c r="G17" s="5" t="s">
        <v>57</v>
      </c>
      <c r="H17" s="6" t="s">
        <v>40</v>
      </c>
      <c r="I17" s="5" t="s">
        <v>59</v>
      </c>
      <c r="J17" s="5"/>
      <c r="K17" s="6" t="s">
        <v>42</v>
      </c>
      <c r="L17" s="5" t="s">
        <v>64</v>
      </c>
      <c r="M17" s="5" t="s">
        <v>18821</v>
      </c>
      <c r="N17" s="6">
        <v>9955.0</v>
      </c>
    </row>
    <row r="18" ht="56.25" customHeight="1">
      <c r="A18" s="5" t="s">
        <v>18823</v>
      </c>
      <c r="B18" s="6" t="str">
        <f>IMAGE("https://storage.googleapis.com/acdb/umbrellas/UmbrellaChina0.png")</f>
        <v/>
      </c>
      <c r="C18" s="5" t="s">
        <v>36</v>
      </c>
      <c r="D18" s="6">
        <v>1670.0</v>
      </c>
      <c r="E18" s="6">
        <v>417.0</v>
      </c>
      <c r="F18" s="5" t="s">
        <v>114</v>
      </c>
      <c r="G18" s="5" t="s">
        <v>69</v>
      </c>
      <c r="H18" s="6" t="s">
        <v>40</v>
      </c>
      <c r="I18" s="5" t="s">
        <v>59</v>
      </c>
      <c r="J18" s="5" t="s">
        <v>7922</v>
      </c>
      <c r="K18" s="6" t="s">
        <v>42</v>
      </c>
      <c r="L18" s="5" t="s">
        <v>64</v>
      </c>
      <c r="M18" s="5" t="s">
        <v>18826</v>
      </c>
      <c r="N18" s="6">
        <v>7171.0</v>
      </c>
    </row>
    <row r="19" ht="56.25" customHeight="1">
      <c r="A19" s="5" t="s">
        <v>18827</v>
      </c>
      <c r="B19" s="6" t="str">
        <f>IMAGE("https://storage.googleapis.com/acdb/umbrellas/UmbrellaFairytale0.png")</f>
        <v/>
      </c>
      <c r="C19" s="5" t="s">
        <v>36</v>
      </c>
      <c r="D19" s="6">
        <v>820.0</v>
      </c>
      <c r="E19" s="6">
        <v>205.0</v>
      </c>
      <c r="F19" s="5" t="s">
        <v>96</v>
      </c>
      <c r="G19" s="5" t="s">
        <v>114</v>
      </c>
      <c r="H19" s="6" t="s">
        <v>40</v>
      </c>
      <c r="I19" s="5" t="s">
        <v>59</v>
      </c>
      <c r="J19" s="5"/>
      <c r="K19" s="6" t="s">
        <v>42</v>
      </c>
      <c r="L19" s="5" t="s">
        <v>64</v>
      </c>
      <c r="M19" s="5" t="s">
        <v>18832</v>
      </c>
      <c r="N19" s="6">
        <v>7175.0</v>
      </c>
    </row>
    <row r="20" ht="56.25" customHeight="1">
      <c r="A20" s="5" t="s">
        <v>18833</v>
      </c>
      <c r="B20" s="6" t="str">
        <f>IMAGE("https://storage.googleapis.com/acdb/umbrellas/UmbrellaFish0.png")</f>
        <v/>
      </c>
      <c r="C20" s="5" t="s">
        <v>36</v>
      </c>
      <c r="D20" s="6">
        <v>320.0</v>
      </c>
      <c r="E20" s="6">
        <v>80.0</v>
      </c>
      <c r="F20" s="5" t="s">
        <v>68</v>
      </c>
      <c r="G20" s="5" t="s">
        <v>83</v>
      </c>
      <c r="H20" s="6" t="s">
        <v>40</v>
      </c>
      <c r="I20" s="5" t="s">
        <v>137</v>
      </c>
      <c r="J20" s="5"/>
      <c r="K20" s="6" t="s">
        <v>42</v>
      </c>
      <c r="L20" s="5" t="s">
        <v>48</v>
      </c>
      <c r="M20" s="5" t="s">
        <v>18839</v>
      </c>
      <c r="N20" s="6">
        <v>8768.0</v>
      </c>
    </row>
    <row r="21" ht="56.25" customHeight="1">
      <c r="A21" s="5" t="s">
        <v>18840</v>
      </c>
      <c r="B21" s="6" t="str">
        <f>IMAGE("https://storage.googleapis.com/acdb/umbrellas/UmbrellaFrog0.png")</f>
        <v/>
      </c>
      <c r="C21" s="5" t="s">
        <v>36</v>
      </c>
      <c r="D21" s="6">
        <v>1570.0</v>
      </c>
      <c r="E21" s="6">
        <v>392.0</v>
      </c>
      <c r="F21" s="5" t="s">
        <v>96</v>
      </c>
      <c r="G21" s="5" t="s">
        <v>96</v>
      </c>
      <c r="H21" s="6" t="s">
        <v>40</v>
      </c>
      <c r="I21" s="5" t="s">
        <v>59</v>
      </c>
      <c r="J21" s="5" t="s">
        <v>7922</v>
      </c>
      <c r="K21" s="6" t="s">
        <v>42</v>
      </c>
      <c r="L21" s="5" t="s">
        <v>64</v>
      </c>
      <c r="M21" s="5" t="s">
        <v>18844</v>
      </c>
      <c r="N21" s="6">
        <v>6925.0</v>
      </c>
    </row>
    <row r="22" ht="56.25" customHeight="1">
      <c r="A22" s="5" t="s">
        <v>18845</v>
      </c>
      <c r="B22" s="6" t="str">
        <f>IMAGE("https://storage.googleapis.com/acdb/umbrellas/UmbrellaTricolor0.png")</f>
        <v/>
      </c>
      <c r="C22" s="5" t="s">
        <v>36</v>
      </c>
      <c r="D22" s="6">
        <v>750.0</v>
      </c>
      <c r="E22" s="6">
        <v>187.0</v>
      </c>
      <c r="F22" s="5" t="s">
        <v>58</v>
      </c>
      <c r="G22" s="5" t="s">
        <v>58</v>
      </c>
      <c r="H22" s="6" t="s">
        <v>40</v>
      </c>
      <c r="I22" s="5" t="s">
        <v>59</v>
      </c>
      <c r="J22" s="5"/>
      <c r="K22" s="6" t="s">
        <v>42</v>
      </c>
      <c r="L22" s="5" t="s">
        <v>64</v>
      </c>
      <c r="M22" s="5" t="s">
        <v>18848</v>
      </c>
      <c r="N22" s="6">
        <v>7180.0</v>
      </c>
    </row>
    <row r="23" ht="56.25" customHeight="1">
      <c r="A23" s="5" t="s">
        <v>18849</v>
      </c>
      <c r="B23" s="6" t="str">
        <f>IMAGE("https://storage.googleapis.com/acdb/umbrellas/UmbrellaTeruteru0.png")</f>
        <v/>
      </c>
      <c r="C23" s="5" t="s">
        <v>36</v>
      </c>
      <c r="D23" s="6">
        <v>1670.0</v>
      </c>
      <c r="E23" s="6">
        <v>417.0</v>
      </c>
      <c r="F23" s="5" t="s">
        <v>57</v>
      </c>
      <c r="G23" s="5" t="s">
        <v>57</v>
      </c>
      <c r="H23" s="6" t="s">
        <v>40</v>
      </c>
      <c r="I23" s="5" t="s">
        <v>59</v>
      </c>
      <c r="J23" s="5" t="s">
        <v>7922</v>
      </c>
      <c r="K23" s="6" t="s">
        <v>42</v>
      </c>
      <c r="L23" s="5" t="s">
        <v>64</v>
      </c>
      <c r="M23" s="5" t="s">
        <v>18853</v>
      </c>
      <c r="N23" s="6">
        <v>6924.0</v>
      </c>
    </row>
    <row r="24" ht="56.25" customHeight="1">
      <c r="A24" s="5" t="s">
        <v>18854</v>
      </c>
      <c r="B24" s="6" t="str">
        <f>IMAGE("https://storage.googleapis.com/acdb/umbrellas/UmbrellaGrape0.png")</f>
        <v/>
      </c>
      <c r="C24" s="5" t="s">
        <v>36</v>
      </c>
      <c r="D24" s="6">
        <v>1550.0</v>
      </c>
      <c r="E24" s="6">
        <v>387.0</v>
      </c>
      <c r="F24" s="5" t="s">
        <v>106</v>
      </c>
      <c r="G24" s="5" t="s">
        <v>96</v>
      </c>
      <c r="H24" s="6" t="s">
        <v>40</v>
      </c>
      <c r="I24" s="5" t="s">
        <v>59</v>
      </c>
      <c r="J24" s="5" t="s">
        <v>7922</v>
      </c>
      <c r="K24" s="6" t="s">
        <v>42</v>
      </c>
      <c r="L24" s="5" t="s">
        <v>64</v>
      </c>
      <c r="M24" s="5" t="s">
        <v>18859</v>
      </c>
      <c r="N24" s="6">
        <v>6911.0</v>
      </c>
    </row>
    <row r="25" ht="56.25" customHeight="1">
      <c r="A25" s="5" t="s">
        <v>18861</v>
      </c>
      <c r="B25" s="6" t="str">
        <f>IMAGE("https://storage.googleapis.com/acdb/umbrellas/UmbrellaPacodarace4.png")</f>
        <v/>
      </c>
      <c r="C25" s="5" t="s">
        <v>36</v>
      </c>
      <c r="D25" s="6">
        <v>1620.0</v>
      </c>
      <c r="E25" s="6">
        <v>405.0</v>
      </c>
      <c r="F25" s="5" t="s">
        <v>96</v>
      </c>
      <c r="G25" s="5" t="s">
        <v>54</v>
      </c>
      <c r="H25" s="6" t="s">
        <v>40</v>
      </c>
      <c r="I25" s="5" t="s">
        <v>59</v>
      </c>
      <c r="J25" s="5" t="s">
        <v>7922</v>
      </c>
      <c r="K25" s="6" t="s">
        <v>42</v>
      </c>
      <c r="L25" s="5" t="s">
        <v>64</v>
      </c>
      <c r="M25" s="5" t="s">
        <v>18866</v>
      </c>
      <c r="N25" s="6">
        <v>12136.0</v>
      </c>
    </row>
    <row r="26" ht="56.25" customHeight="1">
      <c r="A26" s="5" t="s">
        <v>18867</v>
      </c>
      <c r="B26" s="6" t="str">
        <f>IMAGE("https://storage.googleapis.com/acdb/umbrellas/UmbrellaStandard3.png")</f>
        <v/>
      </c>
      <c r="C26" s="5" t="s">
        <v>36</v>
      </c>
      <c r="D26" s="6">
        <v>770.0</v>
      </c>
      <c r="E26" s="6">
        <v>192.0</v>
      </c>
      <c r="F26" s="5" t="s">
        <v>96</v>
      </c>
      <c r="G26" s="5" t="s">
        <v>96</v>
      </c>
      <c r="H26" s="6" t="s">
        <v>40</v>
      </c>
      <c r="I26" s="5" t="s">
        <v>59</v>
      </c>
      <c r="J26" s="5"/>
      <c r="K26" s="6" t="s">
        <v>42</v>
      </c>
      <c r="L26" s="5" t="s">
        <v>64</v>
      </c>
      <c r="M26" s="5" t="s">
        <v>18871</v>
      </c>
      <c r="N26" s="6">
        <v>9960.0</v>
      </c>
    </row>
    <row r="27" ht="56.25" customHeight="1">
      <c r="A27" s="5" t="s">
        <v>18872</v>
      </c>
      <c r="B27" s="6" t="str">
        <f>IMAGE("https://storage.googleapis.com/acdb/umbrellas/UmbrellaHydrangea0.png")</f>
        <v/>
      </c>
      <c r="C27" s="5" t="s">
        <v>36</v>
      </c>
      <c r="D27" s="6">
        <v>750.0</v>
      </c>
      <c r="E27" s="6">
        <v>187.0</v>
      </c>
      <c r="F27" s="5" t="s">
        <v>83</v>
      </c>
      <c r="G27" s="5" t="s">
        <v>57</v>
      </c>
      <c r="H27" s="6" t="s">
        <v>40</v>
      </c>
      <c r="I27" s="5" t="s">
        <v>59</v>
      </c>
      <c r="J27" s="5"/>
      <c r="K27" s="6" t="s">
        <v>42</v>
      </c>
      <c r="L27" s="5" t="s">
        <v>64</v>
      </c>
      <c r="M27" s="5" t="s">
        <v>18876</v>
      </c>
      <c r="N27" s="6">
        <v>6906.0</v>
      </c>
    </row>
    <row r="28" ht="56.25" customHeight="1">
      <c r="A28" s="5" t="s">
        <v>18877</v>
      </c>
      <c r="B28" s="6" t="str">
        <f>IMAGE("https://storage.googleapis.com/acdb/umbrellas/UmbrellaKabuki0.png")</f>
        <v/>
      </c>
      <c r="C28" s="5" t="s">
        <v>36</v>
      </c>
      <c r="D28" s="6">
        <v>1670.0</v>
      </c>
      <c r="E28" s="6">
        <v>417.0</v>
      </c>
      <c r="F28" s="5" t="s">
        <v>106</v>
      </c>
      <c r="G28" s="5" t="s">
        <v>57</v>
      </c>
      <c r="H28" s="6" t="s">
        <v>40</v>
      </c>
      <c r="I28" s="5" t="s">
        <v>59</v>
      </c>
      <c r="J28" s="5" t="s">
        <v>7922</v>
      </c>
      <c r="K28" s="6" t="s">
        <v>42</v>
      </c>
      <c r="L28" s="5" t="s">
        <v>64</v>
      </c>
      <c r="M28" s="5" t="s">
        <v>18880</v>
      </c>
      <c r="N28" s="6">
        <v>7177.0</v>
      </c>
    </row>
    <row r="29" ht="56.25" customHeight="1">
      <c r="A29" s="5" t="s">
        <v>18881</v>
      </c>
      <c r="B29" s="6" t="str">
        <f>IMAGE("https://storage.googleapis.com/acdb/umbrellas/UmbrellaKiwi0.png")</f>
        <v/>
      </c>
      <c r="C29" s="5" t="s">
        <v>36</v>
      </c>
      <c r="D29" s="6">
        <v>1550.0</v>
      </c>
      <c r="E29" s="6">
        <v>387.0</v>
      </c>
      <c r="F29" s="5" t="s">
        <v>96</v>
      </c>
      <c r="G29" s="5" t="s">
        <v>39</v>
      </c>
      <c r="H29" s="6" t="s">
        <v>40</v>
      </c>
      <c r="I29" s="5" t="s">
        <v>59</v>
      </c>
      <c r="J29" s="5" t="s">
        <v>7922</v>
      </c>
      <c r="K29" s="6" t="s">
        <v>42</v>
      </c>
      <c r="L29" s="5" t="s">
        <v>64</v>
      </c>
      <c r="M29" s="5" t="s">
        <v>18885</v>
      </c>
      <c r="N29" s="6">
        <v>6908.0</v>
      </c>
    </row>
    <row r="30" ht="56.25" customHeight="1">
      <c r="A30" s="5" t="s">
        <v>18886</v>
      </c>
      <c r="B30" s="6" t="str">
        <f>IMAGE("https://storage.googleapis.com/acdb/umbrellas/UmbrellaLace0.png")</f>
        <v/>
      </c>
      <c r="C30" s="5" t="s">
        <v>36</v>
      </c>
      <c r="D30" s="6">
        <v>1550.0</v>
      </c>
      <c r="E30" s="6">
        <v>387.0</v>
      </c>
      <c r="F30" s="5" t="s">
        <v>57</v>
      </c>
      <c r="G30" s="5" t="s">
        <v>57</v>
      </c>
      <c r="H30" s="6" t="s">
        <v>40</v>
      </c>
      <c r="I30" s="5" t="s">
        <v>59</v>
      </c>
      <c r="J30" s="5" t="s">
        <v>7922</v>
      </c>
      <c r="K30" s="6" t="s">
        <v>42</v>
      </c>
      <c r="L30" s="5" t="s">
        <v>64</v>
      </c>
      <c r="M30" s="5" t="s">
        <v>18889</v>
      </c>
      <c r="N30" s="6">
        <v>9946.0</v>
      </c>
    </row>
    <row r="31" ht="56.25" customHeight="1">
      <c r="A31" s="5" t="s">
        <v>18890</v>
      </c>
      <c r="B31" s="6" t="str">
        <f>IMAGE("https://storage.googleapis.com/acdb/umbrellas/UmbrellaLadybug0.png")</f>
        <v/>
      </c>
      <c r="C31" s="5" t="s">
        <v>36</v>
      </c>
      <c r="D31" s="6">
        <v>320.0</v>
      </c>
      <c r="E31" s="6">
        <v>80.0</v>
      </c>
      <c r="F31" s="5" t="s">
        <v>52</v>
      </c>
      <c r="G31" s="5" t="s">
        <v>54</v>
      </c>
      <c r="H31" s="6" t="s">
        <v>40</v>
      </c>
      <c r="I31" s="5" t="s">
        <v>393</v>
      </c>
      <c r="J31" s="5"/>
      <c r="K31" s="6" t="s">
        <v>42</v>
      </c>
      <c r="L31" s="5" t="s">
        <v>48</v>
      </c>
      <c r="M31" s="5" t="s">
        <v>18894</v>
      </c>
      <c r="N31" s="6">
        <v>8767.0</v>
      </c>
    </row>
    <row r="32" ht="56.25" customHeight="1">
      <c r="A32" s="5" t="s">
        <v>18895</v>
      </c>
      <c r="B32" s="6" t="str">
        <f>IMAGE("https://storage.googleapis.com/acdb/umbrellas/UmbrellaLeaf0.png")</f>
        <v/>
      </c>
      <c r="C32" s="5" t="s">
        <v>35</v>
      </c>
      <c r="D32" s="6">
        <v>1200.0</v>
      </c>
      <c r="E32" s="6">
        <v>300.0</v>
      </c>
      <c r="F32" s="5" t="s">
        <v>96</v>
      </c>
      <c r="G32" s="5" t="s">
        <v>96</v>
      </c>
      <c r="H32" s="6" t="s">
        <v>40</v>
      </c>
      <c r="I32" s="5" t="s">
        <v>41</v>
      </c>
      <c r="J32" s="5"/>
      <c r="K32" s="6" t="s">
        <v>42</v>
      </c>
      <c r="L32" s="5" t="s">
        <v>48</v>
      </c>
      <c r="M32" s="5" t="s">
        <v>18898</v>
      </c>
      <c r="N32" s="6">
        <v>6840.0</v>
      </c>
    </row>
    <row r="33" ht="56.25" customHeight="1">
      <c r="A33" s="5" t="s">
        <v>18899</v>
      </c>
      <c r="B33" s="6" t="str">
        <f>IMAGE("https://storage.googleapis.com/acdb/umbrellas/UmbrellaGingham4.png")</f>
        <v/>
      </c>
      <c r="C33" s="5" t="s">
        <v>36</v>
      </c>
      <c r="D33" s="6">
        <v>770.0</v>
      </c>
      <c r="E33" s="6">
        <v>192.0</v>
      </c>
      <c r="F33" s="5" t="s">
        <v>114</v>
      </c>
      <c r="G33" s="5" t="s">
        <v>57</v>
      </c>
      <c r="H33" s="6" t="s">
        <v>40</v>
      </c>
      <c r="I33" s="5" t="s">
        <v>59</v>
      </c>
      <c r="J33" s="5"/>
      <c r="K33" s="6" t="s">
        <v>42</v>
      </c>
      <c r="L33" s="5" t="s">
        <v>64</v>
      </c>
      <c r="M33" s="5" t="s">
        <v>18903</v>
      </c>
      <c r="N33" s="6">
        <v>9954.0</v>
      </c>
    </row>
    <row r="34" ht="56.25" customHeight="1">
      <c r="A34" s="5" t="s">
        <v>18905</v>
      </c>
      <c r="B34" s="6" t="str">
        <f>IMAGE("https://storage.googleapis.com/acdb/umbrellas/UmbrellaLogo0.png")</f>
        <v/>
      </c>
      <c r="C34" s="5" t="s">
        <v>36</v>
      </c>
      <c r="D34" s="6">
        <v>650.0</v>
      </c>
      <c r="E34" s="6">
        <v>162.0</v>
      </c>
      <c r="F34" s="5" t="s">
        <v>68</v>
      </c>
      <c r="G34" s="5" t="s">
        <v>57</v>
      </c>
      <c r="H34" s="6" t="s">
        <v>40</v>
      </c>
      <c r="I34" s="5" t="s">
        <v>59</v>
      </c>
      <c r="J34" s="5"/>
      <c r="K34" s="6" t="s">
        <v>42</v>
      </c>
      <c r="L34" s="5" t="s">
        <v>64</v>
      </c>
      <c r="M34" s="5" t="s">
        <v>18907</v>
      </c>
      <c r="N34" s="6">
        <v>7172.0</v>
      </c>
    </row>
    <row r="35" ht="56.25" customHeight="1">
      <c r="A35" s="5" t="s">
        <v>18908</v>
      </c>
      <c r="B35" s="6" t="str">
        <f>IMAGE("https://storage.googleapis.com/acdb/umbrellas/UmbrellaAutumn0.png")</f>
        <v/>
      </c>
      <c r="C35" s="5" t="s">
        <v>35</v>
      </c>
      <c r="D35" s="6">
        <v>11200.0</v>
      </c>
      <c r="E35" s="6">
        <v>2800.0</v>
      </c>
      <c r="F35" s="5" t="s">
        <v>142</v>
      </c>
      <c r="G35" s="5" t="s">
        <v>142</v>
      </c>
      <c r="H35" s="6" t="s">
        <v>40</v>
      </c>
      <c r="I35" s="5" t="s">
        <v>41</v>
      </c>
      <c r="J35" s="5" t="s">
        <v>2840</v>
      </c>
      <c r="K35" s="6" t="s">
        <v>42</v>
      </c>
      <c r="L35" s="5" t="s">
        <v>48</v>
      </c>
      <c r="M35" s="5" t="s">
        <v>18912</v>
      </c>
      <c r="N35" s="6">
        <v>7169.0</v>
      </c>
    </row>
    <row r="36" ht="56.25" customHeight="1">
      <c r="A36" s="5" t="s">
        <v>18913</v>
      </c>
      <c r="B36" s="6" t="str">
        <f>IMAGE("https://storage.googleapis.com/acdb/umbrellas/UmbrellaGingham1.png")</f>
        <v/>
      </c>
      <c r="C36" s="5" t="s">
        <v>36</v>
      </c>
      <c r="D36" s="6">
        <v>770.0</v>
      </c>
      <c r="E36" s="6">
        <v>192.0</v>
      </c>
      <c r="F36" s="5" t="s">
        <v>96</v>
      </c>
      <c r="G36" s="5" t="s">
        <v>57</v>
      </c>
      <c r="H36" s="6" t="s">
        <v>40</v>
      </c>
      <c r="I36" s="5" t="s">
        <v>59</v>
      </c>
      <c r="J36" s="5"/>
      <c r="K36" s="6" t="s">
        <v>42</v>
      </c>
      <c r="L36" s="5" t="s">
        <v>64</v>
      </c>
      <c r="M36" s="5" t="s">
        <v>18916</v>
      </c>
      <c r="N36" s="6">
        <v>9951.0</v>
      </c>
    </row>
    <row r="37" ht="56.25" customHeight="1">
      <c r="A37" s="5" t="s">
        <v>18917</v>
      </c>
      <c r="B37" s="6" t="str">
        <f>IMAGE("https://storage.googleapis.com/acdb/umbrellas/UmbrellaFlorets0.png")</f>
        <v/>
      </c>
      <c r="C37" s="5" t="s">
        <v>36</v>
      </c>
      <c r="D37" s="6">
        <v>750.0</v>
      </c>
      <c r="E37" s="6">
        <v>187.0</v>
      </c>
      <c r="F37" s="5" t="s">
        <v>69</v>
      </c>
      <c r="G37" s="5" t="s">
        <v>57</v>
      </c>
      <c r="H37" s="6" t="s">
        <v>40</v>
      </c>
      <c r="I37" s="5" t="s">
        <v>59</v>
      </c>
      <c r="J37" s="5"/>
      <c r="K37" s="6" t="s">
        <v>42</v>
      </c>
      <c r="L37" s="5" t="s">
        <v>64</v>
      </c>
      <c r="M37" s="5" t="s">
        <v>18921</v>
      </c>
      <c r="N37" s="6">
        <v>6914.0</v>
      </c>
    </row>
    <row r="38" ht="56.25" customHeight="1">
      <c r="A38" s="5" t="s">
        <v>18922</v>
      </c>
      <c r="B38" s="6" t="str">
        <f>IMAGE("https://storage.googleapis.com/acdb/umbrellas/UmbrellaGingham2.png")</f>
        <v/>
      </c>
      <c r="C38" s="5" t="s">
        <v>36</v>
      </c>
      <c r="D38" s="6">
        <v>770.0</v>
      </c>
      <c r="E38" s="6">
        <v>192.0</v>
      </c>
      <c r="F38" s="5" t="s">
        <v>39</v>
      </c>
      <c r="G38" s="5" t="s">
        <v>96</v>
      </c>
      <c r="H38" s="6" t="s">
        <v>40</v>
      </c>
      <c r="I38" s="5" t="s">
        <v>59</v>
      </c>
      <c r="J38" s="5"/>
      <c r="K38" s="6" t="s">
        <v>42</v>
      </c>
      <c r="L38" s="5" t="s">
        <v>64</v>
      </c>
      <c r="M38" s="5" t="s">
        <v>18925</v>
      </c>
      <c r="N38" s="6">
        <v>9952.0</v>
      </c>
    </row>
    <row r="39" ht="56.25" customHeight="1">
      <c r="A39" s="5" t="s">
        <v>18926</v>
      </c>
      <c r="B39" s="6" t="str">
        <f>IMAGE("https://storage.googleapis.com/acdb/umbrellas/UmbrellaMushroom0.png")</f>
        <v/>
      </c>
      <c r="C39" s="5" t="s">
        <v>35</v>
      </c>
      <c r="D39" s="6">
        <v>4800.0</v>
      </c>
      <c r="E39" s="6">
        <v>1200.0</v>
      </c>
      <c r="F39" s="5" t="s">
        <v>39</v>
      </c>
      <c r="G39" s="5" t="s">
        <v>38</v>
      </c>
      <c r="H39" s="6" t="s">
        <v>40</v>
      </c>
      <c r="I39" s="5" t="s">
        <v>41</v>
      </c>
      <c r="J39" s="5"/>
      <c r="K39" s="6" t="s">
        <v>42</v>
      </c>
      <c r="L39" s="5" t="s">
        <v>48</v>
      </c>
      <c r="M39" s="5" t="s">
        <v>18931</v>
      </c>
      <c r="N39" s="6">
        <v>7174.0</v>
      </c>
    </row>
    <row r="40" ht="56.25" customHeight="1">
      <c r="A40" s="5" t="s">
        <v>18933</v>
      </c>
      <c r="B40" s="6" t="str">
        <f>IMAGE("https://storage.googleapis.com/acdb/umbrellas/UmbrellaRco0.png")</f>
        <v/>
      </c>
      <c r="C40" s="5" t="s">
        <v>36</v>
      </c>
      <c r="D40" s="6">
        <v>14000.0</v>
      </c>
      <c r="E40" s="6">
        <v>3500.0</v>
      </c>
      <c r="F40" s="5" t="s">
        <v>96</v>
      </c>
      <c r="G40" s="5" t="s">
        <v>57</v>
      </c>
      <c r="H40" s="6" t="s">
        <v>40</v>
      </c>
      <c r="I40" s="5" t="s">
        <v>2140</v>
      </c>
      <c r="J40" s="5"/>
      <c r="K40" s="6" t="s">
        <v>42</v>
      </c>
      <c r="L40" s="5" t="s">
        <v>48</v>
      </c>
      <c r="M40" s="5" t="s">
        <v>18936</v>
      </c>
      <c r="N40" s="6">
        <v>9561.0</v>
      </c>
    </row>
    <row r="41" ht="56.25" customHeight="1">
      <c r="A41" s="5" t="s">
        <v>18938</v>
      </c>
      <c r="B41" s="6" t="str">
        <f>IMAGE("https://storage.googleapis.com/acdb/umbrellas/UmbrellaOrange0.png")</f>
        <v/>
      </c>
      <c r="C41" s="5" t="s">
        <v>35</v>
      </c>
      <c r="D41" s="6">
        <v>5600.0</v>
      </c>
      <c r="E41" s="6">
        <v>1400.0</v>
      </c>
      <c r="F41" s="5" t="s">
        <v>142</v>
      </c>
      <c r="G41" s="5" t="s">
        <v>114</v>
      </c>
      <c r="H41" s="6" t="s">
        <v>40</v>
      </c>
      <c r="I41" s="5" t="s">
        <v>41</v>
      </c>
      <c r="J41" s="5"/>
      <c r="K41" s="6" t="s">
        <v>42</v>
      </c>
      <c r="L41" s="5" t="s">
        <v>48</v>
      </c>
      <c r="M41" s="5" t="s">
        <v>18941</v>
      </c>
      <c r="N41" s="6">
        <v>6912.0</v>
      </c>
    </row>
    <row r="42" ht="56.25" customHeight="1">
      <c r="A42" s="5" t="s">
        <v>18943</v>
      </c>
      <c r="B42" s="6" t="str">
        <f>IMAGE("https://storage.googleapis.com/acdb/umbrellas/UmbrellaPanda0.png")</f>
        <v/>
      </c>
      <c r="C42" s="5" t="s">
        <v>36</v>
      </c>
      <c r="D42" s="6">
        <v>1570.0</v>
      </c>
      <c r="E42" s="6">
        <v>392.0</v>
      </c>
      <c r="F42" s="5" t="s">
        <v>57</v>
      </c>
      <c r="G42" s="5" t="s">
        <v>54</v>
      </c>
      <c r="H42" s="6" t="s">
        <v>40</v>
      </c>
      <c r="I42" s="5" t="s">
        <v>59</v>
      </c>
      <c r="J42" s="5" t="s">
        <v>7922</v>
      </c>
      <c r="K42" s="6" t="s">
        <v>42</v>
      </c>
      <c r="L42" s="5" t="s">
        <v>64</v>
      </c>
      <c r="M42" s="5" t="s">
        <v>18945</v>
      </c>
      <c r="N42" s="6">
        <v>7170.0</v>
      </c>
    </row>
    <row r="43" ht="56.25" customHeight="1">
      <c r="A43" s="5" t="s">
        <v>18947</v>
      </c>
      <c r="B43" s="6" t="str">
        <f>IMAGE("https://storage.googleapis.com/acdb/umbrellas/UmbrellaBangasa0.png")</f>
        <v/>
      </c>
      <c r="C43" s="5" t="s">
        <v>36</v>
      </c>
      <c r="D43" s="6">
        <v>870.0</v>
      </c>
      <c r="E43" s="6">
        <v>217.0</v>
      </c>
      <c r="F43" s="5" t="s">
        <v>39</v>
      </c>
      <c r="G43" s="5" t="s">
        <v>96</v>
      </c>
      <c r="H43" s="6" t="s">
        <v>40</v>
      </c>
      <c r="I43" s="5" t="s">
        <v>59</v>
      </c>
      <c r="J43" s="5"/>
      <c r="K43" s="6" t="s">
        <v>42</v>
      </c>
      <c r="L43" s="5" t="s">
        <v>64</v>
      </c>
      <c r="M43" s="5" t="s">
        <v>18951</v>
      </c>
      <c r="N43" s="6">
        <v>7178.0</v>
      </c>
    </row>
    <row r="44" ht="56.25" customHeight="1">
      <c r="A44" s="5" t="s">
        <v>18952</v>
      </c>
      <c r="B44" s="6" t="str">
        <f>IMAGE("https://storage.googleapis.com/acdb/umbrellas/UmbrellaBoundary0.png")</f>
        <v/>
      </c>
      <c r="C44" s="5" t="s">
        <v>36</v>
      </c>
      <c r="D44" s="6">
        <v>750.0</v>
      </c>
      <c r="E44" s="6">
        <v>187.0</v>
      </c>
      <c r="F44" s="5" t="s">
        <v>57</v>
      </c>
      <c r="G44" s="5" t="s">
        <v>57</v>
      </c>
      <c r="H44" s="6" t="s">
        <v>40</v>
      </c>
      <c r="I44" s="5" t="s">
        <v>59</v>
      </c>
      <c r="J44" s="5"/>
      <c r="K44" s="6" t="s">
        <v>42</v>
      </c>
      <c r="L44" s="5" t="s">
        <v>64</v>
      </c>
      <c r="M44" s="5" t="s">
        <v>18955</v>
      </c>
      <c r="N44" s="6">
        <v>6918.0</v>
      </c>
    </row>
    <row r="45" ht="56.25" customHeight="1">
      <c r="A45" s="5" t="s">
        <v>18957</v>
      </c>
      <c r="B45" s="6" t="str">
        <f>IMAGE("https://storage.googleapis.com/acdb/umbrellas/UmbrellaPeach0.png")</f>
        <v/>
      </c>
      <c r="C45" s="5" t="s">
        <v>35</v>
      </c>
      <c r="D45" s="6">
        <v>5600.0</v>
      </c>
      <c r="E45" s="6">
        <v>1400.0</v>
      </c>
      <c r="F45" s="5" t="s">
        <v>69</v>
      </c>
      <c r="G45" s="5" t="s">
        <v>96</v>
      </c>
      <c r="H45" s="6" t="s">
        <v>40</v>
      </c>
      <c r="I45" s="5" t="s">
        <v>41</v>
      </c>
      <c r="J45" s="5"/>
      <c r="K45" s="6" t="s">
        <v>42</v>
      </c>
      <c r="L45" s="5" t="s">
        <v>48</v>
      </c>
      <c r="M45" s="5" t="s">
        <v>18962</v>
      </c>
      <c r="N45" s="6">
        <v>9947.0</v>
      </c>
    </row>
    <row r="46" ht="56.25" customHeight="1">
      <c r="A46" s="5" t="s">
        <v>18963</v>
      </c>
      <c r="B46" s="6" t="str">
        <f>IMAGE("https://storage.googleapis.com/acdb/umbrellas/UmbrellaPear0.png")</f>
        <v/>
      </c>
      <c r="C46" s="5" t="s">
        <v>35</v>
      </c>
      <c r="D46" s="6">
        <v>5600.0</v>
      </c>
      <c r="E46" s="6">
        <v>1400.0</v>
      </c>
      <c r="F46" s="5" t="s">
        <v>114</v>
      </c>
      <c r="G46" s="5" t="s">
        <v>96</v>
      </c>
      <c r="H46" s="6" t="s">
        <v>40</v>
      </c>
      <c r="I46" s="5" t="s">
        <v>41</v>
      </c>
      <c r="J46" s="5"/>
      <c r="K46" s="6" t="s">
        <v>42</v>
      </c>
      <c r="L46" s="5" t="s">
        <v>48</v>
      </c>
      <c r="M46" s="5" t="s">
        <v>18967</v>
      </c>
      <c r="N46" s="6">
        <v>9950.0</v>
      </c>
    </row>
    <row r="47" ht="56.25" customHeight="1">
      <c r="A47" s="5" t="s">
        <v>18968</v>
      </c>
      <c r="B47" s="6" t="str">
        <f>IMAGE("https://storage.googleapis.com/acdb/umbrellas/UmbrellaMargaret0.png")</f>
        <v/>
      </c>
      <c r="C47" s="5" t="s">
        <v>36</v>
      </c>
      <c r="D47" s="6">
        <v>1590.0</v>
      </c>
      <c r="E47" s="6">
        <v>397.0</v>
      </c>
      <c r="F47" s="5" t="s">
        <v>57</v>
      </c>
      <c r="G47" s="5" t="s">
        <v>114</v>
      </c>
      <c r="H47" s="6" t="s">
        <v>40</v>
      </c>
      <c r="I47" s="5" t="s">
        <v>59</v>
      </c>
      <c r="J47" s="5" t="s">
        <v>7922</v>
      </c>
      <c r="K47" s="6" t="s">
        <v>42</v>
      </c>
      <c r="L47" s="5" t="s">
        <v>64</v>
      </c>
      <c r="M47" s="5" t="s">
        <v>18973</v>
      </c>
      <c r="N47" s="6">
        <v>7181.0</v>
      </c>
    </row>
    <row r="48" ht="56.25" customHeight="1">
      <c r="A48" s="5" t="s">
        <v>18974</v>
      </c>
      <c r="B48" s="6" t="str">
        <f>IMAGE("https://storage.googleapis.com/acdb/umbrellas/UmbrellaGingham3.png")</f>
        <v/>
      </c>
      <c r="C48" s="5" t="s">
        <v>36</v>
      </c>
      <c r="D48" s="6">
        <v>770.0</v>
      </c>
      <c r="E48" s="6">
        <v>192.0</v>
      </c>
      <c r="F48" s="5" t="s">
        <v>106</v>
      </c>
      <c r="G48" s="5" t="s">
        <v>69</v>
      </c>
      <c r="H48" s="6" t="s">
        <v>40</v>
      </c>
      <c r="I48" s="5" t="s">
        <v>59</v>
      </c>
      <c r="J48" s="5"/>
      <c r="K48" s="6" t="s">
        <v>42</v>
      </c>
      <c r="L48" s="5" t="s">
        <v>64</v>
      </c>
      <c r="M48" s="5" t="s">
        <v>18979</v>
      </c>
      <c r="N48" s="6">
        <v>9953.0</v>
      </c>
    </row>
    <row r="49" ht="56.25" customHeight="1">
      <c r="A49" s="5" t="s">
        <v>18980</v>
      </c>
      <c r="B49" s="6" t="str">
        <f>IMAGE("https://storage.googleapis.com/acdb/umbrellas/UmbrellaPineapple0.png")</f>
        <v/>
      </c>
      <c r="C49" s="5" t="s">
        <v>36</v>
      </c>
      <c r="D49" s="6">
        <v>1550.0</v>
      </c>
      <c r="E49" s="6">
        <v>387.0</v>
      </c>
      <c r="F49" s="5" t="s">
        <v>114</v>
      </c>
      <c r="G49" s="5" t="s">
        <v>96</v>
      </c>
      <c r="H49" s="6" t="s">
        <v>40</v>
      </c>
      <c r="I49" s="5" t="s">
        <v>59</v>
      </c>
      <c r="J49" s="5" t="s">
        <v>7922</v>
      </c>
      <c r="K49" s="6" t="s">
        <v>42</v>
      </c>
      <c r="L49" s="5" t="s">
        <v>64</v>
      </c>
      <c r="M49" s="5" t="s">
        <v>18983</v>
      </c>
      <c r="N49" s="6">
        <v>6910.0</v>
      </c>
    </row>
    <row r="50" ht="56.25" customHeight="1">
      <c r="A50" s="5" t="s">
        <v>18984</v>
      </c>
      <c r="B50" s="6" t="str">
        <f>IMAGE("https://storage.googleapis.com/acdb/umbrellas/UmbrellaPacodarace0.png")</f>
        <v/>
      </c>
      <c r="C50" s="5" t="s">
        <v>36</v>
      </c>
      <c r="D50" s="6">
        <v>1620.0</v>
      </c>
      <c r="E50" s="6">
        <v>405.0</v>
      </c>
      <c r="F50" s="5" t="s">
        <v>69</v>
      </c>
      <c r="G50" s="5" t="s">
        <v>57</v>
      </c>
      <c r="H50" s="6" t="s">
        <v>40</v>
      </c>
      <c r="I50" s="5" t="s">
        <v>59</v>
      </c>
      <c r="J50" s="5" t="s">
        <v>7922</v>
      </c>
      <c r="K50" s="6" t="s">
        <v>42</v>
      </c>
      <c r="L50" s="5" t="s">
        <v>64</v>
      </c>
      <c r="M50" s="5" t="s">
        <v>18988</v>
      </c>
      <c r="N50" s="6">
        <v>7176.0</v>
      </c>
    </row>
    <row r="51" ht="56.25" customHeight="1">
      <c r="A51" s="5" t="s">
        <v>18989</v>
      </c>
      <c r="B51" s="6" t="str">
        <f>IMAGE("https://storage.googleapis.com/acdb/umbrellas/UmbrellaSchool0.png")</f>
        <v/>
      </c>
      <c r="C51" s="5" t="s">
        <v>36</v>
      </c>
      <c r="D51" s="6">
        <v>770.0</v>
      </c>
      <c r="E51" s="6">
        <v>192.0</v>
      </c>
      <c r="F51" s="5" t="s">
        <v>69</v>
      </c>
      <c r="G51" s="5" t="s">
        <v>69</v>
      </c>
      <c r="H51" s="6" t="s">
        <v>40</v>
      </c>
      <c r="I51" s="5" t="s">
        <v>59</v>
      </c>
      <c r="J51" s="5"/>
      <c r="K51" s="6" t="s">
        <v>42</v>
      </c>
      <c r="L51" s="5" t="s">
        <v>64</v>
      </c>
      <c r="M51" s="5" t="s">
        <v>18992</v>
      </c>
      <c r="N51" s="6">
        <v>7164.0</v>
      </c>
    </row>
    <row r="52" ht="56.25" customHeight="1">
      <c r="A52" s="5" t="s">
        <v>18993</v>
      </c>
      <c r="B52" s="6" t="str">
        <f>IMAGE("https://storage.googleapis.com/acdb/umbrellas/UmbrellaPacoda0.png")</f>
        <v/>
      </c>
      <c r="C52" s="5" t="s">
        <v>36</v>
      </c>
      <c r="D52" s="6">
        <v>1620.0</v>
      </c>
      <c r="E52" s="6">
        <v>405.0</v>
      </c>
      <c r="F52" s="5" t="s">
        <v>106</v>
      </c>
      <c r="G52" s="5" t="s">
        <v>54</v>
      </c>
      <c r="H52" s="6" t="s">
        <v>40</v>
      </c>
      <c r="I52" s="5" t="s">
        <v>59</v>
      </c>
      <c r="J52" s="5" t="s">
        <v>7922</v>
      </c>
      <c r="K52" s="6" t="s">
        <v>42</v>
      </c>
      <c r="L52" s="5" t="s">
        <v>64</v>
      </c>
      <c r="M52" s="5" t="s">
        <v>18997</v>
      </c>
      <c r="N52" s="6">
        <v>7183.0</v>
      </c>
    </row>
    <row r="53" ht="56.25" customHeight="1">
      <c r="A53" s="5" t="s">
        <v>18998</v>
      </c>
      <c r="B53" s="6" t="str">
        <f>IMAGE("https://storage.googleapis.com/acdb/umbrellas/UmbrellaPacodarace1.png")</f>
        <v/>
      </c>
      <c r="C53" s="5" t="s">
        <v>36</v>
      </c>
      <c r="D53" s="6">
        <v>1620.0</v>
      </c>
      <c r="E53" s="6">
        <v>405.0</v>
      </c>
      <c r="F53" s="5" t="s">
        <v>106</v>
      </c>
      <c r="G53" s="5" t="s">
        <v>57</v>
      </c>
      <c r="H53" s="6" t="s">
        <v>40</v>
      </c>
      <c r="I53" s="5" t="s">
        <v>59</v>
      </c>
      <c r="J53" s="5" t="s">
        <v>7922</v>
      </c>
      <c r="K53" s="6" t="s">
        <v>42</v>
      </c>
      <c r="L53" s="5" t="s">
        <v>64</v>
      </c>
      <c r="M53" s="5" t="s">
        <v>19001</v>
      </c>
      <c r="N53" s="6">
        <v>12133.0</v>
      </c>
    </row>
    <row r="54" ht="56.25" customHeight="1">
      <c r="A54" s="5" t="s">
        <v>19002</v>
      </c>
      <c r="B54" s="6" t="str">
        <f>IMAGE("https://storage.googleapis.com/acdb/umbrellas/UmbrellaRainbow0.png")</f>
        <v/>
      </c>
      <c r="C54" s="5" t="s">
        <v>36</v>
      </c>
      <c r="D54" s="6">
        <v>840.0</v>
      </c>
      <c r="E54" s="6">
        <v>210.0</v>
      </c>
      <c r="F54" s="5" t="s">
        <v>58</v>
      </c>
      <c r="G54" s="5" t="s">
        <v>58</v>
      </c>
      <c r="H54" s="6" t="s">
        <v>40</v>
      </c>
      <c r="I54" s="5" t="s">
        <v>59</v>
      </c>
      <c r="J54" s="5"/>
      <c r="K54" s="6" t="s">
        <v>42</v>
      </c>
      <c r="L54" s="5" t="s">
        <v>64</v>
      </c>
      <c r="M54" s="5" t="s">
        <v>19006</v>
      </c>
      <c r="N54" s="6">
        <v>7179.0</v>
      </c>
    </row>
    <row r="55" ht="56.25" customHeight="1">
      <c r="A55" s="5" t="s">
        <v>19007</v>
      </c>
      <c r="B55" s="6" t="str">
        <f>IMAGE("https://storage.googleapis.com/acdb/umbrellas/UmbrellaRain0.png")</f>
        <v/>
      </c>
      <c r="C55" s="5" t="s">
        <v>36</v>
      </c>
      <c r="D55" s="6">
        <v>750.0</v>
      </c>
      <c r="E55" s="6">
        <v>187.0</v>
      </c>
      <c r="F55" s="5" t="s">
        <v>114</v>
      </c>
      <c r="G55" s="5" t="s">
        <v>83</v>
      </c>
      <c r="H55" s="6" t="s">
        <v>40</v>
      </c>
      <c r="I55" s="5" t="s">
        <v>59</v>
      </c>
      <c r="J55" s="5"/>
      <c r="K55" s="6" t="s">
        <v>42</v>
      </c>
      <c r="L55" s="5" t="s">
        <v>64</v>
      </c>
      <c r="M55" s="5" t="s">
        <v>19010</v>
      </c>
      <c r="N55" s="6">
        <v>6913.0</v>
      </c>
    </row>
    <row r="56" ht="56.25" customHeight="1">
      <c r="A56" s="5" t="s">
        <v>19011</v>
      </c>
      <c r="B56" s="6" t="str">
        <f>IMAGE("https://storage.googleapis.com/acdb/umbrellas/UmbrellaPacodarace6.png")</f>
        <v/>
      </c>
      <c r="C56" s="5" t="s">
        <v>36</v>
      </c>
      <c r="D56" s="6">
        <v>1620.0</v>
      </c>
      <c r="E56" s="6">
        <v>405.0</v>
      </c>
      <c r="F56" s="5" t="s">
        <v>52</v>
      </c>
      <c r="G56" s="5" t="s">
        <v>54</v>
      </c>
      <c r="H56" s="6" t="s">
        <v>40</v>
      </c>
      <c r="I56" s="5" t="s">
        <v>59</v>
      </c>
      <c r="J56" s="5" t="s">
        <v>7922</v>
      </c>
      <c r="K56" s="6" t="s">
        <v>42</v>
      </c>
      <c r="L56" s="5" t="s">
        <v>64</v>
      </c>
      <c r="M56" s="5" t="s">
        <v>19015</v>
      </c>
      <c r="N56" s="6">
        <v>12138.0</v>
      </c>
    </row>
    <row r="57" ht="56.25" customHeight="1">
      <c r="A57" s="5" t="s">
        <v>19016</v>
      </c>
      <c r="B57" s="6" t="str">
        <f>IMAGE("https://storage.googleapis.com/acdb/umbrellas/UmbrellaStandard1.png")</f>
        <v/>
      </c>
      <c r="C57" s="5" t="s">
        <v>36</v>
      </c>
      <c r="D57" s="6">
        <v>770.0</v>
      </c>
      <c r="E57" s="6">
        <v>192.0</v>
      </c>
      <c r="F57" s="5" t="s">
        <v>52</v>
      </c>
      <c r="G57" s="5" t="s">
        <v>52</v>
      </c>
      <c r="H57" s="6" t="s">
        <v>40</v>
      </c>
      <c r="I57" s="5" t="s">
        <v>59</v>
      </c>
      <c r="J57" s="5"/>
      <c r="K57" s="6" t="s">
        <v>42</v>
      </c>
      <c r="L57" s="5" t="s">
        <v>64</v>
      </c>
      <c r="M57" s="5" t="s">
        <v>19019</v>
      </c>
      <c r="N57" s="6">
        <v>9958.0</v>
      </c>
    </row>
    <row r="58" ht="56.25" customHeight="1">
      <c r="A58" s="5" t="s">
        <v>19020</v>
      </c>
      <c r="B58" s="6" t="str">
        <f>IMAGE("https://storage.googleapis.com/acdb/umbrellas/UmbrellaCrystal0.png")</f>
        <v/>
      </c>
      <c r="C58" s="5" t="s">
        <v>36</v>
      </c>
      <c r="D58" s="6">
        <v>1550.0</v>
      </c>
      <c r="E58" s="6">
        <v>387.0</v>
      </c>
      <c r="F58" s="5" t="s">
        <v>83</v>
      </c>
      <c r="G58" s="5" t="s">
        <v>83</v>
      </c>
      <c r="H58" s="6" t="s">
        <v>40</v>
      </c>
      <c r="I58" s="5" t="s">
        <v>59</v>
      </c>
      <c r="J58" s="5" t="s">
        <v>7922</v>
      </c>
      <c r="K58" s="6" t="s">
        <v>42</v>
      </c>
      <c r="L58" s="5" t="s">
        <v>64</v>
      </c>
      <c r="M58" s="5" t="s">
        <v>19022</v>
      </c>
      <c r="N58" s="6">
        <v>6905.0</v>
      </c>
    </row>
    <row r="59" ht="56.25" customHeight="1">
      <c r="A59" s="5" t="s">
        <v>19023</v>
      </c>
      <c r="B59" s="6" t="str">
        <f>IMAGE("https://storage.googleapis.com/acdb/umbrellas/UmbrellaSpider0.png")</f>
        <v/>
      </c>
      <c r="C59" s="5" t="s">
        <v>36</v>
      </c>
      <c r="D59" s="6">
        <v>840.0</v>
      </c>
      <c r="E59" s="6">
        <v>210.0</v>
      </c>
      <c r="F59" s="5" t="s">
        <v>54</v>
      </c>
      <c r="G59" s="5" t="s">
        <v>57</v>
      </c>
      <c r="H59" s="6" t="s">
        <v>40</v>
      </c>
      <c r="I59" s="5" t="s">
        <v>59</v>
      </c>
      <c r="J59" s="5"/>
      <c r="K59" s="6" t="s">
        <v>42</v>
      </c>
      <c r="L59" s="5" t="s">
        <v>64</v>
      </c>
      <c r="M59" s="5" t="s">
        <v>19026</v>
      </c>
      <c r="N59" s="6">
        <v>7173.0</v>
      </c>
    </row>
    <row r="60" ht="56.25" customHeight="1">
      <c r="A60" s="5" t="s">
        <v>19027</v>
      </c>
      <c r="B60" s="6" t="str">
        <f>IMAGE("https://storage.googleapis.com/acdb/umbrellas/UmbrellaStrawberry0.png")</f>
        <v/>
      </c>
      <c r="C60" s="5" t="s">
        <v>36</v>
      </c>
      <c r="D60" s="6">
        <v>1550.0</v>
      </c>
      <c r="E60" s="6">
        <v>387.0</v>
      </c>
      <c r="F60" s="5" t="s">
        <v>69</v>
      </c>
      <c r="G60" s="5" t="s">
        <v>96</v>
      </c>
      <c r="H60" s="6" t="s">
        <v>40</v>
      </c>
      <c r="I60" s="5" t="s">
        <v>59</v>
      </c>
      <c r="J60" s="5" t="s">
        <v>7922</v>
      </c>
      <c r="K60" s="6" t="s">
        <v>42</v>
      </c>
      <c r="L60" s="5" t="s">
        <v>64</v>
      </c>
      <c r="M60" s="5" t="s">
        <v>19030</v>
      </c>
      <c r="N60" s="6">
        <v>6907.0</v>
      </c>
    </row>
    <row r="61" ht="56.25" customHeight="1">
      <c r="A61" s="5" t="s">
        <v>19032</v>
      </c>
      <c r="B61" s="6" t="str">
        <f>IMAGE("https://storage.googleapis.com/acdb/umbrellas/UmbrellaStripe0.png")</f>
        <v/>
      </c>
      <c r="C61" s="5" t="s">
        <v>36</v>
      </c>
      <c r="D61" s="6">
        <v>750.0</v>
      </c>
      <c r="E61" s="6">
        <v>187.0</v>
      </c>
      <c r="F61" s="5" t="s">
        <v>95</v>
      </c>
      <c r="G61" s="5" t="s">
        <v>57</v>
      </c>
      <c r="H61" s="6" t="s">
        <v>40</v>
      </c>
      <c r="I61" s="5" t="s">
        <v>59</v>
      </c>
      <c r="J61" s="5"/>
      <c r="K61" s="6" t="s">
        <v>42</v>
      </c>
      <c r="L61" s="5" t="s">
        <v>64</v>
      </c>
      <c r="M61" s="5" t="s">
        <v>19034</v>
      </c>
      <c r="N61" s="6">
        <v>6916.0</v>
      </c>
    </row>
    <row r="62" ht="56.25" customHeight="1">
      <c r="A62" s="5" t="s">
        <v>19035</v>
      </c>
      <c r="B62" s="6" t="str">
        <f>IMAGE("https://storage.googleapis.com/acdb/umbrellas/UmbrellaSunflower0.png")</f>
        <v/>
      </c>
      <c r="C62" s="5" t="s">
        <v>36</v>
      </c>
      <c r="D62" s="6">
        <v>750.0</v>
      </c>
      <c r="E62" s="6">
        <v>187.0</v>
      </c>
      <c r="F62" s="5" t="s">
        <v>114</v>
      </c>
      <c r="G62" s="5" t="s">
        <v>57</v>
      </c>
      <c r="H62" s="6" t="s">
        <v>40</v>
      </c>
      <c r="I62" s="5" t="s">
        <v>59</v>
      </c>
      <c r="J62" s="5"/>
      <c r="K62" s="6" t="s">
        <v>42</v>
      </c>
      <c r="L62" s="5" t="s">
        <v>64</v>
      </c>
      <c r="M62" s="5" t="s">
        <v>19040</v>
      </c>
      <c r="N62" s="6">
        <v>6904.0</v>
      </c>
    </row>
    <row r="63" ht="56.25" customHeight="1">
      <c r="A63" s="5" t="s">
        <v>19041</v>
      </c>
      <c r="B63" s="6" t="str">
        <f>IMAGE("https://storage.googleapis.com/acdb/umbrellas/UmbrellaPlaid0.png")</f>
        <v/>
      </c>
      <c r="C63" s="5" t="s">
        <v>36</v>
      </c>
      <c r="D63" s="6">
        <v>750.0</v>
      </c>
      <c r="E63" s="6">
        <v>187.0</v>
      </c>
      <c r="F63" s="5" t="s">
        <v>52</v>
      </c>
      <c r="G63" s="5" t="s">
        <v>96</v>
      </c>
      <c r="H63" s="6" t="s">
        <v>40</v>
      </c>
      <c r="I63" s="5" t="s">
        <v>59</v>
      </c>
      <c r="J63" s="5"/>
      <c r="K63" s="6" t="s">
        <v>42</v>
      </c>
      <c r="L63" s="5" t="s">
        <v>64</v>
      </c>
      <c r="M63" s="5" t="s">
        <v>19043</v>
      </c>
      <c r="N63" s="6">
        <v>6917.0</v>
      </c>
    </row>
    <row r="64" ht="56.25" customHeight="1">
      <c r="A64" s="5" t="s">
        <v>19044</v>
      </c>
      <c r="B64" s="6" t="str">
        <f>IMAGE("https://storage.googleapis.com/acdb/umbrellas/UmbrellaPolkadotRed.png")</f>
        <v/>
      </c>
      <c r="C64" s="5" t="s">
        <v>36</v>
      </c>
      <c r="D64" s="6">
        <v>750.0</v>
      </c>
      <c r="E64" s="6">
        <v>187.0</v>
      </c>
      <c r="F64" s="5" t="s">
        <v>52</v>
      </c>
      <c r="G64" s="5" t="s">
        <v>57</v>
      </c>
      <c r="H64" s="6" t="s">
        <v>40</v>
      </c>
      <c r="I64" s="5" t="s">
        <v>59</v>
      </c>
      <c r="J64" s="5"/>
      <c r="K64" s="6" t="s">
        <v>42</v>
      </c>
      <c r="L64" s="5" t="s">
        <v>64</v>
      </c>
      <c r="M64" s="5" t="s">
        <v>19047</v>
      </c>
      <c r="N64" s="6">
        <v>5861.0</v>
      </c>
    </row>
    <row r="65" ht="56.25" customHeight="1">
      <c r="A65" s="5" t="s">
        <v>19048</v>
      </c>
      <c r="B65" s="6" t="str">
        <f>IMAGE("https://storage.googleapis.com/acdb/umbrellas/UmbrellaTwocolor0.png")</f>
        <v/>
      </c>
      <c r="C65" s="5" t="s">
        <v>36</v>
      </c>
      <c r="D65" s="6">
        <v>770.0</v>
      </c>
      <c r="E65" s="6">
        <v>192.0</v>
      </c>
      <c r="F65" s="5" t="s">
        <v>52</v>
      </c>
      <c r="G65" s="5" t="s">
        <v>114</v>
      </c>
      <c r="H65" s="6" t="s">
        <v>40</v>
      </c>
      <c r="I65" s="5" t="s">
        <v>59</v>
      </c>
      <c r="J65" s="5"/>
      <c r="K65" s="6" t="s">
        <v>42</v>
      </c>
      <c r="L65" s="5" t="s">
        <v>64</v>
      </c>
      <c r="M65" s="5" t="s">
        <v>19051</v>
      </c>
      <c r="N65" s="6">
        <v>7166.0</v>
      </c>
    </row>
    <row r="66" ht="56.25" customHeight="1">
      <c r="A66" s="5" t="s">
        <v>19052</v>
      </c>
      <c r="B66" s="6" t="str">
        <f>IMAGE("https://storage.googleapis.com/acdb/umbrellas/UmbrellaVinyl0.png")</f>
        <v/>
      </c>
      <c r="C66" s="5" t="s">
        <v>36</v>
      </c>
      <c r="D66" s="6">
        <v>770.0</v>
      </c>
      <c r="E66" s="6">
        <v>192.0</v>
      </c>
      <c r="F66" s="5" t="s">
        <v>57</v>
      </c>
      <c r="G66" s="5" t="s">
        <v>57</v>
      </c>
      <c r="H66" s="6" t="s">
        <v>40</v>
      </c>
      <c r="I66" s="5" t="s">
        <v>59</v>
      </c>
      <c r="J66" s="5"/>
      <c r="K66" s="6" t="s">
        <v>42</v>
      </c>
      <c r="L66" s="5" t="s">
        <v>64</v>
      </c>
      <c r="M66" s="5" t="s">
        <v>19056</v>
      </c>
      <c r="N66" s="6">
        <v>7165.0</v>
      </c>
    </row>
    <row r="67" ht="56.25" customHeight="1">
      <c r="A67" s="5" t="s">
        <v>19057</v>
      </c>
      <c r="B67" s="6" t="str">
        <f>IMAGE("https://storage.googleapis.com/acdb/umbrellas/UmbrellaWater0.png")</f>
        <v/>
      </c>
      <c r="C67" s="5" t="s">
        <v>36</v>
      </c>
      <c r="D67" s="6">
        <v>1550.0</v>
      </c>
      <c r="E67" s="6">
        <v>387.0</v>
      </c>
      <c r="F67" s="5" t="s">
        <v>52</v>
      </c>
      <c r="G67" s="5" t="s">
        <v>96</v>
      </c>
      <c r="H67" s="6" t="s">
        <v>40</v>
      </c>
      <c r="I67" s="5" t="s">
        <v>59</v>
      </c>
      <c r="J67" s="5" t="s">
        <v>7922</v>
      </c>
      <c r="K67" s="6" t="s">
        <v>42</v>
      </c>
      <c r="L67" s="5" t="s">
        <v>64</v>
      </c>
      <c r="M67" s="5" t="s">
        <v>19064</v>
      </c>
      <c r="N67" s="6">
        <v>6909.0</v>
      </c>
    </row>
    <row r="68" ht="56.25" customHeight="1">
      <c r="A68" s="5" t="s">
        <v>19065</v>
      </c>
      <c r="B68" s="6" t="str">
        <f>IMAGE("https://storage.googleapis.com/acdb/umbrellas/UmbrellaPacodarace3.png")</f>
        <v/>
      </c>
      <c r="C68" s="5" t="s">
        <v>36</v>
      </c>
      <c r="D68" s="6">
        <v>1620.0</v>
      </c>
      <c r="E68" s="6">
        <v>405.0</v>
      </c>
      <c r="F68" s="5" t="s">
        <v>57</v>
      </c>
      <c r="G68" s="5" t="s">
        <v>57</v>
      </c>
      <c r="H68" s="6" t="s">
        <v>40</v>
      </c>
      <c r="I68" s="5" t="s">
        <v>59</v>
      </c>
      <c r="J68" s="5" t="s">
        <v>7922</v>
      </c>
      <c r="K68" s="6" t="s">
        <v>42</v>
      </c>
      <c r="L68" s="5" t="s">
        <v>64</v>
      </c>
      <c r="M68" s="5" t="s">
        <v>19067</v>
      </c>
      <c r="N68" s="6">
        <v>12135.0</v>
      </c>
    </row>
  </sheetData>
  <printOptions gridLines="1" horizontalCentered="1"/>
  <pageMargins bottom="0.75" footer="0.0" header="0.0" left="0.7" right="0.7" top="0.75"/>
  <pageSetup fitToHeight="0" paperSize="9" cellComments="atEnd" orientation="portrait" pageOrder="overThenDown"/>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2" width="10.86"/>
    <col customWidth="1" min="3" max="4" width="5.86"/>
    <col customWidth="1" min="5" max="6" width="8.0"/>
    <col customWidth="1" min="7" max="7" width="5.14"/>
    <col customWidth="1" min="8" max="8" width="12.29"/>
    <col customWidth="1" min="9" max="9" width="25.14"/>
    <col customWidth="1" min="10" max="11" width="8.0"/>
    <col customWidth="1" min="12" max="12" width="10.86"/>
    <col customWidth="1" min="13" max="13" width="8.0"/>
  </cols>
  <sheetData>
    <row r="1" ht="26.25" customHeight="1">
      <c r="A1" s="1" t="s">
        <v>0</v>
      </c>
      <c r="B1" s="2" t="s">
        <v>1</v>
      </c>
      <c r="C1" s="2" t="s">
        <v>10</v>
      </c>
      <c r="D1" s="2" t="s">
        <v>11</v>
      </c>
      <c r="E1" s="1" t="s">
        <v>12</v>
      </c>
      <c r="F1" s="1" t="s">
        <v>13</v>
      </c>
      <c r="G1" s="2" t="s">
        <v>14</v>
      </c>
      <c r="H1" s="1" t="s">
        <v>15</v>
      </c>
      <c r="I1" s="1" t="s">
        <v>16</v>
      </c>
      <c r="J1" s="2" t="s">
        <v>17</v>
      </c>
      <c r="K1" s="1" t="s">
        <v>26</v>
      </c>
      <c r="L1" s="1" t="s">
        <v>27</v>
      </c>
      <c r="M1" s="2" t="s">
        <v>29</v>
      </c>
    </row>
    <row r="2" ht="56.25" customHeight="1">
      <c r="A2" s="5" t="s">
        <v>18734</v>
      </c>
      <c r="B2" s="6" t="str">
        <f>IMAGE("https://storage.googleapis.com/acdb/music/mjk_Keiji.png")</f>
        <v/>
      </c>
      <c r="C2" s="6">
        <v>3200.0</v>
      </c>
      <c r="D2" s="6">
        <v>800.0</v>
      </c>
      <c r="E2" s="5" t="s">
        <v>39</v>
      </c>
      <c r="F2" s="5" t="s">
        <v>142</v>
      </c>
      <c r="G2" s="6" t="s">
        <v>40</v>
      </c>
      <c r="H2" s="5" t="s">
        <v>18737</v>
      </c>
      <c r="I2" s="5" t="s">
        <v>18739</v>
      </c>
      <c r="J2" s="6" t="s">
        <v>42</v>
      </c>
      <c r="K2" s="5" t="s">
        <v>64</v>
      </c>
      <c r="L2" s="5" t="s">
        <v>18741</v>
      </c>
      <c r="M2" s="6">
        <v>2472.0</v>
      </c>
    </row>
    <row r="3" ht="56.25" customHeight="1">
      <c r="A3" s="5" t="s">
        <v>18742</v>
      </c>
      <c r="B3" s="6" t="str">
        <f>IMAGE("https://storage.googleapis.com/acdb/music/mjk_Aloha.png")</f>
        <v/>
      </c>
      <c r="C3" s="6">
        <v>3200.0</v>
      </c>
      <c r="D3" s="6">
        <v>800.0</v>
      </c>
      <c r="E3" s="5" t="s">
        <v>39</v>
      </c>
      <c r="F3" s="5" t="s">
        <v>83</v>
      </c>
      <c r="G3" s="6" t="s">
        <v>40</v>
      </c>
      <c r="H3" s="5" t="s">
        <v>18737</v>
      </c>
      <c r="I3" s="5" t="s">
        <v>18746</v>
      </c>
      <c r="J3" s="6" t="s">
        <v>42</v>
      </c>
      <c r="K3" s="5" t="s">
        <v>64</v>
      </c>
      <c r="L3" s="5" t="s">
        <v>18747</v>
      </c>
      <c r="M3" s="6">
        <v>2423.0</v>
      </c>
    </row>
    <row r="4" ht="56.25" customHeight="1">
      <c r="A4" s="5" t="s">
        <v>18748</v>
      </c>
      <c r="B4" s="6" t="str">
        <f>IMAGE("https://storage.googleapis.com/acdb/music/mjk_DoubutuNoMachi.png")</f>
        <v/>
      </c>
      <c r="C4" s="6" t="s">
        <v>37</v>
      </c>
      <c r="D4" s="6">
        <v>800.0</v>
      </c>
      <c r="E4" s="5" t="s">
        <v>39</v>
      </c>
      <c r="F4" s="5" t="s">
        <v>44</v>
      </c>
      <c r="G4" s="6" t="s">
        <v>40</v>
      </c>
      <c r="H4" s="5" t="s">
        <v>18752</v>
      </c>
      <c r="I4" s="5" t="s">
        <v>18753</v>
      </c>
      <c r="J4" s="6" t="s">
        <v>42</v>
      </c>
      <c r="K4" s="5" t="s">
        <v>48</v>
      </c>
      <c r="L4" s="5" t="s">
        <v>18754</v>
      </c>
      <c r="M4" s="6">
        <v>4312.0</v>
      </c>
    </row>
    <row r="5" ht="56.25" customHeight="1">
      <c r="A5" s="5" t="s">
        <v>18755</v>
      </c>
      <c r="B5" s="6" t="str">
        <f>IMAGE("https://storage.googleapis.com/acdb/music/mjk_Idol.png")</f>
        <v/>
      </c>
      <c r="C5" s="6">
        <v>3200.0</v>
      </c>
      <c r="D5" s="6">
        <v>800.0</v>
      </c>
      <c r="E5" s="5" t="s">
        <v>39</v>
      </c>
      <c r="F5" s="5" t="s">
        <v>83</v>
      </c>
      <c r="G5" s="6" t="s">
        <v>40</v>
      </c>
      <c r="H5" s="5" t="s">
        <v>18737</v>
      </c>
      <c r="I5" s="5" t="s">
        <v>18756</v>
      </c>
      <c r="J5" s="6" t="s">
        <v>42</v>
      </c>
      <c r="K5" s="5" t="s">
        <v>64</v>
      </c>
      <c r="L5" s="5" t="s">
        <v>18758</v>
      </c>
      <c r="M5" s="6">
        <v>2492.0</v>
      </c>
    </row>
    <row r="6" ht="56.25" customHeight="1">
      <c r="A6" s="5" t="s">
        <v>18760</v>
      </c>
      <c r="B6" s="6" t="str">
        <f>IMAGE("https://storage.googleapis.com/acdb/music/mjk_Paris.png")</f>
        <v/>
      </c>
      <c r="C6" s="6">
        <v>3200.0</v>
      </c>
      <c r="D6" s="6">
        <v>800.0</v>
      </c>
      <c r="E6" s="5" t="s">
        <v>39</v>
      </c>
      <c r="F6" s="5" t="s">
        <v>58</v>
      </c>
      <c r="G6" s="6" t="s">
        <v>40</v>
      </c>
      <c r="H6" s="5" t="s">
        <v>18737</v>
      </c>
      <c r="I6" s="5" t="s">
        <v>18756</v>
      </c>
      <c r="J6" s="6" t="s">
        <v>42</v>
      </c>
      <c r="K6" s="5" t="s">
        <v>64</v>
      </c>
      <c r="L6" s="5" t="s">
        <v>18763</v>
      </c>
      <c r="M6" s="6">
        <v>2454.0</v>
      </c>
    </row>
    <row r="7" ht="56.25" customHeight="1">
      <c r="A7" s="5" t="s">
        <v>18765</v>
      </c>
      <c r="B7" s="6" t="str">
        <f>IMAGE("https://storage.googleapis.com/acdb/music/mjk_ShowaKayo.png")</f>
        <v/>
      </c>
      <c r="C7" s="6">
        <v>3200.0</v>
      </c>
      <c r="D7" s="6">
        <v>800.0</v>
      </c>
      <c r="E7" s="5" t="s">
        <v>39</v>
      </c>
      <c r="F7" s="5" t="s">
        <v>57</v>
      </c>
      <c r="G7" s="6" t="s">
        <v>40</v>
      </c>
      <c r="H7" s="5" t="s">
        <v>18737</v>
      </c>
      <c r="I7" s="5" t="s">
        <v>18767</v>
      </c>
      <c r="J7" s="6" t="s">
        <v>42</v>
      </c>
      <c r="K7" s="5" t="s">
        <v>64</v>
      </c>
      <c r="L7" s="5" t="s">
        <v>18768</v>
      </c>
      <c r="M7" s="6">
        <v>2448.0</v>
      </c>
    </row>
    <row r="8" ht="56.25" customHeight="1">
      <c r="A8" s="5" t="s">
        <v>18769</v>
      </c>
      <c r="B8" s="6" t="str">
        <f>IMAGE("https://storage.googleapis.com/acdb/music/mjk_EuroBeat.png")</f>
        <v/>
      </c>
      <c r="C8" s="6">
        <v>3200.0</v>
      </c>
      <c r="D8" s="6">
        <v>800.0</v>
      </c>
      <c r="E8" s="5" t="s">
        <v>39</v>
      </c>
      <c r="F8" s="5" t="s">
        <v>69</v>
      </c>
      <c r="G8" s="6" t="s">
        <v>40</v>
      </c>
      <c r="H8" s="5" t="s">
        <v>18737</v>
      </c>
      <c r="I8" s="5" t="s">
        <v>18773</v>
      </c>
      <c r="J8" s="6" t="s">
        <v>42</v>
      </c>
      <c r="K8" s="5" t="s">
        <v>64</v>
      </c>
      <c r="L8" s="5" t="s">
        <v>18774</v>
      </c>
      <c r="M8" s="6">
        <v>2443.0</v>
      </c>
    </row>
    <row r="9" ht="56.25" customHeight="1">
      <c r="A9" s="5" t="s">
        <v>18776</v>
      </c>
      <c r="B9" s="6" t="str">
        <f>IMAGE("https://storage.googleapis.com/acdb/music/mjk_Drive.png")</f>
        <v/>
      </c>
      <c r="C9" s="6" t="s">
        <v>37</v>
      </c>
      <c r="D9" s="6">
        <v>800.0</v>
      </c>
      <c r="E9" s="5" t="s">
        <v>39</v>
      </c>
      <c r="F9" s="5" t="s">
        <v>44</v>
      </c>
      <c r="G9" s="6" t="s">
        <v>40</v>
      </c>
      <c r="H9" s="5" t="s">
        <v>18752</v>
      </c>
      <c r="I9" s="5" t="s">
        <v>18753</v>
      </c>
      <c r="J9" s="6" t="s">
        <v>42</v>
      </c>
      <c r="K9" s="5" t="s">
        <v>48</v>
      </c>
      <c r="L9" s="5" t="s">
        <v>18779</v>
      </c>
      <c r="M9" s="6">
        <v>4314.0</v>
      </c>
    </row>
    <row r="10" ht="56.25" customHeight="1">
      <c r="A10" s="5" t="s">
        <v>18782</v>
      </c>
      <c r="B10" s="6" t="str">
        <f>IMAGE("https://storage.googleapis.com/acdb/music/mjk_Sayonara.png")</f>
        <v/>
      </c>
      <c r="C10" s="6" t="s">
        <v>37</v>
      </c>
      <c r="D10" s="6">
        <v>800.0</v>
      </c>
      <c r="E10" s="5" t="s">
        <v>39</v>
      </c>
      <c r="F10" s="5" t="s">
        <v>44</v>
      </c>
      <c r="G10" s="6" t="s">
        <v>40</v>
      </c>
      <c r="H10" s="5" t="s">
        <v>18752</v>
      </c>
      <c r="I10" s="5" t="s">
        <v>18753</v>
      </c>
      <c r="J10" s="6" t="s">
        <v>42</v>
      </c>
      <c r="K10" s="5" t="s">
        <v>48</v>
      </c>
      <c r="L10" s="5" t="s">
        <v>18786</v>
      </c>
      <c r="M10" s="6">
        <v>4313.0</v>
      </c>
    </row>
    <row r="11" ht="56.25" customHeight="1">
      <c r="A11" s="5" t="s">
        <v>18787</v>
      </c>
      <c r="B11" s="6" t="str">
        <f>IMAGE("https://storage.googleapis.com/acdb/music/mjk_MoriNoSeikatsu.png")</f>
        <v/>
      </c>
      <c r="C11" s="6">
        <v>3200.0</v>
      </c>
      <c r="D11" s="6">
        <v>800.0</v>
      </c>
      <c r="E11" s="5" t="s">
        <v>39</v>
      </c>
      <c r="F11" s="5" t="s">
        <v>114</v>
      </c>
      <c r="G11" s="6" t="s">
        <v>40</v>
      </c>
      <c r="H11" s="5" t="s">
        <v>18737</v>
      </c>
      <c r="I11" s="5" t="s">
        <v>18746</v>
      </c>
      <c r="J11" s="6" t="s">
        <v>42</v>
      </c>
      <c r="K11" s="5" t="s">
        <v>64</v>
      </c>
      <c r="L11" s="5" t="s">
        <v>18790</v>
      </c>
      <c r="M11" s="6">
        <v>2461.0</v>
      </c>
    </row>
    <row r="12" ht="56.25" customHeight="1">
      <c r="A12" s="5" t="s">
        <v>18791</v>
      </c>
      <c r="B12" s="6" t="str">
        <f>IMAGE("https://storage.googleapis.com/acdb/music/mjk_KekeRider.png")</f>
        <v/>
      </c>
      <c r="C12" s="6">
        <v>3200.0</v>
      </c>
      <c r="D12" s="6">
        <v>800.0</v>
      </c>
      <c r="E12" s="5" t="s">
        <v>39</v>
      </c>
      <c r="F12" s="5" t="s">
        <v>57</v>
      </c>
      <c r="G12" s="6" t="s">
        <v>40</v>
      </c>
      <c r="H12" s="5" t="s">
        <v>18737</v>
      </c>
      <c r="I12" s="5" t="s">
        <v>18773</v>
      </c>
      <c r="J12" s="6" t="s">
        <v>42</v>
      </c>
      <c r="K12" s="5" t="s">
        <v>64</v>
      </c>
      <c r="L12" s="5" t="s">
        <v>18795</v>
      </c>
      <c r="M12" s="6">
        <v>2450.0</v>
      </c>
    </row>
    <row r="13" ht="56.25" customHeight="1">
      <c r="A13" s="5" t="s">
        <v>18796</v>
      </c>
      <c r="B13" s="6" t="str">
        <f>IMAGE("https://storage.googleapis.com/acdb/music/mjk_UtataneNoYume.png")</f>
        <v/>
      </c>
      <c r="C13" s="6">
        <v>3200.0</v>
      </c>
      <c r="D13" s="6">
        <v>800.0</v>
      </c>
      <c r="E13" s="5" t="s">
        <v>39</v>
      </c>
      <c r="F13" s="5" t="s">
        <v>57</v>
      </c>
      <c r="G13" s="6" t="s">
        <v>40</v>
      </c>
      <c r="H13" s="5" t="s">
        <v>18737</v>
      </c>
      <c r="I13" s="5" t="s">
        <v>18739</v>
      </c>
      <c r="J13" s="6" t="s">
        <v>42</v>
      </c>
      <c r="K13" s="5" t="s">
        <v>64</v>
      </c>
      <c r="L13" s="5" t="s">
        <v>18799</v>
      </c>
      <c r="M13" s="6">
        <v>2480.0</v>
      </c>
    </row>
    <row r="14" ht="56.25" customHeight="1">
      <c r="A14" s="5" t="s">
        <v>18800</v>
      </c>
      <c r="B14" s="6" t="str">
        <f>IMAGE("https://storage.googleapis.com/acdb/music/mjk_Daisuki.png")</f>
        <v/>
      </c>
      <c r="C14" s="6">
        <v>3200.0</v>
      </c>
      <c r="D14" s="6">
        <v>800.0</v>
      </c>
      <c r="E14" s="5" t="s">
        <v>39</v>
      </c>
      <c r="F14" s="5" t="s">
        <v>58</v>
      </c>
      <c r="G14" s="6" t="s">
        <v>40</v>
      </c>
      <c r="H14" s="5" t="s">
        <v>18737</v>
      </c>
      <c r="I14" s="5" t="s">
        <v>18746</v>
      </c>
      <c r="J14" s="6" t="s">
        <v>42</v>
      </c>
      <c r="K14" s="5" t="s">
        <v>64</v>
      </c>
      <c r="L14" s="5" t="s">
        <v>18802</v>
      </c>
      <c r="M14" s="6">
        <v>2458.0</v>
      </c>
    </row>
    <row r="15" ht="56.25" customHeight="1">
      <c r="A15" s="5" t="s">
        <v>18804</v>
      </c>
      <c r="B15" s="6" t="str">
        <f>IMAGE("https://storage.googleapis.com/acdb/music/mjk_China.png")</f>
        <v/>
      </c>
      <c r="C15" s="6">
        <v>3200.0</v>
      </c>
      <c r="D15" s="6">
        <v>800.0</v>
      </c>
      <c r="E15" s="5" t="s">
        <v>39</v>
      </c>
      <c r="F15" s="5" t="s">
        <v>69</v>
      </c>
      <c r="G15" s="6" t="s">
        <v>40</v>
      </c>
      <c r="H15" s="5" t="s">
        <v>18737</v>
      </c>
      <c r="I15" s="5" t="s">
        <v>18773</v>
      </c>
      <c r="J15" s="6" t="s">
        <v>42</v>
      </c>
      <c r="K15" s="5" t="s">
        <v>64</v>
      </c>
      <c r="L15" s="5" t="s">
        <v>18807</v>
      </c>
      <c r="M15" s="6">
        <v>2427.0</v>
      </c>
    </row>
    <row r="16" ht="56.25" customHeight="1">
      <c r="A16" s="5" t="s">
        <v>18808</v>
      </c>
      <c r="B16" s="6" t="str">
        <f>IMAGE("https://storage.googleapis.com/acdb/music/mjk_Hollywood.png")</f>
        <v/>
      </c>
      <c r="C16" s="6">
        <v>3200.0</v>
      </c>
      <c r="D16" s="6">
        <v>800.0</v>
      </c>
      <c r="E16" s="5" t="s">
        <v>39</v>
      </c>
      <c r="F16" s="5" t="s">
        <v>142</v>
      </c>
      <c r="G16" s="6" t="s">
        <v>40</v>
      </c>
      <c r="H16" s="5" t="s">
        <v>18737</v>
      </c>
      <c r="I16" s="5" t="s">
        <v>18773</v>
      </c>
      <c r="J16" s="6" t="s">
        <v>42</v>
      </c>
      <c r="K16" s="5" t="s">
        <v>64</v>
      </c>
      <c r="L16" s="5" t="s">
        <v>18811</v>
      </c>
      <c r="M16" s="6">
        <v>2484.0</v>
      </c>
    </row>
    <row r="17" ht="56.25" customHeight="1">
      <c r="A17" s="5" t="s">
        <v>18813</v>
      </c>
      <c r="B17" s="6" t="str">
        <f>IMAGE("https://storage.googleapis.com/acdb/music/mjk_Maria.png")</f>
        <v/>
      </c>
      <c r="C17" s="6">
        <v>3200.0</v>
      </c>
      <c r="D17" s="6">
        <v>800.0</v>
      </c>
      <c r="E17" s="5" t="s">
        <v>39</v>
      </c>
      <c r="F17" s="5" t="s">
        <v>68</v>
      </c>
      <c r="G17" s="6" t="s">
        <v>40</v>
      </c>
      <c r="H17" s="5" t="s">
        <v>18737</v>
      </c>
      <c r="I17" s="5" t="s">
        <v>18746</v>
      </c>
      <c r="J17" s="6" t="s">
        <v>42</v>
      </c>
      <c r="K17" s="5" t="s">
        <v>64</v>
      </c>
      <c r="L17" s="5" t="s">
        <v>18814</v>
      </c>
      <c r="M17" s="6">
        <v>2413.0</v>
      </c>
    </row>
    <row r="18" ht="56.25" customHeight="1">
      <c r="A18" s="5" t="s">
        <v>18816</v>
      </c>
      <c r="B18" s="6" t="str">
        <f>IMAGE("https://storage.googleapis.com/acdb/music/mjk_Ballad.png")</f>
        <v/>
      </c>
      <c r="C18" s="6">
        <v>3200.0</v>
      </c>
      <c r="D18" s="6">
        <v>800.0</v>
      </c>
      <c r="E18" s="5" t="s">
        <v>39</v>
      </c>
      <c r="F18" s="5" t="s">
        <v>54</v>
      </c>
      <c r="G18" s="6" t="s">
        <v>40</v>
      </c>
      <c r="H18" s="5" t="s">
        <v>18737</v>
      </c>
      <c r="I18" s="5" t="s">
        <v>18767</v>
      </c>
      <c r="J18" s="6" t="s">
        <v>42</v>
      </c>
      <c r="K18" s="5" t="s">
        <v>64</v>
      </c>
      <c r="L18" s="5" t="s">
        <v>18819</v>
      </c>
      <c r="M18" s="6">
        <v>2447.0</v>
      </c>
    </row>
    <row r="19" ht="56.25" customHeight="1">
      <c r="A19" s="5" t="s">
        <v>18820</v>
      </c>
      <c r="B19" s="6" t="str">
        <f>IMAGE("https://storage.googleapis.com/acdb/music/mjk_Roma.png")</f>
        <v/>
      </c>
      <c r="C19" s="6">
        <v>3200.0</v>
      </c>
      <c r="D19" s="6">
        <v>800.0</v>
      </c>
      <c r="E19" s="5" t="s">
        <v>39</v>
      </c>
      <c r="F19" s="5" t="s">
        <v>54</v>
      </c>
      <c r="G19" s="6" t="s">
        <v>40</v>
      </c>
      <c r="H19" s="5" t="s">
        <v>18737</v>
      </c>
      <c r="I19" s="5" t="s">
        <v>18773</v>
      </c>
      <c r="J19" s="6" t="s">
        <v>42</v>
      </c>
      <c r="K19" s="5" t="s">
        <v>64</v>
      </c>
      <c r="L19" s="5" t="s">
        <v>18822</v>
      </c>
      <c r="M19" s="6">
        <v>2486.0</v>
      </c>
    </row>
    <row r="20" ht="56.25" customHeight="1">
      <c r="A20" s="5" t="s">
        <v>18824</v>
      </c>
      <c r="B20" s="6" t="str">
        <f>IMAGE("https://storage.googleapis.com/acdb/music/mjk_BirthdaySong.png")</f>
        <v/>
      </c>
      <c r="C20" s="6" t="s">
        <v>37</v>
      </c>
      <c r="D20" s="6">
        <v>800.0</v>
      </c>
      <c r="E20" s="5" t="s">
        <v>39</v>
      </c>
      <c r="F20" s="5" t="s">
        <v>83</v>
      </c>
      <c r="G20" s="6" t="s">
        <v>40</v>
      </c>
      <c r="H20" s="5" t="s">
        <v>18752</v>
      </c>
      <c r="I20" s="5" t="s">
        <v>588</v>
      </c>
      <c r="J20" s="6" t="s">
        <v>42</v>
      </c>
      <c r="K20" s="5" t="s">
        <v>48</v>
      </c>
      <c r="L20" s="5" t="s">
        <v>18830</v>
      </c>
      <c r="M20" s="6">
        <v>2495.0</v>
      </c>
    </row>
    <row r="21" ht="56.25" customHeight="1">
      <c r="A21" s="5" t="s">
        <v>18831</v>
      </c>
      <c r="B21" s="6" t="str">
        <f>IMAGE("https://storage.googleapis.com/acdb/music/mjk_Blues.png")</f>
        <v/>
      </c>
      <c r="C21" s="6">
        <v>3200.0</v>
      </c>
      <c r="D21" s="6">
        <v>800.0</v>
      </c>
      <c r="E21" s="5" t="s">
        <v>39</v>
      </c>
      <c r="F21" s="5" t="s">
        <v>57</v>
      </c>
      <c r="G21" s="6" t="s">
        <v>40</v>
      </c>
      <c r="H21" s="5" t="s">
        <v>18737</v>
      </c>
      <c r="I21" s="5" t="s">
        <v>18739</v>
      </c>
      <c r="J21" s="6" t="s">
        <v>42</v>
      </c>
      <c r="K21" s="5" t="s">
        <v>64</v>
      </c>
      <c r="L21" s="5" t="s">
        <v>18835</v>
      </c>
      <c r="M21" s="6">
        <v>2436.0</v>
      </c>
    </row>
    <row r="22" ht="56.25" customHeight="1">
      <c r="A22" s="5" t="s">
        <v>18836</v>
      </c>
      <c r="B22" s="6" t="str">
        <f>IMAGE("https://storage.googleapis.com/acdb/music/mjk_Bossa.png")</f>
        <v/>
      </c>
      <c r="C22" s="6">
        <v>3200.0</v>
      </c>
      <c r="D22" s="6">
        <v>800.0</v>
      </c>
      <c r="E22" s="5" t="s">
        <v>39</v>
      </c>
      <c r="F22" s="5" t="s">
        <v>57</v>
      </c>
      <c r="G22" s="6" t="s">
        <v>40</v>
      </c>
      <c r="H22" s="5" t="s">
        <v>18737</v>
      </c>
      <c r="I22" s="5" t="s">
        <v>18746</v>
      </c>
      <c r="J22" s="6" t="s">
        <v>42</v>
      </c>
      <c r="K22" s="5" t="s">
        <v>64</v>
      </c>
      <c r="L22" s="5" t="s">
        <v>18837</v>
      </c>
      <c r="M22" s="6">
        <v>2415.0</v>
      </c>
    </row>
    <row r="23" ht="56.25" customHeight="1">
      <c r="A23" s="5" t="s">
        <v>18838</v>
      </c>
      <c r="B23" s="6" t="str">
        <f>IMAGE("https://storage.googleapis.com/acdb/music/mjk_Caripso.png")</f>
        <v/>
      </c>
      <c r="C23" s="6">
        <v>3200.0</v>
      </c>
      <c r="D23" s="6">
        <v>800.0</v>
      </c>
      <c r="E23" s="5" t="s">
        <v>39</v>
      </c>
      <c r="F23" s="5" t="s">
        <v>57</v>
      </c>
      <c r="G23" s="6" t="s">
        <v>40</v>
      </c>
      <c r="H23" s="5" t="s">
        <v>18737</v>
      </c>
      <c r="I23" s="5" t="s">
        <v>18756</v>
      </c>
      <c r="J23" s="6" t="s">
        <v>42</v>
      </c>
      <c r="K23" s="5" t="s">
        <v>64</v>
      </c>
      <c r="L23" s="5" t="s">
        <v>18841</v>
      </c>
      <c r="M23" s="6">
        <v>2416.0</v>
      </c>
    </row>
    <row r="24" ht="56.25" customHeight="1">
      <c r="A24" s="5" t="s">
        <v>18842</v>
      </c>
      <c r="B24" s="6" t="str">
        <f>IMAGE("https://storage.googleapis.com/acdb/music/mjk_Turkey.png")</f>
        <v/>
      </c>
      <c r="C24" s="6">
        <v>3200.0</v>
      </c>
      <c r="D24" s="6">
        <v>800.0</v>
      </c>
      <c r="E24" s="5" t="s">
        <v>39</v>
      </c>
      <c r="F24" s="5" t="s">
        <v>38</v>
      </c>
      <c r="G24" s="6" t="s">
        <v>40</v>
      </c>
      <c r="H24" s="5" t="s">
        <v>18737</v>
      </c>
      <c r="I24" s="5" t="s">
        <v>18773</v>
      </c>
      <c r="J24" s="6" t="s">
        <v>42</v>
      </c>
      <c r="K24" s="5" t="s">
        <v>64</v>
      </c>
      <c r="L24" s="5" t="s">
        <v>18846</v>
      </c>
      <c r="M24" s="6">
        <v>2428.0</v>
      </c>
    </row>
    <row r="25" ht="56.25" customHeight="1">
      <c r="A25" s="5" t="s">
        <v>18847</v>
      </c>
      <c r="B25" s="6" t="str">
        <f>IMAGE("https://storage.googleapis.com/acdb/music/mjk_Sanbika.png")</f>
        <v/>
      </c>
      <c r="C25" s="6">
        <v>3200.0</v>
      </c>
      <c r="D25" s="6">
        <v>800.0</v>
      </c>
      <c r="E25" s="5" t="s">
        <v>39</v>
      </c>
      <c r="F25" s="5" t="s">
        <v>38</v>
      </c>
      <c r="G25" s="6" t="s">
        <v>40</v>
      </c>
      <c r="H25" s="5" t="s">
        <v>18737</v>
      </c>
      <c r="I25" s="5" t="s">
        <v>18767</v>
      </c>
      <c r="J25" s="6" t="s">
        <v>42</v>
      </c>
      <c r="K25" s="5" t="s">
        <v>64</v>
      </c>
      <c r="L25" s="5" t="s">
        <v>18851</v>
      </c>
      <c r="M25" s="6">
        <v>2405.0</v>
      </c>
    </row>
    <row r="26" ht="56.25" customHeight="1">
      <c r="A26" s="5" t="s">
        <v>18852</v>
      </c>
      <c r="B26" s="6" t="str">
        <f>IMAGE("https://storage.googleapis.com/acdb/music/mjk_Peru.png")</f>
        <v/>
      </c>
      <c r="C26" s="6">
        <v>3200.0</v>
      </c>
      <c r="D26" s="6">
        <v>800.0</v>
      </c>
      <c r="E26" s="5" t="s">
        <v>39</v>
      </c>
      <c r="F26" s="5" t="s">
        <v>38</v>
      </c>
      <c r="G26" s="6" t="s">
        <v>40</v>
      </c>
      <c r="H26" s="5" t="s">
        <v>18737</v>
      </c>
      <c r="I26" s="5" t="s">
        <v>18767</v>
      </c>
      <c r="J26" s="6" t="s">
        <v>42</v>
      </c>
      <c r="K26" s="5" t="s">
        <v>64</v>
      </c>
      <c r="L26" s="5" t="s">
        <v>18856</v>
      </c>
      <c r="M26" s="6">
        <v>2425.0</v>
      </c>
    </row>
    <row r="27" ht="56.25" customHeight="1">
      <c r="A27" s="5" t="s">
        <v>18857</v>
      </c>
      <c r="B27" s="6" t="str">
        <f>IMAGE("https://storage.googleapis.com/acdb/music/mjk_Country.png")</f>
        <v/>
      </c>
      <c r="C27" s="6">
        <v>3200.0</v>
      </c>
      <c r="D27" s="6">
        <v>800.0</v>
      </c>
      <c r="E27" s="5" t="s">
        <v>39</v>
      </c>
      <c r="F27" s="5" t="s">
        <v>54</v>
      </c>
      <c r="G27" s="6" t="s">
        <v>40</v>
      </c>
      <c r="H27" s="5" t="s">
        <v>18737</v>
      </c>
      <c r="I27" s="5" t="s">
        <v>18756</v>
      </c>
      <c r="J27" s="6" t="s">
        <v>42</v>
      </c>
      <c r="K27" s="5" t="s">
        <v>64</v>
      </c>
      <c r="L27" s="5" t="s">
        <v>18858</v>
      </c>
      <c r="M27" s="6">
        <v>2445.0</v>
      </c>
    </row>
    <row r="28" ht="56.25" customHeight="1">
      <c r="A28" s="5" t="s">
        <v>18860</v>
      </c>
      <c r="B28" s="6" t="str">
        <f>IMAGE("https://storage.googleapis.com/acdb/music/mjk_Urban.png")</f>
        <v/>
      </c>
      <c r="C28" s="6">
        <v>3200.0</v>
      </c>
      <c r="D28" s="6">
        <v>800.0</v>
      </c>
      <c r="E28" s="5" t="s">
        <v>39</v>
      </c>
      <c r="F28" s="5" t="s">
        <v>54</v>
      </c>
      <c r="G28" s="6" t="s">
        <v>40</v>
      </c>
      <c r="H28" s="5" t="s">
        <v>18737</v>
      </c>
      <c r="I28" s="5" t="s">
        <v>18773</v>
      </c>
      <c r="J28" s="6" t="s">
        <v>42</v>
      </c>
      <c r="K28" s="5" t="s">
        <v>64</v>
      </c>
      <c r="L28" s="5" t="s">
        <v>18864</v>
      </c>
      <c r="M28" s="6">
        <v>2439.0</v>
      </c>
    </row>
    <row r="29" ht="56.25" customHeight="1">
      <c r="A29" s="5" t="s">
        <v>18865</v>
      </c>
      <c r="B29" s="6" t="str">
        <f>IMAGE("https://storage.googleapis.com/acdb/music/mjk_Drumnbass.png")</f>
        <v/>
      </c>
      <c r="C29" s="6">
        <v>3200.0</v>
      </c>
      <c r="D29" s="6">
        <v>800.0</v>
      </c>
      <c r="E29" s="5" t="s">
        <v>39</v>
      </c>
      <c r="F29" s="5" t="s">
        <v>58</v>
      </c>
      <c r="G29" s="6" t="s">
        <v>40</v>
      </c>
      <c r="H29" s="5" t="s">
        <v>18737</v>
      </c>
      <c r="I29" s="5" t="s">
        <v>18739</v>
      </c>
      <c r="J29" s="6" t="s">
        <v>42</v>
      </c>
      <c r="K29" s="5" t="s">
        <v>64</v>
      </c>
      <c r="L29" s="5" t="s">
        <v>18869</v>
      </c>
      <c r="M29" s="6">
        <v>2441.0</v>
      </c>
    </row>
    <row r="30" ht="56.25" customHeight="1">
      <c r="A30" s="5" t="s">
        <v>18870</v>
      </c>
      <c r="B30" s="6" t="str">
        <f>IMAGE("https://storage.googleapis.com/acdb/music/mjk_KowaiUta.png")</f>
        <v/>
      </c>
      <c r="C30" s="6">
        <v>3200.0</v>
      </c>
      <c r="D30" s="6">
        <v>800.0</v>
      </c>
      <c r="E30" s="5" t="s">
        <v>39</v>
      </c>
      <c r="F30" s="5" t="s">
        <v>54</v>
      </c>
      <c r="G30" s="6" t="s">
        <v>40</v>
      </c>
      <c r="H30" s="5" t="s">
        <v>18737</v>
      </c>
      <c r="I30" s="5" t="s">
        <v>18767</v>
      </c>
      <c r="J30" s="6" t="s">
        <v>42</v>
      </c>
      <c r="K30" s="5" t="s">
        <v>64</v>
      </c>
      <c r="L30" s="5" t="s">
        <v>18873</v>
      </c>
      <c r="M30" s="6">
        <v>2451.0</v>
      </c>
    </row>
    <row r="31" ht="56.25" customHeight="1">
      <c r="A31" s="5" t="s">
        <v>18874</v>
      </c>
      <c r="B31" s="6" t="str">
        <f>IMAGE("https://storage.googleapis.com/acdb/music/mjk_Disco.png")</f>
        <v/>
      </c>
      <c r="C31" s="6">
        <v>3200.0</v>
      </c>
      <c r="D31" s="6">
        <v>800.0</v>
      </c>
      <c r="E31" s="5" t="s">
        <v>39</v>
      </c>
      <c r="F31" s="5" t="s">
        <v>58</v>
      </c>
      <c r="G31" s="6" t="s">
        <v>40</v>
      </c>
      <c r="H31" s="5" t="s">
        <v>18737</v>
      </c>
      <c r="I31" s="5" t="s">
        <v>18756</v>
      </c>
      <c r="J31" s="6" t="s">
        <v>42</v>
      </c>
      <c r="K31" s="5" t="s">
        <v>64</v>
      </c>
      <c r="L31" s="5" t="s">
        <v>18878</v>
      </c>
      <c r="M31" s="6">
        <v>2494.0</v>
      </c>
    </row>
    <row r="32" ht="56.25" customHeight="1">
      <c r="A32" s="5" t="s">
        <v>18879</v>
      </c>
      <c r="B32" s="6" t="str">
        <f>IMAGE("https://storage.googleapis.com/acdb/music/mjk_Dixie.png")</f>
        <v/>
      </c>
      <c r="C32" s="6">
        <v>3200.0</v>
      </c>
      <c r="D32" s="6">
        <v>800.0</v>
      </c>
      <c r="E32" s="5" t="s">
        <v>39</v>
      </c>
      <c r="F32" s="5" t="s">
        <v>58</v>
      </c>
      <c r="G32" s="6" t="s">
        <v>40</v>
      </c>
      <c r="H32" s="5" t="s">
        <v>18737</v>
      </c>
      <c r="I32" s="5" t="s">
        <v>18756</v>
      </c>
      <c r="J32" s="6" t="s">
        <v>42</v>
      </c>
      <c r="K32" s="5" t="s">
        <v>64</v>
      </c>
      <c r="L32" s="5" t="s">
        <v>18882</v>
      </c>
      <c r="M32" s="6">
        <v>2464.0</v>
      </c>
    </row>
    <row r="33" ht="56.25" customHeight="1">
      <c r="A33" s="5" t="s">
        <v>18883</v>
      </c>
      <c r="B33" s="6" t="str">
        <f>IMAGE("https://storage.googleapis.com/acdb/music/mjk_Etude.png")</f>
        <v/>
      </c>
      <c r="C33" s="6">
        <v>3200.0</v>
      </c>
      <c r="D33" s="6">
        <v>800.0</v>
      </c>
      <c r="E33" s="5" t="s">
        <v>39</v>
      </c>
      <c r="F33" s="5" t="s">
        <v>54</v>
      </c>
      <c r="G33" s="6" t="s">
        <v>40</v>
      </c>
      <c r="H33" s="5" t="s">
        <v>18737</v>
      </c>
      <c r="I33" s="5" t="s">
        <v>18767</v>
      </c>
      <c r="J33" s="6" t="s">
        <v>42</v>
      </c>
      <c r="K33" s="5" t="s">
        <v>64</v>
      </c>
      <c r="L33" s="5" t="s">
        <v>18887</v>
      </c>
      <c r="M33" s="6">
        <v>2411.0</v>
      </c>
    </row>
    <row r="34" ht="56.25" customHeight="1">
      <c r="A34" s="5" t="s">
        <v>18888</v>
      </c>
      <c r="B34" s="6" t="str">
        <f>IMAGE("https://storage.googleapis.com/acdb/music/mjk_Haisai.png")</f>
        <v/>
      </c>
      <c r="C34" s="6">
        <v>3200.0</v>
      </c>
      <c r="D34" s="6">
        <v>800.0</v>
      </c>
      <c r="E34" s="5" t="s">
        <v>39</v>
      </c>
      <c r="F34" s="5" t="s">
        <v>142</v>
      </c>
      <c r="G34" s="6" t="s">
        <v>40</v>
      </c>
      <c r="H34" s="5" t="s">
        <v>18737</v>
      </c>
      <c r="I34" s="5" t="s">
        <v>18746</v>
      </c>
      <c r="J34" s="6" t="s">
        <v>42</v>
      </c>
      <c r="K34" s="5" t="s">
        <v>64</v>
      </c>
      <c r="L34" s="5" t="s">
        <v>18891</v>
      </c>
      <c r="M34" s="6">
        <v>2422.0</v>
      </c>
    </row>
    <row r="35" ht="56.25" customHeight="1">
      <c r="A35" s="5" t="s">
        <v>18892</v>
      </c>
      <c r="B35" s="6" t="str">
        <f>IMAGE("https://storage.googleapis.com/acdb/music/mjk_Flamenco.png")</f>
        <v/>
      </c>
      <c r="C35" s="6">
        <v>3200.0</v>
      </c>
      <c r="D35" s="6">
        <v>800.0</v>
      </c>
      <c r="E35" s="5" t="s">
        <v>39</v>
      </c>
      <c r="F35" s="5" t="s">
        <v>52</v>
      </c>
      <c r="G35" s="6" t="s">
        <v>40</v>
      </c>
      <c r="H35" s="5" t="s">
        <v>18737</v>
      </c>
      <c r="I35" s="5" t="s">
        <v>18773</v>
      </c>
      <c r="J35" s="6" t="s">
        <v>42</v>
      </c>
      <c r="K35" s="5" t="s">
        <v>64</v>
      </c>
      <c r="L35" s="5" t="s">
        <v>18896</v>
      </c>
      <c r="M35" s="6">
        <v>2490.0</v>
      </c>
    </row>
    <row r="36" ht="56.25" customHeight="1">
      <c r="A36" s="5" t="s">
        <v>18897</v>
      </c>
      <c r="B36" s="6" t="str">
        <f>IMAGE("https://storage.googleapis.com/acdb/music/mjk_Minyo.png")</f>
        <v/>
      </c>
      <c r="C36" s="6">
        <v>3200.0</v>
      </c>
      <c r="D36" s="6">
        <v>800.0</v>
      </c>
      <c r="E36" s="5" t="s">
        <v>39</v>
      </c>
      <c r="F36" s="5" t="s">
        <v>58</v>
      </c>
      <c r="G36" s="6" t="s">
        <v>40</v>
      </c>
      <c r="H36" s="5" t="s">
        <v>18737</v>
      </c>
      <c r="I36" s="5" t="s">
        <v>18739</v>
      </c>
      <c r="J36" s="6" t="s">
        <v>42</v>
      </c>
      <c r="K36" s="5" t="s">
        <v>64</v>
      </c>
      <c r="L36" s="5" t="s">
        <v>18900</v>
      </c>
      <c r="M36" s="6">
        <v>2430.0</v>
      </c>
    </row>
    <row r="37" ht="56.25" customHeight="1">
      <c r="A37" s="5" t="s">
        <v>18901</v>
      </c>
      <c r="B37" s="6" t="str">
        <f>IMAGE("https://storage.googleapis.com/acdb/music/mjk_Fusion.png")</f>
        <v/>
      </c>
      <c r="C37" s="6">
        <v>3200.0</v>
      </c>
      <c r="D37" s="6">
        <v>800.0</v>
      </c>
      <c r="E37" s="5" t="s">
        <v>39</v>
      </c>
      <c r="F37" s="5" t="s">
        <v>58</v>
      </c>
      <c r="G37" s="6" t="s">
        <v>40</v>
      </c>
      <c r="H37" s="5" t="s">
        <v>18737</v>
      </c>
      <c r="I37" s="5" t="s">
        <v>18746</v>
      </c>
      <c r="J37" s="6" t="s">
        <v>42</v>
      </c>
      <c r="K37" s="5" t="s">
        <v>64</v>
      </c>
      <c r="L37" s="5" t="s">
        <v>18904</v>
      </c>
      <c r="M37" s="6">
        <v>2410.0</v>
      </c>
    </row>
    <row r="38" ht="56.25" customHeight="1">
      <c r="A38" s="5" t="s">
        <v>18906</v>
      </c>
      <c r="B38" s="6" t="str">
        <f>IMAGE("https://storage.googleapis.com/acdb/music/mjk_Raregroove.png")</f>
        <v/>
      </c>
      <c r="C38" s="6">
        <v>3200.0</v>
      </c>
      <c r="D38" s="6">
        <v>800.0</v>
      </c>
      <c r="E38" s="5" t="s">
        <v>39</v>
      </c>
      <c r="F38" s="5" t="s">
        <v>68</v>
      </c>
      <c r="G38" s="6" t="s">
        <v>40</v>
      </c>
      <c r="H38" s="5" t="s">
        <v>18737</v>
      </c>
      <c r="I38" s="5" t="s">
        <v>18756</v>
      </c>
      <c r="J38" s="6" t="s">
        <v>42</v>
      </c>
      <c r="K38" s="5" t="s">
        <v>64</v>
      </c>
      <c r="L38" s="5" t="s">
        <v>18910</v>
      </c>
      <c r="M38" s="6">
        <v>2488.0</v>
      </c>
    </row>
    <row r="39" ht="56.25" customHeight="1">
      <c r="A39" s="5" t="s">
        <v>18911</v>
      </c>
      <c r="B39" s="6" t="str">
        <f>IMAGE("https://storage.googleapis.com/acdb/music/mjk_NewOrleans.png")</f>
        <v/>
      </c>
      <c r="C39" s="6">
        <v>3200.0</v>
      </c>
      <c r="D39" s="6">
        <v>800.0</v>
      </c>
      <c r="E39" s="5" t="s">
        <v>39</v>
      </c>
      <c r="F39" s="5" t="s">
        <v>38</v>
      </c>
      <c r="G39" s="6" t="s">
        <v>40</v>
      </c>
      <c r="H39" s="5" t="s">
        <v>18737</v>
      </c>
      <c r="I39" s="5" t="s">
        <v>18739</v>
      </c>
      <c r="J39" s="6" t="s">
        <v>42</v>
      </c>
      <c r="K39" s="5" t="s">
        <v>64</v>
      </c>
      <c r="L39" s="5" t="s">
        <v>18914</v>
      </c>
      <c r="M39" s="6">
        <v>2434.0</v>
      </c>
    </row>
    <row r="40" ht="56.25" customHeight="1">
      <c r="A40" s="5" t="s">
        <v>18915</v>
      </c>
      <c r="B40" s="6" t="str">
        <f>IMAGE("https://storage.googleapis.com/acdb/music/mjk_House.png")</f>
        <v/>
      </c>
      <c r="C40" s="6">
        <v>3200.0</v>
      </c>
      <c r="D40" s="6">
        <v>800.0</v>
      </c>
      <c r="E40" s="5" t="s">
        <v>39</v>
      </c>
      <c r="F40" s="5" t="s">
        <v>69</v>
      </c>
      <c r="G40" s="6" t="s">
        <v>40</v>
      </c>
      <c r="H40" s="5" t="s">
        <v>18737</v>
      </c>
      <c r="I40" s="5" t="s">
        <v>18773</v>
      </c>
      <c r="J40" s="6" t="s">
        <v>42</v>
      </c>
      <c r="K40" s="5" t="s">
        <v>64</v>
      </c>
      <c r="L40" s="5" t="s">
        <v>18918</v>
      </c>
      <c r="M40" s="6">
        <v>2478.0</v>
      </c>
    </row>
    <row r="41" ht="56.25" customHeight="1">
      <c r="A41" s="5" t="s">
        <v>18919</v>
      </c>
      <c r="B41" s="6" t="str">
        <f>IMAGE("https://storage.googleapis.com/acdb/music/mjk_DoubutsuNoShima.png")</f>
        <v/>
      </c>
      <c r="C41" s="6">
        <v>3200.0</v>
      </c>
      <c r="D41" s="6">
        <v>800.0</v>
      </c>
      <c r="E41" s="5" t="s">
        <v>39</v>
      </c>
      <c r="F41" s="5" t="s">
        <v>83</v>
      </c>
      <c r="G41" s="6" t="s">
        <v>40</v>
      </c>
      <c r="H41" s="5" t="s">
        <v>18737</v>
      </c>
      <c r="I41" s="5" t="s">
        <v>18746</v>
      </c>
      <c r="J41" s="6" t="s">
        <v>42</v>
      </c>
      <c r="K41" s="5" t="s">
        <v>64</v>
      </c>
      <c r="L41" s="5" t="s">
        <v>18923</v>
      </c>
      <c r="M41" s="6">
        <v>2482.0</v>
      </c>
    </row>
    <row r="42" ht="56.25" customHeight="1">
      <c r="A42" s="5" t="s">
        <v>18924</v>
      </c>
      <c r="B42" s="6" t="str">
        <f>IMAGE("https://storage.googleapis.com/acdb/music/mjk_Jazz.png")</f>
        <v/>
      </c>
      <c r="C42" s="6">
        <v>3200.0</v>
      </c>
      <c r="D42" s="6">
        <v>800.0</v>
      </c>
      <c r="E42" s="5" t="s">
        <v>39</v>
      </c>
      <c r="F42" s="5" t="s">
        <v>83</v>
      </c>
      <c r="G42" s="6" t="s">
        <v>40</v>
      </c>
      <c r="H42" s="5" t="s">
        <v>18737</v>
      </c>
      <c r="I42" s="5" t="s">
        <v>18746</v>
      </c>
      <c r="J42" s="6" t="s">
        <v>42</v>
      </c>
      <c r="K42" s="5" t="s">
        <v>64</v>
      </c>
      <c r="L42" s="5" t="s">
        <v>18927</v>
      </c>
      <c r="M42" s="6">
        <v>2409.0</v>
      </c>
    </row>
    <row r="43" ht="56.25" customHeight="1">
      <c r="A43" s="5" t="s">
        <v>18928</v>
      </c>
      <c r="B43" s="6" t="str">
        <f>IMAGE("https://storage.googleapis.com/acdb/music/mjk_Jongara.png")</f>
        <v/>
      </c>
      <c r="C43" s="6">
        <v>3200.0</v>
      </c>
      <c r="D43" s="6">
        <v>800.0</v>
      </c>
      <c r="E43" s="5" t="s">
        <v>39</v>
      </c>
      <c r="F43" s="5" t="s">
        <v>83</v>
      </c>
      <c r="G43" s="6" t="s">
        <v>40</v>
      </c>
      <c r="H43" s="5" t="s">
        <v>18737</v>
      </c>
      <c r="I43" s="5" t="s">
        <v>18773</v>
      </c>
      <c r="J43" s="6" t="s">
        <v>42</v>
      </c>
      <c r="K43" s="5" t="s">
        <v>64</v>
      </c>
      <c r="L43" s="5" t="s">
        <v>18932</v>
      </c>
      <c r="M43" s="6">
        <v>2489.0</v>
      </c>
    </row>
    <row r="44" ht="56.25" customHeight="1">
      <c r="A44" s="5" t="s">
        <v>18934</v>
      </c>
      <c r="B44" s="6" t="str">
        <f>IMAGE("https://storage.googleapis.com/acdb/music/mjk_Enka.png")</f>
        <v/>
      </c>
      <c r="C44" s="6">
        <v>3200.0</v>
      </c>
      <c r="D44" s="6">
        <v>800.0</v>
      </c>
      <c r="E44" s="5" t="s">
        <v>39</v>
      </c>
      <c r="F44" s="5" t="s">
        <v>95</v>
      </c>
      <c r="G44" s="6" t="s">
        <v>40</v>
      </c>
      <c r="H44" s="5" t="s">
        <v>18737</v>
      </c>
      <c r="I44" s="5" t="s">
        <v>18767</v>
      </c>
      <c r="J44" s="6" t="s">
        <v>42</v>
      </c>
      <c r="K44" s="5" t="s">
        <v>64</v>
      </c>
      <c r="L44" s="5" t="s">
        <v>18935</v>
      </c>
      <c r="M44" s="6">
        <v>2449.0</v>
      </c>
    </row>
    <row r="45" ht="56.25" customHeight="1">
      <c r="A45" s="5" t="s">
        <v>18937</v>
      </c>
      <c r="B45" s="6" t="str">
        <f>IMAGE("https://storage.googleapis.com/acdb/music/mjk_LoveSong.png")</f>
        <v/>
      </c>
      <c r="C45" s="6">
        <v>3200.0</v>
      </c>
      <c r="D45" s="6">
        <v>800.0</v>
      </c>
      <c r="E45" s="5" t="s">
        <v>39</v>
      </c>
      <c r="F45" s="5" t="s">
        <v>57</v>
      </c>
      <c r="G45" s="6" t="s">
        <v>40</v>
      </c>
      <c r="H45" s="5" t="s">
        <v>18737</v>
      </c>
      <c r="I45" s="5" t="s">
        <v>18746</v>
      </c>
      <c r="J45" s="6" t="s">
        <v>42</v>
      </c>
      <c r="K45" s="5" t="s">
        <v>64</v>
      </c>
      <c r="L45" s="5" t="s">
        <v>18940</v>
      </c>
      <c r="M45" s="6">
        <v>2440.0</v>
      </c>
    </row>
    <row r="46" ht="56.25" customHeight="1">
      <c r="A46" s="5" t="s">
        <v>18942</v>
      </c>
      <c r="B46" s="6" t="str">
        <f>IMAGE("https://storage.googleapis.com/acdb/music/mjk_Lullaby.png")</f>
        <v/>
      </c>
      <c r="C46" s="6">
        <v>3200.0</v>
      </c>
      <c r="D46" s="6">
        <v>800.0</v>
      </c>
      <c r="E46" s="5" t="s">
        <v>39</v>
      </c>
      <c r="F46" s="5" t="s">
        <v>96</v>
      </c>
      <c r="G46" s="6" t="s">
        <v>40</v>
      </c>
      <c r="H46" s="5" t="s">
        <v>18737</v>
      </c>
      <c r="I46" s="5" t="s">
        <v>18767</v>
      </c>
      <c r="J46" s="6" t="s">
        <v>42</v>
      </c>
      <c r="K46" s="5" t="s">
        <v>64</v>
      </c>
      <c r="L46" s="5" t="s">
        <v>18944</v>
      </c>
      <c r="M46" s="6">
        <v>2412.0</v>
      </c>
    </row>
    <row r="47" ht="56.25" customHeight="1">
      <c r="A47" s="5" t="s">
        <v>18946</v>
      </c>
      <c r="B47" s="6" t="str">
        <f>IMAGE("https://storage.googleapis.com/acdb/music/mjk_Mambo.png")</f>
        <v/>
      </c>
      <c r="C47" s="6">
        <v>3200.0</v>
      </c>
      <c r="D47" s="6">
        <v>800.0</v>
      </c>
      <c r="E47" s="5" t="s">
        <v>39</v>
      </c>
      <c r="F47" s="5" t="s">
        <v>52</v>
      </c>
      <c r="G47" s="6" t="s">
        <v>40</v>
      </c>
      <c r="H47" s="5" t="s">
        <v>18737</v>
      </c>
      <c r="I47" s="5" t="s">
        <v>18756</v>
      </c>
      <c r="J47" s="6" t="s">
        <v>42</v>
      </c>
      <c r="K47" s="5" t="s">
        <v>64</v>
      </c>
      <c r="L47" s="5" t="s">
        <v>18949</v>
      </c>
      <c r="M47" s="6">
        <v>2418.0</v>
      </c>
    </row>
    <row r="48" ht="56.25" customHeight="1">
      <c r="A48" s="5" t="s">
        <v>18950</v>
      </c>
      <c r="B48" s="6" t="str">
        <f>IMAGE("https://storage.googleapis.com/acdb/music/mjk_Gamelan.png")</f>
        <v/>
      </c>
      <c r="C48" s="6">
        <v>3200.0</v>
      </c>
      <c r="D48" s="6">
        <v>800.0</v>
      </c>
      <c r="E48" s="5" t="s">
        <v>39</v>
      </c>
      <c r="F48" s="5" t="s">
        <v>58</v>
      </c>
      <c r="G48" s="6" t="s">
        <v>40</v>
      </c>
      <c r="H48" s="5" t="s">
        <v>18737</v>
      </c>
      <c r="I48" s="5" t="s">
        <v>18739</v>
      </c>
      <c r="J48" s="6" t="s">
        <v>42</v>
      </c>
      <c r="K48" s="5" t="s">
        <v>64</v>
      </c>
      <c r="L48" s="5" t="s">
        <v>18953</v>
      </c>
      <c r="M48" s="6">
        <v>2465.0</v>
      </c>
    </row>
    <row r="49" ht="56.25" customHeight="1">
      <c r="A49" s="5" t="s">
        <v>18954</v>
      </c>
      <c r="B49" s="6" t="str">
        <f>IMAGE("https://storage.googleapis.com/acdb/music/mjk_March.png")</f>
        <v/>
      </c>
      <c r="C49" s="6">
        <v>3200.0</v>
      </c>
      <c r="D49" s="6">
        <v>800.0</v>
      </c>
      <c r="E49" s="5" t="s">
        <v>39</v>
      </c>
      <c r="F49" s="5" t="s">
        <v>69</v>
      </c>
      <c r="G49" s="6" t="s">
        <v>40</v>
      </c>
      <c r="H49" s="5" t="s">
        <v>18737</v>
      </c>
      <c r="I49" s="5" t="s">
        <v>18756</v>
      </c>
      <c r="J49" s="6" t="s">
        <v>42</v>
      </c>
      <c r="K49" s="5" t="s">
        <v>64</v>
      </c>
      <c r="L49" s="5" t="s">
        <v>18958</v>
      </c>
      <c r="M49" s="6">
        <v>2406.0</v>
      </c>
    </row>
    <row r="50" ht="56.25" customHeight="1">
      <c r="A50" s="5" t="s">
        <v>18959</v>
      </c>
      <c r="B50" s="6" t="str">
        <f>IMAGE("https://storage.googleapis.com/acdb/music/mjk_Senor.png")</f>
        <v/>
      </c>
      <c r="C50" s="6">
        <v>3200.0</v>
      </c>
      <c r="D50" s="6">
        <v>800.0</v>
      </c>
      <c r="E50" s="5" t="s">
        <v>39</v>
      </c>
      <c r="F50" s="5" t="s">
        <v>142</v>
      </c>
      <c r="G50" s="6" t="s">
        <v>40</v>
      </c>
      <c r="H50" s="5" t="s">
        <v>18737</v>
      </c>
      <c r="I50" s="5" t="s">
        <v>18756</v>
      </c>
      <c r="J50" s="6" t="s">
        <v>42</v>
      </c>
      <c r="K50" s="5" t="s">
        <v>64</v>
      </c>
      <c r="L50" s="5" t="s">
        <v>18960</v>
      </c>
      <c r="M50" s="6">
        <v>2456.0</v>
      </c>
    </row>
    <row r="51" ht="56.25" customHeight="1">
      <c r="A51" s="5" t="s">
        <v>18961</v>
      </c>
      <c r="B51" s="6" t="str">
        <f>IMAGE("https://storage.googleapis.com/acdb/music/mjk_Metal.png")</f>
        <v/>
      </c>
      <c r="C51" s="6">
        <v>3200.0</v>
      </c>
      <c r="D51" s="6">
        <v>800.0</v>
      </c>
      <c r="E51" s="5" t="s">
        <v>39</v>
      </c>
      <c r="F51" s="5" t="s">
        <v>106</v>
      </c>
      <c r="G51" s="6" t="s">
        <v>40</v>
      </c>
      <c r="H51" s="5" t="s">
        <v>18737</v>
      </c>
      <c r="I51" s="5" t="s">
        <v>18773</v>
      </c>
      <c r="J51" s="6" t="s">
        <v>42</v>
      </c>
      <c r="K51" s="5" t="s">
        <v>64</v>
      </c>
      <c r="L51" s="5" t="s">
        <v>18965</v>
      </c>
      <c r="M51" s="6">
        <v>2474.0</v>
      </c>
    </row>
    <row r="52" ht="56.25" customHeight="1">
      <c r="A52" s="5" t="s">
        <v>18966</v>
      </c>
      <c r="B52" s="6" t="str">
        <f>IMAGE("https://storage.googleapis.com/acdb/music/mjk_Milonga.png")</f>
        <v/>
      </c>
      <c r="C52" s="6">
        <v>3200.0</v>
      </c>
      <c r="D52" s="6">
        <v>800.0</v>
      </c>
      <c r="E52" s="5" t="s">
        <v>39</v>
      </c>
      <c r="F52" s="5" t="s">
        <v>52</v>
      </c>
      <c r="G52" s="6" t="s">
        <v>40</v>
      </c>
      <c r="H52" s="5" t="s">
        <v>18737</v>
      </c>
      <c r="I52" s="5" t="s">
        <v>18767</v>
      </c>
      <c r="J52" s="6" t="s">
        <v>42</v>
      </c>
      <c r="K52" s="5" t="s">
        <v>64</v>
      </c>
      <c r="L52" s="5" t="s">
        <v>18969</v>
      </c>
      <c r="M52" s="6">
        <v>2487.0</v>
      </c>
    </row>
    <row r="53" ht="56.25" customHeight="1">
      <c r="A53" s="5" t="s">
        <v>18970</v>
      </c>
      <c r="B53" s="6" t="str">
        <f>IMAGE("https://storage.googleapis.com/acdb/music/mjk_Bolero.png")</f>
        <v/>
      </c>
      <c r="C53" s="6">
        <v>3200.0</v>
      </c>
      <c r="D53" s="6">
        <v>800.0</v>
      </c>
      <c r="E53" s="5" t="s">
        <v>39</v>
      </c>
      <c r="F53" s="5" t="s">
        <v>142</v>
      </c>
      <c r="G53" s="6" t="s">
        <v>40</v>
      </c>
      <c r="H53" s="5" t="s">
        <v>18737</v>
      </c>
      <c r="I53" s="5" t="s">
        <v>18746</v>
      </c>
      <c r="J53" s="6" t="s">
        <v>42</v>
      </c>
      <c r="K53" s="5" t="s">
        <v>64</v>
      </c>
      <c r="L53" s="5" t="s">
        <v>18971</v>
      </c>
      <c r="M53" s="6">
        <v>2491.0</v>
      </c>
    </row>
    <row r="54" ht="56.25" customHeight="1">
      <c r="A54" s="5" t="s">
        <v>18972</v>
      </c>
      <c r="B54" s="6" t="str">
        <f>IMAGE("https://storage.googleapis.com/acdb/music/mjk_Maharaja.png")</f>
        <v/>
      </c>
      <c r="C54" s="6">
        <v>3200.0</v>
      </c>
      <c r="D54" s="6">
        <v>800.0</v>
      </c>
      <c r="E54" s="5" t="s">
        <v>39</v>
      </c>
      <c r="F54" s="5" t="s">
        <v>58</v>
      </c>
      <c r="G54" s="6" t="s">
        <v>40</v>
      </c>
      <c r="H54" s="5" t="s">
        <v>18737</v>
      </c>
      <c r="I54" s="5" t="s">
        <v>18739</v>
      </c>
      <c r="J54" s="6" t="s">
        <v>42</v>
      </c>
      <c r="K54" s="5" t="s">
        <v>64</v>
      </c>
      <c r="L54" s="5" t="s">
        <v>18977</v>
      </c>
      <c r="M54" s="6">
        <v>2485.0</v>
      </c>
    </row>
    <row r="55" ht="56.25" customHeight="1">
      <c r="A55" s="5" t="s">
        <v>18978</v>
      </c>
      <c r="B55" s="6" t="str">
        <f>IMAGE("https://storage.googleapis.com/acdb/music/mjk_Parade.png")</f>
        <v/>
      </c>
      <c r="C55" s="6">
        <v>3200.0</v>
      </c>
      <c r="D55" s="6">
        <v>800.0</v>
      </c>
      <c r="E55" s="5" t="s">
        <v>39</v>
      </c>
      <c r="F55" s="5" t="s">
        <v>58</v>
      </c>
      <c r="G55" s="6" t="s">
        <v>40</v>
      </c>
      <c r="H55" s="5" t="s">
        <v>18737</v>
      </c>
      <c r="I55" s="5" t="s">
        <v>18756</v>
      </c>
      <c r="J55" s="6" t="s">
        <v>42</v>
      </c>
      <c r="K55" s="5" t="s">
        <v>64</v>
      </c>
      <c r="L55" s="5" t="s">
        <v>18981</v>
      </c>
      <c r="M55" s="6">
        <v>2455.0</v>
      </c>
    </row>
    <row r="56" ht="56.25" customHeight="1">
      <c r="A56" s="5" t="s">
        <v>18982</v>
      </c>
      <c r="B56" s="6" t="str">
        <f>IMAGE("https://storage.googleapis.com/acdb/music/mjk_RagTime.png")</f>
        <v/>
      </c>
      <c r="C56" s="6">
        <v>3200.0</v>
      </c>
      <c r="D56" s="6">
        <v>800.0</v>
      </c>
      <c r="E56" s="5" t="s">
        <v>39</v>
      </c>
      <c r="F56" s="5" t="s">
        <v>95</v>
      </c>
      <c r="G56" s="6" t="s">
        <v>40</v>
      </c>
      <c r="H56" s="5" t="s">
        <v>18737</v>
      </c>
      <c r="I56" s="5" t="s">
        <v>18756</v>
      </c>
      <c r="J56" s="6" t="s">
        <v>42</v>
      </c>
      <c r="K56" s="5" t="s">
        <v>64</v>
      </c>
      <c r="L56" s="5" t="s">
        <v>18986</v>
      </c>
      <c r="M56" s="6">
        <v>2433.0</v>
      </c>
    </row>
    <row r="57" ht="56.25" customHeight="1">
      <c r="A57" s="5" t="s">
        <v>18987</v>
      </c>
      <c r="B57" s="6" t="str">
        <f>IMAGE("https://storage.googleapis.com/acdb/music/mjk_Ondo.png")</f>
        <v/>
      </c>
      <c r="C57" s="6">
        <v>3200.0</v>
      </c>
      <c r="D57" s="6">
        <v>800.0</v>
      </c>
      <c r="E57" s="5" t="s">
        <v>39</v>
      </c>
      <c r="F57" s="5" t="s">
        <v>52</v>
      </c>
      <c r="G57" s="6" t="s">
        <v>40</v>
      </c>
      <c r="H57" s="5" t="s">
        <v>18737</v>
      </c>
      <c r="I57" s="5" t="s">
        <v>18739</v>
      </c>
      <c r="J57" s="6" t="s">
        <v>42</v>
      </c>
      <c r="K57" s="5" t="s">
        <v>64</v>
      </c>
      <c r="L57" s="5" t="s">
        <v>18990</v>
      </c>
      <c r="M57" s="6">
        <v>2473.0</v>
      </c>
    </row>
    <row r="58" ht="56.25" customHeight="1">
      <c r="A58" s="5" t="s">
        <v>18991</v>
      </c>
      <c r="B58" s="6" t="str">
        <f>IMAGE("https://storage.googleapis.com/acdb/music/mjk_Reggae.png")</f>
        <v/>
      </c>
      <c r="C58" s="6">
        <v>3200.0</v>
      </c>
      <c r="D58" s="6">
        <v>800.0</v>
      </c>
      <c r="E58" s="5" t="s">
        <v>39</v>
      </c>
      <c r="F58" s="5" t="s">
        <v>58</v>
      </c>
      <c r="G58" s="6" t="s">
        <v>40</v>
      </c>
      <c r="H58" s="5" t="s">
        <v>18737</v>
      </c>
      <c r="I58" s="5" t="s">
        <v>18746</v>
      </c>
      <c r="J58" s="6" t="s">
        <v>42</v>
      </c>
      <c r="K58" s="5" t="s">
        <v>64</v>
      </c>
      <c r="L58" s="5" t="s">
        <v>18995</v>
      </c>
      <c r="M58" s="6">
        <v>2419.0</v>
      </c>
    </row>
    <row r="59" ht="56.25" customHeight="1">
      <c r="A59" s="5" t="s">
        <v>18996</v>
      </c>
      <c r="B59" s="6" t="str">
        <f>IMAGE("https://storage.googleapis.com/acdb/music/mjk_Rock.png")</f>
        <v/>
      </c>
      <c r="C59" s="6">
        <v>3200.0</v>
      </c>
      <c r="D59" s="6">
        <v>800.0</v>
      </c>
      <c r="E59" s="5" t="s">
        <v>39</v>
      </c>
      <c r="F59" s="5" t="s">
        <v>54</v>
      </c>
      <c r="G59" s="6" t="s">
        <v>40</v>
      </c>
      <c r="H59" s="5" t="s">
        <v>18737</v>
      </c>
      <c r="I59" s="5" t="s">
        <v>18773</v>
      </c>
      <c r="J59" s="6" t="s">
        <v>42</v>
      </c>
      <c r="K59" s="5" t="s">
        <v>64</v>
      </c>
      <c r="L59" s="5" t="s">
        <v>18999</v>
      </c>
      <c r="M59" s="6">
        <v>2431.0</v>
      </c>
    </row>
    <row r="60" ht="56.25" customHeight="1">
      <c r="A60" s="5" t="s">
        <v>19000</v>
      </c>
      <c r="B60" s="6" t="str">
        <f>IMAGE("https://storage.googleapis.com/acdb/music/mjk_KekeBilly.png")</f>
        <v/>
      </c>
      <c r="C60" s="6">
        <v>3200.0</v>
      </c>
      <c r="D60" s="6">
        <v>800.0</v>
      </c>
      <c r="E60" s="5" t="s">
        <v>39</v>
      </c>
      <c r="F60" s="5" t="s">
        <v>83</v>
      </c>
      <c r="G60" s="6" t="s">
        <v>40</v>
      </c>
      <c r="H60" s="5" t="s">
        <v>18737</v>
      </c>
      <c r="I60" s="5" t="s">
        <v>18756</v>
      </c>
      <c r="J60" s="6" t="s">
        <v>42</v>
      </c>
      <c r="K60" s="5" t="s">
        <v>64</v>
      </c>
      <c r="L60" s="5" t="s">
        <v>19004</v>
      </c>
      <c r="M60" s="6">
        <v>2471.0</v>
      </c>
    </row>
    <row r="61" ht="56.25" customHeight="1">
      <c r="A61" s="5" t="s">
        <v>19005</v>
      </c>
      <c r="B61" s="6" t="str">
        <f>IMAGE("https://storage.googleapis.com/acdb/music/mjk_Afro.png")</f>
        <v/>
      </c>
      <c r="C61" s="6">
        <v>3200.0</v>
      </c>
      <c r="D61" s="6">
        <v>800.0</v>
      </c>
      <c r="E61" s="5" t="s">
        <v>39</v>
      </c>
      <c r="F61" s="5" t="s">
        <v>142</v>
      </c>
      <c r="G61" s="6" t="s">
        <v>40</v>
      </c>
      <c r="H61" s="5" t="s">
        <v>18737</v>
      </c>
      <c r="I61" s="5" t="s">
        <v>18773</v>
      </c>
      <c r="J61" s="6" t="s">
        <v>42</v>
      </c>
      <c r="K61" s="5" t="s">
        <v>64</v>
      </c>
      <c r="L61" s="5" t="s">
        <v>19008</v>
      </c>
      <c r="M61" s="6">
        <v>2429.0</v>
      </c>
    </row>
    <row r="62" ht="56.25" customHeight="1">
      <c r="A62" s="5" t="s">
        <v>19009</v>
      </c>
      <c r="B62" s="6" t="str">
        <f>IMAGE("https://storage.googleapis.com/acdb/music/mjk_Salsa.png")</f>
        <v/>
      </c>
      <c r="C62" s="6">
        <v>3200.0</v>
      </c>
      <c r="D62" s="6">
        <v>800.0</v>
      </c>
      <c r="E62" s="5" t="s">
        <v>39</v>
      </c>
      <c r="F62" s="5" t="s">
        <v>52</v>
      </c>
      <c r="G62" s="6" t="s">
        <v>40</v>
      </c>
      <c r="H62" s="5" t="s">
        <v>18737</v>
      </c>
      <c r="I62" s="5" t="s">
        <v>18756</v>
      </c>
      <c r="J62" s="6" t="s">
        <v>42</v>
      </c>
      <c r="K62" s="5" t="s">
        <v>64</v>
      </c>
      <c r="L62" s="5" t="s">
        <v>19012</v>
      </c>
      <c r="M62" s="6">
        <v>2417.0</v>
      </c>
    </row>
    <row r="63" ht="56.25" customHeight="1">
      <c r="A63" s="5" t="s">
        <v>19013</v>
      </c>
      <c r="B63" s="6" t="str">
        <f>IMAGE("https://storage.googleapis.com/acdb/music/mjk_Samba.png")</f>
        <v/>
      </c>
      <c r="C63" s="6">
        <v>3200.0</v>
      </c>
      <c r="D63" s="6">
        <v>800.0</v>
      </c>
      <c r="E63" s="5" t="s">
        <v>39</v>
      </c>
      <c r="F63" s="5" t="s">
        <v>83</v>
      </c>
      <c r="G63" s="6" t="s">
        <v>40</v>
      </c>
      <c r="H63" s="5" t="s">
        <v>18737</v>
      </c>
      <c r="I63" s="5" t="s">
        <v>18756</v>
      </c>
      <c r="J63" s="6" t="s">
        <v>42</v>
      </c>
      <c r="K63" s="5" t="s">
        <v>64</v>
      </c>
      <c r="L63" s="5" t="s">
        <v>19017</v>
      </c>
      <c r="M63" s="6">
        <v>2414.0</v>
      </c>
    </row>
    <row r="64" ht="56.25" customHeight="1">
      <c r="A64" s="5" t="s">
        <v>19018</v>
      </c>
      <c r="B64" s="6" t="str">
        <f>IMAGE("https://storage.googleapis.com/acdb/music/mjk_Ska.png")</f>
        <v/>
      </c>
      <c r="C64" s="6">
        <v>3200.0</v>
      </c>
      <c r="D64" s="6">
        <v>800.0</v>
      </c>
      <c r="E64" s="5" t="s">
        <v>39</v>
      </c>
      <c r="F64" s="5" t="s">
        <v>54</v>
      </c>
      <c r="G64" s="6" t="s">
        <v>40</v>
      </c>
      <c r="H64" s="5" t="s">
        <v>18737</v>
      </c>
      <c r="I64" s="5" t="s">
        <v>18756</v>
      </c>
      <c r="J64" s="6" t="s">
        <v>42</v>
      </c>
      <c r="K64" s="5" t="s">
        <v>64</v>
      </c>
      <c r="L64" s="5" t="s">
        <v>19024</v>
      </c>
      <c r="M64" s="6">
        <v>2420.0</v>
      </c>
    </row>
    <row r="65" ht="56.25" customHeight="1">
      <c r="A65" s="5" t="s">
        <v>19025</v>
      </c>
      <c r="B65" s="6" t="str">
        <f>IMAGE("https://storage.googleapis.com/acdb/music/mjk_Sonata.png")</f>
        <v/>
      </c>
      <c r="C65" s="6">
        <v>3200.0</v>
      </c>
      <c r="D65" s="6">
        <v>800.0</v>
      </c>
      <c r="E65" s="5" t="s">
        <v>39</v>
      </c>
      <c r="F65" s="5" t="s">
        <v>57</v>
      </c>
      <c r="G65" s="6" t="s">
        <v>40</v>
      </c>
      <c r="H65" s="5" t="s">
        <v>18737</v>
      </c>
      <c r="I65" s="5" t="s">
        <v>18767</v>
      </c>
      <c r="J65" s="6" t="s">
        <v>42</v>
      </c>
      <c r="K65" s="5" t="s">
        <v>64</v>
      </c>
      <c r="L65" s="5" t="s">
        <v>19031</v>
      </c>
      <c r="M65" s="6">
        <v>2479.0</v>
      </c>
    </row>
    <row r="66" ht="56.25" customHeight="1">
      <c r="A66" s="5" t="s">
        <v>19033</v>
      </c>
      <c r="B66" s="6" t="str">
        <f>IMAGE("https://storage.googleapis.com/acdb/music/mjk_KekeSong.png")</f>
        <v/>
      </c>
      <c r="C66" s="6">
        <v>3200.0</v>
      </c>
      <c r="D66" s="6">
        <v>800.0</v>
      </c>
      <c r="E66" s="5" t="s">
        <v>39</v>
      </c>
      <c r="F66" s="5" t="s">
        <v>58</v>
      </c>
      <c r="G66" s="6" t="s">
        <v>40</v>
      </c>
      <c r="H66" s="5" t="s">
        <v>18737</v>
      </c>
      <c r="I66" s="5" t="s">
        <v>18739</v>
      </c>
      <c r="J66" s="6" t="s">
        <v>42</v>
      </c>
      <c r="K66" s="5" t="s">
        <v>64</v>
      </c>
      <c r="L66" s="5" t="s">
        <v>19036</v>
      </c>
      <c r="M66" s="6">
        <v>2457.0</v>
      </c>
    </row>
    <row r="67" ht="56.25" customHeight="1">
      <c r="A67" s="5" t="s">
        <v>19038</v>
      </c>
      <c r="B67" s="6" t="str">
        <f>IMAGE("https://storage.googleapis.com/acdb/music/mjk_Soul.png")</f>
        <v/>
      </c>
      <c r="C67" s="6">
        <v>3200.0</v>
      </c>
      <c r="D67" s="6">
        <v>800.0</v>
      </c>
      <c r="E67" s="5" t="s">
        <v>39</v>
      </c>
      <c r="F67" s="5" t="s">
        <v>54</v>
      </c>
      <c r="G67" s="6" t="s">
        <v>40</v>
      </c>
      <c r="H67" s="5" t="s">
        <v>18737</v>
      </c>
      <c r="I67" s="5" t="s">
        <v>18739</v>
      </c>
      <c r="J67" s="6" t="s">
        <v>42</v>
      </c>
      <c r="K67" s="5" t="s">
        <v>64</v>
      </c>
      <c r="L67" s="5" t="s">
        <v>19042</v>
      </c>
      <c r="M67" s="6">
        <v>2438.0</v>
      </c>
    </row>
    <row r="68" ht="56.25" customHeight="1">
      <c r="A68" s="5" t="s">
        <v>19045</v>
      </c>
      <c r="B68" s="6" t="str">
        <f>IMAGE("https://storage.googleapis.com/acdb/music/mjk_Cossack.png")</f>
        <v/>
      </c>
      <c r="C68" s="6">
        <v>3200.0</v>
      </c>
      <c r="D68" s="6">
        <v>800.0</v>
      </c>
      <c r="E68" s="5" t="s">
        <v>39</v>
      </c>
      <c r="F68" s="5" t="s">
        <v>58</v>
      </c>
      <c r="G68" s="6" t="s">
        <v>40</v>
      </c>
      <c r="H68" s="5" t="s">
        <v>18737</v>
      </c>
      <c r="I68" s="5" t="s">
        <v>18773</v>
      </c>
      <c r="J68" s="6" t="s">
        <v>42</v>
      </c>
      <c r="K68" s="5" t="s">
        <v>64</v>
      </c>
      <c r="L68" s="5" t="s">
        <v>19049</v>
      </c>
      <c r="M68" s="6">
        <v>2426.0</v>
      </c>
    </row>
    <row r="69" ht="56.25" customHeight="1">
      <c r="A69" s="5" t="s">
        <v>19050</v>
      </c>
      <c r="B69" s="6" t="str">
        <f>IMAGE("https://storage.googleapis.com/acdb/music/mjk_Osanpo.png")</f>
        <v/>
      </c>
      <c r="C69" s="6">
        <v>3200.0</v>
      </c>
      <c r="D69" s="6">
        <v>800.0</v>
      </c>
      <c r="E69" s="5" t="s">
        <v>39</v>
      </c>
      <c r="F69" s="5" t="s">
        <v>57</v>
      </c>
      <c r="G69" s="6" t="s">
        <v>40</v>
      </c>
      <c r="H69" s="5" t="s">
        <v>18737</v>
      </c>
      <c r="I69" s="5" t="s">
        <v>18746</v>
      </c>
      <c r="J69" s="6" t="s">
        <v>42</v>
      </c>
      <c r="K69" s="5" t="s">
        <v>64</v>
      </c>
      <c r="L69" s="5" t="s">
        <v>19053</v>
      </c>
      <c r="M69" s="6">
        <v>2481.0</v>
      </c>
    </row>
    <row r="70" ht="56.25" customHeight="1">
      <c r="A70" s="5" t="s">
        <v>19055</v>
      </c>
      <c r="B70" s="6" t="str">
        <f>IMAGE("https://storage.googleapis.com/acdb/music/mjk_Swing.png")</f>
        <v/>
      </c>
      <c r="C70" s="6">
        <v>3200.0</v>
      </c>
      <c r="D70" s="6">
        <v>800.0</v>
      </c>
      <c r="E70" s="5" t="s">
        <v>39</v>
      </c>
      <c r="F70" s="5" t="s">
        <v>38</v>
      </c>
      <c r="G70" s="6" t="s">
        <v>40</v>
      </c>
      <c r="H70" s="5" t="s">
        <v>18737</v>
      </c>
      <c r="I70" s="5" t="s">
        <v>18746</v>
      </c>
      <c r="J70" s="6" t="s">
        <v>42</v>
      </c>
      <c r="K70" s="5" t="s">
        <v>64</v>
      </c>
      <c r="L70" s="5" t="s">
        <v>19058</v>
      </c>
      <c r="M70" s="6">
        <v>2408.0</v>
      </c>
    </row>
    <row r="71" ht="56.25" customHeight="1">
      <c r="A71" s="5" t="s">
        <v>19059</v>
      </c>
      <c r="B71" s="6" t="str">
        <f>IMAGE("https://storage.googleapis.com/acdb/music/mjk_Electronica.png")</f>
        <v/>
      </c>
      <c r="C71" s="6">
        <v>3200.0</v>
      </c>
      <c r="D71" s="6">
        <v>800.0</v>
      </c>
      <c r="E71" s="5" t="s">
        <v>39</v>
      </c>
      <c r="F71" s="5" t="s">
        <v>57</v>
      </c>
      <c r="G71" s="6" t="s">
        <v>40</v>
      </c>
      <c r="H71" s="5" t="s">
        <v>18737</v>
      </c>
      <c r="I71" s="5" t="s">
        <v>18746</v>
      </c>
      <c r="J71" s="6" t="s">
        <v>42</v>
      </c>
      <c r="K71" s="5" t="s">
        <v>64</v>
      </c>
      <c r="L71" s="5" t="s">
        <v>19062</v>
      </c>
      <c r="M71" s="6">
        <v>2493.0</v>
      </c>
    </row>
    <row r="72" ht="56.25" customHeight="1">
      <c r="A72" s="5" t="s">
        <v>19063</v>
      </c>
      <c r="B72" s="6" t="str">
        <f>IMAGE("https://storage.googleapis.com/acdb/music/mjk_Tango.png")</f>
        <v/>
      </c>
      <c r="C72" s="6">
        <v>3200.0</v>
      </c>
      <c r="D72" s="6">
        <v>800.0</v>
      </c>
      <c r="E72" s="5" t="s">
        <v>39</v>
      </c>
      <c r="F72" s="5" t="s">
        <v>54</v>
      </c>
      <c r="G72" s="6" t="s">
        <v>40</v>
      </c>
      <c r="H72" s="5" t="s">
        <v>18737</v>
      </c>
      <c r="I72" s="5" t="s">
        <v>18773</v>
      </c>
      <c r="J72" s="6" t="s">
        <v>42</v>
      </c>
      <c r="K72" s="5" t="s">
        <v>64</v>
      </c>
      <c r="L72" s="5" t="s">
        <v>19066</v>
      </c>
      <c r="M72" s="6">
        <v>2421.0</v>
      </c>
    </row>
    <row r="73" ht="56.25" customHeight="1">
      <c r="A73" s="5" t="s">
        <v>19069</v>
      </c>
      <c r="B73" s="6" t="str">
        <f>IMAGE("https://storage.googleapis.com/acdb/music/mjk_TechnoBeat.png")</f>
        <v/>
      </c>
      <c r="C73" s="6">
        <v>3200.0</v>
      </c>
      <c r="D73" s="6">
        <v>800.0</v>
      </c>
      <c r="E73" s="5" t="s">
        <v>39</v>
      </c>
      <c r="F73" s="5" t="s">
        <v>54</v>
      </c>
      <c r="G73" s="6" t="s">
        <v>40</v>
      </c>
      <c r="H73" s="5" t="s">
        <v>18737</v>
      </c>
      <c r="I73" s="5" t="s">
        <v>18739</v>
      </c>
      <c r="J73" s="6" t="s">
        <v>42</v>
      </c>
      <c r="K73" s="5" t="s">
        <v>64</v>
      </c>
      <c r="L73" s="5" t="s">
        <v>19070</v>
      </c>
      <c r="M73" s="6">
        <v>2442.0</v>
      </c>
    </row>
    <row r="74" ht="56.25" customHeight="1">
      <c r="A74" s="5" t="s">
        <v>19071</v>
      </c>
      <c r="B74" s="6" t="str">
        <f>IMAGE("https://storage.googleapis.com/acdb/music/mjk_Waltz.png")</f>
        <v/>
      </c>
      <c r="C74" s="6">
        <v>3200.0</v>
      </c>
      <c r="D74" s="6">
        <v>800.0</v>
      </c>
      <c r="E74" s="5" t="s">
        <v>39</v>
      </c>
      <c r="F74" s="5" t="s">
        <v>52</v>
      </c>
      <c r="G74" s="6" t="s">
        <v>40</v>
      </c>
      <c r="H74" s="5" t="s">
        <v>18737</v>
      </c>
      <c r="I74" s="5" t="s">
        <v>18767</v>
      </c>
      <c r="J74" s="6" t="s">
        <v>42</v>
      </c>
      <c r="K74" s="5" t="s">
        <v>64</v>
      </c>
      <c r="L74" s="5" t="s">
        <v>19072</v>
      </c>
      <c r="M74" s="6">
        <v>2407.0</v>
      </c>
    </row>
    <row r="75" ht="56.25" customHeight="1">
      <c r="A75" s="5" t="s">
        <v>19073</v>
      </c>
      <c r="B75" s="6" t="str">
        <f>IMAGE("https://storage.googleapis.com/acdb/music/mjk_Western.png")</f>
        <v/>
      </c>
      <c r="C75" s="6">
        <v>3200.0</v>
      </c>
      <c r="D75" s="6">
        <v>800.0</v>
      </c>
      <c r="E75" s="5" t="s">
        <v>39</v>
      </c>
      <c r="F75" s="5" t="s">
        <v>95</v>
      </c>
      <c r="G75" s="6" t="s">
        <v>40</v>
      </c>
      <c r="H75" s="5" t="s">
        <v>18737</v>
      </c>
      <c r="I75" s="5" t="s">
        <v>18767</v>
      </c>
      <c r="J75" s="6" t="s">
        <v>42</v>
      </c>
      <c r="K75" s="5" t="s">
        <v>64</v>
      </c>
      <c r="L75" s="5" t="s">
        <v>19075</v>
      </c>
      <c r="M75" s="6">
        <v>2452.0</v>
      </c>
    </row>
    <row r="76" ht="56.25" customHeight="1">
      <c r="A76" s="5" t="s">
        <v>19076</v>
      </c>
      <c r="B76" s="6" t="str">
        <f>IMAGE("https://storage.googleapis.com/acdb/music/mjk_Daimyo.png")</f>
        <v/>
      </c>
      <c r="C76" s="6">
        <v>3200.0</v>
      </c>
      <c r="D76" s="6">
        <v>800.0</v>
      </c>
      <c r="E76" s="5" t="s">
        <v>39</v>
      </c>
      <c r="F76" s="5" t="s">
        <v>114</v>
      </c>
      <c r="G76" s="6" t="s">
        <v>40</v>
      </c>
      <c r="H76" s="5" t="s">
        <v>18737</v>
      </c>
      <c r="I76" s="5" t="s">
        <v>18767</v>
      </c>
      <c r="J76" s="6" t="s">
        <v>42</v>
      </c>
      <c r="K76" s="5" t="s">
        <v>64</v>
      </c>
      <c r="L76" s="5" t="s">
        <v>19077</v>
      </c>
      <c r="M76" s="6">
        <v>2466.0</v>
      </c>
    </row>
    <row r="77" ht="56.25" customHeight="1">
      <c r="A77" s="5" t="s">
        <v>19078</v>
      </c>
      <c r="B77" s="6" t="str">
        <f>IMAGE("https://storage.googleapis.com/acdb/music/mjk_Irish.png")</f>
        <v/>
      </c>
      <c r="C77" s="6">
        <v>3200.0</v>
      </c>
      <c r="D77" s="6">
        <v>800.0</v>
      </c>
      <c r="E77" s="5" t="s">
        <v>39</v>
      </c>
      <c r="F77" s="5" t="s">
        <v>57</v>
      </c>
      <c r="G77" s="6" t="s">
        <v>40</v>
      </c>
      <c r="H77" s="5" t="s">
        <v>18737</v>
      </c>
      <c r="I77" s="5" t="s">
        <v>18773</v>
      </c>
      <c r="J77" s="6" t="s">
        <v>42</v>
      </c>
      <c r="K77" s="5" t="s">
        <v>64</v>
      </c>
      <c r="L77" s="5" t="s">
        <v>19080</v>
      </c>
      <c r="M77" s="6">
        <v>2424.0</v>
      </c>
    </row>
    <row r="78" ht="56.25" customHeight="1">
      <c r="A78" s="5" t="s">
        <v>19081</v>
      </c>
      <c r="B78" s="6" t="str">
        <f>IMAGE("https://storage.googleapis.com/acdb/music/mjk_HunaUta2001.png")</f>
        <v/>
      </c>
      <c r="C78" s="6">
        <v>3200.0</v>
      </c>
      <c r="D78" s="6">
        <v>800.0</v>
      </c>
      <c r="E78" s="5" t="s">
        <v>39</v>
      </c>
      <c r="F78" s="5" t="s">
        <v>83</v>
      </c>
      <c r="G78" s="6" t="s">
        <v>40</v>
      </c>
      <c r="H78" s="5" t="s">
        <v>18737</v>
      </c>
      <c r="I78" s="5" t="s">
        <v>18746</v>
      </c>
      <c r="J78" s="6" t="s">
        <v>42</v>
      </c>
      <c r="K78" s="5" t="s">
        <v>64</v>
      </c>
      <c r="L78" s="5" t="s">
        <v>19082</v>
      </c>
      <c r="M78" s="6">
        <v>2468.0</v>
      </c>
    </row>
    <row r="79" ht="56.25" customHeight="1">
      <c r="A79" s="5" t="s">
        <v>19083</v>
      </c>
      <c r="B79" s="6" t="str">
        <f>IMAGE("https://storage.googleapis.com/acdb/music/mjk_Alpine.png")</f>
        <v/>
      </c>
      <c r="C79" s="6">
        <v>3200.0</v>
      </c>
      <c r="D79" s="6">
        <v>800.0</v>
      </c>
      <c r="E79" s="5" t="s">
        <v>39</v>
      </c>
      <c r="F79" s="5" t="s">
        <v>83</v>
      </c>
      <c r="G79" s="6" t="s">
        <v>40</v>
      </c>
      <c r="H79" s="5" t="s">
        <v>18737</v>
      </c>
      <c r="I79" s="5" t="s">
        <v>18756</v>
      </c>
      <c r="J79" s="6" t="s">
        <v>42</v>
      </c>
      <c r="K79" s="5" t="s">
        <v>64</v>
      </c>
      <c r="L79" s="5" t="s">
        <v>19085</v>
      </c>
      <c r="M79" s="6">
        <v>2467.0</v>
      </c>
    </row>
    <row r="80" ht="56.25" customHeight="1">
      <c r="A80" s="5" t="s">
        <v>19086</v>
      </c>
      <c r="B80" s="6" t="str">
        <f>IMAGE("https://storage.googleapis.com/acdb/music/mjk_Sensei.png")</f>
        <v/>
      </c>
      <c r="C80" s="6">
        <v>3200.0</v>
      </c>
      <c r="D80" s="6">
        <v>800.0</v>
      </c>
      <c r="E80" s="5" t="s">
        <v>39</v>
      </c>
      <c r="F80" s="5" t="s">
        <v>38</v>
      </c>
      <c r="G80" s="6" t="s">
        <v>40</v>
      </c>
      <c r="H80" s="5" t="s">
        <v>18737</v>
      </c>
      <c r="I80" s="5" t="s">
        <v>18746</v>
      </c>
      <c r="J80" s="6" t="s">
        <v>42</v>
      </c>
      <c r="K80" s="5" t="s">
        <v>64</v>
      </c>
      <c r="L80" s="5" t="s">
        <v>19087</v>
      </c>
      <c r="M80" s="6">
        <v>2453.0</v>
      </c>
    </row>
    <row r="81" ht="56.25" customHeight="1">
      <c r="A81" s="5" t="s">
        <v>19088</v>
      </c>
      <c r="B81" s="6" t="str">
        <f>IMAGE("https://storage.googleapis.com/acdb/music/mjk_BokuNoBasho.png")</f>
        <v/>
      </c>
      <c r="C81" s="6">
        <v>3200.0</v>
      </c>
      <c r="D81" s="6">
        <v>800.0</v>
      </c>
      <c r="E81" s="5" t="s">
        <v>39</v>
      </c>
      <c r="F81" s="5" t="s">
        <v>96</v>
      </c>
      <c r="G81" s="6" t="s">
        <v>40</v>
      </c>
      <c r="H81" s="5" t="s">
        <v>18737</v>
      </c>
      <c r="I81" s="5" t="s">
        <v>18746</v>
      </c>
      <c r="J81" s="6" t="s">
        <v>42</v>
      </c>
      <c r="K81" s="5" t="s">
        <v>64</v>
      </c>
      <c r="L81" s="5" t="s">
        <v>19090</v>
      </c>
      <c r="M81" s="6">
        <v>2460.0</v>
      </c>
    </row>
    <row r="82" ht="56.25" customHeight="1">
      <c r="A82" s="5" t="s">
        <v>19091</v>
      </c>
      <c r="B82" s="6" t="str">
        <f>IMAGE("https://storage.googleapis.com/acdb/music/mjk_Napolitan.png")</f>
        <v/>
      </c>
      <c r="C82" s="6">
        <v>3200.0</v>
      </c>
      <c r="D82" s="6">
        <v>800.0</v>
      </c>
      <c r="E82" s="5" t="s">
        <v>39</v>
      </c>
      <c r="F82" s="5" t="s">
        <v>54</v>
      </c>
      <c r="G82" s="6" t="s">
        <v>40</v>
      </c>
      <c r="H82" s="5" t="s">
        <v>18737</v>
      </c>
      <c r="I82" s="5" t="s">
        <v>18756</v>
      </c>
      <c r="J82" s="6" t="s">
        <v>42</v>
      </c>
      <c r="K82" s="5" t="s">
        <v>64</v>
      </c>
      <c r="L82" s="5" t="s">
        <v>19092</v>
      </c>
      <c r="M82" s="6">
        <v>2469.0</v>
      </c>
    </row>
    <row r="83" ht="56.25" customHeight="1">
      <c r="A83" s="5" t="s">
        <v>19093</v>
      </c>
      <c r="B83" s="6" t="str">
        <f>IMAGE("https://storage.googleapis.com/acdb/music/mjk_OnlyMe.png")</f>
        <v/>
      </c>
      <c r="C83" s="6">
        <v>3200.0</v>
      </c>
      <c r="D83" s="6">
        <v>800.0</v>
      </c>
      <c r="E83" s="5" t="s">
        <v>39</v>
      </c>
      <c r="F83" s="5" t="s">
        <v>95</v>
      </c>
      <c r="G83" s="6" t="s">
        <v>40</v>
      </c>
      <c r="H83" s="5" t="s">
        <v>18737</v>
      </c>
      <c r="I83" s="5" t="s">
        <v>18767</v>
      </c>
      <c r="J83" s="6" t="s">
        <v>42</v>
      </c>
      <c r="K83" s="5" t="s">
        <v>64</v>
      </c>
      <c r="L83" s="5" t="s">
        <v>19095</v>
      </c>
      <c r="M83" s="6">
        <v>2444.0</v>
      </c>
    </row>
    <row r="84" ht="56.25" customHeight="1">
      <c r="A84" s="5" t="s">
        <v>19096</v>
      </c>
      <c r="B84" s="6" t="str">
        <f>IMAGE("https://storage.googleapis.com/acdb/music/mjk_KangaeChu.png")</f>
        <v/>
      </c>
      <c r="C84" s="6">
        <v>3200.0</v>
      </c>
      <c r="D84" s="6">
        <v>800.0</v>
      </c>
      <c r="E84" s="5" t="s">
        <v>39</v>
      </c>
      <c r="F84" s="5" t="s">
        <v>54</v>
      </c>
      <c r="G84" s="6" t="s">
        <v>40</v>
      </c>
      <c r="H84" s="5" t="s">
        <v>18737</v>
      </c>
      <c r="I84" s="5" t="s">
        <v>18746</v>
      </c>
      <c r="J84" s="6" t="s">
        <v>42</v>
      </c>
      <c r="K84" s="5" t="s">
        <v>64</v>
      </c>
      <c r="L84" s="5" t="s">
        <v>19098</v>
      </c>
      <c r="M84" s="6">
        <v>2463.0</v>
      </c>
    </row>
    <row r="85" ht="56.25" customHeight="1">
      <c r="A85" s="5" t="s">
        <v>19100</v>
      </c>
      <c r="B85" s="6" t="str">
        <f>IMAGE("https://storage.googleapis.com/acdb/music/mjk_RocknRoll.png")</f>
        <v/>
      </c>
      <c r="C85" s="6">
        <v>3200.0</v>
      </c>
      <c r="D85" s="6">
        <v>800.0</v>
      </c>
      <c r="E85" s="5" t="s">
        <v>39</v>
      </c>
      <c r="F85" s="5" t="s">
        <v>54</v>
      </c>
      <c r="G85" s="6" t="s">
        <v>40</v>
      </c>
      <c r="H85" s="5" t="s">
        <v>18737</v>
      </c>
      <c r="I85" s="5" t="s">
        <v>18773</v>
      </c>
      <c r="J85" s="6" t="s">
        <v>42</v>
      </c>
      <c r="K85" s="5" t="s">
        <v>64</v>
      </c>
      <c r="L85" s="5" t="s">
        <v>19103</v>
      </c>
      <c r="M85" s="6">
        <v>2432.0</v>
      </c>
    </row>
    <row r="86" ht="56.25" customHeight="1">
      <c r="A86" s="5" t="s">
        <v>19107</v>
      </c>
      <c r="B86" s="6" t="str">
        <f>IMAGE("https://storage.googleapis.com/acdb/music/mjk_Gospel.png")</f>
        <v/>
      </c>
      <c r="C86" s="6">
        <v>3200.0</v>
      </c>
      <c r="D86" s="6">
        <v>800.0</v>
      </c>
      <c r="E86" s="5" t="s">
        <v>39</v>
      </c>
      <c r="F86" s="5" t="s">
        <v>142</v>
      </c>
      <c r="G86" s="6" t="s">
        <v>40</v>
      </c>
      <c r="H86" s="5" t="s">
        <v>18737</v>
      </c>
      <c r="I86" s="5" t="s">
        <v>18746</v>
      </c>
      <c r="J86" s="6" t="s">
        <v>42</v>
      </c>
      <c r="K86" s="5" t="s">
        <v>64</v>
      </c>
      <c r="L86" s="5" t="s">
        <v>19116</v>
      </c>
      <c r="M86" s="6">
        <v>2437.0</v>
      </c>
    </row>
    <row r="87" ht="56.25" customHeight="1">
      <c r="A87" s="5" t="s">
        <v>19117</v>
      </c>
      <c r="B87" s="6" t="str">
        <f>IMAGE("https://storage.googleapis.com/acdb/music/mjk_Minimal.png")</f>
        <v/>
      </c>
      <c r="C87" s="6">
        <v>3200.0</v>
      </c>
      <c r="D87" s="6">
        <v>800.0</v>
      </c>
      <c r="E87" s="5" t="s">
        <v>39</v>
      </c>
      <c r="F87" s="5" t="s">
        <v>57</v>
      </c>
      <c r="G87" s="6" t="s">
        <v>40</v>
      </c>
      <c r="H87" s="5" t="s">
        <v>18737</v>
      </c>
      <c r="I87" s="5" t="s">
        <v>18739</v>
      </c>
      <c r="J87" s="6" t="s">
        <v>42</v>
      </c>
      <c r="K87" s="5" t="s">
        <v>64</v>
      </c>
      <c r="L87" s="5" t="s">
        <v>19119</v>
      </c>
      <c r="M87" s="6">
        <v>2483.0</v>
      </c>
    </row>
    <row r="88" ht="56.25" customHeight="1">
      <c r="A88" s="5" t="s">
        <v>19120</v>
      </c>
      <c r="B88" s="6" t="str">
        <f>IMAGE("https://storage.googleapis.com/acdb/music/mjk_HaruNoKomorebi.png")</f>
        <v/>
      </c>
      <c r="C88" s="6">
        <v>3200.0</v>
      </c>
      <c r="D88" s="6">
        <v>800.0</v>
      </c>
      <c r="E88" s="5" t="s">
        <v>39</v>
      </c>
      <c r="F88" s="5" t="s">
        <v>69</v>
      </c>
      <c r="G88" s="6" t="s">
        <v>40</v>
      </c>
      <c r="H88" s="5" t="s">
        <v>18737</v>
      </c>
      <c r="I88" s="5" t="s">
        <v>18756</v>
      </c>
      <c r="J88" s="6" t="s">
        <v>42</v>
      </c>
      <c r="K88" s="5" t="s">
        <v>64</v>
      </c>
      <c r="L88" s="5" t="s">
        <v>19123</v>
      </c>
      <c r="M88" s="6">
        <v>2476.0</v>
      </c>
    </row>
    <row r="89" ht="56.25" customHeight="1">
      <c r="A89" s="5" t="s">
        <v>19124</v>
      </c>
      <c r="B89" s="6" t="str">
        <f>IMAGE("https://storage.googleapis.com/acdb/music/mjk_BlueOnigiri.png")</f>
        <v/>
      </c>
      <c r="C89" s="6">
        <v>3200.0</v>
      </c>
      <c r="D89" s="6">
        <v>800.0</v>
      </c>
      <c r="E89" s="5" t="s">
        <v>39</v>
      </c>
      <c r="F89" s="5" t="s">
        <v>68</v>
      </c>
      <c r="G89" s="6" t="s">
        <v>40</v>
      </c>
      <c r="H89" s="5" t="s">
        <v>18737</v>
      </c>
      <c r="I89" s="5" t="s">
        <v>18767</v>
      </c>
      <c r="J89" s="6" t="s">
        <v>42</v>
      </c>
      <c r="K89" s="5" t="s">
        <v>64</v>
      </c>
      <c r="L89" s="5" t="s">
        <v>19125</v>
      </c>
      <c r="M89" s="6">
        <v>2475.0</v>
      </c>
    </row>
    <row r="90" ht="56.25" customHeight="1">
      <c r="A90" s="5" t="s">
        <v>19126</v>
      </c>
      <c r="B90" s="6" t="str">
        <f>IMAGE("https://storage.googleapis.com/acdb/music/mjk_NiDanZaka.png")</f>
        <v/>
      </c>
      <c r="C90" s="6">
        <v>3200.0</v>
      </c>
      <c r="D90" s="6">
        <v>800.0</v>
      </c>
      <c r="E90" s="5" t="s">
        <v>39</v>
      </c>
      <c r="F90" s="5" t="s">
        <v>142</v>
      </c>
      <c r="G90" s="6" t="s">
        <v>40</v>
      </c>
      <c r="H90" s="5" t="s">
        <v>18737</v>
      </c>
      <c r="I90" s="5" t="s">
        <v>18767</v>
      </c>
      <c r="J90" s="6" t="s">
        <v>42</v>
      </c>
      <c r="K90" s="5" t="s">
        <v>64</v>
      </c>
      <c r="L90" s="5" t="s">
        <v>19129</v>
      </c>
      <c r="M90" s="6">
        <v>2470.0</v>
      </c>
    </row>
    <row r="91" ht="56.25" customHeight="1">
      <c r="A91" s="5" t="s">
        <v>19131</v>
      </c>
      <c r="B91" s="6" t="str">
        <f>IMAGE("https://storage.googleapis.com/acdb/music/mjk_Eleki.png")</f>
        <v/>
      </c>
      <c r="C91" s="6">
        <v>3200.0</v>
      </c>
      <c r="D91" s="6">
        <v>800.0</v>
      </c>
      <c r="E91" s="5" t="s">
        <v>39</v>
      </c>
      <c r="F91" s="5" t="s">
        <v>68</v>
      </c>
      <c r="G91" s="6" t="s">
        <v>40</v>
      </c>
      <c r="H91" s="5" t="s">
        <v>18737</v>
      </c>
      <c r="I91" s="5" t="s">
        <v>18773</v>
      </c>
      <c r="J91" s="6" t="s">
        <v>42</v>
      </c>
      <c r="K91" s="5" t="s">
        <v>64</v>
      </c>
      <c r="L91" s="5" t="s">
        <v>19133</v>
      </c>
      <c r="M91" s="6">
        <v>2446.0</v>
      </c>
    </row>
    <row r="92" ht="56.25" customHeight="1">
      <c r="A92" s="5" t="s">
        <v>19135</v>
      </c>
      <c r="B92" s="6" t="str">
        <f>IMAGE("https://storage.googleapis.com/acdb/music/mjk_Funk.png")</f>
        <v/>
      </c>
      <c r="C92" s="6">
        <v>3200.0</v>
      </c>
      <c r="D92" s="6">
        <v>800.0</v>
      </c>
      <c r="E92" s="5" t="s">
        <v>39</v>
      </c>
      <c r="F92" s="5" t="s">
        <v>142</v>
      </c>
      <c r="G92" s="6" t="s">
        <v>40</v>
      </c>
      <c r="H92" s="5" t="s">
        <v>18737</v>
      </c>
      <c r="I92" s="5" t="s">
        <v>18739</v>
      </c>
      <c r="J92" s="6" t="s">
        <v>42</v>
      </c>
      <c r="K92" s="5" t="s">
        <v>64</v>
      </c>
      <c r="L92" s="5" t="s">
        <v>19141</v>
      </c>
      <c r="M92" s="6">
        <v>2435.0</v>
      </c>
    </row>
    <row r="93" ht="56.25" customHeight="1">
      <c r="A93" s="5" t="s">
        <v>19143</v>
      </c>
      <c r="B93" s="6" t="str">
        <f>IMAGE("https://storage.googleapis.com/acdb/music/mjk_NamiNami.png")</f>
        <v/>
      </c>
      <c r="C93" s="6">
        <v>3200.0</v>
      </c>
      <c r="D93" s="6">
        <v>800.0</v>
      </c>
      <c r="E93" s="5" t="s">
        <v>39</v>
      </c>
      <c r="F93" s="5" t="s">
        <v>57</v>
      </c>
      <c r="G93" s="6" t="s">
        <v>40</v>
      </c>
      <c r="H93" s="5" t="s">
        <v>18737</v>
      </c>
      <c r="I93" s="5" t="s">
        <v>18739</v>
      </c>
      <c r="J93" s="6" t="s">
        <v>42</v>
      </c>
      <c r="K93" s="5" t="s">
        <v>64</v>
      </c>
      <c r="L93" s="5" t="s">
        <v>19151</v>
      </c>
      <c r="M93" s="6">
        <v>2462.0</v>
      </c>
    </row>
    <row r="94" ht="56.25" customHeight="1">
      <c r="A94" s="5" t="s">
        <v>19152</v>
      </c>
      <c r="B94" s="6" t="str">
        <f>IMAGE("https://storage.googleapis.com/acdb/music/mjk_Ototoi.png")</f>
        <v/>
      </c>
      <c r="C94" s="6">
        <v>3200.0</v>
      </c>
      <c r="D94" s="6">
        <v>800.0</v>
      </c>
      <c r="E94" s="5" t="s">
        <v>39</v>
      </c>
      <c r="F94" s="5" t="s">
        <v>54</v>
      </c>
      <c r="G94" s="6" t="s">
        <v>40</v>
      </c>
      <c r="H94" s="5" t="s">
        <v>18737</v>
      </c>
      <c r="I94" s="5" t="s">
        <v>18767</v>
      </c>
      <c r="J94" s="6" t="s">
        <v>42</v>
      </c>
      <c r="K94" s="5" t="s">
        <v>64</v>
      </c>
      <c r="L94" s="5" t="s">
        <v>19155</v>
      </c>
      <c r="M94" s="6">
        <v>2459.0</v>
      </c>
    </row>
    <row r="95" ht="56.25" customHeight="1">
      <c r="A95" s="5" t="s">
        <v>19156</v>
      </c>
      <c r="B95" s="6" t="str">
        <f>IMAGE("https://storage.googleapis.com/acdb/music/mjk_Horo.png")</f>
        <v/>
      </c>
      <c r="C95" s="6">
        <v>3200.0</v>
      </c>
      <c r="D95" s="6">
        <v>800.0</v>
      </c>
      <c r="E95" s="5" t="s">
        <v>39</v>
      </c>
      <c r="F95" s="5" t="s">
        <v>95</v>
      </c>
      <c r="G95" s="6" t="s">
        <v>40</v>
      </c>
      <c r="H95" s="5" t="s">
        <v>18737</v>
      </c>
      <c r="I95" s="5" t="s">
        <v>18746</v>
      </c>
      <c r="J95" s="6" t="s">
        <v>42</v>
      </c>
      <c r="K95" s="5" t="s">
        <v>64</v>
      </c>
      <c r="L95" s="5" t="s">
        <v>19158</v>
      </c>
      <c r="M95" s="6">
        <v>2477.0</v>
      </c>
    </row>
    <row r="96" ht="56.25" customHeight="1">
      <c r="A96" s="5" t="s">
        <v>19159</v>
      </c>
      <c r="B96" s="6" t="str">
        <f>IMAGE("https://storage.googleapis.com/acdb/music/mjk_MainTheme.png")</f>
        <v/>
      </c>
      <c r="C96" s="6" t="s">
        <v>37</v>
      </c>
      <c r="D96" s="6">
        <v>800.0</v>
      </c>
      <c r="E96" s="5" t="s">
        <v>39</v>
      </c>
      <c r="F96" s="5" t="s">
        <v>44</v>
      </c>
      <c r="G96" s="6" t="s">
        <v>40</v>
      </c>
      <c r="H96" s="5" t="s">
        <v>18752</v>
      </c>
      <c r="I96" s="5" t="s">
        <v>19162</v>
      </c>
      <c r="J96" s="6" t="s">
        <v>42</v>
      </c>
      <c r="K96" s="5" t="s">
        <v>48</v>
      </c>
      <c r="L96" s="5" t="s">
        <v>19163</v>
      </c>
      <c r="M96" s="6">
        <v>4318.0</v>
      </c>
    </row>
    <row r="97" ht="56.25" customHeight="1">
      <c r="A97" s="5" t="s">
        <v>19165</v>
      </c>
      <c r="B97" s="6" t="str">
        <f>IMAGE("https://storage.googleapis.com/acdb/music/mjk_Miss1.png")</f>
        <v/>
      </c>
      <c r="C97" s="6">
        <v>3200.0</v>
      </c>
      <c r="D97" s="6">
        <v>800.0</v>
      </c>
      <c r="E97" s="5" t="s">
        <v>44</v>
      </c>
      <c r="F97" s="5" t="s">
        <v>44</v>
      </c>
      <c r="G97" s="6" t="s">
        <v>40</v>
      </c>
      <c r="H97" s="5" t="s">
        <v>18752</v>
      </c>
      <c r="I97" s="5" t="s">
        <v>19169</v>
      </c>
      <c r="J97" s="6" t="s">
        <v>42</v>
      </c>
      <c r="K97" s="5" t="s">
        <v>1237</v>
      </c>
      <c r="L97" s="5" t="s">
        <v>19170</v>
      </c>
      <c r="M97" s="6">
        <v>4315.0</v>
      </c>
    </row>
    <row r="98" ht="56.25" customHeight="1">
      <c r="A98" s="5" t="s">
        <v>19171</v>
      </c>
      <c r="B98" s="6" t="str">
        <f>IMAGE("https://storage.googleapis.com/acdb/music/mjk_Miss2.png")</f>
        <v/>
      </c>
      <c r="C98" s="6">
        <v>3200.0</v>
      </c>
      <c r="D98" s="6">
        <v>800.0</v>
      </c>
      <c r="E98" s="5" t="s">
        <v>44</v>
      </c>
      <c r="F98" s="5" t="s">
        <v>44</v>
      </c>
      <c r="G98" s="6" t="s">
        <v>40</v>
      </c>
      <c r="H98" s="5" t="s">
        <v>18752</v>
      </c>
      <c r="I98" s="5" t="s">
        <v>19169</v>
      </c>
      <c r="J98" s="6" t="s">
        <v>42</v>
      </c>
      <c r="K98" s="5" t="s">
        <v>1237</v>
      </c>
      <c r="L98" s="5" t="s">
        <v>19175</v>
      </c>
      <c r="M98" s="6">
        <v>4316.0</v>
      </c>
    </row>
    <row r="99" ht="56.25" customHeight="1">
      <c r="A99" s="5" t="s">
        <v>19176</v>
      </c>
      <c r="B99" s="6" t="str">
        <f>IMAGE("https://storage.googleapis.com/acdb/music/mjk_Miss3.png")</f>
        <v/>
      </c>
      <c r="C99" s="6">
        <v>3200.0</v>
      </c>
      <c r="D99" s="6">
        <v>800.0</v>
      </c>
      <c r="E99" s="5" t="s">
        <v>44</v>
      </c>
      <c r="F99" s="5" t="s">
        <v>44</v>
      </c>
      <c r="G99" s="6" t="s">
        <v>19178</v>
      </c>
      <c r="H99" s="5" t="s">
        <v>18752</v>
      </c>
      <c r="I99" s="5" t="s">
        <v>19169</v>
      </c>
      <c r="J99" s="6" t="s">
        <v>42</v>
      </c>
      <c r="K99" s="5" t="s">
        <v>1237</v>
      </c>
      <c r="L99" s="5" t="s">
        <v>19179</v>
      </c>
      <c r="M99" s="6">
        <v>4317.0</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2" width="3.0"/>
    <col customWidth="1" min="3" max="3" width="10.86"/>
    <col customWidth="1" min="4" max="4" width="3.0"/>
    <col customWidth="1" min="5" max="5" width="10.86"/>
    <col customWidth="1" min="6" max="6" width="3.0"/>
    <col customWidth="1" min="7" max="7" width="10.86"/>
    <col customWidth="1" min="8" max="8" width="3.0"/>
    <col customWidth="1" min="9" max="9" width="10.86"/>
    <col customWidth="1" min="10" max="10" width="3.0"/>
    <col customWidth="1" min="11" max="11" width="10.86"/>
    <col customWidth="1" min="12" max="12" width="3.0"/>
    <col customWidth="1" min="13" max="13" width="10.86"/>
    <col customWidth="1" min="14" max="14" width="19.43"/>
    <col customWidth="1" min="15" max="15" width="25.14"/>
    <col customWidth="1" min="16" max="16" width="13.0"/>
    <col customWidth="1" min="17" max="17" width="8.0"/>
  </cols>
  <sheetData>
    <row r="1" ht="26.25" customHeight="1">
      <c r="A1" s="29" t="s">
        <v>0</v>
      </c>
      <c r="B1" s="30" t="s">
        <v>19099</v>
      </c>
      <c r="C1" s="29" t="s">
        <v>19101</v>
      </c>
      <c r="D1" s="30" t="s">
        <v>19102</v>
      </c>
      <c r="E1" s="29" t="s">
        <v>19104</v>
      </c>
      <c r="F1" s="30" t="s">
        <v>19105</v>
      </c>
      <c r="G1" s="29" t="s">
        <v>19108</v>
      </c>
      <c r="H1" s="30" t="s">
        <v>19109</v>
      </c>
      <c r="I1" s="29" t="s">
        <v>19110</v>
      </c>
      <c r="J1" s="30" t="s">
        <v>19112</v>
      </c>
      <c r="K1" s="29" t="s">
        <v>19113</v>
      </c>
      <c r="L1" s="30" t="s">
        <v>19114</v>
      </c>
      <c r="M1" s="29" t="s">
        <v>19115</v>
      </c>
      <c r="N1" s="31" t="s">
        <v>73</v>
      </c>
      <c r="O1" s="29" t="s">
        <v>16</v>
      </c>
      <c r="P1" s="29" t="s">
        <v>19118</v>
      </c>
      <c r="Q1" s="30" t="s">
        <v>29</v>
      </c>
    </row>
    <row r="2" ht="37.5" customHeight="1">
      <c r="A2" s="32" t="s">
        <v>16710</v>
      </c>
      <c r="B2" s="33">
        <v>5.0</v>
      </c>
      <c r="C2" s="34" t="s">
        <v>19122</v>
      </c>
      <c r="D2" s="35"/>
      <c r="E2" s="34"/>
      <c r="F2" s="35"/>
      <c r="G2" s="34"/>
      <c r="H2" s="35"/>
      <c r="I2" s="34"/>
      <c r="J2" s="35"/>
      <c r="K2" s="34"/>
      <c r="L2" s="35"/>
      <c r="M2" s="34"/>
      <c r="N2" s="5" t="s">
        <v>19128</v>
      </c>
      <c r="O2" s="36"/>
      <c r="P2" s="36" t="s">
        <v>19130</v>
      </c>
      <c r="Q2" s="37"/>
    </row>
    <row r="3" ht="37.5" customHeight="1">
      <c r="A3" s="36" t="s">
        <v>18417</v>
      </c>
      <c r="B3" s="33">
        <v>6.0</v>
      </c>
      <c r="C3" s="34" t="s">
        <v>19132</v>
      </c>
      <c r="D3" s="35"/>
      <c r="E3" s="32"/>
      <c r="F3" s="35"/>
      <c r="G3" s="34"/>
      <c r="H3" s="35"/>
      <c r="I3" s="34"/>
      <c r="J3" s="35"/>
      <c r="K3" s="34"/>
      <c r="L3" s="35"/>
      <c r="M3" s="34"/>
      <c r="N3" s="5" t="s">
        <v>19136</v>
      </c>
      <c r="O3" s="36"/>
      <c r="P3" s="36" t="s">
        <v>19137</v>
      </c>
      <c r="Q3" s="37"/>
    </row>
    <row r="4" ht="37.5" customHeight="1">
      <c r="A4" s="32" t="s">
        <v>18422</v>
      </c>
      <c r="B4" s="33">
        <v>6.0</v>
      </c>
      <c r="C4" s="34" t="s">
        <v>19138</v>
      </c>
      <c r="D4" s="35"/>
      <c r="E4" s="34"/>
      <c r="F4" s="35"/>
      <c r="G4" s="34"/>
      <c r="H4" s="35"/>
      <c r="I4" s="34"/>
      <c r="J4" s="35"/>
      <c r="K4" s="34"/>
      <c r="L4" s="35"/>
      <c r="M4" s="34"/>
      <c r="N4" s="5" t="s">
        <v>19139</v>
      </c>
      <c r="O4" s="36"/>
      <c r="P4" s="36" t="s">
        <v>19137</v>
      </c>
      <c r="Q4" s="37"/>
    </row>
    <row r="5" ht="37.5" customHeight="1">
      <c r="A5" s="32" t="s">
        <v>18429</v>
      </c>
      <c r="B5" s="33">
        <v>1.0</v>
      </c>
      <c r="C5" s="34" t="s">
        <v>19142</v>
      </c>
      <c r="D5" s="35">
        <v>1.0</v>
      </c>
      <c r="E5" s="34" t="s">
        <v>19144</v>
      </c>
      <c r="F5" s="35">
        <v>1.0</v>
      </c>
      <c r="G5" s="34" t="s">
        <v>19145</v>
      </c>
      <c r="H5" s="35">
        <v>1.0</v>
      </c>
      <c r="I5" s="34" t="s">
        <v>19146</v>
      </c>
      <c r="J5" s="35">
        <v>1.0</v>
      </c>
      <c r="K5" s="34" t="s">
        <v>19147</v>
      </c>
      <c r="L5" s="35">
        <v>1.0</v>
      </c>
      <c r="M5" s="34" t="s">
        <v>19148</v>
      </c>
      <c r="N5" s="38" t="s">
        <v>19149</v>
      </c>
      <c r="O5" s="36"/>
      <c r="P5" s="36" t="s">
        <v>19137</v>
      </c>
      <c r="Q5" s="37"/>
    </row>
    <row r="6" ht="37.5" customHeight="1">
      <c r="A6" s="32" t="s">
        <v>18441</v>
      </c>
      <c r="B6" s="33">
        <v>6.0</v>
      </c>
      <c r="C6" s="34" t="s">
        <v>19153</v>
      </c>
      <c r="D6" s="35"/>
      <c r="E6" s="34"/>
      <c r="F6" s="35"/>
      <c r="G6" s="34"/>
      <c r="H6" s="35"/>
      <c r="I6" s="34"/>
      <c r="J6" s="35"/>
      <c r="K6" s="34"/>
      <c r="L6" s="35"/>
      <c r="M6" s="34"/>
      <c r="N6" s="5" t="s">
        <v>19157</v>
      </c>
      <c r="O6" s="36"/>
      <c r="P6" s="36" t="s">
        <v>19137</v>
      </c>
      <c r="Q6" s="37"/>
    </row>
    <row r="7" ht="37.5" customHeight="1">
      <c r="A7" s="32" t="s">
        <v>18545</v>
      </c>
      <c r="B7" s="33">
        <v>20.0</v>
      </c>
      <c r="C7" s="34" t="s">
        <v>19122</v>
      </c>
      <c r="D7" s="35"/>
      <c r="E7" s="34"/>
      <c r="F7" s="35"/>
      <c r="G7" s="34"/>
      <c r="H7" s="35"/>
      <c r="I7" s="34"/>
      <c r="J7" s="35"/>
      <c r="K7" s="34"/>
      <c r="L7" s="35"/>
      <c r="M7" s="34"/>
      <c r="N7" s="5" t="s">
        <v>19161</v>
      </c>
      <c r="O7" s="36"/>
      <c r="P7" s="36" t="s">
        <v>19137</v>
      </c>
      <c r="Q7" s="37"/>
    </row>
    <row r="8" ht="37.5" customHeight="1">
      <c r="A8" s="32" t="s">
        <v>18549</v>
      </c>
      <c r="B8" s="33">
        <v>3.0</v>
      </c>
      <c r="C8" s="34" t="s">
        <v>19164</v>
      </c>
      <c r="D8" s="35">
        <v>5.0</v>
      </c>
      <c r="E8" s="34" t="s">
        <v>19166</v>
      </c>
      <c r="F8" s="35"/>
      <c r="G8" s="34"/>
      <c r="H8" s="35"/>
      <c r="I8" s="34"/>
      <c r="J8" s="35"/>
      <c r="K8" s="34"/>
      <c r="L8" s="35"/>
      <c r="M8" s="34"/>
      <c r="N8" s="5" t="s">
        <v>19128</v>
      </c>
      <c r="O8" s="36"/>
      <c r="P8" s="36" t="s">
        <v>19137</v>
      </c>
      <c r="Q8" s="37"/>
    </row>
    <row r="9" ht="37.5" customHeight="1">
      <c r="A9" s="32" t="s">
        <v>18553</v>
      </c>
      <c r="B9" s="33">
        <v>6.0</v>
      </c>
      <c r="C9" s="34" t="s">
        <v>19172</v>
      </c>
      <c r="D9" s="35"/>
      <c r="E9" s="34"/>
      <c r="F9" s="35"/>
      <c r="G9" s="34"/>
      <c r="H9" s="35"/>
      <c r="I9" s="34"/>
      <c r="J9" s="35"/>
      <c r="K9" s="34"/>
      <c r="L9" s="35"/>
      <c r="M9" s="34"/>
      <c r="N9" s="5" t="s">
        <v>19177</v>
      </c>
      <c r="O9" s="36"/>
      <c r="P9" s="36" t="s">
        <v>19137</v>
      </c>
      <c r="Q9" s="37"/>
    </row>
    <row r="10" ht="37.5" customHeight="1">
      <c r="A10" s="32" t="s">
        <v>18645</v>
      </c>
      <c r="B10" s="33">
        <v>2.0</v>
      </c>
      <c r="C10" s="34" t="s">
        <v>19180</v>
      </c>
      <c r="D10" s="35">
        <v>6.0</v>
      </c>
      <c r="E10" s="34" t="s">
        <v>19181</v>
      </c>
      <c r="F10" s="35"/>
      <c r="G10" s="34"/>
      <c r="H10" s="35"/>
      <c r="I10" s="34"/>
      <c r="J10" s="35"/>
      <c r="K10" s="34"/>
      <c r="L10" s="35"/>
      <c r="M10" s="34"/>
      <c r="N10" s="5" t="s">
        <v>19183</v>
      </c>
      <c r="O10" s="36"/>
      <c r="P10" s="36" t="s">
        <v>19137</v>
      </c>
      <c r="Q10" s="37"/>
    </row>
    <row r="11" ht="37.5" customHeight="1">
      <c r="A11" s="32" t="s">
        <v>18649</v>
      </c>
      <c r="B11" s="33">
        <v>6.0</v>
      </c>
      <c r="C11" s="34" t="s">
        <v>19185</v>
      </c>
      <c r="D11" s="35"/>
      <c r="E11" s="34"/>
      <c r="F11" s="35"/>
      <c r="G11" s="34"/>
      <c r="H11" s="35"/>
      <c r="I11" s="34"/>
      <c r="J11" s="35"/>
      <c r="K11" s="34"/>
      <c r="L11" s="35"/>
      <c r="M11" s="34"/>
      <c r="N11" s="5" t="s">
        <v>19186</v>
      </c>
      <c r="O11" s="36"/>
      <c r="P11" s="32" t="s">
        <v>19137</v>
      </c>
      <c r="Q11" s="35"/>
    </row>
    <row r="12" ht="37.5" customHeight="1">
      <c r="A12" s="32" t="s">
        <v>18663</v>
      </c>
      <c r="B12" s="33">
        <v>6.0</v>
      </c>
      <c r="C12" s="34" t="s">
        <v>19188</v>
      </c>
      <c r="D12" s="35"/>
      <c r="E12" s="34"/>
      <c r="F12" s="35"/>
      <c r="G12" s="34"/>
      <c r="H12" s="35"/>
      <c r="I12" s="34"/>
      <c r="J12" s="35"/>
      <c r="K12" s="34"/>
      <c r="L12" s="35"/>
      <c r="M12" s="34"/>
      <c r="N12" s="5" t="s">
        <v>19190</v>
      </c>
      <c r="O12" s="32"/>
      <c r="P12" s="32" t="s">
        <v>19137</v>
      </c>
      <c r="Q12" s="35"/>
    </row>
    <row r="13" ht="37.5" customHeight="1">
      <c r="A13" s="32" t="s">
        <v>13282</v>
      </c>
      <c r="B13" s="33">
        <v>7.0</v>
      </c>
      <c r="C13" s="34" t="s">
        <v>19122</v>
      </c>
      <c r="D13" s="35"/>
      <c r="E13" s="34"/>
      <c r="F13" s="35"/>
      <c r="G13" s="34"/>
      <c r="H13" s="35"/>
      <c r="I13" s="34"/>
      <c r="J13" s="35"/>
      <c r="K13" s="34"/>
      <c r="L13" s="35"/>
      <c r="M13" s="34"/>
      <c r="N13" s="5" t="s">
        <v>19161</v>
      </c>
      <c r="O13" s="36"/>
      <c r="P13" s="36" t="s">
        <v>19192</v>
      </c>
      <c r="Q13" s="37"/>
    </row>
    <row r="14" ht="37.5" customHeight="1">
      <c r="A14" s="32" t="s">
        <v>13285</v>
      </c>
      <c r="B14" s="33">
        <v>7.0</v>
      </c>
      <c r="C14" s="34" t="s">
        <v>19122</v>
      </c>
      <c r="D14" s="35"/>
      <c r="E14" s="34"/>
      <c r="F14" s="35"/>
      <c r="G14" s="34"/>
      <c r="H14" s="35"/>
      <c r="I14" s="34"/>
      <c r="J14" s="35"/>
      <c r="K14" s="34"/>
      <c r="L14" s="35"/>
      <c r="M14" s="34"/>
      <c r="N14" s="5" t="s">
        <v>19196</v>
      </c>
      <c r="O14" s="36"/>
      <c r="P14" s="36" t="s">
        <v>19192</v>
      </c>
      <c r="Q14" s="37"/>
    </row>
    <row r="15" ht="37.5" customHeight="1">
      <c r="A15" s="32" t="s">
        <v>14409</v>
      </c>
      <c r="B15" s="33">
        <v>8.0</v>
      </c>
      <c r="C15" s="34" t="s">
        <v>339</v>
      </c>
      <c r="D15" s="35"/>
      <c r="E15" s="34"/>
      <c r="F15" s="35"/>
      <c r="G15" s="34"/>
      <c r="H15" s="35"/>
      <c r="I15" s="34"/>
      <c r="J15" s="35"/>
      <c r="K15" s="34"/>
      <c r="L15" s="35"/>
      <c r="M15" s="34"/>
      <c r="N15" s="5" t="s">
        <v>19205</v>
      </c>
      <c r="O15" s="36"/>
      <c r="P15" s="36" t="s">
        <v>19206</v>
      </c>
      <c r="Q15" s="37"/>
    </row>
    <row r="16" ht="37.5" customHeight="1">
      <c r="A16" s="36" t="s">
        <v>14804</v>
      </c>
      <c r="B16" s="33">
        <v>8.0</v>
      </c>
      <c r="C16" s="34" t="s">
        <v>501</v>
      </c>
      <c r="D16" s="35"/>
      <c r="E16" s="34"/>
      <c r="F16" s="35"/>
      <c r="G16" s="34"/>
      <c r="H16" s="35"/>
      <c r="I16" s="34"/>
      <c r="J16" s="35"/>
      <c r="K16" s="34"/>
      <c r="L16" s="35"/>
      <c r="M16" s="34"/>
      <c r="N16" s="5" t="s">
        <v>19196</v>
      </c>
      <c r="O16" s="36"/>
      <c r="P16" s="36" t="s">
        <v>19206</v>
      </c>
      <c r="Q16" s="37"/>
    </row>
    <row r="17" ht="37.5" customHeight="1">
      <c r="A17" s="32" t="s">
        <v>15017</v>
      </c>
      <c r="B17" s="33">
        <v>3.0</v>
      </c>
      <c r="C17" s="34" t="s">
        <v>19142</v>
      </c>
      <c r="D17" s="35"/>
      <c r="E17" s="34"/>
      <c r="F17" s="35"/>
      <c r="G17" s="34"/>
      <c r="H17" s="35"/>
      <c r="I17" s="34"/>
      <c r="J17" s="35"/>
      <c r="K17" s="34"/>
      <c r="L17" s="35"/>
      <c r="M17" s="34"/>
      <c r="N17" s="38" t="s">
        <v>19215</v>
      </c>
      <c r="O17" s="36"/>
      <c r="P17" s="36" t="s">
        <v>19206</v>
      </c>
      <c r="Q17" s="37"/>
    </row>
    <row r="18" ht="37.5" customHeight="1">
      <c r="A18" s="32" t="s">
        <v>15023</v>
      </c>
      <c r="B18" s="33">
        <v>3.0</v>
      </c>
      <c r="C18" s="34" t="s">
        <v>19142</v>
      </c>
      <c r="D18" s="35">
        <v>3.0</v>
      </c>
      <c r="E18" s="34" t="s">
        <v>19144</v>
      </c>
      <c r="F18" s="35">
        <v>3.0</v>
      </c>
      <c r="G18" s="34" t="s">
        <v>19145</v>
      </c>
      <c r="H18" s="35">
        <v>3.0</v>
      </c>
      <c r="I18" s="34" t="s">
        <v>19146</v>
      </c>
      <c r="J18" s="35">
        <v>3.0</v>
      </c>
      <c r="K18" s="34" t="s">
        <v>19147</v>
      </c>
      <c r="L18" s="35">
        <v>3.0</v>
      </c>
      <c r="M18" s="34" t="s">
        <v>19148</v>
      </c>
      <c r="N18" s="38" t="s">
        <v>19225</v>
      </c>
      <c r="O18" s="36"/>
      <c r="P18" s="32" t="s">
        <v>19206</v>
      </c>
      <c r="Q18" s="35"/>
    </row>
    <row r="19" ht="37.5" customHeight="1">
      <c r="A19" s="32" t="s">
        <v>15442</v>
      </c>
      <c r="B19" s="33">
        <v>8.0</v>
      </c>
      <c r="C19" s="34" t="s">
        <v>19229</v>
      </c>
      <c r="D19" s="35"/>
      <c r="E19" s="34"/>
      <c r="F19" s="35"/>
      <c r="G19" s="34"/>
      <c r="H19" s="35"/>
      <c r="I19" s="34"/>
      <c r="J19" s="35"/>
      <c r="K19" s="34"/>
      <c r="L19" s="35"/>
      <c r="M19" s="34"/>
      <c r="N19" s="5" t="s">
        <v>19232</v>
      </c>
      <c r="O19" s="36"/>
      <c r="P19" s="36" t="s">
        <v>19206</v>
      </c>
      <c r="Q19" s="37"/>
    </row>
    <row r="20" ht="37.5" customHeight="1">
      <c r="A20" s="32" t="s">
        <v>15549</v>
      </c>
      <c r="B20" s="33">
        <v>8.0</v>
      </c>
      <c r="C20" s="34" t="s">
        <v>19234</v>
      </c>
      <c r="D20" s="35"/>
      <c r="E20" s="34"/>
      <c r="F20" s="35"/>
      <c r="G20" s="34"/>
      <c r="H20" s="35"/>
      <c r="I20" s="34"/>
      <c r="J20" s="35"/>
      <c r="K20" s="34"/>
      <c r="L20" s="35"/>
      <c r="M20" s="34"/>
      <c r="N20" s="5" t="s">
        <v>19238</v>
      </c>
      <c r="O20" s="36"/>
      <c r="P20" s="36" t="s">
        <v>19206</v>
      </c>
      <c r="Q20" s="37"/>
    </row>
    <row r="21" ht="37.5" customHeight="1">
      <c r="A21" s="32" t="s">
        <v>15737</v>
      </c>
      <c r="B21" s="33">
        <v>3.0</v>
      </c>
      <c r="C21" s="34" t="s">
        <v>19145</v>
      </c>
      <c r="D21" s="35"/>
      <c r="E21" s="34"/>
      <c r="F21" s="35"/>
      <c r="G21" s="34"/>
      <c r="H21" s="35"/>
      <c r="I21" s="34"/>
      <c r="J21" s="35"/>
      <c r="K21" s="34"/>
      <c r="L21" s="35"/>
      <c r="M21" s="34"/>
      <c r="N21" s="38" t="s">
        <v>19240</v>
      </c>
      <c r="O21" s="36"/>
      <c r="P21" s="36" t="s">
        <v>19206</v>
      </c>
      <c r="Q21" s="37"/>
    </row>
    <row r="22" ht="37.5" customHeight="1">
      <c r="A22" s="32" t="s">
        <v>16069</v>
      </c>
      <c r="B22" s="33">
        <v>8.0</v>
      </c>
      <c r="C22" s="34" t="s">
        <v>1801</v>
      </c>
      <c r="D22" s="35"/>
      <c r="E22" s="34"/>
      <c r="F22" s="35"/>
      <c r="G22" s="34"/>
      <c r="H22" s="35"/>
      <c r="I22" s="34"/>
      <c r="J22" s="35"/>
      <c r="K22" s="34"/>
      <c r="L22" s="35"/>
      <c r="M22" s="34"/>
      <c r="N22" s="5" t="s">
        <v>19243</v>
      </c>
      <c r="O22" s="36"/>
      <c r="P22" s="36" t="s">
        <v>19206</v>
      </c>
      <c r="Q22" s="37"/>
    </row>
    <row r="23" ht="37.5" customHeight="1">
      <c r="A23" s="32" t="s">
        <v>16174</v>
      </c>
      <c r="B23" s="33">
        <v>8.0</v>
      </c>
      <c r="C23" s="34" t="s">
        <v>4063</v>
      </c>
      <c r="D23" s="35"/>
      <c r="E23" s="34"/>
      <c r="F23" s="35"/>
      <c r="G23" s="34"/>
      <c r="H23" s="35"/>
      <c r="I23" s="34"/>
      <c r="J23" s="35"/>
      <c r="K23" s="34"/>
      <c r="L23" s="35"/>
      <c r="M23" s="34"/>
      <c r="N23" s="5" t="s">
        <v>19161</v>
      </c>
      <c r="O23" s="36"/>
      <c r="P23" s="36" t="s">
        <v>19206</v>
      </c>
      <c r="Q23" s="37"/>
    </row>
    <row r="24" ht="37.5" customHeight="1">
      <c r="A24" s="32" t="s">
        <v>16189</v>
      </c>
      <c r="B24" s="33">
        <v>8.0</v>
      </c>
      <c r="C24" s="34" t="s">
        <v>9827</v>
      </c>
      <c r="D24" s="35"/>
      <c r="E24" s="34"/>
      <c r="F24" s="35"/>
      <c r="G24" s="34"/>
      <c r="H24" s="35"/>
      <c r="I24" s="34"/>
      <c r="J24" s="35"/>
      <c r="K24" s="34"/>
      <c r="L24" s="35"/>
      <c r="M24" s="34"/>
      <c r="N24" s="5" t="s">
        <v>19128</v>
      </c>
      <c r="O24" s="36"/>
      <c r="P24" s="32" t="s">
        <v>19206</v>
      </c>
      <c r="Q24" s="35"/>
    </row>
    <row r="25" ht="37.5" customHeight="1">
      <c r="A25" s="36" t="s">
        <v>16754</v>
      </c>
      <c r="B25" s="33">
        <v>3.0</v>
      </c>
      <c r="C25" s="34" t="s">
        <v>19147</v>
      </c>
      <c r="D25" s="35"/>
      <c r="E25" s="34"/>
      <c r="F25" s="35"/>
      <c r="G25" s="34"/>
      <c r="H25" s="35"/>
      <c r="I25" s="34"/>
      <c r="J25" s="35"/>
      <c r="K25" s="34"/>
      <c r="L25" s="35"/>
      <c r="M25" s="34"/>
      <c r="N25" s="38" t="s">
        <v>19259</v>
      </c>
      <c r="O25" s="36"/>
      <c r="P25" s="36" t="s">
        <v>19206</v>
      </c>
      <c r="Q25" s="37"/>
    </row>
    <row r="26" ht="37.5" customHeight="1">
      <c r="A26" s="32" t="s">
        <v>16880</v>
      </c>
      <c r="B26" s="33">
        <v>3.0</v>
      </c>
      <c r="C26" s="34" t="s">
        <v>19144</v>
      </c>
      <c r="D26" s="35"/>
      <c r="E26" s="34"/>
      <c r="F26" s="35"/>
      <c r="G26" s="34"/>
      <c r="H26" s="35"/>
      <c r="I26" s="34"/>
      <c r="J26" s="35"/>
      <c r="K26" s="34"/>
      <c r="L26" s="35"/>
      <c r="M26" s="34"/>
      <c r="N26" s="38" t="s">
        <v>19264</v>
      </c>
      <c r="O26" s="36"/>
      <c r="P26" s="32" t="s">
        <v>19206</v>
      </c>
      <c r="Q26" s="35"/>
    </row>
    <row r="27" ht="37.5" customHeight="1">
      <c r="A27" s="32" t="s">
        <v>17214</v>
      </c>
      <c r="B27" s="33">
        <v>3.0</v>
      </c>
      <c r="C27" s="34" t="s">
        <v>19148</v>
      </c>
      <c r="D27" s="35"/>
      <c r="E27" s="34"/>
      <c r="F27" s="35"/>
      <c r="G27" s="34"/>
      <c r="H27" s="35"/>
      <c r="I27" s="34"/>
      <c r="J27" s="35"/>
      <c r="K27" s="34"/>
      <c r="L27" s="35"/>
      <c r="M27" s="34"/>
      <c r="N27" s="38" t="s">
        <v>19269</v>
      </c>
      <c r="O27" s="36"/>
      <c r="P27" s="32" t="s">
        <v>19206</v>
      </c>
      <c r="Q27" s="35"/>
    </row>
    <row r="28" ht="37.5" customHeight="1">
      <c r="A28" s="36" t="s">
        <v>17239</v>
      </c>
      <c r="B28" s="33">
        <v>3.0</v>
      </c>
      <c r="C28" s="34" t="s">
        <v>19146</v>
      </c>
      <c r="D28" s="35"/>
      <c r="E28" s="34"/>
      <c r="F28" s="35"/>
      <c r="G28" s="34"/>
      <c r="H28" s="35" t="s">
        <v>19274</v>
      </c>
      <c r="I28" s="34"/>
      <c r="J28" s="35" t="s">
        <v>19274</v>
      </c>
      <c r="K28" s="34"/>
      <c r="L28" s="35" t="s">
        <v>19274</v>
      </c>
      <c r="M28" s="34"/>
      <c r="N28" s="38" t="s">
        <v>19277</v>
      </c>
      <c r="O28" s="36"/>
      <c r="P28" s="32" t="s">
        <v>19206</v>
      </c>
      <c r="Q28" s="35"/>
    </row>
    <row r="29" ht="37.5" customHeight="1">
      <c r="A29" s="32" t="s">
        <v>5286</v>
      </c>
      <c r="B29" s="33">
        <v>6.0</v>
      </c>
      <c r="C29" s="34" t="s">
        <v>19280</v>
      </c>
      <c r="D29" s="35"/>
      <c r="E29" s="34"/>
      <c r="F29" s="35"/>
      <c r="G29" s="34"/>
      <c r="H29" s="35"/>
      <c r="I29" s="34"/>
      <c r="J29" s="35"/>
      <c r="K29" s="34"/>
      <c r="L29" s="35"/>
      <c r="M29" s="34"/>
      <c r="N29" s="5" t="s">
        <v>5290</v>
      </c>
      <c r="O29" s="36"/>
      <c r="P29" s="36" t="s">
        <v>19283</v>
      </c>
      <c r="Q29" s="37"/>
    </row>
    <row r="30" ht="37.5" customHeight="1">
      <c r="A30" s="32" t="s">
        <v>5293</v>
      </c>
      <c r="B30" s="33">
        <v>3.0</v>
      </c>
      <c r="C30" s="34" t="s">
        <v>19166</v>
      </c>
      <c r="D30" s="35">
        <v>2.0</v>
      </c>
      <c r="E30" s="34" t="s">
        <v>19234</v>
      </c>
      <c r="F30" s="35"/>
      <c r="G30" s="34"/>
      <c r="H30" s="35"/>
      <c r="I30" s="34"/>
      <c r="J30" s="35"/>
      <c r="K30" s="34"/>
      <c r="L30" s="35"/>
      <c r="M30" s="34"/>
      <c r="N30" s="5" t="s">
        <v>5290</v>
      </c>
      <c r="O30" s="36"/>
      <c r="P30" s="36" t="s">
        <v>19283</v>
      </c>
      <c r="Q30" s="37"/>
    </row>
    <row r="31" ht="37.5" customHeight="1">
      <c r="A31" s="32" t="s">
        <v>5295</v>
      </c>
      <c r="B31" s="33">
        <v>6.0</v>
      </c>
      <c r="C31" s="34" t="s">
        <v>19289</v>
      </c>
      <c r="D31" s="35"/>
      <c r="E31" s="34"/>
      <c r="F31" s="35"/>
      <c r="G31" s="34"/>
      <c r="H31" s="35"/>
      <c r="I31" s="34"/>
      <c r="J31" s="35"/>
      <c r="K31" s="34"/>
      <c r="L31" s="35"/>
      <c r="M31" s="34"/>
      <c r="N31" s="5" t="s">
        <v>5290</v>
      </c>
      <c r="O31" s="36"/>
      <c r="P31" s="36" t="s">
        <v>19283</v>
      </c>
      <c r="Q31" s="37"/>
    </row>
    <row r="32" ht="37.5" customHeight="1">
      <c r="A32" s="32" t="s">
        <v>5300</v>
      </c>
      <c r="B32" s="33">
        <v>1.0</v>
      </c>
      <c r="C32" s="34" t="s">
        <v>19142</v>
      </c>
      <c r="D32" s="35">
        <v>1.0</v>
      </c>
      <c r="E32" s="34" t="s">
        <v>19144</v>
      </c>
      <c r="F32" s="35">
        <v>1.0</v>
      </c>
      <c r="G32" s="34" t="s">
        <v>19145</v>
      </c>
      <c r="H32" s="35">
        <v>1.0</v>
      </c>
      <c r="I32" s="34" t="s">
        <v>19146</v>
      </c>
      <c r="J32" s="35">
        <v>1.0</v>
      </c>
      <c r="K32" s="34" t="s">
        <v>19147</v>
      </c>
      <c r="L32" s="35">
        <v>1.0</v>
      </c>
      <c r="M32" s="34" t="s">
        <v>19148</v>
      </c>
      <c r="N32" s="38" t="s">
        <v>19294</v>
      </c>
      <c r="O32" s="36"/>
      <c r="P32" s="36" t="s">
        <v>19283</v>
      </c>
      <c r="Q32" s="37"/>
    </row>
    <row r="33" ht="37.5" customHeight="1">
      <c r="A33" s="32" t="s">
        <v>5302</v>
      </c>
      <c r="B33" s="33">
        <v>6.0</v>
      </c>
      <c r="C33" s="34" t="s">
        <v>19164</v>
      </c>
      <c r="D33" s="35"/>
      <c r="E33" s="34"/>
      <c r="F33" s="35"/>
      <c r="G33" s="34"/>
      <c r="H33" s="35"/>
      <c r="I33" s="34"/>
      <c r="J33" s="35"/>
      <c r="K33" s="34"/>
      <c r="L33" s="35"/>
      <c r="M33" s="34"/>
      <c r="N33" s="5" t="s">
        <v>5290</v>
      </c>
      <c r="O33" s="36"/>
      <c r="P33" s="32" t="s">
        <v>19283</v>
      </c>
      <c r="Q33" s="35"/>
    </row>
    <row r="34" ht="37.5" customHeight="1">
      <c r="A34" s="32" t="s">
        <v>5306</v>
      </c>
      <c r="B34" s="33">
        <v>6.0</v>
      </c>
      <c r="C34" s="34" t="s">
        <v>19166</v>
      </c>
      <c r="D34" s="35"/>
      <c r="E34" s="34"/>
      <c r="F34" s="35"/>
      <c r="G34" s="34"/>
      <c r="H34" s="35"/>
      <c r="I34" s="34"/>
      <c r="J34" s="35"/>
      <c r="K34" s="34"/>
      <c r="L34" s="35"/>
      <c r="M34" s="34"/>
      <c r="N34" s="5" t="s">
        <v>5290</v>
      </c>
      <c r="O34" s="36"/>
      <c r="P34" s="36" t="s">
        <v>19283</v>
      </c>
      <c r="Q34" s="37"/>
    </row>
    <row r="35" ht="37.5" customHeight="1">
      <c r="A35" s="32" t="s">
        <v>5309</v>
      </c>
      <c r="B35" s="33">
        <v>6.0</v>
      </c>
      <c r="C35" s="34" t="s">
        <v>19164</v>
      </c>
      <c r="D35" s="35">
        <v>4.0</v>
      </c>
      <c r="E35" s="34" t="s">
        <v>19303</v>
      </c>
      <c r="F35" s="35"/>
      <c r="G35" s="34"/>
      <c r="H35" s="35"/>
      <c r="I35" s="34"/>
      <c r="J35" s="35"/>
      <c r="K35" s="34"/>
      <c r="L35" s="35"/>
      <c r="M35" s="34"/>
      <c r="N35" s="5" t="s">
        <v>5290</v>
      </c>
      <c r="O35" s="36"/>
      <c r="P35" s="36" t="s">
        <v>19283</v>
      </c>
      <c r="Q35" s="37"/>
    </row>
    <row r="36" ht="37.5" customHeight="1">
      <c r="A36" s="32" t="s">
        <v>5313</v>
      </c>
      <c r="B36" s="33">
        <v>6.0</v>
      </c>
      <c r="C36" s="34" t="s">
        <v>19234</v>
      </c>
      <c r="D36" s="35"/>
      <c r="E36" s="34"/>
      <c r="F36" s="35"/>
      <c r="G36" s="34"/>
      <c r="H36" s="35"/>
      <c r="I36" s="34"/>
      <c r="J36" s="35"/>
      <c r="K36" s="34"/>
      <c r="L36" s="35"/>
      <c r="M36" s="34"/>
      <c r="N36" s="5" t="s">
        <v>5290</v>
      </c>
      <c r="O36" s="36"/>
      <c r="P36" s="36" t="s">
        <v>19283</v>
      </c>
      <c r="Q36" s="37"/>
    </row>
    <row r="37" ht="37.5" customHeight="1">
      <c r="A37" s="32" t="s">
        <v>5316</v>
      </c>
      <c r="B37" s="33">
        <v>6.0</v>
      </c>
      <c r="C37" s="34" t="s">
        <v>12762</v>
      </c>
      <c r="D37" s="35">
        <v>3.0</v>
      </c>
      <c r="E37" s="34" t="s">
        <v>19234</v>
      </c>
      <c r="F37" s="35"/>
      <c r="G37" s="34"/>
      <c r="H37" s="35"/>
      <c r="I37" s="34"/>
      <c r="J37" s="35"/>
      <c r="K37" s="34"/>
      <c r="L37" s="35"/>
      <c r="M37" s="34"/>
      <c r="N37" s="5" t="s">
        <v>5290</v>
      </c>
      <c r="O37" s="36"/>
      <c r="P37" s="36" t="s">
        <v>19283</v>
      </c>
      <c r="Q37" s="37"/>
    </row>
    <row r="38" ht="37.5" customHeight="1">
      <c r="A38" s="32" t="s">
        <v>5320</v>
      </c>
      <c r="B38" s="33">
        <v>8.0</v>
      </c>
      <c r="C38" s="34" t="s">
        <v>19303</v>
      </c>
      <c r="D38" s="35"/>
      <c r="E38" s="34"/>
      <c r="F38" s="35"/>
      <c r="G38" s="34"/>
      <c r="H38" s="35"/>
      <c r="I38" s="34"/>
      <c r="J38" s="35"/>
      <c r="K38" s="34"/>
      <c r="L38" s="35"/>
      <c r="M38" s="34"/>
      <c r="N38" s="5" t="s">
        <v>5290</v>
      </c>
      <c r="O38" s="36"/>
      <c r="P38" s="36" t="s">
        <v>19283</v>
      </c>
      <c r="Q38" s="37"/>
    </row>
    <row r="39" ht="37.5" customHeight="1">
      <c r="A39" s="32" t="s">
        <v>5324</v>
      </c>
      <c r="B39" s="33">
        <v>4.0</v>
      </c>
      <c r="C39" s="34" t="s">
        <v>19234</v>
      </c>
      <c r="D39" s="35"/>
      <c r="E39" s="34"/>
      <c r="F39" s="35"/>
      <c r="G39" s="34"/>
      <c r="H39" s="35"/>
      <c r="I39" s="34"/>
      <c r="J39" s="35"/>
      <c r="K39" s="34"/>
      <c r="L39" s="35"/>
      <c r="M39" s="34"/>
      <c r="N39" s="5" t="s">
        <v>5290</v>
      </c>
      <c r="O39" s="36"/>
      <c r="P39" s="36" t="s">
        <v>19283</v>
      </c>
      <c r="Q39" s="37"/>
    </row>
    <row r="40" ht="37.5" customHeight="1">
      <c r="A40" s="32" t="s">
        <v>5327</v>
      </c>
      <c r="B40" s="33">
        <v>6.0</v>
      </c>
      <c r="C40" s="34" t="s">
        <v>19303</v>
      </c>
      <c r="D40" s="35"/>
      <c r="E40" s="34"/>
      <c r="F40" s="35"/>
      <c r="G40" s="34"/>
      <c r="H40" s="35"/>
      <c r="I40" s="34"/>
      <c r="J40" s="35"/>
      <c r="K40" s="34"/>
      <c r="L40" s="35"/>
      <c r="M40" s="34"/>
      <c r="N40" s="5" t="s">
        <v>5290</v>
      </c>
      <c r="O40" s="36"/>
      <c r="P40" s="36" t="s">
        <v>19283</v>
      </c>
      <c r="Q40" s="37"/>
    </row>
    <row r="41" ht="37.5" customHeight="1">
      <c r="A41" s="32" t="s">
        <v>5329</v>
      </c>
      <c r="B41" s="33">
        <v>8.0</v>
      </c>
      <c r="C41" s="34" t="s">
        <v>19166</v>
      </c>
      <c r="D41" s="35"/>
      <c r="E41" s="34"/>
      <c r="F41" s="35"/>
      <c r="G41" s="34"/>
      <c r="H41" s="35"/>
      <c r="I41" s="34"/>
      <c r="J41" s="35"/>
      <c r="K41" s="34"/>
      <c r="L41" s="35"/>
      <c r="M41" s="34"/>
      <c r="N41" s="5" t="s">
        <v>5290</v>
      </c>
      <c r="O41" s="36"/>
      <c r="P41" s="36" t="s">
        <v>19283</v>
      </c>
      <c r="Q41" s="37"/>
    </row>
    <row r="42" ht="37.5" customHeight="1">
      <c r="A42" s="32" t="s">
        <v>5334</v>
      </c>
      <c r="B42" s="33">
        <v>4.0</v>
      </c>
      <c r="C42" s="34" t="s">
        <v>12762</v>
      </c>
      <c r="D42" s="35"/>
      <c r="E42" s="34"/>
      <c r="F42" s="35"/>
      <c r="G42" s="34"/>
      <c r="H42" s="35"/>
      <c r="I42" s="34"/>
      <c r="J42" s="35"/>
      <c r="K42" s="34"/>
      <c r="L42" s="35"/>
      <c r="M42" s="34"/>
      <c r="N42" s="5" t="s">
        <v>5290</v>
      </c>
      <c r="O42" s="36"/>
      <c r="P42" s="36" t="s">
        <v>19283</v>
      </c>
      <c r="Q42" s="37"/>
    </row>
    <row r="43" ht="37.5" customHeight="1">
      <c r="A43" s="32" t="s">
        <v>5337</v>
      </c>
      <c r="B43" s="33">
        <v>10.0</v>
      </c>
      <c r="C43" s="34" t="s">
        <v>19122</v>
      </c>
      <c r="D43" s="35">
        <v>3.0</v>
      </c>
      <c r="E43" s="34" t="s">
        <v>19164</v>
      </c>
      <c r="F43" s="35"/>
      <c r="G43" s="34"/>
      <c r="H43" s="35"/>
      <c r="I43" s="34"/>
      <c r="J43" s="35"/>
      <c r="K43" s="34"/>
      <c r="L43" s="35"/>
      <c r="M43" s="34"/>
      <c r="N43" s="5" t="s">
        <v>5290</v>
      </c>
      <c r="O43" s="36"/>
      <c r="P43" s="36" t="s">
        <v>19283</v>
      </c>
      <c r="Q43" s="37"/>
    </row>
    <row r="44" ht="37.5" customHeight="1">
      <c r="A44" s="32" t="s">
        <v>5342</v>
      </c>
      <c r="B44" s="33">
        <v>8.0</v>
      </c>
      <c r="C44" s="34" t="s">
        <v>19164</v>
      </c>
      <c r="D44" s="35"/>
      <c r="E44" s="34"/>
      <c r="F44" s="35"/>
      <c r="G44" s="34"/>
      <c r="H44" s="35"/>
      <c r="I44" s="34"/>
      <c r="J44" s="35"/>
      <c r="K44" s="34"/>
      <c r="L44" s="35"/>
      <c r="M44" s="34"/>
      <c r="N44" s="5" t="s">
        <v>5290</v>
      </c>
      <c r="O44" s="36"/>
      <c r="P44" s="32" t="s">
        <v>19283</v>
      </c>
      <c r="Q44" s="35"/>
    </row>
    <row r="45" ht="37.5" customHeight="1">
      <c r="A45" s="32" t="s">
        <v>5344</v>
      </c>
      <c r="B45" s="33">
        <v>3.0</v>
      </c>
      <c r="C45" s="34" t="s">
        <v>19234</v>
      </c>
      <c r="D45" s="35">
        <v>3.0</v>
      </c>
      <c r="E45" s="34" t="s">
        <v>19289</v>
      </c>
      <c r="F45" s="35">
        <v>3.0</v>
      </c>
      <c r="G45" s="34" t="s">
        <v>12762</v>
      </c>
      <c r="H45" s="35" t="s">
        <v>19274</v>
      </c>
      <c r="I45" s="34"/>
      <c r="J45" s="35" t="s">
        <v>19274</v>
      </c>
      <c r="K45" s="34"/>
      <c r="L45" s="35" t="s">
        <v>19274</v>
      </c>
      <c r="M45" s="34"/>
      <c r="N45" s="5" t="s">
        <v>5290</v>
      </c>
      <c r="O45" s="36"/>
      <c r="P45" s="36" t="s">
        <v>19283</v>
      </c>
      <c r="Q45" s="37"/>
    </row>
    <row r="46" ht="37.5" customHeight="1">
      <c r="A46" s="32" t="s">
        <v>4023</v>
      </c>
      <c r="B46" s="33">
        <v>30.0</v>
      </c>
      <c r="C46" s="34" t="s">
        <v>19122</v>
      </c>
      <c r="D46" s="35"/>
      <c r="E46" s="34"/>
      <c r="F46" s="35"/>
      <c r="G46" s="34"/>
      <c r="H46" s="35"/>
      <c r="I46" s="34"/>
      <c r="J46" s="35"/>
      <c r="K46" s="34"/>
      <c r="L46" s="35"/>
      <c r="M46" s="34"/>
      <c r="N46" s="5" t="s">
        <v>19196</v>
      </c>
      <c r="O46" s="36"/>
      <c r="P46" s="36" t="s">
        <v>19328</v>
      </c>
      <c r="Q46" s="37"/>
    </row>
    <row r="47" ht="37.5" customHeight="1">
      <c r="A47" s="32" t="s">
        <v>4028</v>
      </c>
      <c r="B47" s="33">
        <v>15.0</v>
      </c>
      <c r="C47" s="34" t="s">
        <v>19280</v>
      </c>
      <c r="D47" s="35"/>
      <c r="E47" s="34"/>
      <c r="F47" s="35"/>
      <c r="G47" s="34"/>
      <c r="H47" s="35"/>
      <c r="I47" s="34"/>
      <c r="J47" s="35"/>
      <c r="K47" s="34"/>
      <c r="L47" s="35"/>
      <c r="M47" s="34"/>
      <c r="N47" s="5" t="s">
        <v>19238</v>
      </c>
      <c r="O47" s="36"/>
      <c r="P47" s="36" t="s">
        <v>19328</v>
      </c>
      <c r="Q47" s="37"/>
    </row>
    <row r="48" ht="37.5" customHeight="1">
      <c r="A48" s="32" t="s">
        <v>4031</v>
      </c>
      <c r="B48" s="33">
        <v>10.0</v>
      </c>
      <c r="C48" s="34" t="s">
        <v>12762</v>
      </c>
      <c r="D48" s="35"/>
      <c r="E48" s="34"/>
      <c r="F48" s="35"/>
      <c r="G48" s="34"/>
      <c r="H48" s="35"/>
      <c r="I48" s="34"/>
      <c r="J48" s="35"/>
      <c r="K48" s="34"/>
      <c r="L48" s="35"/>
      <c r="M48" s="34"/>
      <c r="N48" s="5" t="s">
        <v>19232</v>
      </c>
      <c r="O48" s="36"/>
      <c r="P48" s="36" t="s">
        <v>19328</v>
      </c>
      <c r="Q48" s="37"/>
    </row>
    <row r="49" ht="37.5" customHeight="1">
      <c r="A49" s="32" t="s">
        <v>4123</v>
      </c>
      <c r="B49" s="33">
        <v>2.0</v>
      </c>
      <c r="C49" s="34" t="s">
        <v>19142</v>
      </c>
      <c r="D49" s="35">
        <v>2.0</v>
      </c>
      <c r="E49" s="34" t="s">
        <v>19144</v>
      </c>
      <c r="F49" s="35">
        <v>2.0</v>
      </c>
      <c r="G49" s="34" t="s">
        <v>19145</v>
      </c>
      <c r="H49" s="35">
        <v>2.0</v>
      </c>
      <c r="I49" s="34" t="s">
        <v>19146</v>
      </c>
      <c r="J49" s="35">
        <v>2.0</v>
      </c>
      <c r="K49" s="34" t="s">
        <v>19147</v>
      </c>
      <c r="L49" s="35">
        <v>2.0</v>
      </c>
      <c r="M49" s="34" t="s">
        <v>19148</v>
      </c>
      <c r="N49" s="38" t="s">
        <v>19294</v>
      </c>
      <c r="O49" s="36"/>
      <c r="P49" s="36" t="s">
        <v>19328</v>
      </c>
      <c r="Q49" s="37"/>
    </row>
    <row r="50" ht="37.5" customHeight="1">
      <c r="A50" s="32" t="s">
        <v>4130</v>
      </c>
      <c r="B50" s="33">
        <v>10.0</v>
      </c>
      <c r="C50" s="34" t="s">
        <v>19153</v>
      </c>
      <c r="D50" s="35">
        <v>20.0</v>
      </c>
      <c r="E50" s="34" t="s">
        <v>19122</v>
      </c>
      <c r="F50" s="35"/>
      <c r="G50" s="34"/>
      <c r="H50" s="35"/>
      <c r="I50" s="34"/>
      <c r="J50" s="35"/>
      <c r="K50" s="34"/>
      <c r="L50" s="35"/>
      <c r="M50" s="34"/>
      <c r="N50" s="5" t="s">
        <v>19157</v>
      </c>
      <c r="O50" s="36"/>
      <c r="P50" s="36" t="s">
        <v>19328</v>
      </c>
      <c r="Q50" s="37"/>
    </row>
    <row r="51" ht="37.5" customHeight="1">
      <c r="A51" s="32" t="s">
        <v>4147</v>
      </c>
      <c r="B51" s="33">
        <v>10.0</v>
      </c>
      <c r="C51" s="34" t="s">
        <v>19172</v>
      </c>
      <c r="D51" s="35">
        <v>15.0</v>
      </c>
      <c r="E51" s="34" t="s">
        <v>19122</v>
      </c>
      <c r="F51" s="35"/>
      <c r="G51" s="34"/>
      <c r="H51" s="35"/>
      <c r="I51" s="34"/>
      <c r="J51" s="35"/>
      <c r="K51" s="34"/>
      <c r="L51" s="35"/>
      <c r="M51" s="34"/>
      <c r="N51" s="5" t="s">
        <v>19177</v>
      </c>
      <c r="O51" s="36"/>
      <c r="P51" s="32" t="s">
        <v>19328</v>
      </c>
      <c r="Q51" s="35"/>
    </row>
    <row r="52" ht="37.5" customHeight="1">
      <c r="A52" s="32" t="s">
        <v>4281</v>
      </c>
      <c r="B52" s="33">
        <v>1.0</v>
      </c>
      <c r="C52" s="34" t="s">
        <v>19336</v>
      </c>
      <c r="D52" s="35">
        <v>2.0</v>
      </c>
      <c r="E52" s="34" t="s">
        <v>19337</v>
      </c>
      <c r="F52" s="35">
        <v>2.0</v>
      </c>
      <c r="G52" s="34" t="s">
        <v>19338</v>
      </c>
      <c r="H52" s="35">
        <v>2.0</v>
      </c>
      <c r="I52" s="34" t="s">
        <v>19339</v>
      </c>
      <c r="J52" s="35">
        <v>10.0</v>
      </c>
      <c r="K52" s="34" t="s">
        <v>19122</v>
      </c>
      <c r="L52" s="35"/>
      <c r="M52" s="34"/>
      <c r="N52" s="5" t="s">
        <v>19340</v>
      </c>
      <c r="O52" s="36"/>
      <c r="P52" s="36" t="s">
        <v>19328</v>
      </c>
      <c r="Q52" s="37"/>
    </row>
    <row r="53" ht="37.5" customHeight="1">
      <c r="A53" s="32" t="s">
        <v>4292</v>
      </c>
      <c r="B53" s="33">
        <v>5.0</v>
      </c>
      <c r="C53" s="34" t="s">
        <v>19188</v>
      </c>
      <c r="D53" s="35">
        <v>1.0</v>
      </c>
      <c r="E53" s="34" t="s">
        <v>19342</v>
      </c>
      <c r="F53" s="35"/>
      <c r="G53" s="34"/>
      <c r="H53" s="35"/>
      <c r="I53" s="34"/>
      <c r="J53" s="35"/>
      <c r="K53" s="34"/>
      <c r="L53" s="35"/>
      <c r="M53" s="34"/>
      <c r="N53" s="5" t="s">
        <v>19190</v>
      </c>
      <c r="O53" s="36"/>
      <c r="P53" s="36" t="s">
        <v>19328</v>
      </c>
      <c r="Q53" s="37"/>
    </row>
    <row r="54" ht="37.5" customHeight="1">
      <c r="A54" s="32" t="s">
        <v>4297</v>
      </c>
      <c r="B54" s="33">
        <v>2.0</v>
      </c>
      <c r="C54" s="34" t="s">
        <v>19345</v>
      </c>
      <c r="D54" s="35">
        <v>2.0</v>
      </c>
      <c r="E54" s="34" t="s">
        <v>19346</v>
      </c>
      <c r="F54" s="35">
        <v>2.0</v>
      </c>
      <c r="G54" s="34" t="s">
        <v>19347</v>
      </c>
      <c r="H54" s="35"/>
      <c r="I54" s="34"/>
      <c r="J54" s="35"/>
      <c r="K54" s="34"/>
      <c r="L54" s="35"/>
      <c r="M54" s="34"/>
      <c r="N54" s="5" t="s">
        <v>19348</v>
      </c>
      <c r="O54" s="36"/>
      <c r="P54" s="36" t="s">
        <v>19328</v>
      </c>
      <c r="Q54" s="37"/>
    </row>
    <row r="55" ht="37.5" customHeight="1">
      <c r="A55" s="32" t="s">
        <v>4315</v>
      </c>
      <c r="B55" s="33">
        <v>4.0</v>
      </c>
      <c r="C55" s="34" t="s">
        <v>19229</v>
      </c>
      <c r="D55" s="35"/>
      <c r="E55" s="34"/>
      <c r="F55" s="35"/>
      <c r="G55" s="34"/>
      <c r="H55" s="35"/>
      <c r="I55" s="34"/>
      <c r="J55" s="35"/>
      <c r="K55" s="34"/>
      <c r="L55" s="35"/>
      <c r="M55" s="34"/>
      <c r="N55" s="5" t="s">
        <v>19232</v>
      </c>
      <c r="O55" s="36"/>
      <c r="P55" s="36" t="s">
        <v>19328</v>
      </c>
      <c r="Q55" s="37"/>
    </row>
    <row r="56" ht="37.5" customHeight="1">
      <c r="A56" s="32" t="s">
        <v>4370</v>
      </c>
      <c r="B56" s="33">
        <v>5.0</v>
      </c>
      <c r="C56" s="34" t="s">
        <v>19349</v>
      </c>
      <c r="D56" s="35"/>
      <c r="E56" s="34"/>
      <c r="F56" s="35"/>
      <c r="G56" s="34"/>
      <c r="H56" s="35"/>
      <c r="I56" s="34"/>
      <c r="J56" s="35"/>
      <c r="K56" s="34"/>
      <c r="L56" s="35"/>
      <c r="M56" s="34"/>
      <c r="N56" s="5" t="s">
        <v>19128</v>
      </c>
      <c r="O56" s="36"/>
      <c r="P56" s="32" t="s">
        <v>19328</v>
      </c>
      <c r="Q56" s="35"/>
    </row>
    <row r="57" ht="37.5" customHeight="1">
      <c r="A57" s="32" t="s">
        <v>4376</v>
      </c>
      <c r="B57" s="33">
        <v>1.0</v>
      </c>
      <c r="C57" s="34" t="s">
        <v>19352</v>
      </c>
      <c r="D57" s="35">
        <v>8.0</v>
      </c>
      <c r="E57" s="34" t="s">
        <v>19185</v>
      </c>
      <c r="F57" s="35"/>
      <c r="G57" s="34"/>
      <c r="H57" s="35"/>
      <c r="I57" s="34"/>
      <c r="J57" s="35"/>
      <c r="K57" s="34"/>
      <c r="L57" s="35"/>
      <c r="M57" s="34"/>
      <c r="N57" s="5" t="s">
        <v>19353</v>
      </c>
      <c r="O57" s="36"/>
      <c r="P57" s="32" t="s">
        <v>19328</v>
      </c>
      <c r="Q57" s="35"/>
    </row>
    <row r="58" ht="37.5" customHeight="1">
      <c r="A58" s="32" t="s">
        <v>4380</v>
      </c>
      <c r="B58" s="33">
        <v>10.0</v>
      </c>
      <c r="C58" s="34" t="s">
        <v>19185</v>
      </c>
      <c r="D58" s="35"/>
      <c r="E58" s="34"/>
      <c r="F58" s="35"/>
      <c r="G58" s="34"/>
      <c r="H58" s="35"/>
      <c r="I58" s="34"/>
      <c r="J58" s="35"/>
      <c r="K58" s="34"/>
      <c r="L58" s="35"/>
      <c r="M58" s="34"/>
      <c r="N58" s="5" t="s">
        <v>19186</v>
      </c>
      <c r="O58" s="36"/>
      <c r="P58" s="32" t="s">
        <v>19328</v>
      </c>
      <c r="Q58" s="35"/>
    </row>
    <row r="59" ht="37.5" customHeight="1">
      <c r="A59" s="32" t="s">
        <v>4391</v>
      </c>
      <c r="B59" s="33">
        <v>10.0</v>
      </c>
      <c r="C59" s="34" t="s">
        <v>19122</v>
      </c>
      <c r="D59" s="35">
        <v>10.0</v>
      </c>
      <c r="E59" s="34" t="s">
        <v>19289</v>
      </c>
      <c r="F59" s="35"/>
      <c r="G59" s="34"/>
      <c r="H59" s="35"/>
      <c r="I59" s="34"/>
      <c r="J59" s="35"/>
      <c r="K59" s="34"/>
      <c r="L59" s="35"/>
      <c r="M59" s="34"/>
      <c r="N59" s="5" t="s">
        <v>19128</v>
      </c>
      <c r="O59" s="36"/>
      <c r="P59" s="36" t="s">
        <v>19328</v>
      </c>
      <c r="Q59" s="37"/>
    </row>
    <row r="60" ht="37.5" customHeight="1">
      <c r="A60" s="32" t="s">
        <v>4419</v>
      </c>
      <c r="B60" s="33">
        <v>5.0</v>
      </c>
      <c r="C60" s="34" t="s">
        <v>19188</v>
      </c>
      <c r="D60" s="35">
        <v>1.0</v>
      </c>
      <c r="E60" s="34" t="s">
        <v>19342</v>
      </c>
      <c r="F60" s="35"/>
      <c r="G60" s="34"/>
      <c r="H60" s="35"/>
      <c r="I60" s="34"/>
      <c r="J60" s="35"/>
      <c r="K60" s="34"/>
      <c r="L60" s="35"/>
      <c r="M60" s="34"/>
      <c r="N60" s="5" t="s">
        <v>19190</v>
      </c>
      <c r="O60" s="36"/>
      <c r="P60" s="36" t="s">
        <v>19328</v>
      </c>
      <c r="Q60" s="37"/>
    </row>
    <row r="61" ht="37.5" customHeight="1">
      <c r="A61" s="32" t="s">
        <v>4434</v>
      </c>
      <c r="B61" s="49">
        <v>50000.0</v>
      </c>
      <c r="C61" s="34" t="s">
        <v>19360</v>
      </c>
      <c r="D61" s="35"/>
      <c r="E61" s="34"/>
      <c r="F61" s="35"/>
      <c r="G61" s="34"/>
      <c r="H61" s="35"/>
      <c r="I61" s="34"/>
      <c r="J61" s="35"/>
      <c r="K61" s="34"/>
      <c r="L61" s="35"/>
      <c r="M61" s="34"/>
      <c r="N61" s="5" t="s">
        <v>19361</v>
      </c>
      <c r="O61" s="36"/>
      <c r="P61" s="36" t="s">
        <v>19328</v>
      </c>
      <c r="Q61" s="37"/>
    </row>
    <row r="62" ht="37.5" customHeight="1">
      <c r="A62" s="32" t="s">
        <v>4583</v>
      </c>
      <c r="B62" s="33">
        <v>5.0</v>
      </c>
      <c r="C62" s="34" t="s">
        <v>19153</v>
      </c>
      <c r="D62" s="35">
        <v>10.0</v>
      </c>
      <c r="E62" s="34" t="s">
        <v>19164</v>
      </c>
      <c r="F62" s="35"/>
      <c r="G62" s="34"/>
      <c r="H62" s="35"/>
      <c r="I62" s="34"/>
      <c r="J62" s="35"/>
      <c r="K62" s="34"/>
      <c r="L62" s="35"/>
      <c r="M62" s="34"/>
      <c r="N62" s="5" t="s">
        <v>19157</v>
      </c>
      <c r="O62" s="36"/>
      <c r="P62" s="32" t="s">
        <v>19328</v>
      </c>
      <c r="Q62" s="35"/>
    </row>
    <row r="63" ht="37.5" customHeight="1">
      <c r="A63" s="36" t="s">
        <v>4592</v>
      </c>
      <c r="B63" s="33">
        <v>1.0</v>
      </c>
      <c r="C63" s="34" t="s">
        <v>19365</v>
      </c>
      <c r="D63" s="35">
        <v>1.0</v>
      </c>
      <c r="E63" s="34" t="s">
        <v>19366</v>
      </c>
      <c r="F63" s="35">
        <v>1.0</v>
      </c>
      <c r="G63" s="34" t="s">
        <v>19367</v>
      </c>
      <c r="H63" s="35">
        <v>1.0</v>
      </c>
      <c r="I63" s="34" t="s">
        <v>19368</v>
      </c>
      <c r="J63" s="35">
        <v>1.0</v>
      </c>
      <c r="K63" s="34" t="s">
        <v>19180</v>
      </c>
      <c r="L63" s="35">
        <v>1.0</v>
      </c>
      <c r="M63" s="34" t="s">
        <v>19370</v>
      </c>
      <c r="N63" s="5" t="s">
        <v>19128</v>
      </c>
      <c r="O63" s="36"/>
      <c r="P63" s="36" t="s">
        <v>19328</v>
      </c>
      <c r="Q63" s="37"/>
    </row>
    <row r="64" ht="37.5" customHeight="1">
      <c r="A64" s="32" t="s">
        <v>4596</v>
      </c>
      <c r="B64" s="33">
        <v>5.0</v>
      </c>
      <c r="C64" s="34" t="s">
        <v>19188</v>
      </c>
      <c r="D64" s="35">
        <v>1.0</v>
      </c>
      <c r="E64" s="34" t="s">
        <v>19342</v>
      </c>
      <c r="F64" s="35"/>
      <c r="G64" s="34"/>
      <c r="H64" s="35"/>
      <c r="I64" s="34"/>
      <c r="J64" s="35"/>
      <c r="K64" s="34"/>
      <c r="L64" s="35"/>
      <c r="M64" s="34"/>
      <c r="N64" s="5" t="s">
        <v>19190</v>
      </c>
      <c r="O64" s="36"/>
      <c r="P64" s="36" t="s">
        <v>19328</v>
      </c>
      <c r="Q64" s="37"/>
    </row>
    <row r="65" ht="37.5" customHeight="1">
      <c r="A65" s="32" t="s">
        <v>4634</v>
      </c>
      <c r="B65" s="33">
        <v>8.0</v>
      </c>
      <c r="C65" s="34" t="s">
        <v>19185</v>
      </c>
      <c r="D65" s="35"/>
      <c r="E65" s="34"/>
      <c r="F65" s="35"/>
      <c r="G65" s="34"/>
      <c r="H65" s="35"/>
      <c r="I65" s="34"/>
      <c r="J65" s="35"/>
      <c r="K65" s="34"/>
      <c r="L65" s="35"/>
      <c r="M65" s="34"/>
      <c r="N65" s="5" t="s">
        <v>19186</v>
      </c>
      <c r="O65" s="36"/>
      <c r="P65" s="36" t="s">
        <v>19328</v>
      </c>
      <c r="Q65" s="37"/>
    </row>
    <row r="66" ht="37.5" customHeight="1">
      <c r="A66" s="32" t="s">
        <v>4645</v>
      </c>
      <c r="B66" s="33">
        <v>3.0</v>
      </c>
      <c r="C66" s="34" t="s">
        <v>19181</v>
      </c>
      <c r="D66" s="35">
        <v>1.0</v>
      </c>
      <c r="E66" s="34" t="s">
        <v>4592</v>
      </c>
      <c r="F66" s="35"/>
      <c r="G66" s="34"/>
      <c r="H66" s="35"/>
      <c r="I66" s="34"/>
      <c r="J66" s="35"/>
      <c r="K66" s="34"/>
      <c r="L66" s="35"/>
      <c r="M66" s="34"/>
      <c r="N66" s="5" t="s">
        <v>19183</v>
      </c>
      <c r="O66" s="36"/>
      <c r="P66" s="32" t="s">
        <v>19328</v>
      </c>
      <c r="Q66" s="35"/>
    </row>
    <row r="67" ht="37.5" customHeight="1">
      <c r="A67" s="32" t="s">
        <v>4649</v>
      </c>
      <c r="B67" s="33">
        <v>7.0</v>
      </c>
      <c r="C67" s="34" t="s">
        <v>19234</v>
      </c>
      <c r="D67" s="35"/>
      <c r="E67" s="34"/>
      <c r="F67" s="35"/>
      <c r="G67" s="34"/>
      <c r="H67" s="35"/>
      <c r="I67" s="34"/>
      <c r="J67" s="35"/>
      <c r="K67" s="34"/>
      <c r="L67" s="35"/>
      <c r="M67" s="34"/>
      <c r="N67" s="5" t="s">
        <v>19232</v>
      </c>
      <c r="O67" s="36"/>
      <c r="P67" s="36" t="s">
        <v>19328</v>
      </c>
      <c r="Q67" s="37"/>
    </row>
    <row r="68" ht="37.5" customHeight="1">
      <c r="A68" s="32" t="s">
        <v>4692</v>
      </c>
      <c r="B68" s="33">
        <v>3.0</v>
      </c>
      <c r="C68" s="34" t="s">
        <v>19181</v>
      </c>
      <c r="D68" s="35">
        <v>3.0</v>
      </c>
      <c r="E68" s="34" t="s">
        <v>19368</v>
      </c>
      <c r="F68" s="35"/>
      <c r="G68" s="34"/>
      <c r="H68" s="35"/>
      <c r="I68" s="34"/>
      <c r="J68" s="35"/>
      <c r="K68" s="34"/>
      <c r="L68" s="35"/>
      <c r="M68" s="34"/>
      <c r="N68" s="5" t="s">
        <v>19183</v>
      </c>
      <c r="O68" s="36"/>
      <c r="P68" s="32" t="s">
        <v>19328</v>
      </c>
      <c r="Q68" s="35"/>
    </row>
    <row r="69" ht="37.5" customHeight="1">
      <c r="A69" s="32" t="s">
        <v>4696</v>
      </c>
      <c r="B69" s="33">
        <v>6.0</v>
      </c>
      <c r="C69" s="34" t="s">
        <v>19181</v>
      </c>
      <c r="D69" s="35"/>
      <c r="E69" s="34"/>
      <c r="F69" s="35"/>
      <c r="G69" s="34"/>
      <c r="H69" s="35"/>
      <c r="I69" s="34"/>
      <c r="J69" s="35"/>
      <c r="K69" s="34"/>
      <c r="L69" s="35"/>
      <c r="M69" s="34"/>
      <c r="N69" s="5" t="s">
        <v>19183</v>
      </c>
      <c r="O69" s="36"/>
      <c r="P69" s="36" t="s">
        <v>19328</v>
      </c>
      <c r="Q69" s="37"/>
    </row>
    <row r="70" ht="37.5" customHeight="1">
      <c r="A70" s="32" t="s">
        <v>16020</v>
      </c>
      <c r="B70" s="33">
        <v>5.0</v>
      </c>
      <c r="C70" s="34" t="s">
        <v>339</v>
      </c>
      <c r="D70" s="35"/>
      <c r="E70" s="34"/>
      <c r="F70" s="35"/>
      <c r="G70" s="34"/>
      <c r="H70" s="35"/>
      <c r="I70" s="34"/>
      <c r="J70" s="35"/>
      <c r="K70" s="34"/>
      <c r="L70" s="35"/>
      <c r="M70" s="34"/>
      <c r="N70" s="5" t="s">
        <v>19205</v>
      </c>
      <c r="O70" s="36"/>
      <c r="P70" s="36" t="s">
        <v>19379</v>
      </c>
      <c r="Q70" s="37"/>
    </row>
    <row r="71" ht="37.5" customHeight="1">
      <c r="A71" s="32" t="s">
        <v>16083</v>
      </c>
      <c r="B71" s="33">
        <v>10.0</v>
      </c>
      <c r="C71" s="34" t="s">
        <v>19122</v>
      </c>
      <c r="D71" s="35"/>
      <c r="E71" s="34"/>
      <c r="F71" s="35"/>
      <c r="G71" s="34"/>
      <c r="H71" s="35"/>
      <c r="I71" s="34"/>
      <c r="J71" s="35"/>
      <c r="K71" s="34"/>
      <c r="L71" s="35"/>
      <c r="M71" s="34"/>
      <c r="N71" s="5" t="s">
        <v>19238</v>
      </c>
      <c r="O71" s="36"/>
      <c r="P71" s="36" t="s">
        <v>19379</v>
      </c>
      <c r="Q71" s="37"/>
    </row>
    <row r="72" ht="37.5" customHeight="1">
      <c r="A72" s="32" t="s">
        <v>16227</v>
      </c>
      <c r="B72" s="33">
        <v>6.0</v>
      </c>
      <c r="C72" s="34" t="s">
        <v>19382</v>
      </c>
      <c r="D72" s="35"/>
      <c r="E72" s="34"/>
      <c r="F72" s="35"/>
      <c r="G72" s="34"/>
      <c r="H72" s="35"/>
      <c r="I72" s="34"/>
      <c r="J72" s="35"/>
      <c r="K72" s="34"/>
      <c r="L72" s="35"/>
      <c r="M72" s="34"/>
      <c r="N72" s="5" t="s">
        <v>19384</v>
      </c>
      <c r="O72" s="36"/>
      <c r="P72" s="32" t="s">
        <v>19379</v>
      </c>
      <c r="Q72" s="35"/>
    </row>
    <row r="73" ht="37.5" customHeight="1">
      <c r="A73" s="32" t="s">
        <v>16272</v>
      </c>
      <c r="B73" s="33">
        <v>1.0</v>
      </c>
      <c r="C73" s="34" t="s">
        <v>19142</v>
      </c>
      <c r="D73" s="35">
        <v>1.0</v>
      </c>
      <c r="E73" s="34" t="s">
        <v>19144</v>
      </c>
      <c r="F73" s="35">
        <v>1.0</v>
      </c>
      <c r="G73" s="34" t="s">
        <v>19145</v>
      </c>
      <c r="H73" s="35">
        <v>1.0</v>
      </c>
      <c r="I73" s="34" t="s">
        <v>19146</v>
      </c>
      <c r="J73" s="35">
        <v>1.0</v>
      </c>
      <c r="K73" s="34" t="s">
        <v>19147</v>
      </c>
      <c r="L73" s="35">
        <v>1.0</v>
      </c>
      <c r="M73" s="34" t="s">
        <v>19148</v>
      </c>
      <c r="N73" s="38" t="s">
        <v>19149</v>
      </c>
      <c r="O73" s="36"/>
      <c r="P73" s="36" t="s">
        <v>19379</v>
      </c>
      <c r="Q73" s="37"/>
    </row>
    <row r="74" ht="37.5" customHeight="1">
      <c r="A74" s="32" t="s">
        <v>16347</v>
      </c>
      <c r="B74" s="33">
        <v>5.0</v>
      </c>
      <c r="C74" s="34" t="s">
        <v>501</v>
      </c>
      <c r="D74" s="35"/>
      <c r="E74" s="34"/>
      <c r="F74" s="35"/>
      <c r="G74" s="34"/>
      <c r="H74" s="35"/>
      <c r="I74" s="34"/>
      <c r="J74" s="35"/>
      <c r="K74" s="34"/>
      <c r="L74" s="35"/>
      <c r="M74" s="34"/>
      <c r="N74" s="5" t="s">
        <v>19196</v>
      </c>
      <c r="O74" s="36"/>
      <c r="P74" s="36" t="s">
        <v>19379</v>
      </c>
      <c r="Q74" s="37"/>
    </row>
    <row r="75" ht="37.5" customHeight="1">
      <c r="A75" s="32" t="s">
        <v>16351</v>
      </c>
      <c r="B75" s="33">
        <v>3.0</v>
      </c>
      <c r="C75" s="34" t="s">
        <v>19388</v>
      </c>
      <c r="D75" s="35">
        <v>3.0</v>
      </c>
      <c r="E75" s="34" t="s">
        <v>19389</v>
      </c>
      <c r="F75" s="35"/>
      <c r="G75" s="34"/>
      <c r="H75" s="35"/>
      <c r="I75" s="34"/>
      <c r="J75" s="35"/>
      <c r="K75" s="34"/>
      <c r="L75" s="35"/>
      <c r="M75" s="34"/>
      <c r="N75" s="5" t="s">
        <v>19384</v>
      </c>
      <c r="O75" s="36"/>
      <c r="P75" s="32" t="s">
        <v>19379</v>
      </c>
      <c r="Q75" s="35"/>
    </row>
    <row r="76" ht="37.5" customHeight="1">
      <c r="A76" s="32" t="s">
        <v>16355</v>
      </c>
      <c r="B76" s="33">
        <v>3.0</v>
      </c>
      <c r="C76" s="34" t="s">
        <v>19392</v>
      </c>
      <c r="D76" s="35">
        <v>3.0</v>
      </c>
      <c r="E76" s="34" t="s">
        <v>19393</v>
      </c>
      <c r="F76" s="35"/>
      <c r="G76" s="34"/>
      <c r="H76" s="35"/>
      <c r="I76" s="34"/>
      <c r="J76" s="35"/>
      <c r="K76" s="34"/>
      <c r="L76" s="35"/>
      <c r="M76" s="34"/>
      <c r="N76" s="5" t="s">
        <v>19384</v>
      </c>
      <c r="O76" s="36"/>
      <c r="P76" s="32" t="s">
        <v>19379</v>
      </c>
      <c r="Q76" s="35"/>
    </row>
    <row r="77" ht="37.5" customHeight="1">
      <c r="A77" s="32" t="s">
        <v>16360</v>
      </c>
      <c r="B77" s="33">
        <v>2.0</v>
      </c>
      <c r="C77" s="34" t="s">
        <v>19396</v>
      </c>
      <c r="D77" s="35">
        <v>2.0</v>
      </c>
      <c r="E77" s="34" t="s">
        <v>19397</v>
      </c>
      <c r="F77" s="35">
        <v>1.0</v>
      </c>
      <c r="G77" s="34" t="s">
        <v>19398</v>
      </c>
      <c r="H77" s="35"/>
      <c r="I77" s="34"/>
      <c r="J77" s="35"/>
      <c r="K77" s="34"/>
      <c r="L77" s="35"/>
      <c r="M77" s="34"/>
      <c r="N77" s="5" t="s">
        <v>19384</v>
      </c>
      <c r="O77" s="36"/>
      <c r="P77" s="32" t="s">
        <v>19379</v>
      </c>
      <c r="Q77" s="35"/>
    </row>
    <row r="78" ht="37.5" customHeight="1">
      <c r="A78" s="32" t="s">
        <v>16406</v>
      </c>
      <c r="B78" s="33">
        <v>4.0</v>
      </c>
      <c r="C78" s="34" t="s">
        <v>19399</v>
      </c>
      <c r="D78" s="35">
        <v>2.0</v>
      </c>
      <c r="E78" s="34" t="s">
        <v>19400</v>
      </c>
      <c r="F78" s="35">
        <v>2.0</v>
      </c>
      <c r="G78" s="34" t="s">
        <v>19401</v>
      </c>
      <c r="H78" s="35"/>
      <c r="I78" s="34"/>
      <c r="J78" s="35"/>
      <c r="K78" s="34"/>
      <c r="L78" s="35"/>
      <c r="M78" s="34"/>
      <c r="N78" s="5" t="s">
        <v>19384</v>
      </c>
      <c r="O78" s="36"/>
      <c r="P78" s="32" t="s">
        <v>19379</v>
      </c>
      <c r="Q78" s="35"/>
    </row>
    <row r="79" ht="37.5" customHeight="1">
      <c r="A79" s="32" t="s">
        <v>16410</v>
      </c>
      <c r="B79" s="33">
        <v>3.0</v>
      </c>
      <c r="C79" s="34" t="s">
        <v>19404</v>
      </c>
      <c r="D79" s="35">
        <v>3.0</v>
      </c>
      <c r="E79" s="34" t="s">
        <v>19405</v>
      </c>
      <c r="F79" s="35"/>
      <c r="G79" s="34"/>
      <c r="H79" s="35"/>
      <c r="I79" s="34"/>
      <c r="J79" s="35"/>
      <c r="K79" s="34"/>
      <c r="L79" s="35"/>
      <c r="M79" s="34"/>
      <c r="N79" s="5" t="s">
        <v>19384</v>
      </c>
      <c r="O79" s="36"/>
      <c r="P79" s="32" t="s">
        <v>19379</v>
      </c>
      <c r="Q79" s="35"/>
    </row>
    <row r="80" ht="37.5" customHeight="1">
      <c r="A80" s="32" t="s">
        <v>16414</v>
      </c>
      <c r="B80" s="33">
        <v>3.0</v>
      </c>
      <c r="C80" s="34" t="s">
        <v>19407</v>
      </c>
      <c r="D80" s="35">
        <v>3.0</v>
      </c>
      <c r="E80" s="34" t="s">
        <v>19408</v>
      </c>
      <c r="F80" s="35"/>
      <c r="G80" s="34"/>
      <c r="H80" s="35"/>
      <c r="I80" s="34"/>
      <c r="J80" s="35"/>
      <c r="K80" s="34"/>
      <c r="L80" s="35"/>
      <c r="M80" s="34"/>
      <c r="N80" s="5" t="s">
        <v>19384</v>
      </c>
      <c r="O80" s="36"/>
      <c r="P80" s="32" t="s">
        <v>19379</v>
      </c>
      <c r="Q80" s="35"/>
    </row>
    <row r="81" ht="37.5" customHeight="1">
      <c r="A81" s="32" t="s">
        <v>16418</v>
      </c>
      <c r="B81" s="33">
        <v>2.0</v>
      </c>
      <c r="C81" s="34" t="s">
        <v>19411</v>
      </c>
      <c r="D81" s="35">
        <v>2.0</v>
      </c>
      <c r="E81" s="34" t="s">
        <v>19412</v>
      </c>
      <c r="F81" s="35">
        <v>3.0</v>
      </c>
      <c r="G81" s="34" t="s">
        <v>19413</v>
      </c>
      <c r="H81" s="35"/>
      <c r="I81" s="34"/>
      <c r="J81" s="35"/>
      <c r="K81" s="34"/>
      <c r="L81" s="35"/>
      <c r="M81" s="34"/>
      <c r="N81" s="5" t="s">
        <v>19384</v>
      </c>
      <c r="O81" s="36"/>
      <c r="P81" s="36" t="s">
        <v>19379</v>
      </c>
      <c r="Q81" s="37"/>
    </row>
    <row r="82" ht="37.5" customHeight="1">
      <c r="A82" s="32" t="s">
        <v>16427</v>
      </c>
      <c r="B82" s="33">
        <v>2.0</v>
      </c>
      <c r="C82" s="34" t="s">
        <v>19414</v>
      </c>
      <c r="D82" s="35">
        <v>2.0</v>
      </c>
      <c r="E82" s="34" t="s">
        <v>19415</v>
      </c>
      <c r="F82" s="35">
        <v>2.0</v>
      </c>
      <c r="G82" s="34" t="s">
        <v>19416</v>
      </c>
      <c r="H82" s="35"/>
      <c r="I82" s="34"/>
      <c r="J82" s="35"/>
      <c r="K82" s="34"/>
      <c r="L82" s="35"/>
      <c r="M82" s="34"/>
      <c r="N82" s="5" t="s">
        <v>19384</v>
      </c>
      <c r="O82" s="36"/>
      <c r="P82" s="36" t="s">
        <v>19379</v>
      </c>
      <c r="Q82" s="37"/>
    </row>
    <row r="83" ht="37.5" customHeight="1">
      <c r="A83" s="32" t="s">
        <v>16432</v>
      </c>
      <c r="B83" s="33">
        <v>3.0</v>
      </c>
      <c r="C83" s="34" t="s">
        <v>19419</v>
      </c>
      <c r="D83" s="35">
        <v>3.0</v>
      </c>
      <c r="E83" s="34" t="s">
        <v>19420</v>
      </c>
      <c r="F83" s="35"/>
      <c r="G83" s="34"/>
      <c r="H83" s="35"/>
      <c r="I83" s="34"/>
      <c r="J83" s="35"/>
      <c r="K83" s="34"/>
      <c r="L83" s="35"/>
      <c r="M83" s="34"/>
      <c r="N83" s="5" t="s">
        <v>19384</v>
      </c>
      <c r="O83" s="36"/>
      <c r="P83" s="36" t="s">
        <v>19379</v>
      </c>
      <c r="Q83" s="37"/>
    </row>
    <row r="84" ht="37.5" customHeight="1">
      <c r="A84" s="32" t="s">
        <v>16502</v>
      </c>
      <c r="B84" s="33">
        <v>7.0</v>
      </c>
      <c r="C84" s="34" t="s">
        <v>19423</v>
      </c>
      <c r="D84" s="35"/>
      <c r="E84" s="34"/>
      <c r="F84" s="35"/>
      <c r="G84" s="34"/>
      <c r="H84" s="35"/>
      <c r="I84" s="34"/>
      <c r="J84" s="35"/>
      <c r="K84" s="34"/>
      <c r="L84" s="35"/>
      <c r="M84" s="34"/>
      <c r="N84" s="5" t="s">
        <v>19384</v>
      </c>
      <c r="O84" s="36"/>
      <c r="P84" s="32" t="s">
        <v>19379</v>
      </c>
      <c r="Q84" s="35"/>
    </row>
    <row r="85" ht="37.5" customHeight="1">
      <c r="A85" s="32" t="s">
        <v>16506</v>
      </c>
      <c r="B85" s="33">
        <v>6.0</v>
      </c>
      <c r="C85" s="34" t="s">
        <v>19424</v>
      </c>
      <c r="D85" s="35"/>
      <c r="E85" s="34"/>
      <c r="F85" s="35"/>
      <c r="G85" s="34"/>
      <c r="H85" s="35"/>
      <c r="I85" s="34"/>
      <c r="J85" s="35"/>
      <c r="K85" s="34"/>
      <c r="L85" s="35"/>
      <c r="M85" s="34"/>
      <c r="N85" s="5" t="s">
        <v>19384</v>
      </c>
      <c r="O85" s="36"/>
      <c r="P85" s="32" t="s">
        <v>19379</v>
      </c>
      <c r="Q85" s="35"/>
    </row>
    <row r="86" ht="37.5" customHeight="1">
      <c r="A86" s="32" t="s">
        <v>16510</v>
      </c>
      <c r="B86" s="33">
        <v>5.0</v>
      </c>
      <c r="C86" s="34" t="s">
        <v>19427</v>
      </c>
      <c r="D86" s="35"/>
      <c r="E86" s="34"/>
      <c r="F86" s="35"/>
      <c r="G86" s="34"/>
      <c r="H86" s="35"/>
      <c r="I86" s="34"/>
      <c r="J86" s="35"/>
      <c r="K86" s="34"/>
      <c r="L86" s="35"/>
      <c r="M86" s="34"/>
      <c r="N86" s="5" t="s">
        <v>19384</v>
      </c>
      <c r="O86" s="36"/>
      <c r="P86" s="32" t="s">
        <v>19379</v>
      </c>
      <c r="Q86" s="35"/>
    </row>
    <row r="87" ht="37.5" customHeight="1">
      <c r="A87" s="32" t="s">
        <v>16596</v>
      </c>
      <c r="B87" s="33">
        <v>2.0</v>
      </c>
      <c r="C87" s="34" t="s">
        <v>19142</v>
      </c>
      <c r="D87" s="35"/>
      <c r="E87" s="34"/>
      <c r="F87" s="35"/>
      <c r="G87" s="34"/>
      <c r="H87" s="35"/>
      <c r="I87" s="34"/>
      <c r="J87" s="35"/>
      <c r="K87" s="34"/>
      <c r="L87" s="35"/>
      <c r="M87" s="34"/>
      <c r="N87" s="38" t="s">
        <v>19215</v>
      </c>
      <c r="O87" s="36"/>
      <c r="P87" s="32" t="s">
        <v>19379</v>
      </c>
      <c r="Q87" s="35"/>
    </row>
    <row r="88" ht="37.5" customHeight="1">
      <c r="A88" s="32" t="s">
        <v>16602</v>
      </c>
      <c r="B88" s="33">
        <v>2.0</v>
      </c>
      <c r="C88" s="34" t="s">
        <v>19142</v>
      </c>
      <c r="D88" s="35">
        <v>2.0</v>
      </c>
      <c r="E88" s="34" t="s">
        <v>19144</v>
      </c>
      <c r="F88" s="35">
        <v>2.0</v>
      </c>
      <c r="G88" s="34" t="s">
        <v>19145</v>
      </c>
      <c r="H88" s="35">
        <v>2.0</v>
      </c>
      <c r="I88" s="34" t="s">
        <v>19146</v>
      </c>
      <c r="J88" s="35">
        <v>2.0</v>
      </c>
      <c r="K88" s="34" t="s">
        <v>19147</v>
      </c>
      <c r="L88" s="35">
        <v>2.0</v>
      </c>
      <c r="M88" s="34" t="s">
        <v>19148</v>
      </c>
      <c r="N88" s="38" t="s">
        <v>19225</v>
      </c>
      <c r="O88" s="36"/>
      <c r="P88" s="32" t="s">
        <v>19379</v>
      </c>
      <c r="Q88" s="35"/>
    </row>
    <row r="89" ht="37.5" customHeight="1">
      <c r="A89" s="32" t="s">
        <v>16938</v>
      </c>
      <c r="B89" s="33">
        <v>5.0</v>
      </c>
      <c r="C89" s="34" t="s">
        <v>19229</v>
      </c>
      <c r="D89" s="35"/>
      <c r="E89" s="34"/>
      <c r="F89" s="35"/>
      <c r="G89" s="34"/>
      <c r="H89" s="35"/>
      <c r="I89" s="34"/>
      <c r="J89" s="35"/>
      <c r="K89" s="34"/>
      <c r="L89" s="35"/>
      <c r="M89" s="34"/>
      <c r="N89" s="5" t="s">
        <v>19232</v>
      </c>
      <c r="O89" s="36"/>
      <c r="P89" s="36" t="s">
        <v>19379</v>
      </c>
      <c r="Q89" s="37"/>
    </row>
    <row r="90" ht="37.5" customHeight="1">
      <c r="A90" s="32" t="s">
        <v>16943</v>
      </c>
      <c r="B90" s="33">
        <v>6.0</v>
      </c>
      <c r="C90" s="34" t="s">
        <v>19432</v>
      </c>
      <c r="D90" s="35"/>
      <c r="E90" s="34"/>
      <c r="F90" s="35"/>
      <c r="G90" s="34"/>
      <c r="H90" s="35"/>
      <c r="I90" s="34"/>
      <c r="J90" s="35"/>
      <c r="K90" s="34"/>
      <c r="L90" s="35"/>
      <c r="M90" s="34"/>
      <c r="N90" s="5" t="s">
        <v>19384</v>
      </c>
      <c r="O90" s="36"/>
      <c r="P90" s="36" t="s">
        <v>19379</v>
      </c>
      <c r="Q90" s="37"/>
    </row>
    <row r="91" ht="37.5" customHeight="1">
      <c r="A91" s="32" t="s">
        <v>17071</v>
      </c>
      <c r="B91" s="33">
        <v>4.0</v>
      </c>
      <c r="C91" s="34" t="s">
        <v>19435</v>
      </c>
      <c r="D91" s="35">
        <v>2.0</v>
      </c>
      <c r="E91" s="34" t="s">
        <v>19437</v>
      </c>
      <c r="F91" s="35">
        <v>2.0</v>
      </c>
      <c r="G91" s="34" t="s">
        <v>19438</v>
      </c>
      <c r="H91" s="35"/>
      <c r="I91" s="34"/>
      <c r="J91" s="35"/>
      <c r="K91" s="34"/>
      <c r="L91" s="35"/>
      <c r="M91" s="34"/>
      <c r="N91" s="5" t="s">
        <v>19384</v>
      </c>
      <c r="O91" s="36"/>
      <c r="P91" s="32" t="s">
        <v>19379</v>
      </c>
      <c r="Q91" s="35"/>
    </row>
    <row r="92" ht="37.5" customHeight="1">
      <c r="A92" s="32" t="s">
        <v>17146</v>
      </c>
      <c r="B92" s="33">
        <v>5.0</v>
      </c>
      <c r="C92" s="34" t="s">
        <v>19234</v>
      </c>
      <c r="D92" s="35"/>
      <c r="E92" s="34"/>
      <c r="F92" s="35"/>
      <c r="G92" s="34"/>
      <c r="H92" s="35"/>
      <c r="I92" s="34"/>
      <c r="J92" s="35"/>
      <c r="K92" s="34"/>
      <c r="L92" s="35"/>
      <c r="M92" s="34"/>
      <c r="N92" s="5" t="s">
        <v>19238</v>
      </c>
      <c r="O92" s="36"/>
      <c r="P92" s="36" t="s">
        <v>19379</v>
      </c>
      <c r="Q92" s="37"/>
    </row>
    <row r="93" ht="37.5" customHeight="1">
      <c r="A93" s="32" t="s">
        <v>17250</v>
      </c>
      <c r="B93" s="33">
        <v>10.0</v>
      </c>
      <c r="C93" s="34" t="s">
        <v>19122</v>
      </c>
      <c r="D93" s="35"/>
      <c r="E93" s="34"/>
      <c r="F93" s="35"/>
      <c r="G93" s="34"/>
      <c r="H93" s="35"/>
      <c r="I93" s="34"/>
      <c r="J93" s="35"/>
      <c r="K93" s="34"/>
      <c r="L93" s="35"/>
      <c r="M93" s="34"/>
      <c r="N93" s="5" t="s">
        <v>19196</v>
      </c>
      <c r="O93" s="36"/>
      <c r="P93" s="36" t="s">
        <v>19379</v>
      </c>
      <c r="Q93" s="37"/>
    </row>
    <row r="94" ht="37.5" customHeight="1">
      <c r="A94" s="32" t="s">
        <v>17253</v>
      </c>
      <c r="B94" s="33">
        <v>2.0</v>
      </c>
      <c r="C94" s="34" t="s">
        <v>19145</v>
      </c>
      <c r="D94" s="35"/>
      <c r="E94" s="34"/>
      <c r="F94" s="35"/>
      <c r="G94" s="34"/>
      <c r="H94" s="35"/>
      <c r="I94" s="34"/>
      <c r="J94" s="35"/>
      <c r="K94" s="34"/>
      <c r="L94" s="35"/>
      <c r="M94" s="34"/>
      <c r="N94" s="38" t="s">
        <v>19240</v>
      </c>
      <c r="O94" s="36"/>
      <c r="P94" s="36" t="s">
        <v>19379</v>
      </c>
      <c r="Q94" s="37"/>
    </row>
    <row r="95" ht="37.5" customHeight="1">
      <c r="A95" s="32" t="s">
        <v>17265</v>
      </c>
      <c r="B95" s="33">
        <v>2.0</v>
      </c>
      <c r="C95" s="34" t="s">
        <v>19443</v>
      </c>
      <c r="D95" s="35">
        <v>2.0</v>
      </c>
      <c r="E95" s="34" t="s">
        <v>19444</v>
      </c>
      <c r="F95" s="35">
        <v>2.0</v>
      </c>
      <c r="G95" s="34" t="s">
        <v>19416</v>
      </c>
      <c r="H95" s="35"/>
      <c r="I95" s="34"/>
      <c r="J95" s="35"/>
      <c r="K95" s="34"/>
      <c r="L95" s="35"/>
      <c r="M95" s="34"/>
      <c r="N95" s="5" t="s">
        <v>19384</v>
      </c>
      <c r="O95" s="36"/>
      <c r="P95" s="36" t="s">
        <v>19379</v>
      </c>
      <c r="Q95" s="37"/>
    </row>
    <row r="96" ht="37.5" customHeight="1">
      <c r="A96" s="32" t="s">
        <v>17268</v>
      </c>
      <c r="B96" s="33">
        <v>3.0</v>
      </c>
      <c r="C96" s="34" t="s">
        <v>19445</v>
      </c>
      <c r="D96" s="35">
        <v>3.0</v>
      </c>
      <c r="E96" s="34" t="s">
        <v>19446</v>
      </c>
      <c r="F96" s="35"/>
      <c r="G96" s="34"/>
      <c r="H96" s="35"/>
      <c r="I96" s="34"/>
      <c r="J96" s="35"/>
      <c r="K96" s="34"/>
      <c r="L96" s="35"/>
      <c r="M96" s="34"/>
      <c r="N96" s="5" t="s">
        <v>19384</v>
      </c>
      <c r="O96" s="36"/>
      <c r="P96" s="36" t="s">
        <v>19379</v>
      </c>
      <c r="Q96" s="37"/>
    </row>
    <row r="97" ht="37.5" customHeight="1">
      <c r="A97" s="32" t="s">
        <v>17330</v>
      </c>
      <c r="B97" s="33">
        <v>2.0</v>
      </c>
      <c r="C97" s="34" t="s">
        <v>19448</v>
      </c>
      <c r="D97" s="35">
        <v>2.0</v>
      </c>
      <c r="E97" s="34" t="s">
        <v>19450</v>
      </c>
      <c r="F97" s="35">
        <v>2.0</v>
      </c>
      <c r="G97" s="34" t="s">
        <v>19451</v>
      </c>
      <c r="H97" s="35"/>
      <c r="I97" s="34"/>
      <c r="J97" s="35"/>
      <c r="K97" s="34"/>
      <c r="L97" s="35"/>
      <c r="M97" s="34"/>
      <c r="N97" s="5" t="s">
        <v>19384</v>
      </c>
      <c r="O97" s="36"/>
      <c r="P97" s="36" t="s">
        <v>19379</v>
      </c>
      <c r="Q97" s="37"/>
    </row>
    <row r="98" ht="37.5" customHeight="1">
      <c r="A98" s="32" t="s">
        <v>17434</v>
      </c>
      <c r="B98" s="33">
        <v>5.0</v>
      </c>
      <c r="C98" s="34" t="s">
        <v>1801</v>
      </c>
      <c r="D98" s="35"/>
      <c r="E98" s="34"/>
      <c r="F98" s="35"/>
      <c r="G98" s="34"/>
      <c r="H98" s="35"/>
      <c r="I98" s="34"/>
      <c r="J98" s="35"/>
      <c r="K98" s="34"/>
      <c r="L98" s="35"/>
      <c r="M98" s="34"/>
      <c r="N98" s="5" t="s">
        <v>19243</v>
      </c>
      <c r="O98" s="36"/>
      <c r="P98" s="36" t="s">
        <v>19379</v>
      </c>
      <c r="Q98" s="37"/>
    </row>
    <row r="99" ht="37.5" customHeight="1">
      <c r="A99" s="32" t="s">
        <v>17538</v>
      </c>
      <c r="B99" s="33">
        <v>2.0</v>
      </c>
      <c r="C99" s="34" t="s">
        <v>19453</v>
      </c>
      <c r="D99" s="35">
        <v>2.0</v>
      </c>
      <c r="E99" s="34" t="s">
        <v>19455</v>
      </c>
      <c r="F99" s="35">
        <v>2.0</v>
      </c>
      <c r="G99" s="34" t="s">
        <v>19456</v>
      </c>
      <c r="H99" s="35"/>
      <c r="I99" s="34"/>
      <c r="J99" s="35"/>
      <c r="K99" s="34"/>
      <c r="L99" s="35"/>
      <c r="M99" s="34"/>
      <c r="N99" s="5" t="s">
        <v>19384</v>
      </c>
      <c r="O99" s="36"/>
      <c r="P99" s="36" t="s">
        <v>19379</v>
      </c>
      <c r="Q99" s="37"/>
    </row>
    <row r="100" ht="37.5" customHeight="1">
      <c r="A100" s="32" t="s">
        <v>17585</v>
      </c>
      <c r="B100" s="33">
        <v>5.0</v>
      </c>
      <c r="C100" s="34" t="s">
        <v>4063</v>
      </c>
      <c r="D100" s="35"/>
      <c r="E100" s="34"/>
      <c r="F100" s="35"/>
      <c r="G100" s="34"/>
      <c r="H100" s="35"/>
      <c r="I100" s="34"/>
      <c r="J100" s="35"/>
      <c r="K100" s="34"/>
      <c r="L100" s="35"/>
      <c r="M100" s="34"/>
      <c r="N100" s="5" t="s">
        <v>19161</v>
      </c>
      <c r="O100" s="36"/>
      <c r="P100" s="36" t="s">
        <v>19379</v>
      </c>
      <c r="Q100" s="37"/>
    </row>
    <row r="101" ht="37.5" customHeight="1">
      <c r="A101" s="32" t="s">
        <v>17591</v>
      </c>
      <c r="B101" s="33">
        <v>5.0</v>
      </c>
      <c r="C101" s="34" t="s">
        <v>9827</v>
      </c>
      <c r="D101" s="35"/>
      <c r="E101" s="34"/>
      <c r="F101" s="35"/>
      <c r="G101" s="34"/>
      <c r="H101" s="35"/>
      <c r="I101" s="34"/>
      <c r="J101" s="35"/>
      <c r="K101" s="34"/>
      <c r="L101" s="35"/>
      <c r="M101" s="34"/>
      <c r="N101" s="5" t="s">
        <v>19128</v>
      </c>
      <c r="O101" s="36"/>
      <c r="P101" s="36" t="s">
        <v>19379</v>
      </c>
      <c r="Q101" s="37"/>
    </row>
    <row r="102" ht="37.5" customHeight="1">
      <c r="A102" s="32" t="s">
        <v>17722</v>
      </c>
      <c r="B102" s="33">
        <v>6.0</v>
      </c>
      <c r="C102" s="34" t="s">
        <v>19459</v>
      </c>
      <c r="D102" s="35"/>
      <c r="E102" s="34"/>
      <c r="F102" s="35"/>
      <c r="G102" s="34"/>
      <c r="H102" s="35"/>
      <c r="I102" s="34"/>
      <c r="J102" s="35"/>
      <c r="K102" s="34"/>
      <c r="L102" s="35"/>
      <c r="M102" s="34"/>
      <c r="N102" s="5" t="s">
        <v>19384</v>
      </c>
      <c r="O102" s="36"/>
      <c r="P102" s="32" t="s">
        <v>19379</v>
      </c>
      <c r="Q102" s="35"/>
    </row>
    <row r="103" ht="37.5" customHeight="1">
      <c r="A103" s="32" t="s">
        <v>17728</v>
      </c>
      <c r="B103" s="33">
        <v>6.0</v>
      </c>
      <c r="C103" s="34" t="s">
        <v>19460</v>
      </c>
      <c r="D103" s="35"/>
      <c r="E103" s="34"/>
      <c r="F103" s="35"/>
      <c r="G103" s="34"/>
      <c r="H103" s="35"/>
      <c r="I103" s="34"/>
      <c r="J103" s="35"/>
      <c r="K103" s="34"/>
      <c r="L103" s="35"/>
      <c r="M103" s="34"/>
      <c r="N103" s="5" t="s">
        <v>19384</v>
      </c>
      <c r="O103" s="36"/>
      <c r="P103" s="32" t="s">
        <v>19379</v>
      </c>
      <c r="Q103" s="35"/>
    </row>
    <row r="104" ht="37.5" customHeight="1">
      <c r="A104" s="32" t="s">
        <v>17731</v>
      </c>
      <c r="B104" s="33">
        <v>6.0</v>
      </c>
      <c r="C104" s="34" t="s">
        <v>19463</v>
      </c>
      <c r="D104" s="35"/>
      <c r="E104" s="34"/>
      <c r="F104" s="35"/>
      <c r="G104" s="34"/>
      <c r="H104" s="35"/>
      <c r="I104" s="34"/>
      <c r="J104" s="35"/>
      <c r="K104" s="34"/>
      <c r="L104" s="35"/>
      <c r="M104" s="34"/>
      <c r="N104" s="5" t="s">
        <v>19384</v>
      </c>
      <c r="O104" s="36"/>
      <c r="P104" s="36" t="s">
        <v>19379</v>
      </c>
      <c r="Q104" s="37"/>
    </row>
    <row r="105" ht="37.5" customHeight="1">
      <c r="A105" s="32" t="s">
        <v>17868</v>
      </c>
      <c r="B105" s="33">
        <v>2.0</v>
      </c>
      <c r="C105" s="34" t="s">
        <v>19464</v>
      </c>
      <c r="D105" s="35">
        <v>2.0</v>
      </c>
      <c r="E105" s="34" t="s">
        <v>19465</v>
      </c>
      <c r="F105" s="35">
        <v>2.0</v>
      </c>
      <c r="G105" s="34" t="s">
        <v>19466</v>
      </c>
      <c r="H105" s="35"/>
      <c r="I105" s="34"/>
      <c r="J105" s="35"/>
      <c r="K105" s="34"/>
      <c r="L105" s="35"/>
      <c r="M105" s="34"/>
      <c r="N105" s="5" t="s">
        <v>19384</v>
      </c>
      <c r="O105" s="36"/>
      <c r="P105" s="36" t="s">
        <v>19379</v>
      </c>
      <c r="Q105" s="37"/>
    </row>
    <row r="106" ht="37.5" customHeight="1">
      <c r="A106" s="32" t="s">
        <v>18001</v>
      </c>
      <c r="B106" s="33">
        <v>6.0</v>
      </c>
      <c r="C106" s="34" t="s">
        <v>19468</v>
      </c>
      <c r="D106" s="35"/>
      <c r="E106" s="34"/>
      <c r="F106" s="35"/>
      <c r="G106" s="34"/>
      <c r="H106" s="35"/>
      <c r="I106" s="34"/>
      <c r="J106" s="35"/>
      <c r="K106" s="34"/>
      <c r="L106" s="35"/>
      <c r="M106" s="34"/>
      <c r="N106" s="5" t="s">
        <v>19384</v>
      </c>
      <c r="O106" s="36"/>
      <c r="P106" s="36" t="s">
        <v>19379</v>
      </c>
      <c r="Q106" s="37"/>
    </row>
    <row r="107" ht="37.5" customHeight="1">
      <c r="A107" s="36" t="s">
        <v>18051</v>
      </c>
      <c r="B107" s="33">
        <v>2.0</v>
      </c>
      <c r="C107" s="34" t="s">
        <v>19147</v>
      </c>
      <c r="D107" s="35"/>
      <c r="E107" s="34"/>
      <c r="F107" s="35"/>
      <c r="G107" s="34"/>
      <c r="H107" s="35"/>
      <c r="I107" s="34"/>
      <c r="J107" s="35"/>
      <c r="K107" s="34"/>
      <c r="L107" s="35"/>
      <c r="M107" s="34"/>
      <c r="N107" s="38" t="s">
        <v>19259</v>
      </c>
      <c r="O107" s="36"/>
      <c r="P107" s="36" t="s">
        <v>19379</v>
      </c>
      <c r="Q107" s="37"/>
    </row>
    <row r="108" ht="37.5" customHeight="1">
      <c r="A108" s="32" t="s">
        <v>18070</v>
      </c>
      <c r="B108" s="33">
        <v>1.0</v>
      </c>
      <c r="C108" s="34" t="s">
        <v>19352</v>
      </c>
      <c r="D108" s="35">
        <v>5.0</v>
      </c>
      <c r="E108" s="34" t="s">
        <v>19185</v>
      </c>
      <c r="F108" s="35"/>
      <c r="G108" s="34"/>
      <c r="H108" s="35"/>
      <c r="I108" s="34"/>
      <c r="J108" s="35"/>
      <c r="K108" s="34"/>
      <c r="L108" s="35"/>
      <c r="M108" s="34"/>
      <c r="N108" s="38" t="s">
        <v>19353</v>
      </c>
      <c r="O108" s="36"/>
      <c r="P108" s="32" t="s">
        <v>19379</v>
      </c>
      <c r="Q108" s="35"/>
    </row>
    <row r="109" ht="37.5" customHeight="1">
      <c r="A109" s="32" t="s">
        <v>18180</v>
      </c>
      <c r="B109" s="33">
        <v>5.0</v>
      </c>
      <c r="C109" s="34" t="s">
        <v>19188</v>
      </c>
      <c r="D109" s="35"/>
      <c r="E109" s="34"/>
      <c r="F109" s="35"/>
      <c r="G109" s="34"/>
      <c r="H109" s="35"/>
      <c r="I109" s="34"/>
      <c r="J109" s="35"/>
      <c r="K109" s="34"/>
      <c r="L109" s="35"/>
      <c r="M109" s="34"/>
      <c r="N109" s="5" t="s">
        <v>19190</v>
      </c>
      <c r="O109" s="36"/>
      <c r="P109" s="32" t="s">
        <v>19379</v>
      </c>
      <c r="Q109" s="35"/>
    </row>
    <row r="110" ht="37.5" customHeight="1">
      <c r="A110" s="32" t="s">
        <v>18183</v>
      </c>
      <c r="B110" s="33">
        <v>2.0</v>
      </c>
      <c r="C110" s="34" t="s">
        <v>19144</v>
      </c>
      <c r="D110" s="35"/>
      <c r="E110" s="34"/>
      <c r="F110" s="35"/>
      <c r="G110" s="34"/>
      <c r="H110" s="35"/>
      <c r="I110" s="34"/>
      <c r="J110" s="35"/>
      <c r="K110" s="34"/>
      <c r="L110" s="35"/>
      <c r="M110" s="34"/>
      <c r="N110" s="38" t="s">
        <v>19264</v>
      </c>
      <c r="O110" s="36"/>
      <c r="P110" s="36" t="s">
        <v>19379</v>
      </c>
      <c r="Q110" s="37"/>
    </row>
    <row r="111" ht="37.5" customHeight="1">
      <c r="A111" s="32" t="s">
        <v>18223</v>
      </c>
      <c r="B111" s="33">
        <v>10.0</v>
      </c>
      <c r="C111" s="34" t="s">
        <v>19122</v>
      </c>
      <c r="D111" s="35"/>
      <c r="E111" s="34"/>
      <c r="F111" s="35"/>
      <c r="G111" s="34"/>
      <c r="H111" s="35"/>
      <c r="I111" s="34"/>
      <c r="J111" s="35"/>
      <c r="K111" s="34"/>
      <c r="L111" s="35"/>
      <c r="M111" s="34"/>
      <c r="N111" s="5" t="s">
        <v>19232</v>
      </c>
      <c r="O111" s="36"/>
      <c r="P111" s="36" t="s">
        <v>19379</v>
      </c>
      <c r="Q111" s="37"/>
    </row>
    <row r="112" ht="37.5" customHeight="1">
      <c r="A112" s="32" t="s">
        <v>18493</v>
      </c>
      <c r="B112" s="33">
        <v>2.0</v>
      </c>
      <c r="C112" s="34" t="s">
        <v>19475</v>
      </c>
      <c r="D112" s="35">
        <v>2.0</v>
      </c>
      <c r="E112" s="34" t="s">
        <v>19476</v>
      </c>
      <c r="F112" s="35">
        <v>1.0</v>
      </c>
      <c r="G112" s="34" t="s">
        <v>19477</v>
      </c>
      <c r="H112" s="35"/>
      <c r="I112" s="34"/>
      <c r="J112" s="35"/>
      <c r="K112" s="34"/>
      <c r="L112" s="35"/>
      <c r="M112" s="34"/>
      <c r="N112" s="5" t="s">
        <v>19384</v>
      </c>
      <c r="O112" s="36"/>
      <c r="P112" s="36" t="s">
        <v>19379</v>
      </c>
      <c r="Q112" s="37"/>
    </row>
    <row r="113" ht="37.5" customHeight="1">
      <c r="A113" s="32" t="s">
        <v>18602</v>
      </c>
      <c r="B113" s="33">
        <v>2.0</v>
      </c>
      <c r="C113" s="34" t="s">
        <v>19148</v>
      </c>
      <c r="D113" s="35"/>
      <c r="E113" s="34"/>
      <c r="F113" s="35"/>
      <c r="G113" s="34"/>
      <c r="H113" s="35"/>
      <c r="I113" s="34"/>
      <c r="J113" s="35"/>
      <c r="K113" s="34"/>
      <c r="L113" s="35"/>
      <c r="M113" s="34"/>
      <c r="N113" s="38" t="s">
        <v>19269</v>
      </c>
      <c r="O113" s="36"/>
      <c r="P113" s="36" t="s">
        <v>19379</v>
      </c>
      <c r="Q113" s="37"/>
    </row>
    <row r="114" ht="37.5" customHeight="1">
      <c r="A114" s="32" t="s">
        <v>18630</v>
      </c>
      <c r="B114" s="33">
        <v>2.0</v>
      </c>
      <c r="C114" s="34" t="s">
        <v>19480</v>
      </c>
      <c r="D114" s="35">
        <v>2.0</v>
      </c>
      <c r="E114" s="34" t="s">
        <v>19481</v>
      </c>
      <c r="F114" s="35">
        <v>2.0</v>
      </c>
      <c r="G114" s="34" t="s">
        <v>19483</v>
      </c>
      <c r="H114" s="35"/>
      <c r="I114" s="34"/>
      <c r="J114" s="35"/>
      <c r="K114" s="34"/>
      <c r="L114" s="35"/>
      <c r="M114" s="34"/>
      <c r="N114" s="5" t="s">
        <v>19384</v>
      </c>
      <c r="O114" s="36"/>
      <c r="P114" s="32" t="s">
        <v>19379</v>
      </c>
      <c r="Q114" s="35"/>
    </row>
    <row r="115" ht="37.5" customHeight="1">
      <c r="A115" s="36" t="s">
        <v>18642</v>
      </c>
      <c r="B115" s="33">
        <v>2.0</v>
      </c>
      <c r="C115" s="34" t="s">
        <v>19146</v>
      </c>
      <c r="D115" s="35"/>
      <c r="E115" s="34"/>
      <c r="F115" s="35"/>
      <c r="G115" s="34"/>
      <c r="H115" s="35" t="s">
        <v>19274</v>
      </c>
      <c r="I115" s="34"/>
      <c r="J115" s="35" t="s">
        <v>19274</v>
      </c>
      <c r="K115" s="34"/>
      <c r="L115" s="35" t="s">
        <v>19274</v>
      </c>
      <c r="M115" s="34"/>
      <c r="N115" s="38" t="s">
        <v>19277</v>
      </c>
      <c r="O115" s="36"/>
      <c r="P115" s="36" t="s">
        <v>19379</v>
      </c>
      <c r="Q115" s="37"/>
    </row>
    <row r="116" ht="37.5" customHeight="1">
      <c r="A116" s="32" t="s">
        <v>30</v>
      </c>
      <c r="B116" s="33">
        <v>8.0</v>
      </c>
      <c r="C116" s="34" t="s">
        <v>19303</v>
      </c>
      <c r="D116" s="35">
        <v>3.0</v>
      </c>
      <c r="E116" s="34" t="s">
        <v>19234</v>
      </c>
      <c r="F116" s="35"/>
      <c r="G116" s="34"/>
      <c r="H116" s="35"/>
      <c r="I116" s="34"/>
      <c r="J116" s="35"/>
      <c r="K116" s="34"/>
      <c r="L116" s="35"/>
      <c r="M116" s="34"/>
      <c r="N116" s="5" t="s">
        <v>19232</v>
      </c>
      <c r="O116" s="36"/>
      <c r="P116" s="36" t="s">
        <v>19486</v>
      </c>
      <c r="Q116" s="37"/>
    </row>
    <row r="117" ht="37.5" customHeight="1">
      <c r="A117" s="32" t="s">
        <v>167</v>
      </c>
      <c r="B117" s="33">
        <v>2.0</v>
      </c>
      <c r="C117" s="34" t="s">
        <v>19166</v>
      </c>
      <c r="D117" s="35">
        <v>3.0</v>
      </c>
      <c r="E117" s="34" t="s">
        <v>19303</v>
      </c>
      <c r="F117" s="35"/>
      <c r="G117" s="34"/>
      <c r="H117" s="35"/>
      <c r="I117" s="34"/>
      <c r="J117" s="35"/>
      <c r="K117" s="34"/>
      <c r="L117" s="35"/>
      <c r="M117" s="34"/>
      <c r="N117" s="5" t="s">
        <v>19243</v>
      </c>
      <c r="O117" s="36"/>
      <c r="P117" s="36" t="s">
        <v>19486</v>
      </c>
      <c r="Q117" s="37"/>
    </row>
    <row r="118" ht="37.5" customHeight="1">
      <c r="A118" s="32" t="s">
        <v>335</v>
      </c>
      <c r="B118" s="33">
        <v>10.0</v>
      </c>
      <c r="C118" s="34" t="s">
        <v>339</v>
      </c>
      <c r="D118" s="35">
        <v>4.0</v>
      </c>
      <c r="E118" s="34" t="s">
        <v>19164</v>
      </c>
      <c r="F118" s="35"/>
      <c r="G118" s="34"/>
      <c r="H118" s="35"/>
      <c r="I118" s="34"/>
      <c r="J118" s="35"/>
      <c r="K118" s="34"/>
      <c r="L118" s="35"/>
      <c r="M118" s="34"/>
      <c r="N118" s="5" t="s">
        <v>19205</v>
      </c>
      <c r="O118" s="36"/>
      <c r="P118" s="36" t="s">
        <v>19486</v>
      </c>
      <c r="Q118" s="37"/>
    </row>
    <row r="119" ht="37.5" customHeight="1">
      <c r="A119" s="32" t="s">
        <v>346</v>
      </c>
      <c r="B119" s="33">
        <v>3.0</v>
      </c>
      <c r="C119" s="34" t="s">
        <v>19188</v>
      </c>
      <c r="D119" s="35">
        <v>2.0</v>
      </c>
      <c r="E119" s="34" t="s">
        <v>19490</v>
      </c>
      <c r="F119" s="37">
        <v>2.0</v>
      </c>
      <c r="G119" s="34" t="s">
        <v>19229</v>
      </c>
      <c r="H119" s="35">
        <v>5.0</v>
      </c>
      <c r="I119" s="34" t="s">
        <v>12762</v>
      </c>
      <c r="J119" s="35"/>
      <c r="K119" s="34"/>
      <c r="L119" s="35"/>
      <c r="M119" s="34"/>
      <c r="N119" s="5" t="s">
        <v>19190</v>
      </c>
      <c r="O119" s="36"/>
      <c r="P119" s="36" t="s">
        <v>19486</v>
      </c>
      <c r="Q119" s="37"/>
    </row>
    <row r="120" ht="37.5" customHeight="1">
      <c r="A120" s="32" t="s">
        <v>384</v>
      </c>
      <c r="B120" s="33">
        <v>3.0</v>
      </c>
      <c r="C120" s="34" t="s">
        <v>19188</v>
      </c>
      <c r="D120" s="37">
        <v>2.0</v>
      </c>
      <c r="E120" s="34" t="s">
        <v>19491</v>
      </c>
      <c r="F120" s="35">
        <v>1.0</v>
      </c>
      <c r="G120" s="34" t="s">
        <v>19229</v>
      </c>
      <c r="H120" s="35">
        <v>5.0</v>
      </c>
      <c r="I120" s="34" t="s">
        <v>12762</v>
      </c>
      <c r="J120" s="35"/>
      <c r="K120" s="34"/>
      <c r="L120" s="35"/>
      <c r="M120" s="34"/>
      <c r="N120" s="5" t="s">
        <v>19190</v>
      </c>
      <c r="O120" s="36"/>
      <c r="P120" s="36" t="s">
        <v>19486</v>
      </c>
      <c r="Q120" s="37"/>
    </row>
    <row r="121" ht="37.5" customHeight="1">
      <c r="A121" s="36" t="s">
        <v>399</v>
      </c>
      <c r="B121" s="33">
        <v>5.0</v>
      </c>
      <c r="C121" s="34" t="s">
        <v>19188</v>
      </c>
      <c r="D121" s="35">
        <v>10.0</v>
      </c>
      <c r="E121" s="34" t="s">
        <v>12762</v>
      </c>
      <c r="F121" s="35"/>
      <c r="G121" s="34"/>
      <c r="H121" s="35"/>
      <c r="I121" s="34"/>
      <c r="J121" s="35"/>
      <c r="K121" s="34"/>
      <c r="L121" s="35"/>
      <c r="M121" s="34"/>
      <c r="N121" s="5" t="s">
        <v>19190</v>
      </c>
      <c r="O121" s="36"/>
      <c r="P121" s="36" t="s">
        <v>19486</v>
      </c>
      <c r="Q121" s="37"/>
    </row>
    <row r="122" ht="37.5" customHeight="1">
      <c r="A122" s="32" t="s">
        <v>406</v>
      </c>
      <c r="B122" s="33">
        <v>5.0</v>
      </c>
      <c r="C122" s="34" t="s">
        <v>19188</v>
      </c>
      <c r="D122" s="35">
        <v>5.0</v>
      </c>
      <c r="E122" s="34" t="s">
        <v>19234</v>
      </c>
      <c r="F122" s="35"/>
      <c r="G122" s="34"/>
      <c r="H122" s="35"/>
      <c r="I122" s="34"/>
      <c r="J122" s="35"/>
      <c r="K122" s="34"/>
      <c r="L122" s="35"/>
      <c r="M122" s="34"/>
      <c r="N122" s="5" t="s">
        <v>19190</v>
      </c>
      <c r="O122" s="36"/>
      <c r="P122" s="36" t="s">
        <v>19486</v>
      </c>
      <c r="Q122" s="37"/>
    </row>
    <row r="123" ht="37.5" customHeight="1">
      <c r="A123" s="32" t="s">
        <v>642</v>
      </c>
      <c r="B123" s="33">
        <v>7.0</v>
      </c>
      <c r="C123" s="34" t="s">
        <v>19280</v>
      </c>
      <c r="D123" s="35"/>
      <c r="E123" s="34"/>
      <c r="F123" s="35"/>
      <c r="G123" s="34"/>
      <c r="H123" s="35"/>
      <c r="I123" s="34"/>
      <c r="J123" s="35"/>
      <c r="K123" s="34"/>
      <c r="L123" s="35"/>
      <c r="M123" s="34"/>
      <c r="N123" s="5" t="s">
        <v>19361</v>
      </c>
      <c r="O123" s="36"/>
      <c r="P123" s="36" t="s">
        <v>19486</v>
      </c>
      <c r="Q123" s="37"/>
    </row>
    <row r="124" ht="37.5" customHeight="1">
      <c r="A124" s="32" t="s">
        <v>667</v>
      </c>
      <c r="B124" s="33">
        <v>8.0</v>
      </c>
      <c r="C124" s="34" t="s">
        <v>19280</v>
      </c>
      <c r="D124" s="35"/>
      <c r="E124" s="34"/>
      <c r="F124" s="35"/>
      <c r="G124" s="34"/>
      <c r="H124" s="35"/>
      <c r="I124" s="34"/>
      <c r="J124" s="35"/>
      <c r="K124" s="34"/>
      <c r="L124" s="35"/>
      <c r="M124" s="34"/>
      <c r="N124" s="5" t="s">
        <v>19161</v>
      </c>
      <c r="O124" s="36"/>
      <c r="P124" s="36" t="s">
        <v>19486</v>
      </c>
      <c r="Q124" s="37"/>
    </row>
    <row r="125" ht="37.5" customHeight="1">
      <c r="A125" s="32" t="s">
        <v>682</v>
      </c>
      <c r="B125" s="33">
        <v>6.0</v>
      </c>
      <c r="C125" s="34" t="s">
        <v>19138</v>
      </c>
      <c r="D125" s="35"/>
      <c r="E125" s="34"/>
      <c r="F125" s="35"/>
      <c r="G125" s="34"/>
      <c r="H125" s="35"/>
      <c r="I125" s="34"/>
      <c r="J125" s="35"/>
      <c r="K125" s="34"/>
      <c r="L125" s="35"/>
      <c r="M125" s="34"/>
      <c r="N125" s="5" t="s">
        <v>19139</v>
      </c>
      <c r="O125" s="36"/>
      <c r="P125" s="36" t="s">
        <v>19486</v>
      </c>
      <c r="Q125" s="37"/>
    </row>
    <row r="126" ht="37.5" customHeight="1">
      <c r="A126" s="32" t="s">
        <v>686</v>
      </c>
      <c r="B126" s="33">
        <v>8.0</v>
      </c>
      <c r="C126" s="34" t="s">
        <v>19280</v>
      </c>
      <c r="D126" s="35"/>
      <c r="E126" s="34"/>
      <c r="F126" s="35"/>
      <c r="G126" s="34"/>
      <c r="H126" s="35"/>
      <c r="I126" s="34"/>
      <c r="J126" s="35"/>
      <c r="K126" s="34"/>
      <c r="L126" s="35"/>
      <c r="M126" s="34"/>
      <c r="N126" s="5" t="s">
        <v>19161</v>
      </c>
      <c r="O126" s="36"/>
      <c r="P126" s="36" t="s">
        <v>19486</v>
      </c>
      <c r="Q126" s="37"/>
    </row>
    <row r="127" ht="37.5" customHeight="1">
      <c r="A127" s="32" t="s">
        <v>702</v>
      </c>
      <c r="B127" s="33">
        <v>7.0</v>
      </c>
      <c r="C127" s="34" t="s">
        <v>19138</v>
      </c>
      <c r="D127" s="35">
        <v>3.0</v>
      </c>
      <c r="E127" s="34" t="s">
        <v>19164</v>
      </c>
      <c r="F127" s="35"/>
      <c r="G127" s="34"/>
      <c r="H127" s="35"/>
      <c r="I127" s="34"/>
      <c r="J127" s="35"/>
      <c r="K127" s="34"/>
      <c r="L127" s="35"/>
      <c r="M127" s="34"/>
      <c r="N127" s="5" t="s">
        <v>19139</v>
      </c>
      <c r="O127" s="36"/>
      <c r="P127" s="36" t="s">
        <v>19486</v>
      </c>
      <c r="Q127" s="37"/>
    </row>
    <row r="128" ht="37.5" customHeight="1">
      <c r="A128" s="32" t="s">
        <v>710</v>
      </c>
      <c r="B128" s="33">
        <v>7.0</v>
      </c>
      <c r="C128" s="34" t="s">
        <v>19280</v>
      </c>
      <c r="D128" s="35">
        <v>6.0</v>
      </c>
      <c r="E128" s="34" t="s">
        <v>12762</v>
      </c>
      <c r="F128" s="35"/>
      <c r="G128" s="34"/>
      <c r="H128" s="35"/>
      <c r="I128" s="34"/>
      <c r="J128" s="35"/>
      <c r="K128" s="34"/>
      <c r="L128" s="35"/>
      <c r="M128" s="34"/>
      <c r="N128" s="5" t="s">
        <v>19238</v>
      </c>
      <c r="O128" s="36"/>
      <c r="P128" s="36" t="s">
        <v>19486</v>
      </c>
      <c r="Q128" s="37"/>
    </row>
    <row r="129" ht="37.5" customHeight="1">
      <c r="A129" s="32" t="s">
        <v>725</v>
      </c>
      <c r="B129" s="33">
        <v>15.0</v>
      </c>
      <c r="C129" s="34" t="s">
        <v>19280</v>
      </c>
      <c r="D129" s="35"/>
      <c r="E129" s="34"/>
      <c r="F129" s="35"/>
      <c r="G129" s="34"/>
      <c r="H129" s="35"/>
      <c r="I129" s="34"/>
      <c r="J129" s="35"/>
      <c r="K129" s="34"/>
      <c r="L129" s="35"/>
      <c r="M129" s="34"/>
      <c r="N129" s="5" t="s">
        <v>19361</v>
      </c>
      <c r="O129" s="36"/>
      <c r="P129" s="36" t="s">
        <v>19486</v>
      </c>
      <c r="Q129" s="37"/>
    </row>
    <row r="130" ht="37.5" customHeight="1">
      <c r="A130" s="32" t="s">
        <v>741</v>
      </c>
      <c r="B130" s="33">
        <v>3.0</v>
      </c>
      <c r="C130" s="34" t="s">
        <v>19280</v>
      </c>
      <c r="D130" s="35">
        <v>1.0</v>
      </c>
      <c r="E130" s="34" t="s">
        <v>19234</v>
      </c>
      <c r="F130" s="35"/>
      <c r="G130" s="34"/>
      <c r="H130" s="35"/>
      <c r="I130" s="34"/>
      <c r="J130" s="35"/>
      <c r="K130" s="34"/>
      <c r="L130" s="35"/>
      <c r="M130" s="34"/>
      <c r="N130" s="5" t="s">
        <v>19361</v>
      </c>
      <c r="O130" s="36"/>
      <c r="P130" s="36" t="s">
        <v>19486</v>
      </c>
      <c r="Q130" s="37"/>
    </row>
    <row r="131" ht="37.5" customHeight="1">
      <c r="A131" s="32" t="s">
        <v>759</v>
      </c>
      <c r="B131" s="33">
        <v>5.0</v>
      </c>
      <c r="C131" s="34" t="s">
        <v>19280</v>
      </c>
      <c r="D131" s="35"/>
      <c r="E131" s="34"/>
      <c r="F131" s="35"/>
      <c r="G131" s="34"/>
      <c r="H131" s="35"/>
      <c r="I131" s="34"/>
      <c r="J131" s="35"/>
      <c r="K131" s="34"/>
      <c r="L131" s="35"/>
      <c r="M131" s="34"/>
      <c r="N131" s="5" t="s">
        <v>19361</v>
      </c>
      <c r="O131" s="36"/>
      <c r="P131" s="36" t="s">
        <v>19486</v>
      </c>
      <c r="Q131" s="37"/>
    </row>
    <row r="132" ht="37.5" customHeight="1">
      <c r="A132" s="32" t="s">
        <v>771</v>
      </c>
      <c r="B132" s="33">
        <v>3.0</v>
      </c>
      <c r="C132" s="34" t="s">
        <v>19280</v>
      </c>
      <c r="D132" s="35"/>
      <c r="E132" s="34"/>
      <c r="F132" s="35"/>
      <c r="G132" s="34"/>
      <c r="H132" s="35"/>
      <c r="I132" s="34"/>
      <c r="J132" s="35"/>
      <c r="K132" s="34"/>
      <c r="L132" s="35"/>
      <c r="M132" s="34"/>
      <c r="N132" s="5" t="s">
        <v>19128</v>
      </c>
      <c r="O132" s="36"/>
      <c r="P132" s="36" t="s">
        <v>19486</v>
      </c>
      <c r="Q132" s="37"/>
    </row>
    <row r="133" ht="37.5" customHeight="1">
      <c r="A133" s="32" t="s">
        <v>804</v>
      </c>
      <c r="B133" s="33">
        <v>10.0</v>
      </c>
      <c r="C133" s="34" t="s">
        <v>19234</v>
      </c>
      <c r="D133" s="35"/>
      <c r="E133" s="34"/>
      <c r="F133" s="35"/>
      <c r="G133" s="34"/>
      <c r="H133" s="35"/>
      <c r="I133" s="34"/>
      <c r="J133" s="35"/>
      <c r="K133" s="34"/>
      <c r="L133" s="35"/>
      <c r="M133" s="34"/>
      <c r="N133" s="5" t="s">
        <v>19128</v>
      </c>
      <c r="O133" s="36"/>
      <c r="P133" s="36" t="s">
        <v>19486</v>
      </c>
      <c r="Q133" s="37"/>
    </row>
    <row r="134" ht="37.5" customHeight="1">
      <c r="A134" s="32" t="s">
        <v>823</v>
      </c>
      <c r="B134" s="33">
        <v>5.0</v>
      </c>
      <c r="C134" s="34" t="s">
        <v>19164</v>
      </c>
      <c r="D134" s="35">
        <v>2.0</v>
      </c>
      <c r="E134" s="34" t="s">
        <v>19234</v>
      </c>
      <c r="F134" s="35"/>
      <c r="G134" s="34"/>
      <c r="H134" s="35"/>
      <c r="I134" s="34"/>
      <c r="J134" s="35"/>
      <c r="K134" s="34"/>
      <c r="L134" s="35"/>
      <c r="M134" s="34"/>
      <c r="N134" s="50" t="s">
        <v>19505</v>
      </c>
      <c r="O134" s="36"/>
      <c r="P134" s="36" t="s">
        <v>19486</v>
      </c>
      <c r="Q134" s="37"/>
    </row>
    <row r="135" ht="37.5" customHeight="1">
      <c r="A135" s="32" t="s">
        <v>939</v>
      </c>
      <c r="B135" s="33">
        <v>3.0</v>
      </c>
      <c r="C135" s="34" t="s">
        <v>19349</v>
      </c>
      <c r="D135" s="35">
        <v>5.0</v>
      </c>
      <c r="E135" s="34" t="s">
        <v>19164</v>
      </c>
      <c r="F135" s="35"/>
      <c r="G135" s="34"/>
      <c r="H135" s="35"/>
      <c r="I135" s="34"/>
      <c r="J135" s="35"/>
      <c r="K135" s="34"/>
      <c r="L135" s="35"/>
      <c r="M135" s="34"/>
      <c r="N135" s="5" t="s">
        <v>19128</v>
      </c>
      <c r="O135" s="36"/>
      <c r="P135" s="36" t="s">
        <v>19486</v>
      </c>
      <c r="Q135" s="37"/>
    </row>
    <row r="136" ht="37.5" customHeight="1">
      <c r="A136" s="32" t="s">
        <v>965</v>
      </c>
      <c r="B136" s="33">
        <v>6.0</v>
      </c>
      <c r="C136" s="34" t="s">
        <v>19510</v>
      </c>
      <c r="D136" s="35">
        <v>6.0</v>
      </c>
      <c r="E136" s="34" t="s">
        <v>19511</v>
      </c>
      <c r="F136" s="35">
        <v>4.0</v>
      </c>
      <c r="G136" s="34" t="s">
        <v>19512</v>
      </c>
      <c r="H136" s="35">
        <v>5.0</v>
      </c>
      <c r="I136" s="34" t="s">
        <v>19164</v>
      </c>
      <c r="J136" s="35">
        <v>5.0</v>
      </c>
      <c r="K136" s="34" t="s">
        <v>19289</v>
      </c>
      <c r="L136" s="35"/>
      <c r="M136" s="34"/>
      <c r="N136" s="5" t="s">
        <v>19513</v>
      </c>
      <c r="O136" s="36"/>
      <c r="P136" s="36" t="s">
        <v>19486</v>
      </c>
      <c r="Q136" s="37"/>
    </row>
    <row r="137" ht="37.5" customHeight="1">
      <c r="A137" s="32" t="s">
        <v>1007</v>
      </c>
      <c r="B137" s="33">
        <v>6.0</v>
      </c>
      <c r="C137" s="34" t="s">
        <v>12762</v>
      </c>
      <c r="D137" s="35"/>
      <c r="E137" s="34"/>
      <c r="F137" s="35"/>
      <c r="G137" s="34"/>
      <c r="H137" s="35"/>
      <c r="I137" s="34"/>
      <c r="J137" s="35"/>
      <c r="K137" s="34"/>
      <c r="L137" s="35"/>
      <c r="M137" s="34"/>
      <c r="N137" s="50" t="s">
        <v>19516</v>
      </c>
      <c r="O137" s="36"/>
      <c r="P137" s="36" t="s">
        <v>19486</v>
      </c>
      <c r="Q137" s="37"/>
    </row>
    <row r="138" ht="37.5" customHeight="1">
      <c r="A138" s="32" t="s">
        <v>1025</v>
      </c>
      <c r="B138" s="33">
        <v>8.0</v>
      </c>
      <c r="C138" s="34" t="s">
        <v>19164</v>
      </c>
      <c r="D138" s="35"/>
      <c r="E138" s="34"/>
      <c r="F138" s="35"/>
      <c r="G138" s="34"/>
      <c r="H138" s="35"/>
      <c r="I138" s="34"/>
      <c r="J138" s="35"/>
      <c r="K138" s="34"/>
      <c r="L138" s="35"/>
      <c r="M138" s="34"/>
      <c r="N138" s="5" t="s">
        <v>19205</v>
      </c>
      <c r="O138" s="36"/>
      <c r="P138" s="36" t="s">
        <v>19486</v>
      </c>
      <c r="Q138" s="37"/>
    </row>
    <row r="139" ht="37.5" customHeight="1">
      <c r="A139" s="32" t="s">
        <v>1050</v>
      </c>
      <c r="B139" s="33">
        <v>2.0</v>
      </c>
      <c r="C139" s="34" t="s">
        <v>19164</v>
      </c>
      <c r="D139" s="35">
        <v>5.0</v>
      </c>
      <c r="E139" s="34" t="s">
        <v>19303</v>
      </c>
      <c r="F139" s="35"/>
      <c r="G139" s="34"/>
      <c r="H139" s="35"/>
      <c r="I139" s="34"/>
      <c r="J139" s="35"/>
      <c r="K139" s="34"/>
      <c r="L139" s="35"/>
      <c r="M139" s="34"/>
      <c r="N139" s="50" t="s">
        <v>19518</v>
      </c>
      <c r="O139" s="36"/>
      <c r="P139" s="36" t="s">
        <v>19486</v>
      </c>
      <c r="Q139" s="37"/>
    </row>
    <row r="140" ht="37.5" customHeight="1">
      <c r="A140" s="32" t="s">
        <v>1131</v>
      </c>
      <c r="B140" s="33">
        <v>6.0</v>
      </c>
      <c r="C140" s="34" t="s">
        <v>19153</v>
      </c>
      <c r="D140" s="35"/>
      <c r="E140" s="34"/>
      <c r="F140" s="35"/>
      <c r="G140" s="34"/>
      <c r="H140" s="35"/>
      <c r="I140" s="34"/>
      <c r="J140" s="35"/>
      <c r="K140" s="34"/>
      <c r="L140" s="35"/>
      <c r="M140" s="34"/>
      <c r="N140" s="5" t="s">
        <v>19157</v>
      </c>
      <c r="O140" s="36"/>
      <c r="P140" s="36" t="s">
        <v>19486</v>
      </c>
      <c r="Q140" s="37"/>
    </row>
    <row r="141" ht="37.5" customHeight="1">
      <c r="A141" s="32" t="s">
        <v>1161</v>
      </c>
      <c r="B141" s="33">
        <v>1.0</v>
      </c>
      <c r="C141" s="34" t="s">
        <v>1467</v>
      </c>
      <c r="D141" s="35">
        <v>10.0</v>
      </c>
      <c r="E141" s="34" t="s">
        <v>19164</v>
      </c>
      <c r="F141" s="35"/>
      <c r="G141" s="34"/>
      <c r="H141" s="35"/>
      <c r="I141" s="34"/>
      <c r="J141" s="35"/>
      <c r="K141" s="34"/>
      <c r="L141" s="35"/>
      <c r="M141" s="34"/>
      <c r="N141" s="50" t="s">
        <v>19520</v>
      </c>
      <c r="O141" s="36"/>
      <c r="P141" s="36" t="s">
        <v>19486</v>
      </c>
      <c r="Q141" s="37"/>
    </row>
    <row r="142" ht="37.5" customHeight="1">
      <c r="A142" s="32" t="s">
        <v>1166</v>
      </c>
      <c r="B142" s="33">
        <v>1.0</v>
      </c>
      <c r="C142" s="34" t="s">
        <v>973</v>
      </c>
      <c r="D142" s="35">
        <v>1.0</v>
      </c>
      <c r="E142" s="34" t="s">
        <v>4198</v>
      </c>
      <c r="F142" s="35">
        <v>8.0</v>
      </c>
      <c r="G142" s="34" t="s">
        <v>19164</v>
      </c>
      <c r="H142" s="35"/>
      <c r="I142" s="34"/>
      <c r="J142" s="35"/>
      <c r="K142" s="34"/>
      <c r="L142" s="35"/>
      <c r="M142" s="34"/>
      <c r="N142" s="5" t="s">
        <v>19238</v>
      </c>
      <c r="O142" s="36"/>
      <c r="P142" s="36" t="s">
        <v>19486</v>
      </c>
      <c r="Q142" s="37"/>
    </row>
    <row r="143" ht="37.5" customHeight="1">
      <c r="A143" s="32" t="s">
        <v>1239</v>
      </c>
      <c r="B143" s="33">
        <v>8.0</v>
      </c>
      <c r="C143" s="34" t="s">
        <v>19289</v>
      </c>
      <c r="D143" s="35">
        <v>2.0</v>
      </c>
      <c r="E143" s="34" t="s">
        <v>19234</v>
      </c>
      <c r="F143" s="35">
        <v>6.0</v>
      </c>
      <c r="G143" s="34" t="s">
        <v>19164</v>
      </c>
      <c r="H143" s="35"/>
      <c r="I143" s="34"/>
      <c r="J143" s="35"/>
      <c r="K143" s="34"/>
      <c r="L143" s="35"/>
      <c r="M143" s="34"/>
      <c r="N143" s="5" t="s">
        <v>59</v>
      </c>
      <c r="O143" s="36"/>
      <c r="P143" s="36" t="s">
        <v>19486</v>
      </c>
      <c r="Q143" s="37"/>
    </row>
    <row r="144" ht="37.5" customHeight="1">
      <c r="A144" s="32" t="s">
        <v>1256</v>
      </c>
      <c r="B144" s="33">
        <v>8.0</v>
      </c>
      <c r="C144" s="34" t="s">
        <v>19289</v>
      </c>
      <c r="D144" s="35">
        <v>5.0</v>
      </c>
      <c r="E144" s="34" t="s">
        <v>19164</v>
      </c>
      <c r="F144" s="35">
        <v>1.0</v>
      </c>
      <c r="G144" s="34" t="s">
        <v>8148</v>
      </c>
      <c r="H144" s="35"/>
      <c r="I144" s="34"/>
      <c r="J144" s="35"/>
      <c r="K144" s="34"/>
      <c r="L144" s="35"/>
      <c r="M144" s="34"/>
      <c r="N144" s="5" t="s">
        <v>5290</v>
      </c>
      <c r="O144" s="36"/>
      <c r="P144" s="36" t="s">
        <v>19486</v>
      </c>
      <c r="Q144" s="37"/>
    </row>
    <row r="145" ht="37.5" customHeight="1">
      <c r="A145" s="32" t="s">
        <v>1406</v>
      </c>
      <c r="B145" s="33">
        <v>2.0</v>
      </c>
      <c r="C145" s="34" t="s">
        <v>19142</v>
      </c>
      <c r="D145" s="35">
        <v>2.0</v>
      </c>
      <c r="E145" s="34" t="s">
        <v>19144</v>
      </c>
      <c r="F145" s="35">
        <v>2.0</v>
      </c>
      <c r="G145" s="34" t="s">
        <v>19145</v>
      </c>
      <c r="H145" s="35">
        <v>2.0</v>
      </c>
      <c r="I145" s="34" t="s">
        <v>19146</v>
      </c>
      <c r="J145" s="35">
        <v>2.0</v>
      </c>
      <c r="K145" s="34" t="s">
        <v>19147</v>
      </c>
      <c r="L145" s="35">
        <v>2.0</v>
      </c>
      <c r="M145" s="34" t="s">
        <v>19148</v>
      </c>
      <c r="N145" s="38" t="s">
        <v>19525</v>
      </c>
      <c r="O145" s="36"/>
      <c r="P145" s="36" t="s">
        <v>19486</v>
      </c>
      <c r="Q145" s="37"/>
    </row>
    <row r="146" ht="37.5" customHeight="1">
      <c r="A146" s="36" t="s">
        <v>1413</v>
      </c>
      <c r="B146" s="33">
        <v>1.0</v>
      </c>
      <c r="C146" s="34" t="s">
        <v>19142</v>
      </c>
      <c r="D146" s="35">
        <v>1.0</v>
      </c>
      <c r="E146" s="34" t="s">
        <v>19144</v>
      </c>
      <c r="F146" s="35">
        <v>1.0</v>
      </c>
      <c r="G146" s="34" t="s">
        <v>19145</v>
      </c>
      <c r="H146" s="35">
        <v>1.0</v>
      </c>
      <c r="I146" s="34" t="s">
        <v>19146</v>
      </c>
      <c r="J146" s="35">
        <v>1.0</v>
      </c>
      <c r="K146" s="34" t="s">
        <v>19147</v>
      </c>
      <c r="L146" s="35">
        <v>1.0</v>
      </c>
      <c r="M146" s="34" t="s">
        <v>19148</v>
      </c>
      <c r="N146" s="38" t="s">
        <v>19294</v>
      </c>
      <c r="O146" s="36"/>
      <c r="P146" s="36" t="s">
        <v>19486</v>
      </c>
      <c r="Q146" s="37"/>
    </row>
    <row r="147" ht="37.5" customHeight="1">
      <c r="A147" s="32" t="s">
        <v>1422</v>
      </c>
      <c r="B147" s="33">
        <v>1.0</v>
      </c>
      <c r="C147" s="34" t="s">
        <v>19144</v>
      </c>
      <c r="D147" s="35">
        <v>1.0</v>
      </c>
      <c r="E147" s="34" t="s">
        <v>19146</v>
      </c>
      <c r="F147" s="35">
        <v>1.0</v>
      </c>
      <c r="G147" s="34" t="s">
        <v>19148</v>
      </c>
      <c r="H147" s="35"/>
      <c r="I147" s="34"/>
      <c r="J147" s="35"/>
      <c r="K147" s="34"/>
      <c r="L147" s="35"/>
      <c r="M147" s="34"/>
      <c r="N147" s="38" t="s">
        <v>19294</v>
      </c>
      <c r="O147" s="36"/>
      <c r="P147" s="36" t="s">
        <v>19486</v>
      </c>
      <c r="Q147" s="37"/>
    </row>
    <row r="148" ht="37.5" customHeight="1">
      <c r="A148" s="36" t="s">
        <v>1427</v>
      </c>
      <c r="B148" s="33">
        <v>1.0</v>
      </c>
      <c r="C148" s="34" t="s">
        <v>19142</v>
      </c>
      <c r="D148" s="35">
        <v>1.0</v>
      </c>
      <c r="E148" s="34" t="s">
        <v>19145</v>
      </c>
      <c r="F148" s="35">
        <v>1.0</v>
      </c>
      <c r="G148" s="34" t="s">
        <v>19147</v>
      </c>
      <c r="H148" s="35"/>
      <c r="I148" s="34"/>
      <c r="J148" s="35"/>
      <c r="K148" s="34"/>
      <c r="L148" s="35"/>
      <c r="M148" s="34"/>
      <c r="N148" s="38" t="s">
        <v>19294</v>
      </c>
      <c r="O148" s="36"/>
      <c r="P148" s="36" t="s">
        <v>19486</v>
      </c>
      <c r="Q148" s="37"/>
    </row>
    <row r="149" ht="37.5" customHeight="1">
      <c r="A149" s="36" t="s">
        <v>1432</v>
      </c>
      <c r="B149" s="33">
        <v>3.0</v>
      </c>
      <c r="C149" s="34" t="s">
        <v>19148</v>
      </c>
      <c r="D149" s="35"/>
      <c r="E149" s="34"/>
      <c r="F149" s="35"/>
      <c r="G149" s="34"/>
      <c r="H149" s="35"/>
      <c r="I149" s="34"/>
      <c r="J149" s="35"/>
      <c r="K149" s="34"/>
      <c r="L149" s="35"/>
      <c r="M149" s="34"/>
      <c r="N149" s="38" t="s">
        <v>19294</v>
      </c>
      <c r="O149" s="36"/>
      <c r="P149" s="36" t="s">
        <v>19486</v>
      </c>
      <c r="Q149" s="37"/>
    </row>
    <row r="150" ht="37.5" customHeight="1">
      <c r="A150" s="32" t="s">
        <v>1436</v>
      </c>
      <c r="B150" s="33">
        <v>4.0</v>
      </c>
      <c r="C150" s="34" t="s">
        <v>19142</v>
      </c>
      <c r="D150" s="35"/>
      <c r="E150" s="34"/>
      <c r="F150" s="35"/>
      <c r="G150" s="34"/>
      <c r="H150" s="35"/>
      <c r="I150" s="34"/>
      <c r="J150" s="35"/>
      <c r="K150" s="34"/>
      <c r="L150" s="35"/>
      <c r="M150" s="34"/>
      <c r="N150" s="38" t="s">
        <v>19294</v>
      </c>
      <c r="O150" s="36"/>
      <c r="P150" s="36" t="s">
        <v>19486</v>
      </c>
      <c r="Q150" s="37"/>
    </row>
    <row r="151" ht="37.5" customHeight="1">
      <c r="A151" s="36" t="s">
        <v>1441</v>
      </c>
      <c r="B151" s="33">
        <v>4.0</v>
      </c>
      <c r="C151" s="34" t="s">
        <v>19145</v>
      </c>
      <c r="D151" s="35"/>
      <c r="E151" s="34"/>
      <c r="F151" s="35"/>
      <c r="G151" s="34"/>
      <c r="H151" s="35"/>
      <c r="I151" s="34"/>
      <c r="J151" s="35"/>
      <c r="K151" s="34"/>
      <c r="L151" s="35"/>
      <c r="M151" s="34"/>
      <c r="N151" s="38" t="s">
        <v>19294</v>
      </c>
      <c r="O151" s="36"/>
      <c r="P151" s="36" t="s">
        <v>19486</v>
      </c>
      <c r="Q151" s="37"/>
    </row>
    <row r="152" ht="37.5" customHeight="1">
      <c r="A152" s="32" t="s">
        <v>1447</v>
      </c>
      <c r="B152" s="33">
        <v>4.0</v>
      </c>
      <c r="C152" s="34" t="s">
        <v>19144</v>
      </c>
      <c r="D152" s="35"/>
      <c r="E152" s="34"/>
      <c r="F152" s="35"/>
      <c r="G152" s="34"/>
      <c r="H152" s="35"/>
      <c r="I152" s="34"/>
      <c r="J152" s="35"/>
      <c r="K152" s="34"/>
      <c r="L152" s="35"/>
      <c r="M152" s="34"/>
      <c r="N152" s="38" t="s">
        <v>19294</v>
      </c>
      <c r="O152" s="36"/>
      <c r="P152" s="36" t="s">
        <v>19486</v>
      </c>
      <c r="Q152" s="37"/>
    </row>
    <row r="153" ht="37.5" customHeight="1">
      <c r="A153" s="32" t="s">
        <v>1454</v>
      </c>
      <c r="B153" s="33">
        <v>4.0</v>
      </c>
      <c r="C153" s="34" t="s">
        <v>19164</v>
      </c>
      <c r="D153" s="35">
        <v>2.0</v>
      </c>
      <c r="E153" s="34" t="s">
        <v>19234</v>
      </c>
      <c r="F153" s="35"/>
      <c r="G153" s="34"/>
      <c r="H153" s="35"/>
      <c r="I153" s="34"/>
      <c r="J153" s="35"/>
      <c r="K153" s="34"/>
      <c r="L153" s="35"/>
      <c r="M153" s="34"/>
      <c r="N153" s="5" t="s">
        <v>19361</v>
      </c>
      <c r="O153" s="36"/>
      <c r="P153" s="36" t="s">
        <v>19486</v>
      </c>
      <c r="Q153" s="37"/>
    </row>
    <row r="154" ht="37.5" customHeight="1">
      <c r="A154" s="32" t="s">
        <v>1467</v>
      </c>
      <c r="B154" s="33">
        <v>3.0</v>
      </c>
      <c r="C154" s="34" t="s">
        <v>19534</v>
      </c>
      <c r="D154" s="35"/>
      <c r="E154" s="34"/>
      <c r="F154" s="35"/>
      <c r="G154" s="34"/>
      <c r="H154" s="35"/>
      <c r="I154" s="34"/>
      <c r="J154" s="35"/>
      <c r="K154" s="34"/>
      <c r="L154" s="35"/>
      <c r="M154" s="34"/>
      <c r="N154" s="5" t="s">
        <v>19537</v>
      </c>
      <c r="O154" s="36"/>
      <c r="P154" s="36" t="s">
        <v>19486</v>
      </c>
      <c r="Q154" s="37"/>
    </row>
    <row r="155" ht="37.5" customHeight="1">
      <c r="A155" s="32" t="s">
        <v>1517</v>
      </c>
      <c r="B155" s="33">
        <v>3.0</v>
      </c>
      <c r="C155" s="34" t="s">
        <v>19188</v>
      </c>
      <c r="D155" s="35">
        <v>2.0</v>
      </c>
      <c r="E155" s="34" t="s">
        <v>19538</v>
      </c>
      <c r="F155" s="35">
        <v>2.0</v>
      </c>
      <c r="G155" s="34" t="s">
        <v>19229</v>
      </c>
      <c r="H155" s="35">
        <v>3.0</v>
      </c>
      <c r="I155" s="34" t="s">
        <v>12762</v>
      </c>
      <c r="J155" s="35"/>
      <c r="K155" s="34"/>
      <c r="L155" s="35"/>
      <c r="M155" s="34"/>
      <c r="N155" s="5" t="s">
        <v>19190</v>
      </c>
      <c r="O155" s="36"/>
      <c r="P155" s="36" t="s">
        <v>19486</v>
      </c>
      <c r="Q155" s="37"/>
    </row>
    <row r="156" ht="37.5" customHeight="1">
      <c r="A156" s="32" t="s">
        <v>1539</v>
      </c>
      <c r="B156" s="33">
        <v>3.0</v>
      </c>
      <c r="C156" s="34" t="s">
        <v>19188</v>
      </c>
      <c r="D156" s="35">
        <v>2.0</v>
      </c>
      <c r="E156" s="34" t="s">
        <v>19541</v>
      </c>
      <c r="F156" s="35">
        <v>2.0</v>
      </c>
      <c r="G156" s="34" t="s">
        <v>19229</v>
      </c>
      <c r="H156" s="35">
        <v>12.0</v>
      </c>
      <c r="I156" s="34" t="s">
        <v>12762</v>
      </c>
      <c r="J156" s="35"/>
      <c r="K156" s="34"/>
      <c r="L156" s="35"/>
      <c r="M156" s="34"/>
      <c r="N156" s="5" t="s">
        <v>19190</v>
      </c>
      <c r="O156" s="36"/>
      <c r="P156" s="36" t="s">
        <v>19486</v>
      </c>
      <c r="Q156" s="37"/>
    </row>
    <row r="157" ht="37.5" customHeight="1">
      <c r="A157" s="32" t="s">
        <v>1543</v>
      </c>
      <c r="B157" s="33">
        <v>4.0</v>
      </c>
      <c r="C157" s="34" t="s">
        <v>810</v>
      </c>
      <c r="D157" s="35"/>
      <c r="E157" s="34"/>
      <c r="F157" s="35"/>
      <c r="G157" s="34"/>
      <c r="H157" s="35"/>
      <c r="I157" s="34"/>
      <c r="J157" s="35"/>
      <c r="K157" s="34"/>
      <c r="L157" s="35"/>
      <c r="M157" s="34"/>
      <c r="N157" s="5" t="s">
        <v>19243</v>
      </c>
      <c r="O157" s="36"/>
      <c r="P157" s="36" t="s">
        <v>19486</v>
      </c>
      <c r="Q157" s="37"/>
    </row>
    <row r="158" ht="37.5" customHeight="1">
      <c r="A158" s="32" t="s">
        <v>1554</v>
      </c>
      <c r="B158" s="33">
        <v>1.0</v>
      </c>
      <c r="C158" s="34" t="s">
        <v>810</v>
      </c>
      <c r="D158" s="35"/>
      <c r="E158" s="34"/>
      <c r="F158" s="35"/>
      <c r="G158" s="34"/>
      <c r="H158" s="35"/>
      <c r="I158" s="34"/>
      <c r="J158" s="35"/>
      <c r="K158" s="34"/>
      <c r="L158" s="35"/>
      <c r="M158" s="34"/>
      <c r="N158" s="5" t="s">
        <v>19243</v>
      </c>
      <c r="O158" s="36"/>
      <c r="P158" s="36" t="s">
        <v>19486</v>
      </c>
      <c r="Q158" s="37"/>
    </row>
    <row r="159" ht="37.5" customHeight="1">
      <c r="A159" s="32" t="s">
        <v>1561</v>
      </c>
      <c r="B159" s="33">
        <v>2.0</v>
      </c>
      <c r="C159" s="34" t="s">
        <v>810</v>
      </c>
      <c r="D159" s="35"/>
      <c r="E159" s="34"/>
      <c r="F159" s="35"/>
      <c r="G159" s="34"/>
      <c r="H159" s="35"/>
      <c r="I159" s="34"/>
      <c r="J159" s="35"/>
      <c r="K159" s="34"/>
      <c r="L159" s="35"/>
      <c r="M159" s="34"/>
      <c r="N159" s="5" t="s">
        <v>19196</v>
      </c>
      <c r="O159" s="36"/>
      <c r="P159" s="36" t="s">
        <v>19486</v>
      </c>
      <c r="Q159" s="37"/>
    </row>
    <row r="160" ht="37.5" customHeight="1">
      <c r="A160" s="32" t="s">
        <v>1568</v>
      </c>
      <c r="B160" s="33">
        <v>4.0</v>
      </c>
      <c r="C160" s="34" t="s">
        <v>810</v>
      </c>
      <c r="D160" s="35"/>
      <c r="E160" s="34"/>
      <c r="F160" s="35"/>
      <c r="G160" s="34"/>
      <c r="H160" s="35"/>
      <c r="I160" s="34"/>
      <c r="J160" s="35"/>
      <c r="K160" s="34"/>
      <c r="L160" s="35"/>
      <c r="M160" s="34"/>
      <c r="N160" s="5" t="s">
        <v>19196</v>
      </c>
      <c r="O160" s="36"/>
      <c r="P160" s="36" t="s">
        <v>19486</v>
      </c>
      <c r="Q160" s="37"/>
    </row>
    <row r="161" ht="37.5" customHeight="1">
      <c r="A161" s="32" t="s">
        <v>1926</v>
      </c>
      <c r="B161" s="33">
        <v>8.0</v>
      </c>
      <c r="C161" s="34" t="s">
        <v>19153</v>
      </c>
      <c r="D161" s="35">
        <v>4.0</v>
      </c>
      <c r="E161" s="34" t="s">
        <v>19534</v>
      </c>
      <c r="F161" s="35">
        <v>5.0</v>
      </c>
      <c r="G161" s="34" t="s">
        <v>19289</v>
      </c>
      <c r="H161" s="35"/>
      <c r="I161" s="34"/>
      <c r="J161" s="35"/>
      <c r="K161" s="34"/>
      <c r="L161" s="35"/>
      <c r="M161" s="34"/>
      <c r="N161" s="5" t="s">
        <v>19157</v>
      </c>
      <c r="O161" s="36"/>
      <c r="P161" s="36" t="s">
        <v>19486</v>
      </c>
      <c r="Q161" s="37"/>
    </row>
    <row r="162" ht="37.5" customHeight="1">
      <c r="A162" s="32" t="s">
        <v>1933</v>
      </c>
      <c r="B162" s="33">
        <v>10.0</v>
      </c>
      <c r="C162" s="34" t="s">
        <v>12762</v>
      </c>
      <c r="D162" s="35">
        <v>3.0</v>
      </c>
      <c r="E162" s="34" t="s">
        <v>19153</v>
      </c>
      <c r="F162" s="35"/>
      <c r="G162" s="34"/>
      <c r="H162" s="35"/>
      <c r="I162" s="34"/>
      <c r="J162" s="35"/>
      <c r="K162" s="34"/>
      <c r="L162" s="35"/>
      <c r="M162" s="34"/>
      <c r="N162" s="5" t="s">
        <v>19157</v>
      </c>
      <c r="O162" s="36"/>
      <c r="P162" s="36" t="s">
        <v>19486</v>
      </c>
      <c r="Q162" s="37"/>
    </row>
    <row r="163" ht="37.5" customHeight="1">
      <c r="A163" s="32" t="s">
        <v>1936</v>
      </c>
      <c r="B163" s="33">
        <v>5.0</v>
      </c>
      <c r="C163" s="34" t="s">
        <v>19153</v>
      </c>
      <c r="D163" s="35"/>
      <c r="E163" s="34"/>
      <c r="F163" s="35"/>
      <c r="G163" s="34"/>
      <c r="H163" s="35"/>
      <c r="I163" s="34"/>
      <c r="J163" s="35"/>
      <c r="K163" s="34"/>
      <c r="L163" s="35"/>
      <c r="M163" s="34"/>
      <c r="N163" s="5" t="s">
        <v>19157</v>
      </c>
      <c r="O163" s="36"/>
      <c r="P163" s="36" t="s">
        <v>19486</v>
      </c>
      <c r="Q163" s="37"/>
    </row>
    <row r="164" ht="37.5" customHeight="1">
      <c r="A164" s="32" t="s">
        <v>1939</v>
      </c>
      <c r="B164" s="33">
        <v>2.0</v>
      </c>
      <c r="C164" s="34" t="s">
        <v>19166</v>
      </c>
      <c r="D164" s="35">
        <v>6.0</v>
      </c>
      <c r="E164" s="34" t="s">
        <v>19303</v>
      </c>
      <c r="F164" s="35"/>
      <c r="G164" s="34"/>
      <c r="H164" s="35"/>
      <c r="I164" s="34"/>
      <c r="J164" s="35"/>
      <c r="K164" s="34"/>
      <c r="L164" s="35"/>
      <c r="M164" s="34"/>
      <c r="N164" s="5" t="s">
        <v>19243</v>
      </c>
      <c r="O164" s="36"/>
      <c r="P164" s="36" t="s">
        <v>19486</v>
      </c>
      <c r="Q164" s="37"/>
    </row>
    <row r="165" ht="37.5" customHeight="1">
      <c r="A165" s="32" t="s">
        <v>2025</v>
      </c>
      <c r="B165" s="33">
        <v>10.0</v>
      </c>
      <c r="C165" s="34" t="s">
        <v>19534</v>
      </c>
      <c r="D165" s="35"/>
      <c r="E165" s="34"/>
      <c r="F165" s="35"/>
      <c r="G165" s="34"/>
      <c r="H165" s="35"/>
      <c r="I165" s="34"/>
      <c r="J165" s="35"/>
      <c r="K165" s="34"/>
      <c r="L165" s="35"/>
      <c r="M165" s="34"/>
      <c r="N165" s="5" t="s">
        <v>19505</v>
      </c>
      <c r="O165" s="36"/>
      <c r="P165" s="36" t="s">
        <v>19486</v>
      </c>
      <c r="Q165" s="37"/>
    </row>
    <row r="166" ht="37.5" customHeight="1">
      <c r="A166" s="32" t="s">
        <v>2162</v>
      </c>
      <c r="B166" s="33">
        <v>5.0</v>
      </c>
      <c r="C166" s="34" t="s">
        <v>19445</v>
      </c>
      <c r="D166" s="35">
        <v>3.0</v>
      </c>
      <c r="E166" s="34" t="s">
        <v>19234</v>
      </c>
      <c r="F166" s="35"/>
      <c r="G166" s="34"/>
      <c r="H166" s="35"/>
      <c r="I166" s="34"/>
      <c r="J166" s="35"/>
      <c r="K166" s="34"/>
      <c r="L166" s="35"/>
      <c r="M166" s="34"/>
      <c r="N166" s="5" t="s">
        <v>19361</v>
      </c>
      <c r="O166" s="36"/>
      <c r="P166" s="36" t="s">
        <v>19486</v>
      </c>
      <c r="Q166" s="37"/>
    </row>
    <row r="167" ht="37.5" customHeight="1">
      <c r="A167" s="32" t="s">
        <v>2194</v>
      </c>
      <c r="B167" s="33">
        <v>7.0</v>
      </c>
      <c r="C167" s="34" t="s">
        <v>19188</v>
      </c>
      <c r="D167" s="35">
        <v>1.0</v>
      </c>
      <c r="E167" s="34" t="s">
        <v>19342</v>
      </c>
      <c r="F167" s="35"/>
      <c r="G167" s="34"/>
      <c r="H167" s="35"/>
      <c r="I167" s="34"/>
      <c r="J167" s="35"/>
      <c r="K167" s="34"/>
      <c r="L167" s="35"/>
      <c r="M167" s="34"/>
      <c r="N167" s="5" t="s">
        <v>19190</v>
      </c>
      <c r="O167" s="36"/>
      <c r="P167" s="36" t="s">
        <v>19486</v>
      </c>
      <c r="Q167" s="37"/>
    </row>
    <row r="168" ht="37.5" customHeight="1">
      <c r="A168" s="32" t="s">
        <v>2213</v>
      </c>
      <c r="B168" s="33">
        <v>10.0</v>
      </c>
      <c r="C168" s="34" t="s">
        <v>19188</v>
      </c>
      <c r="D168" s="35">
        <v>20.0</v>
      </c>
      <c r="E168" s="34" t="s">
        <v>19234</v>
      </c>
      <c r="F168" s="35"/>
      <c r="G168" s="34"/>
      <c r="H168" s="35"/>
      <c r="I168" s="34"/>
      <c r="J168" s="35"/>
      <c r="K168" s="34"/>
      <c r="L168" s="35"/>
      <c r="M168" s="34"/>
      <c r="N168" s="5" t="s">
        <v>19190</v>
      </c>
      <c r="O168" s="36"/>
      <c r="P168" s="36" t="s">
        <v>19486</v>
      </c>
      <c r="Q168" s="37"/>
    </row>
    <row r="169" ht="37.5" customHeight="1">
      <c r="A169" s="32" t="s">
        <v>2373</v>
      </c>
      <c r="B169" s="33">
        <v>3.0</v>
      </c>
      <c r="C169" s="34" t="s">
        <v>19280</v>
      </c>
      <c r="D169" s="35">
        <v>8.0</v>
      </c>
      <c r="E169" s="34" t="s">
        <v>12762</v>
      </c>
      <c r="F169" s="35">
        <v>3.0</v>
      </c>
      <c r="G169" s="34" t="s">
        <v>19122</v>
      </c>
      <c r="H169" s="35"/>
      <c r="I169" s="34"/>
      <c r="J169" s="35"/>
      <c r="K169" s="34"/>
      <c r="L169" s="35"/>
      <c r="M169" s="34"/>
      <c r="N169" s="5" t="s">
        <v>19238</v>
      </c>
      <c r="O169" s="36"/>
      <c r="P169" s="36" t="s">
        <v>19486</v>
      </c>
      <c r="Q169" s="37"/>
    </row>
    <row r="170" ht="37.5" customHeight="1">
      <c r="A170" s="32" t="s">
        <v>2439</v>
      </c>
      <c r="B170" s="33">
        <v>4.0</v>
      </c>
      <c r="C170" s="34" t="s">
        <v>19166</v>
      </c>
      <c r="D170" s="35">
        <v>8.0</v>
      </c>
      <c r="E170" s="34" t="s">
        <v>19303</v>
      </c>
      <c r="F170" s="35"/>
      <c r="G170" s="34"/>
      <c r="H170" s="35"/>
      <c r="I170" s="34"/>
      <c r="J170" s="35"/>
      <c r="K170" s="34"/>
      <c r="L170" s="35"/>
      <c r="M170" s="34"/>
      <c r="N170" s="5" t="s">
        <v>5290</v>
      </c>
      <c r="O170" s="36"/>
      <c r="P170" s="36" t="s">
        <v>19486</v>
      </c>
      <c r="Q170" s="37"/>
    </row>
    <row r="171" ht="37.5" customHeight="1">
      <c r="A171" s="32" t="s">
        <v>2761</v>
      </c>
      <c r="B171" s="33">
        <v>5.0</v>
      </c>
      <c r="C171" s="34" t="s">
        <v>19164</v>
      </c>
      <c r="D171" s="35">
        <v>5.0</v>
      </c>
      <c r="E171" s="34" t="s">
        <v>19166</v>
      </c>
      <c r="F171" s="35">
        <v>5.0</v>
      </c>
      <c r="G171" s="34" t="s">
        <v>19303</v>
      </c>
      <c r="H171" s="35">
        <v>3.0</v>
      </c>
      <c r="I171" s="34" t="s">
        <v>19234</v>
      </c>
      <c r="J171" s="35">
        <v>1.0</v>
      </c>
      <c r="K171" s="34" t="s">
        <v>8399</v>
      </c>
      <c r="L171" s="35"/>
      <c r="M171" s="34"/>
      <c r="N171" s="5" t="s">
        <v>19205</v>
      </c>
      <c r="O171" s="36"/>
      <c r="P171" s="36" t="s">
        <v>19486</v>
      </c>
      <c r="Q171" s="37"/>
    </row>
    <row r="172" ht="37.5" customHeight="1">
      <c r="A172" s="32" t="s">
        <v>2970</v>
      </c>
      <c r="B172" s="33">
        <v>10.0</v>
      </c>
      <c r="C172" s="34" t="s">
        <v>19164</v>
      </c>
      <c r="D172" s="35">
        <v>7.0</v>
      </c>
      <c r="E172" s="34" t="s">
        <v>19166</v>
      </c>
      <c r="F172" s="35"/>
      <c r="G172" s="34"/>
      <c r="H172" s="35"/>
      <c r="I172" s="34"/>
      <c r="J172" s="35"/>
      <c r="K172" s="34"/>
      <c r="L172" s="35"/>
      <c r="M172" s="34"/>
      <c r="N172" s="5" t="s">
        <v>19128</v>
      </c>
      <c r="O172" s="36"/>
      <c r="P172" s="36" t="s">
        <v>19486</v>
      </c>
      <c r="Q172" s="37"/>
    </row>
    <row r="173" ht="37.5" customHeight="1">
      <c r="A173" s="32" t="s">
        <v>3152</v>
      </c>
      <c r="B173" s="33">
        <v>8.0</v>
      </c>
      <c r="C173" s="34" t="s">
        <v>12762</v>
      </c>
      <c r="D173" s="35">
        <v>2.0</v>
      </c>
      <c r="E173" s="34" t="s">
        <v>19234</v>
      </c>
      <c r="F173" s="35"/>
      <c r="G173" s="34"/>
      <c r="H173" s="35"/>
      <c r="I173" s="34"/>
      <c r="J173" s="35"/>
      <c r="K173" s="34"/>
      <c r="L173" s="35"/>
      <c r="M173" s="34"/>
      <c r="N173" s="5" t="s">
        <v>5290</v>
      </c>
      <c r="O173" s="36"/>
      <c r="P173" s="36" t="s">
        <v>19486</v>
      </c>
      <c r="Q173" s="37"/>
    </row>
    <row r="174" ht="37.5" customHeight="1">
      <c r="A174" s="32" t="s">
        <v>4181</v>
      </c>
      <c r="B174" s="33">
        <v>3.0</v>
      </c>
      <c r="C174" s="34" t="s">
        <v>19510</v>
      </c>
      <c r="D174" s="35">
        <v>3.0</v>
      </c>
      <c r="E174" s="34" t="s">
        <v>19511</v>
      </c>
      <c r="F174" s="35">
        <v>3.0</v>
      </c>
      <c r="G174" s="34" t="s">
        <v>19512</v>
      </c>
      <c r="H174" s="35">
        <v>5.0</v>
      </c>
      <c r="I174" s="34" t="s">
        <v>19164</v>
      </c>
      <c r="J174" s="35"/>
      <c r="K174" s="34"/>
      <c r="L174" s="35"/>
      <c r="M174" s="34"/>
      <c r="N174" s="5" t="s">
        <v>19513</v>
      </c>
      <c r="O174" s="36"/>
      <c r="P174" s="36" t="s">
        <v>19486</v>
      </c>
      <c r="Q174" s="37"/>
    </row>
    <row r="175" ht="37.5" customHeight="1">
      <c r="A175" s="32" t="s">
        <v>4295</v>
      </c>
      <c r="B175" s="33">
        <v>20.0</v>
      </c>
      <c r="C175" s="34" t="s">
        <v>12762</v>
      </c>
      <c r="D175" s="35"/>
      <c r="E175" s="34"/>
      <c r="F175" s="35"/>
      <c r="G175" s="34"/>
      <c r="H175" s="35"/>
      <c r="I175" s="34"/>
      <c r="J175" s="35"/>
      <c r="K175" s="34"/>
      <c r="L175" s="35"/>
      <c r="M175" s="34"/>
      <c r="N175" s="5" t="s">
        <v>19361</v>
      </c>
      <c r="O175" s="36"/>
      <c r="P175" s="36" t="s">
        <v>19486</v>
      </c>
      <c r="Q175" s="37"/>
    </row>
    <row r="176" ht="37.5" customHeight="1">
      <c r="A176" s="32" t="s">
        <v>4572</v>
      </c>
      <c r="B176" s="33">
        <v>1.0</v>
      </c>
      <c r="C176" s="34" t="s">
        <v>19464</v>
      </c>
      <c r="D176" s="35">
        <v>2.0</v>
      </c>
      <c r="E176" s="34" t="s">
        <v>19419</v>
      </c>
      <c r="F176" s="35">
        <v>2.0</v>
      </c>
      <c r="G176" s="34" t="s">
        <v>19420</v>
      </c>
      <c r="H176" s="35">
        <v>2.0</v>
      </c>
      <c r="I176" s="34" t="s">
        <v>19565</v>
      </c>
      <c r="J176" s="35">
        <v>2.0</v>
      </c>
      <c r="K176" s="34" t="s">
        <v>19444</v>
      </c>
      <c r="L176" s="35">
        <v>5.0</v>
      </c>
      <c r="M176" s="34" t="s">
        <v>19463</v>
      </c>
      <c r="N176" s="5" t="s">
        <v>19205</v>
      </c>
      <c r="O176" s="36"/>
      <c r="P176" s="36" t="s">
        <v>19486</v>
      </c>
      <c r="Q176" s="37"/>
    </row>
    <row r="177" ht="37.5" customHeight="1">
      <c r="A177" s="32" t="s">
        <v>4608</v>
      </c>
      <c r="B177" s="33">
        <v>15.0</v>
      </c>
      <c r="C177" s="34" t="s">
        <v>19188</v>
      </c>
      <c r="D177" s="35">
        <v>10.0</v>
      </c>
      <c r="E177" s="34" t="s">
        <v>19234</v>
      </c>
      <c r="F177" s="35"/>
      <c r="G177" s="34"/>
      <c r="H177" s="35"/>
      <c r="I177" s="34"/>
      <c r="J177" s="35"/>
      <c r="K177" s="34"/>
      <c r="L177" s="35"/>
      <c r="M177" s="34"/>
      <c r="N177" s="5" t="s">
        <v>19190</v>
      </c>
      <c r="O177" s="36"/>
      <c r="P177" s="36" t="s">
        <v>19486</v>
      </c>
      <c r="Q177" s="37"/>
    </row>
    <row r="178" ht="37.5" customHeight="1">
      <c r="A178" s="32" t="s">
        <v>4704</v>
      </c>
      <c r="B178" s="33">
        <v>1.0</v>
      </c>
      <c r="C178" s="34" t="s">
        <v>3152</v>
      </c>
      <c r="D178" s="35">
        <v>20.0</v>
      </c>
      <c r="E178" s="34" t="s">
        <v>12762</v>
      </c>
      <c r="F178" s="35">
        <v>8.0</v>
      </c>
      <c r="G178" s="34" t="s">
        <v>19234</v>
      </c>
      <c r="H178" s="35"/>
      <c r="I178" s="34"/>
      <c r="J178" s="35"/>
      <c r="K178" s="34"/>
      <c r="L178" s="35"/>
      <c r="M178" s="34"/>
      <c r="N178" s="5" t="s">
        <v>5290</v>
      </c>
      <c r="O178" s="36"/>
      <c r="P178" s="36" t="s">
        <v>19486</v>
      </c>
      <c r="Q178" s="37"/>
    </row>
    <row r="179" ht="37.5" customHeight="1">
      <c r="A179" s="32" t="s">
        <v>4744</v>
      </c>
      <c r="B179" s="33">
        <v>1.0</v>
      </c>
      <c r="C179" s="34" t="s">
        <v>19352</v>
      </c>
      <c r="D179" s="35">
        <v>10.0</v>
      </c>
      <c r="E179" s="34" t="s">
        <v>19185</v>
      </c>
      <c r="F179" s="35"/>
      <c r="G179" s="34"/>
      <c r="H179" s="35"/>
      <c r="I179" s="34"/>
      <c r="J179" s="35"/>
      <c r="K179" s="34"/>
      <c r="L179" s="35"/>
      <c r="M179" s="34"/>
      <c r="N179" s="5" t="s">
        <v>19353</v>
      </c>
      <c r="O179" s="36"/>
      <c r="P179" s="36" t="s">
        <v>19486</v>
      </c>
      <c r="Q179" s="37"/>
    </row>
    <row r="180" ht="37.5" customHeight="1">
      <c r="A180" s="32" t="s">
        <v>4769</v>
      </c>
      <c r="B180" s="33">
        <v>1.0</v>
      </c>
      <c r="C180" s="34" t="s">
        <v>19352</v>
      </c>
      <c r="D180" s="35">
        <v>10.0</v>
      </c>
      <c r="E180" s="34" t="s">
        <v>19185</v>
      </c>
      <c r="F180" s="35"/>
      <c r="G180" s="34"/>
      <c r="H180" s="35"/>
      <c r="I180" s="34"/>
      <c r="J180" s="35"/>
      <c r="K180" s="34"/>
      <c r="L180" s="35"/>
      <c r="M180" s="34"/>
      <c r="N180" s="5" t="s">
        <v>19353</v>
      </c>
      <c r="O180" s="36"/>
      <c r="P180" s="36" t="s">
        <v>19486</v>
      </c>
      <c r="Q180" s="37"/>
    </row>
    <row r="181" ht="37.5" customHeight="1">
      <c r="A181" s="32" t="s">
        <v>4897</v>
      </c>
      <c r="B181" s="33">
        <v>1.0</v>
      </c>
      <c r="C181" s="34" t="s">
        <v>19352</v>
      </c>
      <c r="D181" s="35">
        <v>3.0</v>
      </c>
      <c r="E181" s="34" t="s">
        <v>19185</v>
      </c>
      <c r="F181" s="35"/>
      <c r="G181" s="34"/>
      <c r="H181" s="35"/>
      <c r="I181" s="34"/>
      <c r="J181" s="35"/>
      <c r="K181" s="34"/>
      <c r="L181" s="35"/>
      <c r="M181" s="34"/>
      <c r="N181" s="5" t="s">
        <v>19353</v>
      </c>
      <c r="O181" s="36"/>
      <c r="P181" s="36" t="s">
        <v>19486</v>
      </c>
      <c r="Q181" s="37"/>
    </row>
    <row r="182" ht="37.5" customHeight="1">
      <c r="A182" s="32" t="s">
        <v>4944</v>
      </c>
      <c r="B182" s="33">
        <v>1.0</v>
      </c>
      <c r="C182" s="34" t="s">
        <v>19352</v>
      </c>
      <c r="D182" s="35">
        <v>5.0</v>
      </c>
      <c r="E182" s="34" t="s">
        <v>19185</v>
      </c>
      <c r="F182" s="35"/>
      <c r="G182" s="34"/>
      <c r="H182" s="35"/>
      <c r="I182" s="34"/>
      <c r="J182" s="35"/>
      <c r="K182" s="34"/>
      <c r="L182" s="35"/>
      <c r="M182" s="34"/>
      <c r="N182" s="5" t="s">
        <v>19353</v>
      </c>
      <c r="O182" s="36"/>
      <c r="P182" s="36" t="s">
        <v>19486</v>
      </c>
      <c r="Q182" s="37"/>
    </row>
    <row r="183" ht="37.5" customHeight="1">
      <c r="A183" s="32" t="s">
        <v>4984</v>
      </c>
      <c r="B183" s="33">
        <v>1.0</v>
      </c>
      <c r="C183" s="34" t="s">
        <v>19352</v>
      </c>
      <c r="D183" s="35">
        <v>6.0</v>
      </c>
      <c r="E183" s="34" t="s">
        <v>19185</v>
      </c>
      <c r="F183" s="35"/>
      <c r="G183" s="34"/>
      <c r="H183" s="35"/>
      <c r="I183" s="34"/>
      <c r="J183" s="35"/>
      <c r="K183" s="34"/>
      <c r="L183" s="35"/>
      <c r="M183" s="34"/>
      <c r="N183" s="5" t="s">
        <v>19353</v>
      </c>
      <c r="O183" s="36"/>
      <c r="P183" s="36" t="s">
        <v>19486</v>
      </c>
      <c r="Q183" s="37"/>
    </row>
    <row r="184" ht="37.5" customHeight="1">
      <c r="A184" s="32" t="s">
        <v>5025</v>
      </c>
      <c r="B184" s="33">
        <v>1.0</v>
      </c>
      <c r="C184" s="34" t="s">
        <v>19352</v>
      </c>
      <c r="D184" s="35">
        <v>4.0</v>
      </c>
      <c r="E184" s="34" t="s">
        <v>19185</v>
      </c>
      <c r="F184" s="35"/>
      <c r="G184" s="34"/>
      <c r="H184" s="35"/>
      <c r="I184" s="34"/>
      <c r="J184" s="35"/>
      <c r="K184" s="34"/>
      <c r="L184" s="35"/>
      <c r="M184" s="34"/>
      <c r="N184" s="5" t="s">
        <v>19353</v>
      </c>
      <c r="O184" s="36"/>
      <c r="P184" s="36" t="s">
        <v>19486</v>
      </c>
      <c r="Q184" s="37"/>
    </row>
    <row r="185" ht="37.5" customHeight="1">
      <c r="A185" s="32" t="s">
        <v>5064</v>
      </c>
      <c r="B185" s="33">
        <v>1.0</v>
      </c>
      <c r="C185" s="34" t="s">
        <v>19352</v>
      </c>
      <c r="D185" s="35">
        <v>4.0</v>
      </c>
      <c r="E185" s="34" t="s">
        <v>19185</v>
      </c>
      <c r="F185" s="35"/>
      <c r="G185" s="34"/>
      <c r="H185" s="35"/>
      <c r="I185" s="34"/>
      <c r="J185" s="35"/>
      <c r="K185" s="34"/>
      <c r="L185" s="35"/>
      <c r="M185" s="34"/>
      <c r="N185" s="5" t="s">
        <v>19353</v>
      </c>
      <c r="O185" s="36"/>
      <c r="P185" s="36" t="s">
        <v>19486</v>
      </c>
      <c r="Q185" s="37"/>
    </row>
    <row r="186" ht="37.5" customHeight="1">
      <c r="A186" s="32" t="s">
        <v>5106</v>
      </c>
      <c r="B186" s="33">
        <v>1.0</v>
      </c>
      <c r="C186" s="34" t="s">
        <v>19352</v>
      </c>
      <c r="D186" s="35">
        <v>8.0</v>
      </c>
      <c r="E186" s="34" t="s">
        <v>19185</v>
      </c>
      <c r="F186" s="35"/>
      <c r="G186" s="34"/>
      <c r="H186" s="35"/>
      <c r="I186" s="34"/>
      <c r="J186" s="35"/>
      <c r="K186" s="34"/>
      <c r="L186" s="35"/>
      <c r="M186" s="34"/>
      <c r="N186" s="5" t="s">
        <v>19353</v>
      </c>
      <c r="O186" s="36"/>
      <c r="P186" s="36" t="s">
        <v>19486</v>
      </c>
      <c r="Q186" s="37"/>
    </row>
    <row r="187" ht="37.5" customHeight="1">
      <c r="A187" s="32" t="s">
        <v>5148</v>
      </c>
      <c r="B187" s="33">
        <v>1.0</v>
      </c>
      <c r="C187" s="34" t="s">
        <v>19352</v>
      </c>
      <c r="D187" s="35">
        <v>8.0</v>
      </c>
      <c r="E187" s="34" t="s">
        <v>19185</v>
      </c>
      <c r="F187" s="35"/>
      <c r="G187" s="34"/>
      <c r="H187" s="35"/>
      <c r="I187" s="34"/>
      <c r="J187" s="35"/>
      <c r="K187" s="34"/>
      <c r="L187" s="35"/>
      <c r="M187" s="34"/>
      <c r="N187" s="5" t="s">
        <v>19353</v>
      </c>
      <c r="O187" s="36"/>
      <c r="P187" s="36" t="s">
        <v>19486</v>
      </c>
      <c r="Q187" s="37"/>
    </row>
    <row r="188" ht="37.5" customHeight="1">
      <c r="A188" s="32" t="s">
        <v>5266</v>
      </c>
      <c r="B188" s="33">
        <v>12.0</v>
      </c>
      <c r="C188" s="34" t="s">
        <v>19164</v>
      </c>
      <c r="D188" s="35">
        <v>4.0</v>
      </c>
      <c r="E188" s="34" t="s">
        <v>19234</v>
      </c>
      <c r="F188" s="35"/>
      <c r="G188" s="34"/>
      <c r="H188" s="35"/>
      <c r="I188" s="34"/>
      <c r="J188" s="35"/>
      <c r="K188" s="34"/>
      <c r="L188" s="35"/>
      <c r="M188" s="34"/>
      <c r="N188" s="5" t="s">
        <v>19361</v>
      </c>
      <c r="O188" s="36"/>
      <c r="P188" s="36" t="s">
        <v>19486</v>
      </c>
      <c r="Q188" s="37"/>
    </row>
    <row r="189" ht="37.5" customHeight="1">
      <c r="A189" s="32" t="s">
        <v>5346</v>
      </c>
      <c r="B189" s="33">
        <v>15.0</v>
      </c>
      <c r="C189" s="34" t="s">
        <v>12762</v>
      </c>
      <c r="D189" s="35"/>
      <c r="E189" s="34"/>
      <c r="F189" s="35"/>
      <c r="G189" s="34"/>
      <c r="H189" s="35"/>
      <c r="I189" s="34"/>
      <c r="J189" s="35"/>
      <c r="K189" s="34"/>
      <c r="L189" s="35"/>
      <c r="M189" s="34"/>
      <c r="N189" s="5" t="s">
        <v>19243</v>
      </c>
      <c r="O189" s="36"/>
      <c r="P189" s="36" t="s">
        <v>19486</v>
      </c>
      <c r="Q189" s="37"/>
    </row>
    <row r="190" ht="37.5" customHeight="1">
      <c r="A190" s="32" t="s">
        <v>5351</v>
      </c>
      <c r="B190" s="33">
        <v>3.0</v>
      </c>
      <c r="C190" s="34" t="s">
        <v>19438</v>
      </c>
      <c r="D190" s="35">
        <v>3.0</v>
      </c>
      <c r="E190" s="34" t="s">
        <v>19411</v>
      </c>
      <c r="F190" s="35">
        <v>3.0</v>
      </c>
      <c r="G190" s="34" t="s">
        <v>19465</v>
      </c>
      <c r="H190" s="35">
        <v>8.0</v>
      </c>
      <c r="I190" s="34" t="s">
        <v>19164</v>
      </c>
      <c r="J190" s="35">
        <v>2.0</v>
      </c>
      <c r="K190" s="34" t="s">
        <v>19234</v>
      </c>
      <c r="L190" s="35"/>
      <c r="M190" s="34"/>
      <c r="N190" s="5" t="s">
        <v>19196</v>
      </c>
      <c r="O190" s="36"/>
      <c r="P190" s="36" t="s">
        <v>19486</v>
      </c>
      <c r="Q190" s="37"/>
    </row>
    <row r="191" ht="37.5" customHeight="1">
      <c r="A191" s="32" t="s">
        <v>5389</v>
      </c>
      <c r="B191" s="33">
        <v>3.0</v>
      </c>
      <c r="C191" s="34" t="s">
        <v>19188</v>
      </c>
      <c r="D191" s="35">
        <v>2.0</v>
      </c>
      <c r="E191" s="34" t="s">
        <v>19571</v>
      </c>
      <c r="F191" s="35">
        <v>2.0</v>
      </c>
      <c r="G191" s="34" t="s">
        <v>19229</v>
      </c>
      <c r="H191" s="35">
        <v>6.0</v>
      </c>
      <c r="I191" s="34" t="s">
        <v>12762</v>
      </c>
      <c r="J191" s="35"/>
      <c r="K191" s="34"/>
      <c r="L191" s="35"/>
      <c r="M191" s="34"/>
      <c r="N191" s="5" t="s">
        <v>19190</v>
      </c>
      <c r="O191" s="36"/>
      <c r="P191" s="36" t="s">
        <v>19486</v>
      </c>
      <c r="Q191" s="37"/>
    </row>
    <row r="192" ht="37.5" customHeight="1">
      <c r="A192" s="32" t="s">
        <v>5395</v>
      </c>
      <c r="B192" s="33">
        <v>1.0</v>
      </c>
      <c r="C192" s="34" t="s">
        <v>9552</v>
      </c>
      <c r="D192" s="35">
        <v>1.0</v>
      </c>
      <c r="E192" s="34" t="s">
        <v>8202</v>
      </c>
      <c r="F192" s="35">
        <v>1.0</v>
      </c>
      <c r="G192" s="34" t="s">
        <v>325</v>
      </c>
      <c r="H192" s="35"/>
      <c r="I192" s="34"/>
      <c r="J192" s="35"/>
      <c r="K192" s="34"/>
      <c r="L192" s="35"/>
      <c r="M192" s="34"/>
      <c r="N192" s="5" t="s">
        <v>19196</v>
      </c>
      <c r="O192" s="36"/>
      <c r="P192" s="36" t="s">
        <v>19486</v>
      </c>
      <c r="Q192" s="37"/>
    </row>
    <row r="193" ht="37.5" customHeight="1">
      <c r="A193" s="32" t="s">
        <v>5497</v>
      </c>
      <c r="B193" s="33">
        <v>8.0</v>
      </c>
      <c r="C193" s="34" t="s">
        <v>19229</v>
      </c>
      <c r="D193" s="35"/>
      <c r="E193" s="34"/>
      <c r="F193" s="35"/>
      <c r="G193" s="34"/>
      <c r="H193" s="35"/>
      <c r="I193" s="34"/>
      <c r="J193" s="35"/>
      <c r="K193" s="34"/>
      <c r="L193" s="35"/>
      <c r="M193" s="34"/>
      <c r="N193" s="5" t="s">
        <v>19232</v>
      </c>
      <c r="O193" s="36"/>
      <c r="P193" s="36" t="s">
        <v>19486</v>
      </c>
      <c r="Q193" s="37"/>
    </row>
    <row r="194" ht="37.5" customHeight="1">
      <c r="A194" s="32" t="s">
        <v>5502</v>
      </c>
      <c r="B194" s="33">
        <v>5.0</v>
      </c>
      <c r="C194" s="34" t="s">
        <v>19229</v>
      </c>
      <c r="D194" s="35"/>
      <c r="E194" s="34"/>
      <c r="F194" s="35"/>
      <c r="G194" s="34"/>
      <c r="H194" s="35"/>
      <c r="I194" s="34"/>
      <c r="J194" s="35"/>
      <c r="K194" s="34"/>
      <c r="L194" s="35"/>
      <c r="M194" s="34"/>
      <c r="N194" s="5" t="s">
        <v>19361</v>
      </c>
      <c r="O194" s="36"/>
      <c r="P194" s="36" t="s">
        <v>19486</v>
      </c>
      <c r="Q194" s="37"/>
    </row>
    <row r="195" ht="37.5" customHeight="1">
      <c r="A195" s="32" t="s">
        <v>5508</v>
      </c>
      <c r="B195" s="33">
        <v>6.0</v>
      </c>
      <c r="C195" s="34" t="s">
        <v>19229</v>
      </c>
      <c r="D195" s="35"/>
      <c r="E195" s="34"/>
      <c r="F195" s="35"/>
      <c r="G195" s="34"/>
      <c r="H195" s="35"/>
      <c r="I195" s="34"/>
      <c r="J195" s="35"/>
      <c r="K195" s="34"/>
      <c r="L195" s="35"/>
      <c r="M195" s="34"/>
      <c r="N195" s="5" t="s">
        <v>19361</v>
      </c>
      <c r="O195" s="36"/>
      <c r="P195" s="36" t="s">
        <v>19486</v>
      </c>
      <c r="Q195" s="37"/>
    </row>
    <row r="196" ht="37.5" customHeight="1">
      <c r="A196" s="32" t="s">
        <v>5545</v>
      </c>
      <c r="B196" s="33">
        <v>6.0</v>
      </c>
      <c r="C196" s="34" t="s">
        <v>19234</v>
      </c>
      <c r="D196" s="35">
        <v>5.0</v>
      </c>
      <c r="E196" s="34" t="s">
        <v>19164</v>
      </c>
      <c r="F196" s="35"/>
      <c r="G196" s="34"/>
      <c r="H196" s="35"/>
      <c r="I196" s="34"/>
      <c r="J196" s="35"/>
      <c r="K196" s="34"/>
      <c r="L196" s="35"/>
      <c r="M196" s="34"/>
      <c r="N196" s="5" t="s">
        <v>19238</v>
      </c>
      <c r="O196" s="36"/>
      <c r="P196" s="36" t="s">
        <v>19486</v>
      </c>
      <c r="Q196" s="37"/>
    </row>
    <row r="197" ht="37.5" customHeight="1">
      <c r="A197" s="32" t="s">
        <v>5570</v>
      </c>
      <c r="B197" s="33">
        <v>2.0</v>
      </c>
      <c r="C197" s="34" t="s">
        <v>19164</v>
      </c>
      <c r="D197" s="35">
        <v>2.0</v>
      </c>
      <c r="E197" s="34" t="s">
        <v>19303</v>
      </c>
      <c r="F197" s="35"/>
      <c r="G197" s="34"/>
      <c r="H197" s="35"/>
      <c r="I197" s="34"/>
      <c r="J197" s="35"/>
      <c r="K197" s="34"/>
      <c r="L197" s="35"/>
      <c r="M197" s="34"/>
      <c r="N197" s="5" t="s">
        <v>19161</v>
      </c>
      <c r="O197" s="36"/>
      <c r="P197" s="36" t="s">
        <v>19486</v>
      </c>
      <c r="Q197" s="37"/>
    </row>
    <row r="198" ht="37.5" customHeight="1">
      <c r="A198" s="32" t="s">
        <v>5596</v>
      </c>
      <c r="B198" s="33">
        <v>1.0</v>
      </c>
      <c r="C198" s="34" t="s">
        <v>19138</v>
      </c>
      <c r="D198" s="35">
        <v>10.0</v>
      </c>
      <c r="E198" s="34" t="s">
        <v>19122</v>
      </c>
      <c r="F198" s="35"/>
      <c r="G198" s="34"/>
      <c r="H198" s="35"/>
      <c r="I198" s="34"/>
      <c r="J198" s="35"/>
      <c r="K198" s="34"/>
      <c r="L198" s="35"/>
      <c r="M198" s="34"/>
      <c r="N198" s="5" t="s">
        <v>19139</v>
      </c>
      <c r="O198" s="36"/>
      <c r="P198" s="36" t="s">
        <v>19486</v>
      </c>
      <c r="Q198" s="37"/>
    </row>
    <row r="199" ht="37.5" customHeight="1">
      <c r="A199" s="32" t="s">
        <v>5738</v>
      </c>
      <c r="B199" s="33">
        <v>20.0</v>
      </c>
      <c r="C199" s="34" t="s">
        <v>19122</v>
      </c>
      <c r="D199" s="35"/>
      <c r="E199" s="34"/>
      <c r="F199" s="35"/>
      <c r="G199" s="34"/>
      <c r="H199" s="35"/>
      <c r="I199" s="34"/>
      <c r="J199" s="35"/>
      <c r="K199" s="34"/>
      <c r="L199" s="35"/>
      <c r="M199" s="34"/>
      <c r="N199" s="5" t="s">
        <v>59</v>
      </c>
      <c r="O199" s="36"/>
      <c r="P199" s="36" t="s">
        <v>19486</v>
      </c>
      <c r="Q199" s="37"/>
    </row>
    <row r="200" ht="37.5" customHeight="1">
      <c r="A200" s="32" t="s">
        <v>5750</v>
      </c>
      <c r="B200" s="33">
        <v>2.0</v>
      </c>
      <c r="C200" s="34" t="s">
        <v>19280</v>
      </c>
      <c r="D200" s="35">
        <v>5.0</v>
      </c>
      <c r="E200" s="34" t="s">
        <v>19234</v>
      </c>
      <c r="F200" s="35">
        <v>4.0</v>
      </c>
      <c r="G200" s="34" t="s">
        <v>19289</v>
      </c>
      <c r="H200" s="35">
        <v>5.0</v>
      </c>
      <c r="I200" s="34" t="s">
        <v>19166</v>
      </c>
      <c r="J200" s="35"/>
      <c r="K200" s="34"/>
      <c r="L200" s="35"/>
      <c r="M200" s="34"/>
      <c r="N200" s="5" t="s">
        <v>59</v>
      </c>
      <c r="O200" s="36"/>
      <c r="P200" s="36" t="s">
        <v>19486</v>
      </c>
      <c r="Q200" s="37"/>
    </row>
    <row r="201" ht="37.5" customHeight="1">
      <c r="A201" s="32" t="s">
        <v>5755</v>
      </c>
      <c r="B201" s="33">
        <v>2.0</v>
      </c>
      <c r="C201" s="34" t="s">
        <v>19164</v>
      </c>
      <c r="D201" s="35">
        <v>3.0</v>
      </c>
      <c r="E201" s="34" t="s">
        <v>19303</v>
      </c>
      <c r="F201" s="35"/>
      <c r="G201" s="34"/>
      <c r="H201" s="35"/>
      <c r="I201" s="34"/>
      <c r="J201" s="35"/>
      <c r="K201" s="34"/>
      <c r="L201" s="35"/>
      <c r="M201" s="34"/>
      <c r="N201" s="5" t="s">
        <v>19161</v>
      </c>
      <c r="O201" s="36"/>
      <c r="P201" s="36" t="s">
        <v>19486</v>
      </c>
      <c r="Q201" s="37"/>
    </row>
    <row r="202" ht="37.5" customHeight="1">
      <c r="A202" s="32" t="s">
        <v>5817</v>
      </c>
      <c r="B202" s="33">
        <v>3.0</v>
      </c>
      <c r="C202" s="34" t="s">
        <v>19510</v>
      </c>
      <c r="D202" s="35">
        <v>4.0</v>
      </c>
      <c r="E202" s="34" t="s">
        <v>19512</v>
      </c>
      <c r="F202" s="35">
        <v>3.0</v>
      </c>
      <c r="G202" s="34" t="s">
        <v>19234</v>
      </c>
      <c r="H202" s="35"/>
      <c r="I202" s="34"/>
      <c r="J202" s="35"/>
      <c r="K202" s="34"/>
      <c r="L202" s="35"/>
      <c r="M202" s="34"/>
      <c r="N202" s="5" t="s">
        <v>19513</v>
      </c>
      <c r="O202" s="36"/>
      <c r="P202" s="36" t="s">
        <v>19486</v>
      </c>
      <c r="Q202" s="37"/>
    </row>
    <row r="203" ht="37.5" customHeight="1">
      <c r="A203" s="32" t="s">
        <v>5839</v>
      </c>
      <c r="B203" s="33">
        <v>6.0</v>
      </c>
      <c r="C203" s="34" t="s">
        <v>19512</v>
      </c>
      <c r="D203" s="35">
        <v>5.0</v>
      </c>
      <c r="E203" s="34" t="s">
        <v>19234</v>
      </c>
      <c r="F203" s="35"/>
      <c r="G203" s="34"/>
      <c r="H203" s="35"/>
      <c r="I203" s="34"/>
      <c r="J203" s="35"/>
      <c r="K203" s="34"/>
      <c r="L203" s="35"/>
      <c r="M203" s="34"/>
      <c r="N203" s="5" t="s">
        <v>19513</v>
      </c>
      <c r="O203" s="36"/>
      <c r="P203" s="36" t="s">
        <v>19486</v>
      </c>
      <c r="Q203" s="37"/>
    </row>
    <row r="204" ht="37.5" customHeight="1">
      <c r="A204" s="32" t="s">
        <v>5862</v>
      </c>
      <c r="B204" s="33">
        <v>9.0</v>
      </c>
      <c r="C204" s="34" t="s">
        <v>19511</v>
      </c>
      <c r="D204" s="35">
        <v>3.0</v>
      </c>
      <c r="E204" s="34" t="s">
        <v>19229</v>
      </c>
      <c r="F204" s="35"/>
      <c r="G204" s="34"/>
      <c r="H204" s="35"/>
      <c r="I204" s="34"/>
      <c r="J204" s="35"/>
      <c r="K204" s="34"/>
      <c r="L204" s="35"/>
      <c r="M204" s="34"/>
      <c r="N204" s="5" t="s">
        <v>19513</v>
      </c>
      <c r="O204" s="36"/>
      <c r="P204" s="36" t="s">
        <v>19486</v>
      </c>
      <c r="Q204" s="37"/>
    </row>
    <row r="205" ht="37.5" customHeight="1">
      <c r="A205" s="32" t="s">
        <v>5880</v>
      </c>
      <c r="B205" s="33">
        <v>3.0</v>
      </c>
      <c r="C205" s="34" t="s">
        <v>19510</v>
      </c>
      <c r="D205" s="35">
        <v>4.0</v>
      </c>
      <c r="E205" s="34" t="s">
        <v>19512</v>
      </c>
      <c r="F205" s="35">
        <v>3.0</v>
      </c>
      <c r="G205" s="34" t="s">
        <v>19234</v>
      </c>
      <c r="H205" s="35"/>
      <c r="I205" s="34"/>
      <c r="J205" s="35"/>
      <c r="K205" s="34"/>
      <c r="L205" s="35"/>
      <c r="M205" s="34"/>
      <c r="N205" s="5" t="s">
        <v>19513</v>
      </c>
      <c r="O205" s="36"/>
      <c r="P205" s="36" t="s">
        <v>19486</v>
      </c>
      <c r="Q205" s="37"/>
    </row>
    <row r="206" ht="37.5" customHeight="1">
      <c r="A206" s="32" t="s">
        <v>6049</v>
      </c>
      <c r="B206" s="33">
        <v>12.0</v>
      </c>
      <c r="C206" s="34" t="s">
        <v>19234</v>
      </c>
      <c r="D206" s="35"/>
      <c r="E206" s="34"/>
      <c r="F206" s="35"/>
      <c r="G206" s="34"/>
      <c r="H206" s="35"/>
      <c r="I206" s="34"/>
      <c r="J206" s="35"/>
      <c r="K206" s="34"/>
      <c r="L206" s="35"/>
      <c r="M206" s="34"/>
      <c r="N206" s="5" t="s">
        <v>19205</v>
      </c>
      <c r="O206" s="36"/>
      <c r="P206" s="36" t="s">
        <v>19486</v>
      </c>
      <c r="Q206" s="37"/>
    </row>
    <row r="207" ht="37.5" customHeight="1">
      <c r="A207" s="32" t="s">
        <v>6056</v>
      </c>
      <c r="B207" s="33">
        <v>20.0</v>
      </c>
      <c r="C207" s="34" t="s">
        <v>19234</v>
      </c>
      <c r="D207" s="35"/>
      <c r="E207" s="34"/>
      <c r="F207" s="35"/>
      <c r="G207" s="34"/>
      <c r="H207" s="35"/>
      <c r="I207" s="34"/>
      <c r="J207" s="35"/>
      <c r="K207" s="34"/>
      <c r="L207" s="35"/>
      <c r="M207" s="34"/>
      <c r="N207" s="5" t="s">
        <v>19128</v>
      </c>
      <c r="O207" s="36"/>
      <c r="P207" s="36" t="s">
        <v>19486</v>
      </c>
      <c r="Q207" s="37"/>
    </row>
    <row r="208" ht="37.5" customHeight="1">
      <c r="A208" s="32" t="s">
        <v>6068</v>
      </c>
      <c r="B208" s="33">
        <v>4.0</v>
      </c>
      <c r="C208" s="34" t="s">
        <v>19234</v>
      </c>
      <c r="D208" s="35"/>
      <c r="E208" s="34"/>
      <c r="F208" s="35"/>
      <c r="G208" s="34"/>
      <c r="H208" s="35"/>
      <c r="I208" s="34"/>
      <c r="J208" s="35"/>
      <c r="K208" s="34"/>
      <c r="L208" s="35"/>
      <c r="M208" s="34"/>
      <c r="N208" s="5" t="s">
        <v>19205</v>
      </c>
      <c r="O208" s="36"/>
      <c r="P208" s="36" t="s">
        <v>19486</v>
      </c>
      <c r="Q208" s="37"/>
    </row>
    <row r="209" ht="37.5" customHeight="1">
      <c r="A209" s="32" t="s">
        <v>6090</v>
      </c>
      <c r="B209" s="33">
        <v>3.0</v>
      </c>
      <c r="C209" s="34" t="s">
        <v>19234</v>
      </c>
      <c r="D209" s="35"/>
      <c r="E209" s="34"/>
      <c r="F209" s="35"/>
      <c r="G209" s="34"/>
      <c r="H209" s="35"/>
      <c r="I209" s="34"/>
      <c r="J209" s="35"/>
      <c r="K209" s="34"/>
      <c r="L209" s="35"/>
      <c r="M209" s="34"/>
      <c r="N209" s="50" t="s">
        <v>19592</v>
      </c>
      <c r="O209" s="36"/>
      <c r="P209" s="36" t="s">
        <v>19486</v>
      </c>
      <c r="Q209" s="37"/>
    </row>
    <row r="210" ht="37.5" customHeight="1">
      <c r="A210" s="32" t="s">
        <v>6112</v>
      </c>
      <c r="B210" s="33">
        <v>5.0</v>
      </c>
      <c r="C210" s="34" t="s">
        <v>19234</v>
      </c>
      <c r="D210" s="35"/>
      <c r="E210" s="34"/>
      <c r="F210" s="35"/>
      <c r="G210" s="34"/>
      <c r="H210" s="35"/>
      <c r="I210" s="34"/>
      <c r="J210" s="35"/>
      <c r="K210" s="34"/>
      <c r="L210" s="35"/>
      <c r="M210" s="34"/>
      <c r="N210" s="50" t="s">
        <v>19592</v>
      </c>
      <c r="O210" s="36"/>
      <c r="P210" s="36" t="s">
        <v>19486</v>
      </c>
      <c r="Q210" s="37"/>
    </row>
    <row r="211" ht="37.5" customHeight="1">
      <c r="A211" s="32" t="s">
        <v>6138</v>
      </c>
      <c r="B211" s="33">
        <v>3.0</v>
      </c>
      <c r="C211" s="34" t="s">
        <v>19234</v>
      </c>
      <c r="D211" s="35"/>
      <c r="E211" s="34"/>
      <c r="F211" s="35"/>
      <c r="G211" s="34"/>
      <c r="H211" s="35"/>
      <c r="I211" s="34"/>
      <c r="J211" s="35"/>
      <c r="K211" s="34"/>
      <c r="L211" s="35"/>
      <c r="M211" s="34"/>
      <c r="N211" s="5" t="s">
        <v>19238</v>
      </c>
      <c r="O211" s="36"/>
      <c r="P211" s="36" t="s">
        <v>19486</v>
      </c>
      <c r="Q211" s="37"/>
    </row>
    <row r="212" ht="37.5" customHeight="1">
      <c r="A212" s="32" t="s">
        <v>6161</v>
      </c>
      <c r="B212" s="33">
        <v>14.0</v>
      </c>
      <c r="C212" s="34" t="s">
        <v>19234</v>
      </c>
      <c r="D212" s="35"/>
      <c r="E212" s="34"/>
      <c r="F212" s="35"/>
      <c r="G212" s="34"/>
      <c r="H212" s="35"/>
      <c r="I212" s="34"/>
      <c r="J212" s="35"/>
      <c r="K212" s="34"/>
      <c r="L212" s="35"/>
      <c r="M212" s="34"/>
      <c r="N212" s="5" t="s">
        <v>19205</v>
      </c>
      <c r="O212" s="36"/>
      <c r="P212" s="36" t="s">
        <v>19486</v>
      </c>
      <c r="Q212" s="37"/>
    </row>
    <row r="213" ht="37.5" customHeight="1">
      <c r="A213" s="32" t="s">
        <v>6172</v>
      </c>
      <c r="B213" s="33">
        <v>10.0</v>
      </c>
      <c r="C213" s="34" t="s">
        <v>19234</v>
      </c>
      <c r="D213" s="35"/>
      <c r="E213" s="34"/>
      <c r="F213" s="35"/>
      <c r="G213" s="34"/>
      <c r="H213" s="35"/>
      <c r="I213" s="34"/>
      <c r="J213" s="35"/>
      <c r="K213" s="34"/>
      <c r="L213" s="35"/>
      <c r="M213" s="34"/>
      <c r="N213" s="5" t="s">
        <v>19205</v>
      </c>
      <c r="O213" s="36"/>
      <c r="P213" s="36" t="s">
        <v>19486</v>
      </c>
      <c r="Q213" s="37"/>
    </row>
    <row r="214" ht="37.5" customHeight="1">
      <c r="A214" s="32" t="s">
        <v>6204</v>
      </c>
      <c r="B214" s="33">
        <v>20.0</v>
      </c>
      <c r="C214" s="34" t="s">
        <v>19164</v>
      </c>
      <c r="D214" s="35">
        <v>10.0</v>
      </c>
      <c r="E214" s="34" t="s">
        <v>19234</v>
      </c>
      <c r="F214" s="35"/>
      <c r="G214" s="34"/>
      <c r="H214" s="35"/>
      <c r="I214" s="34"/>
      <c r="J214" s="35"/>
      <c r="K214" s="34"/>
      <c r="L214" s="35"/>
      <c r="M214" s="34"/>
      <c r="N214" s="5" t="s">
        <v>19232</v>
      </c>
      <c r="O214" s="36"/>
      <c r="P214" s="36" t="s">
        <v>19486</v>
      </c>
      <c r="Q214" s="37"/>
    </row>
    <row r="215" ht="37.5" customHeight="1">
      <c r="A215" s="32" t="s">
        <v>6258</v>
      </c>
      <c r="B215" s="33">
        <v>6.0</v>
      </c>
      <c r="C215" s="34" t="s">
        <v>19164</v>
      </c>
      <c r="D215" s="35">
        <v>4.0</v>
      </c>
      <c r="E215" s="34" t="s">
        <v>19234</v>
      </c>
      <c r="F215" s="35"/>
      <c r="G215" s="34"/>
      <c r="H215" s="35"/>
      <c r="I215" s="34"/>
      <c r="J215" s="35"/>
      <c r="K215" s="34"/>
      <c r="L215" s="35"/>
      <c r="M215" s="34"/>
      <c r="N215" s="5" t="s">
        <v>19232</v>
      </c>
      <c r="O215" s="36"/>
      <c r="P215" s="36" t="s">
        <v>19486</v>
      </c>
      <c r="Q215" s="37"/>
    </row>
    <row r="216" ht="37.5" customHeight="1">
      <c r="A216" s="32" t="s">
        <v>6274</v>
      </c>
      <c r="B216" s="33">
        <v>3.0</v>
      </c>
      <c r="C216" s="34" t="s">
        <v>19164</v>
      </c>
      <c r="D216" s="35">
        <v>2.0</v>
      </c>
      <c r="E216" s="34" t="s">
        <v>19234</v>
      </c>
      <c r="F216" s="35"/>
      <c r="G216" s="34"/>
      <c r="H216" s="35"/>
      <c r="I216" s="34"/>
      <c r="J216" s="35"/>
      <c r="K216" s="34"/>
      <c r="L216" s="35"/>
      <c r="M216" s="34"/>
      <c r="N216" s="5" t="s">
        <v>19232</v>
      </c>
      <c r="O216" s="36"/>
      <c r="P216" s="36" t="s">
        <v>19486</v>
      </c>
      <c r="Q216" s="37"/>
    </row>
    <row r="217" ht="37.5" customHeight="1">
      <c r="A217" s="32" t="s">
        <v>6304</v>
      </c>
      <c r="B217" s="33">
        <v>12.0</v>
      </c>
      <c r="C217" s="34" t="s">
        <v>19164</v>
      </c>
      <c r="D217" s="35">
        <v>6.0</v>
      </c>
      <c r="E217" s="34" t="s">
        <v>19234</v>
      </c>
      <c r="F217" s="35">
        <v>1.0</v>
      </c>
      <c r="G217" s="34" t="s">
        <v>6369</v>
      </c>
      <c r="H217" s="35"/>
      <c r="I217" s="34"/>
      <c r="J217" s="35"/>
      <c r="K217" s="34"/>
      <c r="L217" s="35"/>
      <c r="M217" s="34"/>
      <c r="N217" s="5" t="s">
        <v>19361</v>
      </c>
      <c r="O217" s="36"/>
      <c r="P217" s="36" t="s">
        <v>19486</v>
      </c>
      <c r="Q217" s="37"/>
    </row>
    <row r="218" ht="37.5" customHeight="1">
      <c r="A218" s="36" t="s">
        <v>6340</v>
      </c>
      <c r="B218" s="33">
        <v>12.0</v>
      </c>
      <c r="C218" s="34" t="s">
        <v>19164</v>
      </c>
      <c r="D218" s="35">
        <v>6.0</v>
      </c>
      <c r="E218" s="34" t="s">
        <v>19234</v>
      </c>
      <c r="F218" s="35">
        <v>1.0</v>
      </c>
      <c r="G218" s="34" t="s">
        <v>8399</v>
      </c>
      <c r="H218" s="35"/>
      <c r="I218" s="34"/>
      <c r="J218" s="35"/>
      <c r="K218" s="34"/>
      <c r="L218" s="35"/>
      <c r="M218" s="34"/>
      <c r="N218" s="5" t="s">
        <v>19238</v>
      </c>
      <c r="O218" s="36"/>
      <c r="P218" s="36" t="s">
        <v>19486</v>
      </c>
      <c r="Q218" s="37"/>
    </row>
    <row r="219" ht="37.5" customHeight="1">
      <c r="A219" s="32" t="s">
        <v>6369</v>
      </c>
      <c r="B219" s="33">
        <v>7.0</v>
      </c>
      <c r="C219" s="34" t="s">
        <v>19164</v>
      </c>
      <c r="D219" s="35">
        <v>4.0</v>
      </c>
      <c r="E219" s="34" t="s">
        <v>19234</v>
      </c>
      <c r="F219" s="35"/>
      <c r="G219" s="34"/>
      <c r="H219" s="35"/>
      <c r="I219" s="34"/>
      <c r="J219" s="35"/>
      <c r="K219" s="34"/>
      <c r="L219" s="35"/>
      <c r="M219" s="34"/>
      <c r="N219" s="5" t="s">
        <v>19361</v>
      </c>
      <c r="O219" s="36"/>
      <c r="P219" s="36" t="s">
        <v>19486</v>
      </c>
      <c r="Q219" s="37"/>
    </row>
    <row r="220" ht="37.5" customHeight="1">
      <c r="A220" s="32" t="s">
        <v>6401</v>
      </c>
      <c r="B220" s="33">
        <v>4.0</v>
      </c>
      <c r="C220" s="34" t="s">
        <v>19164</v>
      </c>
      <c r="D220" s="35">
        <v>3.0</v>
      </c>
      <c r="E220" s="34" t="s">
        <v>19234</v>
      </c>
      <c r="F220" s="35">
        <v>1.0</v>
      </c>
      <c r="G220" s="34" t="s">
        <v>6369</v>
      </c>
      <c r="H220" s="35">
        <v>1.0</v>
      </c>
      <c r="I220" s="34" t="s">
        <v>1199</v>
      </c>
      <c r="J220" s="35"/>
      <c r="K220" s="34"/>
      <c r="L220" s="35"/>
      <c r="M220" s="34"/>
      <c r="N220" s="5" t="s">
        <v>59</v>
      </c>
      <c r="O220" s="36"/>
      <c r="P220" s="36" t="s">
        <v>19486</v>
      </c>
      <c r="Q220" s="37"/>
    </row>
    <row r="221" ht="37.5" customHeight="1">
      <c r="A221" s="32" t="s">
        <v>6425</v>
      </c>
      <c r="B221" s="33">
        <v>6.0</v>
      </c>
      <c r="C221" s="34" t="s">
        <v>19164</v>
      </c>
      <c r="D221" s="35">
        <v>4.0</v>
      </c>
      <c r="E221" s="34" t="s">
        <v>19234</v>
      </c>
      <c r="F221" s="35"/>
      <c r="G221" s="34"/>
      <c r="H221" s="35"/>
      <c r="I221" s="34"/>
      <c r="J221" s="35"/>
      <c r="K221" s="34"/>
      <c r="L221" s="35"/>
      <c r="M221" s="34"/>
      <c r="N221" s="5" t="s">
        <v>19361</v>
      </c>
      <c r="O221" s="36"/>
      <c r="P221" s="36" t="s">
        <v>19486</v>
      </c>
      <c r="Q221" s="37"/>
    </row>
    <row r="222" ht="37.5" customHeight="1">
      <c r="A222" s="32" t="s">
        <v>6447</v>
      </c>
      <c r="B222" s="33">
        <v>12.0</v>
      </c>
      <c r="C222" s="34" t="s">
        <v>19164</v>
      </c>
      <c r="D222" s="35">
        <v>6.0</v>
      </c>
      <c r="E222" s="34" t="s">
        <v>19234</v>
      </c>
      <c r="F222" s="35"/>
      <c r="G222" s="34"/>
      <c r="H222" s="35"/>
      <c r="I222" s="34"/>
      <c r="J222" s="35"/>
      <c r="K222" s="34"/>
      <c r="L222" s="35"/>
      <c r="M222" s="34"/>
      <c r="N222" s="5" t="s">
        <v>19238</v>
      </c>
      <c r="O222" s="36"/>
      <c r="P222" s="36" t="s">
        <v>19486</v>
      </c>
      <c r="Q222" s="37"/>
    </row>
    <row r="223" ht="37.5" customHeight="1">
      <c r="A223" s="32" t="s">
        <v>6469</v>
      </c>
      <c r="B223" s="33">
        <v>5.0</v>
      </c>
      <c r="C223" s="34" t="s">
        <v>19234</v>
      </c>
      <c r="D223" s="35"/>
      <c r="E223" s="34"/>
      <c r="F223" s="35"/>
      <c r="G223" s="34"/>
      <c r="H223" s="35"/>
      <c r="I223" s="34"/>
      <c r="J223" s="35"/>
      <c r="K223" s="34"/>
      <c r="L223" s="35"/>
      <c r="M223" s="34"/>
      <c r="N223" s="5" t="s">
        <v>19238</v>
      </c>
      <c r="O223" s="36"/>
      <c r="P223" s="36" t="s">
        <v>19486</v>
      </c>
      <c r="Q223" s="37"/>
    </row>
    <row r="224" ht="37.5" customHeight="1">
      <c r="A224" s="32" t="s">
        <v>6486</v>
      </c>
      <c r="B224" s="33">
        <v>10.0</v>
      </c>
      <c r="C224" s="34" t="s">
        <v>339</v>
      </c>
      <c r="D224" s="35">
        <v>2.0</v>
      </c>
      <c r="E224" s="34" t="s">
        <v>19234</v>
      </c>
      <c r="F224" s="35"/>
      <c r="G224" s="34"/>
      <c r="H224" s="35"/>
      <c r="I224" s="34"/>
      <c r="J224" s="35"/>
      <c r="K224" s="34"/>
      <c r="L224" s="35"/>
      <c r="M224" s="34"/>
      <c r="N224" s="5" t="s">
        <v>19205</v>
      </c>
      <c r="O224" s="36"/>
      <c r="P224" s="36" t="s">
        <v>19486</v>
      </c>
      <c r="Q224" s="37"/>
    </row>
    <row r="225" ht="37.5" customHeight="1">
      <c r="A225" s="32" t="s">
        <v>6504</v>
      </c>
      <c r="B225" s="33">
        <v>8.0</v>
      </c>
      <c r="C225" s="34" t="s">
        <v>19234</v>
      </c>
      <c r="D225" s="35">
        <v>2.0</v>
      </c>
      <c r="E225" s="34" t="s">
        <v>19164</v>
      </c>
      <c r="F225" s="35">
        <v>1.0</v>
      </c>
      <c r="G225" s="34" t="s">
        <v>1467</v>
      </c>
      <c r="H225" s="35"/>
      <c r="I225" s="34"/>
      <c r="J225" s="35"/>
      <c r="K225" s="34"/>
      <c r="L225" s="35"/>
      <c r="M225" s="34"/>
      <c r="N225" s="5" t="s">
        <v>19238</v>
      </c>
      <c r="O225" s="36"/>
      <c r="P225" s="36" t="s">
        <v>19486</v>
      </c>
      <c r="Q225" s="37"/>
    </row>
    <row r="226" ht="37.5" customHeight="1">
      <c r="A226" s="36" t="s">
        <v>6624</v>
      </c>
      <c r="B226" s="33">
        <v>5.0</v>
      </c>
      <c r="C226" s="34" t="s">
        <v>810</v>
      </c>
      <c r="D226" s="35"/>
      <c r="E226" s="34"/>
      <c r="F226" s="35"/>
      <c r="G226" s="34"/>
      <c r="H226" s="35"/>
      <c r="I226" s="34"/>
      <c r="J226" s="35"/>
      <c r="K226" s="34"/>
      <c r="L226" s="35"/>
      <c r="M226" s="34"/>
      <c r="N226" s="5" t="s">
        <v>19243</v>
      </c>
      <c r="O226" s="36"/>
      <c r="P226" s="36" t="s">
        <v>19486</v>
      </c>
      <c r="Q226" s="37"/>
    </row>
    <row r="227" ht="37.5" customHeight="1">
      <c r="A227" s="32" t="s">
        <v>6676</v>
      </c>
      <c r="B227" s="33">
        <v>3.0</v>
      </c>
      <c r="C227" s="34" t="s">
        <v>19611</v>
      </c>
      <c r="D227" s="35">
        <v>5.0</v>
      </c>
      <c r="E227" s="34" t="s">
        <v>19122</v>
      </c>
      <c r="F227" s="35">
        <v>3.0</v>
      </c>
      <c r="G227" s="34" t="s">
        <v>19534</v>
      </c>
      <c r="H227" s="35"/>
      <c r="I227" s="34"/>
      <c r="J227" s="35"/>
      <c r="K227" s="34"/>
      <c r="L227" s="35"/>
      <c r="M227" s="34"/>
      <c r="N227" s="5" t="s">
        <v>19136</v>
      </c>
      <c r="O227" s="36"/>
      <c r="P227" s="36" t="s">
        <v>19486</v>
      </c>
      <c r="Q227" s="37"/>
    </row>
    <row r="228" ht="37.5" customHeight="1">
      <c r="A228" s="32" t="s">
        <v>6686</v>
      </c>
      <c r="B228" s="33">
        <v>3.0</v>
      </c>
      <c r="C228" s="34" t="s">
        <v>19172</v>
      </c>
      <c r="D228" s="35">
        <v>3.0</v>
      </c>
      <c r="E228" s="34" t="s">
        <v>19164</v>
      </c>
      <c r="F228" s="35"/>
      <c r="G228" s="34"/>
      <c r="H228" s="35"/>
      <c r="I228" s="34"/>
      <c r="J228" s="35"/>
      <c r="K228" s="34"/>
      <c r="L228" s="35"/>
      <c r="M228" s="34"/>
      <c r="N228" s="5" t="s">
        <v>19177</v>
      </c>
      <c r="O228" s="36"/>
      <c r="P228" s="36" t="s">
        <v>19486</v>
      </c>
      <c r="Q228" s="37"/>
    </row>
    <row r="229" ht="37.5" customHeight="1">
      <c r="A229" s="32" t="s">
        <v>6818</v>
      </c>
      <c r="B229" s="33">
        <v>5.0</v>
      </c>
      <c r="C229" s="34" t="s">
        <v>19416</v>
      </c>
      <c r="D229" s="35">
        <v>3.0</v>
      </c>
      <c r="E229" s="34" t="s">
        <v>19234</v>
      </c>
      <c r="F229" s="35">
        <v>3.0</v>
      </c>
      <c r="G229" s="34" t="s">
        <v>19164</v>
      </c>
      <c r="H229" s="35"/>
      <c r="I229" s="34"/>
      <c r="J229" s="35"/>
      <c r="K229" s="34"/>
      <c r="L229" s="35"/>
      <c r="M229" s="34"/>
      <c r="N229" s="5" t="s">
        <v>19238</v>
      </c>
      <c r="O229" s="36"/>
      <c r="P229" s="36" t="s">
        <v>19486</v>
      </c>
      <c r="Q229" s="37"/>
    </row>
    <row r="230" ht="37.5" customHeight="1">
      <c r="A230" s="32" t="s">
        <v>7234</v>
      </c>
      <c r="B230" s="33">
        <v>30.0</v>
      </c>
      <c r="C230" s="34" t="s">
        <v>19166</v>
      </c>
      <c r="D230" s="35"/>
      <c r="E230" s="34"/>
      <c r="F230" s="35"/>
      <c r="G230" s="34"/>
      <c r="H230" s="35"/>
      <c r="I230" s="34"/>
      <c r="J230" s="35"/>
      <c r="K230" s="34"/>
      <c r="L230" s="35"/>
      <c r="M230" s="34"/>
      <c r="N230" s="50" t="s">
        <v>19616</v>
      </c>
      <c r="O230" s="36"/>
      <c r="P230" s="36" t="s">
        <v>19486</v>
      </c>
      <c r="Q230" s="37"/>
    </row>
    <row r="231" ht="37.5" customHeight="1">
      <c r="A231" s="32" t="s">
        <v>7309</v>
      </c>
      <c r="B231" s="33">
        <v>5.0</v>
      </c>
      <c r="C231" s="34" t="s">
        <v>19166</v>
      </c>
      <c r="D231" s="35"/>
      <c r="E231" s="34"/>
      <c r="F231" s="35"/>
      <c r="G231" s="34"/>
      <c r="H231" s="35"/>
      <c r="I231" s="34"/>
      <c r="J231" s="35"/>
      <c r="K231" s="34"/>
      <c r="L231" s="35"/>
      <c r="M231" s="34"/>
      <c r="N231" s="50" t="s">
        <v>19619</v>
      </c>
      <c r="O231" s="36"/>
      <c r="P231" s="36" t="s">
        <v>19486</v>
      </c>
      <c r="Q231" s="37"/>
    </row>
    <row r="232" ht="37.5" customHeight="1">
      <c r="A232" s="32" t="s">
        <v>7331</v>
      </c>
      <c r="B232" s="33">
        <v>2.0</v>
      </c>
      <c r="C232" s="34" t="s">
        <v>7309</v>
      </c>
      <c r="D232" s="35">
        <v>3.0</v>
      </c>
      <c r="E232" s="34" t="s">
        <v>19166</v>
      </c>
      <c r="F232" s="35"/>
      <c r="G232" s="34"/>
      <c r="H232" s="35"/>
      <c r="I232" s="34"/>
      <c r="J232" s="35"/>
      <c r="K232" s="34"/>
      <c r="L232" s="35"/>
      <c r="M232" s="34"/>
      <c r="N232" s="5" t="s">
        <v>19161</v>
      </c>
      <c r="O232" s="36"/>
      <c r="P232" s="36" t="s">
        <v>19486</v>
      </c>
      <c r="Q232" s="37"/>
    </row>
    <row r="233" ht="37.5" customHeight="1">
      <c r="A233" s="32" t="s">
        <v>7473</v>
      </c>
      <c r="B233" s="33">
        <v>15.0</v>
      </c>
      <c r="C233" s="34" t="s">
        <v>19166</v>
      </c>
      <c r="D233" s="35"/>
      <c r="E233" s="34"/>
      <c r="F233" s="35"/>
      <c r="G233" s="34"/>
      <c r="H233" s="35"/>
      <c r="I233" s="34"/>
      <c r="J233" s="35"/>
      <c r="K233" s="34"/>
      <c r="L233" s="35"/>
      <c r="M233" s="34"/>
      <c r="N233" s="50" t="s">
        <v>19505</v>
      </c>
      <c r="O233" s="36"/>
      <c r="P233" s="36" t="s">
        <v>19486</v>
      </c>
      <c r="Q233" s="37"/>
    </row>
    <row r="234" ht="37.5" customHeight="1">
      <c r="A234" s="32" t="s">
        <v>7597</v>
      </c>
      <c r="B234" s="33">
        <v>2.0</v>
      </c>
      <c r="C234" s="34" t="s">
        <v>7952</v>
      </c>
      <c r="D234" s="35"/>
      <c r="E234" s="34"/>
      <c r="F234" s="35"/>
      <c r="G234" s="34"/>
      <c r="H234" s="35"/>
      <c r="I234" s="34"/>
      <c r="J234" s="35"/>
      <c r="K234" s="34"/>
      <c r="L234" s="35"/>
      <c r="M234" s="34"/>
      <c r="N234" s="5" t="s">
        <v>44</v>
      </c>
      <c r="O234" s="36"/>
      <c r="P234" s="36" t="s">
        <v>19486</v>
      </c>
      <c r="Q234" s="37"/>
    </row>
    <row r="235" ht="37.5" customHeight="1">
      <c r="A235" s="32" t="s">
        <v>7716</v>
      </c>
      <c r="B235" s="33">
        <v>12.0</v>
      </c>
      <c r="C235" s="34" t="s">
        <v>19166</v>
      </c>
      <c r="D235" s="35"/>
      <c r="E235" s="34"/>
      <c r="F235" s="35"/>
      <c r="G235" s="34"/>
      <c r="H235" s="35"/>
      <c r="I235" s="34"/>
      <c r="J235" s="35"/>
      <c r="K235" s="34"/>
      <c r="L235" s="35"/>
      <c r="M235" s="34"/>
      <c r="N235" s="50" t="s">
        <v>19616</v>
      </c>
      <c r="O235" s="36"/>
      <c r="P235" s="36" t="s">
        <v>19486</v>
      </c>
      <c r="Q235" s="37"/>
    </row>
    <row r="236" ht="37.5" customHeight="1">
      <c r="A236" s="32" t="s">
        <v>7851</v>
      </c>
      <c r="B236" s="33">
        <v>15.0</v>
      </c>
      <c r="C236" s="34" t="s">
        <v>19166</v>
      </c>
      <c r="D236" s="35"/>
      <c r="E236" s="34"/>
      <c r="F236" s="35"/>
      <c r="G236" s="34"/>
      <c r="H236" s="35"/>
      <c r="I236" s="34"/>
      <c r="J236" s="35"/>
      <c r="K236" s="34"/>
      <c r="L236" s="35"/>
      <c r="M236" s="34"/>
      <c r="N236" s="5" t="s">
        <v>19196</v>
      </c>
      <c r="O236" s="36"/>
      <c r="P236" s="36" t="s">
        <v>19486</v>
      </c>
      <c r="Q236" s="37"/>
    </row>
    <row r="237" ht="37.5" customHeight="1">
      <c r="A237" s="32" t="s">
        <v>7952</v>
      </c>
      <c r="B237" s="33">
        <v>8.0</v>
      </c>
      <c r="C237" s="34" t="s">
        <v>19166</v>
      </c>
      <c r="D237" s="35"/>
      <c r="E237" s="34"/>
      <c r="F237" s="35"/>
      <c r="G237" s="34"/>
      <c r="H237" s="35"/>
      <c r="I237" s="34"/>
      <c r="J237" s="35"/>
      <c r="K237" s="34"/>
      <c r="L237" s="35"/>
      <c r="M237" s="34"/>
      <c r="N237" s="5" t="s">
        <v>19161</v>
      </c>
      <c r="O237" s="36"/>
      <c r="P237" s="36" t="s">
        <v>19486</v>
      </c>
      <c r="Q237" s="37"/>
    </row>
    <row r="238" ht="37.5" customHeight="1">
      <c r="A238" s="32" t="s">
        <v>8032</v>
      </c>
      <c r="B238" s="33">
        <v>3.0</v>
      </c>
      <c r="C238" s="34" t="s">
        <v>19164</v>
      </c>
      <c r="D238" s="35"/>
      <c r="E238" s="34"/>
      <c r="F238" s="35"/>
      <c r="G238" s="34"/>
      <c r="H238" s="35"/>
      <c r="I238" s="34"/>
      <c r="J238" s="35"/>
      <c r="K238" s="34"/>
      <c r="L238" s="35"/>
      <c r="M238" s="34"/>
      <c r="N238" s="50" t="s">
        <v>19627</v>
      </c>
      <c r="O238" s="36"/>
      <c r="P238" s="36" t="s">
        <v>19486</v>
      </c>
      <c r="Q238" s="37"/>
    </row>
    <row r="239" ht="37.5" customHeight="1">
      <c r="A239" s="32" t="s">
        <v>8047</v>
      </c>
      <c r="B239" s="33">
        <v>4.0</v>
      </c>
      <c r="C239" s="34" t="s">
        <v>19164</v>
      </c>
      <c r="D239" s="35"/>
      <c r="E239" s="34"/>
      <c r="F239" s="35"/>
      <c r="G239" s="34"/>
      <c r="H239" s="35"/>
      <c r="I239" s="34"/>
      <c r="J239" s="35"/>
      <c r="K239" s="34"/>
      <c r="L239" s="35"/>
      <c r="M239" s="34"/>
      <c r="N239" s="50" t="s">
        <v>19616</v>
      </c>
      <c r="O239" s="36"/>
      <c r="P239" s="36" t="s">
        <v>19486</v>
      </c>
      <c r="Q239" s="37"/>
    </row>
    <row r="240" ht="37.5" customHeight="1">
      <c r="A240" s="32" t="s">
        <v>8190</v>
      </c>
      <c r="B240" s="33">
        <v>10.0</v>
      </c>
      <c r="C240" s="34" t="s">
        <v>19188</v>
      </c>
      <c r="D240" s="35">
        <v>15.0</v>
      </c>
      <c r="E240" s="34" t="s">
        <v>19234</v>
      </c>
      <c r="F240" s="35"/>
      <c r="G240" s="34"/>
      <c r="H240" s="35"/>
      <c r="I240" s="34"/>
      <c r="J240" s="35"/>
      <c r="K240" s="34"/>
      <c r="L240" s="35"/>
      <c r="M240" s="34"/>
      <c r="N240" s="5" t="s">
        <v>19190</v>
      </c>
      <c r="O240" s="36"/>
      <c r="P240" s="36" t="s">
        <v>19486</v>
      </c>
      <c r="Q240" s="37"/>
    </row>
    <row r="241" ht="37.5" customHeight="1">
      <c r="A241" s="32" t="s">
        <v>8197</v>
      </c>
      <c r="B241" s="33">
        <v>10.0</v>
      </c>
      <c r="C241" s="34" t="s">
        <v>19188</v>
      </c>
      <c r="D241" s="35">
        <v>10.0</v>
      </c>
      <c r="E241" s="34" t="s">
        <v>19234</v>
      </c>
      <c r="F241" s="35">
        <v>4.0</v>
      </c>
      <c r="G241" s="34" t="s">
        <v>19347</v>
      </c>
      <c r="H241" s="35"/>
      <c r="I241" s="34"/>
      <c r="J241" s="35"/>
      <c r="K241" s="34"/>
      <c r="L241" s="35"/>
      <c r="M241" s="34"/>
      <c r="N241" s="5" t="s">
        <v>19190</v>
      </c>
      <c r="O241" s="36"/>
      <c r="P241" s="36" t="s">
        <v>19486</v>
      </c>
      <c r="Q241" s="37"/>
    </row>
    <row r="242" ht="37.5" customHeight="1">
      <c r="A242" s="32" t="s">
        <v>8322</v>
      </c>
      <c r="B242" s="33">
        <v>3.0</v>
      </c>
      <c r="C242" s="34" t="s">
        <v>19234</v>
      </c>
      <c r="D242" s="35"/>
      <c r="E242" s="34"/>
      <c r="F242" s="35"/>
      <c r="G242" s="34"/>
      <c r="H242" s="35"/>
      <c r="I242" s="34"/>
      <c r="J242" s="35"/>
      <c r="K242" s="34"/>
      <c r="L242" s="35"/>
      <c r="M242" s="34"/>
      <c r="N242" s="5" t="s">
        <v>5290</v>
      </c>
      <c r="O242" s="36"/>
      <c r="P242" s="36" t="s">
        <v>19486</v>
      </c>
      <c r="Q242" s="37"/>
    </row>
    <row r="243" ht="37.5" customHeight="1">
      <c r="A243" s="32" t="s">
        <v>8349</v>
      </c>
      <c r="B243" s="33">
        <v>10.0</v>
      </c>
      <c r="C243" s="34" t="s">
        <v>12762</v>
      </c>
      <c r="D243" s="35">
        <v>3.0</v>
      </c>
      <c r="E243" s="34" t="s">
        <v>19172</v>
      </c>
      <c r="F243" s="35"/>
      <c r="G243" s="34"/>
      <c r="H243" s="35"/>
      <c r="I243" s="34"/>
      <c r="J243" s="35"/>
      <c r="K243" s="34"/>
      <c r="L243" s="35"/>
      <c r="M243" s="34"/>
      <c r="N243" s="5" t="s">
        <v>19177</v>
      </c>
      <c r="O243" s="36"/>
      <c r="P243" s="36" t="s">
        <v>19486</v>
      </c>
      <c r="Q243" s="37"/>
    </row>
    <row r="244" ht="37.5" customHeight="1">
      <c r="A244" s="36" t="s">
        <v>8361</v>
      </c>
      <c r="B244" s="33">
        <v>4.0</v>
      </c>
      <c r="C244" s="34" t="s">
        <v>810</v>
      </c>
      <c r="D244" s="35"/>
      <c r="E244" s="34"/>
      <c r="F244" s="35"/>
      <c r="G244" s="34"/>
      <c r="H244" s="35"/>
      <c r="I244" s="34"/>
      <c r="J244" s="35"/>
      <c r="K244" s="34"/>
      <c r="L244" s="35"/>
      <c r="M244" s="34"/>
      <c r="N244" s="5" t="s">
        <v>19243</v>
      </c>
      <c r="O244" s="36"/>
      <c r="P244" s="36" t="s">
        <v>19486</v>
      </c>
      <c r="Q244" s="37"/>
    </row>
    <row r="245" ht="37.5" customHeight="1">
      <c r="A245" s="32" t="s">
        <v>8399</v>
      </c>
      <c r="B245" s="33">
        <v>3.0</v>
      </c>
      <c r="C245" s="34" t="s">
        <v>19164</v>
      </c>
      <c r="D245" s="35">
        <v>3.0</v>
      </c>
      <c r="E245" s="34" t="s">
        <v>19166</v>
      </c>
      <c r="F245" s="35">
        <v>3.0</v>
      </c>
      <c r="G245" s="34" t="s">
        <v>19303</v>
      </c>
      <c r="H245" s="35">
        <v>2.0</v>
      </c>
      <c r="I245" s="34" t="s">
        <v>19234</v>
      </c>
      <c r="J245" s="35"/>
      <c r="K245" s="34"/>
      <c r="L245" s="35"/>
      <c r="M245" s="34"/>
      <c r="N245" s="5" t="s">
        <v>59</v>
      </c>
      <c r="O245" s="36"/>
      <c r="P245" s="36" t="s">
        <v>19486</v>
      </c>
      <c r="Q245" s="37"/>
    </row>
    <row r="246" ht="37.5" customHeight="1">
      <c r="A246" s="32" t="s">
        <v>8570</v>
      </c>
      <c r="B246" s="33">
        <v>15.0</v>
      </c>
      <c r="C246" s="34" t="s">
        <v>19188</v>
      </c>
      <c r="D246" s="35">
        <v>1.0</v>
      </c>
      <c r="E246" s="34" t="s">
        <v>19342</v>
      </c>
      <c r="F246" s="35"/>
      <c r="G246" s="34"/>
      <c r="H246" s="35"/>
      <c r="I246" s="34"/>
      <c r="J246" s="35"/>
      <c r="K246" s="34"/>
      <c r="L246" s="35"/>
      <c r="M246" s="34"/>
      <c r="N246" s="5" t="s">
        <v>19190</v>
      </c>
      <c r="O246" s="36"/>
      <c r="P246" s="36" t="s">
        <v>19486</v>
      </c>
      <c r="Q246" s="37"/>
    </row>
    <row r="247" ht="37.5" customHeight="1">
      <c r="A247" s="32" t="s">
        <v>8574</v>
      </c>
      <c r="B247" s="33">
        <v>15.0</v>
      </c>
      <c r="C247" s="34" t="s">
        <v>12762</v>
      </c>
      <c r="D247" s="35">
        <v>15.0</v>
      </c>
      <c r="E247" s="34" t="s">
        <v>19122</v>
      </c>
      <c r="F247" s="35"/>
      <c r="G247" s="34"/>
      <c r="H247" s="35"/>
      <c r="I247" s="34"/>
      <c r="J247" s="35"/>
      <c r="K247" s="34"/>
      <c r="L247" s="35"/>
      <c r="M247" s="34"/>
      <c r="N247" s="5" t="s">
        <v>19243</v>
      </c>
      <c r="O247" s="36"/>
      <c r="P247" s="36" t="s">
        <v>19486</v>
      </c>
      <c r="Q247" s="37"/>
    </row>
    <row r="248" ht="37.5" customHeight="1">
      <c r="A248" s="32" t="s">
        <v>8611</v>
      </c>
      <c r="B248" s="33">
        <v>4.0</v>
      </c>
      <c r="C248" s="34" t="s">
        <v>19164</v>
      </c>
      <c r="D248" s="35">
        <v>5.0</v>
      </c>
      <c r="E248" s="34" t="s">
        <v>19303</v>
      </c>
      <c r="F248" s="35"/>
      <c r="G248" s="34"/>
      <c r="H248" s="35"/>
      <c r="I248" s="34"/>
      <c r="J248" s="35"/>
      <c r="K248" s="34"/>
      <c r="L248" s="35"/>
      <c r="M248" s="34"/>
      <c r="N248" s="5" t="s">
        <v>19128</v>
      </c>
      <c r="O248" s="36"/>
      <c r="P248" s="36" t="s">
        <v>19486</v>
      </c>
      <c r="Q248" s="37"/>
    </row>
    <row r="249" ht="37.5" customHeight="1">
      <c r="A249" s="32" t="s">
        <v>8662</v>
      </c>
      <c r="B249" s="33">
        <v>3.0</v>
      </c>
      <c r="C249" s="34" t="s">
        <v>19450</v>
      </c>
      <c r="D249" s="35">
        <v>10.0</v>
      </c>
      <c r="E249" s="34" t="s">
        <v>19122</v>
      </c>
      <c r="F249" s="35"/>
      <c r="G249" s="34"/>
      <c r="H249" s="35"/>
      <c r="I249" s="34"/>
      <c r="J249" s="35"/>
      <c r="K249" s="34"/>
      <c r="L249" s="35"/>
      <c r="M249" s="34"/>
      <c r="N249" s="5" t="s">
        <v>19196</v>
      </c>
      <c r="O249" s="36"/>
      <c r="P249" s="36" t="s">
        <v>19486</v>
      </c>
      <c r="Q249" s="37"/>
    </row>
    <row r="250" ht="37.5" customHeight="1">
      <c r="A250" s="36" t="s">
        <v>8682</v>
      </c>
      <c r="B250" s="33">
        <v>1.0</v>
      </c>
      <c r="C250" s="34" t="s">
        <v>19338</v>
      </c>
      <c r="D250" s="35">
        <v>5.0</v>
      </c>
      <c r="E250" s="34" t="s">
        <v>19289</v>
      </c>
      <c r="F250" s="35"/>
      <c r="G250" s="34"/>
      <c r="H250" s="35"/>
      <c r="I250" s="34"/>
      <c r="J250" s="35"/>
      <c r="K250" s="34"/>
      <c r="L250" s="35"/>
      <c r="M250" s="34"/>
      <c r="N250" s="5" t="s">
        <v>19340</v>
      </c>
      <c r="O250" s="36"/>
      <c r="P250" s="36" t="s">
        <v>19486</v>
      </c>
      <c r="Q250" s="37"/>
    </row>
    <row r="251" ht="37.5" customHeight="1">
      <c r="A251" s="32" t="s">
        <v>8711</v>
      </c>
      <c r="B251" s="33">
        <v>2.0</v>
      </c>
      <c r="C251" s="34" t="s">
        <v>19338</v>
      </c>
      <c r="D251" s="35">
        <v>1.0</v>
      </c>
      <c r="E251" s="34" t="s">
        <v>8047</v>
      </c>
      <c r="F251" s="35"/>
      <c r="G251" s="34"/>
      <c r="H251" s="35"/>
      <c r="I251" s="34"/>
      <c r="J251" s="35"/>
      <c r="K251" s="34"/>
      <c r="L251" s="35"/>
      <c r="M251" s="34"/>
      <c r="N251" s="5" t="s">
        <v>19340</v>
      </c>
      <c r="O251" s="36"/>
      <c r="P251" s="36" t="s">
        <v>19486</v>
      </c>
      <c r="Q251" s="37"/>
    </row>
    <row r="252" ht="37.5" customHeight="1">
      <c r="A252" s="32" t="s">
        <v>8742</v>
      </c>
      <c r="B252" s="33">
        <v>2.0</v>
      </c>
      <c r="C252" s="34" t="s">
        <v>19337</v>
      </c>
      <c r="D252" s="35"/>
      <c r="E252" s="34"/>
      <c r="F252" s="35"/>
      <c r="G252" s="34"/>
      <c r="H252" s="35"/>
      <c r="I252" s="34"/>
      <c r="J252" s="35"/>
      <c r="K252" s="34"/>
      <c r="L252" s="35"/>
      <c r="M252" s="34"/>
      <c r="N252" s="5" t="s">
        <v>19340</v>
      </c>
      <c r="O252" s="36"/>
      <c r="P252" s="36" t="s">
        <v>19486</v>
      </c>
      <c r="Q252" s="37"/>
    </row>
    <row r="253" ht="37.5" customHeight="1">
      <c r="A253" s="32" t="s">
        <v>8773</v>
      </c>
      <c r="B253" s="33">
        <v>3.0</v>
      </c>
      <c r="C253" s="34" t="s">
        <v>19339</v>
      </c>
      <c r="D253" s="35"/>
      <c r="E253" s="34"/>
      <c r="F253" s="35"/>
      <c r="G253" s="34"/>
      <c r="H253" s="35"/>
      <c r="I253" s="34"/>
      <c r="J253" s="35"/>
      <c r="K253" s="34"/>
      <c r="L253" s="35"/>
      <c r="M253" s="34"/>
      <c r="N253" s="5" t="s">
        <v>19340</v>
      </c>
      <c r="O253" s="36"/>
      <c r="P253" s="36" t="s">
        <v>19486</v>
      </c>
      <c r="Q253" s="37"/>
    </row>
    <row r="254" ht="37.5" customHeight="1">
      <c r="A254" s="32" t="s">
        <v>8800</v>
      </c>
      <c r="B254" s="33">
        <v>3.0</v>
      </c>
      <c r="C254" s="34" t="s">
        <v>19338</v>
      </c>
      <c r="D254" s="35"/>
      <c r="E254" s="34"/>
      <c r="F254" s="35"/>
      <c r="G254" s="34"/>
      <c r="H254" s="35"/>
      <c r="I254" s="34"/>
      <c r="J254" s="35"/>
      <c r="K254" s="34"/>
      <c r="L254" s="35"/>
      <c r="M254" s="34"/>
      <c r="N254" s="5" t="s">
        <v>19340</v>
      </c>
      <c r="O254" s="36"/>
      <c r="P254" s="36" t="s">
        <v>19486</v>
      </c>
      <c r="Q254" s="37"/>
    </row>
    <row r="255" ht="37.5" customHeight="1">
      <c r="A255" s="32" t="s">
        <v>8834</v>
      </c>
      <c r="B255" s="33">
        <v>2.0</v>
      </c>
      <c r="C255" s="34" t="s">
        <v>19339</v>
      </c>
      <c r="D255" s="35">
        <v>6.0</v>
      </c>
      <c r="E255" s="34" t="s">
        <v>19164</v>
      </c>
      <c r="F255" s="35"/>
      <c r="G255" s="34"/>
      <c r="H255" s="35"/>
      <c r="I255" s="34"/>
      <c r="J255" s="35"/>
      <c r="K255" s="34"/>
      <c r="L255" s="35"/>
      <c r="M255" s="34"/>
      <c r="N255" s="5" t="s">
        <v>19340</v>
      </c>
      <c r="O255" s="36"/>
      <c r="P255" s="36" t="s">
        <v>19486</v>
      </c>
      <c r="Q255" s="37"/>
    </row>
    <row r="256" ht="37.5" customHeight="1">
      <c r="A256" s="32" t="s">
        <v>8858</v>
      </c>
      <c r="B256" s="33">
        <v>8.0</v>
      </c>
      <c r="C256" s="34" t="s">
        <v>19166</v>
      </c>
      <c r="D256" s="35"/>
      <c r="E256" s="34"/>
      <c r="F256" s="35"/>
      <c r="G256" s="34"/>
      <c r="H256" s="35"/>
      <c r="I256" s="34"/>
      <c r="J256" s="35"/>
      <c r="K256" s="34"/>
      <c r="L256" s="35"/>
      <c r="M256" s="34"/>
      <c r="N256" s="5" t="s">
        <v>19243</v>
      </c>
      <c r="O256" s="36"/>
      <c r="P256" s="36" t="s">
        <v>19486</v>
      </c>
      <c r="Q256" s="37"/>
    </row>
    <row r="257" ht="37.5" customHeight="1">
      <c r="A257" s="32" t="s">
        <v>8876</v>
      </c>
      <c r="B257" s="33">
        <v>6.0</v>
      </c>
      <c r="C257" s="34" t="s">
        <v>19166</v>
      </c>
      <c r="D257" s="35">
        <v>2.0</v>
      </c>
      <c r="E257" s="34" t="s">
        <v>19234</v>
      </c>
      <c r="F257" s="35"/>
      <c r="G257" s="34"/>
      <c r="H257" s="35"/>
      <c r="I257" s="34"/>
      <c r="J257" s="35"/>
      <c r="K257" s="34"/>
      <c r="L257" s="35"/>
      <c r="M257" s="34"/>
      <c r="N257" s="50" t="s">
        <v>19616</v>
      </c>
      <c r="O257" s="36"/>
      <c r="P257" s="36" t="s">
        <v>19486</v>
      </c>
      <c r="Q257" s="37"/>
    </row>
    <row r="258" ht="37.5" customHeight="1">
      <c r="A258" s="32" t="s">
        <v>8895</v>
      </c>
      <c r="B258" s="33">
        <v>9.0</v>
      </c>
      <c r="C258" s="34" t="s">
        <v>19166</v>
      </c>
      <c r="D258" s="35">
        <v>3.0</v>
      </c>
      <c r="E258" s="34" t="s">
        <v>19234</v>
      </c>
      <c r="F258" s="35"/>
      <c r="G258" s="34"/>
      <c r="H258" s="35"/>
      <c r="I258" s="34"/>
      <c r="J258" s="35"/>
      <c r="K258" s="34"/>
      <c r="L258" s="35"/>
      <c r="M258" s="34"/>
      <c r="N258" s="50" t="s">
        <v>19619</v>
      </c>
      <c r="O258" s="36"/>
      <c r="P258" s="36" t="s">
        <v>19486</v>
      </c>
      <c r="Q258" s="37"/>
    </row>
    <row r="259" ht="37.5" customHeight="1">
      <c r="A259" s="32" t="s">
        <v>8912</v>
      </c>
      <c r="B259" s="33">
        <v>4.0</v>
      </c>
      <c r="C259" s="34" t="s">
        <v>19166</v>
      </c>
      <c r="D259" s="35">
        <v>2.0</v>
      </c>
      <c r="E259" s="34" t="s">
        <v>19234</v>
      </c>
      <c r="F259" s="35"/>
      <c r="G259" s="34"/>
      <c r="H259" s="35"/>
      <c r="I259" s="34"/>
      <c r="J259" s="35"/>
      <c r="K259" s="34"/>
      <c r="L259" s="35"/>
      <c r="M259" s="34"/>
      <c r="N259" s="5" t="s">
        <v>19161</v>
      </c>
      <c r="O259" s="36"/>
      <c r="P259" s="36" t="s">
        <v>19486</v>
      </c>
      <c r="Q259" s="37"/>
    </row>
    <row r="260" ht="37.5" customHeight="1">
      <c r="A260" s="32" t="s">
        <v>9017</v>
      </c>
      <c r="B260" s="33">
        <v>1.0</v>
      </c>
      <c r="C260" s="34" t="s">
        <v>8971</v>
      </c>
      <c r="D260" s="35">
        <v>1.0</v>
      </c>
      <c r="E260" s="34" t="s">
        <v>1467</v>
      </c>
      <c r="F260" s="35">
        <v>2.0</v>
      </c>
      <c r="G260" s="34" t="s">
        <v>12762</v>
      </c>
      <c r="H260" s="35"/>
      <c r="I260" s="34"/>
      <c r="J260" s="35"/>
      <c r="K260" s="34"/>
      <c r="L260" s="35"/>
      <c r="M260" s="34"/>
      <c r="N260" s="5" t="s">
        <v>19128</v>
      </c>
      <c r="O260" s="36"/>
      <c r="P260" s="36" t="s">
        <v>19486</v>
      </c>
      <c r="Q260" s="37"/>
    </row>
    <row r="261" ht="37.5" customHeight="1">
      <c r="A261" s="32" t="s">
        <v>9074</v>
      </c>
      <c r="B261" s="33">
        <v>10.0</v>
      </c>
      <c r="C261" s="34" t="s">
        <v>1801</v>
      </c>
      <c r="D261" s="35">
        <v>4.0</v>
      </c>
      <c r="E261" s="34" t="s">
        <v>19164</v>
      </c>
      <c r="F261" s="35"/>
      <c r="G261" s="34"/>
      <c r="H261" s="35"/>
      <c r="I261" s="34"/>
      <c r="J261" s="35"/>
      <c r="K261" s="34"/>
      <c r="L261" s="35"/>
      <c r="M261" s="34"/>
      <c r="N261" s="5" t="s">
        <v>19243</v>
      </c>
      <c r="O261" s="36"/>
      <c r="P261" s="36" t="s">
        <v>19486</v>
      </c>
      <c r="Q261" s="37"/>
    </row>
    <row r="262" ht="37.5" customHeight="1">
      <c r="A262" s="32" t="s">
        <v>9087</v>
      </c>
      <c r="B262" s="33">
        <v>20.0</v>
      </c>
      <c r="C262" s="34" t="s">
        <v>12762</v>
      </c>
      <c r="D262" s="35">
        <v>1.0</v>
      </c>
      <c r="E262" s="34" t="s">
        <v>8432</v>
      </c>
      <c r="F262" s="35"/>
      <c r="G262" s="34"/>
      <c r="H262" s="35"/>
      <c r="I262" s="34"/>
      <c r="J262" s="35"/>
      <c r="K262" s="34"/>
      <c r="L262" s="35"/>
      <c r="M262" s="34"/>
      <c r="N262" s="5" t="s">
        <v>5290</v>
      </c>
      <c r="O262" s="36"/>
      <c r="P262" s="36" t="s">
        <v>19486</v>
      </c>
      <c r="Q262" s="37"/>
    </row>
    <row r="263" ht="37.5" customHeight="1">
      <c r="A263" s="32" t="s">
        <v>9325</v>
      </c>
      <c r="B263" s="33">
        <v>10.0</v>
      </c>
      <c r="C263" s="34" t="s">
        <v>19153</v>
      </c>
      <c r="D263" s="35"/>
      <c r="E263" s="34"/>
      <c r="F263" s="35"/>
      <c r="G263" s="34"/>
      <c r="H263" s="35"/>
      <c r="I263" s="34"/>
      <c r="J263" s="35"/>
      <c r="K263" s="34"/>
      <c r="L263" s="35"/>
      <c r="M263" s="34"/>
      <c r="N263" s="5" t="s">
        <v>19157</v>
      </c>
      <c r="O263" s="36"/>
      <c r="P263" s="36" t="s">
        <v>19486</v>
      </c>
      <c r="Q263" s="37"/>
    </row>
    <row r="264" ht="37.5" customHeight="1">
      <c r="A264" s="32" t="s">
        <v>9500</v>
      </c>
      <c r="B264" s="33">
        <v>4.0</v>
      </c>
      <c r="C264" s="34" t="s">
        <v>19654</v>
      </c>
      <c r="D264" s="35">
        <v>4.0</v>
      </c>
      <c r="E264" s="34" t="s">
        <v>19164</v>
      </c>
      <c r="F264" s="35">
        <v>4.0</v>
      </c>
      <c r="G264" s="34" t="s">
        <v>19289</v>
      </c>
      <c r="H264" s="35"/>
      <c r="I264" s="34"/>
      <c r="J264" s="35"/>
      <c r="K264" s="34"/>
      <c r="L264" s="35"/>
      <c r="M264" s="34"/>
      <c r="N264" s="5" t="s">
        <v>19361</v>
      </c>
      <c r="O264" s="36"/>
      <c r="P264" s="36" t="s">
        <v>19486</v>
      </c>
      <c r="Q264" s="37"/>
    </row>
    <row r="265" ht="37.5" customHeight="1">
      <c r="A265" s="32" t="s">
        <v>9521</v>
      </c>
      <c r="B265" s="33">
        <v>5.0</v>
      </c>
      <c r="C265" s="34" t="s">
        <v>19455</v>
      </c>
      <c r="D265" s="35">
        <v>3.0</v>
      </c>
      <c r="E265" s="34" t="s">
        <v>19166</v>
      </c>
      <c r="F265" s="35"/>
      <c r="G265" s="34"/>
      <c r="H265" s="35"/>
      <c r="I265" s="34"/>
      <c r="J265" s="35"/>
      <c r="K265" s="34"/>
      <c r="L265" s="35"/>
      <c r="M265" s="34"/>
      <c r="N265" s="5" t="s">
        <v>19161</v>
      </c>
      <c r="O265" s="36"/>
      <c r="P265" s="36" t="s">
        <v>19486</v>
      </c>
      <c r="Q265" s="37"/>
    </row>
    <row r="266" ht="37.5" customHeight="1">
      <c r="A266" s="32" t="s">
        <v>9808</v>
      </c>
      <c r="B266" s="33">
        <v>10.0</v>
      </c>
      <c r="C266" s="34" t="s">
        <v>4063</v>
      </c>
      <c r="D266" s="35">
        <v>5.0</v>
      </c>
      <c r="E266" s="34" t="s">
        <v>19164</v>
      </c>
      <c r="F266" s="35"/>
      <c r="G266" s="34"/>
      <c r="H266" s="35"/>
      <c r="I266" s="34"/>
      <c r="J266" s="35"/>
      <c r="K266" s="34"/>
      <c r="L266" s="35"/>
      <c r="M266" s="34"/>
      <c r="N266" s="5" t="s">
        <v>19161</v>
      </c>
      <c r="O266" s="36"/>
      <c r="P266" s="36" t="s">
        <v>19486</v>
      </c>
      <c r="Q266" s="37"/>
    </row>
    <row r="267" ht="37.5" customHeight="1">
      <c r="A267" s="32" t="s">
        <v>9820</v>
      </c>
      <c r="B267" s="33">
        <v>10.0</v>
      </c>
      <c r="C267" s="34" t="s">
        <v>9827</v>
      </c>
      <c r="D267" s="35">
        <v>6.0</v>
      </c>
      <c r="E267" s="34" t="s">
        <v>19303</v>
      </c>
      <c r="F267" s="35"/>
      <c r="G267" s="34"/>
      <c r="H267" s="35"/>
      <c r="I267" s="34"/>
      <c r="J267" s="35"/>
      <c r="K267" s="34"/>
      <c r="L267" s="35"/>
      <c r="M267" s="34"/>
      <c r="N267" s="5" t="s">
        <v>19128</v>
      </c>
      <c r="O267" s="36"/>
      <c r="P267" s="36" t="s">
        <v>19486</v>
      </c>
      <c r="Q267" s="37"/>
    </row>
    <row r="268" ht="37.5" customHeight="1">
      <c r="A268" s="32" t="s">
        <v>9836</v>
      </c>
      <c r="B268" s="33">
        <v>10.0</v>
      </c>
      <c r="C268" s="34" t="s">
        <v>9827</v>
      </c>
      <c r="D268" s="35">
        <v>5.0</v>
      </c>
      <c r="E268" s="34" t="s">
        <v>19164</v>
      </c>
      <c r="F268" s="35"/>
      <c r="G268" s="34"/>
      <c r="H268" s="35"/>
      <c r="I268" s="34"/>
      <c r="J268" s="35"/>
      <c r="K268" s="34"/>
      <c r="L268" s="35"/>
      <c r="M268" s="34"/>
      <c r="N268" s="5" t="s">
        <v>19128</v>
      </c>
      <c r="O268" s="36"/>
      <c r="P268" s="36" t="s">
        <v>19486</v>
      </c>
      <c r="Q268" s="37"/>
    </row>
    <row r="269" ht="37.5" customHeight="1">
      <c r="A269" s="32" t="s">
        <v>10018</v>
      </c>
      <c r="B269" s="33">
        <v>3.0</v>
      </c>
      <c r="C269" s="34" t="s">
        <v>19611</v>
      </c>
      <c r="D269" s="35">
        <v>5.0</v>
      </c>
      <c r="E269" s="34" t="s">
        <v>19122</v>
      </c>
      <c r="F269" s="35"/>
      <c r="G269" s="34"/>
      <c r="H269" s="35"/>
      <c r="I269" s="34"/>
      <c r="J269" s="35"/>
      <c r="K269" s="34"/>
      <c r="L269" s="35"/>
      <c r="M269" s="34"/>
      <c r="N269" s="5" t="s">
        <v>19136</v>
      </c>
      <c r="O269" s="36"/>
      <c r="P269" s="36" t="s">
        <v>19486</v>
      </c>
      <c r="Q269" s="37"/>
    </row>
    <row r="270" ht="37.5" customHeight="1">
      <c r="A270" s="32" t="s">
        <v>10024</v>
      </c>
      <c r="B270" s="33">
        <v>3.0</v>
      </c>
      <c r="C270" s="34" t="s">
        <v>15884</v>
      </c>
      <c r="D270" s="35"/>
      <c r="E270" s="34"/>
      <c r="F270" s="35"/>
      <c r="G270" s="34"/>
      <c r="H270" s="35"/>
      <c r="I270" s="34"/>
      <c r="J270" s="35"/>
      <c r="K270" s="34"/>
      <c r="L270" s="35"/>
      <c r="M270" s="34"/>
      <c r="N270" s="5" t="s">
        <v>19238</v>
      </c>
      <c r="O270" s="36"/>
      <c r="P270" s="36" t="s">
        <v>19486</v>
      </c>
      <c r="Q270" s="37"/>
    </row>
    <row r="271" ht="37.5" customHeight="1">
      <c r="A271" s="32" t="s">
        <v>10091</v>
      </c>
      <c r="B271" s="33">
        <v>3.0</v>
      </c>
      <c r="C271" s="34" t="s">
        <v>19188</v>
      </c>
      <c r="D271" s="35">
        <v>2.0</v>
      </c>
      <c r="E271" s="34" t="s">
        <v>19666</v>
      </c>
      <c r="F271" s="35">
        <v>2.0</v>
      </c>
      <c r="G271" s="34" t="s">
        <v>19229</v>
      </c>
      <c r="H271" s="35">
        <v>4.0</v>
      </c>
      <c r="I271" s="34" t="s">
        <v>12762</v>
      </c>
      <c r="J271" s="35"/>
      <c r="K271" s="34"/>
      <c r="L271" s="35"/>
      <c r="M271" s="34"/>
      <c r="N271" s="5" t="s">
        <v>19190</v>
      </c>
      <c r="O271" s="36"/>
      <c r="P271" s="36" t="s">
        <v>19486</v>
      </c>
      <c r="Q271" s="37"/>
    </row>
    <row r="272" ht="37.5" customHeight="1">
      <c r="A272" s="32" t="s">
        <v>10096</v>
      </c>
      <c r="B272" s="33">
        <v>6.0</v>
      </c>
      <c r="C272" s="34" t="s">
        <v>19164</v>
      </c>
      <c r="D272" s="35">
        <v>4.0</v>
      </c>
      <c r="E272" s="34" t="s">
        <v>19289</v>
      </c>
      <c r="F272" s="35">
        <v>1.0</v>
      </c>
      <c r="G272" s="34" t="s">
        <v>19234</v>
      </c>
      <c r="H272" s="35"/>
      <c r="I272" s="34"/>
      <c r="J272" s="35"/>
      <c r="K272" s="34"/>
      <c r="L272" s="35"/>
      <c r="M272" s="34"/>
      <c r="N272" s="5" t="s">
        <v>59</v>
      </c>
      <c r="O272" s="36"/>
      <c r="P272" s="36" t="s">
        <v>19486</v>
      </c>
      <c r="Q272" s="37"/>
    </row>
    <row r="273" ht="37.5" customHeight="1">
      <c r="A273" s="32" t="s">
        <v>10121</v>
      </c>
      <c r="B273" s="33">
        <v>6.0</v>
      </c>
      <c r="C273" s="34" t="s">
        <v>19164</v>
      </c>
      <c r="D273" s="35"/>
      <c r="E273" s="34"/>
      <c r="F273" s="35"/>
      <c r="G273" s="34"/>
      <c r="H273" s="35"/>
      <c r="I273" s="34"/>
      <c r="J273" s="35"/>
      <c r="K273" s="34"/>
      <c r="L273" s="35"/>
      <c r="M273" s="34"/>
      <c r="N273" s="5" t="s">
        <v>19128</v>
      </c>
      <c r="O273" s="36"/>
      <c r="P273" s="36" t="s">
        <v>19486</v>
      </c>
      <c r="Q273" s="37"/>
    </row>
    <row r="274" ht="37.5" customHeight="1">
      <c r="A274" s="32" t="s">
        <v>10257</v>
      </c>
      <c r="B274" s="33">
        <v>10.0</v>
      </c>
      <c r="C274" s="34" t="s">
        <v>12762</v>
      </c>
      <c r="D274" s="35"/>
      <c r="E274" s="34"/>
      <c r="F274" s="35"/>
      <c r="G274" s="34"/>
      <c r="H274" s="35"/>
      <c r="I274" s="34"/>
      <c r="J274" s="35"/>
      <c r="K274" s="34"/>
      <c r="L274" s="35"/>
      <c r="M274" s="34"/>
      <c r="N274" s="5" t="s">
        <v>19361</v>
      </c>
      <c r="O274" s="36"/>
      <c r="P274" s="36" t="s">
        <v>19486</v>
      </c>
      <c r="Q274" s="37"/>
    </row>
    <row r="275" ht="37.5" customHeight="1">
      <c r="A275" s="32" t="s">
        <v>10477</v>
      </c>
      <c r="B275" s="33">
        <v>6.0</v>
      </c>
      <c r="C275" s="34" t="s">
        <v>19289</v>
      </c>
      <c r="D275" s="35"/>
      <c r="E275" s="34"/>
      <c r="F275" s="35"/>
      <c r="G275" s="34"/>
      <c r="H275" s="35"/>
      <c r="I275" s="34"/>
      <c r="J275" s="35"/>
      <c r="K275" s="34"/>
      <c r="L275" s="35"/>
      <c r="M275" s="34"/>
      <c r="N275" s="5" t="s">
        <v>19238</v>
      </c>
      <c r="O275" s="36"/>
      <c r="P275" s="36" t="s">
        <v>19486</v>
      </c>
      <c r="Q275" s="37"/>
    </row>
    <row r="276" ht="37.5" customHeight="1">
      <c r="A276" s="32" t="s">
        <v>10796</v>
      </c>
      <c r="B276" s="33">
        <v>3.0</v>
      </c>
      <c r="C276" s="34" t="s">
        <v>19172</v>
      </c>
      <c r="D276" s="35">
        <v>4.0</v>
      </c>
      <c r="E276" s="34" t="s">
        <v>19122</v>
      </c>
      <c r="F276" s="35"/>
      <c r="G276" s="34"/>
      <c r="H276" s="35"/>
      <c r="I276" s="34"/>
      <c r="J276" s="35"/>
      <c r="K276" s="34"/>
      <c r="L276" s="35"/>
      <c r="M276" s="34"/>
      <c r="N276" s="5" t="s">
        <v>19177</v>
      </c>
      <c r="O276" s="36"/>
      <c r="P276" s="36" t="s">
        <v>19486</v>
      </c>
      <c r="Q276" s="37"/>
    </row>
    <row r="277" ht="37.5" customHeight="1">
      <c r="A277" s="32" t="s">
        <v>11065</v>
      </c>
      <c r="B277" s="33">
        <v>1.0</v>
      </c>
      <c r="C277" s="34" t="s">
        <v>11372</v>
      </c>
      <c r="D277" s="35">
        <v>1.0</v>
      </c>
      <c r="E277" s="34" t="s">
        <v>15442</v>
      </c>
      <c r="F277" s="35">
        <v>30.0</v>
      </c>
      <c r="G277" s="34" t="s">
        <v>19672</v>
      </c>
      <c r="H277" s="35">
        <v>90.0</v>
      </c>
      <c r="I277" s="34" t="s">
        <v>19234</v>
      </c>
      <c r="J277" s="35">
        <v>10.0</v>
      </c>
      <c r="K277" s="34" t="s">
        <v>19229</v>
      </c>
      <c r="L277" s="35"/>
      <c r="M277" s="34"/>
      <c r="N277" s="5" t="s">
        <v>5290</v>
      </c>
      <c r="O277" s="32"/>
      <c r="P277" s="32" t="s">
        <v>19486</v>
      </c>
      <c r="Q277" s="35"/>
    </row>
    <row r="278" ht="37.5" customHeight="1">
      <c r="A278" s="32" t="s">
        <v>11372</v>
      </c>
      <c r="B278" s="33">
        <v>10.0</v>
      </c>
      <c r="C278" s="34" t="s">
        <v>19188</v>
      </c>
      <c r="D278" s="35">
        <v>20.0</v>
      </c>
      <c r="E278" s="34" t="s">
        <v>19234</v>
      </c>
      <c r="F278" s="35"/>
      <c r="G278" s="34"/>
      <c r="H278" s="35"/>
      <c r="I278" s="34"/>
      <c r="J278" s="35"/>
      <c r="K278" s="34"/>
      <c r="L278" s="35"/>
      <c r="M278" s="34"/>
      <c r="N278" s="5" t="s">
        <v>19190</v>
      </c>
      <c r="O278" s="36"/>
      <c r="P278" s="36" t="s">
        <v>19486</v>
      </c>
      <c r="Q278" s="37"/>
    </row>
    <row r="279" ht="37.5" customHeight="1">
      <c r="A279" s="32" t="s">
        <v>11420</v>
      </c>
      <c r="B279" s="33">
        <v>3.0</v>
      </c>
      <c r="C279" s="34" t="s">
        <v>19164</v>
      </c>
      <c r="D279" s="35">
        <v>5.0</v>
      </c>
      <c r="E279" s="34" t="s">
        <v>19303</v>
      </c>
      <c r="F279" s="35"/>
      <c r="G279" s="34"/>
      <c r="H279" s="35"/>
      <c r="I279" s="34"/>
      <c r="J279" s="35"/>
      <c r="K279" s="34"/>
      <c r="L279" s="35"/>
      <c r="M279" s="34"/>
      <c r="N279" s="5" t="s">
        <v>59</v>
      </c>
      <c r="O279" s="36"/>
      <c r="P279" s="36" t="s">
        <v>19486</v>
      </c>
      <c r="Q279" s="37"/>
    </row>
    <row r="280" ht="37.5" customHeight="1">
      <c r="A280" s="32" t="s">
        <v>11445</v>
      </c>
      <c r="B280" s="33">
        <v>5.0</v>
      </c>
      <c r="C280" s="34" t="s">
        <v>19303</v>
      </c>
      <c r="D280" s="35"/>
      <c r="E280" s="34"/>
      <c r="F280" s="35"/>
      <c r="G280" s="34"/>
      <c r="H280" s="35"/>
      <c r="I280" s="34"/>
      <c r="J280" s="35"/>
      <c r="K280" s="34"/>
      <c r="L280" s="35"/>
      <c r="M280" s="34"/>
      <c r="N280" s="5" t="s">
        <v>19161</v>
      </c>
      <c r="O280" s="36"/>
      <c r="P280" s="36" t="s">
        <v>19486</v>
      </c>
      <c r="Q280" s="37"/>
    </row>
    <row r="281" ht="37.5" customHeight="1">
      <c r="A281" s="32" t="s">
        <v>11479</v>
      </c>
      <c r="B281" s="33">
        <v>10.0</v>
      </c>
      <c r="C281" s="34" t="s">
        <v>19464</v>
      </c>
      <c r="D281" s="35">
        <v>5.0</v>
      </c>
      <c r="E281" s="34" t="s">
        <v>19164</v>
      </c>
      <c r="F281" s="35"/>
      <c r="G281" s="34"/>
      <c r="H281" s="35"/>
      <c r="I281" s="34"/>
      <c r="J281" s="35"/>
      <c r="K281" s="34"/>
      <c r="L281" s="35"/>
      <c r="M281" s="34"/>
      <c r="N281" s="5" t="s">
        <v>19232</v>
      </c>
      <c r="O281" s="36"/>
      <c r="P281" s="36" t="s">
        <v>19486</v>
      </c>
      <c r="Q281" s="37"/>
    </row>
    <row r="282" ht="37.5" customHeight="1">
      <c r="A282" s="32" t="s">
        <v>11562</v>
      </c>
      <c r="B282" s="33">
        <v>10.0</v>
      </c>
      <c r="C282" s="34" t="s">
        <v>19188</v>
      </c>
      <c r="D282" s="35">
        <v>15.0</v>
      </c>
      <c r="E282" s="34" t="s">
        <v>19234</v>
      </c>
      <c r="F282" s="35"/>
      <c r="G282" s="34"/>
      <c r="H282" s="35"/>
      <c r="I282" s="34"/>
      <c r="J282" s="35"/>
      <c r="K282" s="34"/>
      <c r="L282" s="35"/>
      <c r="M282" s="34"/>
      <c r="N282" s="5" t="s">
        <v>19190</v>
      </c>
      <c r="O282" s="36"/>
      <c r="P282" s="36" t="s">
        <v>19486</v>
      </c>
      <c r="Q282" s="37"/>
    </row>
    <row r="283" ht="37.5" customHeight="1">
      <c r="A283" s="32" t="s">
        <v>11567</v>
      </c>
      <c r="B283" s="33">
        <v>6.0</v>
      </c>
      <c r="C283" s="34" t="s">
        <v>12762</v>
      </c>
      <c r="D283" s="35">
        <v>3.0</v>
      </c>
      <c r="E283" s="34" t="s">
        <v>19234</v>
      </c>
      <c r="F283" s="35">
        <v>3.0</v>
      </c>
      <c r="G283" s="34" t="s">
        <v>19164</v>
      </c>
      <c r="H283" s="35"/>
      <c r="I283" s="34"/>
      <c r="J283" s="35"/>
      <c r="K283" s="34"/>
      <c r="L283" s="35"/>
      <c r="M283" s="34"/>
      <c r="N283" s="5" t="s">
        <v>19243</v>
      </c>
      <c r="O283" s="36"/>
      <c r="P283" s="36" t="s">
        <v>19486</v>
      </c>
      <c r="Q283" s="37"/>
    </row>
    <row r="284" ht="37.5" customHeight="1">
      <c r="A284" s="32" t="s">
        <v>11574</v>
      </c>
      <c r="B284" s="33">
        <v>3.0</v>
      </c>
      <c r="C284" s="34" t="s">
        <v>19534</v>
      </c>
      <c r="D284" s="35">
        <v>5.0</v>
      </c>
      <c r="E284" s="34" t="s">
        <v>19122</v>
      </c>
      <c r="F284" s="35"/>
      <c r="G284" s="34"/>
      <c r="H284" s="35"/>
      <c r="I284" s="34"/>
      <c r="J284" s="35"/>
      <c r="K284" s="34"/>
      <c r="L284" s="35"/>
      <c r="M284" s="34"/>
      <c r="N284" s="5" t="s">
        <v>19238</v>
      </c>
      <c r="O284" s="36"/>
      <c r="P284" s="36" t="s">
        <v>19486</v>
      </c>
      <c r="Q284" s="37"/>
    </row>
    <row r="285" ht="37.5" customHeight="1">
      <c r="A285" s="32" t="s">
        <v>11579</v>
      </c>
      <c r="B285" s="33">
        <v>1.0</v>
      </c>
      <c r="C285" s="34" t="s">
        <v>1523</v>
      </c>
      <c r="D285" s="35"/>
      <c r="E285" s="34"/>
      <c r="F285" s="35"/>
      <c r="G285" s="34"/>
      <c r="H285" s="35"/>
      <c r="I285" s="34"/>
      <c r="J285" s="35"/>
      <c r="K285" s="34"/>
      <c r="L285" s="35"/>
      <c r="M285" s="34"/>
      <c r="N285" s="5" t="s">
        <v>19232</v>
      </c>
      <c r="O285" s="36"/>
      <c r="P285" s="36" t="s">
        <v>19486</v>
      </c>
      <c r="Q285" s="37"/>
    </row>
    <row r="286" ht="37.5" customHeight="1">
      <c r="A286" s="32" t="s">
        <v>11750</v>
      </c>
      <c r="B286" s="33">
        <v>3.0</v>
      </c>
      <c r="C286" s="34" t="s">
        <v>19365</v>
      </c>
      <c r="D286" s="35">
        <v>3.0</v>
      </c>
      <c r="E286" s="34" t="s">
        <v>19366</v>
      </c>
      <c r="F286" s="35">
        <v>3.0</v>
      </c>
      <c r="G286" s="34" t="s">
        <v>19367</v>
      </c>
      <c r="H286" s="35">
        <v>3.0</v>
      </c>
      <c r="I286" s="34" t="s">
        <v>19368</v>
      </c>
      <c r="J286" s="35">
        <v>3.0</v>
      </c>
      <c r="K286" s="34" t="s">
        <v>19180</v>
      </c>
      <c r="L286" s="35">
        <v>3.0</v>
      </c>
      <c r="M286" s="34" t="s">
        <v>19370</v>
      </c>
      <c r="N286" s="5" t="s">
        <v>19243</v>
      </c>
      <c r="O286" s="36"/>
      <c r="P286" s="36" t="s">
        <v>19486</v>
      </c>
      <c r="Q286" s="37"/>
    </row>
    <row r="287" ht="37.5" customHeight="1">
      <c r="A287" s="32" t="s">
        <v>11783</v>
      </c>
      <c r="B287" s="33">
        <v>5.0</v>
      </c>
      <c r="C287" s="34" t="s">
        <v>19180</v>
      </c>
      <c r="D287" s="35">
        <v>3.0</v>
      </c>
      <c r="E287" s="34" t="s">
        <v>19289</v>
      </c>
      <c r="F287" s="35">
        <v>4.0</v>
      </c>
      <c r="G287" s="34" t="s">
        <v>12762</v>
      </c>
      <c r="H287" s="35"/>
      <c r="I287" s="34"/>
      <c r="J287" s="35"/>
      <c r="K287" s="34"/>
      <c r="L287" s="35"/>
      <c r="M287" s="34"/>
      <c r="N287" s="5" t="s">
        <v>19196</v>
      </c>
      <c r="O287" s="36"/>
      <c r="P287" s="36" t="s">
        <v>19486</v>
      </c>
      <c r="Q287" s="37"/>
    </row>
    <row r="288" ht="37.5" customHeight="1">
      <c r="A288" s="32" t="s">
        <v>11807</v>
      </c>
      <c r="B288" s="33">
        <v>5.0</v>
      </c>
      <c r="C288" s="34" t="s">
        <v>19180</v>
      </c>
      <c r="D288" s="35">
        <v>3.0</v>
      </c>
      <c r="E288" s="34" t="s">
        <v>12762</v>
      </c>
      <c r="F288" s="35"/>
      <c r="G288" s="34"/>
      <c r="H288" s="35"/>
      <c r="I288" s="34"/>
      <c r="J288" s="35"/>
      <c r="K288" s="34"/>
      <c r="L288" s="35"/>
      <c r="M288" s="34"/>
      <c r="N288" s="5" t="s">
        <v>19243</v>
      </c>
      <c r="O288" s="36"/>
      <c r="P288" s="36" t="s">
        <v>19486</v>
      </c>
      <c r="Q288" s="37"/>
    </row>
    <row r="289" ht="37.5" customHeight="1">
      <c r="A289" s="32" t="s">
        <v>11835</v>
      </c>
      <c r="B289" s="33">
        <v>4.0</v>
      </c>
      <c r="C289" s="34" t="s">
        <v>19366</v>
      </c>
      <c r="D289" s="35">
        <v>4.0</v>
      </c>
      <c r="E289" s="34" t="s">
        <v>19687</v>
      </c>
      <c r="F289" s="35"/>
      <c r="G289" s="34"/>
      <c r="H289" s="35"/>
      <c r="I289" s="34"/>
      <c r="J289" s="35"/>
      <c r="K289" s="34"/>
      <c r="L289" s="35"/>
      <c r="M289" s="34"/>
      <c r="N289" s="5" t="s">
        <v>19205</v>
      </c>
      <c r="O289" s="36"/>
      <c r="P289" s="36" t="s">
        <v>19486</v>
      </c>
      <c r="Q289" s="37"/>
    </row>
    <row r="290" ht="37.5" customHeight="1">
      <c r="A290" s="32" t="s">
        <v>11858</v>
      </c>
      <c r="B290" s="33">
        <v>5.0</v>
      </c>
      <c r="C290" s="34" t="s">
        <v>19370</v>
      </c>
      <c r="D290" s="35"/>
      <c r="E290" s="34"/>
      <c r="F290" s="35"/>
      <c r="G290" s="34"/>
      <c r="H290" s="35"/>
      <c r="I290" s="34"/>
      <c r="J290" s="35"/>
      <c r="K290" s="34"/>
      <c r="L290" s="35"/>
      <c r="M290" s="34"/>
      <c r="N290" s="5" t="s">
        <v>19205</v>
      </c>
      <c r="O290" s="36"/>
      <c r="P290" s="36" t="s">
        <v>19486</v>
      </c>
      <c r="Q290" s="37"/>
    </row>
    <row r="291" ht="37.5" customHeight="1">
      <c r="A291" s="32" t="s">
        <v>11885</v>
      </c>
      <c r="B291" s="33">
        <v>7.0</v>
      </c>
      <c r="C291" s="34" t="s">
        <v>19367</v>
      </c>
      <c r="D291" s="35">
        <v>3.0</v>
      </c>
      <c r="E291" s="34" t="s">
        <v>19289</v>
      </c>
      <c r="F291" s="35"/>
      <c r="G291" s="34"/>
      <c r="H291" s="35"/>
      <c r="I291" s="34"/>
      <c r="J291" s="35"/>
      <c r="K291" s="34"/>
      <c r="L291" s="35"/>
      <c r="M291" s="34"/>
      <c r="N291" s="5" t="s">
        <v>19196</v>
      </c>
      <c r="O291" s="36"/>
      <c r="P291" s="36" t="s">
        <v>19486</v>
      </c>
      <c r="Q291" s="37"/>
    </row>
    <row r="292" ht="37.5" customHeight="1">
      <c r="A292" s="32" t="s">
        <v>11926</v>
      </c>
      <c r="B292" s="33">
        <v>2.0</v>
      </c>
      <c r="C292" s="34" t="s">
        <v>19166</v>
      </c>
      <c r="D292" s="35">
        <v>3.0</v>
      </c>
      <c r="E292" s="34" t="s">
        <v>19303</v>
      </c>
      <c r="F292" s="35"/>
      <c r="G292" s="34"/>
      <c r="H292" s="35"/>
      <c r="I292" s="34"/>
      <c r="J292" s="35"/>
      <c r="K292" s="34"/>
      <c r="L292" s="35"/>
      <c r="M292" s="34"/>
      <c r="N292" s="5" t="s">
        <v>19243</v>
      </c>
      <c r="O292" s="36"/>
      <c r="P292" s="36" t="s">
        <v>19486</v>
      </c>
      <c r="Q292" s="37"/>
    </row>
    <row r="293" ht="37.5" customHeight="1">
      <c r="A293" s="32" t="s">
        <v>11956</v>
      </c>
      <c r="B293" s="33">
        <v>12.0</v>
      </c>
      <c r="C293" s="34" t="s">
        <v>19234</v>
      </c>
      <c r="D293" s="35">
        <v>6.0</v>
      </c>
      <c r="E293" s="34" t="s">
        <v>19166</v>
      </c>
      <c r="F293" s="35">
        <v>12.0</v>
      </c>
      <c r="G293" s="34" t="s">
        <v>19289</v>
      </c>
      <c r="H293" s="35">
        <v>12.0</v>
      </c>
      <c r="I293" s="34" t="s">
        <v>12762</v>
      </c>
      <c r="J293" s="35"/>
      <c r="K293" s="34"/>
      <c r="L293" s="35"/>
      <c r="M293" s="34"/>
      <c r="N293" s="5" t="s">
        <v>5290</v>
      </c>
      <c r="O293" s="36"/>
      <c r="P293" s="36" t="s">
        <v>19486</v>
      </c>
      <c r="Q293" s="37"/>
    </row>
    <row r="294" ht="37.5" customHeight="1">
      <c r="A294" s="32" t="s">
        <v>11986</v>
      </c>
      <c r="B294" s="33">
        <v>5.0</v>
      </c>
      <c r="C294" s="34" t="s">
        <v>19166</v>
      </c>
      <c r="D294" s="35">
        <v>1.0</v>
      </c>
      <c r="E294" s="34" t="s">
        <v>19234</v>
      </c>
      <c r="F294" s="35"/>
      <c r="G294" s="34"/>
      <c r="H294" s="35"/>
      <c r="I294" s="34"/>
      <c r="J294" s="35"/>
      <c r="K294" s="34"/>
      <c r="L294" s="35"/>
      <c r="M294" s="34"/>
      <c r="N294" s="5" t="s">
        <v>19128</v>
      </c>
      <c r="O294" s="36"/>
      <c r="P294" s="36" t="s">
        <v>19486</v>
      </c>
      <c r="Q294" s="37"/>
    </row>
    <row r="295" ht="37.5" customHeight="1">
      <c r="A295" s="32" t="s">
        <v>12294</v>
      </c>
      <c r="B295" s="33">
        <v>15.0</v>
      </c>
      <c r="C295" s="34" t="s">
        <v>12762</v>
      </c>
      <c r="D295" s="35">
        <v>1.0</v>
      </c>
      <c r="E295" s="34" t="s">
        <v>8148</v>
      </c>
      <c r="F295" s="35"/>
      <c r="G295" s="34"/>
      <c r="H295" s="35"/>
      <c r="I295" s="34"/>
      <c r="J295" s="35"/>
      <c r="K295" s="34"/>
      <c r="L295" s="35"/>
      <c r="M295" s="34"/>
      <c r="N295" s="5" t="s">
        <v>5290</v>
      </c>
      <c r="O295" s="36"/>
      <c r="P295" s="36" t="s">
        <v>19486</v>
      </c>
      <c r="Q295" s="37"/>
    </row>
    <row r="296" ht="37.5" customHeight="1">
      <c r="A296" s="32" t="s">
        <v>12340</v>
      </c>
      <c r="B296" s="33">
        <v>8.0</v>
      </c>
      <c r="C296" s="34" t="s">
        <v>19164</v>
      </c>
      <c r="D296" s="35"/>
      <c r="E296" s="34"/>
      <c r="F296" s="35"/>
      <c r="G296" s="34"/>
      <c r="H296" s="35"/>
      <c r="I296" s="34"/>
      <c r="J296" s="35"/>
      <c r="K296" s="34"/>
      <c r="L296" s="35"/>
      <c r="M296" s="34"/>
      <c r="N296" s="5" t="s">
        <v>19238</v>
      </c>
      <c r="O296" s="36"/>
      <c r="P296" s="36" t="s">
        <v>19486</v>
      </c>
      <c r="Q296" s="37"/>
    </row>
    <row r="297" ht="37.5" customHeight="1">
      <c r="A297" s="32" t="s">
        <v>12360</v>
      </c>
      <c r="B297" s="33">
        <v>2.0</v>
      </c>
      <c r="C297" s="34" t="s">
        <v>810</v>
      </c>
      <c r="D297" s="35"/>
      <c r="E297" s="34"/>
      <c r="F297" s="35"/>
      <c r="G297" s="34"/>
      <c r="H297" s="35"/>
      <c r="I297" s="34"/>
      <c r="J297" s="35"/>
      <c r="K297" s="34"/>
      <c r="L297" s="35"/>
      <c r="M297" s="34"/>
      <c r="N297" s="5" t="s">
        <v>19196</v>
      </c>
      <c r="O297" s="36"/>
      <c r="P297" s="36" t="s">
        <v>19486</v>
      </c>
      <c r="Q297" s="37"/>
    </row>
    <row r="298" ht="37.5" customHeight="1">
      <c r="A298" s="32" t="s">
        <v>12454</v>
      </c>
      <c r="B298" s="33">
        <v>5.0</v>
      </c>
      <c r="C298" s="34" t="s">
        <v>19188</v>
      </c>
      <c r="D298" s="35">
        <v>10.0</v>
      </c>
      <c r="E298" s="34" t="s">
        <v>19234</v>
      </c>
      <c r="F298" s="35"/>
      <c r="G298" s="34"/>
      <c r="H298" s="35"/>
      <c r="I298" s="34"/>
      <c r="J298" s="35"/>
      <c r="K298" s="34"/>
      <c r="L298" s="35"/>
      <c r="M298" s="34"/>
      <c r="N298" s="5" t="s">
        <v>19190</v>
      </c>
      <c r="O298" s="36"/>
      <c r="P298" s="36" t="s">
        <v>19486</v>
      </c>
      <c r="Q298" s="37"/>
    </row>
    <row r="299" ht="37.5" customHeight="1">
      <c r="A299" s="32" t="s">
        <v>12523</v>
      </c>
      <c r="B299" s="33">
        <v>12.0</v>
      </c>
      <c r="C299" s="34" t="s">
        <v>19164</v>
      </c>
      <c r="D299" s="35"/>
      <c r="E299" s="34"/>
      <c r="F299" s="35"/>
      <c r="G299" s="34"/>
      <c r="H299" s="35"/>
      <c r="I299" s="34"/>
      <c r="J299" s="35"/>
      <c r="K299" s="34"/>
      <c r="L299" s="35"/>
      <c r="M299" s="34"/>
      <c r="N299" s="5" t="s">
        <v>5290</v>
      </c>
      <c r="O299" s="36"/>
      <c r="P299" s="36" t="s">
        <v>19486</v>
      </c>
      <c r="Q299" s="37"/>
    </row>
    <row r="300" ht="37.5" customHeight="1">
      <c r="A300" s="32" t="s">
        <v>12670</v>
      </c>
      <c r="B300" s="33">
        <v>3.0</v>
      </c>
      <c r="C300" s="34" t="s">
        <v>19234</v>
      </c>
      <c r="D300" s="35"/>
      <c r="E300" s="34"/>
      <c r="F300" s="35"/>
      <c r="G300" s="34"/>
      <c r="H300" s="35"/>
      <c r="I300" s="34"/>
      <c r="J300" s="35"/>
      <c r="K300" s="34"/>
      <c r="L300" s="35"/>
      <c r="M300" s="34"/>
      <c r="N300" s="5" t="s">
        <v>19238</v>
      </c>
      <c r="O300" s="36"/>
      <c r="P300" s="36" t="s">
        <v>19486</v>
      </c>
      <c r="Q300" s="37"/>
    </row>
    <row r="301" ht="37.5" customHeight="1">
      <c r="A301" s="32" t="s">
        <v>12737</v>
      </c>
      <c r="B301" s="33">
        <v>90.0</v>
      </c>
      <c r="C301" s="34" t="s">
        <v>12762</v>
      </c>
      <c r="D301" s="35"/>
      <c r="E301" s="34"/>
      <c r="F301" s="35"/>
      <c r="G301" s="34"/>
      <c r="H301" s="35"/>
      <c r="I301" s="34"/>
      <c r="J301" s="35"/>
      <c r="K301" s="34"/>
      <c r="L301" s="35"/>
      <c r="M301" s="34"/>
      <c r="N301" s="5" t="s">
        <v>5290</v>
      </c>
      <c r="O301" s="36"/>
      <c r="P301" s="36" t="s">
        <v>19486</v>
      </c>
      <c r="Q301" s="37"/>
    </row>
    <row r="302" ht="37.5" customHeight="1">
      <c r="A302" s="36" t="s">
        <v>12745</v>
      </c>
      <c r="B302" s="33">
        <v>24.0</v>
      </c>
      <c r="C302" s="34" t="s">
        <v>12762</v>
      </c>
      <c r="D302" s="35"/>
      <c r="E302" s="34"/>
      <c r="F302" s="35"/>
      <c r="G302" s="34"/>
      <c r="H302" s="35"/>
      <c r="I302" s="34"/>
      <c r="J302" s="35"/>
      <c r="K302" s="34"/>
      <c r="L302" s="35"/>
      <c r="M302" s="34"/>
      <c r="N302" s="5" t="s">
        <v>19232</v>
      </c>
      <c r="O302" s="36"/>
      <c r="P302" s="36" t="s">
        <v>19486</v>
      </c>
      <c r="Q302" s="37"/>
    </row>
    <row r="303" ht="37.5" customHeight="1">
      <c r="A303" s="32" t="s">
        <v>12758</v>
      </c>
      <c r="B303" s="33">
        <v>3.0</v>
      </c>
      <c r="C303" s="34" t="s">
        <v>12762</v>
      </c>
      <c r="D303" s="35"/>
      <c r="E303" s="34"/>
      <c r="F303" s="35"/>
      <c r="G303" s="34"/>
      <c r="H303" s="35"/>
      <c r="I303" s="34"/>
      <c r="J303" s="35"/>
      <c r="K303" s="34"/>
      <c r="L303" s="35"/>
      <c r="M303" s="34"/>
      <c r="N303" s="5" t="s">
        <v>59</v>
      </c>
      <c r="O303" s="36"/>
      <c r="P303" s="36" t="s">
        <v>19486</v>
      </c>
      <c r="Q303" s="37"/>
    </row>
    <row r="304" ht="37.5" customHeight="1">
      <c r="A304" s="32" t="s">
        <v>12765</v>
      </c>
      <c r="B304" s="33">
        <v>8.0</v>
      </c>
      <c r="C304" s="34" t="s">
        <v>12762</v>
      </c>
      <c r="D304" s="35"/>
      <c r="E304" s="34"/>
      <c r="F304" s="35"/>
      <c r="G304" s="34"/>
      <c r="H304" s="35"/>
      <c r="I304" s="34"/>
      <c r="J304" s="35"/>
      <c r="K304" s="34"/>
      <c r="L304" s="35"/>
      <c r="M304" s="34"/>
      <c r="N304" s="50" t="s">
        <v>19700</v>
      </c>
      <c r="O304" s="36"/>
      <c r="P304" s="36" t="s">
        <v>19486</v>
      </c>
      <c r="Q304" s="37"/>
    </row>
    <row r="305" ht="37.5" customHeight="1">
      <c r="A305" s="32" t="s">
        <v>12770</v>
      </c>
      <c r="B305" s="33">
        <v>12.0</v>
      </c>
      <c r="C305" s="34" t="s">
        <v>12762</v>
      </c>
      <c r="D305" s="35"/>
      <c r="E305" s="34"/>
      <c r="F305" s="35"/>
      <c r="G305" s="34"/>
      <c r="H305" s="35"/>
      <c r="I305" s="34"/>
      <c r="J305" s="35"/>
      <c r="K305" s="34"/>
      <c r="L305" s="35"/>
      <c r="M305" s="34"/>
      <c r="N305" s="5" t="s">
        <v>5290</v>
      </c>
      <c r="O305" s="36"/>
      <c r="P305" s="36" t="s">
        <v>19486</v>
      </c>
      <c r="Q305" s="37"/>
    </row>
    <row r="306" ht="37.5" customHeight="1">
      <c r="A306" s="32" t="s">
        <v>12812</v>
      </c>
      <c r="B306" s="33">
        <v>1.0</v>
      </c>
      <c r="C306" s="34" t="s">
        <v>13909</v>
      </c>
      <c r="D306" s="35">
        <v>1.0</v>
      </c>
      <c r="E306" s="34" t="s">
        <v>3969</v>
      </c>
      <c r="F306" s="35"/>
      <c r="G306" s="34"/>
      <c r="H306" s="35"/>
      <c r="I306" s="34"/>
      <c r="J306" s="35"/>
      <c r="K306" s="34"/>
      <c r="L306" s="35"/>
      <c r="M306" s="34"/>
      <c r="N306" s="5" t="s">
        <v>19205</v>
      </c>
      <c r="O306" s="36"/>
      <c r="P306" s="36" t="s">
        <v>19486</v>
      </c>
      <c r="Q306" s="37"/>
    </row>
    <row r="307" ht="37.5" customHeight="1">
      <c r="A307" s="32" t="s">
        <v>12903</v>
      </c>
      <c r="B307" s="33">
        <v>5.0</v>
      </c>
      <c r="C307" s="34" t="s">
        <v>19164</v>
      </c>
      <c r="D307" s="35">
        <v>7.0</v>
      </c>
      <c r="E307" s="34" t="s">
        <v>19303</v>
      </c>
      <c r="F307" s="35"/>
      <c r="G307" s="34"/>
      <c r="H307" s="35"/>
      <c r="I307" s="34"/>
      <c r="J307" s="35"/>
      <c r="K307" s="34"/>
      <c r="L307" s="35"/>
      <c r="M307" s="34"/>
      <c r="N307" s="5" t="s">
        <v>59</v>
      </c>
      <c r="O307" s="36"/>
      <c r="P307" s="36" t="s">
        <v>19486</v>
      </c>
      <c r="Q307" s="37"/>
    </row>
    <row r="308" ht="37.5" customHeight="1">
      <c r="A308" s="32" t="s">
        <v>13014</v>
      </c>
      <c r="B308" s="33">
        <v>60.0</v>
      </c>
      <c r="C308" s="34" t="s">
        <v>12762</v>
      </c>
      <c r="D308" s="35"/>
      <c r="E308" s="34"/>
      <c r="F308" s="35"/>
      <c r="G308" s="34"/>
      <c r="H308" s="35"/>
      <c r="I308" s="34"/>
      <c r="J308" s="35"/>
      <c r="K308" s="34"/>
      <c r="L308" s="35"/>
      <c r="M308" s="34"/>
      <c r="N308" s="5" t="s">
        <v>19361</v>
      </c>
      <c r="O308" s="36"/>
      <c r="P308" s="36" t="s">
        <v>19486</v>
      </c>
      <c r="Q308" s="37"/>
    </row>
    <row r="309" ht="37.5" customHeight="1">
      <c r="A309" s="32" t="s">
        <v>13020</v>
      </c>
      <c r="B309" s="33">
        <v>18.0</v>
      </c>
      <c r="C309" s="34" t="s">
        <v>12762</v>
      </c>
      <c r="D309" s="35"/>
      <c r="E309" s="34"/>
      <c r="F309" s="35"/>
      <c r="G309" s="34"/>
      <c r="H309" s="35"/>
      <c r="I309" s="34"/>
      <c r="J309" s="35"/>
      <c r="K309" s="34"/>
      <c r="L309" s="35"/>
      <c r="M309" s="34"/>
      <c r="N309" s="5" t="s">
        <v>19232</v>
      </c>
      <c r="O309" s="36"/>
      <c r="P309" s="36" t="s">
        <v>19486</v>
      </c>
      <c r="Q309" s="37"/>
    </row>
    <row r="310" ht="37.5" customHeight="1">
      <c r="A310" s="32" t="s">
        <v>13084</v>
      </c>
      <c r="B310" s="33">
        <v>3.0</v>
      </c>
      <c r="C310" s="34" t="s">
        <v>19188</v>
      </c>
      <c r="D310" s="35">
        <v>2.0</v>
      </c>
      <c r="E310" s="34" t="s">
        <v>19709</v>
      </c>
      <c r="F310" s="35">
        <v>1.0</v>
      </c>
      <c r="G310" s="34" t="s">
        <v>19229</v>
      </c>
      <c r="H310" s="35">
        <v>8.0</v>
      </c>
      <c r="I310" s="34" t="s">
        <v>12762</v>
      </c>
      <c r="J310" s="35"/>
      <c r="K310" s="34"/>
      <c r="L310" s="35"/>
      <c r="M310" s="34"/>
      <c r="N310" s="5" t="s">
        <v>19190</v>
      </c>
      <c r="O310" s="36"/>
      <c r="P310" s="36" t="s">
        <v>19486</v>
      </c>
      <c r="Q310" s="37"/>
    </row>
    <row r="311" ht="37.5" customHeight="1">
      <c r="A311" s="32" t="s">
        <v>13090</v>
      </c>
      <c r="B311" s="33">
        <v>12.0</v>
      </c>
      <c r="C311" s="34" t="s">
        <v>19166</v>
      </c>
      <c r="D311" s="35"/>
      <c r="E311" s="34"/>
      <c r="F311" s="35"/>
      <c r="G311" s="34"/>
      <c r="H311" s="35"/>
      <c r="I311" s="34"/>
      <c r="J311" s="35"/>
      <c r="K311" s="34"/>
      <c r="L311" s="35"/>
      <c r="M311" s="34"/>
      <c r="N311" s="5" t="s">
        <v>19238</v>
      </c>
      <c r="O311" s="36"/>
      <c r="P311" s="36" t="s">
        <v>19486</v>
      </c>
      <c r="Q311" s="37"/>
    </row>
    <row r="312" ht="37.5" customHeight="1">
      <c r="A312" s="36" t="s">
        <v>13156</v>
      </c>
      <c r="B312" s="33">
        <v>1.0</v>
      </c>
      <c r="C312" s="34" t="s">
        <v>19352</v>
      </c>
      <c r="D312" s="35">
        <v>6.0</v>
      </c>
      <c r="E312" s="34" t="s">
        <v>19185</v>
      </c>
      <c r="F312" s="35">
        <v>2.0</v>
      </c>
      <c r="G312" s="34" t="s">
        <v>19534</v>
      </c>
      <c r="H312" s="35"/>
      <c r="I312" s="34"/>
      <c r="J312" s="35"/>
      <c r="K312" s="34"/>
      <c r="L312" s="35"/>
      <c r="M312" s="34"/>
      <c r="N312" s="38" t="s">
        <v>19353</v>
      </c>
      <c r="O312" s="36"/>
      <c r="P312" s="36" t="s">
        <v>19486</v>
      </c>
      <c r="Q312" s="37"/>
    </row>
    <row r="313" ht="37.5" customHeight="1">
      <c r="A313" s="32" t="s">
        <v>13356</v>
      </c>
      <c r="B313" s="33">
        <v>5.0</v>
      </c>
      <c r="C313" s="34" t="s">
        <v>19534</v>
      </c>
      <c r="D313" s="35">
        <v>5.0</v>
      </c>
      <c r="E313" s="34" t="s">
        <v>19164</v>
      </c>
      <c r="F313" s="35"/>
      <c r="G313" s="34"/>
      <c r="H313" s="35"/>
      <c r="I313" s="34"/>
      <c r="J313" s="35"/>
      <c r="K313" s="34"/>
      <c r="L313" s="35"/>
      <c r="M313" s="34"/>
      <c r="N313" s="50" t="s">
        <v>19520</v>
      </c>
      <c r="O313" s="36"/>
      <c r="P313" s="36" t="s">
        <v>19486</v>
      </c>
      <c r="Q313" s="37"/>
    </row>
    <row r="314" ht="37.5" customHeight="1">
      <c r="A314" s="32" t="s">
        <v>13363</v>
      </c>
      <c r="B314" s="33">
        <v>3.0</v>
      </c>
      <c r="C314" s="34" t="s">
        <v>660</v>
      </c>
      <c r="D314" s="35">
        <v>5.0</v>
      </c>
      <c r="E314" s="34" t="s">
        <v>19164</v>
      </c>
      <c r="F314" s="35"/>
      <c r="G314" s="34"/>
      <c r="H314" s="35"/>
      <c r="I314" s="34"/>
      <c r="J314" s="35"/>
      <c r="K314" s="34"/>
      <c r="L314" s="35"/>
      <c r="M314" s="34"/>
      <c r="N314" s="5" t="s">
        <v>19161</v>
      </c>
      <c r="O314" s="36"/>
      <c r="P314" s="36" t="s">
        <v>19486</v>
      </c>
      <c r="Q314" s="37"/>
    </row>
    <row r="315" ht="37.5" customHeight="1">
      <c r="A315" s="32" t="s">
        <v>13404</v>
      </c>
      <c r="B315" s="33">
        <v>3.0</v>
      </c>
      <c r="C315" s="34" t="s">
        <v>19347</v>
      </c>
      <c r="D315" s="35"/>
      <c r="E315" s="34"/>
      <c r="F315" s="35"/>
      <c r="G315" s="34"/>
      <c r="H315" s="35"/>
      <c r="I315" s="34"/>
      <c r="J315" s="35"/>
      <c r="K315" s="34"/>
      <c r="L315" s="35"/>
      <c r="M315" s="34"/>
      <c r="N315" s="38" t="s">
        <v>19717</v>
      </c>
      <c r="O315" s="36"/>
      <c r="P315" s="36" t="s">
        <v>19486</v>
      </c>
      <c r="Q315" s="37"/>
    </row>
    <row r="316" ht="37.5" customHeight="1">
      <c r="A316" s="32" t="s">
        <v>13432</v>
      </c>
      <c r="B316" s="33">
        <v>1.0</v>
      </c>
      <c r="C316" s="34" t="s">
        <v>19347</v>
      </c>
      <c r="D316" s="35"/>
      <c r="E316" s="34"/>
      <c r="F316" s="35"/>
      <c r="G316" s="34"/>
      <c r="H316" s="35"/>
      <c r="I316" s="34"/>
      <c r="J316" s="35"/>
      <c r="K316" s="34"/>
      <c r="L316" s="35"/>
      <c r="M316" s="34"/>
      <c r="N316" s="38" t="s">
        <v>19719</v>
      </c>
      <c r="O316" s="36"/>
      <c r="P316" s="36" t="s">
        <v>19486</v>
      </c>
      <c r="Q316" s="37"/>
    </row>
    <row r="317" ht="37.5" customHeight="1">
      <c r="A317" s="32" t="s">
        <v>13653</v>
      </c>
      <c r="B317" s="33">
        <v>5.0</v>
      </c>
      <c r="C317" s="34" t="s">
        <v>19164</v>
      </c>
      <c r="D317" s="35">
        <v>8.0</v>
      </c>
      <c r="E317" s="34" t="s">
        <v>19303</v>
      </c>
      <c r="F317" s="35"/>
      <c r="G317" s="34"/>
      <c r="H317" s="35"/>
      <c r="I317" s="34"/>
      <c r="J317" s="35"/>
      <c r="K317" s="34"/>
      <c r="L317" s="35"/>
      <c r="M317" s="34"/>
      <c r="N317" s="5" t="s">
        <v>19128</v>
      </c>
      <c r="O317" s="36"/>
      <c r="P317" s="36" t="s">
        <v>19486</v>
      </c>
      <c r="Q317" s="37"/>
    </row>
    <row r="318" ht="37.5" customHeight="1">
      <c r="A318" s="32" t="s">
        <v>13678</v>
      </c>
      <c r="B318" s="33">
        <v>4.0</v>
      </c>
      <c r="C318" s="34" t="s">
        <v>19611</v>
      </c>
      <c r="D318" s="35">
        <v>5.0</v>
      </c>
      <c r="E318" s="34" t="s">
        <v>19132</v>
      </c>
      <c r="F318" s="35">
        <v>5.0</v>
      </c>
      <c r="G318" s="34" t="s">
        <v>19172</v>
      </c>
      <c r="H318" s="35">
        <v>15.0</v>
      </c>
      <c r="I318" s="34" t="s">
        <v>19534</v>
      </c>
      <c r="J318" s="35"/>
      <c r="K318" s="34"/>
      <c r="L318" s="35"/>
      <c r="M318" s="34"/>
      <c r="N318" s="5" t="s">
        <v>19177</v>
      </c>
      <c r="O318" s="36"/>
      <c r="P318" s="36" t="s">
        <v>19486</v>
      </c>
      <c r="Q318" s="37"/>
    </row>
    <row r="319" ht="37.5" customHeight="1">
      <c r="A319" s="32" t="s">
        <v>13687</v>
      </c>
      <c r="B319" s="33">
        <v>5.0</v>
      </c>
      <c r="C319" s="34" t="s">
        <v>19611</v>
      </c>
      <c r="D319" s="35">
        <v>4.0</v>
      </c>
      <c r="E319" s="34" t="s">
        <v>19132</v>
      </c>
      <c r="F319" s="35">
        <v>4.0</v>
      </c>
      <c r="G319" s="34" t="s">
        <v>19172</v>
      </c>
      <c r="H319" s="35">
        <v>8.0</v>
      </c>
      <c r="I319" s="34" t="s">
        <v>19534</v>
      </c>
      <c r="J319" s="35">
        <v>4.0</v>
      </c>
      <c r="K319" s="34" t="s">
        <v>19289</v>
      </c>
      <c r="L319" s="35"/>
      <c r="M319" s="34"/>
      <c r="N319" s="5" t="s">
        <v>19177</v>
      </c>
      <c r="O319" s="36"/>
      <c r="P319" s="36" t="s">
        <v>19486</v>
      </c>
      <c r="Q319" s="37"/>
    </row>
    <row r="320" ht="37.5" customHeight="1">
      <c r="A320" s="32" t="s">
        <v>13719</v>
      </c>
      <c r="B320" s="33">
        <v>24.0</v>
      </c>
      <c r="C320" s="34" t="s">
        <v>19166</v>
      </c>
      <c r="D320" s="35">
        <v>3.0</v>
      </c>
      <c r="E320" s="34" t="s">
        <v>19229</v>
      </c>
      <c r="F320" s="35">
        <v>6.0</v>
      </c>
      <c r="G320" s="34" t="s">
        <v>19234</v>
      </c>
      <c r="H320" s="35"/>
      <c r="I320" s="34"/>
      <c r="J320" s="35"/>
      <c r="K320" s="34"/>
      <c r="L320" s="35"/>
      <c r="M320" s="34"/>
      <c r="N320" s="5" t="s">
        <v>19128</v>
      </c>
      <c r="O320" s="36"/>
      <c r="P320" s="36" t="s">
        <v>19486</v>
      </c>
      <c r="Q320" s="37"/>
    </row>
    <row r="321" ht="37.5" customHeight="1">
      <c r="A321" s="32" t="s">
        <v>13726</v>
      </c>
      <c r="B321" s="33">
        <v>5.0</v>
      </c>
      <c r="C321" s="34" t="s">
        <v>19475</v>
      </c>
      <c r="D321" s="35">
        <v>3.0</v>
      </c>
      <c r="E321" s="34" t="s">
        <v>19303</v>
      </c>
      <c r="F321" s="35"/>
      <c r="G321" s="34"/>
      <c r="H321" s="35"/>
      <c r="I321" s="34"/>
      <c r="J321" s="35"/>
      <c r="K321" s="34"/>
      <c r="L321" s="35"/>
      <c r="M321" s="34"/>
      <c r="N321" s="5" t="s">
        <v>19128</v>
      </c>
      <c r="O321" s="36"/>
      <c r="P321" s="36" t="s">
        <v>19486</v>
      </c>
      <c r="Q321" s="37"/>
    </row>
    <row r="322" ht="37.5" customHeight="1">
      <c r="A322" s="32" t="s">
        <v>14135</v>
      </c>
      <c r="B322" s="33">
        <v>3.0</v>
      </c>
      <c r="C322" s="34" t="s">
        <v>19188</v>
      </c>
      <c r="D322" s="35">
        <v>2.0</v>
      </c>
      <c r="E322" s="34" t="s">
        <v>19724</v>
      </c>
      <c r="F322" s="35">
        <v>2.0</v>
      </c>
      <c r="G322" s="34" t="s">
        <v>19229</v>
      </c>
      <c r="H322" s="35">
        <v>4.0</v>
      </c>
      <c r="I322" s="34" t="s">
        <v>12762</v>
      </c>
      <c r="J322" s="35"/>
      <c r="K322" s="34"/>
      <c r="L322" s="35"/>
      <c r="M322" s="34"/>
      <c r="N322" s="5" t="s">
        <v>19190</v>
      </c>
      <c r="O322" s="36"/>
      <c r="P322" s="36" t="s">
        <v>19486</v>
      </c>
      <c r="Q322" s="37"/>
    </row>
    <row r="323" ht="37.5" customHeight="1">
      <c r="A323" s="32" t="s">
        <v>14156</v>
      </c>
      <c r="B323" s="33">
        <v>2.0</v>
      </c>
      <c r="C323" s="34" t="s">
        <v>19234</v>
      </c>
      <c r="D323" s="35">
        <v>6.0</v>
      </c>
      <c r="E323" s="34" t="s">
        <v>19289</v>
      </c>
      <c r="F323" s="35"/>
      <c r="G323" s="34"/>
      <c r="H323" s="35"/>
      <c r="I323" s="34"/>
      <c r="J323" s="35"/>
      <c r="K323" s="34"/>
      <c r="L323" s="35"/>
      <c r="M323" s="34"/>
      <c r="N323" s="50" t="s">
        <v>19700</v>
      </c>
      <c r="O323" s="36"/>
      <c r="P323" s="36" t="s">
        <v>19486</v>
      </c>
      <c r="Q323" s="37"/>
    </row>
    <row r="324" ht="37.5" customHeight="1">
      <c r="A324" s="32" t="s">
        <v>14183</v>
      </c>
      <c r="B324" s="33">
        <v>10.0</v>
      </c>
      <c r="C324" s="34" t="s">
        <v>12762</v>
      </c>
      <c r="D324" s="35">
        <v>10.0</v>
      </c>
      <c r="E324" s="34" t="s">
        <v>19289</v>
      </c>
      <c r="F324" s="35"/>
      <c r="G324" s="34"/>
      <c r="H324" s="35"/>
      <c r="I324" s="34"/>
      <c r="J324" s="35"/>
      <c r="K324" s="34"/>
      <c r="L324" s="35"/>
      <c r="M324" s="34"/>
      <c r="N324" s="5" t="s">
        <v>5290</v>
      </c>
      <c r="O324" s="36"/>
      <c r="P324" s="36" t="s">
        <v>19486</v>
      </c>
      <c r="Q324" s="37"/>
    </row>
    <row r="325" ht="37.5" customHeight="1">
      <c r="A325" s="32" t="s">
        <v>14200</v>
      </c>
      <c r="B325" s="33">
        <v>30.0</v>
      </c>
      <c r="C325" s="34" t="s">
        <v>12762</v>
      </c>
      <c r="D325" s="35"/>
      <c r="E325" s="34"/>
      <c r="F325" s="35"/>
      <c r="G325" s="34"/>
      <c r="H325" s="35"/>
      <c r="I325" s="34"/>
      <c r="J325" s="35"/>
      <c r="K325" s="34"/>
      <c r="L325" s="35"/>
      <c r="M325" s="34"/>
      <c r="N325" s="5" t="s">
        <v>19161</v>
      </c>
      <c r="O325" s="36"/>
      <c r="P325" s="36" t="s">
        <v>19486</v>
      </c>
      <c r="Q325" s="37"/>
    </row>
    <row r="326" ht="37.5" customHeight="1">
      <c r="A326" s="32" t="s">
        <v>14318</v>
      </c>
      <c r="B326" s="33">
        <v>8.0</v>
      </c>
      <c r="C326" s="34" t="s">
        <v>19166</v>
      </c>
      <c r="D326" s="35"/>
      <c r="E326" s="34"/>
      <c r="F326" s="35"/>
      <c r="G326" s="34"/>
      <c r="H326" s="35"/>
      <c r="I326" s="34"/>
      <c r="J326" s="35"/>
      <c r="K326" s="34"/>
      <c r="L326" s="35"/>
      <c r="M326" s="34"/>
      <c r="N326" s="5" t="s">
        <v>19128</v>
      </c>
      <c r="O326" s="36"/>
      <c r="P326" s="36" t="s">
        <v>19486</v>
      </c>
      <c r="Q326" s="37"/>
    </row>
    <row r="327" ht="37.5" customHeight="1">
      <c r="A327" s="32" t="s">
        <v>14364</v>
      </c>
      <c r="B327" s="33">
        <v>5.0</v>
      </c>
      <c r="C327" s="34" t="s">
        <v>660</v>
      </c>
      <c r="D327" s="35">
        <v>10.0</v>
      </c>
      <c r="E327" s="34" t="s">
        <v>19164</v>
      </c>
      <c r="F327" s="35"/>
      <c r="G327" s="34"/>
      <c r="H327" s="35" t="s">
        <v>19274</v>
      </c>
      <c r="I327" s="34"/>
      <c r="J327" s="35" t="s">
        <v>19274</v>
      </c>
      <c r="K327" s="34"/>
      <c r="L327" s="35" t="s">
        <v>19274</v>
      </c>
      <c r="M327" s="34"/>
      <c r="N327" s="5" t="s">
        <v>19243</v>
      </c>
      <c r="O327" s="36"/>
      <c r="P327" s="36" t="s">
        <v>19486</v>
      </c>
      <c r="Q327" s="37"/>
    </row>
    <row r="328" ht="37.5" customHeight="1">
      <c r="A328" s="32" t="s">
        <v>14387</v>
      </c>
      <c r="B328" s="33">
        <v>3.0</v>
      </c>
      <c r="C328" s="34" t="s">
        <v>19164</v>
      </c>
      <c r="D328" s="35">
        <v>1.0</v>
      </c>
      <c r="E328" s="34" t="s">
        <v>19234</v>
      </c>
      <c r="F328" s="35"/>
      <c r="G328" s="34"/>
      <c r="H328" s="35" t="s">
        <v>19274</v>
      </c>
      <c r="I328" s="34"/>
      <c r="J328" s="35" t="s">
        <v>19274</v>
      </c>
      <c r="K328" s="34"/>
      <c r="L328" s="35" t="s">
        <v>19274</v>
      </c>
      <c r="M328" s="34"/>
      <c r="N328" s="50" t="s">
        <v>19731</v>
      </c>
      <c r="O328" s="36"/>
      <c r="P328" s="36" t="s">
        <v>19486</v>
      </c>
      <c r="Q328" s="37"/>
    </row>
    <row r="329" ht="37.5" customHeight="1">
      <c r="A329" s="32" t="s">
        <v>14391</v>
      </c>
      <c r="B329" s="33">
        <v>6.0</v>
      </c>
      <c r="C329" s="34" t="s">
        <v>19164</v>
      </c>
      <c r="D329" s="35"/>
      <c r="E329" s="34"/>
      <c r="F329" s="35"/>
      <c r="G329" s="34"/>
      <c r="H329" s="35" t="s">
        <v>19274</v>
      </c>
      <c r="I329" s="34"/>
      <c r="J329" s="35" t="s">
        <v>19274</v>
      </c>
      <c r="K329" s="34"/>
      <c r="L329" s="35" t="s">
        <v>19274</v>
      </c>
      <c r="M329" s="34"/>
      <c r="N329" s="50" t="s">
        <v>19516</v>
      </c>
      <c r="O329" s="36"/>
      <c r="P329" s="36" t="s">
        <v>19486</v>
      </c>
      <c r="Q329" s="37"/>
    </row>
    <row r="330" ht="37.5" customHeight="1">
      <c r="A330" s="32" t="s">
        <v>14452</v>
      </c>
      <c r="B330" s="33">
        <v>16.0</v>
      </c>
      <c r="C330" s="34" t="s">
        <v>19164</v>
      </c>
      <c r="D330" s="35"/>
      <c r="E330" s="34"/>
      <c r="F330" s="35"/>
      <c r="G330" s="34"/>
      <c r="H330" s="35" t="s">
        <v>19274</v>
      </c>
      <c r="I330" s="34"/>
      <c r="J330" s="35" t="s">
        <v>19274</v>
      </c>
      <c r="K330" s="34"/>
      <c r="L330" s="35" t="s">
        <v>19274</v>
      </c>
      <c r="M330" s="34"/>
      <c r="N330" s="5" t="s">
        <v>19243</v>
      </c>
      <c r="O330" s="36"/>
      <c r="P330" s="36" t="s">
        <v>19486</v>
      </c>
      <c r="Q330" s="37"/>
    </row>
    <row r="331" ht="37.5" customHeight="1">
      <c r="A331" s="32" t="s">
        <v>14505</v>
      </c>
      <c r="B331" s="33">
        <v>30.0</v>
      </c>
      <c r="C331" s="34" t="s">
        <v>19164</v>
      </c>
      <c r="D331" s="35"/>
      <c r="E331" s="34"/>
      <c r="F331" s="35"/>
      <c r="G331" s="34"/>
      <c r="H331" s="35" t="s">
        <v>19274</v>
      </c>
      <c r="I331" s="34"/>
      <c r="J331" s="35" t="s">
        <v>19274</v>
      </c>
      <c r="K331" s="34"/>
      <c r="L331" s="35" t="s">
        <v>19274</v>
      </c>
      <c r="M331" s="34"/>
      <c r="N331" s="5" t="s">
        <v>19232</v>
      </c>
      <c r="O331" s="36"/>
      <c r="P331" s="36" t="s">
        <v>19486</v>
      </c>
      <c r="Q331" s="37"/>
    </row>
    <row r="332" ht="37.5" customHeight="1">
      <c r="A332" s="32" t="s">
        <v>14665</v>
      </c>
      <c r="B332" s="33">
        <v>8.0</v>
      </c>
      <c r="C332" s="34" t="s">
        <v>19164</v>
      </c>
      <c r="D332" s="35"/>
      <c r="E332" s="34"/>
      <c r="F332" s="35"/>
      <c r="G332" s="34"/>
      <c r="H332" s="35" t="s">
        <v>19274</v>
      </c>
      <c r="I332" s="34"/>
      <c r="J332" s="35" t="s">
        <v>19274</v>
      </c>
      <c r="K332" s="34"/>
      <c r="L332" s="35" t="s">
        <v>19274</v>
      </c>
      <c r="M332" s="34"/>
      <c r="N332" s="5" t="s">
        <v>19361</v>
      </c>
      <c r="O332" s="36"/>
      <c r="P332" s="36" t="s">
        <v>19486</v>
      </c>
      <c r="Q332" s="37"/>
    </row>
    <row r="333" ht="37.5" customHeight="1">
      <c r="A333" s="32" t="s">
        <v>14709</v>
      </c>
      <c r="B333" s="33">
        <v>5.0</v>
      </c>
      <c r="C333" s="34" t="s">
        <v>19164</v>
      </c>
      <c r="D333" s="35">
        <v>1.0</v>
      </c>
      <c r="E333" s="34" t="s">
        <v>19234</v>
      </c>
      <c r="F333" s="35"/>
      <c r="G333" s="34"/>
      <c r="H333" s="35" t="s">
        <v>19274</v>
      </c>
      <c r="I333" s="34"/>
      <c r="J333" s="35" t="s">
        <v>19274</v>
      </c>
      <c r="K333" s="34"/>
      <c r="L333" s="35" t="s">
        <v>19274</v>
      </c>
      <c r="M333" s="34"/>
      <c r="N333" s="5" t="s">
        <v>19196</v>
      </c>
      <c r="O333" s="36"/>
      <c r="P333" s="36" t="s">
        <v>19486</v>
      </c>
      <c r="Q333" s="37"/>
    </row>
    <row r="334" ht="37.5" customHeight="1">
      <c r="A334" s="32" t="s">
        <v>14750</v>
      </c>
      <c r="B334" s="33">
        <v>10.0</v>
      </c>
      <c r="C334" s="34" t="s">
        <v>19164</v>
      </c>
      <c r="D334" s="35"/>
      <c r="E334" s="34"/>
      <c r="F334" s="35"/>
      <c r="G334" s="34"/>
      <c r="H334" s="35" t="s">
        <v>19274</v>
      </c>
      <c r="I334" s="34"/>
      <c r="J334" s="35" t="s">
        <v>19274</v>
      </c>
      <c r="K334" s="34"/>
      <c r="L334" s="35" t="s">
        <v>19274</v>
      </c>
      <c r="M334" s="34"/>
      <c r="N334" s="5" t="s">
        <v>19232</v>
      </c>
      <c r="O334" s="36"/>
      <c r="P334" s="36" t="s">
        <v>19486</v>
      </c>
      <c r="Q334" s="37"/>
    </row>
    <row r="335" ht="37.5" customHeight="1">
      <c r="A335" s="32" t="s">
        <v>14800</v>
      </c>
      <c r="B335" s="33">
        <v>6.0</v>
      </c>
      <c r="C335" s="34" t="s">
        <v>19164</v>
      </c>
      <c r="D335" s="35"/>
      <c r="E335" s="34"/>
      <c r="F335" s="35"/>
      <c r="G335" s="34"/>
      <c r="H335" s="35" t="s">
        <v>19274</v>
      </c>
      <c r="I335" s="34"/>
      <c r="J335" s="35" t="s">
        <v>19274</v>
      </c>
      <c r="K335" s="34"/>
      <c r="L335" s="35" t="s">
        <v>19274</v>
      </c>
      <c r="M335" s="34"/>
      <c r="N335" s="5" t="s">
        <v>19205</v>
      </c>
      <c r="O335" s="36"/>
      <c r="P335" s="36" t="s">
        <v>19486</v>
      </c>
      <c r="Q335" s="37"/>
    </row>
    <row r="336" ht="37.5" customHeight="1">
      <c r="A336" s="32" t="s">
        <v>14982</v>
      </c>
      <c r="B336" s="33">
        <v>18.0</v>
      </c>
      <c r="C336" s="34" t="s">
        <v>19164</v>
      </c>
      <c r="D336" s="35"/>
      <c r="E336" s="34"/>
      <c r="F336" s="35"/>
      <c r="G336" s="34"/>
      <c r="H336" s="35" t="s">
        <v>19274</v>
      </c>
      <c r="I336" s="34"/>
      <c r="J336" s="35" t="s">
        <v>19274</v>
      </c>
      <c r="K336" s="34"/>
      <c r="L336" s="35" t="s">
        <v>19274</v>
      </c>
      <c r="M336" s="34"/>
      <c r="N336" s="50" t="s">
        <v>19700</v>
      </c>
      <c r="O336" s="36"/>
      <c r="P336" s="36" t="s">
        <v>19486</v>
      </c>
      <c r="Q336" s="37"/>
    </row>
    <row r="337" ht="37.5" customHeight="1">
      <c r="A337" s="32" t="s">
        <v>15137</v>
      </c>
      <c r="B337" s="33">
        <v>4.0</v>
      </c>
      <c r="C337" s="34" t="s">
        <v>19164</v>
      </c>
      <c r="D337" s="35"/>
      <c r="E337" s="34"/>
      <c r="F337" s="35"/>
      <c r="G337" s="34"/>
      <c r="H337" s="35" t="s">
        <v>19274</v>
      </c>
      <c r="I337" s="34"/>
      <c r="J337" s="35" t="s">
        <v>19274</v>
      </c>
      <c r="K337" s="34"/>
      <c r="L337" s="35" t="s">
        <v>19274</v>
      </c>
      <c r="M337" s="34"/>
      <c r="N337" s="5" t="s">
        <v>19196</v>
      </c>
      <c r="O337" s="36"/>
      <c r="P337" s="36" t="s">
        <v>19486</v>
      </c>
      <c r="Q337" s="37"/>
    </row>
    <row r="338" ht="37.5" customHeight="1">
      <c r="A338" s="32" t="s">
        <v>15311</v>
      </c>
      <c r="B338" s="33">
        <v>15.0</v>
      </c>
      <c r="C338" s="34" t="s">
        <v>19164</v>
      </c>
      <c r="D338" s="35"/>
      <c r="E338" s="34"/>
      <c r="F338" s="35"/>
      <c r="G338" s="34"/>
      <c r="H338" s="35" t="s">
        <v>19274</v>
      </c>
      <c r="I338" s="34"/>
      <c r="J338" s="35" t="s">
        <v>19274</v>
      </c>
      <c r="K338" s="34"/>
      <c r="L338" s="35" t="s">
        <v>19274</v>
      </c>
      <c r="M338" s="34"/>
      <c r="N338" s="5" t="s">
        <v>19205</v>
      </c>
      <c r="O338" s="36"/>
      <c r="P338" s="36" t="s">
        <v>19486</v>
      </c>
      <c r="Q338" s="37"/>
    </row>
    <row r="339" ht="37.5" customHeight="1">
      <c r="A339" s="32" t="s">
        <v>15493</v>
      </c>
      <c r="B339" s="33">
        <v>12.0</v>
      </c>
      <c r="C339" s="34" t="s">
        <v>19164</v>
      </c>
      <c r="D339" s="35"/>
      <c r="E339" s="34"/>
      <c r="F339" s="35"/>
      <c r="G339" s="34"/>
      <c r="H339" s="35" t="s">
        <v>19274</v>
      </c>
      <c r="I339" s="34"/>
      <c r="J339" s="35" t="s">
        <v>19274</v>
      </c>
      <c r="K339" s="34"/>
      <c r="L339" s="35" t="s">
        <v>19274</v>
      </c>
      <c r="M339" s="34"/>
      <c r="N339" s="5" t="s">
        <v>19537</v>
      </c>
      <c r="O339" s="36"/>
      <c r="P339" s="36" t="s">
        <v>19486</v>
      </c>
      <c r="Q339" s="37"/>
    </row>
    <row r="340" ht="37.5" customHeight="1">
      <c r="A340" s="32" t="s">
        <v>15524</v>
      </c>
      <c r="B340" s="33">
        <v>4.0</v>
      </c>
      <c r="C340" s="34" t="s">
        <v>19164</v>
      </c>
      <c r="D340" s="35"/>
      <c r="E340" s="34"/>
      <c r="F340" s="35"/>
      <c r="G340" s="34"/>
      <c r="H340" s="35" t="s">
        <v>19274</v>
      </c>
      <c r="I340" s="34"/>
      <c r="J340" s="35" t="s">
        <v>19274</v>
      </c>
      <c r="K340" s="34"/>
      <c r="L340" s="35" t="s">
        <v>19274</v>
      </c>
      <c r="M340" s="34"/>
      <c r="N340" s="5" t="s">
        <v>19205</v>
      </c>
      <c r="O340" s="36"/>
      <c r="P340" s="36" t="s">
        <v>19486</v>
      </c>
      <c r="Q340" s="37"/>
    </row>
    <row r="341" ht="37.5" customHeight="1">
      <c r="A341" s="32" t="s">
        <v>15551</v>
      </c>
      <c r="B341" s="33">
        <v>1.0</v>
      </c>
      <c r="C341" s="34" t="s">
        <v>6233</v>
      </c>
      <c r="D341" s="35">
        <v>17.0</v>
      </c>
      <c r="E341" s="34" t="s">
        <v>19303</v>
      </c>
      <c r="F341" s="35"/>
      <c r="G341" s="34"/>
      <c r="H341" s="35" t="s">
        <v>19274</v>
      </c>
      <c r="I341" s="34"/>
      <c r="J341" s="35" t="s">
        <v>19274</v>
      </c>
      <c r="K341" s="34"/>
      <c r="L341" s="35" t="s">
        <v>19274</v>
      </c>
      <c r="M341" s="34"/>
      <c r="N341" s="5" t="s">
        <v>19161</v>
      </c>
      <c r="O341" s="36"/>
      <c r="P341" s="36" t="s">
        <v>19486</v>
      </c>
      <c r="Q341" s="37"/>
    </row>
    <row r="342" ht="37.5" customHeight="1">
      <c r="A342" s="32" t="s">
        <v>15586</v>
      </c>
      <c r="B342" s="33">
        <v>1.0</v>
      </c>
      <c r="C342" s="34" t="s">
        <v>6233</v>
      </c>
      <c r="D342" s="35">
        <v>4.0</v>
      </c>
      <c r="E342" s="34" t="s">
        <v>19303</v>
      </c>
      <c r="F342" s="35"/>
      <c r="G342" s="34"/>
      <c r="H342" s="35" t="s">
        <v>19274</v>
      </c>
      <c r="I342" s="34"/>
      <c r="J342" s="35" t="s">
        <v>19274</v>
      </c>
      <c r="K342" s="34"/>
      <c r="L342" s="35" t="s">
        <v>19274</v>
      </c>
      <c r="M342" s="34"/>
      <c r="N342" s="5" t="s">
        <v>19205</v>
      </c>
      <c r="O342" s="36"/>
      <c r="P342" s="36" t="s">
        <v>19486</v>
      </c>
      <c r="Q342" s="37"/>
    </row>
    <row r="343" ht="37.5" customHeight="1">
      <c r="A343" s="32" t="s">
        <v>15616</v>
      </c>
      <c r="B343" s="33">
        <v>1.0</v>
      </c>
      <c r="C343" s="34" t="s">
        <v>6233</v>
      </c>
      <c r="D343" s="35">
        <v>3.0</v>
      </c>
      <c r="E343" s="34" t="s">
        <v>19303</v>
      </c>
      <c r="F343" s="35"/>
      <c r="G343" s="34"/>
      <c r="H343" s="35" t="s">
        <v>19274</v>
      </c>
      <c r="I343" s="34"/>
      <c r="J343" s="35" t="s">
        <v>19274</v>
      </c>
      <c r="K343" s="34"/>
      <c r="L343" s="35" t="s">
        <v>19274</v>
      </c>
      <c r="M343" s="34"/>
      <c r="N343" s="5" t="s">
        <v>59</v>
      </c>
      <c r="O343" s="36"/>
      <c r="P343" s="36" t="s">
        <v>19486</v>
      </c>
      <c r="Q343" s="37"/>
    </row>
    <row r="344" ht="37.5" customHeight="1">
      <c r="A344" s="32" t="s">
        <v>15640</v>
      </c>
      <c r="B344" s="33">
        <v>1.0</v>
      </c>
      <c r="C344" s="34" t="s">
        <v>6233</v>
      </c>
      <c r="D344" s="35">
        <v>3.0</v>
      </c>
      <c r="E344" s="34" t="s">
        <v>19303</v>
      </c>
      <c r="F344" s="35"/>
      <c r="G344" s="34"/>
      <c r="H344" s="35" t="s">
        <v>19274</v>
      </c>
      <c r="I344" s="34"/>
      <c r="J344" s="35" t="s">
        <v>19274</v>
      </c>
      <c r="K344" s="34"/>
      <c r="L344" s="35" t="s">
        <v>19274</v>
      </c>
      <c r="M344" s="34"/>
      <c r="N344" s="5" t="s">
        <v>59</v>
      </c>
      <c r="O344" s="36"/>
      <c r="P344" s="36" t="s">
        <v>19486</v>
      </c>
      <c r="Q344" s="37"/>
    </row>
    <row r="345" ht="37.5" customHeight="1">
      <c r="A345" s="32" t="s">
        <v>15671</v>
      </c>
      <c r="B345" s="33">
        <v>1.0</v>
      </c>
      <c r="C345" s="34" t="s">
        <v>6233</v>
      </c>
      <c r="D345" s="35">
        <v>12.0</v>
      </c>
      <c r="E345" s="34" t="s">
        <v>19303</v>
      </c>
      <c r="F345" s="35"/>
      <c r="G345" s="34"/>
      <c r="H345" s="35" t="s">
        <v>19274</v>
      </c>
      <c r="I345" s="34"/>
      <c r="J345" s="35" t="s">
        <v>19274</v>
      </c>
      <c r="K345" s="34"/>
      <c r="L345" s="35" t="s">
        <v>19274</v>
      </c>
      <c r="M345" s="34"/>
      <c r="N345" s="5" t="s">
        <v>19161</v>
      </c>
      <c r="O345" s="36"/>
      <c r="P345" s="36" t="s">
        <v>19486</v>
      </c>
      <c r="Q345" s="37"/>
    </row>
    <row r="346" ht="37.5" customHeight="1">
      <c r="A346" s="32" t="s">
        <v>15698</v>
      </c>
      <c r="B346" s="33">
        <v>1.0</v>
      </c>
      <c r="C346" s="34" t="s">
        <v>6233</v>
      </c>
      <c r="D346" s="35">
        <v>5.0</v>
      </c>
      <c r="E346" s="34" t="s">
        <v>19303</v>
      </c>
      <c r="F346" s="35">
        <v>2.0</v>
      </c>
      <c r="G346" s="34" t="s">
        <v>19234</v>
      </c>
      <c r="H346" s="35" t="s">
        <v>19274</v>
      </c>
      <c r="I346" s="34"/>
      <c r="J346" s="35" t="s">
        <v>19274</v>
      </c>
      <c r="K346" s="34"/>
      <c r="L346" s="35" t="s">
        <v>19274</v>
      </c>
      <c r="M346" s="34"/>
      <c r="N346" s="5" t="s">
        <v>59</v>
      </c>
      <c r="O346" s="36"/>
      <c r="P346" s="36" t="s">
        <v>19486</v>
      </c>
      <c r="Q346" s="37"/>
    </row>
    <row r="347" ht="37.5" customHeight="1">
      <c r="A347" s="32" t="s">
        <v>15723</v>
      </c>
      <c r="B347" s="33">
        <v>1.0</v>
      </c>
      <c r="C347" s="34" t="s">
        <v>6233</v>
      </c>
      <c r="D347" s="35">
        <v>2.0</v>
      </c>
      <c r="E347" s="34" t="s">
        <v>19303</v>
      </c>
      <c r="F347" s="35"/>
      <c r="G347" s="34"/>
      <c r="H347" s="35" t="s">
        <v>19274</v>
      </c>
      <c r="I347" s="34"/>
      <c r="J347" s="35" t="s">
        <v>19274</v>
      </c>
      <c r="K347" s="34"/>
      <c r="L347" s="35" t="s">
        <v>19274</v>
      </c>
      <c r="M347" s="34"/>
      <c r="N347" s="5" t="s">
        <v>19196</v>
      </c>
      <c r="O347" s="36"/>
      <c r="P347" s="36" t="s">
        <v>19486</v>
      </c>
      <c r="Q347" s="37"/>
    </row>
    <row r="348" ht="37.5" customHeight="1">
      <c r="A348" s="32" t="s">
        <v>15746</v>
      </c>
      <c r="B348" s="33">
        <v>1.0</v>
      </c>
      <c r="C348" s="34" t="s">
        <v>6233</v>
      </c>
      <c r="D348" s="35">
        <v>8.0</v>
      </c>
      <c r="E348" s="34" t="s">
        <v>19303</v>
      </c>
      <c r="F348" s="35"/>
      <c r="G348" s="34"/>
      <c r="H348" s="35" t="s">
        <v>19274</v>
      </c>
      <c r="I348" s="34"/>
      <c r="J348" s="35" t="s">
        <v>19274</v>
      </c>
      <c r="K348" s="34"/>
      <c r="L348" s="35" t="s">
        <v>19274</v>
      </c>
      <c r="M348" s="34"/>
      <c r="N348" s="50" t="s">
        <v>19592</v>
      </c>
      <c r="O348" s="36"/>
      <c r="P348" s="36" t="s">
        <v>19486</v>
      </c>
      <c r="Q348" s="37"/>
    </row>
    <row r="349" ht="37.5" customHeight="1">
      <c r="A349" s="32" t="s">
        <v>15852</v>
      </c>
      <c r="B349" s="33">
        <v>3.0</v>
      </c>
      <c r="C349" s="34" t="s">
        <v>19132</v>
      </c>
      <c r="D349" s="35">
        <v>5.0</v>
      </c>
      <c r="E349" s="34" t="s">
        <v>19122</v>
      </c>
      <c r="F349" s="35"/>
      <c r="G349" s="34"/>
      <c r="H349" s="35" t="s">
        <v>19274</v>
      </c>
      <c r="I349" s="34"/>
      <c r="J349" s="35" t="s">
        <v>19274</v>
      </c>
      <c r="K349" s="34"/>
      <c r="L349" s="35" t="s">
        <v>19274</v>
      </c>
      <c r="M349" s="34"/>
      <c r="N349" s="5" t="s">
        <v>19136</v>
      </c>
      <c r="O349" s="36"/>
      <c r="P349" s="36" t="s">
        <v>19486</v>
      </c>
      <c r="Q349" s="37"/>
    </row>
    <row r="350" ht="37.5" customHeight="1">
      <c r="A350" s="36" t="s">
        <v>15920</v>
      </c>
      <c r="B350" s="33">
        <v>30.0</v>
      </c>
      <c r="C350" s="34" t="s">
        <v>12762</v>
      </c>
      <c r="D350" s="35" t="s">
        <v>19274</v>
      </c>
      <c r="E350" s="34"/>
      <c r="F350" s="35" t="s">
        <v>19274</v>
      </c>
      <c r="G350" s="34"/>
      <c r="H350" s="35" t="s">
        <v>19274</v>
      </c>
      <c r="I350" s="34"/>
      <c r="J350" s="35" t="s">
        <v>19274</v>
      </c>
      <c r="K350" s="34"/>
      <c r="L350" s="35" t="s">
        <v>19274</v>
      </c>
      <c r="M350" s="34"/>
      <c r="N350" s="5" t="s">
        <v>19243</v>
      </c>
      <c r="O350" s="36"/>
      <c r="P350" s="36" t="s">
        <v>19486</v>
      </c>
      <c r="Q350" s="37"/>
    </row>
    <row r="351" ht="37.5" customHeight="1">
      <c r="A351" s="32" t="s">
        <v>284</v>
      </c>
      <c r="B351" s="33">
        <v>3.0</v>
      </c>
      <c r="C351" s="34" t="s">
        <v>19289</v>
      </c>
      <c r="D351" s="35"/>
      <c r="E351" s="34"/>
      <c r="F351" s="35"/>
      <c r="G351" s="34"/>
      <c r="H351" s="35"/>
      <c r="I351" s="34"/>
      <c r="J351" s="35"/>
      <c r="K351" s="34"/>
      <c r="L351" s="35"/>
      <c r="M351" s="34"/>
      <c r="N351" s="5" t="s">
        <v>19361</v>
      </c>
      <c r="O351" s="36"/>
      <c r="P351" s="36" t="s">
        <v>19753</v>
      </c>
      <c r="Q351" s="37"/>
    </row>
    <row r="352" ht="37.5" customHeight="1">
      <c r="A352" s="32" t="s">
        <v>493</v>
      </c>
      <c r="B352" s="33">
        <v>3.0</v>
      </c>
      <c r="C352" s="34" t="s">
        <v>19280</v>
      </c>
      <c r="D352" s="35">
        <v>2.0</v>
      </c>
      <c r="E352" s="34" t="s">
        <v>19289</v>
      </c>
      <c r="F352" s="35"/>
      <c r="G352" s="34"/>
      <c r="H352" s="35"/>
      <c r="I352" s="34"/>
      <c r="J352" s="35"/>
      <c r="K352" s="34"/>
      <c r="L352" s="35"/>
      <c r="M352" s="34"/>
      <c r="N352" s="5" t="s">
        <v>19361</v>
      </c>
      <c r="O352" s="36"/>
      <c r="P352" s="36" t="s">
        <v>19753</v>
      </c>
      <c r="Q352" s="37"/>
    </row>
    <row r="353" ht="37.5" customHeight="1">
      <c r="A353" s="32" t="s">
        <v>505</v>
      </c>
      <c r="B353" s="33">
        <v>3.0</v>
      </c>
      <c r="C353" s="34" t="s">
        <v>19280</v>
      </c>
      <c r="D353" s="35">
        <v>2.0</v>
      </c>
      <c r="E353" s="34" t="s">
        <v>19303</v>
      </c>
      <c r="F353" s="35"/>
      <c r="G353" s="34"/>
      <c r="H353" s="35"/>
      <c r="I353" s="34"/>
      <c r="J353" s="35"/>
      <c r="K353" s="34"/>
      <c r="L353" s="35"/>
      <c r="M353" s="34"/>
      <c r="N353" s="5" t="s">
        <v>19128</v>
      </c>
      <c r="O353" s="36"/>
      <c r="P353" s="36" t="s">
        <v>19753</v>
      </c>
      <c r="Q353" s="37"/>
    </row>
    <row r="354" ht="37.5" customHeight="1">
      <c r="A354" s="32" t="s">
        <v>517</v>
      </c>
      <c r="B354" s="33">
        <v>4.0</v>
      </c>
      <c r="C354" s="34" t="s">
        <v>19280</v>
      </c>
      <c r="D354" s="35"/>
      <c r="E354" s="34"/>
      <c r="F354" s="35"/>
      <c r="G354" s="34"/>
      <c r="H354" s="35"/>
      <c r="I354" s="34"/>
      <c r="J354" s="35"/>
      <c r="K354" s="34"/>
      <c r="L354" s="35"/>
      <c r="M354" s="34"/>
      <c r="N354" s="5" t="s">
        <v>19361</v>
      </c>
      <c r="O354" s="36"/>
      <c r="P354" s="36" t="s">
        <v>19753</v>
      </c>
      <c r="Q354" s="37"/>
    </row>
    <row r="355" ht="37.5" customHeight="1">
      <c r="A355" s="32" t="s">
        <v>531</v>
      </c>
      <c r="B355" s="33">
        <v>3.0</v>
      </c>
      <c r="C355" s="34" t="s">
        <v>19280</v>
      </c>
      <c r="D355" s="35"/>
      <c r="E355" s="34"/>
      <c r="F355" s="35"/>
      <c r="G355" s="34"/>
      <c r="H355" s="35"/>
      <c r="I355" s="34"/>
      <c r="J355" s="35"/>
      <c r="K355" s="34"/>
      <c r="L355" s="35"/>
      <c r="M355" s="34"/>
      <c r="N355" s="5" t="s">
        <v>19161</v>
      </c>
      <c r="O355" s="36"/>
      <c r="P355" s="36" t="s">
        <v>19753</v>
      </c>
      <c r="Q355" s="37"/>
    </row>
    <row r="356" ht="37.5" customHeight="1">
      <c r="A356" s="32" t="s">
        <v>540</v>
      </c>
      <c r="B356" s="33">
        <v>4.0</v>
      </c>
      <c r="C356" s="34" t="s">
        <v>19138</v>
      </c>
      <c r="D356" s="35">
        <v>5.0</v>
      </c>
      <c r="E356" s="34" t="s">
        <v>19760</v>
      </c>
      <c r="F356" s="35">
        <v>4.0</v>
      </c>
      <c r="G356" s="34" t="s">
        <v>19289</v>
      </c>
      <c r="H356" s="35"/>
      <c r="I356" s="34"/>
      <c r="J356" s="35"/>
      <c r="K356" s="34"/>
      <c r="L356" s="35"/>
      <c r="M356" s="34"/>
      <c r="N356" s="5" t="s">
        <v>19139</v>
      </c>
      <c r="O356" s="36"/>
      <c r="P356" s="36" t="s">
        <v>19753</v>
      </c>
      <c r="Q356" s="37"/>
    </row>
    <row r="357" ht="37.5" customHeight="1">
      <c r="A357" s="32" t="s">
        <v>753</v>
      </c>
      <c r="B357" s="33">
        <v>4.0</v>
      </c>
      <c r="C357" s="34" t="s">
        <v>19146</v>
      </c>
      <c r="D357" s="35"/>
      <c r="E357" s="34"/>
      <c r="F357" s="35"/>
      <c r="G357" s="34"/>
      <c r="H357" s="35"/>
      <c r="I357" s="34"/>
      <c r="J357" s="35"/>
      <c r="K357" s="34"/>
      <c r="L357" s="35"/>
      <c r="M357" s="34"/>
      <c r="N357" s="38" t="s">
        <v>19294</v>
      </c>
      <c r="O357" s="36"/>
      <c r="P357" s="36" t="s">
        <v>19753</v>
      </c>
      <c r="Q357" s="37"/>
    </row>
    <row r="358" ht="37.5" customHeight="1">
      <c r="A358" s="32" t="s">
        <v>963</v>
      </c>
      <c r="B358" s="33">
        <v>10.0</v>
      </c>
      <c r="C358" s="34" t="s">
        <v>501</v>
      </c>
      <c r="D358" s="35">
        <v>2.0</v>
      </c>
      <c r="E358" s="34" t="s">
        <v>19234</v>
      </c>
      <c r="F358" s="35"/>
      <c r="G358" s="34"/>
      <c r="H358" s="35"/>
      <c r="I358" s="34"/>
      <c r="J358" s="35"/>
      <c r="K358" s="34"/>
      <c r="L358" s="35"/>
      <c r="M358" s="34"/>
      <c r="N358" s="5" t="s">
        <v>19196</v>
      </c>
      <c r="O358" s="36"/>
      <c r="P358" s="36" t="s">
        <v>19753</v>
      </c>
      <c r="Q358" s="37"/>
    </row>
    <row r="359" ht="37.5" customHeight="1">
      <c r="A359" s="32" t="s">
        <v>973</v>
      </c>
      <c r="B359" s="33">
        <v>6.0</v>
      </c>
      <c r="C359" s="34" t="s">
        <v>19153</v>
      </c>
      <c r="D359" s="35">
        <v>2.0</v>
      </c>
      <c r="E359" s="34" t="s">
        <v>19166</v>
      </c>
      <c r="F359" s="35">
        <v>3.0</v>
      </c>
      <c r="G359" s="34" t="s">
        <v>19122</v>
      </c>
      <c r="H359" s="35">
        <v>3.0</v>
      </c>
      <c r="I359" s="34" t="s">
        <v>19289</v>
      </c>
      <c r="J359" s="35"/>
      <c r="K359" s="34"/>
      <c r="L359" s="35"/>
      <c r="M359" s="34"/>
      <c r="N359" s="5" t="s">
        <v>19157</v>
      </c>
      <c r="O359" s="36"/>
      <c r="P359" s="36" t="s">
        <v>19753</v>
      </c>
      <c r="Q359" s="37"/>
    </row>
    <row r="360" ht="37.5" customHeight="1">
      <c r="A360" s="32" t="s">
        <v>990</v>
      </c>
      <c r="B360" s="33">
        <v>4.0</v>
      </c>
      <c r="C360" s="34" t="s">
        <v>19289</v>
      </c>
      <c r="D360" s="35"/>
      <c r="E360" s="34"/>
      <c r="F360" s="35"/>
      <c r="G360" s="34"/>
      <c r="H360" s="35"/>
      <c r="I360" s="34"/>
      <c r="J360" s="35"/>
      <c r="K360" s="34"/>
      <c r="L360" s="35"/>
      <c r="M360" s="34"/>
      <c r="N360" s="5" t="s">
        <v>19516</v>
      </c>
      <c r="O360" s="36"/>
      <c r="P360" s="36" t="s">
        <v>19753</v>
      </c>
      <c r="Q360" s="37"/>
    </row>
    <row r="361" ht="37.5" customHeight="1">
      <c r="A361" s="32" t="s">
        <v>1023</v>
      </c>
      <c r="B361" s="33">
        <v>1.0</v>
      </c>
      <c r="C361" s="34" t="s">
        <v>19654</v>
      </c>
      <c r="D361" s="35"/>
      <c r="E361" s="34"/>
      <c r="F361" s="35"/>
      <c r="G361" s="34"/>
      <c r="H361" s="35"/>
      <c r="I361" s="34"/>
      <c r="J361" s="35"/>
      <c r="K361" s="34"/>
      <c r="L361" s="35"/>
      <c r="M361" s="34"/>
      <c r="N361" s="5" t="s">
        <v>19361</v>
      </c>
      <c r="O361" s="36"/>
      <c r="P361" s="36" t="s">
        <v>19753</v>
      </c>
      <c r="Q361" s="37"/>
    </row>
    <row r="362" ht="37.5" customHeight="1">
      <c r="A362" s="32" t="s">
        <v>1199</v>
      </c>
      <c r="B362" s="33">
        <v>2.0</v>
      </c>
      <c r="C362" s="34" t="s">
        <v>19166</v>
      </c>
      <c r="D362" s="35">
        <v>1.0</v>
      </c>
      <c r="E362" s="34" t="s">
        <v>19234</v>
      </c>
      <c r="F362" s="35"/>
      <c r="G362" s="34"/>
      <c r="H362" s="35"/>
      <c r="I362" s="34"/>
      <c r="J362" s="35"/>
      <c r="K362" s="34"/>
      <c r="L362" s="35"/>
      <c r="M362" s="34"/>
      <c r="N362" s="5" t="s">
        <v>19161</v>
      </c>
      <c r="O362" s="36"/>
      <c r="P362" s="36" t="s">
        <v>19753</v>
      </c>
      <c r="Q362" s="37"/>
    </row>
    <row r="363" ht="37.5" customHeight="1">
      <c r="A363" s="32" t="s">
        <v>1300</v>
      </c>
      <c r="B363" s="33">
        <v>4.0</v>
      </c>
      <c r="C363" s="34" t="s">
        <v>19303</v>
      </c>
      <c r="D363" s="35"/>
      <c r="E363" s="34"/>
      <c r="F363" s="35"/>
      <c r="G363" s="34"/>
      <c r="H363" s="35"/>
      <c r="I363" s="34"/>
      <c r="J363" s="35"/>
      <c r="K363" s="34"/>
      <c r="L363" s="35"/>
      <c r="M363" s="34"/>
      <c r="N363" s="5" t="s">
        <v>19232</v>
      </c>
      <c r="O363" s="36"/>
      <c r="P363" s="36" t="s">
        <v>19753</v>
      </c>
      <c r="Q363" s="37"/>
    </row>
    <row r="364" ht="37.5" customHeight="1">
      <c r="A364" s="32" t="s">
        <v>1523</v>
      </c>
      <c r="B364" s="33">
        <v>1.0</v>
      </c>
      <c r="C364" s="34" t="s">
        <v>11579</v>
      </c>
      <c r="D364" s="35"/>
      <c r="E364" s="34"/>
      <c r="F364" s="35"/>
      <c r="G364" s="34"/>
      <c r="H364" s="35"/>
      <c r="I364" s="34"/>
      <c r="J364" s="35"/>
      <c r="K364" s="34"/>
      <c r="L364" s="35"/>
      <c r="M364" s="34"/>
      <c r="N364" s="5" t="s">
        <v>19232</v>
      </c>
      <c r="O364" s="36"/>
      <c r="P364" s="36" t="s">
        <v>19753</v>
      </c>
      <c r="Q364" s="37"/>
    </row>
    <row r="365" ht="37.5" customHeight="1">
      <c r="A365" s="32" t="s">
        <v>1743</v>
      </c>
      <c r="B365" s="33">
        <v>2.0</v>
      </c>
      <c r="C365" s="34" t="s">
        <v>19512</v>
      </c>
      <c r="D365" s="35">
        <v>1.0</v>
      </c>
      <c r="E365" s="34" t="s">
        <v>19166</v>
      </c>
      <c r="F365" s="35"/>
      <c r="G365" s="34"/>
      <c r="H365" s="35"/>
      <c r="I365" s="34"/>
      <c r="J365" s="35"/>
      <c r="K365" s="34"/>
      <c r="L365" s="35"/>
      <c r="M365" s="34"/>
      <c r="N365" s="5" t="s">
        <v>19513</v>
      </c>
      <c r="O365" s="36"/>
      <c r="P365" s="36" t="s">
        <v>19753</v>
      </c>
      <c r="Q365" s="37"/>
    </row>
    <row r="366" ht="37.5" customHeight="1">
      <c r="A366" s="32" t="s">
        <v>1756</v>
      </c>
      <c r="B366" s="33">
        <v>8.0</v>
      </c>
      <c r="C366" s="34" t="s">
        <v>19164</v>
      </c>
      <c r="D366" s="35"/>
      <c r="E366" s="34"/>
      <c r="F366" s="35"/>
      <c r="G366" s="34"/>
      <c r="H366" s="35"/>
      <c r="I366" s="34"/>
      <c r="J366" s="35"/>
      <c r="K366" s="34"/>
      <c r="L366" s="35"/>
      <c r="M366" s="34"/>
      <c r="N366" s="5" t="s">
        <v>19128</v>
      </c>
      <c r="O366" s="36"/>
      <c r="P366" s="36" t="s">
        <v>19753</v>
      </c>
      <c r="Q366" s="37"/>
    </row>
    <row r="367" ht="37.5" customHeight="1">
      <c r="A367" s="32" t="s">
        <v>1886</v>
      </c>
      <c r="B367" s="33">
        <v>1.0</v>
      </c>
      <c r="C367" s="34" t="s">
        <v>19352</v>
      </c>
      <c r="D367" s="35">
        <v>1.0</v>
      </c>
      <c r="E367" s="34" t="s">
        <v>19185</v>
      </c>
      <c r="F367" s="35"/>
      <c r="G367" s="34"/>
      <c r="H367" s="35"/>
      <c r="I367" s="34"/>
      <c r="J367" s="35"/>
      <c r="K367" s="34"/>
      <c r="L367" s="35"/>
      <c r="M367" s="34"/>
      <c r="N367" s="5" t="s">
        <v>19353</v>
      </c>
      <c r="O367" s="36"/>
      <c r="P367" s="36" t="s">
        <v>19753</v>
      </c>
      <c r="Q367" s="37"/>
    </row>
    <row r="368" ht="37.5" customHeight="1">
      <c r="A368" s="32" t="s">
        <v>1923</v>
      </c>
      <c r="B368" s="33">
        <v>1.0</v>
      </c>
      <c r="C368" s="34" t="s">
        <v>339</v>
      </c>
      <c r="D368" s="35">
        <v>1.0</v>
      </c>
      <c r="E368" s="34" t="s">
        <v>9827</v>
      </c>
      <c r="F368" s="35">
        <v>1.0</v>
      </c>
      <c r="G368" s="34" t="s">
        <v>501</v>
      </c>
      <c r="H368" s="35">
        <v>1.0</v>
      </c>
      <c r="I368" s="34" t="s">
        <v>1801</v>
      </c>
      <c r="J368" s="35">
        <v>1.0</v>
      </c>
      <c r="K368" s="34" t="s">
        <v>4063</v>
      </c>
      <c r="L368" s="35"/>
      <c r="M368" s="34"/>
      <c r="N368" s="5" t="s">
        <v>19238</v>
      </c>
      <c r="O368" s="36"/>
      <c r="P368" s="36" t="s">
        <v>19753</v>
      </c>
      <c r="Q368" s="37"/>
    </row>
    <row r="369" ht="37.5" customHeight="1">
      <c r="A369" s="32" t="s">
        <v>1928</v>
      </c>
      <c r="B369" s="33">
        <v>2.0</v>
      </c>
      <c r="C369" s="34" t="s">
        <v>19234</v>
      </c>
      <c r="D369" s="35"/>
      <c r="E369" s="34"/>
      <c r="F369" s="35"/>
      <c r="G369" s="34"/>
      <c r="H369" s="35"/>
      <c r="I369" s="34"/>
      <c r="J369" s="35"/>
      <c r="K369" s="34"/>
      <c r="L369" s="35"/>
      <c r="M369" s="34"/>
      <c r="N369" s="5" t="s">
        <v>59</v>
      </c>
      <c r="O369" s="36"/>
      <c r="P369" s="36" t="s">
        <v>19753</v>
      </c>
      <c r="Q369" s="37"/>
    </row>
    <row r="370" ht="37.5" customHeight="1">
      <c r="A370" s="32" t="s">
        <v>2079</v>
      </c>
      <c r="B370" s="33">
        <v>3.0</v>
      </c>
      <c r="C370" s="34" t="s">
        <v>19229</v>
      </c>
      <c r="D370" s="35"/>
      <c r="E370" s="34"/>
      <c r="F370" s="35"/>
      <c r="G370" s="34"/>
      <c r="H370" s="35"/>
      <c r="I370" s="34"/>
      <c r="J370" s="35"/>
      <c r="K370" s="34"/>
      <c r="L370" s="35"/>
      <c r="M370" s="34"/>
      <c r="N370" s="5" t="s">
        <v>19361</v>
      </c>
      <c r="O370" s="36"/>
      <c r="P370" s="36" t="s">
        <v>19753</v>
      </c>
      <c r="Q370" s="37"/>
    </row>
    <row r="371" ht="37.5" customHeight="1">
      <c r="A371" s="32" t="s">
        <v>2103</v>
      </c>
      <c r="B371" s="33">
        <v>3.0</v>
      </c>
      <c r="C371" s="34" t="s">
        <v>19229</v>
      </c>
      <c r="D371" s="35"/>
      <c r="E371" s="34"/>
      <c r="F371" s="35"/>
      <c r="G371" s="34"/>
      <c r="H371" s="35"/>
      <c r="I371" s="34"/>
      <c r="J371" s="35"/>
      <c r="K371" s="34"/>
      <c r="L371" s="35"/>
      <c r="M371" s="34"/>
      <c r="N371" s="5" t="s">
        <v>19243</v>
      </c>
      <c r="O371" s="36"/>
      <c r="P371" s="36" t="s">
        <v>19753</v>
      </c>
      <c r="Q371" s="37"/>
    </row>
    <row r="372" ht="37.5" customHeight="1">
      <c r="A372" s="32" t="s">
        <v>2106</v>
      </c>
      <c r="B372" s="33">
        <v>2.0</v>
      </c>
      <c r="C372" s="34" t="s">
        <v>19229</v>
      </c>
      <c r="D372" s="35"/>
      <c r="E372" s="34"/>
      <c r="F372" s="35"/>
      <c r="G372" s="34"/>
      <c r="H372" s="35"/>
      <c r="I372" s="34"/>
      <c r="J372" s="35"/>
      <c r="K372" s="34"/>
      <c r="L372" s="35"/>
      <c r="M372" s="34"/>
      <c r="N372" s="5" t="s">
        <v>19232</v>
      </c>
      <c r="O372" s="36"/>
      <c r="P372" s="36" t="s">
        <v>19753</v>
      </c>
      <c r="Q372" s="37"/>
    </row>
    <row r="373" ht="37.5" customHeight="1">
      <c r="A373" s="32" t="s">
        <v>2111</v>
      </c>
      <c r="B373" s="33">
        <v>1.0</v>
      </c>
      <c r="C373" s="34" t="s">
        <v>19229</v>
      </c>
      <c r="D373" s="35"/>
      <c r="E373" s="34"/>
      <c r="F373" s="35"/>
      <c r="G373" s="34"/>
      <c r="H373" s="35"/>
      <c r="I373" s="34"/>
      <c r="J373" s="35"/>
      <c r="K373" s="34"/>
      <c r="L373" s="35"/>
      <c r="M373" s="34"/>
      <c r="N373" s="5" t="s">
        <v>19361</v>
      </c>
      <c r="O373" s="36"/>
      <c r="P373" s="36" t="s">
        <v>19753</v>
      </c>
      <c r="Q373" s="37"/>
    </row>
    <row r="374" ht="37.5" customHeight="1">
      <c r="A374" s="32" t="s">
        <v>2117</v>
      </c>
      <c r="B374" s="33">
        <v>3.0</v>
      </c>
      <c r="C374" s="34" t="s">
        <v>19229</v>
      </c>
      <c r="D374" s="35"/>
      <c r="E374" s="34"/>
      <c r="F374" s="35"/>
      <c r="G374" s="34"/>
      <c r="H374" s="35"/>
      <c r="I374" s="34"/>
      <c r="J374" s="35"/>
      <c r="K374" s="34"/>
      <c r="L374" s="35"/>
      <c r="M374" s="34"/>
      <c r="N374" s="5" t="s">
        <v>19243</v>
      </c>
      <c r="O374" s="36"/>
      <c r="P374" s="36" t="s">
        <v>19753</v>
      </c>
      <c r="Q374" s="37"/>
    </row>
    <row r="375" ht="37.5" customHeight="1">
      <c r="A375" s="32" t="s">
        <v>2234</v>
      </c>
      <c r="B375" s="33">
        <v>5.0</v>
      </c>
      <c r="C375" s="34" t="s">
        <v>19510</v>
      </c>
      <c r="D375" s="35">
        <v>5.0</v>
      </c>
      <c r="E375" s="34" t="s">
        <v>19122</v>
      </c>
      <c r="F375" s="35"/>
      <c r="G375" s="34"/>
      <c r="H375" s="35"/>
      <c r="I375" s="34"/>
      <c r="J375" s="35"/>
      <c r="K375" s="34"/>
      <c r="L375" s="35"/>
      <c r="M375" s="34"/>
      <c r="N375" s="5" t="s">
        <v>19513</v>
      </c>
      <c r="O375" s="36"/>
      <c r="P375" s="36" t="s">
        <v>19753</v>
      </c>
      <c r="Q375" s="37"/>
    </row>
    <row r="376" ht="37.5" customHeight="1">
      <c r="A376" s="32" t="s">
        <v>2350</v>
      </c>
      <c r="B376" s="33">
        <v>5.0</v>
      </c>
      <c r="C376" s="34" t="s">
        <v>19459</v>
      </c>
      <c r="D376" s="35">
        <v>3.0</v>
      </c>
      <c r="E376" s="34" t="s">
        <v>19289</v>
      </c>
      <c r="F376" s="35"/>
      <c r="G376" s="34"/>
      <c r="H376" s="35"/>
      <c r="I376" s="34"/>
      <c r="J376" s="35"/>
      <c r="K376" s="34"/>
      <c r="L376" s="35"/>
      <c r="M376" s="34"/>
      <c r="N376" s="5" t="s">
        <v>19205</v>
      </c>
      <c r="O376" s="36"/>
      <c r="P376" s="36" t="s">
        <v>19753</v>
      </c>
      <c r="Q376" s="37"/>
    </row>
    <row r="377" ht="37.5" customHeight="1">
      <c r="A377" s="36" t="s">
        <v>2396</v>
      </c>
      <c r="B377" s="33">
        <v>2.0</v>
      </c>
      <c r="C377" s="34" t="s">
        <v>339</v>
      </c>
      <c r="D377" s="35">
        <v>2.0</v>
      </c>
      <c r="E377" s="34" t="s">
        <v>9827</v>
      </c>
      <c r="F377" s="35">
        <v>2.0</v>
      </c>
      <c r="G377" s="34" t="s">
        <v>501</v>
      </c>
      <c r="H377" s="35">
        <v>2.0</v>
      </c>
      <c r="I377" s="34" t="s">
        <v>1801</v>
      </c>
      <c r="J377" s="35">
        <v>2.0</v>
      </c>
      <c r="K377" s="34" t="s">
        <v>4063</v>
      </c>
      <c r="L377" s="35">
        <v>2.0</v>
      </c>
      <c r="M377" s="34" t="s">
        <v>19654</v>
      </c>
      <c r="N377" s="5" t="s">
        <v>19238</v>
      </c>
      <c r="O377" s="36"/>
      <c r="P377" s="36" t="s">
        <v>19753</v>
      </c>
      <c r="Q377" s="37"/>
    </row>
    <row r="378" ht="37.5" customHeight="1">
      <c r="A378" s="32" t="s">
        <v>2453</v>
      </c>
      <c r="B378" s="33">
        <v>5.0</v>
      </c>
      <c r="C378" s="34" t="s">
        <v>19234</v>
      </c>
      <c r="D378" s="35"/>
      <c r="E378" s="34"/>
      <c r="F378" s="35"/>
      <c r="G378" s="34"/>
      <c r="H378" s="35"/>
      <c r="I378" s="34"/>
      <c r="J378" s="35"/>
      <c r="K378" s="34"/>
      <c r="L378" s="35"/>
      <c r="M378" s="34"/>
      <c r="N378" s="5" t="s">
        <v>19128</v>
      </c>
      <c r="O378" s="36"/>
      <c r="P378" s="36" t="s">
        <v>19753</v>
      </c>
      <c r="Q378" s="37"/>
    </row>
    <row r="379" ht="37.5" customHeight="1">
      <c r="A379" s="32" t="s">
        <v>2720</v>
      </c>
      <c r="B379" s="33">
        <v>3.0</v>
      </c>
      <c r="C379" s="34" t="s">
        <v>19188</v>
      </c>
      <c r="D379" s="35">
        <v>2.0</v>
      </c>
      <c r="E379" s="34" t="s">
        <v>19784</v>
      </c>
      <c r="F379" s="35">
        <v>2.0</v>
      </c>
      <c r="G379" s="34" t="s">
        <v>19229</v>
      </c>
      <c r="H379" s="35"/>
      <c r="I379" s="34"/>
      <c r="J379" s="35"/>
      <c r="K379" s="34"/>
      <c r="L379" s="35"/>
      <c r="M379" s="34"/>
      <c r="N379" s="5" t="s">
        <v>19190</v>
      </c>
      <c r="O379" s="36"/>
      <c r="P379" s="36" t="s">
        <v>19753</v>
      </c>
      <c r="Q379" s="37"/>
    </row>
    <row r="380" ht="37.5" customHeight="1">
      <c r="A380" s="32" t="s">
        <v>2756</v>
      </c>
      <c r="B380" s="33">
        <v>2.0</v>
      </c>
      <c r="C380" s="34" t="s">
        <v>19229</v>
      </c>
      <c r="D380" s="35">
        <v>1.0</v>
      </c>
      <c r="E380" s="34" t="s">
        <v>2751</v>
      </c>
      <c r="F380" s="35"/>
      <c r="G380" s="34"/>
      <c r="H380" s="35"/>
      <c r="I380" s="34"/>
      <c r="J380" s="35"/>
      <c r="K380" s="34"/>
      <c r="L380" s="35"/>
      <c r="M380" s="34"/>
      <c r="N380" s="5" t="s">
        <v>19361</v>
      </c>
      <c r="O380" s="36"/>
      <c r="P380" s="36" t="s">
        <v>19753</v>
      </c>
      <c r="Q380" s="37"/>
    </row>
    <row r="381" ht="37.5" customHeight="1">
      <c r="A381" s="32" t="s">
        <v>2813</v>
      </c>
      <c r="B381" s="33">
        <v>2.0</v>
      </c>
      <c r="C381" s="34" t="s">
        <v>2763</v>
      </c>
      <c r="D381" s="35">
        <v>4.0</v>
      </c>
      <c r="E381" s="34" t="s">
        <v>19164</v>
      </c>
      <c r="F381" s="35"/>
      <c r="G381" s="34"/>
      <c r="H381" s="35"/>
      <c r="I381" s="34"/>
      <c r="J381" s="35"/>
      <c r="K381" s="34"/>
      <c r="L381" s="35"/>
      <c r="M381" s="34"/>
      <c r="N381" s="5" t="s">
        <v>19196</v>
      </c>
      <c r="O381" s="36"/>
      <c r="P381" s="36" t="s">
        <v>19753</v>
      </c>
      <c r="Q381" s="37"/>
    </row>
    <row r="382" ht="37.5" customHeight="1">
      <c r="A382" s="32" t="s">
        <v>3129</v>
      </c>
      <c r="B382" s="33">
        <v>5.0</v>
      </c>
      <c r="C382" s="34" t="s">
        <v>19303</v>
      </c>
      <c r="D382" s="35"/>
      <c r="E382" s="34"/>
      <c r="F382" s="35"/>
      <c r="G382" s="34"/>
      <c r="H382" s="35"/>
      <c r="I382" s="34"/>
      <c r="J382" s="35"/>
      <c r="K382" s="34"/>
      <c r="L382" s="35"/>
      <c r="M382" s="34"/>
      <c r="N382" s="5" t="s">
        <v>19243</v>
      </c>
      <c r="O382" s="36"/>
      <c r="P382" s="36" t="s">
        <v>19753</v>
      </c>
      <c r="Q382" s="37"/>
    </row>
    <row r="383" ht="37.5" customHeight="1">
      <c r="A383" s="32" t="s">
        <v>3291</v>
      </c>
      <c r="B383" s="33">
        <v>2.0</v>
      </c>
      <c r="C383" s="34" t="s">
        <v>19289</v>
      </c>
      <c r="D383" s="35"/>
      <c r="E383" s="34"/>
      <c r="F383" s="35"/>
      <c r="G383" s="34"/>
      <c r="H383" s="35"/>
      <c r="I383" s="34"/>
      <c r="J383" s="35"/>
      <c r="K383" s="34"/>
      <c r="L383" s="35"/>
      <c r="M383" s="34"/>
      <c r="N383" s="5" t="s">
        <v>19238</v>
      </c>
      <c r="O383" s="36"/>
      <c r="P383" s="36" t="s">
        <v>19753</v>
      </c>
      <c r="Q383" s="37"/>
    </row>
    <row r="384" ht="37.5" customHeight="1">
      <c r="A384" s="32" t="s">
        <v>3881</v>
      </c>
      <c r="B384" s="33">
        <v>5.0</v>
      </c>
      <c r="C384" s="34" t="s">
        <v>19188</v>
      </c>
      <c r="D384" s="35"/>
      <c r="E384" s="34"/>
      <c r="F384" s="35"/>
      <c r="G384" s="34"/>
      <c r="H384" s="35"/>
      <c r="I384" s="34"/>
      <c r="J384" s="35"/>
      <c r="K384" s="34"/>
      <c r="L384" s="35"/>
      <c r="M384" s="34"/>
      <c r="N384" s="5" t="s">
        <v>19190</v>
      </c>
      <c r="O384" s="36"/>
      <c r="P384" s="36" t="s">
        <v>19753</v>
      </c>
      <c r="Q384" s="37"/>
    </row>
    <row r="385" ht="37.5" customHeight="1">
      <c r="A385" s="32" t="s">
        <v>3957</v>
      </c>
      <c r="B385" s="33">
        <v>3.0</v>
      </c>
      <c r="C385" s="34" t="s">
        <v>19303</v>
      </c>
      <c r="D385" s="35"/>
      <c r="E385" s="34"/>
      <c r="F385" s="35"/>
      <c r="G385" s="34"/>
      <c r="H385" s="35"/>
      <c r="I385" s="34"/>
      <c r="J385" s="35"/>
      <c r="K385" s="34"/>
      <c r="L385" s="35"/>
      <c r="M385" s="34"/>
      <c r="N385" s="5" t="s">
        <v>59</v>
      </c>
      <c r="O385" s="36"/>
      <c r="P385" s="36" t="s">
        <v>19753</v>
      </c>
      <c r="Q385" s="37"/>
    </row>
    <row r="386" ht="37.5" customHeight="1">
      <c r="A386" s="32" t="s">
        <v>4058</v>
      </c>
      <c r="B386" s="33">
        <v>10.0</v>
      </c>
      <c r="C386" s="34" t="s">
        <v>4063</v>
      </c>
      <c r="D386" s="35">
        <v>4.0</v>
      </c>
      <c r="E386" s="34" t="s">
        <v>19303</v>
      </c>
      <c r="F386" s="35"/>
      <c r="G386" s="34"/>
      <c r="H386" s="35"/>
      <c r="I386" s="34"/>
      <c r="J386" s="35"/>
      <c r="K386" s="34"/>
      <c r="L386" s="35"/>
      <c r="M386" s="34"/>
      <c r="N386" s="5" t="s">
        <v>19161</v>
      </c>
      <c r="O386" s="36"/>
      <c r="P386" s="36" t="s">
        <v>19753</v>
      </c>
      <c r="Q386" s="37"/>
    </row>
    <row r="387" ht="37.5" customHeight="1">
      <c r="A387" s="32" t="s">
        <v>4198</v>
      </c>
      <c r="B387" s="33">
        <v>8.0</v>
      </c>
      <c r="C387" s="34" t="s">
        <v>19611</v>
      </c>
      <c r="D387" s="35">
        <v>5.0</v>
      </c>
      <c r="E387" s="34" t="s">
        <v>19289</v>
      </c>
      <c r="F387" s="35"/>
      <c r="G387" s="34"/>
      <c r="H387" s="35"/>
      <c r="I387" s="34"/>
      <c r="J387" s="35"/>
      <c r="K387" s="34"/>
      <c r="L387" s="35"/>
      <c r="M387" s="34"/>
      <c r="N387" s="5" t="s">
        <v>19136</v>
      </c>
      <c r="O387" s="36"/>
      <c r="P387" s="36" t="s">
        <v>19753</v>
      </c>
      <c r="Q387" s="37"/>
    </row>
    <row r="388" ht="37.5" customHeight="1">
      <c r="A388" s="32" t="s">
        <v>4472</v>
      </c>
      <c r="B388" s="33">
        <v>5.0</v>
      </c>
      <c r="C388" s="34" t="s">
        <v>19289</v>
      </c>
      <c r="D388" s="35"/>
      <c r="E388" s="34"/>
      <c r="F388" s="35"/>
      <c r="G388" s="34"/>
      <c r="H388" s="35"/>
      <c r="I388" s="34"/>
      <c r="J388" s="35"/>
      <c r="K388" s="34"/>
      <c r="L388" s="35"/>
      <c r="M388" s="34"/>
      <c r="N388" s="50" t="s">
        <v>19505</v>
      </c>
      <c r="O388" s="36"/>
      <c r="P388" s="36" t="s">
        <v>19753</v>
      </c>
      <c r="Q388" s="37"/>
    </row>
    <row r="389" ht="37.5" customHeight="1">
      <c r="A389" s="32" t="s">
        <v>4804</v>
      </c>
      <c r="B389" s="33">
        <v>1.0</v>
      </c>
      <c r="C389" s="34" t="s">
        <v>19345</v>
      </c>
      <c r="D389" s="35">
        <v>1.0</v>
      </c>
      <c r="E389" s="34" t="s">
        <v>19164</v>
      </c>
      <c r="F389" s="35">
        <v>1.0</v>
      </c>
      <c r="G389" s="34" t="s">
        <v>19234</v>
      </c>
      <c r="H389" s="35"/>
      <c r="I389" s="34"/>
      <c r="J389" s="35"/>
      <c r="K389" s="34"/>
      <c r="L389" s="35"/>
      <c r="M389" s="34"/>
      <c r="N389" s="5" t="s">
        <v>19799</v>
      </c>
      <c r="O389" s="36"/>
      <c r="P389" s="36" t="s">
        <v>19753</v>
      </c>
      <c r="Q389" s="37"/>
    </row>
    <row r="390" ht="37.5" customHeight="1">
      <c r="A390" s="32" t="s">
        <v>4947</v>
      </c>
      <c r="B390" s="33">
        <v>2.0</v>
      </c>
      <c r="C390" s="34" t="s">
        <v>19164</v>
      </c>
      <c r="D390" s="35">
        <v>2.0</v>
      </c>
      <c r="E390" s="34" t="s">
        <v>19303</v>
      </c>
      <c r="F390" s="35"/>
      <c r="G390" s="34"/>
      <c r="H390" s="35"/>
      <c r="I390" s="34"/>
      <c r="J390" s="35"/>
      <c r="K390" s="34"/>
      <c r="L390" s="35"/>
      <c r="M390" s="34"/>
      <c r="N390" s="5" t="s">
        <v>59</v>
      </c>
      <c r="O390" s="36"/>
      <c r="P390" s="36" t="s">
        <v>19753</v>
      </c>
      <c r="Q390" s="37"/>
    </row>
    <row r="391" ht="37.5" customHeight="1">
      <c r="A391" s="32" t="s">
        <v>5085</v>
      </c>
      <c r="B391" s="33">
        <v>3.0</v>
      </c>
      <c r="C391" s="34" t="s">
        <v>19188</v>
      </c>
      <c r="D391" s="35">
        <v>2.0</v>
      </c>
      <c r="E391" s="34" t="s">
        <v>19802</v>
      </c>
      <c r="F391" s="35">
        <v>2.0</v>
      </c>
      <c r="G391" s="34" t="s">
        <v>19229</v>
      </c>
      <c r="H391" s="35">
        <v>5.0</v>
      </c>
      <c r="I391" s="34" t="s">
        <v>12762</v>
      </c>
      <c r="J391" s="35"/>
      <c r="K391" s="34"/>
      <c r="L391" s="35"/>
      <c r="M391" s="34"/>
      <c r="N391" s="5" t="s">
        <v>19190</v>
      </c>
      <c r="O391" s="36"/>
      <c r="P391" s="36" t="s">
        <v>19753</v>
      </c>
      <c r="Q391" s="37"/>
    </row>
    <row r="392" ht="37.5" customHeight="1">
      <c r="A392" s="32" t="s">
        <v>5215</v>
      </c>
      <c r="B392" s="33">
        <v>2.0</v>
      </c>
      <c r="C392" s="34" t="s">
        <v>19180</v>
      </c>
      <c r="D392" s="35">
        <v>3.0</v>
      </c>
      <c r="E392" s="34" t="s">
        <v>19289</v>
      </c>
      <c r="F392" s="35"/>
      <c r="G392" s="34"/>
      <c r="H392" s="35"/>
      <c r="I392" s="34"/>
      <c r="J392" s="35"/>
      <c r="K392" s="34"/>
      <c r="L392" s="35"/>
      <c r="M392" s="34"/>
      <c r="N392" s="5" t="s">
        <v>19205</v>
      </c>
      <c r="O392" s="36"/>
      <c r="P392" s="36" t="s">
        <v>19753</v>
      </c>
      <c r="Q392" s="37"/>
    </row>
    <row r="393" ht="37.5" customHeight="1">
      <c r="A393" s="32" t="s">
        <v>5246</v>
      </c>
      <c r="B393" s="33">
        <v>3.0</v>
      </c>
      <c r="C393" s="34" t="s">
        <v>19687</v>
      </c>
      <c r="D393" s="35">
        <v>2.0</v>
      </c>
      <c r="E393" s="34" t="s">
        <v>19234</v>
      </c>
      <c r="F393" s="35"/>
      <c r="G393" s="34"/>
      <c r="H393" s="35"/>
      <c r="I393" s="34"/>
      <c r="J393" s="35"/>
      <c r="K393" s="34"/>
      <c r="L393" s="35"/>
      <c r="M393" s="34"/>
      <c r="N393" s="5" t="s">
        <v>19205</v>
      </c>
      <c r="O393" s="36"/>
      <c r="P393" s="36" t="s">
        <v>19753</v>
      </c>
      <c r="Q393" s="37"/>
    </row>
    <row r="394" ht="37.5" customHeight="1">
      <c r="A394" s="32" t="s">
        <v>5409</v>
      </c>
      <c r="B394" s="33">
        <v>5.0</v>
      </c>
      <c r="C394" s="34" t="s">
        <v>660</v>
      </c>
      <c r="D394" s="35"/>
      <c r="E394" s="34"/>
      <c r="F394" s="35"/>
      <c r="G394" s="34"/>
      <c r="H394" s="35"/>
      <c r="I394" s="34"/>
      <c r="J394" s="35"/>
      <c r="K394" s="34"/>
      <c r="L394" s="35"/>
      <c r="M394" s="34"/>
      <c r="N394" s="5" t="s">
        <v>19243</v>
      </c>
      <c r="O394" s="36"/>
      <c r="P394" s="36" t="s">
        <v>19753</v>
      </c>
      <c r="Q394" s="37"/>
    </row>
    <row r="395" ht="37.5" customHeight="1">
      <c r="A395" s="32" t="s">
        <v>5427</v>
      </c>
      <c r="B395" s="33">
        <v>6.0</v>
      </c>
      <c r="C395" s="34" t="s">
        <v>2763</v>
      </c>
      <c r="D395" s="35"/>
      <c r="E395" s="34"/>
      <c r="F395" s="35"/>
      <c r="G395" s="34"/>
      <c r="H395" s="35"/>
      <c r="I395" s="34"/>
      <c r="J395" s="35"/>
      <c r="K395" s="34"/>
      <c r="L395" s="35"/>
      <c r="M395" s="34"/>
      <c r="N395" s="5" t="s">
        <v>19196</v>
      </c>
      <c r="O395" s="36"/>
      <c r="P395" s="36" t="s">
        <v>19753</v>
      </c>
      <c r="Q395" s="37"/>
    </row>
    <row r="396" ht="37.5" customHeight="1">
      <c r="A396" s="32" t="s">
        <v>5479</v>
      </c>
      <c r="B396" s="33">
        <v>3.0</v>
      </c>
      <c r="C396" s="34" t="s">
        <v>19188</v>
      </c>
      <c r="D396" s="35">
        <v>1.0</v>
      </c>
      <c r="E396" s="34" t="s">
        <v>19234</v>
      </c>
      <c r="F396" s="35"/>
      <c r="G396" s="34"/>
      <c r="H396" s="35"/>
      <c r="I396" s="34"/>
      <c r="J396" s="35"/>
      <c r="K396" s="34"/>
      <c r="L396" s="35"/>
      <c r="M396" s="34"/>
      <c r="N396" s="5" t="s">
        <v>19190</v>
      </c>
      <c r="O396" s="36"/>
      <c r="P396" s="36" t="s">
        <v>19753</v>
      </c>
      <c r="Q396" s="37"/>
    </row>
    <row r="397" ht="37.5" customHeight="1">
      <c r="A397" s="32" t="s">
        <v>5506</v>
      </c>
      <c r="B397" s="33">
        <v>6.0</v>
      </c>
      <c r="C397" s="34" t="s">
        <v>19138</v>
      </c>
      <c r="D397" s="35"/>
      <c r="E397" s="34"/>
      <c r="F397" s="35"/>
      <c r="G397" s="34"/>
      <c r="H397" s="35"/>
      <c r="I397" s="34"/>
      <c r="J397" s="35"/>
      <c r="K397" s="34"/>
      <c r="L397" s="35"/>
      <c r="M397" s="34"/>
      <c r="N397" s="5" t="s">
        <v>19139</v>
      </c>
      <c r="O397" s="36"/>
      <c r="P397" s="36" t="s">
        <v>19753</v>
      </c>
      <c r="Q397" s="37"/>
    </row>
    <row r="398" ht="37.5" customHeight="1">
      <c r="A398" s="32" t="s">
        <v>5568</v>
      </c>
      <c r="B398" s="33">
        <v>10.0</v>
      </c>
      <c r="C398" s="34" t="s">
        <v>19122</v>
      </c>
      <c r="D398" s="35">
        <v>1.0</v>
      </c>
      <c r="E398" s="34" t="s">
        <v>19345</v>
      </c>
      <c r="F398" s="35"/>
      <c r="G398" s="34"/>
      <c r="H398" s="35"/>
      <c r="I398" s="34"/>
      <c r="J398" s="35"/>
      <c r="K398" s="34"/>
      <c r="L398" s="35"/>
      <c r="M398" s="34"/>
      <c r="N398" s="5" t="s">
        <v>19799</v>
      </c>
      <c r="O398" s="36"/>
      <c r="P398" s="36" t="s">
        <v>19753</v>
      </c>
      <c r="Q398" s="37"/>
    </row>
    <row r="399" ht="37.5" customHeight="1">
      <c r="A399" s="32" t="s">
        <v>5706</v>
      </c>
      <c r="B399" s="33">
        <v>5.0</v>
      </c>
      <c r="C399" s="34" t="s">
        <v>19512</v>
      </c>
      <c r="D399" s="35">
        <v>3.0</v>
      </c>
      <c r="E399" s="34" t="s">
        <v>19534</v>
      </c>
      <c r="F399" s="35">
        <v>2.0</v>
      </c>
      <c r="G399" s="34" t="s">
        <v>19289</v>
      </c>
      <c r="H399" s="35"/>
      <c r="I399" s="34"/>
      <c r="J399" s="35"/>
      <c r="K399" s="34"/>
      <c r="L399" s="35"/>
      <c r="M399" s="34"/>
      <c r="N399" s="5" t="s">
        <v>19513</v>
      </c>
      <c r="O399" s="36"/>
      <c r="P399" s="36" t="s">
        <v>19753</v>
      </c>
      <c r="Q399" s="37"/>
    </row>
    <row r="400" ht="37.5" customHeight="1">
      <c r="A400" s="32" t="s">
        <v>5822</v>
      </c>
      <c r="B400" s="33">
        <v>12.0</v>
      </c>
      <c r="C400" s="34" t="s">
        <v>19122</v>
      </c>
      <c r="D400" s="35">
        <v>2.0</v>
      </c>
      <c r="E400" s="34" t="s">
        <v>19234</v>
      </c>
      <c r="F400" s="35"/>
      <c r="G400" s="34"/>
      <c r="H400" s="35"/>
      <c r="I400" s="34"/>
      <c r="J400" s="35"/>
      <c r="K400" s="34"/>
      <c r="L400" s="35"/>
      <c r="M400" s="34"/>
      <c r="N400" s="5" t="s">
        <v>19161</v>
      </c>
      <c r="O400" s="36"/>
      <c r="P400" s="36" t="s">
        <v>19753</v>
      </c>
      <c r="Q400" s="37"/>
    </row>
    <row r="401" ht="37.5" customHeight="1">
      <c r="A401" s="32" t="s">
        <v>5987</v>
      </c>
      <c r="B401" s="33">
        <v>4.0</v>
      </c>
      <c r="C401" s="34" t="s">
        <v>19132</v>
      </c>
      <c r="D401" s="35">
        <v>2.0</v>
      </c>
      <c r="E401" s="34" t="s">
        <v>19166</v>
      </c>
      <c r="F401" s="35"/>
      <c r="G401" s="34"/>
      <c r="H401" s="35"/>
      <c r="I401" s="34"/>
      <c r="J401" s="35"/>
      <c r="K401" s="34"/>
      <c r="L401" s="35"/>
      <c r="M401" s="34"/>
      <c r="N401" s="5" t="s">
        <v>19136</v>
      </c>
      <c r="O401" s="36"/>
      <c r="P401" s="36" t="s">
        <v>19753</v>
      </c>
      <c r="Q401" s="37"/>
    </row>
    <row r="402" ht="37.5" customHeight="1">
      <c r="A402" s="32" t="s">
        <v>6005</v>
      </c>
      <c r="B402" s="33">
        <v>1.0</v>
      </c>
      <c r="C402" s="34" t="s">
        <v>19345</v>
      </c>
      <c r="D402" s="35">
        <v>1.0</v>
      </c>
      <c r="E402" s="34" t="s">
        <v>19346</v>
      </c>
      <c r="F402" s="35">
        <v>1.0</v>
      </c>
      <c r="G402" s="34" t="s">
        <v>19347</v>
      </c>
      <c r="H402" s="35"/>
      <c r="I402" s="34"/>
      <c r="J402" s="35"/>
      <c r="K402" s="34"/>
      <c r="L402" s="35"/>
      <c r="M402" s="34"/>
      <c r="N402" s="38" t="s">
        <v>19824</v>
      </c>
      <c r="O402" s="36"/>
      <c r="P402" s="36" t="s">
        <v>19753</v>
      </c>
      <c r="Q402" s="37"/>
    </row>
    <row r="403" ht="37.5" customHeight="1">
      <c r="A403" s="32" t="s">
        <v>6018</v>
      </c>
      <c r="B403" s="33">
        <v>6.0</v>
      </c>
      <c r="C403" s="34" t="s">
        <v>19132</v>
      </c>
      <c r="D403" s="35">
        <v>4.0</v>
      </c>
      <c r="E403" s="34" t="s">
        <v>19289</v>
      </c>
      <c r="F403" s="35"/>
      <c r="G403" s="34"/>
      <c r="H403" s="35"/>
      <c r="I403" s="34"/>
      <c r="J403" s="35"/>
      <c r="K403" s="34"/>
      <c r="L403" s="35"/>
      <c r="M403" s="34"/>
      <c r="N403" s="5" t="s">
        <v>19136</v>
      </c>
      <c r="O403" s="36"/>
      <c r="P403" s="36" t="s">
        <v>19753</v>
      </c>
      <c r="Q403" s="37"/>
    </row>
    <row r="404" ht="37.5" customHeight="1">
      <c r="A404" s="32" t="s">
        <v>6027</v>
      </c>
      <c r="B404" s="33">
        <v>6.0</v>
      </c>
      <c r="C404" s="34" t="s">
        <v>19611</v>
      </c>
      <c r="D404" s="35">
        <v>4.0</v>
      </c>
      <c r="E404" s="34" t="s">
        <v>19132</v>
      </c>
      <c r="F404" s="35">
        <v>1.0</v>
      </c>
      <c r="G404" s="34" t="s">
        <v>19166</v>
      </c>
      <c r="H404" s="35"/>
      <c r="I404" s="34"/>
      <c r="J404" s="35"/>
      <c r="K404" s="34"/>
      <c r="L404" s="35"/>
      <c r="M404" s="34"/>
      <c r="N404" s="5" t="s">
        <v>19136</v>
      </c>
      <c r="O404" s="36"/>
      <c r="P404" s="36" t="s">
        <v>19753</v>
      </c>
      <c r="Q404" s="37"/>
    </row>
    <row r="405" ht="37.5" customHeight="1">
      <c r="A405" s="36" t="s">
        <v>6060</v>
      </c>
      <c r="B405" s="33">
        <v>5.0</v>
      </c>
      <c r="C405" s="34" t="s">
        <v>19166</v>
      </c>
      <c r="D405" s="35"/>
      <c r="E405" s="34"/>
      <c r="F405" s="35"/>
      <c r="G405" s="34"/>
      <c r="H405" s="35"/>
      <c r="I405" s="34"/>
      <c r="J405" s="35"/>
      <c r="K405" s="34"/>
      <c r="L405" s="35"/>
      <c r="M405" s="34"/>
      <c r="N405" s="5" t="s">
        <v>19232</v>
      </c>
      <c r="O405" s="36"/>
      <c r="P405" s="36" t="s">
        <v>19753</v>
      </c>
      <c r="Q405" s="37"/>
    </row>
    <row r="406" ht="37.5" customHeight="1">
      <c r="A406" s="32" t="s">
        <v>6096</v>
      </c>
      <c r="B406" s="33">
        <v>3.0</v>
      </c>
      <c r="C406" s="34" t="s">
        <v>19289</v>
      </c>
      <c r="D406" s="35"/>
      <c r="E406" s="34"/>
      <c r="F406" s="35"/>
      <c r="G406" s="34"/>
      <c r="H406" s="35"/>
      <c r="I406" s="34"/>
      <c r="J406" s="35"/>
      <c r="K406" s="34"/>
      <c r="L406" s="35"/>
      <c r="M406" s="34"/>
      <c r="N406" s="5" t="s">
        <v>19361</v>
      </c>
      <c r="O406" s="36"/>
      <c r="P406" s="36" t="s">
        <v>19753</v>
      </c>
      <c r="Q406" s="37"/>
    </row>
    <row r="407" ht="37.5" customHeight="1">
      <c r="A407" s="32" t="s">
        <v>6153</v>
      </c>
      <c r="B407" s="33">
        <v>3.0</v>
      </c>
      <c r="C407" s="34" t="s">
        <v>19480</v>
      </c>
      <c r="D407" s="35">
        <v>2.0</v>
      </c>
      <c r="E407" s="34" t="s">
        <v>19234</v>
      </c>
      <c r="F407" s="35"/>
      <c r="G407" s="34"/>
      <c r="H407" s="35"/>
      <c r="I407" s="34"/>
      <c r="J407" s="35"/>
      <c r="K407" s="34"/>
      <c r="L407" s="35"/>
      <c r="M407" s="34"/>
      <c r="N407" s="5" t="s">
        <v>19243</v>
      </c>
      <c r="O407" s="36"/>
      <c r="P407" s="36" t="s">
        <v>19753</v>
      </c>
      <c r="Q407" s="37"/>
    </row>
    <row r="408" ht="37.5" customHeight="1">
      <c r="A408" s="32" t="s">
        <v>19834</v>
      </c>
      <c r="B408" s="33">
        <v>4.0</v>
      </c>
      <c r="C408" s="34" t="s">
        <v>19142</v>
      </c>
      <c r="D408" s="35">
        <v>4.0</v>
      </c>
      <c r="E408" s="34" t="s">
        <v>19144</v>
      </c>
      <c r="F408" s="35">
        <v>4.0</v>
      </c>
      <c r="G408" s="34" t="s">
        <v>19145</v>
      </c>
      <c r="H408" s="35">
        <v>4.0</v>
      </c>
      <c r="I408" s="34" t="s">
        <v>19146</v>
      </c>
      <c r="J408" s="35">
        <v>4.0</v>
      </c>
      <c r="K408" s="34" t="s">
        <v>19147</v>
      </c>
      <c r="L408" s="35">
        <v>4.0</v>
      </c>
      <c r="M408" s="34" t="s">
        <v>19148</v>
      </c>
      <c r="N408" s="38" t="s">
        <v>19837</v>
      </c>
      <c r="O408" s="36"/>
      <c r="P408" s="36" t="s">
        <v>19753</v>
      </c>
      <c r="Q408" s="37"/>
    </row>
    <row r="409" ht="37.5" customHeight="1">
      <c r="A409" s="32" t="s">
        <v>6167</v>
      </c>
      <c r="B409" s="33">
        <v>3.0</v>
      </c>
      <c r="C409" s="34" t="s">
        <v>19164</v>
      </c>
      <c r="D409" s="35"/>
      <c r="E409" s="34"/>
      <c r="F409" s="35"/>
      <c r="G409" s="34"/>
      <c r="H409" s="35" t="s">
        <v>19274</v>
      </c>
      <c r="I409" s="34"/>
      <c r="J409" s="35" t="s">
        <v>19274</v>
      </c>
      <c r="K409" s="34"/>
      <c r="L409" s="35" t="s">
        <v>19274</v>
      </c>
      <c r="M409" s="34"/>
      <c r="N409" s="5" t="s">
        <v>59</v>
      </c>
      <c r="O409" s="36"/>
      <c r="P409" s="36" t="s">
        <v>19753</v>
      </c>
      <c r="Q409" s="37"/>
    </row>
    <row r="410" ht="37.5" customHeight="1">
      <c r="A410" s="32" t="s">
        <v>6182</v>
      </c>
      <c r="B410" s="33">
        <v>3.0</v>
      </c>
      <c r="C410" s="34" t="s">
        <v>19164</v>
      </c>
      <c r="D410" s="35">
        <v>1.0</v>
      </c>
      <c r="E410" s="34" t="s">
        <v>19234</v>
      </c>
      <c r="F410" s="35"/>
      <c r="G410" s="34"/>
      <c r="H410" s="35" t="s">
        <v>19274</v>
      </c>
      <c r="I410" s="34"/>
      <c r="J410" s="35" t="s">
        <v>19274</v>
      </c>
      <c r="K410" s="34"/>
      <c r="L410" s="35" t="s">
        <v>19274</v>
      </c>
      <c r="M410" s="34"/>
      <c r="N410" s="5" t="s">
        <v>19205</v>
      </c>
      <c r="O410" s="36"/>
      <c r="P410" s="36" t="s">
        <v>19753</v>
      </c>
      <c r="Q410" s="37"/>
    </row>
    <row r="411" ht="37.5" customHeight="1">
      <c r="A411" s="32" t="s">
        <v>6218</v>
      </c>
      <c r="B411" s="33">
        <v>4.0</v>
      </c>
      <c r="C411" s="34" t="s">
        <v>19303</v>
      </c>
      <c r="D411" s="35">
        <v>2.0</v>
      </c>
      <c r="E411" s="34" t="s">
        <v>19234</v>
      </c>
      <c r="F411" s="35"/>
      <c r="G411" s="34"/>
      <c r="H411" s="35" t="s">
        <v>19274</v>
      </c>
      <c r="I411" s="34"/>
      <c r="J411" s="35" t="s">
        <v>19274</v>
      </c>
      <c r="K411" s="34"/>
      <c r="L411" s="35" t="s">
        <v>19274</v>
      </c>
      <c r="M411" s="34"/>
      <c r="N411" s="5" t="s">
        <v>19161</v>
      </c>
      <c r="O411" s="36"/>
      <c r="P411" s="36" t="s">
        <v>19753</v>
      </c>
      <c r="Q411" s="37"/>
    </row>
    <row r="412" ht="37.5" customHeight="1">
      <c r="A412" s="32" t="s">
        <v>6233</v>
      </c>
      <c r="B412" s="33">
        <v>3.0</v>
      </c>
      <c r="C412" s="34" t="s">
        <v>19303</v>
      </c>
      <c r="D412" s="35"/>
      <c r="E412" s="34"/>
      <c r="F412" s="35"/>
      <c r="G412" s="34"/>
      <c r="H412" s="35" t="s">
        <v>19274</v>
      </c>
      <c r="I412" s="34"/>
      <c r="J412" s="35" t="s">
        <v>19274</v>
      </c>
      <c r="K412" s="34"/>
      <c r="L412" s="35" t="s">
        <v>19274</v>
      </c>
      <c r="M412" s="34"/>
      <c r="N412" s="5" t="s">
        <v>59</v>
      </c>
      <c r="O412" s="36"/>
      <c r="P412" s="36" t="s">
        <v>19753</v>
      </c>
      <c r="Q412" s="37"/>
    </row>
    <row r="413" ht="37.5" customHeight="1">
      <c r="A413" s="32" t="s">
        <v>19846</v>
      </c>
      <c r="B413" s="33">
        <v>4.0</v>
      </c>
      <c r="C413" s="34" t="s">
        <v>8032</v>
      </c>
      <c r="D413" s="35">
        <v>4.0</v>
      </c>
      <c r="E413" s="34" t="s">
        <v>19289</v>
      </c>
      <c r="F413" s="35">
        <v>4.0</v>
      </c>
      <c r="G413" s="34" t="s">
        <v>12762</v>
      </c>
      <c r="H413" s="35"/>
      <c r="I413" s="34"/>
      <c r="J413" s="35"/>
      <c r="K413" s="34"/>
      <c r="L413" s="35"/>
      <c r="M413" s="34"/>
      <c r="N413" s="38" t="s">
        <v>19848</v>
      </c>
      <c r="O413" s="36"/>
      <c r="P413" s="36" t="s">
        <v>19849</v>
      </c>
      <c r="Q413" s="37"/>
    </row>
    <row r="414" ht="37.5" customHeight="1">
      <c r="A414" s="36" t="s">
        <v>19851</v>
      </c>
      <c r="B414" s="33">
        <v>15.0</v>
      </c>
      <c r="C414" s="34" t="s">
        <v>19164</v>
      </c>
      <c r="D414" s="35">
        <v>15.0</v>
      </c>
      <c r="E414" s="34" t="s">
        <v>19303</v>
      </c>
      <c r="F414" s="35">
        <v>15.0</v>
      </c>
      <c r="G414" s="34" t="s">
        <v>19166</v>
      </c>
      <c r="H414" s="35">
        <v>15.0</v>
      </c>
      <c r="I414" s="34" t="s">
        <v>19234</v>
      </c>
      <c r="J414" s="35"/>
      <c r="K414" s="34"/>
      <c r="L414" s="35"/>
      <c r="M414" s="34"/>
      <c r="N414" s="38" t="s">
        <v>19848</v>
      </c>
      <c r="O414" s="36"/>
      <c r="P414" s="36" t="s">
        <v>19849</v>
      </c>
      <c r="Q414" s="37"/>
    </row>
    <row r="415" ht="37.5" customHeight="1">
      <c r="A415" s="32" t="s">
        <v>19853</v>
      </c>
      <c r="B415" s="33">
        <v>1.0</v>
      </c>
      <c r="C415" s="5" t="s">
        <v>19855</v>
      </c>
      <c r="D415" s="35"/>
      <c r="E415" s="34"/>
      <c r="F415" s="35"/>
      <c r="G415" s="34"/>
      <c r="H415" s="35"/>
      <c r="I415" s="34"/>
      <c r="J415" s="35"/>
      <c r="K415" s="34"/>
      <c r="L415" s="35"/>
      <c r="M415" s="34"/>
      <c r="N415" s="38" t="s">
        <v>19856</v>
      </c>
      <c r="O415" s="36"/>
      <c r="P415" s="36" t="s">
        <v>19849</v>
      </c>
      <c r="Q415" s="37"/>
    </row>
    <row r="416" ht="37.5" customHeight="1">
      <c r="A416" s="32" t="s">
        <v>19858</v>
      </c>
      <c r="B416" s="33">
        <v>1.0</v>
      </c>
      <c r="C416" s="34" t="s">
        <v>19349</v>
      </c>
      <c r="D416" s="35">
        <v>3.0</v>
      </c>
      <c r="E416" s="34" t="s">
        <v>19122</v>
      </c>
      <c r="F416" s="35"/>
      <c r="G416" s="34"/>
      <c r="H416" s="35"/>
      <c r="I416" s="34"/>
      <c r="J416" s="35"/>
      <c r="K416" s="34"/>
      <c r="L416" s="35"/>
      <c r="M416" s="34"/>
      <c r="N416" s="38" t="s">
        <v>19860</v>
      </c>
      <c r="O416" s="36"/>
      <c r="P416" s="36" t="s">
        <v>19849</v>
      </c>
      <c r="Q416" s="37"/>
    </row>
    <row r="417" ht="37.5" customHeight="1">
      <c r="A417" s="32" t="s">
        <v>19862</v>
      </c>
      <c r="B417" s="33">
        <v>4.0</v>
      </c>
      <c r="C417" s="34" t="s">
        <v>19122</v>
      </c>
      <c r="D417" s="35">
        <v>6.0</v>
      </c>
      <c r="E417" s="34" t="s">
        <v>19534</v>
      </c>
      <c r="F417" s="35"/>
      <c r="G417" s="34"/>
      <c r="H417" s="35"/>
      <c r="I417" s="34"/>
      <c r="J417" s="35"/>
      <c r="K417" s="34"/>
      <c r="L417" s="35"/>
      <c r="M417" s="34"/>
      <c r="N417" s="5" t="s">
        <v>19128</v>
      </c>
      <c r="O417" s="36"/>
      <c r="P417" s="36" t="s">
        <v>19849</v>
      </c>
      <c r="Q417" s="37"/>
    </row>
    <row r="418" ht="37.5" customHeight="1">
      <c r="A418" s="32" t="s">
        <v>4779</v>
      </c>
      <c r="B418" s="33">
        <v>6.0</v>
      </c>
      <c r="C418" s="34" t="s">
        <v>339</v>
      </c>
      <c r="D418" s="35"/>
      <c r="E418" s="34"/>
      <c r="F418" s="35"/>
      <c r="G418" s="34"/>
      <c r="H418" s="35"/>
      <c r="I418" s="34"/>
      <c r="J418" s="35"/>
      <c r="K418" s="34"/>
      <c r="L418" s="35"/>
      <c r="M418" s="34"/>
      <c r="N418" s="5" t="s">
        <v>19205</v>
      </c>
      <c r="O418" s="36"/>
      <c r="P418" s="36" t="s">
        <v>19868</v>
      </c>
      <c r="Q418" s="37"/>
    </row>
    <row r="419" ht="37.5" customHeight="1">
      <c r="A419" s="32" t="s">
        <v>4903</v>
      </c>
      <c r="B419" s="33">
        <v>1.0</v>
      </c>
      <c r="C419" s="34" t="s">
        <v>19142</v>
      </c>
      <c r="D419" s="35">
        <v>1.0</v>
      </c>
      <c r="E419" s="34" t="s">
        <v>19144</v>
      </c>
      <c r="F419" s="35">
        <v>1.0</v>
      </c>
      <c r="G419" s="34" t="s">
        <v>19145</v>
      </c>
      <c r="H419" s="35">
        <v>1.0</v>
      </c>
      <c r="I419" s="34" t="s">
        <v>19146</v>
      </c>
      <c r="J419" s="35">
        <v>1.0</v>
      </c>
      <c r="K419" s="34" t="s">
        <v>19147</v>
      </c>
      <c r="L419" s="35">
        <v>1.0</v>
      </c>
      <c r="M419" s="34" t="s">
        <v>19148</v>
      </c>
      <c r="N419" s="38" t="s">
        <v>19294</v>
      </c>
      <c r="O419" s="36"/>
      <c r="P419" s="36" t="s">
        <v>19868</v>
      </c>
      <c r="Q419" s="37"/>
    </row>
    <row r="420" ht="37.5" customHeight="1">
      <c r="A420" s="32" t="s">
        <v>4908</v>
      </c>
      <c r="B420" s="33">
        <v>6.0</v>
      </c>
      <c r="C420" s="34" t="s">
        <v>501</v>
      </c>
      <c r="D420" s="35"/>
      <c r="E420" s="34"/>
      <c r="F420" s="35"/>
      <c r="G420" s="34"/>
      <c r="H420" s="35"/>
      <c r="I420" s="34"/>
      <c r="J420" s="35"/>
      <c r="K420" s="34"/>
      <c r="L420" s="35"/>
      <c r="M420" s="34"/>
      <c r="N420" s="5" t="s">
        <v>19196</v>
      </c>
      <c r="O420" s="36"/>
      <c r="P420" s="36" t="s">
        <v>19868</v>
      </c>
      <c r="Q420" s="37"/>
    </row>
    <row r="421" ht="37.5" customHeight="1">
      <c r="A421" s="32" t="s">
        <v>4914</v>
      </c>
      <c r="B421" s="33">
        <v>6.0</v>
      </c>
      <c r="C421" s="34" t="s">
        <v>19280</v>
      </c>
      <c r="D421" s="35"/>
      <c r="E421" s="34"/>
      <c r="F421" s="35"/>
      <c r="G421" s="34"/>
      <c r="H421" s="35"/>
      <c r="I421" s="34"/>
      <c r="J421" s="35"/>
      <c r="K421" s="34"/>
      <c r="L421" s="35"/>
      <c r="M421" s="34"/>
      <c r="N421" s="5" t="s">
        <v>19238</v>
      </c>
      <c r="O421" s="36"/>
      <c r="P421" s="36" t="s">
        <v>19868</v>
      </c>
      <c r="Q421" s="37"/>
    </row>
    <row r="422" ht="37.5" customHeight="1">
      <c r="A422" s="32" t="s">
        <v>4968</v>
      </c>
      <c r="B422" s="33">
        <v>6.0</v>
      </c>
      <c r="C422" s="34" t="s">
        <v>19138</v>
      </c>
      <c r="D422" s="35"/>
      <c r="E422" s="34"/>
      <c r="F422" s="35"/>
      <c r="G422" s="34"/>
      <c r="H422" s="35"/>
      <c r="I422" s="34"/>
      <c r="J422" s="35"/>
      <c r="K422" s="34"/>
      <c r="L422" s="35"/>
      <c r="M422" s="34"/>
      <c r="N422" s="5" t="s">
        <v>19139</v>
      </c>
      <c r="O422" s="36"/>
      <c r="P422" s="36" t="s">
        <v>19868</v>
      </c>
      <c r="Q422" s="37"/>
    </row>
    <row r="423" ht="37.5" customHeight="1">
      <c r="A423" s="32" t="s">
        <v>5014</v>
      </c>
      <c r="B423" s="33">
        <v>6.0</v>
      </c>
      <c r="C423" s="34" t="s">
        <v>1801</v>
      </c>
      <c r="D423" s="35"/>
      <c r="E423" s="34"/>
      <c r="F423" s="35"/>
      <c r="G423" s="34"/>
      <c r="H423" s="35"/>
      <c r="I423" s="34"/>
      <c r="J423" s="35"/>
      <c r="K423" s="34"/>
      <c r="L423" s="35"/>
      <c r="M423" s="34"/>
      <c r="N423" s="5" t="s">
        <v>19243</v>
      </c>
      <c r="O423" s="36"/>
      <c r="P423" s="36" t="s">
        <v>19868</v>
      </c>
      <c r="Q423" s="37"/>
    </row>
    <row r="424" ht="37.5" customHeight="1">
      <c r="A424" s="32" t="s">
        <v>5024</v>
      </c>
      <c r="B424" s="33">
        <v>6.0</v>
      </c>
      <c r="C424" s="34" t="s">
        <v>4063</v>
      </c>
      <c r="D424" s="35"/>
      <c r="E424" s="34"/>
      <c r="F424" s="35"/>
      <c r="G424" s="34"/>
      <c r="H424" s="35"/>
      <c r="I424" s="34"/>
      <c r="J424" s="35"/>
      <c r="K424" s="34"/>
      <c r="L424" s="35"/>
      <c r="M424" s="34"/>
      <c r="N424" s="5" t="s">
        <v>19161</v>
      </c>
      <c r="O424" s="36"/>
      <c r="P424" s="36" t="s">
        <v>19868</v>
      </c>
      <c r="Q424" s="37"/>
    </row>
    <row r="425" ht="37.5" customHeight="1">
      <c r="A425" s="32" t="s">
        <v>5031</v>
      </c>
      <c r="B425" s="33">
        <v>6.0</v>
      </c>
      <c r="C425" s="34" t="s">
        <v>9827</v>
      </c>
      <c r="D425" s="35"/>
      <c r="E425" s="34"/>
      <c r="F425" s="35"/>
      <c r="G425" s="34"/>
      <c r="H425" s="35"/>
      <c r="I425" s="34"/>
      <c r="J425" s="35"/>
      <c r="K425" s="34"/>
      <c r="L425" s="35"/>
      <c r="M425" s="34"/>
      <c r="N425" s="5" t="s">
        <v>19128</v>
      </c>
      <c r="O425" s="36"/>
      <c r="P425" s="36" t="s">
        <v>19868</v>
      </c>
      <c r="Q425" s="37"/>
    </row>
    <row r="426" ht="37.5" customHeight="1">
      <c r="A426" s="32" t="s">
        <v>5126</v>
      </c>
      <c r="B426" s="33">
        <v>3.0</v>
      </c>
      <c r="C426" s="34" t="s">
        <v>19180</v>
      </c>
      <c r="D426" s="35"/>
      <c r="E426" s="34"/>
      <c r="F426" s="35"/>
      <c r="G426" s="34"/>
      <c r="H426" s="35"/>
      <c r="I426" s="34"/>
      <c r="J426" s="35"/>
      <c r="K426" s="34"/>
      <c r="L426" s="35"/>
      <c r="M426" s="34"/>
      <c r="N426" s="5" t="s">
        <v>19196</v>
      </c>
      <c r="O426" s="36"/>
      <c r="P426" s="36" t="s">
        <v>19868</v>
      </c>
      <c r="Q426" s="37"/>
    </row>
    <row r="427" ht="37.5" customHeight="1">
      <c r="A427" s="32" t="s">
        <v>17432</v>
      </c>
      <c r="B427" s="33">
        <v>4.0</v>
      </c>
      <c r="C427" s="34" t="s">
        <v>19234</v>
      </c>
      <c r="D427" s="35"/>
      <c r="E427" s="34"/>
      <c r="F427" s="35"/>
      <c r="G427" s="34"/>
      <c r="H427" s="35"/>
      <c r="I427" s="34"/>
      <c r="J427" s="35"/>
      <c r="K427" s="34"/>
      <c r="L427" s="35"/>
      <c r="M427" s="34"/>
      <c r="N427" s="5" t="s">
        <v>19238</v>
      </c>
      <c r="O427" s="36"/>
      <c r="P427" s="36" t="s">
        <v>19913</v>
      </c>
      <c r="Q427" s="37"/>
    </row>
    <row r="428" ht="37.5" customHeight="1">
      <c r="A428" s="32" t="s">
        <v>17710</v>
      </c>
      <c r="B428" s="33">
        <v>2.0</v>
      </c>
      <c r="C428" s="34" t="s">
        <v>19142</v>
      </c>
      <c r="D428" s="35"/>
      <c r="E428" s="34"/>
      <c r="F428" s="35"/>
      <c r="G428" s="34"/>
      <c r="H428" s="35"/>
      <c r="I428" s="34"/>
      <c r="J428" s="35"/>
      <c r="K428" s="34"/>
      <c r="L428" s="35"/>
      <c r="M428" s="34"/>
      <c r="N428" s="38" t="s">
        <v>19215</v>
      </c>
      <c r="O428" s="36"/>
      <c r="P428" s="32" t="s">
        <v>19913</v>
      </c>
      <c r="Q428" s="35"/>
    </row>
    <row r="429" ht="37.5" customHeight="1">
      <c r="A429" s="32" t="s">
        <v>17857</v>
      </c>
      <c r="B429" s="33">
        <v>4.0</v>
      </c>
      <c r="C429" s="34" t="s">
        <v>19229</v>
      </c>
      <c r="D429" s="35"/>
      <c r="E429" s="34"/>
      <c r="F429" s="35"/>
      <c r="G429" s="34"/>
      <c r="H429" s="35"/>
      <c r="I429" s="34"/>
      <c r="J429" s="35"/>
      <c r="K429" s="34"/>
      <c r="L429" s="35"/>
      <c r="M429" s="34"/>
      <c r="N429" s="5" t="s">
        <v>19232</v>
      </c>
      <c r="O429" s="36"/>
      <c r="P429" s="32" t="s">
        <v>19913</v>
      </c>
      <c r="Q429" s="35"/>
    </row>
    <row r="430" ht="37.5" customHeight="1">
      <c r="A430" s="32" t="s">
        <v>18063</v>
      </c>
      <c r="B430" s="33">
        <v>2.0</v>
      </c>
      <c r="C430" s="34" t="s">
        <v>19145</v>
      </c>
      <c r="D430" s="35"/>
      <c r="E430" s="34"/>
      <c r="F430" s="35"/>
      <c r="G430" s="34"/>
      <c r="H430" s="35"/>
      <c r="I430" s="34"/>
      <c r="J430" s="35"/>
      <c r="K430" s="34"/>
      <c r="L430" s="35"/>
      <c r="M430" s="34"/>
      <c r="N430" s="38" t="s">
        <v>19240</v>
      </c>
      <c r="O430" s="36"/>
      <c r="P430" s="32" t="s">
        <v>19913</v>
      </c>
      <c r="Q430" s="35"/>
    </row>
    <row r="431" ht="37.5" customHeight="1">
      <c r="A431" s="32" t="s">
        <v>18353</v>
      </c>
      <c r="B431" s="33">
        <v>2.0</v>
      </c>
      <c r="C431" s="34" t="s">
        <v>19346</v>
      </c>
      <c r="D431" s="35"/>
      <c r="E431" s="34"/>
      <c r="F431" s="35"/>
      <c r="G431" s="34"/>
      <c r="H431" s="35"/>
      <c r="I431" s="34"/>
      <c r="J431" s="35"/>
      <c r="K431" s="34"/>
      <c r="L431" s="35"/>
      <c r="M431" s="34"/>
      <c r="N431" s="5" t="s">
        <v>19932</v>
      </c>
      <c r="O431" s="36"/>
      <c r="P431" s="36" t="s">
        <v>19913</v>
      </c>
      <c r="Q431" s="37"/>
    </row>
    <row r="432" ht="37.5" customHeight="1">
      <c r="A432" s="36" t="s">
        <v>18554</v>
      </c>
      <c r="B432" s="33">
        <v>2.0</v>
      </c>
      <c r="C432" s="34" t="s">
        <v>19147</v>
      </c>
      <c r="D432" s="35"/>
      <c r="E432" s="34"/>
      <c r="F432" s="35"/>
      <c r="G432" s="34"/>
      <c r="H432" s="35"/>
      <c r="I432" s="34"/>
      <c r="J432" s="35"/>
      <c r="K432" s="34"/>
      <c r="L432" s="35"/>
      <c r="M432" s="34"/>
      <c r="N432" s="38" t="s">
        <v>19259</v>
      </c>
      <c r="O432" s="36"/>
      <c r="P432" s="36" t="s">
        <v>19913</v>
      </c>
      <c r="Q432" s="37"/>
    </row>
    <row r="433" ht="37.5" customHeight="1">
      <c r="A433" s="32" t="s">
        <v>18762</v>
      </c>
      <c r="B433" s="33">
        <v>2.0</v>
      </c>
      <c r="C433" s="34" t="s">
        <v>19144</v>
      </c>
      <c r="D433" s="35"/>
      <c r="E433" s="34"/>
      <c r="F433" s="35"/>
      <c r="G433" s="34"/>
      <c r="H433" s="35"/>
      <c r="I433" s="34"/>
      <c r="J433" s="35"/>
      <c r="K433" s="34"/>
      <c r="L433" s="35"/>
      <c r="M433" s="34"/>
      <c r="N433" s="38" t="s">
        <v>19264</v>
      </c>
      <c r="O433" s="36"/>
      <c r="P433" s="36" t="s">
        <v>19913</v>
      </c>
      <c r="Q433" s="37"/>
    </row>
    <row r="434" ht="37.5" customHeight="1">
      <c r="A434" s="32" t="s">
        <v>19168</v>
      </c>
      <c r="B434" s="33">
        <v>2.0</v>
      </c>
      <c r="C434" s="34" t="s">
        <v>19148</v>
      </c>
      <c r="D434" s="35"/>
      <c r="E434" s="34"/>
      <c r="F434" s="35"/>
      <c r="G434" s="34"/>
      <c r="H434" s="35"/>
      <c r="I434" s="34"/>
      <c r="J434" s="35"/>
      <c r="K434" s="34"/>
      <c r="L434" s="35"/>
      <c r="M434" s="34"/>
      <c r="N434" s="38" t="s">
        <v>19269</v>
      </c>
      <c r="O434" s="36"/>
      <c r="P434" s="36" t="s">
        <v>19913</v>
      </c>
      <c r="Q434" s="37"/>
    </row>
    <row r="435" ht="37.5" customHeight="1">
      <c r="A435" s="36" t="s">
        <v>19220</v>
      </c>
      <c r="B435" s="33">
        <v>2.0</v>
      </c>
      <c r="C435" s="34" t="s">
        <v>19146</v>
      </c>
      <c r="D435" s="35"/>
      <c r="E435" s="34"/>
      <c r="F435" s="35"/>
      <c r="G435" s="34"/>
      <c r="H435" s="35" t="s">
        <v>19274</v>
      </c>
      <c r="I435" s="34"/>
      <c r="J435" s="35" t="s">
        <v>19274</v>
      </c>
      <c r="K435" s="34"/>
      <c r="L435" s="35" t="s">
        <v>19274</v>
      </c>
      <c r="M435" s="34"/>
      <c r="N435" s="38" t="s">
        <v>19277</v>
      </c>
      <c r="O435" s="36"/>
      <c r="P435" s="36" t="s">
        <v>19913</v>
      </c>
      <c r="Q435" s="37"/>
    </row>
    <row r="436" ht="37.5" customHeight="1">
      <c r="A436" s="32" t="s">
        <v>7896</v>
      </c>
      <c r="B436" s="33">
        <v>1.0</v>
      </c>
      <c r="C436" s="34" t="s">
        <v>8135</v>
      </c>
      <c r="D436" s="35">
        <v>3.0</v>
      </c>
      <c r="E436" s="34" t="s">
        <v>19164</v>
      </c>
      <c r="F436" s="35">
        <v>1.0</v>
      </c>
      <c r="G436" s="34" t="s">
        <v>19234</v>
      </c>
      <c r="H436" s="35"/>
      <c r="I436" s="34"/>
      <c r="J436" s="35"/>
      <c r="K436" s="34"/>
      <c r="L436" s="35"/>
      <c r="M436" s="34"/>
      <c r="N436" s="5" t="s">
        <v>5290</v>
      </c>
      <c r="O436" s="36"/>
      <c r="P436" s="36" t="s">
        <v>19958</v>
      </c>
      <c r="Q436" s="37"/>
    </row>
    <row r="437" ht="37.5" customHeight="1">
      <c r="A437" s="32" t="s">
        <v>7902</v>
      </c>
      <c r="B437" s="33">
        <v>6.0</v>
      </c>
      <c r="C437" s="34" t="s">
        <v>19138</v>
      </c>
      <c r="D437" s="35">
        <v>3.0</v>
      </c>
      <c r="E437" s="34" t="s">
        <v>19188</v>
      </c>
      <c r="F437" s="35"/>
      <c r="G437" s="34"/>
      <c r="H437" s="35"/>
      <c r="I437" s="34"/>
      <c r="J437" s="35"/>
      <c r="K437" s="34"/>
      <c r="L437" s="35"/>
      <c r="M437" s="34"/>
      <c r="N437" s="5" t="s">
        <v>19139</v>
      </c>
      <c r="O437" s="36"/>
      <c r="P437" s="36" t="s">
        <v>19958</v>
      </c>
      <c r="Q437" s="37"/>
    </row>
    <row r="438" ht="37.5" customHeight="1">
      <c r="A438" s="32" t="s">
        <v>7911</v>
      </c>
      <c r="B438" s="33">
        <v>1.0</v>
      </c>
      <c r="C438" s="34" t="s">
        <v>6163</v>
      </c>
      <c r="D438" s="35">
        <v>3.0</v>
      </c>
      <c r="E438" s="34" t="s">
        <v>19188</v>
      </c>
      <c r="F438" s="35"/>
      <c r="G438" s="34"/>
      <c r="H438" s="35"/>
      <c r="I438" s="34"/>
      <c r="J438" s="35"/>
      <c r="K438" s="34"/>
      <c r="L438" s="35"/>
      <c r="M438" s="34"/>
      <c r="N438" s="38" t="s">
        <v>19970</v>
      </c>
      <c r="O438" s="36"/>
      <c r="P438" s="36" t="s">
        <v>19958</v>
      </c>
      <c r="Q438" s="37"/>
    </row>
    <row r="439" ht="37.5" customHeight="1">
      <c r="A439" s="32" t="s">
        <v>7915</v>
      </c>
      <c r="B439" s="33">
        <v>3.0</v>
      </c>
      <c r="C439" s="34" t="s">
        <v>19153</v>
      </c>
      <c r="D439" s="35">
        <v>3.0</v>
      </c>
      <c r="E439" s="34" t="s">
        <v>19188</v>
      </c>
      <c r="F439" s="35"/>
      <c r="G439" s="34"/>
      <c r="H439" s="35"/>
      <c r="I439" s="34"/>
      <c r="J439" s="35"/>
      <c r="K439" s="34"/>
      <c r="L439" s="35"/>
      <c r="M439" s="34"/>
      <c r="N439" s="5" t="s">
        <v>19157</v>
      </c>
      <c r="O439" s="36"/>
      <c r="P439" s="36" t="s">
        <v>19958</v>
      </c>
      <c r="Q439" s="37"/>
    </row>
    <row r="440" ht="37.5" customHeight="1">
      <c r="A440" s="32" t="s">
        <v>8046</v>
      </c>
      <c r="B440" s="33">
        <v>1.0</v>
      </c>
      <c r="C440" s="34" t="s">
        <v>19413</v>
      </c>
      <c r="D440" s="35">
        <v>3.0</v>
      </c>
      <c r="E440" s="34" t="s">
        <v>19188</v>
      </c>
      <c r="F440" s="35"/>
      <c r="G440" s="34"/>
      <c r="H440" s="35"/>
      <c r="I440" s="34"/>
      <c r="J440" s="35"/>
      <c r="K440" s="34"/>
      <c r="L440" s="35"/>
      <c r="M440" s="34"/>
      <c r="N440" s="5" t="s">
        <v>19190</v>
      </c>
      <c r="O440" s="36"/>
      <c r="P440" s="36" t="s">
        <v>19958</v>
      </c>
      <c r="Q440" s="37"/>
    </row>
    <row r="441" ht="37.5" customHeight="1">
      <c r="A441" s="32" t="s">
        <v>8111</v>
      </c>
      <c r="B441" s="33">
        <v>1.0</v>
      </c>
      <c r="C441" s="34" t="s">
        <v>8139</v>
      </c>
      <c r="D441" s="35">
        <v>1.0</v>
      </c>
      <c r="E441" s="34" t="s">
        <v>19234</v>
      </c>
      <c r="F441" s="35"/>
      <c r="G441" s="34"/>
      <c r="H441" s="35"/>
      <c r="I441" s="34"/>
      <c r="J441" s="35"/>
      <c r="K441" s="34"/>
      <c r="L441" s="35"/>
      <c r="M441" s="34"/>
      <c r="N441" s="5" t="s">
        <v>5290</v>
      </c>
      <c r="O441" s="36"/>
      <c r="P441" s="36" t="s">
        <v>19958</v>
      </c>
      <c r="Q441" s="37"/>
    </row>
    <row r="442" ht="37.5" customHeight="1">
      <c r="A442" s="32" t="s">
        <v>8135</v>
      </c>
      <c r="B442" s="33">
        <v>5.0</v>
      </c>
      <c r="C442" s="34" t="s">
        <v>19534</v>
      </c>
      <c r="D442" s="35">
        <v>1.0</v>
      </c>
      <c r="E442" s="34" t="s">
        <v>12762</v>
      </c>
      <c r="F442" s="35"/>
      <c r="G442" s="34"/>
      <c r="H442" s="35"/>
      <c r="I442" s="34"/>
      <c r="J442" s="35"/>
      <c r="K442" s="34"/>
      <c r="L442" s="35"/>
      <c r="M442" s="34"/>
      <c r="N442" s="38" t="s">
        <v>19537</v>
      </c>
      <c r="O442" s="36"/>
      <c r="P442" s="36" t="s">
        <v>19958</v>
      </c>
      <c r="Q442" s="37"/>
    </row>
    <row r="443" ht="37.5" customHeight="1">
      <c r="A443" s="32" t="s">
        <v>8139</v>
      </c>
      <c r="B443" s="33">
        <v>5.0</v>
      </c>
      <c r="C443" s="34" t="s">
        <v>19534</v>
      </c>
      <c r="D443" s="35"/>
      <c r="E443" s="34"/>
      <c r="F443" s="35"/>
      <c r="G443" s="34"/>
      <c r="H443" s="35"/>
      <c r="I443" s="34"/>
      <c r="J443" s="35"/>
      <c r="K443" s="34"/>
      <c r="L443" s="35"/>
      <c r="M443" s="34"/>
      <c r="N443" s="38" t="s">
        <v>19537</v>
      </c>
      <c r="O443" s="36"/>
      <c r="P443" s="36" t="s">
        <v>19958</v>
      </c>
      <c r="Q443" s="37"/>
    </row>
    <row r="444" ht="37.5" customHeight="1">
      <c r="A444" s="32" t="s">
        <v>8144</v>
      </c>
      <c r="B444" s="33">
        <v>5.0</v>
      </c>
      <c r="C444" s="34" t="s">
        <v>19534</v>
      </c>
      <c r="D444" s="35"/>
      <c r="E444" s="34"/>
      <c r="F444" s="35"/>
      <c r="G444" s="34"/>
      <c r="H444" s="35"/>
      <c r="I444" s="34"/>
      <c r="J444" s="35"/>
      <c r="K444" s="34"/>
      <c r="L444" s="35"/>
      <c r="M444" s="34"/>
      <c r="N444" s="38" t="s">
        <v>19537</v>
      </c>
      <c r="O444" s="36"/>
      <c r="P444" s="36" t="s">
        <v>19958</v>
      </c>
      <c r="Q444" s="37"/>
    </row>
    <row r="445" ht="37.5" customHeight="1">
      <c r="A445" s="32" t="s">
        <v>8148</v>
      </c>
      <c r="B445" s="33">
        <v>5.0</v>
      </c>
      <c r="C445" s="34" t="s">
        <v>19166</v>
      </c>
      <c r="D445" s="35"/>
      <c r="E445" s="34"/>
      <c r="F445" s="35"/>
      <c r="G445" s="34"/>
      <c r="H445" s="35"/>
      <c r="I445" s="34"/>
      <c r="J445" s="35"/>
      <c r="K445" s="34"/>
      <c r="L445" s="35"/>
      <c r="M445" s="34"/>
      <c r="N445" s="5" t="s">
        <v>19995</v>
      </c>
      <c r="O445" s="36"/>
      <c r="P445" s="36" t="s">
        <v>19958</v>
      </c>
      <c r="Q445" s="37"/>
    </row>
    <row r="446" ht="37.5" customHeight="1">
      <c r="A446" s="32" t="s">
        <v>8153</v>
      </c>
      <c r="B446" s="33">
        <v>5.0</v>
      </c>
      <c r="C446" s="34" t="s">
        <v>19303</v>
      </c>
      <c r="D446" s="35"/>
      <c r="E446" s="34"/>
      <c r="F446" s="35"/>
      <c r="G446" s="34"/>
      <c r="H446" s="35"/>
      <c r="I446" s="34"/>
      <c r="J446" s="35"/>
      <c r="K446" s="34"/>
      <c r="L446" s="35"/>
      <c r="M446" s="34"/>
      <c r="N446" s="38" t="s">
        <v>19537</v>
      </c>
      <c r="O446" s="36"/>
      <c r="P446" s="36" t="s">
        <v>19958</v>
      </c>
      <c r="Q446" s="37"/>
    </row>
    <row r="447" ht="37.5" customHeight="1">
      <c r="A447" s="32" t="s">
        <v>8157</v>
      </c>
      <c r="B447" s="33">
        <v>1.0</v>
      </c>
      <c r="C447" s="34" t="s">
        <v>7896</v>
      </c>
      <c r="D447" s="35">
        <v>1.0</v>
      </c>
      <c r="E447" s="34" t="s">
        <v>19229</v>
      </c>
      <c r="F447" s="35"/>
      <c r="G447" s="34"/>
      <c r="H447" s="35"/>
      <c r="I447" s="34"/>
      <c r="J447" s="35"/>
      <c r="K447" s="34"/>
      <c r="L447" s="35"/>
      <c r="M447" s="34"/>
      <c r="N447" s="38" t="s">
        <v>20003</v>
      </c>
      <c r="O447" s="36"/>
      <c r="P447" s="32" t="s">
        <v>19958</v>
      </c>
      <c r="Q447" s="35"/>
    </row>
    <row r="448" ht="37.5" customHeight="1">
      <c r="A448" s="32" t="s">
        <v>8162</v>
      </c>
      <c r="B448" s="33">
        <v>1.0</v>
      </c>
      <c r="C448" s="34" t="s">
        <v>8237</v>
      </c>
      <c r="D448" s="35">
        <v>1.0</v>
      </c>
      <c r="E448" s="34" t="s">
        <v>19229</v>
      </c>
      <c r="F448" s="35"/>
      <c r="G448" s="34"/>
      <c r="H448" s="35"/>
      <c r="I448" s="34"/>
      <c r="J448" s="35"/>
      <c r="K448" s="34"/>
      <c r="L448" s="35"/>
      <c r="M448" s="34"/>
      <c r="N448" s="38" t="s">
        <v>20005</v>
      </c>
      <c r="O448" s="36"/>
      <c r="P448" s="36" t="s">
        <v>19958</v>
      </c>
      <c r="Q448" s="37"/>
    </row>
    <row r="449" ht="37.5" customHeight="1">
      <c r="A449" s="32" t="s">
        <v>8168</v>
      </c>
      <c r="B449" s="33">
        <v>1.0</v>
      </c>
      <c r="C449" s="51" t="s">
        <v>8111</v>
      </c>
      <c r="D449" s="35">
        <v>1.0</v>
      </c>
      <c r="E449" s="34" t="s">
        <v>19229</v>
      </c>
      <c r="F449" s="35"/>
      <c r="G449" s="34"/>
      <c r="H449" s="35"/>
      <c r="I449" s="34"/>
      <c r="J449" s="35"/>
      <c r="K449" s="34"/>
      <c r="L449" s="35"/>
      <c r="M449" s="34"/>
      <c r="N449" s="38" t="s">
        <v>20012</v>
      </c>
      <c r="O449" s="36"/>
      <c r="P449" s="36" t="s">
        <v>19958</v>
      </c>
      <c r="Q449" s="37"/>
    </row>
    <row r="450" ht="37.5" customHeight="1">
      <c r="A450" s="32" t="s">
        <v>8172</v>
      </c>
      <c r="B450" s="33">
        <v>1.0</v>
      </c>
      <c r="C450" s="34" t="s">
        <v>8432</v>
      </c>
      <c r="D450" s="35">
        <v>1.0</v>
      </c>
      <c r="E450" s="34" t="s">
        <v>19229</v>
      </c>
      <c r="F450" s="35"/>
      <c r="G450" s="34"/>
      <c r="H450" s="35"/>
      <c r="I450" s="34"/>
      <c r="J450" s="35"/>
      <c r="K450" s="34"/>
      <c r="L450" s="35"/>
      <c r="M450" s="34"/>
      <c r="N450" s="38" t="s">
        <v>20016</v>
      </c>
      <c r="O450" s="36"/>
      <c r="P450" s="36" t="s">
        <v>19958</v>
      </c>
      <c r="Q450" s="37"/>
    </row>
    <row r="451" ht="37.5" customHeight="1">
      <c r="A451" s="32" t="s">
        <v>8176</v>
      </c>
      <c r="B451" s="33">
        <v>1.0</v>
      </c>
      <c r="C451" s="34" t="s">
        <v>8453</v>
      </c>
      <c r="D451" s="35">
        <v>1.0</v>
      </c>
      <c r="E451" s="34" t="s">
        <v>19229</v>
      </c>
      <c r="F451" s="35"/>
      <c r="G451" s="34"/>
      <c r="H451" s="35"/>
      <c r="I451" s="34"/>
      <c r="J451" s="35"/>
      <c r="K451" s="34"/>
      <c r="L451" s="35"/>
      <c r="M451" s="34"/>
      <c r="N451" s="38" t="s">
        <v>20020</v>
      </c>
      <c r="O451" s="36"/>
      <c r="P451" s="36" t="s">
        <v>19958</v>
      </c>
      <c r="Q451" s="37"/>
    </row>
    <row r="452" ht="37.5" customHeight="1">
      <c r="A452" s="32" t="s">
        <v>8179</v>
      </c>
      <c r="B452" s="33">
        <v>2.0</v>
      </c>
      <c r="C452" s="34" t="s">
        <v>19229</v>
      </c>
      <c r="D452" s="35">
        <v>3.0</v>
      </c>
      <c r="E452" s="34" t="s">
        <v>19188</v>
      </c>
      <c r="F452" s="35"/>
      <c r="G452" s="34"/>
      <c r="H452" s="35"/>
      <c r="I452" s="34"/>
      <c r="J452" s="35"/>
      <c r="K452" s="34"/>
      <c r="L452" s="35"/>
      <c r="M452" s="34"/>
      <c r="N452" s="5" t="s">
        <v>19190</v>
      </c>
      <c r="O452" s="32"/>
      <c r="P452" s="32" t="s">
        <v>19958</v>
      </c>
      <c r="Q452" s="35"/>
    </row>
    <row r="453" ht="37.5" customHeight="1">
      <c r="A453" s="32" t="s">
        <v>8183</v>
      </c>
      <c r="B453" s="33">
        <v>1.0</v>
      </c>
      <c r="C453" s="34" t="s">
        <v>8533</v>
      </c>
      <c r="D453" s="35">
        <v>1.0</v>
      </c>
      <c r="E453" s="34" t="s">
        <v>19229</v>
      </c>
      <c r="F453" s="35"/>
      <c r="G453" s="34"/>
      <c r="H453" s="35"/>
      <c r="I453" s="34"/>
      <c r="J453" s="35"/>
      <c r="K453" s="34"/>
      <c r="L453" s="35"/>
      <c r="M453" s="34"/>
      <c r="N453" s="38" t="s">
        <v>20027</v>
      </c>
      <c r="O453" s="36"/>
      <c r="P453" s="36" t="s">
        <v>19958</v>
      </c>
      <c r="Q453" s="37"/>
    </row>
    <row r="454" ht="37.5" customHeight="1">
      <c r="A454" s="32" t="s">
        <v>8186</v>
      </c>
      <c r="B454" s="33">
        <v>1.0</v>
      </c>
      <c r="C454" s="34" t="s">
        <v>19400</v>
      </c>
      <c r="D454" s="35">
        <v>3.0</v>
      </c>
      <c r="E454" s="34" t="s">
        <v>19188</v>
      </c>
      <c r="F454" s="35"/>
      <c r="G454" s="34"/>
      <c r="H454" s="35"/>
      <c r="I454" s="34"/>
      <c r="J454" s="35"/>
      <c r="K454" s="34"/>
      <c r="L454" s="35"/>
      <c r="M454" s="34"/>
      <c r="N454" s="5" t="s">
        <v>19190</v>
      </c>
      <c r="O454" s="36"/>
      <c r="P454" s="36" t="s">
        <v>19958</v>
      </c>
      <c r="Q454" s="37"/>
    </row>
    <row r="455" ht="37.5" customHeight="1">
      <c r="A455" s="32" t="s">
        <v>8192</v>
      </c>
      <c r="B455" s="33">
        <v>1.0</v>
      </c>
      <c r="C455" s="34" t="s">
        <v>19352</v>
      </c>
      <c r="D455" s="35">
        <v>3.0</v>
      </c>
      <c r="E455" s="34" t="s">
        <v>19188</v>
      </c>
      <c r="F455" s="35"/>
      <c r="G455" s="34"/>
      <c r="H455" s="35"/>
      <c r="I455" s="34"/>
      <c r="J455" s="35"/>
      <c r="K455" s="34"/>
      <c r="L455" s="35"/>
      <c r="M455" s="34"/>
      <c r="N455" s="5" t="s">
        <v>19353</v>
      </c>
      <c r="O455" s="36"/>
      <c r="P455" s="32" t="s">
        <v>19958</v>
      </c>
      <c r="Q455" s="35"/>
    </row>
    <row r="456" ht="37.5" customHeight="1">
      <c r="A456" s="32" t="s">
        <v>8195</v>
      </c>
      <c r="B456" s="33">
        <v>3.0</v>
      </c>
      <c r="C456" s="34" t="s">
        <v>19234</v>
      </c>
      <c r="D456" s="35">
        <v>3.0</v>
      </c>
      <c r="E456" s="34" t="s">
        <v>19188</v>
      </c>
      <c r="F456" s="35"/>
      <c r="G456" s="34"/>
      <c r="H456" s="35"/>
      <c r="I456" s="34"/>
      <c r="J456" s="35"/>
      <c r="K456" s="34"/>
      <c r="L456" s="35"/>
      <c r="M456" s="34"/>
      <c r="N456" s="5" t="s">
        <v>19190</v>
      </c>
      <c r="O456" s="36"/>
      <c r="P456" s="32" t="s">
        <v>19958</v>
      </c>
      <c r="Q456" s="35"/>
    </row>
    <row r="457" ht="37.5" customHeight="1">
      <c r="A457" s="32" t="s">
        <v>8200</v>
      </c>
      <c r="B457" s="33">
        <v>4.0</v>
      </c>
      <c r="C457" s="34" t="s">
        <v>19164</v>
      </c>
      <c r="D457" s="35">
        <v>4.0</v>
      </c>
      <c r="E457" s="34" t="s">
        <v>19166</v>
      </c>
      <c r="F457" s="35">
        <v>4.0</v>
      </c>
      <c r="G457" s="34" t="s">
        <v>19303</v>
      </c>
      <c r="H457" s="35"/>
      <c r="I457" s="34"/>
      <c r="J457" s="35"/>
      <c r="K457" s="34"/>
      <c r="L457" s="35"/>
      <c r="M457" s="34"/>
      <c r="N457" s="5" t="s">
        <v>19505</v>
      </c>
      <c r="O457" s="36"/>
      <c r="P457" s="36" t="s">
        <v>19958</v>
      </c>
      <c r="Q457" s="37"/>
    </row>
    <row r="458" ht="37.5" customHeight="1">
      <c r="A458" s="32" t="s">
        <v>8209</v>
      </c>
      <c r="B458" s="33">
        <v>1.0</v>
      </c>
      <c r="C458" s="34" t="s">
        <v>19416</v>
      </c>
      <c r="D458" s="35">
        <v>3.0</v>
      </c>
      <c r="E458" s="34" t="s">
        <v>19188</v>
      </c>
      <c r="F458" s="35"/>
      <c r="G458" s="34"/>
      <c r="H458" s="35"/>
      <c r="I458" s="34"/>
      <c r="J458" s="35"/>
      <c r="K458" s="34"/>
      <c r="L458" s="35"/>
      <c r="M458" s="34"/>
      <c r="N458" s="5" t="s">
        <v>19190</v>
      </c>
      <c r="O458" s="36"/>
      <c r="P458" s="36" t="s">
        <v>19958</v>
      </c>
      <c r="Q458" s="37"/>
    </row>
    <row r="459" ht="37.5" customHeight="1">
      <c r="A459" s="32" t="s">
        <v>8213</v>
      </c>
      <c r="B459" s="33">
        <v>1.0</v>
      </c>
      <c r="C459" s="34" t="s">
        <v>19450</v>
      </c>
      <c r="D459" s="35"/>
      <c r="E459" s="34"/>
      <c r="F459" s="35"/>
      <c r="G459" s="34"/>
      <c r="H459" s="35"/>
      <c r="I459" s="34"/>
      <c r="J459" s="35"/>
      <c r="K459" s="34"/>
      <c r="L459" s="35"/>
      <c r="M459" s="34"/>
      <c r="N459" s="5" t="s">
        <v>19190</v>
      </c>
      <c r="O459" s="36"/>
      <c r="P459" s="36" t="s">
        <v>19958</v>
      </c>
      <c r="Q459" s="37"/>
    </row>
    <row r="460" ht="37.5" customHeight="1">
      <c r="A460" s="32" t="s">
        <v>8216</v>
      </c>
      <c r="B460" s="33">
        <v>3.0</v>
      </c>
      <c r="C460" s="34" t="s">
        <v>19338</v>
      </c>
      <c r="D460" s="35">
        <v>3.0</v>
      </c>
      <c r="E460" s="34" t="s">
        <v>19188</v>
      </c>
      <c r="F460" s="35"/>
      <c r="G460" s="34"/>
      <c r="H460" s="35"/>
      <c r="I460" s="34"/>
      <c r="J460" s="35"/>
      <c r="K460" s="34"/>
      <c r="L460" s="35"/>
      <c r="M460" s="34"/>
      <c r="N460" s="5" t="s">
        <v>19340</v>
      </c>
      <c r="O460" s="36"/>
      <c r="P460" s="36" t="s">
        <v>19958</v>
      </c>
      <c r="Q460" s="37"/>
    </row>
    <row r="461" ht="37.5" customHeight="1">
      <c r="A461" s="32" t="s">
        <v>8237</v>
      </c>
      <c r="B461" s="33">
        <v>1.0</v>
      </c>
      <c r="C461" s="34" t="s">
        <v>8144</v>
      </c>
      <c r="D461" s="35">
        <v>1.0</v>
      </c>
      <c r="E461" s="34" t="s">
        <v>19234</v>
      </c>
      <c r="F461" s="35"/>
      <c r="G461" s="34"/>
      <c r="H461" s="35"/>
      <c r="I461" s="34"/>
      <c r="J461" s="35"/>
      <c r="K461" s="34"/>
      <c r="L461" s="35"/>
      <c r="M461" s="34"/>
      <c r="N461" s="5" t="s">
        <v>5290</v>
      </c>
      <c r="O461" s="36"/>
      <c r="P461" s="36" t="s">
        <v>19958</v>
      </c>
      <c r="Q461" s="37"/>
    </row>
    <row r="462" ht="37.5" customHeight="1">
      <c r="A462" s="32" t="s">
        <v>8263</v>
      </c>
      <c r="B462" s="33">
        <v>5.0</v>
      </c>
      <c r="C462" s="34" t="s">
        <v>19289</v>
      </c>
      <c r="D462" s="35"/>
      <c r="E462" s="34"/>
      <c r="F462" s="35"/>
      <c r="G462" s="34"/>
      <c r="H462" s="35"/>
      <c r="I462" s="34"/>
      <c r="J462" s="35"/>
      <c r="K462" s="34"/>
      <c r="L462" s="35"/>
      <c r="M462" s="34"/>
      <c r="N462" s="5" t="s">
        <v>59</v>
      </c>
      <c r="O462" s="36"/>
      <c r="P462" s="36" t="s">
        <v>19958</v>
      </c>
      <c r="Q462" s="37"/>
    </row>
    <row r="463" ht="37.5" customHeight="1">
      <c r="A463" s="32" t="s">
        <v>8394</v>
      </c>
      <c r="B463" s="33">
        <v>7.0</v>
      </c>
      <c r="C463" s="34" t="s">
        <v>19138</v>
      </c>
      <c r="D463" s="35"/>
      <c r="E463" s="34"/>
      <c r="F463" s="35"/>
      <c r="G463" s="34"/>
      <c r="H463" s="35"/>
      <c r="I463" s="34"/>
      <c r="J463" s="35"/>
      <c r="K463" s="34"/>
      <c r="L463" s="35"/>
      <c r="M463" s="34"/>
      <c r="N463" s="5" t="s">
        <v>19139</v>
      </c>
      <c r="O463" s="36"/>
      <c r="P463" s="36" t="s">
        <v>19958</v>
      </c>
      <c r="Q463" s="37"/>
    </row>
    <row r="464" ht="37.5" customHeight="1">
      <c r="A464" s="32" t="s">
        <v>8396</v>
      </c>
      <c r="B464" s="33">
        <v>1.0</v>
      </c>
      <c r="C464" s="34" t="s">
        <v>19455</v>
      </c>
      <c r="D464" s="35">
        <v>3.0</v>
      </c>
      <c r="E464" s="34" t="s">
        <v>19188</v>
      </c>
      <c r="F464" s="35"/>
      <c r="G464" s="34"/>
      <c r="H464" s="35"/>
      <c r="I464" s="34"/>
      <c r="J464" s="35"/>
      <c r="K464" s="34"/>
      <c r="L464" s="35"/>
      <c r="M464" s="34"/>
      <c r="N464" s="5" t="s">
        <v>19190</v>
      </c>
      <c r="O464" s="36"/>
      <c r="P464" s="32" t="s">
        <v>19958</v>
      </c>
      <c r="Q464" s="35"/>
    </row>
    <row r="465" ht="37.5" customHeight="1">
      <c r="A465" s="32" t="s">
        <v>8425</v>
      </c>
      <c r="B465" s="33">
        <v>1.0</v>
      </c>
      <c r="C465" s="34" t="s">
        <v>19464</v>
      </c>
      <c r="D465" s="35">
        <v>3.0</v>
      </c>
      <c r="E465" s="34" t="s">
        <v>19188</v>
      </c>
      <c r="F465" s="35"/>
      <c r="G465" s="34"/>
      <c r="H465" s="35"/>
      <c r="I465" s="34"/>
      <c r="J465" s="35"/>
      <c r="K465" s="34"/>
      <c r="L465" s="35"/>
      <c r="M465" s="34"/>
      <c r="N465" s="5" t="s">
        <v>19190</v>
      </c>
      <c r="O465" s="36"/>
      <c r="P465" s="32" t="s">
        <v>19958</v>
      </c>
      <c r="Q465" s="35"/>
    </row>
    <row r="466" ht="37.5" customHeight="1">
      <c r="A466" s="32" t="s">
        <v>8429</v>
      </c>
      <c r="B466" s="33">
        <v>3.0</v>
      </c>
      <c r="C466" s="34" t="s">
        <v>19181</v>
      </c>
      <c r="D466" s="35">
        <v>3.0</v>
      </c>
      <c r="E466" s="34" t="s">
        <v>19188</v>
      </c>
      <c r="F466" s="35"/>
      <c r="G466" s="34"/>
      <c r="H466" s="35"/>
      <c r="I466" s="34"/>
      <c r="J466" s="35"/>
      <c r="K466" s="34"/>
      <c r="L466" s="35"/>
      <c r="M466" s="34"/>
      <c r="N466" s="5" t="s">
        <v>19183</v>
      </c>
      <c r="O466" s="36"/>
      <c r="P466" s="36" t="s">
        <v>19958</v>
      </c>
      <c r="Q466" s="37"/>
    </row>
    <row r="467" ht="37.5" customHeight="1">
      <c r="A467" s="32" t="s">
        <v>8432</v>
      </c>
      <c r="B467" s="33">
        <v>1.0</v>
      </c>
      <c r="C467" s="34" t="s">
        <v>8148</v>
      </c>
      <c r="D467" s="35">
        <v>1.0</v>
      </c>
      <c r="E467" s="34" t="s">
        <v>19234</v>
      </c>
      <c r="F467" s="35"/>
      <c r="G467" s="34"/>
      <c r="H467" s="35"/>
      <c r="I467" s="34"/>
      <c r="J467" s="35"/>
      <c r="K467" s="34"/>
      <c r="L467" s="35"/>
      <c r="M467" s="34"/>
      <c r="N467" s="5" t="s">
        <v>5290</v>
      </c>
      <c r="O467" s="36"/>
      <c r="P467" s="36" t="s">
        <v>19958</v>
      </c>
      <c r="Q467" s="37"/>
    </row>
    <row r="468" ht="37.5" customHeight="1">
      <c r="A468" s="32" t="s">
        <v>8453</v>
      </c>
      <c r="B468" s="33">
        <v>5.0</v>
      </c>
      <c r="C468" s="34" t="s">
        <v>19166</v>
      </c>
      <c r="D468" s="35"/>
      <c r="E468" s="34"/>
      <c r="F468" s="35"/>
      <c r="G468" s="34"/>
      <c r="H468" s="35"/>
      <c r="I468" s="34"/>
      <c r="J468" s="35"/>
      <c r="K468" s="34"/>
      <c r="L468" s="35"/>
      <c r="M468" s="34"/>
      <c r="N468" s="5" t="s">
        <v>59</v>
      </c>
      <c r="O468" s="36"/>
      <c r="P468" s="36" t="s">
        <v>19958</v>
      </c>
      <c r="Q468" s="37"/>
    </row>
    <row r="469" ht="37.5" customHeight="1">
      <c r="A469" s="32" t="s">
        <v>8500</v>
      </c>
      <c r="B469" s="33">
        <v>1.0</v>
      </c>
      <c r="C469" s="34" t="s">
        <v>19342</v>
      </c>
      <c r="D469" s="35">
        <v>3.0</v>
      </c>
      <c r="E469" s="34" t="s">
        <v>19188</v>
      </c>
      <c r="F469" s="35"/>
      <c r="G469" s="34"/>
      <c r="H469" s="35"/>
      <c r="I469" s="34"/>
      <c r="J469" s="35"/>
      <c r="K469" s="34"/>
      <c r="L469" s="35"/>
      <c r="M469" s="34"/>
      <c r="N469" s="5" t="s">
        <v>19190</v>
      </c>
      <c r="O469" s="32"/>
      <c r="P469" s="32" t="s">
        <v>19958</v>
      </c>
      <c r="Q469" s="35"/>
    </row>
    <row r="470" ht="37.5" customHeight="1">
      <c r="A470" s="32" t="s">
        <v>8505</v>
      </c>
      <c r="B470" s="33">
        <v>1.0</v>
      </c>
      <c r="C470" s="34" t="s">
        <v>8135</v>
      </c>
      <c r="D470" s="35">
        <v>3.0</v>
      </c>
      <c r="E470" s="34" t="s">
        <v>19164</v>
      </c>
      <c r="F470" s="35"/>
      <c r="G470" s="34"/>
      <c r="H470" s="35"/>
      <c r="I470" s="34"/>
      <c r="J470" s="35"/>
      <c r="K470" s="34"/>
      <c r="L470" s="35"/>
      <c r="M470" s="34"/>
      <c r="N470" s="5" t="s">
        <v>5290</v>
      </c>
      <c r="O470" s="36"/>
      <c r="P470" s="36" t="s">
        <v>19958</v>
      </c>
      <c r="Q470" s="37"/>
    </row>
    <row r="471" ht="37.5" customHeight="1">
      <c r="A471" s="32" t="s">
        <v>8514</v>
      </c>
      <c r="B471" s="33">
        <v>5.0</v>
      </c>
      <c r="C471" s="34" t="s">
        <v>19534</v>
      </c>
      <c r="D471" s="35">
        <v>3.0</v>
      </c>
      <c r="E471" s="34" t="s">
        <v>19188</v>
      </c>
      <c r="F471" s="35"/>
      <c r="G471" s="34"/>
      <c r="H471" s="35"/>
      <c r="I471" s="34"/>
      <c r="J471" s="35"/>
      <c r="K471" s="34"/>
      <c r="L471" s="35"/>
      <c r="M471" s="34"/>
      <c r="N471" s="5" t="s">
        <v>19190</v>
      </c>
      <c r="O471" s="36"/>
      <c r="P471" s="36" t="s">
        <v>19958</v>
      </c>
      <c r="Q471" s="37"/>
    </row>
    <row r="472" ht="37.5" customHeight="1">
      <c r="A472" s="32" t="s">
        <v>8518</v>
      </c>
      <c r="B472" s="33">
        <v>1.0</v>
      </c>
      <c r="C472" s="34" t="s">
        <v>19475</v>
      </c>
      <c r="D472" s="35">
        <v>3.0</v>
      </c>
      <c r="E472" s="34" t="s">
        <v>19188</v>
      </c>
      <c r="F472" s="35"/>
      <c r="G472" s="34"/>
      <c r="H472" s="35"/>
      <c r="I472" s="34"/>
      <c r="J472" s="35"/>
      <c r="K472" s="34"/>
      <c r="L472" s="35"/>
      <c r="M472" s="34"/>
      <c r="N472" s="5" t="s">
        <v>19190</v>
      </c>
      <c r="O472" s="36"/>
      <c r="P472" s="36" t="s">
        <v>19958</v>
      </c>
      <c r="Q472" s="37"/>
    </row>
    <row r="473" ht="37.5" customHeight="1">
      <c r="A473" s="32" t="s">
        <v>8523</v>
      </c>
      <c r="B473" s="33">
        <v>5.0</v>
      </c>
      <c r="C473" s="34" t="s">
        <v>19303</v>
      </c>
      <c r="D473" s="35"/>
      <c r="E473" s="34"/>
      <c r="F473" s="35"/>
      <c r="G473" s="34"/>
      <c r="H473" s="35"/>
      <c r="I473" s="34"/>
      <c r="J473" s="35"/>
      <c r="K473" s="34"/>
      <c r="L473" s="35"/>
      <c r="M473" s="34"/>
      <c r="N473" s="5" t="s">
        <v>19995</v>
      </c>
      <c r="O473" s="36"/>
      <c r="P473" s="32" t="s">
        <v>19958</v>
      </c>
      <c r="Q473" s="35"/>
    </row>
    <row r="474" ht="37.5" customHeight="1">
      <c r="A474" s="32" t="s">
        <v>8527</v>
      </c>
      <c r="B474" s="33">
        <v>2.0</v>
      </c>
      <c r="C474" s="34" t="s">
        <v>19188</v>
      </c>
      <c r="D474" s="35"/>
      <c r="E474" s="34"/>
      <c r="F474" s="35"/>
      <c r="G474" s="34"/>
      <c r="H474" s="35"/>
      <c r="I474" s="34"/>
      <c r="J474" s="35"/>
      <c r="K474" s="34"/>
      <c r="L474" s="35"/>
      <c r="M474" s="34"/>
      <c r="N474" s="5" t="s">
        <v>19190</v>
      </c>
      <c r="O474" s="36"/>
      <c r="P474" s="36" t="s">
        <v>19958</v>
      </c>
      <c r="Q474" s="37"/>
    </row>
    <row r="475" ht="37.5" customHeight="1">
      <c r="A475" s="32" t="s">
        <v>8533</v>
      </c>
      <c r="B475" s="33">
        <v>1.0</v>
      </c>
      <c r="C475" s="34" t="s">
        <v>8153</v>
      </c>
      <c r="D475" s="35">
        <v>1.0</v>
      </c>
      <c r="E475" s="34" t="s">
        <v>19234</v>
      </c>
      <c r="F475" s="35"/>
      <c r="G475" s="34"/>
      <c r="H475" s="35"/>
      <c r="I475" s="34"/>
      <c r="J475" s="35"/>
      <c r="K475" s="34"/>
      <c r="L475" s="35"/>
      <c r="M475" s="34"/>
      <c r="N475" s="5" t="s">
        <v>5290</v>
      </c>
      <c r="O475" s="36"/>
      <c r="P475" s="36" t="s">
        <v>19958</v>
      </c>
      <c r="Q475" s="37"/>
    </row>
    <row r="476" ht="37.5" customHeight="1">
      <c r="A476" s="32" t="s">
        <v>8557</v>
      </c>
      <c r="B476" s="33">
        <v>1.0</v>
      </c>
      <c r="C476" s="34" t="s">
        <v>19481</v>
      </c>
      <c r="D476" s="35">
        <v>3.0</v>
      </c>
      <c r="E476" s="34" t="s">
        <v>19188</v>
      </c>
      <c r="F476" s="35"/>
      <c r="G476" s="34"/>
      <c r="H476" s="35"/>
      <c r="I476" s="34"/>
      <c r="J476" s="35"/>
      <c r="K476" s="34"/>
      <c r="L476" s="35"/>
      <c r="M476" s="34"/>
      <c r="N476" s="5" t="s">
        <v>19190</v>
      </c>
      <c r="O476" s="36"/>
      <c r="P476" s="32" t="s">
        <v>19958</v>
      </c>
      <c r="Q476" s="35"/>
    </row>
    <row r="477" ht="37.5" customHeight="1">
      <c r="A477" s="32" t="s">
        <v>11762</v>
      </c>
      <c r="B477" s="33">
        <v>8.0</v>
      </c>
      <c r="C477" s="34" t="s">
        <v>19122</v>
      </c>
      <c r="D477" s="35"/>
      <c r="E477" s="34"/>
      <c r="F477" s="35"/>
      <c r="G477" s="34"/>
      <c r="H477" s="35"/>
      <c r="I477" s="34"/>
      <c r="J477" s="35"/>
      <c r="K477" s="34"/>
      <c r="L477" s="35"/>
      <c r="M477" s="34"/>
      <c r="N477" s="5" t="s">
        <v>19161</v>
      </c>
      <c r="O477" s="36"/>
      <c r="P477" s="32" t="s">
        <v>20114</v>
      </c>
      <c r="Q477" s="35"/>
    </row>
    <row r="478" ht="37.5" customHeight="1">
      <c r="A478" s="32" t="s">
        <v>18735</v>
      </c>
      <c r="B478" s="33">
        <v>7.0</v>
      </c>
      <c r="C478" s="34" t="s">
        <v>339</v>
      </c>
      <c r="D478" s="35"/>
      <c r="E478" s="34"/>
      <c r="F478" s="35"/>
      <c r="G478" s="34"/>
      <c r="H478" s="35"/>
      <c r="I478" s="34"/>
      <c r="J478" s="35"/>
      <c r="K478" s="34"/>
      <c r="L478" s="35"/>
      <c r="M478" s="34"/>
      <c r="N478" s="5" t="s">
        <v>19205</v>
      </c>
      <c r="O478" s="36"/>
      <c r="P478" s="36" t="s">
        <v>20118</v>
      </c>
      <c r="Q478" s="37"/>
    </row>
    <row r="479" ht="37.5" customHeight="1">
      <c r="A479" s="32" t="s">
        <v>18798</v>
      </c>
      <c r="B479" s="33">
        <v>7.0</v>
      </c>
      <c r="C479" s="34" t="s">
        <v>501</v>
      </c>
      <c r="D479" s="35"/>
      <c r="E479" s="34"/>
      <c r="F479" s="35"/>
      <c r="G479" s="34"/>
      <c r="H479" s="35"/>
      <c r="I479" s="34"/>
      <c r="J479" s="35"/>
      <c r="K479" s="34"/>
      <c r="L479" s="35"/>
      <c r="M479" s="34"/>
      <c r="N479" s="5" t="s">
        <v>19196</v>
      </c>
      <c r="O479" s="36"/>
      <c r="P479" s="36" t="s">
        <v>20118</v>
      </c>
      <c r="Q479" s="37"/>
    </row>
    <row r="480" ht="37.5" customHeight="1">
      <c r="A480" s="32" t="s">
        <v>18805</v>
      </c>
      <c r="B480" s="33">
        <v>7.0</v>
      </c>
      <c r="C480" s="34" t="s">
        <v>19153</v>
      </c>
      <c r="D480" s="35"/>
      <c r="E480" s="34"/>
      <c r="F480" s="35"/>
      <c r="G480" s="34"/>
      <c r="H480" s="35"/>
      <c r="I480" s="34"/>
      <c r="J480" s="35"/>
      <c r="K480" s="34"/>
      <c r="L480" s="35"/>
      <c r="M480" s="34"/>
      <c r="N480" s="5" t="s">
        <v>19157</v>
      </c>
      <c r="O480" s="36"/>
      <c r="P480" s="36" t="s">
        <v>20118</v>
      </c>
      <c r="Q480" s="37"/>
    </row>
    <row r="481" ht="37.5" customHeight="1">
      <c r="A481" s="32" t="s">
        <v>18895</v>
      </c>
      <c r="B481" s="33">
        <v>15.0</v>
      </c>
      <c r="C481" s="34" t="s">
        <v>19122</v>
      </c>
      <c r="D481" s="35"/>
      <c r="E481" s="34"/>
      <c r="F481" s="35"/>
      <c r="G481" s="34"/>
      <c r="H481" s="35"/>
      <c r="I481" s="34"/>
      <c r="J481" s="35"/>
      <c r="K481" s="34"/>
      <c r="L481" s="35"/>
      <c r="M481" s="34"/>
      <c r="N481" s="5" t="s">
        <v>19205</v>
      </c>
      <c r="O481" s="36"/>
      <c r="P481" s="36" t="s">
        <v>20118</v>
      </c>
      <c r="Q481" s="37"/>
    </row>
    <row r="482" ht="37.5" customHeight="1">
      <c r="A482" s="32" t="s">
        <v>18908</v>
      </c>
      <c r="B482" s="33">
        <v>7.0</v>
      </c>
      <c r="C482" s="34" t="s">
        <v>19172</v>
      </c>
      <c r="D482" s="35"/>
      <c r="E482" s="34"/>
      <c r="F482" s="35"/>
      <c r="G482" s="34"/>
      <c r="H482" s="35"/>
      <c r="I482" s="34"/>
      <c r="J482" s="35"/>
      <c r="K482" s="34"/>
      <c r="L482" s="35"/>
      <c r="M482" s="34"/>
      <c r="N482" s="5" t="s">
        <v>19177</v>
      </c>
      <c r="O482" s="36"/>
      <c r="P482" s="36" t="s">
        <v>20118</v>
      </c>
      <c r="Q482" s="37"/>
    </row>
    <row r="483" ht="37.5" customHeight="1">
      <c r="A483" s="32" t="s">
        <v>18926</v>
      </c>
      <c r="B483" s="33">
        <v>3.0</v>
      </c>
      <c r="C483" s="34" t="s">
        <v>19339</v>
      </c>
      <c r="D483" s="35"/>
      <c r="E483" s="34"/>
      <c r="F483" s="35"/>
      <c r="G483" s="34"/>
      <c r="H483" s="35"/>
      <c r="I483" s="34"/>
      <c r="J483" s="35"/>
      <c r="K483" s="34"/>
      <c r="L483" s="35"/>
      <c r="M483" s="34"/>
      <c r="N483" s="5" t="s">
        <v>19340</v>
      </c>
      <c r="O483" s="36"/>
      <c r="P483" s="36" t="s">
        <v>20118</v>
      </c>
      <c r="Q483" s="37"/>
    </row>
    <row r="484" ht="37.5" customHeight="1">
      <c r="A484" s="32" t="s">
        <v>18938</v>
      </c>
      <c r="B484" s="33">
        <v>7.0</v>
      </c>
      <c r="C484" s="34" t="s">
        <v>1801</v>
      </c>
      <c r="D484" s="35"/>
      <c r="E484" s="34"/>
      <c r="F484" s="35"/>
      <c r="G484" s="34"/>
      <c r="H484" s="35"/>
      <c r="I484" s="34"/>
      <c r="J484" s="35"/>
      <c r="K484" s="34"/>
      <c r="L484" s="35"/>
      <c r="M484" s="34"/>
      <c r="N484" s="5" t="s">
        <v>19243</v>
      </c>
      <c r="O484" s="36"/>
      <c r="P484" s="32" t="s">
        <v>20118</v>
      </c>
      <c r="Q484" s="35"/>
    </row>
    <row r="485" ht="37.5" customHeight="1">
      <c r="A485" s="32" t="s">
        <v>18957</v>
      </c>
      <c r="B485" s="33">
        <v>7.0</v>
      </c>
      <c r="C485" s="34" t="s">
        <v>4063</v>
      </c>
      <c r="D485" s="35"/>
      <c r="E485" s="34"/>
      <c r="F485" s="35"/>
      <c r="G485" s="34"/>
      <c r="H485" s="35"/>
      <c r="I485" s="34"/>
      <c r="J485" s="35"/>
      <c r="K485" s="34"/>
      <c r="L485" s="35"/>
      <c r="M485" s="34"/>
      <c r="N485" s="5" t="s">
        <v>19161</v>
      </c>
      <c r="O485" s="36"/>
      <c r="P485" s="36" t="s">
        <v>20118</v>
      </c>
      <c r="Q485" s="37"/>
    </row>
    <row r="486" ht="37.5" customHeight="1">
      <c r="A486" s="32" t="s">
        <v>18963</v>
      </c>
      <c r="B486" s="33">
        <v>7.0</v>
      </c>
      <c r="C486" s="34" t="s">
        <v>9827</v>
      </c>
      <c r="D486" s="35"/>
      <c r="E486" s="34"/>
      <c r="F486" s="35"/>
      <c r="G486" s="34"/>
      <c r="H486" s="35"/>
      <c r="I486" s="34"/>
      <c r="J486" s="35"/>
      <c r="K486" s="34"/>
      <c r="L486" s="35"/>
      <c r="M486" s="34"/>
      <c r="N486" s="5" t="s">
        <v>19128</v>
      </c>
      <c r="O486" s="36"/>
      <c r="P486" s="36" t="s">
        <v>20118</v>
      </c>
      <c r="Q486" s="37"/>
    </row>
    <row r="487" ht="37.5" customHeight="1">
      <c r="A487" s="32" t="s">
        <v>259</v>
      </c>
      <c r="B487" s="33">
        <v>1.0</v>
      </c>
      <c r="C487" s="34" t="s">
        <v>19280</v>
      </c>
      <c r="D487" s="35"/>
      <c r="E487" s="34"/>
      <c r="F487" s="35"/>
      <c r="G487" s="34"/>
      <c r="H487" s="35"/>
      <c r="I487" s="34"/>
      <c r="J487" s="35"/>
      <c r="K487" s="34"/>
      <c r="L487" s="35"/>
      <c r="M487" s="34"/>
      <c r="N487" s="5" t="s">
        <v>19128</v>
      </c>
      <c r="O487" s="36"/>
      <c r="P487" s="36" t="s">
        <v>20145</v>
      </c>
      <c r="Q487" s="37"/>
    </row>
    <row r="488" ht="37.5" customHeight="1">
      <c r="A488" s="32" t="s">
        <v>305</v>
      </c>
      <c r="B488" s="33">
        <v>10.0</v>
      </c>
      <c r="C488" s="34" t="s">
        <v>19382</v>
      </c>
      <c r="D488" s="35"/>
      <c r="E488" s="34"/>
      <c r="F488" s="35"/>
      <c r="G488" s="34"/>
      <c r="H488" s="35"/>
      <c r="I488" s="34"/>
      <c r="J488" s="35"/>
      <c r="K488" s="34"/>
      <c r="L488" s="35"/>
      <c r="M488" s="34"/>
      <c r="N488" s="5" t="s">
        <v>19384</v>
      </c>
      <c r="O488" s="36"/>
      <c r="P488" s="36" t="s">
        <v>20145</v>
      </c>
      <c r="Q488" s="37"/>
    </row>
    <row r="489" ht="37.5" customHeight="1">
      <c r="A489" s="32" t="s">
        <v>315</v>
      </c>
      <c r="B489" s="33">
        <v>3.0</v>
      </c>
      <c r="C489" s="34" t="s">
        <v>19303</v>
      </c>
      <c r="D489" s="35"/>
      <c r="E489" s="34"/>
      <c r="F489" s="35"/>
      <c r="G489" s="34"/>
      <c r="H489" s="35"/>
      <c r="I489" s="34"/>
      <c r="J489" s="35"/>
      <c r="K489" s="34"/>
      <c r="L489" s="35"/>
      <c r="M489" s="34"/>
      <c r="N489" s="5" t="s">
        <v>19243</v>
      </c>
      <c r="O489" s="36"/>
      <c r="P489" s="36" t="s">
        <v>20145</v>
      </c>
      <c r="Q489" s="37"/>
    </row>
    <row r="490" ht="37.5" customHeight="1">
      <c r="A490" s="32" t="s">
        <v>372</v>
      </c>
      <c r="B490" s="33">
        <v>3.0</v>
      </c>
      <c r="C490" s="34" t="s">
        <v>19166</v>
      </c>
      <c r="D490" s="35"/>
      <c r="E490" s="34"/>
      <c r="F490" s="35"/>
      <c r="G490" s="34"/>
      <c r="H490" s="35"/>
      <c r="I490" s="34"/>
      <c r="J490" s="35"/>
      <c r="K490" s="34"/>
      <c r="L490" s="35"/>
      <c r="M490" s="34"/>
      <c r="N490" s="5" t="s">
        <v>19243</v>
      </c>
      <c r="O490" s="36"/>
      <c r="P490" s="36" t="s">
        <v>20145</v>
      </c>
      <c r="Q490" s="37"/>
    </row>
    <row r="491" ht="37.5" customHeight="1">
      <c r="A491" s="36" t="s">
        <v>458</v>
      </c>
      <c r="B491" s="33">
        <v>1.0</v>
      </c>
      <c r="C491" s="34" t="s">
        <v>19142</v>
      </c>
      <c r="D491" s="35">
        <v>1.0</v>
      </c>
      <c r="E491" s="34" t="s">
        <v>19144</v>
      </c>
      <c r="F491" s="35">
        <v>1.0</v>
      </c>
      <c r="G491" s="34" t="s">
        <v>19145</v>
      </c>
      <c r="H491" s="35">
        <v>1.0</v>
      </c>
      <c r="I491" s="34" t="s">
        <v>19146</v>
      </c>
      <c r="J491" s="35">
        <v>1.0</v>
      </c>
      <c r="K491" s="34" t="s">
        <v>19147</v>
      </c>
      <c r="L491" s="35">
        <v>1.0</v>
      </c>
      <c r="M491" s="34" t="s">
        <v>19148</v>
      </c>
      <c r="N491" s="38" t="s">
        <v>19294</v>
      </c>
      <c r="O491" s="36"/>
      <c r="P491" s="36" t="s">
        <v>20145</v>
      </c>
      <c r="Q491" s="37"/>
    </row>
    <row r="492" ht="37.5" customHeight="1">
      <c r="A492" s="36" t="s">
        <v>472</v>
      </c>
      <c r="B492" s="33">
        <v>3.0</v>
      </c>
      <c r="C492" s="34" t="s">
        <v>19147</v>
      </c>
      <c r="D492" s="35"/>
      <c r="E492" s="34"/>
      <c r="F492" s="35"/>
      <c r="G492" s="34"/>
      <c r="H492" s="35"/>
      <c r="I492" s="34"/>
      <c r="J492" s="35"/>
      <c r="K492" s="34"/>
      <c r="L492" s="35"/>
      <c r="M492" s="34"/>
      <c r="N492" s="38" t="s">
        <v>19294</v>
      </c>
      <c r="O492" s="36"/>
      <c r="P492" s="36" t="s">
        <v>20145</v>
      </c>
      <c r="Q492" s="37"/>
    </row>
    <row r="493" ht="37.5" customHeight="1">
      <c r="A493" s="32" t="s">
        <v>482</v>
      </c>
      <c r="B493" s="33">
        <v>1.0</v>
      </c>
      <c r="C493" s="34" t="s">
        <v>19142</v>
      </c>
      <c r="D493" s="35">
        <v>1.0</v>
      </c>
      <c r="E493" s="34" t="s">
        <v>19144</v>
      </c>
      <c r="F493" s="35">
        <v>1.0</v>
      </c>
      <c r="G493" s="34" t="s">
        <v>19145</v>
      </c>
      <c r="H493" s="35">
        <v>1.0</v>
      </c>
      <c r="I493" s="34" t="s">
        <v>19146</v>
      </c>
      <c r="J493" s="35">
        <v>1.0</v>
      </c>
      <c r="K493" s="34" t="s">
        <v>19147</v>
      </c>
      <c r="L493" s="35">
        <v>1.0</v>
      </c>
      <c r="M493" s="34" t="s">
        <v>19148</v>
      </c>
      <c r="N493" s="38" t="s">
        <v>19294</v>
      </c>
      <c r="O493" s="36"/>
      <c r="P493" s="36" t="s">
        <v>20145</v>
      </c>
      <c r="Q493" s="37"/>
    </row>
    <row r="494" ht="37.5" customHeight="1">
      <c r="A494" s="32" t="s">
        <v>498</v>
      </c>
      <c r="B494" s="33">
        <v>10.0</v>
      </c>
      <c r="C494" s="34" t="s">
        <v>501</v>
      </c>
      <c r="D494" s="35">
        <v>2.0</v>
      </c>
      <c r="E494" s="34" t="s">
        <v>19289</v>
      </c>
      <c r="F494" s="35"/>
      <c r="G494" s="34"/>
      <c r="H494" s="35"/>
      <c r="I494" s="34"/>
      <c r="J494" s="35"/>
      <c r="K494" s="34"/>
      <c r="L494" s="35"/>
      <c r="M494" s="34"/>
      <c r="N494" s="5" t="s">
        <v>19196</v>
      </c>
      <c r="O494" s="36"/>
      <c r="P494" s="36" t="s">
        <v>20145</v>
      </c>
      <c r="Q494" s="37"/>
    </row>
    <row r="495" ht="37.5" customHeight="1">
      <c r="A495" s="32" t="s">
        <v>510</v>
      </c>
      <c r="B495" s="33">
        <v>5.0</v>
      </c>
      <c r="C495" s="34" t="s">
        <v>19153</v>
      </c>
      <c r="D495" s="35"/>
      <c r="E495" s="34"/>
      <c r="F495" s="35"/>
      <c r="G495" s="34"/>
      <c r="H495" s="35"/>
      <c r="I495" s="34"/>
      <c r="J495" s="35"/>
      <c r="K495" s="34"/>
      <c r="L495" s="35"/>
      <c r="M495" s="34"/>
      <c r="N495" s="5" t="s">
        <v>19157</v>
      </c>
      <c r="O495" s="36"/>
      <c r="P495" s="36" t="s">
        <v>20145</v>
      </c>
      <c r="Q495" s="37"/>
    </row>
    <row r="496" ht="37.5" customHeight="1">
      <c r="A496" s="32" t="s">
        <v>524</v>
      </c>
      <c r="B496" s="33">
        <v>10.0</v>
      </c>
      <c r="C496" s="34" t="s">
        <v>19423</v>
      </c>
      <c r="D496" s="35"/>
      <c r="E496" s="34"/>
      <c r="F496" s="35"/>
      <c r="G496" s="34"/>
      <c r="H496" s="35"/>
      <c r="I496" s="34"/>
      <c r="J496" s="35"/>
      <c r="K496" s="34"/>
      <c r="L496" s="35"/>
      <c r="M496" s="34"/>
      <c r="N496" s="5" t="s">
        <v>19384</v>
      </c>
      <c r="O496" s="36"/>
      <c r="P496" s="36" t="s">
        <v>20145</v>
      </c>
      <c r="Q496" s="37"/>
    </row>
    <row r="497" ht="37.5" customHeight="1">
      <c r="A497" s="32" t="s">
        <v>529</v>
      </c>
      <c r="B497" s="33">
        <v>10.0</v>
      </c>
      <c r="C497" s="34" t="s">
        <v>19463</v>
      </c>
      <c r="D497" s="35"/>
      <c r="E497" s="34"/>
      <c r="F497" s="35"/>
      <c r="G497" s="34"/>
      <c r="H497" s="35"/>
      <c r="I497" s="34"/>
      <c r="J497" s="35"/>
      <c r="K497" s="34"/>
      <c r="L497" s="35"/>
      <c r="M497" s="34"/>
      <c r="N497" s="5" t="s">
        <v>19384</v>
      </c>
      <c r="O497" s="36"/>
      <c r="P497" s="36" t="s">
        <v>20145</v>
      </c>
      <c r="Q497" s="37"/>
    </row>
    <row r="498" ht="37.5" customHeight="1">
      <c r="A498" s="32" t="s">
        <v>535</v>
      </c>
      <c r="B498" s="33">
        <v>1.0</v>
      </c>
      <c r="C498" s="34" t="s">
        <v>19654</v>
      </c>
      <c r="D498" s="35">
        <v>5.0</v>
      </c>
      <c r="E498" s="34" t="s">
        <v>19122</v>
      </c>
      <c r="F498" s="35"/>
      <c r="G498" s="34"/>
      <c r="H498" s="35"/>
      <c r="I498" s="34"/>
      <c r="J498" s="35"/>
      <c r="K498" s="34"/>
      <c r="L498" s="35"/>
      <c r="M498" s="34"/>
      <c r="N498" s="5" t="s">
        <v>19361</v>
      </c>
      <c r="O498" s="36"/>
      <c r="P498" s="36" t="s">
        <v>20145</v>
      </c>
      <c r="Q498" s="37"/>
    </row>
    <row r="499" ht="37.5" customHeight="1">
      <c r="A499" s="32" t="s">
        <v>543</v>
      </c>
      <c r="B499" s="33">
        <v>3.0</v>
      </c>
      <c r="C499" s="34" t="s">
        <v>19401</v>
      </c>
      <c r="D499" s="35">
        <v>3.0</v>
      </c>
      <c r="E499" s="34" t="s">
        <v>19399</v>
      </c>
      <c r="F499" s="35">
        <v>3.0</v>
      </c>
      <c r="G499" s="34" t="s">
        <v>19400</v>
      </c>
      <c r="H499" s="35"/>
      <c r="I499" s="34"/>
      <c r="J499" s="35"/>
      <c r="K499" s="34"/>
      <c r="L499" s="35"/>
      <c r="M499" s="34"/>
      <c r="N499" s="5" t="s">
        <v>19384</v>
      </c>
      <c r="O499" s="36"/>
      <c r="P499" s="36" t="s">
        <v>20145</v>
      </c>
      <c r="Q499" s="37"/>
    </row>
    <row r="500" ht="37.5" customHeight="1">
      <c r="A500" s="32" t="s">
        <v>550</v>
      </c>
      <c r="B500" s="33">
        <v>10.0</v>
      </c>
      <c r="C500" s="34" t="s">
        <v>19460</v>
      </c>
      <c r="D500" s="35"/>
      <c r="E500" s="34"/>
      <c r="F500" s="35"/>
      <c r="G500" s="34"/>
      <c r="H500" s="35"/>
      <c r="I500" s="34"/>
      <c r="J500" s="35"/>
      <c r="K500" s="34"/>
      <c r="L500" s="35"/>
      <c r="M500" s="34"/>
      <c r="N500" s="5" t="s">
        <v>19384</v>
      </c>
      <c r="O500" s="36"/>
      <c r="P500" s="36" t="s">
        <v>20145</v>
      </c>
      <c r="Q500" s="37"/>
    </row>
    <row r="501" ht="37.5" customHeight="1">
      <c r="A501" s="32" t="s">
        <v>558</v>
      </c>
      <c r="B501" s="33">
        <v>3.0</v>
      </c>
      <c r="C501" s="34" t="s">
        <v>19407</v>
      </c>
      <c r="D501" s="35">
        <v>3.0</v>
      </c>
      <c r="E501" s="34" t="s">
        <v>19408</v>
      </c>
      <c r="F501" s="35">
        <v>3.0</v>
      </c>
      <c r="G501" s="34" t="s">
        <v>19483</v>
      </c>
      <c r="H501" s="35"/>
      <c r="I501" s="34"/>
      <c r="J501" s="35"/>
      <c r="K501" s="34"/>
      <c r="L501" s="35"/>
      <c r="M501" s="34"/>
      <c r="N501" s="5" t="s">
        <v>19384</v>
      </c>
      <c r="O501" s="36"/>
      <c r="P501" s="36" t="s">
        <v>20145</v>
      </c>
      <c r="Q501" s="37"/>
    </row>
    <row r="502" ht="37.5" customHeight="1">
      <c r="A502" s="32" t="s">
        <v>624</v>
      </c>
      <c r="B502" s="33">
        <v>3.0</v>
      </c>
      <c r="C502" s="34" t="s">
        <v>19412</v>
      </c>
      <c r="D502" s="35">
        <v>3.0</v>
      </c>
      <c r="E502" s="34" t="s">
        <v>19413</v>
      </c>
      <c r="F502" s="35">
        <v>3.0</v>
      </c>
      <c r="G502" s="34" t="s">
        <v>19411</v>
      </c>
      <c r="H502" s="35"/>
      <c r="I502" s="34"/>
      <c r="J502" s="35"/>
      <c r="K502" s="34"/>
      <c r="L502" s="35"/>
      <c r="M502" s="34"/>
      <c r="N502" s="5" t="s">
        <v>19384</v>
      </c>
      <c r="O502" s="36"/>
      <c r="P502" s="36" t="s">
        <v>20145</v>
      </c>
      <c r="Q502" s="37"/>
    </row>
    <row r="503" ht="37.5" customHeight="1">
      <c r="A503" s="32" t="s">
        <v>630</v>
      </c>
      <c r="B503" s="33">
        <v>4.0</v>
      </c>
      <c r="C503" s="34" t="s">
        <v>19234</v>
      </c>
      <c r="D503" s="35"/>
      <c r="E503" s="34"/>
      <c r="F503" s="35"/>
      <c r="G503" s="34"/>
      <c r="H503" s="35"/>
      <c r="I503" s="34"/>
      <c r="J503" s="35"/>
      <c r="K503" s="34"/>
      <c r="L503" s="35"/>
      <c r="M503" s="34"/>
      <c r="N503" s="5" t="s">
        <v>19232</v>
      </c>
      <c r="O503" s="36"/>
      <c r="P503" s="36" t="s">
        <v>20145</v>
      </c>
      <c r="Q503" s="37"/>
    </row>
    <row r="504" ht="37.5" customHeight="1">
      <c r="A504" s="32" t="s">
        <v>727</v>
      </c>
      <c r="B504" s="33">
        <v>10.0</v>
      </c>
      <c r="C504" s="34" t="s">
        <v>19424</v>
      </c>
      <c r="D504" s="35"/>
      <c r="E504" s="34"/>
      <c r="F504" s="35"/>
      <c r="G504" s="34"/>
      <c r="H504" s="35"/>
      <c r="I504" s="34"/>
      <c r="J504" s="35"/>
      <c r="K504" s="34"/>
      <c r="L504" s="35"/>
      <c r="M504" s="34"/>
      <c r="N504" s="5" t="s">
        <v>19384</v>
      </c>
      <c r="O504" s="36"/>
      <c r="P504" s="36" t="s">
        <v>20145</v>
      </c>
      <c r="Q504" s="37"/>
    </row>
    <row r="505" ht="37.5" customHeight="1">
      <c r="A505" s="32" t="s">
        <v>734</v>
      </c>
      <c r="B505" s="33">
        <v>3.0</v>
      </c>
      <c r="C505" s="34" t="s">
        <v>19393</v>
      </c>
      <c r="D505" s="35">
        <v>6.0</v>
      </c>
      <c r="E505" s="34" t="s">
        <v>19392</v>
      </c>
      <c r="F505" s="35"/>
      <c r="G505" s="34"/>
      <c r="H505" s="35"/>
      <c r="I505" s="34"/>
      <c r="J505" s="35"/>
      <c r="K505" s="34"/>
      <c r="L505" s="35"/>
      <c r="M505" s="34"/>
      <c r="N505" s="5" t="s">
        <v>19384</v>
      </c>
      <c r="O505" s="36"/>
      <c r="P505" s="36" t="s">
        <v>20145</v>
      </c>
      <c r="Q505" s="37"/>
    </row>
    <row r="506" ht="37.5" customHeight="1">
      <c r="A506" s="32" t="s">
        <v>739</v>
      </c>
      <c r="B506" s="33">
        <v>10.0</v>
      </c>
      <c r="C506" s="34" t="s">
        <v>19427</v>
      </c>
      <c r="D506" s="35"/>
      <c r="E506" s="34"/>
      <c r="F506" s="35"/>
      <c r="G506" s="34"/>
      <c r="H506" s="35"/>
      <c r="I506" s="34"/>
      <c r="J506" s="35"/>
      <c r="K506" s="34"/>
      <c r="L506" s="35"/>
      <c r="M506" s="34"/>
      <c r="N506" s="5" t="s">
        <v>19384</v>
      </c>
      <c r="O506" s="36"/>
      <c r="P506" s="36" t="s">
        <v>20145</v>
      </c>
      <c r="Q506" s="37"/>
    </row>
    <row r="507" ht="37.5" customHeight="1">
      <c r="A507" s="32" t="s">
        <v>745</v>
      </c>
      <c r="B507" s="33">
        <v>8.0</v>
      </c>
      <c r="C507" s="34" t="s">
        <v>19303</v>
      </c>
      <c r="D507" s="35"/>
      <c r="E507" s="34"/>
      <c r="F507" s="35"/>
      <c r="G507" s="34"/>
      <c r="H507" s="35"/>
      <c r="I507" s="34"/>
      <c r="J507" s="35"/>
      <c r="K507" s="34"/>
      <c r="L507" s="35"/>
      <c r="M507" s="34"/>
      <c r="N507" s="5" t="s">
        <v>19243</v>
      </c>
      <c r="O507" s="36"/>
      <c r="P507" s="36" t="s">
        <v>20145</v>
      </c>
      <c r="Q507" s="37"/>
    </row>
    <row r="508" ht="37.5" customHeight="1">
      <c r="A508" s="32" t="s">
        <v>946</v>
      </c>
      <c r="B508" s="33">
        <v>3.0</v>
      </c>
      <c r="C508" s="34" t="s">
        <v>19415</v>
      </c>
      <c r="D508" s="35">
        <v>3.0</v>
      </c>
      <c r="E508" s="34" t="s">
        <v>19414</v>
      </c>
      <c r="F508" s="35">
        <v>3.0</v>
      </c>
      <c r="G508" s="34" t="s">
        <v>19444</v>
      </c>
      <c r="H508" s="35"/>
      <c r="I508" s="34"/>
      <c r="J508" s="35"/>
      <c r="K508" s="34"/>
      <c r="L508" s="35"/>
      <c r="M508" s="34"/>
      <c r="N508" s="5" t="s">
        <v>19384</v>
      </c>
      <c r="O508" s="36"/>
      <c r="P508" s="36" t="s">
        <v>20145</v>
      </c>
      <c r="Q508" s="37"/>
    </row>
    <row r="509" ht="37.5" customHeight="1">
      <c r="A509" s="32" t="s">
        <v>953</v>
      </c>
      <c r="B509" s="33">
        <v>3.0</v>
      </c>
      <c r="C509" s="34" t="s">
        <v>19389</v>
      </c>
      <c r="D509" s="35">
        <v>3.0</v>
      </c>
      <c r="E509" s="34" t="s">
        <v>19388</v>
      </c>
      <c r="F509" s="35">
        <v>3.0</v>
      </c>
      <c r="G509" s="34" t="s">
        <v>19448</v>
      </c>
      <c r="H509" s="35"/>
      <c r="I509" s="34"/>
      <c r="J509" s="35"/>
      <c r="K509" s="34"/>
      <c r="L509" s="35"/>
      <c r="M509" s="34"/>
      <c r="N509" s="5" t="s">
        <v>19384</v>
      </c>
      <c r="O509" s="36"/>
      <c r="P509" s="36" t="s">
        <v>20145</v>
      </c>
      <c r="Q509" s="37"/>
    </row>
    <row r="510" ht="37.5" customHeight="1">
      <c r="A510" s="32" t="s">
        <v>961</v>
      </c>
      <c r="B510" s="33">
        <v>3.0</v>
      </c>
      <c r="C510" s="34" t="s">
        <v>19420</v>
      </c>
      <c r="D510" s="35">
        <v>3.0</v>
      </c>
      <c r="E510" s="34" t="s">
        <v>19419</v>
      </c>
      <c r="F510" s="35">
        <v>3.0</v>
      </c>
      <c r="G510" s="34" t="s">
        <v>19465</v>
      </c>
      <c r="H510" s="35"/>
      <c r="I510" s="34"/>
      <c r="J510" s="35"/>
      <c r="K510" s="34"/>
      <c r="L510" s="35"/>
      <c r="M510" s="34"/>
      <c r="N510" s="5" t="s">
        <v>19384</v>
      </c>
      <c r="O510" s="36"/>
      <c r="P510" s="36" t="s">
        <v>20145</v>
      </c>
      <c r="Q510" s="37"/>
    </row>
    <row r="511" ht="37.5" customHeight="1">
      <c r="A511" s="32" t="s">
        <v>1081</v>
      </c>
      <c r="B511" s="33">
        <v>10.0</v>
      </c>
      <c r="C511" s="34" t="s">
        <v>19122</v>
      </c>
      <c r="D511" s="35"/>
      <c r="E511" s="34"/>
      <c r="F511" s="35"/>
      <c r="G511" s="34"/>
      <c r="H511" s="35"/>
      <c r="I511" s="34"/>
      <c r="J511" s="35"/>
      <c r="K511" s="34"/>
      <c r="L511" s="35"/>
      <c r="M511" s="34"/>
      <c r="N511" s="5" t="s">
        <v>19161</v>
      </c>
      <c r="O511" s="36"/>
      <c r="P511" s="36" t="s">
        <v>20145</v>
      </c>
      <c r="Q511" s="37"/>
    </row>
    <row r="512" ht="37.5" customHeight="1">
      <c r="A512" s="32" t="s">
        <v>1115</v>
      </c>
      <c r="B512" s="33">
        <v>1.0</v>
      </c>
      <c r="C512" s="34" t="s">
        <v>20241</v>
      </c>
      <c r="D512" s="35">
        <v>2.0</v>
      </c>
      <c r="E512" s="34" t="s">
        <v>12762</v>
      </c>
      <c r="F512" s="35"/>
      <c r="G512" s="34"/>
      <c r="H512" s="35"/>
      <c r="I512" s="34"/>
      <c r="J512" s="35"/>
      <c r="K512" s="34"/>
      <c r="L512" s="35"/>
      <c r="M512" s="34"/>
      <c r="N512" s="5" t="s">
        <v>19128</v>
      </c>
      <c r="O512" s="36"/>
      <c r="P512" s="36" t="s">
        <v>20145</v>
      </c>
      <c r="Q512" s="37"/>
    </row>
    <row r="513" ht="37.5" customHeight="1">
      <c r="A513" s="32" t="s">
        <v>1123</v>
      </c>
      <c r="B513" s="33">
        <v>2.0</v>
      </c>
      <c r="C513" s="34" t="s">
        <v>339</v>
      </c>
      <c r="D513" s="35">
        <v>1.0</v>
      </c>
      <c r="E513" s="34" t="s">
        <v>9827</v>
      </c>
      <c r="F513" s="35">
        <v>3.0</v>
      </c>
      <c r="G513" s="34" t="s">
        <v>501</v>
      </c>
      <c r="H513" s="35">
        <v>3.0</v>
      </c>
      <c r="I513" s="34" t="s">
        <v>1801</v>
      </c>
      <c r="J513" s="35">
        <v>1.0</v>
      </c>
      <c r="K513" s="34" t="s">
        <v>4063</v>
      </c>
      <c r="L513" s="35"/>
      <c r="M513" s="34"/>
      <c r="N513" s="5" t="s">
        <v>19238</v>
      </c>
      <c r="O513" s="36"/>
      <c r="P513" s="32" t="s">
        <v>20145</v>
      </c>
      <c r="Q513" s="35"/>
    </row>
    <row r="514" ht="37.5" customHeight="1">
      <c r="A514" s="32" t="s">
        <v>1169</v>
      </c>
      <c r="B514" s="33">
        <v>10.0</v>
      </c>
      <c r="C514" s="34" t="s">
        <v>19432</v>
      </c>
      <c r="D514" s="35"/>
      <c r="E514" s="34"/>
      <c r="F514" s="35"/>
      <c r="G514" s="34"/>
      <c r="H514" s="35"/>
      <c r="I514" s="34"/>
      <c r="J514" s="35"/>
      <c r="K514" s="34"/>
      <c r="L514" s="35"/>
      <c r="M514" s="34"/>
      <c r="N514" s="5" t="s">
        <v>19384</v>
      </c>
      <c r="O514" s="36"/>
      <c r="P514" s="36" t="s">
        <v>20145</v>
      </c>
      <c r="Q514" s="37"/>
    </row>
    <row r="515" ht="37.5" customHeight="1">
      <c r="A515" s="32" t="s">
        <v>1179</v>
      </c>
      <c r="B515" s="33">
        <v>1.0</v>
      </c>
      <c r="C515" s="34" t="s">
        <v>19229</v>
      </c>
      <c r="D515" s="35">
        <v>3.0</v>
      </c>
      <c r="E515" s="34" t="s">
        <v>19234</v>
      </c>
      <c r="F515" s="35"/>
      <c r="G515" s="34"/>
      <c r="H515" s="35"/>
      <c r="I515" s="34"/>
      <c r="J515" s="35"/>
      <c r="K515" s="34"/>
      <c r="L515" s="35"/>
      <c r="M515" s="34"/>
      <c r="N515" s="5" t="s">
        <v>19232</v>
      </c>
      <c r="O515" s="36"/>
      <c r="P515" s="36" t="s">
        <v>20145</v>
      </c>
      <c r="Q515" s="37"/>
    </row>
    <row r="516" ht="37.5" customHeight="1">
      <c r="A516" s="32" t="s">
        <v>1324</v>
      </c>
      <c r="B516" s="33">
        <v>10.0</v>
      </c>
      <c r="C516" s="34" t="s">
        <v>19122</v>
      </c>
      <c r="D516" s="35">
        <v>4.0</v>
      </c>
      <c r="E516" s="34" t="s">
        <v>19234</v>
      </c>
      <c r="F516" s="35"/>
      <c r="G516" s="34"/>
      <c r="H516" s="35"/>
      <c r="I516" s="34"/>
      <c r="J516" s="35"/>
      <c r="K516" s="34"/>
      <c r="L516" s="35"/>
      <c r="M516" s="34"/>
      <c r="N516" s="5" t="s">
        <v>19196</v>
      </c>
      <c r="O516" s="36"/>
      <c r="P516" s="36" t="s">
        <v>20145</v>
      </c>
      <c r="Q516" s="37"/>
    </row>
    <row r="517" ht="37.5" customHeight="1">
      <c r="A517" s="32" t="s">
        <v>1385</v>
      </c>
      <c r="B517" s="33">
        <v>3.0</v>
      </c>
      <c r="C517" s="34" t="s">
        <v>19438</v>
      </c>
      <c r="D517" s="35">
        <v>3.0</v>
      </c>
      <c r="E517" s="34" t="s">
        <v>19435</v>
      </c>
      <c r="F517" s="35">
        <v>3.0</v>
      </c>
      <c r="G517" s="34" t="s">
        <v>19437</v>
      </c>
      <c r="H517" s="35"/>
      <c r="I517" s="34"/>
      <c r="J517" s="35"/>
      <c r="K517" s="34"/>
      <c r="L517" s="35"/>
      <c r="M517" s="34"/>
      <c r="N517" s="5" t="s">
        <v>19384</v>
      </c>
      <c r="O517" s="36"/>
      <c r="P517" s="36" t="s">
        <v>20145</v>
      </c>
      <c r="Q517" s="37"/>
    </row>
    <row r="518" ht="37.5" customHeight="1">
      <c r="A518" s="32" t="s">
        <v>1445</v>
      </c>
      <c r="B518" s="33">
        <v>2.0</v>
      </c>
      <c r="C518" s="34" t="s">
        <v>19234</v>
      </c>
      <c r="D518" s="35"/>
      <c r="E518" s="34"/>
      <c r="F518" s="35"/>
      <c r="G518" s="34"/>
      <c r="H518" s="35"/>
      <c r="I518" s="34"/>
      <c r="J518" s="35"/>
      <c r="K518" s="34"/>
      <c r="L518" s="35"/>
      <c r="M518" s="34"/>
      <c r="N518" s="5" t="s">
        <v>19205</v>
      </c>
      <c r="O518" s="36"/>
      <c r="P518" s="36" t="s">
        <v>20145</v>
      </c>
      <c r="Q518" s="37"/>
    </row>
    <row r="519" ht="37.5" customHeight="1">
      <c r="A519" s="32" t="s">
        <v>1488</v>
      </c>
      <c r="B519" s="33">
        <v>4.0</v>
      </c>
      <c r="C519" s="34" t="s">
        <v>19234</v>
      </c>
      <c r="D519" s="35">
        <v>2.0</v>
      </c>
      <c r="E519" s="34" t="s">
        <v>19289</v>
      </c>
      <c r="F519" s="35"/>
      <c r="G519" s="34"/>
      <c r="H519" s="35"/>
      <c r="I519" s="34"/>
      <c r="J519" s="35"/>
      <c r="K519" s="34"/>
      <c r="L519" s="35"/>
      <c r="M519" s="34"/>
      <c r="N519" s="5" t="s">
        <v>59</v>
      </c>
      <c r="O519" s="36"/>
      <c r="P519" s="36" t="s">
        <v>20145</v>
      </c>
      <c r="Q519" s="37"/>
    </row>
    <row r="520" ht="37.5" customHeight="1">
      <c r="A520" s="32" t="s">
        <v>1496</v>
      </c>
      <c r="B520" s="33">
        <v>3.0</v>
      </c>
      <c r="C520" s="34" t="s">
        <v>19234</v>
      </c>
      <c r="D520" s="35">
        <v>1.0</v>
      </c>
      <c r="E520" s="34" t="s">
        <v>19289</v>
      </c>
      <c r="F520" s="35"/>
      <c r="G520" s="34"/>
      <c r="H520" s="35"/>
      <c r="I520" s="34"/>
      <c r="J520" s="35"/>
      <c r="K520" s="34"/>
      <c r="L520" s="35"/>
      <c r="M520" s="34"/>
      <c r="N520" s="5" t="s">
        <v>19232</v>
      </c>
      <c r="O520" s="36"/>
      <c r="P520" s="36" t="s">
        <v>20145</v>
      </c>
      <c r="Q520" s="37"/>
    </row>
    <row r="521" ht="37.5" customHeight="1">
      <c r="A521" s="32" t="s">
        <v>1508</v>
      </c>
      <c r="B521" s="33">
        <v>2.0</v>
      </c>
      <c r="C521" s="34" t="s">
        <v>19164</v>
      </c>
      <c r="D521" s="35">
        <v>2.0</v>
      </c>
      <c r="E521" s="34" t="s">
        <v>19234</v>
      </c>
      <c r="F521" s="35"/>
      <c r="G521" s="34"/>
      <c r="H521" s="35"/>
      <c r="I521" s="34"/>
      <c r="J521" s="35"/>
      <c r="K521" s="34"/>
      <c r="L521" s="35"/>
      <c r="M521" s="34"/>
      <c r="N521" s="5" t="s">
        <v>19232</v>
      </c>
      <c r="O521" s="36"/>
      <c r="P521" s="36" t="s">
        <v>20145</v>
      </c>
      <c r="Q521" s="37"/>
    </row>
    <row r="522" ht="37.5" customHeight="1">
      <c r="A522" s="32" t="s">
        <v>1544</v>
      </c>
      <c r="B522" s="33">
        <v>3.0</v>
      </c>
      <c r="C522" s="34" t="s">
        <v>19164</v>
      </c>
      <c r="D522" s="35">
        <v>1.0</v>
      </c>
      <c r="E522" s="34" t="s">
        <v>19234</v>
      </c>
      <c r="F522" s="35"/>
      <c r="G522" s="34"/>
      <c r="H522" s="35"/>
      <c r="I522" s="34"/>
      <c r="J522" s="35"/>
      <c r="K522" s="34"/>
      <c r="L522" s="35"/>
      <c r="M522" s="34"/>
      <c r="N522" s="5" t="s">
        <v>19205</v>
      </c>
      <c r="O522" s="36"/>
      <c r="P522" s="36" t="s">
        <v>20145</v>
      </c>
      <c r="Q522" s="37"/>
    </row>
    <row r="523" ht="37.5" customHeight="1">
      <c r="A523" s="32" t="s">
        <v>1565</v>
      </c>
      <c r="B523" s="33">
        <v>3.0</v>
      </c>
      <c r="C523" s="34" t="s">
        <v>19188</v>
      </c>
      <c r="D523" s="35">
        <v>2.0</v>
      </c>
      <c r="E523" s="34" t="s">
        <v>20285</v>
      </c>
      <c r="F523" s="35">
        <v>2.0</v>
      </c>
      <c r="G523" s="34" t="s">
        <v>19229</v>
      </c>
      <c r="H523" s="35">
        <v>3.0</v>
      </c>
      <c r="I523" s="34" t="s">
        <v>12762</v>
      </c>
      <c r="J523" s="35"/>
      <c r="K523" s="34"/>
      <c r="L523" s="35"/>
      <c r="M523" s="34"/>
      <c r="N523" s="5" t="s">
        <v>19190</v>
      </c>
      <c r="O523" s="36"/>
      <c r="P523" s="36" t="s">
        <v>20145</v>
      </c>
      <c r="Q523" s="37"/>
    </row>
    <row r="524" ht="37.5" customHeight="1">
      <c r="A524" s="32" t="s">
        <v>1571</v>
      </c>
      <c r="B524" s="33">
        <v>3.0</v>
      </c>
      <c r="C524" s="34" t="s">
        <v>19416</v>
      </c>
      <c r="D524" s="35">
        <v>3.0</v>
      </c>
      <c r="E524" s="34" t="s">
        <v>19443</v>
      </c>
      <c r="F524" s="35">
        <v>3.0</v>
      </c>
      <c r="G524" s="34" t="s">
        <v>19444</v>
      </c>
      <c r="H524" s="35"/>
      <c r="I524" s="34"/>
      <c r="J524" s="35"/>
      <c r="K524" s="34"/>
      <c r="L524" s="35"/>
      <c r="M524" s="34"/>
      <c r="N524" s="5" t="s">
        <v>19384</v>
      </c>
      <c r="O524" s="36"/>
      <c r="P524" s="36" t="s">
        <v>20145</v>
      </c>
      <c r="Q524" s="37"/>
    </row>
    <row r="525" ht="37.5" customHeight="1">
      <c r="A525" s="32" t="s">
        <v>1578</v>
      </c>
      <c r="B525" s="33">
        <v>2.0</v>
      </c>
      <c r="C525" s="34" t="s">
        <v>19166</v>
      </c>
      <c r="D525" s="35">
        <v>1.0</v>
      </c>
      <c r="E525" s="34" t="s">
        <v>19234</v>
      </c>
      <c r="F525" s="35"/>
      <c r="G525" s="34"/>
      <c r="H525" s="35"/>
      <c r="I525" s="34"/>
      <c r="J525" s="35"/>
      <c r="K525" s="34"/>
      <c r="L525" s="35"/>
      <c r="M525" s="34"/>
      <c r="N525" s="5" t="s">
        <v>19243</v>
      </c>
      <c r="O525" s="36"/>
      <c r="P525" s="36" t="s">
        <v>20145</v>
      </c>
      <c r="Q525" s="37"/>
    </row>
    <row r="526" ht="37.5" customHeight="1">
      <c r="A526" s="32" t="s">
        <v>1776</v>
      </c>
      <c r="B526" s="33">
        <v>3.0</v>
      </c>
      <c r="C526" s="34" t="s">
        <v>19451</v>
      </c>
      <c r="D526" s="35">
        <v>3.0</v>
      </c>
      <c r="E526" s="34" t="s">
        <v>19450</v>
      </c>
      <c r="F526" s="35">
        <v>3.0</v>
      </c>
      <c r="G526" s="34" t="s">
        <v>19448</v>
      </c>
      <c r="H526" s="35"/>
      <c r="I526" s="34"/>
      <c r="J526" s="35"/>
      <c r="K526" s="34"/>
      <c r="L526" s="35"/>
      <c r="M526" s="34"/>
      <c r="N526" s="5" t="s">
        <v>19384</v>
      </c>
      <c r="O526" s="36"/>
      <c r="P526" s="36" t="s">
        <v>20145</v>
      </c>
      <c r="Q526" s="37"/>
    </row>
    <row r="527" ht="37.5" customHeight="1">
      <c r="A527" s="32" t="s">
        <v>1781</v>
      </c>
      <c r="B527" s="33">
        <v>10.0</v>
      </c>
      <c r="C527" s="34" t="s">
        <v>19534</v>
      </c>
      <c r="D527" s="35">
        <v>1.0</v>
      </c>
      <c r="E527" s="34" t="s">
        <v>19337</v>
      </c>
      <c r="F527" s="35">
        <v>1.0</v>
      </c>
      <c r="G527" s="34" t="s">
        <v>19338</v>
      </c>
      <c r="H527" s="35">
        <v>1.0</v>
      </c>
      <c r="I527" s="34" t="s">
        <v>19339</v>
      </c>
      <c r="J527" s="35"/>
      <c r="K527" s="34"/>
      <c r="L527" s="35"/>
      <c r="M527" s="34"/>
      <c r="N527" s="5" t="s">
        <v>19340</v>
      </c>
      <c r="O527" s="36"/>
      <c r="P527" s="36" t="s">
        <v>20145</v>
      </c>
      <c r="Q527" s="37"/>
    </row>
    <row r="528" ht="37.5" customHeight="1">
      <c r="A528" s="32" t="s">
        <v>1790</v>
      </c>
      <c r="B528" s="33">
        <v>10.0</v>
      </c>
      <c r="C528" s="34" t="s">
        <v>19468</v>
      </c>
      <c r="D528" s="35"/>
      <c r="E528" s="34"/>
      <c r="F528" s="35"/>
      <c r="G528" s="34"/>
      <c r="H528" s="35"/>
      <c r="I528" s="34"/>
      <c r="J528" s="35"/>
      <c r="K528" s="34"/>
      <c r="L528" s="35"/>
      <c r="M528" s="34"/>
      <c r="N528" s="5" t="s">
        <v>19384</v>
      </c>
      <c r="O528" s="36"/>
      <c r="P528" s="36" t="s">
        <v>20145</v>
      </c>
      <c r="Q528" s="37"/>
    </row>
    <row r="529" ht="37.5" customHeight="1">
      <c r="A529" s="32" t="s">
        <v>1796</v>
      </c>
      <c r="B529" s="33">
        <v>10.0</v>
      </c>
      <c r="C529" s="34" t="s">
        <v>1801</v>
      </c>
      <c r="D529" s="35">
        <v>2.0</v>
      </c>
      <c r="E529" s="34" t="s">
        <v>19164</v>
      </c>
      <c r="F529" s="35"/>
      <c r="G529" s="34"/>
      <c r="H529" s="35"/>
      <c r="I529" s="34"/>
      <c r="J529" s="35"/>
      <c r="K529" s="34"/>
      <c r="L529" s="35"/>
      <c r="M529" s="34"/>
      <c r="N529" s="5" t="s">
        <v>19243</v>
      </c>
      <c r="O529" s="36"/>
      <c r="P529" s="36" t="s">
        <v>20145</v>
      </c>
      <c r="Q529" s="37"/>
    </row>
    <row r="530" ht="37.5" customHeight="1">
      <c r="A530" s="32" t="s">
        <v>1808</v>
      </c>
      <c r="B530" s="33">
        <v>1.0</v>
      </c>
      <c r="C530" s="34" t="s">
        <v>19510</v>
      </c>
      <c r="D530" s="35">
        <v>1.0</v>
      </c>
      <c r="E530" s="34" t="s">
        <v>19511</v>
      </c>
      <c r="F530" s="35">
        <v>1.0</v>
      </c>
      <c r="G530" s="34" t="s">
        <v>19512</v>
      </c>
      <c r="H530" s="35">
        <v>4.0</v>
      </c>
      <c r="I530" s="34" t="s">
        <v>19534</v>
      </c>
      <c r="J530" s="35"/>
      <c r="K530" s="34"/>
      <c r="L530" s="35"/>
      <c r="M530" s="34"/>
      <c r="N530" s="5" t="s">
        <v>19513</v>
      </c>
      <c r="O530" s="36"/>
      <c r="P530" s="36" t="s">
        <v>20145</v>
      </c>
      <c r="Q530" s="37"/>
    </row>
    <row r="531" ht="37.5" customHeight="1">
      <c r="A531" s="32" t="s">
        <v>1838</v>
      </c>
      <c r="B531" s="33">
        <v>6.0</v>
      </c>
      <c r="C531" s="34" t="s">
        <v>19511</v>
      </c>
      <c r="D531" s="35">
        <v>2.0</v>
      </c>
      <c r="E531" s="34" t="s">
        <v>19512</v>
      </c>
      <c r="F531" s="35"/>
      <c r="G531" s="34"/>
      <c r="H531" s="35"/>
      <c r="I531" s="34"/>
      <c r="J531" s="35"/>
      <c r="K531" s="34"/>
      <c r="L531" s="35"/>
      <c r="M531" s="34"/>
      <c r="N531" s="5" t="s">
        <v>19513</v>
      </c>
      <c r="O531" s="36"/>
      <c r="P531" s="36" t="s">
        <v>20145</v>
      </c>
      <c r="Q531" s="37"/>
    </row>
    <row r="532" ht="37.5" customHeight="1">
      <c r="A532" s="32" t="s">
        <v>1868</v>
      </c>
      <c r="B532" s="33">
        <v>3.0</v>
      </c>
      <c r="C532" s="34" t="s">
        <v>19455</v>
      </c>
      <c r="D532" s="35">
        <v>3.0</v>
      </c>
      <c r="E532" s="34" t="s">
        <v>19456</v>
      </c>
      <c r="F532" s="35">
        <v>3.0</v>
      </c>
      <c r="G532" s="34" t="s">
        <v>19453</v>
      </c>
      <c r="H532" s="35"/>
      <c r="I532" s="34"/>
      <c r="J532" s="35"/>
      <c r="K532" s="34"/>
      <c r="L532" s="35"/>
      <c r="M532" s="34"/>
      <c r="N532" s="5" t="s">
        <v>19384</v>
      </c>
      <c r="O532" s="36"/>
      <c r="P532" s="36" t="s">
        <v>20145</v>
      </c>
      <c r="Q532" s="37"/>
    </row>
    <row r="533" ht="37.5" customHeight="1">
      <c r="A533" s="32" t="s">
        <v>1921</v>
      </c>
      <c r="B533" s="33">
        <v>3.0</v>
      </c>
      <c r="C533" s="34" t="s">
        <v>19164</v>
      </c>
      <c r="D533" s="35"/>
      <c r="E533" s="34"/>
      <c r="F533" s="35"/>
      <c r="G533" s="34"/>
      <c r="H533" s="35"/>
      <c r="I533" s="34"/>
      <c r="J533" s="35"/>
      <c r="K533" s="34"/>
      <c r="L533" s="35"/>
      <c r="M533" s="34"/>
      <c r="N533" s="5" t="s">
        <v>19196</v>
      </c>
      <c r="O533" s="36"/>
      <c r="P533" s="36" t="s">
        <v>20145</v>
      </c>
      <c r="Q533" s="37"/>
    </row>
    <row r="534" ht="37.5" customHeight="1">
      <c r="A534" s="32" t="s">
        <v>2037</v>
      </c>
      <c r="B534" s="33">
        <v>5.0</v>
      </c>
      <c r="C534" s="34" t="s">
        <v>19122</v>
      </c>
      <c r="D534" s="35">
        <v>5.0</v>
      </c>
      <c r="E534" s="34" t="s">
        <v>19289</v>
      </c>
      <c r="F534" s="35"/>
      <c r="G534" s="34"/>
      <c r="H534" s="35"/>
      <c r="I534" s="34"/>
      <c r="J534" s="35"/>
      <c r="K534" s="34"/>
      <c r="L534" s="35"/>
      <c r="M534" s="34"/>
      <c r="N534" s="5" t="s">
        <v>59</v>
      </c>
      <c r="O534" s="36"/>
      <c r="P534" s="36" t="s">
        <v>20145</v>
      </c>
      <c r="Q534" s="37"/>
    </row>
    <row r="535" ht="37.5" customHeight="1">
      <c r="A535" s="32" t="s">
        <v>2060</v>
      </c>
      <c r="B535" s="33">
        <v>3.0</v>
      </c>
      <c r="C535" s="34" t="s">
        <v>19446</v>
      </c>
      <c r="D535" s="35">
        <v>3.0</v>
      </c>
      <c r="E535" s="34" t="s">
        <v>19445</v>
      </c>
      <c r="F535" s="35">
        <v>3.0</v>
      </c>
      <c r="G535" s="34" t="s">
        <v>19411</v>
      </c>
      <c r="H535" s="35"/>
      <c r="I535" s="34"/>
      <c r="J535" s="35"/>
      <c r="K535" s="34"/>
      <c r="L535" s="35"/>
      <c r="M535" s="34"/>
      <c r="N535" s="5" t="s">
        <v>19384</v>
      </c>
      <c r="O535" s="36"/>
      <c r="P535" s="36" t="s">
        <v>20145</v>
      </c>
      <c r="Q535" s="37"/>
    </row>
    <row r="536" ht="37.5" customHeight="1">
      <c r="A536" s="32" t="s">
        <v>2064</v>
      </c>
      <c r="B536" s="33">
        <v>3.0</v>
      </c>
      <c r="C536" s="34" t="s">
        <v>19398</v>
      </c>
      <c r="D536" s="35">
        <v>3.0</v>
      </c>
      <c r="E536" s="34" t="s">
        <v>19397</v>
      </c>
      <c r="F536" s="35">
        <v>3.0</v>
      </c>
      <c r="G536" s="34" t="s">
        <v>19396</v>
      </c>
      <c r="H536" s="35"/>
      <c r="I536" s="34"/>
      <c r="J536" s="35"/>
      <c r="K536" s="34"/>
      <c r="L536" s="35"/>
      <c r="M536" s="34"/>
      <c r="N536" s="5" t="s">
        <v>19384</v>
      </c>
      <c r="O536" s="36"/>
      <c r="P536" s="36" t="s">
        <v>20145</v>
      </c>
      <c r="Q536" s="37"/>
    </row>
    <row r="537" ht="37.5" customHeight="1">
      <c r="A537" s="32" t="s">
        <v>2072</v>
      </c>
      <c r="B537" s="33">
        <v>10.0</v>
      </c>
      <c r="C537" s="34" t="s">
        <v>19459</v>
      </c>
      <c r="D537" s="35"/>
      <c r="E537" s="34"/>
      <c r="F537" s="35"/>
      <c r="G537" s="34"/>
      <c r="H537" s="35"/>
      <c r="I537" s="34"/>
      <c r="J537" s="35"/>
      <c r="K537" s="34"/>
      <c r="L537" s="35"/>
      <c r="M537" s="34"/>
      <c r="N537" s="5" t="s">
        <v>19384</v>
      </c>
      <c r="O537" s="36"/>
      <c r="P537" s="36" t="s">
        <v>20145</v>
      </c>
      <c r="Q537" s="37"/>
    </row>
    <row r="538" ht="37.5" customHeight="1">
      <c r="A538" s="32" t="s">
        <v>2091</v>
      </c>
      <c r="B538" s="33">
        <v>3.0</v>
      </c>
      <c r="C538" s="34" t="s">
        <v>19464</v>
      </c>
      <c r="D538" s="35">
        <v>3.0</v>
      </c>
      <c r="E538" s="34" t="s">
        <v>19466</v>
      </c>
      <c r="F538" s="35">
        <v>3.0</v>
      </c>
      <c r="G538" s="34" t="s">
        <v>19465</v>
      </c>
      <c r="H538" s="35"/>
      <c r="I538" s="34"/>
      <c r="J538" s="35"/>
      <c r="K538" s="34"/>
      <c r="L538" s="35"/>
      <c r="M538" s="34"/>
      <c r="N538" s="5" t="s">
        <v>19384</v>
      </c>
      <c r="O538" s="36"/>
      <c r="P538" s="36" t="s">
        <v>20145</v>
      </c>
      <c r="Q538" s="37"/>
    </row>
    <row r="539" ht="37.5" customHeight="1">
      <c r="A539" s="32" t="s">
        <v>2102</v>
      </c>
      <c r="B539" s="33">
        <v>3.0</v>
      </c>
      <c r="C539" s="34" t="s">
        <v>19188</v>
      </c>
      <c r="D539" s="35">
        <v>2.0</v>
      </c>
      <c r="E539" s="34" t="s">
        <v>20340</v>
      </c>
      <c r="F539" s="35">
        <v>2.0</v>
      </c>
      <c r="G539" s="34" t="s">
        <v>19229</v>
      </c>
      <c r="H539" s="35"/>
      <c r="I539" s="34"/>
      <c r="J539" s="35"/>
      <c r="K539" s="34"/>
      <c r="L539" s="35"/>
      <c r="M539" s="34"/>
      <c r="N539" s="5" t="s">
        <v>19190</v>
      </c>
      <c r="O539" s="36"/>
      <c r="P539" s="36" t="s">
        <v>20145</v>
      </c>
      <c r="Q539" s="37"/>
    </row>
    <row r="540" ht="37.5" customHeight="1">
      <c r="A540" s="32" t="s">
        <v>2108</v>
      </c>
      <c r="B540" s="33">
        <v>1.0</v>
      </c>
      <c r="C540" s="34" t="s">
        <v>19181</v>
      </c>
      <c r="D540" s="35">
        <v>1.0</v>
      </c>
      <c r="E540" s="34" t="s">
        <v>19365</v>
      </c>
      <c r="F540" s="35">
        <v>1.0</v>
      </c>
      <c r="G540" s="34" t="s">
        <v>19367</v>
      </c>
      <c r="H540" s="35">
        <v>1.0</v>
      </c>
      <c r="I540" s="34" t="s">
        <v>19368</v>
      </c>
      <c r="J540" s="35">
        <v>1.0</v>
      </c>
      <c r="K540" s="34" t="s">
        <v>19180</v>
      </c>
      <c r="L540" s="35">
        <v>1.0</v>
      </c>
      <c r="M540" s="34" t="s">
        <v>19370</v>
      </c>
      <c r="N540" s="5" t="s">
        <v>19183</v>
      </c>
      <c r="O540" s="36"/>
      <c r="P540" s="36" t="s">
        <v>20145</v>
      </c>
      <c r="Q540" s="37"/>
    </row>
    <row r="541" ht="37.5" customHeight="1">
      <c r="A541" s="32" t="s">
        <v>2167</v>
      </c>
      <c r="B541" s="33">
        <v>3.0</v>
      </c>
      <c r="C541" s="34" t="s">
        <v>19404</v>
      </c>
      <c r="D541" s="35">
        <v>3.0</v>
      </c>
      <c r="E541" s="34" t="s">
        <v>19405</v>
      </c>
      <c r="F541" s="35">
        <v>3.0</v>
      </c>
      <c r="G541" s="34" t="s">
        <v>19455</v>
      </c>
      <c r="H541" s="35"/>
      <c r="I541" s="34"/>
      <c r="J541" s="35"/>
      <c r="K541" s="34"/>
      <c r="L541" s="35"/>
      <c r="M541" s="34"/>
      <c r="N541" s="5" t="s">
        <v>19384</v>
      </c>
      <c r="O541" s="36"/>
      <c r="P541" s="36" t="s">
        <v>20145</v>
      </c>
      <c r="Q541" s="37"/>
    </row>
    <row r="542" ht="37.5" customHeight="1">
      <c r="A542" s="32" t="s">
        <v>2172</v>
      </c>
      <c r="B542" s="33">
        <v>4.0</v>
      </c>
      <c r="C542" s="34" t="s">
        <v>19185</v>
      </c>
      <c r="D542" s="35"/>
      <c r="E542" s="34"/>
      <c r="F542" s="35"/>
      <c r="G542" s="34"/>
      <c r="H542" s="35"/>
      <c r="I542" s="34"/>
      <c r="J542" s="35"/>
      <c r="K542" s="34"/>
      <c r="L542" s="35"/>
      <c r="M542" s="34"/>
      <c r="N542" s="5" t="s">
        <v>19186</v>
      </c>
      <c r="O542" s="36"/>
      <c r="P542" s="36" t="s">
        <v>20145</v>
      </c>
      <c r="Q542" s="37"/>
    </row>
    <row r="543" ht="37.5" customHeight="1">
      <c r="A543" s="32" t="s">
        <v>2227</v>
      </c>
      <c r="B543" s="33">
        <v>10.0</v>
      </c>
      <c r="C543" s="34" t="s">
        <v>19188</v>
      </c>
      <c r="D543" s="35"/>
      <c r="E543" s="34"/>
      <c r="F543" s="35"/>
      <c r="G543" s="34"/>
      <c r="H543" s="35"/>
      <c r="I543" s="34"/>
      <c r="J543" s="35"/>
      <c r="K543" s="34"/>
      <c r="L543" s="35"/>
      <c r="M543" s="34"/>
      <c r="N543" s="5" t="s">
        <v>19190</v>
      </c>
      <c r="O543" s="32"/>
      <c r="P543" s="32" t="s">
        <v>20145</v>
      </c>
      <c r="Q543" s="35"/>
    </row>
    <row r="544" ht="37.5" customHeight="1">
      <c r="A544" s="32" t="s">
        <v>2397</v>
      </c>
      <c r="B544" s="33">
        <v>2.0</v>
      </c>
      <c r="C544" s="34" t="s">
        <v>19164</v>
      </c>
      <c r="D544" s="35">
        <v>1.0</v>
      </c>
      <c r="E544" s="34" t="s">
        <v>19419</v>
      </c>
      <c r="F544" s="35"/>
      <c r="G544" s="34"/>
      <c r="H544" s="35"/>
      <c r="I544" s="34"/>
      <c r="J544" s="35"/>
      <c r="K544" s="34"/>
      <c r="L544" s="35"/>
      <c r="M544" s="34"/>
      <c r="N544" s="5" t="s">
        <v>19361</v>
      </c>
      <c r="O544" s="36"/>
      <c r="P544" s="36" t="s">
        <v>20145</v>
      </c>
      <c r="Q544" s="37"/>
    </row>
    <row r="545" ht="37.5" customHeight="1">
      <c r="A545" s="32" t="s">
        <v>2434</v>
      </c>
      <c r="B545" s="33">
        <v>10.0</v>
      </c>
      <c r="C545" s="34" t="s">
        <v>19534</v>
      </c>
      <c r="D545" s="35"/>
      <c r="E545" s="34"/>
      <c r="F545" s="35"/>
      <c r="G545" s="34"/>
      <c r="H545" s="35"/>
      <c r="I545" s="34"/>
      <c r="J545" s="35"/>
      <c r="K545" s="34"/>
      <c r="L545" s="35"/>
      <c r="M545" s="34"/>
      <c r="N545" s="5" t="s">
        <v>19205</v>
      </c>
      <c r="O545" s="36"/>
      <c r="P545" s="32" t="s">
        <v>20145</v>
      </c>
      <c r="Q545" s="35"/>
    </row>
    <row r="546" ht="37.5" customHeight="1">
      <c r="A546" s="32" t="s">
        <v>2441</v>
      </c>
      <c r="B546" s="33">
        <v>2.0</v>
      </c>
      <c r="C546" s="34" t="s">
        <v>19611</v>
      </c>
      <c r="D546" s="35">
        <v>3.0</v>
      </c>
      <c r="E546" s="34" t="s">
        <v>19132</v>
      </c>
      <c r="F546" s="35">
        <v>3.0</v>
      </c>
      <c r="G546" s="34" t="s">
        <v>19534</v>
      </c>
      <c r="H546" s="35"/>
      <c r="I546" s="34"/>
      <c r="J546" s="35"/>
      <c r="K546" s="34"/>
      <c r="L546" s="35"/>
      <c r="M546" s="34"/>
      <c r="N546" s="5" t="s">
        <v>19136</v>
      </c>
      <c r="O546" s="36"/>
      <c r="P546" s="32" t="s">
        <v>20145</v>
      </c>
      <c r="Q546" s="35"/>
    </row>
    <row r="547" ht="37.5" customHeight="1">
      <c r="A547" s="32" t="s">
        <v>2457</v>
      </c>
      <c r="B547" s="33">
        <v>3.0</v>
      </c>
      <c r="C547" s="34" t="s">
        <v>19475</v>
      </c>
      <c r="D547" s="35">
        <v>3.0</v>
      </c>
      <c r="E547" s="34" t="s">
        <v>19476</v>
      </c>
      <c r="F547" s="35">
        <v>3.0</v>
      </c>
      <c r="G547" s="34" t="s">
        <v>19477</v>
      </c>
      <c r="H547" s="35"/>
      <c r="I547" s="34"/>
      <c r="J547" s="35"/>
      <c r="K547" s="34"/>
      <c r="L547" s="35"/>
      <c r="M547" s="34"/>
      <c r="N547" s="5" t="s">
        <v>19384</v>
      </c>
      <c r="O547" s="36"/>
      <c r="P547" s="32" t="s">
        <v>20145</v>
      </c>
      <c r="Q547" s="35"/>
    </row>
    <row r="548" ht="37.5" customHeight="1">
      <c r="A548" s="32" t="s">
        <v>2675</v>
      </c>
      <c r="B548" s="33">
        <v>3.0</v>
      </c>
      <c r="C548" s="34" t="s">
        <v>19480</v>
      </c>
      <c r="D548" s="35">
        <v>3.0</v>
      </c>
      <c r="E548" s="34" t="s">
        <v>19483</v>
      </c>
      <c r="F548" s="35">
        <v>3.0</v>
      </c>
      <c r="G548" s="34" t="s">
        <v>19481</v>
      </c>
      <c r="H548" s="35"/>
      <c r="I548" s="34"/>
      <c r="J548" s="35"/>
      <c r="K548" s="34"/>
      <c r="L548" s="35"/>
      <c r="M548" s="34"/>
      <c r="N548" s="5" t="s">
        <v>19384</v>
      </c>
      <c r="O548" s="36"/>
      <c r="P548" s="32" t="s">
        <v>20145</v>
      </c>
      <c r="Q548" s="35"/>
    </row>
    <row r="549" ht="37.5" customHeight="1">
      <c r="A549" s="32" t="s">
        <v>2680</v>
      </c>
      <c r="B549" s="33">
        <v>1.0</v>
      </c>
      <c r="C549" s="34" t="s">
        <v>6233</v>
      </c>
      <c r="D549" s="35">
        <v>2.0</v>
      </c>
      <c r="E549" s="34" t="s">
        <v>19303</v>
      </c>
      <c r="F549" s="35">
        <v>1.0</v>
      </c>
      <c r="G549" s="34" t="s">
        <v>19234</v>
      </c>
      <c r="H549" s="35" t="s">
        <v>19274</v>
      </c>
      <c r="I549" s="34"/>
      <c r="J549" s="35" t="s">
        <v>19274</v>
      </c>
      <c r="K549" s="34"/>
      <c r="L549" s="35" t="s">
        <v>19274</v>
      </c>
      <c r="M549" s="34"/>
      <c r="N549" s="5" t="s">
        <v>19196</v>
      </c>
      <c r="O549" s="36"/>
      <c r="P549" s="36" t="s">
        <v>20145</v>
      </c>
      <c r="Q549" s="37"/>
    </row>
    <row r="550" ht="37.5" customHeight="1">
      <c r="A550" s="32" t="s">
        <v>2706</v>
      </c>
      <c r="B550" s="33">
        <v>5.0</v>
      </c>
      <c r="C550" s="34" t="s">
        <v>19166</v>
      </c>
      <c r="D550" s="35"/>
      <c r="E550" s="34"/>
      <c r="F550" s="35"/>
      <c r="G550" s="34"/>
      <c r="H550" s="35" t="s">
        <v>19274</v>
      </c>
      <c r="I550" s="34"/>
      <c r="J550" s="35" t="s">
        <v>19274</v>
      </c>
      <c r="K550" s="34"/>
      <c r="L550" s="35" t="s">
        <v>19274</v>
      </c>
      <c r="M550" s="34"/>
      <c r="N550" s="5" t="s">
        <v>19238</v>
      </c>
      <c r="O550" s="36"/>
      <c r="P550" s="36" t="s">
        <v>20145</v>
      </c>
      <c r="Q550" s="37"/>
    </row>
    <row r="551" ht="37.5" customHeight="1">
      <c r="A551" s="32" t="s">
        <v>2807</v>
      </c>
      <c r="B551" s="33">
        <v>20.0</v>
      </c>
      <c r="C551" s="34" t="s">
        <v>339</v>
      </c>
      <c r="D551" s="35"/>
      <c r="E551" s="34"/>
      <c r="F551" s="35"/>
      <c r="G551" s="34"/>
      <c r="H551" s="35"/>
      <c r="I551" s="34"/>
      <c r="J551" s="35"/>
      <c r="K551" s="34"/>
      <c r="L551" s="35"/>
      <c r="M551" s="34"/>
      <c r="N551" s="5" t="s">
        <v>19205</v>
      </c>
      <c r="O551" s="36"/>
      <c r="P551" s="36" t="s">
        <v>20408</v>
      </c>
      <c r="Q551" s="37"/>
    </row>
    <row r="552" ht="37.5" customHeight="1">
      <c r="A552" s="32" t="s">
        <v>2836</v>
      </c>
      <c r="B552" s="33">
        <v>10.0</v>
      </c>
      <c r="C552" s="34" t="s">
        <v>19172</v>
      </c>
      <c r="D552" s="35">
        <v>5.0</v>
      </c>
      <c r="E552" s="34" t="s">
        <v>19164</v>
      </c>
      <c r="F552" s="35">
        <v>5.0</v>
      </c>
      <c r="G552" s="34" t="s">
        <v>19122</v>
      </c>
      <c r="H552" s="35"/>
      <c r="I552" s="34"/>
      <c r="J552" s="35"/>
      <c r="K552" s="34"/>
      <c r="L552" s="35"/>
      <c r="M552" s="34"/>
      <c r="N552" s="5" t="s">
        <v>19177</v>
      </c>
      <c r="O552" s="36"/>
      <c r="P552" s="36" t="s">
        <v>20408</v>
      </c>
      <c r="Q552" s="37"/>
    </row>
    <row r="553" ht="37.5" customHeight="1">
      <c r="A553" s="32" t="s">
        <v>2852</v>
      </c>
      <c r="B553" s="33">
        <v>15.0</v>
      </c>
      <c r="C553" s="34" t="s">
        <v>19280</v>
      </c>
      <c r="D553" s="35"/>
      <c r="E553" s="34"/>
      <c r="F553" s="35"/>
      <c r="G553" s="34"/>
      <c r="H553" s="35"/>
      <c r="I553" s="34"/>
      <c r="J553" s="35"/>
      <c r="K553" s="34"/>
      <c r="L553" s="35"/>
      <c r="M553" s="34"/>
      <c r="N553" s="5" t="s">
        <v>19238</v>
      </c>
      <c r="O553" s="36"/>
      <c r="P553" s="36" t="s">
        <v>20408</v>
      </c>
      <c r="Q553" s="37"/>
    </row>
    <row r="554" ht="37.5" customHeight="1">
      <c r="A554" s="36" t="s">
        <v>2859</v>
      </c>
      <c r="B554" s="33">
        <v>7.0</v>
      </c>
      <c r="C554" s="34" t="s">
        <v>19138</v>
      </c>
      <c r="D554" s="35">
        <v>3.0</v>
      </c>
      <c r="E554" s="34" t="s">
        <v>19760</v>
      </c>
      <c r="F554" s="35"/>
      <c r="G554" s="34"/>
      <c r="H554" s="35"/>
      <c r="I554" s="34"/>
      <c r="J554" s="35"/>
      <c r="K554" s="34"/>
      <c r="L554" s="35"/>
      <c r="M554" s="34"/>
      <c r="N554" s="5" t="s">
        <v>19139</v>
      </c>
      <c r="O554" s="36"/>
      <c r="P554" s="36" t="s">
        <v>20408</v>
      </c>
      <c r="Q554" s="37"/>
    </row>
    <row r="555" ht="37.5" customHeight="1">
      <c r="A555" s="32" t="s">
        <v>3092</v>
      </c>
      <c r="B555" s="33">
        <v>15.0</v>
      </c>
      <c r="C555" s="34" t="s">
        <v>19303</v>
      </c>
      <c r="D555" s="35"/>
      <c r="E555" s="34"/>
      <c r="F555" s="35"/>
      <c r="G555" s="34"/>
      <c r="H555" s="35"/>
      <c r="I555" s="34"/>
      <c r="J555" s="35"/>
      <c r="K555" s="34"/>
      <c r="L555" s="35"/>
      <c r="M555" s="34"/>
      <c r="N555" s="5" t="s">
        <v>19205</v>
      </c>
      <c r="O555" s="36"/>
      <c r="P555" s="36" t="s">
        <v>20408</v>
      </c>
      <c r="Q555" s="37"/>
    </row>
    <row r="556" ht="37.5" customHeight="1">
      <c r="A556" s="32" t="s">
        <v>3116</v>
      </c>
      <c r="B556" s="33">
        <v>2.0</v>
      </c>
      <c r="C556" s="34" t="s">
        <v>19142</v>
      </c>
      <c r="D556" s="35">
        <v>2.0</v>
      </c>
      <c r="E556" s="34" t="s">
        <v>19144</v>
      </c>
      <c r="F556" s="35">
        <v>2.0</v>
      </c>
      <c r="G556" s="34" t="s">
        <v>19145</v>
      </c>
      <c r="H556" s="35">
        <v>2.0</v>
      </c>
      <c r="I556" s="34" t="s">
        <v>19146</v>
      </c>
      <c r="J556" s="35">
        <v>2.0</v>
      </c>
      <c r="K556" s="34" t="s">
        <v>19147</v>
      </c>
      <c r="L556" s="35">
        <v>2.0</v>
      </c>
      <c r="M556" s="34" t="s">
        <v>19148</v>
      </c>
      <c r="N556" s="38" t="s">
        <v>19294</v>
      </c>
      <c r="O556" s="36"/>
      <c r="P556" s="36" t="s">
        <v>20408</v>
      </c>
      <c r="Q556" s="37"/>
    </row>
    <row r="557" ht="37.5" customHeight="1">
      <c r="A557" s="32" t="s">
        <v>3128</v>
      </c>
      <c r="B557" s="33">
        <v>15.0</v>
      </c>
      <c r="C557" s="34" t="s">
        <v>19166</v>
      </c>
      <c r="D557" s="35"/>
      <c r="E557" s="34"/>
      <c r="F557" s="35"/>
      <c r="G557" s="34"/>
      <c r="H557" s="35"/>
      <c r="I557" s="34"/>
      <c r="J557" s="35"/>
      <c r="K557" s="34"/>
      <c r="L557" s="35"/>
      <c r="M557" s="34"/>
      <c r="N557" s="5" t="s">
        <v>19196</v>
      </c>
      <c r="O557" s="36"/>
      <c r="P557" s="36" t="s">
        <v>20408</v>
      </c>
      <c r="Q557" s="37"/>
    </row>
    <row r="558" ht="37.5" customHeight="1">
      <c r="A558" s="32" t="s">
        <v>3148</v>
      </c>
      <c r="B558" s="33">
        <v>20.0</v>
      </c>
      <c r="C558" s="34" t="s">
        <v>501</v>
      </c>
      <c r="D558" s="35"/>
      <c r="E558" s="34"/>
      <c r="F558" s="35"/>
      <c r="G558" s="34"/>
      <c r="H558" s="35"/>
      <c r="I558" s="34"/>
      <c r="J558" s="35"/>
      <c r="K558" s="34"/>
      <c r="L558" s="35"/>
      <c r="M558" s="34"/>
      <c r="N558" s="5" t="s">
        <v>19196</v>
      </c>
      <c r="O558" s="36"/>
      <c r="P558" s="36" t="s">
        <v>20408</v>
      </c>
      <c r="Q558" s="37"/>
    </row>
    <row r="559" ht="37.5" customHeight="1">
      <c r="A559" s="32" t="s">
        <v>3154</v>
      </c>
      <c r="B559" s="33">
        <v>10.0</v>
      </c>
      <c r="C559" s="34" t="s">
        <v>19153</v>
      </c>
      <c r="D559" s="35">
        <v>5.0</v>
      </c>
      <c r="E559" s="34" t="s">
        <v>19166</v>
      </c>
      <c r="F559" s="35"/>
      <c r="G559" s="34"/>
      <c r="H559" s="35"/>
      <c r="I559" s="34"/>
      <c r="J559" s="35"/>
      <c r="K559" s="34"/>
      <c r="L559" s="35"/>
      <c r="M559" s="34"/>
      <c r="N559" s="5" t="s">
        <v>19157</v>
      </c>
      <c r="O559" s="36"/>
      <c r="P559" s="36" t="s">
        <v>20408</v>
      </c>
      <c r="Q559" s="37"/>
    </row>
    <row r="560" ht="37.5" customHeight="1">
      <c r="A560" s="32" t="s">
        <v>3178</v>
      </c>
      <c r="B560" s="33">
        <v>15.0</v>
      </c>
      <c r="C560" s="34" t="s">
        <v>19303</v>
      </c>
      <c r="D560" s="35"/>
      <c r="E560" s="34"/>
      <c r="F560" s="35"/>
      <c r="G560" s="34"/>
      <c r="H560" s="35"/>
      <c r="I560" s="34"/>
      <c r="J560" s="35"/>
      <c r="K560" s="34"/>
      <c r="L560" s="35"/>
      <c r="M560" s="34"/>
      <c r="N560" s="5" t="s">
        <v>19232</v>
      </c>
      <c r="O560" s="36"/>
      <c r="P560" s="36" t="s">
        <v>20408</v>
      </c>
      <c r="Q560" s="37"/>
    </row>
    <row r="561" ht="37.5" customHeight="1">
      <c r="A561" s="32" t="s">
        <v>3193</v>
      </c>
      <c r="B561" s="33">
        <v>10.0</v>
      </c>
      <c r="C561" s="34" t="s">
        <v>660</v>
      </c>
      <c r="D561" s="35"/>
      <c r="E561" s="34"/>
      <c r="F561" s="35"/>
      <c r="G561" s="34"/>
      <c r="H561" s="35"/>
      <c r="I561" s="34"/>
      <c r="J561" s="35"/>
      <c r="K561" s="34"/>
      <c r="L561" s="35"/>
      <c r="M561" s="34"/>
      <c r="N561" s="5" t="s">
        <v>19161</v>
      </c>
      <c r="O561" s="36"/>
      <c r="P561" s="36" t="s">
        <v>20408</v>
      </c>
      <c r="Q561" s="37"/>
    </row>
    <row r="562" ht="37.5" customHeight="1">
      <c r="A562" s="32" t="s">
        <v>3248</v>
      </c>
      <c r="B562" s="33">
        <v>15.0</v>
      </c>
      <c r="C562" s="34" t="s">
        <v>19164</v>
      </c>
      <c r="D562" s="35"/>
      <c r="E562" s="34"/>
      <c r="F562" s="35"/>
      <c r="G562" s="34"/>
      <c r="H562" s="35"/>
      <c r="I562" s="34"/>
      <c r="J562" s="35"/>
      <c r="K562" s="34"/>
      <c r="L562" s="35"/>
      <c r="M562" s="34"/>
      <c r="N562" s="5" t="s">
        <v>19205</v>
      </c>
      <c r="O562" s="36"/>
      <c r="P562" s="32" t="s">
        <v>20408</v>
      </c>
      <c r="Q562" s="35"/>
    </row>
    <row r="563" ht="37.5" customHeight="1">
      <c r="A563" s="32" t="s">
        <v>3284</v>
      </c>
      <c r="B563" s="33">
        <v>2.0</v>
      </c>
      <c r="C563" s="34" t="s">
        <v>20469</v>
      </c>
      <c r="D563" s="35">
        <v>2.0</v>
      </c>
      <c r="E563" s="34" t="s">
        <v>19337</v>
      </c>
      <c r="F563" s="35">
        <v>2.0</v>
      </c>
      <c r="G563" s="34" t="s">
        <v>19338</v>
      </c>
      <c r="H563" s="35">
        <v>2.0</v>
      </c>
      <c r="I563" s="34" t="s">
        <v>19339</v>
      </c>
      <c r="J563" s="35">
        <v>10.0</v>
      </c>
      <c r="K563" s="34" t="s">
        <v>19164</v>
      </c>
      <c r="L563" s="35"/>
      <c r="M563" s="34"/>
      <c r="N563" s="5" t="s">
        <v>19340</v>
      </c>
      <c r="O563" s="36"/>
      <c r="P563" s="36" t="s">
        <v>20408</v>
      </c>
      <c r="Q563" s="37"/>
    </row>
    <row r="564" ht="37.5" customHeight="1">
      <c r="A564" s="32" t="s">
        <v>3296</v>
      </c>
      <c r="B564" s="33">
        <v>2.0</v>
      </c>
      <c r="C564" s="34" t="s">
        <v>19345</v>
      </c>
      <c r="D564" s="35">
        <v>2.0</v>
      </c>
      <c r="E564" s="34" t="s">
        <v>19346</v>
      </c>
      <c r="F564" s="35">
        <v>2.0</v>
      </c>
      <c r="G564" s="34" t="s">
        <v>19347</v>
      </c>
      <c r="H564" s="35"/>
      <c r="I564" s="34"/>
      <c r="J564" s="35"/>
      <c r="K564" s="34"/>
      <c r="L564" s="35"/>
      <c r="M564" s="34"/>
      <c r="N564" s="5" t="s">
        <v>19348</v>
      </c>
      <c r="O564" s="36"/>
      <c r="P564" s="36" t="s">
        <v>20408</v>
      </c>
      <c r="Q564" s="37"/>
    </row>
    <row r="565" ht="37.5" customHeight="1">
      <c r="A565" s="32" t="s">
        <v>3300</v>
      </c>
      <c r="B565" s="33">
        <v>2.0</v>
      </c>
      <c r="C565" s="34" t="s">
        <v>19229</v>
      </c>
      <c r="D565" s="35">
        <v>1.0</v>
      </c>
      <c r="E565" s="34" t="s">
        <v>3752</v>
      </c>
      <c r="F565" s="35"/>
      <c r="G565" s="34"/>
      <c r="H565" s="35"/>
      <c r="I565" s="34"/>
      <c r="J565" s="35"/>
      <c r="K565" s="34"/>
      <c r="L565" s="35"/>
      <c r="M565" s="34"/>
      <c r="N565" s="5" t="s">
        <v>19232</v>
      </c>
      <c r="O565" s="36"/>
      <c r="P565" s="36" t="s">
        <v>20408</v>
      </c>
      <c r="Q565" s="37"/>
    </row>
    <row r="566" ht="37.5" customHeight="1">
      <c r="A566" s="32" t="s">
        <v>3305</v>
      </c>
      <c r="B566" s="33">
        <v>4.0</v>
      </c>
      <c r="C566" s="34" t="s">
        <v>19229</v>
      </c>
      <c r="D566" s="35"/>
      <c r="E566" s="34"/>
      <c r="F566" s="35"/>
      <c r="G566" s="34"/>
      <c r="H566" s="35"/>
      <c r="I566" s="34"/>
      <c r="J566" s="35"/>
      <c r="K566" s="34"/>
      <c r="L566" s="35"/>
      <c r="M566" s="34"/>
      <c r="N566" s="5" t="s">
        <v>19232</v>
      </c>
      <c r="O566" s="36"/>
      <c r="P566" s="36" t="s">
        <v>20408</v>
      </c>
      <c r="Q566" s="37"/>
    </row>
    <row r="567" ht="37.5" customHeight="1">
      <c r="A567" s="32" t="s">
        <v>3389</v>
      </c>
      <c r="B567" s="33">
        <v>6.0</v>
      </c>
      <c r="C567" s="34" t="s">
        <v>19349</v>
      </c>
      <c r="D567" s="35"/>
      <c r="E567" s="34"/>
      <c r="F567" s="35"/>
      <c r="G567" s="34"/>
      <c r="H567" s="35"/>
      <c r="I567" s="34"/>
      <c r="J567" s="35"/>
      <c r="K567" s="34"/>
      <c r="L567" s="35"/>
      <c r="M567" s="34"/>
      <c r="N567" s="5" t="s">
        <v>19128</v>
      </c>
      <c r="O567" s="36"/>
      <c r="P567" s="32" t="s">
        <v>20408</v>
      </c>
      <c r="Q567" s="35"/>
    </row>
    <row r="568" ht="37.5" customHeight="1">
      <c r="A568" s="32" t="s">
        <v>3396</v>
      </c>
      <c r="B568" s="33">
        <v>1.0</v>
      </c>
      <c r="C568" s="34" t="s">
        <v>19352</v>
      </c>
      <c r="D568" s="35">
        <v>8.0</v>
      </c>
      <c r="E568" s="34" t="s">
        <v>19185</v>
      </c>
      <c r="F568" s="35"/>
      <c r="G568" s="34"/>
      <c r="H568" s="35"/>
      <c r="I568" s="34"/>
      <c r="J568" s="35"/>
      <c r="K568" s="34"/>
      <c r="L568" s="35"/>
      <c r="M568" s="34"/>
      <c r="N568" s="5" t="s">
        <v>19353</v>
      </c>
      <c r="O568" s="36"/>
      <c r="P568" s="36" t="s">
        <v>20408</v>
      </c>
      <c r="Q568" s="37"/>
    </row>
    <row r="569" ht="37.5" customHeight="1">
      <c r="A569" s="32" t="s">
        <v>3402</v>
      </c>
      <c r="B569" s="33">
        <v>1.0</v>
      </c>
      <c r="C569" s="34" t="s">
        <v>19352</v>
      </c>
      <c r="D569" s="35">
        <v>8.0</v>
      </c>
      <c r="E569" s="34" t="s">
        <v>19185</v>
      </c>
      <c r="F569" s="35"/>
      <c r="G569" s="34"/>
      <c r="H569" s="35"/>
      <c r="I569" s="34"/>
      <c r="J569" s="35"/>
      <c r="K569" s="34"/>
      <c r="L569" s="35"/>
      <c r="M569" s="34"/>
      <c r="N569" s="5" t="s">
        <v>19186</v>
      </c>
      <c r="O569" s="36"/>
      <c r="P569" s="36" t="s">
        <v>20408</v>
      </c>
      <c r="Q569" s="37"/>
    </row>
    <row r="570" ht="37.5" customHeight="1">
      <c r="A570" s="32" t="s">
        <v>3422</v>
      </c>
      <c r="B570" s="33">
        <v>5.0</v>
      </c>
      <c r="C570" s="34" t="s">
        <v>19510</v>
      </c>
      <c r="D570" s="35">
        <v>5.0</v>
      </c>
      <c r="E570" s="34" t="s">
        <v>19511</v>
      </c>
      <c r="F570" s="35">
        <v>5.0</v>
      </c>
      <c r="G570" s="34" t="s">
        <v>19512</v>
      </c>
      <c r="H570" s="35">
        <v>5.0</v>
      </c>
      <c r="I570" s="34" t="s">
        <v>19289</v>
      </c>
      <c r="J570" s="35"/>
      <c r="K570" s="34"/>
      <c r="L570" s="35"/>
      <c r="M570" s="34"/>
      <c r="N570" s="5" t="s">
        <v>19513</v>
      </c>
      <c r="O570" s="36"/>
      <c r="P570" s="36" t="s">
        <v>20408</v>
      </c>
      <c r="Q570" s="37"/>
    </row>
    <row r="571" ht="37.5" customHeight="1">
      <c r="A571" s="32" t="s">
        <v>3426</v>
      </c>
      <c r="B571" s="33">
        <v>15.0</v>
      </c>
      <c r="C571" s="34" t="s">
        <v>19122</v>
      </c>
      <c r="D571" s="35">
        <v>3.0</v>
      </c>
      <c r="E571" s="34" t="s">
        <v>19164</v>
      </c>
      <c r="F571" s="35">
        <v>3.0</v>
      </c>
      <c r="G571" s="34" t="s">
        <v>19166</v>
      </c>
      <c r="H571" s="35">
        <v>3.0</v>
      </c>
      <c r="I571" s="34" t="s">
        <v>19303</v>
      </c>
      <c r="J571" s="35"/>
      <c r="K571" s="34"/>
      <c r="L571" s="35"/>
      <c r="M571" s="34"/>
      <c r="N571" s="5" t="s">
        <v>19128</v>
      </c>
      <c r="O571" s="36"/>
      <c r="P571" s="36" t="s">
        <v>20408</v>
      </c>
      <c r="Q571" s="37"/>
    </row>
    <row r="572" ht="37.5" customHeight="1">
      <c r="A572" s="32" t="s">
        <v>3447</v>
      </c>
      <c r="B572" s="33">
        <v>10.0</v>
      </c>
      <c r="C572" s="34" t="s">
        <v>2763</v>
      </c>
      <c r="D572" s="35"/>
      <c r="E572" s="34"/>
      <c r="F572" s="35"/>
      <c r="G572" s="34"/>
      <c r="H572" s="35"/>
      <c r="I572" s="34"/>
      <c r="J572" s="35"/>
      <c r="K572" s="34"/>
      <c r="L572" s="35"/>
      <c r="M572" s="34"/>
      <c r="N572" s="5" t="s">
        <v>19196</v>
      </c>
      <c r="O572" s="36"/>
      <c r="P572" s="36" t="s">
        <v>20408</v>
      </c>
      <c r="Q572" s="37"/>
    </row>
    <row r="573" ht="37.5" customHeight="1">
      <c r="A573" s="32" t="s">
        <v>3486</v>
      </c>
      <c r="B573" s="33">
        <v>5.0</v>
      </c>
      <c r="C573" s="34" t="s">
        <v>19164</v>
      </c>
      <c r="D573" s="35">
        <v>5.0</v>
      </c>
      <c r="E573" s="34" t="s">
        <v>19303</v>
      </c>
      <c r="F573" s="35">
        <v>5.0</v>
      </c>
      <c r="G573" s="34" t="s">
        <v>19166</v>
      </c>
      <c r="H573" s="35"/>
      <c r="I573" s="34"/>
      <c r="J573" s="35"/>
      <c r="K573" s="34"/>
      <c r="L573" s="35"/>
      <c r="M573" s="34"/>
      <c r="N573" s="5" t="s">
        <v>19361</v>
      </c>
      <c r="O573" s="36"/>
      <c r="P573" s="36" t="s">
        <v>20408</v>
      </c>
      <c r="Q573" s="37"/>
    </row>
    <row r="574" ht="37.5" customHeight="1">
      <c r="A574" s="32" t="s">
        <v>3513</v>
      </c>
      <c r="B574" s="33">
        <v>1.0</v>
      </c>
      <c r="C574" s="34" t="s">
        <v>20469</v>
      </c>
      <c r="D574" s="35">
        <v>1.0</v>
      </c>
      <c r="E574" s="34" t="s">
        <v>19337</v>
      </c>
      <c r="F574" s="35">
        <v>1.0</v>
      </c>
      <c r="G574" s="34" t="s">
        <v>19338</v>
      </c>
      <c r="H574" s="35">
        <v>1.0</v>
      </c>
      <c r="I574" s="34" t="s">
        <v>19339</v>
      </c>
      <c r="J574" s="35"/>
      <c r="K574" s="34"/>
      <c r="L574" s="35"/>
      <c r="M574" s="34"/>
      <c r="N574" s="5" t="s">
        <v>19340</v>
      </c>
      <c r="O574" s="36"/>
      <c r="P574" s="36" t="s">
        <v>20408</v>
      </c>
      <c r="Q574" s="37"/>
    </row>
    <row r="575" ht="37.5" customHeight="1">
      <c r="A575" s="32" t="s">
        <v>3548</v>
      </c>
      <c r="B575" s="33">
        <v>20.0</v>
      </c>
      <c r="C575" s="34" t="s">
        <v>1801</v>
      </c>
      <c r="D575" s="35"/>
      <c r="E575" s="34"/>
      <c r="F575" s="35"/>
      <c r="G575" s="34"/>
      <c r="H575" s="35"/>
      <c r="I575" s="34"/>
      <c r="J575" s="35"/>
      <c r="K575" s="34"/>
      <c r="L575" s="35"/>
      <c r="M575" s="34"/>
      <c r="N575" s="5" t="s">
        <v>19243</v>
      </c>
      <c r="O575" s="36"/>
      <c r="P575" s="32" t="s">
        <v>20408</v>
      </c>
      <c r="Q575" s="35"/>
    </row>
    <row r="576" ht="37.5" customHeight="1">
      <c r="A576" s="32" t="s">
        <v>3585</v>
      </c>
      <c r="B576" s="33">
        <v>6.0</v>
      </c>
      <c r="C576" s="34" t="s">
        <v>4063</v>
      </c>
      <c r="D576" s="35"/>
      <c r="E576" s="34"/>
      <c r="F576" s="35"/>
      <c r="G576" s="34"/>
      <c r="H576" s="35"/>
      <c r="I576" s="34"/>
      <c r="J576" s="35"/>
      <c r="K576" s="34"/>
      <c r="L576" s="35"/>
      <c r="M576" s="34"/>
      <c r="N576" s="5" t="s">
        <v>19161</v>
      </c>
      <c r="O576" s="36"/>
      <c r="P576" s="36" t="s">
        <v>20408</v>
      </c>
      <c r="Q576" s="37"/>
    </row>
    <row r="577" ht="37.5" customHeight="1">
      <c r="A577" s="32" t="s">
        <v>3589</v>
      </c>
      <c r="B577" s="33">
        <v>20.0</v>
      </c>
      <c r="C577" s="34" t="s">
        <v>9827</v>
      </c>
      <c r="D577" s="35"/>
      <c r="E577" s="34"/>
      <c r="F577" s="35"/>
      <c r="G577" s="34"/>
      <c r="H577" s="35"/>
      <c r="I577" s="34"/>
      <c r="J577" s="35"/>
      <c r="K577" s="34"/>
      <c r="L577" s="35"/>
      <c r="M577" s="34"/>
      <c r="N577" s="5" t="s">
        <v>19128</v>
      </c>
      <c r="O577" s="36"/>
      <c r="P577" s="36" t="s">
        <v>20408</v>
      </c>
      <c r="Q577" s="37"/>
    </row>
    <row r="578" ht="37.5" customHeight="1">
      <c r="A578" s="32" t="s">
        <v>3740</v>
      </c>
      <c r="B578" s="33">
        <v>5.0</v>
      </c>
      <c r="C578" s="34" t="s">
        <v>12762</v>
      </c>
      <c r="D578" s="35">
        <v>5.0</v>
      </c>
      <c r="E578" s="34" t="s">
        <v>19289</v>
      </c>
      <c r="F578" s="35"/>
      <c r="G578" s="34"/>
      <c r="H578" s="35"/>
      <c r="I578" s="34"/>
      <c r="J578" s="35"/>
      <c r="K578" s="34"/>
      <c r="L578" s="35"/>
      <c r="M578" s="34"/>
      <c r="N578" s="5" t="s">
        <v>19361</v>
      </c>
      <c r="O578" s="36"/>
      <c r="P578" s="32" t="s">
        <v>20408</v>
      </c>
      <c r="Q578" s="35"/>
    </row>
    <row r="579" ht="37.5" customHeight="1">
      <c r="A579" s="32" t="s">
        <v>3746</v>
      </c>
      <c r="B579" s="33">
        <v>5.0</v>
      </c>
      <c r="C579" s="34" t="s">
        <v>19153</v>
      </c>
      <c r="D579" s="35">
        <v>10.0</v>
      </c>
      <c r="E579" s="34" t="s">
        <v>19164</v>
      </c>
      <c r="F579" s="35"/>
      <c r="G579" s="34"/>
      <c r="H579" s="35"/>
      <c r="I579" s="34"/>
      <c r="J579" s="35"/>
      <c r="K579" s="34"/>
      <c r="L579" s="35"/>
      <c r="M579" s="34"/>
      <c r="N579" s="5" t="s">
        <v>19157</v>
      </c>
      <c r="O579" s="36"/>
      <c r="P579" s="36" t="s">
        <v>20408</v>
      </c>
      <c r="Q579" s="37"/>
    </row>
    <row r="580" ht="37.5" customHeight="1">
      <c r="A580" s="32" t="s">
        <v>3750</v>
      </c>
      <c r="B580" s="33">
        <v>5.0</v>
      </c>
      <c r="C580" s="34" t="s">
        <v>19188</v>
      </c>
      <c r="D580" s="35">
        <v>1.0</v>
      </c>
      <c r="E580" s="34" t="s">
        <v>19342</v>
      </c>
      <c r="F580" s="35"/>
      <c r="G580" s="34"/>
      <c r="H580" s="35"/>
      <c r="I580" s="34"/>
      <c r="J580" s="35"/>
      <c r="K580" s="34"/>
      <c r="L580" s="35"/>
      <c r="M580" s="34"/>
      <c r="N580" s="5" t="s">
        <v>19190</v>
      </c>
      <c r="O580" s="36"/>
      <c r="P580" s="36" t="s">
        <v>20408</v>
      </c>
      <c r="Q580" s="37"/>
    </row>
    <row r="581" ht="37.5" customHeight="1">
      <c r="A581" s="32" t="s">
        <v>3779</v>
      </c>
      <c r="B581" s="33">
        <v>8.0</v>
      </c>
      <c r="C581" s="34" t="s">
        <v>19185</v>
      </c>
      <c r="D581" s="35"/>
      <c r="E581" s="34"/>
      <c r="F581" s="35"/>
      <c r="G581" s="34"/>
      <c r="H581" s="35"/>
      <c r="I581" s="34"/>
      <c r="J581" s="35"/>
      <c r="K581" s="34"/>
      <c r="L581" s="35"/>
      <c r="M581" s="34"/>
      <c r="N581" s="5" t="s">
        <v>19186</v>
      </c>
      <c r="O581" s="36"/>
      <c r="P581" s="36" t="s">
        <v>20408</v>
      </c>
      <c r="Q581" s="37"/>
    </row>
    <row r="582" ht="37.5" customHeight="1">
      <c r="A582" s="32" t="s">
        <v>3797</v>
      </c>
      <c r="B582" s="33">
        <v>12.0</v>
      </c>
      <c r="C582" s="34" t="s">
        <v>19185</v>
      </c>
      <c r="D582" s="35"/>
      <c r="E582" s="34"/>
      <c r="F582" s="35"/>
      <c r="G582" s="34"/>
      <c r="H582" s="35"/>
      <c r="I582" s="34"/>
      <c r="J582" s="35"/>
      <c r="K582" s="34"/>
      <c r="L582" s="35"/>
      <c r="M582" s="34"/>
      <c r="N582" s="5" t="s">
        <v>19186</v>
      </c>
      <c r="O582" s="36"/>
      <c r="P582" s="32" t="s">
        <v>20408</v>
      </c>
      <c r="Q582" s="35"/>
    </row>
    <row r="583" ht="37.5" customHeight="1">
      <c r="A583" s="32" t="s">
        <v>3804</v>
      </c>
      <c r="B583" s="33">
        <v>15.0</v>
      </c>
      <c r="C583" s="34" t="s">
        <v>19166</v>
      </c>
      <c r="D583" s="35"/>
      <c r="E583" s="34"/>
      <c r="F583" s="35"/>
      <c r="G583" s="34"/>
      <c r="H583" s="35"/>
      <c r="I583" s="34"/>
      <c r="J583" s="35"/>
      <c r="K583" s="34"/>
      <c r="L583" s="35"/>
      <c r="M583" s="34"/>
      <c r="N583" s="5" t="s">
        <v>19128</v>
      </c>
      <c r="O583" s="36"/>
      <c r="P583" s="36" t="s">
        <v>20408</v>
      </c>
      <c r="Q583" s="37"/>
    </row>
    <row r="584" ht="37.5" customHeight="1">
      <c r="A584" s="32" t="s">
        <v>3816</v>
      </c>
      <c r="B584" s="33">
        <v>5.0</v>
      </c>
      <c r="C584" s="34" t="s">
        <v>19188</v>
      </c>
      <c r="D584" s="35">
        <v>1.0</v>
      </c>
      <c r="E584" s="34" t="s">
        <v>19342</v>
      </c>
      <c r="F584" s="35"/>
      <c r="G584" s="34"/>
      <c r="H584" s="35"/>
      <c r="I584" s="34"/>
      <c r="J584" s="35"/>
      <c r="K584" s="34"/>
      <c r="L584" s="35"/>
      <c r="M584" s="34"/>
      <c r="N584" s="5" t="s">
        <v>19190</v>
      </c>
      <c r="O584" s="32"/>
      <c r="P584" s="32" t="s">
        <v>20408</v>
      </c>
      <c r="Q584" s="35"/>
    </row>
    <row r="585" ht="37.5" customHeight="1">
      <c r="A585" s="32" t="s">
        <v>3820</v>
      </c>
      <c r="B585" s="33">
        <v>5.0</v>
      </c>
      <c r="C585" s="34" t="s">
        <v>19188</v>
      </c>
      <c r="D585" s="35">
        <v>1.0</v>
      </c>
      <c r="E585" s="34" t="s">
        <v>19342</v>
      </c>
      <c r="F585" s="35"/>
      <c r="G585" s="34"/>
      <c r="H585" s="35"/>
      <c r="I585" s="34"/>
      <c r="J585" s="35"/>
      <c r="K585" s="34"/>
      <c r="L585" s="35"/>
      <c r="M585" s="34"/>
      <c r="N585" s="5" t="s">
        <v>19190</v>
      </c>
      <c r="O585" s="32"/>
      <c r="P585" s="32" t="s">
        <v>20408</v>
      </c>
      <c r="Q585" s="35"/>
    </row>
    <row r="586" ht="37.5" customHeight="1">
      <c r="A586" s="32" t="s">
        <v>3829</v>
      </c>
      <c r="B586" s="33">
        <v>8.0</v>
      </c>
      <c r="C586" s="34" t="s">
        <v>19234</v>
      </c>
      <c r="D586" s="35"/>
      <c r="E586" s="34"/>
      <c r="F586" s="35"/>
      <c r="G586" s="34"/>
      <c r="H586" s="35"/>
      <c r="I586" s="34"/>
      <c r="J586" s="35"/>
      <c r="K586" s="34"/>
      <c r="L586" s="35"/>
      <c r="M586" s="34"/>
      <c r="N586" s="5" t="s">
        <v>19232</v>
      </c>
      <c r="O586" s="36"/>
      <c r="P586" s="36" t="s">
        <v>20408</v>
      </c>
      <c r="Q586" s="37"/>
    </row>
    <row r="587" ht="37.5" customHeight="1">
      <c r="A587" s="32" t="s">
        <v>3833</v>
      </c>
      <c r="B587" s="33">
        <v>10.0</v>
      </c>
      <c r="C587" s="34" t="s">
        <v>12762</v>
      </c>
      <c r="D587" s="35"/>
      <c r="E587" s="34"/>
      <c r="F587" s="35"/>
      <c r="G587" s="34"/>
      <c r="H587" s="35"/>
      <c r="I587" s="34"/>
      <c r="J587" s="35"/>
      <c r="K587" s="34"/>
      <c r="L587" s="35"/>
      <c r="M587" s="34"/>
      <c r="N587" s="5" t="s">
        <v>19232</v>
      </c>
      <c r="O587" s="36"/>
      <c r="P587" s="36" t="s">
        <v>20408</v>
      </c>
      <c r="Q587" s="37"/>
    </row>
    <row r="588" ht="37.5" customHeight="1">
      <c r="A588" s="32" t="s">
        <v>3864</v>
      </c>
      <c r="B588" s="33">
        <v>5.0</v>
      </c>
      <c r="C588" s="34" t="s">
        <v>19181</v>
      </c>
      <c r="D588" s="35"/>
      <c r="E588" s="34"/>
      <c r="F588" s="35"/>
      <c r="G588" s="34"/>
      <c r="H588" s="35"/>
      <c r="I588" s="34"/>
      <c r="J588" s="35"/>
      <c r="K588" s="34"/>
      <c r="L588" s="35"/>
      <c r="M588" s="34"/>
      <c r="N588" s="5" t="s">
        <v>19183</v>
      </c>
      <c r="O588" s="36"/>
      <c r="P588" s="36" t="s">
        <v>20408</v>
      </c>
      <c r="Q588" s="37"/>
    </row>
    <row r="589" ht="37.5" customHeight="1">
      <c r="A589" s="32" t="s">
        <v>3870</v>
      </c>
      <c r="B589" s="33">
        <v>3.0</v>
      </c>
      <c r="C589" s="34" t="s">
        <v>19181</v>
      </c>
      <c r="D589" s="35">
        <v>5.0</v>
      </c>
      <c r="E589" s="34" t="s">
        <v>19368</v>
      </c>
      <c r="F589" s="35"/>
      <c r="G589" s="34"/>
      <c r="H589" s="35"/>
      <c r="I589" s="34"/>
      <c r="J589" s="35"/>
      <c r="K589" s="34"/>
      <c r="L589" s="35"/>
      <c r="M589" s="34"/>
      <c r="N589" s="5" t="s">
        <v>19183</v>
      </c>
      <c r="O589" s="36"/>
      <c r="P589" s="32" t="s">
        <v>20408</v>
      </c>
      <c r="Q589" s="35"/>
    </row>
    <row r="590" ht="37.5" customHeight="1">
      <c r="A590" s="32" t="s">
        <v>3935</v>
      </c>
      <c r="B590" s="33">
        <v>15.0</v>
      </c>
      <c r="C590" s="34" t="s">
        <v>19164</v>
      </c>
      <c r="D590" s="35"/>
      <c r="E590" s="34"/>
      <c r="F590" s="35"/>
      <c r="G590" s="34"/>
      <c r="H590" s="35"/>
      <c r="I590" s="34"/>
      <c r="J590" s="35"/>
      <c r="K590" s="34"/>
      <c r="L590" s="35"/>
      <c r="M590" s="34"/>
      <c r="N590" s="5" t="s">
        <v>19238</v>
      </c>
      <c r="O590" s="36"/>
      <c r="P590" s="32" t="s">
        <v>20408</v>
      </c>
      <c r="Q590" s="35"/>
    </row>
    <row r="591" ht="37.5" customHeight="1">
      <c r="A591" s="32" t="s">
        <v>3938</v>
      </c>
      <c r="B591" s="33">
        <v>15.0</v>
      </c>
      <c r="C591" s="34" t="s">
        <v>19166</v>
      </c>
      <c r="D591" s="35"/>
      <c r="E591" s="34"/>
      <c r="F591" s="35"/>
      <c r="G591" s="34"/>
      <c r="H591" s="35" t="s">
        <v>19274</v>
      </c>
      <c r="I591" s="34"/>
      <c r="J591" s="35" t="s">
        <v>19274</v>
      </c>
      <c r="K591" s="34"/>
      <c r="L591" s="35" t="s">
        <v>19274</v>
      </c>
      <c r="M591" s="34"/>
      <c r="N591" s="5" t="s">
        <v>19232</v>
      </c>
      <c r="O591" s="36"/>
      <c r="P591" s="32" t="s">
        <v>20408</v>
      </c>
      <c r="Q591" s="35"/>
    </row>
    <row r="592" ht="37.5" customHeight="1">
      <c r="A592" s="32" t="s">
        <v>3942</v>
      </c>
      <c r="B592" s="33">
        <v>15.0</v>
      </c>
      <c r="C592" s="34" t="s">
        <v>19164</v>
      </c>
      <c r="D592" s="35"/>
      <c r="E592" s="34"/>
      <c r="F592" s="35"/>
      <c r="G592" s="34"/>
      <c r="H592" s="35" t="s">
        <v>19274</v>
      </c>
      <c r="I592" s="34"/>
      <c r="J592" s="35" t="s">
        <v>19274</v>
      </c>
      <c r="K592" s="34"/>
      <c r="L592" s="35" t="s">
        <v>19274</v>
      </c>
      <c r="M592" s="34"/>
      <c r="N592" s="5" t="s">
        <v>19161</v>
      </c>
      <c r="O592" s="36"/>
      <c r="P592" s="32" t="s">
        <v>20408</v>
      </c>
      <c r="Q592" s="35"/>
    </row>
    <row r="593" ht="37.5" customHeight="1">
      <c r="A593" s="32" t="s">
        <v>3947</v>
      </c>
      <c r="B593" s="33">
        <v>15.0</v>
      </c>
      <c r="C593" s="34" t="s">
        <v>19122</v>
      </c>
      <c r="D593" s="35">
        <v>9.0</v>
      </c>
      <c r="E593" s="34" t="s">
        <v>19303</v>
      </c>
      <c r="F593" s="35"/>
      <c r="G593" s="34"/>
      <c r="H593" s="35" t="s">
        <v>19274</v>
      </c>
      <c r="I593" s="34"/>
      <c r="J593" s="35" t="s">
        <v>19274</v>
      </c>
      <c r="K593" s="34"/>
      <c r="L593" s="35" t="s">
        <v>19274</v>
      </c>
      <c r="M593" s="34"/>
      <c r="N593" s="5" t="s">
        <v>19161</v>
      </c>
      <c r="O593" s="36"/>
      <c r="P593" s="32" t="s">
        <v>20408</v>
      </c>
      <c r="Q593" s="3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3.0"/>
    <col customWidth="1" min="2" max="2" width="14.43"/>
    <col customWidth="1" min="3" max="4" width="10.86"/>
    <col customWidth="1" min="5" max="5" width="5.86"/>
    <col customWidth="1" min="6" max="6" width="14.43"/>
    <col customWidth="1" min="7" max="7" width="9.43"/>
    <col customWidth="1" min="8" max="8" width="10.86"/>
    <col customWidth="1" min="9" max="10" width="8.71"/>
    <col customWidth="1" min="11" max="22" width="4.43"/>
    <col customWidth="1" min="23" max="24" width="8.0"/>
    <col customWidth="1" min="25" max="26" width="12.29"/>
    <col customWidth="1" min="27" max="27" width="8.0"/>
  </cols>
  <sheetData>
    <row r="1" ht="26.25" customHeight="1">
      <c r="A1" s="2" t="s">
        <v>19194</v>
      </c>
      <c r="B1" s="1" t="s">
        <v>0</v>
      </c>
      <c r="C1" s="2" t="s">
        <v>1</v>
      </c>
      <c r="D1" s="2" t="s">
        <v>19197</v>
      </c>
      <c r="E1" s="2" t="s">
        <v>11</v>
      </c>
      <c r="F1" s="1" t="s">
        <v>19198</v>
      </c>
      <c r="G1" s="1" t="s">
        <v>19199</v>
      </c>
      <c r="H1" s="1" t="s">
        <v>19200</v>
      </c>
      <c r="I1" s="4" t="s">
        <v>19202</v>
      </c>
      <c r="J1" s="4" t="s">
        <v>19203</v>
      </c>
      <c r="K1" s="39" t="s">
        <v>19204</v>
      </c>
      <c r="L1" s="39" t="s">
        <v>19208</v>
      </c>
      <c r="M1" s="40" t="s">
        <v>19209</v>
      </c>
      <c r="N1" s="40" t="s">
        <v>19211</v>
      </c>
      <c r="O1" s="40" t="s">
        <v>19212</v>
      </c>
      <c r="P1" s="41" t="s">
        <v>19213</v>
      </c>
      <c r="Q1" s="41" t="s">
        <v>19216</v>
      </c>
      <c r="R1" s="41" t="s">
        <v>19217</v>
      </c>
      <c r="S1" s="42" t="s">
        <v>19218</v>
      </c>
      <c r="T1" s="42" t="s">
        <v>19221</v>
      </c>
      <c r="U1" s="42" t="s">
        <v>19222</v>
      </c>
      <c r="V1" s="39" t="s">
        <v>19223</v>
      </c>
      <c r="W1" s="1" t="s">
        <v>12</v>
      </c>
      <c r="X1" s="1" t="s">
        <v>13</v>
      </c>
      <c r="Y1" s="1" t="s">
        <v>19224</v>
      </c>
      <c r="Z1" s="1" t="s">
        <v>19226</v>
      </c>
      <c r="AA1" s="2" t="s">
        <v>29</v>
      </c>
    </row>
    <row r="2" ht="56.25" customHeight="1">
      <c r="A2" s="6">
        <v>10.0</v>
      </c>
      <c r="B2" s="5" t="s">
        <v>19227</v>
      </c>
      <c r="C2" s="6" t="str">
        <f>IMAGE("https://i.imgur.com/zpCLFPW.png")</f>
        <v/>
      </c>
      <c r="D2" s="6" t="str">
        <f>IMAGE("https://storage.googleapis.com/acdb/bugs/FtrInsectMiirotateha.png")</f>
        <v/>
      </c>
      <c r="E2" s="6">
        <v>3000.0</v>
      </c>
      <c r="F2" s="43" t="s">
        <v>19231</v>
      </c>
      <c r="G2" s="5" t="s">
        <v>19235</v>
      </c>
      <c r="H2" s="43" t="s">
        <v>19236</v>
      </c>
      <c r="I2" s="44">
        <v>0.3333333333333333</v>
      </c>
      <c r="J2" s="44">
        <v>0.7083333333333334</v>
      </c>
      <c r="K2" s="45" t="s">
        <v>36</v>
      </c>
      <c r="L2" s="45" t="s">
        <v>36</v>
      </c>
      <c r="M2" s="46" t="s">
        <v>36</v>
      </c>
      <c r="N2" s="46" t="s">
        <v>35</v>
      </c>
      <c r="O2" s="46" t="s">
        <v>35</v>
      </c>
      <c r="P2" s="47" t="s">
        <v>35</v>
      </c>
      <c r="Q2" s="47" t="s">
        <v>35</v>
      </c>
      <c r="R2" s="47" t="s">
        <v>35</v>
      </c>
      <c r="S2" s="48" t="s">
        <v>35</v>
      </c>
      <c r="T2" s="48" t="s">
        <v>36</v>
      </c>
      <c r="U2" s="48" t="s">
        <v>36</v>
      </c>
      <c r="V2" s="45" t="s">
        <v>36</v>
      </c>
      <c r="W2" s="5" t="s">
        <v>69</v>
      </c>
      <c r="X2" s="5" t="s">
        <v>96</v>
      </c>
      <c r="Y2" s="5"/>
      <c r="Z2" s="5" t="s">
        <v>19242</v>
      </c>
      <c r="AA2" s="6">
        <v>620.0</v>
      </c>
    </row>
    <row r="3" ht="56.25" customHeight="1">
      <c r="A3" s="6">
        <v>69.0</v>
      </c>
      <c r="B3" s="5" t="s">
        <v>19244</v>
      </c>
      <c r="C3" s="6" t="str">
        <f>IMAGE("https://i.imgur.com/s7rnYTT.png")</f>
        <v/>
      </c>
      <c r="D3" s="6" t="str">
        <f>IMAGE("https://storage.googleapis.com/acdb/bugs/FtrInsectAri.png")</f>
        <v/>
      </c>
      <c r="E3" s="6">
        <v>80.0</v>
      </c>
      <c r="F3" s="5" t="s">
        <v>19247</v>
      </c>
      <c r="G3" s="5" t="s">
        <v>19248</v>
      </c>
      <c r="H3" s="5" t="s">
        <v>19249</v>
      </c>
      <c r="I3" s="8" t="s">
        <v>19250</v>
      </c>
      <c r="J3" s="8" t="s">
        <v>19250</v>
      </c>
      <c r="K3" s="45" t="s">
        <v>35</v>
      </c>
      <c r="L3" s="45" t="s">
        <v>35</v>
      </c>
      <c r="M3" s="46" t="s">
        <v>35</v>
      </c>
      <c r="N3" s="46" t="s">
        <v>35</v>
      </c>
      <c r="O3" s="46" t="s">
        <v>35</v>
      </c>
      <c r="P3" s="47" t="s">
        <v>35</v>
      </c>
      <c r="Q3" s="47" t="s">
        <v>35</v>
      </c>
      <c r="R3" s="47" t="s">
        <v>35</v>
      </c>
      <c r="S3" s="48" t="s">
        <v>35</v>
      </c>
      <c r="T3" s="48" t="s">
        <v>35</v>
      </c>
      <c r="U3" s="48" t="s">
        <v>35</v>
      </c>
      <c r="V3" s="45" t="s">
        <v>35</v>
      </c>
      <c r="W3" s="5" t="s">
        <v>54</v>
      </c>
      <c r="X3" s="5" t="s">
        <v>57</v>
      </c>
      <c r="Y3" s="5"/>
      <c r="Z3" s="5" t="s">
        <v>19252</v>
      </c>
      <c r="AA3" s="6">
        <v>588.0</v>
      </c>
    </row>
    <row r="4" ht="56.25" customHeight="1">
      <c r="A4" s="6">
        <v>14.0</v>
      </c>
      <c r="B4" s="5" t="s">
        <v>19253</v>
      </c>
      <c r="C4" s="6" t="str">
        <f>IMAGE("https://i.imgur.com/RdNAqj8.png")</f>
        <v/>
      </c>
      <c r="D4" s="6" t="str">
        <f>IMAGE("https://storage.googleapis.com/acdb/bugs/FtrInsectYonagunisan.png")</f>
        <v/>
      </c>
      <c r="E4" s="6">
        <v>3000.0</v>
      </c>
      <c r="F4" s="5" t="s">
        <v>19255</v>
      </c>
      <c r="G4" s="43" t="s">
        <v>19248</v>
      </c>
      <c r="H4" s="43" t="s">
        <v>19236</v>
      </c>
      <c r="I4" s="44">
        <v>0.7916666666666666</v>
      </c>
      <c r="J4" s="44">
        <v>0.16666666666666666</v>
      </c>
      <c r="K4" s="45" t="s">
        <v>36</v>
      </c>
      <c r="L4" s="45" t="s">
        <v>36</v>
      </c>
      <c r="M4" s="46" t="s">
        <v>36</v>
      </c>
      <c r="N4" s="46" t="s">
        <v>35</v>
      </c>
      <c r="O4" s="46" t="s">
        <v>35</v>
      </c>
      <c r="P4" s="47" t="s">
        <v>35</v>
      </c>
      <c r="Q4" s="47" t="s">
        <v>35</v>
      </c>
      <c r="R4" s="47" t="s">
        <v>35</v>
      </c>
      <c r="S4" s="48" t="s">
        <v>35</v>
      </c>
      <c r="T4" s="48" t="s">
        <v>36</v>
      </c>
      <c r="U4" s="48" t="s">
        <v>36</v>
      </c>
      <c r="V4" s="45" t="s">
        <v>36</v>
      </c>
      <c r="W4" s="5" t="s">
        <v>142</v>
      </c>
      <c r="X4" s="5" t="s">
        <v>114</v>
      </c>
      <c r="Y4" s="5"/>
      <c r="Z4" s="5" t="s">
        <v>19257</v>
      </c>
      <c r="AA4" s="6">
        <v>652.0</v>
      </c>
    </row>
    <row r="5" ht="56.25" customHeight="1">
      <c r="A5" s="6">
        <v>68.0</v>
      </c>
      <c r="B5" s="5" t="s">
        <v>19258</v>
      </c>
      <c r="C5" s="6" t="str">
        <f>IMAGE("https://i.imgur.com/ubKboEx.png")</f>
        <v/>
      </c>
      <c r="D5" s="6" t="str">
        <f>IMAGE("https://storage.googleapis.com/acdb/bugs/FtrInsectMinomushi.png")</f>
        <v/>
      </c>
      <c r="E5" s="6">
        <v>600.0</v>
      </c>
      <c r="F5" s="5" t="s">
        <v>19261</v>
      </c>
      <c r="G5" s="5" t="s">
        <v>19248</v>
      </c>
      <c r="H5" s="5" t="s">
        <v>19249</v>
      </c>
      <c r="I5" s="8" t="s">
        <v>19250</v>
      </c>
      <c r="J5" s="8" t="s">
        <v>19250</v>
      </c>
      <c r="K5" s="45" t="s">
        <v>35</v>
      </c>
      <c r="L5" s="45" t="s">
        <v>35</v>
      </c>
      <c r="M5" s="46" t="s">
        <v>35</v>
      </c>
      <c r="N5" s="46" t="s">
        <v>35</v>
      </c>
      <c r="O5" s="46" t="s">
        <v>35</v>
      </c>
      <c r="P5" s="47" t="s">
        <v>35</v>
      </c>
      <c r="Q5" s="47" t="s">
        <v>35</v>
      </c>
      <c r="R5" s="47" t="s">
        <v>35</v>
      </c>
      <c r="S5" s="48" t="s">
        <v>35</v>
      </c>
      <c r="T5" s="48" t="s">
        <v>35</v>
      </c>
      <c r="U5" s="48" t="s">
        <v>35</v>
      </c>
      <c r="V5" s="45" t="s">
        <v>35</v>
      </c>
      <c r="W5" s="5" t="s">
        <v>39</v>
      </c>
      <c r="X5" s="5" t="s">
        <v>68</v>
      </c>
      <c r="Y5" s="5"/>
      <c r="Z5" s="5" t="s">
        <v>19263</v>
      </c>
      <c r="AA5" s="6">
        <v>622.0</v>
      </c>
    </row>
    <row r="6" ht="56.25" customHeight="1">
      <c r="A6" s="6">
        <v>34.0</v>
      </c>
      <c r="B6" s="5" t="s">
        <v>19265</v>
      </c>
      <c r="C6" s="6" t="str">
        <f>IMAGE("https://i.imgur.com/1Xtj7bB.png")</f>
        <v/>
      </c>
      <c r="D6" s="6" t="str">
        <f>IMAGE("https://storage.googleapis.com/acdb/bugs/FtrInsectOniyanma.png")</f>
        <v/>
      </c>
      <c r="E6" s="6">
        <v>4500.0</v>
      </c>
      <c r="F6" s="43" t="s">
        <v>19266</v>
      </c>
      <c r="G6" s="5" t="s">
        <v>19235</v>
      </c>
      <c r="H6" s="43" t="s">
        <v>19267</v>
      </c>
      <c r="I6" s="44">
        <v>0.3333333333333333</v>
      </c>
      <c r="J6" s="44">
        <v>0.7083333333333334</v>
      </c>
      <c r="K6" s="45" t="s">
        <v>36</v>
      </c>
      <c r="L6" s="45" t="s">
        <v>36</v>
      </c>
      <c r="M6" s="46" t="s">
        <v>36</v>
      </c>
      <c r="N6" s="46" t="s">
        <v>36</v>
      </c>
      <c r="O6" s="46" t="s">
        <v>35</v>
      </c>
      <c r="P6" s="47" t="s">
        <v>35</v>
      </c>
      <c r="Q6" s="47" t="s">
        <v>35</v>
      </c>
      <c r="R6" s="47" t="s">
        <v>35</v>
      </c>
      <c r="S6" s="48" t="s">
        <v>35</v>
      </c>
      <c r="T6" s="48" t="s">
        <v>35</v>
      </c>
      <c r="U6" s="48" t="s">
        <v>36</v>
      </c>
      <c r="V6" s="45" t="s">
        <v>36</v>
      </c>
      <c r="W6" s="5" t="s">
        <v>54</v>
      </c>
      <c r="X6" s="5" t="s">
        <v>114</v>
      </c>
      <c r="Y6" s="5"/>
      <c r="Z6" s="5" t="s">
        <v>19270</v>
      </c>
      <c r="AA6" s="6">
        <v>635.0</v>
      </c>
    </row>
    <row r="7" ht="56.25" customHeight="1">
      <c r="A7" s="6">
        <v>21.0</v>
      </c>
      <c r="B7" s="5" t="s">
        <v>19271</v>
      </c>
      <c r="C7" s="6" t="str">
        <f>IMAGE("https://i.imgur.com/YZvOZ2M.png")</f>
        <v/>
      </c>
      <c r="D7" s="6" t="str">
        <f>IMAGE("https://storage.googleapis.com/acdb/bugs/FtrInsectSuzumushi.png")</f>
        <v/>
      </c>
      <c r="E7" s="6">
        <v>430.0</v>
      </c>
      <c r="F7" s="43" t="s">
        <v>19273</v>
      </c>
      <c r="G7" s="5" t="s">
        <v>19235</v>
      </c>
      <c r="H7" s="43" t="s">
        <v>19249</v>
      </c>
      <c r="I7" s="44">
        <v>0.7083333333333334</v>
      </c>
      <c r="J7" s="44">
        <v>0.3333333333333333</v>
      </c>
      <c r="K7" s="45" t="s">
        <v>36</v>
      </c>
      <c r="L7" s="45" t="s">
        <v>36</v>
      </c>
      <c r="M7" s="46" t="s">
        <v>36</v>
      </c>
      <c r="N7" s="46" t="s">
        <v>36</v>
      </c>
      <c r="O7" s="46" t="s">
        <v>36</v>
      </c>
      <c r="P7" s="47" t="s">
        <v>36</v>
      </c>
      <c r="Q7" s="47" t="s">
        <v>36</v>
      </c>
      <c r="R7" s="47" t="s">
        <v>36</v>
      </c>
      <c r="S7" s="48" t="s">
        <v>35</v>
      </c>
      <c r="T7" s="48" t="s">
        <v>35</v>
      </c>
      <c r="U7" s="48" t="s">
        <v>36</v>
      </c>
      <c r="V7" s="45" t="s">
        <v>36</v>
      </c>
      <c r="W7" s="5" t="s">
        <v>54</v>
      </c>
      <c r="X7" s="5" t="s">
        <v>38</v>
      </c>
      <c r="Y7" s="5"/>
      <c r="Z7" s="5" t="s">
        <v>19278</v>
      </c>
      <c r="AA7" s="6">
        <v>642.0</v>
      </c>
    </row>
    <row r="8" ht="56.25" customHeight="1">
      <c r="A8" s="6">
        <v>49.0</v>
      </c>
      <c r="B8" s="5" t="s">
        <v>19279</v>
      </c>
      <c r="C8" s="6" t="str">
        <f>IMAGE("https://i.imgur.com/IXj81M3.png")</f>
        <v/>
      </c>
      <c r="D8" s="6" t="str">
        <f>IMAGE("https://storage.googleapis.com/acdb/bugs/FtrInsectHousekizoumushi.png")</f>
        <v/>
      </c>
      <c r="E8" s="6">
        <v>800.0</v>
      </c>
      <c r="F8" s="5" t="s">
        <v>19282</v>
      </c>
      <c r="G8" s="5" t="s">
        <v>19248</v>
      </c>
      <c r="H8" s="5" t="s">
        <v>19249</v>
      </c>
      <c r="I8" s="8" t="s">
        <v>19250</v>
      </c>
      <c r="J8" s="8" t="s">
        <v>19250</v>
      </c>
      <c r="K8" s="45" t="s">
        <v>36</v>
      </c>
      <c r="L8" s="45" t="s">
        <v>36</v>
      </c>
      <c r="M8" s="46" t="s">
        <v>36</v>
      </c>
      <c r="N8" s="46" t="s">
        <v>36</v>
      </c>
      <c r="O8" s="46" t="s">
        <v>36</v>
      </c>
      <c r="P8" s="47" t="s">
        <v>36</v>
      </c>
      <c r="Q8" s="47" t="s">
        <v>35</v>
      </c>
      <c r="R8" s="47" t="s">
        <v>35</v>
      </c>
      <c r="S8" s="48" t="s">
        <v>36</v>
      </c>
      <c r="T8" s="48" t="s">
        <v>36</v>
      </c>
      <c r="U8" s="48" t="s">
        <v>36</v>
      </c>
      <c r="V8" s="45" t="s">
        <v>36</v>
      </c>
      <c r="W8" s="5" t="s">
        <v>96</v>
      </c>
      <c r="X8" s="5" t="s">
        <v>69</v>
      </c>
      <c r="Y8" s="5"/>
      <c r="Z8" s="5" t="s">
        <v>19285</v>
      </c>
      <c r="AA8" s="6">
        <v>3485.0</v>
      </c>
    </row>
    <row r="9" ht="56.25" customHeight="1">
      <c r="A9" s="6">
        <v>26.0</v>
      </c>
      <c r="B9" s="5" t="s">
        <v>19286</v>
      </c>
      <c r="C9" s="6" t="str">
        <f>IMAGE("https://i.imgur.com/awibAPX.png")</f>
        <v/>
      </c>
      <c r="D9" s="6" t="str">
        <f>IMAGE("https://storage.googleapis.com/acdb/bugs/FtrInsectAburazemi.png")</f>
        <v/>
      </c>
      <c r="E9" s="6">
        <v>250.0</v>
      </c>
      <c r="F9" s="43" t="s">
        <v>19288</v>
      </c>
      <c r="G9" s="43" t="s">
        <v>19248</v>
      </c>
      <c r="H9" s="43" t="s">
        <v>19249</v>
      </c>
      <c r="I9" s="44">
        <v>0.3333333333333333</v>
      </c>
      <c r="J9" s="44">
        <v>0.7083333333333334</v>
      </c>
      <c r="K9" s="45" t="s">
        <v>36</v>
      </c>
      <c r="L9" s="45" t="s">
        <v>36</v>
      </c>
      <c r="M9" s="46" t="s">
        <v>36</v>
      </c>
      <c r="N9" s="46" t="s">
        <v>36</v>
      </c>
      <c r="O9" s="46" t="s">
        <v>36</v>
      </c>
      <c r="P9" s="47" t="s">
        <v>36</v>
      </c>
      <c r="Q9" s="47" t="s">
        <v>35</v>
      </c>
      <c r="R9" s="47" t="s">
        <v>35</v>
      </c>
      <c r="S9" s="48" t="s">
        <v>36</v>
      </c>
      <c r="T9" s="48" t="s">
        <v>36</v>
      </c>
      <c r="U9" s="48" t="s">
        <v>36</v>
      </c>
      <c r="V9" s="45" t="s">
        <v>36</v>
      </c>
      <c r="W9" s="5" t="s">
        <v>39</v>
      </c>
      <c r="X9" s="5" t="s">
        <v>96</v>
      </c>
      <c r="Y9" s="5"/>
      <c r="Z9" s="5" t="s">
        <v>19291</v>
      </c>
      <c r="AA9" s="6">
        <v>582.0</v>
      </c>
    </row>
    <row r="10" ht="56.25" customHeight="1">
      <c r="A10" s="6">
        <v>77.0</v>
      </c>
      <c r="B10" s="5" t="s">
        <v>19292</v>
      </c>
      <c r="C10" s="6" t="str">
        <f>IMAGE("https://i.imgur.com/8AhtnAv.png")</f>
        <v/>
      </c>
      <c r="D10" s="6" t="str">
        <f>IMAGE("https://storage.googleapis.com/acdb/bugs/FtrInsectMukade.png")</f>
        <v/>
      </c>
      <c r="E10" s="6">
        <v>300.0</v>
      </c>
      <c r="F10" s="5" t="s">
        <v>19295</v>
      </c>
      <c r="G10" s="43" t="s">
        <v>19248</v>
      </c>
      <c r="H10" s="43" t="s">
        <v>19249</v>
      </c>
      <c r="I10" s="44">
        <v>0.6666666666666666</v>
      </c>
      <c r="J10" s="44">
        <v>0.9583333333333334</v>
      </c>
      <c r="K10" s="45" t="s">
        <v>35</v>
      </c>
      <c r="L10" s="45" t="s">
        <v>35</v>
      </c>
      <c r="M10" s="46" t="s">
        <v>35</v>
      </c>
      <c r="N10" s="46" t="s">
        <v>35</v>
      </c>
      <c r="O10" s="46" t="s">
        <v>35</v>
      </c>
      <c r="P10" s="47" t="s">
        <v>35</v>
      </c>
      <c r="Q10" s="47" t="s">
        <v>36</v>
      </c>
      <c r="R10" s="47" t="s">
        <v>36</v>
      </c>
      <c r="S10" s="48" t="s">
        <v>35</v>
      </c>
      <c r="T10" s="48" t="s">
        <v>35</v>
      </c>
      <c r="U10" s="48" t="s">
        <v>35</v>
      </c>
      <c r="V10" s="45" t="s">
        <v>35</v>
      </c>
      <c r="W10" s="5" t="s">
        <v>54</v>
      </c>
      <c r="X10" s="5" t="s">
        <v>142</v>
      </c>
      <c r="Y10" s="5"/>
      <c r="Z10" s="5" t="s">
        <v>19299</v>
      </c>
      <c r="AA10" s="6">
        <v>628.0</v>
      </c>
    </row>
    <row r="11" ht="56.25" customHeight="1">
      <c r="A11" s="6">
        <v>31.0</v>
      </c>
      <c r="B11" s="5" t="s">
        <v>19301</v>
      </c>
      <c r="C11" s="6" t="str">
        <f>IMAGE("https://i.imgur.com/uGH1eff.png")</f>
        <v/>
      </c>
      <c r="D11" s="6" t="str">
        <f>IMAGE("https://storage.googleapis.com/acdb/bugs/FtrInsectSeminonukegara.png")</f>
        <v/>
      </c>
      <c r="E11" s="6">
        <v>10.0</v>
      </c>
      <c r="F11" s="5" t="s">
        <v>19261</v>
      </c>
      <c r="G11" s="5" t="s">
        <v>19248</v>
      </c>
      <c r="H11" s="5" t="s">
        <v>19267</v>
      </c>
      <c r="I11" s="8" t="s">
        <v>19250</v>
      </c>
      <c r="J11" s="8" t="s">
        <v>19250</v>
      </c>
      <c r="K11" s="45" t="s">
        <v>36</v>
      </c>
      <c r="L11" s="45" t="s">
        <v>36</v>
      </c>
      <c r="M11" s="46" t="s">
        <v>36</v>
      </c>
      <c r="N11" s="46" t="s">
        <v>36</v>
      </c>
      <c r="O11" s="46" t="s">
        <v>36</v>
      </c>
      <c r="P11" s="47" t="s">
        <v>36</v>
      </c>
      <c r="Q11" s="47" t="s">
        <v>35</v>
      </c>
      <c r="R11" s="47" t="s">
        <v>35</v>
      </c>
      <c r="S11" s="48" t="s">
        <v>36</v>
      </c>
      <c r="T11" s="48" t="s">
        <v>36</v>
      </c>
      <c r="U11" s="48" t="s">
        <v>36</v>
      </c>
      <c r="V11" s="45" t="s">
        <v>36</v>
      </c>
      <c r="W11" s="5" t="s">
        <v>39</v>
      </c>
      <c r="X11" s="5" t="s">
        <v>96</v>
      </c>
      <c r="Y11" s="5"/>
      <c r="Z11" s="5" t="s">
        <v>19304</v>
      </c>
      <c r="AA11" s="6">
        <v>641.0</v>
      </c>
    </row>
    <row r="12" ht="56.25" customHeight="1">
      <c r="A12" s="6">
        <v>47.0</v>
      </c>
      <c r="B12" s="5" t="s">
        <v>19305</v>
      </c>
      <c r="C12" s="6" t="str">
        <f>IMAGE("https://i.imgur.com/BZ8Hueo.png")</f>
        <v/>
      </c>
      <c r="D12" s="6" t="str">
        <f>IMAGE("https://storage.googleapis.com/acdb/bugs/FtrInsectGomadarakamikiri.png")</f>
        <v/>
      </c>
      <c r="E12" s="6">
        <v>350.0</v>
      </c>
      <c r="F12" s="5" t="s">
        <v>19307</v>
      </c>
      <c r="G12" s="5" t="s">
        <v>19235</v>
      </c>
      <c r="H12" s="5" t="s">
        <v>19249</v>
      </c>
      <c r="I12" s="8" t="s">
        <v>19250</v>
      </c>
      <c r="J12" s="8" t="s">
        <v>19250</v>
      </c>
      <c r="K12" s="45" t="s">
        <v>35</v>
      </c>
      <c r="L12" s="45" t="s">
        <v>35</v>
      </c>
      <c r="M12" s="46" t="s">
        <v>35</v>
      </c>
      <c r="N12" s="46" t="s">
        <v>35</v>
      </c>
      <c r="O12" s="46" t="s">
        <v>35</v>
      </c>
      <c r="P12" s="47" t="s">
        <v>35</v>
      </c>
      <c r="Q12" s="47" t="s">
        <v>35</v>
      </c>
      <c r="R12" s="47" t="s">
        <v>35</v>
      </c>
      <c r="S12" s="48" t="s">
        <v>35</v>
      </c>
      <c r="T12" s="48" t="s">
        <v>35</v>
      </c>
      <c r="U12" s="48" t="s">
        <v>35</v>
      </c>
      <c r="V12" s="45" t="s">
        <v>35</v>
      </c>
      <c r="W12" s="5" t="s">
        <v>54</v>
      </c>
      <c r="X12" s="5" t="s">
        <v>96</v>
      </c>
      <c r="Y12" s="5"/>
      <c r="Z12" s="5" t="s">
        <v>19310</v>
      </c>
      <c r="AA12" s="6">
        <v>609.0</v>
      </c>
    </row>
    <row r="13" ht="56.25" customHeight="1">
      <c r="A13" s="6">
        <v>5.0</v>
      </c>
      <c r="B13" s="5" t="s">
        <v>19311</v>
      </c>
      <c r="C13" s="6" t="str">
        <f>IMAGE("https://i.imgur.com/s1jc8H4.png")</f>
        <v/>
      </c>
      <c r="D13" s="6" t="str">
        <f>IMAGE("https://storage.googleapis.com/acdb/bugs/FtrInsectAosujiageha.png")</f>
        <v/>
      </c>
      <c r="E13" s="6">
        <v>300.0</v>
      </c>
      <c r="F13" s="43" t="s">
        <v>19231</v>
      </c>
      <c r="G13" s="5" t="s">
        <v>19235</v>
      </c>
      <c r="H13" s="43" t="s">
        <v>19249</v>
      </c>
      <c r="I13" s="44">
        <v>0.16666666666666666</v>
      </c>
      <c r="J13" s="44">
        <v>0.7916666666666666</v>
      </c>
      <c r="K13" s="45" t="s">
        <v>36</v>
      </c>
      <c r="L13" s="45" t="s">
        <v>36</v>
      </c>
      <c r="M13" s="46" t="s">
        <v>36</v>
      </c>
      <c r="N13" s="46" t="s">
        <v>35</v>
      </c>
      <c r="O13" s="46" t="s">
        <v>35</v>
      </c>
      <c r="P13" s="47" t="s">
        <v>35</v>
      </c>
      <c r="Q13" s="47" t="s">
        <v>35</v>
      </c>
      <c r="R13" s="47" t="s">
        <v>35</v>
      </c>
      <c r="S13" s="48" t="s">
        <v>36</v>
      </c>
      <c r="T13" s="48" t="s">
        <v>36</v>
      </c>
      <c r="U13" s="48" t="s">
        <v>36</v>
      </c>
      <c r="V13" s="45" t="s">
        <v>36</v>
      </c>
      <c r="W13" s="5" t="s">
        <v>54</v>
      </c>
      <c r="X13" s="5" t="s">
        <v>96</v>
      </c>
      <c r="Y13" s="5"/>
      <c r="Z13" s="5" t="s">
        <v>19314</v>
      </c>
      <c r="AA13" s="6">
        <v>3477.0</v>
      </c>
    </row>
    <row r="14" ht="56.25" customHeight="1">
      <c r="A14" s="6">
        <v>1.0</v>
      </c>
      <c r="B14" s="5" t="s">
        <v>19315</v>
      </c>
      <c r="C14" s="6" t="str">
        <f>IMAGE("https://i.imgur.com/UJiH4E9.png")</f>
        <v/>
      </c>
      <c r="D14" s="6" t="str">
        <f>IMAGE("https://storage.googleapis.com/acdb/bugs/FtrInsectMonshirocho.png")</f>
        <v/>
      </c>
      <c r="E14" s="6">
        <v>160.0</v>
      </c>
      <c r="F14" s="43" t="s">
        <v>19231</v>
      </c>
      <c r="G14" s="5" t="s">
        <v>19235</v>
      </c>
      <c r="H14" s="43" t="s">
        <v>19249</v>
      </c>
      <c r="I14" s="44">
        <v>0.16666666666666666</v>
      </c>
      <c r="J14" s="44">
        <v>0.7916666666666666</v>
      </c>
      <c r="K14" s="45" t="s">
        <v>35</v>
      </c>
      <c r="L14" s="45" t="s">
        <v>35</v>
      </c>
      <c r="M14" s="46" t="s">
        <v>35</v>
      </c>
      <c r="N14" s="46" t="s">
        <v>35</v>
      </c>
      <c r="O14" s="46" t="s">
        <v>35</v>
      </c>
      <c r="P14" s="47" t="s">
        <v>35</v>
      </c>
      <c r="Q14" s="47" t="s">
        <v>36</v>
      </c>
      <c r="R14" s="47" t="s">
        <v>36</v>
      </c>
      <c r="S14" s="48" t="s">
        <v>35</v>
      </c>
      <c r="T14" s="48" t="s">
        <v>35</v>
      </c>
      <c r="U14" s="48" t="s">
        <v>35</v>
      </c>
      <c r="V14" s="45" t="s">
        <v>35</v>
      </c>
      <c r="W14" s="5" t="s">
        <v>57</v>
      </c>
      <c r="X14" s="5" t="s">
        <v>96</v>
      </c>
      <c r="Y14" s="5"/>
      <c r="Z14" s="5" t="s">
        <v>19318</v>
      </c>
      <c r="AA14" s="6">
        <v>626.0</v>
      </c>
    </row>
    <row r="15" ht="56.25" customHeight="1">
      <c r="A15" s="6">
        <v>20.0</v>
      </c>
      <c r="B15" s="5" t="s">
        <v>19319</v>
      </c>
      <c r="C15" s="6" t="str">
        <f>IMAGE("https://i.imgur.com/joRVhXW.png")</f>
        <v/>
      </c>
      <c r="D15" s="6" t="str">
        <f>IMAGE("https://storage.googleapis.com/acdb/bugs/FtrInsectKohrogi.png")</f>
        <v/>
      </c>
      <c r="E15" s="6">
        <v>130.0</v>
      </c>
      <c r="F15" s="43" t="s">
        <v>19273</v>
      </c>
      <c r="G15" s="5" t="s">
        <v>19235</v>
      </c>
      <c r="H15" s="43" t="s">
        <v>19249</v>
      </c>
      <c r="I15" s="44">
        <v>0.7083333333333334</v>
      </c>
      <c r="J15" s="44">
        <v>0.3333333333333333</v>
      </c>
      <c r="K15" s="45" t="s">
        <v>36</v>
      </c>
      <c r="L15" s="45" t="s">
        <v>36</v>
      </c>
      <c r="M15" s="46" t="s">
        <v>36</v>
      </c>
      <c r="N15" s="46" t="s">
        <v>36</v>
      </c>
      <c r="O15" s="46" t="s">
        <v>36</v>
      </c>
      <c r="P15" s="47" t="s">
        <v>36</v>
      </c>
      <c r="Q15" s="47" t="s">
        <v>36</v>
      </c>
      <c r="R15" s="47" t="s">
        <v>36</v>
      </c>
      <c r="S15" s="48" t="s">
        <v>35</v>
      </c>
      <c r="T15" s="48" t="s">
        <v>35</v>
      </c>
      <c r="U15" s="48" t="s">
        <v>35</v>
      </c>
      <c r="V15" s="45" t="s">
        <v>36</v>
      </c>
      <c r="W15" s="5" t="s">
        <v>39</v>
      </c>
      <c r="X15" s="5" t="s">
        <v>38</v>
      </c>
      <c r="Y15" s="5"/>
      <c r="Z15" s="5" t="s">
        <v>19321</v>
      </c>
      <c r="AA15" s="6">
        <v>617.0</v>
      </c>
    </row>
    <row r="16" ht="56.25" customHeight="1">
      <c r="A16" s="6">
        <v>59.0</v>
      </c>
      <c r="B16" s="5" t="s">
        <v>19322</v>
      </c>
      <c r="C16" s="6" t="str">
        <f>IMAGE("https://i.imgur.com/ngrEk43.png")</f>
        <v/>
      </c>
      <c r="D16" s="6" t="str">
        <f>IMAGE("https://storage.googleapis.com/acdb/bugs/FtrInsectHosoakakuwagata.png")</f>
        <v/>
      </c>
      <c r="E16" s="6">
        <v>8000.0</v>
      </c>
      <c r="F16" s="43" t="s">
        <v>19282</v>
      </c>
      <c r="G16" s="43" t="s">
        <v>19248</v>
      </c>
      <c r="H16" s="43" t="s">
        <v>19323</v>
      </c>
      <c r="I16" s="44">
        <v>0.7083333333333334</v>
      </c>
      <c r="J16" s="44">
        <v>0.3333333333333333</v>
      </c>
      <c r="K16" s="45" t="s">
        <v>36</v>
      </c>
      <c r="L16" s="45" t="s">
        <v>36</v>
      </c>
      <c r="M16" s="46" t="s">
        <v>36</v>
      </c>
      <c r="N16" s="46" t="s">
        <v>36</v>
      </c>
      <c r="O16" s="46" t="s">
        <v>36</v>
      </c>
      <c r="P16" s="47" t="s">
        <v>36</v>
      </c>
      <c r="Q16" s="47" t="s">
        <v>35</v>
      </c>
      <c r="R16" s="47" t="s">
        <v>35</v>
      </c>
      <c r="S16" s="48" t="s">
        <v>36</v>
      </c>
      <c r="T16" s="48" t="s">
        <v>36</v>
      </c>
      <c r="U16" s="48" t="s">
        <v>36</v>
      </c>
      <c r="V16" s="45" t="s">
        <v>36</v>
      </c>
      <c r="W16" s="5" t="s">
        <v>54</v>
      </c>
      <c r="X16" s="5" t="s">
        <v>54</v>
      </c>
      <c r="Y16" s="5"/>
      <c r="Z16" s="5" t="s">
        <v>19324</v>
      </c>
      <c r="AA16" s="6">
        <v>602.0</v>
      </c>
    </row>
    <row r="17" ht="56.25" customHeight="1">
      <c r="A17" s="6">
        <v>35.0</v>
      </c>
      <c r="B17" s="5" t="s">
        <v>19325</v>
      </c>
      <c r="C17" s="6" t="str">
        <f>IMAGE("https://i.imgur.com/52gy1Ba.png")</f>
        <v/>
      </c>
      <c r="D17" s="6" t="str">
        <f>IMAGE("https://storage.googleapis.com/acdb/bugs/FtrInsectItotonbo.png")</f>
        <v/>
      </c>
      <c r="E17" s="6">
        <v>500.0</v>
      </c>
      <c r="F17" s="5" t="s">
        <v>19266</v>
      </c>
      <c r="G17" s="5" t="s">
        <v>19235</v>
      </c>
      <c r="H17" s="5" t="s">
        <v>19249</v>
      </c>
      <c r="I17" s="8" t="s">
        <v>19250</v>
      </c>
      <c r="J17" s="8" t="s">
        <v>19250</v>
      </c>
      <c r="K17" s="45" t="s">
        <v>35</v>
      </c>
      <c r="L17" s="45" t="s">
        <v>35</v>
      </c>
      <c r="M17" s="46" t="s">
        <v>36</v>
      </c>
      <c r="N17" s="46" t="s">
        <v>36</v>
      </c>
      <c r="O17" s="46" t="s">
        <v>36</v>
      </c>
      <c r="P17" s="47" t="s">
        <v>36</v>
      </c>
      <c r="Q17" s="47" t="s">
        <v>36</v>
      </c>
      <c r="R17" s="47" t="s">
        <v>36</v>
      </c>
      <c r="S17" s="48" t="s">
        <v>36</v>
      </c>
      <c r="T17" s="48" t="s">
        <v>36</v>
      </c>
      <c r="U17" s="48" t="s">
        <v>35</v>
      </c>
      <c r="V17" s="45" t="s">
        <v>35</v>
      </c>
      <c r="W17" s="5" t="s">
        <v>96</v>
      </c>
      <c r="X17" s="5" t="s">
        <v>68</v>
      </c>
      <c r="Y17" s="5"/>
      <c r="Z17" s="5" t="s">
        <v>19326</v>
      </c>
      <c r="AA17" s="6">
        <v>5339.0</v>
      </c>
    </row>
    <row r="18" ht="56.25" customHeight="1">
      <c r="A18" s="6">
        <v>33.0</v>
      </c>
      <c r="B18" s="5" t="s">
        <v>19327</v>
      </c>
      <c r="C18" s="6" t="str">
        <f>IMAGE("https://i.imgur.com/syAgg7n.png")</f>
        <v/>
      </c>
      <c r="D18" s="6" t="str">
        <f>IMAGE("https://storage.googleapis.com/acdb/bugs/FtrInsectGinyanma.png")</f>
        <v/>
      </c>
      <c r="E18" s="6">
        <v>230.0</v>
      </c>
      <c r="F18" s="43" t="s">
        <v>19266</v>
      </c>
      <c r="G18" s="5" t="s">
        <v>19235</v>
      </c>
      <c r="H18" s="43" t="s">
        <v>19249</v>
      </c>
      <c r="I18" s="44">
        <v>0.3333333333333333</v>
      </c>
      <c r="J18" s="44">
        <v>0.7083333333333334</v>
      </c>
      <c r="K18" s="45" t="s">
        <v>36</v>
      </c>
      <c r="L18" s="45" t="s">
        <v>36</v>
      </c>
      <c r="M18" s="46" t="s">
        <v>36</v>
      </c>
      <c r="N18" s="46" t="s">
        <v>35</v>
      </c>
      <c r="O18" s="46" t="s">
        <v>35</v>
      </c>
      <c r="P18" s="47" t="s">
        <v>35</v>
      </c>
      <c r="Q18" s="47" t="s">
        <v>35</v>
      </c>
      <c r="R18" s="47" t="s">
        <v>35</v>
      </c>
      <c r="S18" s="48" t="s">
        <v>35</v>
      </c>
      <c r="T18" s="48" t="s">
        <v>35</v>
      </c>
      <c r="U18" s="48" t="s">
        <v>36</v>
      </c>
      <c r="V18" s="45" t="s">
        <v>36</v>
      </c>
      <c r="W18" s="5" t="s">
        <v>96</v>
      </c>
      <c r="X18" s="5" t="s">
        <v>96</v>
      </c>
      <c r="Y18" s="5"/>
      <c r="Z18" s="5" t="s">
        <v>19329</v>
      </c>
      <c r="AA18" s="6">
        <v>595.0</v>
      </c>
    </row>
    <row r="19" ht="56.25" customHeight="1">
      <c r="A19" s="6">
        <v>39.0</v>
      </c>
      <c r="B19" s="5" t="s">
        <v>19330</v>
      </c>
      <c r="C19" s="6" t="str">
        <f>IMAGE("https://i.imgur.com/Whymm9k.png")</f>
        <v/>
      </c>
      <c r="D19" s="6" t="str">
        <f>IMAGE("https://storage.googleapis.com/acdb/bugs/FtrInsectGengorou.png")</f>
        <v/>
      </c>
      <c r="E19" s="6">
        <v>800.0</v>
      </c>
      <c r="F19" s="43" t="s">
        <v>19331</v>
      </c>
      <c r="G19" s="43" t="s">
        <v>19248</v>
      </c>
      <c r="H19" s="43" t="s">
        <v>19249</v>
      </c>
      <c r="I19" s="44">
        <v>0.3333333333333333</v>
      </c>
      <c r="J19" s="44">
        <v>0.7916666666666666</v>
      </c>
      <c r="K19" s="45" t="s">
        <v>36</v>
      </c>
      <c r="L19" s="45" t="s">
        <v>36</v>
      </c>
      <c r="M19" s="46" t="s">
        <v>36</v>
      </c>
      <c r="N19" s="46" t="s">
        <v>36</v>
      </c>
      <c r="O19" s="46" t="s">
        <v>35</v>
      </c>
      <c r="P19" s="47" t="s">
        <v>35</v>
      </c>
      <c r="Q19" s="47" t="s">
        <v>35</v>
      </c>
      <c r="R19" s="47" t="s">
        <v>35</v>
      </c>
      <c r="S19" s="48" t="s">
        <v>35</v>
      </c>
      <c r="T19" s="48" t="s">
        <v>36</v>
      </c>
      <c r="U19" s="48" t="s">
        <v>36</v>
      </c>
      <c r="V19" s="45" t="s">
        <v>36</v>
      </c>
      <c r="W19" s="5" t="s">
        <v>54</v>
      </c>
      <c r="X19" s="5" t="s">
        <v>68</v>
      </c>
      <c r="Y19" s="5"/>
      <c r="Z19" s="5" t="s">
        <v>19332</v>
      </c>
      <c r="AA19" s="6">
        <v>594.0</v>
      </c>
    </row>
    <row r="20" ht="56.25" customHeight="1">
      <c r="A20" s="6">
        <v>53.0</v>
      </c>
      <c r="B20" s="5" t="s">
        <v>19333</v>
      </c>
      <c r="C20" s="6" t="str">
        <f>IMAGE("https://i.imgur.com/0V98GTW.png")</f>
        <v/>
      </c>
      <c r="D20" s="6" t="str">
        <f>IMAGE("https://storage.googleapis.com/acdb/bugs/FtrInsectKanabun.png")</f>
        <v/>
      </c>
      <c r="E20" s="6">
        <v>200.0</v>
      </c>
      <c r="F20" s="5" t="s">
        <v>19255</v>
      </c>
      <c r="G20" s="5" t="s">
        <v>19248</v>
      </c>
      <c r="H20" s="5" t="s">
        <v>19249</v>
      </c>
      <c r="I20" s="8" t="s">
        <v>19250</v>
      </c>
      <c r="J20" s="8" t="s">
        <v>19250</v>
      </c>
      <c r="K20" s="45" t="s">
        <v>36</v>
      </c>
      <c r="L20" s="45" t="s">
        <v>36</v>
      </c>
      <c r="M20" s="46" t="s">
        <v>36</v>
      </c>
      <c r="N20" s="46" t="s">
        <v>36</v>
      </c>
      <c r="O20" s="46" t="s">
        <v>36</v>
      </c>
      <c r="P20" s="47" t="s">
        <v>35</v>
      </c>
      <c r="Q20" s="47" t="s">
        <v>35</v>
      </c>
      <c r="R20" s="47" t="s">
        <v>35</v>
      </c>
      <c r="S20" s="48" t="s">
        <v>36</v>
      </c>
      <c r="T20" s="48" t="s">
        <v>36</v>
      </c>
      <c r="U20" s="48" t="s">
        <v>36</v>
      </c>
      <c r="V20" s="45" t="s">
        <v>36</v>
      </c>
      <c r="W20" s="5" t="s">
        <v>96</v>
      </c>
      <c r="X20" s="5" t="s">
        <v>68</v>
      </c>
      <c r="Y20" s="5"/>
      <c r="Z20" s="5" t="s">
        <v>19334</v>
      </c>
      <c r="AA20" s="6">
        <v>3480.0</v>
      </c>
    </row>
    <row r="21" ht="56.25" customHeight="1">
      <c r="A21" s="6">
        <v>50.0</v>
      </c>
      <c r="B21" s="5" t="s">
        <v>19335</v>
      </c>
      <c r="C21" s="6" t="str">
        <f>IMAGE("https://i.imgur.com/do5qspI.png")</f>
        <v/>
      </c>
      <c r="D21" s="6" t="str">
        <f>IMAGE("https://storage.googleapis.com/acdb/bugs/FtrInsectFunkorogashi.png")</f>
        <v/>
      </c>
      <c r="E21" s="6">
        <v>3000.0</v>
      </c>
      <c r="F21" s="5" t="s">
        <v>19341</v>
      </c>
      <c r="G21" s="5" t="s">
        <v>19248</v>
      </c>
      <c r="H21" s="5" t="s">
        <v>19249</v>
      </c>
      <c r="I21" s="8" t="s">
        <v>19250</v>
      </c>
      <c r="J21" s="8" t="s">
        <v>19250</v>
      </c>
      <c r="K21" s="45" t="s">
        <v>35</v>
      </c>
      <c r="L21" s="45" t="s">
        <v>35</v>
      </c>
      <c r="M21" s="46" t="s">
        <v>36</v>
      </c>
      <c r="N21" s="46" t="s">
        <v>36</v>
      </c>
      <c r="O21" s="46" t="s">
        <v>36</v>
      </c>
      <c r="P21" s="47" t="s">
        <v>36</v>
      </c>
      <c r="Q21" s="47" t="s">
        <v>36</v>
      </c>
      <c r="R21" s="47" t="s">
        <v>36</v>
      </c>
      <c r="S21" s="48" t="s">
        <v>36</v>
      </c>
      <c r="T21" s="48" t="s">
        <v>36</v>
      </c>
      <c r="U21" s="48" t="s">
        <v>36</v>
      </c>
      <c r="V21" s="45" t="s">
        <v>35</v>
      </c>
      <c r="W21" s="5" t="s">
        <v>54</v>
      </c>
      <c r="X21" s="5" t="s">
        <v>38</v>
      </c>
      <c r="Y21" s="5"/>
      <c r="Z21" s="5" t="s">
        <v>19343</v>
      </c>
      <c r="AA21" s="6">
        <v>604.0</v>
      </c>
    </row>
    <row r="22" ht="56.25" customHeight="1">
      <c r="A22" s="6">
        <v>51.0</v>
      </c>
      <c r="B22" s="5" t="s">
        <v>19344</v>
      </c>
      <c r="C22" s="6" t="str">
        <f>IMAGE("https://i.imgur.com/udoevWx.png")</f>
        <v/>
      </c>
      <c r="D22" s="6" t="str">
        <f>IMAGE("https://storage.googleapis.com/acdb/bugs/FtrInsectSenchikogane.png")</f>
        <v/>
      </c>
      <c r="E22" s="6">
        <v>300.0</v>
      </c>
      <c r="F22" s="5" t="s">
        <v>19255</v>
      </c>
      <c r="G22" s="5" t="s">
        <v>19248</v>
      </c>
      <c r="H22" s="5" t="s">
        <v>19249</v>
      </c>
      <c r="I22" s="8" t="s">
        <v>19250</v>
      </c>
      <c r="J22" s="8" t="s">
        <v>19250</v>
      </c>
      <c r="K22" s="45" t="s">
        <v>36</v>
      </c>
      <c r="L22" s="45" t="s">
        <v>36</v>
      </c>
      <c r="M22" s="46" t="s">
        <v>36</v>
      </c>
      <c r="N22" s="46" t="s">
        <v>36</v>
      </c>
      <c r="O22" s="46" t="s">
        <v>36</v>
      </c>
      <c r="P22" s="47" t="s">
        <v>36</v>
      </c>
      <c r="Q22" s="47" t="s">
        <v>35</v>
      </c>
      <c r="R22" s="47" t="s">
        <v>35</v>
      </c>
      <c r="S22" s="48" t="s">
        <v>35</v>
      </c>
      <c r="T22" s="48" t="s">
        <v>36</v>
      </c>
      <c r="U22" s="48" t="s">
        <v>36</v>
      </c>
      <c r="V22" s="45" t="s">
        <v>36</v>
      </c>
      <c r="W22" s="5" t="s">
        <v>106</v>
      </c>
      <c r="X22" s="5" t="s">
        <v>142</v>
      </c>
      <c r="Y22" s="5"/>
      <c r="Z22" s="5" t="s">
        <v>19350</v>
      </c>
      <c r="AA22" s="6">
        <v>614.0</v>
      </c>
    </row>
    <row r="23" ht="56.25" customHeight="1">
      <c r="A23" s="6">
        <v>9.0</v>
      </c>
      <c r="B23" s="5" t="s">
        <v>19351</v>
      </c>
      <c r="C23" s="6" t="str">
        <f>IMAGE("https://i.imgur.com/GOu3ROJ.png")</f>
        <v/>
      </c>
      <c r="D23" s="6" t="str">
        <f>IMAGE("https://storage.googleapis.com/acdb/bugs/FtrInsectMorufuocho.png")</f>
        <v/>
      </c>
      <c r="E23" s="6">
        <v>4000.0</v>
      </c>
      <c r="F23" s="43" t="s">
        <v>19231</v>
      </c>
      <c r="G23" s="5" t="s">
        <v>19235</v>
      </c>
      <c r="H23" s="43" t="s">
        <v>19236</v>
      </c>
      <c r="I23" s="44">
        <v>0.7083333333333334</v>
      </c>
      <c r="J23" s="44">
        <v>0.3333333333333333</v>
      </c>
      <c r="K23" s="45" t="s">
        <v>35</v>
      </c>
      <c r="L23" s="45" t="s">
        <v>35</v>
      </c>
      <c r="M23" s="46" t="s">
        <v>35</v>
      </c>
      <c r="N23" s="46" t="s">
        <v>36</v>
      </c>
      <c r="O23" s="46" t="s">
        <v>36</v>
      </c>
      <c r="P23" s="47" t="s">
        <v>35</v>
      </c>
      <c r="Q23" s="47" t="s">
        <v>35</v>
      </c>
      <c r="R23" s="47" t="s">
        <v>35</v>
      </c>
      <c r="S23" s="48" t="s">
        <v>35</v>
      </c>
      <c r="T23" s="48" t="s">
        <v>36</v>
      </c>
      <c r="U23" s="48" t="s">
        <v>36</v>
      </c>
      <c r="V23" s="45" t="s">
        <v>35</v>
      </c>
      <c r="W23" s="5" t="s">
        <v>68</v>
      </c>
      <c r="X23" s="5" t="s">
        <v>142</v>
      </c>
      <c r="Y23" s="5"/>
      <c r="Z23" s="5" t="s">
        <v>19354</v>
      </c>
      <c r="AA23" s="6">
        <v>627.0</v>
      </c>
    </row>
    <row r="24" ht="56.25" customHeight="1">
      <c r="A24" s="6">
        <v>30.0</v>
      </c>
      <c r="B24" s="5" t="s">
        <v>19355</v>
      </c>
      <c r="C24" s="6" t="str">
        <f>IMAGE("https://i.imgur.com/B8LqTef.png")</f>
        <v/>
      </c>
      <c r="D24" s="6" t="str">
        <f>IMAGE("https://storage.googleapis.com/acdb/bugs/FtrInsectHigurashi.png")</f>
        <v/>
      </c>
      <c r="E24" s="6">
        <v>550.0</v>
      </c>
      <c r="F24" s="5" t="s">
        <v>19288</v>
      </c>
      <c r="G24" s="5" t="s">
        <v>19248</v>
      </c>
      <c r="H24" s="5" t="s">
        <v>19249</v>
      </c>
      <c r="I24" s="8" t="s">
        <v>19356</v>
      </c>
      <c r="J24" s="8" t="s">
        <v>19357</v>
      </c>
      <c r="K24" s="45" t="s">
        <v>36</v>
      </c>
      <c r="L24" s="45" t="s">
        <v>36</v>
      </c>
      <c r="M24" s="46" t="s">
        <v>36</v>
      </c>
      <c r="N24" s="46" t="s">
        <v>36</v>
      </c>
      <c r="O24" s="46" t="s">
        <v>36</v>
      </c>
      <c r="P24" s="47" t="s">
        <v>36</v>
      </c>
      <c r="Q24" s="47" t="s">
        <v>35</v>
      </c>
      <c r="R24" s="47" t="s">
        <v>35</v>
      </c>
      <c r="S24" s="48" t="s">
        <v>36</v>
      </c>
      <c r="T24" s="48" t="s">
        <v>36</v>
      </c>
      <c r="U24" s="48" t="s">
        <v>36</v>
      </c>
      <c r="V24" s="45" t="s">
        <v>36</v>
      </c>
      <c r="W24" s="5" t="s">
        <v>54</v>
      </c>
      <c r="X24" s="5" t="s">
        <v>142</v>
      </c>
      <c r="Y24" s="5"/>
      <c r="Z24" s="5" t="s">
        <v>19358</v>
      </c>
      <c r="AA24" s="6">
        <v>601.0</v>
      </c>
    </row>
    <row r="25" ht="56.25" customHeight="1">
      <c r="A25" s="6">
        <v>36.0</v>
      </c>
      <c r="B25" s="5" t="s">
        <v>19359</v>
      </c>
      <c r="C25" s="6" t="str">
        <f>IMAGE("https://i.imgur.com/Xk1DzDj.png")</f>
        <v/>
      </c>
      <c r="D25" s="6" t="str">
        <f>IMAGE("https://storage.googleapis.com/acdb/bugs/FtrInsectHotaru.png")</f>
        <v/>
      </c>
      <c r="E25" s="6">
        <v>300.0</v>
      </c>
      <c r="F25" s="43" t="s">
        <v>19266</v>
      </c>
      <c r="G25" s="5" t="s">
        <v>19235</v>
      </c>
      <c r="H25" s="43" t="s">
        <v>19249</v>
      </c>
      <c r="I25" s="44">
        <v>0.7916666666666666</v>
      </c>
      <c r="J25" s="44">
        <v>0.16666666666666666</v>
      </c>
      <c r="K25" s="45" t="s">
        <v>36</v>
      </c>
      <c r="L25" s="45" t="s">
        <v>36</v>
      </c>
      <c r="M25" s="46" t="s">
        <v>36</v>
      </c>
      <c r="N25" s="46" t="s">
        <v>36</v>
      </c>
      <c r="O25" s="46" t="s">
        <v>36</v>
      </c>
      <c r="P25" s="47" t="s">
        <v>35</v>
      </c>
      <c r="Q25" s="47" t="s">
        <v>36</v>
      </c>
      <c r="R25" s="47" t="s">
        <v>36</v>
      </c>
      <c r="S25" s="48" t="s">
        <v>36</v>
      </c>
      <c r="T25" s="48" t="s">
        <v>36</v>
      </c>
      <c r="U25" s="48" t="s">
        <v>36</v>
      </c>
      <c r="V25" s="45" t="s">
        <v>36</v>
      </c>
      <c r="W25" s="5" t="s">
        <v>54</v>
      </c>
      <c r="X25" s="5" t="s">
        <v>68</v>
      </c>
      <c r="Y25" s="5"/>
      <c r="Z25" s="5" t="s">
        <v>19362</v>
      </c>
      <c r="AA25" s="6">
        <v>603.0</v>
      </c>
    </row>
    <row r="26" ht="56.25" customHeight="1">
      <c r="A26" s="6">
        <v>74.0</v>
      </c>
      <c r="B26" s="5" t="s">
        <v>19363</v>
      </c>
      <c r="C26" s="6" t="str">
        <f>IMAGE("https://i.imgur.com/sELZcgj.png")</f>
        <v/>
      </c>
      <c r="D26" s="6" t="str">
        <f>IMAGE("https://storage.googleapis.com/acdb/bugs/FtrInsectNomi.png")</f>
        <v/>
      </c>
      <c r="E26" s="6">
        <v>70.0</v>
      </c>
      <c r="F26" s="5" t="s">
        <v>19364</v>
      </c>
      <c r="G26" s="5" t="s">
        <v>19248</v>
      </c>
      <c r="H26" s="5" t="s">
        <v>19249</v>
      </c>
      <c r="I26" s="8" t="s">
        <v>19250</v>
      </c>
      <c r="J26" s="8" t="s">
        <v>19250</v>
      </c>
      <c r="K26" s="45" t="s">
        <v>36</v>
      </c>
      <c r="L26" s="45" t="s">
        <v>36</v>
      </c>
      <c r="M26" s="46" t="s">
        <v>36</v>
      </c>
      <c r="N26" s="46" t="s">
        <v>35</v>
      </c>
      <c r="O26" s="46" t="s">
        <v>35</v>
      </c>
      <c r="P26" s="47" t="s">
        <v>35</v>
      </c>
      <c r="Q26" s="47" t="s">
        <v>35</v>
      </c>
      <c r="R26" s="47" t="s">
        <v>35</v>
      </c>
      <c r="S26" s="48" t="s">
        <v>35</v>
      </c>
      <c r="T26" s="48" t="s">
        <v>35</v>
      </c>
      <c r="U26" s="48" t="s">
        <v>35</v>
      </c>
      <c r="V26" s="45" t="s">
        <v>36</v>
      </c>
      <c r="W26" s="5" t="s">
        <v>39</v>
      </c>
      <c r="X26" s="5" t="s">
        <v>57</v>
      </c>
      <c r="Y26" s="5"/>
      <c r="Z26" s="5" t="s">
        <v>19369</v>
      </c>
      <c r="AA26" s="6">
        <v>633.0</v>
      </c>
    </row>
    <row r="27" ht="56.25" customHeight="1">
      <c r="A27" s="6">
        <v>72.0</v>
      </c>
      <c r="B27" s="5" t="s">
        <v>19371</v>
      </c>
      <c r="C27" s="6" t="str">
        <f>IMAGE("https://i.imgur.com/5IGebtQ.png")</f>
        <v/>
      </c>
      <c r="D27" s="6" t="str">
        <f>IMAGE("https://storage.googleapis.com/acdb/bugs/FtrInsectHae.png")</f>
        <v/>
      </c>
      <c r="E27" s="6">
        <v>60.0</v>
      </c>
      <c r="F27" s="5" t="s">
        <v>19372</v>
      </c>
      <c r="G27" s="5" t="s">
        <v>19248</v>
      </c>
      <c r="H27" s="5" t="s">
        <v>19249</v>
      </c>
      <c r="I27" s="8" t="s">
        <v>19250</v>
      </c>
      <c r="J27" s="8" t="s">
        <v>19250</v>
      </c>
      <c r="K27" s="45" t="s">
        <v>35</v>
      </c>
      <c r="L27" s="45" t="s">
        <v>35</v>
      </c>
      <c r="M27" s="46" t="s">
        <v>35</v>
      </c>
      <c r="N27" s="46" t="s">
        <v>35</v>
      </c>
      <c r="O27" s="46" t="s">
        <v>35</v>
      </c>
      <c r="P27" s="47" t="s">
        <v>35</v>
      </c>
      <c r="Q27" s="47" t="s">
        <v>35</v>
      </c>
      <c r="R27" s="47" t="s">
        <v>35</v>
      </c>
      <c r="S27" s="48" t="s">
        <v>35</v>
      </c>
      <c r="T27" s="48" t="s">
        <v>35</v>
      </c>
      <c r="U27" s="48" t="s">
        <v>35</v>
      </c>
      <c r="V27" s="45" t="s">
        <v>35</v>
      </c>
      <c r="W27" s="5" t="s">
        <v>54</v>
      </c>
      <c r="X27" s="5" t="s">
        <v>57</v>
      </c>
      <c r="Y27" s="5"/>
      <c r="Z27" s="5" t="s">
        <v>19373</v>
      </c>
      <c r="AA27" s="6">
        <v>597.0</v>
      </c>
    </row>
    <row r="28" ht="56.25" customHeight="1">
      <c r="A28" s="6">
        <v>28.0</v>
      </c>
      <c r="B28" s="5" t="s">
        <v>19374</v>
      </c>
      <c r="C28" s="6" t="str">
        <f>IMAGE("https://i.imgur.com/TcYs64H.png")</f>
        <v/>
      </c>
      <c r="D28" s="6" t="str">
        <f>IMAGE("https://storage.googleapis.com/acdb/bugs/FtrInsectKumazemi.png")</f>
        <v/>
      </c>
      <c r="E28" s="6">
        <v>500.0</v>
      </c>
      <c r="F28" s="43" t="s">
        <v>19288</v>
      </c>
      <c r="G28" s="43" t="s">
        <v>19248</v>
      </c>
      <c r="H28" s="43" t="s">
        <v>19236</v>
      </c>
      <c r="I28" s="44">
        <v>0.3333333333333333</v>
      </c>
      <c r="J28" s="44">
        <v>0.7083333333333334</v>
      </c>
      <c r="K28" s="45" t="s">
        <v>36</v>
      </c>
      <c r="L28" s="45" t="s">
        <v>36</v>
      </c>
      <c r="M28" s="46" t="s">
        <v>36</v>
      </c>
      <c r="N28" s="46" t="s">
        <v>36</v>
      </c>
      <c r="O28" s="46" t="s">
        <v>36</v>
      </c>
      <c r="P28" s="47" t="s">
        <v>36</v>
      </c>
      <c r="Q28" s="47" t="s">
        <v>35</v>
      </c>
      <c r="R28" s="47" t="s">
        <v>35</v>
      </c>
      <c r="S28" s="48" t="s">
        <v>36</v>
      </c>
      <c r="T28" s="48" t="s">
        <v>36</v>
      </c>
      <c r="U28" s="48" t="s">
        <v>36</v>
      </c>
      <c r="V28" s="45" t="s">
        <v>36</v>
      </c>
      <c r="W28" s="5" t="s">
        <v>54</v>
      </c>
      <c r="X28" s="5" t="s">
        <v>114</v>
      </c>
      <c r="Y28" s="5"/>
      <c r="Z28" s="5" t="s">
        <v>19375</v>
      </c>
      <c r="AA28" s="6">
        <v>618.0</v>
      </c>
    </row>
    <row r="29" ht="56.25" customHeight="1">
      <c r="A29" s="6">
        <v>57.0</v>
      </c>
      <c r="B29" s="5" t="s">
        <v>19376</v>
      </c>
      <c r="C29" s="6" t="str">
        <f>IMAGE("https://i.imgur.com/DLn2MOI.png")</f>
        <v/>
      </c>
      <c r="D29" s="6" t="str">
        <f>IMAGE("https://storage.googleapis.com/acdb/bugs/FtrInsectOhkuwagata.png")</f>
        <v/>
      </c>
      <c r="E29" s="6">
        <v>10000.0</v>
      </c>
      <c r="F29" s="43" t="s">
        <v>19255</v>
      </c>
      <c r="G29" s="43" t="s">
        <v>19248</v>
      </c>
      <c r="H29" s="43" t="s">
        <v>19267</v>
      </c>
      <c r="I29" s="44">
        <v>0.9583333333333334</v>
      </c>
      <c r="J29" s="44">
        <v>0.3333333333333333</v>
      </c>
      <c r="K29" s="45" t="s">
        <v>36</v>
      </c>
      <c r="L29" s="45" t="s">
        <v>36</v>
      </c>
      <c r="M29" s="46" t="s">
        <v>36</v>
      </c>
      <c r="N29" s="46" t="s">
        <v>36</v>
      </c>
      <c r="O29" s="46" t="s">
        <v>36</v>
      </c>
      <c r="P29" s="47" t="s">
        <v>36</v>
      </c>
      <c r="Q29" s="47" t="s">
        <v>35</v>
      </c>
      <c r="R29" s="47" t="s">
        <v>35</v>
      </c>
      <c r="S29" s="48" t="s">
        <v>36</v>
      </c>
      <c r="T29" s="48" t="s">
        <v>36</v>
      </c>
      <c r="U29" s="48" t="s">
        <v>36</v>
      </c>
      <c r="V29" s="45" t="s">
        <v>36</v>
      </c>
      <c r="W29" s="5" t="s">
        <v>54</v>
      </c>
      <c r="X29" s="5" t="s">
        <v>54</v>
      </c>
      <c r="Y29" s="5"/>
      <c r="Z29" s="5" t="s">
        <v>19377</v>
      </c>
      <c r="AA29" s="6">
        <v>637.0</v>
      </c>
    </row>
    <row r="30" ht="56.25" customHeight="1">
      <c r="A30" s="6">
        <v>40.0</v>
      </c>
      <c r="B30" s="5" t="s">
        <v>19378</v>
      </c>
      <c r="C30" s="6" t="str">
        <f>IMAGE("https://i.imgur.com/nArNnTA.png")</f>
        <v/>
      </c>
      <c r="D30" s="6" t="str">
        <f>IMAGE("https://storage.googleapis.com/acdb/bugs/FtrInsectTagame.png")</f>
        <v/>
      </c>
      <c r="E30" s="6">
        <v>2000.0</v>
      </c>
      <c r="F30" s="43" t="s">
        <v>19331</v>
      </c>
      <c r="G30" s="43" t="s">
        <v>19248</v>
      </c>
      <c r="H30" s="43" t="s">
        <v>19267</v>
      </c>
      <c r="I30" s="44">
        <v>0.7916666666666666</v>
      </c>
      <c r="J30" s="44">
        <v>0.3333333333333333</v>
      </c>
      <c r="K30" s="45" t="s">
        <v>36</v>
      </c>
      <c r="L30" s="45" t="s">
        <v>36</v>
      </c>
      <c r="M30" s="46" t="s">
        <v>36</v>
      </c>
      <c r="N30" s="46" t="s">
        <v>35</v>
      </c>
      <c r="O30" s="46" t="s">
        <v>35</v>
      </c>
      <c r="P30" s="47" t="s">
        <v>35</v>
      </c>
      <c r="Q30" s="47" t="s">
        <v>35</v>
      </c>
      <c r="R30" s="47" t="s">
        <v>35</v>
      </c>
      <c r="S30" s="48" t="s">
        <v>35</v>
      </c>
      <c r="T30" s="48" t="s">
        <v>36</v>
      </c>
      <c r="U30" s="48" t="s">
        <v>36</v>
      </c>
      <c r="V30" s="45" t="s">
        <v>36</v>
      </c>
      <c r="W30" s="5" t="s">
        <v>39</v>
      </c>
      <c r="X30" s="5" t="s">
        <v>68</v>
      </c>
      <c r="Y30" s="5"/>
      <c r="Z30" s="5" t="s">
        <v>19380</v>
      </c>
      <c r="AA30" s="6">
        <v>5157.0</v>
      </c>
    </row>
    <row r="31" ht="56.25" customHeight="1">
      <c r="A31" s="6">
        <v>61.0</v>
      </c>
      <c r="B31" s="5" t="s">
        <v>19381</v>
      </c>
      <c r="C31" s="6" t="str">
        <f>IMAGE("https://i.imgur.com/3mxmDI3.png")</f>
        <v/>
      </c>
      <c r="D31" s="6" t="str">
        <f>IMAGE("https://storage.googleapis.com/acdb/bugs/FtrInsectGirafanokogirikuwagata.png")</f>
        <v/>
      </c>
      <c r="E31" s="6">
        <v>12000.0</v>
      </c>
      <c r="F31" s="43" t="s">
        <v>19282</v>
      </c>
      <c r="G31" s="43" t="s">
        <v>19248</v>
      </c>
      <c r="H31" s="43" t="s">
        <v>19323</v>
      </c>
      <c r="I31" s="44">
        <v>0.7083333333333334</v>
      </c>
      <c r="J31" s="44">
        <v>0.3333333333333333</v>
      </c>
      <c r="K31" s="45" t="s">
        <v>36</v>
      </c>
      <c r="L31" s="45" t="s">
        <v>36</v>
      </c>
      <c r="M31" s="46" t="s">
        <v>36</v>
      </c>
      <c r="N31" s="46" t="s">
        <v>36</v>
      </c>
      <c r="O31" s="46" t="s">
        <v>36</v>
      </c>
      <c r="P31" s="47" t="s">
        <v>36</v>
      </c>
      <c r="Q31" s="47" t="s">
        <v>35</v>
      </c>
      <c r="R31" s="47" t="s">
        <v>35</v>
      </c>
      <c r="S31" s="48" t="s">
        <v>36</v>
      </c>
      <c r="T31" s="48" t="s">
        <v>36</v>
      </c>
      <c r="U31" s="48" t="s">
        <v>36</v>
      </c>
      <c r="V31" s="45" t="s">
        <v>36</v>
      </c>
      <c r="W31" s="5" t="s">
        <v>54</v>
      </c>
      <c r="X31" s="5" t="s">
        <v>54</v>
      </c>
      <c r="Y31" s="5"/>
      <c r="Z31" s="5" t="s">
        <v>19383</v>
      </c>
      <c r="AA31" s="6">
        <v>3482.0</v>
      </c>
    </row>
    <row r="32" ht="56.25" customHeight="1">
      <c r="A32" s="6">
        <v>60.0</v>
      </c>
      <c r="B32" s="5" t="s">
        <v>19385</v>
      </c>
      <c r="C32" s="6" t="str">
        <f>IMAGE("https://i.imgur.com/AhqZkc1.png")</f>
        <v/>
      </c>
      <c r="D32" s="6" t="str">
        <f>IMAGE("https://storage.googleapis.com/acdb/bugs/FtrInsectOugononikuwagata.png")</f>
        <v/>
      </c>
      <c r="E32" s="6">
        <v>12000.0</v>
      </c>
      <c r="F32" s="43" t="s">
        <v>19282</v>
      </c>
      <c r="G32" s="43" t="s">
        <v>19248</v>
      </c>
      <c r="H32" s="43" t="s">
        <v>19323</v>
      </c>
      <c r="I32" s="44">
        <v>0.7083333333333334</v>
      </c>
      <c r="J32" s="44">
        <v>0.3333333333333333</v>
      </c>
      <c r="K32" s="45" t="s">
        <v>36</v>
      </c>
      <c r="L32" s="45" t="s">
        <v>36</v>
      </c>
      <c r="M32" s="46" t="s">
        <v>36</v>
      </c>
      <c r="N32" s="46" t="s">
        <v>36</v>
      </c>
      <c r="O32" s="46" t="s">
        <v>36</v>
      </c>
      <c r="P32" s="47" t="s">
        <v>36</v>
      </c>
      <c r="Q32" s="47" t="s">
        <v>35</v>
      </c>
      <c r="R32" s="47" t="s">
        <v>35</v>
      </c>
      <c r="S32" s="48" t="s">
        <v>36</v>
      </c>
      <c r="T32" s="48" t="s">
        <v>36</v>
      </c>
      <c r="U32" s="48" t="s">
        <v>36</v>
      </c>
      <c r="V32" s="45" t="s">
        <v>36</v>
      </c>
      <c r="W32" s="5" t="s">
        <v>54</v>
      </c>
      <c r="X32" s="5" t="s">
        <v>114</v>
      </c>
      <c r="Y32" s="5"/>
      <c r="Z32" s="5" t="s">
        <v>19386</v>
      </c>
      <c r="AA32" s="6">
        <v>638.0</v>
      </c>
    </row>
    <row r="33" ht="56.25" customHeight="1">
      <c r="A33" s="6">
        <v>54.0</v>
      </c>
      <c r="B33" s="5" t="s">
        <v>19387</v>
      </c>
      <c r="C33" s="6" t="str">
        <f>IMAGE("https://i.imgur.com/lrM07Gm.png")</f>
        <v/>
      </c>
      <c r="D33" s="6" t="str">
        <f>IMAGE("https://storage.googleapis.com/acdb/bugs/FtrInsectGoraiasuohtsunohanamuguri.png")</f>
        <v/>
      </c>
      <c r="E33" s="6">
        <v>8000.0</v>
      </c>
      <c r="F33" s="43" t="s">
        <v>19282</v>
      </c>
      <c r="G33" s="43" t="s">
        <v>19248</v>
      </c>
      <c r="H33" s="43" t="s">
        <v>19323</v>
      </c>
      <c r="I33" s="44">
        <v>0.7083333333333334</v>
      </c>
      <c r="J33" s="44">
        <v>0.3333333333333333</v>
      </c>
      <c r="K33" s="45" t="s">
        <v>36</v>
      </c>
      <c r="L33" s="45" t="s">
        <v>36</v>
      </c>
      <c r="M33" s="46" t="s">
        <v>36</v>
      </c>
      <c r="N33" s="46" t="s">
        <v>36</v>
      </c>
      <c r="O33" s="46" t="s">
        <v>36</v>
      </c>
      <c r="P33" s="47" t="s">
        <v>35</v>
      </c>
      <c r="Q33" s="47" t="s">
        <v>35</v>
      </c>
      <c r="R33" s="47" t="s">
        <v>35</v>
      </c>
      <c r="S33" s="48" t="s">
        <v>35</v>
      </c>
      <c r="T33" s="48" t="s">
        <v>36</v>
      </c>
      <c r="U33" s="48" t="s">
        <v>36</v>
      </c>
      <c r="V33" s="45" t="s">
        <v>36</v>
      </c>
      <c r="W33" s="5" t="s">
        <v>52</v>
      </c>
      <c r="X33" s="5" t="s">
        <v>54</v>
      </c>
      <c r="Y33" s="5"/>
      <c r="Z33" s="5" t="s">
        <v>19390</v>
      </c>
      <c r="AA33" s="6">
        <v>596.0</v>
      </c>
    </row>
    <row r="34" ht="56.25" customHeight="1">
      <c r="A34" s="6">
        <v>19.0</v>
      </c>
      <c r="B34" s="5" t="s">
        <v>19391</v>
      </c>
      <c r="C34" s="6" t="str">
        <f>IMAGE("https://i.imgur.com/be8vY9O.png")</f>
        <v/>
      </c>
      <c r="D34" s="6" t="str">
        <f>IMAGE("https://storage.googleapis.com/acdb/bugs/FtrInsectKirigirisu.png")</f>
        <v/>
      </c>
      <c r="E34" s="6">
        <v>160.0</v>
      </c>
      <c r="F34" s="43" t="s">
        <v>19273</v>
      </c>
      <c r="G34" s="5" t="s">
        <v>19235</v>
      </c>
      <c r="H34" s="43" t="s">
        <v>19249</v>
      </c>
      <c r="I34" s="44">
        <v>0.3333333333333333</v>
      </c>
      <c r="J34" s="44">
        <v>0.7083333333333334</v>
      </c>
      <c r="K34" s="45" t="s">
        <v>36</v>
      </c>
      <c r="L34" s="45" t="s">
        <v>36</v>
      </c>
      <c r="M34" s="46" t="s">
        <v>36</v>
      </c>
      <c r="N34" s="46" t="s">
        <v>36</v>
      </c>
      <c r="O34" s="46" t="s">
        <v>36</v>
      </c>
      <c r="P34" s="47" t="s">
        <v>36</v>
      </c>
      <c r="Q34" s="47" t="s">
        <v>35</v>
      </c>
      <c r="R34" s="47" t="s">
        <v>35</v>
      </c>
      <c r="S34" s="48" t="s">
        <v>35</v>
      </c>
      <c r="T34" s="48" t="s">
        <v>36</v>
      </c>
      <c r="U34" s="48" t="s">
        <v>36</v>
      </c>
      <c r="V34" s="45" t="s">
        <v>36</v>
      </c>
      <c r="W34" s="5" t="s">
        <v>96</v>
      </c>
      <c r="X34" s="5" t="s">
        <v>38</v>
      </c>
      <c r="Y34" s="5"/>
      <c r="Z34" s="5" t="s">
        <v>19394</v>
      </c>
      <c r="AA34" s="6">
        <v>613.0</v>
      </c>
    </row>
    <row r="35" ht="56.25" customHeight="1">
      <c r="A35" s="6">
        <v>7.0</v>
      </c>
      <c r="B35" s="5" t="s">
        <v>19395</v>
      </c>
      <c r="C35" s="6" t="str">
        <f>IMAGE("https://i.imgur.com/FE0hXTo.png)")</f>
        <v/>
      </c>
      <c r="D35" s="6" t="str">
        <f>IMAGE("https://storage.googleapis.com/acdb/bugs/FtrInsectOhmurasaki.png")</f>
        <v/>
      </c>
      <c r="E35" s="6">
        <v>3000.0</v>
      </c>
      <c r="F35" s="43" t="s">
        <v>19231</v>
      </c>
      <c r="G35" s="5" t="s">
        <v>19235</v>
      </c>
      <c r="H35" s="43" t="s">
        <v>19267</v>
      </c>
      <c r="I35" s="44">
        <v>0.16666666666666666</v>
      </c>
      <c r="J35" s="44">
        <v>0.7916666666666666</v>
      </c>
      <c r="K35" s="45" t="s">
        <v>36</v>
      </c>
      <c r="L35" s="45" t="s">
        <v>36</v>
      </c>
      <c r="M35" s="46" t="s">
        <v>36</v>
      </c>
      <c r="N35" s="46" t="s">
        <v>36</v>
      </c>
      <c r="O35" s="46" t="s">
        <v>35</v>
      </c>
      <c r="P35" s="47" t="s">
        <v>35</v>
      </c>
      <c r="Q35" s="47" t="s">
        <v>35</v>
      </c>
      <c r="R35" s="47" t="s">
        <v>35</v>
      </c>
      <c r="S35" s="48" t="s">
        <v>36</v>
      </c>
      <c r="T35" s="48" t="s">
        <v>36</v>
      </c>
      <c r="U35" s="48" t="s">
        <v>36</v>
      </c>
      <c r="V35" s="45" t="s">
        <v>36</v>
      </c>
      <c r="W35" s="5" t="s">
        <v>106</v>
      </c>
      <c r="X35" s="5" t="s">
        <v>142</v>
      </c>
      <c r="Y35" s="5"/>
      <c r="Z35" s="5" t="s">
        <v>19402</v>
      </c>
      <c r="AA35" s="6">
        <v>3479.0</v>
      </c>
    </row>
    <row r="36" ht="56.25" customHeight="1">
      <c r="A36" s="6">
        <v>70.0</v>
      </c>
      <c r="B36" s="5" t="s">
        <v>19403</v>
      </c>
      <c r="C36" s="6" t="str">
        <f>IMAGE("https://i.imgur.com/IOU0u6G.png")</f>
        <v/>
      </c>
      <c r="D36" s="6" t="str">
        <f>IMAGE("https://storage.googleapis.com/acdb/bugs/FtrInsectYadokari.png")</f>
        <v/>
      </c>
      <c r="E36" s="6">
        <v>1000.0</v>
      </c>
      <c r="F36" s="5" t="s">
        <v>19406</v>
      </c>
      <c r="G36" s="43" t="s">
        <v>19248</v>
      </c>
      <c r="H36" s="43" t="s">
        <v>19249</v>
      </c>
      <c r="I36" s="44">
        <v>0.7916666666666666</v>
      </c>
      <c r="J36" s="44">
        <v>0.3333333333333333</v>
      </c>
      <c r="K36" s="45" t="s">
        <v>35</v>
      </c>
      <c r="L36" s="45" t="s">
        <v>35</v>
      </c>
      <c r="M36" s="46" t="s">
        <v>35</v>
      </c>
      <c r="N36" s="46" t="s">
        <v>35</v>
      </c>
      <c r="O36" s="46" t="s">
        <v>35</v>
      </c>
      <c r="P36" s="47" t="s">
        <v>35</v>
      </c>
      <c r="Q36" s="47" t="s">
        <v>35</v>
      </c>
      <c r="R36" s="47" t="s">
        <v>35</v>
      </c>
      <c r="S36" s="48" t="s">
        <v>35</v>
      </c>
      <c r="T36" s="48" t="s">
        <v>35</v>
      </c>
      <c r="U36" s="48" t="s">
        <v>35</v>
      </c>
      <c r="V36" s="45" t="s">
        <v>35</v>
      </c>
      <c r="W36" s="5" t="s">
        <v>38</v>
      </c>
      <c r="X36" s="5" t="s">
        <v>69</v>
      </c>
      <c r="Y36" s="5"/>
      <c r="Z36" s="5" t="s">
        <v>19409</v>
      </c>
      <c r="AA36" s="6">
        <v>651.0</v>
      </c>
    </row>
    <row r="37" ht="56.25" customHeight="1">
      <c r="A37" s="6">
        <v>24.0</v>
      </c>
      <c r="B37" s="5" t="s">
        <v>19410</v>
      </c>
      <c r="C37" s="6" t="str">
        <f>IMAGE("https://i.imgur.com/AGRdV4A.png")</f>
        <v/>
      </c>
      <c r="D37" s="6" t="str">
        <f>IMAGE("https://storage.googleapis.com/acdb/bugs/FtrInsectMitsubachi.png")</f>
        <v/>
      </c>
      <c r="E37" s="6">
        <v>200.0</v>
      </c>
      <c r="F37" s="43" t="s">
        <v>19231</v>
      </c>
      <c r="G37" s="5" t="s">
        <v>19235</v>
      </c>
      <c r="H37" s="43" t="s">
        <v>19249</v>
      </c>
      <c r="I37" s="44">
        <v>0.3333333333333333</v>
      </c>
      <c r="J37" s="44">
        <v>0.7083333333333334</v>
      </c>
      <c r="K37" s="45" t="s">
        <v>36</v>
      </c>
      <c r="L37" s="45" t="s">
        <v>36</v>
      </c>
      <c r="M37" s="46" t="s">
        <v>35</v>
      </c>
      <c r="N37" s="46" t="s">
        <v>35</v>
      </c>
      <c r="O37" s="46" t="s">
        <v>35</v>
      </c>
      <c r="P37" s="47" t="s">
        <v>35</v>
      </c>
      <c r="Q37" s="47" t="s">
        <v>35</v>
      </c>
      <c r="R37" s="47" t="s">
        <v>36</v>
      </c>
      <c r="S37" s="48" t="s">
        <v>36</v>
      </c>
      <c r="T37" s="48" t="s">
        <v>36</v>
      </c>
      <c r="U37" s="48" t="s">
        <v>36</v>
      </c>
      <c r="V37" s="45" t="s">
        <v>36</v>
      </c>
      <c r="W37" s="5" t="s">
        <v>114</v>
      </c>
      <c r="X37" s="5" t="s">
        <v>68</v>
      </c>
      <c r="Y37" s="5"/>
      <c r="Z37" s="5" t="s">
        <v>19417</v>
      </c>
      <c r="AA37" s="6">
        <v>623.0</v>
      </c>
    </row>
    <row r="38" ht="56.25" customHeight="1">
      <c r="A38" s="6">
        <v>63.0</v>
      </c>
      <c r="B38" s="5" t="s">
        <v>19418</v>
      </c>
      <c r="C38" s="6" t="str">
        <f>IMAGE("https://i.imgur.com/uElrjYM.png")</f>
        <v/>
      </c>
      <c r="D38" s="6" t="str">
        <f>IMAGE("https://storage.googleapis.com/acdb/bugs/FtrInsectKohkasasuohkabuto.png")</f>
        <v/>
      </c>
      <c r="E38" s="6">
        <v>8000.0</v>
      </c>
      <c r="F38" s="43" t="s">
        <v>19282</v>
      </c>
      <c r="G38" s="43" t="s">
        <v>19248</v>
      </c>
      <c r="H38" s="43" t="s">
        <v>19323</v>
      </c>
      <c r="I38" s="44">
        <v>0.7083333333333334</v>
      </c>
      <c r="J38" s="44">
        <v>0.3333333333333333</v>
      </c>
      <c r="K38" s="45" t="s">
        <v>36</v>
      </c>
      <c r="L38" s="45" t="s">
        <v>36</v>
      </c>
      <c r="M38" s="46" t="s">
        <v>36</v>
      </c>
      <c r="N38" s="46" t="s">
        <v>36</v>
      </c>
      <c r="O38" s="46" t="s">
        <v>36</v>
      </c>
      <c r="P38" s="47" t="s">
        <v>36</v>
      </c>
      <c r="Q38" s="47" t="s">
        <v>35</v>
      </c>
      <c r="R38" s="47" t="s">
        <v>35</v>
      </c>
      <c r="S38" s="48" t="s">
        <v>36</v>
      </c>
      <c r="T38" s="48" t="s">
        <v>36</v>
      </c>
      <c r="U38" s="48" t="s">
        <v>36</v>
      </c>
      <c r="V38" s="45" t="s">
        <v>36</v>
      </c>
      <c r="W38" s="5" t="s">
        <v>54</v>
      </c>
      <c r="X38" s="5" t="s">
        <v>54</v>
      </c>
      <c r="Y38" s="5"/>
      <c r="Z38" s="5" t="s">
        <v>19421</v>
      </c>
      <c r="AA38" s="6">
        <v>615.0</v>
      </c>
    </row>
    <row r="39" ht="56.25" customHeight="1">
      <c r="A39" s="6">
        <v>62.0</v>
      </c>
      <c r="B39" s="5" t="s">
        <v>19422</v>
      </c>
      <c r="C39" s="6" t="str">
        <f>IMAGE("https://i.imgur.com/zubQ3UW.png")</f>
        <v/>
      </c>
      <c r="D39" s="6" t="str">
        <f>IMAGE("https://storage.googleapis.com/acdb/bugs/FtrInsectKabutomushi.png")</f>
        <v/>
      </c>
      <c r="E39" s="6">
        <v>1350.0</v>
      </c>
      <c r="F39" s="43" t="s">
        <v>19255</v>
      </c>
      <c r="G39" s="43" t="s">
        <v>19248</v>
      </c>
      <c r="H39" s="43" t="s">
        <v>19249</v>
      </c>
      <c r="I39" s="44">
        <v>0.7083333333333334</v>
      </c>
      <c r="J39" s="44">
        <v>0.3333333333333333</v>
      </c>
      <c r="K39" s="45" t="s">
        <v>36</v>
      </c>
      <c r="L39" s="45" t="s">
        <v>36</v>
      </c>
      <c r="M39" s="46" t="s">
        <v>36</v>
      </c>
      <c r="N39" s="46" t="s">
        <v>36</v>
      </c>
      <c r="O39" s="46" t="s">
        <v>36</v>
      </c>
      <c r="P39" s="47" t="s">
        <v>36</v>
      </c>
      <c r="Q39" s="47" t="s">
        <v>35</v>
      </c>
      <c r="R39" s="47" t="s">
        <v>35</v>
      </c>
      <c r="S39" s="48" t="s">
        <v>36</v>
      </c>
      <c r="T39" s="48" t="s">
        <v>36</v>
      </c>
      <c r="U39" s="48" t="s">
        <v>36</v>
      </c>
      <c r="V39" s="45" t="s">
        <v>36</v>
      </c>
      <c r="W39" s="5" t="s">
        <v>39</v>
      </c>
      <c r="X39" s="5" t="s">
        <v>54</v>
      </c>
      <c r="Y39" s="5"/>
      <c r="Z39" s="5" t="s">
        <v>19425</v>
      </c>
      <c r="AA39" s="6">
        <v>612.0</v>
      </c>
    </row>
    <row r="40" ht="56.25" customHeight="1">
      <c r="A40" s="6">
        <v>64.0</v>
      </c>
      <c r="B40" s="5" t="s">
        <v>19426</v>
      </c>
      <c r="C40" s="6" t="str">
        <f>IMAGE("https://i.imgur.com/SKsvO5S.png")</f>
        <v/>
      </c>
      <c r="D40" s="6" t="str">
        <f>IMAGE("https://storage.googleapis.com/acdb/bugs/FtrInsectZoukabuto.png")</f>
        <v/>
      </c>
      <c r="E40" s="6">
        <v>8000.0</v>
      </c>
      <c r="F40" s="43" t="s">
        <v>19282</v>
      </c>
      <c r="G40" s="43" t="s">
        <v>19248</v>
      </c>
      <c r="H40" s="43" t="s">
        <v>19323</v>
      </c>
      <c r="I40" s="44">
        <v>0.7083333333333334</v>
      </c>
      <c r="J40" s="44">
        <v>0.3333333333333333</v>
      </c>
      <c r="K40" s="45" t="s">
        <v>36</v>
      </c>
      <c r="L40" s="45" t="s">
        <v>36</v>
      </c>
      <c r="M40" s="46" t="s">
        <v>36</v>
      </c>
      <c r="N40" s="46" t="s">
        <v>36</v>
      </c>
      <c r="O40" s="46" t="s">
        <v>36</v>
      </c>
      <c r="P40" s="47" t="s">
        <v>36</v>
      </c>
      <c r="Q40" s="47" t="s">
        <v>35</v>
      </c>
      <c r="R40" s="47" t="s">
        <v>35</v>
      </c>
      <c r="S40" s="48" t="s">
        <v>36</v>
      </c>
      <c r="T40" s="48" t="s">
        <v>36</v>
      </c>
      <c r="U40" s="48" t="s">
        <v>36</v>
      </c>
      <c r="V40" s="45" t="s">
        <v>36</v>
      </c>
      <c r="W40" s="5" t="s">
        <v>38</v>
      </c>
      <c r="X40" s="5" t="s">
        <v>54</v>
      </c>
      <c r="Y40" s="5"/>
      <c r="Z40" s="5" t="s">
        <v>19428</v>
      </c>
      <c r="AA40" s="6">
        <v>653.0</v>
      </c>
    </row>
    <row r="41" ht="56.25" customHeight="1">
      <c r="A41" s="6">
        <v>65.0</v>
      </c>
      <c r="B41" s="5" t="s">
        <v>19429</v>
      </c>
      <c r="C41" s="6" t="str">
        <f>IMAGE("https://i.imgur.com/fXdjxtg.png")</f>
        <v/>
      </c>
      <c r="D41" s="6" t="str">
        <f>IMAGE("https://storage.googleapis.com/acdb/bugs/FtrInsectHerakuresuohkabuto.png")</f>
        <v/>
      </c>
      <c r="E41" s="6">
        <v>12000.0</v>
      </c>
      <c r="F41" s="43" t="s">
        <v>19282</v>
      </c>
      <c r="G41" s="43" t="s">
        <v>19248</v>
      </c>
      <c r="H41" s="43" t="s">
        <v>19323</v>
      </c>
      <c r="I41" s="44">
        <v>0.7083333333333334</v>
      </c>
      <c r="J41" s="44">
        <v>0.3333333333333333</v>
      </c>
      <c r="K41" s="45" t="s">
        <v>36</v>
      </c>
      <c r="L41" s="45" t="s">
        <v>36</v>
      </c>
      <c r="M41" s="46" t="s">
        <v>36</v>
      </c>
      <c r="N41" s="46" t="s">
        <v>36</v>
      </c>
      <c r="O41" s="46" t="s">
        <v>36</v>
      </c>
      <c r="P41" s="47" t="s">
        <v>36</v>
      </c>
      <c r="Q41" s="47" t="s">
        <v>35</v>
      </c>
      <c r="R41" s="47" t="s">
        <v>35</v>
      </c>
      <c r="S41" s="48" t="s">
        <v>36</v>
      </c>
      <c r="T41" s="48" t="s">
        <v>36</v>
      </c>
      <c r="U41" s="48" t="s">
        <v>36</v>
      </c>
      <c r="V41" s="45" t="s">
        <v>36</v>
      </c>
      <c r="W41" s="5" t="s">
        <v>114</v>
      </c>
      <c r="X41" s="5" t="s">
        <v>54</v>
      </c>
      <c r="Y41" s="5"/>
      <c r="Z41" s="5" t="s">
        <v>19430</v>
      </c>
      <c r="AA41" s="6">
        <v>600.0</v>
      </c>
    </row>
    <row r="42" ht="56.25" customHeight="1">
      <c r="A42" s="6">
        <v>45.0</v>
      </c>
      <c r="B42" s="5" t="s">
        <v>19431</v>
      </c>
      <c r="C42" s="6" t="str">
        <f>IMAGE("https://i.imgur.com/paQWEhh.png")</f>
        <v/>
      </c>
      <c r="D42" s="6" t="str">
        <f>IMAGE("https://storage.googleapis.com/acdb/bugs/FtrInsectTamamushi.png")</f>
        <v/>
      </c>
      <c r="E42" s="6">
        <v>2400.0</v>
      </c>
      <c r="F42" s="5" t="s">
        <v>19307</v>
      </c>
      <c r="G42" s="5" t="s">
        <v>19235</v>
      </c>
      <c r="H42" s="5" t="s">
        <v>19236</v>
      </c>
      <c r="I42" s="8" t="s">
        <v>19250</v>
      </c>
      <c r="J42" s="8" t="s">
        <v>19250</v>
      </c>
      <c r="K42" s="45" t="s">
        <v>36</v>
      </c>
      <c r="L42" s="45" t="s">
        <v>36</v>
      </c>
      <c r="M42" s="46" t="s">
        <v>36</v>
      </c>
      <c r="N42" s="46" t="s">
        <v>35</v>
      </c>
      <c r="O42" s="46" t="s">
        <v>35</v>
      </c>
      <c r="P42" s="47" t="s">
        <v>35</v>
      </c>
      <c r="Q42" s="47" t="s">
        <v>35</v>
      </c>
      <c r="R42" s="47" t="s">
        <v>35</v>
      </c>
      <c r="S42" s="48" t="s">
        <v>36</v>
      </c>
      <c r="T42" s="48" t="s">
        <v>36</v>
      </c>
      <c r="U42" s="48" t="s">
        <v>36</v>
      </c>
      <c r="V42" s="45" t="s">
        <v>36</v>
      </c>
      <c r="W42" s="5" t="s">
        <v>96</v>
      </c>
      <c r="X42" s="5" t="s">
        <v>54</v>
      </c>
      <c r="Y42" s="5"/>
      <c r="Z42" s="5" t="s">
        <v>19433</v>
      </c>
      <c r="AA42" s="6">
        <v>645.0</v>
      </c>
    </row>
    <row r="43" ht="56.25" customHeight="1">
      <c r="A43" s="6">
        <v>43.0</v>
      </c>
      <c r="B43" s="5" t="s">
        <v>19434</v>
      </c>
      <c r="C43" s="6" t="str">
        <f>IMAGE("https://i.imgur.com/Xvwm9Uz.png")</f>
        <v/>
      </c>
      <c r="D43" s="6" t="str">
        <f>IMAGE("https://storage.googleapis.com/acdb/bugs/FtrInsectTentoumushi.png")</f>
        <v/>
      </c>
      <c r="E43" s="6">
        <v>200.0</v>
      </c>
      <c r="F43" s="43" t="s">
        <v>19436</v>
      </c>
      <c r="G43" s="5" t="s">
        <v>19235</v>
      </c>
      <c r="H43" s="43" t="s">
        <v>19249</v>
      </c>
      <c r="I43" s="44">
        <v>0.3333333333333333</v>
      </c>
      <c r="J43" s="44">
        <v>0.7083333333333334</v>
      </c>
      <c r="K43" s="45" t="s">
        <v>36</v>
      </c>
      <c r="L43" s="45" t="s">
        <v>36</v>
      </c>
      <c r="M43" s="46" t="s">
        <v>35</v>
      </c>
      <c r="N43" s="46" t="s">
        <v>35</v>
      </c>
      <c r="O43" s="46" t="s">
        <v>35</v>
      </c>
      <c r="P43" s="47" t="s">
        <v>35</v>
      </c>
      <c r="Q43" s="47" t="s">
        <v>36</v>
      </c>
      <c r="R43" s="47" t="s">
        <v>36</v>
      </c>
      <c r="S43" s="48" t="s">
        <v>36</v>
      </c>
      <c r="T43" s="48" t="s">
        <v>35</v>
      </c>
      <c r="U43" s="48" t="s">
        <v>36</v>
      </c>
      <c r="V43" s="45" t="s">
        <v>36</v>
      </c>
      <c r="W43" s="5" t="s">
        <v>52</v>
      </c>
      <c r="X43" s="5" t="s">
        <v>96</v>
      </c>
      <c r="Y43" s="5"/>
      <c r="Z43" s="5" t="s">
        <v>19439</v>
      </c>
      <c r="AA43" s="6">
        <v>647.0</v>
      </c>
    </row>
    <row r="44" ht="56.25" customHeight="1">
      <c r="A44" s="6">
        <v>16.0</v>
      </c>
      <c r="B44" s="5" t="s">
        <v>19440</v>
      </c>
      <c r="C44" s="6" t="str">
        <f>IMAGE("https://i.imgur.com/SP9kfTh.png")</f>
        <v/>
      </c>
      <c r="D44" s="6" t="str">
        <f>IMAGE("https://storage.googleapis.com/acdb/bugs/FtrInsectShoryobatta.png")</f>
        <v/>
      </c>
      <c r="E44" s="6">
        <v>200.0</v>
      </c>
      <c r="F44" s="43" t="s">
        <v>19273</v>
      </c>
      <c r="G44" s="43" t="s">
        <v>19248</v>
      </c>
      <c r="H44" s="43" t="s">
        <v>19249</v>
      </c>
      <c r="I44" s="44">
        <v>0.3333333333333333</v>
      </c>
      <c r="J44" s="44">
        <v>0.7916666666666666</v>
      </c>
      <c r="K44" s="45" t="s">
        <v>36</v>
      </c>
      <c r="L44" s="45" t="s">
        <v>36</v>
      </c>
      <c r="M44" s="46" t="s">
        <v>36</v>
      </c>
      <c r="N44" s="46" t="s">
        <v>35</v>
      </c>
      <c r="O44" s="46" t="s">
        <v>35</v>
      </c>
      <c r="P44" s="47" t="s">
        <v>35</v>
      </c>
      <c r="Q44" s="47" t="s">
        <v>35</v>
      </c>
      <c r="R44" s="47" t="s">
        <v>35</v>
      </c>
      <c r="S44" s="48" t="s">
        <v>35</v>
      </c>
      <c r="T44" s="48" t="s">
        <v>35</v>
      </c>
      <c r="U44" s="48" t="s">
        <v>35</v>
      </c>
      <c r="V44" s="45" t="s">
        <v>36</v>
      </c>
      <c r="W44" s="5" t="s">
        <v>96</v>
      </c>
      <c r="X44" s="5" t="s">
        <v>68</v>
      </c>
      <c r="Y44" s="5"/>
      <c r="Z44" s="5" t="s">
        <v>19441</v>
      </c>
      <c r="AA44" s="6">
        <v>644.0</v>
      </c>
    </row>
    <row r="45" ht="56.25" customHeight="1">
      <c r="A45" s="6">
        <v>15.0</v>
      </c>
      <c r="B45" s="5" t="s">
        <v>19442</v>
      </c>
      <c r="C45" s="6" t="str">
        <f>IMAGE("https://i.imgur.com/6jFfAD6.png")</f>
        <v/>
      </c>
      <c r="D45" s="6" t="str">
        <f>IMAGE("https://storage.googleapis.com/acdb/bugs/FtrInsectNishikiohtsubamega.png")</f>
        <v/>
      </c>
      <c r="E45" s="6">
        <v>2500.0</v>
      </c>
      <c r="F45" s="43" t="s">
        <v>19231</v>
      </c>
      <c r="G45" s="5" t="s">
        <v>19235</v>
      </c>
      <c r="H45" s="43" t="s">
        <v>19236</v>
      </c>
      <c r="I45" s="44">
        <v>0.3333333333333333</v>
      </c>
      <c r="J45" s="44">
        <v>0.6666666666666666</v>
      </c>
      <c r="K45" s="45" t="s">
        <v>36</v>
      </c>
      <c r="L45" s="45" t="s">
        <v>36</v>
      </c>
      <c r="M45" s="46" t="s">
        <v>36</v>
      </c>
      <c r="N45" s="46" t="s">
        <v>35</v>
      </c>
      <c r="O45" s="46" t="s">
        <v>35</v>
      </c>
      <c r="P45" s="47" t="s">
        <v>35</v>
      </c>
      <c r="Q45" s="47" t="s">
        <v>35</v>
      </c>
      <c r="R45" s="47" t="s">
        <v>35</v>
      </c>
      <c r="S45" s="48" t="s">
        <v>35</v>
      </c>
      <c r="T45" s="48" t="s">
        <v>36</v>
      </c>
      <c r="U45" s="48" t="s">
        <v>36</v>
      </c>
      <c r="V45" s="45" t="s">
        <v>36</v>
      </c>
      <c r="W45" s="5" t="s">
        <v>96</v>
      </c>
      <c r="X45" s="5" t="s">
        <v>69</v>
      </c>
      <c r="Y45" s="5"/>
      <c r="Z45" s="5" t="s">
        <v>19447</v>
      </c>
      <c r="AA45" s="6">
        <v>3484.0</v>
      </c>
    </row>
    <row r="46" ht="56.25" customHeight="1">
      <c r="A46" s="6">
        <v>42.0</v>
      </c>
      <c r="B46" s="5" t="s">
        <v>19449</v>
      </c>
      <c r="C46" s="6" t="str">
        <f>IMAGE("https://i.imgur.com/xll2eFD.png")</f>
        <v/>
      </c>
      <c r="D46" s="6" t="str">
        <f>IMAGE("https://storage.googleapis.com/acdb/bugs/FtrInsectJinmenkamemushi.png")</f>
        <v/>
      </c>
      <c r="E46" s="6">
        <v>1000.0</v>
      </c>
      <c r="F46" s="43" t="s">
        <v>19436</v>
      </c>
      <c r="G46" s="5" t="s">
        <v>19235</v>
      </c>
      <c r="H46" s="43" t="s">
        <v>19236</v>
      </c>
      <c r="I46" s="44">
        <v>0.7916666666666666</v>
      </c>
      <c r="J46" s="44">
        <v>0.3333333333333333</v>
      </c>
      <c r="K46" s="45" t="s">
        <v>36</v>
      </c>
      <c r="L46" s="45" t="s">
        <v>36</v>
      </c>
      <c r="M46" s="46" t="s">
        <v>35</v>
      </c>
      <c r="N46" s="46" t="s">
        <v>35</v>
      </c>
      <c r="O46" s="46" t="s">
        <v>35</v>
      </c>
      <c r="P46" s="47" t="s">
        <v>35</v>
      </c>
      <c r="Q46" s="47" t="s">
        <v>35</v>
      </c>
      <c r="R46" s="47" t="s">
        <v>35</v>
      </c>
      <c r="S46" s="48" t="s">
        <v>35</v>
      </c>
      <c r="T46" s="48" t="s">
        <v>35</v>
      </c>
      <c r="U46" s="48" t="s">
        <v>36</v>
      </c>
      <c r="V46" s="45" t="s">
        <v>36</v>
      </c>
      <c r="W46" s="5" t="s">
        <v>54</v>
      </c>
      <c r="X46" s="5" t="s">
        <v>142</v>
      </c>
      <c r="Y46" s="5"/>
      <c r="Z46" s="5" t="s">
        <v>19452</v>
      </c>
      <c r="AA46" s="6">
        <v>3483.0</v>
      </c>
    </row>
    <row r="47" ht="56.25" customHeight="1">
      <c r="A47" s="6">
        <v>22.0</v>
      </c>
      <c r="B47" s="5" t="s">
        <v>19454</v>
      </c>
      <c r="C47" s="6" t="str">
        <f>IMAGE("https://i.imgur.com/0PhWLoa.png")</f>
        <v/>
      </c>
      <c r="D47" s="6" t="str">
        <f>IMAGE("https://storage.googleapis.com/acdb/bugs/FtrInsectKamakiri.png")</f>
        <v/>
      </c>
      <c r="E47" s="6">
        <v>430.0</v>
      </c>
      <c r="F47" s="43" t="s">
        <v>19436</v>
      </c>
      <c r="G47" s="5" t="s">
        <v>19235</v>
      </c>
      <c r="H47" s="43" t="s">
        <v>19249</v>
      </c>
      <c r="I47" s="44">
        <v>0.3333333333333333</v>
      </c>
      <c r="J47" s="44">
        <v>0.7083333333333334</v>
      </c>
      <c r="K47" s="45" t="s">
        <v>36</v>
      </c>
      <c r="L47" s="45" t="s">
        <v>36</v>
      </c>
      <c r="M47" s="46" t="s">
        <v>35</v>
      </c>
      <c r="N47" s="46" t="s">
        <v>35</v>
      </c>
      <c r="O47" s="46" t="s">
        <v>35</v>
      </c>
      <c r="P47" s="47" t="s">
        <v>35</v>
      </c>
      <c r="Q47" s="47" t="s">
        <v>35</v>
      </c>
      <c r="R47" s="47" t="s">
        <v>35</v>
      </c>
      <c r="S47" s="48" t="s">
        <v>35</v>
      </c>
      <c r="T47" s="48" t="s">
        <v>35</v>
      </c>
      <c r="U47" s="48" t="s">
        <v>35</v>
      </c>
      <c r="V47" s="45" t="s">
        <v>36</v>
      </c>
      <c r="W47" s="5" t="s">
        <v>96</v>
      </c>
      <c r="X47" s="5" t="s">
        <v>96</v>
      </c>
      <c r="Y47" s="5"/>
      <c r="Z47" s="5" t="s">
        <v>19457</v>
      </c>
      <c r="AA47" s="6">
        <v>607.0</v>
      </c>
    </row>
    <row r="48" ht="56.25" customHeight="1">
      <c r="A48" s="6">
        <v>17.0</v>
      </c>
      <c r="B48" s="5" t="s">
        <v>19458</v>
      </c>
      <c r="C48" s="6" t="str">
        <f>IMAGE("https://i.imgur.com/C8E3s0O.png")</f>
        <v/>
      </c>
      <c r="D48" s="6" t="str">
        <f>IMAGE("https://storage.googleapis.com/acdb/bugs/FtrInsectTonosamabatta.png")</f>
        <v/>
      </c>
      <c r="E48" s="6">
        <v>600.0</v>
      </c>
      <c r="F48" s="43" t="s">
        <v>19273</v>
      </c>
      <c r="G48" s="43" t="s">
        <v>19248</v>
      </c>
      <c r="H48" s="43" t="s">
        <v>19236</v>
      </c>
      <c r="I48" s="44">
        <v>0.3333333333333333</v>
      </c>
      <c r="J48" s="44">
        <v>0.7916666666666666</v>
      </c>
      <c r="K48" s="45" t="s">
        <v>36</v>
      </c>
      <c r="L48" s="45" t="s">
        <v>36</v>
      </c>
      <c r="M48" s="46" t="s">
        <v>36</v>
      </c>
      <c r="N48" s="46" t="s">
        <v>36</v>
      </c>
      <c r="O48" s="46" t="s">
        <v>36</v>
      </c>
      <c r="P48" s="47" t="s">
        <v>36</v>
      </c>
      <c r="Q48" s="47" t="s">
        <v>36</v>
      </c>
      <c r="R48" s="47" t="s">
        <v>35</v>
      </c>
      <c r="S48" s="48" t="s">
        <v>35</v>
      </c>
      <c r="T48" s="48" t="s">
        <v>35</v>
      </c>
      <c r="U48" s="48" t="s">
        <v>35</v>
      </c>
      <c r="V48" s="45" t="s">
        <v>36</v>
      </c>
      <c r="W48" s="5" t="s">
        <v>96</v>
      </c>
      <c r="X48" s="5" t="s">
        <v>142</v>
      </c>
      <c r="Y48" s="5"/>
      <c r="Z48" s="5" t="s">
        <v>19461</v>
      </c>
      <c r="AA48" s="6">
        <v>648.0</v>
      </c>
    </row>
    <row r="49" ht="56.25" customHeight="1">
      <c r="A49" s="6">
        <v>56.0</v>
      </c>
      <c r="B49" s="5" t="s">
        <v>19462</v>
      </c>
      <c r="C49" s="6" t="str">
        <f>IMAGE("https://i.imgur.com/sOMWySH.png")</f>
        <v/>
      </c>
      <c r="D49" s="6" t="str">
        <f>IMAGE("https://storage.googleapis.com/acdb/bugs/FtrInsectMiyamakuwagata.png")</f>
        <v/>
      </c>
      <c r="E49" s="6">
        <v>1000.0</v>
      </c>
      <c r="F49" s="5" t="s">
        <v>19255</v>
      </c>
      <c r="G49" s="5" t="s">
        <v>19248</v>
      </c>
      <c r="H49" s="5" t="s">
        <v>19249</v>
      </c>
      <c r="I49" s="8" t="s">
        <v>19250</v>
      </c>
      <c r="J49" s="8" t="s">
        <v>19250</v>
      </c>
      <c r="K49" s="45" t="s">
        <v>36</v>
      </c>
      <c r="L49" s="45" t="s">
        <v>36</v>
      </c>
      <c r="M49" s="46" t="s">
        <v>36</v>
      </c>
      <c r="N49" s="46" t="s">
        <v>36</v>
      </c>
      <c r="O49" s="46" t="s">
        <v>36</v>
      </c>
      <c r="P49" s="47" t="s">
        <v>36</v>
      </c>
      <c r="Q49" s="47" t="s">
        <v>35</v>
      </c>
      <c r="R49" s="47" t="s">
        <v>35</v>
      </c>
      <c r="S49" s="48" t="s">
        <v>36</v>
      </c>
      <c r="T49" s="48" t="s">
        <v>36</v>
      </c>
      <c r="U49" s="48" t="s">
        <v>36</v>
      </c>
      <c r="V49" s="45" t="s">
        <v>36</v>
      </c>
      <c r="W49" s="5" t="s">
        <v>54</v>
      </c>
      <c r="X49" s="5" t="s">
        <v>54</v>
      </c>
      <c r="Y49" s="5"/>
      <c r="Z49" s="5" t="s">
        <v>19467</v>
      </c>
      <c r="AA49" s="6">
        <v>624.0</v>
      </c>
    </row>
    <row r="50" ht="56.25" customHeight="1">
      <c r="A50" s="6">
        <v>37.0</v>
      </c>
      <c r="B50" s="5" t="s">
        <v>19469</v>
      </c>
      <c r="C50" s="6" t="str">
        <f>IMAGE("https://i.imgur.com/immk7qq.png")</f>
        <v/>
      </c>
      <c r="D50" s="6" t="str">
        <f>IMAGE("https://storage.googleapis.com/acdb/bugs/FtrInsectOkera.png")</f>
        <v/>
      </c>
      <c r="E50" s="6">
        <v>500.0</v>
      </c>
      <c r="F50" s="5" t="s">
        <v>19470</v>
      </c>
      <c r="G50" s="5" t="s">
        <v>19248</v>
      </c>
      <c r="H50" s="5" t="s">
        <v>19249</v>
      </c>
      <c r="I50" s="8" t="s">
        <v>19250</v>
      </c>
      <c r="J50" s="8" t="s">
        <v>19250</v>
      </c>
      <c r="K50" s="45" t="s">
        <v>35</v>
      </c>
      <c r="L50" s="45" t="s">
        <v>35</v>
      </c>
      <c r="M50" s="46" t="s">
        <v>35</v>
      </c>
      <c r="N50" s="46" t="s">
        <v>35</v>
      </c>
      <c r="O50" s="46" t="s">
        <v>35</v>
      </c>
      <c r="P50" s="47" t="s">
        <v>36</v>
      </c>
      <c r="Q50" s="47" t="s">
        <v>36</v>
      </c>
      <c r="R50" s="47" t="s">
        <v>36</v>
      </c>
      <c r="S50" s="48" t="s">
        <v>36</v>
      </c>
      <c r="T50" s="48" t="s">
        <v>36</v>
      </c>
      <c r="U50" s="48" t="s">
        <v>35</v>
      </c>
      <c r="V50" s="45" t="s">
        <v>35</v>
      </c>
      <c r="W50" s="5" t="s">
        <v>39</v>
      </c>
      <c r="X50" s="5" t="s">
        <v>114</v>
      </c>
      <c r="Y50" s="5"/>
      <c r="Z50" s="5" t="s">
        <v>19471</v>
      </c>
      <c r="AA50" s="6">
        <v>634.0</v>
      </c>
    </row>
    <row r="51" ht="56.25" customHeight="1">
      <c r="A51" s="6">
        <v>8.0</v>
      </c>
      <c r="B51" s="5" t="s">
        <v>19472</v>
      </c>
      <c r="C51" s="6" t="str">
        <f>IMAGE("https://i.imgur.com/qbFDPC6.png")</f>
        <v/>
      </c>
      <c r="D51" s="6" t="str">
        <f>IMAGE("https://storage.googleapis.com/acdb/bugs/FtrInsectOhkabamadara.png")</f>
        <v/>
      </c>
      <c r="E51" s="6">
        <v>140.0</v>
      </c>
      <c r="F51" s="43" t="s">
        <v>19231</v>
      </c>
      <c r="G51" s="5" t="s">
        <v>19235</v>
      </c>
      <c r="H51" s="43" t="s">
        <v>19249</v>
      </c>
      <c r="I51" s="44">
        <v>0.16666666666666666</v>
      </c>
      <c r="J51" s="44">
        <v>0.7083333333333334</v>
      </c>
      <c r="K51" s="45" t="s">
        <v>36</v>
      </c>
      <c r="L51" s="45" t="s">
        <v>36</v>
      </c>
      <c r="M51" s="46" t="s">
        <v>36</v>
      </c>
      <c r="N51" s="46" t="s">
        <v>36</v>
      </c>
      <c r="O51" s="46" t="s">
        <v>36</v>
      </c>
      <c r="P51" s="47" t="s">
        <v>36</v>
      </c>
      <c r="Q51" s="47" t="s">
        <v>36</v>
      </c>
      <c r="R51" s="47" t="s">
        <v>36</v>
      </c>
      <c r="S51" s="48" t="s">
        <v>35</v>
      </c>
      <c r="T51" s="48" t="s">
        <v>35</v>
      </c>
      <c r="U51" s="48" t="s">
        <v>35</v>
      </c>
      <c r="V51" s="45" t="s">
        <v>36</v>
      </c>
      <c r="W51" s="5" t="s">
        <v>142</v>
      </c>
      <c r="X51" s="5" t="s">
        <v>68</v>
      </c>
      <c r="Y51" s="5"/>
      <c r="Z51" s="5" t="s">
        <v>19473</v>
      </c>
      <c r="AA51" s="6">
        <v>636.0</v>
      </c>
    </row>
    <row r="52" ht="56.25" customHeight="1">
      <c r="A52" s="6">
        <v>73.0</v>
      </c>
      <c r="B52" s="5" t="s">
        <v>19474</v>
      </c>
      <c r="C52" s="6" t="str">
        <f>IMAGE("https://i.imgur.com/J4lvhxL.png")</f>
        <v/>
      </c>
      <c r="D52" s="6" t="str">
        <f>IMAGE("https://storage.googleapis.com/acdb/bugs/FtrInsectKa.png")</f>
        <v/>
      </c>
      <c r="E52" s="6">
        <v>130.0</v>
      </c>
      <c r="F52" s="43" t="s">
        <v>19266</v>
      </c>
      <c r="G52" s="5" t="s">
        <v>19235</v>
      </c>
      <c r="H52" s="43" t="s">
        <v>19249</v>
      </c>
      <c r="I52" s="44">
        <v>0.7083333333333334</v>
      </c>
      <c r="J52" s="44">
        <v>0.16666666666666666</v>
      </c>
      <c r="K52" s="45" t="s">
        <v>36</v>
      </c>
      <c r="L52" s="45" t="s">
        <v>36</v>
      </c>
      <c r="M52" s="46" t="s">
        <v>36</v>
      </c>
      <c r="N52" s="46" t="s">
        <v>36</v>
      </c>
      <c r="O52" s="46" t="s">
        <v>36</v>
      </c>
      <c r="P52" s="47" t="s">
        <v>35</v>
      </c>
      <c r="Q52" s="47" t="s">
        <v>35</v>
      </c>
      <c r="R52" s="47" t="s">
        <v>35</v>
      </c>
      <c r="S52" s="48" t="s">
        <v>35</v>
      </c>
      <c r="T52" s="48" t="s">
        <v>36</v>
      </c>
      <c r="U52" s="48" t="s">
        <v>36</v>
      </c>
      <c r="V52" s="45" t="s">
        <v>36</v>
      </c>
      <c r="W52" s="5" t="s">
        <v>54</v>
      </c>
      <c r="X52" s="5" t="s">
        <v>57</v>
      </c>
      <c r="Y52" s="5"/>
      <c r="Z52" s="5" t="s">
        <v>19478</v>
      </c>
      <c r="AA52" s="6">
        <v>606.0</v>
      </c>
    </row>
    <row r="53" ht="56.25" customHeight="1">
      <c r="A53" s="6">
        <v>13.0</v>
      </c>
      <c r="B53" s="5" t="s">
        <v>19479</v>
      </c>
      <c r="C53" s="6" t="str">
        <f>IMAGE("https://i.imgur.com/sptQCBI.png")</f>
        <v/>
      </c>
      <c r="D53" s="6" t="str">
        <f>IMAGE("https://storage.googleapis.com/acdb/bugs/FtrInsectGa.png")</f>
        <v/>
      </c>
      <c r="E53" s="6">
        <v>130.0</v>
      </c>
      <c r="F53" s="5" t="s">
        <v>19482</v>
      </c>
      <c r="G53" s="5" t="s">
        <v>19235</v>
      </c>
      <c r="H53" s="43" t="s">
        <v>19249</v>
      </c>
      <c r="I53" s="44">
        <v>0.7916666666666666</v>
      </c>
      <c r="J53" s="44">
        <v>0.16666666666666666</v>
      </c>
      <c r="K53" s="45" t="s">
        <v>35</v>
      </c>
      <c r="L53" s="45" t="s">
        <v>35</v>
      </c>
      <c r="M53" s="46" t="s">
        <v>35</v>
      </c>
      <c r="N53" s="46" t="s">
        <v>35</v>
      </c>
      <c r="O53" s="46" t="s">
        <v>35</v>
      </c>
      <c r="P53" s="47" t="s">
        <v>35</v>
      </c>
      <c r="Q53" s="47" t="s">
        <v>35</v>
      </c>
      <c r="R53" s="47" t="s">
        <v>35</v>
      </c>
      <c r="S53" s="48" t="s">
        <v>35</v>
      </c>
      <c r="T53" s="48" t="s">
        <v>35</v>
      </c>
      <c r="U53" s="48" t="s">
        <v>35</v>
      </c>
      <c r="V53" s="45" t="s">
        <v>35</v>
      </c>
      <c r="W53" s="5" t="s">
        <v>38</v>
      </c>
      <c r="X53" s="5" t="s">
        <v>114</v>
      </c>
      <c r="Y53" s="5"/>
      <c r="Z53" s="5" t="s">
        <v>19484</v>
      </c>
      <c r="AA53" s="6">
        <v>592.0</v>
      </c>
    </row>
    <row r="54" ht="56.25" customHeight="1">
      <c r="A54" s="6">
        <v>23.0</v>
      </c>
      <c r="B54" s="5" t="s">
        <v>19485</v>
      </c>
      <c r="C54" s="6" t="str">
        <f>IMAGE("https://i.imgur.com/UAxmr7Y.png")</f>
        <v/>
      </c>
      <c r="D54" s="6" t="str">
        <f>IMAGE("https://storage.googleapis.com/acdb/bugs/FtrInsectHanakamakiri.png")</f>
        <v/>
      </c>
      <c r="E54" s="6">
        <v>2400.0</v>
      </c>
      <c r="F54" s="43" t="s">
        <v>19487</v>
      </c>
      <c r="G54" s="5" t="s">
        <v>19235</v>
      </c>
      <c r="H54" s="43" t="s">
        <v>19236</v>
      </c>
      <c r="I54" s="44">
        <v>0.3333333333333333</v>
      </c>
      <c r="J54" s="44">
        <v>0.7083333333333334</v>
      </c>
      <c r="K54" s="45" t="s">
        <v>36</v>
      </c>
      <c r="L54" s="45" t="s">
        <v>36</v>
      </c>
      <c r="M54" s="46" t="s">
        <v>35</v>
      </c>
      <c r="N54" s="46" t="s">
        <v>35</v>
      </c>
      <c r="O54" s="46" t="s">
        <v>35</v>
      </c>
      <c r="P54" s="47" t="s">
        <v>35</v>
      </c>
      <c r="Q54" s="47" t="s">
        <v>35</v>
      </c>
      <c r="R54" s="47" t="s">
        <v>35</v>
      </c>
      <c r="S54" s="48" t="s">
        <v>35</v>
      </c>
      <c r="T54" s="48" t="s">
        <v>35</v>
      </c>
      <c r="U54" s="48" t="s">
        <v>35</v>
      </c>
      <c r="V54" s="45" t="s">
        <v>36</v>
      </c>
      <c r="W54" s="5" t="s">
        <v>57</v>
      </c>
      <c r="X54" s="5" t="s">
        <v>69</v>
      </c>
      <c r="Y54" s="5"/>
      <c r="Z54" s="5" t="s">
        <v>19488</v>
      </c>
      <c r="AA54" s="6">
        <v>598.0</v>
      </c>
    </row>
    <row r="55" ht="56.25" customHeight="1">
      <c r="A55" s="6">
        <v>6.0</v>
      </c>
      <c r="B55" s="5" t="s">
        <v>19489</v>
      </c>
      <c r="C55" s="6" t="str">
        <f>IMAGE("https://i.imgur.com/mhmn4jm.png")</f>
        <v/>
      </c>
      <c r="D55" s="6" t="str">
        <f>IMAGE("https://storage.googleapis.com/acdb/bugs/FtrInsectOhgomamadara.png")</f>
        <v/>
      </c>
      <c r="E55" s="6">
        <v>1000.0</v>
      </c>
      <c r="F55" s="43" t="s">
        <v>19231</v>
      </c>
      <c r="G55" s="5" t="s">
        <v>19235</v>
      </c>
      <c r="H55" s="43" t="s">
        <v>19249</v>
      </c>
      <c r="I55" s="44">
        <v>0.3333333333333333</v>
      </c>
      <c r="J55" s="44">
        <v>0.7916666666666666</v>
      </c>
      <c r="K55" s="45" t="s">
        <v>35</v>
      </c>
      <c r="L55" s="45" t="s">
        <v>35</v>
      </c>
      <c r="M55" s="46" t="s">
        <v>35</v>
      </c>
      <c r="N55" s="46" t="s">
        <v>35</v>
      </c>
      <c r="O55" s="46" t="s">
        <v>35</v>
      </c>
      <c r="P55" s="47" t="s">
        <v>35</v>
      </c>
      <c r="Q55" s="47" t="s">
        <v>35</v>
      </c>
      <c r="R55" s="47" t="s">
        <v>35</v>
      </c>
      <c r="S55" s="48" t="s">
        <v>35</v>
      </c>
      <c r="T55" s="48" t="s">
        <v>35</v>
      </c>
      <c r="U55" s="48" t="s">
        <v>35</v>
      </c>
      <c r="V55" s="45" t="s">
        <v>35</v>
      </c>
      <c r="W55" s="5" t="s">
        <v>57</v>
      </c>
      <c r="X55" s="5" t="s">
        <v>114</v>
      </c>
      <c r="Y55" s="5"/>
      <c r="Z55" s="5" t="s">
        <v>19492</v>
      </c>
      <c r="AA55" s="6">
        <v>3478.0</v>
      </c>
    </row>
    <row r="56" ht="56.25" customHeight="1">
      <c r="A56" s="6">
        <v>4.0</v>
      </c>
      <c r="B56" s="5" t="s">
        <v>19493</v>
      </c>
      <c r="C56" s="6" t="str">
        <f>IMAGE("https://i.imgur.com/rP4Gxz9.png")</f>
        <v/>
      </c>
      <c r="D56" s="6" t="str">
        <f>IMAGE("https://storage.googleapis.com/acdb/bugs/FtrInsectKarasuageha.png")</f>
        <v/>
      </c>
      <c r="E56" s="6">
        <v>2500.0</v>
      </c>
      <c r="F56" s="43" t="s">
        <v>19494</v>
      </c>
      <c r="G56" s="5" t="s">
        <v>19235</v>
      </c>
      <c r="H56" s="43" t="s">
        <v>19236</v>
      </c>
      <c r="I56" s="44">
        <v>0.16666666666666666</v>
      </c>
      <c r="J56" s="44">
        <v>0.7916666666666666</v>
      </c>
      <c r="K56" s="45" t="s">
        <v>36</v>
      </c>
      <c r="L56" s="45" t="s">
        <v>36</v>
      </c>
      <c r="M56" s="46" t="s">
        <v>35</v>
      </c>
      <c r="N56" s="46" t="s">
        <v>35</v>
      </c>
      <c r="O56" s="46" t="s">
        <v>35</v>
      </c>
      <c r="P56" s="47" t="s">
        <v>35</v>
      </c>
      <c r="Q56" s="47" t="s">
        <v>36</v>
      </c>
      <c r="R56" s="47" t="s">
        <v>36</v>
      </c>
      <c r="S56" s="48" t="s">
        <v>36</v>
      </c>
      <c r="T56" s="48" t="s">
        <v>36</v>
      </c>
      <c r="U56" s="48" t="s">
        <v>36</v>
      </c>
      <c r="V56" s="45" t="s">
        <v>36</v>
      </c>
      <c r="W56" s="5" t="s">
        <v>96</v>
      </c>
      <c r="X56" s="5" t="s">
        <v>68</v>
      </c>
      <c r="Y56" s="5"/>
      <c r="Z56" s="5" t="s">
        <v>19495</v>
      </c>
      <c r="AA56" s="6">
        <v>610.0</v>
      </c>
    </row>
    <row r="57" ht="56.25" customHeight="1">
      <c r="A57" s="6">
        <v>76.0</v>
      </c>
      <c r="B57" s="5" t="s">
        <v>19496</v>
      </c>
      <c r="C57" s="6" t="str">
        <f>IMAGE("https://i.imgur.com/lRH8lWP.png")</f>
        <v/>
      </c>
      <c r="D57" s="6" t="str">
        <f>IMAGE("https://storage.googleapis.com/acdb/bugs/FtrInsectDangomushi.png")</f>
        <v/>
      </c>
      <c r="E57" s="6">
        <v>250.0</v>
      </c>
      <c r="F57" s="5" t="s">
        <v>19295</v>
      </c>
      <c r="G57" s="43" t="s">
        <v>19248</v>
      </c>
      <c r="H57" s="43" t="s">
        <v>19249</v>
      </c>
      <c r="I57" s="44">
        <v>0.9583333333333334</v>
      </c>
      <c r="J57" s="44">
        <v>0.6666666666666666</v>
      </c>
      <c r="K57" s="45" t="s">
        <v>35</v>
      </c>
      <c r="L57" s="45" t="s">
        <v>35</v>
      </c>
      <c r="M57" s="46" t="s">
        <v>35</v>
      </c>
      <c r="N57" s="46" t="s">
        <v>35</v>
      </c>
      <c r="O57" s="46" t="s">
        <v>35</v>
      </c>
      <c r="P57" s="47" t="s">
        <v>35</v>
      </c>
      <c r="Q57" s="47" t="s">
        <v>36</v>
      </c>
      <c r="R57" s="47" t="s">
        <v>36</v>
      </c>
      <c r="S57" s="48" t="s">
        <v>35</v>
      </c>
      <c r="T57" s="48" t="s">
        <v>35</v>
      </c>
      <c r="U57" s="48" t="s">
        <v>35</v>
      </c>
      <c r="V57" s="45" t="s">
        <v>35</v>
      </c>
      <c r="W57" s="5" t="s">
        <v>54</v>
      </c>
      <c r="X57" s="5" t="s">
        <v>68</v>
      </c>
      <c r="Y57" s="5"/>
      <c r="Z57" s="5" t="s">
        <v>19497</v>
      </c>
      <c r="AA57" s="6">
        <v>590.0</v>
      </c>
    </row>
    <row r="58" ht="56.25" customHeight="1">
      <c r="A58" s="6">
        <v>38.0</v>
      </c>
      <c r="B58" s="5" t="s">
        <v>19498</v>
      </c>
      <c r="C58" s="6" t="str">
        <f>IMAGE("https://i.imgur.com/PQ8AqZK.png")</f>
        <v/>
      </c>
      <c r="D58" s="6" t="str">
        <f>IMAGE("https://storage.googleapis.com/acdb/bugs/FtrInsectAmenbo.png")</f>
        <v/>
      </c>
      <c r="E58" s="6">
        <v>130.0</v>
      </c>
      <c r="F58" s="43" t="s">
        <v>19331</v>
      </c>
      <c r="G58" s="43" t="s">
        <v>19248</v>
      </c>
      <c r="H58" s="43" t="s">
        <v>19249</v>
      </c>
      <c r="I58" s="44">
        <v>0.3333333333333333</v>
      </c>
      <c r="J58" s="44">
        <v>0.7916666666666666</v>
      </c>
      <c r="K58" s="45" t="s">
        <v>36</v>
      </c>
      <c r="L58" s="45" t="s">
        <v>36</v>
      </c>
      <c r="M58" s="46" t="s">
        <v>36</v>
      </c>
      <c r="N58" s="46" t="s">
        <v>36</v>
      </c>
      <c r="O58" s="46" t="s">
        <v>35</v>
      </c>
      <c r="P58" s="47" t="s">
        <v>35</v>
      </c>
      <c r="Q58" s="47" t="s">
        <v>35</v>
      </c>
      <c r="R58" s="47" t="s">
        <v>35</v>
      </c>
      <c r="S58" s="48" t="s">
        <v>35</v>
      </c>
      <c r="T58" s="48" t="s">
        <v>36</v>
      </c>
      <c r="U58" s="48" t="s">
        <v>36</v>
      </c>
      <c r="V58" s="45" t="s">
        <v>36</v>
      </c>
      <c r="W58" s="5" t="s">
        <v>54</v>
      </c>
      <c r="X58" s="5" t="s">
        <v>68</v>
      </c>
      <c r="Y58" s="5"/>
      <c r="Z58" s="5" t="s">
        <v>19499</v>
      </c>
      <c r="AA58" s="6">
        <v>587.0</v>
      </c>
    </row>
    <row r="59" ht="56.25" customHeight="1">
      <c r="A59" s="6">
        <v>12.0</v>
      </c>
      <c r="B59" s="5" t="s">
        <v>19500</v>
      </c>
      <c r="C59" s="6" t="str">
        <f>IMAGE("https://i.imgur.com/O9sWl5a.png")</f>
        <v/>
      </c>
      <c r="D59" s="6" t="str">
        <f>IMAGE("https://storage.googleapis.com/acdb/bugs/FtrInsectArekisandoratoribaneageha.png")</f>
        <v/>
      </c>
      <c r="E59" s="6">
        <v>4000.0</v>
      </c>
      <c r="F59" s="43" t="s">
        <v>19231</v>
      </c>
      <c r="G59" s="5" t="s">
        <v>19235</v>
      </c>
      <c r="H59" s="43" t="s">
        <v>19267</v>
      </c>
      <c r="I59" s="44">
        <v>0.3333333333333333</v>
      </c>
      <c r="J59" s="44">
        <v>0.6666666666666666</v>
      </c>
      <c r="K59" s="45" t="s">
        <v>36</v>
      </c>
      <c r="L59" s="45" t="s">
        <v>36</v>
      </c>
      <c r="M59" s="46" t="s">
        <v>36</v>
      </c>
      <c r="N59" s="46" t="s">
        <v>36</v>
      </c>
      <c r="O59" s="46" t="s">
        <v>35</v>
      </c>
      <c r="P59" s="47" t="s">
        <v>35</v>
      </c>
      <c r="Q59" s="47" t="s">
        <v>35</v>
      </c>
      <c r="R59" s="47" t="s">
        <v>35</v>
      </c>
      <c r="S59" s="48" t="s">
        <v>35</v>
      </c>
      <c r="T59" s="48" t="s">
        <v>36</v>
      </c>
      <c r="U59" s="48" t="s">
        <v>36</v>
      </c>
      <c r="V59" s="45" t="s">
        <v>36</v>
      </c>
      <c r="W59" s="5" t="s">
        <v>96</v>
      </c>
      <c r="X59" s="5" t="s">
        <v>69</v>
      </c>
      <c r="Y59" s="5"/>
      <c r="Z59" s="5" t="s">
        <v>19501</v>
      </c>
      <c r="AA59" s="6">
        <v>586.0</v>
      </c>
    </row>
    <row r="60" ht="56.25" customHeight="1">
      <c r="A60" s="6">
        <v>58.0</v>
      </c>
      <c r="B60" s="5" t="s">
        <v>19502</v>
      </c>
      <c r="C60" s="6" t="str">
        <f>IMAGE("https://i.imgur.com/Oy2jRhE.png")</f>
        <v/>
      </c>
      <c r="D60" s="6" t="str">
        <f>IMAGE("https://storage.googleapis.com/acdb/bugs/FtrInsectNijiirokuwagata.png")</f>
        <v/>
      </c>
      <c r="E60" s="6">
        <v>6000.0</v>
      </c>
      <c r="F60" s="43" t="s">
        <v>19255</v>
      </c>
      <c r="G60" s="43" t="s">
        <v>19248</v>
      </c>
      <c r="H60" s="43" t="s">
        <v>19267</v>
      </c>
      <c r="I60" s="44">
        <v>0.7916666666666666</v>
      </c>
      <c r="J60" s="44">
        <v>0.3333333333333333</v>
      </c>
      <c r="K60" s="45" t="s">
        <v>36</v>
      </c>
      <c r="L60" s="45" t="s">
        <v>36</v>
      </c>
      <c r="M60" s="46" t="s">
        <v>36</v>
      </c>
      <c r="N60" s="46" t="s">
        <v>36</v>
      </c>
      <c r="O60" s="46" t="s">
        <v>36</v>
      </c>
      <c r="P60" s="47" t="s">
        <v>35</v>
      </c>
      <c r="Q60" s="47" t="s">
        <v>35</v>
      </c>
      <c r="R60" s="47" t="s">
        <v>35</v>
      </c>
      <c r="S60" s="48" t="s">
        <v>35</v>
      </c>
      <c r="T60" s="48" t="s">
        <v>36</v>
      </c>
      <c r="U60" s="48" t="s">
        <v>36</v>
      </c>
      <c r="V60" s="45" t="s">
        <v>36</v>
      </c>
      <c r="W60" s="5" t="s">
        <v>39</v>
      </c>
      <c r="X60" s="5" t="s">
        <v>54</v>
      </c>
      <c r="Y60" s="5"/>
      <c r="Z60" s="5" t="s">
        <v>19503</v>
      </c>
      <c r="AA60" s="6">
        <v>631.0</v>
      </c>
    </row>
    <row r="61" ht="56.25" customHeight="1">
      <c r="A61" s="6">
        <v>11.0</v>
      </c>
      <c r="B61" s="5" t="s">
        <v>19504</v>
      </c>
      <c r="C61" s="6" t="str">
        <f>IMAGE("https://i.imgur.com/CGHO2UJ.png")</f>
        <v/>
      </c>
      <c r="D61" s="6" t="str">
        <f>IMAGE("https://storage.googleapis.com/acdb/bugs/FtrInsectAkaeritoribaneageha.png")</f>
        <v/>
      </c>
      <c r="E61" s="6">
        <v>2500.0</v>
      </c>
      <c r="F61" s="43" t="s">
        <v>19231</v>
      </c>
      <c r="G61" s="5" t="s">
        <v>19235</v>
      </c>
      <c r="H61" s="43" t="s">
        <v>19236</v>
      </c>
      <c r="I61" s="44">
        <v>0.3333333333333333</v>
      </c>
      <c r="J61" s="44">
        <v>0.7083333333333334</v>
      </c>
      <c r="K61" s="45" t="s">
        <v>35</v>
      </c>
      <c r="L61" s="45" t="s">
        <v>35</v>
      </c>
      <c r="M61" s="46" t="s">
        <v>36</v>
      </c>
      <c r="N61" s="46" t="s">
        <v>35</v>
      </c>
      <c r="O61" s="46" t="s">
        <v>35</v>
      </c>
      <c r="P61" s="47" t="s">
        <v>35</v>
      </c>
      <c r="Q61" s="47" t="s">
        <v>35</v>
      </c>
      <c r="R61" s="47" t="s">
        <v>35</v>
      </c>
      <c r="S61" s="48" t="s">
        <v>35</v>
      </c>
      <c r="T61" s="48" t="s">
        <v>36</v>
      </c>
      <c r="U61" s="48" t="s">
        <v>36</v>
      </c>
      <c r="V61" s="45" t="s">
        <v>35</v>
      </c>
      <c r="W61" s="5" t="s">
        <v>96</v>
      </c>
      <c r="X61" s="5" t="s">
        <v>69</v>
      </c>
      <c r="Y61" s="5"/>
      <c r="Z61" s="5" t="s">
        <v>19506</v>
      </c>
      <c r="AA61" s="6">
        <v>584.0</v>
      </c>
    </row>
    <row r="62" ht="56.25" customHeight="1">
      <c r="A62" s="6">
        <v>32.0</v>
      </c>
      <c r="B62" s="5" t="s">
        <v>19507</v>
      </c>
      <c r="C62" s="6" t="str">
        <f>IMAGE("https://i.imgur.com/hACPjv7.png")</f>
        <v/>
      </c>
      <c r="D62" s="6" t="str">
        <f>IMAGE("https://storage.googleapis.com/acdb/bugs/FtrInsectAkiakane.png")</f>
        <v/>
      </c>
      <c r="E62" s="6">
        <v>180.0</v>
      </c>
      <c r="F62" s="43" t="s">
        <v>19266</v>
      </c>
      <c r="G62" s="5" t="s">
        <v>19235</v>
      </c>
      <c r="H62" s="43" t="s">
        <v>19249</v>
      </c>
      <c r="I62" s="44">
        <v>0.3333333333333333</v>
      </c>
      <c r="J62" s="44">
        <v>0.7916666666666666</v>
      </c>
      <c r="K62" s="45" t="s">
        <v>36</v>
      </c>
      <c r="L62" s="45" t="s">
        <v>36</v>
      </c>
      <c r="M62" s="46" t="s">
        <v>36</v>
      </c>
      <c r="N62" s="46" t="s">
        <v>36</v>
      </c>
      <c r="O62" s="46" t="s">
        <v>36</v>
      </c>
      <c r="P62" s="47" t="s">
        <v>36</v>
      </c>
      <c r="Q62" s="47" t="s">
        <v>36</v>
      </c>
      <c r="R62" s="47" t="s">
        <v>36</v>
      </c>
      <c r="S62" s="48" t="s">
        <v>35</v>
      </c>
      <c r="T62" s="48" t="s">
        <v>35</v>
      </c>
      <c r="U62" s="48" t="s">
        <v>36</v>
      </c>
      <c r="V62" s="45" t="s">
        <v>36</v>
      </c>
      <c r="W62" s="5" t="s">
        <v>52</v>
      </c>
      <c r="X62" s="5" t="s">
        <v>142</v>
      </c>
      <c r="Y62" s="5"/>
      <c r="Z62" s="5" t="s">
        <v>19508</v>
      </c>
      <c r="AA62" s="6">
        <v>585.0</v>
      </c>
    </row>
    <row r="63" ht="56.25" customHeight="1">
      <c r="A63" s="6">
        <v>18.0</v>
      </c>
      <c r="B63" s="5" t="s">
        <v>19509</v>
      </c>
      <c r="C63" s="6" t="str">
        <f>IMAGE("https://i.imgur.com/FGzyLfj.png")</f>
        <v/>
      </c>
      <c r="D63" s="6" t="str">
        <f>IMAGE("https://storage.googleapis.com/acdb/bugs/FtrInsectInago.png")</f>
        <v/>
      </c>
      <c r="E63" s="6">
        <v>400.0</v>
      </c>
      <c r="F63" s="43" t="s">
        <v>19273</v>
      </c>
      <c r="G63" s="43" t="s">
        <v>19248</v>
      </c>
      <c r="H63" s="43" t="s">
        <v>19249</v>
      </c>
      <c r="I63" s="44">
        <v>0.3333333333333333</v>
      </c>
      <c r="J63" s="44">
        <v>0.7916666666666666</v>
      </c>
      <c r="K63" s="45" t="s">
        <v>36</v>
      </c>
      <c r="L63" s="45" t="s">
        <v>36</v>
      </c>
      <c r="M63" s="46" t="s">
        <v>36</v>
      </c>
      <c r="N63" s="46" t="s">
        <v>36</v>
      </c>
      <c r="O63" s="46" t="s">
        <v>36</v>
      </c>
      <c r="P63" s="47" t="s">
        <v>36</v>
      </c>
      <c r="Q63" s="47" t="s">
        <v>36</v>
      </c>
      <c r="R63" s="47" t="s">
        <v>35</v>
      </c>
      <c r="S63" s="48" t="s">
        <v>35</v>
      </c>
      <c r="T63" s="48" t="s">
        <v>35</v>
      </c>
      <c r="U63" s="48" t="s">
        <v>35</v>
      </c>
      <c r="V63" s="45" t="s">
        <v>36</v>
      </c>
      <c r="W63" s="5" t="s">
        <v>96</v>
      </c>
      <c r="X63" s="5" t="s">
        <v>114</v>
      </c>
      <c r="Y63" s="5"/>
      <c r="Z63" s="5" t="s">
        <v>19514</v>
      </c>
      <c r="AA63" s="6">
        <v>605.0</v>
      </c>
    </row>
    <row r="64" ht="56.25" customHeight="1">
      <c r="A64" s="6">
        <v>27.0</v>
      </c>
      <c r="B64" s="5" t="s">
        <v>19515</v>
      </c>
      <c r="C64" s="6" t="str">
        <f>IMAGE("https://i.imgur.com/NjsDGuP.png")</f>
        <v/>
      </c>
      <c r="D64" s="6" t="str">
        <f>IMAGE("https://storage.googleapis.com/acdb/bugs/FtrInsectMinminzemi.png")</f>
        <v/>
      </c>
      <c r="E64" s="6">
        <v>300.0</v>
      </c>
      <c r="F64" s="43" t="s">
        <v>19288</v>
      </c>
      <c r="G64" s="43" t="s">
        <v>19248</v>
      </c>
      <c r="H64" s="43" t="s">
        <v>19249</v>
      </c>
      <c r="I64" s="44">
        <v>0.3333333333333333</v>
      </c>
      <c r="J64" s="44">
        <v>0.7083333333333334</v>
      </c>
      <c r="K64" s="45" t="s">
        <v>36</v>
      </c>
      <c r="L64" s="45" t="s">
        <v>36</v>
      </c>
      <c r="M64" s="46" t="s">
        <v>36</v>
      </c>
      <c r="N64" s="46" t="s">
        <v>36</v>
      </c>
      <c r="O64" s="46" t="s">
        <v>36</v>
      </c>
      <c r="P64" s="47" t="s">
        <v>36</v>
      </c>
      <c r="Q64" s="47" t="s">
        <v>35</v>
      </c>
      <c r="R64" s="47" t="s">
        <v>35</v>
      </c>
      <c r="S64" s="48" t="s">
        <v>36</v>
      </c>
      <c r="T64" s="48" t="s">
        <v>36</v>
      </c>
      <c r="U64" s="48" t="s">
        <v>36</v>
      </c>
      <c r="V64" s="45" t="s">
        <v>36</v>
      </c>
      <c r="W64" s="5" t="s">
        <v>54</v>
      </c>
      <c r="X64" s="5" t="s">
        <v>68</v>
      </c>
      <c r="Y64" s="5"/>
      <c r="Z64" s="5" t="s">
        <v>19517</v>
      </c>
      <c r="AA64" s="6">
        <v>621.0</v>
      </c>
    </row>
    <row r="65" ht="56.25" customHeight="1">
      <c r="A65" s="6">
        <v>48.0</v>
      </c>
      <c r="B65" s="5" t="s">
        <v>19519</v>
      </c>
      <c r="C65" s="6" t="str">
        <f>IMAGE("https://i.imgur.com/l0H0xS8.png")</f>
        <v/>
      </c>
      <c r="D65" s="6" t="str">
        <f>IMAGE("https://storage.googleapis.com/acdb/bugs/FtrInsectRuriboshikamikiri.png")</f>
        <v/>
      </c>
      <c r="E65" s="6">
        <v>3000.0</v>
      </c>
      <c r="F65" s="5" t="s">
        <v>19307</v>
      </c>
      <c r="G65" s="5" t="s">
        <v>19235</v>
      </c>
      <c r="H65" s="5" t="s">
        <v>19236</v>
      </c>
      <c r="I65" s="8" t="s">
        <v>19250</v>
      </c>
      <c r="J65" s="8" t="s">
        <v>19250</v>
      </c>
      <c r="K65" s="45" t="s">
        <v>36</v>
      </c>
      <c r="L65" s="45" t="s">
        <v>36</v>
      </c>
      <c r="M65" s="46" t="s">
        <v>36</v>
      </c>
      <c r="N65" s="46" t="s">
        <v>36</v>
      </c>
      <c r="O65" s="46" t="s">
        <v>35</v>
      </c>
      <c r="P65" s="47" t="s">
        <v>35</v>
      </c>
      <c r="Q65" s="47" t="s">
        <v>35</v>
      </c>
      <c r="R65" s="47" t="s">
        <v>35</v>
      </c>
      <c r="S65" s="48" t="s">
        <v>35</v>
      </c>
      <c r="T65" s="48" t="s">
        <v>36</v>
      </c>
      <c r="U65" s="48" t="s">
        <v>36</v>
      </c>
      <c r="V65" s="45" t="s">
        <v>36</v>
      </c>
      <c r="W65" s="5" t="s">
        <v>68</v>
      </c>
      <c r="X65" s="5" t="s">
        <v>54</v>
      </c>
      <c r="Y65" s="5"/>
      <c r="Z65" s="5" t="s">
        <v>19521</v>
      </c>
      <c r="AA65" s="6">
        <v>3487.0</v>
      </c>
    </row>
    <row r="66" ht="56.25" customHeight="1">
      <c r="A66" s="6">
        <v>55.0</v>
      </c>
      <c r="B66" s="5" t="s">
        <v>19522</v>
      </c>
      <c r="C66" s="6" t="str">
        <f>IMAGE("https://i.imgur.com/NrHugnM.png")</f>
        <v/>
      </c>
      <c r="D66" s="6" t="str">
        <f>IMAGE("https://storage.googleapis.com/acdb/bugs/FtrInsectNokogirikuwagata.png")</f>
        <v/>
      </c>
      <c r="E66" s="6">
        <v>2000.0</v>
      </c>
      <c r="F66" s="5" t="s">
        <v>19255</v>
      </c>
      <c r="G66" s="5" t="s">
        <v>19248</v>
      </c>
      <c r="H66" s="5" t="s">
        <v>19249</v>
      </c>
      <c r="I66" s="8" t="s">
        <v>19250</v>
      </c>
      <c r="J66" s="8" t="s">
        <v>19250</v>
      </c>
      <c r="K66" s="45" t="s">
        <v>36</v>
      </c>
      <c r="L66" s="45" t="s">
        <v>36</v>
      </c>
      <c r="M66" s="46" t="s">
        <v>36</v>
      </c>
      <c r="N66" s="46" t="s">
        <v>36</v>
      </c>
      <c r="O66" s="46" t="s">
        <v>36</v>
      </c>
      <c r="P66" s="47" t="s">
        <v>36</v>
      </c>
      <c r="Q66" s="47" t="s">
        <v>35</v>
      </c>
      <c r="R66" s="47" t="s">
        <v>35</v>
      </c>
      <c r="S66" s="48" t="s">
        <v>36</v>
      </c>
      <c r="T66" s="48" t="s">
        <v>36</v>
      </c>
      <c r="U66" s="48" t="s">
        <v>36</v>
      </c>
      <c r="V66" s="45" t="s">
        <v>36</v>
      </c>
      <c r="W66" s="5" t="s">
        <v>39</v>
      </c>
      <c r="X66" s="5" t="s">
        <v>54</v>
      </c>
      <c r="Y66" s="5"/>
      <c r="Z66" s="5" t="s">
        <v>19523</v>
      </c>
      <c r="AA66" s="6">
        <v>632.0</v>
      </c>
    </row>
    <row r="67" ht="56.25" customHeight="1">
      <c r="A67" s="6">
        <v>52.0</v>
      </c>
      <c r="B67" s="5" t="s">
        <v>19524</v>
      </c>
      <c r="C67" s="6" t="str">
        <f>IMAGE("https://i.imgur.com/WRmOGCJ.png")</f>
        <v/>
      </c>
      <c r="D67" s="6" t="str">
        <f>IMAGE("https://storage.googleapis.com/acdb/bugs/FtrInsectPurachinakogane.png")</f>
        <v/>
      </c>
      <c r="E67" s="6">
        <v>10000.0</v>
      </c>
      <c r="F67" s="43" t="s">
        <v>19255</v>
      </c>
      <c r="G67" s="43" t="s">
        <v>19248</v>
      </c>
      <c r="H67" s="43" t="s">
        <v>19267</v>
      </c>
      <c r="I67" s="44">
        <v>0.9583333333333334</v>
      </c>
      <c r="J67" s="44">
        <v>0.8333333333333334</v>
      </c>
      <c r="K67" s="45" t="s">
        <v>36</v>
      </c>
      <c r="L67" s="45" t="s">
        <v>36</v>
      </c>
      <c r="M67" s="46" t="s">
        <v>36</v>
      </c>
      <c r="N67" s="46" t="s">
        <v>36</v>
      </c>
      <c r="O67" s="46" t="s">
        <v>36</v>
      </c>
      <c r="P67" s="47" t="s">
        <v>36</v>
      </c>
      <c r="Q67" s="47" t="s">
        <v>35</v>
      </c>
      <c r="R67" s="47" t="s">
        <v>35</v>
      </c>
      <c r="S67" s="48" t="s">
        <v>36</v>
      </c>
      <c r="T67" s="48" t="s">
        <v>36</v>
      </c>
      <c r="U67" s="48" t="s">
        <v>36</v>
      </c>
      <c r="V67" s="45" t="s">
        <v>36</v>
      </c>
      <c r="W67" s="5" t="s">
        <v>54</v>
      </c>
      <c r="X67" s="5" t="s">
        <v>38</v>
      </c>
      <c r="Y67" s="5"/>
      <c r="Z67" s="5" t="s">
        <v>19526</v>
      </c>
      <c r="AA67" s="6">
        <v>639.0</v>
      </c>
    </row>
    <row r="68" ht="56.25" customHeight="1">
      <c r="A68" s="6">
        <v>80.0</v>
      </c>
      <c r="B68" s="5" t="s">
        <v>19527</v>
      </c>
      <c r="C68" s="6" t="str">
        <f>IMAGE("https://i.imgur.com/xkNxv3f.png")</f>
        <v/>
      </c>
      <c r="D68" s="6" t="str">
        <f>IMAGE("https://storage.googleapis.com/acdb/bugs/FtrInsectSasori.png")</f>
        <v/>
      </c>
      <c r="E68" s="6">
        <v>8000.0</v>
      </c>
      <c r="F68" s="43" t="s">
        <v>19273</v>
      </c>
      <c r="G68" s="43" t="s">
        <v>19248</v>
      </c>
      <c r="H68" s="43" t="s">
        <v>19249</v>
      </c>
      <c r="I68" s="44">
        <v>0.7916666666666666</v>
      </c>
      <c r="J68" s="44">
        <v>0.16666666666666666</v>
      </c>
      <c r="K68" s="45" t="s">
        <v>36</v>
      </c>
      <c r="L68" s="45" t="s">
        <v>36</v>
      </c>
      <c r="M68" s="46" t="s">
        <v>36</v>
      </c>
      <c r="N68" s="46" t="s">
        <v>36</v>
      </c>
      <c r="O68" s="46" t="s">
        <v>35</v>
      </c>
      <c r="P68" s="47" t="s">
        <v>35</v>
      </c>
      <c r="Q68" s="47" t="s">
        <v>35</v>
      </c>
      <c r="R68" s="47" t="s">
        <v>35</v>
      </c>
      <c r="S68" s="48" t="s">
        <v>35</v>
      </c>
      <c r="T68" s="48" t="s">
        <v>35</v>
      </c>
      <c r="U68" s="48" t="s">
        <v>36</v>
      </c>
      <c r="V68" s="45" t="s">
        <v>36</v>
      </c>
      <c r="W68" s="5" t="s">
        <v>54</v>
      </c>
      <c r="X68" s="5" t="s">
        <v>54</v>
      </c>
      <c r="Y68" s="5"/>
      <c r="Z68" s="5" t="s">
        <v>19528</v>
      </c>
      <c r="AA68" s="6">
        <v>640.0</v>
      </c>
    </row>
    <row r="69" ht="56.25" customHeight="1">
      <c r="A69" s="6">
        <v>75.0</v>
      </c>
      <c r="B69" s="5" t="s">
        <v>19529</v>
      </c>
      <c r="C69" s="6" t="str">
        <f>IMAGE("https://i.imgur.com/CcYFhd2.png")</f>
        <v/>
      </c>
      <c r="D69" s="6" t="str">
        <f>IMAGE("https://storage.googleapis.com/acdb/bugs/FtrInsectKatatsumuri.png")</f>
        <v/>
      </c>
      <c r="E69" s="6">
        <v>250.0</v>
      </c>
      <c r="F69" s="5" t="s">
        <v>19530</v>
      </c>
      <c r="G69" s="5" t="s">
        <v>19531</v>
      </c>
      <c r="H69" s="5" t="s">
        <v>19249</v>
      </c>
      <c r="I69" s="8" t="s">
        <v>19250</v>
      </c>
      <c r="J69" s="8" t="s">
        <v>19250</v>
      </c>
      <c r="K69" s="45" t="s">
        <v>35</v>
      </c>
      <c r="L69" s="45" t="s">
        <v>35</v>
      </c>
      <c r="M69" s="46" t="s">
        <v>35</v>
      </c>
      <c r="N69" s="46" t="s">
        <v>35</v>
      </c>
      <c r="O69" s="46" t="s">
        <v>35</v>
      </c>
      <c r="P69" s="47" t="s">
        <v>35</v>
      </c>
      <c r="Q69" s="47" t="s">
        <v>35</v>
      </c>
      <c r="R69" s="47" t="s">
        <v>35</v>
      </c>
      <c r="S69" s="48" t="s">
        <v>35</v>
      </c>
      <c r="T69" s="48" t="s">
        <v>35</v>
      </c>
      <c r="U69" s="48" t="s">
        <v>35</v>
      </c>
      <c r="V69" s="45" t="s">
        <v>35</v>
      </c>
      <c r="W69" s="5" t="s">
        <v>38</v>
      </c>
      <c r="X69" s="5" t="s">
        <v>96</v>
      </c>
      <c r="Y69" s="5"/>
      <c r="Z69" s="5" t="s">
        <v>19532</v>
      </c>
      <c r="AA69" s="6">
        <v>611.0</v>
      </c>
    </row>
    <row r="70" ht="56.25" customHeight="1">
      <c r="A70" s="6">
        <v>78.0</v>
      </c>
      <c r="B70" s="5" t="s">
        <v>19533</v>
      </c>
      <c r="C70" s="6" t="str">
        <f>IMAGE("https://i.imgur.com/VgTT2A1.png")</f>
        <v/>
      </c>
      <c r="D70" s="6" t="str">
        <f>IMAGE("https://storage.googleapis.com/acdb/bugs/FtrInsectKumo.png")</f>
        <v/>
      </c>
      <c r="E70" s="6">
        <v>600.0</v>
      </c>
      <c r="F70" s="5" t="s">
        <v>19261</v>
      </c>
      <c r="G70" s="43" t="s">
        <v>19248</v>
      </c>
      <c r="H70" s="43" t="s">
        <v>19249</v>
      </c>
      <c r="I70" s="44">
        <v>0.7916666666666666</v>
      </c>
      <c r="J70" s="44">
        <v>0.3333333333333333</v>
      </c>
      <c r="K70" s="45" t="s">
        <v>35</v>
      </c>
      <c r="L70" s="45" t="s">
        <v>35</v>
      </c>
      <c r="M70" s="46" t="s">
        <v>35</v>
      </c>
      <c r="N70" s="46" t="s">
        <v>35</v>
      </c>
      <c r="O70" s="46" t="s">
        <v>35</v>
      </c>
      <c r="P70" s="47" t="s">
        <v>35</v>
      </c>
      <c r="Q70" s="47" t="s">
        <v>35</v>
      </c>
      <c r="R70" s="47" t="s">
        <v>35</v>
      </c>
      <c r="S70" s="48" t="s">
        <v>35</v>
      </c>
      <c r="T70" s="48" t="s">
        <v>35</v>
      </c>
      <c r="U70" s="48" t="s">
        <v>35</v>
      </c>
      <c r="V70" s="45" t="s">
        <v>35</v>
      </c>
      <c r="W70" s="5" t="s">
        <v>114</v>
      </c>
      <c r="X70" s="5" t="s">
        <v>142</v>
      </c>
      <c r="Y70" s="5"/>
      <c r="Z70" s="5" t="s">
        <v>19535</v>
      </c>
      <c r="AA70" s="6">
        <v>619.0</v>
      </c>
    </row>
    <row r="71" ht="56.25" customHeight="1">
      <c r="A71" s="6">
        <v>41.0</v>
      </c>
      <c r="B71" s="5" t="s">
        <v>19536</v>
      </c>
      <c r="C71" s="6" t="str">
        <f>IMAGE("https://i.imgur.com/S6ywsm0.png")</f>
        <v/>
      </c>
      <c r="D71" s="6" t="str">
        <f>IMAGE("https://storage.googleapis.com/acdb/bugs/FtrInsectKamemushi.png")</f>
        <v/>
      </c>
      <c r="E71" s="6">
        <v>120.0</v>
      </c>
      <c r="F71" s="5" t="s">
        <v>19436</v>
      </c>
      <c r="G71" s="5" t="s">
        <v>19235</v>
      </c>
      <c r="H71" s="5" t="s">
        <v>19249</v>
      </c>
      <c r="I71" s="8" t="s">
        <v>19250</v>
      </c>
      <c r="J71" s="8" t="s">
        <v>19250</v>
      </c>
      <c r="K71" s="45" t="s">
        <v>36</v>
      </c>
      <c r="L71" s="45" t="s">
        <v>36</v>
      </c>
      <c r="M71" s="46" t="s">
        <v>35</v>
      </c>
      <c r="N71" s="46" t="s">
        <v>35</v>
      </c>
      <c r="O71" s="46" t="s">
        <v>35</v>
      </c>
      <c r="P71" s="47" t="s">
        <v>35</v>
      </c>
      <c r="Q71" s="47" t="s">
        <v>35</v>
      </c>
      <c r="R71" s="47" t="s">
        <v>35</v>
      </c>
      <c r="S71" s="48" t="s">
        <v>35</v>
      </c>
      <c r="T71" s="48" t="s">
        <v>35</v>
      </c>
      <c r="U71" s="48" t="s">
        <v>36</v>
      </c>
      <c r="V71" s="45" t="s">
        <v>36</v>
      </c>
      <c r="W71" s="5" t="s">
        <v>96</v>
      </c>
      <c r="X71" s="5" t="s">
        <v>114</v>
      </c>
      <c r="Y71" s="5"/>
      <c r="Z71" s="5" t="s">
        <v>19539</v>
      </c>
      <c r="AA71" s="6">
        <v>608.0</v>
      </c>
    </row>
    <row r="72" ht="56.25" customHeight="1">
      <c r="A72" s="6">
        <v>79.0</v>
      </c>
      <c r="B72" s="5" t="s">
        <v>19540</v>
      </c>
      <c r="C72" s="6" t="str">
        <f>IMAGE("https://i.imgur.com/QJo1pn8.png")</f>
        <v/>
      </c>
      <c r="D72" s="6" t="str">
        <f>IMAGE("https://storage.googleapis.com/acdb/bugs/FtrInsectTaranchura.png")</f>
        <v/>
      </c>
      <c r="E72" s="6">
        <v>8000.0</v>
      </c>
      <c r="F72" s="43" t="s">
        <v>19273</v>
      </c>
      <c r="G72" s="43" t="s">
        <v>19248</v>
      </c>
      <c r="H72" s="43" t="s">
        <v>19249</v>
      </c>
      <c r="I72" s="44">
        <v>0.7916666666666666</v>
      </c>
      <c r="J72" s="44">
        <v>0.16666666666666666</v>
      </c>
      <c r="K72" s="45" t="s">
        <v>35</v>
      </c>
      <c r="L72" s="45" t="s">
        <v>35</v>
      </c>
      <c r="M72" s="46" t="s">
        <v>35</v>
      </c>
      <c r="N72" s="46" t="s">
        <v>35</v>
      </c>
      <c r="O72" s="46" t="s">
        <v>36</v>
      </c>
      <c r="P72" s="47" t="s">
        <v>36</v>
      </c>
      <c r="Q72" s="47" t="s">
        <v>36</v>
      </c>
      <c r="R72" s="47" t="s">
        <v>36</v>
      </c>
      <c r="S72" s="48" t="s">
        <v>36</v>
      </c>
      <c r="T72" s="48" t="s">
        <v>36</v>
      </c>
      <c r="U72" s="48" t="s">
        <v>35</v>
      </c>
      <c r="V72" s="45" t="s">
        <v>35</v>
      </c>
      <c r="W72" s="5" t="s">
        <v>39</v>
      </c>
      <c r="X72" s="5" t="s">
        <v>54</v>
      </c>
      <c r="Y72" s="5"/>
      <c r="Z72" s="5" t="s">
        <v>19542</v>
      </c>
      <c r="AA72" s="6">
        <v>646.0</v>
      </c>
    </row>
    <row r="73" ht="56.25" customHeight="1">
      <c r="A73" s="6">
        <v>44.0</v>
      </c>
      <c r="B73" s="5" t="s">
        <v>19543</v>
      </c>
      <c r="C73" s="6" t="str">
        <f>IMAGE("https://i.imgur.com/xyimMAp.png")</f>
        <v/>
      </c>
      <c r="D73" s="6" t="str">
        <f>IMAGE("https://storage.googleapis.com/acdb/bugs/FtrInsectHanmyou.png")</f>
        <v/>
      </c>
      <c r="E73" s="6">
        <v>1500.0</v>
      </c>
      <c r="F73" s="5" t="s">
        <v>19273</v>
      </c>
      <c r="G73" s="5" t="s">
        <v>19235</v>
      </c>
      <c r="H73" s="5" t="s">
        <v>19236</v>
      </c>
      <c r="I73" s="8" t="s">
        <v>19250</v>
      </c>
      <c r="J73" s="8" t="s">
        <v>19250</v>
      </c>
      <c r="K73" s="45" t="s">
        <v>36</v>
      </c>
      <c r="L73" s="45" t="s">
        <v>35</v>
      </c>
      <c r="M73" s="46" t="s">
        <v>35</v>
      </c>
      <c r="N73" s="46" t="s">
        <v>35</v>
      </c>
      <c r="O73" s="46" t="s">
        <v>35</v>
      </c>
      <c r="P73" s="47" t="s">
        <v>35</v>
      </c>
      <c r="Q73" s="47" t="s">
        <v>35</v>
      </c>
      <c r="R73" s="47" t="s">
        <v>35</v>
      </c>
      <c r="S73" s="48" t="s">
        <v>35</v>
      </c>
      <c r="T73" s="48" t="s">
        <v>35</v>
      </c>
      <c r="U73" s="48" t="s">
        <v>36</v>
      </c>
      <c r="V73" s="45" t="s">
        <v>36</v>
      </c>
      <c r="W73" s="5" t="s">
        <v>96</v>
      </c>
      <c r="X73" s="5" t="s">
        <v>114</v>
      </c>
      <c r="Y73" s="5"/>
      <c r="Z73" s="5" t="s">
        <v>19544</v>
      </c>
      <c r="AA73" s="6">
        <v>599.0</v>
      </c>
    </row>
    <row r="74" ht="56.25" customHeight="1">
      <c r="A74" s="6">
        <v>3.0</v>
      </c>
      <c r="B74" s="5" t="s">
        <v>19545</v>
      </c>
      <c r="C74" s="6" t="str">
        <f>IMAGE("https://i.imgur.com/ueqMyVH.png")</f>
        <v/>
      </c>
      <c r="D74" s="6" t="str">
        <f>IMAGE("https://storage.googleapis.com/acdb/bugs/FtrInsectAgehacho.png")</f>
        <v/>
      </c>
      <c r="E74" s="6">
        <v>240.0</v>
      </c>
      <c r="F74" s="43" t="s">
        <v>19231</v>
      </c>
      <c r="G74" s="5" t="s">
        <v>19235</v>
      </c>
      <c r="H74" s="43" t="s">
        <v>19249</v>
      </c>
      <c r="I74" s="44">
        <v>0.16666666666666666</v>
      </c>
      <c r="J74" s="44">
        <v>0.7916666666666666</v>
      </c>
      <c r="K74" s="45" t="s">
        <v>36</v>
      </c>
      <c r="L74" s="45" t="s">
        <v>36</v>
      </c>
      <c r="M74" s="46" t="s">
        <v>35</v>
      </c>
      <c r="N74" s="46" t="s">
        <v>35</v>
      </c>
      <c r="O74" s="46" t="s">
        <v>35</v>
      </c>
      <c r="P74" s="47" t="s">
        <v>35</v>
      </c>
      <c r="Q74" s="47" t="s">
        <v>35</v>
      </c>
      <c r="R74" s="47" t="s">
        <v>35</v>
      </c>
      <c r="S74" s="48" t="s">
        <v>35</v>
      </c>
      <c r="T74" s="48" t="s">
        <v>36</v>
      </c>
      <c r="U74" s="48" t="s">
        <v>36</v>
      </c>
      <c r="V74" s="45" t="s">
        <v>36</v>
      </c>
      <c r="W74" s="5" t="s">
        <v>114</v>
      </c>
      <c r="X74" s="5" t="s">
        <v>96</v>
      </c>
      <c r="Y74" s="5"/>
      <c r="Z74" s="5" t="s">
        <v>19546</v>
      </c>
      <c r="AA74" s="6">
        <v>583.0</v>
      </c>
    </row>
    <row r="75" ht="56.25" customHeight="1">
      <c r="A75" s="6">
        <v>46.0</v>
      </c>
      <c r="B75" s="5" t="s">
        <v>19547</v>
      </c>
      <c r="C75" s="6" t="str">
        <f>IMAGE("https://i.imgur.com/mFoOmTP.png")</f>
        <v/>
      </c>
      <c r="D75" s="6" t="str">
        <f>IMAGE("https://storage.googleapis.com/acdb/bugs/FtrInsectBaiorinmushi.png")</f>
        <v/>
      </c>
      <c r="E75" s="6">
        <v>450.0</v>
      </c>
      <c r="F75" s="5" t="s">
        <v>19307</v>
      </c>
      <c r="G75" s="5" t="s">
        <v>19235</v>
      </c>
      <c r="H75" s="5" t="s">
        <v>19249</v>
      </c>
      <c r="I75" s="8" t="s">
        <v>19250</v>
      </c>
      <c r="J75" s="8" t="s">
        <v>19250</v>
      </c>
      <c r="K75" s="45" t="s">
        <v>36</v>
      </c>
      <c r="L75" s="45" t="s">
        <v>36</v>
      </c>
      <c r="M75" s="46" t="s">
        <v>36</v>
      </c>
      <c r="N75" s="46" t="s">
        <v>36</v>
      </c>
      <c r="O75" s="46" t="s">
        <v>35</v>
      </c>
      <c r="P75" s="47" t="s">
        <v>35</v>
      </c>
      <c r="Q75" s="47" t="s">
        <v>36</v>
      </c>
      <c r="R75" s="47" t="s">
        <v>36</v>
      </c>
      <c r="S75" s="48" t="s">
        <v>35</v>
      </c>
      <c r="T75" s="48" t="s">
        <v>35</v>
      </c>
      <c r="U75" s="48" t="s">
        <v>35</v>
      </c>
      <c r="V75" s="45" t="s">
        <v>36</v>
      </c>
      <c r="W75" s="5" t="s">
        <v>39</v>
      </c>
      <c r="X75" s="5" t="s">
        <v>54</v>
      </c>
      <c r="Y75" s="5"/>
      <c r="Z75" s="5" t="s">
        <v>19548</v>
      </c>
      <c r="AA75" s="6">
        <v>650.0</v>
      </c>
    </row>
    <row r="76" ht="56.25" customHeight="1">
      <c r="A76" s="6">
        <v>29.0</v>
      </c>
      <c r="B76" s="5" t="s">
        <v>19549</v>
      </c>
      <c r="C76" s="6" t="str">
        <f>IMAGE("https://i.imgur.com/1vMVK2Z.png")</f>
        <v/>
      </c>
      <c r="D76" s="6" t="str">
        <f>IMAGE("https://storage.googleapis.com/acdb/bugs/FtrInsectTsukutsukuhousi.png")</f>
        <v/>
      </c>
      <c r="E76" s="6">
        <v>400.0</v>
      </c>
      <c r="F76" s="43" t="s">
        <v>19288</v>
      </c>
      <c r="G76" s="43" t="s">
        <v>19248</v>
      </c>
      <c r="H76" s="43" t="s">
        <v>19249</v>
      </c>
      <c r="I76" s="44">
        <v>0.3333333333333333</v>
      </c>
      <c r="J76" s="44">
        <v>0.7083333333333334</v>
      </c>
      <c r="K76" s="45" t="s">
        <v>36</v>
      </c>
      <c r="L76" s="45" t="s">
        <v>36</v>
      </c>
      <c r="M76" s="46" t="s">
        <v>36</v>
      </c>
      <c r="N76" s="46" t="s">
        <v>36</v>
      </c>
      <c r="O76" s="46" t="s">
        <v>36</v>
      </c>
      <c r="P76" s="47" t="s">
        <v>36</v>
      </c>
      <c r="Q76" s="47" t="s">
        <v>36</v>
      </c>
      <c r="R76" s="47" t="s">
        <v>35</v>
      </c>
      <c r="S76" s="48" t="s">
        <v>35</v>
      </c>
      <c r="T76" s="48" t="s">
        <v>36</v>
      </c>
      <c r="U76" s="48" t="s">
        <v>36</v>
      </c>
      <c r="V76" s="45" t="s">
        <v>36</v>
      </c>
      <c r="W76" s="5" t="s">
        <v>54</v>
      </c>
      <c r="X76" s="5" t="s">
        <v>69</v>
      </c>
      <c r="Y76" s="5"/>
      <c r="Z76" s="5" t="s">
        <v>19550</v>
      </c>
      <c r="AA76" s="6">
        <v>649.0</v>
      </c>
    </row>
    <row r="77" ht="56.25" customHeight="1">
      <c r="A77" s="6">
        <v>67.0</v>
      </c>
      <c r="B77" s="5" t="s">
        <v>19551</v>
      </c>
      <c r="C77" s="6" t="str">
        <f>IMAGE("https://i.imgur.com/wH4pJ2F.png")</f>
        <v/>
      </c>
      <c r="D77" s="6" t="str">
        <f>IMAGE("https://storage.googleapis.com/acdb/bugs/FtrInsectKonohamushi.png")</f>
        <v/>
      </c>
      <c r="E77" s="6">
        <v>600.0</v>
      </c>
      <c r="F77" s="5" t="s">
        <v>19552</v>
      </c>
      <c r="G77" s="5" t="s">
        <v>19248</v>
      </c>
      <c r="H77" s="5" t="s">
        <v>19236</v>
      </c>
      <c r="I77" s="8" t="s">
        <v>19250</v>
      </c>
      <c r="J77" s="8" t="s">
        <v>19250</v>
      </c>
      <c r="K77" s="45" t="s">
        <v>36</v>
      </c>
      <c r="L77" s="45" t="s">
        <v>36</v>
      </c>
      <c r="M77" s="46" t="s">
        <v>36</v>
      </c>
      <c r="N77" s="46" t="s">
        <v>36</v>
      </c>
      <c r="O77" s="46" t="s">
        <v>36</v>
      </c>
      <c r="P77" s="47" t="s">
        <v>36</v>
      </c>
      <c r="Q77" s="47" t="s">
        <v>35</v>
      </c>
      <c r="R77" s="47" t="s">
        <v>35</v>
      </c>
      <c r="S77" s="48" t="s">
        <v>35</v>
      </c>
      <c r="T77" s="48" t="s">
        <v>36</v>
      </c>
      <c r="U77" s="48" t="s">
        <v>36</v>
      </c>
      <c r="V77" s="45" t="s">
        <v>36</v>
      </c>
      <c r="W77" s="5" t="s">
        <v>96</v>
      </c>
      <c r="X77" s="5" t="s">
        <v>96</v>
      </c>
      <c r="Y77" s="5"/>
      <c r="Z77" s="5" t="s">
        <v>19553</v>
      </c>
      <c r="AA77" s="6">
        <v>616.0</v>
      </c>
    </row>
    <row r="78" ht="56.25" customHeight="1">
      <c r="A78" s="6">
        <v>66.0</v>
      </c>
      <c r="B78" s="5" t="s">
        <v>19554</v>
      </c>
      <c r="C78" s="6" t="str">
        <f>IMAGE("https://i.imgur.com/kql18lQ.png")</f>
        <v/>
      </c>
      <c r="D78" s="6" t="str">
        <f>IMAGE("https://storage.googleapis.com/acdb/bugs/FtrInsectNanafushi.png")</f>
        <v/>
      </c>
      <c r="E78" s="6">
        <v>600.0</v>
      </c>
      <c r="F78" s="5" t="s">
        <v>19255</v>
      </c>
      <c r="G78" s="5" t="s">
        <v>19248</v>
      </c>
      <c r="H78" s="5" t="s">
        <v>19236</v>
      </c>
      <c r="I78" s="8" t="s">
        <v>19555</v>
      </c>
      <c r="J78" s="8" t="s">
        <v>19357</v>
      </c>
      <c r="K78" s="45" t="s">
        <v>36</v>
      </c>
      <c r="L78" s="45" t="s">
        <v>36</v>
      </c>
      <c r="M78" s="46" t="s">
        <v>36</v>
      </c>
      <c r="N78" s="46" t="s">
        <v>36</v>
      </c>
      <c r="O78" s="46" t="s">
        <v>36</v>
      </c>
      <c r="P78" s="47" t="s">
        <v>35</v>
      </c>
      <c r="Q78" s="47" t="s">
        <v>35</v>
      </c>
      <c r="R78" s="47" t="s">
        <v>35</v>
      </c>
      <c r="S78" s="48" t="s">
        <v>35</v>
      </c>
      <c r="T78" s="48" t="s">
        <v>35</v>
      </c>
      <c r="U78" s="48" t="s">
        <v>35</v>
      </c>
      <c r="V78" s="45" t="s">
        <v>36</v>
      </c>
      <c r="W78" s="5" t="s">
        <v>39</v>
      </c>
      <c r="X78" s="5" t="s">
        <v>114</v>
      </c>
      <c r="Y78" s="5"/>
      <c r="Z78" s="5" t="s">
        <v>19556</v>
      </c>
      <c r="AA78" s="6">
        <v>630.0</v>
      </c>
    </row>
    <row r="79" ht="56.25" customHeight="1">
      <c r="A79" s="6">
        <v>25.0</v>
      </c>
      <c r="B79" s="5" t="s">
        <v>19557</v>
      </c>
      <c r="C79" s="6" t="str">
        <f>IMAGE("https://i.imgur.com/rWsiB1B.png")</f>
        <v/>
      </c>
      <c r="D79" s="6" t="str">
        <f>IMAGE("https://storage.googleapis.com/acdb/bugs/FtrInsectHachi.png")</f>
        <v/>
      </c>
      <c r="E79" s="6">
        <v>2500.0</v>
      </c>
      <c r="F79" s="5" t="s">
        <v>19558</v>
      </c>
      <c r="G79" s="5" t="s">
        <v>19248</v>
      </c>
      <c r="H79" s="5" t="s">
        <v>19249</v>
      </c>
      <c r="I79" s="8" t="s">
        <v>19250</v>
      </c>
      <c r="J79" s="8" t="s">
        <v>19250</v>
      </c>
      <c r="K79" s="45" t="s">
        <v>35</v>
      </c>
      <c r="L79" s="45" t="s">
        <v>35</v>
      </c>
      <c r="M79" s="46" t="s">
        <v>35</v>
      </c>
      <c r="N79" s="46" t="s">
        <v>35</v>
      </c>
      <c r="O79" s="46" t="s">
        <v>35</v>
      </c>
      <c r="P79" s="47" t="s">
        <v>35</v>
      </c>
      <c r="Q79" s="47" t="s">
        <v>35</v>
      </c>
      <c r="R79" s="47" t="s">
        <v>35</v>
      </c>
      <c r="S79" s="48" t="s">
        <v>35</v>
      </c>
      <c r="T79" s="48" t="s">
        <v>35</v>
      </c>
      <c r="U79" s="48" t="s">
        <v>35</v>
      </c>
      <c r="V79" s="45" t="s">
        <v>35</v>
      </c>
      <c r="W79" s="5" t="s">
        <v>114</v>
      </c>
      <c r="X79" s="5" t="s">
        <v>142</v>
      </c>
      <c r="Y79" s="5"/>
      <c r="Z79" s="5" t="s">
        <v>19559</v>
      </c>
      <c r="AA79" s="6">
        <v>643.0</v>
      </c>
    </row>
    <row r="80" ht="56.25" customHeight="1">
      <c r="A80" s="6">
        <v>71.0</v>
      </c>
      <c r="B80" s="5" t="s">
        <v>19560</v>
      </c>
      <c r="C80" s="6" t="str">
        <f>IMAGE("https://i.imgur.com/fNhh6wF.png")</f>
        <v/>
      </c>
      <c r="D80" s="6" t="str">
        <f>IMAGE("https://storage.googleapis.com/acdb/bugs/FtrInsectFunamushi.png")</f>
        <v/>
      </c>
      <c r="E80" s="6">
        <v>200.0</v>
      </c>
      <c r="F80" s="5" t="s">
        <v>19561</v>
      </c>
      <c r="G80" s="5" t="s">
        <v>19248</v>
      </c>
      <c r="H80" s="5" t="s">
        <v>19249</v>
      </c>
      <c r="I80" s="8" t="s">
        <v>19250</v>
      </c>
      <c r="J80" s="8" t="s">
        <v>19250</v>
      </c>
      <c r="K80" s="45" t="s">
        <v>35</v>
      </c>
      <c r="L80" s="45" t="s">
        <v>35</v>
      </c>
      <c r="M80" s="46" t="s">
        <v>35</v>
      </c>
      <c r="N80" s="46" t="s">
        <v>35</v>
      </c>
      <c r="O80" s="46" t="s">
        <v>35</v>
      </c>
      <c r="P80" s="47" t="s">
        <v>35</v>
      </c>
      <c r="Q80" s="47" t="s">
        <v>35</v>
      </c>
      <c r="R80" s="47" t="s">
        <v>35</v>
      </c>
      <c r="S80" s="48" t="s">
        <v>35</v>
      </c>
      <c r="T80" s="48" t="s">
        <v>35</v>
      </c>
      <c r="U80" s="48" t="s">
        <v>35</v>
      </c>
      <c r="V80" s="45" t="s">
        <v>35</v>
      </c>
      <c r="W80" s="5" t="s">
        <v>38</v>
      </c>
      <c r="X80" s="5" t="s">
        <v>68</v>
      </c>
      <c r="Y80" s="5"/>
      <c r="Z80" s="5" t="s">
        <v>19562</v>
      </c>
      <c r="AA80" s="6">
        <v>591.0</v>
      </c>
    </row>
    <row r="81" ht="56.25" customHeight="1">
      <c r="A81" s="6">
        <v>2.0</v>
      </c>
      <c r="B81" s="5" t="s">
        <v>19563</v>
      </c>
      <c r="C81" s="6" t="str">
        <f>IMAGE("https://i.imgur.com/kgs4VO3.png")</f>
        <v/>
      </c>
      <c r="D81" s="6" t="str">
        <f>IMAGE("https://storage.googleapis.com/acdb/bugs/FtrInsectMonkicho.png")</f>
        <v/>
      </c>
      <c r="E81" s="6">
        <v>160.0</v>
      </c>
      <c r="F81" s="43" t="s">
        <v>19231</v>
      </c>
      <c r="G81" s="5" t="s">
        <v>19235</v>
      </c>
      <c r="H81" s="43" t="s">
        <v>19249</v>
      </c>
      <c r="I81" s="44">
        <v>0.16666666666666666</v>
      </c>
      <c r="J81" s="44">
        <v>0.7916666666666666</v>
      </c>
      <c r="K81" s="45" t="s">
        <v>36</v>
      </c>
      <c r="L81" s="45" t="s">
        <v>36</v>
      </c>
      <c r="M81" s="46" t="s">
        <v>35</v>
      </c>
      <c r="N81" s="46" t="s">
        <v>35</v>
      </c>
      <c r="O81" s="46" t="s">
        <v>35</v>
      </c>
      <c r="P81" s="47" t="s">
        <v>35</v>
      </c>
      <c r="Q81" s="47" t="s">
        <v>36</v>
      </c>
      <c r="R81" s="47" t="s">
        <v>36</v>
      </c>
      <c r="S81" s="48" t="s">
        <v>35</v>
      </c>
      <c r="T81" s="48" t="s">
        <v>35</v>
      </c>
      <c r="U81" s="48" t="s">
        <v>36</v>
      </c>
      <c r="V81" s="45" t="s">
        <v>36</v>
      </c>
      <c r="W81" s="5" t="s">
        <v>114</v>
      </c>
      <c r="X81" s="5" t="s">
        <v>68</v>
      </c>
      <c r="Y81" s="5"/>
      <c r="Z81" s="5" t="s">
        <v>19564</v>
      </c>
      <c r="AA81" s="6">
        <v>625.0</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3.0"/>
    <col customWidth="1" min="2" max="2" width="14.43"/>
    <col customWidth="1" min="3" max="4" width="10.86"/>
    <col customWidth="1" min="5" max="5" width="5.86"/>
    <col customWidth="1" min="6" max="6" width="14.43"/>
    <col customWidth="1" min="7" max="7" width="9.43"/>
    <col customWidth="1" min="8" max="8" width="10.86"/>
    <col customWidth="1" min="9" max="10" width="8.71"/>
    <col customWidth="1" min="11" max="22" width="4.43"/>
    <col customWidth="1" min="23" max="24" width="8.0"/>
    <col customWidth="1" min="25" max="26" width="12.29"/>
    <col customWidth="1" min="27" max="27" width="8.0"/>
  </cols>
  <sheetData>
    <row r="1" ht="26.25" customHeight="1">
      <c r="A1" s="2" t="s">
        <v>19194</v>
      </c>
      <c r="B1" s="1" t="s">
        <v>0</v>
      </c>
      <c r="C1" s="2" t="s">
        <v>1</v>
      </c>
      <c r="D1" s="2" t="s">
        <v>19197</v>
      </c>
      <c r="E1" s="2" t="s">
        <v>11</v>
      </c>
      <c r="F1" s="1" t="s">
        <v>19198</v>
      </c>
      <c r="G1" s="1" t="s">
        <v>19199</v>
      </c>
      <c r="H1" s="1" t="s">
        <v>19200</v>
      </c>
      <c r="I1" s="4" t="s">
        <v>19202</v>
      </c>
      <c r="J1" s="4" t="s">
        <v>19203</v>
      </c>
      <c r="K1" s="41" t="s">
        <v>19204</v>
      </c>
      <c r="L1" s="41" t="s">
        <v>19208</v>
      </c>
      <c r="M1" s="42" t="s">
        <v>19209</v>
      </c>
      <c r="N1" s="42" t="s">
        <v>19211</v>
      </c>
      <c r="O1" s="42" t="s">
        <v>19212</v>
      </c>
      <c r="P1" s="39" t="s">
        <v>19213</v>
      </c>
      <c r="Q1" s="39" t="s">
        <v>19216</v>
      </c>
      <c r="R1" s="39" t="s">
        <v>19217</v>
      </c>
      <c r="S1" s="40" t="s">
        <v>19218</v>
      </c>
      <c r="T1" s="40" t="s">
        <v>19221</v>
      </c>
      <c r="U1" s="40" t="s">
        <v>19222</v>
      </c>
      <c r="V1" s="41" t="s">
        <v>19223</v>
      </c>
      <c r="W1" s="1" t="s">
        <v>12</v>
      </c>
      <c r="X1" s="1" t="s">
        <v>13</v>
      </c>
      <c r="Y1" s="1" t="s">
        <v>19224</v>
      </c>
      <c r="Z1" s="1" t="s">
        <v>19226</v>
      </c>
      <c r="AA1" s="2" t="s">
        <v>29</v>
      </c>
    </row>
    <row r="2" ht="56.25" customHeight="1">
      <c r="A2" s="6">
        <v>10.0</v>
      </c>
      <c r="B2" s="5" t="s">
        <v>19227</v>
      </c>
      <c r="C2" s="6" t="str">
        <f>IMAGE("https://i.imgur.com/zpCLFPW.png")</f>
        <v/>
      </c>
      <c r="D2" s="6" t="str">
        <f>IMAGE("https://storage.googleapis.com/acdb/bugs/FtrInsectMiirotateha.png")</f>
        <v/>
      </c>
      <c r="E2" s="6">
        <v>3000.0</v>
      </c>
      <c r="F2" s="43" t="s">
        <v>19231</v>
      </c>
      <c r="G2" s="5" t="s">
        <v>19235</v>
      </c>
      <c r="H2" s="43" t="s">
        <v>19236</v>
      </c>
      <c r="I2" s="44">
        <v>0.3333333333333333</v>
      </c>
      <c r="J2" s="44">
        <v>0.7083333333333334</v>
      </c>
      <c r="K2" s="47" t="s">
        <v>35</v>
      </c>
      <c r="L2" s="47" t="s">
        <v>35</v>
      </c>
      <c r="M2" s="48" t="s">
        <v>35</v>
      </c>
      <c r="N2" s="48" t="s">
        <v>36</v>
      </c>
      <c r="O2" s="48" t="s">
        <v>36</v>
      </c>
      <c r="P2" s="45" t="s">
        <v>36</v>
      </c>
      <c r="Q2" s="45" t="s">
        <v>36</v>
      </c>
      <c r="R2" s="45" t="s">
        <v>36</v>
      </c>
      <c r="S2" s="46" t="s">
        <v>36</v>
      </c>
      <c r="T2" s="46" t="s">
        <v>35</v>
      </c>
      <c r="U2" s="46" t="s">
        <v>35</v>
      </c>
      <c r="V2" s="47" t="s">
        <v>35</v>
      </c>
      <c r="W2" s="5" t="s">
        <v>69</v>
      </c>
      <c r="X2" s="5" t="s">
        <v>96</v>
      </c>
      <c r="Y2" s="5"/>
      <c r="Z2" s="5" t="s">
        <v>19242</v>
      </c>
      <c r="AA2" s="6">
        <v>620.0</v>
      </c>
    </row>
    <row r="3" ht="56.25" customHeight="1">
      <c r="A3" s="6">
        <v>69.0</v>
      </c>
      <c r="B3" s="5" t="s">
        <v>19244</v>
      </c>
      <c r="C3" s="6" t="str">
        <f>IMAGE("https://i.imgur.com/s7rnYTT.png")</f>
        <v/>
      </c>
      <c r="D3" s="6" t="str">
        <f>IMAGE("https://storage.googleapis.com/acdb/bugs/FtrInsectAri.png")</f>
        <v/>
      </c>
      <c r="E3" s="6">
        <v>80.0</v>
      </c>
      <c r="F3" s="5" t="s">
        <v>19247</v>
      </c>
      <c r="G3" s="5" t="s">
        <v>19248</v>
      </c>
      <c r="H3" s="5" t="s">
        <v>19249</v>
      </c>
      <c r="I3" s="8" t="s">
        <v>19250</v>
      </c>
      <c r="J3" s="8" t="s">
        <v>19250</v>
      </c>
      <c r="K3" s="47" t="s">
        <v>35</v>
      </c>
      <c r="L3" s="47" t="s">
        <v>35</v>
      </c>
      <c r="M3" s="48" t="s">
        <v>35</v>
      </c>
      <c r="N3" s="48" t="s">
        <v>35</v>
      </c>
      <c r="O3" s="48" t="s">
        <v>35</v>
      </c>
      <c r="P3" s="45" t="s">
        <v>35</v>
      </c>
      <c r="Q3" s="45" t="s">
        <v>35</v>
      </c>
      <c r="R3" s="45" t="s">
        <v>35</v>
      </c>
      <c r="S3" s="46" t="s">
        <v>35</v>
      </c>
      <c r="T3" s="46" t="s">
        <v>35</v>
      </c>
      <c r="U3" s="46" t="s">
        <v>35</v>
      </c>
      <c r="V3" s="47" t="s">
        <v>35</v>
      </c>
      <c r="W3" s="5" t="s">
        <v>54</v>
      </c>
      <c r="X3" s="5" t="s">
        <v>57</v>
      </c>
      <c r="Y3" s="5"/>
      <c r="Z3" s="5" t="s">
        <v>19252</v>
      </c>
      <c r="AA3" s="6">
        <v>588.0</v>
      </c>
    </row>
    <row r="4" ht="56.25" customHeight="1">
      <c r="A4" s="6">
        <v>14.0</v>
      </c>
      <c r="B4" s="5" t="s">
        <v>19253</v>
      </c>
      <c r="C4" s="6" t="str">
        <f>IMAGE("https://i.imgur.com/RdNAqj8.png")</f>
        <v/>
      </c>
      <c r="D4" s="6" t="str">
        <f>IMAGE("https://storage.googleapis.com/acdb/bugs/FtrInsectYonagunisan.png")</f>
        <v/>
      </c>
      <c r="E4" s="6">
        <v>3000.0</v>
      </c>
      <c r="F4" s="43" t="s">
        <v>19255</v>
      </c>
      <c r="G4" s="43" t="s">
        <v>19248</v>
      </c>
      <c r="H4" s="43" t="s">
        <v>19236</v>
      </c>
      <c r="I4" s="44">
        <v>0.7916666666666666</v>
      </c>
      <c r="J4" s="44">
        <v>0.16666666666666666</v>
      </c>
      <c r="K4" s="47" t="s">
        <v>35</v>
      </c>
      <c r="L4" s="47" t="s">
        <v>35</v>
      </c>
      <c r="M4" s="48" t="s">
        <v>35</v>
      </c>
      <c r="N4" s="48" t="s">
        <v>36</v>
      </c>
      <c r="O4" s="48" t="s">
        <v>36</v>
      </c>
      <c r="P4" s="45" t="s">
        <v>36</v>
      </c>
      <c r="Q4" s="45" t="s">
        <v>36</v>
      </c>
      <c r="R4" s="45" t="s">
        <v>36</v>
      </c>
      <c r="S4" s="46" t="s">
        <v>36</v>
      </c>
      <c r="T4" s="46" t="s">
        <v>35</v>
      </c>
      <c r="U4" s="46" t="s">
        <v>35</v>
      </c>
      <c r="V4" s="47" t="s">
        <v>35</v>
      </c>
      <c r="W4" s="5" t="s">
        <v>142</v>
      </c>
      <c r="X4" s="5" t="s">
        <v>114</v>
      </c>
      <c r="Y4" s="5"/>
      <c r="Z4" s="5" t="s">
        <v>19257</v>
      </c>
      <c r="AA4" s="6">
        <v>652.0</v>
      </c>
    </row>
    <row r="5" ht="56.25" customHeight="1">
      <c r="A5" s="6">
        <v>68.0</v>
      </c>
      <c r="B5" s="5" t="s">
        <v>19258</v>
      </c>
      <c r="C5" s="6" t="str">
        <f>IMAGE("https://i.imgur.com/ubKboEx.png")</f>
        <v/>
      </c>
      <c r="D5" s="6" t="str">
        <f>IMAGE("https://storage.googleapis.com/acdb/bugs/FtrInsectMinomushi.png")</f>
        <v/>
      </c>
      <c r="E5" s="6">
        <v>600.0</v>
      </c>
      <c r="F5" s="5" t="s">
        <v>19261</v>
      </c>
      <c r="G5" s="5" t="s">
        <v>19248</v>
      </c>
      <c r="H5" s="5" t="s">
        <v>19249</v>
      </c>
      <c r="I5" s="8" t="s">
        <v>19250</v>
      </c>
      <c r="J5" s="8" t="s">
        <v>19250</v>
      </c>
      <c r="K5" s="47" t="s">
        <v>35</v>
      </c>
      <c r="L5" s="47" t="s">
        <v>35</v>
      </c>
      <c r="M5" s="48" t="s">
        <v>35</v>
      </c>
      <c r="N5" s="48" t="s">
        <v>35</v>
      </c>
      <c r="O5" s="48" t="s">
        <v>35</v>
      </c>
      <c r="P5" s="45" t="s">
        <v>35</v>
      </c>
      <c r="Q5" s="45" t="s">
        <v>35</v>
      </c>
      <c r="R5" s="45" t="s">
        <v>35</v>
      </c>
      <c r="S5" s="46" t="s">
        <v>35</v>
      </c>
      <c r="T5" s="46" t="s">
        <v>35</v>
      </c>
      <c r="U5" s="46" t="s">
        <v>35</v>
      </c>
      <c r="V5" s="47" t="s">
        <v>35</v>
      </c>
      <c r="W5" s="5" t="s">
        <v>39</v>
      </c>
      <c r="X5" s="5" t="s">
        <v>68</v>
      </c>
      <c r="Y5" s="5"/>
      <c r="Z5" s="5" t="s">
        <v>19263</v>
      </c>
      <c r="AA5" s="6">
        <v>622.0</v>
      </c>
    </row>
    <row r="6" ht="56.25" customHeight="1">
      <c r="A6" s="6">
        <v>34.0</v>
      </c>
      <c r="B6" s="5" t="s">
        <v>19265</v>
      </c>
      <c r="C6" s="6" t="str">
        <f>IMAGE("https://i.imgur.com/1Xtj7bB.png")</f>
        <v/>
      </c>
      <c r="D6" s="6" t="str">
        <f>IMAGE("https://storage.googleapis.com/acdb/bugs/FtrInsectOniyanma.png")</f>
        <v/>
      </c>
      <c r="E6" s="6">
        <v>4500.0</v>
      </c>
      <c r="F6" s="43" t="s">
        <v>19266</v>
      </c>
      <c r="G6" s="5" t="s">
        <v>19235</v>
      </c>
      <c r="H6" s="43" t="s">
        <v>19267</v>
      </c>
      <c r="I6" s="44">
        <v>0.3333333333333333</v>
      </c>
      <c r="J6" s="44">
        <v>0.7083333333333334</v>
      </c>
      <c r="K6" s="47" t="s">
        <v>35</v>
      </c>
      <c r="L6" s="47" t="s">
        <v>35</v>
      </c>
      <c r="M6" s="48" t="s">
        <v>35</v>
      </c>
      <c r="N6" s="48" t="s">
        <v>35</v>
      </c>
      <c r="O6" s="48" t="s">
        <v>36</v>
      </c>
      <c r="P6" s="45" t="s">
        <v>36</v>
      </c>
      <c r="Q6" s="45" t="s">
        <v>36</v>
      </c>
      <c r="R6" s="45" t="s">
        <v>36</v>
      </c>
      <c r="S6" s="46" t="s">
        <v>36</v>
      </c>
      <c r="T6" s="46" t="s">
        <v>36</v>
      </c>
      <c r="U6" s="46" t="s">
        <v>35</v>
      </c>
      <c r="V6" s="47" t="s">
        <v>35</v>
      </c>
      <c r="W6" s="5" t="s">
        <v>54</v>
      </c>
      <c r="X6" s="5" t="s">
        <v>114</v>
      </c>
      <c r="Y6" s="5"/>
      <c r="Z6" s="5" t="s">
        <v>19270</v>
      </c>
      <c r="AA6" s="6">
        <v>635.0</v>
      </c>
    </row>
    <row r="7" ht="56.25" customHeight="1">
      <c r="A7" s="6">
        <v>21.0</v>
      </c>
      <c r="B7" s="5" t="s">
        <v>19271</v>
      </c>
      <c r="C7" s="6" t="str">
        <f>IMAGE("https://i.imgur.com/YZvOZ2M.png")</f>
        <v/>
      </c>
      <c r="D7" s="6" t="str">
        <f>IMAGE("https://storage.googleapis.com/acdb/bugs/FtrInsectSuzumushi.png")</f>
        <v/>
      </c>
      <c r="E7" s="6">
        <v>430.0</v>
      </c>
      <c r="F7" s="43" t="s">
        <v>19273</v>
      </c>
      <c r="G7" s="5" t="s">
        <v>19235</v>
      </c>
      <c r="H7" s="43" t="s">
        <v>19249</v>
      </c>
      <c r="I7" s="44">
        <v>0.7083333333333334</v>
      </c>
      <c r="J7" s="44">
        <v>0.3333333333333333</v>
      </c>
      <c r="K7" s="47" t="s">
        <v>36</v>
      </c>
      <c r="L7" s="47" t="s">
        <v>36</v>
      </c>
      <c r="M7" s="48" t="s">
        <v>35</v>
      </c>
      <c r="N7" s="48" t="s">
        <v>35</v>
      </c>
      <c r="O7" s="48" t="s">
        <v>36</v>
      </c>
      <c r="P7" s="45" t="s">
        <v>36</v>
      </c>
      <c r="Q7" s="45" t="s">
        <v>36</v>
      </c>
      <c r="R7" s="45" t="s">
        <v>36</v>
      </c>
      <c r="S7" s="46" t="s">
        <v>36</v>
      </c>
      <c r="T7" s="46" t="s">
        <v>36</v>
      </c>
      <c r="U7" s="46" t="s">
        <v>36</v>
      </c>
      <c r="V7" s="47" t="s">
        <v>36</v>
      </c>
      <c r="W7" s="5" t="s">
        <v>54</v>
      </c>
      <c r="X7" s="5" t="s">
        <v>38</v>
      </c>
      <c r="Y7" s="5"/>
      <c r="Z7" s="5" t="s">
        <v>19278</v>
      </c>
      <c r="AA7" s="6">
        <v>642.0</v>
      </c>
    </row>
    <row r="8" ht="56.25" customHeight="1">
      <c r="A8" s="6">
        <v>49.0</v>
      </c>
      <c r="B8" s="5" t="s">
        <v>19279</v>
      </c>
      <c r="C8" s="6" t="str">
        <f>IMAGE("https://i.imgur.com/IXj81M3.png")</f>
        <v/>
      </c>
      <c r="D8" s="6" t="str">
        <f>IMAGE("https://storage.googleapis.com/acdb/bugs/FtrInsectHousekizoumushi.png")</f>
        <v/>
      </c>
      <c r="E8" s="6">
        <v>800.0</v>
      </c>
      <c r="F8" s="5" t="s">
        <v>19282</v>
      </c>
      <c r="G8" s="5" t="s">
        <v>19248</v>
      </c>
      <c r="H8" s="5" t="s">
        <v>19249</v>
      </c>
      <c r="I8" s="8" t="s">
        <v>19250</v>
      </c>
      <c r="J8" s="8" t="s">
        <v>19250</v>
      </c>
      <c r="K8" s="47" t="s">
        <v>35</v>
      </c>
      <c r="L8" s="47" t="s">
        <v>35</v>
      </c>
      <c r="M8" s="48" t="s">
        <v>36</v>
      </c>
      <c r="N8" s="48" t="s">
        <v>36</v>
      </c>
      <c r="O8" s="48" t="s">
        <v>36</v>
      </c>
      <c r="P8" s="45" t="s">
        <v>36</v>
      </c>
      <c r="Q8" s="45" t="s">
        <v>36</v>
      </c>
      <c r="R8" s="45" t="s">
        <v>36</v>
      </c>
      <c r="S8" s="46" t="s">
        <v>36</v>
      </c>
      <c r="T8" s="46" t="s">
        <v>36</v>
      </c>
      <c r="U8" s="46" t="s">
        <v>36</v>
      </c>
      <c r="V8" s="47" t="s">
        <v>36</v>
      </c>
      <c r="W8" s="5" t="s">
        <v>96</v>
      </c>
      <c r="X8" s="5" t="s">
        <v>69</v>
      </c>
      <c r="Y8" s="5"/>
      <c r="Z8" s="5" t="s">
        <v>19285</v>
      </c>
      <c r="AA8" s="6">
        <v>3485.0</v>
      </c>
    </row>
    <row r="9" ht="56.25" customHeight="1">
      <c r="A9" s="6">
        <v>26.0</v>
      </c>
      <c r="B9" s="5" t="s">
        <v>19286</v>
      </c>
      <c r="C9" s="6" t="str">
        <f>IMAGE("https://i.imgur.com/awibAPX.png")</f>
        <v/>
      </c>
      <c r="D9" s="6" t="str">
        <f>IMAGE("https://storage.googleapis.com/acdb/bugs/FtrInsectAburazemi.png")</f>
        <v/>
      </c>
      <c r="E9" s="6">
        <v>250.0</v>
      </c>
      <c r="F9" s="43" t="s">
        <v>19288</v>
      </c>
      <c r="G9" s="43" t="s">
        <v>19248</v>
      </c>
      <c r="H9" s="43" t="s">
        <v>19249</v>
      </c>
      <c r="I9" s="44">
        <v>0.3333333333333333</v>
      </c>
      <c r="J9" s="44">
        <v>0.7083333333333334</v>
      </c>
      <c r="K9" s="47" t="s">
        <v>35</v>
      </c>
      <c r="L9" s="47" t="s">
        <v>35</v>
      </c>
      <c r="M9" s="48" t="s">
        <v>36</v>
      </c>
      <c r="N9" s="48" t="s">
        <v>36</v>
      </c>
      <c r="O9" s="48" t="s">
        <v>36</v>
      </c>
      <c r="P9" s="45" t="s">
        <v>36</v>
      </c>
      <c r="Q9" s="45" t="s">
        <v>36</v>
      </c>
      <c r="R9" s="45" t="s">
        <v>36</v>
      </c>
      <c r="S9" s="46" t="s">
        <v>36</v>
      </c>
      <c r="T9" s="46" t="s">
        <v>36</v>
      </c>
      <c r="U9" s="46" t="s">
        <v>36</v>
      </c>
      <c r="V9" s="47" t="s">
        <v>36</v>
      </c>
      <c r="W9" s="5" t="s">
        <v>39</v>
      </c>
      <c r="X9" s="5" t="s">
        <v>96</v>
      </c>
      <c r="Y9" s="5"/>
      <c r="Z9" s="5" t="s">
        <v>19291</v>
      </c>
      <c r="AA9" s="6">
        <v>582.0</v>
      </c>
    </row>
    <row r="10" ht="56.25" customHeight="1">
      <c r="A10" s="6">
        <v>77.0</v>
      </c>
      <c r="B10" s="5" t="s">
        <v>19292</v>
      </c>
      <c r="C10" s="6" t="str">
        <f>IMAGE("https://i.imgur.com/8AhtnAv.png")</f>
        <v/>
      </c>
      <c r="D10" s="6" t="str">
        <f>IMAGE("https://storage.googleapis.com/acdb/bugs/FtrInsectMukade.png")</f>
        <v/>
      </c>
      <c r="E10" s="6">
        <v>300.0</v>
      </c>
      <c r="F10" s="5" t="s">
        <v>19295</v>
      </c>
      <c r="G10" s="43" t="s">
        <v>19248</v>
      </c>
      <c r="H10" s="43" t="s">
        <v>19249</v>
      </c>
      <c r="I10" s="44">
        <v>0.6666666666666666</v>
      </c>
      <c r="J10" s="44">
        <v>0.9583333333333334</v>
      </c>
      <c r="K10" s="47" t="s">
        <v>36</v>
      </c>
      <c r="L10" s="47" t="s">
        <v>36</v>
      </c>
      <c r="M10" s="48" t="s">
        <v>35</v>
      </c>
      <c r="N10" s="48" t="s">
        <v>35</v>
      </c>
      <c r="O10" s="48" t="s">
        <v>35</v>
      </c>
      <c r="P10" s="45" t="s">
        <v>35</v>
      </c>
      <c r="Q10" s="45" t="s">
        <v>35</v>
      </c>
      <c r="R10" s="45" t="s">
        <v>35</v>
      </c>
      <c r="S10" s="46" t="s">
        <v>35</v>
      </c>
      <c r="T10" s="46" t="s">
        <v>35</v>
      </c>
      <c r="U10" s="46" t="s">
        <v>35</v>
      </c>
      <c r="V10" s="47" t="s">
        <v>35</v>
      </c>
      <c r="W10" s="5" t="s">
        <v>54</v>
      </c>
      <c r="X10" s="5" t="s">
        <v>142</v>
      </c>
      <c r="Y10" s="5"/>
      <c r="Z10" s="5" t="s">
        <v>19299</v>
      </c>
      <c r="AA10" s="6">
        <v>628.0</v>
      </c>
    </row>
    <row r="11" ht="56.25" customHeight="1">
      <c r="A11" s="6">
        <v>31.0</v>
      </c>
      <c r="B11" s="5" t="s">
        <v>19301</v>
      </c>
      <c r="C11" s="6" t="str">
        <f>IMAGE("https://i.imgur.com/uGH1eff.png")</f>
        <v/>
      </c>
      <c r="D11" s="6" t="str">
        <f>IMAGE("https://storage.googleapis.com/acdb/bugs/FtrInsectSeminonukegara.png")</f>
        <v/>
      </c>
      <c r="E11" s="6">
        <v>10.0</v>
      </c>
      <c r="F11" s="5" t="s">
        <v>19261</v>
      </c>
      <c r="G11" s="5" t="s">
        <v>19248</v>
      </c>
      <c r="H11" s="5" t="s">
        <v>19267</v>
      </c>
      <c r="I11" s="8" t="s">
        <v>19250</v>
      </c>
      <c r="J11" s="8" t="s">
        <v>19250</v>
      </c>
      <c r="K11" s="47" t="s">
        <v>35</v>
      </c>
      <c r="L11" s="47" t="s">
        <v>35</v>
      </c>
      <c r="M11" s="48" t="s">
        <v>36</v>
      </c>
      <c r="N11" s="48" t="s">
        <v>36</v>
      </c>
      <c r="O11" s="48" t="s">
        <v>36</v>
      </c>
      <c r="P11" s="45" t="s">
        <v>36</v>
      </c>
      <c r="Q11" s="45" t="s">
        <v>36</v>
      </c>
      <c r="R11" s="45" t="s">
        <v>36</v>
      </c>
      <c r="S11" s="46" t="s">
        <v>36</v>
      </c>
      <c r="T11" s="46" t="s">
        <v>36</v>
      </c>
      <c r="U11" s="46" t="s">
        <v>36</v>
      </c>
      <c r="V11" s="47" t="s">
        <v>36</v>
      </c>
      <c r="W11" s="5" t="s">
        <v>39</v>
      </c>
      <c r="X11" s="5" t="s">
        <v>96</v>
      </c>
      <c r="Y11" s="5"/>
      <c r="Z11" s="5" t="s">
        <v>19304</v>
      </c>
      <c r="AA11" s="6">
        <v>641.0</v>
      </c>
    </row>
    <row r="12" ht="56.25" customHeight="1">
      <c r="A12" s="6">
        <v>47.0</v>
      </c>
      <c r="B12" s="5" t="s">
        <v>19305</v>
      </c>
      <c r="C12" s="6" t="str">
        <f>IMAGE("https://i.imgur.com/BZ8Hueo.png")</f>
        <v/>
      </c>
      <c r="D12" s="6" t="str">
        <f>IMAGE("https://storage.googleapis.com/acdb/bugs/FtrInsectGomadarakamikiri.png")</f>
        <v/>
      </c>
      <c r="E12" s="6">
        <v>350.0</v>
      </c>
      <c r="F12" s="5" t="s">
        <v>19307</v>
      </c>
      <c r="G12" s="5" t="s">
        <v>19235</v>
      </c>
      <c r="H12" s="5" t="s">
        <v>19249</v>
      </c>
      <c r="I12" s="8" t="s">
        <v>19250</v>
      </c>
      <c r="J12" s="8" t="s">
        <v>19250</v>
      </c>
      <c r="K12" s="47" t="s">
        <v>35</v>
      </c>
      <c r="L12" s="47" t="s">
        <v>35</v>
      </c>
      <c r="M12" s="48" t="s">
        <v>35</v>
      </c>
      <c r="N12" s="48" t="s">
        <v>35</v>
      </c>
      <c r="O12" s="48" t="s">
        <v>35</v>
      </c>
      <c r="P12" s="45" t="s">
        <v>35</v>
      </c>
      <c r="Q12" s="45" t="s">
        <v>35</v>
      </c>
      <c r="R12" s="45" t="s">
        <v>35</v>
      </c>
      <c r="S12" s="46" t="s">
        <v>35</v>
      </c>
      <c r="T12" s="46" t="s">
        <v>35</v>
      </c>
      <c r="U12" s="46" t="s">
        <v>35</v>
      </c>
      <c r="V12" s="47" t="s">
        <v>35</v>
      </c>
      <c r="W12" s="5" t="s">
        <v>54</v>
      </c>
      <c r="X12" s="5" t="s">
        <v>96</v>
      </c>
      <c r="Y12" s="5"/>
      <c r="Z12" s="5" t="s">
        <v>19310</v>
      </c>
      <c r="AA12" s="6">
        <v>609.0</v>
      </c>
    </row>
    <row r="13" ht="56.25" customHeight="1">
      <c r="A13" s="6">
        <v>5.0</v>
      </c>
      <c r="B13" s="5" t="s">
        <v>19311</v>
      </c>
      <c r="C13" s="6" t="str">
        <f>IMAGE("https://i.imgur.com/s1jc8H4.png")</f>
        <v/>
      </c>
      <c r="D13" s="6" t="str">
        <f>IMAGE("https://storage.googleapis.com/acdb/bugs/FtrInsectAosujiageha.png")</f>
        <v/>
      </c>
      <c r="E13" s="6">
        <v>300.0</v>
      </c>
      <c r="F13" s="43" t="s">
        <v>19231</v>
      </c>
      <c r="G13" s="5" t="s">
        <v>19235</v>
      </c>
      <c r="H13" s="43" t="s">
        <v>19249</v>
      </c>
      <c r="I13" s="44">
        <v>0.16666666666666666</v>
      </c>
      <c r="J13" s="44">
        <v>0.7916666666666666</v>
      </c>
      <c r="K13" s="47" t="s">
        <v>35</v>
      </c>
      <c r="L13" s="47" t="s">
        <v>35</v>
      </c>
      <c r="M13" s="48" t="s">
        <v>36</v>
      </c>
      <c r="N13" s="48" t="s">
        <v>36</v>
      </c>
      <c r="O13" s="48" t="s">
        <v>36</v>
      </c>
      <c r="P13" s="45" t="s">
        <v>36</v>
      </c>
      <c r="Q13" s="45" t="s">
        <v>36</v>
      </c>
      <c r="R13" s="45" t="s">
        <v>36</v>
      </c>
      <c r="S13" s="46" t="s">
        <v>36</v>
      </c>
      <c r="T13" s="46" t="s">
        <v>35</v>
      </c>
      <c r="U13" s="46" t="s">
        <v>35</v>
      </c>
      <c r="V13" s="47" t="s">
        <v>35</v>
      </c>
      <c r="W13" s="5" t="s">
        <v>54</v>
      </c>
      <c r="X13" s="5" t="s">
        <v>96</v>
      </c>
      <c r="Y13" s="5"/>
      <c r="Z13" s="5" t="s">
        <v>19314</v>
      </c>
      <c r="AA13" s="6">
        <v>3477.0</v>
      </c>
    </row>
    <row r="14" ht="56.25" customHeight="1">
      <c r="A14" s="6">
        <v>1.0</v>
      </c>
      <c r="B14" s="5" t="s">
        <v>19315</v>
      </c>
      <c r="C14" s="6" t="str">
        <f>IMAGE("https://i.imgur.com/UJiH4E9.png")</f>
        <v/>
      </c>
      <c r="D14" s="6" t="str">
        <f>IMAGE("https://storage.googleapis.com/acdb/bugs/FtrInsectMonshirocho.png")</f>
        <v/>
      </c>
      <c r="E14" s="6">
        <v>160.0</v>
      </c>
      <c r="F14" s="43" t="s">
        <v>19231</v>
      </c>
      <c r="G14" s="5" t="s">
        <v>19235</v>
      </c>
      <c r="H14" s="43" t="s">
        <v>19249</v>
      </c>
      <c r="I14" s="44">
        <v>0.16666666666666666</v>
      </c>
      <c r="J14" s="44">
        <v>0.7916666666666666</v>
      </c>
      <c r="K14" s="47" t="s">
        <v>36</v>
      </c>
      <c r="L14" s="47" t="s">
        <v>36</v>
      </c>
      <c r="M14" s="48" t="s">
        <v>35</v>
      </c>
      <c r="N14" s="48" t="s">
        <v>35</v>
      </c>
      <c r="O14" s="48" t="s">
        <v>35</v>
      </c>
      <c r="P14" s="45" t="s">
        <v>35</v>
      </c>
      <c r="Q14" s="45" t="s">
        <v>35</v>
      </c>
      <c r="R14" s="45" t="s">
        <v>35</v>
      </c>
      <c r="S14" s="46" t="s">
        <v>35</v>
      </c>
      <c r="T14" s="46" t="s">
        <v>35</v>
      </c>
      <c r="U14" s="46" t="s">
        <v>35</v>
      </c>
      <c r="V14" s="47" t="s">
        <v>35</v>
      </c>
      <c r="W14" s="5" t="s">
        <v>57</v>
      </c>
      <c r="X14" s="5" t="s">
        <v>96</v>
      </c>
      <c r="Y14" s="5"/>
      <c r="Z14" s="5" t="s">
        <v>19318</v>
      </c>
      <c r="AA14" s="6">
        <v>626.0</v>
      </c>
    </row>
    <row r="15" ht="56.25" customHeight="1">
      <c r="A15" s="6">
        <v>20.0</v>
      </c>
      <c r="B15" s="5" t="s">
        <v>19319</v>
      </c>
      <c r="C15" s="6" t="str">
        <f>IMAGE("https://i.imgur.com/joRVhXW.png")</f>
        <v/>
      </c>
      <c r="D15" s="6" t="str">
        <f>IMAGE("https://storage.googleapis.com/acdb/bugs/FtrInsectKohrogi.png")</f>
        <v/>
      </c>
      <c r="E15" s="6">
        <v>130.0</v>
      </c>
      <c r="F15" s="43" t="s">
        <v>19273</v>
      </c>
      <c r="G15" s="5" t="s">
        <v>19235</v>
      </c>
      <c r="H15" s="43" t="s">
        <v>19249</v>
      </c>
      <c r="I15" s="44">
        <v>0.7083333333333334</v>
      </c>
      <c r="J15" s="44">
        <v>0.3333333333333333</v>
      </c>
      <c r="K15" s="47" t="s">
        <v>36</v>
      </c>
      <c r="L15" s="47" t="s">
        <v>36</v>
      </c>
      <c r="M15" s="48" t="s">
        <v>35</v>
      </c>
      <c r="N15" s="48" t="s">
        <v>35</v>
      </c>
      <c r="O15" s="48" t="s">
        <v>35</v>
      </c>
      <c r="P15" s="45" t="s">
        <v>36</v>
      </c>
      <c r="Q15" s="45" t="s">
        <v>36</v>
      </c>
      <c r="R15" s="45" t="s">
        <v>36</v>
      </c>
      <c r="S15" s="46" t="s">
        <v>36</v>
      </c>
      <c r="T15" s="46" t="s">
        <v>36</v>
      </c>
      <c r="U15" s="46" t="s">
        <v>36</v>
      </c>
      <c r="V15" s="47" t="s">
        <v>36</v>
      </c>
      <c r="W15" s="5" t="s">
        <v>39</v>
      </c>
      <c r="X15" s="5" t="s">
        <v>38</v>
      </c>
      <c r="Y15" s="5"/>
      <c r="Z15" s="5" t="s">
        <v>19321</v>
      </c>
      <c r="AA15" s="6">
        <v>617.0</v>
      </c>
    </row>
    <row r="16" ht="56.25" customHeight="1">
      <c r="A16" s="6">
        <v>59.0</v>
      </c>
      <c r="B16" s="5" t="s">
        <v>19322</v>
      </c>
      <c r="C16" s="6" t="str">
        <f>IMAGE("https://i.imgur.com/ngrEk43.png")</f>
        <v/>
      </c>
      <c r="D16" s="6" t="str">
        <f>IMAGE("https://storage.googleapis.com/acdb/bugs/FtrInsectHosoakakuwagata.png")</f>
        <v/>
      </c>
      <c r="E16" s="6">
        <v>8000.0</v>
      </c>
      <c r="F16" s="43" t="s">
        <v>19282</v>
      </c>
      <c r="G16" s="43" t="s">
        <v>19248</v>
      </c>
      <c r="H16" s="43" t="s">
        <v>19323</v>
      </c>
      <c r="I16" s="44">
        <v>0.7083333333333334</v>
      </c>
      <c r="J16" s="44">
        <v>0.3333333333333333</v>
      </c>
      <c r="K16" s="47" t="s">
        <v>35</v>
      </c>
      <c r="L16" s="47" t="s">
        <v>35</v>
      </c>
      <c r="M16" s="48" t="s">
        <v>36</v>
      </c>
      <c r="N16" s="48" t="s">
        <v>36</v>
      </c>
      <c r="O16" s="48" t="s">
        <v>36</v>
      </c>
      <c r="P16" s="45" t="s">
        <v>36</v>
      </c>
      <c r="Q16" s="45" t="s">
        <v>36</v>
      </c>
      <c r="R16" s="45" t="s">
        <v>36</v>
      </c>
      <c r="S16" s="46" t="s">
        <v>36</v>
      </c>
      <c r="T16" s="46" t="s">
        <v>36</v>
      </c>
      <c r="U16" s="46" t="s">
        <v>36</v>
      </c>
      <c r="V16" s="47" t="s">
        <v>36</v>
      </c>
      <c r="W16" s="5" t="s">
        <v>54</v>
      </c>
      <c r="X16" s="5" t="s">
        <v>54</v>
      </c>
      <c r="Y16" s="5"/>
      <c r="Z16" s="5" t="s">
        <v>19324</v>
      </c>
      <c r="AA16" s="6">
        <v>602.0</v>
      </c>
    </row>
    <row r="17" ht="56.25" customHeight="1">
      <c r="A17" s="6">
        <v>35.0</v>
      </c>
      <c r="B17" s="5" t="s">
        <v>19325</v>
      </c>
      <c r="C17" s="6" t="str">
        <f>IMAGE("https://i.imgur.com/52gy1Ba.png")</f>
        <v/>
      </c>
      <c r="D17" s="6" t="str">
        <f>IMAGE("https://storage.googleapis.com/acdb/bugs/FtrInsectItotonbo.png")</f>
        <v/>
      </c>
      <c r="E17" s="6">
        <v>500.0</v>
      </c>
      <c r="F17" s="5" t="s">
        <v>19266</v>
      </c>
      <c r="G17" s="5" t="s">
        <v>19235</v>
      </c>
      <c r="H17" s="5" t="s">
        <v>19249</v>
      </c>
      <c r="I17" s="8" t="s">
        <v>19250</v>
      </c>
      <c r="J17" s="8" t="s">
        <v>19250</v>
      </c>
      <c r="K17" s="47" t="s">
        <v>36</v>
      </c>
      <c r="L17" s="47" t="s">
        <v>36</v>
      </c>
      <c r="M17" s="48" t="s">
        <v>36</v>
      </c>
      <c r="N17" s="48" t="s">
        <v>36</v>
      </c>
      <c r="O17" s="48" t="s">
        <v>35</v>
      </c>
      <c r="P17" s="45" t="s">
        <v>35</v>
      </c>
      <c r="Q17" s="45" t="s">
        <v>35</v>
      </c>
      <c r="R17" s="45" t="s">
        <v>35</v>
      </c>
      <c r="S17" s="46" t="s">
        <v>36</v>
      </c>
      <c r="T17" s="46" t="s">
        <v>36</v>
      </c>
      <c r="U17" s="46" t="s">
        <v>36</v>
      </c>
      <c r="V17" s="47" t="s">
        <v>36</v>
      </c>
      <c r="W17" s="5" t="s">
        <v>96</v>
      </c>
      <c r="X17" s="5" t="s">
        <v>68</v>
      </c>
      <c r="Y17" s="5"/>
      <c r="Z17" s="5" t="s">
        <v>19326</v>
      </c>
      <c r="AA17" s="6">
        <v>5339.0</v>
      </c>
    </row>
    <row r="18" ht="56.25" customHeight="1">
      <c r="A18" s="6">
        <v>33.0</v>
      </c>
      <c r="B18" s="5" t="s">
        <v>19327</v>
      </c>
      <c r="C18" s="6" t="str">
        <f>IMAGE("https://i.imgur.com/syAgg7n.png")</f>
        <v/>
      </c>
      <c r="D18" s="6" t="str">
        <f>IMAGE("https://storage.googleapis.com/acdb/bugs/FtrInsectGinyanma.png")</f>
        <v/>
      </c>
      <c r="E18" s="6">
        <v>230.0</v>
      </c>
      <c r="F18" s="43" t="s">
        <v>19266</v>
      </c>
      <c r="G18" s="5" t="s">
        <v>19235</v>
      </c>
      <c r="H18" s="43" t="s">
        <v>19249</v>
      </c>
      <c r="I18" s="44">
        <v>0.3333333333333333</v>
      </c>
      <c r="J18" s="44">
        <v>0.7083333333333334</v>
      </c>
      <c r="K18" s="47" t="s">
        <v>35</v>
      </c>
      <c r="L18" s="47" t="s">
        <v>35</v>
      </c>
      <c r="M18" s="48" t="s">
        <v>35</v>
      </c>
      <c r="N18" s="48" t="s">
        <v>35</v>
      </c>
      <c r="O18" s="48" t="s">
        <v>36</v>
      </c>
      <c r="P18" s="45" t="s">
        <v>36</v>
      </c>
      <c r="Q18" s="45" t="s">
        <v>36</v>
      </c>
      <c r="R18" s="45" t="s">
        <v>36</v>
      </c>
      <c r="S18" s="46" t="s">
        <v>36</v>
      </c>
      <c r="T18" s="46" t="s">
        <v>35</v>
      </c>
      <c r="U18" s="46" t="s">
        <v>35</v>
      </c>
      <c r="V18" s="47" t="s">
        <v>35</v>
      </c>
      <c r="W18" s="5" t="s">
        <v>96</v>
      </c>
      <c r="X18" s="5" t="s">
        <v>96</v>
      </c>
      <c r="Y18" s="5"/>
      <c r="Z18" s="5" t="s">
        <v>19329</v>
      </c>
      <c r="AA18" s="6">
        <v>595.0</v>
      </c>
    </row>
    <row r="19" ht="56.25" customHeight="1">
      <c r="A19" s="6">
        <v>39.0</v>
      </c>
      <c r="B19" s="5" t="s">
        <v>19330</v>
      </c>
      <c r="C19" s="6" t="str">
        <f>IMAGE("https://i.imgur.com/Whymm9k.png")</f>
        <v/>
      </c>
      <c r="D19" s="6" t="str">
        <f>IMAGE("https://storage.googleapis.com/acdb/bugs/FtrInsectGengorou.png")</f>
        <v/>
      </c>
      <c r="E19" s="6">
        <v>800.0</v>
      </c>
      <c r="F19" s="43" t="s">
        <v>19331</v>
      </c>
      <c r="G19" s="43" t="s">
        <v>19248</v>
      </c>
      <c r="H19" s="43" t="s">
        <v>19249</v>
      </c>
      <c r="I19" s="44">
        <v>0.3333333333333333</v>
      </c>
      <c r="J19" s="44">
        <v>0.7916666666666666</v>
      </c>
      <c r="K19" s="47" t="s">
        <v>35</v>
      </c>
      <c r="L19" s="47" t="s">
        <v>35</v>
      </c>
      <c r="M19" s="48" t="s">
        <v>35</v>
      </c>
      <c r="N19" s="48" t="s">
        <v>36</v>
      </c>
      <c r="O19" s="48" t="s">
        <v>36</v>
      </c>
      <c r="P19" s="45" t="s">
        <v>36</v>
      </c>
      <c r="Q19" s="45" t="s">
        <v>36</v>
      </c>
      <c r="R19" s="45" t="s">
        <v>36</v>
      </c>
      <c r="S19" s="46" t="s">
        <v>36</v>
      </c>
      <c r="T19" s="46" t="s">
        <v>36</v>
      </c>
      <c r="U19" s="46" t="s">
        <v>35</v>
      </c>
      <c r="V19" s="47" t="s">
        <v>35</v>
      </c>
      <c r="W19" s="5" t="s">
        <v>54</v>
      </c>
      <c r="X19" s="5" t="s">
        <v>68</v>
      </c>
      <c r="Y19" s="5"/>
      <c r="Z19" s="5" t="s">
        <v>19332</v>
      </c>
      <c r="AA19" s="6">
        <v>594.0</v>
      </c>
    </row>
    <row r="20" ht="56.25" customHeight="1">
      <c r="A20" s="6">
        <v>53.0</v>
      </c>
      <c r="B20" s="5" t="s">
        <v>19333</v>
      </c>
      <c r="C20" s="6" t="str">
        <f>IMAGE("https://i.imgur.com/0V98GTW.png")</f>
        <v/>
      </c>
      <c r="D20" s="6" t="str">
        <f>IMAGE("https://storage.googleapis.com/acdb/bugs/FtrInsectKanabun.png")</f>
        <v/>
      </c>
      <c r="E20" s="6">
        <v>200.0</v>
      </c>
      <c r="F20" s="5" t="s">
        <v>19255</v>
      </c>
      <c r="G20" s="5" t="s">
        <v>19248</v>
      </c>
      <c r="H20" s="5" t="s">
        <v>19249</v>
      </c>
      <c r="I20" s="8" t="s">
        <v>19250</v>
      </c>
      <c r="J20" s="8" t="s">
        <v>19250</v>
      </c>
      <c r="K20" s="47" t="s">
        <v>35</v>
      </c>
      <c r="L20" s="47" t="s">
        <v>35</v>
      </c>
      <c r="M20" s="48" t="s">
        <v>36</v>
      </c>
      <c r="N20" s="48" t="s">
        <v>36</v>
      </c>
      <c r="O20" s="48" t="s">
        <v>36</v>
      </c>
      <c r="P20" s="45" t="s">
        <v>36</v>
      </c>
      <c r="Q20" s="45" t="s">
        <v>36</v>
      </c>
      <c r="R20" s="45" t="s">
        <v>36</v>
      </c>
      <c r="S20" s="46" t="s">
        <v>36</v>
      </c>
      <c r="T20" s="46" t="s">
        <v>36</v>
      </c>
      <c r="U20" s="46" t="s">
        <v>36</v>
      </c>
      <c r="V20" s="47" t="s">
        <v>35</v>
      </c>
      <c r="W20" s="5" t="s">
        <v>96</v>
      </c>
      <c r="X20" s="5" t="s">
        <v>68</v>
      </c>
      <c r="Y20" s="5"/>
      <c r="Z20" s="5" t="s">
        <v>19334</v>
      </c>
      <c r="AA20" s="6">
        <v>3480.0</v>
      </c>
    </row>
    <row r="21" ht="56.25" customHeight="1">
      <c r="A21" s="6">
        <v>50.0</v>
      </c>
      <c r="B21" s="5" t="s">
        <v>19335</v>
      </c>
      <c r="C21" s="6" t="str">
        <f>IMAGE("https://i.imgur.com/do5qspI.png")</f>
        <v/>
      </c>
      <c r="D21" s="6" t="str">
        <f>IMAGE("https://storage.googleapis.com/acdb/bugs/FtrInsectFunkorogashi.png")</f>
        <v/>
      </c>
      <c r="E21" s="6">
        <v>3000.0</v>
      </c>
      <c r="F21" s="5" t="s">
        <v>19341</v>
      </c>
      <c r="G21" s="5" t="s">
        <v>19248</v>
      </c>
      <c r="H21" s="5" t="s">
        <v>19249</v>
      </c>
      <c r="I21" s="8" t="s">
        <v>19250</v>
      </c>
      <c r="J21" s="8" t="s">
        <v>19250</v>
      </c>
      <c r="K21" s="47" t="s">
        <v>36</v>
      </c>
      <c r="L21" s="47" t="s">
        <v>36</v>
      </c>
      <c r="M21" s="48" t="s">
        <v>36</v>
      </c>
      <c r="N21" s="48" t="s">
        <v>36</v>
      </c>
      <c r="O21" s="48" t="s">
        <v>36</v>
      </c>
      <c r="P21" s="45" t="s">
        <v>35</v>
      </c>
      <c r="Q21" s="45" t="s">
        <v>35</v>
      </c>
      <c r="R21" s="45" t="s">
        <v>35</v>
      </c>
      <c r="S21" s="46" t="s">
        <v>36</v>
      </c>
      <c r="T21" s="46" t="s">
        <v>36</v>
      </c>
      <c r="U21" s="46" t="s">
        <v>36</v>
      </c>
      <c r="V21" s="47" t="s">
        <v>36</v>
      </c>
      <c r="W21" s="5" t="s">
        <v>54</v>
      </c>
      <c r="X21" s="5" t="s">
        <v>38</v>
      </c>
      <c r="Y21" s="5"/>
      <c r="Z21" s="5" t="s">
        <v>19343</v>
      </c>
      <c r="AA21" s="6">
        <v>604.0</v>
      </c>
    </row>
    <row r="22" ht="56.25" customHeight="1">
      <c r="A22" s="6">
        <v>51.0</v>
      </c>
      <c r="B22" s="5" t="s">
        <v>19344</v>
      </c>
      <c r="C22" s="6" t="str">
        <f>IMAGE("https://i.imgur.com/udoevWx.png")</f>
        <v/>
      </c>
      <c r="D22" s="6" t="str">
        <f>IMAGE("https://storage.googleapis.com/acdb/bugs/FtrInsectSenchikogane.png")</f>
        <v/>
      </c>
      <c r="E22" s="6">
        <v>300.0</v>
      </c>
      <c r="F22" s="5" t="s">
        <v>19255</v>
      </c>
      <c r="G22" s="5" t="s">
        <v>19248</v>
      </c>
      <c r="H22" s="5" t="s">
        <v>19249</v>
      </c>
      <c r="I22" s="8" t="s">
        <v>19250</v>
      </c>
      <c r="J22" s="8" t="s">
        <v>19250</v>
      </c>
      <c r="K22" s="47" t="s">
        <v>35</v>
      </c>
      <c r="L22" s="47" t="s">
        <v>35</v>
      </c>
      <c r="M22" s="48" t="s">
        <v>35</v>
      </c>
      <c r="N22" s="48" t="s">
        <v>36</v>
      </c>
      <c r="O22" s="48" t="s">
        <v>36</v>
      </c>
      <c r="P22" s="45" t="s">
        <v>36</v>
      </c>
      <c r="Q22" s="45" t="s">
        <v>36</v>
      </c>
      <c r="R22" s="45" t="s">
        <v>36</v>
      </c>
      <c r="S22" s="46" t="s">
        <v>36</v>
      </c>
      <c r="T22" s="46" t="s">
        <v>36</v>
      </c>
      <c r="U22" s="46" t="s">
        <v>36</v>
      </c>
      <c r="V22" s="47" t="s">
        <v>36</v>
      </c>
      <c r="W22" s="5" t="s">
        <v>106</v>
      </c>
      <c r="X22" s="5" t="s">
        <v>142</v>
      </c>
      <c r="Y22" s="5"/>
      <c r="Z22" s="5" t="s">
        <v>19350</v>
      </c>
      <c r="AA22" s="6">
        <v>614.0</v>
      </c>
    </row>
    <row r="23" ht="56.25" customHeight="1">
      <c r="A23" s="6">
        <v>9.0</v>
      </c>
      <c r="B23" s="5" t="s">
        <v>19351</v>
      </c>
      <c r="C23" s="6" t="str">
        <f>IMAGE("https://i.imgur.com/GOu3ROJ.png")</f>
        <v/>
      </c>
      <c r="D23" s="6" t="str">
        <f>IMAGE("https://storage.googleapis.com/acdb/bugs/FtrInsectMorufuocho.png")</f>
        <v/>
      </c>
      <c r="E23" s="6">
        <v>4000.0</v>
      </c>
      <c r="F23" s="43" t="s">
        <v>19231</v>
      </c>
      <c r="G23" s="5" t="s">
        <v>19235</v>
      </c>
      <c r="H23" s="43" t="s">
        <v>19236</v>
      </c>
      <c r="I23" s="44">
        <v>0.7083333333333334</v>
      </c>
      <c r="J23" s="44">
        <v>0.3333333333333333</v>
      </c>
      <c r="K23" s="47" t="s">
        <v>35</v>
      </c>
      <c r="L23" s="47" t="s">
        <v>35</v>
      </c>
      <c r="M23" s="48" t="s">
        <v>35</v>
      </c>
      <c r="N23" s="48" t="s">
        <v>36</v>
      </c>
      <c r="O23" s="48" t="s">
        <v>36</v>
      </c>
      <c r="P23" s="45" t="s">
        <v>35</v>
      </c>
      <c r="Q23" s="45" t="s">
        <v>35</v>
      </c>
      <c r="R23" s="45" t="s">
        <v>35</v>
      </c>
      <c r="S23" s="46" t="s">
        <v>35</v>
      </c>
      <c r="T23" s="46" t="s">
        <v>36</v>
      </c>
      <c r="U23" s="46" t="s">
        <v>36</v>
      </c>
      <c r="V23" s="47" t="s">
        <v>35</v>
      </c>
      <c r="W23" s="5" t="s">
        <v>68</v>
      </c>
      <c r="X23" s="5" t="s">
        <v>142</v>
      </c>
      <c r="Y23" s="5"/>
      <c r="Z23" s="5" t="s">
        <v>19354</v>
      </c>
      <c r="AA23" s="6">
        <v>627.0</v>
      </c>
    </row>
    <row r="24" ht="56.25" customHeight="1">
      <c r="A24" s="6">
        <v>30.0</v>
      </c>
      <c r="B24" s="5" t="s">
        <v>19355</v>
      </c>
      <c r="C24" s="6" t="str">
        <f>IMAGE("https://i.imgur.com/B8LqTef.png")</f>
        <v/>
      </c>
      <c r="D24" s="6" t="str">
        <f>IMAGE("https://storage.googleapis.com/acdb/bugs/FtrInsectHigurashi.png")</f>
        <v/>
      </c>
      <c r="E24" s="6">
        <v>550.0</v>
      </c>
      <c r="F24" s="5" t="s">
        <v>19288</v>
      </c>
      <c r="G24" s="5" t="s">
        <v>19248</v>
      </c>
      <c r="H24" s="5" t="s">
        <v>19249</v>
      </c>
      <c r="I24" s="8" t="s">
        <v>19356</v>
      </c>
      <c r="J24" s="8" t="s">
        <v>19357</v>
      </c>
      <c r="K24" s="47" t="s">
        <v>35</v>
      </c>
      <c r="L24" s="47" t="s">
        <v>35</v>
      </c>
      <c r="M24" s="48" t="s">
        <v>36</v>
      </c>
      <c r="N24" s="48" t="s">
        <v>36</v>
      </c>
      <c r="O24" s="48" t="s">
        <v>36</v>
      </c>
      <c r="P24" s="45" t="s">
        <v>36</v>
      </c>
      <c r="Q24" s="45" t="s">
        <v>36</v>
      </c>
      <c r="R24" s="45" t="s">
        <v>36</v>
      </c>
      <c r="S24" s="46" t="s">
        <v>36</v>
      </c>
      <c r="T24" s="46" t="s">
        <v>36</v>
      </c>
      <c r="U24" s="46" t="s">
        <v>36</v>
      </c>
      <c r="V24" s="47" t="s">
        <v>36</v>
      </c>
      <c r="W24" s="5" t="s">
        <v>54</v>
      </c>
      <c r="X24" s="5" t="s">
        <v>142</v>
      </c>
      <c r="Y24" s="5"/>
      <c r="Z24" s="5" t="s">
        <v>19358</v>
      </c>
      <c r="AA24" s="6">
        <v>601.0</v>
      </c>
    </row>
    <row r="25" ht="56.25" customHeight="1">
      <c r="A25" s="6">
        <v>36.0</v>
      </c>
      <c r="B25" s="5" t="s">
        <v>19359</v>
      </c>
      <c r="C25" s="6" t="str">
        <f>IMAGE("https://i.imgur.com/Xk1DzDj.png")</f>
        <v/>
      </c>
      <c r="D25" s="6" t="str">
        <f>IMAGE("https://storage.googleapis.com/acdb/bugs/FtrInsectHotaru.png")</f>
        <v/>
      </c>
      <c r="E25" s="6">
        <v>300.0</v>
      </c>
      <c r="F25" s="43" t="s">
        <v>19266</v>
      </c>
      <c r="G25" s="5" t="s">
        <v>19235</v>
      </c>
      <c r="H25" s="43" t="s">
        <v>19249</v>
      </c>
      <c r="I25" s="44">
        <v>0.7916666666666666</v>
      </c>
      <c r="J25" s="44">
        <v>0.16666666666666666</v>
      </c>
      <c r="K25" s="47" t="s">
        <v>36</v>
      </c>
      <c r="L25" s="47" t="s">
        <v>36</v>
      </c>
      <c r="M25" s="48" t="s">
        <v>36</v>
      </c>
      <c r="N25" s="48" t="s">
        <v>36</v>
      </c>
      <c r="O25" s="48" t="s">
        <v>36</v>
      </c>
      <c r="P25" s="45" t="s">
        <v>36</v>
      </c>
      <c r="Q25" s="45" t="s">
        <v>36</v>
      </c>
      <c r="R25" s="45" t="s">
        <v>36</v>
      </c>
      <c r="S25" s="46" t="s">
        <v>36</v>
      </c>
      <c r="T25" s="46" t="s">
        <v>36</v>
      </c>
      <c r="U25" s="46" t="s">
        <v>36</v>
      </c>
      <c r="V25" s="47" t="s">
        <v>35</v>
      </c>
      <c r="W25" s="5" t="s">
        <v>54</v>
      </c>
      <c r="X25" s="5" t="s">
        <v>68</v>
      </c>
      <c r="Y25" s="5"/>
      <c r="Z25" s="5" t="s">
        <v>19362</v>
      </c>
      <c r="AA25" s="6">
        <v>603.0</v>
      </c>
    </row>
    <row r="26" ht="56.25" customHeight="1">
      <c r="A26" s="6">
        <v>74.0</v>
      </c>
      <c r="B26" s="5" t="s">
        <v>19363</v>
      </c>
      <c r="C26" s="6" t="str">
        <f>IMAGE("https://i.imgur.com/sELZcgj.png")</f>
        <v/>
      </c>
      <c r="D26" s="6" t="str">
        <f>IMAGE("https://storage.googleapis.com/acdb/bugs/FtrInsectNomi.png")</f>
        <v/>
      </c>
      <c r="E26" s="6">
        <v>70.0</v>
      </c>
      <c r="F26" s="5" t="s">
        <v>19364</v>
      </c>
      <c r="G26" s="5" t="s">
        <v>19248</v>
      </c>
      <c r="H26" s="5" t="s">
        <v>19249</v>
      </c>
      <c r="I26" s="8" t="s">
        <v>19250</v>
      </c>
      <c r="J26" s="8" t="s">
        <v>19250</v>
      </c>
      <c r="K26" s="47" t="s">
        <v>35</v>
      </c>
      <c r="L26" s="47" t="s">
        <v>35</v>
      </c>
      <c r="M26" s="48" t="s">
        <v>35</v>
      </c>
      <c r="N26" s="48" t="s">
        <v>35</v>
      </c>
      <c r="O26" s="48" t="s">
        <v>35</v>
      </c>
      <c r="P26" s="45" t="s">
        <v>36</v>
      </c>
      <c r="Q26" s="45" t="s">
        <v>36</v>
      </c>
      <c r="R26" s="45" t="s">
        <v>36</v>
      </c>
      <c r="S26" s="46" t="s">
        <v>36</v>
      </c>
      <c r="T26" s="46" t="s">
        <v>35</v>
      </c>
      <c r="U26" s="46" t="s">
        <v>35</v>
      </c>
      <c r="V26" s="47" t="s">
        <v>35</v>
      </c>
      <c r="W26" s="5" t="s">
        <v>39</v>
      </c>
      <c r="X26" s="5" t="s">
        <v>57</v>
      </c>
      <c r="Y26" s="5"/>
      <c r="Z26" s="5" t="s">
        <v>19369</v>
      </c>
      <c r="AA26" s="6">
        <v>633.0</v>
      </c>
    </row>
    <row r="27" ht="56.25" customHeight="1">
      <c r="A27" s="6">
        <v>72.0</v>
      </c>
      <c r="B27" s="5" t="s">
        <v>19371</v>
      </c>
      <c r="C27" s="6" t="str">
        <f>IMAGE("https://i.imgur.com/5IGebtQ.png")</f>
        <v/>
      </c>
      <c r="D27" s="6" t="str">
        <f>IMAGE("https://storage.googleapis.com/acdb/bugs/FtrInsectHae.png")</f>
        <v/>
      </c>
      <c r="E27" s="6">
        <v>60.0</v>
      </c>
      <c r="F27" s="5" t="s">
        <v>19372</v>
      </c>
      <c r="G27" s="5" t="s">
        <v>19248</v>
      </c>
      <c r="H27" s="5" t="s">
        <v>19249</v>
      </c>
      <c r="I27" s="8" t="s">
        <v>19250</v>
      </c>
      <c r="J27" s="8" t="s">
        <v>19250</v>
      </c>
      <c r="K27" s="47" t="s">
        <v>35</v>
      </c>
      <c r="L27" s="47" t="s">
        <v>35</v>
      </c>
      <c r="M27" s="48" t="s">
        <v>35</v>
      </c>
      <c r="N27" s="48" t="s">
        <v>35</v>
      </c>
      <c r="O27" s="48" t="s">
        <v>35</v>
      </c>
      <c r="P27" s="45" t="s">
        <v>35</v>
      </c>
      <c r="Q27" s="45" t="s">
        <v>35</v>
      </c>
      <c r="R27" s="45" t="s">
        <v>35</v>
      </c>
      <c r="S27" s="46" t="s">
        <v>35</v>
      </c>
      <c r="T27" s="46" t="s">
        <v>35</v>
      </c>
      <c r="U27" s="46" t="s">
        <v>35</v>
      </c>
      <c r="V27" s="47" t="s">
        <v>35</v>
      </c>
      <c r="W27" s="5" t="s">
        <v>54</v>
      </c>
      <c r="X27" s="5" t="s">
        <v>57</v>
      </c>
      <c r="Y27" s="5"/>
      <c r="Z27" s="5" t="s">
        <v>19373</v>
      </c>
      <c r="AA27" s="6">
        <v>597.0</v>
      </c>
    </row>
    <row r="28" ht="56.25" customHeight="1">
      <c r="A28" s="6">
        <v>28.0</v>
      </c>
      <c r="B28" s="5" t="s">
        <v>19374</v>
      </c>
      <c r="C28" s="6" t="str">
        <f>IMAGE("https://i.imgur.com/TcYs64H.png")</f>
        <v/>
      </c>
      <c r="D28" s="6" t="str">
        <f>IMAGE("https://storage.googleapis.com/acdb/bugs/FtrInsectKumazemi.png")</f>
        <v/>
      </c>
      <c r="E28" s="6">
        <v>500.0</v>
      </c>
      <c r="F28" s="43" t="s">
        <v>19288</v>
      </c>
      <c r="G28" s="43" t="s">
        <v>19248</v>
      </c>
      <c r="H28" s="43" t="s">
        <v>19236</v>
      </c>
      <c r="I28" s="44">
        <v>0.3333333333333333</v>
      </c>
      <c r="J28" s="44">
        <v>0.7083333333333334</v>
      </c>
      <c r="K28" s="47" t="s">
        <v>35</v>
      </c>
      <c r="L28" s="47" t="s">
        <v>35</v>
      </c>
      <c r="M28" s="48" t="s">
        <v>36</v>
      </c>
      <c r="N28" s="48" t="s">
        <v>36</v>
      </c>
      <c r="O28" s="48" t="s">
        <v>36</v>
      </c>
      <c r="P28" s="45" t="s">
        <v>36</v>
      </c>
      <c r="Q28" s="45" t="s">
        <v>36</v>
      </c>
      <c r="R28" s="45" t="s">
        <v>36</v>
      </c>
      <c r="S28" s="46" t="s">
        <v>36</v>
      </c>
      <c r="T28" s="46" t="s">
        <v>36</v>
      </c>
      <c r="U28" s="46" t="s">
        <v>36</v>
      </c>
      <c r="V28" s="47" t="s">
        <v>36</v>
      </c>
      <c r="W28" s="5" t="s">
        <v>54</v>
      </c>
      <c r="X28" s="5" t="s">
        <v>114</v>
      </c>
      <c r="Y28" s="5"/>
      <c r="Z28" s="5" t="s">
        <v>19375</v>
      </c>
      <c r="AA28" s="6">
        <v>618.0</v>
      </c>
    </row>
    <row r="29" ht="56.25" customHeight="1">
      <c r="A29" s="6">
        <v>57.0</v>
      </c>
      <c r="B29" s="5" t="s">
        <v>19376</v>
      </c>
      <c r="C29" s="6" t="str">
        <f>IMAGE("https://i.imgur.com/DLn2MOI.png")</f>
        <v/>
      </c>
      <c r="D29" s="6" t="str">
        <f>IMAGE("https://storage.googleapis.com/acdb/bugs/FtrInsectOhkuwagata.png")</f>
        <v/>
      </c>
      <c r="E29" s="6">
        <v>10000.0</v>
      </c>
      <c r="F29" s="43" t="s">
        <v>19255</v>
      </c>
      <c r="G29" s="43" t="s">
        <v>19248</v>
      </c>
      <c r="H29" s="43" t="s">
        <v>19267</v>
      </c>
      <c r="I29" s="44">
        <v>0.9583333333333334</v>
      </c>
      <c r="J29" s="44">
        <v>0.3333333333333333</v>
      </c>
      <c r="K29" s="47" t="s">
        <v>35</v>
      </c>
      <c r="L29" s="47" t="s">
        <v>35</v>
      </c>
      <c r="M29" s="48" t="s">
        <v>36</v>
      </c>
      <c r="N29" s="48" t="s">
        <v>36</v>
      </c>
      <c r="O29" s="48" t="s">
        <v>36</v>
      </c>
      <c r="P29" s="45" t="s">
        <v>36</v>
      </c>
      <c r="Q29" s="45" t="s">
        <v>36</v>
      </c>
      <c r="R29" s="45" t="s">
        <v>36</v>
      </c>
      <c r="S29" s="46" t="s">
        <v>36</v>
      </c>
      <c r="T29" s="46" t="s">
        <v>36</v>
      </c>
      <c r="U29" s="46" t="s">
        <v>36</v>
      </c>
      <c r="V29" s="47" t="s">
        <v>36</v>
      </c>
      <c r="W29" s="5" t="s">
        <v>54</v>
      </c>
      <c r="X29" s="5" t="s">
        <v>54</v>
      </c>
      <c r="Y29" s="5"/>
      <c r="Z29" s="5" t="s">
        <v>19377</v>
      </c>
      <c r="AA29" s="6">
        <v>637.0</v>
      </c>
    </row>
    <row r="30" ht="56.25" customHeight="1">
      <c r="A30" s="6">
        <v>40.0</v>
      </c>
      <c r="B30" s="5" t="s">
        <v>19378</v>
      </c>
      <c r="C30" s="6" t="str">
        <f>IMAGE("https://i.imgur.com/nArNnTA.png")</f>
        <v/>
      </c>
      <c r="D30" s="6" t="str">
        <f>IMAGE("https://storage.googleapis.com/acdb/bugs/FtrInsectTagame.png")</f>
        <v/>
      </c>
      <c r="E30" s="6">
        <v>2000.0</v>
      </c>
      <c r="F30" s="43" t="s">
        <v>19331</v>
      </c>
      <c r="G30" s="43" t="s">
        <v>19248</v>
      </c>
      <c r="H30" s="43" t="s">
        <v>19267</v>
      </c>
      <c r="I30" s="44">
        <v>0.7916666666666666</v>
      </c>
      <c r="J30" s="44">
        <v>0.3333333333333333</v>
      </c>
      <c r="K30" s="47" t="s">
        <v>35</v>
      </c>
      <c r="L30" s="47" t="s">
        <v>35</v>
      </c>
      <c r="M30" s="48" t="s">
        <v>35</v>
      </c>
      <c r="N30" s="48" t="s">
        <v>36</v>
      </c>
      <c r="O30" s="48" t="s">
        <v>36</v>
      </c>
      <c r="P30" s="45" t="s">
        <v>36</v>
      </c>
      <c r="Q30" s="45" t="s">
        <v>36</v>
      </c>
      <c r="R30" s="45" t="s">
        <v>36</v>
      </c>
      <c r="S30" s="46" t="s">
        <v>36</v>
      </c>
      <c r="T30" s="46" t="s">
        <v>35</v>
      </c>
      <c r="U30" s="46" t="s">
        <v>35</v>
      </c>
      <c r="V30" s="47" t="s">
        <v>35</v>
      </c>
      <c r="W30" s="5" t="s">
        <v>39</v>
      </c>
      <c r="X30" s="5" t="s">
        <v>68</v>
      </c>
      <c r="Y30" s="5"/>
      <c r="Z30" s="5" t="s">
        <v>19380</v>
      </c>
      <c r="AA30" s="6">
        <v>5157.0</v>
      </c>
    </row>
    <row r="31" ht="56.25" customHeight="1">
      <c r="A31" s="6">
        <v>61.0</v>
      </c>
      <c r="B31" s="5" t="s">
        <v>19381</v>
      </c>
      <c r="C31" s="6" t="str">
        <f>IMAGE("https://i.imgur.com/3mxmDI3.png")</f>
        <v/>
      </c>
      <c r="D31" s="6" t="str">
        <f>IMAGE("https://storage.googleapis.com/acdb/bugs/FtrInsectGirafanokogirikuwagata.png")</f>
        <v/>
      </c>
      <c r="E31" s="6">
        <v>12000.0</v>
      </c>
      <c r="F31" s="43" t="s">
        <v>19282</v>
      </c>
      <c r="G31" s="43" t="s">
        <v>19248</v>
      </c>
      <c r="H31" s="43" t="s">
        <v>19323</v>
      </c>
      <c r="I31" s="44">
        <v>0.7083333333333334</v>
      </c>
      <c r="J31" s="44">
        <v>0.3333333333333333</v>
      </c>
      <c r="K31" s="47" t="s">
        <v>35</v>
      </c>
      <c r="L31" s="47" t="s">
        <v>35</v>
      </c>
      <c r="M31" s="48" t="s">
        <v>36</v>
      </c>
      <c r="N31" s="48" t="s">
        <v>36</v>
      </c>
      <c r="O31" s="48" t="s">
        <v>36</v>
      </c>
      <c r="P31" s="45" t="s">
        <v>36</v>
      </c>
      <c r="Q31" s="45" t="s">
        <v>36</v>
      </c>
      <c r="R31" s="45" t="s">
        <v>36</v>
      </c>
      <c r="S31" s="46" t="s">
        <v>36</v>
      </c>
      <c r="T31" s="46" t="s">
        <v>36</v>
      </c>
      <c r="U31" s="46" t="s">
        <v>36</v>
      </c>
      <c r="V31" s="47" t="s">
        <v>36</v>
      </c>
      <c r="W31" s="5" t="s">
        <v>54</v>
      </c>
      <c r="X31" s="5" t="s">
        <v>54</v>
      </c>
      <c r="Y31" s="5"/>
      <c r="Z31" s="5" t="s">
        <v>19383</v>
      </c>
      <c r="AA31" s="6">
        <v>3482.0</v>
      </c>
    </row>
    <row r="32" ht="56.25" customHeight="1">
      <c r="A32" s="6">
        <v>60.0</v>
      </c>
      <c r="B32" s="5" t="s">
        <v>19385</v>
      </c>
      <c r="C32" s="6" t="str">
        <f>IMAGE("https://i.imgur.com/AhqZkc1.png")</f>
        <v/>
      </c>
      <c r="D32" s="6" t="str">
        <f>IMAGE("https://storage.googleapis.com/acdb/bugs/FtrInsectOugononikuwagata.png")</f>
        <v/>
      </c>
      <c r="E32" s="6">
        <v>12000.0</v>
      </c>
      <c r="F32" s="43" t="s">
        <v>19282</v>
      </c>
      <c r="G32" s="43" t="s">
        <v>19248</v>
      </c>
      <c r="H32" s="43" t="s">
        <v>19323</v>
      </c>
      <c r="I32" s="44">
        <v>0.7083333333333334</v>
      </c>
      <c r="J32" s="44">
        <v>0.3333333333333333</v>
      </c>
      <c r="K32" s="47" t="s">
        <v>35</v>
      </c>
      <c r="L32" s="47" t="s">
        <v>35</v>
      </c>
      <c r="M32" s="48" t="s">
        <v>36</v>
      </c>
      <c r="N32" s="48" t="s">
        <v>36</v>
      </c>
      <c r="O32" s="48" t="s">
        <v>36</v>
      </c>
      <c r="P32" s="45" t="s">
        <v>36</v>
      </c>
      <c r="Q32" s="45" t="s">
        <v>36</v>
      </c>
      <c r="R32" s="45" t="s">
        <v>36</v>
      </c>
      <c r="S32" s="46" t="s">
        <v>36</v>
      </c>
      <c r="T32" s="46" t="s">
        <v>36</v>
      </c>
      <c r="U32" s="46" t="s">
        <v>36</v>
      </c>
      <c r="V32" s="47" t="s">
        <v>36</v>
      </c>
      <c r="W32" s="5" t="s">
        <v>54</v>
      </c>
      <c r="X32" s="5" t="s">
        <v>114</v>
      </c>
      <c r="Y32" s="5"/>
      <c r="Z32" s="5" t="s">
        <v>19386</v>
      </c>
      <c r="AA32" s="6">
        <v>638.0</v>
      </c>
    </row>
    <row r="33" ht="56.25" customHeight="1">
      <c r="A33" s="6">
        <v>54.0</v>
      </c>
      <c r="B33" s="5" t="s">
        <v>19387</v>
      </c>
      <c r="C33" s="6" t="str">
        <f>IMAGE("https://i.imgur.com/lrM07Gm.png")</f>
        <v/>
      </c>
      <c r="D33" s="6" t="str">
        <f>IMAGE("https://storage.googleapis.com/acdb/bugs/FtrInsectGoraiasuohtsunohanamuguri.png")</f>
        <v/>
      </c>
      <c r="E33" s="6">
        <v>8000.0</v>
      </c>
      <c r="F33" s="43" t="s">
        <v>19282</v>
      </c>
      <c r="G33" s="43" t="s">
        <v>19248</v>
      </c>
      <c r="H33" s="43" t="s">
        <v>19323</v>
      </c>
      <c r="I33" s="44">
        <v>0.7083333333333334</v>
      </c>
      <c r="J33" s="44">
        <v>0.3333333333333333</v>
      </c>
      <c r="K33" s="47" t="s">
        <v>35</v>
      </c>
      <c r="L33" s="47" t="s">
        <v>35</v>
      </c>
      <c r="M33" s="48" t="s">
        <v>35</v>
      </c>
      <c r="N33" s="48" t="s">
        <v>36</v>
      </c>
      <c r="O33" s="48" t="s">
        <v>36</v>
      </c>
      <c r="P33" s="45" t="s">
        <v>36</v>
      </c>
      <c r="Q33" s="45" t="s">
        <v>36</v>
      </c>
      <c r="R33" s="45" t="s">
        <v>36</v>
      </c>
      <c r="S33" s="46" t="s">
        <v>36</v>
      </c>
      <c r="T33" s="46" t="s">
        <v>36</v>
      </c>
      <c r="U33" s="46" t="s">
        <v>36</v>
      </c>
      <c r="V33" s="47" t="s">
        <v>35</v>
      </c>
      <c r="W33" s="5" t="s">
        <v>52</v>
      </c>
      <c r="X33" s="5" t="s">
        <v>54</v>
      </c>
      <c r="Y33" s="5"/>
      <c r="Z33" s="5" t="s">
        <v>19390</v>
      </c>
      <c r="AA33" s="6">
        <v>596.0</v>
      </c>
    </row>
    <row r="34" ht="56.25" customHeight="1">
      <c r="A34" s="6">
        <v>19.0</v>
      </c>
      <c r="B34" s="5" t="s">
        <v>19391</v>
      </c>
      <c r="C34" s="6" t="str">
        <f>IMAGE("https://i.imgur.com/be8vY9O.png")</f>
        <v/>
      </c>
      <c r="D34" s="6" t="str">
        <f>IMAGE("https://storage.googleapis.com/acdb/bugs/FtrInsectKirigirisu.png")</f>
        <v/>
      </c>
      <c r="E34" s="6">
        <v>160.0</v>
      </c>
      <c r="F34" s="43" t="s">
        <v>19273</v>
      </c>
      <c r="G34" s="5" t="s">
        <v>19235</v>
      </c>
      <c r="H34" s="43" t="s">
        <v>19249</v>
      </c>
      <c r="I34" s="44">
        <v>0.3333333333333333</v>
      </c>
      <c r="J34" s="44">
        <v>0.7083333333333334</v>
      </c>
      <c r="K34" s="47" t="s">
        <v>35</v>
      </c>
      <c r="L34" s="47" t="s">
        <v>35</v>
      </c>
      <c r="M34" s="48" t="s">
        <v>35</v>
      </c>
      <c r="N34" s="48" t="s">
        <v>36</v>
      </c>
      <c r="O34" s="48" t="s">
        <v>36</v>
      </c>
      <c r="P34" s="45" t="s">
        <v>36</v>
      </c>
      <c r="Q34" s="45" t="s">
        <v>36</v>
      </c>
      <c r="R34" s="45" t="s">
        <v>36</v>
      </c>
      <c r="S34" s="46" t="s">
        <v>36</v>
      </c>
      <c r="T34" s="46" t="s">
        <v>36</v>
      </c>
      <c r="U34" s="46" t="s">
        <v>36</v>
      </c>
      <c r="V34" s="47" t="s">
        <v>36</v>
      </c>
      <c r="W34" s="5" t="s">
        <v>96</v>
      </c>
      <c r="X34" s="5" t="s">
        <v>38</v>
      </c>
      <c r="Y34" s="5"/>
      <c r="Z34" s="5" t="s">
        <v>19394</v>
      </c>
      <c r="AA34" s="6">
        <v>613.0</v>
      </c>
    </row>
    <row r="35" ht="56.25" customHeight="1">
      <c r="A35" s="6">
        <v>7.0</v>
      </c>
      <c r="B35" s="5" t="s">
        <v>19395</v>
      </c>
      <c r="C35" s="6" t="str">
        <f>IMAGE("https://i.imgur.com/FE0hXTo.png)")</f>
        <v/>
      </c>
      <c r="D35" s="6" t="str">
        <f>IMAGE("https://storage.googleapis.com/acdb/bugs/FtrInsectOhmurasaki.png")</f>
        <v/>
      </c>
      <c r="E35" s="6">
        <v>3000.0</v>
      </c>
      <c r="F35" s="43" t="s">
        <v>19231</v>
      </c>
      <c r="G35" s="5" t="s">
        <v>19235</v>
      </c>
      <c r="H35" s="43" t="s">
        <v>19267</v>
      </c>
      <c r="I35" s="44">
        <v>0.16666666666666666</v>
      </c>
      <c r="J35" s="44">
        <v>0.7916666666666666</v>
      </c>
      <c r="K35" s="47" t="s">
        <v>35</v>
      </c>
      <c r="L35" s="47" t="s">
        <v>35</v>
      </c>
      <c r="M35" s="48" t="s">
        <v>36</v>
      </c>
      <c r="N35" s="48" t="s">
        <v>36</v>
      </c>
      <c r="O35" s="48" t="s">
        <v>36</v>
      </c>
      <c r="P35" s="45" t="s">
        <v>36</v>
      </c>
      <c r="Q35" s="45" t="s">
        <v>36</v>
      </c>
      <c r="R35" s="45" t="s">
        <v>36</v>
      </c>
      <c r="S35" s="46" t="s">
        <v>36</v>
      </c>
      <c r="T35" s="46" t="s">
        <v>36</v>
      </c>
      <c r="U35" s="46" t="s">
        <v>35</v>
      </c>
      <c r="V35" s="47" t="s">
        <v>35</v>
      </c>
      <c r="W35" s="5" t="s">
        <v>106</v>
      </c>
      <c r="X35" s="5" t="s">
        <v>142</v>
      </c>
      <c r="Y35" s="5"/>
      <c r="Z35" s="5" t="s">
        <v>19402</v>
      </c>
      <c r="AA35" s="6">
        <v>3479.0</v>
      </c>
    </row>
    <row r="36" ht="56.25" customHeight="1">
      <c r="A36" s="6">
        <v>70.0</v>
      </c>
      <c r="B36" s="5" t="s">
        <v>19403</v>
      </c>
      <c r="C36" s="6" t="str">
        <f>IMAGE("https://i.imgur.com/IOU0u6G.png")</f>
        <v/>
      </c>
      <c r="D36" s="6" t="str">
        <f>IMAGE("https://storage.googleapis.com/acdb/bugs/FtrInsectYadokari.png")</f>
        <v/>
      </c>
      <c r="E36" s="6">
        <v>1000.0</v>
      </c>
      <c r="F36" s="5" t="s">
        <v>19406</v>
      </c>
      <c r="G36" s="43" t="s">
        <v>19248</v>
      </c>
      <c r="H36" s="43" t="s">
        <v>19249</v>
      </c>
      <c r="I36" s="44">
        <v>0.7916666666666666</v>
      </c>
      <c r="J36" s="44">
        <v>0.3333333333333333</v>
      </c>
      <c r="K36" s="47" t="s">
        <v>35</v>
      </c>
      <c r="L36" s="47" t="s">
        <v>35</v>
      </c>
      <c r="M36" s="48" t="s">
        <v>35</v>
      </c>
      <c r="N36" s="48" t="s">
        <v>35</v>
      </c>
      <c r="O36" s="48" t="s">
        <v>35</v>
      </c>
      <c r="P36" s="45" t="s">
        <v>35</v>
      </c>
      <c r="Q36" s="45" t="s">
        <v>35</v>
      </c>
      <c r="R36" s="45" t="s">
        <v>35</v>
      </c>
      <c r="S36" s="46" t="s">
        <v>35</v>
      </c>
      <c r="T36" s="46" t="s">
        <v>35</v>
      </c>
      <c r="U36" s="46" t="s">
        <v>35</v>
      </c>
      <c r="V36" s="47" t="s">
        <v>35</v>
      </c>
      <c r="W36" s="5" t="s">
        <v>38</v>
      </c>
      <c r="X36" s="5" t="s">
        <v>69</v>
      </c>
      <c r="Y36" s="5"/>
      <c r="Z36" s="5" t="s">
        <v>19409</v>
      </c>
      <c r="AA36" s="6">
        <v>651.0</v>
      </c>
    </row>
    <row r="37" ht="56.25" customHeight="1">
      <c r="A37" s="6">
        <v>24.0</v>
      </c>
      <c r="B37" s="5" t="s">
        <v>19410</v>
      </c>
      <c r="C37" s="6" t="str">
        <f>IMAGE("https://i.imgur.com/AGRdV4A.png")</f>
        <v/>
      </c>
      <c r="D37" s="6" t="str">
        <f>IMAGE("https://storage.googleapis.com/acdb/bugs/FtrInsectMitsubachi.png")</f>
        <v/>
      </c>
      <c r="E37" s="6">
        <v>200.0</v>
      </c>
      <c r="F37" s="43" t="s">
        <v>19231</v>
      </c>
      <c r="G37" s="5" t="s">
        <v>19235</v>
      </c>
      <c r="H37" s="43" t="s">
        <v>19249</v>
      </c>
      <c r="I37" s="44">
        <v>0.3333333333333333</v>
      </c>
      <c r="J37" s="44">
        <v>0.7083333333333334</v>
      </c>
      <c r="K37" s="47" t="s">
        <v>35</v>
      </c>
      <c r="L37" s="47" t="s">
        <v>36</v>
      </c>
      <c r="M37" s="48" t="s">
        <v>36</v>
      </c>
      <c r="N37" s="48" t="s">
        <v>36</v>
      </c>
      <c r="O37" s="48" t="s">
        <v>36</v>
      </c>
      <c r="P37" s="45" t="s">
        <v>36</v>
      </c>
      <c r="Q37" s="45" t="s">
        <v>36</v>
      </c>
      <c r="R37" s="45" t="s">
        <v>36</v>
      </c>
      <c r="S37" s="46" t="s">
        <v>35</v>
      </c>
      <c r="T37" s="46" t="s">
        <v>35</v>
      </c>
      <c r="U37" s="46" t="s">
        <v>35</v>
      </c>
      <c r="V37" s="47" t="s">
        <v>35</v>
      </c>
      <c r="W37" s="5" t="s">
        <v>114</v>
      </c>
      <c r="X37" s="5" t="s">
        <v>68</v>
      </c>
      <c r="Y37" s="5"/>
      <c r="Z37" s="5" t="s">
        <v>19417</v>
      </c>
      <c r="AA37" s="6">
        <v>623.0</v>
      </c>
    </row>
    <row r="38" ht="56.25" customHeight="1">
      <c r="A38" s="6">
        <v>63.0</v>
      </c>
      <c r="B38" s="5" t="s">
        <v>19418</v>
      </c>
      <c r="C38" s="6" t="str">
        <f>IMAGE("https://i.imgur.com/uElrjYM.png")</f>
        <v/>
      </c>
      <c r="D38" s="6" t="str">
        <f>IMAGE("https://storage.googleapis.com/acdb/bugs/FtrInsectKohkasasuohkabuto.png")</f>
        <v/>
      </c>
      <c r="E38" s="6">
        <v>8000.0</v>
      </c>
      <c r="F38" s="43" t="s">
        <v>19282</v>
      </c>
      <c r="G38" s="43" t="s">
        <v>19248</v>
      </c>
      <c r="H38" s="43" t="s">
        <v>19323</v>
      </c>
      <c r="I38" s="44">
        <v>0.7083333333333334</v>
      </c>
      <c r="J38" s="44">
        <v>0.3333333333333333</v>
      </c>
      <c r="K38" s="47" t="s">
        <v>35</v>
      </c>
      <c r="L38" s="47" t="s">
        <v>35</v>
      </c>
      <c r="M38" s="48" t="s">
        <v>36</v>
      </c>
      <c r="N38" s="48" t="s">
        <v>36</v>
      </c>
      <c r="O38" s="48" t="s">
        <v>36</v>
      </c>
      <c r="P38" s="45" t="s">
        <v>36</v>
      </c>
      <c r="Q38" s="45" t="s">
        <v>36</v>
      </c>
      <c r="R38" s="45" t="s">
        <v>36</v>
      </c>
      <c r="S38" s="46" t="s">
        <v>36</v>
      </c>
      <c r="T38" s="46" t="s">
        <v>36</v>
      </c>
      <c r="U38" s="46" t="s">
        <v>36</v>
      </c>
      <c r="V38" s="47" t="s">
        <v>36</v>
      </c>
      <c r="W38" s="5" t="s">
        <v>54</v>
      </c>
      <c r="X38" s="5" t="s">
        <v>54</v>
      </c>
      <c r="Y38" s="5"/>
      <c r="Z38" s="5" t="s">
        <v>19421</v>
      </c>
      <c r="AA38" s="6">
        <v>615.0</v>
      </c>
    </row>
    <row r="39" ht="56.25" customHeight="1">
      <c r="A39" s="6">
        <v>62.0</v>
      </c>
      <c r="B39" s="5" t="s">
        <v>19422</v>
      </c>
      <c r="C39" s="6" t="str">
        <f>IMAGE("https://i.imgur.com/zubQ3UW.png")</f>
        <v/>
      </c>
      <c r="D39" s="6" t="str">
        <f>IMAGE("https://storage.googleapis.com/acdb/bugs/FtrInsectKabutomushi.png")</f>
        <v/>
      </c>
      <c r="E39" s="6">
        <v>1350.0</v>
      </c>
      <c r="F39" s="43" t="s">
        <v>19255</v>
      </c>
      <c r="G39" s="43" t="s">
        <v>19248</v>
      </c>
      <c r="H39" s="43" t="s">
        <v>19249</v>
      </c>
      <c r="I39" s="44">
        <v>0.7083333333333334</v>
      </c>
      <c r="J39" s="44">
        <v>0.3333333333333333</v>
      </c>
      <c r="K39" s="47" t="s">
        <v>35</v>
      </c>
      <c r="L39" s="47" t="s">
        <v>35</v>
      </c>
      <c r="M39" s="48" t="s">
        <v>36</v>
      </c>
      <c r="N39" s="48" t="s">
        <v>36</v>
      </c>
      <c r="O39" s="48" t="s">
        <v>36</v>
      </c>
      <c r="P39" s="45" t="s">
        <v>36</v>
      </c>
      <c r="Q39" s="45" t="s">
        <v>36</v>
      </c>
      <c r="R39" s="45" t="s">
        <v>36</v>
      </c>
      <c r="S39" s="46" t="s">
        <v>36</v>
      </c>
      <c r="T39" s="46" t="s">
        <v>36</v>
      </c>
      <c r="U39" s="46" t="s">
        <v>36</v>
      </c>
      <c r="V39" s="47" t="s">
        <v>36</v>
      </c>
      <c r="W39" s="5" t="s">
        <v>39</v>
      </c>
      <c r="X39" s="5" t="s">
        <v>54</v>
      </c>
      <c r="Y39" s="5"/>
      <c r="Z39" s="5" t="s">
        <v>19425</v>
      </c>
      <c r="AA39" s="6">
        <v>612.0</v>
      </c>
    </row>
    <row r="40" ht="56.25" customHeight="1">
      <c r="A40" s="6">
        <v>64.0</v>
      </c>
      <c r="B40" s="5" t="s">
        <v>19426</v>
      </c>
      <c r="C40" s="6" t="str">
        <f>IMAGE("https://i.imgur.com/SKsvO5S.png")</f>
        <v/>
      </c>
      <c r="D40" s="6" t="str">
        <f>IMAGE("https://storage.googleapis.com/acdb/bugs/FtrInsectZoukabuto.png")</f>
        <v/>
      </c>
      <c r="E40" s="6">
        <v>8000.0</v>
      </c>
      <c r="F40" s="43" t="s">
        <v>19282</v>
      </c>
      <c r="G40" s="43" t="s">
        <v>19248</v>
      </c>
      <c r="H40" s="43" t="s">
        <v>19323</v>
      </c>
      <c r="I40" s="44">
        <v>0.7083333333333334</v>
      </c>
      <c r="J40" s="44">
        <v>0.3333333333333333</v>
      </c>
      <c r="K40" s="47" t="s">
        <v>35</v>
      </c>
      <c r="L40" s="47" t="s">
        <v>35</v>
      </c>
      <c r="M40" s="48" t="s">
        <v>36</v>
      </c>
      <c r="N40" s="48" t="s">
        <v>36</v>
      </c>
      <c r="O40" s="48" t="s">
        <v>36</v>
      </c>
      <c r="P40" s="45" t="s">
        <v>36</v>
      </c>
      <c r="Q40" s="45" t="s">
        <v>36</v>
      </c>
      <c r="R40" s="45" t="s">
        <v>36</v>
      </c>
      <c r="S40" s="46" t="s">
        <v>36</v>
      </c>
      <c r="T40" s="46" t="s">
        <v>36</v>
      </c>
      <c r="U40" s="46" t="s">
        <v>36</v>
      </c>
      <c r="V40" s="47" t="s">
        <v>36</v>
      </c>
      <c r="W40" s="5" t="s">
        <v>38</v>
      </c>
      <c r="X40" s="5" t="s">
        <v>54</v>
      </c>
      <c r="Y40" s="5"/>
      <c r="Z40" s="5" t="s">
        <v>19428</v>
      </c>
      <c r="AA40" s="6">
        <v>653.0</v>
      </c>
    </row>
    <row r="41" ht="56.25" customHeight="1">
      <c r="A41" s="6">
        <v>65.0</v>
      </c>
      <c r="B41" s="5" t="s">
        <v>19429</v>
      </c>
      <c r="C41" s="6" t="str">
        <f>IMAGE("https://i.imgur.com/fXdjxtg.png")</f>
        <v/>
      </c>
      <c r="D41" s="6" t="str">
        <f>IMAGE("https://storage.googleapis.com/acdb/bugs/FtrInsectHerakuresuohkabuto.png")</f>
        <v/>
      </c>
      <c r="E41" s="6">
        <v>12000.0</v>
      </c>
      <c r="F41" s="43" t="s">
        <v>19282</v>
      </c>
      <c r="G41" s="43" t="s">
        <v>19248</v>
      </c>
      <c r="H41" s="43" t="s">
        <v>19323</v>
      </c>
      <c r="I41" s="44">
        <v>0.7083333333333334</v>
      </c>
      <c r="J41" s="44">
        <v>0.3333333333333333</v>
      </c>
      <c r="K41" s="47" t="s">
        <v>35</v>
      </c>
      <c r="L41" s="47" t="s">
        <v>35</v>
      </c>
      <c r="M41" s="48" t="s">
        <v>36</v>
      </c>
      <c r="N41" s="48" t="s">
        <v>36</v>
      </c>
      <c r="O41" s="48" t="s">
        <v>36</v>
      </c>
      <c r="P41" s="45" t="s">
        <v>36</v>
      </c>
      <c r="Q41" s="45" t="s">
        <v>36</v>
      </c>
      <c r="R41" s="45" t="s">
        <v>36</v>
      </c>
      <c r="S41" s="46" t="s">
        <v>36</v>
      </c>
      <c r="T41" s="46" t="s">
        <v>36</v>
      </c>
      <c r="U41" s="46" t="s">
        <v>36</v>
      </c>
      <c r="V41" s="47" t="s">
        <v>36</v>
      </c>
      <c r="W41" s="5" t="s">
        <v>114</v>
      </c>
      <c r="X41" s="5" t="s">
        <v>54</v>
      </c>
      <c r="Y41" s="5"/>
      <c r="Z41" s="5" t="s">
        <v>19430</v>
      </c>
      <c r="AA41" s="6">
        <v>600.0</v>
      </c>
    </row>
    <row r="42" ht="56.25" customHeight="1">
      <c r="A42" s="6">
        <v>45.0</v>
      </c>
      <c r="B42" s="5" t="s">
        <v>19431</v>
      </c>
      <c r="C42" s="6" t="str">
        <f>IMAGE("https://i.imgur.com/paQWEhh.png")</f>
        <v/>
      </c>
      <c r="D42" s="6" t="str">
        <f>IMAGE("https://storage.googleapis.com/acdb/bugs/FtrInsectTamamushi.png")</f>
        <v/>
      </c>
      <c r="E42" s="6">
        <v>2400.0</v>
      </c>
      <c r="F42" s="5" t="s">
        <v>19307</v>
      </c>
      <c r="G42" s="5" t="s">
        <v>19235</v>
      </c>
      <c r="H42" s="5" t="s">
        <v>19236</v>
      </c>
      <c r="I42" s="8" t="s">
        <v>19250</v>
      </c>
      <c r="J42" s="8" t="s">
        <v>19250</v>
      </c>
      <c r="K42" s="47" t="s">
        <v>35</v>
      </c>
      <c r="L42" s="47" t="s">
        <v>35</v>
      </c>
      <c r="M42" s="48" t="s">
        <v>36</v>
      </c>
      <c r="N42" s="48" t="s">
        <v>36</v>
      </c>
      <c r="O42" s="48" t="s">
        <v>36</v>
      </c>
      <c r="P42" s="45" t="s">
        <v>36</v>
      </c>
      <c r="Q42" s="45" t="s">
        <v>36</v>
      </c>
      <c r="R42" s="45" t="s">
        <v>36</v>
      </c>
      <c r="S42" s="46" t="s">
        <v>36</v>
      </c>
      <c r="T42" s="46" t="s">
        <v>35</v>
      </c>
      <c r="U42" s="46" t="s">
        <v>35</v>
      </c>
      <c r="V42" s="47" t="s">
        <v>35</v>
      </c>
      <c r="W42" s="5" t="s">
        <v>96</v>
      </c>
      <c r="X42" s="5" t="s">
        <v>54</v>
      </c>
      <c r="Y42" s="5"/>
      <c r="Z42" s="5" t="s">
        <v>19433</v>
      </c>
      <c r="AA42" s="6">
        <v>645.0</v>
      </c>
    </row>
    <row r="43" ht="56.25" customHeight="1">
      <c r="A43" s="6">
        <v>43.0</v>
      </c>
      <c r="B43" s="5" t="s">
        <v>19434</v>
      </c>
      <c r="C43" s="6" t="str">
        <f>IMAGE("https://i.imgur.com/Xvwm9Uz.png")</f>
        <v/>
      </c>
      <c r="D43" s="6" t="str">
        <f>IMAGE("https://storage.googleapis.com/acdb/bugs/FtrInsectTentoumushi.png")</f>
        <v/>
      </c>
      <c r="E43" s="6">
        <v>200.0</v>
      </c>
      <c r="F43" s="43" t="s">
        <v>19436</v>
      </c>
      <c r="G43" s="5" t="s">
        <v>19235</v>
      </c>
      <c r="H43" s="43" t="s">
        <v>19249</v>
      </c>
      <c r="I43" s="44">
        <v>0.3333333333333333</v>
      </c>
      <c r="J43" s="44">
        <v>0.7083333333333334</v>
      </c>
      <c r="K43" s="47" t="s">
        <v>36</v>
      </c>
      <c r="L43" s="47" t="s">
        <v>36</v>
      </c>
      <c r="M43" s="48" t="s">
        <v>36</v>
      </c>
      <c r="N43" s="48" t="s">
        <v>35</v>
      </c>
      <c r="O43" s="48" t="s">
        <v>36</v>
      </c>
      <c r="P43" s="45" t="s">
        <v>36</v>
      </c>
      <c r="Q43" s="45" t="s">
        <v>36</v>
      </c>
      <c r="R43" s="45" t="s">
        <v>36</v>
      </c>
      <c r="S43" s="46" t="s">
        <v>35</v>
      </c>
      <c r="T43" s="46" t="s">
        <v>35</v>
      </c>
      <c r="U43" s="46" t="s">
        <v>35</v>
      </c>
      <c r="V43" s="47" t="s">
        <v>35</v>
      </c>
      <c r="W43" s="5" t="s">
        <v>52</v>
      </c>
      <c r="X43" s="5" t="s">
        <v>96</v>
      </c>
      <c r="Y43" s="5"/>
      <c r="Z43" s="5" t="s">
        <v>19439</v>
      </c>
      <c r="AA43" s="6">
        <v>647.0</v>
      </c>
    </row>
    <row r="44" ht="56.25" customHeight="1">
      <c r="A44" s="6">
        <v>16.0</v>
      </c>
      <c r="B44" s="5" t="s">
        <v>19440</v>
      </c>
      <c r="C44" s="6" t="str">
        <f>IMAGE("https://i.imgur.com/SP9kfTh.png")</f>
        <v/>
      </c>
      <c r="D44" s="6" t="str">
        <f>IMAGE("https://storage.googleapis.com/acdb/bugs/FtrInsectShoryobatta.png")</f>
        <v/>
      </c>
      <c r="E44" s="6">
        <v>200.0</v>
      </c>
      <c r="F44" s="43" t="s">
        <v>19273</v>
      </c>
      <c r="G44" s="43" t="s">
        <v>19248</v>
      </c>
      <c r="H44" s="43" t="s">
        <v>19249</v>
      </c>
      <c r="I44" s="44">
        <v>0.3333333333333333</v>
      </c>
      <c r="J44" s="44">
        <v>0.7916666666666666</v>
      </c>
      <c r="K44" s="47" t="s">
        <v>35</v>
      </c>
      <c r="L44" s="47" t="s">
        <v>35</v>
      </c>
      <c r="M44" s="48" t="s">
        <v>35</v>
      </c>
      <c r="N44" s="48" t="s">
        <v>35</v>
      </c>
      <c r="O44" s="48" t="s">
        <v>35</v>
      </c>
      <c r="P44" s="45" t="s">
        <v>36</v>
      </c>
      <c r="Q44" s="45" t="s">
        <v>36</v>
      </c>
      <c r="R44" s="45" t="s">
        <v>36</v>
      </c>
      <c r="S44" s="46" t="s">
        <v>36</v>
      </c>
      <c r="T44" s="46" t="s">
        <v>35</v>
      </c>
      <c r="U44" s="46" t="s">
        <v>35</v>
      </c>
      <c r="V44" s="47" t="s">
        <v>35</v>
      </c>
      <c r="W44" s="5" t="s">
        <v>96</v>
      </c>
      <c r="X44" s="5" t="s">
        <v>68</v>
      </c>
      <c r="Y44" s="5"/>
      <c r="Z44" s="5" t="s">
        <v>19441</v>
      </c>
      <c r="AA44" s="6">
        <v>644.0</v>
      </c>
    </row>
    <row r="45" ht="56.25" customHeight="1">
      <c r="A45" s="6">
        <v>15.0</v>
      </c>
      <c r="B45" s="5" t="s">
        <v>19442</v>
      </c>
      <c r="C45" s="6" t="str">
        <f>IMAGE("https://i.imgur.com/6jFfAD6.png")</f>
        <v/>
      </c>
      <c r="D45" s="6" t="str">
        <f>IMAGE("https://storage.googleapis.com/acdb/bugs/FtrInsectNishikiohtsubamega.png")</f>
        <v/>
      </c>
      <c r="E45" s="6">
        <v>2500.0</v>
      </c>
      <c r="F45" s="43" t="s">
        <v>19231</v>
      </c>
      <c r="G45" s="5" t="s">
        <v>19235</v>
      </c>
      <c r="H45" s="43" t="s">
        <v>19236</v>
      </c>
      <c r="I45" s="44">
        <v>0.3333333333333333</v>
      </c>
      <c r="J45" s="44">
        <v>0.6666666666666666</v>
      </c>
      <c r="K45" s="47" t="s">
        <v>35</v>
      </c>
      <c r="L45" s="47" t="s">
        <v>35</v>
      </c>
      <c r="M45" s="48" t="s">
        <v>35</v>
      </c>
      <c r="N45" s="48" t="s">
        <v>36</v>
      </c>
      <c r="O45" s="48" t="s">
        <v>36</v>
      </c>
      <c r="P45" s="45" t="s">
        <v>36</v>
      </c>
      <c r="Q45" s="45" t="s">
        <v>36</v>
      </c>
      <c r="R45" s="45" t="s">
        <v>36</v>
      </c>
      <c r="S45" s="46" t="s">
        <v>36</v>
      </c>
      <c r="T45" s="46" t="s">
        <v>35</v>
      </c>
      <c r="U45" s="46" t="s">
        <v>35</v>
      </c>
      <c r="V45" s="47" t="s">
        <v>35</v>
      </c>
      <c r="W45" s="5" t="s">
        <v>96</v>
      </c>
      <c r="X45" s="5" t="s">
        <v>69</v>
      </c>
      <c r="Y45" s="5"/>
      <c r="Z45" s="5" t="s">
        <v>19447</v>
      </c>
      <c r="AA45" s="6">
        <v>3484.0</v>
      </c>
    </row>
    <row r="46" ht="56.25" customHeight="1">
      <c r="A46" s="6">
        <v>42.0</v>
      </c>
      <c r="B46" s="5" t="s">
        <v>19449</v>
      </c>
      <c r="C46" s="6" t="str">
        <f>IMAGE("https://i.imgur.com/xll2eFD.png")</f>
        <v/>
      </c>
      <c r="D46" s="6" t="str">
        <f>IMAGE("https://storage.googleapis.com/acdb/bugs/FtrInsectJinmenkamemushi.png")</f>
        <v/>
      </c>
      <c r="E46" s="6">
        <v>1000.0</v>
      </c>
      <c r="F46" s="43" t="s">
        <v>19436</v>
      </c>
      <c r="G46" s="5" t="s">
        <v>19235</v>
      </c>
      <c r="H46" s="43" t="s">
        <v>19236</v>
      </c>
      <c r="I46" s="44">
        <v>0.7916666666666666</v>
      </c>
      <c r="J46" s="44">
        <v>0.3333333333333333</v>
      </c>
      <c r="K46" s="47" t="s">
        <v>35</v>
      </c>
      <c r="L46" s="47" t="s">
        <v>35</v>
      </c>
      <c r="M46" s="48" t="s">
        <v>35</v>
      </c>
      <c r="N46" s="48" t="s">
        <v>35</v>
      </c>
      <c r="O46" s="48" t="s">
        <v>36</v>
      </c>
      <c r="P46" s="45" t="s">
        <v>36</v>
      </c>
      <c r="Q46" s="45" t="s">
        <v>36</v>
      </c>
      <c r="R46" s="45" t="s">
        <v>36</v>
      </c>
      <c r="S46" s="46" t="s">
        <v>35</v>
      </c>
      <c r="T46" s="46" t="s">
        <v>35</v>
      </c>
      <c r="U46" s="46" t="s">
        <v>35</v>
      </c>
      <c r="V46" s="47" t="s">
        <v>35</v>
      </c>
      <c r="W46" s="5" t="s">
        <v>54</v>
      </c>
      <c r="X46" s="5" t="s">
        <v>142</v>
      </c>
      <c r="Y46" s="5"/>
      <c r="Z46" s="5" t="s">
        <v>19452</v>
      </c>
      <c r="AA46" s="6">
        <v>3483.0</v>
      </c>
    </row>
    <row r="47" ht="56.25" customHeight="1">
      <c r="A47" s="6">
        <v>22.0</v>
      </c>
      <c r="B47" s="5" t="s">
        <v>19454</v>
      </c>
      <c r="C47" s="6" t="str">
        <f>IMAGE("https://i.imgur.com/0PhWLoa.png")</f>
        <v/>
      </c>
      <c r="D47" s="6" t="str">
        <f>IMAGE("https://storage.googleapis.com/acdb/bugs/FtrInsectKamakiri.png")</f>
        <v/>
      </c>
      <c r="E47" s="6">
        <v>430.0</v>
      </c>
      <c r="F47" s="43" t="s">
        <v>19436</v>
      </c>
      <c r="G47" s="5" t="s">
        <v>19235</v>
      </c>
      <c r="H47" s="43" t="s">
        <v>19249</v>
      </c>
      <c r="I47" s="44">
        <v>0.3333333333333333</v>
      </c>
      <c r="J47" s="44">
        <v>0.7083333333333334</v>
      </c>
      <c r="K47" s="47" t="s">
        <v>35</v>
      </c>
      <c r="L47" s="47" t="s">
        <v>35</v>
      </c>
      <c r="M47" s="48" t="s">
        <v>35</v>
      </c>
      <c r="N47" s="48" t="s">
        <v>35</v>
      </c>
      <c r="O47" s="48" t="s">
        <v>35</v>
      </c>
      <c r="P47" s="45" t="s">
        <v>36</v>
      </c>
      <c r="Q47" s="45" t="s">
        <v>36</v>
      </c>
      <c r="R47" s="45" t="s">
        <v>36</v>
      </c>
      <c r="S47" s="46" t="s">
        <v>35</v>
      </c>
      <c r="T47" s="46" t="s">
        <v>35</v>
      </c>
      <c r="U47" s="46" t="s">
        <v>35</v>
      </c>
      <c r="V47" s="47" t="s">
        <v>35</v>
      </c>
      <c r="W47" s="5" t="s">
        <v>96</v>
      </c>
      <c r="X47" s="5" t="s">
        <v>96</v>
      </c>
      <c r="Y47" s="5"/>
      <c r="Z47" s="5" t="s">
        <v>19457</v>
      </c>
      <c r="AA47" s="6">
        <v>607.0</v>
      </c>
    </row>
    <row r="48" ht="56.25" customHeight="1">
      <c r="A48" s="6">
        <v>17.0</v>
      </c>
      <c r="B48" s="5" t="s">
        <v>19458</v>
      </c>
      <c r="C48" s="6" t="str">
        <f>IMAGE("https://i.imgur.com/C8E3s0O.png")</f>
        <v/>
      </c>
      <c r="D48" s="6" t="str">
        <f>IMAGE("https://storage.googleapis.com/acdb/bugs/FtrInsectTonosamabatta.png")</f>
        <v/>
      </c>
      <c r="E48" s="6">
        <v>600.0</v>
      </c>
      <c r="F48" s="43" t="s">
        <v>19273</v>
      </c>
      <c r="G48" s="43" t="s">
        <v>19248</v>
      </c>
      <c r="H48" s="43" t="s">
        <v>19236</v>
      </c>
      <c r="I48" s="44">
        <v>0.3333333333333333</v>
      </c>
      <c r="J48" s="44">
        <v>0.7916666666666666</v>
      </c>
      <c r="K48" s="47" t="s">
        <v>36</v>
      </c>
      <c r="L48" s="47" t="s">
        <v>35</v>
      </c>
      <c r="M48" s="48" t="s">
        <v>35</v>
      </c>
      <c r="N48" s="48" t="s">
        <v>35</v>
      </c>
      <c r="O48" s="48" t="s">
        <v>35</v>
      </c>
      <c r="P48" s="45" t="s">
        <v>36</v>
      </c>
      <c r="Q48" s="45" t="s">
        <v>36</v>
      </c>
      <c r="R48" s="45" t="s">
        <v>36</v>
      </c>
      <c r="S48" s="46" t="s">
        <v>36</v>
      </c>
      <c r="T48" s="46" t="s">
        <v>36</v>
      </c>
      <c r="U48" s="46" t="s">
        <v>36</v>
      </c>
      <c r="V48" s="47" t="s">
        <v>36</v>
      </c>
      <c r="W48" s="5" t="s">
        <v>96</v>
      </c>
      <c r="X48" s="5" t="s">
        <v>142</v>
      </c>
      <c r="Y48" s="5"/>
      <c r="Z48" s="5" t="s">
        <v>19461</v>
      </c>
      <c r="AA48" s="6">
        <v>648.0</v>
      </c>
    </row>
    <row r="49" ht="56.25" customHeight="1">
      <c r="A49" s="6">
        <v>56.0</v>
      </c>
      <c r="B49" s="5" t="s">
        <v>19462</v>
      </c>
      <c r="C49" s="6" t="str">
        <f>IMAGE("https://i.imgur.com/sOMWySH.png")</f>
        <v/>
      </c>
      <c r="D49" s="6" t="str">
        <f>IMAGE("https://storage.googleapis.com/acdb/bugs/FtrInsectMiyamakuwagata.png")</f>
        <v/>
      </c>
      <c r="E49" s="6">
        <v>1000.0</v>
      </c>
      <c r="F49" s="5" t="s">
        <v>19255</v>
      </c>
      <c r="G49" s="5" t="s">
        <v>19248</v>
      </c>
      <c r="H49" s="5" t="s">
        <v>19249</v>
      </c>
      <c r="I49" s="8" t="s">
        <v>19250</v>
      </c>
      <c r="J49" s="8" t="s">
        <v>19250</v>
      </c>
      <c r="K49" s="47" t="s">
        <v>35</v>
      </c>
      <c r="L49" s="47" t="s">
        <v>35</v>
      </c>
      <c r="M49" s="48" t="s">
        <v>36</v>
      </c>
      <c r="N49" s="48" t="s">
        <v>36</v>
      </c>
      <c r="O49" s="48" t="s">
        <v>36</v>
      </c>
      <c r="P49" s="45" t="s">
        <v>36</v>
      </c>
      <c r="Q49" s="45" t="s">
        <v>36</v>
      </c>
      <c r="R49" s="45" t="s">
        <v>36</v>
      </c>
      <c r="S49" s="46" t="s">
        <v>36</v>
      </c>
      <c r="T49" s="46" t="s">
        <v>36</v>
      </c>
      <c r="U49" s="46" t="s">
        <v>36</v>
      </c>
      <c r="V49" s="47" t="s">
        <v>36</v>
      </c>
      <c r="W49" s="5" t="s">
        <v>54</v>
      </c>
      <c r="X49" s="5" t="s">
        <v>54</v>
      </c>
      <c r="Y49" s="5"/>
      <c r="Z49" s="5" t="s">
        <v>19467</v>
      </c>
      <c r="AA49" s="6">
        <v>624.0</v>
      </c>
    </row>
    <row r="50" ht="56.25" customHeight="1">
      <c r="A50" s="6">
        <v>37.0</v>
      </c>
      <c r="B50" s="5" t="s">
        <v>19469</v>
      </c>
      <c r="C50" s="6" t="str">
        <f>IMAGE("https://i.imgur.com/immk7qq.png")</f>
        <v/>
      </c>
      <c r="D50" s="6" t="str">
        <f>IMAGE("https://storage.googleapis.com/acdb/bugs/FtrInsectOkera.png")</f>
        <v/>
      </c>
      <c r="E50" s="6">
        <v>500.0</v>
      </c>
      <c r="F50" s="5" t="s">
        <v>19470</v>
      </c>
      <c r="G50" s="5" t="s">
        <v>19248</v>
      </c>
      <c r="H50" s="5" t="s">
        <v>19249</v>
      </c>
      <c r="I50" s="8" t="s">
        <v>19250</v>
      </c>
      <c r="J50" s="8" t="s">
        <v>19250</v>
      </c>
      <c r="K50" s="47" t="s">
        <v>36</v>
      </c>
      <c r="L50" s="47" t="s">
        <v>36</v>
      </c>
      <c r="M50" s="48" t="s">
        <v>36</v>
      </c>
      <c r="N50" s="48" t="s">
        <v>36</v>
      </c>
      <c r="O50" s="48" t="s">
        <v>35</v>
      </c>
      <c r="P50" s="45" t="s">
        <v>35</v>
      </c>
      <c r="Q50" s="45" t="s">
        <v>35</v>
      </c>
      <c r="R50" s="45" t="s">
        <v>35</v>
      </c>
      <c r="S50" s="46" t="s">
        <v>35</v>
      </c>
      <c r="T50" s="46" t="s">
        <v>35</v>
      </c>
      <c r="U50" s="46" t="s">
        <v>35</v>
      </c>
      <c r="V50" s="47" t="s">
        <v>36</v>
      </c>
      <c r="W50" s="5" t="s">
        <v>39</v>
      </c>
      <c r="X50" s="5" t="s">
        <v>114</v>
      </c>
      <c r="Y50" s="5"/>
      <c r="Z50" s="5" t="s">
        <v>19471</v>
      </c>
      <c r="AA50" s="6">
        <v>634.0</v>
      </c>
    </row>
    <row r="51" ht="56.25" customHeight="1">
      <c r="A51" s="6">
        <v>8.0</v>
      </c>
      <c r="B51" s="5" t="s">
        <v>19472</v>
      </c>
      <c r="C51" s="6" t="str">
        <f>IMAGE("https://i.imgur.com/qbFDPC6.png")</f>
        <v/>
      </c>
      <c r="D51" s="6" t="str">
        <f>IMAGE("https://storage.googleapis.com/acdb/bugs/FtrInsectOhkabamadara.png")</f>
        <v/>
      </c>
      <c r="E51" s="6">
        <v>140.0</v>
      </c>
      <c r="F51" s="43" t="s">
        <v>19231</v>
      </c>
      <c r="G51" s="5" t="s">
        <v>19235</v>
      </c>
      <c r="H51" s="43" t="s">
        <v>19249</v>
      </c>
      <c r="I51" s="44">
        <v>0.16666666666666666</v>
      </c>
      <c r="J51" s="44">
        <v>0.7083333333333334</v>
      </c>
      <c r="K51" s="47" t="s">
        <v>36</v>
      </c>
      <c r="L51" s="47" t="s">
        <v>36</v>
      </c>
      <c r="M51" s="48" t="s">
        <v>35</v>
      </c>
      <c r="N51" s="48" t="s">
        <v>35</v>
      </c>
      <c r="O51" s="48" t="s">
        <v>35</v>
      </c>
      <c r="P51" s="45" t="s">
        <v>36</v>
      </c>
      <c r="Q51" s="45" t="s">
        <v>36</v>
      </c>
      <c r="R51" s="45" t="s">
        <v>36</v>
      </c>
      <c r="S51" s="46" t="s">
        <v>36</v>
      </c>
      <c r="T51" s="46" t="s">
        <v>36</v>
      </c>
      <c r="U51" s="46" t="s">
        <v>36</v>
      </c>
      <c r="V51" s="47" t="s">
        <v>36</v>
      </c>
      <c r="W51" s="5" t="s">
        <v>142</v>
      </c>
      <c r="X51" s="5" t="s">
        <v>68</v>
      </c>
      <c r="Y51" s="5"/>
      <c r="Z51" s="5" t="s">
        <v>19473</v>
      </c>
      <c r="AA51" s="6">
        <v>636.0</v>
      </c>
    </row>
    <row r="52" ht="56.25" customHeight="1">
      <c r="A52" s="6">
        <v>73.0</v>
      </c>
      <c r="B52" s="5" t="s">
        <v>19474</v>
      </c>
      <c r="C52" s="6" t="str">
        <f>IMAGE("https://i.imgur.com/J4lvhxL.png")</f>
        <v/>
      </c>
      <c r="D52" s="6" t="str">
        <f>IMAGE("https://storage.googleapis.com/acdb/bugs/FtrInsectKa.png")</f>
        <v/>
      </c>
      <c r="E52" s="6">
        <v>130.0</v>
      </c>
      <c r="F52" s="43" t="s">
        <v>19266</v>
      </c>
      <c r="G52" s="5" t="s">
        <v>19235</v>
      </c>
      <c r="H52" s="43" t="s">
        <v>19249</v>
      </c>
      <c r="I52" s="44">
        <v>0.7083333333333334</v>
      </c>
      <c r="J52" s="44">
        <v>0.16666666666666666</v>
      </c>
      <c r="K52" s="47" t="s">
        <v>35</v>
      </c>
      <c r="L52" s="47" t="s">
        <v>35</v>
      </c>
      <c r="M52" s="48" t="s">
        <v>35</v>
      </c>
      <c r="N52" s="48" t="s">
        <v>36</v>
      </c>
      <c r="O52" s="48" t="s">
        <v>36</v>
      </c>
      <c r="P52" s="45" t="s">
        <v>36</v>
      </c>
      <c r="Q52" s="45" t="s">
        <v>36</v>
      </c>
      <c r="R52" s="45" t="s">
        <v>36</v>
      </c>
      <c r="S52" s="46" t="s">
        <v>36</v>
      </c>
      <c r="T52" s="46" t="s">
        <v>36</v>
      </c>
      <c r="U52" s="46" t="s">
        <v>36</v>
      </c>
      <c r="V52" s="47" t="s">
        <v>35</v>
      </c>
      <c r="W52" s="5" t="s">
        <v>54</v>
      </c>
      <c r="X52" s="5" t="s">
        <v>57</v>
      </c>
      <c r="Y52" s="5"/>
      <c r="Z52" s="5" t="s">
        <v>19478</v>
      </c>
      <c r="AA52" s="6">
        <v>606.0</v>
      </c>
    </row>
    <row r="53" ht="56.25" customHeight="1">
      <c r="A53" s="6">
        <v>13.0</v>
      </c>
      <c r="B53" s="5" t="s">
        <v>19479</v>
      </c>
      <c r="C53" s="6" t="str">
        <f>IMAGE("https://i.imgur.com/sptQCBI.png")</f>
        <v/>
      </c>
      <c r="D53" s="6" t="str">
        <f>IMAGE("https://storage.googleapis.com/acdb/bugs/FtrInsectGa.png")</f>
        <v/>
      </c>
      <c r="E53" s="6">
        <v>130.0</v>
      </c>
      <c r="F53" s="5" t="s">
        <v>19482</v>
      </c>
      <c r="G53" s="5" t="s">
        <v>19235</v>
      </c>
      <c r="H53" s="43" t="s">
        <v>19249</v>
      </c>
      <c r="I53" s="44">
        <v>0.7916666666666666</v>
      </c>
      <c r="J53" s="44">
        <v>0.16666666666666666</v>
      </c>
      <c r="K53" s="47" t="s">
        <v>35</v>
      </c>
      <c r="L53" s="47" t="s">
        <v>35</v>
      </c>
      <c r="M53" s="48" t="s">
        <v>35</v>
      </c>
      <c r="N53" s="48" t="s">
        <v>35</v>
      </c>
      <c r="O53" s="48" t="s">
        <v>35</v>
      </c>
      <c r="P53" s="45" t="s">
        <v>35</v>
      </c>
      <c r="Q53" s="45" t="s">
        <v>35</v>
      </c>
      <c r="R53" s="45" t="s">
        <v>35</v>
      </c>
      <c r="S53" s="46" t="s">
        <v>35</v>
      </c>
      <c r="T53" s="46" t="s">
        <v>35</v>
      </c>
      <c r="U53" s="46" t="s">
        <v>35</v>
      </c>
      <c r="V53" s="47" t="s">
        <v>35</v>
      </c>
      <c r="W53" s="5" t="s">
        <v>38</v>
      </c>
      <c r="X53" s="5" t="s">
        <v>114</v>
      </c>
      <c r="Y53" s="5"/>
      <c r="Z53" s="5" t="s">
        <v>19484</v>
      </c>
      <c r="AA53" s="6">
        <v>592.0</v>
      </c>
    </row>
    <row r="54" ht="56.25" customHeight="1">
      <c r="A54" s="6">
        <v>23.0</v>
      </c>
      <c r="B54" s="5" t="s">
        <v>19485</v>
      </c>
      <c r="C54" s="6" t="str">
        <f>IMAGE("https://i.imgur.com/UAxmr7Y.png")</f>
        <v/>
      </c>
      <c r="D54" s="6" t="str">
        <f>IMAGE("https://storage.googleapis.com/acdb/bugs/FtrInsectHanakamakiri.png")</f>
        <v/>
      </c>
      <c r="E54" s="6">
        <v>2400.0</v>
      </c>
      <c r="F54" s="43" t="s">
        <v>19487</v>
      </c>
      <c r="G54" s="5" t="s">
        <v>19235</v>
      </c>
      <c r="H54" s="43" t="s">
        <v>19236</v>
      </c>
      <c r="I54" s="44">
        <v>0.3333333333333333</v>
      </c>
      <c r="J54" s="44">
        <v>0.7083333333333334</v>
      </c>
      <c r="K54" s="47" t="s">
        <v>35</v>
      </c>
      <c r="L54" s="47" t="s">
        <v>35</v>
      </c>
      <c r="M54" s="48" t="s">
        <v>35</v>
      </c>
      <c r="N54" s="48" t="s">
        <v>35</v>
      </c>
      <c r="O54" s="48" t="s">
        <v>35</v>
      </c>
      <c r="P54" s="45" t="s">
        <v>36</v>
      </c>
      <c r="Q54" s="45" t="s">
        <v>36</v>
      </c>
      <c r="R54" s="45" t="s">
        <v>36</v>
      </c>
      <c r="S54" s="46" t="s">
        <v>35</v>
      </c>
      <c r="T54" s="46" t="s">
        <v>35</v>
      </c>
      <c r="U54" s="46" t="s">
        <v>35</v>
      </c>
      <c r="V54" s="47" t="s">
        <v>35</v>
      </c>
      <c r="W54" s="5" t="s">
        <v>57</v>
      </c>
      <c r="X54" s="5" t="s">
        <v>69</v>
      </c>
      <c r="Y54" s="5"/>
      <c r="Z54" s="5" t="s">
        <v>19488</v>
      </c>
      <c r="AA54" s="6">
        <v>598.0</v>
      </c>
    </row>
    <row r="55" ht="56.25" customHeight="1">
      <c r="A55" s="6">
        <v>6.0</v>
      </c>
      <c r="B55" s="5" t="s">
        <v>19489</v>
      </c>
      <c r="C55" s="6" t="str">
        <f>IMAGE("https://i.imgur.com/mhmn4jm.png")</f>
        <v/>
      </c>
      <c r="D55" s="6" t="str">
        <f>IMAGE("https://storage.googleapis.com/acdb/bugs/FtrInsectOhgomamadara.png")</f>
        <v/>
      </c>
      <c r="E55" s="6">
        <v>1000.0</v>
      </c>
      <c r="F55" s="43" t="s">
        <v>19231</v>
      </c>
      <c r="G55" s="5" t="s">
        <v>19235</v>
      </c>
      <c r="H55" s="43" t="s">
        <v>19249</v>
      </c>
      <c r="I55" s="44">
        <v>0.3333333333333333</v>
      </c>
      <c r="J55" s="44">
        <v>0.7916666666666666</v>
      </c>
      <c r="K55" s="47" t="s">
        <v>35</v>
      </c>
      <c r="L55" s="47" t="s">
        <v>35</v>
      </c>
      <c r="M55" s="48" t="s">
        <v>35</v>
      </c>
      <c r="N55" s="48" t="s">
        <v>35</v>
      </c>
      <c r="O55" s="48" t="s">
        <v>35</v>
      </c>
      <c r="P55" s="45" t="s">
        <v>35</v>
      </c>
      <c r="Q55" s="45" t="s">
        <v>35</v>
      </c>
      <c r="R55" s="45" t="s">
        <v>35</v>
      </c>
      <c r="S55" s="46" t="s">
        <v>35</v>
      </c>
      <c r="T55" s="46" t="s">
        <v>35</v>
      </c>
      <c r="U55" s="46" t="s">
        <v>35</v>
      </c>
      <c r="V55" s="47" t="s">
        <v>35</v>
      </c>
      <c r="W55" s="5" t="s">
        <v>57</v>
      </c>
      <c r="X55" s="5" t="s">
        <v>114</v>
      </c>
      <c r="Y55" s="5"/>
      <c r="Z55" s="5" t="s">
        <v>19492</v>
      </c>
      <c r="AA55" s="6">
        <v>3478.0</v>
      </c>
    </row>
    <row r="56" ht="56.25" customHeight="1">
      <c r="A56" s="6">
        <v>4.0</v>
      </c>
      <c r="B56" s="5" t="s">
        <v>19493</v>
      </c>
      <c r="C56" s="6" t="str">
        <f>IMAGE("https://i.imgur.com/rP4Gxz9.png")</f>
        <v/>
      </c>
      <c r="D56" s="6" t="str">
        <f>IMAGE("https://storage.googleapis.com/acdb/bugs/FtrInsectKarasuageha.png")</f>
        <v/>
      </c>
      <c r="E56" s="6">
        <v>2500.0</v>
      </c>
      <c r="F56" s="43" t="s">
        <v>19494</v>
      </c>
      <c r="G56" s="5" t="s">
        <v>19235</v>
      </c>
      <c r="H56" s="43" t="s">
        <v>19236</v>
      </c>
      <c r="I56" s="44">
        <v>0.16666666666666666</v>
      </c>
      <c r="J56" s="44">
        <v>0.7916666666666666</v>
      </c>
      <c r="K56" s="47" t="s">
        <v>36</v>
      </c>
      <c r="L56" s="47" t="s">
        <v>36</v>
      </c>
      <c r="M56" s="48" t="s">
        <v>36</v>
      </c>
      <c r="N56" s="48" t="s">
        <v>36</v>
      </c>
      <c r="O56" s="48" t="s">
        <v>36</v>
      </c>
      <c r="P56" s="45" t="s">
        <v>36</v>
      </c>
      <c r="Q56" s="45" t="s">
        <v>36</v>
      </c>
      <c r="R56" s="45" t="s">
        <v>36</v>
      </c>
      <c r="S56" s="46" t="s">
        <v>35</v>
      </c>
      <c r="T56" s="46" t="s">
        <v>35</v>
      </c>
      <c r="U56" s="46" t="s">
        <v>35</v>
      </c>
      <c r="V56" s="47" t="s">
        <v>35</v>
      </c>
      <c r="W56" s="5" t="s">
        <v>96</v>
      </c>
      <c r="X56" s="5" t="s">
        <v>68</v>
      </c>
      <c r="Y56" s="5"/>
      <c r="Z56" s="5" t="s">
        <v>19495</v>
      </c>
      <c r="AA56" s="6">
        <v>610.0</v>
      </c>
    </row>
    <row r="57" ht="56.25" customHeight="1">
      <c r="A57" s="6">
        <v>76.0</v>
      </c>
      <c r="B57" s="5" t="s">
        <v>19496</v>
      </c>
      <c r="C57" s="6" t="str">
        <f>IMAGE("https://i.imgur.com/lRH8lWP.png")</f>
        <v/>
      </c>
      <c r="D57" s="6" t="str">
        <f>IMAGE("https://storage.googleapis.com/acdb/bugs/FtrInsectDangomushi.png")</f>
        <v/>
      </c>
      <c r="E57" s="6">
        <v>250.0</v>
      </c>
      <c r="F57" s="5" t="s">
        <v>19295</v>
      </c>
      <c r="G57" s="43" t="s">
        <v>19248</v>
      </c>
      <c r="H57" s="43" t="s">
        <v>19249</v>
      </c>
      <c r="I57" s="44">
        <v>0.9583333333333334</v>
      </c>
      <c r="J57" s="44">
        <v>0.6666666666666666</v>
      </c>
      <c r="K57" s="47" t="s">
        <v>36</v>
      </c>
      <c r="L57" s="47" t="s">
        <v>36</v>
      </c>
      <c r="M57" s="48" t="s">
        <v>35</v>
      </c>
      <c r="N57" s="48" t="s">
        <v>35</v>
      </c>
      <c r="O57" s="48" t="s">
        <v>35</v>
      </c>
      <c r="P57" s="45" t="s">
        <v>35</v>
      </c>
      <c r="Q57" s="45" t="s">
        <v>35</v>
      </c>
      <c r="R57" s="45" t="s">
        <v>35</v>
      </c>
      <c r="S57" s="46" t="s">
        <v>35</v>
      </c>
      <c r="T57" s="46" t="s">
        <v>35</v>
      </c>
      <c r="U57" s="46" t="s">
        <v>35</v>
      </c>
      <c r="V57" s="47" t="s">
        <v>35</v>
      </c>
      <c r="W57" s="5" t="s">
        <v>54</v>
      </c>
      <c r="X57" s="5" t="s">
        <v>68</v>
      </c>
      <c r="Y57" s="5"/>
      <c r="Z57" s="5" t="s">
        <v>19497</v>
      </c>
      <c r="AA57" s="6">
        <v>590.0</v>
      </c>
    </row>
    <row r="58" ht="56.25" customHeight="1">
      <c r="A58" s="6">
        <v>38.0</v>
      </c>
      <c r="B58" s="5" t="s">
        <v>19498</v>
      </c>
      <c r="C58" s="6" t="str">
        <f>IMAGE("https://i.imgur.com/PQ8AqZK.png")</f>
        <v/>
      </c>
      <c r="D58" s="6" t="str">
        <f>IMAGE("https://storage.googleapis.com/acdb/bugs/FtrInsectAmenbo.png")</f>
        <v/>
      </c>
      <c r="E58" s="6">
        <v>130.0</v>
      </c>
      <c r="F58" s="43" t="s">
        <v>19331</v>
      </c>
      <c r="G58" s="43" t="s">
        <v>19248</v>
      </c>
      <c r="H58" s="43" t="s">
        <v>19249</v>
      </c>
      <c r="I58" s="44">
        <v>0.3333333333333333</v>
      </c>
      <c r="J58" s="44">
        <v>0.7916666666666666</v>
      </c>
      <c r="K58" s="47" t="s">
        <v>35</v>
      </c>
      <c r="L58" s="47" t="s">
        <v>35</v>
      </c>
      <c r="M58" s="48" t="s">
        <v>35</v>
      </c>
      <c r="N58" s="48" t="s">
        <v>36</v>
      </c>
      <c r="O58" s="48" t="s">
        <v>36</v>
      </c>
      <c r="P58" s="45" t="s">
        <v>36</v>
      </c>
      <c r="Q58" s="45" t="s">
        <v>36</v>
      </c>
      <c r="R58" s="45" t="s">
        <v>36</v>
      </c>
      <c r="S58" s="46" t="s">
        <v>36</v>
      </c>
      <c r="T58" s="46" t="s">
        <v>36</v>
      </c>
      <c r="U58" s="46" t="s">
        <v>35</v>
      </c>
      <c r="V58" s="47" t="s">
        <v>35</v>
      </c>
      <c r="W58" s="5" t="s">
        <v>54</v>
      </c>
      <c r="X58" s="5" t="s">
        <v>68</v>
      </c>
      <c r="Y58" s="5"/>
      <c r="Z58" s="5" t="s">
        <v>19499</v>
      </c>
      <c r="AA58" s="6">
        <v>587.0</v>
      </c>
    </row>
    <row r="59" ht="56.25" customHeight="1">
      <c r="A59" s="6">
        <v>12.0</v>
      </c>
      <c r="B59" s="5" t="s">
        <v>19500</v>
      </c>
      <c r="C59" s="6" t="str">
        <f>IMAGE("https://i.imgur.com/O9sWl5a.png")</f>
        <v/>
      </c>
      <c r="D59" s="6" t="str">
        <f>IMAGE("https://storage.googleapis.com/acdb/bugs/FtrInsectArekisandoratoribaneageha.png")</f>
        <v/>
      </c>
      <c r="E59" s="6">
        <v>4000.0</v>
      </c>
      <c r="F59" s="43" t="s">
        <v>19231</v>
      </c>
      <c r="G59" s="5" t="s">
        <v>19235</v>
      </c>
      <c r="H59" s="43" t="s">
        <v>19267</v>
      </c>
      <c r="I59" s="44">
        <v>0.3333333333333333</v>
      </c>
      <c r="J59" s="44">
        <v>0.6666666666666666</v>
      </c>
      <c r="K59" s="47" t="s">
        <v>35</v>
      </c>
      <c r="L59" s="47" t="s">
        <v>35</v>
      </c>
      <c r="M59" s="48" t="s">
        <v>35</v>
      </c>
      <c r="N59" s="48" t="s">
        <v>36</v>
      </c>
      <c r="O59" s="48" t="s">
        <v>36</v>
      </c>
      <c r="P59" s="45" t="s">
        <v>36</v>
      </c>
      <c r="Q59" s="45" t="s">
        <v>36</v>
      </c>
      <c r="R59" s="45" t="s">
        <v>36</v>
      </c>
      <c r="S59" s="46" t="s">
        <v>36</v>
      </c>
      <c r="T59" s="46" t="s">
        <v>36</v>
      </c>
      <c r="U59" s="46" t="s">
        <v>35</v>
      </c>
      <c r="V59" s="47" t="s">
        <v>35</v>
      </c>
      <c r="W59" s="5" t="s">
        <v>96</v>
      </c>
      <c r="X59" s="5" t="s">
        <v>69</v>
      </c>
      <c r="Y59" s="5"/>
      <c r="Z59" s="5" t="s">
        <v>19501</v>
      </c>
      <c r="AA59" s="6">
        <v>586.0</v>
      </c>
    </row>
    <row r="60" ht="56.25" customHeight="1">
      <c r="A60" s="6">
        <v>58.0</v>
      </c>
      <c r="B60" s="5" t="s">
        <v>19502</v>
      </c>
      <c r="C60" s="6" t="str">
        <f>IMAGE("https://i.imgur.com/Oy2jRhE.png")</f>
        <v/>
      </c>
      <c r="D60" s="6" t="str">
        <f>IMAGE("https://storage.googleapis.com/acdb/bugs/FtrInsectNijiirokuwagata.png")</f>
        <v/>
      </c>
      <c r="E60" s="6">
        <v>6000.0</v>
      </c>
      <c r="F60" s="43" t="s">
        <v>19255</v>
      </c>
      <c r="G60" s="43" t="s">
        <v>19248</v>
      </c>
      <c r="H60" s="43" t="s">
        <v>19267</v>
      </c>
      <c r="I60" s="44">
        <v>0.7916666666666666</v>
      </c>
      <c r="J60" s="44">
        <v>0.3333333333333333</v>
      </c>
      <c r="K60" s="47" t="s">
        <v>35</v>
      </c>
      <c r="L60" s="47" t="s">
        <v>35</v>
      </c>
      <c r="M60" s="48" t="s">
        <v>35</v>
      </c>
      <c r="N60" s="48" t="s">
        <v>36</v>
      </c>
      <c r="O60" s="48" t="s">
        <v>36</v>
      </c>
      <c r="P60" s="45" t="s">
        <v>36</v>
      </c>
      <c r="Q60" s="45" t="s">
        <v>36</v>
      </c>
      <c r="R60" s="45" t="s">
        <v>36</v>
      </c>
      <c r="S60" s="46" t="s">
        <v>36</v>
      </c>
      <c r="T60" s="46" t="s">
        <v>36</v>
      </c>
      <c r="U60" s="46" t="s">
        <v>36</v>
      </c>
      <c r="V60" s="47" t="s">
        <v>35</v>
      </c>
      <c r="W60" s="5" t="s">
        <v>39</v>
      </c>
      <c r="X60" s="5" t="s">
        <v>54</v>
      </c>
      <c r="Y60" s="5"/>
      <c r="Z60" s="5" t="s">
        <v>19503</v>
      </c>
      <c r="AA60" s="6">
        <v>631.0</v>
      </c>
    </row>
    <row r="61" ht="56.25" customHeight="1">
      <c r="A61" s="6">
        <v>11.0</v>
      </c>
      <c r="B61" s="5" t="s">
        <v>19504</v>
      </c>
      <c r="C61" s="6" t="str">
        <f>IMAGE("https://i.imgur.com/CGHO2UJ.png")</f>
        <v/>
      </c>
      <c r="D61" s="6" t="str">
        <f>IMAGE("https://storage.googleapis.com/acdb/bugs/FtrInsectAkaeritoribaneageha.png")</f>
        <v/>
      </c>
      <c r="E61" s="6">
        <v>2500.0</v>
      </c>
      <c r="F61" s="43" t="s">
        <v>19231</v>
      </c>
      <c r="G61" s="5" t="s">
        <v>19235</v>
      </c>
      <c r="H61" s="43" t="s">
        <v>19236</v>
      </c>
      <c r="I61" s="44">
        <v>0.3333333333333333</v>
      </c>
      <c r="J61" s="44">
        <v>0.7083333333333334</v>
      </c>
      <c r="K61" s="47" t="s">
        <v>35</v>
      </c>
      <c r="L61" s="47" t="s">
        <v>35</v>
      </c>
      <c r="M61" s="48" t="s">
        <v>35</v>
      </c>
      <c r="N61" s="48" t="s">
        <v>36</v>
      </c>
      <c r="O61" s="48" t="s">
        <v>36</v>
      </c>
      <c r="P61" s="45" t="s">
        <v>35</v>
      </c>
      <c r="Q61" s="45" t="s">
        <v>35</v>
      </c>
      <c r="R61" s="45" t="s">
        <v>35</v>
      </c>
      <c r="S61" s="46" t="s">
        <v>36</v>
      </c>
      <c r="T61" s="46" t="s">
        <v>35</v>
      </c>
      <c r="U61" s="46" t="s">
        <v>35</v>
      </c>
      <c r="V61" s="47" t="s">
        <v>35</v>
      </c>
      <c r="W61" s="5" t="s">
        <v>96</v>
      </c>
      <c r="X61" s="5" t="s">
        <v>69</v>
      </c>
      <c r="Y61" s="5"/>
      <c r="Z61" s="5" t="s">
        <v>19506</v>
      </c>
      <c r="AA61" s="6">
        <v>584.0</v>
      </c>
    </row>
    <row r="62" ht="56.25" customHeight="1">
      <c r="A62" s="6">
        <v>32.0</v>
      </c>
      <c r="B62" s="5" t="s">
        <v>19507</v>
      </c>
      <c r="C62" s="6" t="str">
        <f>IMAGE("https://i.imgur.com/hACPjv7.png")</f>
        <v/>
      </c>
      <c r="D62" s="6" t="str">
        <f>IMAGE("https://storage.googleapis.com/acdb/bugs/FtrInsectAkiakane.png")</f>
        <v/>
      </c>
      <c r="E62" s="6">
        <v>180.0</v>
      </c>
      <c r="F62" s="43" t="s">
        <v>19266</v>
      </c>
      <c r="G62" s="5" t="s">
        <v>19235</v>
      </c>
      <c r="H62" s="43" t="s">
        <v>19249</v>
      </c>
      <c r="I62" s="44">
        <v>0.3333333333333333</v>
      </c>
      <c r="J62" s="44">
        <v>0.7916666666666666</v>
      </c>
      <c r="K62" s="47" t="s">
        <v>36</v>
      </c>
      <c r="L62" s="47" t="s">
        <v>36</v>
      </c>
      <c r="M62" s="48" t="s">
        <v>35</v>
      </c>
      <c r="N62" s="48" t="s">
        <v>35</v>
      </c>
      <c r="O62" s="48" t="s">
        <v>36</v>
      </c>
      <c r="P62" s="45" t="s">
        <v>36</v>
      </c>
      <c r="Q62" s="45" t="s">
        <v>36</v>
      </c>
      <c r="R62" s="45" t="s">
        <v>36</v>
      </c>
      <c r="S62" s="46" t="s">
        <v>36</v>
      </c>
      <c r="T62" s="46" t="s">
        <v>36</v>
      </c>
      <c r="U62" s="46" t="s">
        <v>36</v>
      </c>
      <c r="V62" s="47" t="s">
        <v>36</v>
      </c>
      <c r="W62" s="5" t="s">
        <v>52</v>
      </c>
      <c r="X62" s="5" t="s">
        <v>142</v>
      </c>
      <c r="Y62" s="5"/>
      <c r="Z62" s="5" t="s">
        <v>19508</v>
      </c>
      <c r="AA62" s="6">
        <v>585.0</v>
      </c>
    </row>
    <row r="63" ht="56.25" customHeight="1">
      <c r="A63" s="6">
        <v>18.0</v>
      </c>
      <c r="B63" s="5" t="s">
        <v>19509</v>
      </c>
      <c r="C63" s="6" t="str">
        <f>IMAGE("https://i.imgur.com/FGzyLfj.png")</f>
        <v/>
      </c>
      <c r="D63" s="6" t="str">
        <f>IMAGE("https://storage.googleapis.com/acdb/bugs/FtrInsectInago.png")</f>
        <v/>
      </c>
      <c r="E63" s="6">
        <v>400.0</v>
      </c>
      <c r="F63" s="43" t="s">
        <v>19273</v>
      </c>
      <c r="G63" s="43" t="s">
        <v>19248</v>
      </c>
      <c r="H63" s="43" t="s">
        <v>19249</v>
      </c>
      <c r="I63" s="44">
        <v>0.3333333333333333</v>
      </c>
      <c r="J63" s="44">
        <v>0.7916666666666666</v>
      </c>
      <c r="K63" s="47" t="s">
        <v>36</v>
      </c>
      <c r="L63" s="47" t="s">
        <v>35</v>
      </c>
      <c r="M63" s="48" t="s">
        <v>35</v>
      </c>
      <c r="N63" s="48" t="s">
        <v>35</v>
      </c>
      <c r="O63" s="48" t="s">
        <v>35</v>
      </c>
      <c r="P63" s="45" t="s">
        <v>36</v>
      </c>
      <c r="Q63" s="45" t="s">
        <v>36</v>
      </c>
      <c r="R63" s="45" t="s">
        <v>36</v>
      </c>
      <c r="S63" s="46" t="s">
        <v>36</v>
      </c>
      <c r="T63" s="46" t="s">
        <v>36</v>
      </c>
      <c r="U63" s="46" t="s">
        <v>36</v>
      </c>
      <c r="V63" s="47" t="s">
        <v>36</v>
      </c>
      <c r="W63" s="5" t="s">
        <v>96</v>
      </c>
      <c r="X63" s="5" t="s">
        <v>114</v>
      </c>
      <c r="Y63" s="5"/>
      <c r="Z63" s="5" t="s">
        <v>19514</v>
      </c>
      <c r="AA63" s="6">
        <v>605.0</v>
      </c>
    </row>
    <row r="64" ht="56.25" customHeight="1">
      <c r="A64" s="6">
        <v>27.0</v>
      </c>
      <c r="B64" s="5" t="s">
        <v>19515</v>
      </c>
      <c r="C64" s="6" t="str">
        <f>IMAGE("https://i.imgur.com/NjsDGuP.png")</f>
        <v/>
      </c>
      <c r="D64" s="6" t="str">
        <f>IMAGE("https://storage.googleapis.com/acdb/bugs/FtrInsectMinminzemi.png")</f>
        <v/>
      </c>
      <c r="E64" s="6">
        <v>300.0</v>
      </c>
      <c r="F64" s="43" t="s">
        <v>19288</v>
      </c>
      <c r="G64" s="43" t="s">
        <v>19248</v>
      </c>
      <c r="H64" s="43" t="s">
        <v>19249</v>
      </c>
      <c r="I64" s="44">
        <v>0.3333333333333333</v>
      </c>
      <c r="J64" s="44">
        <v>0.7083333333333334</v>
      </c>
      <c r="K64" s="47" t="s">
        <v>35</v>
      </c>
      <c r="L64" s="47" t="s">
        <v>35</v>
      </c>
      <c r="M64" s="48" t="s">
        <v>36</v>
      </c>
      <c r="N64" s="48" t="s">
        <v>36</v>
      </c>
      <c r="O64" s="48" t="s">
        <v>36</v>
      </c>
      <c r="P64" s="45" t="s">
        <v>36</v>
      </c>
      <c r="Q64" s="45" t="s">
        <v>36</v>
      </c>
      <c r="R64" s="45" t="s">
        <v>36</v>
      </c>
      <c r="S64" s="46" t="s">
        <v>36</v>
      </c>
      <c r="T64" s="46" t="s">
        <v>36</v>
      </c>
      <c r="U64" s="46" t="s">
        <v>36</v>
      </c>
      <c r="V64" s="47" t="s">
        <v>36</v>
      </c>
      <c r="W64" s="5" t="s">
        <v>54</v>
      </c>
      <c r="X64" s="5" t="s">
        <v>68</v>
      </c>
      <c r="Y64" s="5"/>
      <c r="Z64" s="5" t="s">
        <v>19517</v>
      </c>
      <c r="AA64" s="6">
        <v>621.0</v>
      </c>
    </row>
    <row r="65" ht="56.25" customHeight="1">
      <c r="A65" s="6">
        <v>48.0</v>
      </c>
      <c r="B65" s="5" t="s">
        <v>19519</v>
      </c>
      <c r="C65" s="6" t="str">
        <f>IMAGE("https://i.imgur.com/l0H0xS8.png")</f>
        <v/>
      </c>
      <c r="D65" s="6" t="str">
        <f>IMAGE("https://storage.googleapis.com/acdb/bugs/FtrInsectRuriboshikamikiri.png")</f>
        <v/>
      </c>
      <c r="E65" s="6">
        <v>3000.0</v>
      </c>
      <c r="F65" s="5" t="s">
        <v>19307</v>
      </c>
      <c r="G65" s="5" t="s">
        <v>19235</v>
      </c>
      <c r="H65" s="5" t="s">
        <v>19236</v>
      </c>
      <c r="I65" s="8" t="s">
        <v>19250</v>
      </c>
      <c r="J65" s="8" t="s">
        <v>19250</v>
      </c>
      <c r="K65" s="47" t="s">
        <v>35</v>
      </c>
      <c r="L65" s="47" t="s">
        <v>35</v>
      </c>
      <c r="M65" s="48" t="s">
        <v>35</v>
      </c>
      <c r="N65" s="48" t="s">
        <v>36</v>
      </c>
      <c r="O65" s="48" t="s">
        <v>36</v>
      </c>
      <c r="P65" s="45" t="s">
        <v>36</v>
      </c>
      <c r="Q65" s="45" t="s">
        <v>36</v>
      </c>
      <c r="R65" s="45" t="s">
        <v>36</v>
      </c>
      <c r="S65" s="46" t="s">
        <v>36</v>
      </c>
      <c r="T65" s="46" t="s">
        <v>36</v>
      </c>
      <c r="U65" s="46" t="s">
        <v>35</v>
      </c>
      <c r="V65" s="47" t="s">
        <v>35</v>
      </c>
      <c r="W65" s="5" t="s">
        <v>68</v>
      </c>
      <c r="X65" s="5" t="s">
        <v>54</v>
      </c>
      <c r="Y65" s="5"/>
      <c r="Z65" s="5" t="s">
        <v>19521</v>
      </c>
      <c r="AA65" s="6">
        <v>3487.0</v>
      </c>
    </row>
    <row r="66" ht="56.25" customHeight="1">
      <c r="A66" s="6">
        <v>55.0</v>
      </c>
      <c r="B66" s="5" t="s">
        <v>19522</v>
      </c>
      <c r="C66" s="6" t="str">
        <f>IMAGE("https://i.imgur.com/NrHugnM.png")</f>
        <v/>
      </c>
      <c r="D66" s="6" t="str">
        <f>IMAGE("https://storage.googleapis.com/acdb/bugs/FtrInsectNokogirikuwagata.png")</f>
        <v/>
      </c>
      <c r="E66" s="6">
        <v>2000.0</v>
      </c>
      <c r="F66" s="5" t="s">
        <v>19255</v>
      </c>
      <c r="G66" s="5" t="s">
        <v>19248</v>
      </c>
      <c r="H66" s="5" t="s">
        <v>19249</v>
      </c>
      <c r="I66" s="8" t="s">
        <v>19250</v>
      </c>
      <c r="J66" s="8" t="s">
        <v>19250</v>
      </c>
      <c r="K66" s="47" t="s">
        <v>35</v>
      </c>
      <c r="L66" s="47" t="s">
        <v>35</v>
      </c>
      <c r="M66" s="48" t="s">
        <v>36</v>
      </c>
      <c r="N66" s="48" t="s">
        <v>36</v>
      </c>
      <c r="O66" s="48" t="s">
        <v>36</v>
      </c>
      <c r="P66" s="45" t="s">
        <v>36</v>
      </c>
      <c r="Q66" s="45" t="s">
        <v>36</v>
      </c>
      <c r="R66" s="45" t="s">
        <v>36</v>
      </c>
      <c r="S66" s="46" t="s">
        <v>36</v>
      </c>
      <c r="T66" s="46" t="s">
        <v>36</v>
      </c>
      <c r="U66" s="46" t="s">
        <v>36</v>
      </c>
      <c r="V66" s="47" t="s">
        <v>36</v>
      </c>
      <c r="W66" s="5" t="s">
        <v>39</v>
      </c>
      <c r="X66" s="5" t="s">
        <v>54</v>
      </c>
      <c r="Y66" s="5"/>
      <c r="Z66" s="5" t="s">
        <v>19523</v>
      </c>
      <c r="AA66" s="6">
        <v>632.0</v>
      </c>
    </row>
    <row r="67" ht="56.25" customHeight="1">
      <c r="A67" s="6">
        <v>52.0</v>
      </c>
      <c r="B67" s="5" t="s">
        <v>19524</v>
      </c>
      <c r="C67" s="6" t="str">
        <f>IMAGE("https://i.imgur.com/WRmOGCJ.png")</f>
        <v/>
      </c>
      <c r="D67" s="6" t="str">
        <f>IMAGE("https://storage.googleapis.com/acdb/bugs/FtrInsectPurachinakogane.png")</f>
        <v/>
      </c>
      <c r="E67" s="6">
        <v>10000.0</v>
      </c>
      <c r="F67" s="43" t="s">
        <v>19255</v>
      </c>
      <c r="G67" s="43" t="s">
        <v>19248</v>
      </c>
      <c r="H67" s="43" t="s">
        <v>19267</v>
      </c>
      <c r="I67" s="44">
        <v>0.9583333333333334</v>
      </c>
      <c r="J67" s="44">
        <v>0.8333333333333334</v>
      </c>
      <c r="K67" s="47" t="s">
        <v>35</v>
      </c>
      <c r="L67" s="47" t="s">
        <v>35</v>
      </c>
      <c r="M67" s="48" t="s">
        <v>36</v>
      </c>
      <c r="N67" s="48" t="s">
        <v>36</v>
      </c>
      <c r="O67" s="48" t="s">
        <v>36</v>
      </c>
      <c r="P67" s="45" t="s">
        <v>36</v>
      </c>
      <c r="Q67" s="45" t="s">
        <v>36</v>
      </c>
      <c r="R67" s="45" t="s">
        <v>36</v>
      </c>
      <c r="S67" s="46" t="s">
        <v>36</v>
      </c>
      <c r="T67" s="46" t="s">
        <v>36</v>
      </c>
      <c r="U67" s="46" t="s">
        <v>36</v>
      </c>
      <c r="V67" s="47" t="s">
        <v>36</v>
      </c>
      <c r="W67" s="5" t="s">
        <v>54</v>
      </c>
      <c r="X67" s="5" t="s">
        <v>38</v>
      </c>
      <c r="Y67" s="5"/>
      <c r="Z67" s="5" t="s">
        <v>19526</v>
      </c>
      <c r="AA67" s="6">
        <v>639.0</v>
      </c>
    </row>
    <row r="68" ht="56.25" customHeight="1">
      <c r="A68" s="6">
        <v>80.0</v>
      </c>
      <c r="B68" s="5" t="s">
        <v>19527</v>
      </c>
      <c r="C68" s="6" t="str">
        <f>IMAGE("https://i.imgur.com/xkNxv3f.png")</f>
        <v/>
      </c>
      <c r="D68" s="6" t="str">
        <f>IMAGE("https://storage.googleapis.com/acdb/bugs/FtrInsectSasori.png")</f>
        <v/>
      </c>
      <c r="E68" s="6">
        <v>8000.0</v>
      </c>
      <c r="F68" s="43" t="s">
        <v>19273</v>
      </c>
      <c r="G68" s="43" t="s">
        <v>19248</v>
      </c>
      <c r="H68" s="43" t="s">
        <v>19249</v>
      </c>
      <c r="I68" s="44">
        <v>0.7916666666666666</v>
      </c>
      <c r="J68" s="44">
        <v>0.16666666666666666</v>
      </c>
      <c r="K68" s="47" t="s">
        <v>35</v>
      </c>
      <c r="L68" s="47" t="s">
        <v>35</v>
      </c>
      <c r="M68" s="48" t="s">
        <v>35</v>
      </c>
      <c r="N68" s="48" t="s">
        <v>35</v>
      </c>
      <c r="O68" s="48" t="s">
        <v>36</v>
      </c>
      <c r="P68" s="45" t="s">
        <v>36</v>
      </c>
      <c r="Q68" s="45" t="s">
        <v>36</v>
      </c>
      <c r="R68" s="45" t="s">
        <v>36</v>
      </c>
      <c r="S68" s="46" t="s">
        <v>36</v>
      </c>
      <c r="T68" s="46" t="s">
        <v>36</v>
      </c>
      <c r="U68" s="46" t="s">
        <v>35</v>
      </c>
      <c r="V68" s="47" t="s">
        <v>35</v>
      </c>
      <c r="W68" s="5" t="s">
        <v>54</v>
      </c>
      <c r="X68" s="5" t="s">
        <v>54</v>
      </c>
      <c r="Y68" s="5"/>
      <c r="Z68" s="5" t="s">
        <v>19528</v>
      </c>
      <c r="AA68" s="6">
        <v>640.0</v>
      </c>
    </row>
    <row r="69" ht="56.25" customHeight="1">
      <c r="A69" s="6">
        <v>75.0</v>
      </c>
      <c r="B69" s="5" t="s">
        <v>19529</v>
      </c>
      <c r="C69" s="6" t="str">
        <f>IMAGE("https://i.imgur.com/CcYFhd2.png")</f>
        <v/>
      </c>
      <c r="D69" s="6" t="str">
        <f>IMAGE("https://storage.googleapis.com/acdb/bugs/FtrInsectKatatsumuri.png")</f>
        <v/>
      </c>
      <c r="E69" s="6">
        <v>250.0</v>
      </c>
      <c r="F69" s="5" t="s">
        <v>19530</v>
      </c>
      <c r="G69" s="5" t="s">
        <v>19531</v>
      </c>
      <c r="H69" s="5" t="s">
        <v>19249</v>
      </c>
      <c r="I69" s="8" t="s">
        <v>19250</v>
      </c>
      <c r="J69" s="8" t="s">
        <v>19250</v>
      </c>
      <c r="K69" s="47" t="s">
        <v>35</v>
      </c>
      <c r="L69" s="47" t="s">
        <v>35</v>
      </c>
      <c r="M69" s="48" t="s">
        <v>35</v>
      </c>
      <c r="N69" s="48" t="s">
        <v>35</v>
      </c>
      <c r="O69" s="48" t="s">
        <v>35</v>
      </c>
      <c r="P69" s="45" t="s">
        <v>35</v>
      </c>
      <c r="Q69" s="45" t="s">
        <v>35</v>
      </c>
      <c r="R69" s="45" t="s">
        <v>35</v>
      </c>
      <c r="S69" s="46" t="s">
        <v>35</v>
      </c>
      <c r="T69" s="46" t="s">
        <v>35</v>
      </c>
      <c r="U69" s="46" t="s">
        <v>35</v>
      </c>
      <c r="V69" s="47" t="s">
        <v>35</v>
      </c>
      <c r="W69" s="5" t="s">
        <v>38</v>
      </c>
      <c r="X69" s="5" t="s">
        <v>96</v>
      </c>
      <c r="Y69" s="5"/>
      <c r="Z69" s="5" t="s">
        <v>19532</v>
      </c>
      <c r="AA69" s="6">
        <v>611.0</v>
      </c>
    </row>
    <row r="70" ht="56.25" customHeight="1">
      <c r="A70" s="6">
        <v>78.0</v>
      </c>
      <c r="B70" s="5" t="s">
        <v>19533</v>
      </c>
      <c r="C70" s="6" t="str">
        <f>IMAGE("https://i.imgur.com/VgTT2A1.png")</f>
        <v/>
      </c>
      <c r="D70" s="6" t="str">
        <f>IMAGE("https://storage.googleapis.com/acdb/bugs/FtrInsectKumo.png")</f>
        <v/>
      </c>
      <c r="E70" s="6">
        <v>600.0</v>
      </c>
      <c r="F70" s="5" t="s">
        <v>19261</v>
      </c>
      <c r="G70" s="43" t="s">
        <v>19248</v>
      </c>
      <c r="H70" s="43" t="s">
        <v>19249</v>
      </c>
      <c r="I70" s="44">
        <v>0.7916666666666666</v>
      </c>
      <c r="J70" s="44">
        <v>0.3333333333333333</v>
      </c>
      <c r="K70" s="47" t="s">
        <v>35</v>
      </c>
      <c r="L70" s="47" t="s">
        <v>35</v>
      </c>
      <c r="M70" s="48" t="s">
        <v>35</v>
      </c>
      <c r="N70" s="48" t="s">
        <v>35</v>
      </c>
      <c r="O70" s="48" t="s">
        <v>35</v>
      </c>
      <c r="P70" s="45" t="s">
        <v>35</v>
      </c>
      <c r="Q70" s="45" t="s">
        <v>35</v>
      </c>
      <c r="R70" s="45" t="s">
        <v>35</v>
      </c>
      <c r="S70" s="46" t="s">
        <v>35</v>
      </c>
      <c r="T70" s="46" t="s">
        <v>35</v>
      </c>
      <c r="U70" s="46" t="s">
        <v>35</v>
      </c>
      <c r="V70" s="47" t="s">
        <v>35</v>
      </c>
      <c r="W70" s="5" t="s">
        <v>114</v>
      </c>
      <c r="X70" s="5" t="s">
        <v>142</v>
      </c>
      <c r="Y70" s="5"/>
      <c r="Z70" s="5" t="s">
        <v>19535</v>
      </c>
      <c r="AA70" s="6">
        <v>619.0</v>
      </c>
    </row>
    <row r="71" ht="56.25" customHeight="1">
      <c r="A71" s="6">
        <v>41.0</v>
      </c>
      <c r="B71" s="5" t="s">
        <v>19536</v>
      </c>
      <c r="C71" s="6" t="str">
        <f>IMAGE("https://i.imgur.com/S6ywsm0.png")</f>
        <v/>
      </c>
      <c r="D71" s="6" t="str">
        <f>IMAGE("https://storage.googleapis.com/acdb/bugs/FtrInsectKamemushi.png")</f>
        <v/>
      </c>
      <c r="E71" s="6">
        <v>120.0</v>
      </c>
      <c r="F71" s="5" t="s">
        <v>19436</v>
      </c>
      <c r="G71" s="5" t="s">
        <v>19235</v>
      </c>
      <c r="H71" s="5" t="s">
        <v>19249</v>
      </c>
      <c r="I71" s="8" t="s">
        <v>19250</v>
      </c>
      <c r="J71" s="8" t="s">
        <v>19250</v>
      </c>
      <c r="K71" s="47" t="s">
        <v>35</v>
      </c>
      <c r="L71" s="47" t="s">
        <v>35</v>
      </c>
      <c r="M71" s="48" t="s">
        <v>35</v>
      </c>
      <c r="N71" s="48" t="s">
        <v>35</v>
      </c>
      <c r="O71" s="48" t="s">
        <v>36</v>
      </c>
      <c r="P71" s="45" t="s">
        <v>36</v>
      </c>
      <c r="Q71" s="45" t="s">
        <v>36</v>
      </c>
      <c r="R71" s="45" t="s">
        <v>36</v>
      </c>
      <c r="S71" s="46" t="s">
        <v>35</v>
      </c>
      <c r="T71" s="46" t="s">
        <v>35</v>
      </c>
      <c r="U71" s="46" t="s">
        <v>35</v>
      </c>
      <c r="V71" s="47" t="s">
        <v>35</v>
      </c>
      <c r="W71" s="5" t="s">
        <v>96</v>
      </c>
      <c r="X71" s="5" t="s">
        <v>114</v>
      </c>
      <c r="Y71" s="5"/>
      <c r="Z71" s="5" t="s">
        <v>19539</v>
      </c>
      <c r="AA71" s="6">
        <v>608.0</v>
      </c>
    </row>
    <row r="72" ht="56.25" customHeight="1">
      <c r="A72" s="6">
        <v>79.0</v>
      </c>
      <c r="B72" s="5" t="s">
        <v>19540</v>
      </c>
      <c r="C72" s="6" t="str">
        <f>IMAGE("https://i.imgur.com/QJo1pn8.png")</f>
        <v/>
      </c>
      <c r="D72" s="6" t="str">
        <f>IMAGE("https://storage.googleapis.com/acdb/bugs/FtrInsectTaranchura.png")</f>
        <v/>
      </c>
      <c r="E72" s="6">
        <v>8000.0</v>
      </c>
      <c r="F72" s="43" t="s">
        <v>19273</v>
      </c>
      <c r="G72" s="43" t="s">
        <v>19248</v>
      </c>
      <c r="H72" s="43" t="s">
        <v>19249</v>
      </c>
      <c r="I72" s="44">
        <v>0.7916666666666666</v>
      </c>
      <c r="J72" s="44">
        <v>0.16666666666666666</v>
      </c>
      <c r="K72" s="47" t="s">
        <v>36</v>
      </c>
      <c r="L72" s="47" t="s">
        <v>36</v>
      </c>
      <c r="M72" s="48" t="s">
        <v>36</v>
      </c>
      <c r="N72" s="48" t="s">
        <v>36</v>
      </c>
      <c r="O72" s="48" t="s">
        <v>35</v>
      </c>
      <c r="P72" s="45" t="s">
        <v>35</v>
      </c>
      <c r="Q72" s="45" t="s">
        <v>35</v>
      </c>
      <c r="R72" s="45" t="s">
        <v>35</v>
      </c>
      <c r="S72" s="46" t="s">
        <v>35</v>
      </c>
      <c r="T72" s="46" t="s">
        <v>35</v>
      </c>
      <c r="U72" s="46" t="s">
        <v>36</v>
      </c>
      <c r="V72" s="47" t="s">
        <v>36</v>
      </c>
      <c r="W72" s="5" t="s">
        <v>39</v>
      </c>
      <c r="X72" s="5" t="s">
        <v>54</v>
      </c>
      <c r="Y72" s="5"/>
      <c r="Z72" s="5" t="s">
        <v>19542</v>
      </c>
      <c r="AA72" s="6">
        <v>646.0</v>
      </c>
    </row>
    <row r="73" ht="56.25" customHeight="1">
      <c r="A73" s="6">
        <v>44.0</v>
      </c>
      <c r="B73" s="5" t="s">
        <v>19543</v>
      </c>
      <c r="C73" s="6" t="str">
        <f>IMAGE("https://i.imgur.com/xyimMAp.png")</f>
        <v/>
      </c>
      <c r="D73" s="6" t="str">
        <f>IMAGE("https://storage.googleapis.com/acdb/bugs/FtrInsectHanmyou.png")</f>
        <v/>
      </c>
      <c r="E73" s="6">
        <v>1500.0</v>
      </c>
      <c r="F73" s="5" t="s">
        <v>19273</v>
      </c>
      <c r="G73" s="5" t="s">
        <v>19235</v>
      </c>
      <c r="H73" s="5" t="s">
        <v>19236</v>
      </c>
      <c r="I73" s="8" t="s">
        <v>19250</v>
      </c>
      <c r="J73" s="8" t="s">
        <v>19250</v>
      </c>
      <c r="K73" s="47" t="s">
        <v>35</v>
      </c>
      <c r="L73" s="47" t="s">
        <v>35</v>
      </c>
      <c r="M73" s="48" t="s">
        <v>35</v>
      </c>
      <c r="N73" s="48" t="s">
        <v>35</v>
      </c>
      <c r="O73" s="48" t="s">
        <v>36</v>
      </c>
      <c r="P73" s="45" t="s">
        <v>36</v>
      </c>
      <c r="Q73" s="45" t="s">
        <v>36</v>
      </c>
      <c r="R73" s="45" t="s">
        <v>35</v>
      </c>
      <c r="S73" s="46" t="s">
        <v>35</v>
      </c>
      <c r="T73" s="46" t="s">
        <v>35</v>
      </c>
      <c r="U73" s="46" t="s">
        <v>35</v>
      </c>
      <c r="V73" s="47" t="s">
        <v>35</v>
      </c>
      <c r="W73" s="5" t="s">
        <v>96</v>
      </c>
      <c r="X73" s="5" t="s">
        <v>114</v>
      </c>
      <c r="Y73" s="5"/>
      <c r="Z73" s="5" t="s">
        <v>19544</v>
      </c>
      <c r="AA73" s="6">
        <v>599.0</v>
      </c>
    </row>
    <row r="74" ht="56.25" customHeight="1">
      <c r="A74" s="6">
        <v>3.0</v>
      </c>
      <c r="B74" s="5" t="s">
        <v>19545</v>
      </c>
      <c r="C74" s="6" t="str">
        <f>IMAGE("https://i.imgur.com/ueqMyVH.png")</f>
        <v/>
      </c>
      <c r="D74" s="6" t="str">
        <f>IMAGE("https://storage.googleapis.com/acdb/bugs/FtrInsectAgehacho.png")</f>
        <v/>
      </c>
      <c r="E74" s="6">
        <v>240.0</v>
      </c>
      <c r="F74" s="43" t="s">
        <v>19231</v>
      </c>
      <c r="G74" s="5" t="s">
        <v>19235</v>
      </c>
      <c r="H74" s="43" t="s">
        <v>19249</v>
      </c>
      <c r="I74" s="44">
        <v>0.16666666666666666</v>
      </c>
      <c r="J74" s="44">
        <v>0.7916666666666666</v>
      </c>
      <c r="K74" s="47" t="s">
        <v>35</v>
      </c>
      <c r="L74" s="47" t="s">
        <v>35</v>
      </c>
      <c r="M74" s="48" t="s">
        <v>35</v>
      </c>
      <c r="N74" s="48" t="s">
        <v>36</v>
      </c>
      <c r="O74" s="48" t="s">
        <v>36</v>
      </c>
      <c r="P74" s="45" t="s">
        <v>36</v>
      </c>
      <c r="Q74" s="45" t="s">
        <v>36</v>
      </c>
      <c r="R74" s="45" t="s">
        <v>36</v>
      </c>
      <c r="S74" s="46" t="s">
        <v>35</v>
      </c>
      <c r="T74" s="46" t="s">
        <v>35</v>
      </c>
      <c r="U74" s="46" t="s">
        <v>35</v>
      </c>
      <c r="V74" s="47" t="s">
        <v>35</v>
      </c>
      <c r="W74" s="5" t="s">
        <v>114</v>
      </c>
      <c r="X74" s="5" t="s">
        <v>96</v>
      </c>
      <c r="Y74" s="5"/>
      <c r="Z74" s="5" t="s">
        <v>19546</v>
      </c>
      <c r="AA74" s="6">
        <v>583.0</v>
      </c>
    </row>
    <row r="75" ht="56.25" customHeight="1">
      <c r="A75" s="6">
        <v>46.0</v>
      </c>
      <c r="B75" s="5" t="s">
        <v>19547</v>
      </c>
      <c r="C75" s="6" t="str">
        <f>IMAGE("https://i.imgur.com/mFoOmTP.png")</f>
        <v/>
      </c>
      <c r="D75" s="6" t="str">
        <f>IMAGE("https://storage.googleapis.com/acdb/bugs/FtrInsectBaiorinmushi.png")</f>
        <v/>
      </c>
      <c r="E75" s="6">
        <v>450.0</v>
      </c>
      <c r="F75" s="5" t="s">
        <v>19307</v>
      </c>
      <c r="G75" s="5" t="s">
        <v>19235</v>
      </c>
      <c r="H75" s="5" t="s">
        <v>19249</v>
      </c>
      <c r="I75" s="8" t="s">
        <v>19250</v>
      </c>
      <c r="J75" s="8" t="s">
        <v>19250</v>
      </c>
      <c r="K75" s="47" t="s">
        <v>36</v>
      </c>
      <c r="L75" s="47" t="s">
        <v>36</v>
      </c>
      <c r="M75" s="48" t="s">
        <v>35</v>
      </c>
      <c r="N75" s="48" t="s">
        <v>35</v>
      </c>
      <c r="O75" s="48" t="s">
        <v>35</v>
      </c>
      <c r="P75" s="45" t="s">
        <v>36</v>
      </c>
      <c r="Q75" s="45" t="s">
        <v>36</v>
      </c>
      <c r="R75" s="45" t="s">
        <v>36</v>
      </c>
      <c r="S75" s="46" t="s">
        <v>36</v>
      </c>
      <c r="T75" s="46" t="s">
        <v>36</v>
      </c>
      <c r="U75" s="46" t="s">
        <v>35</v>
      </c>
      <c r="V75" s="47" t="s">
        <v>35</v>
      </c>
      <c r="W75" s="5" t="s">
        <v>39</v>
      </c>
      <c r="X75" s="5" t="s">
        <v>54</v>
      </c>
      <c r="Y75" s="5"/>
      <c r="Z75" s="5" t="s">
        <v>19548</v>
      </c>
      <c r="AA75" s="6">
        <v>650.0</v>
      </c>
    </row>
    <row r="76" ht="56.25" customHeight="1">
      <c r="A76" s="6">
        <v>29.0</v>
      </c>
      <c r="B76" s="5" t="s">
        <v>19549</v>
      </c>
      <c r="C76" s="6" t="str">
        <f>IMAGE("https://i.imgur.com/1vMVK2Z.png")</f>
        <v/>
      </c>
      <c r="D76" s="6" t="str">
        <f>IMAGE("https://storage.googleapis.com/acdb/bugs/FtrInsectTsukutsukuhousi.png")</f>
        <v/>
      </c>
      <c r="E76" s="6">
        <v>400.0</v>
      </c>
      <c r="F76" s="43" t="s">
        <v>19288</v>
      </c>
      <c r="G76" s="43" t="s">
        <v>19248</v>
      </c>
      <c r="H76" s="43" t="s">
        <v>19249</v>
      </c>
      <c r="I76" s="44">
        <v>0.3333333333333333</v>
      </c>
      <c r="J76" s="44">
        <v>0.7083333333333334</v>
      </c>
      <c r="K76" s="47" t="s">
        <v>36</v>
      </c>
      <c r="L76" s="47" t="s">
        <v>35</v>
      </c>
      <c r="M76" s="48" t="s">
        <v>35</v>
      </c>
      <c r="N76" s="48" t="s">
        <v>36</v>
      </c>
      <c r="O76" s="48" t="s">
        <v>36</v>
      </c>
      <c r="P76" s="45" t="s">
        <v>36</v>
      </c>
      <c r="Q76" s="45" t="s">
        <v>36</v>
      </c>
      <c r="R76" s="45" t="s">
        <v>36</v>
      </c>
      <c r="S76" s="46" t="s">
        <v>36</v>
      </c>
      <c r="T76" s="46" t="s">
        <v>36</v>
      </c>
      <c r="U76" s="46" t="s">
        <v>36</v>
      </c>
      <c r="V76" s="47" t="s">
        <v>36</v>
      </c>
      <c r="W76" s="5" t="s">
        <v>54</v>
      </c>
      <c r="X76" s="5" t="s">
        <v>69</v>
      </c>
      <c r="Y76" s="5"/>
      <c r="Z76" s="5" t="s">
        <v>19550</v>
      </c>
      <c r="AA76" s="6">
        <v>649.0</v>
      </c>
    </row>
    <row r="77" ht="56.25" customHeight="1">
      <c r="A77" s="6">
        <v>67.0</v>
      </c>
      <c r="B77" s="5" t="s">
        <v>19551</v>
      </c>
      <c r="C77" s="6" t="str">
        <f>IMAGE("https://i.imgur.com/wH4pJ2F.png")</f>
        <v/>
      </c>
      <c r="D77" s="6" t="str">
        <f>IMAGE("https://storage.googleapis.com/acdb/bugs/FtrInsectKonohamushi.png")</f>
        <v/>
      </c>
      <c r="E77" s="6">
        <v>600.0</v>
      </c>
      <c r="F77" s="5" t="s">
        <v>19552</v>
      </c>
      <c r="G77" s="5" t="s">
        <v>19248</v>
      </c>
      <c r="H77" s="5" t="s">
        <v>19236</v>
      </c>
      <c r="I77" s="8" t="s">
        <v>19250</v>
      </c>
      <c r="J77" s="8" t="s">
        <v>19250</v>
      </c>
      <c r="K77" s="47" t="s">
        <v>35</v>
      </c>
      <c r="L77" s="47" t="s">
        <v>35</v>
      </c>
      <c r="M77" s="48" t="s">
        <v>35</v>
      </c>
      <c r="N77" s="48" t="s">
        <v>36</v>
      </c>
      <c r="O77" s="48" t="s">
        <v>36</v>
      </c>
      <c r="P77" s="45" t="s">
        <v>36</v>
      </c>
      <c r="Q77" s="45" t="s">
        <v>36</v>
      </c>
      <c r="R77" s="45" t="s">
        <v>36</v>
      </c>
      <c r="S77" s="46" t="s">
        <v>36</v>
      </c>
      <c r="T77" s="46" t="s">
        <v>36</v>
      </c>
      <c r="U77" s="46" t="s">
        <v>36</v>
      </c>
      <c r="V77" s="47" t="s">
        <v>36</v>
      </c>
      <c r="W77" s="5" t="s">
        <v>96</v>
      </c>
      <c r="X77" s="5" t="s">
        <v>96</v>
      </c>
      <c r="Y77" s="5"/>
      <c r="Z77" s="5" t="s">
        <v>19553</v>
      </c>
      <c r="AA77" s="6">
        <v>616.0</v>
      </c>
    </row>
    <row r="78" ht="56.25" customHeight="1">
      <c r="A78" s="6">
        <v>66.0</v>
      </c>
      <c r="B78" s="5" t="s">
        <v>19554</v>
      </c>
      <c r="C78" s="6" t="str">
        <f>IMAGE("https://i.imgur.com/kql18lQ.png")</f>
        <v/>
      </c>
      <c r="D78" s="6" t="str">
        <f>IMAGE("https://storage.googleapis.com/acdb/bugs/FtrInsectNanafushi.png")</f>
        <v/>
      </c>
      <c r="E78" s="6">
        <v>600.0</v>
      </c>
      <c r="F78" s="5" t="s">
        <v>19255</v>
      </c>
      <c r="G78" s="5" t="s">
        <v>19248</v>
      </c>
      <c r="H78" s="5" t="s">
        <v>19236</v>
      </c>
      <c r="I78" s="8" t="s">
        <v>19555</v>
      </c>
      <c r="J78" s="8" t="s">
        <v>19357</v>
      </c>
      <c r="K78" s="47" t="s">
        <v>35</v>
      </c>
      <c r="L78" s="47" t="s">
        <v>35</v>
      </c>
      <c r="M78" s="48" t="s">
        <v>35</v>
      </c>
      <c r="N78" s="48" t="s">
        <v>35</v>
      </c>
      <c r="O78" s="48" t="s">
        <v>35</v>
      </c>
      <c r="P78" s="45" t="s">
        <v>36</v>
      </c>
      <c r="Q78" s="45" t="s">
        <v>36</v>
      </c>
      <c r="R78" s="45" t="s">
        <v>36</v>
      </c>
      <c r="S78" s="46" t="s">
        <v>36</v>
      </c>
      <c r="T78" s="46" t="s">
        <v>36</v>
      </c>
      <c r="U78" s="46" t="s">
        <v>36</v>
      </c>
      <c r="V78" s="47" t="s">
        <v>35</v>
      </c>
      <c r="W78" s="5" t="s">
        <v>39</v>
      </c>
      <c r="X78" s="5" t="s">
        <v>114</v>
      </c>
      <c r="Y78" s="5"/>
      <c r="Z78" s="5" t="s">
        <v>19556</v>
      </c>
      <c r="AA78" s="6">
        <v>630.0</v>
      </c>
    </row>
    <row r="79" ht="56.25" customHeight="1">
      <c r="A79" s="6">
        <v>25.0</v>
      </c>
      <c r="B79" s="5" t="s">
        <v>19557</v>
      </c>
      <c r="C79" s="6" t="str">
        <f>IMAGE("https://i.imgur.com/rWsiB1B.png")</f>
        <v/>
      </c>
      <c r="D79" s="6" t="str">
        <f>IMAGE("https://storage.googleapis.com/acdb/bugs/FtrInsectHachi.png")</f>
        <v/>
      </c>
      <c r="E79" s="6">
        <v>2500.0</v>
      </c>
      <c r="F79" s="5" t="s">
        <v>19558</v>
      </c>
      <c r="G79" s="5" t="s">
        <v>19248</v>
      </c>
      <c r="H79" s="5" t="s">
        <v>19249</v>
      </c>
      <c r="I79" s="8" t="s">
        <v>19250</v>
      </c>
      <c r="J79" s="8" t="s">
        <v>19250</v>
      </c>
      <c r="K79" s="47" t="s">
        <v>35</v>
      </c>
      <c r="L79" s="47" t="s">
        <v>35</v>
      </c>
      <c r="M79" s="48" t="s">
        <v>35</v>
      </c>
      <c r="N79" s="48" t="s">
        <v>35</v>
      </c>
      <c r="O79" s="48" t="s">
        <v>35</v>
      </c>
      <c r="P79" s="45" t="s">
        <v>35</v>
      </c>
      <c r="Q79" s="45" t="s">
        <v>35</v>
      </c>
      <c r="R79" s="45" t="s">
        <v>35</v>
      </c>
      <c r="S79" s="46" t="s">
        <v>35</v>
      </c>
      <c r="T79" s="46" t="s">
        <v>35</v>
      </c>
      <c r="U79" s="46" t="s">
        <v>35</v>
      </c>
      <c r="V79" s="47" t="s">
        <v>35</v>
      </c>
      <c r="W79" s="5" t="s">
        <v>114</v>
      </c>
      <c r="X79" s="5" t="s">
        <v>142</v>
      </c>
      <c r="Y79" s="5"/>
      <c r="Z79" s="5" t="s">
        <v>19559</v>
      </c>
      <c r="AA79" s="6">
        <v>643.0</v>
      </c>
    </row>
    <row r="80" ht="56.25" customHeight="1">
      <c r="A80" s="6">
        <v>71.0</v>
      </c>
      <c r="B80" s="5" t="s">
        <v>19560</v>
      </c>
      <c r="C80" s="6" t="str">
        <f>IMAGE("https://i.imgur.com/fNhh6wF.png")</f>
        <v/>
      </c>
      <c r="D80" s="6" t="str">
        <f>IMAGE("https://storage.googleapis.com/acdb/bugs/FtrInsectFunamushi.png")</f>
        <v/>
      </c>
      <c r="E80" s="6">
        <v>200.0</v>
      </c>
      <c r="F80" s="5" t="s">
        <v>19561</v>
      </c>
      <c r="G80" s="5" t="s">
        <v>19248</v>
      </c>
      <c r="H80" s="5" t="s">
        <v>19249</v>
      </c>
      <c r="I80" s="8" t="s">
        <v>19250</v>
      </c>
      <c r="J80" s="8" t="s">
        <v>19250</v>
      </c>
      <c r="K80" s="47" t="s">
        <v>35</v>
      </c>
      <c r="L80" s="47" t="s">
        <v>35</v>
      </c>
      <c r="M80" s="48" t="s">
        <v>35</v>
      </c>
      <c r="N80" s="48" t="s">
        <v>35</v>
      </c>
      <c r="O80" s="48" t="s">
        <v>35</v>
      </c>
      <c r="P80" s="45" t="s">
        <v>35</v>
      </c>
      <c r="Q80" s="45" t="s">
        <v>35</v>
      </c>
      <c r="R80" s="45" t="s">
        <v>35</v>
      </c>
      <c r="S80" s="46" t="s">
        <v>35</v>
      </c>
      <c r="T80" s="46" t="s">
        <v>35</v>
      </c>
      <c r="U80" s="46" t="s">
        <v>35</v>
      </c>
      <c r="V80" s="47" t="s">
        <v>35</v>
      </c>
      <c r="W80" s="5" t="s">
        <v>38</v>
      </c>
      <c r="X80" s="5" t="s">
        <v>68</v>
      </c>
      <c r="Y80" s="5"/>
      <c r="Z80" s="5" t="s">
        <v>19562</v>
      </c>
      <c r="AA80" s="6">
        <v>591.0</v>
      </c>
    </row>
    <row r="81" ht="56.25" customHeight="1">
      <c r="A81" s="6">
        <v>2.0</v>
      </c>
      <c r="B81" s="5" t="s">
        <v>19563</v>
      </c>
      <c r="C81" s="6" t="str">
        <f>IMAGE("https://i.imgur.com/kgs4VO3.png")</f>
        <v/>
      </c>
      <c r="D81" s="6" t="str">
        <f>IMAGE("https://storage.googleapis.com/acdb/bugs/FtrInsectMonkicho.png")</f>
        <v/>
      </c>
      <c r="E81" s="6">
        <v>160.0</v>
      </c>
      <c r="F81" s="43" t="s">
        <v>19231</v>
      </c>
      <c r="G81" s="5" t="s">
        <v>19235</v>
      </c>
      <c r="H81" s="43" t="s">
        <v>19249</v>
      </c>
      <c r="I81" s="44">
        <v>0.16666666666666666</v>
      </c>
      <c r="J81" s="44">
        <v>0.7916666666666666</v>
      </c>
      <c r="K81" s="47" t="s">
        <v>36</v>
      </c>
      <c r="L81" s="47" t="s">
        <v>36</v>
      </c>
      <c r="M81" s="48" t="s">
        <v>35</v>
      </c>
      <c r="N81" s="48" t="s">
        <v>35</v>
      </c>
      <c r="O81" s="48" t="s">
        <v>36</v>
      </c>
      <c r="P81" s="45" t="s">
        <v>36</v>
      </c>
      <c r="Q81" s="45" t="s">
        <v>36</v>
      </c>
      <c r="R81" s="45" t="s">
        <v>36</v>
      </c>
      <c r="S81" s="46" t="s">
        <v>35</v>
      </c>
      <c r="T81" s="46" t="s">
        <v>35</v>
      </c>
      <c r="U81" s="46" t="s">
        <v>35</v>
      </c>
      <c r="V81" s="47" t="s">
        <v>35</v>
      </c>
      <c r="W81" s="5" t="s">
        <v>114</v>
      </c>
      <c r="X81" s="5" t="s">
        <v>68</v>
      </c>
      <c r="Y81" s="5"/>
      <c r="Z81" s="5" t="s">
        <v>19564</v>
      </c>
      <c r="AA81" s="6">
        <v>625.0</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3.0"/>
    <col customWidth="1" min="2" max="2" width="14.43"/>
    <col customWidth="1" min="3" max="4" width="10.86"/>
    <col customWidth="1" min="5" max="5" width="5.86"/>
    <col customWidth="1" min="6" max="6" width="14.43"/>
    <col customWidth="1" min="7" max="7" width="8.71"/>
    <col customWidth="1" min="8" max="9" width="10.86"/>
    <col customWidth="1" min="10" max="11" width="8.71"/>
    <col customWidth="1" min="12" max="23" width="4.43"/>
    <col customWidth="1" min="24" max="25" width="8.0"/>
    <col customWidth="1" min="26" max="26" width="5.14"/>
    <col customWidth="1" min="27" max="27" width="9.43"/>
    <col customWidth="1" min="28" max="29" width="12.29"/>
    <col customWidth="1" min="30" max="30" width="8.0"/>
  </cols>
  <sheetData>
    <row r="1" ht="26.25" customHeight="1">
      <c r="A1" s="2" t="s">
        <v>19194</v>
      </c>
      <c r="B1" s="1" t="s">
        <v>0</v>
      </c>
      <c r="C1" s="2" t="s">
        <v>1</v>
      </c>
      <c r="D1" s="2" t="s">
        <v>19197</v>
      </c>
      <c r="E1" s="2" t="s">
        <v>11</v>
      </c>
      <c r="F1" s="1" t="s">
        <v>19198</v>
      </c>
      <c r="G1" s="1" t="s">
        <v>19566</v>
      </c>
      <c r="H1" s="1" t="s">
        <v>19200</v>
      </c>
      <c r="I1" s="1" t="s">
        <v>19567</v>
      </c>
      <c r="J1" s="4" t="s">
        <v>19202</v>
      </c>
      <c r="K1" s="4" t="s">
        <v>19203</v>
      </c>
      <c r="L1" s="39" t="s">
        <v>19204</v>
      </c>
      <c r="M1" s="39" t="s">
        <v>19208</v>
      </c>
      <c r="N1" s="40" t="s">
        <v>19209</v>
      </c>
      <c r="O1" s="40" t="s">
        <v>19211</v>
      </c>
      <c r="P1" s="40" t="s">
        <v>19212</v>
      </c>
      <c r="Q1" s="41" t="s">
        <v>19213</v>
      </c>
      <c r="R1" s="41" t="s">
        <v>19216</v>
      </c>
      <c r="S1" s="41" t="s">
        <v>19217</v>
      </c>
      <c r="T1" s="42" t="s">
        <v>19218</v>
      </c>
      <c r="U1" s="42" t="s">
        <v>19221</v>
      </c>
      <c r="V1" s="42" t="s">
        <v>19222</v>
      </c>
      <c r="W1" s="39" t="s">
        <v>19223</v>
      </c>
      <c r="X1" s="1" t="s">
        <v>12</v>
      </c>
      <c r="Y1" s="1" t="s">
        <v>13</v>
      </c>
      <c r="Z1" s="1" t="s">
        <v>14</v>
      </c>
      <c r="AA1" s="1" t="s">
        <v>25</v>
      </c>
      <c r="AB1" s="1" t="s">
        <v>19224</v>
      </c>
      <c r="AC1" s="1" t="s">
        <v>19226</v>
      </c>
      <c r="AD1" s="2" t="s">
        <v>29</v>
      </c>
    </row>
    <row r="2" ht="56.25" customHeight="1">
      <c r="A2" s="6">
        <v>56.0</v>
      </c>
      <c r="B2" s="5" t="s">
        <v>19568</v>
      </c>
      <c r="C2" s="16" t="str">
        <f>IMAGE("https://i.imgur.com/zEICzZj.png")</f>
        <v/>
      </c>
      <c r="D2" s="6" t="str">
        <f>IMAGE("https://storage.googleapis.com/acdb/fish/FtrFishAntyobi.png")</f>
        <v/>
      </c>
      <c r="E2" s="6">
        <v>200.0</v>
      </c>
      <c r="F2" s="5" t="s">
        <v>19569</v>
      </c>
      <c r="G2" s="5" t="s">
        <v>19570</v>
      </c>
      <c r="H2" s="43" t="s">
        <v>19249</v>
      </c>
      <c r="I2" s="43" t="s">
        <v>36</v>
      </c>
      <c r="J2" s="44">
        <v>0.16666666666666666</v>
      </c>
      <c r="K2" s="44">
        <v>0.875</v>
      </c>
      <c r="L2" s="45" t="s">
        <v>35</v>
      </c>
      <c r="M2" s="45" t="s">
        <v>35</v>
      </c>
      <c r="N2" s="46" t="s">
        <v>35</v>
      </c>
      <c r="O2" s="46" t="s">
        <v>35</v>
      </c>
      <c r="P2" s="46" t="s">
        <v>35</v>
      </c>
      <c r="Q2" s="47" t="s">
        <v>35</v>
      </c>
      <c r="R2" s="47" t="s">
        <v>35</v>
      </c>
      <c r="S2" s="47" t="s">
        <v>35</v>
      </c>
      <c r="T2" s="48" t="s">
        <v>35</v>
      </c>
      <c r="U2" s="48" t="s">
        <v>35</v>
      </c>
      <c r="V2" s="48" t="s">
        <v>35</v>
      </c>
      <c r="W2" s="45" t="s">
        <v>35</v>
      </c>
      <c r="X2" s="5" t="s">
        <v>68</v>
      </c>
      <c r="Y2" s="5" t="s">
        <v>52</v>
      </c>
      <c r="Z2" s="5" t="s">
        <v>40</v>
      </c>
      <c r="AA2" s="5" t="s">
        <v>47</v>
      </c>
      <c r="AB2" s="5"/>
      <c r="AC2" s="5" t="s">
        <v>19572</v>
      </c>
      <c r="AD2" s="6">
        <v>4201.0</v>
      </c>
    </row>
    <row r="3" ht="56.25" customHeight="1">
      <c r="A3" s="6">
        <v>36.0</v>
      </c>
      <c r="B3" s="5" t="s">
        <v>19573</v>
      </c>
      <c r="C3" s="16" t="str">
        <f>IMAGE("https://i.imgur.com/dQh34A6.png")</f>
        <v/>
      </c>
      <c r="D3" s="6" t="str">
        <f>IMAGE("https://storage.googleapis.com/acdb/fish/FtrFishAngelfish.png")</f>
        <v/>
      </c>
      <c r="E3" s="6">
        <v>3000.0</v>
      </c>
      <c r="F3" s="5" t="s">
        <v>19574</v>
      </c>
      <c r="G3" s="5" t="s">
        <v>19570</v>
      </c>
      <c r="H3" s="43" t="s">
        <v>19236</v>
      </c>
      <c r="I3" s="43" t="s">
        <v>36</v>
      </c>
      <c r="J3" s="44">
        <v>0.6666666666666666</v>
      </c>
      <c r="K3" s="44">
        <v>0.375</v>
      </c>
      <c r="L3" s="45" t="s">
        <v>36</v>
      </c>
      <c r="M3" s="45" t="s">
        <v>36</v>
      </c>
      <c r="N3" s="46" t="s">
        <v>36</v>
      </c>
      <c r="O3" s="46" t="s">
        <v>36</v>
      </c>
      <c r="P3" s="46" t="s">
        <v>35</v>
      </c>
      <c r="Q3" s="47" t="s">
        <v>35</v>
      </c>
      <c r="R3" s="47" t="s">
        <v>35</v>
      </c>
      <c r="S3" s="47" t="s">
        <v>35</v>
      </c>
      <c r="T3" s="48" t="s">
        <v>35</v>
      </c>
      <c r="U3" s="48" t="s">
        <v>35</v>
      </c>
      <c r="V3" s="48" t="s">
        <v>36</v>
      </c>
      <c r="W3" s="45" t="s">
        <v>36</v>
      </c>
      <c r="X3" s="5" t="s">
        <v>114</v>
      </c>
      <c r="Y3" s="5" t="s">
        <v>54</v>
      </c>
      <c r="Z3" s="5" t="s">
        <v>40</v>
      </c>
      <c r="AA3" s="5" t="s">
        <v>502</v>
      </c>
      <c r="AB3" s="5"/>
      <c r="AC3" s="5" t="s">
        <v>19575</v>
      </c>
      <c r="AD3" s="6">
        <v>2247.0</v>
      </c>
    </row>
    <row r="4" ht="56.25" customHeight="1">
      <c r="A4" s="6">
        <v>44.0</v>
      </c>
      <c r="B4" s="5" t="s">
        <v>19576</v>
      </c>
      <c r="C4" s="16" t="str">
        <f>IMAGE("https://i.imgur.com/lPlNtUw.png")</f>
        <v/>
      </c>
      <c r="D4" s="6" t="str">
        <f>IMAGE("https://storage.googleapis.com/acdb/fish/FtrFishPiraruku.png")</f>
        <v/>
      </c>
      <c r="E4" s="6">
        <v>10000.0</v>
      </c>
      <c r="F4" s="5" t="s">
        <v>19574</v>
      </c>
      <c r="G4" s="5" t="s">
        <v>19577</v>
      </c>
      <c r="H4" s="43" t="s">
        <v>19267</v>
      </c>
      <c r="I4" s="43" t="s">
        <v>35</v>
      </c>
      <c r="J4" s="44">
        <v>0.6666666666666666</v>
      </c>
      <c r="K4" s="44">
        <v>0.375</v>
      </c>
      <c r="L4" s="45" t="s">
        <v>36</v>
      </c>
      <c r="M4" s="45" t="s">
        <v>36</v>
      </c>
      <c r="N4" s="46" t="s">
        <v>36</v>
      </c>
      <c r="O4" s="46" t="s">
        <v>36</v>
      </c>
      <c r="P4" s="46" t="s">
        <v>36</v>
      </c>
      <c r="Q4" s="47" t="s">
        <v>35</v>
      </c>
      <c r="R4" s="47" t="s">
        <v>35</v>
      </c>
      <c r="S4" s="47" t="s">
        <v>35</v>
      </c>
      <c r="T4" s="48" t="s">
        <v>35</v>
      </c>
      <c r="U4" s="48" t="s">
        <v>36</v>
      </c>
      <c r="V4" s="48" t="s">
        <v>36</v>
      </c>
      <c r="W4" s="45" t="s">
        <v>36</v>
      </c>
      <c r="X4" s="5" t="s">
        <v>54</v>
      </c>
      <c r="Y4" s="5" t="s">
        <v>68</v>
      </c>
      <c r="Z4" s="5" t="s">
        <v>11558</v>
      </c>
      <c r="AA4" s="5" t="s">
        <v>47</v>
      </c>
      <c r="AB4" s="5"/>
      <c r="AC4" s="5" t="s">
        <v>19578</v>
      </c>
      <c r="AD4" s="6">
        <v>2253.0</v>
      </c>
    </row>
    <row r="5" ht="56.25" customHeight="1">
      <c r="A5" s="6">
        <v>41.0</v>
      </c>
      <c r="B5" s="5" t="s">
        <v>19579</v>
      </c>
      <c r="C5" s="16" t="str">
        <f>IMAGE("https://i.imgur.com/dim59Ai.png")</f>
        <v/>
      </c>
      <c r="D5" s="6" t="str">
        <f>IMAGE("https://storage.googleapis.com/acdb/fish/FtrFishArowana.png")</f>
        <v/>
      </c>
      <c r="E5" s="6">
        <v>10000.0</v>
      </c>
      <c r="F5" s="5" t="s">
        <v>19574</v>
      </c>
      <c r="G5" s="5" t="s">
        <v>19580</v>
      </c>
      <c r="H5" s="43" t="s">
        <v>19267</v>
      </c>
      <c r="I5" s="43" t="s">
        <v>36</v>
      </c>
      <c r="J5" s="44">
        <v>0.6666666666666666</v>
      </c>
      <c r="K5" s="44">
        <v>0.375</v>
      </c>
      <c r="L5" s="45" t="s">
        <v>36</v>
      </c>
      <c r="M5" s="45" t="s">
        <v>36</v>
      </c>
      <c r="N5" s="46" t="s">
        <v>36</v>
      </c>
      <c r="O5" s="46" t="s">
        <v>36</v>
      </c>
      <c r="P5" s="46" t="s">
        <v>36</v>
      </c>
      <c r="Q5" s="47" t="s">
        <v>35</v>
      </c>
      <c r="R5" s="47" t="s">
        <v>35</v>
      </c>
      <c r="S5" s="47" t="s">
        <v>35</v>
      </c>
      <c r="T5" s="48" t="s">
        <v>35</v>
      </c>
      <c r="U5" s="48" t="s">
        <v>36</v>
      </c>
      <c r="V5" s="48" t="s">
        <v>36</v>
      </c>
      <c r="W5" s="45" t="s">
        <v>36</v>
      </c>
      <c r="X5" s="5" t="s">
        <v>114</v>
      </c>
      <c r="Y5" s="5" t="s">
        <v>54</v>
      </c>
      <c r="Z5" s="5" t="s">
        <v>276</v>
      </c>
      <c r="AA5" s="5" t="s">
        <v>502</v>
      </c>
      <c r="AB5" s="5"/>
      <c r="AC5" s="5" t="s">
        <v>19581</v>
      </c>
      <c r="AD5" s="6">
        <v>2250.0</v>
      </c>
    </row>
    <row r="6" ht="56.25" customHeight="1">
      <c r="A6" s="6">
        <v>58.0</v>
      </c>
      <c r="B6" s="5" t="s">
        <v>19582</v>
      </c>
      <c r="C6" s="16" t="str">
        <f>IMAGE("https://i.imgur.com/j3F10on.png")</f>
        <v/>
      </c>
      <c r="D6" s="6" t="str">
        <f>IMAGE("https://storage.googleapis.com/acdb/fish/FtrFishIshidai.png")</f>
        <v/>
      </c>
      <c r="E6" s="6">
        <v>5000.0</v>
      </c>
      <c r="F6" s="5" t="s">
        <v>19569</v>
      </c>
      <c r="G6" s="5" t="s">
        <v>19583</v>
      </c>
      <c r="H6" s="5" t="s">
        <v>19236</v>
      </c>
      <c r="I6" s="5" t="s">
        <v>36</v>
      </c>
      <c r="J6" s="8" t="s">
        <v>19250</v>
      </c>
      <c r="K6" s="8" t="s">
        <v>19250</v>
      </c>
      <c r="L6" s="45" t="s">
        <v>36</v>
      </c>
      <c r="M6" s="45" t="s">
        <v>36</v>
      </c>
      <c r="N6" s="46" t="s">
        <v>35</v>
      </c>
      <c r="O6" s="46" t="s">
        <v>35</v>
      </c>
      <c r="P6" s="46" t="s">
        <v>35</v>
      </c>
      <c r="Q6" s="47" t="s">
        <v>35</v>
      </c>
      <c r="R6" s="47" t="s">
        <v>35</v>
      </c>
      <c r="S6" s="47" t="s">
        <v>35</v>
      </c>
      <c r="T6" s="48" t="s">
        <v>35</v>
      </c>
      <c r="U6" s="48" t="s">
        <v>35</v>
      </c>
      <c r="V6" s="48" t="s">
        <v>35</v>
      </c>
      <c r="W6" s="45" t="s">
        <v>36</v>
      </c>
      <c r="X6" s="5" t="s">
        <v>57</v>
      </c>
      <c r="Y6" s="5" t="s">
        <v>54</v>
      </c>
      <c r="Z6" s="5" t="s">
        <v>40</v>
      </c>
      <c r="AA6" s="5" t="s">
        <v>502</v>
      </c>
      <c r="AB6" s="5"/>
      <c r="AC6" s="5" t="s">
        <v>19584</v>
      </c>
      <c r="AD6" s="6">
        <v>2265.0</v>
      </c>
    </row>
    <row r="7" ht="56.25" customHeight="1">
      <c r="A7" s="6">
        <v>79.0</v>
      </c>
      <c r="B7" s="5" t="s">
        <v>19585</v>
      </c>
      <c r="C7" s="16" t="str">
        <f>IMAGE("https://i.imgur.com/UrND87z.png")</f>
        <v/>
      </c>
      <c r="D7" s="6" t="str">
        <f>IMAGE("https://storage.googleapis.com/acdb/fish/FtrFishDemenigisu.png")</f>
        <v/>
      </c>
      <c r="E7" s="6">
        <v>15000.0</v>
      </c>
      <c r="F7" s="5" t="s">
        <v>19569</v>
      </c>
      <c r="G7" s="5" t="s">
        <v>19570</v>
      </c>
      <c r="H7" s="43" t="s">
        <v>19323</v>
      </c>
      <c r="I7" s="43" t="s">
        <v>36</v>
      </c>
      <c r="J7" s="44">
        <v>0.875</v>
      </c>
      <c r="K7" s="44">
        <v>0.16666666666666666</v>
      </c>
      <c r="L7" s="45" t="s">
        <v>35</v>
      </c>
      <c r="M7" s="45" t="s">
        <v>35</v>
      </c>
      <c r="N7" s="46" t="s">
        <v>35</v>
      </c>
      <c r="O7" s="46" t="s">
        <v>35</v>
      </c>
      <c r="P7" s="46" t="s">
        <v>35</v>
      </c>
      <c r="Q7" s="47" t="s">
        <v>35</v>
      </c>
      <c r="R7" s="47" t="s">
        <v>35</v>
      </c>
      <c r="S7" s="47" t="s">
        <v>35</v>
      </c>
      <c r="T7" s="48" t="s">
        <v>35</v>
      </c>
      <c r="U7" s="48" t="s">
        <v>35</v>
      </c>
      <c r="V7" s="48" t="s">
        <v>35</v>
      </c>
      <c r="W7" s="45" t="s">
        <v>35</v>
      </c>
      <c r="X7" s="5" t="s">
        <v>54</v>
      </c>
      <c r="Y7" s="5" t="s">
        <v>54</v>
      </c>
      <c r="Z7" s="5" t="s">
        <v>40</v>
      </c>
      <c r="AA7" s="5" t="s">
        <v>502</v>
      </c>
      <c r="AB7" s="5"/>
      <c r="AC7" s="5" t="s">
        <v>19586</v>
      </c>
      <c r="AD7" s="6">
        <v>4204.0</v>
      </c>
    </row>
    <row r="8" ht="56.25" customHeight="1">
      <c r="A8" s="6">
        <v>37.0</v>
      </c>
      <c r="B8" s="5" t="s">
        <v>19587</v>
      </c>
      <c r="C8" s="16" t="str">
        <f>IMAGE("https://i.imgur.com/xkWsC8R.png")</f>
        <v/>
      </c>
      <c r="D8" s="6" t="str">
        <f>IMAGE("https://storage.googleapis.com/acdb/fish/FtrFishBeta.png")</f>
        <v/>
      </c>
      <c r="E8" s="6">
        <v>2500.0</v>
      </c>
      <c r="F8" s="5" t="s">
        <v>19574</v>
      </c>
      <c r="G8" s="5" t="s">
        <v>19570</v>
      </c>
      <c r="H8" s="43" t="s">
        <v>19236</v>
      </c>
      <c r="I8" s="43" t="s">
        <v>36</v>
      </c>
      <c r="J8" s="44">
        <v>0.375</v>
      </c>
      <c r="K8" s="44">
        <v>0.6666666666666666</v>
      </c>
      <c r="L8" s="45" t="s">
        <v>36</v>
      </c>
      <c r="M8" s="45" t="s">
        <v>36</v>
      </c>
      <c r="N8" s="46" t="s">
        <v>36</v>
      </c>
      <c r="O8" s="46" t="s">
        <v>36</v>
      </c>
      <c r="P8" s="46" t="s">
        <v>35</v>
      </c>
      <c r="Q8" s="47" t="s">
        <v>35</v>
      </c>
      <c r="R8" s="47" t="s">
        <v>35</v>
      </c>
      <c r="S8" s="47" t="s">
        <v>35</v>
      </c>
      <c r="T8" s="48" t="s">
        <v>35</v>
      </c>
      <c r="U8" s="48" t="s">
        <v>35</v>
      </c>
      <c r="V8" s="48" t="s">
        <v>36</v>
      </c>
      <c r="W8" s="45" t="s">
        <v>36</v>
      </c>
      <c r="X8" s="5" t="s">
        <v>83</v>
      </c>
      <c r="Y8" s="5" t="s">
        <v>54</v>
      </c>
      <c r="Z8" s="5" t="s">
        <v>40</v>
      </c>
      <c r="AA8" s="5" t="s">
        <v>502</v>
      </c>
      <c r="AB8" s="5"/>
      <c r="AC8" s="5" t="s">
        <v>19588</v>
      </c>
      <c r="AD8" s="6">
        <v>4191.0</v>
      </c>
    </row>
    <row r="9" ht="56.25" customHeight="1">
      <c r="A9" s="6">
        <v>1.0</v>
      </c>
      <c r="B9" s="5" t="s">
        <v>19589</v>
      </c>
      <c r="C9" s="16" t="str">
        <f>IMAGE("https://i.imgur.com/5kPcE5G.png")</f>
        <v/>
      </c>
      <c r="D9" s="6" t="str">
        <f>IMAGE("https://storage.googleapis.com/acdb/fish/FtrFishTanago.png")</f>
        <v/>
      </c>
      <c r="E9" s="6">
        <v>900.0</v>
      </c>
      <c r="F9" s="5" t="s">
        <v>19574</v>
      </c>
      <c r="G9" s="5" t="s">
        <v>19590</v>
      </c>
      <c r="H9" s="5" t="s">
        <v>19249</v>
      </c>
      <c r="I9" s="5" t="s">
        <v>36</v>
      </c>
      <c r="J9" s="8" t="s">
        <v>19250</v>
      </c>
      <c r="K9" s="8" t="s">
        <v>19250</v>
      </c>
      <c r="L9" s="45" t="s">
        <v>35</v>
      </c>
      <c r="M9" s="45" t="s">
        <v>35</v>
      </c>
      <c r="N9" s="46" t="s">
        <v>35</v>
      </c>
      <c r="O9" s="46" t="s">
        <v>36</v>
      </c>
      <c r="P9" s="46" t="s">
        <v>36</v>
      </c>
      <c r="Q9" s="47" t="s">
        <v>36</v>
      </c>
      <c r="R9" s="47" t="s">
        <v>36</v>
      </c>
      <c r="S9" s="47" t="s">
        <v>36</v>
      </c>
      <c r="T9" s="48" t="s">
        <v>36</v>
      </c>
      <c r="U9" s="48" t="s">
        <v>36</v>
      </c>
      <c r="V9" s="48" t="s">
        <v>35</v>
      </c>
      <c r="W9" s="45" t="s">
        <v>35</v>
      </c>
      <c r="X9" s="5" t="s">
        <v>83</v>
      </c>
      <c r="Y9" s="5" t="s">
        <v>68</v>
      </c>
      <c r="Z9" s="5" t="s">
        <v>40</v>
      </c>
      <c r="AA9" s="5" t="s">
        <v>47</v>
      </c>
      <c r="AB9" s="5"/>
      <c r="AC9" s="5" t="s">
        <v>19591</v>
      </c>
      <c r="AD9" s="6">
        <v>2215.0</v>
      </c>
    </row>
    <row r="10" ht="56.25" customHeight="1">
      <c r="A10" s="6">
        <v>22.0</v>
      </c>
      <c r="B10" s="5" t="s">
        <v>19593</v>
      </c>
      <c r="C10" s="16" t="str">
        <f>IMAGE("https://i.imgur.com/UiZq65j.png")</f>
        <v/>
      </c>
      <c r="D10" s="6" t="str">
        <f>IMAGE("https://storage.googleapis.com/acdb/fish/FtrFishBlackbass.png")</f>
        <v/>
      </c>
      <c r="E10" s="6">
        <v>400.0</v>
      </c>
      <c r="F10" s="5" t="s">
        <v>19574</v>
      </c>
      <c r="G10" s="5" t="s">
        <v>19580</v>
      </c>
      <c r="H10" s="5" t="s">
        <v>19249</v>
      </c>
      <c r="I10" s="5" t="s">
        <v>36</v>
      </c>
      <c r="J10" s="8" t="s">
        <v>19250</v>
      </c>
      <c r="K10" s="8" t="s">
        <v>19250</v>
      </c>
      <c r="L10" s="45" t="s">
        <v>35</v>
      </c>
      <c r="M10" s="45" t="s">
        <v>35</v>
      </c>
      <c r="N10" s="46" t="s">
        <v>35</v>
      </c>
      <c r="O10" s="46" t="s">
        <v>35</v>
      </c>
      <c r="P10" s="46" t="s">
        <v>35</v>
      </c>
      <c r="Q10" s="47" t="s">
        <v>35</v>
      </c>
      <c r="R10" s="47" t="s">
        <v>35</v>
      </c>
      <c r="S10" s="47" t="s">
        <v>35</v>
      </c>
      <c r="T10" s="48" t="s">
        <v>35</v>
      </c>
      <c r="U10" s="48" t="s">
        <v>35</v>
      </c>
      <c r="V10" s="48" t="s">
        <v>35</v>
      </c>
      <c r="W10" s="45" t="s">
        <v>35</v>
      </c>
      <c r="X10" s="5" t="s">
        <v>96</v>
      </c>
      <c r="Y10" s="5" t="s">
        <v>54</v>
      </c>
      <c r="Z10" s="5" t="s">
        <v>40</v>
      </c>
      <c r="AA10" s="5" t="s">
        <v>502</v>
      </c>
      <c r="AB10" s="5"/>
      <c r="AC10" s="5" t="s">
        <v>19594</v>
      </c>
      <c r="AD10" s="6">
        <v>2234.0</v>
      </c>
    </row>
    <row r="11" ht="56.25" customHeight="1">
      <c r="A11" s="6">
        <v>54.0</v>
      </c>
      <c r="B11" s="5" t="s">
        <v>19595</v>
      </c>
      <c r="C11" s="16" t="str">
        <f>IMAGE("https://i.imgur.com/hHQizMa.png")</f>
        <v/>
      </c>
      <c r="D11" s="6" t="str">
        <f>IMAGE("https://storage.googleapis.com/acdb/fish/FtrFishFugu.png")</f>
        <v/>
      </c>
      <c r="E11" s="6">
        <v>5000.0</v>
      </c>
      <c r="F11" s="5" t="s">
        <v>19569</v>
      </c>
      <c r="G11" s="5" t="s">
        <v>19583</v>
      </c>
      <c r="H11" s="43" t="s">
        <v>19236</v>
      </c>
      <c r="I11" s="43" t="s">
        <v>36</v>
      </c>
      <c r="J11" s="44">
        <v>0.875</v>
      </c>
      <c r="K11" s="44">
        <v>0.20833333333333334</v>
      </c>
      <c r="L11" s="45" t="s">
        <v>35</v>
      </c>
      <c r="M11" s="45" t="s">
        <v>35</v>
      </c>
      <c r="N11" s="46" t="s">
        <v>36</v>
      </c>
      <c r="O11" s="46" t="s">
        <v>36</v>
      </c>
      <c r="P11" s="46" t="s">
        <v>36</v>
      </c>
      <c r="Q11" s="47" t="s">
        <v>36</v>
      </c>
      <c r="R11" s="47" t="s">
        <v>36</v>
      </c>
      <c r="S11" s="47" t="s">
        <v>36</v>
      </c>
      <c r="T11" s="48" t="s">
        <v>36</v>
      </c>
      <c r="U11" s="48" t="s">
        <v>36</v>
      </c>
      <c r="V11" s="48" t="s">
        <v>35</v>
      </c>
      <c r="W11" s="45" t="s">
        <v>35</v>
      </c>
      <c r="X11" s="5" t="s">
        <v>38</v>
      </c>
      <c r="Y11" s="5" t="s">
        <v>54</v>
      </c>
      <c r="Z11" s="5" t="s">
        <v>40</v>
      </c>
      <c r="AA11" s="5" t="s">
        <v>502</v>
      </c>
      <c r="AB11" s="5"/>
      <c r="AC11" s="5" t="s">
        <v>19596</v>
      </c>
      <c r="AD11" s="6">
        <v>2262.0</v>
      </c>
    </row>
    <row r="12" ht="56.25" customHeight="1">
      <c r="A12" s="6">
        <v>67.0</v>
      </c>
      <c r="B12" s="5" t="s">
        <v>19597</v>
      </c>
      <c r="C12" s="16" t="str">
        <f>IMAGE("https://i.imgur.com/Qp7mSMV.png")</f>
        <v/>
      </c>
      <c r="D12" s="6" t="str">
        <f>IMAGE("https://storage.googleapis.com/acdb/fish/FtrFishKajiki.png")</f>
        <v/>
      </c>
      <c r="E12" s="6">
        <v>10000.0</v>
      </c>
      <c r="F12" s="5" t="s">
        <v>19598</v>
      </c>
      <c r="G12" s="5" t="s">
        <v>19577</v>
      </c>
      <c r="H12" s="5" t="s">
        <v>19267</v>
      </c>
      <c r="I12" s="5" t="s">
        <v>35</v>
      </c>
      <c r="J12" s="8" t="s">
        <v>19250</v>
      </c>
      <c r="K12" s="8" t="s">
        <v>19250</v>
      </c>
      <c r="L12" s="45" t="s">
        <v>35</v>
      </c>
      <c r="M12" s="45" t="s">
        <v>35</v>
      </c>
      <c r="N12" s="46" t="s">
        <v>35</v>
      </c>
      <c r="O12" s="46" t="s">
        <v>35</v>
      </c>
      <c r="P12" s="46" t="s">
        <v>36</v>
      </c>
      <c r="Q12" s="47" t="s">
        <v>36</v>
      </c>
      <c r="R12" s="47" t="s">
        <v>35</v>
      </c>
      <c r="S12" s="47" t="s">
        <v>35</v>
      </c>
      <c r="T12" s="48" t="s">
        <v>35</v>
      </c>
      <c r="U12" s="48" t="s">
        <v>36</v>
      </c>
      <c r="V12" s="48" t="s">
        <v>35</v>
      </c>
      <c r="W12" s="45" t="s">
        <v>35</v>
      </c>
      <c r="X12" s="5" t="s">
        <v>68</v>
      </c>
      <c r="Y12" s="5" t="s">
        <v>54</v>
      </c>
      <c r="Z12" s="5" t="s">
        <v>276</v>
      </c>
      <c r="AA12" s="5" t="s">
        <v>502</v>
      </c>
      <c r="AB12" s="5"/>
      <c r="AC12" s="5" t="s">
        <v>19599</v>
      </c>
      <c r="AD12" s="6">
        <v>2275.0</v>
      </c>
    </row>
    <row r="13" ht="56.25" customHeight="1">
      <c r="A13" s="6">
        <v>20.0</v>
      </c>
      <c r="B13" s="5" t="s">
        <v>19600</v>
      </c>
      <c r="C13" s="16" t="str">
        <f>IMAGE("https://i.imgur.com/eWMRFaI.png")</f>
        <v/>
      </c>
      <c r="D13" s="6" t="str">
        <f>IMAGE("https://storage.googleapis.com/acdb/fish/FtrFishBlueguill.png")</f>
        <v/>
      </c>
      <c r="E13" s="6">
        <v>180.0</v>
      </c>
      <c r="F13" s="5" t="s">
        <v>19574</v>
      </c>
      <c r="G13" s="5" t="s">
        <v>19570</v>
      </c>
      <c r="H13" s="43" t="s">
        <v>19249</v>
      </c>
      <c r="I13" s="43" t="s">
        <v>36</v>
      </c>
      <c r="J13" s="44">
        <v>0.375</v>
      </c>
      <c r="K13" s="44">
        <v>0.6666666666666666</v>
      </c>
      <c r="L13" s="45" t="s">
        <v>35</v>
      </c>
      <c r="M13" s="45" t="s">
        <v>35</v>
      </c>
      <c r="N13" s="46" t="s">
        <v>35</v>
      </c>
      <c r="O13" s="46" t="s">
        <v>35</v>
      </c>
      <c r="P13" s="46" t="s">
        <v>35</v>
      </c>
      <c r="Q13" s="47" t="s">
        <v>35</v>
      </c>
      <c r="R13" s="47" t="s">
        <v>35</v>
      </c>
      <c r="S13" s="47" t="s">
        <v>35</v>
      </c>
      <c r="T13" s="48" t="s">
        <v>35</v>
      </c>
      <c r="U13" s="48" t="s">
        <v>35</v>
      </c>
      <c r="V13" s="48" t="s">
        <v>35</v>
      </c>
      <c r="W13" s="45" t="s">
        <v>35</v>
      </c>
      <c r="X13" s="5" t="s">
        <v>68</v>
      </c>
      <c r="Y13" s="5" t="s">
        <v>54</v>
      </c>
      <c r="Z13" s="5" t="s">
        <v>40</v>
      </c>
      <c r="AA13" s="5" t="s">
        <v>47</v>
      </c>
      <c r="AB13" s="5"/>
      <c r="AC13" s="5" t="s">
        <v>19601</v>
      </c>
      <c r="AD13" s="6">
        <v>2232.0</v>
      </c>
    </row>
    <row r="14" ht="56.25" customHeight="1">
      <c r="A14" s="6">
        <v>51.0</v>
      </c>
      <c r="B14" s="5" t="s">
        <v>19602</v>
      </c>
      <c r="C14" s="16" t="str">
        <f>IMAGE("https://i.imgur.com/0JvzKTY.png")</f>
        <v/>
      </c>
      <c r="D14" s="6" t="str">
        <f>IMAGE("https://storage.googleapis.com/acdb/fish/FtrFishChouchouuo.png")</f>
        <v/>
      </c>
      <c r="E14" s="6">
        <v>1000.0</v>
      </c>
      <c r="F14" s="5" t="s">
        <v>19569</v>
      </c>
      <c r="G14" s="5" t="s">
        <v>19570</v>
      </c>
      <c r="H14" s="5" t="s">
        <v>19249</v>
      </c>
      <c r="I14" s="5" t="s">
        <v>36</v>
      </c>
      <c r="J14" s="8" t="s">
        <v>19250</v>
      </c>
      <c r="K14" s="8" t="s">
        <v>19250</v>
      </c>
      <c r="L14" s="45" t="s">
        <v>36</v>
      </c>
      <c r="M14" s="45" t="s">
        <v>36</v>
      </c>
      <c r="N14" s="46" t="s">
        <v>36</v>
      </c>
      <c r="O14" s="46" t="s">
        <v>35</v>
      </c>
      <c r="P14" s="46" t="s">
        <v>35</v>
      </c>
      <c r="Q14" s="47" t="s">
        <v>35</v>
      </c>
      <c r="R14" s="47" t="s">
        <v>35</v>
      </c>
      <c r="S14" s="47" t="s">
        <v>35</v>
      </c>
      <c r="T14" s="48" t="s">
        <v>35</v>
      </c>
      <c r="U14" s="48" t="s">
        <v>36</v>
      </c>
      <c r="V14" s="48" t="s">
        <v>36</v>
      </c>
      <c r="W14" s="45" t="s">
        <v>36</v>
      </c>
      <c r="X14" s="5" t="s">
        <v>114</v>
      </c>
      <c r="Y14" s="5" t="s">
        <v>54</v>
      </c>
      <c r="Z14" s="5" t="s">
        <v>40</v>
      </c>
      <c r="AA14" s="5" t="s">
        <v>502</v>
      </c>
      <c r="AB14" s="5"/>
      <c r="AC14" s="5" t="s">
        <v>19603</v>
      </c>
      <c r="AD14" s="6">
        <v>2259.0</v>
      </c>
    </row>
    <row r="15" ht="56.25" customHeight="1">
      <c r="A15" s="6">
        <v>5.0</v>
      </c>
      <c r="B15" s="5" t="s">
        <v>19604</v>
      </c>
      <c r="C15" s="16" t="str">
        <f>IMAGE("https://i.imgur.com/RaAEvYR.png")</f>
        <v/>
      </c>
      <c r="D15" s="6" t="str">
        <f>IMAGE("https://storage.googleapis.com/acdb/fish/FtrFishKoi.png")</f>
        <v/>
      </c>
      <c r="E15" s="6">
        <v>300.0</v>
      </c>
      <c r="F15" s="5" t="s">
        <v>19605</v>
      </c>
      <c r="G15" s="5" t="s">
        <v>19580</v>
      </c>
      <c r="H15" s="5" t="s">
        <v>19249</v>
      </c>
      <c r="I15" s="5" t="s">
        <v>36</v>
      </c>
      <c r="J15" s="8" t="s">
        <v>19250</v>
      </c>
      <c r="K15" s="8" t="s">
        <v>19250</v>
      </c>
      <c r="L15" s="45" t="s">
        <v>35</v>
      </c>
      <c r="M15" s="45" t="s">
        <v>35</v>
      </c>
      <c r="N15" s="46" t="s">
        <v>35</v>
      </c>
      <c r="O15" s="46" t="s">
        <v>35</v>
      </c>
      <c r="P15" s="46" t="s">
        <v>35</v>
      </c>
      <c r="Q15" s="47" t="s">
        <v>35</v>
      </c>
      <c r="R15" s="47" t="s">
        <v>35</v>
      </c>
      <c r="S15" s="47" t="s">
        <v>35</v>
      </c>
      <c r="T15" s="48" t="s">
        <v>35</v>
      </c>
      <c r="U15" s="48" t="s">
        <v>35</v>
      </c>
      <c r="V15" s="48" t="s">
        <v>35</v>
      </c>
      <c r="W15" s="45" t="s">
        <v>35</v>
      </c>
      <c r="X15" s="5" t="s">
        <v>95</v>
      </c>
      <c r="Y15" s="5" t="s">
        <v>54</v>
      </c>
      <c r="Z15" s="5" t="s">
        <v>40</v>
      </c>
      <c r="AA15" s="5" t="s">
        <v>502</v>
      </c>
      <c r="AB15" s="5"/>
      <c r="AC15" s="5" t="s">
        <v>19606</v>
      </c>
      <c r="AD15" s="6">
        <v>2219.0</v>
      </c>
    </row>
    <row r="16" ht="56.25" customHeight="1">
      <c r="A16" s="6">
        <v>18.0</v>
      </c>
      <c r="B16" s="5" t="s">
        <v>19607</v>
      </c>
      <c r="C16" s="16" t="str">
        <f>IMAGE("https://i.imgur.com/aLIWoTl.png")</f>
        <v/>
      </c>
      <c r="D16" s="6" t="str">
        <f>IMAGE("https://storage.googleapis.com/acdb/fish/FtrFishNamazu.png")</f>
        <v/>
      </c>
      <c r="E16" s="6">
        <v>800.0</v>
      </c>
      <c r="F16" s="5" t="s">
        <v>19605</v>
      </c>
      <c r="G16" s="5" t="s">
        <v>19580</v>
      </c>
      <c r="H16" s="43" t="s">
        <v>19249</v>
      </c>
      <c r="I16" s="43" t="s">
        <v>36</v>
      </c>
      <c r="J16" s="44">
        <v>0.6666666666666666</v>
      </c>
      <c r="K16" s="44">
        <v>0.375</v>
      </c>
      <c r="L16" s="45" t="s">
        <v>36</v>
      </c>
      <c r="M16" s="45" t="s">
        <v>36</v>
      </c>
      <c r="N16" s="46" t="s">
        <v>36</v>
      </c>
      <c r="O16" s="46" t="s">
        <v>36</v>
      </c>
      <c r="P16" s="46" t="s">
        <v>35</v>
      </c>
      <c r="Q16" s="47" t="s">
        <v>35</v>
      </c>
      <c r="R16" s="47" t="s">
        <v>35</v>
      </c>
      <c r="S16" s="47" t="s">
        <v>35</v>
      </c>
      <c r="T16" s="48" t="s">
        <v>35</v>
      </c>
      <c r="U16" s="48" t="s">
        <v>35</v>
      </c>
      <c r="V16" s="48" t="s">
        <v>36</v>
      </c>
      <c r="W16" s="45" t="s">
        <v>36</v>
      </c>
      <c r="X16" s="5" t="s">
        <v>54</v>
      </c>
      <c r="Y16" s="5" t="s">
        <v>54</v>
      </c>
      <c r="Z16" s="5" t="s">
        <v>40</v>
      </c>
      <c r="AA16" s="5" t="s">
        <v>502</v>
      </c>
      <c r="AB16" s="5"/>
      <c r="AC16" s="5" t="s">
        <v>19608</v>
      </c>
      <c r="AD16" s="6">
        <v>2229.0</v>
      </c>
    </row>
    <row r="17" ht="56.25" customHeight="1">
      <c r="A17" s="6">
        <v>28.0</v>
      </c>
      <c r="B17" s="5" t="s">
        <v>19609</v>
      </c>
      <c r="C17" s="16" t="str">
        <f>IMAGE("https://i.imgur.com/9MclSeV.png")</f>
        <v/>
      </c>
      <c r="D17" s="6" t="str">
        <f>IMAGE("https://storage.googleapis.com/acdb/fish/FtrFishOoiwana.png")</f>
        <v/>
      </c>
      <c r="E17" s="6">
        <v>3800.0</v>
      </c>
      <c r="F17" s="5" t="s">
        <v>19610</v>
      </c>
      <c r="G17" s="5" t="s">
        <v>19583</v>
      </c>
      <c r="H17" s="43" t="s">
        <v>19236</v>
      </c>
      <c r="I17" s="43" t="s">
        <v>36</v>
      </c>
      <c r="J17" s="44">
        <v>0.6666666666666666</v>
      </c>
      <c r="K17" s="44">
        <v>0.375</v>
      </c>
      <c r="L17" s="45" t="s">
        <v>36</v>
      </c>
      <c r="M17" s="45" t="s">
        <v>36</v>
      </c>
      <c r="N17" s="46" t="s">
        <v>35</v>
      </c>
      <c r="O17" s="46" t="s">
        <v>35</v>
      </c>
      <c r="P17" s="46" t="s">
        <v>35</v>
      </c>
      <c r="Q17" s="47" t="s">
        <v>35</v>
      </c>
      <c r="R17" s="47" t="s">
        <v>36</v>
      </c>
      <c r="S17" s="47" t="s">
        <v>36</v>
      </c>
      <c r="T17" s="48" t="s">
        <v>35</v>
      </c>
      <c r="U17" s="48" t="s">
        <v>35</v>
      </c>
      <c r="V17" s="48" t="s">
        <v>35</v>
      </c>
      <c r="W17" s="45" t="s">
        <v>36</v>
      </c>
      <c r="X17" s="5" t="s">
        <v>39</v>
      </c>
      <c r="Y17" s="5" t="s">
        <v>54</v>
      </c>
      <c r="Z17" s="5" t="s">
        <v>40</v>
      </c>
      <c r="AA17" s="5" t="s">
        <v>502</v>
      </c>
      <c r="AB17" s="5"/>
      <c r="AC17" s="5" t="s">
        <v>19612</v>
      </c>
      <c r="AD17" s="6">
        <v>2239.0</v>
      </c>
    </row>
    <row r="18" ht="56.25" customHeight="1">
      <c r="A18" s="6">
        <v>27.0</v>
      </c>
      <c r="B18" s="5" t="s">
        <v>19613</v>
      </c>
      <c r="C18" s="16" t="str">
        <f>IMAGE("https://i.imgur.com/iH9LRo5.png")</f>
        <v/>
      </c>
      <c r="D18" s="6" t="str">
        <f>IMAGE("https://storage.googleapis.com/acdb/fish/FtrFishYamame.png")</f>
        <v/>
      </c>
      <c r="E18" s="6">
        <v>1000.0</v>
      </c>
      <c r="F18" s="5" t="s">
        <v>19610</v>
      </c>
      <c r="G18" s="5" t="s">
        <v>19583</v>
      </c>
      <c r="H18" s="43" t="s">
        <v>19249</v>
      </c>
      <c r="I18" s="43" t="s">
        <v>36</v>
      </c>
      <c r="J18" s="44">
        <v>0.6666666666666666</v>
      </c>
      <c r="K18" s="44">
        <v>0.375</v>
      </c>
      <c r="L18" s="45" t="s">
        <v>36</v>
      </c>
      <c r="M18" s="45" t="s">
        <v>36</v>
      </c>
      <c r="N18" s="46" t="s">
        <v>35</v>
      </c>
      <c r="O18" s="46" t="s">
        <v>35</v>
      </c>
      <c r="P18" s="46" t="s">
        <v>35</v>
      </c>
      <c r="Q18" s="47" t="s">
        <v>35</v>
      </c>
      <c r="R18" s="47" t="s">
        <v>36</v>
      </c>
      <c r="S18" s="47" t="s">
        <v>36</v>
      </c>
      <c r="T18" s="48" t="s">
        <v>35</v>
      </c>
      <c r="U18" s="48" t="s">
        <v>35</v>
      </c>
      <c r="V18" s="48" t="s">
        <v>35</v>
      </c>
      <c r="W18" s="45" t="s">
        <v>36</v>
      </c>
      <c r="X18" s="5" t="s">
        <v>39</v>
      </c>
      <c r="Y18" s="5" t="s">
        <v>54</v>
      </c>
      <c r="Z18" s="5" t="s">
        <v>40</v>
      </c>
      <c r="AA18" s="5" t="s">
        <v>502</v>
      </c>
      <c r="AB18" s="5"/>
      <c r="AC18" s="5" t="s">
        <v>19614</v>
      </c>
      <c r="AD18" s="6">
        <v>2238.0</v>
      </c>
    </row>
    <row r="19" ht="56.25" customHeight="1">
      <c r="A19" s="6">
        <v>49.0</v>
      </c>
      <c r="B19" s="5" t="s">
        <v>19615</v>
      </c>
      <c r="C19" s="16" t="str">
        <f>IMAGE("https://i.imgur.com/Cyc7wRe.png")</f>
        <v/>
      </c>
      <c r="D19" s="6" t="str">
        <f>IMAGE("https://storage.googleapis.com/acdb/fish/FtrFishKumanomi.png")</f>
        <v/>
      </c>
      <c r="E19" s="6">
        <v>650.0</v>
      </c>
      <c r="F19" s="5" t="s">
        <v>19569</v>
      </c>
      <c r="G19" s="5" t="s">
        <v>19590</v>
      </c>
      <c r="H19" s="5" t="s">
        <v>19249</v>
      </c>
      <c r="I19" s="5" t="s">
        <v>36</v>
      </c>
      <c r="J19" s="8" t="s">
        <v>19250</v>
      </c>
      <c r="K19" s="8" t="s">
        <v>19250</v>
      </c>
      <c r="L19" s="45" t="s">
        <v>36</v>
      </c>
      <c r="M19" s="45" t="s">
        <v>36</v>
      </c>
      <c r="N19" s="46" t="s">
        <v>36</v>
      </c>
      <c r="O19" s="46" t="s">
        <v>35</v>
      </c>
      <c r="P19" s="46" t="s">
        <v>35</v>
      </c>
      <c r="Q19" s="47" t="s">
        <v>35</v>
      </c>
      <c r="R19" s="47" t="s">
        <v>35</v>
      </c>
      <c r="S19" s="47" t="s">
        <v>35</v>
      </c>
      <c r="T19" s="48" t="s">
        <v>35</v>
      </c>
      <c r="U19" s="48" t="s">
        <v>36</v>
      </c>
      <c r="V19" s="48" t="s">
        <v>36</v>
      </c>
      <c r="W19" s="45" t="s">
        <v>36</v>
      </c>
      <c r="X19" s="5" t="s">
        <v>142</v>
      </c>
      <c r="Y19" s="5" t="s">
        <v>54</v>
      </c>
      <c r="Z19" s="5" t="s">
        <v>40</v>
      </c>
      <c r="AA19" s="5" t="s">
        <v>502</v>
      </c>
      <c r="AB19" s="5"/>
      <c r="AC19" s="5" t="s">
        <v>19617</v>
      </c>
      <c r="AD19" s="6">
        <v>2257.0</v>
      </c>
    </row>
    <row r="20" ht="56.25" customHeight="1">
      <c r="A20" s="6">
        <v>80.0</v>
      </c>
      <c r="B20" s="5" t="s">
        <v>19618</v>
      </c>
      <c r="C20" s="16" t="str">
        <f>IMAGE("https://i.imgur.com/ver2Adw.png")</f>
        <v/>
      </c>
      <c r="D20" s="6" t="str">
        <f>IMAGE("https://storage.googleapis.com/acdb/fish/FtrFishSirakansu.png")</f>
        <v/>
      </c>
      <c r="E20" s="6">
        <v>15000.0</v>
      </c>
      <c r="F20" s="5" t="s">
        <v>19620</v>
      </c>
      <c r="G20" s="5" t="s">
        <v>19577</v>
      </c>
      <c r="H20" s="5" t="s">
        <v>19323</v>
      </c>
      <c r="I20" s="5" t="s">
        <v>35</v>
      </c>
      <c r="J20" s="8" t="s">
        <v>19250</v>
      </c>
      <c r="K20" s="8" t="s">
        <v>19250</v>
      </c>
      <c r="L20" s="45" t="s">
        <v>35</v>
      </c>
      <c r="M20" s="45" t="s">
        <v>35</v>
      </c>
      <c r="N20" s="46" t="s">
        <v>35</v>
      </c>
      <c r="O20" s="46" t="s">
        <v>35</v>
      </c>
      <c r="P20" s="46" t="s">
        <v>35</v>
      </c>
      <c r="Q20" s="47" t="s">
        <v>35</v>
      </c>
      <c r="R20" s="47" t="s">
        <v>35</v>
      </c>
      <c r="S20" s="47" t="s">
        <v>35</v>
      </c>
      <c r="T20" s="48" t="s">
        <v>35</v>
      </c>
      <c r="U20" s="48" t="s">
        <v>35</v>
      </c>
      <c r="V20" s="48" t="s">
        <v>35</v>
      </c>
      <c r="W20" s="45" t="s">
        <v>35</v>
      </c>
      <c r="X20" s="5" t="s">
        <v>54</v>
      </c>
      <c r="Y20" s="5" t="s">
        <v>54</v>
      </c>
      <c r="Z20" s="5" t="s">
        <v>276</v>
      </c>
      <c r="AA20" s="5" t="s">
        <v>502</v>
      </c>
      <c r="AB20" s="5"/>
      <c r="AC20" s="5" t="s">
        <v>19621</v>
      </c>
      <c r="AD20" s="6">
        <v>2284.0</v>
      </c>
    </row>
    <row r="21" ht="56.25" customHeight="1">
      <c r="A21" s="6">
        <v>11.0</v>
      </c>
      <c r="B21" s="5" t="s">
        <v>19622</v>
      </c>
      <c r="C21" s="16" t="str">
        <f>IMAGE("https://i.imgur.com/0CBQNoz.png")</f>
        <v/>
      </c>
      <c r="D21" s="6" t="str">
        <f>IMAGE("https://storage.googleapis.com/acdb/fish/FtrFishZarigani.png")</f>
        <v/>
      </c>
      <c r="E21" s="6">
        <v>200.0</v>
      </c>
      <c r="F21" s="5" t="s">
        <v>19605</v>
      </c>
      <c r="G21" s="5" t="s">
        <v>19570</v>
      </c>
      <c r="H21" s="5" t="s">
        <v>19249</v>
      </c>
      <c r="I21" s="5" t="s">
        <v>36</v>
      </c>
      <c r="J21" s="8" t="s">
        <v>19250</v>
      </c>
      <c r="K21" s="8" t="s">
        <v>19250</v>
      </c>
      <c r="L21" s="45" t="s">
        <v>36</v>
      </c>
      <c r="M21" s="45" t="s">
        <v>36</v>
      </c>
      <c r="N21" s="46" t="s">
        <v>36</v>
      </c>
      <c r="O21" s="46" t="s">
        <v>35</v>
      </c>
      <c r="P21" s="46" t="s">
        <v>35</v>
      </c>
      <c r="Q21" s="47" t="s">
        <v>35</v>
      </c>
      <c r="R21" s="47" t="s">
        <v>35</v>
      </c>
      <c r="S21" s="47" t="s">
        <v>35</v>
      </c>
      <c r="T21" s="48" t="s">
        <v>35</v>
      </c>
      <c r="U21" s="48" t="s">
        <v>36</v>
      </c>
      <c r="V21" s="48" t="s">
        <v>36</v>
      </c>
      <c r="W21" s="45" t="s">
        <v>36</v>
      </c>
      <c r="X21" s="5" t="s">
        <v>52</v>
      </c>
      <c r="Y21" s="5" t="s">
        <v>54</v>
      </c>
      <c r="Z21" s="5" t="s">
        <v>40</v>
      </c>
      <c r="AA21" s="5" t="s">
        <v>502</v>
      </c>
      <c r="AB21" s="5"/>
      <c r="AC21" s="5" t="s">
        <v>19623</v>
      </c>
      <c r="AD21" s="6">
        <v>2223.0</v>
      </c>
    </row>
    <row r="22" ht="56.25" customHeight="1">
      <c r="A22" s="6">
        <v>3.0</v>
      </c>
      <c r="B22" s="5" t="s">
        <v>19624</v>
      </c>
      <c r="C22" s="16" t="str">
        <f>IMAGE("https://i.imgur.com/vm9H7bJ.png")</f>
        <v/>
      </c>
      <c r="D22" s="6" t="str">
        <f>IMAGE("https://storage.googleapis.com/acdb/fish/FtrFishFuna.png")</f>
        <v/>
      </c>
      <c r="E22" s="6">
        <v>160.0</v>
      </c>
      <c r="F22" s="5" t="s">
        <v>19574</v>
      </c>
      <c r="G22" s="5" t="s">
        <v>19570</v>
      </c>
      <c r="H22" s="5" t="s">
        <v>19249</v>
      </c>
      <c r="I22" s="5" t="s">
        <v>36</v>
      </c>
      <c r="J22" s="8" t="s">
        <v>19250</v>
      </c>
      <c r="K22" s="8" t="s">
        <v>19250</v>
      </c>
      <c r="L22" s="45" t="s">
        <v>35</v>
      </c>
      <c r="M22" s="45" t="s">
        <v>35</v>
      </c>
      <c r="N22" s="46" t="s">
        <v>35</v>
      </c>
      <c r="O22" s="46" t="s">
        <v>35</v>
      </c>
      <c r="P22" s="46" t="s">
        <v>35</v>
      </c>
      <c r="Q22" s="47" t="s">
        <v>35</v>
      </c>
      <c r="R22" s="47" t="s">
        <v>35</v>
      </c>
      <c r="S22" s="47" t="s">
        <v>35</v>
      </c>
      <c r="T22" s="48" t="s">
        <v>35</v>
      </c>
      <c r="U22" s="48" t="s">
        <v>35</v>
      </c>
      <c r="V22" s="48" t="s">
        <v>35</v>
      </c>
      <c r="W22" s="45" t="s">
        <v>35</v>
      </c>
      <c r="X22" s="5" t="s">
        <v>39</v>
      </c>
      <c r="Y22" s="5" t="s">
        <v>54</v>
      </c>
      <c r="Z22" s="5" t="s">
        <v>40</v>
      </c>
      <c r="AA22" s="5" t="s">
        <v>502</v>
      </c>
      <c r="AB22" s="5"/>
      <c r="AC22" s="5" t="s">
        <v>19625</v>
      </c>
      <c r="AD22" s="6">
        <v>328.0</v>
      </c>
    </row>
    <row r="23" ht="56.25" customHeight="1">
      <c r="A23" s="6">
        <v>61.0</v>
      </c>
      <c r="B23" s="5" t="s">
        <v>19626</v>
      </c>
      <c r="C23" s="16" t="str">
        <f>IMAGE("https://i.imgur.com/tLLN871.png")</f>
        <v/>
      </c>
      <c r="D23" s="6" t="str">
        <f>IMAGE("https://storage.googleapis.com/acdb/fish/FtrFishKarei.png")</f>
        <v/>
      </c>
      <c r="E23" s="6">
        <v>300.0</v>
      </c>
      <c r="F23" s="5" t="s">
        <v>19569</v>
      </c>
      <c r="G23" s="5" t="s">
        <v>19583</v>
      </c>
      <c r="H23" s="5" t="s">
        <v>19249</v>
      </c>
      <c r="I23" s="5" t="s">
        <v>36</v>
      </c>
      <c r="J23" s="8" t="s">
        <v>19250</v>
      </c>
      <c r="K23" s="8" t="s">
        <v>19250</v>
      </c>
      <c r="L23" s="45" t="s">
        <v>35</v>
      </c>
      <c r="M23" s="45" t="s">
        <v>35</v>
      </c>
      <c r="N23" s="46" t="s">
        <v>35</v>
      </c>
      <c r="O23" s="46" t="s">
        <v>35</v>
      </c>
      <c r="P23" s="46" t="s">
        <v>36</v>
      </c>
      <c r="Q23" s="47" t="s">
        <v>36</v>
      </c>
      <c r="R23" s="47" t="s">
        <v>36</v>
      </c>
      <c r="S23" s="47" t="s">
        <v>36</v>
      </c>
      <c r="T23" s="48" t="s">
        <v>36</v>
      </c>
      <c r="U23" s="48" t="s">
        <v>35</v>
      </c>
      <c r="V23" s="48" t="s">
        <v>35</v>
      </c>
      <c r="W23" s="45" t="s">
        <v>35</v>
      </c>
      <c r="X23" s="5" t="s">
        <v>39</v>
      </c>
      <c r="Y23" s="5" t="s">
        <v>54</v>
      </c>
      <c r="Z23" s="5" t="s">
        <v>40</v>
      </c>
      <c r="AA23" s="5" t="s">
        <v>502</v>
      </c>
      <c r="AB23" s="5"/>
      <c r="AC23" s="5" t="s">
        <v>19628</v>
      </c>
      <c r="AD23" s="6">
        <v>2268.0</v>
      </c>
    </row>
    <row r="24" ht="56.25" customHeight="1">
      <c r="A24" s="6">
        <v>4.0</v>
      </c>
      <c r="B24" s="5" t="s">
        <v>19629</v>
      </c>
      <c r="C24" s="16" t="str">
        <f>IMAGE("https://imgur.com/9FGVRxJ.png")</f>
        <v/>
      </c>
      <c r="D24" s="6" t="str">
        <f>IMAGE("https://storage.googleapis.com/acdb/fish/FtrFishUgui.png")</f>
        <v/>
      </c>
      <c r="E24" s="6">
        <v>240.0</v>
      </c>
      <c r="F24" s="5" t="s">
        <v>19574</v>
      </c>
      <c r="G24" s="5" t="s">
        <v>19583</v>
      </c>
      <c r="H24" s="43" t="s">
        <v>19249</v>
      </c>
      <c r="I24" s="43" t="s">
        <v>36</v>
      </c>
      <c r="J24" s="44">
        <v>0.6666666666666666</v>
      </c>
      <c r="K24" s="44">
        <v>0.375</v>
      </c>
      <c r="L24" s="45" t="s">
        <v>35</v>
      </c>
      <c r="M24" s="45" t="s">
        <v>35</v>
      </c>
      <c r="N24" s="46" t="s">
        <v>35</v>
      </c>
      <c r="O24" s="46" t="s">
        <v>35</v>
      </c>
      <c r="P24" s="46" t="s">
        <v>35</v>
      </c>
      <c r="Q24" s="47" t="s">
        <v>35</v>
      </c>
      <c r="R24" s="47" t="s">
        <v>35</v>
      </c>
      <c r="S24" s="47" t="s">
        <v>35</v>
      </c>
      <c r="T24" s="48" t="s">
        <v>35</v>
      </c>
      <c r="U24" s="48" t="s">
        <v>35</v>
      </c>
      <c r="V24" s="48" t="s">
        <v>35</v>
      </c>
      <c r="W24" s="45" t="s">
        <v>35</v>
      </c>
      <c r="X24" s="5" t="s">
        <v>39</v>
      </c>
      <c r="Y24" s="5" t="s">
        <v>54</v>
      </c>
      <c r="Z24" s="5" t="s">
        <v>40</v>
      </c>
      <c r="AA24" s="5" t="s">
        <v>502</v>
      </c>
      <c r="AB24" s="5"/>
      <c r="AC24" s="5" t="s">
        <v>19630</v>
      </c>
      <c r="AD24" s="6">
        <v>2217.0</v>
      </c>
    </row>
    <row r="25" ht="56.25" customHeight="1">
      <c r="A25" s="6">
        <v>42.0</v>
      </c>
      <c r="B25" s="5" t="s">
        <v>19631</v>
      </c>
      <c r="C25" s="16" t="str">
        <f>IMAGE("https://i.imgur.com/eqKLRy7.png")</f>
        <v/>
      </c>
      <c r="D25" s="6" t="str">
        <f>IMAGE("https://storage.googleapis.com/acdb/fish/FtrFishDolado.png")</f>
        <v/>
      </c>
      <c r="E25" s="6">
        <v>15000.0</v>
      </c>
      <c r="F25" s="5" t="s">
        <v>19574</v>
      </c>
      <c r="G25" s="5" t="s">
        <v>19632</v>
      </c>
      <c r="H25" s="43" t="s">
        <v>19323</v>
      </c>
      <c r="I25" s="43" t="s">
        <v>36</v>
      </c>
      <c r="J25" s="44">
        <v>0.16666666666666666</v>
      </c>
      <c r="K25" s="44">
        <v>0.875</v>
      </c>
      <c r="L25" s="45" t="s">
        <v>36</v>
      </c>
      <c r="M25" s="45" t="s">
        <v>36</v>
      </c>
      <c r="N25" s="46" t="s">
        <v>36</v>
      </c>
      <c r="O25" s="46" t="s">
        <v>36</v>
      </c>
      <c r="P25" s="46" t="s">
        <v>36</v>
      </c>
      <c r="Q25" s="47" t="s">
        <v>35</v>
      </c>
      <c r="R25" s="47" t="s">
        <v>35</v>
      </c>
      <c r="S25" s="47" t="s">
        <v>35</v>
      </c>
      <c r="T25" s="48" t="s">
        <v>35</v>
      </c>
      <c r="U25" s="48" t="s">
        <v>36</v>
      </c>
      <c r="V25" s="48" t="s">
        <v>36</v>
      </c>
      <c r="W25" s="45" t="s">
        <v>36</v>
      </c>
      <c r="X25" s="5" t="s">
        <v>114</v>
      </c>
      <c r="Y25" s="5" t="s">
        <v>54</v>
      </c>
      <c r="Z25" s="5" t="s">
        <v>276</v>
      </c>
      <c r="AA25" s="5" t="s">
        <v>502</v>
      </c>
      <c r="AB25" s="5"/>
      <c r="AC25" s="5" t="s">
        <v>19633</v>
      </c>
      <c r="AD25" s="6">
        <v>2251.0</v>
      </c>
    </row>
    <row r="26" ht="56.25" customHeight="1">
      <c r="A26" s="6">
        <v>77.0</v>
      </c>
      <c r="B26" s="5" t="s">
        <v>19634</v>
      </c>
      <c r="C26" s="16" t="str">
        <f>IMAGE("https://i.imgur.com/kLXlrsU.png")</f>
        <v/>
      </c>
      <c r="D26" s="6" t="str">
        <f>IMAGE("https://storage.googleapis.com/acdb/fish/FtrFishChouchinankou.png")</f>
        <v/>
      </c>
      <c r="E26" s="6">
        <v>2500.0</v>
      </c>
      <c r="F26" s="5" t="s">
        <v>19569</v>
      </c>
      <c r="G26" s="5" t="s">
        <v>19580</v>
      </c>
      <c r="H26" s="43" t="s">
        <v>19236</v>
      </c>
      <c r="I26" s="43" t="s">
        <v>36</v>
      </c>
      <c r="J26" s="44">
        <v>0.6666666666666666</v>
      </c>
      <c r="K26" s="44">
        <v>0.375</v>
      </c>
      <c r="L26" s="45" t="s">
        <v>35</v>
      </c>
      <c r="M26" s="45" t="s">
        <v>35</v>
      </c>
      <c r="N26" s="46" t="s">
        <v>35</v>
      </c>
      <c r="O26" s="46" t="s">
        <v>36</v>
      </c>
      <c r="P26" s="46" t="s">
        <v>36</v>
      </c>
      <c r="Q26" s="47" t="s">
        <v>36</v>
      </c>
      <c r="R26" s="47" t="s">
        <v>36</v>
      </c>
      <c r="S26" s="47" t="s">
        <v>36</v>
      </c>
      <c r="T26" s="48" t="s">
        <v>36</v>
      </c>
      <c r="U26" s="48" t="s">
        <v>36</v>
      </c>
      <c r="V26" s="48" t="s">
        <v>35</v>
      </c>
      <c r="W26" s="45" t="s">
        <v>35</v>
      </c>
      <c r="X26" s="5" t="s">
        <v>54</v>
      </c>
      <c r="Y26" s="5" t="s">
        <v>54</v>
      </c>
      <c r="Z26" s="5" t="s">
        <v>276</v>
      </c>
      <c r="AA26" s="5" t="s">
        <v>102</v>
      </c>
      <c r="AB26" s="5"/>
      <c r="AC26" s="5" t="s">
        <v>19635</v>
      </c>
      <c r="AD26" s="6">
        <v>2273.0</v>
      </c>
    </row>
    <row r="27" ht="56.25" customHeight="1">
      <c r="A27" s="6">
        <v>16.0</v>
      </c>
      <c r="B27" s="5" t="s">
        <v>19636</v>
      </c>
      <c r="C27" s="16" t="str">
        <f>IMAGE("https://i.imgur.com/j7kZT4I.png")</f>
        <v/>
      </c>
      <c r="D27" s="6" t="str">
        <f>IMAGE("https://storage.googleapis.com/acdb/fish/FtrFishDonko.png")</f>
        <v/>
      </c>
      <c r="E27" s="6">
        <v>400.0</v>
      </c>
      <c r="F27" s="5" t="s">
        <v>19574</v>
      </c>
      <c r="G27" s="5" t="s">
        <v>19570</v>
      </c>
      <c r="H27" s="43" t="s">
        <v>19249</v>
      </c>
      <c r="I27" s="43" t="s">
        <v>36</v>
      </c>
      <c r="J27" s="44">
        <v>0.6666666666666666</v>
      </c>
      <c r="K27" s="44">
        <v>0.375</v>
      </c>
      <c r="L27" s="45" t="s">
        <v>35</v>
      </c>
      <c r="M27" s="45" t="s">
        <v>35</v>
      </c>
      <c r="N27" s="46" t="s">
        <v>35</v>
      </c>
      <c r="O27" s="46" t="s">
        <v>35</v>
      </c>
      <c r="P27" s="46" t="s">
        <v>35</v>
      </c>
      <c r="Q27" s="47" t="s">
        <v>35</v>
      </c>
      <c r="R27" s="47" t="s">
        <v>35</v>
      </c>
      <c r="S27" s="47" t="s">
        <v>35</v>
      </c>
      <c r="T27" s="48" t="s">
        <v>35</v>
      </c>
      <c r="U27" s="48" t="s">
        <v>35</v>
      </c>
      <c r="V27" s="48" t="s">
        <v>35</v>
      </c>
      <c r="W27" s="45" t="s">
        <v>35</v>
      </c>
      <c r="X27" s="5" t="s">
        <v>39</v>
      </c>
      <c r="Y27" s="5" t="s">
        <v>54</v>
      </c>
      <c r="Z27" s="5" t="s">
        <v>40</v>
      </c>
      <c r="AA27" s="5" t="s">
        <v>502</v>
      </c>
      <c r="AB27" s="5"/>
      <c r="AC27" s="5" t="s">
        <v>19637</v>
      </c>
      <c r="AD27" s="6">
        <v>2227.0</v>
      </c>
    </row>
    <row r="28" ht="56.25" customHeight="1">
      <c r="A28" s="6">
        <v>15.0</v>
      </c>
      <c r="B28" s="5" t="s">
        <v>19638</v>
      </c>
      <c r="C28" s="16" t="str">
        <f>IMAGE("https://i.imgur.com/4s4OcoK.png")</f>
        <v/>
      </c>
      <c r="D28" s="6" t="str">
        <f>IMAGE("https://storage.googleapis.com/acdb/fish/FtrFishKaeru.png")</f>
        <v/>
      </c>
      <c r="E28" s="6">
        <v>120.0</v>
      </c>
      <c r="F28" s="5" t="s">
        <v>19605</v>
      </c>
      <c r="G28" s="5" t="s">
        <v>19570</v>
      </c>
      <c r="H28" s="5" t="s">
        <v>19249</v>
      </c>
      <c r="I28" s="5" t="s">
        <v>36</v>
      </c>
      <c r="J28" s="8" t="s">
        <v>19250</v>
      </c>
      <c r="K28" s="8" t="s">
        <v>19250</v>
      </c>
      <c r="L28" s="45" t="s">
        <v>36</v>
      </c>
      <c r="M28" s="45" t="s">
        <v>36</v>
      </c>
      <c r="N28" s="46" t="s">
        <v>36</v>
      </c>
      <c r="O28" s="46" t="s">
        <v>36</v>
      </c>
      <c r="P28" s="46" t="s">
        <v>35</v>
      </c>
      <c r="Q28" s="47" t="s">
        <v>35</v>
      </c>
      <c r="R28" s="47" t="s">
        <v>35</v>
      </c>
      <c r="S28" s="47" t="s">
        <v>35</v>
      </c>
      <c r="T28" s="48" t="s">
        <v>36</v>
      </c>
      <c r="U28" s="48" t="s">
        <v>36</v>
      </c>
      <c r="V28" s="48" t="s">
        <v>36</v>
      </c>
      <c r="W28" s="45" t="s">
        <v>36</v>
      </c>
      <c r="X28" s="5" t="s">
        <v>96</v>
      </c>
      <c r="Y28" s="5" t="s">
        <v>54</v>
      </c>
      <c r="Z28" s="5" t="s">
        <v>40</v>
      </c>
      <c r="AA28" s="5" t="s">
        <v>502</v>
      </c>
      <c r="AB28" s="5"/>
      <c r="AC28" s="5" t="s">
        <v>19639</v>
      </c>
      <c r="AD28" s="6">
        <v>2226.0</v>
      </c>
    </row>
    <row r="29" ht="56.25" customHeight="1">
      <c r="A29" s="6">
        <v>43.0</v>
      </c>
      <c r="B29" s="5" t="s">
        <v>19640</v>
      </c>
      <c r="C29" s="16" t="str">
        <f>IMAGE("https://i.imgur.com/YF5N0YS.png")</f>
        <v/>
      </c>
      <c r="D29" s="6" t="str">
        <f>IMAGE("https://storage.googleapis.com/acdb/fish/FtrFishGa.png")</f>
        <v/>
      </c>
      <c r="E29" s="6">
        <v>6000.0</v>
      </c>
      <c r="F29" s="5" t="s">
        <v>19605</v>
      </c>
      <c r="G29" s="5" t="s">
        <v>19632</v>
      </c>
      <c r="H29" s="43" t="s">
        <v>19267</v>
      </c>
      <c r="I29" s="43" t="s">
        <v>36</v>
      </c>
      <c r="J29" s="44">
        <v>0.6666666666666666</v>
      </c>
      <c r="K29" s="44">
        <v>0.375</v>
      </c>
      <c r="L29" s="45" t="s">
        <v>36</v>
      </c>
      <c r="M29" s="45" t="s">
        <v>36</v>
      </c>
      <c r="N29" s="46" t="s">
        <v>36</v>
      </c>
      <c r="O29" s="46" t="s">
        <v>36</v>
      </c>
      <c r="P29" s="46" t="s">
        <v>36</v>
      </c>
      <c r="Q29" s="47" t="s">
        <v>35</v>
      </c>
      <c r="R29" s="47" t="s">
        <v>35</v>
      </c>
      <c r="S29" s="47" t="s">
        <v>35</v>
      </c>
      <c r="T29" s="48" t="s">
        <v>35</v>
      </c>
      <c r="U29" s="48" t="s">
        <v>36</v>
      </c>
      <c r="V29" s="48" t="s">
        <v>36</v>
      </c>
      <c r="W29" s="45" t="s">
        <v>36</v>
      </c>
      <c r="X29" s="5" t="s">
        <v>39</v>
      </c>
      <c r="Y29" s="5" t="s">
        <v>54</v>
      </c>
      <c r="Z29" s="5" t="s">
        <v>276</v>
      </c>
      <c r="AA29" s="5" t="s">
        <v>502</v>
      </c>
      <c r="AB29" s="5"/>
      <c r="AC29" s="5" t="s">
        <v>19641</v>
      </c>
      <c r="AD29" s="6">
        <v>2252.0</v>
      </c>
    </row>
    <row r="30" ht="56.25" customHeight="1">
      <c r="A30" s="6">
        <v>19.0</v>
      </c>
      <c r="B30" s="5" t="s">
        <v>19642</v>
      </c>
      <c r="C30" s="16" t="str">
        <f>IMAGE("https://i.imgur.com/iwMiVDi.png")</f>
        <v/>
      </c>
      <c r="D30" s="6" t="str">
        <f>IMAGE("https://storage.googleapis.com/acdb/fish/FtrFishRaigyo.png")</f>
        <v/>
      </c>
      <c r="E30" s="6">
        <v>5500.0</v>
      </c>
      <c r="F30" s="5" t="s">
        <v>19605</v>
      </c>
      <c r="G30" s="5" t="s">
        <v>19580</v>
      </c>
      <c r="H30" s="43" t="s">
        <v>19267</v>
      </c>
      <c r="I30" s="43" t="s">
        <v>36</v>
      </c>
      <c r="J30" s="44">
        <v>0.375</v>
      </c>
      <c r="K30" s="44">
        <v>0.6666666666666666</v>
      </c>
      <c r="L30" s="45" t="s">
        <v>36</v>
      </c>
      <c r="M30" s="45" t="s">
        <v>36</v>
      </c>
      <c r="N30" s="46" t="s">
        <v>36</v>
      </c>
      <c r="O30" s="46" t="s">
        <v>36</v>
      </c>
      <c r="P30" s="46" t="s">
        <v>36</v>
      </c>
      <c r="Q30" s="47" t="s">
        <v>35</v>
      </c>
      <c r="R30" s="47" t="s">
        <v>35</v>
      </c>
      <c r="S30" s="47" t="s">
        <v>35</v>
      </c>
      <c r="T30" s="48" t="s">
        <v>36</v>
      </c>
      <c r="U30" s="48" t="s">
        <v>36</v>
      </c>
      <c r="V30" s="48" t="s">
        <v>36</v>
      </c>
      <c r="W30" s="45" t="s">
        <v>36</v>
      </c>
      <c r="X30" s="5" t="s">
        <v>54</v>
      </c>
      <c r="Y30" s="5" t="s">
        <v>54</v>
      </c>
      <c r="Z30" s="5" t="s">
        <v>276</v>
      </c>
      <c r="AA30" s="5" t="s">
        <v>502</v>
      </c>
      <c r="AB30" s="5"/>
      <c r="AC30" s="5" t="s">
        <v>19643</v>
      </c>
      <c r="AD30" s="6">
        <v>2231.0</v>
      </c>
    </row>
    <row r="31" ht="56.25" customHeight="1">
      <c r="A31" s="6">
        <v>68.0</v>
      </c>
      <c r="B31" s="5" t="s">
        <v>19644</v>
      </c>
      <c r="C31" s="16" t="str">
        <f>IMAGE("https://i.imgur.com/QQTaTjS.png")</f>
        <v/>
      </c>
      <c r="D31" s="6" t="str">
        <f>IMAGE("https://storage.googleapis.com/acdb/fish/FtrFishGT.png")</f>
        <v/>
      </c>
      <c r="E31" s="6">
        <v>4500.0</v>
      </c>
      <c r="F31" s="5" t="s">
        <v>19598</v>
      </c>
      <c r="G31" s="5" t="s">
        <v>19632</v>
      </c>
      <c r="H31" s="5" t="s">
        <v>19236</v>
      </c>
      <c r="I31" s="5" t="s">
        <v>36</v>
      </c>
      <c r="J31" s="8" t="s">
        <v>19250</v>
      </c>
      <c r="K31" s="8" t="s">
        <v>19250</v>
      </c>
      <c r="L31" s="45" t="s">
        <v>36</v>
      </c>
      <c r="M31" s="45" t="s">
        <v>36</v>
      </c>
      <c r="N31" s="46" t="s">
        <v>36</v>
      </c>
      <c r="O31" s="46" t="s">
        <v>36</v>
      </c>
      <c r="P31" s="46" t="s">
        <v>35</v>
      </c>
      <c r="Q31" s="47" t="s">
        <v>35</v>
      </c>
      <c r="R31" s="47" t="s">
        <v>35</v>
      </c>
      <c r="S31" s="47" t="s">
        <v>35</v>
      </c>
      <c r="T31" s="48" t="s">
        <v>35</v>
      </c>
      <c r="U31" s="48" t="s">
        <v>35</v>
      </c>
      <c r="V31" s="48" t="s">
        <v>36</v>
      </c>
      <c r="W31" s="45" t="s">
        <v>36</v>
      </c>
      <c r="X31" s="5" t="s">
        <v>54</v>
      </c>
      <c r="Y31" s="5" t="s">
        <v>54</v>
      </c>
      <c r="Z31" s="5" t="s">
        <v>276</v>
      </c>
      <c r="AA31" s="5" t="s">
        <v>502</v>
      </c>
      <c r="AB31" s="5"/>
      <c r="AC31" s="5" t="s">
        <v>19645</v>
      </c>
      <c r="AD31" s="6">
        <v>2276.0</v>
      </c>
    </row>
    <row r="32" ht="56.25" customHeight="1">
      <c r="A32" s="6">
        <v>29.0</v>
      </c>
      <c r="B32" s="5" t="s">
        <v>19646</v>
      </c>
      <c r="C32" s="16" t="str">
        <f>IMAGE("https://i.imgur.com/WprLFOn.png")</f>
        <v/>
      </c>
      <c r="D32" s="6" t="str">
        <f>IMAGE("https://storage.googleapis.com/acdb/fish/FtrFishGoldenTorauto.png")</f>
        <v/>
      </c>
      <c r="E32" s="6">
        <v>15000.0</v>
      </c>
      <c r="F32" s="5" t="s">
        <v>19610</v>
      </c>
      <c r="G32" s="5" t="s">
        <v>19583</v>
      </c>
      <c r="H32" s="43" t="s">
        <v>19323</v>
      </c>
      <c r="I32" s="43" t="s">
        <v>36</v>
      </c>
      <c r="J32" s="44">
        <v>0.6666666666666666</v>
      </c>
      <c r="K32" s="44">
        <v>0.375</v>
      </c>
      <c r="L32" s="45" t="s">
        <v>36</v>
      </c>
      <c r="M32" s="45" t="s">
        <v>36</v>
      </c>
      <c r="N32" s="46" t="s">
        <v>35</v>
      </c>
      <c r="O32" s="46" t="s">
        <v>35</v>
      </c>
      <c r="P32" s="46" t="s">
        <v>35</v>
      </c>
      <c r="Q32" s="47" t="s">
        <v>36</v>
      </c>
      <c r="R32" s="47" t="s">
        <v>36</v>
      </c>
      <c r="S32" s="47" t="s">
        <v>36</v>
      </c>
      <c r="T32" s="48" t="s">
        <v>35</v>
      </c>
      <c r="U32" s="48" t="s">
        <v>35</v>
      </c>
      <c r="V32" s="48" t="s">
        <v>35</v>
      </c>
      <c r="W32" s="45" t="s">
        <v>36</v>
      </c>
      <c r="X32" s="5" t="s">
        <v>39</v>
      </c>
      <c r="Y32" s="5" t="s">
        <v>54</v>
      </c>
      <c r="Z32" s="5" t="s">
        <v>40</v>
      </c>
      <c r="AA32" s="5" t="s">
        <v>502</v>
      </c>
      <c r="AB32" s="5"/>
      <c r="AC32" s="5" t="s">
        <v>19647</v>
      </c>
      <c r="AD32" s="6">
        <v>4193.0</v>
      </c>
    </row>
    <row r="33" ht="56.25" customHeight="1">
      <c r="A33" s="6">
        <v>7.0</v>
      </c>
      <c r="B33" s="5" t="s">
        <v>19648</v>
      </c>
      <c r="C33" s="16" t="str">
        <f>IMAGE("https://i.imgur.com/i0rqPYo.png")</f>
        <v/>
      </c>
      <c r="D33" s="6" t="str">
        <f>IMAGE("https://storage.googleapis.com/acdb/fish/FtrFishKingyo.png")</f>
        <v/>
      </c>
      <c r="E33" s="6">
        <v>1300.0</v>
      </c>
      <c r="F33" s="5" t="s">
        <v>19605</v>
      </c>
      <c r="G33" s="5" t="s">
        <v>19590</v>
      </c>
      <c r="H33" s="5" t="s">
        <v>19249</v>
      </c>
      <c r="I33" s="5" t="s">
        <v>36</v>
      </c>
      <c r="J33" s="8" t="s">
        <v>19250</v>
      </c>
      <c r="K33" s="8" t="s">
        <v>19250</v>
      </c>
      <c r="L33" s="45" t="s">
        <v>35</v>
      </c>
      <c r="M33" s="45" t="s">
        <v>35</v>
      </c>
      <c r="N33" s="46" t="s">
        <v>35</v>
      </c>
      <c r="O33" s="46" t="s">
        <v>35</v>
      </c>
      <c r="P33" s="46" t="s">
        <v>35</v>
      </c>
      <c r="Q33" s="47" t="s">
        <v>35</v>
      </c>
      <c r="R33" s="47" t="s">
        <v>35</v>
      </c>
      <c r="S33" s="47" t="s">
        <v>35</v>
      </c>
      <c r="T33" s="48" t="s">
        <v>35</v>
      </c>
      <c r="U33" s="48" t="s">
        <v>35</v>
      </c>
      <c r="V33" s="48" t="s">
        <v>35</v>
      </c>
      <c r="W33" s="45" t="s">
        <v>35</v>
      </c>
      <c r="X33" s="5" t="s">
        <v>52</v>
      </c>
      <c r="Y33" s="5" t="s">
        <v>83</v>
      </c>
      <c r="Z33" s="5" t="s">
        <v>40</v>
      </c>
      <c r="AA33" s="5" t="s">
        <v>47</v>
      </c>
      <c r="AB33" s="5"/>
      <c r="AC33" s="5" t="s">
        <v>19649</v>
      </c>
      <c r="AD33" s="6">
        <v>329.0</v>
      </c>
    </row>
    <row r="34" ht="56.25" customHeight="1">
      <c r="A34" s="6">
        <v>74.0</v>
      </c>
      <c r="B34" s="5" t="s">
        <v>19650</v>
      </c>
      <c r="C34" s="16" t="str">
        <f>IMAGE("https://i.imgur.com/ryN4VnR.png")</f>
        <v/>
      </c>
      <c r="D34" s="6" t="str">
        <f>IMAGE("https://storage.googleapis.com/acdb/fish/FtrFishSame.png")</f>
        <v/>
      </c>
      <c r="E34" s="6">
        <v>15000.0</v>
      </c>
      <c r="F34" s="5" t="s">
        <v>19569</v>
      </c>
      <c r="G34" s="5" t="s">
        <v>19651</v>
      </c>
      <c r="H34" s="43" t="s">
        <v>19267</v>
      </c>
      <c r="I34" s="43" t="s">
        <v>35</v>
      </c>
      <c r="J34" s="44">
        <v>0.6666666666666666</v>
      </c>
      <c r="K34" s="44">
        <v>0.375</v>
      </c>
      <c r="L34" s="45" t="s">
        <v>36</v>
      </c>
      <c r="M34" s="45" t="s">
        <v>36</v>
      </c>
      <c r="N34" s="46" t="s">
        <v>36</v>
      </c>
      <c r="O34" s="46" t="s">
        <v>36</v>
      </c>
      <c r="P34" s="46" t="s">
        <v>36</v>
      </c>
      <c r="Q34" s="47" t="s">
        <v>35</v>
      </c>
      <c r="R34" s="47" t="s">
        <v>35</v>
      </c>
      <c r="S34" s="47" t="s">
        <v>35</v>
      </c>
      <c r="T34" s="48" t="s">
        <v>35</v>
      </c>
      <c r="U34" s="48" t="s">
        <v>36</v>
      </c>
      <c r="V34" s="48" t="s">
        <v>36</v>
      </c>
      <c r="W34" s="45" t="s">
        <v>36</v>
      </c>
      <c r="X34" s="5" t="s">
        <v>68</v>
      </c>
      <c r="Y34" s="5" t="s">
        <v>68</v>
      </c>
      <c r="Z34" s="5" t="s">
        <v>11558</v>
      </c>
      <c r="AA34" s="5" t="s">
        <v>47</v>
      </c>
      <c r="AB34" s="5"/>
      <c r="AC34" s="5" t="s">
        <v>19652</v>
      </c>
      <c r="AD34" s="6">
        <v>2280.0</v>
      </c>
    </row>
    <row r="35" ht="56.25" customHeight="1">
      <c r="A35" s="6">
        <v>34.0</v>
      </c>
      <c r="B35" s="5" t="s">
        <v>19653</v>
      </c>
      <c r="C35" s="16" t="str">
        <f>IMAGE("https://i.imgur.com/ySTFt4E.png")</f>
        <v/>
      </c>
      <c r="D35" s="6" t="str">
        <f>IMAGE("https://storage.googleapis.com/acdb/fish/FtrFishGuppi.png")</f>
        <v/>
      </c>
      <c r="E35" s="6">
        <v>1300.0</v>
      </c>
      <c r="F35" s="5" t="s">
        <v>19574</v>
      </c>
      <c r="G35" s="5" t="s">
        <v>19590</v>
      </c>
      <c r="H35" s="43" t="s">
        <v>19249</v>
      </c>
      <c r="I35" s="43" t="s">
        <v>36</v>
      </c>
      <c r="J35" s="44">
        <v>0.375</v>
      </c>
      <c r="K35" s="44">
        <v>0.6666666666666666</v>
      </c>
      <c r="L35" s="45" t="s">
        <v>36</v>
      </c>
      <c r="M35" s="45" t="s">
        <v>36</v>
      </c>
      <c r="N35" s="46" t="s">
        <v>36</v>
      </c>
      <c r="O35" s="46" t="s">
        <v>35</v>
      </c>
      <c r="P35" s="46" t="s">
        <v>35</v>
      </c>
      <c r="Q35" s="47" t="s">
        <v>35</v>
      </c>
      <c r="R35" s="47" t="s">
        <v>35</v>
      </c>
      <c r="S35" s="47" t="s">
        <v>35</v>
      </c>
      <c r="T35" s="48" t="s">
        <v>35</v>
      </c>
      <c r="U35" s="48" t="s">
        <v>35</v>
      </c>
      <c r="V35" s="48" t="s">
        <v>35</v>
      </c>
      <c r="W35" s="45" t="s">
        <v>36</v>
      </c>
      <c r="X35" s="5" t="s">
        <v>68</v>
      </c>
      <c r="Y35" s="5" t="s">
        <v>54</v>
      </c>
      <c r="Z35" s="5" t="s">
        <v>40</v>
      </c>
      <c r="AA35" s="5" t="s">
        <v>502</v>
      </c>
      <c r="AB35" s="5"/>
      <c r="AC35" s="5" t="s">
        <v>19655</v>
      </c>
      <c r="AD35" s="6">
        <v>2245.0</v>
      </c>
    </row>
    <row r="36" ht="56.25" customHeight="1">
      <c r="A36" s="6">
        <v>73.0</v>
      </c>
      <c r="B36" s="5" t="s">
        <v>19656</v>
      </c>
      <c r="C36" s="16" t="str">
        <f>IMAGE("https://i.imgur.com/QrrFojq.png")</f>
        <v/>
      </c>
      <c r="D36" s="6" t="str">
        <f>IMAGE("https://storage.googleapis.com/acdb/fish/FtrFishShumokuzame.png")</f>
        <v/>
      </c>
      <c r="E36" s="6">
        <v>8000.0</v>
      </c>
      <c r="F36" s="5" t="s">
        <v>19569</v>
      </c>
      <c r="G36" s="5" t="s">
        <v>19651</v>
      </c>
      <c r="H36" s="43" t="s">
        <v>19236</v>
      </c>
      <c r="I36" s="43" t="s">
        <v>35</v>
      </c>
      <c r="J36" s="44">
        <v>0.6666666666666666</v>
      </c>
      <c r="K36" s="44">
        <v>0.375</v>
      </c>
      <c r="L36" s="45" t="s">
        <v>36</v>
      </c>
      <c r="M36" s="45" t="s">
        <v>36</v>
      </c>
      <c r="N36" s="46" t="s">
        <v>36</v>
      </c>
      <c r="O36" s="46" t="s">
        <v>36</v>
      </c>
      <c r="P36" s="46" t="s">
        <v>36</v>
      </c>
      <c r="Q36" s="47" t="s">
        <v>35</v>
      </c>
      <c r="R36" s="47" t="s">
        <v>35</v>
      </c>
      <c r="S36" s="47" t="s">
        <v>35</v>
      </c>
      <c r="T36" s="48" t="s">
        <v>35</v>
      </c>
      <c r="U36" s="48" t="s">
        <v>36</v>
      </c>
      <c r="V36" s="48" t="s">
        <v>36</v>
      </c>
      <c r="W36" s="45" t="s">
        <v>36</v>
      </c>
      <c r="X36" s="5" t="s">
        <v>54</v>
      </c>
      <c r="Y36" s="5" t="s">
        <v>54</v>
      </c>
      <c r="Z36" s="5" t="s">
        <v>276</v>
      </c>
      <c r="AA36" s="5" t="s">
        <v>502</v>
      </c>
      <c r="AB36" s="5"/>
      <c r="AC36" s="5" t="s">
        <v>19657</v>
      </c>
      <c r="AD36" s="6">
        <v>2279.0</v>
      </c>
    </row>
    <row r="37" ht="56.25" customHeight="1">
      <c r="A37" s="6">
        <v>57.0</v>
      </c>
      <c r="B37" s="5" t="s">
        <v>19658</v>
      </c>
      <c r="C37" s="16" t="str">
        <f>IMAGE("https://i.imgur.com/rgUkuSd.png")</f>
        <v/>
      </c>
      <c r="D37" s="6" t="str">
        <f>IMAGE("https://storage.googleapis.com/acdb/fish/FtrFishAji.png")</f>
        <v/>
      </c>
      <c r="E37" s="6">
        <v>150.0</v>
      </c>
      <c r="F37" s="5" t="s">
        <v>19569</v>
      </c>
      <c r="G37" s="5" t="s">
        <v>19570</v>
      </c>
      <c r="H37" s="5" t="s">
        <v>19249</v>
      </c>
      <c r="I37" s="5" t="s">
        <v>36</v>
      </c>
      <c r="J37" s="8" t="s">
        <v>19250</v>
      </c>
      <c r="K37" s="8" t="s">
        <v>19250</v>
      </c>
      <c r="L37" s="45" t="s">
        <v>35</v>
      </c>
      <c r="M37" s="45" t="s">
        <v>35</v>
      </c>
      <c r="N37" s="46" t="s">
        <v>35</v>
      </c>
      <c r="O37" s="46" t="s">
        <v>35</v>
      </c>
      <c r="P37" s="46" t="s">
        <v>35</v>
      </c>
      <c r="Q37" s="47" t="s">
        <v>35</v>
      </c>
      <c r="R37" s="47" t="s">
        <v>35</v>
      </c>
      <c r="S37" s="47" t="s">
        <v>35</v>
      </c>
      <c r="T37" s="48" t="s">
        <v>35</v>
      </c>
      <c r="U37" s="48" t="s">
        <v>35</v>
      </c>
      <c r="V37" s="48" t="s">
        <v>35</v>
      </c>
      <c r="W37" s="45" t="s">
        <v>35</v>
      </c>
      <c r="X37" s="5" t="s">
        <v>68</v>
      </c>
      <c r="Y37" s="5" t="s">
        <v>54</v>
      </c>
      <c r="Z37" s="5" t="s">
        <v>40</v>
      </c>
      <c r="AA37" s="5" t="s">
        <v>502</v>
      </c>
      <c r="AB37" s="5"/>
      <c r="AC37" s="5" t="s">
        <v>19659</v>
      </c>
      <c r="AD37" s="6">
        <v>2264.0</v>
      </c>
    </row>
    <row r="38" ht="56.25" customHeight="1">
      <c r="A38" s="6">
        <v>10.0</v>
      </c>
      <c r="B38" s="5" t="s">
        <v>19660</v>
      </c>
      <c r="C38" s="16" t="str">
        <f>IMAGE("https://i.imgur.com/1fuh8wL.png")</f>
        <v/>
      </c>
      <c r="D38" s="6" t="str">
        <f>IMAGE("https://storage.googleapis.com/acdb/fish/FtrFishMedaka.png")</f>
        <v/>
      </c>
      <c r="E38" s="6">
        <v>300.0</v>
      </c>
      <c r="F38" s="5" t="s">
        <v>19605</v>
      </c>
      <c r="G38" s="5" t="s">
        <v>19590</v>
      </c>
      <c r="H38" s="5" t="s">
        <v>19249</v>
      </c>
      <c r="I38" s="5" t="s">
        <v>36</v>
      </c>
      <c r="J38" s="8" t="s">
        <v>19250</v>
      </c>
      <c r="K38" s="8" t="s">
        <v>19250</v>
      </c>
      <c r="L38" s="45" t="s">
        <v>36</v>
      </c>
      <c r="M38" s="45" t="s">
        <v>36</v>
      </c>
      <c r="N38" s="46" t="s">
        <v>36</v>
      </c>
      <c r="O38" s="46" t="s">
        <v>35</v>
      </c>
      <c r="P38" s="46" t="s">
        <v>35</v>
      </c>
      <c r="Q38" s="47" t="s">
        <v>35</v>
      </c>
      <c r="R38" s="47" t="s">
        <v>35</v>
      </c>
      <c r="S38" s="47" t="s">
        <v>35</v>
      </c>
      <c r="T38" s="48" t="s">
        <v>36</v>
      </c>
      <c r="U38" s="48" t="s">
        <v>36</v>
      </c>
      <c r="V38" s="48" t="s">
        <v>36</v>
      </c>
      <c r="W38" s="45" t="s">
        <v>36</v>
      </c>
      <c r="X38" s="5" t="s">
        <v>114</v>
      </c>
      <c r="Y38" s="5" t="s">
        <v>54</v>
      </c>
      <c r="Z38" s="5" t="s">
        <v>40</v>
      </c>
      <c r="AA38" s="5" t="s">
        <v>502</v>
      </c>
      <c r="AB38" s="5"/>
      <c r="AC38" s="5" t="s">
        <v>19661</v>
      </c>
      <c r="AD38" s="6">
        <v>2222.0</v>
      </c>
    </row>
    <row r="39" ht="56.25" customHeight="1">
      <c r="A39" s="6">
        <v>32.0</v>
      </c>
      <c r="B39" s="5" t="s">
        <v>19662</v>
      </c>
      <c r="C39" s="16" t="str">
        <f>IMAGE("https://i.imgur.com/HEad8gc.png")</f>
        <v/>
      </c>
      <c r="D39" s="6" t="str">
        <f>IMAGE("https://storage.googleapis.com/acdb/fish/FtrFishKingsalmon.png")</f>
        <v/>
      </c>
      <c r="E39" s="6">
        <v>1800.0</v>
      </c>
      <c r="F39" s="5" t="s">
        <v>19663</v>
      </c>
      <c r="G39" s="5" t="s">
        <v>19632</v>
      </c>
      <c r="H39" s="5" t="s">
        <v>19236</v>
      </c>
      <c r="I39" s="5" t="s">
        <v>36</v>
      </c>
      <c r="J39" s="8" t="s">
        <v>19250</v>
      </c>
      <c r="K39" s="8" t="s">
        <v>19250</v>
      </c>
      <c r="L39" s="45" t="s">
        <v>36</v>
      </c>
      <c r="M39" s="45" t="s">
        <v>36</v>
      </c>
      <c r="N39" s="46" t="s">
        <v>36</v>
      </c>
      <c r="O39" s="46" t="s">
        <v>36</v>
      </c>
      <c r="P39" s="46" t="s">
        <v>36</v>
      </c>
      <c r="Q39" s="47" t="s">
        <v>36</v>
      </c>
      <c r="R39" s="47" t="s">
        <v>36</v>
      </c>
      <c r="S39" s="47" t="s">
        <v>36</v>
      </c>
      <c r="T39" s="48" t="s">
        <v>35</v>
      </c>
      <c r="U39" s="48" t="s">
        <v>36</v>
      </c>
      <c r="V39" s="48" t="s">
        <v>36</v>
      </c>
      <c r="W39" s="45" t="s">
        <v>36</v>
      </c>
      <c r="X39" s="5" t="s">
        <v>95</v>
      </c>
      <c r="Y39" s="5" t="s">
        <v>54</v>
      </c>
      <c r="Z39" s="5" t="s">
        <v>276</v>
      </c>
      <c r="AA39" s="5" t="s">
        <v>502</v>
      </c>
      <c r="AB39" s="5"/>
      <c r="AC39" s="5" t="s">
        <v>19664</v>
      </c>
      <c r="AD39" s="6">
        <v>2243.0</v>
      </c>
    </row>
    <row r="40" ht="56.25" customHeight="1">
      <c r="A40" s="6">
        <v>6.0</v>
      </c>
      <c r="B40" s="5" t="s">
        <v>19665</v>
      </c>
      <c r="C40" s="16" t="str">
        <f>IMAGE("https://i.imgur.com/7adR6xk.png")</f>
        <v/>
      </c>
      <c r="D40" s="6" t="str">
        <f>IMAGE("https://storage.googleapis.com/acdb/fish/FtrFishNishikigoi.png")</f>
        <v/>
      </c>
      <c r="E40" s="6">
        <v>4000.0</v>
      </c>
      <c r="F40" s="5" t="s">
        <v>19605</v>
      </c>
      <c r="G40" s="5" t="s">
        <v>19580</v>
      </c>
      <c r="H40" s="43" t="s">
        <v>19236</v>
      </c>
      <c r="I40" s="43" t="s">
        <v>36</v>
      </c>
      <c r="J40" s="44">
        <v>0.6666666666666666</v>
      </c>
      <c r="K40" s="44">
        <v>0.375</v>
      </c>
      <c r="L40" s="45" t="s">
        <v>35</v>
      </c>
      <c r="M40" s="45" t="s">
        <v>35</v>
      </c>
      <c r="N40" s="46" t="s">
        <v>35</v>
      </c>
      <c r="O40" s="46" t="s">
        <v>35</v>
      </c>
      <c r="P40" s="46" t="s">
        <v>35</v>
      </c>
      <c r="Q40" s="47" t="s">
        <v>35</v>
      </c>
      <c r="R40" s="47" t="s">
        <v>35</v>
      </c>
      <c r="S40" s="47" t="s">
        <v>35</v>
      </c>
      <c r="T40" s="48" t="s">
        <v>35</v>
      </c>
      <c r="U40" s="48" t="s">
        <v>35</v>
      </c>
      <c r="V40" s="48" t="s">
        <v>35</v>
      </c>
      <c r="W40" s="45" t="s">
        <v>35</v>
      </c>
      <c r="X40" s="5" t="s">
        <v>52</v>
      </c>
      <c r="Y40" s="5" t="s">
        <v>57</v>
      </c>
      <c r="Z40" s="5" t="s">
        <v>40</v>
      </c>
      <c r="AA40" s="5" t="s">
        <v>502</v>
      </c>
      <c r="AB40" s="5"/>
      <c r="AC40" s="5" t="s">
        <v>19667</v>
      </c>
      <c r="AD40" s="6">
        <v>2220.0</v>
      </c>
    </row>
    <row r="41" ht="56.25" customHeight="1">
      <c r="A41" s="6">
        <v>17.0</v>
      </c>
      <c r="B41" s="5" t="s">
        <v>19668</v>
      </c>
      <c r="C41" s="16" t="str">
        <f>IMAGE("https://i.imgur.com/9N8uM7V.png")</f>
        <v/>
      </c>
      <c r="D41" s="6" t="str">
        <f>IMAGE("https://storage.googleapis.com/acdb/fish/FtrFishDojou.png")</f>
        <v/>
      </c>
      <c r="E41" s="6">
        <v>400.0</v>
      </c>
      <c r="F41" s="5" t="s">
        <v>19574</v>
      </c>
      <c r="G41" s="5" t="s">
        <v>19570</v>
      </c>
      <c r="H41" s="5" t="s">
        <v>19249</v>
      </c>
      <c r="I41" s="5" t="s">
        <v>36</v>
      </c>
      <c r="J41" s="8" t="s">
        <v>19250</v>
      </c>
      <c r="K41" s="8" t="s">
        <v>19250</v>
      </c>
      <c r="L41" s="45" t="s">
        <v>36</v>
      </c>
      <c r="M41" s="45" t="s">
        <v>36</v>
      </c>
      <c r="N41" s="46" t="s">
        <v>35</v>
      </c>
      <c r="O41" s="46" t="s">
        <v>35</v>
      </c>
      <c r="P41" s="46" t="s">
        <v>35</v>
      </c>
      <c r="Q41" s="47" t="s">
        <v>36</v>
      </c>
      <c r="R41" s="47" t="s">
        <v>36</v>
      </c>
      <c r="S41" s="47" t="s">
        <v>36</v>
      </c>
      <c r="T41" s="48" t="s">
        <v>36</v>
      </c>
      <c r="U41" s="48" t="s">
        <v>36</v>
      </c>
      <c r="V41" s="48" t="s">
        <v>36</v>
      </c>
      <c r="W41" s="45" t="s">
        <v>36</v>
      </c>
      <c r="X41" s="5" t="s">
        <v>39</v>
      </c>
      <c r="Y41" s="5" t="s">
        <v>68</v>
      </c>
      <c r="Z41" s="5" t="s">
        <v>40</v>
      </c>
      <c r="AA41" s="5" t="s">
        <v>47</v>
      </c>
      <c r="AB41" s="5"/>
      <c r="AC41" s="5" t="s">
        <v>19669</v>
      </c>
      <c r="AD41" s="6">
        <v>2228.0</v>
      </c>
    </row>
    <row r="42" ht="56.25" customHeight="1">
      <c r="A42" s="6">
        <v>69.0</v>
      </c>
      <c r="B42" s="5" t="s">
        <v>19670</v>
      </c>
      <c r="C42" s="16" t="str">
        <f>IMAGE("https://i.imgur.com/asWlBCU.png")</f>
        <v/>
      </c>
      <c r="D42" s="6" t="str">
        <f>IMAGE("https://storage.googleapis.com/acdb/fish/FtrFishShiira.png")</f>
        <v/>
      </c>
      <c r="E42" s="6">
        <v>6000.0</v>
      </c>
      <c r="F42" s="5" t="s">
        <v>19598</v>
      </c>
      <c r="G42" s="5" t="s">
        <v>19632</v>
      </c>
      <c r="H42" s="5" t="s">
        <v>19267</v>
      </c>
      <c r="I42" s="5" t="s">
        <v>35</v>
      </c>
      <c r="J42" s="8" t="s">
        <v>19250</v>
      </c>
      <c r="K42" s="8" t="s">
        <v>19250</v>
      </c>
      <c r="L42" s="45" t="s">
        <v>36</v>
      </c>
      <c r="M42" s="45" t="s">
        <v>36</v>
      </c>
      <c r="N42" s="46" t="s">
        <v>36</v>
      </c>
      <c r="O42" s="46" t="s">
        <v>36</v>
      </c>
      <c r="P42" s="46" t="s">
        <v>35</v>
      </c>
      <c r="Q42" s="47" t="s">
        <v>35</v>
      </c>
      <c r="R42" s="47" t="s">
        <v>35</v>
      </c>
      <c r="S42" s="47" t="s">
        <v>35</v>
      </c>
      <c r="T42" s="48" t="s">
        <v>35</v>
      </c>
      <c r="U42" s="48" t="s">
        <v>35</v>
      </c>
      <c r="V42" s="48" t="s">
        <v>36</v>
      </c>
      <c r="W42" s="45" t="s">
        <v>36</v>
      </c>
      <c r="X42" s="5" t="s">
        <v>114</v>
      </c>
      <c r="Y42" s="5" t="s">
        <v>54</v>
      </c>
      <c r="Z42" s="5" t="s">
        <v>276</v>
      </c>
      <c r="AA42" s="5" t="s">
        <v>502</v>
      </c>
      <c r="AB42" s="5"/>
      <c r="AC42" s="5" t="s">
        <v>19671</v>
      </c>
      <c r="AD42" s="6">
        <v>4202.0</v>
      </c>
    </row>
    <row r="43" ht="56.25" customHeight="1">
      <c r="A43" s="6">
        <v>33.0</v>
      </c>
      <c r="B43" s="5" t="s">
        <v>19673</v>
      </c>
      <c r="C43" s="16" t="str">
        <f>IMAGE("https://i.imgur.com/gwHZbVk.png")</f>
        <v/>
      </c>
      <c r="D43" s="6" t="str">
        <f>IMAGE("https://storage.googleapis.com/acdb/fish/FtrFishShanghai.png")</f>
        <v/>
      </c>
      <c r="E43" s="6">
        <v>2000.0</v>
      </c>
      <c r="F43" s="5" t="s">
        <v>19574</v>
      </c>
      <c r="G43" s="5" t="s">
        <v>19570</v>
      </c>
      <c r="H43" s="43" t="s">
        <v>19236</v>
      </c>
      <c r="I43" s="43" t="s">
        <v>36</v>
      </c>
      <c r="J43" s="44">
        <v>0.6666666666666666</v>
      </c>
      <c r="K43" s="44">
        <v>0.375</v>
      </c>
      <c r="L43" s="45" t="s">
        <v>36</v>
      </c>
      <c r="M43" s="45" t="s">
        <v>36</v>
      </c>
      <c r="N43" s="46" t="s">
        <v>36</v>
      </c>
      <c r="O43" s="46" t="s">
        <v>36</v>
      </c>
      <c r="P43" s="46" t="s">
        <v>36</v>
      </c>
      <c r="Q43" s="47" t="s">
        <v>36</v>
      </c>
      <c r="R43" s="47" t="s">
        <v>36</v>
      </c>
      <c r="S43" s="47" t="s">
        <v>36</v>
      </c>
      <c r="T43" s="48" t="s">
        <v>35</v>
      </c>
      <c r="U43" s="48" t="s">
        <v>35</v>
      </c>
      <c r="V43" s="48" t="s">
        <v>35</v>
      </c>
      <c r="W43" s="45" t="s">
        <v>36</v>
      </c>
      <c r="X43" s="5" t="s">
        <v>54</v>
      </c>
      <c r="Y43" s="5" t="s">
        <v>68</v>
      </c>
      <c r="Z43" s="5" t="s">
        <v>40</v>
      </c>
      <c r="AA43" s="5" t="s">
        <v>47</v>
      </c>
      <c r="AB43" s="5"/>
      <c r="AC43" s="5" t="s">
        <v>19674</v>
      </c>
      <c r="AD43" s="6">
        <v>2244.0</v>
      </c>
    </row>
    <row r="44" ht="56.25" customHeight="1">
      <c r="A44" s="6">
        <v>64.0</v>
      </c>
      <c r="B44" s="5" t="s">
        <v>19675</v>
      </c>
      <c r="C44" s="16" t="str">
        <f>IMAGE("https://i.imgur.com/C0Mw5Qd.png")</f>
        <v/>
      </c>
      <c r="D44" s="6" t="str">
        <f>IMAGE("https://storage.googleapis.com/acdb/fish/FtrFishUtsubo.png")</f>
        <v/>
      </c>
      <c r="E44" s="6">
        <v>2000.0</v>
      </c>
      <c r="F44" s="5" t="s">
        <v>19569</v>
      </c>
      <c r="G44" s="5" t="s">
        <v>19676</v>
      </c>
      <c r="H44" s="5" t="s">
        <v>19236</v>
      </c>
      <c r="I44" s="5" t="s">
        <v>36</v>
      </c>
      <c r="J44" s="8" t="s">
        <v>19250</v>
      </c>
      <c r="K44" s="8" t="s">
        <v>19250</v>
      </c>
      <c r="L44" s="45" t="s">
        <v>36</v>
      </c>
      <c r="M44" s="45" t="s">
        <v>36</v>
      </c>
      <c r="N44" s="46" t="s">
        <v>36</v>
      </c>
      <c r="O44" s="46" t="s">
        <v>36</v>
      </c>
      <c r="P44" s="46" t="s">
        <v>36</v>
      </c>
      <c r="Q44" s="47" t="s">
        <v>36</v>
      </c>
      <c r="R44" s="47" t="s">
        <v>36</v>
      </c>
      <c r="S44" s="47" t="s">
        <v>35</v>
      </c>
      <c r="T44" s="48" t="s">
        <v>35</v>
      </c>
      <c r="U44" s="48" t="s">
        <v>35</v>
      </c>
      <c r="V44" s="48" t="s">
        <v>36</v>
      </c>
      <c r="W44" s="45" t="s">
        <v>36</v>
      </c>
      <c r="X44" s="5" t="s">
        <v>39</v>
      </c>
      <c r="Y44" s="5" t="s">
        <v>54</v>
      </c>
      <c r="Z44" s="5" t="s">
        <v>276</v>
      </c>
      <c r="AA44" s="5" t="s">
        <v>502</v>
      </c>
      <c r="AB44" s="5"/>
      <c r="AC44" s="5" t="s">
        <v>19677</v>
      </c>
      <c r="AD44" s="6">
        <v>2271.0</v>
      </c>
    </row>
    <row r="45" ht="56.25" customHeight="1">
      <c r="A45" s="6">
        <v>52.0</v>
      </c>
      <c r="B45" s="5" t="s">
        <v>19678</v>
      </c>
      <c r="C45" s="16" t="str">
        <f>IMAGE("https://i.imgur.com/Bg6ymWx.png")</f>
        <v/>
      </c>
      <c r="D45" s="6" t="str">
        <f>IMAGE("https://storage.googleapis.com/acdb/fish/FtrFishNaporeonfish.png")</f>
        <v/>
      </c>
      <c r="E45" s="6">
        <v>10000.0</v>
      </c>
      <c r="F45" s="5" t="s">
        <v>19569</v>
      </c>
      <c r="G45" s="5" t="s">
        <v>19577</v>
      </c>
      <c r="H45" s="43" t="s">
        <v>19267</v>
      </c>
      <c r="I45" s="43" t="s">
        <v>35</v>
      </c>
      <c r="J45" s="44">
        <v>0.16666666666666666</v>
      </c>
      <c r="K45" s="44">
        <v>0.875</v>
      </c>
      <c r="L45" s="45" t="s">
        <v>36</v>
      </c>
      <c r="M45" s="45" t="s">
        <v>36</v>
      </c>
      <c r="N45" s="46" t="s">
        <v>36</v>
      </c>
      <c r="O45" s="46" t="s">
        <v>36</v>
      </c>
      <c r="P45" s="46" t="s">
        <v>36</v>
      </c>
      <c r="Q45" s="47" t="s">
        <v>36</v>
      </c>
      <c r="R45" s="47" t="s">
        <v>35</v>
      </c>
      <c r="S45" s="47" t="s">
        <v>35</v>
      </c>
      <c r="T45" s="48" t="s">
        <v>36</v>
      </c>
      <c r="U45" s="48" t="s">
        <v>36</v>
      </c>
      <c r="V45" s="48" t="s">
        <v>36</v>
      </c>
      <c r="W45" s="45" t="s">
        <v>36</v>
      </c>
      <c r="X45" s="5" t="s">
        <v>83</v>
      </c>
      <c r="Y45" s="5" t="s">
        <v>54</v>
      </c>
      <c r="Z45" s="5" t="s">
        <v>276</v>
      </c>
      <c r="AA45" s="5" t="s">
        <v>502</v>
      </c>
      <c r="AB45" s="5"/>
      <c r="AC45" s="5" t="s">
        <v>19679</v>
      </c>
      <c r="AD45" s="6">
        <v>2260.0</v>
      </c>
    </row>
    <row r="46" ht="56.25" customHeight="1">
      <c r="A46" s="6">
        <v>38.0</v>
      </c>
      <c r="B46" s="5" t="s">
        <v>19680</v>
      </c>
      <c r="C46" s="16" t="str">
        <f>IMAGE("https://i.imgur.com/EdKzQJn.png")</f>
        <v/>
      </c>
      <c r="D46" s="6" t="str">
        <f>IMAGE("https://storage.googleapis.com/acdb/fish/FtrFishNeontetora.png")</f>
        <v/>
      </c>
      <c r="E46" s="6">
        <v>500.0</v>
      </c>
      <c r="F46" s="5" t="s">
        <v>19574</v>
      </c>
      <c r="G46" s="5" t="s">
        <v>19590</v>
      </c>
      <c r="H46" s="43" t="s">
        <v>19249</v>
      </c>
      <c r="I46" s="43" t="s">
        <v>36</v>
      </c>
      <c r="J46" s="44">
        <v>0.375</v>
      </c>
      <c r="K46" s="44">
        <v>0.6666666666666666</v>
      </c>
      <c r="L46" s="45" t="s">
        <v>36</v>
      </c>
      <c r="M46" s="45" t="s">
        <v>36</v>
      </c>
      <c r="N46" s="46" t="s">
        <v>36</v>
      </c>
      <c r="O46" s="46" t="s">
        <v>35</v>
      </c>
      <c r="P46" s="46" t="s">
        <v>35</v>
      </c>
      <c r="Q46" s="47" t="s">
        <v>35</v>
      </c>
      <c r="R46" s="47" t="s">
        <v>35</v>
      </c>
      <c r="S46" s="47" t="s">
        <v>35</v>
      </c>
      <c r="T46" s="48" t="s">
        <v>35</v>
      </c>
      <c r="U46" s="48" t="s">
        <v>35</v>
      </c>
      <c r="V46" s="48" t="s">
        <v>35</v>
      </c>
      <c r="W46" s="45" t="s">
        <v>36</v>
      </c>
      <c r="X46" s="5" t="s">
        <v>83</v>
      </c>
      <c r="Y46" s="5" t="s">
        <v>54</v>
      </c>
      <c r="Z46" s="5" t="s">
        <v>40</v>
      </c>
      <c r="AA46" s="5" t="s">
        <v>502</v>
      </c>
      <c r="AB46" s="5"/>
      <c r="AC46" s="5" t="s">
        <v>19681</v>
      </c>
      <c r="AD46" s="6">
        <v>2248.0</v>
      </c>
    </row>
    <row r="47" ht="56.25" customHeight="1">
      <c r="A47" s="6">
        <v>35.0</v>
      </c>
      <c r="B47" s="5" t="s">
        <v>19682</v>
      </c>
      <c r="C47" s="16" t="str">
        <f>IMAGE("https://i.imgur.com/Ls7SOLb.png")</f>
        <v/>
      </c>
      <c r="D47" s="6" t="str">
        <f>IMAGE("https://storage.googleapis.com/acdb/fish/FtrFishDoctor.png")</f>
        <v/>
      </c>
      <c r="E47" s="6">
        <v>1500.0</v>
      </c>
      <c r="F47" s="5" t="s">
        <v>19574</v>
      </c>
      <c r="G47" s="5" t="s">
        <v>19590</v>
      </c>
      <c r="H47" s="43" t="s">
        <v>19236</v>
      </c>
      <c r="I47" s="43" t="s">
        <v>36</v>
      </c>
      <c r="J47" s="44">
        <v>0.375</v>
      </c>
      <c r="K47" s="44">
        <v>0.6666666666666666</v>
      </c>
      <c r="L47" s="45" t="s">
        <v>36</v>
      </c>
      <c r="M47" s="45" t="s">
        <v>36</v>
      </c>
      <c r="N47" s="46" t="s">
        <v>36</v>
      </c>
      <c r="O47" s="46" t="s">
        <v>36</v>
      </c>
      <c r="P47" s="46" t="s">
        <v>35</v>
      </c>
      <c r="Q47" s="47" t="s">
        <v>35</v>
      </c>
      <c r="R47" s="47" t="s">
        <v>35</v>
      </c>
      <c r="S47" s="47" t="s">
        <v>35</v>
      </c>
      <c r="T47" s="48" t="s">
        <v>35</v>
      </c>
      <c r="U47" s="48" t="s">
        <v>36</v>
      </c>
      <c r="V47" s="48" t="s">
        <v>36</v>
      </c>
      <c r="W47" s="45" t="s">
        <v>36</v>
      </c>
      <c r="X47" s="5" t="s">
        <v>39</v>
      </c>
      <c r="Y47" s="5" t="s">
        <v>68</v>
      </c>
      <c r="Z47" s="5" t="s">
        <v>40</v>
      </c>
      <c r="AA47" s="5" t="s">
        <v>47</v>
      </c>
      <c r="AB47" s="5"/>
      <c r="AC47" s="5" t="s">
        <v>19683</v>
      </c>
      <c r="AD47" s="6">
        <v>2246.0</v>
      </c>
    </row>
    <row r="48" ht="56.25" customHeight="1">
      <c r="A48" s="6">
        <v>78.0</v>
      </c>
      <c r="B48" s="5" t="s">
        <v>19684</v>
      </c>
      <c r="C48" s="16" t="str">
        <f>IMAGE("https://i.imgur.com/8yMwTtM.png")</f>
        <v/>
      </c>
      <c r="D48" s="6" t="str">
        <f>IMAGE("https://storage.googleapis.com/acdb/fish/FtrFishRyugu.png")</f>
        <v/>
      </c>
      <c r="E48" s="6">
        <v>9000.0</v>
      </c>
      <c r="F48" s="5" t="s">
        <v>19569</v>
      </c>
      <c r="G48" s="5" t="s">
        <v>19577</v>
      </c>
      <c r="H48" s="5" t="s">
        <v>19267</v>
      </c>
      <c r="I48" s="5" t="s">
        <v>35</v>
      </c>
      <c r="J48" s="8" t="s">
        <v>19250</v>
      </c>
      <c r="K48" s="8" t="s">
        <v>19250</v>
      </c>
      <c r="L48" s="45" t="s">
        <v>35</v>
      </c>
      <c r="M48" s="45" t="s">
        <v>35</v>
      </c>
      <c r="N48" s="46" t="s">
        <v>35</v>
      </c>
      <c r="O48" s="46" t="s">
        <v>35</v>
      </c>
      <c r="P48" s="46" t="s">
        <v>35</v>
      </c>
      <c r="Q48" s="47" t="s">
        <v>36</v>
      </c>
      <c r="R48" s="47" t="s">
        <v>36</v>
      </c>
      <c r="S48" s="47" t="s">
        <v>36</v>
      </c>
      <c r="T48" s="48" t="s">
        <v>36</v>
      </c>
      <c r="U48" s="48" t="s">
        <v>36</v>
      </c>
      <c r="V48" s="48" t="s">
        <v>36</v>
      </c>
      <c r="W48" s="45" t="s">
        <v>35</v>
      </c>
      <c r="X48" s="5" t="s">
        <v>52</v>
      </c>
      <c r="Y48" s="5" t="s">
        <v>68</v>
      </c>
      <c r="Z48" s="5" t="s">
        <v>11558</v>
      </c>
      <c r="AA48" s="5" t="s">
        <v>47</v>
      </c>
      <c r="AB48" s="5"/>
      <c r="AC48" s="5" t="s">
        <v>19685</v>
      </c>
      <c r="AD48" s="6">
        <v>2283.0</v>
      </c>
    </row>
    <row r="49" ht="56.25" customHeight="1">
      <c r="A49" s="6">
        <v>70.0</v>
      </c>
      <c r="B49" s="5" t="s">
        <v>19686</v>
      </c>
      <c r="C49" s="16" t="str">
        <f>IMAGE("https://i.imgur.com/iEoMmrB.png")</f>
        <v/>
      </c>
      <c r="D49" s="6" t="str">
        <f>IMAGE("https://storage.googleapis.com/acdb/fish/FtrFishManbou.png")</f>
        <v/>
      </c>
      <c r="E49" s="6">
        <v>4000.0</v>
      </c>
      <c r="F49" s="5" t="s">
        <v>19569</v>
      </c>
      <c r="G49" s="5" t="s">
        <v>19651</v>
      </c>
      <c r="H49" s="43" t="s">
        <v>19236</v>
      </c>
      <c r="I49" s="43" t="s">
        <v>35</v>
      </c>
      <c r="J49" s="44">
        <v>0.16666666666666666</v>
      </c>
      <c r="K49" s="44">
        <v>0.875</v>
      </c>
      <c r="L49" s="45" t="s">
        <v>36</v>
      </c>
      <c r="M49" s="45" t="s">
        <v>36</v>
      </c>
      <c r="N49" s="46" t="s">
        <v>36</v>
      </c>
      <c r="O49" s="46" t="s">
        <v>36</v>
      </c>
      <c r="P49" s="46" t="s">
        <v>36</v>
      </c>
      <c r="Q49" s="47" t="s">
        <v>36</v>
      </c>
      <c r="R49" s="47" t="s">
        <v>35</v>
      </c>
      <c r="S49" s="47" t="s">
        <v>35</v>
      </c>
      <c r="T49" s="48" t="s">
        <v>35</v>
      </c>
      <c r="U49" s="48" t="s">
        <v>36</v>
      </c>
      <c r="V49" s="48" t="s">
        <v>36</v>
      </c>
      <c r="W49" s="45" t="s">
        <v>36</v>
      </c>
      <c r="X49" s="5" t="s">
        <v>68</v>
      </c>
      <c r="Y49" s="5" t="s">
        <v>142</v>
      </c>
      <c r="Z49" s="5" t="s">
        <v>214</v>
      </c>
      <c r="AA49" s="5" t="s">
        <v>47</v>
      </c>
      <c r="AB49" s="5"/>
      <c r="AC49" s="5" t="s">
        <v>19688</v>
      </c>
      <c r="AD49" s="6">
        <v>2278.0</v>
      </c>
    </row>
    <row r="50" ht="56.25" customHeight="1">
      <c r="A50" s="6">
        <v>62.0</v>
      </c>
      <c r="B50" s="5" t="s">
        <v>19689</v>
      </c>
      <c r="C50" s="16" t="str">
        <f>IMAGE("https://i.imgur.com/Pe5N5i1.png")</f>
        <v/>
      </c>
      <c r="D50" s="6" t="str">
        <f>IMAGE("https://storage.googleapis.com/acdb/fish/FtrFishHirame.png")</f>
        <v/>
      </c>
      <c r="E50" s="6">
        <v>800.0</v>
      </c>
      <c r="F50" s="5" t="s">
        <v>19569</v>
      </c>
      <c r="G50" s="5" t="s">
        <v>19632</v>
      </c>
      <c r="H50" s="5" t="s">
        <v>19249</v>
      </c>
      <c r="I50" s="5" t="s">
        <v>36</v>
      </c>
      <c r="J50" s="8" t="s">
        <v>19250</v>
      </c>
      <c r="K50" s="8" t="s">
        <v>19250</v>
      </c>
      <c r="L50" s="45" t="s">
        <v>35</v>
      </c>
      <c r="M50" s="45" t="s">
        <v>35</v>
      </c>
      <c r="N50" s="46" t="s">
        <v>35</v>
      </c>
      <c r="O50" s="46" t="s">
        <v>35</v>
      </c>
      <c r="P50" s="46" t="s">
        <v>35</v>
      </c>
      <c r="Q50" s="47" t="s">
        <v>35</v>
      </c>
      <c r="R50" s="47" t="s">
        <v>35</v>
      </c>
      <c r="S50" s="47" t="s">
        <v>35</v>
      </c>
      <c r="T50" s="48" t="s">
        <v>35</v>
      </c>
      <c r="U50" s="48" t="s">
        <v>35</v>
      </c>
      <c r="V50" s="48" t="s">
        <v>35</v>
      </c>
      <c r="W50" s="45" t="s">
        <v>35</v>
      </c>
      <c r="X50" s="5" t="s">
        <v>38</v>
      </c>
      <c r="Y50" s="5" t="s">
        <v>54</v>
      </c>
      <c r="Z50" s="5" t="s">
        <v>276</v>
      </c>
      <c r="AA50" s="5" t="s">
        <v>502</v>
      </c>
      <c r="AB50" s="5"/>
      <c r="AC50" s="5" t="s">
        <v>19690</v>
      </c>
      <c r="AD50" s="6">
        <v>2269.0</v>
      </c>
    </row>
    <row r="51" ht="56.25" customHeight="1">
      <c r="A51" s="6">
        <v>2.0</v>
      </c>
      <c r="B51" s="5" t="s">
        <v>19691</v>
      </c>
      <c r="C51" s="16" t="str">
        <f>IMAGE("https://i.imgur.com/2GwVD8t.png")</f>
        <v/>
      </c>
      <c r="D51" s="6" t="str">
        <f>IMAGE("https://storage.googleapis.com/acdb/fish/FtrFishOikawa.png")</f>
        <v/>
      </c>
      <c r="E51" s="6">
        <v>200.0</v>
      </c>
      <c r="F51" s="5" t="s">
        <v>19574</v>
      </c>
      <c r="G51" s="5" t="s">
        <v>19590</v>
      </c>
      <c r="H51" s="43" t="s">
        <v>19249</v>
      </c>
      <c r="I51" s="43" t="s">
        <v>36</v>
      </c>
      <c r="J51" s="44">
        <v>0.375</v>
      </c>
      <c r="K51" s="44">
        <v>0.6666666666666666</v>
      </c>
      <c r="L51" s="45" t="s">
        <v>35</v>
      </c>
      <c r="M51" s="45" t="s">
        <v>35</v>
      </c>
      <c r="N51" s="46" t="s">
        <v>35</v>
      </c>
      <c r="O51" s="46" t="s">
        <v>35</v>
      </c>
      <c r="P51" s="46" t="s">
        <v>35</v>
      </c>
      <c r="Q51" s="47" t="s">
        <v>35</v>
      </c>
      <c r="R51" s="47" t="s">
        <v>35</v>
      </c>
      <c r="S51" s="47" t="s">
        <v>35</v>
      </c>
      <c r="T51" s="48" t="s">
        <v>35</v>
      </c>
      <c r="U51" s="48" t="s">
        <v>35</v>
      </c>
      <c r="V51" s="48" t="s">
        <v>35</v>
      </c>
      <c r="W51" s="45" t="s">
        <v>35</v>
      </c>
      <c r="X51" s="5" t="s">
        <v>68</v>
      </c>
      <c r="Y51" s="5" t="s">
        <v>68</v>
      </c>
      <c r="Z51" s="5" t="s">
        <v>40</v>
      </c>
      <c r="AA51" s="5" t="s">
        <v>47</v>
      </c>
      <c r="AB51" s="5"/>
      <c r="AC51" s="5" t="s">
        <v>19692</v>
      </c>
      <c r="AD51" s="6">
        <v>2216.0</v>
      </c>
    </row>
    <row r="52" ht="56.25" customHeight="1">
      <c r="A52" s="6">
        <v>24.0</v>
      </c>
      <c r="B52" s="5" t="s">
        <v>19693</v>
      </c>
      <c r="C52" s="16" t="str">
        <f>IMAGE("https://i.imgur.com/mJiEPNy.png")</f>
        <v/>
      </c>
      <c r="D52" s="6" t="str">
        <f>IMAGE("https://storage.googleapis.com/acdb/fish/FtrFishPaiku.png")</f>
        <v/>
      </c>
      <c r="E52" s="6">
        <v>1800.0</v>
      </c>
      <c r="F52" s="5" t="s">
        <v>19574</v>
      </c>
      <c r="G52" s="5" t="s">
        <v>19632</v>
      </c>
      <c r="H52" s="5" t="s">
        <v>19236</v>
      </c>
      <c r="I52" s="5" t="s">
        <v>36</v>
      </c>
      <c r="J52" s="8" t="s">
        <v>19250</v>
      </c>
      <c r="K52" s="8" t="s">
        <v>19250</v>
      </c>
      <c r="L52" s="45" t="s">
        <v>36</v>
      </c>
      <c r="M52" s="45" t="s">
        <v>36</v>
      </c>
      <c r="N52" s="46" t="s">
        <v>36</v>
      </c>
      <c r="O52" s="46" t="s">
        <v>36</v>
      </c>
      <c r="P52" s="46" t="s">
        <v>36</v>
      </c>
      <c r="Q52" s="47" t="s">
        <v>36</v>
      </c>
      <c r="R52" s="47" t="s">
        <v>36</v>
      </c>
      <c r="S52" s="47" t="s">
        <v>36</v>
      </c>
      <c r="T52" s="48" t="s">
        <v>35</v>
      </c>
      <c r="U52" s="48" t="s">
        <v>35</v>
      </c>
      <c r="V52" s="48" t="s">
        <v>35</v>
      </c>
      <c r="W52" s="45" t="s">
        <v>35</v>
      </c>
      <c r="X52" s="5" t="s">
        <v>96</v>
      </c>
      <c r="Y52" s="5" t="s">
        <v>54</v>
      </c>
      <c r="Z52" s="5" t="s">
        <v>276</v>
      </c>
      <c r="AA52" s="5" t="s">
        <v>502</v>
      </c>
      <c r="AB52" s="5"/>
      <c r="AC52" s="5" t="s">
        <v>19694</v>
      </c>
      <c r="AD52" s="6">
        <v>2235.0</v>
      </c>
    </row>
    <row r="53" ht="56.25" customHeight="1">
      <c r="A53" s="6">
        <v>40.0</v>
      </c>
      <c r="B53" s="5" t="s">
        <v>19695</v>
      </c>
      <c r="C53" s="16" t="str">
        <f>IMAGE("https://i.imgur.com/CaDI8vj.png")</f>
        <v/>
      </c>
      <c r="D53" s="6" t="str">
        <f>IMAGE("https://storage.googleapis.com/acdb/fish/FtrFishPirania.png")</f>
        <v/>
      </c>
      <c r="E53" s="6">
        <v>2500.0</v>
      </c>
      <c r="F53" s="5" t="s">
        <v>19574</v>
      </c>
      <c r="G53" s="5" t="s">
        <v>19570</v>
      </c>
      <c r="H53" s="5" t="s">
        <v>19236</v>
      </c>
      <c r="I53" s="5" t="s">
        <v>36</v>
      </c>
      <c r="J53" s="8" t="s">
        <v>19696</v>
      </c>
      <c r="K53" s="8" t="s">
        <v>19697</v>
      </c>
      <c r="L53" s="45" t="s">
        <v>36</v>
      </c>
      <c r="M53" s="45" t="s">
        <v>36</v>
      </c>
      <c r="N53" s="46" t="s">
        <v>36</v>
      </c>
      <c r="O53" s="46" t="s">
        <v>36</v>
      </c>
      <c r="P53" s="46" t="s">
        <v>36</v>
      </c>
      <c r="Q53" s="47" t="s">
        <v>35</v>
      </c>
      <c r="R53" s="47" t="s">
        <v>35</v>
      </c>
      <c r="S53" s="47" t="s">
        <v>35</v>
      </c>
      <c r="T53" s="48" t="s">
        <v>35</v>
      </c>
      <c r="U53" s="48" t="s">
        <v>36</v>
      </c>
      <c r="V53" s="48" t="s">
        <v>36</v>
      </c>
      <c r="W53" s="45" t="s">
        <v>36</v>
      </c>
      <c r="X53" s="5" t="s">
        <v>96</v>
      </c>
      <c r="Y53" s="5" t="s">
        <v>54</v>
      </c>
      <c r="Z53" s="5" t="s">
        <v>40</v>
      </c>
      <c r="AA53" s="5" t="s">
        <v>502</v>
      </c>
      <c r="AB53" s="5"/>
      <c r="AC53" s="5" t="s">
        <v>19698</v>
      </c>
      <c r="AD53" s="6">
        <v>2249.0</v>
      </c>
    </row>
    <row r="54" ht="56.25" customHeight="1">
      <c r="A54" s="6">
        <v>25.0</v>
      </c>
      <c r="B54" s="5" t="s">
        <v>19699</v>
      </c>
      <c r="C54" s="16" t="str">
        <f>IMAGE("https://i.imgur.com/JIHYVZV.png")</f>
        <v/>
      </c>
      <c r="D54" s="6" t="str">
        <f>IMAGE("https://storage.googleapis.com/acdb/fish/FtrFishWakasagi.png")</f>
        <v/>
      </c>
      <c r="E54" s="6">
        <v>400.0</v>
      </c>
      <c r="F54" s="5" t="s">
        <v>19574</v>
      </c>
      <c r="G54" s="5" t="s">
        <v>19570</v>
      </c>
      <c r="H54" s="5" t="s">
        <v>19249</v>
      </c>
      <c r="I54" s="5" t="s">
        <v>36</v>
      </c>
      <c r="J54" s="8" t="s">
        <v>19250</v>
      </c>
      <c r="K54" s="8" t="s">
        <v>19250</v>
      </c>
      <c r="L54" s="45" t="s">
        <v>35</v>
      </c>
      <c r="M54" s="45" t="s">
        <v>35</v>
      </c>
      <c r="N54" s="46" t="s">
        <v>36</v>
      </c>
      <c r="O54" s="46" t="s">
        <v>36</v>
      </c>
      <c r="P54" s="46" t="s">
        <v>36</v>
      </c>
      <c r="Q54" s="47" t="s">
        <v>36</v>
      </c>
      <c r="R54" s="47" t="s">
        <v>36</v>
      </c>
      <c r="S54" s="47" t="s">
        <v>36</v>
      </c>
      <c r="T54" s="48" t="s">
        <v>36</v>
      </c>
      <c r="U54" s="48" t="s">
        <v>36</v>
      </c>
      <c r="V54" s="48" t="s">
        <v>36</v>
      </c>
      <c r="W54" s="45" t="s">
        <v>35</v>
      </c>
      <c r="X54" s="5" t="s">
        <v>142</v>
      </c>
      <c r="Y54" s="5" t="s">
        <v>68</v>
      </c>
      <c r="Z54" s="5" t="s">
        <v>40</v>
      </c>
      <c r="AA54" s="5" t="s">
        <v>47</v>
      </c>
      <c r="AB54" s="5"/>
      <c r="AC54" s="5" t="s">
        <v>19701</v>
      </c>
      <c r="AD54" s="6">
        <v>2236.0</v>
      </c>
    </row>
    <row r="55" ht="56.25" customHeight="1">
      <c r="A55" s="6">
        <v>8.0</v>
      </c>
      <c r="B55" s="5" t="s">
        <v>19702</v>
      </c>
      <c r="C55" s="16" t="str">
        <f>IMAGE("https://i.imgur.com/SuMt6KR.png")</f>
        <v/>
      </c>
      <c r="D55" s="6" t="str">
        <f>IMAGE("https://storage.googleapis.com/acdb/fish/FtrFishDemekin.png")</f>
        <v/>
      </c>
      <c r="E55" s="6">
        <v>1300.0</v>
      </c>
      <c r="F55" s="5" t="s">
        <v>19605</v>
      </c>
      <c r="G55" s="5" t="s">
        <v>19590</v>
      </c>
      <c r="H55" s="43" t="s">
        <v>19249</v>
      </c>
      <c r="I55" s="43" t="s">
        <v>36</v>
      </c>
      <c r="J55" s="44">
        <v>0.375</v>
      </c>
      <c r="K55" s="44">
        <v>0.6666666666666666</v>
      </c>
      <c r="L55" s="45" t="s">
        <v>35</v>
      </c>
      <c r="M55" s="45" t="s">
        <v>35</v>
      </c>
      <c r="N55" s="46" t="s">
        <v>35</v>
      </c>
      <c r="O55" s="46" t="s">
        <v>35</v>
      </c>
      <c r="P55" s="46" t="s">
        <v>35</v>
      </c>
      <c r="Q55" s="47" t="s">
        <v>35</v>
      </c>
      <c r="R55" s="47" t="s">
        <v>35</v>
      </c>
      <c r="S55" s="47" t="s">
        <v>35</v>
      </c>
      <c r="T55" s="48" t="s">
        <v>35</v>
      </c>
      <c r="U55" s="48" t="s">
        <v>35</v>
      </c>
      <c r="V55" s="48" t="s">
        <v>35</v>
      </c>
      <c r="W55" s="45" t="s">
        <v>35</v>
      </c>
      <c r="X55" s="5" t="s">
        <v>54</v>
      </c>
      <c r="Y55" s="5" t="s">
        <v>83</v>
      </c>
      <c r="Z55" s="5" t="s">
        <v>40</v>
      </c>
      <c r="AA55" s="5" t="s">
        <v>47</v>
      </c>
      <c r="AB55" s="5"/>
      <c r="AC55" s="5" t="s">
        <v>19703</v>
      </c>
      <c r="AD55" s="6">
        <v>2221.0</v>
      </c>
    </row>
    <row r="56" ht="56.25" customHeight="1">
      <c r="A56" s="6">
        <v>55.0</v>
      </c>
      <c r="B56" s="5" t="s">
        <v>19704</v>
      </c>
      <c r="C56" s="16" t="str">
        <f>IMAGE("https://i.imgur.com/8vBKuTy.png")</f>
        <v/>
      </c>
      <c r="D56" s="6" t="str">
        <f>IMAGE("https://storage.googleapis.com/acdb/fish/FtrFishHarisenbon.png")</f>
        <v/>
      </c>
      <c r="E56" s="6">
        <v>250.0</v>
      </c>
      <c r="F56" s="5" t="s">
        <v>19569</v>
      </c>
      <c r="G56" s="5" t="s">
        <v>19583</v>
      </c>
      <c r="H56" s="5" t="s">
        <v>19249</v>
      </c>
      <c r="I56" s="5" t="s">
        <v>36</v>
      </c>
      <c r="J56" s="8" t="s">
        <v>19250</v>
      </c>
      <c r="K56" s="8" t="s">
        <v>19250</v>
      </c>
      <c r="L56" s="45" t="s">
        <v>36</v>
      </c>
      <c r="M56" s="45" t="s">
        <v>36</v>
      </c>
      <c r="N56" s="46" t="s">
        <v>36</v>
      </c>
      <c r="O56" s="46" t="s">
        <v>36</v>
      </c>
      <c r="P56" s="46" t="s">
        <v>36</v>
      </c>
      <c r="Q56" s="47" t="s">
        <v>36</v>
      </c>
      <c r="R56" s="47" t="s">
        <v>35</v>
      </c>
      <c r="S56" s="47" t="s">
        <v>35</v>
      </c>
      <c r="T56" s="48" t="s">
        <v>35</v>
      </c>
      <c r="U56" s="48" t="s">
        <v>36</v>
      </c>
      <c r="V56" s="48" t="s">
        <v>36</v>
      </c>
      <c r="W56" s="45" t="s">
        <v>36</v>
      </c>
      <c r="X56" s="5" t="s">
        <v>38</v>
      </c>
      <c r="Y56" s="5" t="s">
        <v>54</v>
      </c>
      <c r="Z56" s="5" t="s">
        <v>40</v>
      </c>
      <c r="AA56" s="5" t="s">
        <v>502</v>
      </c>
      <c r="AB56" s="5"/>
      <c r="AC56" s="5" t="s">
        <v>19705</v>
      </c>
      <c r="AD56" s="6">
        <v>2263.0</v>
      </c>
    </row>
    <row r="57" ht="56.25" customHeight="1">
      <c r="A57" s="6">
        <v>39.0</v>
      </c>
      <c r="B57" s="5" t="s">
        <v>19706</v>
      </c>
      <c r="C57" s="16" t="str">
        <f>IMAGE("https://i.imgur.com/CNCQWsy.png")</f>
        <v/>
      </c>
      <c r="D57" s="6" t="str">
        <f>IMAGE("https://storage.googleapis.com/acdb/fish/FtrFishRainbowfish.png")</f>
        <v/>
      </c>
      <c r="E57" s="6">
        <v>800.0</v>
      </c>
      <c r="F57" s="5" t="s">
        <v>19574</v>
      </c>
      <c r="G57" s="5" t="s">
        <v>19590</v>
      </c>
      <c r="H57" s="43" t="s">
        <v>19249</v>
      </c>
      <c r="I57" s="43" t="s">
        <v>36</v>
      </c>
      <c r="J57" s="44">
        <v>0.375</v>
      </c>
      <c r="K57" s="44">
        <v>0.6666666666666666</v>
      </c>
      <c r="L57" s="45" t="s">
        <v>36</v>
      </c>
      <c r="M57" s="45" t="s">
        <v>36</v>
      </c>
      <c r="N57" s="46" t="s">
        <v>36</v>
      </c>
      <c r="O57" s="46" t="s">
        <v>36</v>
      </c>
      <c r="P57" s="46" t="s">
        <v>35</v>
      </c>
      <c r="Q57" s="47" t="s">
        <v>35</v>
      </c>
      <c r="R57" s="47" t="s">
        <v>35</v>
      </c>
      <c r="S57" s="47" t="s">
        <v>35</v>
      </c>
      <c r="T57" s="48" t="s">
        <v>35</v>
      </c>
      <c r="U57" s="48" t="s">
        <v>35</v>
      </c>
      <c r="V57" s="48" t="s">
        <v>36</v>
      </c>
      <c r="W57" s="45" t="s">
        <v>36</v>
      </c>
      <c r="X57" s="5" t="s">
        <v>142</v>
      </c>
      <c r="Y57" s="5" t="s">
        <v>54</v>
      </c>
      <c r="Z57" s="5" t="s">
        <v>40</v>
      </c>
      <c r="AA57" s="5" t="s">
        <v>502</v>
      </c>
      <c r="AB57" s="5"/>
      <c r="AC57" s="5" t="s">
        <v>19707</v>
      </c>
      <c r="AD57" s="6">
        <v>4194.0</v>
      </c>
    </row>
    <row r="58" ht="56.25" customHeight="1">
      <c r="A58" s="6">
        <v>9.0</v>
      </c>
      <c r="B58" s="5" t="s">
        <v>19708</v>
      </c>
      <c r="C58" s="16" t="str">
        <f>IMAGE("https://i.imgur.com/WrnLwb9.png")</f>
        <v/>
      </c>
      <c r="D58" s="6" t="str">
        <f>IMAGE("https://storage.googleapis.com/acdb/fish/FtrFishRanchu.png")</f>
        <v/>
      </c>
      <c r="E58" s="6">
        <v>4500.0</v>
      </c>
      <c r="F58" s="5" t="s">
        <v>19605</v>
      </c>
      <c r="G58" s="5" t="s">
        <v>19570</v>
      </c>
      <c r="H58" s="43" t="s">
        <v>19236</v>
      </c>
      <c r="I58" s="43" t="s">
        <v>36</v>
      </c>
      <c r="J58" s="44">
        <v>0.375</v>
      </c>
      <c r="K58" s="44">
        <v>0.6666666666666666</v>
      </c>
      <c r="L58" s="45" t="s">
        <v>35</v>
      </c>
      <c r="M58" s="45" t="s">
        <v>35</v>
      </c>
      <c r="N58" s="46" t="s">
        <v>35</v>
      </c>
      <c r="O58" s="46" t="s">
        <v>35</v>
      </c>
      <c r="P58" s="46" t="s">
        <v>35</v>
      </c>
      <c r="Q58" s="47" t="s">
        <v>35</v>
      </c>
      <c r="R58" s="47" t="s">
        <v>35</v>
      </c>
      <c r="S58" s="47" t="s">
        <v>35</v>
      </c>
      <c r="T58" s="48" t="s">
        <v>35</v>
      </c>
      <c r="U58" s="48" t="s">
        <v>35</v>
      </c>
      <c r="V58" s="48" t="s">
        <v>35</v>
      </c>
      <c r="W58" s="45" t="s">
        <v>35</v>
      </c>
      <c r="X58" s="5" t="s">
        <v>52</v>
      </c>
      <c r="Y58" s="5" t="s">
        <v>54</v>
      </c>
      <c r="Z58" s="5" t="s">
        <v>40</v>
      </c>
      <c r="AA58" s="5" t="s">
        <v>47</v>
      </c>
      <c r="AB58" s="5"/>
      <c r="AC58" s="5" t="s">
        <v>19710</v>
      </c>
      <c r="AD58" s="6">
        <v>5254.0</v>
      </c>
    </row>
    <row r="59" ht="56.25" customHeight="1">
      <c r="A59" s="6">
        <v>71.0</v>
      </c>
      <c r="B59" s="5" t="s">
        <v>19711</v>
      </c>
      <c r="C59" s="16" t="str">
        <f>IMAGE("https://i.imgur.com/wNgX65X.png")</f>
        <v/>
      </c>
      <c r="D59" s="6" t="str">
        <f>IMAGE("https://storage.googleapis.com/acdb/fish/FtrFishEi.png")</f>
        <v/>
      </c>
      <c r="E59" s="6">
        <v>3000.0</v>
      </c>
      <c r="F59" s="5" t="s">
        <v>19569</v>
      </c>
      <c r="G59" s="5" t="s">
        <v>19632</v>
      </c>
      <c r="H59" s="43" t="s">
        <v>19236</v>
      </c>
      <c r="I59" s="43" t="s">
        <v>36</v>
      </c>
      <c r="J59" s="44">
        <v>0.16666666666666666</v>
      </c>
      <c r="K59" s="44">
        <v>0.875</v>
      </c>
      <c r="L59" s="45" t="s">
        <v>36</v>
      </c>
      <c r="M59" s="45" t="s">
        <v>36</v>
      </c>
      <c r="N59" s="46" t="s">
        <v>36</v>
      </c>
      <c r="O59" s="46" t="s">
        <v>36</v>
      </c>
      <c r="P59" s="46" t="s">
        <v>36</v>
      </c>
      <c r="Q59" s="47" t="s">
        <v>36</v>
      </c>
      <c r="R59" s="47" t="s">
        <v>36</v>
      </c>
      <c r="S59" s="47" t="s">
        <v>35</v>
      </c>
      <c r="T59" s="48" t="s">
        <v>35</v>
      </c>
      <c r="U59" s="48" t="s">
        <v>35</v>
      </c>
      <c r="V59" s="48" t="s">
        <v>35</v>
      </c>
      <c r="W59" s="45" t="s">
        <v>36</v>
      </c>
      <c r="X59" s="5" t="s">
        <v>39</v>
      </c>
      <c r="Y59" s="5" t="s">
        <v>54</v>
      </c>
      <c r="Z59" s="5" t="s">
        <v>276</v>
      </c>
      <c r="AA59" s="5" t="s">
        <v>502</v>
      </c>
      <c r="AB59" s="5"/>
      <c r="AC59" s="5" t="s">
        <v>19712</v>
      </c>
      <c r="AD59" s="6">
        <v>2277.0</v>
      </c>
    </row>
    <row r="60" ht="56.25" customHeight="1">
      <c r="A60" s="6">
        <v>60.0</v>
      </c>
      <c r="B60" s="5" t="s">
        <v>19713</v>
      </c>
      <c r="C60" s="16" t="str">
        <f>IMAGE("https://i.imgur.com/ihC46yp.png")</f>
        <v/>
      </c>
      <c r="D60" s="6" t="str">
        <f>IMAGE("https://storage.googleapis.com/acdb/fish/FtrFishTai.png")</f>
        <v/>
      </c>
      <c r="E60" s="6">
        <v>3000.0</v>
      </c>
      <c r="F60" s="5" t="s">
        <v>19569</v>
      </c>
      <c r="G60" s="5" t="s">
        <v>19580</v>
      </c>
      <c r="H60" s="5" t="s">
        <v>19249</v>
      </c>
      <c r="I60" s="5" t="s">
        <v>36</v>
      </c>
      <c r="J60" s="8" t="s">
        <v>19250</v>
      </c>
      <c r="K60" s="8" t="s">
        <v>19250</v>
      </c>
      <c r="L60" s="45" t="s">
        <v>35</v>
      </c>
      <c r="M60" s="45" t="s">
        <v>35</v>
      </c>
      <c r="N60" s="46" t="s">
        <v>35</v>
      </c>
      <c r="O60" s="46" t="s">
        <v>35</v>
      </c>
      <c r="P60" s="46" t="s">
        <v>35</v>
      </c>
      <c r="Q60" s="47" t="s">
        <v>35</v>
      </c>
      <c r="R60" s="47" t="s">
        <v>35</v>
      </c>
      <c r="S60" s="47" t="s">
        <v>35</v>
      </c>
      <c r="T60" s="48" t="s">
        <v>35</v>
      </c>
      <c r="U60" s="48" t="s">
        <v>35</v>
      </c>
      <c r="V60" s="48" t="s">
        <v>35</v>
      </c>
      <c r="W60" s="45" t="s">
        <v>35</v>
      </c>
      <c r="X60" s="5" t="s">
        <v>52</v>
      </c>
      <c r="Y60" s="5" t="s">
        <v>54</v>
      </c>
      <c r="Z60" s="5" t="s">
        <v>40</v>
      </c>
      <c r="AA60" s="5" t="s">
        <v>502</v>
      </c>
      <c r="AB60" s="5"/>
      <c r="AC60" s="5" t="s">
        <v>19714</v>
      </c>
      <c r="AD60" s="6">
        <v>2267.0</v>
      </c>
    </row>
    <row r="61" ht="56.25" customHeight="1">
      <c r="A61" s="6">
        <v>65.0</v>
      </c>
      <c r="B61" s="5" t="s">
        <v>19715</v>
      </c>
      <c r="C61" s="16" t="str">
        <f>IMAGE("https://i.imgur.com/YX11P9w.png")</f>
        <v/>
      </c>
      <c r="D61" s="6" t="str">
        <f>IMAGE("https://storage.googleapis.com/acdb/fish/FtrFishHanahige.png")</f>
        <v/>
      </c>
      <c r="E61" s="6">
        <v>600.0</v>
      </c>
      <c r="F61" s="5" t="s">
        <v>19569</v>
      </c>
      <c r="G61" s="5" t="s">
        <v>19676</v>
      </c>
      <c r="H61" s="5" t="s">
        <v>19249</v>
      </c>
      <c r="I61" s="5" t="s">
        <v>36</v>
      </c>
      <c r="J61" s="8" t="s">
        <v>19250</v>
      </c>
      <c r="K61" s="8" t="s">
        <v>19250</v>
      </c>
      <c r="L61" s="45" t="s">
        <v>36</v>
      </c>
      <c r="M61" s="45" t="s">
        <v>36</v>
      </c>
      <c r="N61" s="46" t="s">
        <v>36</v>
      </c>
      <c r="O61" s="46" t="s">
        <v>36</v>
      </c>
      <c r="P61" s="46" t="s">
        <v>36</v>
      </c>
      <c r="Q61" s="47" t="s">
        <v>35</v>
      </c>
      <c r="R61" s="47" t="s">
        <v>35</v>
      </c>
      <c r="S61" s="47" t="s">
        <v>35</v>
      </c>
      <c r="T61" s="48" t="s">
        <v>35</v>
      </c>
      <c r="U61" s="48" t="s">
        <v>35</v>
      </c>
      <c r="V61" s="48" t="s">
        <v>36</v>
      </c>
      <c r="W61" s="45" t="s">
        <v>36</v>
      </c>
      <c r="X61" s="5" t="s">
        <v>68</v>
      </c>
      <c r="Y61" s="5" t="s">
        <v>54</v>
      </c>
      <c r="Z61" s="5" t="s">
        <v>276</v>
      </c>
      <c r="AA61" s="5" t="s">
        <v>502</v>
      </c>
      <c r="AB61" s="5"/>
      <c r="AC61" s="5" t="s">
        <v>19716</v>
      </c>
      <c r="AD61" s="6">
        <v>2272.0</v>
      </c>
    </row>
    <row r="62" ht="56.25" customHeight="1">
      <c r="A62" s="6">
        <v>45.0</v>
      </c>
      <c r="B62" s="5" t="s">
        <v>19718</v>
      </c>
      <c r="C62" s="16" t="str">
        <f>IMAGE("https://i.imgur.com/cfaAkFt.png")</f>
        <v/>
      </c>
      <c r="D62" s="6" t="str">
        <f>IMAGE("https://storage.googleapis.com/acdb/fish/FtrFishEndlicheri.png")</f>
        <v/>
      </c>
      <c r="E62" s="6">
        <v>4000.0</v>
      </c>
      <c r="F62" s="5" t="s">
        <v>19574</v>
      </c>
      <c r="G62" s="5" t="s">
        <v>19580</v>
      </c>
      <c r="H62" s="43" t="s">
        <v>19236</v>
      </c>
      <c r="I62" s="43" t="s">
        <v>36</v>
      </c>
      <c r="J62" s="44">
        <v>0.875</v>
      </c>
      <c r="K62" s="44">
        <v>0.16666666666666666</v>
      </c>
      <c r="L62" s="45" t="s">
        <v>36</v>
      </c>
      <c r="M62" s="45" t="s">
        <v>36</v>
      </c>
      <c r="N62" s="46" t="s">
        <v>36</v>
      </c>
      <c r="O62" s="46" t="s">
        <v>36</v>
      </c>
      <c r="P62" s="46" t="s">
        <v>36</v>
      </c>
      <c r="Q62" s="47" t="s">
        <v>35</v>
      </c>
      <c r="R62" s="47" t="s">
        <v>35</v>
      </c>
      <c r="S62" s="47" t="s">
        <v>35</v>
      </c>
      <c r="T62" s="48" t="s">
        <v>35</v>
      </c>
      <c r="U62" s="48" t="s">
        <v>36</v>
      </c>
      <c r="V62" s="48" t="s">
        <v>36</v>
      </c>
      <c r="W62" s="45" t="s">
        <v>36</v>
      </c>
      <c r="X62" s="5" t="s">
        <v>39</v>
      </c>
      <c r="Y62" s="5" t="s">
        <v>54</v>
      </c>
      <c r="Z62" s="5" t="s">
        <v>276</v>
      </c>
      <c r="AA62" s="5" t="s">
        <v>502</v>
      </c>
      <c r="AB62" s="5"/>
      <c r="AC62" s="5" t="s">
        <v>19720</v>
      </c>
      <c r="AD62" s="6">
        <v>2254.0</v>
      </c>
    </row>
    <row r="63" ht="56.25" customHeight="1">
      <c r="A63" s="6">
        <v>31.0</v>
      </c>
      <c r="B63" s="5" t="s">
        <v>19721</v>
      </c>
      <c r="C63" s="16" t="str">
        <f>IMAGE("https://i.imgur.com/HPUTybs.png")</f>
        <v/>
      </c>
      <c r="D63" s="6" t="str">
        <f>IMAGE("https://storage.googleapis.com/acdb/fish/FtrFishSake.png")</f>
        <v/>
      </c>
      <c r="E63" s="6">
        <v>700.0</v>
      </c>
      <c r="F63" s="5" t="s">
        <v>19663</v>
      </c>
      <c r="G63" s="5" t="s">
        <v>19580</v>
      </c>
      <c r="H63" s="5" t="s">
        <v>19249</v>
      </c>
      <c r="I63" s="5" t="s">
        <v>36</v>
      </c>
      <c r="J63" s="8" t="s">
        <v>19250</v>
      </c>
      <c r="K63" s="8" t="s">
        <v>19250</v>
      </c>
      <c r="L63" s="45" t="s">
        <v>36</v>
      </c>
      <c r="M63" s="45" t="s">
        <v>36</v>
      </c>
      <c r="N63" s="46" t="s">
        <v>36</v>
      </c>
      <c r="O63" s="46" t="s">
        <v>36</v>
      </c>
      <c r="P63" s="46" t="s">
        <v>36</v>
      </c>
      <c r="Q63" s="47" t="s">
        <v>36</v>
      </c>
      <c r="R63" s="47" t="s">
        <v>36</v>
      </c>
      <c r="S63" s="47" t="s">
        <v>36</v>
      </c>
      <c r="T63" s="48" t="s">
        <v>35</v>
      </c>
      <c r="U63" s="48" t="s">
        <v>36</v>
      </c>
      <c r="V63" s="48" t="s">
        <v>36</v>
      </c>
      <c r="W63" s="45" t="s">
        <v>36</v>
      </c>
      <c r="X63" s="5" t="s">
        <v>39</v>
      </c>
      <c r="Y63" s="5" t="s">
        <v>54</v>
      </c>
      <c r="Z63" s="5" t="s">
        <v>276</v>
      </c>
      <c r="AA63" s="5" t="s">
        <v>502</v>
      </c>
      <c r="AB63" s="5"/>
      <c r="AC63" s="5" t="s">
        <v>19722</v>
      </c>
      <c r="AD63" s="6">
        <v>2242.0</v>
      </c>
    </row>
    <row r="64" ht="56.25" customHeight="1">
      <c r="A64" s="6">
        <v>72.0</v>
      </c>
      <c r="B64" s="5" t="s">
        <v>19723</v>
      </c>
      <c r="C64" s="16" t="str">
        <f>IMAGE("https://i.imgur.com/WyBOZQ0.png")</f>
        <v/>
      </c>
      <c r="D64" s="6" t="str">
        <f>IMAGE("https://storage.googleapis.com/acdb/fish/FtrFishNokogiri.png")</f>
        <v/>
      </c>
      <c r="E64" s="6">
        <v>12000.0</v>
      </c>
      <c r="F64" s="5" t="s">
        <v>19569</v>
      </c>
      <c r="G64" s="5" t="s">
        <v>19651</v>
      </c>
      <c r="H64" s="43" t="s">
        <v>19267</v>
      </c>
      <c r="I64" s="43" t="s">
        <v>36</v>
      </c>
      <c r="J64" s="44">
        <v>0.6666666666666666</v>
      </c>
      <c r="K64" s="44">
        <v>0.375</v>
      </c>
      <c r="L64" s="45" t="s">
        <v>36</v>
      </c>
      <c r="M64" s="45" t="s">
        <v>36</v>
      </c>
      <c r="N64" s="46" t="s">
        <v>36</v>
      </c>
      <c r="O64" s="46" t="s">
        <v>36</v>
      </c>
      <c r="P64" s="46" t="s">
        <v>36</v>
      </c>
      <c r="Q64" s="47" t="s">
        <v>35</v>
      </c>
      <c r="R64" s="47" t="s">
        <v>35</v>
      </c>
      <c r="S64" s="47" t="s">
        <v>35</v>
      </c>
      <c r="T64" s="48" t="s">
        <v>35</v>
      </c>
      <c r="U64" s="48" t="s">
        <v>36</v>
      </c>
      <c r="V64" s="48" t="s">
        <v>36</v>
      </c>
      <c r="W64" s="45" t="s">
        <v>36</v>
      </c>
      <c r="X64" s="5" t="s">
        <v>39</v>
      </c>
      <c r="Y64" s="5" t="s">
        <v>54</v>
      </c>
      <c r="Z64" s="5" t="s">
        <v>276</v>
      </c>
      <c r="AA64" s="5" t="s">
        <v>502</v>
      </c>
      <c r="AB64" s="5"/>
      <c r="AC64" s="5" t="s">
        <v>19725</v>
      </c>
      <c r="AD64" s="6">
        <v>2281.0</v>
      </c>
    </row>
    <row r="65" ht="56.25" customHeight="1">
      <c r="A65" s="6">
        <v>59.0</v>
      </c>
      <c r="B65" s="5" t="s">
        <v>19726</v>
      </c>
      <c r="C65" s="16" t="str">
        <f>IMAGE("https://i.imgur.com/doHPXwJ.png")</f>
        <v/>
      </c>
      <c r="D65" s="6" t="str">
        <f>IMAGE("https://storage.googleapis.com/acdb/fish/FtrFishSuzuki.png")</f>
        <v/>
      </c>
      <c r="E65" s="6">
        <v>400.0</v>
      </c>
      <c r="F65" s="5" t="s">
        <v>19569</v>
      </c>
      <c r="G65" s="5" t="s">
        <v>19632</v>
      </c>
      <c r="H65" s="5" t="s">
        <v>19249</v>
      </c>
      <c r="I65" s="5" t="s">
        <v>36</v>
      </c>
      <c r="J65" s="8" t="s">
        <v>19250</v>
      </c>
      <c r="K65" s="8" t="s">
        <v>19250</v>
      </c>
      <c r="L65" s="45" t="s">
        <v>35</v>
      </c>
      <c r="M65" s="45" t="s">
        <v>35</v>
      </c>
      <c r="N65" s="46" t="s">
        <v>35</v>
      </c>
      <c r="O65" s="46" t="s">
        <v>35</v>
      </c>
      <c r="P65" s="46" t="s">
        <v>35</v>
      </c>
      <c r="Q65" s="47" t="s">
        <v>35</v>
      </c>
      <c r="R65" s="47" t="s">
        <v>35</v>
      </c>
      <c r="S65" s="47" t="s">
        <v>35</v>
      </c>
      <c r="T65" s="48" t="s">
        <v>35</v>
      </c>
      <c r="U65" s="48" t="s">
        <v>35</v>
      </c>
      <c r="V65" s="48" t="s">
        <v>35</v>
      </c>
      <c r="W65" s="45" t="s">
        <v>35</v>
      </c>
      <c r="X65" s="5" t="s">
        <v>95</v>
      </c>
      <c r="Y65" s="5" t="s">
        <v>54</v>
      </c>
      <c r="Z65" s="5" t="s">
        <v>276</v>
      </c>
      <c r="AA65" s="5" t="s">
        <v>502</v>
      </c>
      <c r="AB65" s="5"/>
      <c r="AC65" s="5" t="s">
        <v>19727</v>
      </c>
      <c r="AD65" s="6">
        <v>2266.0</v>
      </c>
    </row>
    <row r="66" ht="56.25" customHeight="1">
      <c r="A66" s="6">
        <v>47.0</v>
      </c>
      <c r="B66" s="5" t="s">
        <v>19728</v>
      </c>
      <c r="C66" s="16" t="str">
        <f>IMAGE("https://imgur.com/CWo0Eeq.png")</f>
        <v/>
      </c>
      <c r="D66" s="6" t="str">
        <f>IMAGE("https://storage.googleapis.com/acdb/fish/FtrFishKurione.png")</f>
        <v/>
      </c>
      <c r="E66" s="6">
        <v>1000.0</v>
      </c>
      <c r="F66" s="5" t="s">
        <v>19569</v>
      </c>
      <c r="G66" s="5" t="s">
        <v>19590</v>
      </c>
      <c r="H66" s="5" t="s">
        <v>19249</v>
      </c>
      <c r="I66" s="5" t="s">
        <v>36</v>
      </c>
      <c r="J66" s="8" t="s">
        <v>19250</v>
      </c>
      <c r="K66" s="8" t="s">
        <v>19250</v>
      </c>
      <c r="L66" s="45" t="s">
        <v>35</v>
      </c>
      <c r="M66" s="45" t="s">
        <v>35</v>
      </c>
      <c r="N66" s="46" t="s">
        <v>35</v>
      </c>
      <c r="O66" s="46" t="s">
        <v>36</v>
      </c>
      <c r="P66" s="46" t="s">
        <v>36</v>
      </c>
      <c r="Q66" s="47" t="s">
        <v>36</v>
      </c>
      <c r="R66" s="47" t="s">
        <v>36</v>
      </c>
      <c r="S66" s="47" t="s">
        <v>36</v>
      </c>
      <c r="T66" s="48" t="s">
        <v>36</v>
      </c>
      <c r="U66" s="48" t="s">
        <v>36</v>
      </c>
      <c r="V66" s="48" t="s">
        <v>36</v>
      </c>
      <c r="W66" s="45" t="s">
        <v>35</v>
      </c>
      <c r="X66" s="5" t="s">
        <v>57</v>
      </c>
      <c r="Y66" s="5" t="s">
        <v>54</v>
      </c>
      <c r="Z66" s="5" t="s">
        <v>40</v>
      </c>
      <c r="AA66" s="5" t="s">
        <v>502</v>
      </c>
      <c r="AB66" s="5"/>
      <c r="AC66" s="5" t="s">
        <v>19729</v>
      </c>
      <c r="AD66" s="6">
        <v>2255.0</v>
      </c>
    </row>
    <row r="67" ht="56.25" customHeight="1">
      <c r="A67" s="6">
        <v>48.0</v>
      </c>
      <c r="B67" s="5" t="s">
        <v>19730</v>
      </c>
      <c r="C67" s="16" t="str">
        <f>IMAGE("http://imgur.com/SNZr1nu.png")</f>
        <v/>
      </c>
      <c r="D67" s="6" t="str">
        <f>IMAGE("https://storage.googleapis.com/acdb/fish/FtrFishTatsunootoshigo.png")</f>
        <v/>
      </c>
      <c r="E67" s="6">
        <v>1100.0</v>
      </c>
      <c r="F67" s="5" t="s">
        <v>19569</v>
      </c>
      <c r="G67" s="5" t="s">
        <v>19590</v>
      </c>
      <c r="H67" s="5" t="s">
        <v>19249</v>
      </c>
      <c r="I67" s="5" t="s">
        <v>36</v>
      </c>
      <c r="J67" s="8" t="s">
        <v>19250</v>
      </c>
      <c r="K67" s="8" t="s">
        <v>19250</v>
      </c>
      <c r="L67" s="45" t="s">
        <v>36</v>
      </c>
      <c r="M67" s="45" t="s">
        <v>36</v>
      </c>
      <c r="N67" s="46" t="s">
        <v>36</v>
      </c>
      <c r="O67" s="46" t="s">
        <v>35</v>
      </c>
      <c r="P67" s="46" t="s">
        <v>35</v>
      </c>
      <c r="Q67" s="47" t="s">
        <v>35</v>
      </c>
      <c r="R67" s="47" t="s">
        <v>35</v>
      </c>
      <c r="S67" s="47" t="s">
        <v>35</v>
      </c>
      <c r="T67" s="48" t="s">
        <v>35</v>
      </c>
      <c r="U67" s="48" t="s">
        <v>35</v>
      </c>
      <c r="V67" s="48" t="s">
        <v>35</v>
      </c>
      <c r="W67" s="45" t="s">
        <v>36</v>
      </c>
      <c r="X67" s="5" t="s">
        <v>142</v>
      </c>
      <c r="Y67" s="5" t="s">
        <v>54</v>
      </c>
      <c r="Z67" s="5" t="s">
        <v>40</v>
      </c>
      <c r="AA67" s="5" t="s">
        <v>502</v>
      </c>
      <c r="AB67" s="5"/>
      <c r="AC67" s="5" t="s">
        <v>19732</v>
      </c>
      <c r="AD67" s="6">
        <v>2256.0</v>
      </c>
    </row>
    <row r="68" ht="56.25" customHeight="1">
      <c r="A68" s="6">
        <v>13.0</v>
      </c>
      <c r="B68" s="5" t="s">
        <v>19733</v>
      </c>
      <c r="C68" s="16" t="str">
        <f>IMAGE("https://i.imgur.com/H3lbVGH.png")</f>
        <v/>
      </c>
      <c r="D68" s="6" t="str">
        <f>IMAGE("https://storage.googleapis.com/acdb/fish/FtrFishKamitukigame.png")</f>
        <v/>
      </c>
      <c r="E68" s="6">
        <v>5000.0</v>
      </c>
      <c r="F68" s="5" t="s">
        <v>19574</v>
      </c>
      <c r="G68" s="5" t="s">
        <v>19580</v>
      </c>
      <c r="H68" s="43" t="s">
        <v>19249</v>
      </c>
      <c r="I68" s="43" t="s">
        <v>36</v>
      </c>
      <c r="J68" s="44">
        <v>0.875</v>
      </c>
      <c r="K68" s="44">
        <v>0.16666666666666666</v>
      </c>
      <c r="L68" s="45" t="s">
        <v>36</v>
      </c>
      <c r="M68" s="45" t="s">
        <v>36</v>
      </c>
      <c r="N68" s="46" t="s">
        <v>36</v>
      </c>
      <c r="O68" s="46" t="s">
        <v>35</v>
      </c>
      <c r="P68" s="46" t="s">
        <v>35</v>
      </c>
      <c r="Q68" s="47" t="s">
        <v>35</v>
      </c>
      <c r="R68" s="47" t="s">
        <v>35</v>
      </c>
      <c r="S68" s="47" t="s">
        <v>35</v>
      </c>
      <c r="T68" s="48" t="s">
        <v>35</v>
      </c>
      <c r="U68" s="48" t="s">
        <v>35</v>
      </c>
      <c r="V68" s="48" t="s">
        <v>36</v>
      </c>
      <c r="W68" s="45" t="s">
        <v>36</v>
      </c>
      <c r="X68" s="5" t="s">
        <v>39</v>
      </c>
      <c r="Y68" s="5" t="s">
        <v>54</v>
      </c>
      <c r="Z68" s="5" t="s">
        <v>40</v>
      </c>
      <c r="AA68" s="5" t="s">
        <v>47</v>
      </c>
      <c r="AB68" s="5"/>
      <c r="AC68" s="5" t="s">
        <v>19734</v>
      </c>
      <c r="AD68" s="6">
        <v>4192.0</v>
      </c>
    </row>
    <row r="69" ht="56.25" customHeight="1">
      <c r="A69" s="6">
        <v>12.0</v>
      </c>
      <c r="B69" s="5" t="s">
        <v>19735</v>
      </c>
      <c r="C69" s="16" t="str">
        <f>IMAGE("https://i.imgur.com/uSzay0T.png")</f>
        <v/>
      </c>
      <c r="D69" s="6" t="str">
        <f>IMAGE("https://storage.googleapis.com/acdb/fish/FtrFishSuppon.png")</f>
        <v/>
      </c>
      <c r="E69" s="6">
        <v>3750.0</v>
      </c>
      <c r="F69" s="5" t="s">
        <v>19574</v>
      </c>
      <c r="G69" s="5" t="s">
        <v>19580</v>
      </c>
      <c r="H69" s="43" t="s">
        <v>19236</v>
      </c>
      <c r="I69" s="43" t="s">
        <v>36</v>
      </c>
      <c r="J69" s="44">
        <v>0.6666666666666666</v>
      </c>
      <c r="K69" s="44">
        <v>0.375</v>
      </c>
      <c r="L69" s="45" t="s">
        <v>36</v>
      </c>
      <c r="M69" s="45" t="s">
        <v>36</v>
      </c>
      <c r="N69" s="46" t="s">
        <v>36</v>
      </c>
      <c r="O69" s="46" t="s">
        <v>36</v>
      </c>
      <c r="P69" s="46" t="s">
        <v>36</v>
      </c>
      <c r="Q69" s="47" t="s">
        <v>36</v>
      </c>
      <c r="R69" s="47" t="s">
        <v>36</v>
      </c>
      <c r="S69" s="47" t="s">
        <v>35</v>
      </c>
      <c r="T69" s="48" t="s">
        <v>35</v>
      </c>
      <c r="U69" s="48" t="s">
        <v>36</v>
      </c>
      <c r="V69" s="48" t="s">
        <v>36</v>
      </c>
      <c r="W69" s="45" t="s">
        <v>36</v>
      </c>
      <c r="X69" s="5" t="s">
        <v>96</v>
      </c>
      <c r="Y69" s="5" t="s">
        <v>54</v>
      </c>
      <c r="Z69" s="5" t="s">
        <v>40</v>
      </c>
      <c r="AA69" s="5" t="s">
        <v>47</v>
      </c>
      <c r="AB69" s="5"/>
      <c r="AC69" s="5" t="s">
        <v>19736</v>
      </c>
      <c r="AD69" s="6">
        <v>2224.0</v>
      </c>
    </row>
    <row r="70" ht="56.25" customHeight="1">
      <c r="A70" s="6">
        <v>63.0</v>
      </c>
      <c r="B70" s="5" t="s">
        <v>19737</v>
      </c>
      <c r="C70" s="16" t="str">
        <f>IMAGE("https://i.imgur.com/qBreH53.png")</f>
        <v/>
      </c>
      <c r="D70" s="6" t="str">
        <f>IMAGE("https://storage.googleapis.com/acdb/fish/FtrFishIka.png")</f>
        <v/>
      </c>
      <c r="E70" s="6">
        <v>500.0</v>
      </c>
      <c r="F70" s="5" t="s">
        <v>19569</v>
      </c>
      <c r="G70" s="5" t="s">
        <v>19583</v>
      </c>
      <c r="H70" s="5" t="s">
        <v>19249</v>
      </c>
      <c r="I70" s="5" t="s">
        <v>36</v>
      </c>
      <c r="J70" s="8" t="s">
        <v>19250</v>
      </c>
      <c r="K70" s="8" t="s">
        <v>19250</v>
      </c>
      <c r="L70" s="45" t="s">
        <v>35</v>
      </c>
      <c r="M70" s="45" t="s">
        <v>35</v>
      </c>
      <c r="N70" s="46" t="s">
        <v>35</v>
      </c>
      <c r="O70" s="46" t="s">
        <v>35</v>
      </c>
      <c r="P70" s="46" t="s">
        <v>35</v>
      </c>
      <c r="Q70" s="47" t="s">
        <v>35</v>
      </c>
      <c r="R70" s="47" t="s">
        <v>35</v>
      </c>
      <c r="S70" s="47" t="s">
        <v>35</v>
      </c>
      <c r="T70" s="48" t="s">
        <v>36</v>
      </c>
      <c r="U70" s="48" t="s">
        <v>36</v>
      </c>
      <c r="V70" s="48" t="s">
        <v>36</v>
      </c>
      <c r="W70" s="45" t="s">
        <v>35</v>
      </c>
      <c r="X70" s="5" t="s">
        <v>38</v>
      </c>
      <c r="Y70" s="5" t="s">
        <v>54</v>
      </c>
      <c r="Z70" s="5" t="s">
        <v>40</v>
      </c>
      <c r="AA70" s="5" t="s">
        <v>502</v>
      </c>
      <c r="AB70" s="5"/>
      <c r="AC70" s="5" t="s">
        <v>19738</v>
      </c>
      <c r="AD70" s="6">
        <v>2270.0</v>
      </c>
    </row>
    <row r="71" ht="56.25" customHeight="1">
      <c r="A71" s="6">
        <v>30.0</v>
      </c>
      <c r="B71" s="5" t="s">
        <v>19739</v>
      </c>
      <c r="C71" s="16" t="str">
        <f>IMAGE("https://i.imgur.com/Je8MTMi.png")</f>
        <v/>
      </c>
      <c r="D71" s="6" t="str">
        <f>IMAGE("https://storage.googleapis.com/acdb/fish/FtrFishItou.png")</f>
        <v/>
      </c>
      <c r="E71" s="6">
        <v>15000.0</v>
      </c>
      <c r="F71" s="5" t="s">
        <v>19610</v>
      </c>
      <c r="G71" s="5" t="s">
        <v>19632</v>
      </c>
      <c r="H71" s="43" t="s">
        <v>19323</v>
      </c>
      <c r="I71" s="43" t="s">
        <v>36</v>
      </c>
      <c r="J71" s="44">
        <v>0.6666666666666666</v>
      </c>
      <c r="K71" s="44">
        <v>0.375</v>
      </c>
      <c r="L71" s="45" t="s">
        <v>35</v>
      </c>
      <c r="M71" s="45" t="s">
        <v>35</v>
      </c>
      <c r="N71" s="46" t="s">
        <v>35</v>
      </c>
      <c r="O71" s="46" t="s">
        <v>36</v>
      </c>
      <c r="P71" s="46" t="s">
        <v>36</v>
      </c>
      <c r="Q71" s="47" t="s">
        <v>36</v>
      </c>
      <c r="R71" s="47" t="s">
        <v>36</v>
      </c>
      <c r="S71" s="47" t="s">
        <v>36</v>
      </c>
      <c r="T71" s="48" t="s">
        <v>36</v>
      </c>
      <c r="U71" s="48" t="s">
        <v>36</v>
      </c>
      <c r="V71" s="48" t="s">
        <v>36</v>
      </c>
      <c r="W71" s="45" t="s">
        <v>35</v>
      </c>
      <c r="X71" s="5" t="s">
        <v>39</v>
      </c>
      <c r="Y71" s="5" t="s">
        <v>54</v>
      </c>
      <c r="Z71" s="5" t="s">
        <v>276</v>
      </c>
      <c r="AA71" s="5" t="s">
        <v>502</v>
      </c>
      <c r="AB71" s="5"/>
      <c r="AC71" s="5" t="s">
        <v>19740</v>
      </c>
      <c r="AD71" s="6">
        <v>2241.0</v>
      </c>
    </row>
    <row r="72" ht="56.25" customHeight="1">
      <c r="A72" s="6">
        <v>46.0</v>
      </c>
      <c r="B72" s="5" t="s">
        <v>19741</v>
      </c>
      <c r="C72" s="16" t="str">
        <f>IMAGE("https://i.imgur.com/lONOoFV.png")</f>
        <v/>
      </c>
      <c r="D72" s="6" t="str">
        <f>IMAGE("https://storage.googleapis.com/acdb/fish/FtrFishTyouzame.png")</f>
        <v/>
      </c>
      <c r="E72" s="6">
        <v>10000.0</v>
      </c>
      <c r="F72" s="5" t="s">
        <v>19663</v>
      </c>
      <c r="G72" s="5" t="s">
        <v>19577</v>
      </c>
      <c r="H72" s="5" t="s">
        <v>19236</v>
      </c>
      <c r="I72" s="5" t="s">
        <v>35</v>
      </c>
      <c r="J72" s="8" t="s">
        <v>19250</v>
      </c>
      <c r="K72" s="8" t="s">
        <v>19250</v>
      </c>
      <c r="L72" s="45" t="s">
        <v>35</v>
      </c>
      <c r="M72" s="45" t="s">
        <v>35</v>
      </c>
      <c r="N72" s="46" t="s">
        <v>35</v>
      </c>
      <c r="O72" s="46" t="s">
        <v>36</v>
      </c>
      <c r="P72" s="46" t="s">
        <v>36</v>
      </c>
      <c r="Q72" s="47" t="s">
        <v>36</v>
      </c>
      <c r="R72" s="47" t="s">
        <v>36</v>
      </c>
      <c r="S72" s="47" t="s">
        <v>36</v>
      </c>
      <c r="T72" s="48" t="s">
        <v>35</v>
      </c>
      <c r="U72" s="48" t="s">
        <v>35</v>
      </c>
      <c r="V72" s="48" t="s">
        <v>35</v>
      </c>
      <c r="W72" s="45" t="s">
        <v>35</v>
      </c>
      <c r="X72" s="5" t="s">
        <v>54</v>
      </c>
      <c r="Y72" s="5" t="s">
        <v>54</v>
      </c>
      <c r="Z72" s="5" t="s">
        <v>276</v>
      </c>
      <c r="AA72" s="5" t="s">
        <v>502</v>
      </c>
      <c r="AB72" s="5"/>
      <c r="AC72" s="5" t="s">
        <v>19742</v>
      </c>
      <c r="AD72" s="6">
        <v>4189.0</v>
      </c>
    </row>
    <row r="73" ht="56.25" customHeight="1">
      <c r="A73" s="6">
        <v>76.0</v>
      </c>
      <c r="B73" s="5" t="s">
        <v>19743</v>
      </c>
      <c r="C73" s="16" t="str">
        <f>IMAGE("https://i.imgur.com/X57NXnl.png")</f>
        <v/>
      </c>
      <c r="D73" s="6" t="str">
        <f>IMAGE("https://storage.googleapis.com/acdb/fish/FtrFishKobanzame.png")</f>
        <v/>
      </c>
      <c r="E73" s="6">
        <v>1500.0</v>
      </c>
      <c r="F73" s="5" t="s">
        <v>19569</v>
      </c>
      <c r="G73" s="5" t="s">
        <v>19744</v>
      </c>
      <c r="H73" s="5" t="s">
        <v>19236</v>
      </c>
      <c r="I73" s="5" t="s">
        <v>36</v>
      </c>
      <c r="J73" s="8" t="s">
        <v>19250</v>
      </c>
      <c r="K73" s="8" t="s">
        <v>19250</v>
      </c>
      <c r="L73" s="45" t="s">
        <v>36</v>
      </c>
      <c r="M73" s="45" t="s">
        <v>36</v>
      </c>
      <c r="N73" s="46" t="s">
        <v>36</v>
      </c>
      <c r="O73" s="46" t="s">
        <v>36</v>
      </c>
      <c r="P73" s="46" t="s">
        <v>36</v>
      </c>
      <c r="Q73" s="47" t="s">
        <v>35</v>
      </c>
      <c r="R73" s="47" t="s">
        <v>35</v>
      </c>
      <c r="S73" s="47" t="s">
        <v>35</v>
      </c>
      <c r="T73" s="48" t="s">
        <v>35</v>
      </c>
      <c r="U73" s="48" t="s">
        <v>36</v>
      </c>
      <c r="V73" s="48" t="s">
        <v>36</v>
      </c>
      <c r="W73" s="45" t="s">
        <v>36</v>
      </c>
      <c r="X73" s="5" t="s">
        <v>54</v>
      </c>
      <c r="Y73" s="5" t="s">
        <v>54</v>
      </c>
      <c r="Z73" s="5" t="s">
        <v>40</v>
      </c>
      <c r="AA73" s="5" t="s">
        <v>502</v>
      </c>
      <c r="AB73" s="5"/>
      <c r="AC73" s="5" t="s">
        <v>19745</v>
      </c>
      <c r="AD73" s="6">
        <v>4203.0</v>
      </c>
    </row>
    <row r="74" ht="56.25" customHeight="1">
      <c r="A74" s="6">
        <v>50.0</v>
      </c>
      <c r="B74" s="5" t="s">
        <v>19746</v>
      </c>
      <c r="C74" s="16" t="str">
        <f>IMAGE("https://i.imgur.com/qfWTnni.png")</f>
        <v/>
      </c>
      <c r="D74" s="6" t="str">
        <f>IMAGE("https://storage.googleapis.com/acdb/fish/FtrFishNanyouhagi.png")</f>
        <v/>
      </c>
      <c r="E74" s="6">
        <v>1000.0</v>
      </c>
      <c r="F74" s="5" t="s">
        <v>19569</v>
      </c>
      <c r="G74" s="5" t="s">
        <v>19570</v>
      </c>
      <c r="H74" s="5" t="s">
        <v>19249</v>
      </c>
      <c r="I74" s="5" t="s">
        <v>36</v>
      </c>
      <c r="J74" s="8" t="s">
        <v>19250</v>
      </c>
      <c r="K74" s="8" t="s">
        <v>19250</v>
      </c>
      <c r="L74" s="45" t="s">
        <v>36</v>
      </c>
      <c r="M74" s="45" t="s">
        <v>36</v>
      </c>
      <c r="N74" s="46" t="s">
        <v>36</v>
      </c>
      <c r="O74" s="46" t="s">
        <v>35</v>
      </c>
      <c r="P74" s="46" t="s">
        <v>35</v>
      </c>
      <c r="Q74" s="47" t="s">
        <v>35</v>
      </c>
      <c r="R74" s="47" t="s">
        <v>35</v>
      </c>
      <c r="S74" s="47" t="s">
        <v>35</v>
      </c>
      <c r="T74" s="48" t="s">
        <v>35</v>
      </c>
      <c r="U74" s="48" t="s">
        <v>36</v>
      </c>
      <c r="V74" s="48" t="s">
        <v>36</v>
      </c>
      <c r="W74" s="45" t="s">
        <v>36</v>
      </c>
      <c r="X74" s="5" t="s">
        <v>68</v>
      </c>
      <c r="Y74" s="5" t="s">
        <v>54</v>
      </c>
      <c r="Z74" s="5" t="s">
        <v>40</v>
      </c>
      <c r="AA74" s="5" t="s">
        <v>502</v>
      </c>
      <c r="AB74" s="5"/>
      <c r="AC74" s="5" t="s">
        <v>19747</v>
      </c>
      <c r="AD74" s="6">
        <v>2258.0</v>
      </c>
    </row>
    <row r="75" ht="56.25" customHeight="1">
      <c r="A75" s="6">
        <v>26.0</v>
      </c>
      <c r="B75" s="5" t="s">
        <v>19748</v>
      </c>
      <c r="C75" s="16" t="str">
        <f>IMAGE("https://i.imgur.com/tXKSYzW.png")</f>
        <v/>
      </c>
      <c r="D75" s="6" t="str">
        <f>IMAGE("https://storage.googleapis.com/acdb/fish/FtrFishAyu.png")</f>
        <v/>
      </c>
      <c r="E75" s="6">
        <v>900.0</v>
      </c>
      <c r="F75" s="5" t="s">
        <v>19574</v>
      </c>
      <c r="G75" s="5" t="s">
        <v>19583</v>
      </c>
      <c r="H75" s="5" t="s">
        <v>19249</v>
      </c>
      <c r="I75" s="5" t="s">
        <v>36</v>
      </c>
      <c r="J75" s="8" t="s">
        <v>19250</v>
      </c>
      <c r="K75" s="8" t="s">
        <v>19250</v>
      </c>
      <c r="L75" s="45" t="s">
        <v>36</v>
      </c>
      <c r="M75" s="45" t="s">
        <v>36</v>
      </c>
      <c r="N75" s="46" t="s">
        <v>36</v>
      </c>
      <c r="O75" s="46" t="s">
        <v>36</v>
      </c>
      <c r="P75" s="46" t="s">
        <v>36</v>
      </c>
      <c r="Q75" s="47" t="s">
        <v>36</v>
      </c>
      <c r="R75" s="47" t="s">
        <v>35</v>
      </c>
      <c r="S75" s="47" t="s">
        <v>35</v>
      </c>
      <c r="T75" s="48" t="s">
        <v>35</v>
      </c>
      <c r="U75" s="48" t="s">
        <v>36</v>
      </c>
      <c r="V75" s="48" t="s">
        <v>36</v>
      </c>
      <c r="W75" s="45" t="s">
        <v>36</v>
      </c>
      <c r="X75" s="5" t="s">
        <v>96</v>
      </c>
      <c r="Y75" s="5" t="s">
        <v>54</v>
      </c>
      <c r="Z75" s="5" t="s">
        <v>40</v>
      </c>
      <c r="AA75" s="5" t="s">
        <v>502</v>
      </c>
      <c r="AB75" s="5"/>
      <c r="AC75" s="5" t="s">
        <v>19749</v>
      </c>
      <c r="AD75" s="6">
        <v>2237.0</v>
      </c>
    </row>
    <row r="76" ht="56.25" customHeight="1">
      <c r="A76" s="6">
        <v>14.0</v>
      </c>
      <c r="B76" s="5" t="s">
        <v>19750</v>
      </c>
      <c r="C76" s="16" t="str">
        <f>IMAGE("https://i.imgur.com/IYsxgQ0.png")</f>
        <v/>
      </c>
      <c r="D76" s="6" t="str">
        <f>IMAGE("https://storage.googleapis.com/acdb/fish/FtrFishOtama.png")</f>
        <v/>
      </c>
      <c r="E76" s="6">
        <v>100.0</v>
      </c>
      <c r="F76" s="5" t="s">
        <v>19605</v>
      </c>
      <c r="G76" s="5" t="s">
        <v>19590</v>
      </c>
      <c r="H76" s="5" t="s">
        <v>19249</v>
      </c>
      <c r="I76" s="5" t="s">
        <v>36</v>
      </c>
      <c r="J76" s="8" t="s">
        <v>19250</v>
      </c>
      <c r="K76" s="8" t="s">
        <v>19250</v>
      </c>
      <c r="L76" s="45" t="s">
        <v>36</v>
      </c>
      <c r="M76" s="45" t="s">
        <v>36</v>
      </c>
      <c r="N76" s="46" t="s">
        <v>35</v>
      </c>
      <c r="O76" s="46" t="s">
        <v>35</v>
      </c>
      <c r="P76" s="46" t="s">
        <v>35</v>
      </c>
      <c r="Q76" s="47" t="s">
        <v>35</v>
      </c>
      <c r="R76" s="47" t="s">
        <v>35</v>
      </c>
      <c r="S76" s="47" t="s">
        <v>36</v>
      </c>
      <c r="T76" s="48" t="s">
        <v>36</v>
      </c>
      <c r="U76" s="48" t="s">
        <v>36</v>
      </c>
      <c r="V76" s="48" t="s">
        <v>36</v>
      </c>
      <c r="W76" s="45" t="s">
        <v>36</v>
      </c>
      <c r="X76" s="5" t="s">
        <v>54</v>
      </c>
      <c r="Y76" s="5" t="s">
        <v>68</v>
      </c>
      <c r="Z76" s="5" t="s">
        <v>40</v>
      </c>
      <c r="AA76" s="5" t="s">
        <v>47</v>
      </c>
      <c r="AB76" s="5"/>
      <c r="AC76" s="5" t="s">
        <v>19751</v>
      </c>
      <c r="AD76" s="6">
        <v>2225.0</v>
      </c>
    </row>
    <row r="77" ht="56.25" customHeight="1">
      <c r="A77" s="6">
        <v>23.0</v>
      </c>
      <c r="B77" s="5" t="s">
        <v>19752</v>
      </c>
      <c r="C77" s="16" t="str">
        <f>IMAGE("http://imgur.com/wSDCDVy.png")</f>
        <v/>
      </c>
      <c r="D77" s="6" t="str">
        <f>IMAGE("https://storage.googleapis.com/acdb/fish/FtrFishThirapia.png")</f>
        <v/>
      </c>
      <c r="E77" s="6">
        <v>800.0</v>
      </c>
      <c r="F77" s="5" t="s">
        <v>19574</v>
      </c>
      <c r="G77" s="5" t="s">
        <v>19583</v>
      </c>
      <c r="H77" s="5" t="s">
        <v>19249</v>
      </c>
      <c r="I77" s="5" t="s">
        <v>36</v>
      </c>
      <c r="J77" s="8" t="s">
        <v>19250</v>
      </c>
      <c r="K77" s="8" t="s">
        <v>19250</v>
      </c>
      <c r="L77" s="45" t="s">
        <v>36</v>
      </c>
      <c r="M77" s="45" t="s">
        <v>36</v>
      </c>
      <c r="N77" s="46" t="s">
        <v>36</v>
      </c>
      <c r="O77" s="46" t="s">
        <v>36</v>
      </c>
      <c r="P77" s="46" t="s">
        <v>36</v>
      </c>
      <c r="Q77" s="47" t="s">
        <v>35</v>
      </c>
      <c r="R77" s="47" t="s">
        <v>35</v>
      </c>
      <c r="S77" s="47" t="s">
        <v>35</v>
      </c>
      <c r="T77" s="48" t="s">
        <v>35</v>
      </c>
      <c r="U77" s="48" t="s">
        <v>35</v>
      </c>
      <c r="V77" s="48" t="s">
        <v>36</v>
      </c>
      <c r="W77" s="45" t="s">
        <v>36</v>
      </c>
      <c r="X77" s="5" t="s">
        <v>54</v>
      </c>
      <c r="Y77" s="5" t="s">
        <v>54</v>
      </c>
      <c r="Z77" s="5" t="s">
        <v>40</v>
      </c>
      <c r="AA77" s="5" t="s">
        <v>502</v>
      </c>
      <c r="AB77" s="5"/>
      <c r="AC77" s="5" t="s">
        <v>19754</v>
      </c>
      <c r="AD77" s="6">
        <v>4190.0</v>
      </c>
    </row>
    <row r="78" ht="56.25" customHeight="1">
      <c r="A78" s="6">
        <v>66.0</v>
      </c>
      <c r="B78" s="5" t="s">
        <v>19755</v>
      </c>
      <c r="C78" s="16" t="str">
        <f>IMAGE("https://i.imgur.com/uWJT9rN.png")</f>
        <v/>
      </c>
      <c r="D78" s="6" t="str">
        <f>IMAGE("https://storage.googleapis.com/acdb/fish/FtrFishMaguro.png")</f>
        <v/>
      </c>
      <c r="E78" s="6">
        <v>7000.0</v>
      </c>
      <c r="F78" s="5" t="s">
        <v>19598</v>
      </c>
      <c r="G78" s="5" t="s">
        <v>19577</v>
      </c>
      <c r="H78" s="5" t="s">
        <v>19267</v>
      </c>
      <c r="I78" s="5" t="s">
        <v>35</v>
      </c>
      <c r="J78" s="8" t="s">
        <v>19250</v>
      </c>
      <c r="K78" s="8" t="s">
        <v>19250</v>
      </c>
      <c r="L78" s="45" t="s">
        <v>35</v>
      </c>
      <c r="M78" s="45" t="s">
        <v>35</v>
      </c>
      <c r="N78" s="46" t="s">
        <v>35</v>
      </c>
      <c r="O78" s="46" t="s">
        <v>35</v>
      </c>
      <c r="P78" s="46" t="s">
        <v>36</v>
      </c>
      <c r="Q78" s="47" t="s">
        <v>36</v>
      </c>
      <c r="R78" s="47" t="s">
        <v>36</v>
      </c>
      <c r="S78" s="47" t="s">
        <v>36</v>
      </c>
      <c r="T78" s="48" t="s">
        <v>36</v>
      </c>
      <c r="U78" s="48" t="s">
        <v>36</v>
      </c>
      <c r="V78" s="48" t="s">
        <v>35</v>
      </c>
      <c r="W78" s="45" t="s">
        <v>35</v>
      </c>
      <c r="X78" s="5" t="s">
        <v>68</v>
      </c>
      <c r="Y78" s="5" t="s">
        <v>54</v>
      </c>
      <c r="Z78" s="5" t="s">
        <v>276</v>
      </c>
      <c r="AA78" s="5" t="s">
        <v>502</v>
      </c>
      <c r="AB78" s="5"/>
      <c r="AC78" s="5" t="s">
        <v>19756</v>
      </c>
      <c r="AD78" s="6">
        <v>2274.0</v>
      </c>
    </row>
    <row r="79" ht="56.25" customHeight="1">
      <c r="A79" s="6">
        <v>75.0</v>
      </c>
      <c r="B79" s="5" t="s">
        <v>19757</v>
      </c>
      <c r="C79" s="16" t="str">
        <f>IMAGE("https://i.imgur.com/U75MFAQ.png")</f>
        <v/>
      </c>
      <c r="D79" s="6" t="str">
        <f>IMAGE("https://storage.googleapis.com/acdb/fish/FtrFishJinbee.png")</f>
        <v/>
      </c>
      <c r="E79" s="6">
        <v>13000.0</v>
      </c>
      <c r="F79" s="5" t="s">
        <v>19569</v>
      </c>
      <c r="G79" s="5" t="s">
        <v>19651</v>
      </c>
      <c r="H79" s="5" t="s">
        <v>19267</v>
      </c>
      <c r="I79" s="5" t="s">
        <v>35</v>
      </c>
      <c r="J79" s="8" t="s">
        <v>19250</v>
      </c>
      <c r="K79" s="8" t="s">
        <v>19250</v>
      </c>
      <c r="L79" s="45" t="s">
        <v>36</v>
      </c>
      <c r="M79" s="45" t="s">
        <v>36</v>
      </c>
      <c r="N79" s="46" t="s">
        <v>36</v>
      </c>
      <c r="O79" s="46" t="s">
        <v>36</v>
      </c>
      <c r="P79" s="46" t="s">
        <v>36</v>
      </c>
      <c r="Q79" s="47" t="s">
        <v>35</v>
      </c>
      <c r="R79" s="47" t="s">
        <v>35</v>
      </c>
      <c r="S79" s="47" t="s">
        <v>35</v>
      </c>
      <c r="T79" s="48" t="s">
        <v>35</v>
      </c>
      <c r="U79" s="48" t="s">
        <v>36</v>
      </c>
      <c r="V79" s="48" t="s">
        <v>36</v>
      </c>
      <c r="W79" s="45" t="s">
        <v>36</v>
      </c>
      <c r="X79" s="5" t="s">
        <v>54</v>
      </c>
      <c r="Y79" s="5" t="s">
        <v>68</v>
      </c>
      <c r="Z79" s="5" t="s">
        <v>11558</v>
      </c>
      <c r="AA79" s="5" t="s">
        <v>47</v>
      </c>
      <c r="AB79" s="5"/>
      <c r="AC79" s="5" t="s">
        <v>19758</v>
      </c>
      <c r="AD79" s="6">
        <v>2282.0</v>
      </c>
    </row>
    <row r="80" ht="56.25" customHeight="1">
      <c r="A80" s="6">
        <v>21.0</v>
      </c>
      <c r="B80" s="5" t="s">
        <v>19759</v>
      </c>
      <c r="C80" s="16" t="str">
        <f>IMAGE("https://i.imgur.com/MMdzoJt.png")</f>
        <v/>
      </c>
      <c r="D80" s="6" t="str">
        <f>IMAGE("https://storage.googleapis.com/acdb/fish/FtrFishYellowparch.png")</f>
        <v/>
      </c>
      <c r="E80" s="6">
        <v>300.0</v>
      </c>
      <c r="F80" s="5" t="s">
        <v>19574</v>
      </c>
      <c r="G80" s="5" t="s">
        <v>19583</v>
      </c>
      <c r="H80" s="5" t="s">
        <v>19249</v>
      </c>
      <c r="I80" s="5" t="s">
        <v>36</v>
      </c>
      <c r="J80" s="8" t="s">
        <v>19250</v>
      </c>
      <c r="K80" s="8" t="s">
        <v>19250</v>
      </c>
      <c r="L80" s="45" t="s">
        <v>35</v>
      </c>
      <c r="M80" s="45" t="s">
        <v>35</v>
      </c>
      <c r="N80" s="46" t="s">
        <v>35</v>
      </c>
      <c r="O80" s="46" t="s">
        <v>36</v>
      </c>
      <c r="P80" s="46" t="s">
        <v>36</v>
      </c>
      <c r="Q80" s="47" t="s">
        <v>36</v>
      </c>
      <c r="R80" s="47" t="s">
        <v>36</v>
      </c>
      <c r="S80" s="47" t="s">
        <v>36</v>
      </c>
      <c r="T80" s="48" t="s">
        <v>36</v>
      </c>
      <c r="U80" s="48" t="s">
        <v>35</v>
      </c>
      <c r="V80" s="48" t="s">
        <v>35</v>
      </c>
      <c r="W80" s="45" t="s">
        <v>35</v>
      </c>
      <c r="X80" s="5" t="s">
        <v>114</v>
      </c>
      <c r="Y80" s="5" t="s">
        <v>54</v>
      </c>
      <c r="Z80" s="5" t="s">
        <v>40</v>
      </c>
      <c r="AA80" s="5" t="s">
        <v>502</v>
      </c>
      <c r="AB80" s="5"/>
      <c r="AC80" s="5" t="s">
        <v>19761</v>
      </c>
      <c r="AD80" s="6">
        <v>2233.0</v>
      </c>
    </row>
    <row r="81" ht="56.25" customHeight="1">
      <c r="A81" s="6">
        <v>53.0</v>
      </c>
      <c r="B81" s="5" t="s">
        <v>19762</v>
      </c>
      <c r="C81" s="16" t="str">
        <f>IMAGE("https://i.imgur.com/GdwR6xc.png")</f>
        <v/>
      </c>
      <c r="D81" s="6" t="str">
        <f>IMAGE("https://storage.googleapis.com/acdb/fish/FtrFishMinokasago.png")</f>
        <v/>
      </c>
      <c r="E81" s="6">
        <v>500.0</v>
      </c>
      <c r="F81" s="5" t="s">
        <v>19569</v>
      </c>
      <c r="G81" s="5" t="s">
        <v>19583</v>
      </c>
      <c r="H81" s="5" t="s">
        <v>19249</v>
      </c>
      <c r="I81" s="5" t="s">
        <v>36</v>
      </c>
      <c r="J81" s="8" t="s">
        <v>19250</v>
      </c>
      <c r="K81" s="8" t="s">
        <v>19250</v>
      </c>
      <c r="L81" s="45" t="s">
        <v>36</v>
      </c>
      <c r="M81" s="45" t="s">
        <v>36</v>
      </c>
      <c r="N81" s="46" t="s">
        <v>36</v>
      </c>
      <c r="O81" s="46" t="s">
        <v>35</v>
      </c>
      <c r="P81" s="46" t="s">
        <v>35</v>
      </c>
      <c r="Q81" s="47" t="s">
        <v>35</v>
      </c>
      <c r="R81" s="47" t="s">
        <v>35</v>
      </c>
      <c r="S81" s="47" t="s">
        <v>35</v>
      </c>
      <c r="T81" s="48" t="s">
        <v>35</v>
      </c>
      <c r="U81" s="48" t="s">
        <v>35</v>
      </c>
      <c r="V81" s="48" t="s">
        <v>35</v>
      </c>
      <c r="W81" s="45" t="s">
        <v>36</v>
      </c>
      <c r="X81" s="5" t="s">
        <v>52</v>
      </c>
      <c r="Y81" s="5" t="s">
        <v>54</v>
      </c>
      <c r="Z81" s="5" t="s">
        <v>40</v>
      </c>
      <c r="AA81" s="5" t="s">
        <v>502</v>
      </c>
      <c r="AB81" s="5"/>
      <c r="AC81" s="5" t="s">
        <v>19763</v>
      </c>
      <c r="AD81" s="6">
        <v>2261.0</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3.0"/>
    <col customWidth="1" min="2" max="2" width="14.43"/>
    <col customWidth="1" min="3" max="4" width="10.86"/>
    <col customWidth="1" min="5" max="5" width="5.86"/>
    <col customWidth="1" min="6" max="6" width="14.43"/>
    <col customWidth="1" min="7" max="7" width="8.71"/>
    <col customWidth="1" min="8" max="9" width="10.86"/>
    <col customWidth="1" min="10" max="11" width="8.71"/>
    <col customWidth="1" min="12" max="23" width="4.43"/>
    <col customWidth="1" min="24" max="25" width="8.0"/>
    <col customWidth="1" min="26" max="26" width="5.14"/>
    <col customWidth="1" min="27" max="27" width="9.43"/>
    <col customWidth="1" min="28" max="29" width="12.29"/>
    <col customWidth="1" min="30" max="30" width="8.0"/>
  </cols>
  <sheetData>
    <row r="1" ht="26.25" customHeight="1">
      <c r="A1" s="2" t="s">
        <v>19194</v>
      </c>
      <c r="B1" s="1" t="s">
        <v>0</v>
      </c>
      <c r="C1" s="2" t="s">
        <v>1</v>
      </c>
      <c r="D1" s="2" t="s">
        <v>19197</v>
      </c>
      <c r="E1" s="2" t="s">
        <v>11</v>
      </c>
      <c r="F1" s="1" t="s">
        <v>19198</v>
      </c>
      <c r="G1" s="1" t="s">
        <v>19566</v>
      </c>
      <c r="H1" s="1" t="s">
        <v>19200</v>
      </c>
      <c r="I1" s="1" t="s">
        <v>19567</v>
      </c>
      <c r="J1" s="4" t="s">
        <v>19202</v>
      </c>
      <c r="K1" s="4" t="s">
        <v>19203</v>
      </c>
      <c r="L1" s="41" t="s">
        <v>19204</v>
      </c>
      <c r="M1" s="41" t="s">
        <v>19208</v>
      </c>
      <c r="N1" s="42" t="s">
        <v>19209</v>
      </c>
      <c r="O1" s="42" t="s">
        <v>19211</v>
      </c>
      <c r="P1" s="42" t="s">
        <v>19212</v>
      </c>
      <c r="Q1" s="39" t="s">
        <v>19213</v>
      </c>
      <c r="R1" s="39" t="s">
        <v>19216</v>
      </c>
      <c r="S1" s="39" t="s">
        <v>19217</v>
      </c>
      <c r="T1" s="40" t="s">
        <v>19218</v>
      </c>
      <c r="U1" s="40" t="s">
        <v>19221</v>
      </c>
      <c r="V1" s="40" t="s">
        <v>19222</v>
      </c>
      <c r="W1" s="41" t="s">
        <v>19223</v>
      </c>
      <c r="X1" s="1" t="s">
        <v>12</v>
      </c>
      <c r="Y1" s="1" t="s">
        <v>13</v>
      </c>
      <c r="Z1" s="2" t="s">
        <v>14</v>
      </c>
      <c r="AA1" s="1" t="s">
        <v>25</v>
      </c>
      <c r="AB1" s="1" t="s">
        <v>19224</v>
      </c>
      <c r="AC1" s="1" t="s">
        <v>19226</v>
      </c>
      <c r="AD1" s="2" t="s">
        <v>29</v>
      </c>
    </row>
    <row r="2" ht="56.25" customHeight="1">
      <c r="A2" s="6">
        <v>56.0</v>
      </c>
      <c r="B2" s="5" t="s">
        <v>19568</v>
      </c>
      <c r="C2" s="16" t="str">
        <f>IMAGE("https://i.imgur.com/zEICzZj.png")</f>
        <v/>
      </c>
      <c r="D2" s="6" t="str">
        <f>IMAGE("https://storage.googleapis.com/acdb/fish/FtrFishAntyobi.png")</f>
        <v/>
      </c>
      <c r="E2" s="6">
        <v>200.0</v>
      </c>
      <c r="F2" s="5" t="s">
        <v>19569</v>
      </c>
      <c r="G2" s="5" t="s">
        <v>19570</v>
      </c>
      <c r="H2" s="43" t="s">
        <v>19249</v>
      </c>
      <c r="I2" s="43" t="s">
        <v>36</v>
      </c>
      <c r="J2" s="44">
        <v>0.16666666666666666</v>
      </c>
      <c r="K2" s="44">
        <v>0.875</v>
      </c>
      <c r="L2" s="47" t="s">
        <v>35</v>
      </c>
      <c r="M2" s="47" t="s">
        <v>35</v>
      </c>
      <c r="N2" s="48" t="s">
        <v>35</v>
      </c>
      <c r="O2" s="48" t="s">
        <v>35</v>
      </c>
      <c r="P2" s="48" t="s">
        <v>35</v>
      </c>
      <c r="Q2" s="45" t="s">
        <v>35</v>
      </c>
      <c r="R2" s="45" t="s">
        <v>35</v>
      </c>
      <c r="S2" s="45" t="s">
        <v>35</v>
      </c>
      <c r="T2" s="46" t="s">
        <v>35</v>
      </c>
      <c r="U2" s="46" t="s">
        <v>35</v>
      </c>
      <c r="V2" s="46" t="s">
        <v>35</v>
      </c>
      <c r="W2" s="47" t="s">
        <v>35</v>
      </c>
      <c r="X2" s="5" t="s">
        <v>68</v>
      </c>
      <c r="Y2" s="5" t="s">
        <v>52</v>
      </c>
      <c r="Z2" s="6" t="s">
        <v>40</v>
      </c>
      <c r="AA2" s="5" t="s">
        <v>47</v>
      </c>
      <c r="AB2" s="5"/>
      <c r="AC2" s="5" t="s">
        <v>19572</v>
      </c>
      <c r="AD2" s="6">
        <v>4201.0</v>
      </c>
    </row>
    <row r="3" ht="56.25" customHeight="1">
      <c r="A3" s="6">
        <v>36.0</v>
      </c>
      <c r="B3" s="5" t="s">
        <v>19573</v>
      </c>
      <c r="C3" s="16" t="str">
        <f>IMAGE("https://i.imgur.com/dQh34A6.png")</f>
        <v/>
      </c>
      <c r="D3" s="6" t="str">
        <f>IMAGE("https://storage.googleapis.com/acdb/fish/FtrFishAngelfish.png")</f>
        <v/>
      </c>
      <c r="E3" s="6">
        <v>3000.0</v>
      </c>
      <c r="F3" s="5" t="s">
        <v>19574</v>
      </c>
      <c r="G3" s="5" t="s">
        <v>19570</v>
      </c>
      <c r="H3" s="43" t="s">
        <v>19236</v>
      </c>
      <c r="I3" s="43" t="s">
        <v>36</v>
      </c>
      <c r="J3" s="44">
        <v>0.6666666666666666</v>
      </c>
      <c r="K3" s="44">
        <v>0.375</v>
      </c>
      <c r="L3" s="47" t="s">
        <v>35</v>
      </c>
      <c r="M3" s="47" t="s">
        <v>35</v>
      </c>
      <c r="N3" s="48" t="s">
        <v>35</v>
      </c>
      <c r="O3" s="48" t="s">
        <v>35</v>
      </c>
      <c r="P3" s="48" t="s">
        <v>36</v>
      </c>
      <c r="Q3" s="45" t="s">
        <v>36</v>
      </c>
      <c r="R3" s="45" t="s">
        <v>36</v>
      </c>
      <c r="S3" s="45" t="s">
        <v>36</v>
      </c>
      <c r="T3" s="46" t="s">
        <v>36</v>
      </c>
      <c r="U3" s="46" t="s">
        <v>36</v>
      </c>
      <c r="V3" s="46" t="s">
        <v>35</v>
      </c>
      <c r="W3" s="47" t="s">
        <v>35</v>
      </c>
      <c r="X3" s="5" t="s">
        <v>114</v>
      </c>
      <c r="Y3" s="5" t="s">
        <v>54</v>
      </c>
      <c r="Z3" s="6" t="s">
        <v>40</v>
      </c>
      <c r="AA3" s="5" t="s">
        <v>502</v>
      </c>
      <c r="AB3" s="5"/>
      <c r="AC3" s="5" t="s">
        <v>19575</v>
      </c>
      <c r="AD3" s="6">
        <v>2247.0</v>
      </c>
    </row>
    <row r="4" ht="56.25" customHeight="1">
      <c r="A4" s="6">
        <v>44.0</v>
      </c>
      <c r="B4" s="5" t="s">
        <v>19576</v>
      </c>
      <c r="C4" s="16" t="str">
        <f>IMAGE("https://i.imgur.com/lPlNtUw.png")</f>
        <v/>
      </c>
      <c r="D4" s="6" t="str">
        <f>IMAGE("https://storage.googleapis.com/acdb/fish/FtrFishPiraruku.png")</f>
        <v/>
      </c>
      <c r="E4" s="6">
        <v>10000.0</v>
      </c>
      <c r="F4" s="5" t="s">
        <v>19574</v>
      </c>
      <c r="G4" s="5" t="s">
        <v>19577</v>
      </c>
      <c r="H4" s="43" t="s">
        <v>19267</v>
      </c>
      <c r="I4" s="43" t="s">
        <v>35</v>
      </c>
      <c r="J4" s="44">
        <v>0.6666666666666666</v>
      </c>
      <c r="K4" s="44">
        <v>0.375</v>
      </c>
      <c r="L4" s="47" t="s">
        <v>35</v>
      </c>
      <c r="M4" s="47" t="s">
        <v>35</v>
      </c>
      <c r="N4" s="48" t="s">
        <v>35</v>
      </c>
      <c r="O4" s="48" t="s">
        <v>36</v>
      </c>
      <c r="P4" s="48" t="s">
        <v>36</v>
      </c>
      <c r="Q4" s="45" t="s">
        <v>36</v>
      </c>
      <c r="R4" s="45" t="s">
        <v>36</v>
      </c>
      <c r="S4" s="45" t="s">
        <v>36</v>
      </c>
      <c r="T4" s="46" t="s">
        <v>36</v>
      </c>
      <c r="U4" s="46" t="s">
        <v>36</v>
      </c>
      <c r="V4" s="46" t="s">
        <v>36</v>
      </c>
      <c r="W4" s="47" t="s">
        <v>35</v>
      </c>
      <c r="X4" s="5" t="s">
        <v>54</v>
      </c>
      <c r="Y4" s="5" t="s">
        <v>68</v>
      </c>
      <c r="Z4" s="6" t="s">
        <v>11558</v>
      </c>
      <c r="AA4" s="5" t="s">
        <v>47</v>
      </c>
      <c r="AB4" s="5"/>
      <c r="AC4" s="5" t="s">
        <v>19578</v>
      </c>
      <c r="AD4" s="6">
        <v>2253.0</v>
      </c>
    </row>
    <row r="5" ht="56.25" customHeight="1">
      <c r="A5" s="6">
        <v>41.0</v>
      </c>
      <c r="B5" s="5" t="s">
        <v>19579</v>
      </c>
      <c r="C5" s="16" t="str">
        <f>IMAGE("https://i.imgur.com/dim59Ai.png")</f>
        <v/>
      </c>
      <c r="D5" s="6" t="str">
        <f>IMAGE("https://storage.googleapis.com/acdb/fish/FtrFishArowana.png")</f>
        <v/>
      </c>
      <c r="E5" s="6">
        <v>10000.0</v>
      </c>
      <c r="F5" s="5" t="s">
        <v>19574</v>
      </c>
      <c r="G5" s="5" t="s">
        <v>19580</v>
      </c>
      <c r="H5" s="43" t="s">
        <v>19267</v>
      </c>
      <c r="I5" s="43" t="s">
        <v>36</v>
      </c>
      <c r="J5" s="44">
        <v>0.6666666666666666</v>
      </c>
      <c r="K5" s="44">
        <v>0.375</v>
      </c>
      <c r="L5" s="47" t="s">
        <v>35</v>
      </c>
      <c r="M5" s="47" t="s">
        <v>35</v>
      </c>
      <c r="N5" s="48" t="s">
        <v>35</v>
      </c>
      <c r="O5" s="48" t="s">
        <v>36</v>
      </c>
      <c r="P5" s="48" t="s">
        <v>36</v>
      </c>
      <c r="Q5" s="45" t="s">
        <v>36</v>
      </c>
      <c r="R5" s="45" t="s">
        <v>36</v>
      </c>
      <c r="S5" s="45" t="s">
        <v>36</v>
      </c>
      <c r="T5" s="46" t="s">
        <v>36</v>
      </c>
      <c r="U5" s="46" t="s">
        <v>36</v>
      </c>
      <c r="V5" s="46" t="s">
        <v>36</v>
      </c>
      <c r="W5" s="47" t="s">
        <v>35</v>
      </c>
      <c r="X5" s="5" t="s">
        <v>114</v>
      </c>
      <c r="Y5" s="5" t="s">
        <v>54</v>
      </c>
      <c r="Z5" s="6" t="s">
        <v>276</v>
      </c>
      <c r="AA5" s="5" t="s">
        <v>502</v>
      </c>
      <c r="AB5" s="5"/>
      <c r="AC5" s="5" t="s">
        <v>19581</v>
      </c>
      <c r="AD5" s="6">
        <v>2250.0</v>
      </c>
    </row>
    <row r="6" ht="56.25" customHeight="1">
      <c r="A6" s="6">
        <v>58.0</v>
      </c>
      <c r="B6" s="5" t="s">
        <v>19582</v>
      </c>
      <c r="C6" s="16" t="str">
        <f>IMAGE("https://i.imgur.com/j3F10on.png")</f>
        <v/>
      </c>
      <c r="D6" s="6" t="str">
        <f>IMAGE("https://storage.googleapis.com/acdb/fish/FtrFishIshidai.png")</f>
        <v/>
      </c>
      <c r="E6" s="6">
        <v>5000.0</v>
      </c>
      <c r="F6" s="5" t="s">
        <v>19569</v>
      </c>
      <c r="G6" s="5" t="s">
        <v>19583</v>
      </c>
      <c r="H6" s="5" t="s">
        <v>19236</v>
      </c>
      <c r="I6" s="5" t="s">
        <v>36</v>
      </c>
      <c r="J6" s="8" t="s">
        <v>19250</v>
      </c>
      <c r="K6" s="8" t="s">
        <v>19250</v>
      </c>
      <c r="L6" s="47" t="s">
        <v>35</v>
      </c>
      <c r="M6" s="47" t="s">
        <v>35</v>
      </c>
      <c r="N6" s="48" t="s">
        <v>35</v>
      </c>
      <c r="O6" s="48" t="s">
        <v>35</v>
      </c>
      <c r="P6" s="48" t="s">
        <v>35</v>
      </c>
      <c r="Q6" s="45" t="s">
        <v>36</v>
      </c>
      <c r="R6" s="45" t="s">
        <v>36</v>
      </c>
      <c r="S6" s="45" t="s">
        <v>36</v>
      </c>
      <c r="T6" s="46" t="s">
        <v>35</v>
      </c>
      <c r="U6" s="46" t="s">
        <v>35</v>
      </c>
      <c r="V6" s="46" t="s">
        <v>35</v>
      </c>
      <c r="W6" s="47" t="s">
        <v>35</v>
      </c>
      <c r="X6" s="5" t="s">
        <v>57</v>
      </c>
      <c r="Y6" s="5" t="s">
        <v>54</v>
      </c>
      <c r="Z6" s="6" t="s">
        <v>40</v>
      </c>
      <c r="AA6" s="5" t="s">
        <v>502</v>
      </c>
      <c r="AB6" s="5"/>
      <c r="AC6" s="5" t="s">
        <v>19584</v>
      </c>
      <c r="AD6" s="6">
        <v>2265.0</v>
      </c>
    </row>
    <row r="7" ht="56.25" customHeight="1">
      <c r="A7" s="6">
        <v>79.0</v>
      </c>
      <c r="B7" s="5" t="s">
        <v>19585</v>
      </c>
      <c r="C7" s="16" t="str">
        <f>IMAGE("https://i.imgur.com/UrND87z.png")</f>
        <v/>
      </c>
      <c r="D7" s="6" t="str">
        <f>IMAGE("https://storage.googleapis.com/acdb/fish/FtrFishDemenigisu.png")</f>
        <v/>
      </c>
      <c r="E7" s="6">
        <v>15000.0</v>
      </c>
      <c r="F7" s="5" t="s">
        <v>19569</v>
      </c>
      <c r="G7" s="5" t="s">
        <v>19570</v>
      </c>
      <c r="H7" s="43" t="s">
        <v>19323</v>
      </c>
      <c r="I7" s="43" t="s">
        <v>36</v>
      </c>
      <c r="J7" s="44">
        <v>0.875</v>
      </c>
      <c r="K7" s="44">
        <v>0.16666666666666666</v>
      </c>
      <c r="L7" s="47" t="s">
        <v>35</v>
      </c>
      <c r="M7" s="47" t="s">
        <v>35</v>
      </c>
      <c r="N7" s="48" t="s">
        <v>35</v>
      </c>
      <c r="O7" s="48" t="s">
        <v>35</v>
      </c>
      <c r="P7" s="48" t="s">
        <v>35</v>
      </c>
      <c r="Q7" s="45" t="s">
        <v>35</v>
      </c>
      <c r="R7" s="45" t="s">
        <v>35</v>
      </c>
      <c r="S7" s="45" t="s">
        <v>35</v>
      </c>
      <c r="T7" s="46" t="s">
        <v>35</v>
      </c>
      <c r="U7" s="46" t="s">
        <v>35</v>
      </c>
      <c r="V7" s="46" t="s">
        <v>35</v>
      </c>
      <c r="W7" s="47" t="s">
        <v>35</v>
      </c>
      <c r="X7" s="5" t="s">
        <v>54</v>
      </c>
      <c r="Y7" s="5" t="s">
        <v>54</v>
      </c>
      <c r="Z7" s="6" t="s">
        <v>40</v>
      </c>
      <c r="AA7" s="5" t="s">
        <v>502</v>
      </c>
      <c r="AB7" s="5"/>
      <c r="AC7" s="5" t="s">
        <v>19586</v>
      </c>
      <c r="AD7" s="6">
        <v>4204.0</v>
      </c>
    </row>
    <row r="8" ht="56.25" customHeight="1">
      <c r="A8" s="6">
        <v>37.0</v>
      </c>
      <c r="B8" s="5" t="s">
        <v>19587</v>
      </c>
      <c r="C8" s="16" t="str">
        <f>IMAGE("https://i.imgur.com/xkWsC8R.png")</f>
        <v/>
      </c>
      <c r="D8" s="6" t="str">
        <f>IMAGE("https://storage.googleapis.com/acdb/fish/FtrFishBeta.png")</f>
        <v/>
      </c>
      <c r="E8" s="6">
        <v>2500.0</v>
      </c>
      <c r="F8" s="5" t="s">
        <v>19574</v>
      </c>
      <c r="G8" s="5" t="s">
        <v>19570</v>
      </c>
      <c r="H8" s="43" t="s">
        <v>19236</v>
      </c>
      <c r="I8" s="43" t="s">
        <v>36</v>
      </c>
      <c r="J8" s="44">
        <v>0.375</v>
      </c>
      <c r="K8" s="44">
        <v>0.6666666666666666</v>
      </c>
      <c r="L8" s="47" t="s">
        <v>35</v>
      </c>
      <c r="M8" s="47" t="s">
        <v>35</v>
      </c>
      <c r="N8" s="48" t="s">
        <v>35</v>
      </c>
      <c r="O8" s="48" t="s">
        <v>35</v>
      </c>
      <c r="P8" s="48" t="s">
        <v>36</v>
      </c>
      <c r="Q8" s="45" t="s">
        <v>36</v>
      </c>
      <c r="R8" s="45" t="s">
        <v>36</v>
      </c>
      <c r="S8" s="45" t="s">
        <v>36</v>
      </c>
      <c r="T8" s="46" t="s">
        <v>36</v>
      </c>
      <c r="U8" s="46" t="s">
        <v>36</v>
      </c>
      <c r="V8" s="46" t="s">
        <v>35</v>
      </c>
      <c r="W8" s="47" t="s">
        <v>35</v>
      </c>
      <c r="X8" s="5" t="s">
        <v>83</v>
      </c>
      <c r="Y8" s="5" t="s">
        <v>54</v>
      </c>
      <c r="Z8" s="6" t="s">
        <v>40</v>
      </c>
      <c r="AA8" s="5" t="s">
        <v>502</v>
      </c>
      <c r="AB8" s="5"/>
      <c r="AC8" s="5" t="s">
        <v>19588</v>
      </c>
      <c r="AD8" s="6">
        <v>4191.0</v>
      </c>
    </row>
    <row r="9" ht="56.25" customHeight="1">
      <c r="A9" s="6">
        <v>1.0</v>
      </c>
      <c r="B9" s="5" t="s">
        <v>19589</v>
      </c>
      <c r="C9" s="16" t="str">
        <f>IMAGE("https://i.imgur.com/5kPcE5G.png")</f>
        <v/>
      </c>
      <c r="D9" s="6" t="str">
        <f>IMAGE("https://storage.googleapis.com/acdb/fish/FtrFishTanago.png")</f>
        <v/>
      </c>
      <c r="E9" s="6">
        <v>900.0</v>
      </c>
      <c r="F9" s="5" t="s">
        <v>19574</v>
      </c>
      <c r="G9" s="5" t="s">
        <v>19590</v>
      </c>
      <c r="H9" s="5" t="s">
        <v>19249</v>
      </c>
      <c r="I9" s="5" t="s">
        <v>36</v>
      </c>
      <c r="J9" s="8" t="s">
        <v>19250</v>
      </c>
      <c r="K9" s="8" t="s">
        <v>19250</v>
      </c>
      <c r="L9" s="47" t="s">
        <v>36</v>
      </c>
      <c r="M9" s="47" t="s">
        <v>36</v>
      </c>
      <c r="N9" s="48" t="s">
        <v>36</v>
      </c>
      <c r="O9" s="48" t="s">
        <v>36</v>
      </c>
      <c r="P9" s="48" t="s">
        <v>35</v>
      </c>
      <c r="Q9" s="45" t="s">
        <v>35</v>
      </c>
      <c r="R9" s="45" t="s">
        <v>35</v>
      </c>
      <c r="S9" s="45" t="s">
        <v>35</v>
      </c>
      <c r="T9" s="46" t="s">
        <v>35</v>
      </c>
      <c r="U9" s="46" t="s">
        <v>36</v>
      </c>
      <c r="V9" s="46" t="s">
        <v>36</v>
      </c>
      <c r="W9" s="47" t="s">
        <v>36</v>
      </c>
      <c r="X9" s="5" t="s">
        <v>83</v>
      </c>
      <c r="Y9" s="5" t="s">
        <v>68</v>
      </c>
      <c r="Z9" s="6" t="s">
        <v>40</v>
      </c>
      <c r="AA9" s="5" t="s">
        <v>47</v>
      </c>
      <c r="AB9" s="5"/>
      <c r="AC9" s="5" t="s">
        <v>19591</v>
      </c>
      <c r="AD9" s="6">
        <v>2215.0</v>
      </c>
    </row>
    <row r="10" ht="56.25" customHeight="1">
      <c r="A10" s="6">
        <v>22.0</v>
      </c>
      <c r="B10" s="5" t="s">
        <v>19593</v>
      </c>
      <c r="C10" s="16" t="str">
        <f>IMAGE("https://i.imgur.com/UiZq65j.png")</f>
        <v/>
      </c>
      <c r="D10" s="6" t="str">
        <f>IMAGE("https://storage.googleapis.com/acdb/fish/FtrFishBlackbass.png")</f>
        <v/>
      </c>
      <c r="E10" s="6">
        <v>400.0</v>
      </c>
      <c r="F10" s="5" t="s">
        <v>19574</v>
      </c>
      <c r="G10" s="5" t="s">
        <v>19580</v>
      </c>
      <c r="H10" s="5" t="s">
        <v>19249</v>
      </c>
      <c r="I10" s="5" t="s">
        <v>36</v>
      </c>
      <c r="J10" s="8" t="s">
        <v>19250</v>
      </c>
      <c r="K10" s="8" t="s">
        <v>19250</v>
      </c>
      <c r="L10" s="47" t="s">
        <v>35</v>
      </c>
      <c r="M10" s="47" t="s">
        <v>35</v>
      </c>
      <c r="N10" s="48" t="s">
        <v>35</v>
      </c>
      <c r="O10" s="48" t="s">
        <v>35</v>
      </c>
      <c r="P10" s="48" t="s">
        <v>35</v>
      </c>
      <c r="Q10" s="45" t="s">
        <v>35</v>
      </c>
      <c r="R10" s="45" t="s">
        <v>35</v>
      </c>
      <c r="S10" s="45" t="s">
        <v>35</v>
      </c>
      <c r="T10" s="46" t="s">
        <v>35</v>
      </c>
      <c r="U10" s="46" t="s">
        <v>35</v>
      </c>
      <c r="V10" s="46" t="s">
        <v>35</v>
      </c>
      <c r="W10" s="47" t="s">
        <v>35</v>
      </c>
      <c r="X10" s="5" t="s">
        <v>96</v>
      </c>
      <c r="Y10" s="5" t="s">
        <v>54</v>
      </c>
      <c r="Z10" s="6" t="s">
        <v>40</v>
      </c>
      <c r="AA10" s="5" t="s">
        <v>502</v>
      </c>
      <c r="AB10" s="5"/>
      <c r="AC10" s="5" t="s">
        <v>19594</v>
      </c>
      <c r="AD10" s="6">
        <v>2234.0</v>
      </c>
    </row>
    <row r="11" ht="56.25" customHeight="1">
      <c r="A11" s="6">
        <v>54.0</v>
      </c>
      <c r="B11" s="5" t="s">
        <v>19595</v>
      </c>
      <c r="C11" s="16" t="str">
        <f>IMAGE("https://i.imgur.com/hHQizMa.png")</f>
        <v/>
      </c>
      <c r="D11" s="6" t="str">
        <f>IMAGE("https://storage.googleapis.com/acdb/fish/FtrFishFugu.png")</f>
        <v/>
      </c>
      <c r="E11" s="6">
        <v>5000.0</v>
      </c>
      <c r="F11" s="5" t="s">
        <v>19569</v>
      </c>
      <c r="G11" s="5" t="s">
        <v>19583</v>
      </c>
      <c r="H11" s="43" t="s">
        <v>19236</v>
      </c>
      <c r="I11" s="43" t="s">
        <v>36</v>
      </c>
      <c r="J11" s="44">
        <v>0.875</v>
      </c>
      <c r="K11" s="44">
        <v>0.20833333333333334</v>
      </c>
      <c r="L11" s="47" t="s">
        <v>36</v>
      </c>
      <c r="M11" s="47" t="s">
        <v>36</v>
      </c>
      <c r="N11" s="48" t="s">
        <v>36</v>
      </c>
      <c r="O11" s="48" t="s">
        <v>36</v>
      </c>
      <c r="P11" s="48" t="s">
        <v>35</v>
      </c>
      <c r="Q11" s="45" t="s">
        <v>35</v>
      </c>
      <c r="R11" s="45" t="s">
        <v>35</v>
      </c>
      <c r="S11" s="45" t="s">
        <v>35</v>
      </c>
      <c r="T11" s="46" t="s">
        <v>36</v>
      </c>
      <c r="U11" s="46" t="s">
        <v>36</v>
      </c>
      <c r="V11" s="46" t="s">
        <v>36</v>
      </c>
      <c r="W11" s="47" t="s">
        <v>36</v>
      </c>
      <c r="X11" s="5" t="s">
        <v>38</v>
      </c>
      <c r="Y11" s="5" t="s">
        <v>54</v>
      </c>
      <c r="Z11" s="6" t="s">
        <v>40</v>
      </c>
      <c r="AA11" s="5" t="s">
        <v>502</v>
      </c>
      <c r="AB11" s="5"/>
      <c r="AC11" s="5" t="s">
        <v>19596</v>
      </c>
      <c r="AD11" s="6">
        <v>2262.0</v>
      </c>
    </row>
    <row r="12" ht="56.25" customHeight="1">
      <c r="A12" s="6">
        <v>67.0</v>
      </c>
      <c r="B12" s="5" t="s">
        <v>19597</v>
      </c>
      <c r="C12" s="16" t="str">
        <f>IMAGE("https://i.imgur.com/Qp7mSMV.png")</f>
        <v/>
      </c>
      <c r="D12" s="6" t="str">
        <f>IMAGE("https://storage.googleapis.com/acdb/fish/FtrFishKajiki.png")</f>
        <v/>
      </c>
      <c r="E12" s="6">
        <v>10000.0</v>
      </c>
      <c r="F12" s="5" t="s">
        <v>19598</v>
      </c>
      <c r="G12" s="5" t="s">
        <v>19577</v>
      </c>
      <c r="H12" s="5" t="s">
        <v>19267</v>
      </c>
      <c r="I12" s="5" t="s">
        <v>35</v>
      </c>
      <c r="J12" s="8" t="s">
        <v>19250</v>
      </c>
      <c r="K12" s="8" t="s">
        <v>19250</v>
      </c>
      <c r="L12" s="47" t="s">
        <v>35</v>
      </c>
      <c r="M12" s="47" t="s">
        <v>35</v>
      </c>
      <c r="N12" s="48" t="s">
        <v>35</v>
      </c>
      <c r="O12" s="48" t="s">
        <v>36</v>
      </c>
      <c r="P12" s="48" t="s">
        <v>35</v>
      </c>
      <c r="Q12" s="45" t="s">
        <v>35</v>
      </c>
      <c r="R12" s="45" t="s">
        <v>35</v>
      </c>
      <c r="S12" s="45" t="s">
        <v>35</v>
      </c>
      <c r="T12" s="46" t="s">
        <v>35</v>
      </c>
      <c r="U12" s="46" t="s">
        <v>35</v>
      </c>
      <c r="V12" s="46" t="s">
        <v>36</v>
      </c>
      <c r="W12" s="47" t="s">
        <v>36</v>
      </c>
      <c r="X12" s="5" t="s">
        <v>68</v>
      </c>
      <c r="Y12" s="5" t="s">
        <v>54</v>
      </c>
      <c r="Z12" s="6" t="s">
        <v>276</v>
      </c>
      <c r="AA12" s="5" t="s">
        <v>502</v>
      </c>
      <c r="AB12" s="5"/>
      <c r="AC12" s="5" t="s">
        <v>19599</v>
      </c>
      <c r="AD12" s="6">
        <v>2275.0</v>
      </c>
    </row>
    <row r="13" ht="56.25" customHeight="1">
      <c r="A13" s="6">
        <v>20.0</v>
      </c>
      <c r="B13" s="5" t="s">
        <v>19600</v>
      </c>
      <c r="C13" s="16" t="str">
        <f>IMAGE("https://i.imgur.com/eWMRFaI.png")</f>
        <v/>
      </c>
      <c r="D13" s="6" t="str">
        <f>IMAGE("https://storage.googleapis.com/acdb/fish/FtrFishBlueguill.png")</f>
        <v/>
      </c>
      <c r="E13" s="6">
        <v>180.0</v>
      </c>
      <c r="F13" s="5" t="s">
        <v>19574</v>
      </c>
      <c r="G13" s="5" t="s">
        <v>19570</v>
      </c>
      <c r="H13" s="43" t="s">
        <v>19249</v>
      </c>
      <c r="I13" s="43" t="s">
        <v>36</v>
      </c>
      <c r="J13" s="44">
        <v>0.375</v>
      </c>
      <c r="K13" s="44">
        <v>0.6666666666666666</v>
      </c>
      <c r="L13" s="47" t="s">
        <v>35</v>
      </c>
      <c r="M13" s="47" t="s">
        <v>35</v>
      </c>
      <c r="N13" s="48" t="s">
        <v>35</v>
      </c>
      <c r="O13" s="48" t="s">
        <v>35</v>
      </c>
      <c r="P13" s="48" t="s">
        <v>35</v>
      </c>
      <c r="Q13" s="45" t="s">
        <v>35</v>
      </c>
      <c r="R13" s="45" t="s">
        <v>35</v>
      </c>
      <c r="S13" s="45" t="s">
        <v>35</v>
      </c>
      <c r="T13" s="46" t="s">
        <v>35</v>
      </c>
      <c r="U13" s="46" t="s">
        <v>35</v>
      </c>
      <c r="V13" s="46" t="s">
        <v>35</v>
      </c>
      <c r="W13" s="47" t="s">
        <v>35</v>
      </c>
      <c r="X13" s="5" t="s">
        <v>68</v>
      </c>
      <c r="Y13" s="5" t="s">
        <v>54</v>
      </c>
      <c r="Z13" s="6" t="s">
        <v>40</v>
      </c>
      <c r="AA13" s="5" t="s">
        <v>47</v>
      </c>
      <c r="AB13" s="5"/>
      <c r="AC13" s="5" t="s">
        <v>19601</v>
      </c>
      <c r="AD13" s="6">
        <v>2232.0</v>
      </c>
    </row>
    <row r="14" ht="56.25" customHeight="1">
      <c r="A14" s="6">
        <v>51.0</v>
      </c>
      <c r="B14" s="5" t="s">
        <v>19602</v>
      </c>
      <c r="C14" s="16" t="str">
        <f>IMAGE("https://i.imgur.com/0JvzKTY.png")</f>
        <v/>
      </c>
      <c r="D14" s="6" t="str">
        <f>IMAGE("https://storage.googleapis.com/acdb/fish/FtrFishChouchouuo.png")</f>
        <v/>
      </c>
      <c r="E14" s="6">
        <v>1000.0</v>
      </c>
      <c r="F14" s="5" t="s">
        <v>19569</v>
      </c>
      <c r="G14" s="5" t="s">
        <v>19570</v>
      </c>
      <c r="H14" s="5" t="s">
        <v>19249</v>
      </c>
      <c r="I14" s="5" t="s">
        <v>36</v>
      </c>
      <c r="J14" s="8" t="s">
        <v>19250</v>
      </c>
      <c r="K14" s="8" t="s">
        <v>19250</v>
      </c>
      <c r="L14" s="47" t="s">
        <v>35</v>
      </c>
      <c r="M14" s="47" t="s">
        <v>35</v>
      </c>
      <c r="N14" s="48" t="s">
        <v>35</v>
      </c>
      <c r="O14" s="48" t="s">
        <v>36</v>
      </c>
      <c r="P14" s="48" t="s">
        <v>36</v>
      </c>
      <c r="Q14" s="45" t="s">
        <v>36</v>
      </c>
      <c r="R14" s="45" t="s">
        <v>36</v>
      </c>
      <c r="S14" s="45" t="s">
        <v>36</v>
      </c>
      <c r="T14" s="46" t="s">
        <v>36</v>
      </c>
      <c r="U14" s="46" t="s">
        <v>35</v>
      </c>
      <c r="V14" s="46" t="s">
        <v>35</v>
      </c>
      <c r="W14" s="47" t="s">
        <v>35</v>
      </c>
      <c r="X14" s="5" t="s">
        <v>114</v>
      </c>
      <c r="Y14" s="5" t="s">
        <v>54</v>
      </c>
      <c r="Z14" s="6" t="s">
        <v>40</v>
      </c>
      <c r="AA14" s="5" t="s">
        <v>502</v>
      </c>
      <c r="AB14" s="5"/>
      <c r="AC14" s="5" t="s">
        <v>19603</v>
      </c>
      <c r="AD14" s="6">
        <v>2259.0</v>
      </c>
    </row>
    <row r="15" ht="56.25" customHeight="1">
      <c r="A15" s="6">
        <v>5.0</v>
      </c>
      <c r="B15" s="5" t="s">
        <v>19604</v>
      </c>
      <c r="C15" s="16" t="str">
        <f>IMAGE("https://i.imgur.com/RaAEvYR.png")</f>
        <v/>
      </c>
      <c r="D15" s="6" t="str">
        <f>IMAGE("https://storage.googleapis.com/acdb/fish/FtrFishKoi.png")</f>
        <v/>
      </c>
      <c r="E15" s="6">
        <v>300.0</v>
      </c>
      <c r="F15" s="5" t="s">
        <v>19605</v>
      </c>
      <c r="G15" s="5" t="s">
        <v>19580</v>
      </c>
      <c r="H15" s="5" t="s">
        <v>19249</v>
      </c>
      <c r="I15" s="5" t="s">
        <v>36</v>
      </c>
      <c r="J15" s="8" t="s">
        <v>19250</v>
      </c>
      <c r="K15" s="8" t="s">
        <v>19250</v>
      </c>
      <c r="L15" s="47" t="s">
        <v>35</v>
      </c>
      <c r="M15" s="47" t="s">
        <v>35</v>
      </c>
      <c r="N15" s="48" t="s">
        <v>35</v>
      </c>
      <c r="O15" s="48" t="s">
        <v>35</v>
      </c>
      <c r="P15" s="48" t="s">
        <v>35</v>
      </c>
      <c r="Q15" s="45" t="s">
        <v>35</v>
      </c>
      <c r="R15" s="45" t="s">
        <v>35</v>
      </c>
      <c r="S15" s="45" t="s">
        <v>35</v>
      </c>
      <c r="T15" s="46" t="s">
        <v>35</v>
      </c>
      <c r="U15" s="46" t="s">
        <v>35</v>
      </c>
      <c r="V15" s="46" t="s">
        <v>35</v>
      </c>
      <c r="W15" s="47" t="s">
        <v>35</v>
      </c>
      <c r="X15" s="5" t="s">
        <v>95</v>
      </c>
      <c r="Y15" s="5" t="s">
        <v>54</v>
      </c>
      <c r="Z15" s="6" t="s">
        <v>40</v>
      </c>
      <c r="AA15" s="5" t="s">
        <v>502</v>
      </c>
      <c r="AB15" s="5"/>
      <c r="AC15" s="5" t="s">
        <v>19606</v>
      </c>
      <c r="AD15" s="6">
        <v>2219.0</v>
      </c>
    </row>
    <row r="16" ht="56.25" customHeight="1">
      <c r="A16" s="6">
        <v>18.0</v>
      </c>
      <c r="B16" s="5" t="s">
        <v>19607</v>
      </c>
      <c r="C16" s="16" t="str">
        <f>IMAGE("https://i.imgur.com/aLIWoTl.png")</f>
        <v/>
      </c>
      <c r="D16" s="6" t="str">
        <f>IMAGE("https://storage.googleapis.com/acdb/fish/FtrFishNamazu.png")</f>
        <v/>
      </c>
      <c r="E16" s="6">
        <v>800.0</v>
      </c>
      <c r="F16" s="5" t="s">
        <v>19605</v>
      </c>
      <c r="G16" s="5" t="s">
        <v>19580</v>
      </c>
      <c r="H16" s="43" t="s">
        <v>19249</v>
      </c>
      <c r="I16" s="43" t="s">
        <v>36</v>
      </c>
      <c r="J16" s="44">
        <v>0.6666666666666666</v>
      </c>
      <c r="K16" s="44">
        <v>0.375</v>
      </c>
      <c r="L16" s="47" t="s">
        <v>35</v>
      </c>
      <c r="M16" s="47" t="s">
        <v>35</v>
      </c>
      <c r="N16" s="48" t="s">
        <v>35</v>
      </c>
      <c r="O16" s="48" t="s">
        <v>35</v>
      </c>
      <c r="P16" s="48" t="s">
        <v>36</v>
      </c>
      <c r="Q16" s="45" t="s">
        <v>36</v>
      </c>
      <c r="R16" s="45" t="s">
        <v>36</v>
      </c>
      <c r="S16" s="45" t="s">
        <v>36</v>
      </c>
      <c r="T16" s="46" t="s">
        <v>36</v>
      </c>
      <c r="U16" s="46" t="s">
        <v>36</v>
      </c>
      <c r="V16" s="46" t="s">
        <v>35</v>
      </c>
      <c r="W16" s="47" t="s">
        <v>35</v>
      </c>
      <c r="X16" s="5" t="s">
        <v>54</v>
      </c>
      <c r="Y16" s="5" t="s">
        <v>54</v>
      </c>
      <c r="Z16" s="6" t="s">
        <v>40</v>
      </c>
      <c r="AA16" s="5" t="s">
        <v>502</v>
      </c>
      <c r="AB16" s="5"/>
      <c r="AC16" s="5" t="s">
        <v>19608</v>
      </c>
      <c r="AD16" s="6">
        <v>2229.0</v>
      </c>
    </row>
    <row r="17" ht="56.25" customHeight="1">
      <c r="A17" s="6">
        <v>28.0</v>
      </c>
      <c r="B17" s="5" t="s">
        <v>19609</v>
      </c>
      <c r="C17" s="16" t="str">
        <f>IMAGE("https://i.imgur.com/9MclSeV.png")</f>
        <v/>
      </c>
      <c r="D17" s="6" t="str">
        <f>IMAGE("https://storage.googleapis.com/acdb/fish/FtrFishOoiwana.png")</f>
        <v/>
      </c>
      <c r="E17" s="6">
        <v>3800.0</v>
      </c>
      <c r="F17" s="5" t="s">
        <v>19610</v>
      </c>
      <c r="G17" s="5" t="s">
        <v>19583</v>
      </c>
      <c r="H17" s="43" t="s">
        <v>19236</v>
      </c>
      <c r="I17" s="43" t="s">
        <v>36</v>
      </c>
      <c r="J17" s="44">
        <v>0.6666666666666666</v>
      </c>
      <c r="K17" s="44">
        <v>0.375</v>
      </c>
      <c r="L17" s="47" t="s">
        <v>36</v>
      </c>
      <c r="M17" s="47" t="s">
        <v>36</v>
      </c>
      <c r="N17" s="48" t="s">
        <v>35</v>
      </c>
      <c r="O17" s="48" t="s">
        <v>35</v>
      </c>
      <c r="P17" s="48" t="s">
        <v>35</v>
      </c>
      <c r="Q17" s="45" t="s">
        <v>36</v>
      </c>
      <c r="R17" s="45" t="s">
        <v>36</v>
      </c>
      <c r="S17" s="45" t="s">
        <v>36</v>
      </c>
      <c r="T17" s="46" t="s">
        <v>35</v>
      </c>
      <c r="U17" s="46" t="s">
        <v>35</v>
      </c>
      <c r="V17" s="46" t="s">
        <v>35</v>
      </c>
      <c r="W17" s="47" t="s">
        <v>35</v>
      </c>
      <c r="X17" s="5" t="s">
        <v>39</v>
      </c>
      <c r="Y17" s="5" t="s">
        <v>54</v>
      </c>
      <c r="Z17" s="6" t="s">
        <v>40</v>
      </c>
      <c r="AA17" s="5" t="s">
        <v>502</v>
      </c>
      <c r="AB17" s="5"/>
      <c r="AC17" s="5" t="s">
        <v>19612</v>
      </c>
      <c r="AD17" s="6">
        <v>2239.0</v>
      </c>
    </row>
    <row r="18" ht="56.25" customHeight="1">
      <c r="A18" s="6">
        <v>27.0</v>
      </c>
      <c r="B18" s="5" t="s">
        <v>19613</v>
      </c>
      <c r="C18" s="16" t="str">
        <f>IMAGE("https://i.imgur.com/iH9LRo5.png")</f>
        <v/>
      </c>
      <c r="D18" s="6" t="str">
        <f>IMAGE("https://storage.googleapis.com/acdb/fish/FtrFishYamame.png")</f>
        <v/>
      </c>
      <c r="E18" s="6">
        <v>1000.0</v>
      </c>
      <c r="F18" s="5" t="s">
        <v>19610</v>
      </c>
      <c r="G18" s="5" t="s">
        <v>19583</v>
      </c>
      <c r="H18" s="43" t="s">
        <v>19249</v>
      </c>
      <c r="I18" s="43" t="s">
        <v>36</v>
      </c>
      <c r="J18" s="44">
        <v>0.6666666666666666</v>
      </c>
      <c r="K18" s="44">
        <v>0.375</v>
      </c>
      <c r="L18" s="47" t="s">
        <v>36</v>
      </c>
      <c r="M18" s="47" t="s">
        <v>36</v>
      </c>
      <c r="N18" s="48" t="s">
        <v>35</v>
      </c>
      <c r="O18" s="48" t="s">
        <v>35</v>
      </c>
      <c r="P18" s="48" t="s">
        <v>35</v>
      </c>
      <c r="Q18" s="45" t="s">
        <v>36</v>
      </c>
      <c r="R18" s="45" t="s">
        <v>36</v>
      </c>
      <c r="S18" s="45" t="s">
        <v>36</v>
      </c>
      <c r="T18" s="46" t="s">
        <v>35</v>
      </c>
      <c r="U18" s="46" t="s">
        <v>35</v>
      </c>
      <c r="V18" s="46" t="s">
        <v>35</v>
      </c>
      <c r="W18" s="47" t="s">
        <v>35</v>
      </c>
      <c r="X18" s="5" t="s">
        <v>39</v>
      </c>
      <c r="Y18" s="5" t="s">
        <v>54</v>
      </c>
      <c r="Z18" s="6" t="s">
        <v>40</v>
      </c>
      <c r="AA18" s="5" t="s">
        <v>502</v>
      </c>
      <c r="AB18" s="5"/>
      <c r="AC18" s="5" t="s">
        <v>19614</v>
      </c>
      <c r="AD18" s="6">
        <v>2238.0</v>
      </c>
    </row>
    <row r="19" ht="56.25" customHeight="1">
      <c r="A19" s="6">
        <v>49.0</v>
      </c>
      <c r="B19" s="5" t="s">
        <v>19615</v>
      </c>
      <c r="C19" s="16" t="str">
        <f>IMAGE("https://i.imgur.com/Cyc7wRe.png")</f>
        <v/>
      </c>
      <c r="D19" s="6" t="str">
        <f>IMAGE("https://storage.googleapis.com/acdb/fish/FtrFishKumanomi.png")</f>
        <v/>
      </c>
      <c r="E19" s="6">
        <v>650.0</v>
      </c>
      <c r="F19" s="5" t="s">
        <v>19569</v>
      </c>
      <c r="G19" s="5" t="s">
        <v>19590</v>
      </c>
      <c r="H19" s="5" t="s">
        <v>19249</v>
      </c>
      <c r="I19" s="5" t="s">
        <v>36</v>
      </c>
      <c r="J19" s="8" t="s">
        <v>19250</v>
      </c>
      <c r="K19" s="8" t="s">
        <v>19250</v>
      </c>
      <c r="L19" s="47" t="s">
        <v>35</v>
      </c>
      <c r="M19" s="47" t="s">
        <v>35</v>
      </c>
      <c r="N19" s="48" t="s">
        <v>35</v>
      </c>
      <c r="O19" s="48" t="s">
        <v>36</v>
      </c>
      <c r="P19" s="48" t="s">
        <v>36</v>
      </c>
      <c r="Q19" s="45" t="s">
        <v>36</v>
      </c>
      <c r="R19" s="45" t="s">
        <v>36</v>
      </c>
      <c r="S19" s="45" t="s">
        <v>36</v>
      </c>
      <c r="T19" s="46" t="s">
        <v>36</v>
      </c>
      <c r="U19" s="46" t="s">
        <v>35</v>
      </c>
      <c r="V19" s="46" t="s">
        <v>35</v>
      </c>
      <c r="W19" s="47" t="s">
        <v>35</v>
      </c>
      <c r="X19" s="5" t="s">
        <v>142</v>
      </c>
      <c r="Y19" s="5" t="s">
        <v>54</v>
      </c>
      <c r="Z19" s="6" t="s">
        <v>40</v>
      </c>
      <c r="AA19" s="5" t="s">
        <v>502</v>
      </c>
      <c r="AB19" s="5"/>
      <c r="AC19" s="5" t="s">
        <v>19617</v>
      </c>
      <c r="AD19" s="6">
        <v>2257.0</v>
      </c>
    </row>
    <row r="20" ht="56.25" customHeight="1">
      <c r="A20" s="6">
        <v>80.0</v>
      </c>
      <c r="B20" s="5" t="s">
        <v>19618</v>
      </c>
      <c r="C20" s="16" t="str">
        <f>IMAGE("https://i.imgur.com/ver2Adw.png")</f>
        <v/>
      </c>
      <c r="D20" s="6" t="str">
        <f>IMAGE("https://storage.googleapis.com/acdb/fish/FtrFishSirakansu.png")</f>
        <v/>
      </c>
      <c r="E20" s="6">
        <v>15000.0</v>
      </c>
      <c r="F20" s="5" t="s">
        <v>19620</v>
      </c>
      <c r="G20" s="5" t="s">
        <v>19577</v>
      </c>
      <c r="H20" s="5" t="s">
        <v>19323</v>
      </c>
      <c r="I20" s="5" t="s">
        <v>35</v>
      </c>
      <c r="J20" s="8" t="s">
        <v>19250</v>
      </c>
      <c r="K20" s="8" t="s">
        <v>19250</v>
      </c>
      <c r="L20" s="47" t="s">
        <v>35</v>
      </c>
      <c r="M20" s="47" t="s">
        <v>35</v>
      </c>
      <c r="N20" s="48" t="s">
        <v>35</v>
      </c>
      <c r="O20" s="48" t="s">
        <v>35</v>
      </c>
      <c r="P20" s="48" t="s">
        <v>35</v>
      </c>
      <c r="Q20" s="45" t="s">
        <v>35</v>
      </c>
      <c r="R20" s="45" t="s">
        <v>35</v>
      </c>
      <c r="S20" s="45" t="s">
        <v>35</v>
      </c>
      <c r="T20" s="46" t="s">
        <v>35</v>
      </c>
      <c r="U20" s="46" t="s">
        <v>35</v>
      </c>
      <c r="V20" s="46" t="s">
        <v>35</v>
      </c>
      <c r="W20" s="47" t="s">
        <v>35</v>
      </c>
      <c r="X20" s="5" t="s">
        <v>54</v>
      </c>
      <c r="Y20" s="5" t="s">
        <v>54</v>
      </c>
      <c r="Z20" s="6" t="s">
        <v>276</v>
      </c>
      <c r="AA20" s="5" t="s">
        <v>502</v>
      </c>
      <c r="AB20" s="5"/>
      <c r="AC20" s="5" t="s">
        <v>19621</v>
      </c>
      <c r="AD20" s="6">
        <v>2284.0</v>
      </c>
    </row>
    <row r="21" ht="56.25" customHeight="1">
      <c r="A21" s="6">
        <v>11.0</v>
      </c>
      <c r="B21" s="5" t="s">
        <v>19622</v>
      </c>
      <c r="C21" s="16" t="str">
        <f>IMAGE("https://i.imgur.com/0CBQNoz.png")</f>
        <v/>
      </c>
      <c r="D21" s="6" t="str">
        <f>IMAGE("https://storage.googleapis.com/acdb/fish/FtrFishZarigani.png")</f>
        <v/>
      </c>
      <c r="E21" s="6">
        <v>200.0</v>
      </c>
      <c r="F21" s="5" t="s">
        <v>19605</v>
      </c>
      <c r="G21" s="5" t="s">
        <v>19570</v>
      </c>
      <c r="H21" s="5" t="s">
        <v>19249</v>
      </c>
      <c r="I21" s="5" t="s">
        <v>36</v>
      </c>
      <c r="J21" s="8" t="s">
        <v>19250</v>
      </c>
      <c r="K21" s="8" t="s">
        <v>19250</v>
      </c>
      <c r="L21" s="47" t="s">
        <v>35</v>
      </c>
      <c r="M21" s="47" t="s">
        <v>35</v>
      </c>
      <c r="N21" s="48" t="s">
        <v>35</v>
      </c>
      <c r="O21" s="48" t="s">
        <v>36</v>
      </c>
      <c r="P21" s="48" t="s">
        <v>36</v>
      </c>
      <c r="Q21" s="45" t="s">
        <v>36</v>
      </c>
      <c r="R21" s="45" t="s">
        <v>36</v>
      </c>
      <c r="S21" s="45" t="s">
        <v>36</v>
      </c>
      <c r="T21" s="46" t="s">
        <v>36</v>
      </c>
      <c r="U21" s="46" t="s">
        <v>35</v>
      </c>
      <c r="V21" s="46" t="s">
        <v>35</v>
      </c>
      <c r="W21" s="47" t="s">
        <v>35</v>
      </c>
      <c r="X21" s="5" t="s">
        <v>52</v>
      </c>
      <c r="Y21" s="5" t="s">
        <v>54</v>
      </c>
      <c r="Z21" s="6" t="s">
        <v>40</v>
      </c>
      <c r="AA21" s="5" t="s">
        <v>502</v>
      </c>
      <c r="AB21" s="5"/>
      <c r="AC21" s="5" t="s">
        <v>19623</v>
      </c>
      <c r="AD21" s="6">
        <v>2223.0</v>
      </c>
    </row>
    <row r="22" ht="56.25" customHeight="1">
      <c r="A22" s="6">
        <v>3.0</v>
      </c>
      <c r="B22" s="5" t="s">
        <v>19624</v>
      </c>
      <c r="C22" s="16" t="str">
        <f>IMAGE("https://i.imgur.com/vm9H7bJ.png")</f>
        <v/>
      </c>
      <c r="D22" s="6" t="str">
        <f>IMAGE("https://storage.googleapis.com/acdb/fish/FtrFishFuna.png")</f>
        <v/>
      </c>
      <c r="E22" s="6">
        <v>160.0</v>
      </c>
      <c r="F22" s="5" t="s">
        <v>19574</v>
      </c>
      <c r="G22" s="5" t="s">
        <v>19570</v>
      </c>
      <c r="H22" s="5" t="s">
        <v>19249</v>
      </c>
      <c r="I22" s="5" t="s">
        <v>36</v>
      </c>
      <c r="J22" s="8" t="s">
        <v>19250</v>
      </c>
      <c r="K22" s="8" t="s">
        <v>19250</v>
      </c>
      <c r="L22" s="47" t="s">
        <v>35</v>
      </c>
      <c r="M22" s="47" t="s">
        <v>35</v>
      </c>
      <c r="N22" s="48" t="s">
        <v>35</v>
      </c>
      <c r="O22" s="48" t="s">
        <v>35</v>
      </c>
      <c r="P22" s="48" t="s">
        <v>35</v>
      </c>
      <c r="Q22" s="45" t="s">
        <v>35</v>
      </c>
      <c r="R22" s="45" t="s">
        <v>35</v>
      </c>
      <c r="S22" s="45" t="s">
        <v>35</v>
      </c>
      <c r="T22" s="46" t="s">
        <v>35</v>
      </c>
      <c r="U22" s="46" t="s">
        <v>35</v>
      </c>
      <c r="V22" s="46" t="s">
        <v>35</v>
      </c>
      <c r="W22" s="47" t="s">
        <v>35</v>
      </c>
      <c r="X22" s="5" t="s">
        <v>39</v>
      </c>
      <c r="Y22" s="5" t="s">
        <v>54</v>
      </c>
      <c r="Z22" s="6" t="s">
        <v>40</v>
      </c>
      <c r="AA22" s="5" t="s">
        <v>502</v>
      </c>
      <c r="AB22" s="5"/>
      <c r="AC22" s="5" t="s">
        <v>19625</v>
      </c>
      <c r="AD22" s="6">
        <v>328.0</v>
      </c>
    </row>
    <row r="23" ht="56.25" customHeight="1">
      <c r="A23" s="6">
        <v>61.0</v>
      </c>
      <c r="B23" s="5" t="s">
        <v>19626</v>
      </c>
      <c r="C23" s="16" t="str">
        <f>IMAGE("https://i.imgur.com/tLLN871.png")</f>
        <v/>
      </c>
      <c r="D23" s="6" t="str">
        <f>IMAGE("https://storage.googleapis.com/acdb/fish/FtrFishKarei.png")</f>
        <v/>
      </c>
      <c r="E23" s="6">
        <v>300.0</v>
      </c>
      <c r="F23" s="5" t="s">
        <v>19569</v>
      </c>
      <c r="G23" s="5" t="s">
        <v>19583</v>
      </c>
      <c r="H23" s="5" t="s">
        <v>19249</v>
      </c>
      <c r="I23" s="5" t="s">
        <v>36</v>
      </c>
      <c r="J23" s="8" t="s">
        <v>19250</v>
      </c>
      <c r="K23" s="8" t="s">
        <v>19250</v>
      </c>
      <c r="L23" s="47" t="s">
        <v>36</v>
      </c>
      <c r="M23" s="47" t="s">
        <v>36</v>
      </c>
      <c r="N23" s="48" t="s">
        <v>36</v>
      </c>
      <c r="O23" s="48" t="s">
        <v>35</v>
      </c>
      <c r="P23" s="48" t="s">
        <v>35</v>
      </c>
      <c r="Q23" s="45" t="s">
        <v>35</v>
      </c>
      <c r="R23" s="45" t="s">
        <v>35</v>
      </c>
      <c r="S23" s="45" t="s">
        <v>35</v>
      </c>
      <c r="T23" s="46" t="s">
        <v>35</v>
      </c>
      <c r="U23" s="46" t="s">
        <v>35</v>
      </c>
      <c r="V23" s="46" t="s">
        <v>36</v>
      </c>
      <c r="W23" s="47" t="s">
        <v>36</v>
      </c>
      <c r="X23" s="5" t="s">
        <v>39</v>
      </c>
      <c r="Y23" s="5" t="s">
        <v>54</v>
      </c>
      <c r="Z23" s="6" t="s">
        <v>40</v>
      </c>
      <c r="AA23" s="5" t="s">
        <v>502</v>
      </c>
      <c r="AB23" s="5"/>
      <c r="AC23" s="5" t="s">
        <v>19628</v>
      </c>
      <c r="AD23" s="6">
        <v>2268.0</v>
      </c>
    </row>
    <row r="24" ht="56.25" customHeight="1">
      <c r="A24" s="6">
        <v>4.0</v>
      </c>
      <c r="B24" s="5" t="s">
        <v>19629</v>
      </c>
      <c r="C24" s="16" t="str">
        <f>IMAGE("https://imgur.com/9FGVRxJ.png")</f>
        <v/>
      </c>
      <c r="D24" s="6" t="str">
        <f>IMAGE("https://storage.googleapis.com/acdb/fish/FtrFishUgui.png")</f>
        <v/>
      </c>
      <c r="E24" s="6">
        <v>240.0</v>
      </c>
      <c r="F24" s="5" t="s">
        <v>19574</v>
      </c>
      <c r="G24" s="5" t="s">
        <v>19583</v>
      </c>
      <c r="H24" s="43" t="s">
        <v>19249</v>
      </c>
      <c r="I24" s="43" t="s">
        <v>36</v>
      </c>
      <c r="J24" s="44">
        <v>0.6666666666666666</v>
      </c>
      <c r="K24" s="44">
        <v>0.375</v>
      </c>
      <c r="L24" s="47" t="s">
        <v>35</v>
      </c>
      <c r="M24" s="47" t="s">
        <v>35</v>
      </c>
      <c r="N24" s="48" t="s">
        <v>35</v>
      </c>
      <c r="O24" s="48" t="s">
        <v>35</v>
      </c>
      <c r="P24" s="48" t="s">
        <v>35</v>
      </c>
      <c r="Q24" s="45" t="s">
        <v>35</v>
      </c>
      <c r="R24" s="45" t="s">
        <v>35</v>
      </c>
      <c r="S24" s="45" t="s">
        <v>35</v>
      </c>
      <c r="T24" s="46" t="s">
        <v>35</v>
      </c>
      <c r="U24" s="46" t="s">
        <v>35</v>
      </c>
      <c r="V24" s="46" t="s">
        <v>35</v>
      </c>
      <c r="W24" s="47" t="s">
        <v>35</v>
      </c>
      <c r="X24" s="5" t="s">
        <v>39</v>
      </c>
      <c r="Y24" s="5" t="s">
        <v>54</v>
      </c>
      <c r="Z24" s="6" t="s">
        <v>40</v>
      </c>
      <c r="AA24" s="5" t="s">
        <v>502</v>
      </c>
      <c r="AB24" s="5"/>
      <c r="AC24" s="5" t="s">
        <v>19630</v>
      </c>
      <c r="AD24" s="6">
        <v>2217.0</v>
      </c>
    </row>
    <row r="25" ht="56.25" customHeight="1">
      <c r="A25" s="6">
        <v>42.0</v>
      </c>
      <c r="B25" s="5" t="s">
        <v>19631</v>
      </c>
      <c r="C25" s="16" t="str">
        <f>IMAGE("https://i.imgur.com/eqKLRy7.png")</f>
        <v/>
      </c>
      <c r="D25" s="6" t="str">
        <f>IMAGE("https://storage.googleapis.com/acdb/fish/FtrFishDolado.png")</f>
        <v/>
      </c>
      <c r="E25" s="6">
        <v>15000.0</v>
      </c>
      <c r="F25" s="5" t="s">
        <v>19574</v>
      </c>
      <c r="G25" s="5" t="s">
        <v>19632</v>
      </c>
      <c r="H25" s="43" t="s">
        <v>19323</v>
      </c>
      <c r="I25" s="43" t="s">
        <v>36</v>
      </c>
      <c r="J25" s="44">
        <v>0.16666666666666666</v>
      </c>
      <c r="K25" s="44">
        <v>0.875</v>
      </c>
      <c r="L25" s="47" t="s">
        <v>35</v>
      </c>
      <c r="M25" s="47" t="s">
        <v>35</v>
      </c>
      <c r="N25" s="48" t="s">
        <v>35</v>
      </c>
      <c r="O25" s="48" t="s">
        <v>36</v>
      </c>
      <c r="P25" s="48" t="s">
        <v>36</v>
      </c>
      <c r="Q25" s="45" t="s">
        <v>36</v>
      </c>
      <c r="R25" s="45" t="s">
        <v>36</v>
      </c>
      <c r="S25" s="45" t="s">
        <v>36</v>
      </c>
      <c r="T25" s="46" t="s">
        <v>36</v>
      </c>
      <c r="U25" s="46" t="s">
        <v>36</v>
      </c>
      <c r="V25" s="46" t="s">
        <v>36</v>
      </c>
      <c r="W25" s="47" t="s">
        <v>35</v>
      </c>
      <c r="X25" s="5" t="s">
        <v>114</v>
      </c>
      <c r="Y25" s="5" t="s">
        <v>54</v>
      </c>
      <c r="Z25" s="6" t="s">
        <v>276</v>
      </c>
      <c r="AA25" s="5" t="s">
        <v>502</v>
      </c>
      <c r="AB25" s="5"/>
      <c r="AC25" s="5" t="s">
        <v>19633</v>
      </c>
      <c r="AD25" s="6">
        <v>2251.0</v>
      </c>
    </row>
    <row r="26" ht="56.25" customHeight="1">
      <c r="A26" s="6">
        <v>77.0</v>
      </c>
      <c r="B26" s="5" t="s">
        <v>19634</v>
      </c>
      <c r="C26" s="16" t="str">
        <f>IMAGE("https://i.imgur.com/kLXlrsU.png")</f>
        <v/>
      </c>
      <c r="D26" s="6" t="str">
        <f>IMAGE("https://storage.googleapis.com/acdb/fish/FtrFishChouchinankou.png")</f>
        <v/>
      </c>
      <c r="E26" s="6">
        <v>2500.0</v>
      </c>
      <c r="F26" s="5" t="s">
        <v>19569</v>
      </c>
      <c r="G26" s="5" t="s">
        <v>19580</v>
      </c>
      <c r="H26" s="43" t="s">
        <v>19236</v>
      </c>
      <c r="I26" s="43" t="s">
        <v>36</v>
      </c>
      <c r="J26" s="44">
        <v>0.6666666666666666</v>
      </c>
      <c r="K26" s="44">
        <v>0.375</v>
      </c>
      <c r="L26" s="47" t="s">
        <v>36</v>
      </c>
      <c r="M26" s="47" t="s">
        <v>36</v>
      </c>
      <c r="N26" s="48" t="s">
        <v>36</v>
      </c>
      <c r="O26" s="48" t="s">
        <v>36</v>
      </c>
      <c r="P26" s="48" t="s">
        <v>35</v>
      </c>
      <c r="Q26" s="45" t="s">
        <v>35</v>
      </c>
      <c r="R26" s="45" t="s">
        <v>35</v>
      </c>
      <c r="S26" s="45" t="s">
        <v>35</v>
      </c>
      <c r="T26" s="46" t="s">
        <v>35</v>
      </c>
      <c r="U26" s="46" t="s">
        <v>36</v>
      </c>
      <c r="V26" s="46" t="s">
        <v>36</v>
      </c>
      <c r="W26" s="47" t="s">
        <v>36</v>
      </c>
      <c r="X26" s="5" t="s">
        <v>54</v>
      </c>
      <c r="Y26" s="5" t="s">
        <v>54</v>
      </c>
      <c r="Z26" s="6" t="s">
        <v>276</v>
      </c>
      <c r="AA26" s="5" t="s">
        <v>102</v>
      </c>
      <c r="AB26" s="5"/>
      <c r="AC26" s="5" t="s">
        <v>19635</v>
      </c>
      <c r="AD26" s="6">
        <v>2273.0</v>
      </c>
    </row>
    <row r="27" ht="56.25" customHeight="1">
      <c r="A27" s="6">
        <v>16.0</v>
      </c>
      <c r="B27" s="5" t="s">
        <v>19636</v>
      </c>
      <c r="C27" s="16" t="str">
        <f>IMAGE("https://i.imgur.com/j7kZT4I.png")</f>
        <v/>
      </c>
      <c r="D27" s="6" t="str">
        <f>IMAGE("https://storage.googleapis.com/acdb/fish/FtrFishDonko.png")</f>
        <v/>
      </c>
      <c r="E27" s="6">
        <v>400.0</v>
      </c>
      <c r="F27" s="5" t="s">
        <v>19574</v>
      </c>
      <c r="G27" s="5" t="s">
        <v>19570</v>
      </c>
      <c r="H27" s="43" t="s">
        <v>19249</v>
      </c>
      <c r="I27" s="43" t="s">
        <v>36</v>
      </c>
      <c r="J27" s="44">
        <v>0.6666666666666666</v>
      </c>
      <c r="K27" s="44">
        <v>0.375</v>
      </c>
      <c r="L27" s="47" t="s">
        <v>35</v>
      </c>
      <c r="M27" s="47" t="s">
        <v>35</v>
      </c>
      <c r="N27" s="48" t="s">
        <v>35</v>
      </c>
      <c r="O27" s="48" t="s">
        <v>35</v>
      </c>
      <c r="P27" s="48" t="s">
        <v>35</v>
      </c>
      <c r="Q27" s="45" t="s">
        <v>35</v>
      </c>
      <c r="R27" s="45" t="s">
        <v>35</v>
      </c>
      <c r="S27" s="45" t="s">
        <v>35</v>
      </c>
      <c r="T27" s="46" t="s">
        <v>35</v>
      </c>
      <c r="U27" s="46" t="s">
        <v>35</v>
      </c>
      <c r="V27" s="46" t="s">
        <v>35</v>
      </c>
      <c r="W27" s="47" t="s">
        <v>35</v>
      </c>
      <c r="X27" s="5" t="s">
        <v>39</v>
      </c>
      <c r="Y27" s="5" t="s">
        <v>54</v>
      </c>
      <c r="Z27" s="6" t="s">
        <v>40</v>
      </c>
      <c r="AA27" s="5" t="s">
        <v>502</v>
      </c>
      <c r="AB27" s="5"/>
      <c r="AC27" s="5" t="s">
        <v>19637</v>
      </c>
      <c r="AD27" s="6">
        <v>2227.0</v>
      </c>
    </row>
    <row r="28" ht="56.25" customHeight="1">
      <c r="A28" s="6">
        <v>15.0</v>
      </c>
      <c r="B28" s="5" t="s">
        <v>19638</v>
      </c>
      <c r="C28" s="16" t="str">
        <f>IMAGE("https://i.imgur.com/4s4OcoK.png")</f>
        <v/>
      </c>
      <c r="D28" s="6" t="str">
        <f>IMAGE("https://storage.googleapis.com/acdb/fish/FtrFishKaeru.png")</f>
        <v/>
      </c>
      <c r="E28" s="6">
        <v>120.0</v>
      </c>
      <c r="F28" s="5" t="s">
        <v>19605</v>
      </c>
      <c r="G28" s="5" t="s">
        <v>19570</v>
      </c>
      <c r="H28" s="5" t="s">
        <v>19249</v>
      </c>
      <c r="I28" s="5" t="s">
        <v>36</v>
      </c>
      <c r="J28" s="8" t="s">
        <v>19250</v>
      </c>
      <c r="K28" s="8" t="s">
        <v>19250</v>
      </c>
      <c r="L28" s="47" t="s">
        <v>35</v>
      </c>
      <c r="M28" s="47" t="s">
        <v>35</v>
      </c>
      <c r="N28" s="48" t="s">
        <v>36</v>
      </c>
      <c r="O28" s="48" t="s">
        <v>36</v>
      </c>
      <c r="P28" s="48" t="s">
        <v>36</v>
      </c>
      <c r="Q28" s="45" t="s">
        <v>36</v>
      </c>
      <c r="R28" s="45" t="s">
        <v>36</v>
      </c>
      <c r="S28" s="45" t="s">
        <v>36</v>
      </c>
      <c r="T28" s="46" t="s">
        <v>36</v>
      </c>
      <c r="U28" s="46" t="s">
        <v>36</v>
      </c>
      <c r="V28" s="46" t="s">
        <v>35</v>
      </c>
      <c r="W28" s="47" t="s">
        <v>35</v>
      </c>
      <c r="X28" s="5" t="s">
        <v>96</v>
      </c>
      <c r="Y28" s="5" t="s">
        <v>54</v>
      </c>
      <c r="Z28" s="6" t="s">
        <v>40</v>
      </c>
      <c r="AA28" s="5" t="s">
        <v>502</v>
      </c>
      <c r="AB28" s="5"/>
      <c r="AC28" s="5" t="s">
        <v>19639</v>
      </c>
      <c r="AD28" s="6">
        <v>2226.0</v>
      </c>
    </row>
    <row r="29" ht="56.25" customHeight="1">
      <c r="A29" s="6">
        <v>43.0</v>
      </c>
      <c r="B29" s="5" t="s">
        <v>19640</v>
      </c>
      <c r="C29" s="16" t="str">
        <f>IMAGE("https://i.imgur.com/YF5N0YS.png")</f>
        <v/>
      </c>
      <c r="D29" s="6" t="str">
        <f>IMAGE("https://storage.googleapis.com/acdb/fish/FtrFishGa.png")</f>
        <v/>
      </c>
      <c r="E29" s="6">
        <v>6000.0</v>
      </c>
      <c r="F29" s="5" t="s">
        <v>19605</v>
      </c>
      <c r="G29" s="5" t="s">
        <v>19632</v>
      </c>
      <c r="H29" s="43" t="s">
        <v>19267</v>
      </c>
      <c r="I29" s="43" t="s">
        <v>36</v>
      </c>
      <c r="J29" s="44">
        <v>0.6666666666666666</v>
      </c>
      <c r="K29" s="44">
        <v>0.375</v>
      </c>
      <c r="L29" s="47" t="s">
        <v>35</v>
      </c>
      <c r="M29" s="47" t="s">
        <v>35</v>
      </c>
      <c r="N29" s="48" t="s">
        <v>35</v>
      </c>
      <c r="O29" s="48" t="s">
        <v>36</v>
      </c>
      <c r="P29" s="48" t="s">
        <v>36</v>
      </c>
      <c r="Q29" s="45" t="s">
        <v>36</v>
      </c>
      <c r="R29" s="45" t="s">
        <v>36</v>
      </c>
      <c r="S29" s="45" t="s">
        <v>36</v>
      </c>
      <c r="T29" s="46" t="s">
        <v>36</v>
      </c>
      <c r="U29" s="46" t="s">
        <v>36</v>
      </c>
      <c r="V29" s="46" t="s">
        <v>36</v>
      </c>
      <c r="W29" s="47" t="s">
        <v>35</v>
      </c>
      <c r="X29" s="5" t="s">
        <v>39</v>
      </c>
      <c r="Y29" s="5" t="s">
        <v>54</v>
      </c>
      <c r="Z29" s="6" t="s">
        <v>276</v>
      </c>
      <c r="AA29" s="5" t="s">
        <v>502</v>
      </c>
      <c r="AB29" s="5"/>
      <c r="AC29" s="5" t="s">
        <v>19641</v>
      </c>
      <c r="AD29" s="6">
        <v>2252.0</v>
      </c>
    </row>
    <row r="30" ht="56.25" customHeight="1">
      <c r="A30" s="6">
        <v>19.0</v>
      </c>
      <c r="B30" s="5" t="s">
        <v>19642</v>
      </c>
      <c r="C30" s="16" t="str">
        <f>IMAGE("https://i.imgur.com/iwMiVDi.png")</f>
        <v/>
      </c>
      <c r="D30" s="6" t="str">
        <f>IMAGE("https://storage.googleapis.com/acdb/fish/FtrFishRaigyo.png")</f>
        <v/>
      </c>
      <c r="E30" s="6">
        <v>5500.0</v>
      </c>
      <c r="F30" s="5" t="s">
        <v>19605</v>
      </c>
      <c r="G30" s="5" t="s">
        <v>19580</v>
      </c>
      <c r="H30" s="43" t="s">
        <v>19267</v>
      </c>
      <c r="I30" s="43" t="s">
        <v>36</v>
      </c>
      <c r="J30" s="44">
        <v>0.375</v>
      </c>
      <c r="K30" s="44">
        <v>0.6666666666666666</v>
      </c>
      <c r="L30" s="47" t="s">
        <v>35</v>
      </c>
      <c r="M30" s="47" t="s">
        <v>35</v>
      </c>
      <c r="N30" s="48" t="s">
        <v>36</v>
      </c>
      <c r="O30" s="48" t="s">
        <v>36</v>
      </c>
      <c r="P30" s="48" t="s">
        <v>36</v>
      </c>
      <c r="Q30" s="45" t="s">
        <v>36</v>
      </c>
      <c r="R30" s="45" t="s">
        <v>36</v>
      </c>
      <c r="S30" s="45" t="s">
        <v>36</v>
      </c>
      <c r="T30" s="46" t="s">
        <v>36</v>
      </c>
      <c r="U30" s="46" t="s">
        <v>36</v>
      </c>
      <c r="V30" s="46" t="s">
        <v>36</v>
      </c>
      <c r="W30" s="47" t="s">
        <v>35</v>
      </c>
      <c r="X30" s="5" t="s">
        <v>54</v>
      </c>
      <c r="Y30" s="5" t="s">
        <v>54</v>
      </c>
      <c r="Z30" s="6" t="s">
        <v>276</v>
      </c>
      <c r="AA30" s="5" t="s">
        <v>502</v>
      </c>
      <c r="AB30" s="5"/>
      <c r="AC30" s="5" t="s">
        <v>19643</v>
      </c>
      <c r="AD30" s="6">
        <v>2231.0</v>
      </c>
    </row>
    <row r="31" ht="56.25" customHeight="1">
      <c r="A31" s="6">
        <v>68.0</v>
      </c>
      <c r="B31" s="5" t="s">
        <v>19644</v>
      </c>
      <c r="C31" s="16" t="str">
        <f>IMAGE("https://i.imgur.com/QQTaTjS.png")</f>
        <v/>
      </c>
      <c r="D31" s="6" t="str">
        <f>IMAGE("https://storage.googleapis.com/acdb/fish/FtrFishGT.png")</f>
        <v/>
      </c>
      <c r="E31" s="6">
        <v>4500.0</v>
      </c>
      <c r="F31" s="5" t="s">
        <v>19598</v>
      </c>
      <c r="G31" s="5" t="s">
        <v>19632</v>
      </c>
      <c r="H31" s="5" t="s">
        <v>19236</v>
      </c>
      <c r="I31" s="5" t="s">
        <v>36</v>
      </c>
      <c r="J31" s="8" t="s">
        <v>19250</v>
      </c>
      <c r="K31" s="8" t="s">
        <v>19250</v>
      </c>
      <c r="L31" s="47" t="s">
        <v>35</v>
      </c>
      <c r="M31" s="47" t="s">
        <v>35</v>
      </c>
      <c r="N31" s="48" t="s">
        <v>35</v>
      </c>
      <c r="O31" s="48" t="s">
        <v>35</v>
      </c>
      <c r="P31" s="48" t="s">
        <v>36</v>
      </c>
      <c r="Q31" s="45" t="s">
        <v>36</v>
      </c>
      <c r="R31" s="45" t="s">
        <v>36</v>
      </c>
      <c r="S31" s="45" t="s">
        <v>36</v>
      </c>
      <c r="T31" s="46" t="s">
        <v>36</v>
      </c>
      <c r="U31" s="46" t="s">
        <v>36</v>
      </c>
      <c r="V31" s="46" t="s">
        <v>35</v>
      </c>
      <c r="W31" s="47" t="s">
        <v>35</v>
      </c>
      <c r="X31" s="5" t="s">
        <v>54</v>
      </c>
      <c r="Y31" s="5" t="s">
        <v>54</v>
      </c>
      <c r="Z31" s="6" t="s">
        <v>276</v>
      </c>
      <c r="AA31" s="5" t="s">
        <v>502</v>
      </c>
      <c r="AB31" s="5"/>
      <c r="AC31" s="5" t="s">
        <v>19645</v>
      </c>
      <c r="AD31" s="6">
        <v>2276.0</v>
      </c>
    </row>
    <row r="32" ht="56.25" customHeight="1">
      <c r="A32" s="6">
        <v>29.0</v>
      </c>
      <c r="B32" s="5" t="s">
        <v>19646</v>
      </c>
      <c r="C32" s="16" t="str">
        <f>IMAGE("https://i.imgur.com/WprLFOn.png")</f>
        <v/>
      </c>
      <c r="D32" s="6" t="str">
        <f>IMAGE("https://storage.googleapis.com/acdb/fish/FtrFishGoldenTorauto.png")</f>
        <v/>
      </c>
      <c r="E32" s="6">
        <v>15000.0</v>
      </c>
      <c r="F32" s="5" t="s">
        <v>19610</v>
      </c>
      <c r="G32" s="5" t="s">
        <v>19583</v>
      </c>
      <c r="H32" s="43" t="s">
        <v>19323</v>
      </c>
      <c r="I32" s="43" t="s">
        <v>36</v>
      </c>
      <c r="J32" s="44">
        <v>0.6666666666666666</v>
      </c>
      <c r="K32" s="44">
        <v>0.375</v>
      </c>
      <c r="L32" s="47" t="s">
        <v>36</v>
      </c>
      <c r="M32" s="47" t="s">
        <v>36</v>
      </c>
      <c r="N32" s="48" t="s">
        <v>35</v>
      </c>
      <c r="O32" s="48" t="s">
        <v>35</v>
      </c>
      <c r="P32" s="48" t="s">
        <v>35</v>
      </c>
      <c r="Q32" s="45" t="s">
        <v>36</v>
      </c>
      <c r="R32" s="45" t="s">
        <v>36</v>
      </c>
      <c r="S32" s="45" t="s">
        <v>36</v>
      </c>
      <c r="T32" s="46" t="s">
        <v>35</v>
      </c>
      <c r="U32" s="46" t="s">
        <v>35</v>
      </c>
      <c r="V32" s="46" t="s">
        <v>35</v>
      </c>
      <c r="W32" s="47" t="s">
        <v>36</v>
      </c>
      <c r="X32" s="5" t="s">
        <v>39</v>
      </c>
      <c r="Y32" s="5" t="s">
        <v>54</v>
      </c>
      <c r="Z32" s="6" t="s">
        <v>40</v>
      </c>
      <c r="AA32" s="5" t="s">
        <v>502</v>
      </c>
      <c r="AB32" s="5"/>
      <c r="AC32" s="5" t="s">
        <v>19647</v>
      </c>
      <c r="AD32" s="6">
        <v>4193.0</v>
      </c>
    </row>
    <row r="33" ht="56.25" customHeight="1">
      <c r="A33" s="6">
        <v>7.0</v>
      </c>
      <c r="B33" s="5" t="s">
        <v>19648</v>
      </c>
      <c r="C33" s="16" t="str">
        <f>IMAGE("https://i.imgur.com/i0rqPYo.png")</f>
        <v/>
      </c>
      <c r="D33" s="6" t="str">
        <f>IMAGE("https://storage.googleapis.com/acdb/fish/FtrFishKingyo.png")</f>
        <v/>
      </c>
      <c r="E33" s="6">
        <v>1300.0</v>
      </c>
      <c r="F33" s="5" t="s">
        <v>19605</v>
      </c>
      <c r="G33" s="5" t="s">
        <v>19590</v>
      </c>
      <c r="H33" s="5" t="s">
        <v>19249</v>
      </c>
      <c r="I33" s="5" t="s">
        <v>36</v>
      </c>
      <c r="J33" s="8" t="s">
        <v>19250</v>
      </c>
      <c r="K33" s="8" t="s">
        <v>19250</v>
      </c>
      <c r="L33" s="47" t="s">
        <v>35</v>
      </c>
      <c r="M33" s="47" t="s">
        <v>35</v>
      </c>
      <c r="N33" s="48" t="s">
        <v>35</v>
      </c>
      <c r="O33" s="48" t="s">
        <v>35</v>
      </c>
      <c r="P33" s="48" t="s">
        <v>35</v>
      </c>
      <c r="Q33" s="45" t="s">
        <v>35</v>
      </c>
      <c r="R33" s="45" t="s">
        <v>35</v>
      </c>
      <c r="S33" s="45" t="s">
        <v>35</v>
      </c>
      <c r="T33" s="46" t="s">
        <v>35</v>
      </c>
      <c r="U33" s="46" t="s">
        <v>35</v>
      </c>
      <c r="V33" s="46" t="s">
        <v>35</v>
      </c>
      <c r="W33" s="47" t="s">
        <v>35</v>
      </c>
      <c r="X33" s="5" t="s">
        <v>52</v>
      </c>
      <c r="Y33" s="5" t="s">
        <v>83</v>
      </c>
      <c r="Z33" s="6" t="s">
        <v>40</v>
      </c>
      <c r="AA33" s="5" t="s">
        <v>47</v>
      </c>
      <c r="AB33" s="5"/>
      <c r="AC33" s="5" t="s">
        <v>19649</v>
      </c>
      <c r="AD33" s="6">
        <v>329.0</v>
      </c>
    </row>
    <row r="34" ht="56.25" customHeight="1">
      <c r="A34" s="6">
        <v>74.0</v>
      </c>
      <c r="B34" s="5" t="s">
        <v>19650</v>
      </c>
      <c r="C34" s="16" t="str">
        <f>IMAGE("https://i.imgur.com/ryN4VnR.png")</f>
        <v/>
      </c>
      <c r="D34" s="6" t="str">
        <f>IMAGE("https://storage.googleapis.com/acdb/fish/FtrFishSame.png")</f>
        <v/>
      </c>
      <c r="E34" s="6">
        <v>15000.0</v>
      </c>
      <c r="F34" s="5" t="s">
        <v>19569</v>
      </c>
      <c r="G34" s="5" t="s">
        <v>19651</v>
      </c>
      <c r="H34" s="43" t="s">
        <v>19267</v>
      </c>
      <c r="I34" s="43" t="s">
        <v>35</v>
      </c>
      <c r="J34" s="44">
        <v>0.6666666666666666</v>
      </c>
      <c r="K34" s="44">
        <v>0.375</v>
      </c>
      <c r="L34" s="47" t="s">
        <v>35</v>
      </c>
      <c r="M34" s="47" t="s">
        <v>35</v>
      </c>
      <c r="N34" s="48" t="s">
        <v>35</v>
      </c>
      <c r="O34" s="48" t="s">
        <v>36</v>
      </c>
      <c r="P34" s="48" t="s">
        <v>36</v>
      </c>
      <c r="Q34" s="45" t="s">
        <v>36</v>
      </c>
      <c r="R34" s="45" t="s">
        <v>36</v>
      </c>
      <c r="S34" s="45" t="s">
        <v>36</v>
      </c>
      <c r="T34" s="46" t="s">
        <v>36</v>
      </c>
      <c r="U34" s="46" t="s">
        <v>36</v>
      </c>
      <c r="V34" s="46" t="s">
        <v>36</v>
      </c>
      <c r="W34" s="47" t="s">
        <v>35</v>
      </c>
      <c r="X34" s="5" t="s">
        <v>68</v>
      </c>
      <c r="Y34" s="5" t="s">
        <v>68</v>
      </c>
      <c r="Z34" s="6" t="s">
        <v>11558</v>
      </c>
      <c r="AA34" s="5" t="s">
        <v>47</v>
      </c>
      <c r="AB34" s="5"/>
      <c r="AC34" s="5" t="s">
        <v>19652</v>
      </c>
      <c r="AD34" s="6">
        <v>2280.0</v>
      </c>
    </row>
    <row r="35" ht="56.25" customHeight="1">
      <c r="A35" s="6">
        <v>34.0</v>
      </c>
      <c r="B35" s="5" t="s">
        <v>19653</v>
      </c>
      <c r="C35" s="16" t="str">
        <f>IMAGE("https://i.imgur.com/ySTFt4E.png")</f>
        <v/>
      </c>
      <c r="D35" s="6" t="str">
        <f>IMAGE("https://storage.googleapis.com/acdb/fish/FtrFishGuppi.png")</f>
        <v/>
      </c>
      <c r="E35" s="6">
        <v>1300.0</v>
      </c>
      <c r="F35" s="5" t="s">
        <v>19574</v>
      </c>
      <c r="G35" s="5" t="s">
        <v>19590</v>
      </c>
      <c r="H35" s="43" t="s">
        <v>19249</v>
      </c>
      <c r="I35" s="43" t="s">
        <v>36</v>
      </c>
      <c r="J35" s="44">
        <v>0.375</v>
      </c>
      <c r="K35" s="44">
        <v>0.6666666666666666</v>
      </c>
      <c r="L35" s="47" t="s">
        <v>35</v>
      </c>
      <c r="M35" s="47" t="s">
        <v>35</v>
      </c>
      <c r="N35" s="48" t="s">
        <v>35</v>
      </c>
      <c r="O35" s="48" t="s">
        <v>35</v>
      </c>
      <c r="P35" s="48" t="s">
        <v>35</v>
      </c>
      <c r="Q35" s="45" t="s">
        <v>36</v>
      </c>
      <c r="R35" s="45" t="s">
        <v>36</v>
      </c>
      <c r="S35" s="45" t="s">
        <v>36</v>
      </c>
      <c r="T35" s="46" t="s">
        <v>36</v>
      </c>
      <c r="U35" s="46" t="s">
        <v>35</v>
      </c>
      <c r="V35" s="46" t="s">
        <v>35</v>
      </c>
      <c r="W35" s="47" t="s">
        <v>35</v>
      </c>
      <c r="X35" s="5" t="s">
        <v>68</v>
      </c>
      <c r="Y35" s="5" t="s">
        <v>54</v>
      </c>
      <c r="Z35" s="6" t="s">
        <v>40</v>
      </c>
      <c r="AA35" s="5" t="s">
        <v>502</v>
      </c>
      <c r="AB35" s="5"/>
      <c r="AC35" s="5" t="s">
        <v>19655</v>
      </c>
      <c r="AD35" s="6">
        <v>2245.0</v>
      </c>
    </row>
    <row r="36" ht="56.25" customHeight="1">
      <c r="A36" s="6">
        <v>73.0</v>
      </c>
      <c r="B36" s="5" t="s">
        <v>19656</v>
      </c>
      <c r="C36" s="16" t="str">
        <f>IMAGE("https://i.imgur.com/QrrFojq.png")</f>
        <v/>
      </c>
      <c r="D36" s="6" t="str">
        <f>IMAGE("https://storage.googleapis.com/acdb/fish/FtrFishShumokuzame.png")</f>
        <v/>
      </c>
      <c r="E36" s="6">
        <v>8000.0</v>
      </c>
      <c r="F36" s="5" t="s">
        <v>19569</v>
      </c>
      <c r="G36" s="5" t="s">
        <v>19651</v>
      </c>
      <c r="H36" s="43" t="s">
        <v>19236</v>
      </c>
      <c r="I36" s="43" t="s">
        <v>35</v>
      </c>
      <c r="J36" s="44">
        <v>0.6666666666666666</v>
      </c>
      <c r="K36" s="44">
        <v>0.375</v>
      </c>
      <c r="L36" s="47" t="s">
        <v>35</v>
      </c>
      <c r="M36" s="47" t="s">
        <v>35</v>
      </c>
      <c r="N36" s="48" t="s">
        <v>35</v>
      </c>
      <c r="O36" s="48" t="s">
        <v>36</v>
      </c>
      <c r="P36" s="48" t="s">
        <v>36</v>
      </c>
      <c r="Q36" s="45" t="s">
        <v>36</v>
      </c>
      <c r="R36" s="45" t="s">
        <v>36</v>
      </c>
      <c r="S36" s="45" t="s">
        <v>36</v>
      </c>
      <c r="T36" s="46" t="s">
        <v>36</v>
      </c>
      <c r="U36" s="46" t="s">
        <v>36</v>
      </c>
      <c r="V36" s="46" t="s">
        <v>36</v>
      </c>
      <c r="W36" s="47" t="s">
        <v>35</v>
      </c>
      <c r="X36" s="5" t="s">
        <v>54</v>
      </c>
      <c r="Y36" s="5" t="s">
        <v>54</v>
      </c>
      <c r="Z36" s="6" t="s">
        <v>276</v>
      </c>
      <c r="AA36" s="5" t="s">
        <v>502</v>
      </c>
      <c r="AB36" s="5"/>
      <c r="AC36" s="5" t="s">
        <v>19657</v>
      </c>
      <c r="AD36" s="6">
        <v>2279.0</v>
      </c>
    </row>
    <row r="37" ht="56.25" customHeight="1">
      <c r="A37" s="6">
        <v>57.0</v>
      </c>
      <c r="B37" s="5" t="s">
        <v>19658</v>
      </c>
      <c r="C37" s="16" t="str">
        <f>IMAGE("https://i.imgur.com/rgUkuSd.png")</f>
        <v/>
      </c>
      <c r="D37" s="6" t="str">
        <f>IMAGE("https://storage.googleapis.com/acdb/fish/FtrFishAji.png")</f>
        <v/>
      </c>
      <c r="E37" s="6">
        <v>150.0</v>
      </c>
      <c r="F37" s="5" t="s">
        <v>19569</v>
      </c>
      <c r="G37" s="5" t="s">
        <v>19570</v>
      </c>
      <c r="H37" s="5" t="s">
        <v>19249</v>
      </c>
      <c r="I37" s="5" t="s">
        <v>36</v>
      </c>
      <c r="J37" s="8" t="s">
        <v>19250</v>
      </c>
      <c r="K37" s="8" t="s">
        <v>19250</v>
      </c>
      <c r="L37" s="47" t="s">
        <v>35</v>
      </c>
      <c r="M37" s="47" t="s">
        <v>35</v>
      </c>
      <c r="N37" s="48" t="s">
        <v>35</v>
      </c>
      <c r="O37" s="48" t="s">
        <v>35</v>
      </c>
      <c r="P37" s="48" t="s">
        <v>35</v>
      </c>
      <c r="Q37" s="45" t="s">
        <v>35</v>
      </c>
      <c r="R37" s="45" t="s">
        <v>35</v>
      </c>
      <c r="S37" s="45" t="s">
        <v>35</v>
      </c>
      <c r="T37" s="46" t="s">
        <v>35</v>
      </c>
      <c r="U37" s="46" t="s">
        <v>35</v>
      </c>
      <c r="V37" s="46" t="s">
        <v>35</v>
      </c>
      <c r="W37" s="47" t="s">
        <v>35</v>
      </c>
      <c r="X37" s="5" t="s">
        <v>68</v>
      </c>
      <c r="Y37" s="5" t="s">
        <v>54</v>
      </c>
      <c r="Z37" s="6" t="s">
        <v>40</v>
      </c>
      <c r="AA37" s="5" t="s">
        <v>502</v>
      </c>
      <c r="AB37" s="5"/>
      <c r="AC37" s="5" t="s">
        <v>19659</v>
      </c>
      <c r="AD37" s="6">
        <v>2264.0</v>
      </c>
    </row>
    <row r="38" ht="56.25" customHeight="1">
      <c r="A38" s="6">
        <v>10.0</v>
      </c>
      <c r="B38" s="5" t="s">
        <v>19660</v>
      </c>
      <c r="C38" s="16" t="str">
        <f>IMAGE("https://i.imgur.com/1fuh8wL.png")</f>
        <v/>
      </c>
      <c r="D38" s="6" t="str">
        <f>IMAGE("https://storage.googleapis.com/acdb/fish/FtrFishMedaka.png")</f>
        <v/>
      </c>
      <c r="E38" s="6">
        <v>300.0</v>
      </c>
      <c r="F38" s="5" t="s">
        <v>19605</v>
      </c>
      <c r="G38" s="5" t="s">
        <v>19590</v>
      </c>
      <c r="H38" s="5" t="s">
        <v>19249</v>
      </c>
      <c r="I38" s="5" t="s">
        <v>36</v>
      </c>
      <c r="J38" s="8" t="s">
        <v>19250</v>
      </c>
      <c r="K38" s="8" t="s">
        <v>19250</v>
      </c>
      <c r="L38" s="47" t="s">
        <v>35</v>
      </c>
      <c r="M38" s="47" t="s">
        <v>35</v>
      </c>
      <c r="N38" s="48" t="s">
        <v>36</v>
      </c>
      <c r="O38" s="48" t="s">
        <v>36</v>
      </c>
      <c r="P38" s="48" t="s">
        <v>36</v>
      </c>
      <c r="Q38" s="45" t="s">
        <v>36</v>
      </c>
      <c r="R38" s="45" t="s">
        <v>36</v>
      </c>
      <c r="S38" s="45" t="s">
        <v>36</v>
      </c>
      <c r="T38" s="46" t="s">
        <v>36</v>
      </c>
      <c r="U38" s="46" t="s">
        <v>35</v>
      </c>
      <c r="V38" s="46" t="s">
        <v>35</v>
      </c>
      <c r="W38" s="47" t="s">
        <v>35</v>
      </c>
      <c r="X38" s="5" t="s">
        <v>114</v>
      </c>
      <c r="Y38" s="5" t="s">
        <v>54</v>
      </c>
      <c r="Z38" s="6" t="s">
        <v>40</v>
      </c>
      <c r="AA38" s="5" t="s">
        <v>502</v>
      </c>
      <c r="AB38" s="5"/>
      <c r="AC38" s="5" t="s">
        <v>19661</v>
      </c>
      <c r="AD38" s="6">
        <v>2222.0</v>
      </c>
    </row>
    <row r="39" ht="56.25" customHeight="1">
      <c r="A39" s="6">
        <v>32.0</v>
      </c>
      <c r="B39" s="5" t="s">
        <v>19662</v>
      </c>
      <c r="C39" s="16" t="str">
        <f>IMAGE("https://i.imgur.com/HEad8gc.png")</f>
        <v/>
      </c>
      <c r="D39" s="6" t="str">
        <f>IMAGE("https://storage.googleapis.com/acdb/fish/FtrFishKingsalmon.png")</f>
        <v/>
      </c>
      <c r="E39" s="6">
        <v>1800.0</v>
      </c>
      <c r="F39" s="5" t="s">
        <v>19663</v>
      </c>
      <c r="G39" s="5" t="s">
        <v>19632</v>
      </c>
      <c r="H39" s="5" t="s">
        <v>19236</v>
      </c>
      <c r="I39" s="5" t="s">
        <v>36</v>
      </c>
      <c r="J39" s="8" t="s">
        <v>19250</v>
      </c>
      <c r="K39" s="8" t="s">
        <v>19250</v>
      </c>
      <c r="L39" s="47" t="s">
        <v>36</v>
      </c>
      <c r="M39" s="47" t="s">
        <v>36</v>
      </c>
      <c r="N39" s="48" t="s">
        <v>35</v>
      </c>
      <c r="O39" s="48" t="s">
        <v>36</v>
      </c>
      <c r="P39" s="48" t="s">
        <v>36</v>
      </c>
      <c r="Q39" s="45" t="s">
        <v>36</v>
      </c>
      <c r="R39" s="45" t="s">
        <v>36</v>
      </c>
      <c r="S39" s="45" t="s">
        <v>36</v>
      </c>
      <c r="T39" s="46" t="s">
        <v>36</v>
      </c>
      <c r="U39" s="46" t="s">
        <v>36</v>
      </c>
      <c r="V39" s="46" t="s">
        <v>36</v>
      </c>
      <c r="W39" s="47" t="s">
        <v>36</v>
      </c>
      <c r="X39" s="5" t="s">
        <v>95</v>
      </c>
      <c r="Y39" s="5" t="s">
        <v>54</v>
      </c>
      <c r="Z39" s="6" t="s">
        <v>276</v>
      </c>
      <c r="AA39" s="5" t="s">
        <v>502</v>
      </c>
      <c r="AB39" s="5"/>
      <c r="AC39" s="5" t="s">
        <v>19664</v>
      </c>
      <c r="AD39" s="6">
        <v>2243.0</v>
      </c>
    </row>
    <row r="40" ht="56.25" customHeight="1">
      <c r="A40" s="6">
        <v>6.0</v>
      </c>
      <c r="B40" s="5" t="s">
        <v>19665</v>
      </c>
      <c r="C40" s="16" t="str">
        <f>IMAGE("https://i.imgur.com/7adR6xk.png")</f>
        <v/>
      </c>
      <c r="D40" s="6" t="str">
        <f>IMAGE("https://storage.googleapis.com/acdb/fish/FtrFishNishikigoi.png")</f>
        <v/>
      </c>
      <c r="E40" s="6">
        <v>4000.0</v>
      </c>
      <c r="F40" s="5" t="s">
        <v>19605</v>
      </c>
      <c r="G40" s="5" t="s">
        <v>19580</v>
      </c>
      <c r="H40" s="43" t="s">
        <v>19236</v>
      </c>
      <c r="I40" s="43" t="s">
        <v>36</v>
      </c>
      <c r="J40" s="44">
        <v>0.6666666666666666</v>
      </c>
      <c r="K40" s="44">
        <v>0.375</v>
      </c>
      <c r="L40" s="47" t="s">
        <v>35</v>
      </c>
      <c r="M40" s="47" t="s">
        <v>35</v>
      </c>
      <c r="N40" s="48" t="s">
        <v>35</v>
      </c>
      <c r="O40" s="48" t="s">
        <v>35</v>
      </c>
      <c r="P40" s="48" t="s">
        <v>35</v>
      </c>
      <c r="Q40" s="45" t="s">
        <v>35</v>
      </c>
      <c r="R40" s="45" t="s">
        <v>35</v>
      </c>
      <c r="S40" s="45" t="s">
        <v>35</v>
      </c>
      <c r="T40" s="46" t="s">
        <v>35</v>
      </c>
      <c r="U40" s="46" t="s">
        <v>35</v>
      </c>
      <c r="V40" s="46" t="s">
        <v>35</v>
      </c>
      <c r="W40" s="47" t="s">
        <v>35</v>
      </c>
      <c r="X40" s="5" t="s">
        <v>52</v>
      </c>
      <c r="Y40" s="5" t="s">
        <v>57</v>
      </c>
      <c r="Z40" s="6" t="s">
        <v>40</v>
      </c>
      <c r="AA40" s="5" t="s">
        <v>502</v>
      </c>
      <c r="AB40" s="5"/>
      <c r="AC40" s="5" t="s">
        <v>19667</v>
      </c>
      <c r="AD40" s="6">
        <v>2220.0</v>
      </c>
    </row>
    <row r="41" ht="56.25" customHeight="1">
      <c r="A41" s="6">
        <v>17.0</v>
      </c>
      <c r="B41" s="5" t="s">
        <v>19668</v>
      </c>
      <c r="C41" s="16" t="str">
        <f>IMAGE("https://i.imgur.com/9N8uM7V.png")</f>
        <v/>
      </c>
      <c r="D41" s="6" t="str">
        <f>IMAGE("https://storage.googleapis.com/acdb/fish/FtrFishDojou.png")</f>
        <v/>
      </c>
      <c r="E41" s="6">
        <v>400.0</v>
      </c>
      <c r="F41" s="5" t="s">
        <v>19574</v>
      </c>
      <c r="G41" s="5" t="s">
        <v>19570</v>
      </c>
      <c r="H41" s="5" t="s">
        <v>19249</v>
      </c>
      <c r="I41" s="5" t="s">
        <v>36</v>
      </c>
      <c r="J41" s="8" t="s">
        <v>19250</v>
      </c>
      <c r="K41" s="8" t="s">
        <v>19250</v>
      </c>
      <c r="L41" s="47" t="s">
        <v>36</v>
      </c>
      <c r="M41" s="47" t="s">
        <v>36</v>
      </c>
      <c r="N41" s="48" t="s">
        <v>36</v>
      </c>
      <c r="O41" s="48" t="s">
        <v>36</v>
      </c>
      <c r="P41" s="48" t="s">
        <v>36</v>
      </c>
      <c r="Q41" s="45" t="s">
        <v>36</v>
      </c>
      <c r="R41" s="45" t="s">
        <v>36</v>
      </c>
      <c r="S41" s="45" t="s">
        <v>36</v>
      </c>
      <c r="T41" s="46" t="s">
        <v>35</v>
      </c>
      <c r="U41" s="46" t="s">
        <v>35</v>
      </c>
      <c r="V41" s="46" t="s">
        <v>35</v>
      </c>
      <c r="W41" s="47" t="s">
        <v>36</v>
      </c>
      <c r="X41" s="5" t="s">
        <v>39</v>
      </c>
      <c r="Y41" s="5" t="s">
        <v>68</v>
      </c>
      <c r="Z41" s="6" t="s">
        <v>40</v>
      </c>
      <c r="AA41" s="5" t="s">
        <v>47</v>
      </c>
      <c r="AB41" s="5"/>
      <c r="AC41" s="5" t="s">
        <v>19669</v>
      </c>
      <c r="AD41" s="6">
        <v>2228.0</v>
      </c>
    </row>
    <row r="42" ht="56.25" customHeight="1">
      <c r="A42" s="6">
        <v>69.0</v>
      </c>
      <c r="B42" s="5" t="s">
        <v>19670</v>
      </c>
      <c r="C42" s="16" t="str">
        <f>IMAGE("https://i.imgur.com/asWlBCU.png")</f>
        <v/>
      </c>
      <c r="D42" s="6" t="str">
        <f>IMAGE("https://storage.googleapis.com/acdb/fish/FtrFishShiira.png")</f>
        <v/>
      </c>
      <c r="E42" s="6">
        <v>6000.0</v>
      </c>
      <c r="F42" s="5" t="s">
        <v>19598</v>
      </c>
      <c r="G42" s="5" t="s">
        <v>19632</v>
      </c>
      <c r="H42" s="5" t="s">
        <v>19267</v>
      </c>
      <c r="I42" s="5" t="s">
        <v>35</v>
      </c>
      <c r="J42" s="8" t="s">
        <v>19250</v>
      </c>
      <c r="K42" s="8" t="s">
        <v>19250</v>
      </c>
      <c r="L42" s="47" t="s">
        <v>35</v>
      </c>
      <c r="M42" s="47" t="s">
        <v>35</v>
      </c>
      <c r="N42" s="48" t="s">
        <v>35</v>
      </c>
      <c r="O42" s="48" t="s">
        <v>35</v>
      </c>
      <c r="P42" s="48" t="s">
        <v>36</v>
      </c>
      <c r="Q42" s="45" t="s">
        <v>36</v>
      </c>
      <c r="R42" s="45" t="s">
        <v>36</v>
      </c>
      <c r="S42" s="45" t="s">
        <v>36</v>
      </c>
      <c r="T42" s="46" t="s">
        <v>36</v>
      </c>
      <c r="U42" s="46" t="s">
        <v>36</v>
      </c>
      <c r="V42" s="46" t="s">
        <v>35</v>
      </c>
      <c r="W42" s="47" t="s">
        <v>35</v>
      </c>
      <c r="X42" s="5" t="s">
        <v>114</v>
      </c>
      <c r="Y42" s="5" t="s">
        <v>54</v>
      </c>
      <c r="Z42" s="6" t="s">
        <v>276</v>
      </c>
      <c r="AA42" s="5" t="s">
        <v>502</v>
      </c>
      <c r="AB42" s="5"/>
      <c r="AC42" s="5" t="s">
        <v>19671</v>
      </c>
      <c r="AD42" s="6">
        <v>4202.0</v>
      </c>
    </row>
    <row r="43" ht="56.25" customHeight="1">
      <c r="A43" s="6">
        <v>33.0</v>
      </c>
      <c r="B43" s="5" t="s">
        <v>19673</v>
      </c>
      <c r="C43" s="16" t="str">
        <f>IMAGE("https://i.imgur.com/gwHZbVk.png")</f>
        <v/>
      </c>
      <c r="D43" s="6" t="str">
        <f>IMAGE("https://storage.googleapis.com/acdb/fish/FtrFishShanghai.png")</f>
        <v/>
      </c>
      <c r="E43" s="6">
        <v>2000.0</v>
      </c>
      <c r="F43" s="5" t="s">
        <v>19574</v>
      </c>
      <c r="G43" s="5" t="s">
        <v>19570</v>
      </c>
      <c r="H43" s="43" t="s">
        <v>19236</v>
      </c>
      <c r="I43" s="43" t="s">
        <v>36</v>
      </c>
      <c r="J43" s="44">
        <v>0.6666666666666666</v>
      </c>
      <c r="K43" s="44">
        <v>0.375</v>
      </c>
      <c r="L43" s="47" t="s">
        <v>36</v>
      </c>
      <c r="M43" s="47" t="s">
        <v>36</v>
      </c>
      <c r="N43" s="48" t="s">
        <v>35</v>
      </c>
      <c r="O43" s="48" t="s">
        <v>35</v>
      </c>
      <c r="P43" s="48" t="s">
        <v>35</v>
      </c>
      <c r="Q43" s="45" t="s">
        <v>36</v>
      </c>
      <c r="R43" s="45" t="s">
        <v>36</v>
      </c>
      <c r="S43" s="45" t="s">
        <v>36</v>
      </c>
      <c r="T43" s="46" t="s">
        <v>36</v>
      </c>
      <c r="U43" s="46" t="s">
        <v>36</v>
      </c>
      <c r="V43" s="46" t="s">
        <v>36</v>
      </c>
      <c r="W43" s="47" t="s">
        <v>36</v>
      </c>
      <c r="X43" s="5" t="s">
        <v>54</v>
      </c>
      <c r="Y43" s="5" t="s">
        <v>68</v>
      </c>
      <c r="Z43" s="6" t="s">
        <v>40</v>
      </c>
      <c r="AA43" s="5" t="s">
        <v>47</v>
      </c>
      <c r="AB43" s="5"/>
      <c r="AC43" s="5" t="s">
        <v>19674</v>
      </c>
      <c r="AD43" s="6">
        <v>2244.0</v>
      </c>
    </row>
    <row r="44" ht="56.25" customHeight="1">
      <c r="A44" s="6">
        <v>64.0</v>
      </c>
      <c r="B44" s="5" t="s">
        <v>19675</v>
      </c>
      <c r="C44" s="16" t="str">
        <f>IMAGE("https://i.imgur.com/C0Mw5Qd.png")</f>
        <v/>
      </c>
      <c r="D44" s="6" t="str">
        <f>IMAGE("https://storage.googleapis.com/acdb/fish/FtrFishUtsubo.png")</f>
        <v/>
      </c>
      <c r="E44" s="6">
        <v>2000.0</v>
      </c>
      <c r="F44" s="5" t="s">
        <v>19569</v>
      </c>
      <c r="G44" s="5" t="s">
        <v>19676</v>
      </c>
      <c r="H44" s="5" t="s">
        <v>19236</v>
      </c>
      <c r="I44" s="5" t="s">
        <v>36</v>
      </c>
      <c r="J44" s="8" t="s">
        <v>19250</v>
      </c>
      <c r="K44" s="8" t="s">
        <v>19250</v>
      </c>
      <c r="L44" s="47" t="s">
        <v>36</v>
      </c>
      <c r="M44" s="47" t="s">
        <v>35</v>
      </c>
      <c r="N44" s="48" t="s">
        <v>35</v>
      </c>
      <c r="O44" s="48" t="s">
        <v>35</v>
      </c>
      <c r="P44" s="48" t="s">
        <v>36</v>
      </c>
      <c r="Q44" s="45" t="s">
        <v>36</v>
      </c>
      <c r="R44" s="45" t="s">
        <v>36</v>
      </c>
      <c r="S44" s="45" t="s">
        <v>36</v>
      </c>
      <c r="T44" s="46" t="s">
        <v>36</v>
      </c>
      <c r="U44" s="46" t="s">
        <v>36</v>
      </c>
      <c r="V44" s="46" t="s">
        <v>36</v>
      </c>
      <c r="W44" s="47" t="s">
        <v>36</v>
      </c>
      <c r="X44" s="5" t="s">
        <v>39</v>
      </c>
      <c r="Y44" s="5" t="s">
        <v>54</v>
      </c>
      <c r="Z44" s="6" t="s">
        <v>276</v>
      </c>
      <c r="AA44" s="5" t="s">
        <v>502</v>
      </c>
      <c r="AB44" s="5"/>
      <c r="AC44" s="5" t="s">
        <v>19677</v>
      </c>
      <c r="AD44" s="6">
        <v>2271.0</v>
      </c>
    </row>
    <row r="45" ht="56.25" customHeight="1">
      <c r="A45" s="6">
        <v>52.0</v>
      </c>
      <c r="B45" s="5" t="s">
        <v>19678</v>
      </c>
      <c r="C45" s="16" t="str">
        <f>IMAGE("https://i.imgur.com/Bg6ymWx.png")</f>
        <v/>
      </c>
      <c r="D45" s="6" t="str">
        <f>IMAGE("https://storage.googleapis.com/acdb/fish/FtrFishNaporeonfish.png")</f>
        <v/>
      </c>
      <c r="E45" s="6">
        <v>10000.0</v>
      </c>
      <c r="F45" s="5" t="s">
        <v>19569</v>
      </c>
      <c r="G45" s="5" t="s">
        <v>19577</v>
      </c>
      <c r="H45" s="43" t="s">
        <v>19267</v>
      </c>
      <c r="I45" s="43" t="s">
        <v>35</v>
      </c>
      <c r="J45" s="44">
        <v>0.16666666666666666</v>
      </c>
      <c r="K45" s="44">
        <v>0.875</v>
      </c>
      <c r="L45" s="47" t="s">
        <v>35</v>
      </c>
      <c r="M45" s="47" t="s">
        <v>35</v>
      </c>
      <c r="N45" s="48" t="s">
        <v>36</v>
      </c>
      <c r="O45" s="48" t="s">
        <v>36</v>
      </c>
      <c r="P45" s="48" t="s">
        <v>36</v>
      </c>
      <c r="Q45" s="45" t="s">
        <v>36</v>
      </c>
      <c r="R45" s="45" t="s">
        <v>36</v>
      </c>
      <c r="S45" s="45" t="s">
        <v>36</v>
      </c>
      <c r="T45" s="46" t="s">
        <v>36</v>
      </c>
      <c r="U45" s="46" t="s">
        <v>36</v>
      </c>
      <c r="V45" s="46" t="s">
        <v>36</v>
      </c>
      <c r="W45" s="47" t="s">
        <v>36</v>
      </c>
      <c r="X45" s="5" t="s">
        <v>83</v>
      </c>
      <c r="Y45" s="5" t="s">
        <v>54</v>
      </c>
      <c r="Z45" s="6" t="s">
        <v>276</v>
      </c>
      <c r="AA45" s="5" t="s">
        <v>502</v>
      </c>
      <c r="AB45" s="5"/>
      <c r="AC45" s="5" t="s">
        <v>19679</v>
      </c>
      <c r="AD45" s="6">
        <v>2260.0</v>
      </c>
    </row>
    <row r="46" ht="56.25" customHeight="1">
      <c r="A46" s="6">
        <v>38.0</v>
      </c>
      <c r="B46" s="5" t="s">
        <v>19680</v>
      </c>
      <c r="C46" s="16" t="str">
        <f>IMAGE("https://i.imgur.com/EdKzQJn.png")</f>
        <v/>
      </c>
      <c r="D46" s="6" t="str">
        <f>IMAGE("https://storage.googleapis.com/acdb/fish/FtrFishNeontetora.png")</f>
        <v/>
      </c>
      <c r="E46" s="6">
        <v>500.0</v>
      </c>
      <c r="F46" s="5" t="s">
        <v>19574</v>
      </c>
      <c r="G46" s="5" t="s">
        <v>19590</v>
      </c>
      <c r="H46" s="43" t="s">
        <v>19249</v>
      </c>
      <c r="I46" s="43" t="s">
        <v>36</v>
      </c>
      <c r="J46" s="44">
        <v>0.375</v>
      </c>
      <c r="K46" s="44">
        <v>0.6666666666666666</v>
      </c>
      <c r="L46" s="47" t="s">
        <v>35</v>
      </c>
      <c r="M46" s="47" t="s">
        <v>35</v>
      </c>
      <c r="N46" s="48" t="s">
        <v>35</v>
      </c>
      <c r="O46" s="48" t="s">
        <v>35</v>
      </c>
      <c r="P46" s="48" t="s">
        <v>35</v>
      </c>
      <c r="Q46" s="45" t="s">
        <v>36</v>
      </c>
      <c r="R46" s="45" t="s">
        <v>36</v>
      </c>
      <c r="S46" s="45" t="s">
        <v>36</v>
      </c>
      <c r="T46" s="46" t="s">
        <v>36</v>
      </c>
      <c r="U46" s="46" t="s">
        <v>35</v>
      </c>
      <c r="V46" s="46" t="s">
        <v>35</v>
      </c>
      <c r="W46" s="47" t="s">
        <v>35</v>
      </c>
      <c r="X46" s="5" t="s">
        <v>83</v>
      </c>
      <c r="Y46" s="5" t="s">
        <v>54</v>
      </c>
      <c r="Z46" s="6" t="s">
        <v>40</v>
      </c>
      <c r="AA46" s="5" t="s">
        <v>502</v>
      </c>
      <c r="AB46" s="5"/>
      <c r="AC46" s="5" t="s">
        <v>19681</v>
      </c>
      <c r="AD46" s="6">
        <v>2248.0</v>
      </c>
    </row>
    <row r="47" ht="56.25" customHeight="1">
      <c r="A47" s="6">
        <v>35.0</v>
      </c>
      <c r="B47" s="5" t="s">
        <v>19682</v>
      </c>
      <c r="C47" s="16" t="str">
        <f>IMAGE("https://i.imgur.com/Ls7SOLb.png")</f>
        <v/>
      </c>
      <c r="D47" s="6" t="str">
        <f>IMAGE("https://storage.googleapis.com/acdb/fish/FtrFishDoctor.png")</f>
        <v/>
      </c>
      <c r="E47" s="6">
        <v>1500.0</v>
      </c>
      <c r="F47" s="5" t="s">
        <v>19574</v>
      </c>
      <c r="G47" s="5" t="s">
        <v>19590</v>
      </c>
      <c r="H47" s="43" t="s">
        <v>19236</v>
      </c>
      <c r="I47" s="43" t="s">
        <v>36</v>
      </c>
      <c r="J47" s="44">
        <v>0.375</v>
      </c>
      <c r="K47" s="44">
        <v>0.6666666666666666</v>
      </c>
      <c r="L47" s="47" t="s">
        <v>35</v>
      </c>
      <c r="M47" s="47" t="s">
        <v>35</v>
      </c>
      <c r="N47" s="48" t="s">
        <v>35</v>
      </c>
      <c r="O47" s="48" t="s">
        <v>36</v>
      </c>
      <c r="P47" s="48" t="s">
        <v>36</v>
      </c>
      <c r="Q47" s="45" t="s">
        <v>36</v>
      </c>
      <c r="R47" s="45" t="s">
        <v>36</v>
      </c>
      <c r="S47" s="45" t="s">
        <v>36</v>
      </c>
      <c r="T47" s="46" t="s">
        <v>36</v>
      </c>
      <c r="U47" s="46" t="s">
        <v>36</v>
      </c>
      <c r="V47" s="46" t="s">
        <v>35</v>
      </c>
      <c r="W47" s="47" t="s">
        <v>35</v>
      </c>
      <c r="X47" s="5" t="s">
        <v>39</v>
      </c>
      <c r="Y47" s="5" t="s">
        <v>68</v>
      </c>
      <c r="Z47" s="6" t="s">
        <v>40</v>
      </c>
      <c r="AA47" s="5" t="s">
        <v>47</v>
      </c>
      <c r="AB47" s="5"/>
      <c r="AC47" s="5" t="s">
        <v>19683</v>
      </c>
      <c r="AD47" s="6">
        <v>2246.0</v>
      </c>
    </row>
    <row r="48" ht="56.25" customHeight="1">
      <c r="A48" s="6">
        <v>78.0</v>
      </c>
      <c r="B48" s="5" t="s">
        <v>19684</v>
      </c>
      <c r="C48" s="16" t="str">
        <f>IMAGE("https://i.imgur.com/8yMwTtM.png")</f>
        <v/>
      </c>
      <c r="D48" s="6" t="str">
        <f>IMAGE("https://storage.googleapis.com/acdb/fish/FtrFishRyugu.png")</f>
        <v/>
      </c>
      <c r="E48" s="6">
        <v>9000.0</v>
      </c>
      <c r="F48" s="5" t="s">
        <v>19569</v>
      </c>
      <c r="G48" s="5" t="s">
        <v>19577</v>
      </c>
      <c r="H48" s="5" t="s">
        <v>19267</v>
      </c>
      <c r="I48" s="5" t="s">
        <v>35</v>
      </c>
      <c r="J48" s="8" t="s">
        <v>19250</v>
      </c>
      <c r="K48" s="8" t="s">
        <v>19250</v>
      </c>
      <c r="L48" s="47" t="s">
        <v>36</v>
      </c>
      <c r="M48" s="47" t="s">
        <v>36</v>
      </c>
      <c r="N48" s="48" t="s">
        <v>36</v>
      </c>
      <c r="O48" s="48" t="s">
        <v>36</v>
      </c>
      <c r="P48" s="48" t="s">
        <v>36</v>
      </c>
      <c r="Q48" s="45" t="s">
        <v>35</v>
      </c>
      <c r="R48" s="45" t="s">
        <v>35</v>
      </c>
      <c r="S48" s="45" t="s">
        <v>35</v>
      </c>
      <c r="T48" s="46" t="s">
        <v>35</v>
      </c>
      <c r="U48" s="46" t="s">
        <v>35</v>
      </c>
      <c r="V48" s="46" t="s">
        <v>35</v>
      </c>
      <c r="W48" s="47" t="s">
        <v>36</v>
      </c>
      <c r="X48" s="5" t="s">
        <v>52</v>
      </c>
      <c r="Y48" s="5" t="s">
        <v>68</v>
      </c>
      <c r="Z48" s="6" t="s">
        <v>11558</v>
      </c>
      <c r="AA48" s="5" t="s">
        <v>47</v>
      </c>
      <c r="AB48" s="5"/>
      <c r="AC48" s="5" t="s">
        <v>19685</v>
      </c>
      <c r="AD48" s="6">
        <v>2283.0</v>
      </c>
    </row>
    <row r="49" ht="56.25" customHeight="1">
      <c r="A49" s="6">
        <v>70.0</v>
      </c>
      <c r="B49" s="5" t="s">
        <v>19686</v>
      </c>
      <c r="C49" s="16" t="str">
        <f>IMAGE("https://i.imgur.com/iEoMmrB.png")</f>
        <v/>
      </c>
      <c r="D49" s="6" t="str">
        <f>IMAGE("https://storage.googleapis.com/acdb/fish/FtrFishManbou.png")</f>
        <v/>
      </c>
      <c r="E49" s="6">
        <v>4000.0</v>
      </c>
      <c r="F49" s="5" t="s">
        <v>19569</v>
      </c>
      <c r="G49" s="5" t="s">
        <v>19651</v>
      </c>
      <c r="H49" s="43" t="s">
        <v>19236</v>
      </c>
      <c r="I49" s="43" t="s">
        <v>35</v>
      </c>
      <c r="J49" s="44">
        <v>0.16666666666666666</v>
      </c>
      <c r="K49" s="44">
        <v>0.875</v>
      </c>
      <c r="L49" s="47" t="s">
        <v>35</v>
      </c>
      <c r="M49" s="47" t="s">
        <v>35</v>
      </c>
      <c r="N49" s="48" t="s">
        <v>35</v>
      </c>
      <c r="O49" s="48" t="s">
        <v>36</v>
      </c>
      <c r="P49" s="48" t="s">
        <v>36</v>
      </c>
      <c r="Q49" s="45" t="s">
        <v>36</v>
      </c>
      <c r="R49" s="45" t="s">
        <v>36</v>
      </c>
      <c r="S49" s="45" t="s">
        <v>36</v>
      </c>
      <c r="T49" s="46" t="s">
        <v>36</v>
      </c>
      <c r="U49" s="46" t="s">
        <v>36</v>
      </c>
      <c r="V49" s="46" t="s">
        <v>36</v>
      </c>
      <c r="W49" s="47" t="s">
        <v>36</v>
      </c>
      <c r="X49" s="5" t="s">
        <v>68</v>
      </c>
      <c r="Y49" s="5" t="s">
        <v>142</v>
      </c>
      <c r="Z49" s="6" t="s">
        <v>214</v>
      </c>
      <c r="AA49" s="5" t="s">
        <v>47</v>
      </c>
      <c r="AB49" s="5"/>
      <c r="AC49" s="5" t="s">
        <v>19688</v>
      </c>
      <c r="AD49" s="6">
        <v>2278.0</v>
      </c>
    </row>
    <row r="50" ht="56.25" customHeight="1">
      <c r="A50" s="6">
        <v>62.0</v>
      </c>
      <c r="B50" s="5" t="s">
        <v>19689</v>
      </c>
      <c r="C50" s="16" t="str">
        <f>IMAGE("https://i.imgur.com/Pe5N5i1.png")</f>
        <v/>
      </c>
      <c r="D50" s="6" t="str">
        <f>IMAGE("https://storage.googleapis.com/acdb/fish/FtrFishHirame.png")</f>
        <v/>
      </c>
      <c r="E50" s="6">
        <v>800.0</v>
      </c>
      <c r="F50" s="5" t="s">
        <v>19569</v>
      </c>
      <c r="G50" s="5" t="s">
        <v>19632</v>
      </c>
      <c r="H50" s="5" t="s">
        <v>19249</v>
      </c>
      <c r="I50" s="5" t="s">
        <v>36</v>
      </c>
      <c r="J50" s="8" t="s">
        <v>19250</v>
      </c>
      <c r="K50" s="8" t="s">
        <v>19250</v>
      </c>
      <c r="L50" s="47" t="s">
        <v>35</v>
      </c>
      <c r="M50" s="47" t="s">
        <v>35</v>
      </c>
      <c r="N50" s="48" t="s">
        <v>35</v>
      </c>
      <c r="O50" s="48" t="s">
        <v>35</v>
      </c>
      <c r="P50" s="48" t="s">
        <v>35</v>
      </c>
      <c r="Q50" s="45" t="s">
        <v>35</v>
      </c>
      <c r="R50" s="45" t="s">
        <v>35</v>
      </c>
      <c r="S50" s="45" t="s">
        <v>35</v>
      </c>
      <c r="T50" s="46" t="s">
        <v>35</v>
      </c>
      <c r="U50" s="46" t="s">
        <v>35</v>
      </c>
      <c r="V50" s="46" t="s">
        <v>35</v>
      </c>
      <c r="W50" s="47" t="s">
        <v>35</v>
      </c>
      <c r="X50" s="5" t="s">
        <v>38</v>
      </c>
      <c r="Y50" s="5" t="s">
        <v>54</v>
      </c>
      <c r="Z50" s="6" t="s">
        <v>276</v>
      </c>
      <c r="AA50" s="5" t="s">
        <v>502</v>
      </c>
      <c r="AB50" s="5"/>
      <c r="AC50" s="5" t="s">
        <v>19690</v>
      </c>
      <c r="AD50" s="6">
        <v>2269.0</v>
      </c>
    </row>
    <row r="51" ht="56.25" customHeight="1">
      <c r="A51" s="6">
        <v>2.0</v>
      </c>
      <c r="B51" s="5" t="s">
        <v>19691</v>
      </c>
      <c r="C51" s="16" t="str">
        <f>IMAGE("https://i.imgur.com/2GwVD8t.png")</f>
        <v/>
      </c>
      <c r="D51" s="6" t="str">
        <f>IMAGE("https://storage.googleapis.com/acdb/fish/FtrFishOikawa.png")</f>
        <v/>
      </c>
      <c r="E51" s="6">
        <v>200.0</v>
      </c>
      <c r="F51" s="5" t="s">
        <v>19574</v>
      </c>
      <c r="G51" s="5" t="s">
        <v>19590</v>
      </c>
      <c r="H51" s="43" t="s">
        <v>19249</v>
      </c>
      <c r="I51" s="43" t="s">
        <v>36</v>
      </c>
      <c r="J51" s="44">
        <v>0.375</v>
      </c>
      <c r="K51" s="44">
        <v>0.6666666666666666</v>
      </c>
      <c r="L51" s="47" t="s">
        <v>35</v>
      </c>
      <c r="M51" s="47" t="s">
        <v>35</v>
      </c>
      <c r="N51" s="48" t="s">
        <v>35</v>
      </c>
      <c r="O51" s="48" t="s">
        <v>35</v>
      </c>
      <c r="P51" s="48" t="s">
        <v>35</v>
      </c>
      <c r="Q51" s="45" t="s">
        <v>35</v>
      </c>
      <c r="R51" s="45" t="s">
        <v>35</v>
      </c>
      <c r="S51" s="45" t="s">
        <v>35</v>
      </c>
      <c r="T51" s="46" t="s">
        <v>35</v>
      </c>
      <c r="U51" s="46" t="s">
        <v>35</v>
      </c>
      <c r="V51" s="46" t="s">
        <v>35</v>
      </c>
      <c r="W51" s="47" t="s">
        <v>35</v>
      </c>
      <c r="X51" s="5" t="s">
        <v>68</v>
      </c>
      <c r="Y51" s="5" t="s">
        <v>68</v>
      </c>
      <c r="Z51" s="6" t="s">
        <v>40</v>
      </c>
      <c r="AA51" s="5" t="s">
        <v>47</v>
      </c>
      <c r="AB51" s="5"/>
      <c r="AC51" s="5" t="s">
        <v>19692</v>
      </c>
      <c r="AD51" s="6">
        <v>2216.0</v>
      </c>
    </row>
    <row r="52" ht="56.25" customHeight="1">
      <c r="A52" s="6">
        <v>24.0</v>
      </c>
      <c r="B52" s="5" t="s">
        <v>19693</v>
      </c>
      <c r="C52" s="16" t="str">
        <f>IMAGE("https://i.imgur.com/mJiEPNy.png")</f>
        <v/>
      </c>
      <c r="D52" s="6" t="str">
        <f>IMAGE("https://storage.googleapis.com/acdb/fish/FtrFishPaiku.png")</f>
        <v/>
      </c>
      <c r="E52" s="6">
        <v>1800.0</v>
      </c>
      <c r="F52" s="5" t="s">
        <v>19574</v>
      </c>
      <c r="G52" s="5" t="s">
        <v>19632</v>
      </c>
      <c r="H52" s="5" t="s">
        <v>19236</v>
      </c>
      <c r="I52" s="5" t="s">
        <v>36</v>
      </c>
      <c r="J52" s="8" t="s">
        <v>19250</v>
      </c>
      <c r="K52" s="8" t="s">
        <v>19250</v>
      </c>
      <c r="L52" s="47" t="s">
        <v>36</v>
      </c>
      <c r="M52" s="47" t="s">
        <v>36</v>
      </c>
      <c r="N52" s="48" t="s">
        <v>35</v>
      </c>
      <c r="O52" s="48" t="s">
        <v>35</v>
      </c>
      <c r="P52" s="48" t="s">
        <v>35</v>
      </c>
      <c r="Q52" s="45" t="s">
        <v>35</v>
      </c>
      <c r="R52" s="45" t="s">
        <v>36</v>
      </c>
      <c r="S52" s="45" t="s">
        <v>36</v>
      </c>
      <c r="T52" s="46" t="s">
        <v>36</v>
      </c>
      <c r="U52" s="46" t="s">
        <v>36</v>
      </c>
      <c r="V52" s="46" t="s">
        <v>36</v>
      </c>
      <c r="W52" s="47" t="s">
        <v>36</v>
      </c>
      <c r="X52" s="5" t="s">
        <v>96</v>
      </c>
      <c r="Y52" s="5" t="s">
        <v>54</v>
      </c>
      <c r="Z52" s="6" t="s">
        <v>276</v>
      </c>
      <c r="AA52" s="5" t="s">
        <v>502</v>
      </c>
      <c r="AB52" s="5"/>
      <c r="AC52" s="5" t="s">
        <v>19694</v>
      </c>
      <c r="AD52" s="6">
        <v>2235.0</v>
      </c>
    </row>
    <row r="53" ht="56.25" customHeight="1">
      <c r="A53" s="6">
        <v>40.0</v>
      </c>
      <c r="B53" s="5" t="s">
        <v>19695</v>
      </c>
      <c r="C53" s="16" t="str">
        <f>IMAGE("https://i.imgur.com/CaDI8vj.png")</f>
        <v/>
      </c>
      <c r="D53" s="6" t="str">
        <f>IMAGE("https://storage.googleapis.com/acdb/fish/FtrFishPirania.png")</f>
        <v/>
      </c>
      <c r="E53" s="6">
        <v>2500.0</v>
      </c>
      <c r="F53" s="5" t="s">
        <v>19574</v>
      </c>
      <c r="G53" s="5" t="s">
        <v>19570</v>
      </c>
      <c r="H53" s="5" t="s">
        <v>19236</v>
      </c>
      <c r="I53" s="5" t="s">
        <v>36</v>
      </c>
      <c r="J53" s="8" t="s">
        <v>19696</v>
      </c>
      <c r="K53" s="8" t="s">
        <v>19697</v>
      </c>
      <c r="L53" s="47" t="s">
        <v>35</v>
      </c>
      <c r="M53" s="47" t="s">
        <v>35</v>
      </c>
      <c r="N53" s="48" t="s">
        <v>35</v>
      </c>
      <c r="O53" s="48" t="s">
        <v>36</v>
      </c>
      <c r="P53" s="48" t="s">
        <v>36</v>
      </c>
      <c r="Q53" s="45" t="s">
        <v>36</v>
      </c>
      <c r="R53" s="45" t="s">
        <v>36</v>
      </c>
      <c r="S53" s="45" t="s">
        <v>36</v>
      </c>
      <c r="T53" s="46" t="s">
        <v>36</v>
      </c>
      <c r="U53" s="46" t="s">
        <v>36</v>
      </c>
      <c r="V53" s="46" t="s">
        <v>36</v>
      </c>
      <c r="W53" s="47" t="s">
        <v>35</v>
      </c>
      <c r="X53" s="5" t="s">
        <v>96</v>
      </c>
      <c r="Y53" s="5" t="s">
        <v>54</v>
      </c>
      <c r="Z53" s="6" t="s">
        <v>40</v>
      </c>
      <c r="AA53" s="5" t="s">
        <v>502</v>
      </c>
      <c r="AB53" s="5"/>
      <c r="AC53" s="5" t="s">
        <v>19698</v>
      </c>
      <c r="AD53" s="6">
        <v>2249.0</v>
      </c>
    </row>
    <row r="54" ht="56.25" customHeight="1">
      <c r="A54" s="6">
        <v>25.0</v>
      </c>
      <c r="B54" s="5" t="s">
        <v>19699</v>
      </c>
      <c r="C54" s="16" t="str">
        <f>IMAGE("https://i.imgur.com/JIHYVZV.png")</f>
        <v/>
      </c>
      <c r="D54" s="6" t="str">
        <f>IMAGE("https://storage.googleapis.com/acdb/fish/FtrFishWakasagi.png")</f>
        <v/>
      </c>
      <c r="E54" s="6">
        <v>400.0</v>
      </c>
      <c r="F54" s="5" t="s">
        <v>19574</v>
      </c>
      <c r="G54" s="5" t="s">
        <v>19570</v>
      </c>
      <c r="H54" s="5" t="s">
        <v>19249</v>
      </c>
      <c r="I54" s="5" t="s">
        <v>36</v>
      </c>
      <c r="J54" s="8" t="s">
        <v>19250</v>
      </c>
      <c r="K54" s="8" t="s">
        <v>19250</v>
      </c>
      <c r="L54" s="47" t="s">
        <v>36</v>
      </c>
      <c r="M54" s="47" t="s">
        <v>36</v>
      </c>
      <c r="N54" s="48" t="s">
        <v>36</v>
      </c>
      <c r="O54" s="48" t="s">
        <v>36</v>
      </c>
      <c r="P54" s="48" t="s">
        <v>36</v>
      </c>
      <c r="Q54" s="45" t="s">
        <v>35</v>
      </c>
      <c r="R54" s="45" t="s">
        <v>35</v>
      </c>
      <c r="S54" s="45" t="s">
        <v>35</v>
      </c>
      <c r="T54" s="46" t="s">
        <v>36</v>
      </c>
      <c r="U54" s="46" t="s">
        <v>36</v>
      </c>
      <c r="V54" s="46" t="s">
        <v>36</v>
      </c>
      <c r="W54" s="47" t="s">
        <v>36</v>
      </c>
      <c r="X54" s="5" t="s">
        <v>142</v>
      </c>
      <c r="Y54" s="5" t="s">
        <v>68</v>
      </c>
      <c r="Z54" s="6" t="s">
        <v>40</v>
      </c>
      <c r="AA54" s="5" t="s">
        <v>47</v>
      </c>
      <c r="AB54" s="5"/>
      <c r="AC54" s="5" t="s">
        <v>19701</v>
      </c>
      <c r="AD54" s="6">
        <v>2236.0</v>
      </c>
    </row>
    <row r="55" ht="56.25" customHeight="1">
      <c r="A55" s="6">
        <v>8.0</v>
      </c>
      <c r="B55" s="5" t="s">
        <v>19702</v>
      </c>
      <c r="C55" s="16" t="str">
        <f>IMAGE("https://i.imgur.com/SuMt6KR.png")</f>
        <v/>
      </c>
      <c r="D55" s="6" t="str">
        <f>IMAGE("https://storage.googleapis.com/acdb/fish/FtrFishDemekin.png")</f>
        <v/>
      </c>
      <c r="E55" s="6">
        <v>1300.0</v>
      </c>
      <c r="F55" s="5" t="s">
        <v>19605</v>
      </c>
      <c r="G55" s="5" t="s">
        <v>19590</v>
      </c>
      <c r="H55" s="43" t="s">
        <v>19249</v>
      </c>
      <c r="I55" s="43" t="s">
        <v>36</v>
      </c>
      <c r="J55" s="44">
        <v>0.375</v>
      </c>
      <c r="K55" s="44">
        <v>0.6666666666666666</v>
      </c>
      <c r="L55" s="47" t="s">
        <v>35</v>
      </c>
      <c r="M55" s="47" t="s">
        <v>35</v>
      </c>
      <c r="N55" s="48" t="s">
        <v>35</v>
      </c>
      <c r="O55" s="48" t="s">
        <v>35</v>
      </c>
      <c r="P55" s="48" t="s">
        <v>35</v>
      </c>
      <c r="Q55" s="45" t="s">
        <v>35</v>
      </c>
      <c r="R55" s="45" t="s">
        <v>35</v>
      </c>
      <c r="S55" s="45" t="s">
        <v>35</v>
      </c>
      <c r="T55" s="46" t="s">
        <v>35</v>
      </c>
      <c r="U55" s="46" t="s">
        <v>35</v>
      </c>
      <c r="V55" s="46" t="s">
        <v>35</v>
      </c>
      <c r="W55" s="47" t="s">
        <v>35</v>
      </c>
      <c r="X55" s="5" t="s">
        <v>54</v>
      </c>
      <c r="Y55" s="5" t="s">
        <v>83</v>
      </c>
      <c r="Z55" s="6" t="s">
        <v>40</v>
      </c>
      <c r="AA55" s="5" t="s">
        <v>47</v>
      </c>
      <c r="AB55" s="5"/>
      <c r="AC55" s="5" t="s">
        <v>19703</v>
      </c>
      <c r="AD55" s="6">
        <v>2221.0</v>
      </c>
    </row>
    <row r="56" ht="56.25" customHeight="1">
      <c r="A56" s="6">
        <v>55.0</v>
      </c>
      <c r="B56" s="5" t="s">
        <v>19704</v>
      </c>
      <c r="C56" s="16" t="str">
        <f>IMAGE("https://i.imgur.com/8vBKuTy.png")</f>
        <v/>
      </c>
      <c r="D56" s="6" t="str">
        <f>IMAGE("https://storage.googleapis.com/acdb/fish/FtrFishHarisenbon.png")</f>
        <v/>
      </c>
      <c r="E56" s="6">
        <v>250.0</v>
      </c>
      <c r="F56" s="5" t="s">
        <v>19569</v>
      </c>
      <c r="G56" s="5" t="s">
        <v>19583</v>
      </c>
      <c r="H56" s="5" t="s">
        <v>19249</v>
      </c>
      <c r="I56" s="5" t="s">
        <v>36</v>
      </c>
      <c r="J56" s="8" t="s">
        <v>19250</v>
      </c>
      <c r="K56" s="8" t="s">
        <v>19250</v>
      </c>
      <c r="L56" s="47" t="s">
        <v>35</v>
      </c>
      <c r="M56" s="47" t="s">
        <v>35</v>
      </c>
      <c r="N56" s="48" t="s">
        <v>35</v>
      </c>
      <c r="O56" s="48" t="s">
        <v>36</v>
      </c>
      <c r="P56" s="48" t="s">
        <v>36</v>
      </c>
      <c r="Q56" s="45" t="s">
        <v>36</v>
      </c>
      <c r="R56" s="45" t="s">
        <v>36</v>
      </c>
      <c r="S56" s="45" t="s">
        <v>36</v>
      </c>
      <c r="T56" s="46" t="s">
        <v>36</v>
      </c>
      <c r="U56" s="46" t="s">
        <v>36</v>
      </c>
      <c r="V56" s="46" t="s">
        <v>36</v>
      </c>
      <c r="W56" s="47" t="s">
        <v>36</v>
      </c>
      <c r="X56" s="5" t="s">
        <v>38</v>
      </c>
      <c r="Y56" s="5" t="s">
        <v>54</v>
      </c>
      <c r="Z56" s="6" t="s">
        <v>40</v>
      </c>
      <c r="AA56" s="5" t="s">
        <v>502</v>
      </c>
      <c r="AB56" s="5"/>
      <c r="AC56" s="5" t="s">
        <v>19705</v>
      </c>
      <c r="AD56" s="6">
        <v>2263.0</v>
      </c>
    </row>
    <row r="57" ht="56.25" customHeight="1">
      <c r="A57" s="6">
        <v>39.0</v>
      </c>
      <c r="B57" s="5" t="s">
        <v>19706</v>
      </c>
      <c r="C57" s="16" t="str">
        <f>IMAGE("https://i.imgur.com/CNCQWsy.png")</f>
        <v/>
      </c>
      <c r="D57" s="6" t="str">
        <f>IMAGE("https://storage.googleapis.com/acdb/fish/FtrFishRainbowfish.png")</f>
        <v/>
      </c>
      <c r="E57" s="6">
        <v>800.0</v>
      </c>
      <c r="F57" s="5" t="s">
        <v>19574</v>
      </c>
      <c r="G57" s="5" t="s">
        <v>19590</v>
      </c>
      <c r="H57" s="43" t="s">
        <v>19249</v>
      </c>
      <c r="I57" s="43" t="s">
        <v>36</v>
      </c>
      <c r="J57" s="44">
        <v>0.375</v>
      </c>
      <c r="K57" s="44">
        <v>0.6666666666666666</v>
      </c>
      <c r="L57" s="47" t="s">
        <v>35</v>
      </c>
      <c r="M57" s="47" t="s">
        <v>35</v>
      </c>
      <c r="N57" s="48" t="s">
        <v>35</v>
      </c>
      <c r="O57" s="48" t="s">
        <v>35</v>
      </c>
      <c r="P57" s="48" t="s">
        <v>36</v>
      </c>
      <c r="Q57" s="45" t="s">
        <v>36</v>
      </c>
      <c r="R57" s="45" t="s">
        <v>36</v>
      </c>
      <c r="S57" s="45" t="s">
        <v>36</v>
      </c>
      <c r="T57" s="46" t="s">
        <v>36</v>
      </c>
      <c r="U57" s="46" t="s">
        <v>36</v>
      </c>
      <c r="V57" s="46" t="s">
        <v>35</v>
      </c>
      <c r="W57" s="47" t="s">
        <v>35</v>
      </c>
      <c r="X57" s="5" t="s">
        <v>142</v>
      </c>
      <c r="Y57" s="5" t="s">
        <v>54</v>
      </c>
      <c r="Z57" s="6" t="s">
        <v>40</v>
      </c>
      <c r="AA57" s="5" t="s">
        <v>502</v>
      </c>
      <c r="AB57" s="5"/>
      <c r="AC57" s="5" t="s">
        <v>19707</v>
      </c>
      <c r="AD57" s="6">
        <v>4194.0</v>
      </c>
    </row>
    <row r="58" ht="56.25" customHeight="1">
      <c r="A58" s="6">
        <v>9.0</v>
      </c>
      <c r="B58" s="5" t="s">
        <v>19708</v>
      </c>
      <c r="C58" s="16" t="str">
        <f>IMAGE("https://i.imgur.com/WrnLwb9.png")</f>
        <v/>
      </c>
      <c r="D58" s="6" t="str">
        <f>IMAGE("https://storage.googleapis.com/acdb/fish/FtrFishRanchu.png")</f>
        <v/>
      </c>
      <c r="E58" s="6">
        <v>4500.0</v>
      </c>
      <c r="F58" s="5" t="s">
        <v>19605</v>
      </c>
      <c r="G58" s="5" t="s">
        <v>19570</v>
      </c>
      <c r="H58" s="43" t="s">
        <v>19236</v>
      </c>
      <c r="I58" s="43" t="s">
        <v>36</v>
      </c>
      <c r="J58" s="44">
        <v>0.375</v>
      </c>
      <c r="K58" s="44">
        <v>0.6666666666666666</v>
      </c>
      <c r="L58" s="47" t="s">
        <v>35</v>
      </c>
      <c r="M58" s="47" t="s">
        <v>35</v>
      </c>
      <c r="N58" s="48" t="s">
        <v>35</v>
      </c>
      <c r="O58" s="48" t="s">
        <v>35</v>
      </c>
      <c r="P58" s="48" t="s">
        <v>35</v>
      </c>
      <c r="Q58" s="45" t="s">
        <v>35</v>
      </c>
      <c r="R58" s="45" t="s">
        <v>35</v>
      </c>
      <c r="S58" s="45" t="s">
        <v>35</v>
      </c>
      <c r="T58" s="46" t="s">
        <v>35</v>
      </c>
      <c r="U58" s="46" t="s">
        <v>35</v>
      </c>
      <c r="V58" s="46" t="s">
        <v>35</v>
      </c>
      <c r="W58" s="47" t="s">
        <v>35</v>
      </c>
      <c r="X58" s="5" t="s">
        <v>52</v>
      </c>
      <c r="Y58" s="5" t="s">
        <v>54</v>
      </c>
      <c r="Z58" s="6" t="s">
        <v>40</v>
      </c>
      <c r="AA58" s="5" t="s">
        <v>47</v>
      </c>
      <c r="AB58" s="5"/>
      <c r="AC58" s="5" t="s">
        <v>19710</v>
      </c>
      <c r="AD58" s="6">
        <v>5254.0</v>
      </c>
    </row>
    <row r="59" ht="56.25" customHeight="1">
      <c r="A59" s="6">
        <v>71.0</v>
      </c>
      <c r="B59" s="5" t="s">
        <v>19711</v>
      </c>
      <c r="C59" s="16" t="str">
        <f>IMAGE("https://i.imgur.com/wNgX65X.png")</f>
        <v/>
      </c>
      <c r="D59" s="6" t="str">
        <f>IMAGE("https://storage.googleapis.com/acdb/fish/FtrFishEi.png")</f>
        <v/>
      </c>
      <c r="E59" s="6">
        <v>3000.0</v>
      </c>
      <c r="F59" s="5" t="s">
        <v>19569</v>
      </c>
      <c r="G59" s="5" t="s">
        <v>19632</v>
      </c>
      <c r="H59" s="43" t="s">
        <v>19236</v>
      </c>
      <c r="I59" s="43" t="s">
        <v>36</v>
      </c>
      <c r="J59" s="44">
        <v>0.16666666666666666</v>
      </c>
      <c r="K59" s="44">
        <v>0.875</v>
      </c>
      <c r="L59" s="47" t="s">
        <v>36</v>
      </c>
      <c r="M59" s="47" t="s">
        <v>35</v>
      </c>
      <c r="N59" s="48" t="s">
        <v>35</v>
      </c>
      <c r="O59" s="48" t="s">
        <v>35</v>
      </c>
      <c r="P59" s="48" t="s">
        <v>35</v>
      </c>
      <c r="Q59" s="45" t="s">
        <v>36</v>
      </c>
      <c r="R59" s="45" t="s">
        <v>36</v>
      </c>
      <c r="S59" s="45" t="s">
        <v>36</v>
      </c>
      <c r="T59" s="46" t="s">
        <v>36</v>
      </c>
      <c r="U59" s="46" t="s">
        <v>36</v>
      </c>
      <c r="V59" s="46" t="s">
        <v>36</v>
      </c>
      <c r="W59" s="47" t="s">
        <v>36</v>
      </c>
      <c r="X59" s="5" t="s">
        <v>39</v>
      </c>
      <c r="Y59" s="5" t="s">
        <v>54</v>
      </c>
      <c r="Z59" s="6" t="s">
        <v>276</v>
      </c>
      <c r="AA59" s="5" t="s">
        <v>502</v>
      </c>
      <c r="AB59" s="5"/>
      <c r="AC59" s="5" t="s">
        <v>19712</v>
      </c>
      <c r="AD59" s="6">
        <v>2277.0</v>
      </c>
    </row>
    <row r="60" ht="56.25" customHeight="1">
      <c r="A60" s="6">
        <v>60.0</v>
      </c>
      <c r="B60" s="5" t="s">
        <v>19713</v>
      </c>
      <c r="C60" s="16" t="str">
        <f>IMAGE("https://i.imgur.com/ihC46yp.png")</f>
        <v/>
      </c>
      <c r="D60" s="6" t="str">
        <f>IMAGE("https://storage.googleapis.com/acdb/fish/FtrFishTai.png")</f>
        <v/>
      </c>
      <c r="E60" s="6">
        <v>3000.0</v>
      </c>
      <c r="F60" s="5" t="s">
        <v>19569</v>
      </c>
      <c r="G60" s="5" t="s">
        <v>19580</v>
      </c>
      <c r="H60" s="5" t="s">
        <v>19249</v>
      </c>
      <c r="I60" s="5" t="s">
        <v>36</v>
      </c>
      <c r="J60" s="8" t="s">
        <v>19250</v>
      </c>
      <c r="K60" s="8" t="s">
        <v>19250</v>
      </c>
      <c r="L60" s="47" t="s">
        <v>35</v>
      </c>
      <c r="M60" s="47" t="s">
        <v>35</v>
      </c>
      <c r="N60" s="48" t="s">
        <v>35</v>
      </c>
      <c r="O60" s="48" t="s">
        <v>35</v>
      </c>
      <c r="P60" s="48" t="s">
        <v>35</v>
      </c>
      <c r="Q60" s="45" t="s">
        <v>35</v>
      </c>
      <c r="R60" s="45" t="s">
        <v>35</v>
      </c>
      <c r="S60" s="45" t="s">
        <v>35</v>
      </c>
      <c r="T60" s="46" t="s">
        <v>35</v>
      </c>
      <c r="U60" s="46" t="s">
        <v>35</v>
      </c>
      <c r="V60" s="46" t="s">
        <v>35</v>
      </c>
      <c r="W60" s="47" t="s">
        <v>35</v>
      </c>
      <c r="X60" s="5" t="s">
        <v>52</v>
      </c>
      <c r="Y60" s="5" t="s">
        <v>54</v>
      </c>
      <c r="Z60" s="6" t="s">
        <v>40</v>
      </c>
      <c r="AA60" s="5" t="s">
        <v>502</v>
      </c>
      <c r="AB60" s="5"/>
      <c r="AC60" s="5" t="s">
        <v>19714</v>
      </c>
      <c r="AD60" s="6">
        <v>2267.0</v>
      </c>
    </row>
    <row r="61" ht="56.25" customHeight="1">
      <c r="A61" s="6">
        <v>65.0</v>
      </c>
      <c r="B61" s="5" t="s">
        <v>19715</v>
      </c>
      <c r="C61" s="16" t="str">
        <f>IMAGE("https://i.imgur.com/YX11P9w.png")</f>
        <v/>
      </c>
      <c r="D61" s="6" t="str">
        <f>IMAGE("https://storage.googleapis.com/acdb/fish/FtrFishHanahige.png")</f>
        <v/>
      </c>
      <c r="E61" s="6">
        <v>600.0</v>
      </c>
      <c r="F61" s="5" t="s">
        <v>19569</v>
      </c>
      <c r="G61" s="5" t="s">
        <v>19676</v>
      </c>
      <c r="H61" s="5" t="s">
        <v>19249</v>
      </c>
      <c r="I61" s="5" t="s">
        <v>36</v>
      </c>
      <c r="J61" s="8" t="s">
        <v>19250</v>
      </c>
      <c r="K61" s="8" t="s">
        <v>19250</v>
      </c>
      <c r="L61" s="47" t="s">
        <v>35</v>
      </c>
      <c r="M61" s="47" t="s">
        <v>35</v>
      </c>
      <c r="N61" s="48" t="s">
        <v>35</v>
      </c>
      <c r="O61" s="48" t="s">
        <v>35</v>
      </c>
      <c r="P61" s="48" t="s">
        <v>36</v>
      </c>
      <c r="Q61" s="45" t="s">
        <v>36</v>
      </c>
      <c r="R61" s="45" t="s">
        <v>36</v>
      </c>
      <c r="S61" s="45" t="s">
        <v>36</v>
      </c>
      <c r="T61" s="46" t="s">
        <v>36</v>
      </c>
      <c r="U61" s="46" t="s">
        <v>36</v>
      </c>
      <c r="V61" s="46" t="s">
        <v>36</v>
      </c>
      <c r="W61" s="47" t="s">
        <v>35</v>
      </c>
      <c r="X61" s="5" t="s">
        <v>68</v>
      </c>
      <c r="Y61" s="5" t="s">
        <v>54</v>
      </c>
      <c r="Z61" s="6" t="s">
        <v>276</v>
      </c>
      <c r="AA61" s="5" t="s">
        <v>502</v>
      </c>
      <c r="AB61" s="5"/>
      <c r="AC61" s="5" t="s">
        <v>19716</v>
      </c>
      <c r="AD61" s="6">
        <v>2272.0</v>
      </c>
    </row>
    <row r="62" ht="56.25" customHeight="1">
      <c r="A62" s="6">
        <v>45.0</v>
      </c>
      <c r="B62" s="5" t="s">
        <v>19718</v>
      </c>
      <c r="C62" s="16" t="str">
        <f>IMAGE("https://i.imgur.com/cfaAkFt.png")</f>
        <v/>
      </c>
      <c r="D62" s="6" t="str">
        <f>IMAGE("https://storage.googleapis.com/acdb/fish/FtrFishEndlicheri.png")</f>
        <v/>
      </c>
      <c r="E62" s="6">
        <v>4000.0</v>
      </c>
      <c r="F62" s="5" t="s">
        <v>19574</v>
      </c>
      <c r="G62" s="5" t="s">
        <v>19580</v>
      </c>
      <c r="H62" s="43" t="s">
        <v>19236</v>
      </c>
      <c r="I62" s="43" t="s">
        <v>36</v>
      </c>
      <c r="J62" s="44">
        <v>0.875</v>
      </c>
      <c r="K62" s="44">
        <v>0.16666666666666666</v>
      </c>
      <c r="L62" s="47" t="s">
        <v>35</v>
      </c>
      <c r="M62" s="47" t="s">
        <v>35</v>
      </c>
      <c r="N62" s="48" t="s">
        <v>35</v>
      </c>
      <c r="O62" s="48" t="s">
        <v>36</v>
      </c>
      <c r="P62" s="48" t="s">
        <v>36</v>
      </c>
      <c r="Q62" s="45" t="s">
        <v>36</v>
      </c>
      <c r="R62" s="45" t="s">
        <v>36</v>
      </c>
      <c r="S62" s="45" t="s">
        <v>36</v>
      </c>
      <c r="T62" s="46" t="s">
        <v>36</v>
      </c>
      <c r="U62" s="46" t="s">
        <v>36</v>
      </c>
      <c r="V62" s="46" t="s">
        <v>36</v>
      </c>
      <c r="W62" s="47" t="s">
        <v>35</v>
      </c>
      <c r="X62" s="5" t="s">
        <v>39</v>
      </c>
      <c r="Y62" s="5" t="s">
        <v>54</v>
      </c>
      <c r="Z62" s="6" t="s">
        <v>276</v>
      </c>
      <c r="AA62" s="5" t="s">
        <v>502</v>
      </c>
      <c r="AB62" s="5"/>
      <c r="AC62" s="5" t="s">
        <v>19720</v>
      </c>
      <c r="AD62" s="6">
        <v>2254.0</v>
      </c>
    </row>
    <row r="63" ht="56.25" customHeight="1">
      <c r="A63" s="6">
        <v>31.0</v>
      </c>
      <c r="B63" s="5" t="s">
        <v>19721</v>
      </c>
      <c r="C63" s="16" t="str">
        <f>IMAGE("https://i.imgur.com/HPUTybs.png")</f>
        <v/>
      </c>
      <c r="D63" s="6" t="str">
        <f>IMAGE("https://storage.googleapis.com/acdb/fish/FtrFishSake.png")</f>
        <v/>
      </c>
      <c r="E63" s="6">
        <v>700.0</v>
      </c>
      <c r="F63" s="5" t="s">
        <v>19663</v>
      </c>
      <c r="G63" s="5" t="s">
        <v>19580</v>
      </c>
      <c r="H63" s="5" t="s">
        <v>19249</v>
      </c>
      <c r="I63" s="5" t="s">
        <v>36</v>
      </c>
      <c r="J63" s="8" t="s">
        <v>19250</v>
      </c>
      <c r="K63" s="8" t="s">
        <v>19250</v>
      </c>
      <c r="L63" s="47" t="s">
        <v>36</v>
      </c>
      <c r="M63" s="47" t="s">
        <v>36</v>
      </c>
      <c r="N63" s="48" t="s">
        <v>35</v>
      </c>
      <c r="O63" s="48" t="s">
        <v>36</v>
      </c>
      <c r="P63" s="48" t="s">
        <v>36</v>
      </c>
      <c r="Q63" s="45" t="s">
        <v>36</v>
      </c>
      <c r="R63" s="45" t="s">
        <v>36</v>
      </c>
      <c r="S63" s="45" t="s">
        <v>36</v>
      </c>
      <c r="T63" s="46" t="s">
        <v>36</v>
      </c>
      <c r="U63" s="46" t="s">
        <v>36</v>
      </c>
      <c r="V63" s="46" t="s">
        <v>36</v>
      </c>
      <c r="W63" s="47" t="s">
        <v>36</v>
      </c>
      <c r="X63" s="5" t="s">
        <v>39</v>
      </c>
      <c r="Y63" s="5" t="s">
        <v>54</v>
      </c>
      <c r="Z63" s="6" t="s">
        <v>276</v>
      </c>
      <c r="AA63" s="5" t="s">
        <v>502</v>
      </c>
      <c r="AB63" s="5"/>
      <c r="AC63" s="5" t="s">
        <v>19722</v>
      </c>
      <c r="AD63" s="6">
        <v>2242.0</v>
      </c>
    </row>
    <row r="64" ht="56.25" customHeight="1">
      <c r="A64" s="6">
        <v>72.0</v>
      </c>
      <c r="B64" s="5" t="s">
        <v>19723</v>
      </c>
      <c r="C64" s="16" t="str">
        <f>IMAGE("https://i.imgur.com/WyBOZQ0.png")</f>
        <v/>
      </c>
      <c r="D64" s="6" t="str">
        <f>IMAGE("https://storage.googleapis.com/acdb/fish/FtrFishNokogiri.png")</f>
        <v/>
      </c>
      <c r="E64" s="6">
        <v>12000.0</v>
      </c>
      <c r="F64" s="5" t="s">
        <v>19569</v>
      </c>
      <c r="G64" s="5" t="s">
        <v>19651</v>
      </c>
      <c r="H64" s="43" t="s">
        <v>19267</v>
      </c>
      <c r="I64" s="43" t="s">
        <v>36</v>
      </c>
      <c r="J64" s="44">
        <v>0.6666666666666666</v>
      </c>
      <c r="K64" s="44">
        <v>0.375</v>
      </c>
      <c r="L64" s="47" t="s">
        <v>35</v>
      </c>
      <c r="M64" s="47" t="s">
        <v>35</v>
      </c>
      <c r="N64" s="48" t="s">
        <v>35</v>
      </c>
      <c r="O64" s="48" t="s">
        <v>36</v>
      </c>
      <c r="P64" s="48" t="s">
        <v>36</v>
      </c>
      <c r="Q64" s="45" t="s">
        <v>36</v>
      </c>
      <c r="R64" s="45" t="s">
        <v>36</v>
      </c>
      <c r="S64" s="45" t="s">
        <v>36</v>
      </c>
      <c r="T64" s="46" t="s">
        <v>36</v>
      </c>
      <c r="U64" s="46" t="s">
        <v>36</v>
      </c>
      <c r="V64" s="46" t="s">
        <v>36</v>
      </c>
      <c r="W64" s="47" t="s">
        <v>35</v>
      </c>
      <c r="X64" s="5" t="s">
        <v>39</v>
      </c>
      <c r="Y64" s="5" t="s">
        <v>54</v>
      </c>
      <c r="Z64" s="6" t="s">
        <v>276</v>
      </c>
      <c r="AA64" s="5" t="s">
        <v>502</v>
      </c>
      <c r="AB64" s="5"/>
      <c r="AC64" s="5" t="s">
        <v>19725</v>
      </c>
      <c r="AD64" s="6">
        <v>2281.0</v>
      </c>
    </row>
    <row r="65" ht="56.25" customHeight="1">
      <c r="A65" s="6">
        <v>59.0</v>
      </c>
      <c r="B65" s="5" t="s">
        <v>19726</v>
      </c>
      <c r="C65" s="16" t="str">
        <f>IMAGE("https://i.imgur.com/doHPXwJ.png")</f>
        <v/>
      </c>
      <c r="D65" s="6" t="str">
        <f>IMAGE("https://storage.googleapis.com/acdb/fish/FtrFishSuzuki.png")</f>
        <v/>
      </c>
      <c r="E65" s="6">
        <v>400.0</v>
      </c>
      <c r="F65" s="5" t="s">
        <v>19569</v>
      </c>
      <c r="G65" s="5" t="s">
        <v>19632</v>
      </c>
      <c r="H65" s="5" t="s">
        <v>19249</v>
      </c>
      <c r="I65" s="5" t="s">
        <v>36</v>
      </c>
      <c r="J65" s="8" t="s">
        <v>19250</v>
      </c>
      <c r="K65" s="8" t="s">
        <v>19250</v>
      </c>
      <c r="L65" s="47" t="s">
        <v>35</v>
      </c>
      <c r="M65" s="47" t="s">
        <v>35</v>
      </c>
      <c r="N65" s="48" t="s">
        <v>35</v>
      </c>
      <c r="O65" s="48" t="s">
        <v>35</v>
      </c>
      <c r="P65" s="48" t="s">
        <v>35</v>
      </c>
      <c r="Q65" s="45" t="s">
        <v>35</v>
      </c>
      <c r="R65" s="45" t="s">
        <v>35</v>
      </c>
      <c r="S65" s="45" t="s">
        <v>35</v>
      </c>
      <c r="T65" s="46" t="s">
        <v>35</v>
      </c>
      <c r="U65" s="46" t="s">
        <v>35</v>
      </c>
      <c r="V65" s="46" t="s">
        <v>35</v>
      </c>
      <c r="W65" s="47" t="s">
        <v>35</v>
      </c>
      <c r="X65" s="5" t="s">
        <v>95</v>
      </c>
      <c r="Y65" s="5" t="s">
        <v>54</v>
      </c>
      <c r="Z65" s="6" t="s">
        <v>276</v>
      </c>
      <c r="AA65" s="5" t="s">
        <v>502</v>
      </c>
      <c r="AB65" s="5"/>
      <c r="AC65" s="5" t="s">
        <v>19727</v>
      </c>
      <c r="AD65" s="6">
        <v>2266.0</v>
      </c>
    </row>
    <row r="66" ht="56.25" customHeight="1">
      <c r="A66" s="6">
        <v>47.0</v>
      </c>
      <c r="B66" s="5" t="s">
        <v>19728</v>
      </c>
      <c r="C66" s="16" t="str">
        <f>IMAGE("https://imgur.com/CWo0Eeq.png")</f>
        <v/>
      </c>
      <c r="D66" s="6" t="str">
        <f>IMAGE("https://storage.googleapis.com/acdb/fish/FtrFishKurione.png")</f>
        <v/>
      </c>
      <c r="E66" s="6">
        <v>1000.0</v>
      </c>
      <c r="F66" s="5" t="s">
        <v>19569</v>
      </c>
      <c r="G66" s="5" t="s">
        <v>19590</v>
      </c>
      <c r="H66" s="5" t="s">
        <v>19249</v>
      </c>
      <c r="I66" s="5" t="s">
        <v>36</v>
      </c>
      <c r="J66" s="8" t="s">
        <v>19250</v>
      </c>
      <c r="K66" s="8" t="s">
        <v>19250</v>
      </c>
      <c r="L66" s="47" t="s">
        <v>36</v>
      </c>
      <c r="M66" s="47" t="s">
        <v>36</v>
      </c>
      <c r="N66" s="48" t="s">
        <v>36</v>
      </c>
      <c r="O66" s="48" t="s">
        <v>36</v>
      </c>
      <c r="P66" s="48" t="s">
        <v>36</v>
      </c>
      <c r="Q66" s="45" t="s">
        <v>35</v>
      </c>
      <c r="R66" s="45" t="s">
        <v>35</v>
      </c>
      <c r="S66" s="45" t="s">
        <v>35</v>
      </c>
      <c r="T66" s="46" t="s">
        <v>35</v>
      </c>
      <c r="U66" s="46" t="s">
        <v>36</v>
      </c>
      <c r="V66" s="46" t="s">
        <v>36</v>
      </c>
      <c r="W66" s="47" t="s">
        <v>36</v>
      </c>
      <c r="X66" s="5" t="s">
        <v>57</v>
      </c>
      <c r="Y66" s="5" t="s">
        <v>54</v>
      </c>
      <c r="Z66" s="6" t="s">
        <v>40</v>
      </c>
      <c r="AA66" s="5" t="s">
        <v>502</v>
      </c>
      <c r="AB66" s="5"/>
      <c r="AC66" s="5" t="s">
        <v>19729</v>
      </c>
      <c r="AD66" s="6">
        <v>2255.0</v>
      </c>
    </row>
    <row r="67" ht="56.25" customHeight="1">
      <c r="A67" s="6">
        <v>48.0</v>
      </c>
      <c r="B67" s="5" t="s">
        <v>19730</v>
      </c>
      <c r="C67" s="16" t="str">
        <f>IMAGE("http://imgur.com/SNZr1nu.png")</f>
        <v/>
      </c>
      <c r="D67" s="6" t="str">
        <f>IMAGE("https://storage.googleapis.com/acdb/fish/FtrFishTatsunootoshigo.png")</f>
        <v/>
      </c>
      <c r="E67" s="6">
        <v>1100.0</v>
      </c>
      <c r="F67" s="5" t="s">
        <v>19569</v>
      </c>
      <c r="G67" s="5" t="s">
        <v>19590</v>
      </c>
      <c r="H67" s="5" t="s">
        <v>19249</v>
      </c>
      <c r="I67" s="5" t="s">
        <v>36</v>
      </c>
      <c r="J67" s="8" t="s">
        <v>19250</v>
      </c>
      <c r="K67" s="8" t="s">
        <v>19250</v>
      </c>
      <c r="L67" s="47" t="s">
        <v>35</v>
      </c>
      <c r="M67" s="47" t="s">
        <v>35</v>
      </c>
      <c r="N67" s="48" t="s">
        <v>35</v>
      </c>
      <c r="O67" s="48" t="s">
        <v>35</v>
      </c>
      <c r="P67" s="48" t="s">
        <v>35</v>
      </c>
      <c r="Q67" s="45" t="s">
        <v>36</v>
      </c>
      <c r="R67" s="45" t="s">
        <v>36</v>
      </c>
      <c r="S67" s="45" t="s">
        <v>36</v>
      </c>
      <c r="T67" s="46" t="s">
        <v>36</v>
      </c>
      <c r="U67" s="46" t="s">
        <v>35</v>
      </c>
      <c r="V67" s="46" t="s">
        <v>35</v>
      </c>
      <c r="W67" s="47" t="s">
        <v>35</v>
      </c>
      <c r="X67" s="5" t="s">
        <v>142</v>
      </c>
      <c r="Y67" s="5" t="s">
        <v>54</v>
      </c>
      <c r="Z67" s="6" t="s">
        <v>40</v>
      </c>
      <c r="AA67" s="5" t="s">
        <v>502</v>
      </c>
      <c r="AB67" s="5"/>
      <c r="AC67" s="5" t="s">
        <v>19732</v>
      </c>
      <c r="AD67" s="6">
        <v>2256.0</v>
      </c>
    </row>
    <row r="68" ht="56.25" customHeight="1">
      <c r="A68" s="6">
        <v>13.0</v>
      </c>
      <c r="B68" s="5" t="s">
        <v>19733</v>
      </c>
      <c r="C68" s="16" t="str">
        <f>IMAGE("https://i.imgur.com/H3lbVGH.png")</f>
        <v/>
      </c>
      <c r="D68" s="6" t="str">
        <f>IMAGE("https://storage.googleapis.com/acdb/fish/FtrFishKamitukigame.png")</f>
        <v/>
      </c>
      <c r="E68" s="6">
        <v>5000.0</v>
      </c>
      <c r="F68" s="5" t="s">
        <v>19574</v>
      </c>
      <c r="G68" s="5" t="s">
        <v>19580</v>
      </c>
      <c r="H68" s="43" t="s">
        <v>19249</v>
      </c>
      <c r="I68" s="43" t="s">
        <v>36</v>
      </c>
      <c r="J68" s="44">
        <v>0.875</v>
      </c>
      <c r="K68" s="44">
        <v>0.16666666666666666</v>
      </c>
      <c r="L68" s="47" t="s">
        <v>35</v>
      </c>
      <c r="M68" s="47" t="s">
        <v>35</v>
      </c>
      <c r="N68" s="48" t="s">
        <v>35</v>
      </c>
      <c r="O68" s="48" t="s">
        <v>35</v>
      </c>
      <c r="P68" s="48" t="s">
        <v>36</v>
      </c>
      <c r="Q68" s="45" t="s">
        <v>36</v>
      </c>
      <c r="R68" s="45" t="s">
        <v>36</v>
      </c>
      <c r="S68" s="45" t="s">
        <v>36</v>
      </c>
      <c r="T68" s="46" t="s">
        <v>36</v>
      </c>
      <c r="U68" s="46" t="s">
        <v>35</v>
      </c>
      <c r="V68" s="46" t="s">
        <v>35</v>
      </c>
      <c r="W68" s="47" t="s">
        <v>35</v>
      </c>
      <c r="X68" s="5" t="s">
        <v>39</v>
      </c>
      <c r="Y68" s="5" t="s">
        <v>54</v>
      </c>
      <c r="Z68" s="6" t="s">
        <v>40</v>
      </c>
      <c r="AA68" s="5" t="s">
        <v>47</v>
      </c>
      <c r="AB68" s="5"/>
      <c r="AC68" s="5" t="s">
        <v>19734</v>
      </c>
      <c r="AD68" s="6">
        <v>4192.0</v>
      </c>
    </row>
    <row r="69" ht="56.25" customHeight="1">
      <c r="A69" s="6">
        <v>12.0</v>
      </c>
      <c r="B69" s="5" t="s">
        <v>19735</v>
      </c>
      <c r="C69" s="16" t="str">
        <f>IMAGE("https://i.imgur.com/uSzay0T.png")</f>
        <v/>
      </c>
      <c r="D69" s="6" t="str">
        <f>IMAGE("https://storage.googleapis.com/acdb/fish/FtrFishSuppon.png")</f>
        <v/>
      </c>
      <c r="E69" s="6">
        <v>3750.0</v>
      </c>
      <c r="F69" s="5" t="s">
        <v>19574</v>
      </c>
      <c r="G69" s="5" t="s">
        <v>19580</v>
      </c>
      <c r="H69" s="43" t="s">
        <v>19236</v>
      </c>
      <c r="I69" s="43" t="s">
        <v>36</v>
      </c>
      <c r="J69" s="44">
        <v>0.6666666666666666</v>
      </c>
      <c r="K69" s="44">
        <v>0.375</v>
      </c>
      <c r="L69" s="47" t="s">
        <v>36</v>
      </c>
      <c r="M69" s="47" t="s">
        <v>35</v>
      </c>
      <c r="N69" s="48" t="s">
        <v>35</v>
      </c>
      <c r="O69" s="48" t="s">
        <v>36</v>
      </c>
      <c r="P69" s="48" t="s">
        <v>36</v>
      </c>
      <c r="Q69" s="45" t="s">
        <v>36</v>
      </c>
      <c r="R69" s="45" t="s">
        <v>36</v>
      </c>
      <c r="S69" s="45" t="s">
        <v>36</v>
      </c>
      <c r="T69" s="46" t="s">
        <v>36</v>
      </c>
      <c r="U69" s="46" t="s">
        <v>36</v>
      </c>
      <c r="V69" s="46" t="s">
        <v>36</v>
      </c>
      <c r="W69" s="47" t="s">
        <v>36</v>
      </c>
      <c r="X69" s="5" t="s">
        <v>96</v>
      </c>
      <c r="Y69" s="5" t="s">
        <v>54</v>
      </c>
      <c r="Z69" s="6" t="s">
        <v>40</v>
      </c>
      <c r="AA69" s="5" t="s">
        <v>47</v>
      </c>
      <c r="AB69" s="5"/>
      <c r="AC69" s="5" t="s">
        <v>19736</v>
      </c>
      <c r="AD69" s="6">
        <v>2224.0</v>
      </c>
    </row>
    <row r="70" ht="56.25" customHeight="1">
      <c r="A70" s="6">
        <v>63.0</v>
      </c>
      <c r="B70" s="5" t="s">
        <v>19737</v>
      </c>
      <c r="C70" s="16" t="str">
        <f>IMAGE("https://i.imgur.com/qBreH53.png")</f>
        <v/>
      </c>
      <c r="D70" s="6" t="str">
        <f>IMAGE("https://storage.googleapis.com/acdb/fish/FtrFishIka.png")</f>
        <v/>
      </c>
      <c r="E70" s="6">
        <v>500.0</v>
      </c>
      <c r="F70" s="5" t="s">
        <v>19569</v>
      </c>
      <c r="G70" s="5" t="s">
        <v>19583</v>
      </c>
      <c r="H70" s="5" t="s">
        <v>19249</v>
      </c>
      <c r="I70" s="5" t="s">
        <v>36</v>
      </c>
      <c r="J70" s="8" t="s">
        <v>19250</v>
      </c>
      <c r="K70" s="8" t="s">
        <v>19250</v>
      </c>
      <c r="L70" s="47" t="s">
        <v>35</v>
      </c>
      <c r="M70" s="47" t="s">
        <v>35</v>
      </c>
      <c r="N70" s="48" t="s">
        <v>36</v>
      </c>
      <c r="O70" s="48" t="s">
        <v>36</v>
      </c>
      <c r="P70" s="48" t="s">
        <v>36</v>
      </c>
      <c r="Q70" s="45" t="s">
        <v>35</v>
      </c>
      <c r="R70" s="45" t="s">
        <v>35</v>
      </c>
      <c r="S70" s="45" t="s">
        <v>35</v>
      </c>
      <c r="T70" s="46" t="s">
        <v>35</v>
      </c>
      <c r="U70" s="46" t="s">
        <v>35</v>
      </c>
      <c r="V70" s="46" t="s">
        <v>35</v>
      </c>
      <c r="W70" s="47" t="s">
        <v>35</v>
      </c>
      <c r="X70" s="5" t="s">
        <v>38</v>
      </c>
      <c r="Y70" s="5" t="s">
        <v>54</v>
      </c>
      <c r="Z70" s="6" t="s">
        <v>40</v>
      </c>
      <c r="AA70" s="5" t="s">
        <v>502</v>
      </c>
      <c r="AB70" s="5"/>
      <c r="AC70" s="5" t="s">
        <v>19738</v>
      </c>
      <c r="AD70" s="6">
        <v>2270.0</v>
      </c>
    </row>
    <row r="71" ht="56.25" customHeight="1">
      <c r="A71" s="6">
        <v>30.0</v>
      </c>
      <c r="B71" s="5" t="s">
        <v>19739</v>
      </c>
      <c r="C71" s="16" t="str">
        <f>IMAGE("https://i.imgur.com/Je8MTMi.png")</f>
        <v/>
      </c>
      <c r="D71" s="6" t="str">
        <f>IMAGE("https://storage.googleapis.com/acdb/fish/FtrFishItou.png")</f>
        <v/>
      </c>
      <c r="E71" s="6">
        <v>15000.0</v>
      </c>
      <c r="F71" s="5" t="s">
        <v>19610</v>
      </c>
      <c r="G71" s="5" t="s">
        <v>19632</v>
      </c>
      <c r="H71" s="43" t="s">
        <v>19323</v>
      </c>
      <c r="I71" s="43" t="s">
        <v>36</v>
      </c>
      <c r="J71" s="44">
        <v>0.6666666666666666</v>
      </c>
      <c r="K71" s="44">
        <v>0.375</v>
      </c>
      <c r="L71" s="47" t="s">
        <v>36</v>
      </c>
      <c r="M71" s="47" t="s">
        <v>36</v>
      </c>
      <c r="N71" s="48" t="s">
        <v>36</v>
      </c>
      <c r="O71" s="48" t="s">
        <v>36</v>
      </c>
      <c r="P71" s="48" t="s">
        <v>36</v>
      </c>
      <c r="Q71" s="45" t="s">
        <v>35</v>
      </c>
      <c r="R71" s="45" t="s">
        <v>35</v>
      </c>
      <c r="S71" s="45" t="s">
        <v>35</v>
      </c>
      <c r="T71" s="46" t="s">
        <v>35</v>
      </c>
      <c r="U71" s="46" t="s">
        <v>36</v>
      </c>
      <c r="V71" s="46" t="s">
        <v>36</v>
      </c>
      <c r="W71" s="47" t="s">
        <v>36</v>
      </c>
      <c r="X71" s="5" t="s">
        <v>39</v>
      </c>
      <c r="Y71" s="5" t="s">
        <v>54</v>
      </c>
      <c r="Z71" s="6" t="s">
        <v>276</v>
      </c>
      <c r="AA71" s="5" t="s">
        <v>502</v>
      </c>
      <c r="AB71" s="5"/>
      <c r="AC71" s="5" t="s">
        <v>19740</v>
      </c>
      <c r="AD71" s="6">
        <v>2241.0</v>
      </c>
    </row>
    <row r="72" ht="56.25" customHeight="1">
      <c r="A72" s="6">
        <v>46.0</v>
      </c>
      <c r="B72" s="5" t="s">
        <v>19741</v>
      </c>
      <c r="C72" s="16" t="str">
        <f>IMAGE("https://i.imgur.com/lONOoFV.png")</f>
        <v/>
      </c>
      <c r="D72" s="6" t="str">
        <f>IMAGE("https://storage.googleapis.com/acdb/fish/FtrFishTyouzame.png")</f>
        <v/>
      </c>
      <c r="E72" s="6">
        <v>10000.0</v>
      </c>
      <c r="F72" s="5" t="s">
        <v>19663</v>
      </c>
      <c r="G72" s="5" t="s">
        <v>19577</v>
      </c>
      <c r="H72" s="5" t="s">
        <v>19236</v>
      </c>
      <c r="I72" s="5" t="s">
        <v>35</v>
      </c>
      <c r="J72" s="8" t="s">
        <v>19250</v>
      </c>
      <c r="K72" s="8" t="s">
        <v>19250</v>
      </c>
      <c r="L72" s="47" t="s">
        <v>36</v>
      </c>
      <c r="M72" s="47" t="s">
        <v>36</v>
      </c>
      <c r="N72" s="48" t="s">
        <v>35</v>
      </c>
      <c r="O72" s="48" t="s">
        <v>35</v>
      </c>
      <c r="P72" s="48" t="s">
        <v>35</v>
      </c>
      <c r="Q72" s="45" t="s">
        <v>35</v>
      </c>
      <c r="R72" s="45" t="s">
        <v>35</v>
      </c>
      <c r="S72" s="45" t="s">
        <v>35</v>
      </c>
      <c r="T72" s="46" t="s">
        <v>35</v>
      </c>
      <c r="U72" s="46" t="s">
        <v>36</v>
      </c>
      <c r="V72" s="46" t="s">
        <v>36</v>
      </c>
      <c r="W72" s="47" t="s">
        <v>36</v>
      </c>
      <c r="X72" s="5" t="s">
        <v>54</v>
      </c>
      <c r="Y72" s="5" t="s">
        <v>54</v>
      </c>
      <c r="Z72" s="6" t="s">
        <v>276</v>
      </c>
      <c r="AA72" s="5" t="s">
        <v>502</v>
      </c>
      <c r="AB72" s="5"/>
      <c r="AC72" s="5" t="s">
        <v>19742</v>
      </c>
      <c r="AD72" s="6">
        <v>4189.0</v>
      </c>
    </row>
    <row r="73" ht="56.25" customHeight="1">
      <c r="A73" s="6">
        <v>76.0</v>
      </c>
      <c r="B73" s="5" t="s">
        <v>19743</v>
      </c>
      <c r="C73" s="16" t="str">
        <f>IMAGE("https://i.imgur.com/X57NXnl.png")</f>
        <v/>
      </c>
      <c r="D73" s="6" t="str">
        <f>IMAGE("https://storage.googleapis.com/acdb/fish/FtrFishKobanzame.png")</f>
        <v/>
      </c>
      <c r="E73" s="6">
        <v>1500.0</v>
      </c>
      <c r="F73" s="5" t="s">
        <v>19569</v>
      </c>
      <c r="G73" s="5" t="s">
        <v>19744</v>
      </c>
      <c r="H73" s="5" t="s">
        <v>19236</v>
      </c>
      <c r="I73" s="5" t="s">
        <v>36</v>
      </c>
      <c r="J73" s="8" t="s">
        <v>19250</v>
      </c>
      <c r="K73" s="8" t="s">
        <v>19250</v>
      </c>
      <c r="L73" s="47" t="s">
        <v>35</v>
      </c>
      <c r="M73" s="47" t="s">
        <v>35</v>
      </c>
      <c r="N73" s="48" t="s">
        <v>35</v>
      </c>
      <c r="O73" s="48" t="s">
        <v>36</v>
      </c>
      <c r="P73" s="48" t="s">
        <v>36</v>
      </c>
      <c r="Q73" s="45" t="s">
        <v>36</v>
      </c>
      <c r="R73" s="45" t="s">
        <v>36</v>
      </c>
      <c r="S73" s="45" t="s">
        <v>36</v>
      </c>
      <c r="T73" s="46" t="s">
        <v>36</v>
      </c>
      <c r="U73" s="46" t="s">
        <v>36</v>
      </c>
      <c r="V73" s="46" t="s">
        <v>36</v>
      </c>
      <c r="W73" s="47" t="s">
        <v>35</v>
      </c>
      <c r="X73" s="5" t="s">
        <v>54</v>
      </c>
      <c r="Y73" s="5" t="s">
        <v>54</v>
      </c>
      <c r="Z73" s="6" t="s">
        <v>40</v>
      </c>
      <c r="AA73" s="5" t="s">
        <v>502</v>
      </c>
      <c r="AB73" s="5"/>
      <c r="AC73" s="5" t="s">
        <v>19745</v>
      </c>
      <c r="AD73" s="6">
        <v>4203.0</v>
      </c>
    </row>
    <row r="74" ht="56.25" customHeight="1">
      <c r="A74" s="6">
        <v>50.0</v>
      </c>
      <c r="B74" s="5" t="s">
        <v>19746</v>
      </c>
      <c r="C74" s="16" t="str">
        <f>IMAGE("https://i.imgur.com/qfWTnni.png")</f>
        <v/>
      </c>
      <c r="D74" s="6" t="str">
        <f>IMAGE("https://storage.googleapis.com/acdb/fish/FtrFishNanyouhagi.png")</f>
        <v/>
      </c>
      <c r="E74" s="6">
        <v>1000.0</v>
      </c>
      <c r="F74" s="5" t="s">
        <v>19569</v>
      </c>
      <c r="G74" s="5" t="s">
        <v>19570</v>
      </c>
      <c r="H74" s="5" t="s">
        <v>19249</v>
      </c>
      <c r="I74" s="5" t="s">
        <v>36</v>
      </c>
      <c r="J74" s="8" t="s">
        <v>19250</v>
      </c>
      <c r="K74" s="8" t="s">
        <v>19250</v>
      </c>
      <c r="L74" s="47" t="s">
        <v>35</v>
      </c>
      <c r="M74" s="47" t="s">
        <v>35</v>
      </c>
      <c r="N74" s="48" t="s">
        <v>35</v>
      </c>
      <c r="O74" s="48" t="s">
        <v>36</v>
      </c>
      <c r="P74" s="48" t="s">
        <v>36</v>
      </c>
      <c r="Q74" s="45" t="s">
        <v>36</v>
      </c>
      <c r="R74" s="45" t="s">
        <v>36</v>
      </c>
      <c r="S74" s="45" t="s">
        <v>36</v>
      </c>
      <c r="T74" s="46" t="s">
        <v>36</v>
      </c>
      <c r="U74" s="46" t="s">
        <v>35</v>
      </c>
      <c r="V74" s="46" t="s">
        <v>35</v>
      </c>
      <c r="W74" s="47" t="s">
        <v>35</v>
      </c>
      <c r="X74" s="5" t="s">
        <v>68</v>
      </c>
      <c r="Y74" s="5" t="s">
        <v>54</v>
      </c>
      <c r="Z74" s="6" t="s">
        <v>40</v>
      </c>
      <c r="AA74" s="5" t="s">
        <v>502</v>
      </c>
      <c r="AB74" s="5"/>
      <c r="AC74" s="5" t="s">
        <v>19747</v>
      </c>
      <c r="AD74" s="6">
        <v>2258.0</v>
      </c>
    </row>
    <row r="75" ht="56.25" customHeight="1">
      <c r="A75" s="6">
        <v>26.0</v>
      </c>
      <c r="B75" s="5" t="s">
        <v>19748</v>
      </c>
      <c r="C75" s="16" t="str">
        <f>IMAGE("https://i.imgur.com/tXKSYzW.png")</f>
        <v/>
      </c>
      <c r="D75" s="6" t="str">
        <f>IMAGE("https://storage.googleapis.com/acdb/fish/FtrFishAyu.png")</f>
        <v/>
      </c>
      <c r="E75" s="6">
        <v>900.0</v>
      </c>
      <c r="F75" s="5" t="s">
        <v>19574</v>
      </c>
      <c r="G75" s="5" t="s">
        <v>19583</v>
      </c>
      <c r="H75" s="5" t="s">
        <v>19249</v>
      </c>
      <c r="I75" s="5" t="s">
        <v>36</v>
      </c>
      <c r="J75" s="8" t="s">
        <v>19250</v>
      </c>
      <c r="K75" s="8" t="s">
        <v>19250</v>
      </c>
      <c r="L75" s="47" t="s">
        <v>35</v>
      </c>
      <c r="M75" s="47" t="s">
        <v>35</v>
      </c>
      <c r="N75" s="48" t="s">
        <v>35</v>
      </c>
      <c r="O75" s="48" t="s">
        <v>36</v>
      </c>
      <c r="P75" s="48" t="s">
        <v>36</v>
      </c>
      <c r="Q75" s="45" t="s">
        <v>36</v>
      </c>
      <c r="R75" s="45" t="s">
        <v>36</v>
      </c>
      <c r="S75" s="45" t="s">
        <v>36</v>
      </c>
      <c r="T75" s="46" t="s">
        <v>36</v>
      </c>
      <c r="U75" s="46" t="s">
        <v>36</v>
      </c>
      <c r="V75" s="46" t="s">
        <v>36</v>
      </c>
      <c r="W75" s="47" t="s">
        <v>36</v>
      </c>
      <c r="X75" s="5" t="s">
        <v>96</v>
      </c>
      <c r="Y75" s="5" t="s">
        <v>54</v>
      </c>
      <c r="Z75" s="6" t="s">
        <v>40</v>
      </c>
      <c r="AA75" s="5" t="s">
        <v>502</v>
      </c>
      <c r="AB75" s="5"/>
      <c r="AC75" s="5" t="s">
        <v>19749</v>
      </c>
      <c r="AD75" s="6">
        <v>2237.0</v>
      </c>
    </row>
    <row r="76" ht="56.25" customHeight="1">
      <c r="A76" s="6">
        <v>14.0</v>
      </c>
      <c r="B76" s="5" t="s">
        <v>19750</v>
      </c>
      <c r="C76" s="16" t="str">
        <f>IMAGE("https://i.imgur.com/IYsxgQ0.png")</f>
        <v/>
      </c>
      <c r="D76" s="6" t="str">
        <f>IMAGE("https://storage.googleapis.com/acdb/fish/FtrFishOtama.png")</f>
        <v/>
      </c>
      <c r="E76" s="6">
        <v>100.0</v>
      </c>
      <c r="F76" s="5" t="s">
        <v>19605</v>
      </c>
      <c r="G76" s="5" t="s">
        <v>19590</v>
      </c>
      <c r="H76" s="5" t="s">
        <v>19249</v>
      </c>
      <c r="I76" s="5" t="s">
        <v>36</v>
      </c>
      <c r="J76" s="8" t="s">
        <v>19250</v>
      </c>
      <c r="K76" s="8" t="s">
        <v>19250</v>
      </c>
      <c r="L76" s="47" t="s">
        <v>35</v>
      </c>
      <c r="M76" s="47" t="s">
        <v>36</v>
      </c>
      <c r="N76" s="48" t="s">
        <v>36</v>
      </c>
      <c r="O76" s="48" t="s">
        <v>36</v>
      </c>
      <c r="P76" s="48" t="s">
        <v>36</v>
      </c>
      <c r="Q76" s="45" t="s">
        <v>36</v>
      </c>
      <c r="R76" s="45" t="s">
        <v>36</v>
      </c>
      <c r="S76" s="45" t="s">
        <v>36</v>
      </c>
      <c r="T76" s="46" t="s">
        <v>35</v>
      </c>
      <c r="U76" s="46" t="s">
        <v>35</v>
      </c>
      <c r="V76" s="46" t="s">
        <v>35</v>
      </c>
      <c r="W76" s="47" t="s">
        <v>35</v>
      </c>
      <c r="X76" s="5" t="s">
        <v>54</v>
      </c>
      <c r="Y76" s="5" t="s">
        <v>68</v>
      </c>
      <c r="Z76" s="6" t="s">
        <v>40</v>
      </c>
      <c r="AA76" s="5" t="s">
        <v>47</v>
      </c>
      <c r="AB76" s="5"/>
      <c r="AC76" s="5" t="s">
        <v>19751</v>
      </c>
      <c r="AD76" s="6">
        <v>2225.0</v>
      </c>
    </row>
    <row r="77" ht="56.25" customHeight="1">
      <c r="A77" s="6">
        <v>23.0</v>
      </c>
      <c r="B77" s="5" t="s">
        <v>19752</v>
      </c>
      <c r="C77" s="16" t="str">
        <f>IMAGE("http://imgur.com/wSDCDVy.png")</f>
        <v/>
      </c>
      <c r="D77" s="6" t="str">
        <f>IMAGE("https://storage.googleapis.com/acdb/fish/FtrFishThirapia.png")</f>
        <v/>
      </c>
      <c r="E77" s="6">
        <v>800.0</v>
      </c>
      <c r="F77" s="5" t="s">
        <v>19574</v>
      </c>
      <c r="G77" s="5" t="s">
        <v>19583</v>
      </c>
      <c r="H77" s="5" t="s">
        <v>19249</v>
      </c>
      <c r="I77" s="5" t="s">
        <v>36</v>
      </c>
      <c r="J77" s="8" t="s">
        <v>19250</v>
      </c>
      <c r="K77" s="8" t="s">
        <v>19250</v>
      </c>
      <c r="L77" s="47" t="s">
        <v>35</v>
      </c>
      <c r="M77" s="47" t="s">
        <v>35</v>
      </c>
      <c r="N77" s="48" t="s">
        <v>35</v>
      </c>
      <c r="O77" s="48" t="s">
        <v>35</v>
      </c>
      <c r="P77" s="48" t="s">
        <v>36</v>
      </c>
      <c r="Q77" s="45" t="s">
        <v>36</v>
      </c>
      <c r="R77" s="45" t="s">
        <v>36</v>
      </c>
      <c r="S77" s="45" t="s">
        <v>36</v>
      </c>
      <c r="T77" s="46" t="s">
        <v>36</v>
      </c>
      <c r="U77" s="46" t="s">
        <v>36</v>
      </c>
      <c r="V77" s="46" t="s">
        <v>36</v>
      </c>
      <c r="W77" s="47" t="s">
        <v>35</v>
      </c>
      <c r="X77" s="5" t="s">
        <v>54</v>
      </c>
      <c r="Y77" s="5" t="s">
        <v>54</v>
      </c>
      <c r="Z77" s="6" t="s">
        <v>40</v>
      </c>
      <c r="AA77" s="5" t="s">
        <v>502</v>
      </c>
      <c r="AB77" s="5"/>
      <c r="AC77" s="5" t="s">
        <v>19754</v>
      </c>
      <c r="AD77" s="6">
        <v>4190.0</v>
      </c>
    </row>
    <row r="78" ht="56.25" customHeight="1">
      <c r="A78" s="6">
        <v>66.0</v>
      </c>
      <c r="B78" s="5" t="s">
        <v>19755</v>
      </c>
      <c r="C78" s="16" t="str">
        <f>IMAGE("https://i.imgur.com/uWJT9rN.png")</f>
        <v/>
      </c>
      <c r="D78" s="6" t="str">
        <f>IMAGE("https://storage.googleapis.com/acdb/fish/FtrFishMaguro.png")</f>
        <v/>
      </c>
      <c r="E78" s="6">
        <v>7000.0</v>
      </c>
      <c r="F78" s="5" t="s">
        <v>19598</v>
      </c>
      <c r="G78" s="5" t="s">
        <v>19577</v>
      </c>
      <c r="H78" s="5" t="s">
        <v>19267</v>
      </c>
      <c r="I78" s="5" t="s">
        <v>35</v>
      </c>
      <c r="J78" s="8" t="s">
        <v>19250</v>
      </c>
      <c r="K78" s="8" t="s">
        <v>19250</v>
      </c>
      <c r="L78" s="47" t="s">
        <v>36</v>
      </c>
      <c r="M78" s="47" t="s">
        <v>36</v>
      </c>
      <c r="N78" s="48" t="s">
        <v>36</v>
      </c>
      <c r="O78" s="48" t="s">
        <v>36</v>
      </c>
      <c r="P78" s="48" t="s">
        <v>35</v>
      </c>
      <c r="Q78" s="45" t="s">
        <v>35</v>
      </c>
      <c r="R78" s="45" t="s">
        <v>35</v>
      </c>
      <c r="S78" s="45" t="s">
        <v>35</v>
      </c>
      <c r="T78" s="46" t="s">
        <v>35</v>
      </c>
      <c r="U78" s="46" t="s">
        <v>35</v>
      </c>
      <c r="V78" s="46" t="s">
        <v>36</v>
      </c>
      <c r="W78" s="47" t="s">
        <v>36</v>
      </c>
      <c r="X78" s="5" t="s">
        <v>68</v>
      </c>
      <c r="Y78" s="5" t="s">
        <v>54</v>
      </c>
      <c r="Z78" s="6" t="s">
        <v>276</v>
      </c>
      <c r="AA78" s="5" t="s">
        <v>502</v>
      </c>
      <c r="AB78" s="5"/>
      <c r="AC78" s="5" t="s">
        <v>19756</v>
      </c>
      <c r="AD78" s="6">
        <v>2274.0</v>
      </c>
    </row>
    <row r="79" ht="56.25" customHeight="1">
      <c r="A79" s="6">
        <v>75.0</v>
      </c>
      <c r="B79" s="5" t="s">
        <v>19757</v>
      </c>
      <c r="C79" s="16" t="str">
        <f>IMAGE("https://i.imgur.com/U75MFAQ.png")</f>
        <v/>
      </c>
      <c r="D79" s="6" t="str">
        <f>IMAGE("https://storage.googleapis.com/acdb/fish/FtrFishJinbee.png")</f>
        <v/>
      </c>
      <c r="E79" s="6">
        <v>13000.0</v>
      </c>
      <c r="F79" s="5" t="s">
        <v>19569</v>
      </c>
      <c r="G79" s="5" t="s">
        <v>19651</v>
      </c>
      <c r="H79" s="5" t="s">
        <v>19267</v>
      </c>
      <c r="I79" s="5" t="s">
        <v>35</v>
      </c>
      <c r="J79" s="8" t="s">
        <v>19250</v>
      </c>
      <c r="K79" s="8" t="s">
        <v>19250</v>
      </c>
      <c r="L79" s="47" t="s">
        <v>35</v>
      </c>
      <c r="M79" s="47" t="s">
        <v>35</v>
      </c>
      <c r="N79" s="48" t="s">
        <v>35</v>
      </c>
      <c r="O79" s="48" t="s">
        <v>36</v>
      </c>
      <c r="P79" s="48" t="s">
        <v>36</v>
      </c>
      <c r="Q79" s="45" t="s">
        <v>36</v>
      </c>
      <c r="R79" s="45" t="s">
        <v>36</v>
      </c>
      <c r="S79" s="45" t="s">
        <v>36</v>
      </c>
      <c r="T79" s="46" t="s">
        <v>36</v>
      </c>
      <c r="U79" s="46" t="s">
        <v>36</v>
      </c>
      <c r="V79" s="46" t="s">
        <v>36</v>
      </c>
      <c r="W79" s="47" t="s">
        <v>35</v>
      </c>
      <c r="X79" s="5" t="s">
        <v>54</v>
      </c>
      <c r="Y79" s="5" t="s">
        <v>68</v>
      </c>
      <c r="Z79" s="6" t="s">
        <v>11558</v>
      </c>
      <c r="AA79" s="5" t="s">
        <v>47</v>
      </c>
      <c r="AB79" s="5"/>
      <c r="AC79" s="5" t="s">
        <v>19758</v>
      </c>
      <c r="AD79" s="6">
        <v>2282.0</v>
      </c>
    </row>
    <row r="80" ht="56.25" customHeight="1">
      <c r="A80" s="6">
        <v>21.0</v>
      </c>
      <c r="B80" s="5" t="s">
        <v>19759</v>
      </c>
      <c r="C80" s="16" t="str">
        <f>IMAGE("https://i.imgur.com/MMdzoJt.png")</f>
        <v/>
      </c>
      <c r="D80" s="6" t="str">
        <f>IMAGE("https://storage.googleapis.com/acdb/fish/FtrFishYellowparch.png")</f>
        <v/>
      </c>
      <c r="E80" s="6">
        <v>300.0</v>
      </c>
      <c r="F80" s="5" t="s">
        <v>19574</v>
      </c>
      <c r="G80" s="5" t="s">
        <v>19583</v>
      </c>
      <c r="H80" s="5" t="s">
        <v>19249</v>
      </c>
      <c r="I80" s="5" t="s">
        <v>36</v>
      </c>
      <c r="J80" s="8" t="s">
        <v>19250</v>
      </c>
      <c r="K80" s="8" t="s">
        <v>19250</v>
      </c>
      <c r="L80" s="47" t="s">
        <v>36</v>
      </c>
      <c r="M80" s="47" t="s">
        <v>36</v>
      </c>
      <c r="N80" s="48" t="s">
        <v>36</v>
      </c>
      <c r="O80" s="48" t="s">
        <v>35</v>
      </c>
      <c r="P80" s="48" t="s">
        <v>35</v>
      </c>
      <c r="Q80" s="45" t="s">
        <v>35</v>
      </c>
      <c r="R80" s="45" t="s">
        <v>35</v>
      </c>
      <c r="S80" s="45" t="s">
        <v>35</v>
      </c>
      <c r="T80" s="46" t="s">
        <v>35</v>
      </c>
      <c r="U80" s="46" t="s">
        <v>36</v>
      </c>
      <c r="V80" s="46" t="s">
        <v>36</v>
      </c>
      <c r="W80" s="47" t="s">
        <v>36</v>
      </c>
      <c r="X80" s="5" t="s">
        <v>114</v>
      </c>
      <c r="Y80" s="5" t="s">
        <v>54</v>
      </c>
      <c r="Z80" s="6" t="s">
        <v>40</v>
      </c>
      <c r="AA80" s="5" t="s">
        <v>502</v>
      </c>
      <c r="AB80" s="5"/>
      <c r="AC80" s="5" t="s">
        <v>19761</v>
      </c>
      <c r="AD80" s="6">
        <v>2233.0</v>
      </c>
    </row>
    <row r="81" ht="56.25" customHeight="1">
      <c r="A81" s="6">
        <v>53.0</v>
      </c>
      <c r="B81" s="5" t="s">
        <v>19762</v>
      </c>
      <c r="C81" s="16" t="str">
        <f>IMAGE("https://i.imgur.com/GdwR6xc.png")</f>
        <v/>
      </c>
      <c r="D81" s="6" t="str">
        <f>IMAGE("https://storage.googleapis.com/acdb/fish/FtrFishMinokasago.png")</f>
        <v/>
      </c>
      <c r="E81" s="6">
        <v>500.0</v>
      </c>
      <c r="F81" s="5" t="s">
        <v>19569</v>
      </c>
      <c r="G81" s="5" t="s">
        <v>19583</v>
      </c>
      <c r="H81" s="5" t="s">
        <v>19249</v>
      </c>
      <c r="I81" s="5" t="s">
        <v>36</v>
      </c>
      <c r="J81" s="8" t="s">
        <v>19250</v>
      </c>
      <c r="K81" s="8" t="s">
        <v>19250</v>
      </c>
      <c r="L81" s="47" t="s">
        <v>35</v>
      </c>
      <c r="M81" s="47" t="s">
        <v>35</v>
      </c>
      <c r="N81" s="48" t="s">
        <v>35</v>
      </c>
      <c r="O81" s="48" t="s">
        <v>35</v>
      </c>
      <c r="P81" s="48" t="s">
        <v>35</v>
      </c>
      <c r="Q81" s="45" t="s">
        <v>36</v>
      </c>
      <c r="R81" s="45" t="s">
        <v>36</v>
      </c>
      <c r="S81" s="45" t="s">
        <v>36</v>
      </c>
      <c r="T81" s="46" t="s">
        <v>36</v>
      </c>
      <c r="U81" s="46" t="s">
        <v>35</v>
      </c>
      <c r="V81" s="46" t="s">
        <v>35</v>
      </c>
      <c r="W81" s="47" t="s">
        <v>35</v>
      </c>
      <c r="X81" s="5" t="s">
        <v>52</v>
      </c>
      <c r="Y81" s="5" t="s">
        <v>54</v>
      </c>
      <c r="Z81" s="6" t="s">
        <v>40</v>
      </c>
      <c r="AA81" s="5" t="s">
        <v>502</v>
      </c>
      <c r="AB81" s="5"/>
      <c r="AC81" s="5" t="s">
        <v>19763</v>
      </c>
      <c r="AD81" s="6">
        <v>2261.0</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2" width="10.86"/>
    <col customWidth="1" min="3" max="4" width="5.86"/>
    <col customWidth="1" min="5" max="6" width="8.0"/>
    <col customWidth="1" min="7" max="7" width="5.14"/>
    <col customWidth="1" min="8" max="8" width="12.29"/>
    <col customWidth="1" min="9" max="11" width="8.0"/>
    <col customWidth="1" min="12" max="12" width="10.86"/>
    <col customWidth="1" min="13" max="13" width="8.0"/>
  </cols>
  <sheetData>
    <row r="1" ht="26.25" customHeight="1">
      <c r="A1" s="1" t="s">
        <v>0</v>
      </c>
      <c r="B1" s="2" t="s">
        <v>1</v>
      </c>
      <c r="C1" s="2" t="s">
        <v>10</v>
      </c>
      <c r="D1" s="2" t="s">
        <v>11</v>
      </c>
      <c r="E1" s="1" t="s">
        <v>12</v>
      </c>
      <c r="F1" s="1" t="s">
        <v>13</v>
      </c>
      <c r="G1" s="1" t="s">
        <v>14</v>
      </c>
      <c r="H1" s="1" t="s">
        <v>15</v>
      </c>
      <c r="I1" s="2" t="s">
        <v>17</v>
      </c>
      <c r="J1" s="1" t="s">
        <v>22</v>
      </c>
      <c r="K1" s="1" t="s">
        <v>26</v>
      </c>
      <c r="L1" s="1" t="s">
        <v>27</v>
      </c>
      <c r="M1" s="2" t="s">
        <v>29</v>
      </c>
    </row>
    <row r="2" ht="56.25" customHeight="1">
      <c r="A2" s="5" t="s">
        <v>19764</v>
      </c>
      <c r="B2" s="6" t="str">
        <f>IMAGE("https://storage.googleapis.com/acdb/fossils/FtrFossilFirstFourLegs.png")</f>
        <v/>
      </c>
      <c r="C2" s="6" t="s">
        <v>37</v>
      </c>
      <c r="D2" s="6">
        <v>2000.0</v>
      </c>
      <c r="E2" s="5" t="s">
        <v>38</v>
      </c>
      <c r="F2" s="5" t="s">
        <v>39</v>
      </c>
      <c r="G2" s="5" t="s">
        <v>40</v>
      </c>
      <c r="H2" s="5" t="s">
        <v>19765</v>
      </c>
      <c r="I2" s="6" t="s">
        <v>42</v>
      </c>
      <c r="J2" s="5" t="s">
        <v>36</v>
      </c>
      <c r="K2" s="5" t="s">
        <v>48</v>
      </c>
      <c r="L2" s="5" t="s">
        <v>19766</v>
      </c>
      <c r="M2" s="6">
        <v>4664.0</v>
      </c>
    </row>
    <row r="3" ht="56.25" customHeight="1">
      <c r="A3" s="5" t="s">
        <v>19767</v>
      </c>
      <c r="B3" s="6" t="str">
        <f>IMAGE("https://storage.googleapis.com/acdb/fossils/FtrFossilAmber.png")</f>
        <v/>
      </c>
      <c r="C3" s="6" t="s">
        <v>37</v>
      </c>
      <c r="D3" s="6">
        <v>1200.0</v>
      </c>
      <c r="E3" s="5" t="s">
        <v>114</v>
      </c>
      <c r="F3" s="5" t="s">
        <v>114</v>
      </c>
      <c r="G3" s="5" t="s">
        <v>40</v>
      </c>
      <c r="H3" s="5" t="s">
        <v>19765</v>
      </c>
      <c r="I3" s="6" t="s">
        <v>42</v>
      </c>
      <c r="J3" s="5" t="s">
        <v>36</v>
      </c>
      <c r="K3" s="5" t="s">
        <v>48</v>
      </c>
      <c r="L3" s="5" t="s">
        <v>19768</v>
      </c>
      <c r="M3" s="6">
        <v>294.0</v>
      </c>
    </row>
    <row r="4" ht="56.25" customHeight="1">
      <c r="A4" s="5" t="s">
        <v>19769</v>
      </c>
      <c r="B4" s="6" t="str">
        <f>IMAGE("https://storage.googleapis.com/acdb/fossils/FtrFossilAmmonoidea.png")</f>
        <v/>
      </c>
      <c r="C4" s="6" t="s">
        <v>37</v>
      </c>
      <c r="D4" s="6">
        <v>1100.0</v>
      </c>
      <c r="E4" s="5" t="s">
        <v>38</v>
      </c>
      <c r="F4" s="5" t="s">
        <v>39</v>
      </c>
      <c r="G4" s="5" t="s">
        <v>40</v>
      </c>
      <c r="H4" s="5" t="s">
        <v>19765</v>
      </c>
      <c r="I4" s="6" t="s">
        <v>42</v>
      </c>
      <c r="J4" s="5" t="s">
        <v>36</v>
      </c>
      <c r="K4" s="5" t="s">
        <v>48</v>
      </c>
      <c r="L4" s="5" t="s">
        <v>19770</v>
      </c>
      <c r="M4" s="6">
        <v>295.0</v>
      </c>
    </row>
    <row r="5" ht="56.25" customHeight="1">
      <c r="A5" s="5" t="s">
        <v>19771</v>
      </c>
      <c r="B5" s="6" t="str">
        <f>IMAGE("https://storage.googleapis.com/acdb/fossils/FtrFossilAnkylosaurusA.png")</f>
        <v/>
      </c>
      <c r="C5" s="6" t="s">
        <v>37</v>
      </c>
      <c r="D5" s="6">
        <v>3500.0</v>
      </c>
      <c r="E5" s="5" t="s">
        <v>39</v>
      </c>
      <c r="F5" s="5" t="s">
        <v>39</v>
      </c>
      <c r="G5" s="5" t="s">
        <v>214</v>
      </c>
      <c r="H5" s="5" t="s">
        <v>19765</v>
      </c>
      <c r="I5" s="6" t="s">
        <v>42</v>
      </c>
      <c r="J5" s="5" t="s">
        <v>36</v>
      </c>
      <c r="K5" s="5" t="s">
        <v>48</v>
      </c>
      <c r="L5" s="5" t="s">
        <v>19772</v>
      </c>
      <c r="M5" s="6">
        <v>169.0</v>
      </c>
    </row>
    <row r="6" ht="56.25" customHeight="1">
      <c r="A6" s="5" t="s">
        <v>19773</v>
      </c>
      <c r="B6" s="6" t="str">
        <f>IMAGE("https://storage.googleapis.com/acdb/fossils/FtrFossilAnkylosaurusC.png")</f>
        <v/>
      </c>
      <c r="C6" s="6" t="s">
        <v>37</v>
      </c>
      <c r="D6" s="6">
        <v>2500.0</v>
      </c>
      <c r="E6" s="5" t="s">
        <v>39</v>
      </c>
      <c r="F6" s="5" t="s">
        <v>39</v>
      </c>
      <c r="G6" s="5" t="s">
        <v>214</v>
      </c>
      <c r="H6" s="5" t="s">
        <v>19765</v>
      </c>
      <c r="I6" s="6" t="s">
        <v>42</v>
      </c>
      <c r="J6" s="5" t="s">
        <v>36</v>
      </c>
      <c r="K6" s="5" t="s">
        <v>48</v>
      </c>
      <c r="L6" s="5" t="s">
        <v>19774</v>
      </c>
      <c r="M6" s="6">
        <v>171.0</v>
      </c>
    </row>
    <row r="7" ht="56.25" customHeight="1">
      <c r="A7" s="5" t="s">
        <v>19775</v>
      </c>
      <c r="B7" s="6" t="str">
        <f>IMAGE("https://storage.googleapis.com/acdb/fossils/FtrFossilAnkylosaurusB.png")</f>
        <v/>
      </c>
      <c r="C7" s="6" t="s">
        <v>37</v>
      </c>
      <c r="D7" s="6">
        <v>3000.0</v>
      </c>
      <c r="E7" s="5" t="s">
        <v>39</v>
      </c>
      <c r="F7" s="5" t="s">
        <v>39</v>
      </c>
      <c r="G7" s="5" t="s">
        <v>214</v>
      </c>
      <c r="H7" s="5" t="s">
        <v>19765</v>
      </c>
      <c r="I7" s="6" t="s">
        <v>42</v>
      </c>
      <c r="J7" s="5" t="s">
        <v>36</v>
      </c>
      <c r="K7" s="5" t="s">
        <v>48</v>
      </c>
      <c r="L7" s="5" t="s">
        <v>19776</v>
      </c>
      <c r="M7" s="6">
        <v>170.0</v>
      </c>
    </row>
    <row r="8" ht="56.25" customHeight="1">
      <c r="A8" s="5" t="s">
        <v>19777</v>
      </c>
      <c r="B8" s="6" t="str">
        <f>IMAGE("https://storage.googleapis.com/acdb/fossils/FtrFossilAnomalocaris.png")</f>
        <v/>
      </c>
      <c r="C8" s="6" t="s">
        <v>37</v>
      </c>
      <c r="D8" s="6">
        <v>2000.0</v>
      </c>
      <c r="E8" s="5" t="s">
        <v>54</v>
      </c>
      <c r="F8" s="5" t="s">
        <v>95</v>
      </c>
      <c r="G8" s="5" t="s">
        <v>40</v>
      </c>
      <c r="H8" s="5" t="s">
        <v>19765</v>
      </c>
      <c r="I8" s="6" t="s">
        <v>42</v>
      </c>
      <c r="J8" s="5" t="s">
        <v>36</v>
      </c>
      <c r="K8" s="5" t="s">
        <v>48</v>
      </c>
      <c r="L8" s="5" t="s">
        <v>19778</v>
      </c>
      <c r="M8" s="6">
        <v>4651.0</v>
      </c>
    </row>
    <row r="9" ht="56.25" customHeight="1">
      <c r="A9" s="5" t="s">
        <v>19779</v>
      </c>
      <c r="B9" s="6" t="str">
        <f>IMAGE("https://storage.googleapis.com/acdb/fossils/FtrFossilArchaeopteryx.png")</f>
        <v/>
      </c>
      <c r="C9" s="6" t="s">
        <v>37</v>
      </c>
      <c r="D9" s="6">
        <v>1300.0</v>
      </c>
      <c r="E9" s="5" t="s">
        <v>38</v>
      </c>
      <c r="F9" s="5" t="s">
        <v>39</v>
      </c>
      <c r="G9" s="5" t="s">
        <v>40</v>
      </c>
      <c r="H9" s="5" t="s">
        <v>19765</v>
      </c>
      <c r="I9" s="6" t="s">
        <v>42</v>
      </c>
      <c r="J9" s="5" t="s">
        <v>36</v>
      </c>
      <c r="K9" s="5" t="s">
        <v>48</v>
      </c>
      <c r="L9" s="5" t="s">
        <v>19780</v>
      </c>
      <c r="M9" s="6">
        <v>298.0</v>
      </c>
    </row>
    <row r="10" ht="56.25" customHeight="1">
      <c r="A10" s="5" t="s">
        <v>19781</v>
      </c>
      <c r="B10" s="6" t="str">
        <f>IMAGE("https://storage.googleapis.com/acdb/fossils/FtrFossilArchelonA.png")</f>
        <v/>
      </c>
      <c r="C10" s="6" t="s">
        <v>37</v>
      </c>
      <c r="D10" s="6">
        <v>4000.0</v>
      </c>
      <c r="E10" s="5" t="s">
        <v>39</v>
      </c>
      <c r="F10" s="5" t="s">
        <v>39</v>
      </c>
      <c r="G10" s="5" t="s">
        <v>214</v>
      </c>
      <c r="H10" s="5" t="s">
        <v>19765</v>
      </c>
      <c r="I10" s="6" t="s">
        <v>42</v>
      </c>
      <c r="J10" s="5" t="s">
        <v>36</v>
      </c>
      <c r="K10" s="5" t="s">
        <v>48</v>
      </c>
      <c r="L10" s="5" t="s">
        <v>19782</v>
      </c>
      <c r="M10" s="6">
        <v>177.0</v>
      </c>
    </row>
    <row r="11" ht="56.25" customHeight="1">
      <c r="A11" s="5" t="s">
        <v>19783</v>
      </c>
      <c r="B11" s="6" t="str">
        <f>IMAGE("https://storage.googleapis.com/acdb/fossils/FtrFossilArchelonB.png")</f>
        <v/>
      </c>
      <c r="C11" s="6" t="s">
        <v>37</v>
      </c>
      <c r="D11" s="6">
        <v>3500.0</v>
      </c>
      <c r="E11" s="5" t="s">
        <v>39</v>
      </c>
      <c r="F11" s="5" t="s">
        <v>39</v>
      </c>
      <c r="G11" s="5" t="s">
        <v>214</v>
      </c>
      <c r="H11" s="5" t="s">
        <v>19765</v>
      </c>
      <c r="I11" s="6" t="s">
        <v>42</v>
      </c>
      <c r="J11" s="5" t="s">
        <v>36</v>
      </c>
      <c r="K11" s="5" t="s">
        <v>48</v>
      </c>
      <c r="L11" s="5" t="s">
        <v>19785</v>
      </c>
      <c r="M11" s="6">
        <v>178.0</v>
      </c>
    </row>
    <row r="12" ht="56.25" customHeight="1">
      <c r="A12" s="5" t="s">
        <v>19786</v>
      </c>
      <c r="B12" s="6" t="str">
        <f>IMAGE("https://storage.googleapis.com/acdb/fossils/FtrFossilAustralopithecus.png")</f>
        <v/>
      </c>
      <c r="C12" s="6" t="s">
        <v>37</v>
      </c>
      <c r="D12" s="6">
        <v>1100.0</v>
      </c>
      <c r="E12" s="5" t="s">
        <v>38</v>
      </c>
      <c r="F12" s="5" t="s">
        <v>39</v>
      </c>
      <c r="G12" s="5" t="s">
        <v>40</v>
      </c>
      <c r="H12" s="5" t="s">
        <v>19765</v>
      </c>
      <c r="I12" s="6" t="s">
        <v>42</v>
      </c>
      <c r="J12" s="5" t="s">
        <v>36</v>
      </c>
      <c r="K12" s="5" t="s">
        <v>48</v>
      </c>
      <c r="L12" s="5" t="s">
        <v>19787</v>
      </c>
      <c r="M12" s="6">
        <v>301.0</v>
      </c>
    </row>
    <row r="13" ht="56.25" customHeight="1">
      <c r="A13" s="5" t="s">
        <v>19788</v>
      </c>
      <c r="B13" s="6" t="str">
        <f>IMAGE("https://storage.googleapis.com/acdb/fossils/FtrFossilBrachiosaurusB.png")</f>
        <v/>
      </c>
      <c r="C13" s="6" t="s">
        <v>37</v>
      </c>
      <c r="D13" s="6">
        <v>5500.0</v>
      </c>
      <c r="E13" s="5" t="s">
        <v>39</v>
      </c>
      <c r="F13" s="5" t="s">
        <v>39</v>
      </c>
      <c r="G13" s="5" t="s">
        <v>214</v>
      </c>
      <c r="H13" s="5" t="s">
        <v>19765</v>
      </c>
      <c r="I13" s="6" t="s">
        <v>42</v>
      </c>
      <c r="J13" s="5" t="s">
        <v>36</v>
      </c>
      <c r="K13" s="5" t="s">
        <v>48</v>
      </c>
      <c r="L13" s="5" t="s">
        <v>19789</v>
      </c>
      <c r="M13" s="6">
        <v>4689.0</v>
      </c>
    </row>
    <row r="14" ht="56.25" customHeight="1">
      <c r="A14" s="5" t="s">
        <v>19790</v>
      </c>
      <c r="B14" s="6" t="str">
        <f>IMAGE("https://storage.googleapis.com/acdb/fossils/FtrFossilBrachiosaurusC.png")</f>
        <v/>
      </c>
      <c r="C14" s="6" t="s">
        <v>37</v>
      </c>
      <c r="D14" s="6">
        <v>5000.0</v>
      </c>
      <c r="E14" s="5" t="s">
        <v>39</v>
      </c>
      <c r="F14" s="5" t="s">
        <v>39</v>
      </c>
      <c r="G14" s="5" t="s">
        <v>214</v>
      </c>
      <c r="H14" s="5" t="s">
        <v>19765</v>
      </c>
      <c r="I14" s="6" t="s">
        <v>42</v>
      </c>
      <c r="J14" s="5" t="s">
        <v>36</v>
      </c>
      <c r="K14" s="5" t="s">
        <v>48</v>
      </c>
      <c r="L14" s="5" t="s">
        <v>19791</v>
      </c>
      <c r="M14" s="6">
        <v>4690.0</v>
      </c>
    </row>
    <row r="15" ht="56.25" customHeight="1">
      <c r="A15" s="5" t="s">
        <v>19792</v>
      </c>
      <c r="B15" s="6" t="str">
        <f>IMAGE("https://storage.googleapis.com/acdb/fossils/FtrFossilBrachiosaurusA.png")</f>
        <v/>
      </c>
      <c r="C15" s="6" t="s">
        <v>37</v>
      </c>
      <c r="D15" s="6">
        <v>6000.0</v>
      </c>
      <c r="E15" s="5" t="s">
        <v>39</v>
      </c>
      <c r="F15" s="5" t="s">
        <v>39</v>
      </c>
      <c r="G15" s="5" t="s">
        <v>214</v>
      </c>
      <c r="H15" s="5" t="s">
        <v>19765</v>
      </c>
      <c r="I15" s="6" t="s">
        <v>42</v>
      </c>
      <c r="J15" s="5" t="s">
        <v>36</v>
      </c>
      <c r="K15" s="5" t="s">
        <v>48</v>
      </c>
      <c r="L15" s="5" t="s">
        <v>19793</v>
      </c>
      <c r="M15" s="6">
        <v>4688.0</v>
      </c>
    </row>
    <row r="16" ht="56.25" customHeight="1">
      <c r="A16" s="5" t="s">
        <v>19794</v>
      </c>
      <c r="B16" s="6" t="str">
        <f>IMAGE("https://storage.googleapis.com/acdb/fossils/FtrFossilBrachiosaurusD.png")</f>
        <v/>
      </c>
      <c r="C16" s="6" t="s">
        <v>37</v>
      </c>
      <c r="D16" s="6">
        <v>5500.0</v>
      </c>
      <c r="E16" s="5" t="s">
        <v>39</v>
      </c>
      <c r="F16" s="5" t="s">
        <v>39</v>
      </c>
      <c r="G16" s="5" t="s">
        <v>214</v>
      </c>
      <c r="H16" s="5" t="s">
        <v>19765</v>
      </c>
      <c r="I16" s="6" t="s">
        <v>42</v>
      </c>
      <c r="J16" s="5" t="s">
        <v>36</v>
      </c>
      <c r="K16" s="5" t="s">
        <v>48</v>
      </c>
      <c r="L16" s="5" t="s">
        <v>19795</v>
      </c>
      <c r="M16" s="6">
        <v>4691.0</v>
      </c>
    </row>
    <row r="17" ht="56.25" customHeight="1">
      <c r="A17" s="5" t="s">
        <v>19796</v>
      </c>
      <c r="B17" s="6" t="str">
        <f>IMAGE("https://storage.googleapis.com/acdb/fossils/FtrFossilCoprolite.png")</f>
        <v/>
      </c>
      <c r="C17" s="6" t="s">
        <v>37</v>
      </c>
      <c r="D17" s="6">
        <v>1100.0</v>
      </c>
      <c r="E17" s="5" t="s">
        <v>39</v>
      </c>
      <c r="F17" s="5" t="s">
        <v>39</v>
      </c>
      <c r="G17" s="5" t="s">
        <v>40</v>
      </c>
      <c r="H17" s="5" t="s">
        <v>19765</v>
      </c>
      <c r="I17" s="6" t="s">
        <v>42</v>
      </c>
      <c r="J17" s="5" t="s">
        <v>36</v>
      </c>
      <c r="K17" s="5" t="s">
        <v>48</v>
      </c>
      <c r="L17" s="5" t="s">
        <v>19797</v>
      </c>
      <c r="M17" s="6">
        <v>296.0</v>
      </c>
    </row>
    <row r="18" ht="56.25" customHeight="1">
      <c r="A18" s="5" t="s">
        <v>19798</v>
      </c>
      <c r="B18" s="6" t="str">
        <f>IMAGE("https://storage.googleapis.com/acdb/fossils/FtrFossilDeinonychusB.png")</f>
        <v/>
      </c>
      <c r="C18" s="6" t="s">
        <v>37</v>
      </c>
      <c r="D18" s="6">
        <v>2500.0</v>
      </c>
      <c r="E18" s="5" t="s">
        <v>39</v>
      </c>
      <c r="F18" s="5" t="s">
        <v>39</v>
      </c>
      <c r="G18" s="5" t="s">
        <v>214</v>
      </c>
      <c r="H18" s="5" t="s">
        <v>19765</v>
      </c>
      <c r="I18" s="6" t="s">
        <v>42</v>
      </c>
      <c r="J18" s="5" t="s">
        <v>36</v>
      </c>
      <c r="K18" s="5" t="s">
        <v>48</v>
      </c>
      <c r="L18" s="5" t="s">
        <v>19800</v>
      </c>
      <c r="M18" s="6">
        <v>211.0</v>
      </c>
    </row>
    <row r="19" ht="56.25" customHeight="1">
      <c r="A19" s="5" t="s">
        <v>19801</v>
      </c>
      <c r="B19" s="6" t="str">
        <f>IMAGE("https://storage.googleapis.com/acdb/fossils/FtrFossilDeinonychusA.png")</f>
        <v/>
      </c>
      <c r="C19" s="6" t="s">
        <v>37</v>
      </c>
      <c r="D19" s="6">
        <v>3000.0</v>
      </c>
      <c r="E19" s="5" t="s">
        <v>39</v>
      </c>
      <c r="F19" s="5" t="s">
        <v>39</v>
      </c>
      <c r="G19" s="5" t="s">
        <v>214</v>
      </c>
      <c r="H19" s="5" t="s">
        <v>19765</v>
      </c>
      <c r="I19" s="6" t="s">
        <v>42</v>
      </c>
      <c r="J19" s="5" t="s">
        <v>36</v>
      </c>
      <c r="K19" s="5" t="s">
        <v>48</v>
      </c>
      <c r="L19" s="5" t="s">
        <v>19803</v>
      </c>
      <c r="M19" s="6">
        <v>210.0</v>
      </c>
    </row>
    <row r="20" ht="56.25" customHeight="1">
      <c r="A20" s="5" t="s">
        <v>19804</v>
      </c>
      <c r="B20" s="6" t="str">
        <f>IMAGE("https://storage.googleapis.com/acdb/fossils/FtrFossilDimetrodonA.png")</f>
        <v/>
      </c>
      <c r="C20" s="6" t="s">
        <v>37</v>
      </c>
      <c r="D20" s="6">
        <v>5500.0</v>
      </c>
      <c r="E20" s="5" t="s">
        <v>39</v>
      </c>
      <c r="F20" s="5" t="s">
        <v>39</v>
      </c>
      <c r="G20" s="5" t="s">
        <v>214</v>
      </c>
      <c r="H20" s="5" t="s">
        <v>19765</v>
      </c>
      <c r="I20" s="6" t="s">
        <v>42</v>
      </c>
      <c r="J20" s="5" t="s">
        <v>36</v>
      </c>
      <c r="K20" s="5" t="s">
        <v>48</v>
      </c>
      <c r="L20" s="5" t="s">
        <v>19805</v>
      </c>
      <c r="M20" s="6">
        <v>184.0</v>
      </c>
    </row>
    <row r="21" ht="56.25" customHeight="1">
      <c r="A21" s="5" t="s">
        <v>19806</v>
      </c>
      <c r="B21" s="6" t="str">
        <f>IMAGE("https://storage.googleapis.com/acdb/fossils/FtrFossilDimetrodonB.png")</f>
        <v/>
      </c>
      <c r="C21" s="6" t="s">
        <v>37</v>
      </c>
      <c r="D21" s="6">
        <v>5000.0</v>
      </c>
      <c r="E21" s="5" t="s">
        <v>39</v>
      </c>
      <c r="F21" s="5" t="s">
        <v>39</v>
      </c>
      <c r="G21" s="5" t="s">
        <v>214</v>
      </c>
      <c r="H21" s="5" t="s">
        <v>19765</v>
      </c>
      <c r="I21" s="6" t="s">
        <v>42</v>
      </c>
      <c r="J21" s="5" t="s">
        <v>36</v>
      </c>
      <c r="K21" s="5" t="s">
        <v>48</v>
      </c>
      <c r="L21" s="5" t="s">
        <v>19807</v>
      </c>
      <c r="M21" s="6">
        <v>185.0</v>
      </c>
    </row>
    <row r="22" ht="56.25" customHeight="1">
      <c r="A22" s="5" t="s">
        <v>19808</v>
      </c>
      <c r="B22" s="6" t="str">
        <f>IMAGE("https://storage.googleapis.com/acdb/fossils/FtrFossilIchnology.png")</f>
        <v/>
      </c>
      <c r="C22" s="6" t="s">
        <v>37</v>
      </c>
      <c r="D22" s="6">
        <v>1000.0</v>
      </c>
      <c r="E22" s="5" t="s">
        <v>38</v>
      </c>
      <c r="F22" s="5" t="s">
        <v>39</v>
      </c>
      <c r="G22" s="5" t="s">
        <v>40</v>
      </c>
      <c r="H22" s="5" t="s">
        <v>19765</v>
      </c>
      <c r="I22" s="6" t="s">
        <v>42</v>
      </c>
      <c r="J22" s="5" t="s">
        <v>36</v>
      </c>
      <c r="K22" s="5" t="s">
        <v>48</v>
      </c>
      <c r="L22" s="5" t="s">
        <v>19809</v>
      </c>
      <c r="M22" s="6">
        <v>300.0</v>
      </c>
    </row>
    <row r="23" ht="56.25" customHeight="1">
      <c r="A23" s="5" t="s">
        <v>19810</v>
      </c>
      <c r="B23" s="6" t="str">
        <f>IMAGE("https://storage.googleapis.com/acdb/fossils/FtrFossilDiplodocusC.png")</f>
        <v/>
      </c>
      <c r="C23" s="6" t="s">
        <v>37</v>
      </c>
      <c r="D23" s="6">
        <v>4000.0</v>
      </c>
      <c r="E23" s="5" t="s">
        <v>39</v>
      </c>
      <c r="F23" s="5" t="s">
        <v>39</v>
      </c>
      <c r="G23" s="5" t="s">
        <v>214</v>
      </c>
      <c r="H23" s="5" t="s">
        <v>19765</v>
      </c>
      <c r="I23" s="6" t="s">
        <v>42</v>
      </c>
      <c r="J23" s="5" t="s">
        <v>36</v>
      </c>
      <c r="K23" s="5" t="s">
        <v>48</v>
      </c>
      <c r="L23" s="5" t="s">
        <v>19811</v>
      </c>
      <c r="M23" s="6">
        <v>218.0</v>
      </c>
    </row>
    <row r="24" ht="56.25" customHeight="1">
      <c r="A24" s="5" t="s">
        <v>19812</v>
      </c>
      <c r="B24" s="6" t="str">
        <f>IMAGE("https://storage.googleapis.com/acdb/fossils/FtrFossilDiplodocusB.png")</f>
        <v/>
      </c>
      <c r="C24" s="6" t="s">
        <v>37</v>
      </c>
      <c r="D24" s="6">
        <v>4500.0</v>
      </c>
      <c r="E24" s="5" t="s">
        <v>39</v>
      </c>
      <c r="F24" s="5" t="s">
        <v>39</v>
      </c>
      <c r="G24" s="5" t="s">
        <v>214</v>
      </c>
      <c r="H24" s="5" t="s">
        <v>19765</v>
      </c>
      <c r="I24" s="6" t="s">
        <v>42</v>
      </c>
      <c r="J24" s="5" t="s">
        <v>36</v>
      </c>
      <c r="K24" s="5" t="s">
        <v>48</v>
      </c>
      <c r="L24" s="5" t="s">
        <v>19813</v>
      </c>
      <c r="M24" s="6">
        <v>217.0</v>
      </c>
    </row>
    <row r="25" ht="56.25" customHeight="1">
      <c r="A25" s="5" t="s">
        <v>19814</v>
      </c>
      <c r="B25" s="6" t="str">
        <f>IMAGE("https://storage.googleapis.com/acdb/fossils/FtrFossilDiplodocusD.png")</f>
        <v/>
      </c>
      <c r="C25" s="6" t="s">
        <v>37</v>
      </c>
      <c r="D25" s="6">
        <v>4500.0</v>
      </c>
      <c r="E25" s="5" t="s">
        <v>39</v>
      </c>
      <c r="F25" s="5" t="s">
        <v>39</v>
      </c>
      <c r="G25" s="5" t="s">
        <v>214</v>
      </c>
      <c r="H25" s="5" t="s">
        <v>19765</v>
      </c>
      <c r="I25" s="6" t="s">
        <v>42</v>
      </c>
      <c r="J25" s="5" t="s">
        <v>36</v>
      </c>
      <c r="K25" s="5" t="s">
        <v>48</v>
      </c>
      <c r="L25" s="5" t="s">
        <v>19815</v>
      </c>
      <c r="M25" s="6">
        <v>219.0</v>
      </c>
    </row>
    <row r="26" ht="56.25" customHeight="1">
      <c r="A26" s="5" t="s">
        <v>19816</v>
      </c>
      <c r="B26" s="6" t="str">
        <f>IMAGE("https://storage.googleapis.com/acdb/fossils/FtrFossilDiplodocusA.png")</f>
        <v/>
      </c>
      <c r="C26" s="6" t="s">
        <v>37</v>
      </c>
      <c r="D26" s="6">
        <v>5000.0</v>
      </c>
      <c r="E26" s="5" t="s">
        <v>39</v>
      </c>
      <c r="F26" s="5" t="s">
        <v>39</v>
      </c>
      <c r="G26" s="5" t="s">
        <v>214</v>
      </c>
      <c r="H26" s="5" t="s">
        <v>19765</v>
      </c>
      <c r="I26" s="6" t="s">
        <v>42</v>
      </c>
      <c r="J26" s="5" t="s">
        <v>36</v>
      </c>
      <c r="K26" s="5" t="s">
        <v>48</v>
      </c>
      <c r="L26" s="5" t="s">
        <v>19817</v>
      </c>
      <c r="M26" s="6">
        <v>216.0</v>
      </c>
    </row>
    <row r="27" ht="56.25" customHeight="1">
      <c r="A27" s="5" t="s">
        <v>19818</v>
      </c>
      <c r="B27" s="6" t="str">
        <f>IMAGE("https://storage.googleapis.com/acdb/fossils/FtrFossilDiplodocusE.png")</f>
        <v/>
      </c>
      <c r="C27" s="6" t="s">
        <v>37</v>
      </c>
      <c r="D27" s="6">
        <v>5000.0</v>
      </c>
      <c r="E27" s="5" t="s">
        <v>39</v>
      </c>
      <c r="F27" s="5" t="s">
        <v>39</v>
      </c>
      <c r="G27" s="5" t="s">
        <v>214</v>
      </c>
      <c r="H27" s="5" t="s">
        <v>19765</v>
      </c>
      <c r="I27" s="6" t="s">
        <v>42</v>
      </c>
      <c r="J27" s="5" t="s">
        <v>36</v>
      </c>
      <c r="K27" s="5" t="s">
        <v>48</v>
      </c>
      <c r="L27" s="5" t="s">
        <v>19819</v>
      </c>
      <c r="M27" s="6">
        <v>220.0</v>
      </c>
    </row>
    <row r="28" ht="56.25" customHeight="1">
      <c r="A28" s="5" t="s">
        <v>19820</v>
      </c>
      <c r="B28" s="6" t="str">
        <f>IMAGE("https://storage.googleapis.com/acdb/fossils/FtrFossilDiplodocusF.png")</f>
        <v/>
      </c>
      <c r="C28" s="6" t="s">
        <v>37</v>
      </c>
      <c r="D28" s="6">
        <v>4000.0</v>
      </c>
      <c r="E28" s="5" t="s">
        <v>39</v>
      </c>
      <c r="F28" s="5" t="s">
        <v>39</v>
      </c>
      <c r="G28" s="5" t="s">
        <v>214</v>
      </c>
      <c r="H28" s="5" t="s">
        <v>19765</v>
      </c>
      <c r="I28" s="6" t="s">
        <v>42</v>
      </c>
      <c r="J28" s="5" t="s">
        <v>36</v>
      </c>
      <c r="K28" s="5" t="s">
        <v>48</v>
      </c>
      <c r="L28" s="5" t="s">
        <v>19821</v>
      </c>
      <c r="M28" s="6">
        <v>7251.0</v>
      </c>
    </row>
    <row r="29" ht="56.25" customHeight="1">
      <c r="A29" s="5" t="s">
        <v>19822</v>
      </c>
      <c r="B29" s="6" t="str">
        <f>IMAGE("https://storage.googleapis.com/acdb/fossils/FtrFossilDunkleosteus.png")</f>
        <v/>
      </c>
      <c r="C29" s="6" t="s">
        <v>37</v>
      </c>
      <c r="D29" s="6">
        <v>3500.0</v>
      </c>
      <c r="E29" s="5" t="s">
        <v>95</v>
      </c>
      <c r="F29" s="5" t="s">
        <v>39</v>
      </c>
      <c r="G29" s="5" t="s">
        <v>214</v>
      </c>
      <c r="H29" s="5" t="s">
        <v>19765</v>
      </c>
      <c r="I29" s="6" t="s">
        <v>42</v>
      </c>
      <c r="J29" s="5" t="s">
        <v>36</v>
      </c>
      <c r="K29" s="5" t="s">
        <v>48</v>
      </c>
      <c r="L29" s="5" t="s">
        <v>19823</v>
      </c>
      <c r="M29" s="6">
        <v>4660.0</v>
      </c>
    </row>
    <row r="30" ht="56.25" customHeight="1">
      <c r="A30" s="5" t="s">
        <v>19825</v>
      </c>
      <c r="B30" s="6" t="str">
        <f>IMAGE("https://storage.googleapis.com/acdb/fossils/FtrFossilFirstAmphibian.png")</f>
        <v/>
      </c>
      <c r="C30" s="6" t="s">
        <v>37</v>
      </c>
      <c r="D30" s="6">
        <v>2000.0</v>
      </c>
      <c r="E30" s="5" t="s">
        <v>39</v>
      </c>
      <c r="F30" s="5" t="s">
        <v>39</v>
      </c>
      <c r="G30" s="5" t="s">
        <v>40</v>
      </c>
      <c r="H30" s="5" t="s">
        <v>19765</v>
      </c>
      <c r="I30" s="6" t="s">
        <v>42</v>
      </c>
      <c r="J30" s="5" t="s">
        <v>36</v>
      </c>
      <c r="K30" s="5" t="s">
        <v>48</v>
      </c>
      <c r="L30" s="5" t="s">
        <v>19826</v>
      </c>
      <c r="M30" s="6">
        <v>4663.0</v>
      </c>
    </row>
    <row r="31" ht="56.25" customHeight="1">
      <c r="A31" s="5" t="s">
        <v>19827</v>
      </c>
      <c r="B31" s="6" t="str">
        <f>IMAGE("https://storage.googleapis.com/acdb/fossils/FtrFossilIguanodonA.png")</f>
        <v/>
      </c>
      <c r="C31" s="6" t="s">
        <v>37</v>
      </c>
      <c r="D31" s="6">
        <v>4000.0</v>
      </c>
      <c r="E31" s="5" t="s">
        <v>39</v>
      </c>
      <c r="F31" s="5" t="s">
        <v>39</v>
      </c>
      <c r="G31" s="5" t="s">
        <v>214</v>
      </c>
      <c r="H31" s="5" t="s">
        <v>19765</v>
      </c>
      <c r="I31" s="6" t="s">
        <v>42</v>
      </c>
      <c r="J31" s="5" t="s">
        <v>36</v>
      </c>
      <c r="K31" s="5" t="s">
        <v>48</v>
      </c>
      <c r="L31" s="5" t="s">
        <v>19828</v>
      </c>
      <c r="M31" s="6">
        <v>188.0</v>
      </c>
    </row>
    <row r="32" ht="56.25" customHeight="1">
      <c r="A32" s="5" t="s">
        <v>19829</v>
      </c>
      <c r="B32" s="6" t="str">
        <f>IMAGE("https://storage.googleapis.com/acdb/fossils/FtrFossilIguanodonC.png")</f>
        <v/>
      </c>
      <c r="C32" s="6" t="s">
        <v>37</v>
      </c>
      <c r="D32" s="6">
        <v>3000.0</v>
      </c>
      <c r="E32" s="5" t="s">
        <v>39</v>
      </c>
      <c r="F32" s="5" t="s">
        <v>39</v>
      </c>
      <c r="G32" s="5" t="s">
        <v>214</v>
      </c>
      <c r="H32" s="5" t="s">
        <v>19765</v>
      </c>
      <c r="I32" s="6" t="s">
        <v>42</v>
      </c>
      <c r="J32" s="5" t="s">
        <v>36</v>
      </c>
      <c r="K32" s="5" t="s">
        <v>48</v>
      </c>
      <c r="L32" s="5" t="s">
        <v>19830</v>
      </c>
      <c r="M32" s="6">
        <v>190.0</v>
      </c>
    </row>
    <row r="33" ht="56.25" customHeight="1">
      <c r="A33" s="5" t="s">
        <v>19831</v>
      </c>
      <c r="B33" s="6" t="str">
        <f>IMAGE("https://storage.googleapis.com/acdb/fossils/FtrFossilIguanodonB.png")</f>
        <v/>
      </c>
      <c r="C33" s="6" t="s">
        <v>37</v>
      </c>
      <c r="D33" s="6">
        <v>3500.0</v>
      </c>
      <c r="E33" s="5" t="s">
        <v>39</v>
      </c>
      <c r="F33" s="5" t="s">
        <v>39</v>
      </c>
      <c r="G33" s="5" t="s">
        <v>214</v>
      </c>
      <c r="H33" s="5" t="s">
        <v>19765</v>
      </c>
      <c r="I33" s="6" t="s">
        <v>42</v>
      </c>
      <c r="J33" s="5" t="s">
        <v>36</v>
      </c>
      <c r="K33" s="5" t="s">
        <v>48</v>
      </c>
      <c r="L33" s="5" t="s">
        <v>19832</v>
      </c>
      <c r="M33" s="6">
        <v>189.0</v>
      </c>
    </row>
    <row r="34" ht="56.25" customHeight="1">
      <c r="A34" s="5" t="s">
        <v>19833</v>
      </c>
      <c r="B34" s="6" t="str">
        <f>IMAGE("https://storage.googleapis.com/acdb/fossils/FtrFossilFirstMammal.png")</f>
        <v/>
      </c>
      <c r="C34" s="6" t="s">
        <v>37</v>
      </c>
      <c r="D34" s="6">
        <v>1500.0</v>
      </c>
      <c r="E34" s="5" t="s">
        <v>38</v>
      </c>
      <c r="F34" s="5" t="s">
        <v>39</v>
      </c>
      <c r="G34" s="5" t="s">
        <v>40</v>
      </c>
      <c r="H34" s="5" t="s">
        <v>19765</v>
      </c>
      <c r="I34" s="6" t="s">
        <v>42</v>
      </c>
      <c r="J34" s="5" t="s">
        <v>36</v>
      </c>
      <c r="K34" s="5" t="s">
        <v>48</v>
      </c>
      <c r="L34" s="5" t="s">
        <v>19835</v>
      </c>
      <c r="M34" s="6">
        <v>4665.0</v>
      </c>
    </row>
    <row r="35" ht="56.25" customHeight="1">
      <c r="A35" s="5" t="s">
        <v>19836</v>
      </c>
      <c r="B35" s="6" t="str">
        <f>IMAGE("https://storage.googleapis.com/acdb/fossils/FtrFossilMegalocerosB.png")</f>
        <v/>
      </c>
      <c r="C35" s="6" t="s">
        <v>37</v>
      </c>
      <c r="D35" s="6">
        <v>4000.0</v>
      </c>
      <c r="E35" s="5" t="s">
        <v>38</v>
      </c>
      <c r="F35" s="5" t="s">
        <v>39</v>
      </c>
      <c r="G35" s="5" t="s">
        <v>214</v>
      </c>
      <c r="H35" s="5" t="s">
        <v>19765</v>
      </c>
      <c r="I35" s="6" t="s">
        <v>42</v>
      </c>
      <c r="J35" s="5" t="s">
        <v>36</v>
      </c>
      <c r="K35" s="5" t="s">
        <v>48</v>
      </c>
      <c r="L35" s="5" t="s">
        <v>19838</v>
      </c>
      <c r="M35" s="6">
        <v>4659.0</v>
      </c>
    </row>
    <row r="36" ht="56.25" customHeight="1">
      <c r="A36" s="5" t="s">
        <v>19839</v>
      </c>
      <c r="B36" s="6" t="str">
        <f>IMAGE("https://storage.googleapis.com/acdb/fossils/FtrFossilPteranodonC.png")</f>
        <v/>
      </c>
      <c r="C36" s="6" t="s">
        <v>37</v>
      </c>
      <c r="D36" s="6">
        <v>4500.0</v>
      </c>
      <c r="E36" s="5" t="s">
        <v>39</v>
      </c>
      <c r="F36" s="5" t="s">
        <v>39</v>
      </c>
      <c r="G36" s="5" t="s">
        <v>214</v>
      </c>
      <c r="H36" s="5" t="s">
        <v>19765</v>
      </c>
      <c r="I36" s="6" t="s">
        <v>42</v>
      </c>
      <c r="J36" s="5" t="s">
        <v>36</v>
      </c>
      <c r="K36" s="5" t="s">
        <v>48</v>
      </c>
      <c r="L36" s="5" t="s">
        <v>19840</v>
      </c>
      <c r="M36" s="6">
        <v>208.0</v>
      </c>
    </row>
    <row r="37" ht="56.25" customHeight="1">
      <c r="A37" s="5" t="s">
        <v>19841</v>
      </c>
      <c r="B37" s="6" t="str">
        <f>IMAGE("https://storage.googleapis.com/acdb/fossils/FtrFossilQuetzalcoatlusC.png")</f>
        <v/>
      </c>
      <c r="C37" s="6" t="s">
        <v>37</v>
      </c>
      <c r="D37" s="6">
        <v>5000.0</v>
      </c>
      <c r="E37" s="5" t="s">
        <v>39</v>
      </c>
      <c r="F37" s="5" t="s">
        <v>39</v>
      </c>
      <c r="G37" s="5" t="s">
        <v>214</v>
      </c>
      <c r="H37" s="5" t="s">
        <v>19765</v>
      </c>
      <c r="I37" s="6" t="s">
        <v>42</v>
      </c>
      <c r="J37" s="5" t="s">
        <v>36</v>
      </c>
      <c r="K37" s="5" t="s">
        <v>48</v>
      </c>
      <c r="L37" s="5" t="s">
        <v>19842</v>
      </c>
      <c r="M37" s="6">
        <v>4699.0</v>
      </c>
    </row>
    <row r="38" ht="56.25" customHeight="1">
      <c r="A38" s="5" t="s">
        <v>19843</v>
      </c>
      <c r="B38" s="6" t="str">
        <f>IMAGE("https://storage.googleapis.com/acdb/fossils/FtrFossilMammothA.png")</f>
        <v/>
      </c>
      <c r="C38" s="6" t="s">
        <v>37</v>
      </c>
      <c r="D38" s="6">
        <v>3000.0</v>
      </c>
      <c r="E38" s="5" t="s">
        <v>38</v>
      </c>
      <c r="F38" s="5" t="s">
        <v>39</v>
      </c>
      <c r="G38" s="5" t="s">
        <v>214</v>
      </c>
      <c r="H38" s="5" t="s">
        <v>19765</v>
      </c>
      <c r="I38" s="6" t="s">
        <v>42</v>
      </c>
      <c r="J38" s="5" t="s">
        <v>36</v>
      </c>
      <c r="K38" s="5" t="s">
        <v>48</v>
      </c>
      <c r="L38" s="5" t="s">
        <v>19844</v>
      </c>
      <c r="M38" s="6">
        <v>195.0</v>
      </c>
    </row>
    <row r="39" ht="56.25" customHeight="1">
      <c r="A39" s="5" t="s">
        <v>19845</v>
      </c>
      <c r="B39" s="6" t="str">
        <f>IMAGE("https://storage.googleapis.com/acdb/fossils/FtrFossilMammothB.png")</f>
        <v/>
      </c>
      <c r="C39" s="6" t="s">
        <v>37</v>
      </c>
      <c r="D39" s="6">
        <v>2500.0</v>
      </c>
      <c r="E39" s="5" t="s">
        <v>38</v>
      </c>
      <c r="F39" s="5" t="s">
        <v>39</v>
      </c>
      <c r="G39" s="5" t="s">
        <v>214</v>
      </c>
      <c r="H39" s="5" t="s">
        <v>19765</v>
      </c>
      <c r="I39" s="6" t="s">
        <v>42</v>
      </c>
      <c r="J39" s="5" t="s">
        <v>36</v>
      </c>
      <c r="K39" s="5" t="s">
        <v>48</v>
      </c>
      <c r="L39" s="5" t="s">
        <v>19847</v>
      </c>
      <c r="M39" s="6">
        <v>196.0</v>
      </c>
    </row>
    <row r="40" ht="56.25" customHeight="1">
      <c r="A40" s="5" t="s">
        <v>19850</v>
      </c>
      <c r="B40" s="6" t="str">
        <f>IMAGE("https://storage.googleapis.com/acdb/fossils/FtrFossilBrontotheriumA.png")</f>
        <v/>
      </c>
      <c r="C40" s="6" t="s">
        <v>37</v>
      </c>
      <c r="D40" s="6">
        <v>4500.0</v>
      </c>
      <c r="E40" s="5" t="s">
        <v>39</v>
      </c>
      <c r="F40" s="5" t="s">
        <v>39</v>
      </c>
      <c r="G40" s="5" t="s">
        <v>214</v>
      </c>
      <c r="H40" s="5" t="s">
        <v>19765</v>
      </c>
      <c r="I40" s="6" t="s">
        <v>42</v>
      </c>
      <c r="J40" s="5" t="s">
        <v>36</v>
      </c>
      <c r="K40" s="5" t="s">
        <v>48</v>
      </c>
      <c r="L40" s="5" t="s">
        <v>19852</v>
      </c>
      <c r="M40" s="6">
        <v>180.0</v>
      </c>
    </row>
    <row r="41" ht="56.25" customHeight="1">
      <c r="A41" s="5" t="s">
        <v>19854</v>
      </c>
      <c r="B41" s="6" t="str">
        <f>IMAGE("https://storage.googleapis.com/acdb/fossils/FtrFossilBrontotheriumC.png")</f>
        <v/>
      </c>
      <c r="C41" s="6" t="s">
        <v>37</v>
      </c>
      <c r="D41" s="6">
        <v>3000.0</v>
      </c>
      <c r="E41" s="5" t="s">
        <v>39</v>
      </c>
      <c r="F41" s="5" t="s">
        <v>39</v>
      </c>
      <c r="G41" s="5" t="s">
        <v>214</v>
      </c>
      <c r="H41" s="5" t="s">
        <v>19765</v>
      </c>
      <c r="I41" s="6" t="s">
        <v>42</v>
      </c>
      <c r="J41" s="5" t="s">
        <v>36</v>
      </c>
      <c r="K41" s="5" t="s">
        <v>48</v>
      </c>
      <c r="L41" s="5" t="s">
        <v>19857</v>
      </c>
      <c r="M41" s="6">
        <v>182.0</v>
      </c>
    </row>
    <row r="42" ht="56.25" customHeight="1">
      <c r="A42" s="5" t="s">
        <v>19859</v>
      </c>
      <c r="B42" s="6" t="str">
        <f>IMAGE("https://storage.googleapis.com/acdb/fossils/FtrFossilBrontotheriumB.png")</f>
        <v/>
      </c>
      <c r="C42" s="6" t="s">
        <v>37</v>
      </c>
      <c r="D42" s="6">
        <v>3500.0</v>
      </c>
      <c r="E42" s="5" t="s">
        <v>39</v>
      </c>
      <c r="F42" s="5" t="s">
        <v>39</v>
      </c>
      <c r="G42" s="5" t="s">
        <v>214</v>
      </c>
      <c r="H42" s="5" t="s">
        <v>19765</v>
      </c>
      <c r="I42" s="6" t="s">
        <v>42</v>
      </c>
      <c r="J42" s="5" t="s">
        <v>36</v>
      </c>
      <c r="K42" s="5" t="s">
        <v>48</v>
      </c>
      <c r="L42" s="5" t="s">
        <v>19861</v>
      </c>
      <c r="M42" s="6">
        <v>181.0</v>
      </c>
    </row>
    <row r="43" ht="56.25" customHeight="1">
      <c r="A43" s="5" t="s">
        <v>19863</v>
      </c>
      <c r="B43" s="6" t="str">
        <f>IMAGE("https://storage.googleapis.com/acdb/fossils/FtrFossilFirstFish.png")</f>
        <v/>
      </c>
      <c r="C43" s="6" t="s">
        <v>37</v>
      </c>
      <c r="D43" s="6">
        <v>1500.0</v>
      </c>
      <c r="E43" s="5" t="s">
        <v>95</v>
      </c>
      <c r="F43" s="5" t="s">
        <v>95</v>
      </c>
      <c r="G43" s="5" t="s">
        <v>40</v>
      </c>
      <c r="H43" s="5" t="s">
        <v>19765</v>
      </c>
      <c r="I43" s="6" t="s">
        <v>42</v>
      </c>
      <c r="J43" s="5" t="s">
        <v>36</v>
      </c>
      <c r="K43" s="5" t="s">
        <v>48</v>
      </c>
      <c r="L43" s="5" t="s">
        <v>19864</v>
      </c>
      <c r="M43" s="6">
        <v>4662.0</v>
      </c>
    </row>
    <row r="44" ht="56.25" customHeight="1">
      <c r="A44" s="5" t="s">
        <v>19865</v>
      </c>
      <c r="B44" s="6" t="str">
        <f>IMAGE("https://storage.googleapis.com/acdb/fossils/FtrFossilOphthalmosaurusA.png")</f>
        <v/>
      </c>
      <c r="C44" s="6" t="s">
        <v>37</v>
      </c>
      <c r="D44" s="6">
        <v>2500.0</v>
      </c>
      <c r="E44" s="5" t="s">
        <v>39</v>
      </c>
      <c r="F44" s="5" t="s">
        <v>39</v>
      </c>
      <c r="G44" s="5" t="s">
        <v>214</v>
      </c>
      <c r="H44" s="5" t="s">
        <v>19765</v>
      </c>
      <c r="I44" s="6" t="s">
        <v>42</v>
      </c>
      <c r="J44" s="5" t="s">
        <v>36</v>
      </c>
      <c r="K44" s="5" t="s">
        <v>48</v>
      </c>
      <c r="L44" s="5" t="s">
        <v>19869</v>
      </c>
      <c r="M44" s="6">
        <v>192.0</v>
      </c>
    </row>
    <row r="45" ht="56.25" customHeight="1">
      <c r="A45" s="5" t="s">
        <v>19870</v>
      </c>
      <c r="B45" s="6" t="str">
        <f>IMAGE("https://storage.googleapis.com/acdb/fossils/FtrFossilOphthalmosaurusB.png")</f>
        <v/>
      </c>
      <c r="C45" s="6" t="s">
        <v>37</v>
      </c>
      <c r="D45" s="6">
        <v>2000.0</v>
      </c>
      <c r="E45" s="5" t="s">
        <v>39</v>
      </c>
      <c r="F45" s="5" t="s">
        <v>39</v>
      </c>
      <c r="G45" s="5" t="s">
        <v>214</v>
      </c>
      <c r="H45" s="5" t="s">
        <v>19765</v>
      </c>
      <c r="I45" s="6" t="s">
        <v>42</v>
      </c>
      <c r="J45" s="5" t="s">
        <v>36</v>
      </c>
      <c r="K45" s="5" t="s">
        <v>48</v>
      </c>
      <c r="L45" s="5" t="s">
        <v>19874</v>
      </c>
      <c r="M45" s="6">
        <v>193.0</v>
      </c>
    </row>
    <row r="46" ht="56.25" customHeight="1">
      <c r="A46" s="5" t="s">
        <v>19875</v>
      </c>
      <c r="B46" s="6" t="str">
        <f>IMAGE("https://storage.googleapis.com/acdb/fossils/FtrFossilPachycephalosaurusA.png")</f>
        <v/>
      </c>
      <c r="C46" s="6" t="s">
        <v>37</v>
      </c>
      <c r="D46" s="6">
        <v>4000.0</v>
      </c>
      <c r="E46" s="5" t="s">
        <v>39</v>
      </c>
      <c r="F46" s="5" t="s">
        <v>39</v>
      </c>
      <c r="G46" s="5" t="s">
        <v>214</v>
      </c>
      <c r="H46" s="5" t="s">
        <v>19765</v>
      </c>
      <c r="I46" s="6" t="s">
        <v>42</v>
      </c>
      <c r="J46" s="5" t="s">
        <v>35</v>
      </c>
      <c r="K46" s="5" t="s">
        <v>48</v>
      </c>
      <c r="L46" s="5" t="s">
        <v>19879</v>
      </c>
      <c r="M46" s="6">
        <v>198.0</v>
      </c>
    </row>
    <row r="47" ht="56.25" customHeight="1">
      <c r="A47" s="5" t="s">
        <v>19880</v>
      </c>
      <c r="B47" s="6" t="str">
        <f>IMAGE("https://storage.googleapis.com/acdb/fossils/FtrFossilPachycephalosaurusB.png")</f>
        <v/>
      </c>
      <c r="C47" s="6" t="s">
        <v>37</v>
      </c>
      <c r="D47" s="6">
        <v>3500.0</v>
      </c>
      <c r="E47" s="5" t="s">
        <v>39</v>
      </c>
      <c r="F47" s="5" t="s">
        <v>39</v>
      </c>
      <c r="G47" s="5" t="s">
        <v>214</v>
      </c>
      <c r="H47" s="5" t="s">
        <v>19765</v>
      </c>
      <c r="I47" s="6" t="s">
        <v>42</v>
      </c>
      <c r="J47" s="5" t="s">
        <v>36</v>
      </c>
      <c r="K47" s="5" t="s">
        <v>48</v>
      </c>
      <c r="L47" s="5" t="s">
        <v>19884</v>
      </c>
      <c r="M47" s="6">
        <v>199.0</v>
      </c>
    </row>
    <row r="48" ht="56.25" customHeight="1">
      <c r="A48" s="5" t="s">
        <v>19885</v>
      </c>
      <c r="B48" s="6" t="str">
        <f>IMAGE("https://storage.googleapis.com/acdb/fossils/FtrFossilParasaurolophusA.png")</f>
        <v/>
      </c>
      <c r="C48" s="6" t="s">
        <v>37</v>
      </c>
      <c r="D48" s="6">
        <v>3500.0</v>
      </c>
      <c r="E48" s="5" t="s">
        <v>39</v>
      </c>
      <c r="F48" s="5" t="s">
        <v>39</v>
      </c>
      <c r="G48" s="5" t="s">
        <v>214</v>
      </c>
      <c r="H48" s="5" t="s">
        <v>19765</v>
      </c>
      <c r="I48" s="6" t="s">
        <v>42</v>
      </c>
      <c r="J48" s="5" t="s">
        <v>36</v>
      </c>
      <c r="K48" s="5" t="s">
        <v>48</v>
      </c>
      <c r="L48" s="5" t="s">
        <v>19890</v>
      </c>
      <c r="M48" s="6">
        <v>202.0</v>
      </c>
    </row>
    <row r="49" ht="56.25" customHeight="1">
      <c r="A49" s="5" t="s">
        <v>19892</v>
      </c>
      <c r="B49" s="6" t="str">
        <f>IMAGE("https://storage.googleapis.com/acdb/fossils/FtrFossilParasaurolophusC.png")</f>
        <v/>
      </c>
      <c r="C49" s="6" t="s">
        <v>37</v>
      </c>
      <c r="D49" s="6">
        <v>2500.0</v>
      </c>
      <c r="E49" s="5" t="s">
        <v>39</v>
      </c>
      <c r="F49" s="5" t="s">
        <v>39</v>
      </c>
      <c r="G49" s="5" t="s">
        <v>214</v>
      </c>
      <c r="H49" s="5" t="s">
        <v>19765</v>
      </c>
      <c r="I49" s="6" t="s">
        <v>42</v>
      </c>
      <c r="J49" s="5" t="s">
        <v>36</v>
      </c>
      <c r="K49" s="5" t="s">
        <v>48</v>
      </c>
      <c r="L49" s="5" t="s">
        <v>19895</v>
      </c>
      <c r="M49" s="6">
        <v>204.0</v>
      </c>
    </row>
    <row r="50" ht="56.25" customHeight="1">
      <c r="A50" s="5" t="s">
        <v>19897</v>
      </c>
      <c r="B50" s="6" t="str">
        <f>IMAGE("https://storage.googleapis.com/acdb/fossils/FtrFossilParasaurolophusB.png")</f>
        <v/>
      </c>
      <c r="C50" s="6" t="s">
        <v>37</v>
      </c>
      <c r="D50" s="6">
        <v>3000.0</v>
      </c>
      <c r="E50" s="5" t="s">
        <v>39</v>
      </c>
      <c r="F50" s="5" t="s">
        <v>39</v>
      </c>
      <c r="G50" s="5" t="s">
        <v>214</v>
      </c>
      <c r="H50" s="5" t="s">
        <v>19765</v>
      </c>
      <c r="I50" s="6" t="s">
        <v>42</v>
      </c>
      <c r="J50" s="5" t="s">
        <v>36</v>
      </c>
      <c r="K50" s="5" t="s">
        <v>48</v>
      </c>
      <c r="L50" s="5" t="s">
        <v>19900</v>
      </c>
      <c r="M50" s="6">
        <v>203.0</v>
      </c>
    </row>
    <row r="51" ht="56.25" customHeight="1">
      <c r="A51" s="5" t="s">
        <v>19902</v>
      </c>
      <c r="B51" s="6" t="str">
        <f>IMAGE("https://storage.googleapis.com/acdb/fossils/FtrFossilElasmosaurusB.png")</f>
        <v/>
      </c>
      <c r="C51" s="6" t="s">
        <v>37</v>
      </c>
      <c r="D51" s="6">
        <v>4500.0</v>
      </c>
      <c r="E51" s="5" t="s">
        <v>39</v>
      </c>
      <c r="F51" s="5" t="s">
        <v>39</v>
      </c>
      <c r="G51" s="5" t="s">
        <v>214</v>
      </c>
      <c r="H51" s="5" t="s">
        <v>19765</v>
      </c>
      <c r="I51" s="6" t="s">
        <v>42</v>
      </c>
      <c r="J51" s="5" t="s">
        <v>36</v>
      </c>
      <c r="K51" s="5" t="s">
        <v>48</v>
      </c>
      <c r="L51" s="5" t="s">
        <v>19905</v>
      </c>
      <c r="M51" s="6">
        <v>235.0</v>
      </c>
    </row>
    <row r="52" ht="56.25" customHeight="1">
      <c r="A52" s="5" t="s">
        <v>19907</v>
      </c>
      <c r="B52" s="6" t="str">
        <f>IMAGE("https://storage.googleapis.com/acdb/fossils/FtrFossilElasmosaurusA.png")</f>
        <v/>
      </c>
      <c r="C52" s="6" t="s">
        <v>37</v>
      </c>
      <c r="D52" s="6">
        <v>4000.0</v>
      </c>
      <c r="E52" s="5" t="s">
        <v>39</v>
      </c>
      <c r="F52" s="5" t="s">
        <v>39</v>
      </c>
      <c r="G52" s="5" t="s">
        <v>214</v>
      </c>
      <c r="H52" s="5" t="s">
        <v>19765</v>
      </c>
      <c r="I52" s="6" t="s">
        <v>42</v>
      </c>
      <c r="J52" s="5" t="s">
        <v>36</v>
      </c>
      <c r="K52" s="5" t="s">
        <v>48</v>
      </c>
      <c r="L52" s="5" t="s">
        <v>19910</v>
      </c>
      <c r="M52" s="6">
        <v>234.0</v>
      </c>
    </row>
    <row r="53" ht="56.25" customHeight="1">
      <c r="A53" s="5" t="s">
        <v>19911</v>
      </c>
      <c r="B53" s="6" t="str">
        <f>IMAGE("https://storage.googleapis.com/acdb/fossils/FtrFossilElasmosaurusC.png")</f>
        <v/>
      </c>
      <c r="C53" s="6" t="s">
        <v>37</v>
      </c>
      <c r="D53" s="6">
        <v>4500.0</v>
      </c>
      <c r="E53" s="5" t="s">
        <v>39</v>
      </c>
      <c r="F53" s="5" t="s">
        <v>39</v>
      </c>
      <c r="G53" s="5" t="s">
        <v>214</v>
      </c>
      <c r="H53" s="5" t="s">
        <v>19765</v>
      </c>
      <c r="I53" s="6" t="s">
        <v>42</v>
      </c>
      <c r="J53" s="5" t="s">
        <v>36</v>
      </c>
      <c r="K53" s="5" t="s">
        <v>48</v>
      </c>
      <c r="L53" s="5" t="s">
        <v>19914</v>
      </c>
      <c r="M53" s="6">
        <v>236.0</v>
      </c>
    </row>
    <row r="54" ht="56.25" customHeight="1">
      <c r="A54" s="5" t="s">
        <v>19915</v>
      </c>
      <c r="B54" s="6" t="str">
        <f>IMAGE("https://storage.googleapis.com/acdb/fossils/FtrFossilPteranodonA.png")</f>
        <v/>
      </c>
      <c r="C54" s="6" t="s">
        <v>37</v>
      </c>
      <c r="D54" s="6">
        <v>4000.0</v>
      </c>
      <c r="E54" s="5" t="s">
        <v>39</v>
      </c>
      <c r="F54" s="5" t="s">
        <v>39</v>
      </c>
      <c r="G54" s="5" t="s">
        <v>214</v>
      </c>
      <c r="H54" s="5" t="s">
        <v>19765</v>
      </c>
      <c r="I54" s="6" t="s">
        <v>42</v>
      </c>
      <c r="J54" s="5" t="s">
        <v>36</v>
      </c>
      <c r="K54" s="5" t="s">
        <v>48</v>
      </c>
      <c r="L54" s="5" t="s">
        <v>19918</v>
      </c>
      <c r="M54" s="6">
        <v>206.0</v>
      </c>
    </row>
    <row r="55" ht="56.25" customHeight="1">
      <c r="A55" s="5" t="s">
        <v>19920</v>
      </c>
      <c r="B55" s="6" t="str">
        <f>IMAGE("https://storage.googleapis.com/acdb/fossils/FtrFossilQuetzalcoatlusA.png")</f>
        <v/>
      </c>
      <c r="C55" s="6" t="s">
        <v>37</v>
      </c>
      <c r="D55" s="6">
        <v>4500.0</v>
      </c>
      <c r="E55" s="5" t="s">
        <v>39</v>
      </c>
      <c r="F55" s="5" t="s">
        <v>39</v>
      </c>
      <c r="G55" s="5" t="s">
        <v>214</v>
      </c>
      <c r="H55" s="5" t="s">
        <v>19765</v>
      </c>
      <c r="I55" s="6" t="s">
        <v>42</v>
      </c>
      <c r="J55" s="5" t="s">
        <v>36</v>
      </c>
      <c r="K55" s="5" t="s">
        <v>48</v>
      </c>
      <c r="L55" s="5" t="s">
        <v>19923</v>
      </c>
      <c r="M55" s="6">
        <v>4697.0</v>
      </c>
    </row>
    <row r="56" ht="56.25" customHeight="1">
      <c r="A56" s="5" t="s">
        <v>19924</v>
      </c>
      <c r="B56" s="6" t="str">
        <f>IMAGE("https://storage.googleapis.com/acdb/fossils/FtrFossilMegalocerosA.png")</f>
        <v/>
      </c>
      <c r="C56" s="6" t="s">
        <v>37</v>
      </c>
      <c r="D56" s="6">
        <v>5500.0</v>
      </c>
      <c r="E56" s="5" t="s">
        <v>38</v>
      </c>
      <c r="F56" s="5" t="s">
        <v>39</v>
      </c>
      <c r="G56" s="5" t="s">
        <v>214</v>
      </c>
      <c r="H56" s="5" t="s">
        <v>19765</v>
      </c>
      <c r="I56" s="6" t="s">
        <v>42</v>
      </c>
      <c r="J56" s="5" t="s">
        <v>36</v>
      </c>
      <c r="K56" s="5" t="s">
        <v>48</v>
      </c>
      <c r="L56" s="5" t="s">
        <v>19926</v>
      </c>
      <c r="M56" s="6">
        <v>4658.0</v>
      </c>
    </row>
    <row r="57" ht="56.25" customHeight="1">
      <c r="A57" s="5" t="s">
        <v>19927</v>
      </c>
      <c r="B57" s="6" t="str">
        <f>IMAGE("https://storage.googleapis.com/acdb/fossils/FtrFossilPteranodonB.png")</f>
        <v/>
      </c>
      <c r="C57" s="6" t="s">
        <v>37</v>
      </c>
      <c r="D57" s="6">
        <v>4500.0</v>
      </c>
      <c r="E57" s="5" t="s">
        <v>39</v>
      </c>
      <c r="F57" s="5" t="s">
        <v>39</v>
      </c>
      <c r="G57" s="5" t="s">
        <v>214</v>
      </c>
      <c r="H57" s="5" t="s">
        <v>19765</v>
      </c>
      <c r="I57" s="6" t="s">
        <v>42</v>
      </c>
      <c r="J57" s="5" t="s">
        <v>36</v>
      </c>
      <c r="K57" s="5" t="s">
        <v>48</v>
      </c>
      <c r="L57" s="5" t="s">
        <v>19930</v>
      </c>
      <c r="M57" s="6">
        <v>207.0</v>
      </c>
    </row>
    <row r="58" ht="56.25" customHeight="1">
      <c r="A58" s="5" t="s">
        <v>19931</v>
      </c>
      <c r="B58" s="6" t="str">
        <f>IMAGE("https://storage.googleapis.com/acdb/fossils/FtrFossilQuetzalcoatlusB.png")</f>
        <v/>
      </c>
      <c r="C58" s="6" t="s">
        <v>37</v>
      </c>
      <c r="D58" s="6">
        <v>5000.0</v>
      </c>
      <c r="E58" s="5" t="s">
        <v>39</v>
      </c>
      <c r="F58" s="5" t="s">
        <v>39</v>
      </c>
      <c r="G58" s="5" t="s">
        <v>214</v>
      </c>
      <c r="H58" s="5" t="s">
        <v>19765</v>
      </c>
      <c r="I58" s="6" t="s">
        <v>42</v>
      </c>
      <c r="J58" s="5" t="s">
        <v>36</v>
      </c>
      <c r="K58" s="5" t="s">
        <v>48</v>
      </c>
      <c r="L58" s="5" t="s">
        <v>19934</v>
      </c>
      <c r="M58" s="6">
        <v>4698.0</v>
      </c>
    </row>
    <row r="59" ht="56.25" customHeight="1">
      <c r="A59" s="5" t="s">
        <v>19935</v>
      </c>
      <c r="B59" s="6" t="str">
        <f>IMAGE("https://storage.googleapis.com/acdb/fossils/FtrFossilSmilodonA.png")</f>
        <v/>
      </c>
      <c r="C59" s="6" t="s">
        <v>37</v>
      </c>
      <c r="D59" s="6">
        <v>2500.0</v>
      </c>
      <c r="E59" s="5" t="s">
        <v>39</v>
      </c>
      <c r="F59" s="5" t="s">
        <v>39</v>
      </c>
      <c r="G59" s="5" t="s">
        <v>214</v>
      </c>
      <c r="H59" s="5" t="s">
        <v>19765</v>
      </c>
      <c r="I59" s="6" t="s">
        <v>42</v>
      </c>
      <c r="J59" s="5" t="s">
        <v>36</v>
      </c>
      <c r="K59" s="5" t="s">
        <v>48</v>
      </c>
      <c r="L59" s="5" t="s">
        <v>19938</v>
      </c>
      <c r="M59" s="6">
        <v>213.0</v>
      </c>
    </row>
    <row r="60" ht="56.25" customHeight="1">
      <c r="A60" s="5" t="s">
        <v>19939</v>
      </c>
      <c r="B60" s="6" t="str">
        <f>IMAGE("https://storage.googleapis.com/acdb/fossils/FtrFossilSmilodonB.png")</f>
        <v/>
      </c>
      <c r="C60" s="6" t="s">
        <v>37</v>
      </c>
      <c r="D60" s="6">
        <v>2000.0</v>
      </c>
      <c r="E60" s="5" t="s">
        <v>39</v>
      </c>
      <c r="F60" s="5" t="s">
        <v>39</v>
      </c>
      <c r="G60" s="5" t="s">
        <v>214</v>
      </c>
      <c r="H60" s="5" t="s">
        <v>19765</v>
      </c>
      <c r="I60" s="6" t="s">
        <v>42</v>
      </c>
      <c r="J60" s="5" t="s">
        <v>36</v>
      </c>
      <c r="K60" s="5" t="s">
        <v>48</v>
      </c>
      <c r="L60" s="5" t="s">
        <v>19942</v>
      </c>
      <c r="M60" s="6">
        <v>214.0</v>
      </c>
    </row>
    <row r="61" ht="56.25" customHeight="1">
      <c r="A61" s="5" t="s">
        <v>19943</v>
      </c>
      <c r="B61" s="6" t="str">
        <f>IMAGE("https://storage.googleapis.com/acdb/fossils/FtrFossilShark.png")</f>
        <v/>
      </c>
      <c r="C61" s="6" t="s">
        <v>37</v>
      </c>
      <c r="D61" s="6">
        <v>1000.0</v>
      </c>
      <c r="E61" s="5" t="s">
        <v>38</v>
      </c>
      <c r="F61" s="5" t="s">
        <v>39</v>
      </c>
      <c r="G61" s="5" t="s">
        <v>40</v>
      </c>
      <c r="H61" s="5" t="s">
        <v>19765</v>
      </c>
      <c r="I61" s="6" t="s">
        <v>42</v>
      </c>
      <c r="J61" s="5" t="s">
        <v>36</v>
      </c>
      <c r="K61" s="5" t="s">
        <v>48</v>
      </c>
      <c r="L61" s="5" t="s">
        <v>19945</v>
      </c>
      <c r="M61" s="6">
        <v>302.0</v>
      </c>
    </row>
    <row r="62" ht="56.25" customHeight="1">
      <c r="A62" s="5" t="s">
        <v>19946</v>
      </c>
      <c r="B62" s="6" t="str">
        <f>IMAGE("https://storage.googleapis.com/acdb/fossils/FtrFossilSpinosaurusA.png")</f>
        <v/>
      </c>
      <c r="C62" s="6" t="s">
        <v>37</v>
      </c>
      <c r="D62" s="6">
        <v>4000.0</v>
      </c>
      <c r="E62" s="5" t="s">
        <v>39</v>
      </c>
      <c r="F62" s="5" t="s">
        <v>39</v>
      </c>
      <c r="G62" s="5" t="s">
        <v>214</v>
      </c>
      <c r="H62" s="5" t="s">
        <v>19765</v>
      </c>
      <c r="I62" s="6" t="s">
        <v>42</v>
      </c>
      <c r="J62" s="5" t="s">
        <v>35</v>
      </c>
      <c r="K62" s="5" t="s">
        <v>48</v>
      </c>
      <c r="L62" s="5" t="s">
        <v>19949</v>
      </c>
      <c r="M62" s="6">
        <v>222.0</v>
      </c>
    </row>
    <row r="63" ht="56.25" customHeight="1">
      <c r="A63" s="5" t="s">
        <v>19950</v>
      </c>
      <c r="B63" s="6" t="str">
        <f>IMAGE("https://storage.googleapis.com/acdb/fossils/FtrFossilSpinosaurusC.png")</f>
        <v/>
      </c>
      <c r="C63" s="6" t="s">
        <v>37</v>
      </c>
      <c r="D63" s="6">
        <v>2500.0</v>
      </c>
      <c r="E63" s="5" t="s">
        <v>39</v>
      </c>
      <c r="F63" s="5" t="s">
        <v>39</v>
      </c>
      <c r="G63" s="5" t="s">
        <v>214</v>
      </c>
      <c r="H63" s="5" t="s">
        <v>19765</v>
      </c>
      <c r="I63" s="6" t="s">
        <v>42</v>
      </c>
      <c r="J63" s="5" t="s">
        <v>36</v>
      </c>
      <c r="K63" s="5" t="s">
        <v>48</v>
      </c>
      <c r="L63" s="5" t="s">
        <v>19953</v>
      </c>
      <c r="M63" s="6">
        <v>224.0</v>
      </c>
    </row>
    <row r="64" ht="56.25" customHeight="1">
      <c r="A64" s="5" t="s">
        <v>19954</v>
      </c>
      <c r="B64" s="6" t="str">
        <f>IMAGE("https://storage.googleapis.com/acdb/fossils/FtrFossilSpinosaurusB.png")</f>
        <v/>
      </c>
      <c r="C64" s="6" t="s">
        <v>37</v>
      </c>
      <c r="D64" s="6">
        <v>3000.0</v>
      </c>
      <c r="E64" s="5" t="s">
        <v>39</v>
      </c>
      <c r="F64" s="5" t="s">
        <v>39</v>
      </c>
      <c r="G64" s="5" t="s">
        <v>214</v>
      </c>
      <c r="H64" s="5" t="s">
        <v>19765</v>
      </c>
      <c r="I64" s="6" t="s">
        <v>42</v>
      </c>
      <c r="J64" s="5" t="s">
        <v>36</v>
      </c>
      <c r="K64" s="5" t="s">
        <v>48</v>
      </c>
      <c r="L64" s="5" t="s">
        <v>19959</v>
      </c>
      <c r="M64" s="6">
        <v>223.0</v>
      </c>
    </row>
    <row r="65" ht="56.25" customHeight="1">
      <c r="A65" s="5" t="s">
        <v>19961</v>
      </c>
      <c r="B65" s="6" t="str">
        <f>IMAGE("https://storage.googleapis.com/acdb/fossils/FtrFossilStegosaurusA.png")</f>
        <v/>
      </c>
      <c r="C65" s="6" t="s">
        <v>37</v>
      </c>
      <c r="D65" s="6">
        <v>5000.0</v>
      </c>
      <c r="E65" s="5" t="s">
        <v>39</v>
      </c>
      <c r="F65" s="5" t="s">
        <v>39</v>
      </c>
      <c r="G65" s="5" t="s">
        <v>214</v>
      </c>
      <c r="H65" s="5" t="s">
        <v>19765</v>
      </c>
      <c r="I65" s="6" t="s">
        <v>42</v>
      </c>
      <c r="J65" s="5" t="s">
        <v>36</v>
      </c>
      <c r="K65" s="5" t="s">
        <v>48</v>
      </c>
      <c r="L65" s="5" t="s">
        <v>19964</v>
      </c>
      <c r="M65" s="6">
        <v>226.0</v>
      </c>
    </row>
    <row r="66" ht="56.25" customHeight="1">
      <c r="A66" s="5" t="s">
        <v>19965</v>
      </c>
      <c r="B66" s="6" t="str">
        <f>IMAGE("https://storage.googleapis.com/acdb/fossils/FtrFossilStegosaurusC.png")</f>
        <v/>
      </c>
      <c r="C66" s="6" t="s">
        <v>37</v>
      </c>
      <c r="D66" s="6">
        <v>4000.0</v>
      </c>
      <c r="E66" s="5" t="s">
        <v>39</v>
      </c>
      <c r="F66" s="5" t="s">
        <v>39</v>
      </c>
      <c r="G66" s="5" t="s">
        <v>214</v>
      </c>
      <c r="H66" s="5" t="s">
        <v>19765</v>
      </c>
      <c r="I66" s="6" t="s">
        <v>42</v>
      </c>
      <c r="J66" s="5" t="s">
        <v>36</v>
      </c>
      <c r="K66" s="5" t="s">
        <v>48</v>
      </c>
      <c r="L66" s="5" t="s">
        <v>19967</v>
      </c>
      <c r="M66" s="6">
        <v>228.0</v>
      </c>
    </row>
    <row r="67" ht="56.25" customHeight="1">
      <c r="A67" s="5" t="s">
        <v>19969</v>
      </c>
      <c r="B67" s="6" t="str">
        <f>IMAGE("https://storage.googleapis.com/acdb/fossils/FtrFossilStegosaurusB.png")</f>
        <v/>
      </c>
      <c r="C67" s="6" t="s">
        <v>37</v>
      </c>
      <c r="D67" s="6">
        <v>4500.0</v>
      </c>
      <c r="E67" s="5" t="s">
        <v>39</v>
      </c>
      <c r="F67" s="5" t="s">
        <v>39</v>
      </c>
      <c r="G67" s="5" t="s">
        <v>214</v>
      </c>
      <c r="H67" s="5" t="s">
        <v>19765</v>
      </c>
      <c r="I67" s="6" t="s">
        <v>42</v>
      </c>
      <c r="J67" s="5" t="s">
        <v>36</v>
      </c>
      <c r="K67" s="5" t="s">
        <v>48</v>
      </c>
      <c r="L67" s="5" t="s">
        <v>19973</v>
      </c>
      <c r="M67" s="6">
        <v>227.0</v>
      </c>
    </row>
    <row r="68" ht="56.25" customHeight="1">
      <c r="A68" s="5" t="s">
        <v>19974</v>
      </c>
      <c r="B68" s="6" t="str">
        <f>IMAGE("https://storage.googleapis.com/acdb/fossils/FtrFossilTRexA.png")</f>
        <v/>
      </c>
      <c r="C68" s="6" t="s">
        <v>37</v>
      </c>
      <c r="D68" s="6">
        <v>6000.0</v>
      </c>
      <c r="E68" s="5" t="s">
        <v>39</v>
      </c>
      <c r="F68" s="5" t="s">
        <v>39</v>
      </c>
      <c r="G68" s="5" t="s">
        <v>214</v>
      </c>
      <c r="H68" s="5" t="s">
        <v>19765</v>
      </c>
      <c r="I68" s="6" t="s">
        <v>42</v>
      </c>
      <c r="J68" s="5" t="s">
        <v>35</v>
      </c>
      <c r="K68" s="5" t="s">
        <v>48</v>
      </c>
      <c r="L68" s="5" t="s">
        <v>19977</v>
      </c>
      <c r="M68" s="6">
        <v>238.0</v>
      </c>
    </row>
    <row r="69" ht="56.25" customHeight="1">
      <c r="A69" s="5" t="s">
        <v>19978</v>
      </c>
      <c r="B69" s="6" t="str">
        <f>IMAGE("https://storage.googleapis.com/acdb/fossils/FtrFossilTRexC.png")</f>
        <v/>
      </c>
      <c r="C69" s="6" t="s">
        <v>37</v>
      </c>
      <c r="D69" s="6">
        <v>5000.0</v>
      </c>
      <c r="E69" s="5" t="s">
        <v>39</v>
      </c>
      <c r="F69" s="5" t="s">
        <v>39</v>
      </c>
      <c r="G69" s="5" t="s">
        <v>214</v>
      </c>
      <c r="H69" s="5" t="s">
        <v>19765</v>
      </c>
      <c r="I69" s="6" t="s">
        <v>42</v>
      </c>
      <c r="J69" s="5" t="s">
        <v>36</v>
      </c>
      <c r="K69" s="5" t="s">
        <v>48</v>
      </c>
      <c r="L69" s="5" t="s">
        <v>19981</v>
      </c>
      <c r="M69" s="6">
        <v>240.0</v>
      </c>
    </row>
    <row r="70" ht="56.25" customHeight="1">
      <c r="A70" s="5" t="s">
        <v>19982</v>
      </c>
      <c r="B70" s="6" t="str">
        <f>IMAGE("https://storage.googleapis.com/acdb/fossils/FtrFossilTRexB.png")</f>
        <v/>
      </c>
      <c r="C70" s="6" t="s">
        <v>37</v>
      </c>
      <c r="D70" s="6">
        <v>5500.0</v>
      </c>
      <c r="E70" s="5" t="s">
        <v>39</v>
      </c>
      <c r="F70" s="5" t="s">
        <v>39</v>
      </c>
      <c r="G70" s="5" t="s">
        <v>214</v>
      </c>
      <c r="H70" s="5" t="s">
        <v>19765</v>
      </c>
      <c r="I70" s="6" t="s">
        <v>42</v>
      </c>
      <c r="J70" s="5" t="s">
        <v>36</v>
      </c>
      <c r="K70" s="5" t="s">
        <v>48</v>
      </c>
      <c r="L70" s="5" t="s">
        <v>19985</v>
      </c>
      <c r="M70" s="6">
        <v>239.0</v>
      </c>
    </row>
    <row r="71" ht="56.25" customHeight="1">
      <c r="A71" s="5" t="s">
        <v>19986</v>
      </c>
      <c r="B71" s="6" t="str">
        <f>IMAGE("https://storage.googleapis.com/acdb/fossils/FtrFossilTriceratopsA.png")</f>
        <v/>
      </c>
      <c r="C71" s="6" t="s">
        <v>37</v>
      </c>
      <c r="D71" s="6">
        <v>5500.0</v>
      </c>
      <c r="E71" s="5" t="s">
        <v>39</v>
      </c>
      <c r="F71" s="5" t="s">
        <v>39</v>
      </c>
      <c r="G71" s="5" t="s">
        <v>214</v>
      </c>
      <c r="H71" s="5" t="s">
        <v>19765</v>
      </c>
      <c r="I71" s="6" t="s">
        <v>42</v>
      </c>
      <c r="J71" s="5" t="s">
        <v>35</v>
      </c>
      <c r="K71" s="5" t="s">
        <v>48</v>
      </c>
      <c r="L71" s="5" t="s">
        <v>19989</v>
      </c>
      <c r="M71" s="6">
        <v>242.0</v>
      </c>
    </row>
    <row r="72" ht="56.25" customHeight="1">
      <c r="A72" s="5" t="s">
        <v>19990</v>
      </c>
      <c r="B72" s="6" t="str">
        <f>IMAGE("https://storage.googleapis.com/acdb/fossils/FtrFossilTriceratopsC.png")</f>
        <v/>
      </c>
      <c r="C72" s="6" t="s">
        <v>37</v>
      </c>
      <c r="D72" s="6">
        <v>4500.0</v>
      </c>
      <c r="E72" s="5" t="s">
        <v>39</v>
      </c>
      <c r="F72" s="5" t="s">
        <v>39</v>
      </c>
      <c r="G72" s="5" t="s">
        <v>214</v>
      </c>
      <c r="H72" s="5" t="s">
        <v>19765</v>
      </c>
      <c r="I72" s="6" t="s">
        <v>42</v>
      </c>
      <c r="J72" s="5" t="s">
        <v>36</v>
      </c>
      <c r="K72" s="5" t="s">
        <v>48</v>
      </c>
      <c r="L72" s="5" t="s">
        <v>19992</v>
      </c>
      <c r="M72" s="6">
        <v>244.0</v>
      </c>
    </row>
    <row r="73" ht="56.25" customHeight="1">
      <c r="A73" s="5" t="s">
        <v>19993</v>
      </c>
      <c r="B73" s="6" t="str">
        <f>IMAGE("https://storage.googleapis.com/acdb/fossils/FtrFossilTriceratopsB.png")</f>
        <v/>
      </c>
      <c r="C73" s="6" t="s">
        <v>37</v>
      </c>
      <c r="D73" s="6">
        <v>5000.0</v>
      </c>
      <c r="E73" s="5" t="s">
        <v>39</v>
      </c>
      <c r="F73" s="5" t="s">
        <v>39</v>
      </c>
      <c r="G73" s="5" t="s">
        <v>214</v>
      </c>
      <c r="H73" s="5" t="s">
        <v>19765</v>
      </c>
      <c r="I73" s="6" t="s">
        <v>42</v>
      </c>
      <c r="J73" s="5" t="s">
        <v>36</v>
      </c>
      <c r="K73" s="5" t="s">
        <v>48</v>
      </c>
      <c r="L73" s="5" t="s">
        <v>19997</v>
      </c>
      <c r="M73" s="6">
        <v>243.0</v>
      </c>
    </row>
    <row r="74" ht="56.25" customHeight="1">
      <c r="A74" s="5" t="s">
        <v>19998</v>
      </c>
      <c r="B74" s="6" t="str">
        <f>IMAGE("https://storage.googleapis.com/acdb/fossils/FtrFossilTrilobite.png")</f>
        <v/>
      </c>
      <c r="C74" s="6" t="s">
        <v>37</v>
      </c>
      <c r="D74" s="6">
        <v>1300.0</v>
      </c>
      <c r="E74" s="5" t="s">
        <v>38</v>
      </c>
      <c r="F74" s="5" t="s">
        <v>39</v>
      </c>
      <c r="G74" s="5" t="s">
        <v>40</v>
      </c>
      <c r="H74" s="5" t="s">
        <v>19765</v>
      </c>
      <c r="I74" s="6" t="s">
        <v>42</v>
      </c>
      <c r="J74" s="5" t="s">
        <v>36</v>
      </c>
      <c r="K74" s="5" t="s">
        <v>48</v>
      </c>
      <c r="L74" s="5" t="s">
        <v>20001</v>
      </c>
      <c r="M74" s="6">
        <v>303.0</v>
      </c>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2" width="10.86"/>
    <col customWidth="1" min="3" max="3" width="5.86"/>
    <col customWidth="1" min="4" max="4" width="13.0"/>
    <col customWidth="1" min="5" max="5" width="12.29"/>
  </cols>
  <sheetData>
    <row r="1" ht="26.25" customHeight="1">
      <c r="A1" s="1" t="s">
        <v>19866</v>
      </c>
      <c r="B1" s="2" t="s">
        <v>1</v>
      </c>
      <c r="C1" s="2" t="s">
        <v>10</v>
      </c>
      <c r="D1" s="1" t="s">
        <v>19118</v>
      </c>
      <c r="E1" s="1" t="s">
        <v>15</v>
      </c>
    </row>
    <row r="2" ht="56.25" customHeight="1">
      <c r="A2" s="5" t="s">
        <v>19867</v>
      </c>
      <c r="B2" s="6" t="str">
        <f>image("https://i.imgur.com/wfqkJP4.png")</f>
        <v/>
      </c>
      <c r="C2" s="6">
        <v>198000.0</v>
      </c>
      <c r="D2" s="5" t="s">
        <v>19866</v>
      </c>
      <c r="E2" s="5" t="s">
        <v>19871</v>
      </c>
    </row>
    <row r="3" ht="56.25" customHeight="1">
      <c r="A3" s="5" t="s">
        <v>19872</v>
      </c>
      <c r="B3" s="6" t="str">
        <f>image("https://i.imgur.com/HtcyceK.png")</f>
        <v/>
      </c>
      <c r="C3" s="6">
        <v>228000.0</v>
      </c>
      <c r="D3" s="5" t="s">
        <v>19866</v>
      </c>
      <c r="E3" s="5" t="s">
        <v>19871</v>
      </c>
    </row>
    <row r="4" ht="56.25" customHeight="1">
      <c r="A4" s="5" t="s">
        <v>19873</v>
      </c>
      <c r="B4" s="6" t="str">
        <f>image("https://i.imgur.com/L2DBxtY.png")</f>
        <v/>
      </c>
      <c r="C4" s="6">
        <v>98000.0</v>
      </c>
      <c r="D4" s="5" t="s">
        <v>19866</v>
      </c>
      <c r="E4" s="5" t="s">
        <v>19871</v>
      </c>
    </row>
    <row r="5" ht="56.25" customHeight="1">
      <c r="A5" s="5" t="s">
        <v>19876</v>
      </c>
      <c r="B5" s="6" t="str">
        <f>image("https://i.imgur.com/OX10za8.png")</f>
        <v/>
      </c>
      <c r="C5" s="6">
        <v>228000.0</v>
      </c>
      <c r="D5" s="5" t="s">
        <v>19866</v>
      </c>
      <c r="E5" s="5" t="s">
        <v>19871</v>
      </c>
    </row>
    <row r="6" ht="56.25" customHeight="1">
      <c r="A6" s="5" t="s">
        <v>19877</v>
      </c>
      <c r="B6" s="6" t="str">
        <f>image("https://i.imgur.com/mFAMkfS.png")</f>
        <v/>
      </c>
      <c r="C6" s="6">
        <v>168000.0</v>
      </c>
      <c r="D6" s="5" t="s">
        <v>19866</v>
      </c>
      <c r="E6" s="5" t="s">
        <v>19871</v>
      </c>
    </row>
    <row r="7" ht="56.25" customHeight="1">
      <c r="A7" s="5" t="s">
        <v>19878</v>
      </c>
      <c r="B7" s="6" t="str">
        <f>image("https://i.imgur.com/JlSYdXq.png")</f>
        <v/>
      </c>
      <c r="C7" s="6">
        <v>129800.0</v>
      </c>
      <c r="D7" s="5" t="s">
        <v>19866</v>
      </c>
      <c r="E7" s="5" t="s">
        <v>19871</v>
      </c>
    </row>
    <row r="8" ht="56.25" customHeight="1">
      <c r="A8" s="5" t="s">
        <v>19881</v>
      </c>
      <c r="B8" s="6" t="str">
        <f>image("https://i.imgur.com/cEiL7Xr.png")</f>
        <v/>
      </c>
      <c r="C8" s="6">
        <v>168000.0</v>
      </c>
      <c r="D8" s="5" t="s">
        <v>19866</v>
      </c>
      <c r="E8" s="5" t="s">
        <v>19871</v>
      </c>
    </row>
    <row r="9" ht="56.25" customHeight="1">
      <c r="A9" s="5" t="s">
        <v>19882</v>
      </c>
      <c r="B9" s="6" t="str">
        <f>image("https://i.imgur.com/8tjpe5G.png")</f>
        <v/>
      </c>
      <c r="C9" s="6">
        <v>228000.0</v>
      </c>
      <c r="D9" s="5" t="s">
        <v>19866</v>
      </c>
      <c r="E9" s="5" t="s">
        <v>19871</v>
      </c>
    </row>
    <row r="10" ht="56.25" customHeight="1">
      <c r="A10" s="5" t="s">
        <v>19883</v>
      </c>
      <c r="B10" s="6" t="str">
        <f>image("https://i.imgur.com/baXVzWI.png")</f>
        <v/>
      </c>
      <c r="C10" s="6">
        <v>5000.0</v>
      </c>
      <c r="D10" s="5" t="s">
        <v>19886</v>
      </c>
      <c r="E10" s="5" t="s">
        <v>19887</v>
      </c>
    </row>
    <row r="11" ht="56.25" customHeight="1">
      <c r="A11" s="5" t="s">
        <v>19888</v>
      </c>
      <c r="B11" s="6" t="str">
        <f>image("https://i.imgur.com/qVLeFR9.png")</f>
        <v/>
      </c>
      <c r="C11" s="6">
        <v>5000.0</v>
      </c>
      <c r="D11" s="5" t="s">
        <v>19886</v>
      </c>
      <c r="E11" s="5" t="s">
        <v>19887</v>
      </c>
    </row>
    <row r="12" ht="56.25" customHeight="1">
      <c r="A12" s="5" t="s">
        <v>19889</v>
      </c>
      <c r="B12" s="6" t="str">
        <f>image("https://i.imgur.com/pSZXpQx.png")</f>
        <v/>
      </c>
      <c r="C12" s="6">
        <v>5000.0</v>
      </c>
      <c r="D12" s="5" t="s">
        <v>19886</v>
      </c>
      <c r="E12" s="5" t="s">
        <v>19887</v>
      </c>
    </row>
    <row r="13" ht="56.25" customHeight="1">
      <c r="A13" s="5" t="s">
        <v>19891</v>
      </c>
      <c r="B13" s="6" t="str">
        <f>image("https://i.imgur.com/p9AdIHH.png")</f>
        <v/>
      </c>
      <c r="C13" s="6">
        <v>5000.0</v>
      </c>
      <c r="D13" s="5" t="s">
        <v>19886</v>
      </c>
      <c r="E13" s="5" t="s">
        <v>19887</v>
      </c>
    </row>
    <row r="14" ht="56.25" customHeight="1">
      <c r="A14" s="5" t="s">
        <v>19893</v>
      </c>
      <c r="B14" s="6" t="str">
        <f>image("https://i.imgur.com/fH7aGv3.png")</f>
        <v/>
      </c>
      <c r="C14" s="6">
        <v>5000.0</v>
      </c>
      <c r="D14" s="5" t="s">
        <v>19886</v>
      </c>
      <c r="E14" s="5" t="s">
        <v>19887</v>
      </c>
    </row>
    <row r="15" ht="56.25" customHeight="1">
      <c r="A15" s="5" t="s">
        <v>19894</v>
      </c>
      <c r="B15" s="6" t="str">
        <f>image("https://i.imgur.com/9WgkE4q.png")</f>
        <v/>
      </c>
      <c r="C15" s="6">
        <v>5000.0</v>
      </c>
      <c r="D15" s="5" t="s">
        <v>19886</v>
      </c>
      <c r="E15" s="5" t="s">
        <v>19887</v>
      </c>
    </row>
    <row r="16" ht="56.25" customHeight="1">
      <c r="A16" s="5" t="s">
        <v>19896</v>
      </c>
      <c r="B16" s="6" t="str">
        <f>image("https://i.imgur.com/FiNPhBd.png")</f>
        <v/>
      </c>
      <c r="C16" s="6">
        <v>5000.0</v>
      </c>
      <c r="D16" s="5" t="s">
        <v>19886</v>
      </c>
      <c r="E16" s="5" t="s">
        <v>19887</v>
      </c>
    </row>
    <row r="17" ht="56.25" customHeight="1">
      <c r="A17" s="5" t="s">
        <v>19898</v>
      </c>
      <c r="B17" s="6" t="str">
        <f>image("https://i.imgur.com/wrhpUgI.png")</f>
        <v/>
      </c>
      <c r="C17" s="6">
        <v>5000.0</v>
      </c>
      <c r="D17" s="5" t="s">
        <v>19886</v>
      </c>
      <c r="E17" s="5" t="s">
        <v>19887</v>
      </c>
    </row>
    <row r="18" ht="56.25" customHeight="1">
      <c r="A18" s="5" t="s">
        <v>19899</v>
      </c>
      <c r="B18" s="6" t="str">
        <f>image("https://i.imgur.com/QxSPf6S.png")</f>
        <v/>
      </c>
      <c r="C18" s="6">
        <v>5000.0</v>
      </c>
      <c r="D18" s="5" t="s">
        <v>19886</v>
      </c>
      <c r="E18" s="5" t="s">
        <v>19887</v>
      </c>
    </row>
    <row r="19" ht="56.25" customHeight="1">
      <c r="A19" s="5" t="s">
        <v>19901</v>
      </c>
      <c r="B19" s="6" t="str">
        <f>image("https://i.imgur.com/z9kGZbt.png")</f>
        <v/>
      </c>
      <c r="C19" s="6">
        <v>5000.0</v>
      </c>
      <c r="D19" s="5" t="s">
        <v>19886</v>
      </c>
      <c r="E19" s="5" t="s">
        <v>19887</v>
      </c>
    </row>
    <row r="20" ht="56.25" customHeight="1">
      <c r="A20" s="5" t="s">
        <v>19903</v>
      </c>
      <c r="B20" s="6" t="str">
        <f>image("https://i.imgur.com/yTdRv84.png")</f>
        <v/>
      </c>
      <c r="C20" s="6">
        <v>5000.0</v>
      </c>
      <c r="D20" s="5" t="s">
        <v>19886</v>
      </c>
      <c r="E20" s="5" t="s">
        <v>19887</v>
      </c>
    </row>
    <row r="21" ht="56.25" customHeight="1">
      <c r="A21" s="5" t="s">
        <v>19904</v>
      </c>
      <c r="B21" s="6" t="str">
        <f>image("https://i.imgur.com/xIAHyFd.png")</f>
        <v/>
      </c>
      <c r="C21" s="6">
        <v>5000.0</v>
      </c>
      <c r="D21" s="5" t="s">
        <v>19886</v>
      </c>
      <c r="E21" s="5" t="s">
        <v>19887</v>
      </c>
    </row>
    <row r="22" ht="56.25" customHeight="1">
      <c r="A22" s="5" t="s">
        <v>19906</v>
      </c>
      <c r="B22" s="6" t="str">
        <f>image("https://i.imgur.com/3L7m5CK.png")</f>
        <v/>
      </c>
      <c r="C22" s="6">
        <v>5000.0</v>
      </c>
      <c r="D22" s="5" t="s">
        <v>19886</v>
      </c>
      <c r="E22" s="5" t="s">
        <v>19887</v>
      </c>
    </row>
    <row r="23" ht="56.25" customHeight="1">
      <c r="A23" s="5" t="s">
        <v>19908</v>
      </c>
      <c r="B23" s="6" t="str">
        <f>image("https://i.imgur.com/E81xkid.png")</f>
        <v/>
      </c>
      <c r="C23" s="6">
        <v>5000.0</v>
      </c>
      <c r="D23" s="5" t="s">
        <v>19886</v>
      </c>
      <c r="E23" s="5" t="s">
        <v>19887</v>
      </c>
    </row>
    <row r="24" ht="56.25" customHeight="1">
      <c r="A24" s="5" t="s">
        <v>19909</v>
      </c>
      <c r="B24" s="6" t="str">
        <f>image("https://i.imgur.com/79SrKz6.png")</f>
        <v/>
      </c>
      <c r="C24" s="6">
        <v>5000.0</v>
      </c>
      <c r="D24" s="5" t="s">
        <v>19886</v>
      </c>
      <c r="E24" s="5" t="s">
        <v>19887</v>
      </c>
    </row>
    <row r="25" ht="56.25" customHeight="1">
      <c r="A25" s="5" t="s">
        <v>19912</v>
      </c>
      <c r="B25" s="6" t="str">
        <f>image("https://i.imgur.com/eaxnzHr.png")</f>
        <v/>
      </c>
      <c r="C25" s="6">
        <v>5000.0</v>
      </c>
      <c r="D25" s="5" t="s">
        <v>19886</v>
      </c>
      <c r="E25" s="5" t="s">
        <v>19887</v>
      </c>
    </row>
    <row r="26" ht="56.25" customHeight="1">
      <c r="A26" s="5" t="s">
        <v>19916</v>
      </c>
      <c r="B26" s="6" t="str">
        <f>image("https://i.imgur.com/GHd5s88.png")</f>
        <v/>
      </c>
      <c r="C26" s="6">
        <v>5000.0</v>
      </c>
      <c r="D26" s="5" t="s">
        <v>19886</v>
      </c>
      <c r="E26" s="5" t="s">
        <v>19887</v>
      </c>
    </row>
    <row r="27" ht="56.25" customHeight="1">
      <c r="A27" s="5" t="s">
        <v>19917</v>
      </c>
      <c r="B27" s="6" t="str">
        <f>image("https://i.imgur.com/1EcGjna.png")</f>
        <v/>
      </c>
      <c r="C27" s="6">
        <v>5000.0</v>
      </c>
      <c r="D27" s="5" t="s">
        <v>19886</v>
      </c>
      <c r="E27" s="5" t="s">
        <v>19887</v>
      </c>
    </row>
    <row r="28" ht="56.25" customHeight="1">
      <c r="A28" s="5" t="s">
        <v>19919</v>
      </c>
      <c r="B28" s="6" t="str">
        <f>image("https://i.imgur.com/yeb6Z8x.png")</f>
        <v/>
      </c>
      <c r="C28" s="6">
        <v>5000.0</v>
      </c>
      <c r="D28" s="5" t="s">
        <v>19886</v>
      </c>
      <c r="E28" s="5" t="s">
        <v>19887</v>
      </c>
    </row>
    <row r="29" ht="56.25" customHeight="1">
      <c r="A29" s="5" t="s">
        <v>19921</v>
      </c>
      <c r="B29" s="6" t="str">
        <f>image("https://i.imgur.com/d44fSH9.png")</f>
        <v/>
      </c>
      <c r="C29" s="6">
        <v>5000.0</v>
      </c>
      <c r="D29" s="5" t="s">
        <v>19886</v>
      </c>
      <c r="E29" s="5" t="s">
        <v>19887</v>
      </c>
    </row>
    <row r="30" ht="56.25" customHeight="1">
      <c r="A30" s="5" t="s">
        <v>19922</v>
      </c>
      <c r="B30" s="6" t="str">
        <f>image("https://i.imgur.com/hdD6xY6.png")</f>
        <v/>
      </c>
      <c r="C30" s="6">
        <v>5000.0</v>
      </c>
      <c r="D30" s="5" t="s">
        <v>19886</v>
      </c>
      <c r="E30" s="5" t="s">
        <v>19887</v>
      </c>
    </row>
    <row r="31" ht="56.25" customHeight="1">
      <c r="A31" s="5" t="s">
        <v>19925</v>
      </c>
      <c r="B31" s="6" t="str">
        <f>image("https://i.imgur.com/NG8nTao.png")</f>
        <v/>
      </c>
      <c r="C31" s="6">
        <v>5000.0</v>
      </c>
      <c r="D31" s="5" t="s">
        <v>19886</v>
      </c>
      <c r="E31" s="5" t="s">
        <v>19887</v>
      </c>
    </row>
    <row r="32" ht="56.25" customHeight="1">
      <c r="A32" s="5" t="s">
        <v>19928</v>
      </c>
      <c r="B32" s="6" t="str">
        <f>image("https://i.imgur.com/JR1ZuEL.png")</f>
        <v/>
      </c>
      <c r="C32" s="6">
        <v>5000.0</v>
      </c>
      <c r="D32" s="5" t="s">
        <v>19886</v>
      </c>
      <c r="E32" s="5" t="s">
        <v>19887</v>
      </c>
    </row>
    <row r="33" ht="56.25" customHeight="1">
      <c r="A33" s="5" t="s">
        <v>19929</v>
      </c>
      <c r="B33" s="6" t="str">
        <f>image("https://i.imgur.com/XbCcLGK.png")</f>
        <v/>
      </c>
      <c r="C33" s="6">
        <v>5000.0</v>
      </c>
      <c r="D33" s="5" t="s">
        <v>19886</v>
      </c>
      <c r="E33" s="5" t="s">
        <v>19887</v>
      </c>
    </row>
    <row r="34" ht="56.25" customHeight="1">
      <c r="A34" s="5" t="s">
        <v>19933</v>
      </c>
      <c r="B34" s="6" t="str">
        <f>image("https://i.imgur.com/qdZy67u.png")</f>
        <v/>
      </c>
      <c r="C34" s="6">
        <v>5000.0</v>
      </c>
      <c r="D34" s="5" t="s">
        <v>19886</v>
      </c>
      <c r="E34" s="5" t="s">
        <v>19887</v>
      </c>
    </row>
    <row r="35" ht="56.25" customHeight="1">
      <c r="A35" s="5" t="s">
        <v>19936</v>
      </c>
      <c r="B35" s="6" t="str">
        <f>image("https://i.imgur.com/tbvBM9V.png")</f>
        <v/>
      </c>
      <c r="C35" s="6">
        <v>5000.0</v>
      </c>
      <c r="D35" s="5" t="s">
        <v>19886</v>
      </c>
      <c r="E35" s="5" t="s">
        <v>19887</v>
      </c>
    </row>
    <row r="36" ht="56.25" customHeight="1">
      <c r="A36" s="5" t="s">
        <v>19937</v>
      </c>
      <c r="B36" s="6" t="str">
        <f>image("https://i.imgur.com/O0JKCL0.png")</f>
        <v/>
      </c>
      <c r="C36" s="6">
        <v>5000.0</v>
      </c>
      <c r="D36" s="5" t="s">
        <v>19886</v>
      </c>
      <c r="E36" s="5" t="s">
        <v>19887</v>
      </c>
    </row>
    <row r="37" ht="56.25" customHeight="1">
      <c r="A37" s="5" t="s">
        <v>19940</v>
      </c>
      <c r="B37" s="6" t="str">
        <f>image("https://i.imgur.com/n30f4IS.png")</f>
        <v/>
      </c>
      <c r="C37" s="6">
        <v>5000.0</v>
      </c>
      <c r="D37" s="5" t="s">
        <v>19886</v>
      </c>
      <c r="E37" s="5" t="s">
        <v>19887</v>
      </c>
    </row>
    <row r="38" ht="56.25" customHeight="1">
      <c r="A38" s="5" t="s">
        <v>19941</v>
      </c>
      <c r="B38" s="6" t="str">
        <f>image("https://i.imgur.com/76wYE3H.png")</f>
        <v/>
      </c>
      <c r="C38" s="6">
        <v>5000.0</v>
      </c>
      <c r="D38" s="5" t="s">
        <v>19886</v>
      </c>
      <c r="E38" s="5" t="s">
        <v>19887</v>
      </c>
    </row>
    <row r="39" ht="56.25" customHeight="1">
      <c r="A39" s="5" t="s">
        <v>19944</v>
      </c>
      <c r="B39" s="6" t="str">
        <f>image("https://i.imgur.com/iHulGET.png")</f>
        <v/>
      </c>
      <c r="C39" s="6">
        <v>5000.0</v>
      </c>
      <c r="D39" s="5" t="s">
        <v>19886</v>
      </c>
      <c r="E39" s="5" t="s">
        <v>19887</v>
      </c>
    </row>
    <row r="40" ht="56.25" customHeight="1">
      <c r="A40" s="5" t="s">
        <v>19947</v>
      </c>
      <c r="B40" s="6" t="str">
        <f>image("https://i.imgur.com/T9xgKF8.png")</f>
        <v/>
      </c>
      <c r="C40" s="6">
        <v>5000.0</v>
      </c>
      <c r="D40" s="5" t="s">
        <v>19886</v>
      </c>
      <c r="E40" s="5" t="s">
        <v>19887</v>
      </c>
    </row>
    <row r="41" ht="56.25" customHeight="1">
      <c r="A41" s="5" t="s">
        <v>19948</v>
      </c>
      <c r="B41" s="6" t="str">
        <f>image("https://i.imgur.com/8HquqGH.png")</f>
        <v/>
      </c>
      <c r="C41" s="6">
        <v>5000.0</v>
      </c>
      <c r="D41" s="5" t="s">
        <v>19886</v>
      </c>
      <c r="E41" s="5" t="s">
        <v>19887</v>
      </c>
    </row>
    <row r="42" ht="56.25" customHeight="1">
      <c r="A42" s="5" t="s">
        <v>19951</v>
      </c>
      <c r="B42" s="6" t="str">
        <f>image("https://i.imgur.com/fsnXcjv.png")</f>
        <v/>
      </c>
      <c r="C42" s="6">
        <v>5000.0</v>
      </c>
      <c r="D42" s="5" t="s">
        <v>19886</v>
      </c>
      <c r="E42" s="5" t="s">
        <v>19887</v>
      </c>
    </row>
    <row r="43" ht="56.25" customHeight="1">
      <c r="A43" s="5" t="s">
        <v>19952</v>
      </c>
      <c r="B43" s="6" t="str">
        <f>image("https://i.imgur.com/f6fD6No.png")</f>
        <v/>
      </c>
      <c r="C43" s="6">
        <v>5000.0</v>
      </c>
      <c r="D43" s="5" t="s">
        <v>19886</v>
      </c>
      <c r="E43" s="5" t="s">
        <v>19887</v>
      </c>
    </row>
    <row r="44" ht="56.25" customHeight="1">
      <c r="A44" s="5" t="s">
        <v>19955</v>
      </c>
      <c r="B44" s="6" t="str">
        <f>image("https://i.imgur.com/ncFzAS9.png")</f>
        <v/>
      </c>
      <c r="C44" s="6">
        <v>5000.0</v>
      </c>
      <c r="D44" s="5" t="s">
        <v>19886</v>
      </c>
      <c r="E44" s="5" t="s">
        <v>19887</v>
      </c>
    </row>
    <row r="45" ht="56.25" customHeight="1">
      <c r="A45" s="5" t="s">
        <v>19956</v>
      </c>
      <c r="B45" s="6" t="str">
        <f>image("https://i.imgur.com/CY7OmOO.png")</f>
        <v/>
      </c>
      <c r="C45" s="6">
        <v>5000.0</v>
      </c>
      <c r="D45" s="5" t="s">
        <v>19886</v>
      </c>
      <c r="E45" s="5" t="s">
        <v>19887</v>
      </c>
    </row>
    <row r="46" ht="56.25" customHeight="1">
      <c r="A46" s="5" t="s">
        <v>19957</v>
      </c>
      <c r="B46" s="6" t="str">
        <f>image("https://i.imgur.com/VW0jTRe.png")</f>
        <v/>
      </c>
      <c r="C46" s="6">
        <v>5000.0</v>
      </c>
      <c r="D46" s="5" t="s">
        <v>19886</v>
      </c>
      <c r="E46" s="5" t="s">
        <v>19887</v>
      </c>
    </row>
    <row r="47" ht="56.25" customHeight="1">
      <c r="A47" s="5" t="s">
        <v>19960</v>
      </c>
      <c r="B47" s="6" t="str">
        <f>image("https://i.imgur.com/OHOCDaq.png")</f>
        <v/>
      </c>
      <c r="C47" s="6">
        <v>5000.0</v>
      </c>
      <c r="D47" s="5" t="s">
        <v>19886</v>
      </c>
      <c r="E47" s="5" t="s">
        <v>19887</v>
      </c>
    </row>
    <row r="48" ht="56.25" customHeight="1">
      <c r="A48" s="5" t="s">
        <v>19962</v>
      </c>
      <c r="B48" s="6" t="str">
        <f>image("https://i.imgur.com/JB4OMII.png")</f>
        <v/>
      </c>
      <c r="C48" s="6">
        <v>5000.0</v>
      </c>
      <c r="D48" s="5" t="s">
        <v>19886</v>
      </c>
      <c r="E48" s="5" t="s">
        <v>19887</v>
      </c>
    </row>
    <row r="49" ht="56.25" customHeight="1">
      <c r="A49" s="5" t="s">
        <v>19963</v>
      </c>
      <c r="B49" s="6" t="str">
        <f>image("https://i.imgur.com/rud06lw.png")</f>
        <v/>
      </c>
      <c r="C49" s="6">
        <v>5000.0</v>
      </c>
      <c r="D49" s="5" t="s">
        <v>19886</v>
      </c>
      <c r="E49" s="5" t="s">
        <v>19887</v>
      </c>
    </row>
    <row r="50" ht="56.25" customHeight="1">
      <c r="A50" s="5" t="s">
        <v>19966</v>
      </c>
      <c r="B50" s="6" t="str">
        <f>image("https://i.imgur.com/YCxODoz.png")</f>
        <v/>
      </c>
      <c r="C50" s="6">
        <v>5000.0</v>
      </c>
      <c r="D50" s="5" t="s">
        <v>19886</v>
      </c>
      <c r="E50" s="5" t="s">
        <v>19887</v>
      </c>
    </row>
    <row r="51" ht="56.25" customHeight="1">
      <c r="A51" s="5" t="s">
        <v>19968</v>
      </c>
      <c r="B51" s="6" t="str">
        <f>image("https://i.imgur.com/qTv3Fyf.png")</f>
        <v/>
      </c>
      <c r="C51" s="6">
        <v>5000.0</v>
      </c>
      <c r="D51" s="5" t="s">
        <v>19886</v>
      </c>
      <c r="E51" s="5" t="s">
        <v>19887</v>
      </c>
    </row>
    <row r="52" ht="56.25" customHeight="1">
      <c r="A52" s="5" t="s">
        <v>19971</v>
      </c>
      <c r="B52" s="6" t="str">
        <f>image("https://i.imgur.com/a9MP5UV.png")</f>
        <v/>
      </c>
      <c r="C52" s="6">
        <v>5000.0</v>
      </c>
      <c r="D52" s="5" t="s">
        <v>19886</v>
      </c>
      <c r="E52" s="5" t="s">
        <v>19887</v>
      </c>
    </row>
    <row r="53" ht="56.25" customHeight="1">
      <c r="A53" s="5" t="s">
        <v>19972</v>
      </c>
      <c r="B53" s="6" t="str">
        <f>image("https://i.imgur.com/Ms2Pzvr.png")</f>
        <v/>
      </c>
      <c r="C53" s="6">
        <v>5000.0</v>
      </c>
      <c r="D53" s="5" t="s">
        <v>19886</v>
      </c>
      <c r="E53" s="5" t="s">
        <v>19887</v>
      </c>
    </row>
    <row r="54" ht="56.25" customHeight="1">
      <c r="A54" s="5" t="s">
        <v>19975</v>
      </c>
      <c r="B54" s="6" t="str">
        <f>image("https://i.imgur.com/W5E0eUK.png")</f>
        <v/>
      </c>
      <c r="C54" s="6">
        <v>5000.0</v>
      </c>
      <c r="D54" s="5" t="s">
        <v>19886</v>
      </c>
      <c r="E54" s="5" t="s">
        <v>19887</v>
      </c>
    </row>
    <row r="55" ht="56.25" customHeight="1">
      <c r="A55" s="5" t="s">
        <v>19976</v>
      </c>
      <c r="B55" s="6" t="str">
        <f>image("https://i.imgur.com/gtPSnjC.png")</f>
        <v/>
      </c>
      <c r="C55" s="6">
        <v>5000.0</v>
      </c>
      <c r="D55" s="5" t="s">
        <v>19886</v>
      </c>
      <c r="E55" s="5" t="s">
        <v>19887</v>
      </c>
    </row>
    <row r="56" ht="56.25" customHeight="1">
      <c r="A56" s="5" t="s">
        <v>19979</v>
      </c>
      <c r="B56" s="6" t="str">
        <f>image("https://i.imgur.com/4dcPLYR.png")</f>
        <v/>
      </c>
      <c r="C56" s="6">
        <v>5000.0</v>
      </c>
      <c r="D56" s="5" t="s">
        <v>19886</v>
      </c>
      <c r="E56" s="5" t="s">
        <v>19887</v>
      </c>
    </row>
    <row r="57" ht="56.25" customHeight="1">
      <c r="A57" s="5" t="s">
        <v>19980</v>
      </c>
      <c r="B57" s="6" t="str">
        <f>image("https://i.imgur.com/qW8f3tm.png")</f>
        <v/>
      </c>
      <c r="C57" s="6">
        <v>5000.0</v>
      </c>
      <c r="D57" s="5" t="s">
        <v>19886</v>
      </c>
      <c r="E57" s="5" t="s">
        <v>19887</v>
      </c>
    </row>
    <row r="58" ht="56.25" customHeight="1">
      <c r="A58" s="5" t="s">
        <v>19983</v>
      </c>
      <c r="B58" s="6" t="str">
        <f>image("https://i.imgur.com/XgzBhH2.png")</f>
        <v/>
      </c>
      <c r="C58" s="6">
        <v>5000.0</v>
      </c>
      <c r="D58" s="5" t="s">
        <v>19886</v>
      </c>
      <c r="E58" s="5" t="s">
        <v>19887</v>
      </c>
    </row>
    <row r="59" ht="56.25" customHeight="1">
      <c r="A59" s="5" t="s">
        <v>19984</v>
      </c>
      <c r="B59" s="6" t="str">
        <f>image("https://i.imgur.com/pUCmpMg.png")</f>
        <v/>
      </c>
      <c r="C59" s="6">
        <v>5000.0</v>
      </c>
      <c r="D59" s="5" t="s">
        <v>19886</v>
      </c>
      <c r="E59" s="5" t="s">
        <v>19887</v>
      </c>
    </row>
    <row r="60" ht="56.25" customHeight="1">
      <c r="A60" s="5" t="s">
        <v>19987</v>
      </c>
      <c r="B60" s="6" t="str">
        <f>image("https://i.imgur.com/mYXAwZi.png")</f>
        <v/>
      </c>
      <c r="C60" s="6">
        <v>5000.0</v>
      </c>
      <c r="D60" s="5" t="s">
        <v>19886</v>
      </c>
      <c r="E60" s="5" t="s">
        <v>19887</v>
      </c>
    </row>
    <row r="61" ht="56.25" customHeight="1">
      <c r="A61" s="5" t="s">
        <v>19988</v>
      </c>
      <c r="B61" s="6" t="str">
        <f>image("https://i.imgur.com/bk3eZte.png")</f>
        <v/>
      </c>
      <c r="C61" s="6">
        <v>5000.0</v>
      </c>
      <c r="D61" s="5" t="s">
        <v>19886</v>
      </c>
      <c r="E61" s="5" t="s">
        <v>19887</v>
      </c>
    </row>
    <row r="62" ht="56.25" customHeight="1">
      <c r="A62" s="5" t="s">
        <v>19991</v>
      </c>
      <c r="B62" s="6" t="str">
        <f>image("https://i.imgur.com/fpDkIWz.png")</f>
        <v/>
      </c>
      <c r="C62" s="6">
        <v>5000.0</v>
      </c>
      <c r="D62" s="5" t="s">
        <v>19886</v>
      </c>
      <c r="E62" s="5" t="s">
        <v>19887</v>
      </c>
    </row>
    <row r="63" ht="56.25" customHeight="1">
      <c r="A63" s="5" t="s">
        <v>19994</v>
      </c>
      <c r="B63" s="6" t="str">
        <f>image("https://i.imgur.com/6qH4dbP.png")</f>
        <v/>
      </c>
      <c r="C63" s="6">
        <v>5000.0</v>
      </c>
      <c r="D63" s="5" t="s">
        <v>19886</v>
      </c>
      <c r="E63" s="5" t="s">
        <v>19887</v>
      </c>
    </row>
    <row r="64" ht="56.25" customHeight="1">
      <c r="A64" s="5" t="s">
        <v>19996</v>
      </c>
      <c r="B64" s="6" t="str">
        <f>image("https://i.imgur.com/WdpUruA.png")</f>
        <v/>
      </c>
      <c r="C64" s="6">
        <v>5000.0</v>
      </c>
      <c r="D64" s="5" t="s">
        <v>19886</v>
      </c>
      <c r="E64" s="5" t="s">
        <v>19887</v>
      </c>
    </row>
    <row r="65" ht="56.25" customHeight="1">
      <c r="A65" s="5" t="s">
        <v>19999</v>
      </c>
      <c r="B65" s="6" t="str">
        <f>image("https://i.imgur.com/7y9AJbk.png")</f>
        <v/>
      </c>
      <c r="C65" s="6">
        <v>5000.0</v>
      </c>
      <c r="D65" s="5" t="s">
        <v>19886</v>
      </c>
      <c r="E65" s="5" t="s">
        <v>19887</v>
      </c>
    </row>
    <row r="66" ht="56.25" customHeight="1">
      <c r="A66" s="5" t="s">
        <v>20000</v>
      </c>
      <c r="B66" s="6" t="str">
        <f>image("https://i.imgur.com/yOmvRvd.png")</f>
        <v/>
      </c>
      <c r="C66" s="6">
        <v>5000.0</v>
      </c>
      <c r="D66" s="5" t="s">
        <v>19886</v>
      </c>
      <c r="E66" s="5" t="s">
        <v>19887</v>
      </c>
    </row>
    <row r="67" ht="56.25" customHeight="1">
      <c r="A67" s="5" t="s">
        <v>20002</v>
      </c>
      <c r="B67" s="6" t="str">
        <f>image("https://i.imgur.com/vts2eru.png")</f>
        <v/>
      </c>
      <c r="C67" s="6">
        <v>5000.0</v>
      </c>
      <c r="D67" s="5" t="s">
        <v>19886</v>
      </c>
      <c r="E67" s="5" t="s">
        <v>19887</v>
      </c>
    </row>
    <row r="68" ht="56.25" customHeight="1">
      <c r="A68" s="5" t="s">
        <v>20004</v>
      </c>
      <c r="B68" s="6" t="str">
        <f>image("https://i.imgur.com/9dt9LQy.png")</f>
        <v/>
      </c>
      <c r="C68" s="6">
        <v>5000.0</v>
      </c>
      <c r="D68" s="5" t="s">
        <v>19886</v>
      </c>
      <c r="E68" s="5" t="s">
        <v>19887</v>
      </c>
    </row>
    <row r="69" ht="56.25" customHeight="1">
      <c r="A69" s="5" t="s">
        <v>20006</v>
      </c>
      <c r="B69" s="6" t="str">
        <f>image("https://i.imgur.com/XgA2RFU.png")</f>
        <v/>
      </c>
      <c r="C69" s="6">
        <v>5000.0</v>
      </c>
      <c r="D69" s="5" t="s">
        <v>19886</v>
      </c>
      <c r="E69" s="5" t="s">
        <v>19887</v>
      </c>
    </row>
    <row r="70" ht="56.25" customHeight="1">
      <c r="A70" s="5" t="s">
        <v>20007</v>
      </c>
      <c r="B70" s="6" t="str">
        <f>image("https://i.imgur.com/StYtwhQ.png")</f>
        <v/>
      </c>
      <c r="C70" s="6">
        <v>5000.0</v>
      </c>
      <c r="D70" s="5" t="s">
        <v>19886</v>
      </c>
      <c r="E70" s="5" t="s">
        <v>19887</v>
      </c>
    </row>
    <row r="71" ht="56.25" customHeight="1">
      <c r="A71" s="5" t="s">
        <v>20008</v>
      </c>
      <c r="B71" s="6" t="str">
        <f>image("https://i.imgur.com/W25UUtS.png")</f>
        <v/>
      </c>
      <c r="C71" s="6">
        <v>5000.0</v>
      </c>
      <c r="D71" s="5" t="s">
        <v>19886</v>
      </c>
      <c r="E71" s="5" t="s">
        <v>19887</v>
      </c>
    </row>
    <row r="72" ht="56.25" customHeight="1">
      <c r="A72" s="5" t="s">
        <v>20009</v>
      </c>
      <c r="B72" s="6" t="str">
        <f>image("https://i.imgur.com/Dj1zqJv.png")</f>
        <v/>
      </c>
      <c r="C72" s="6">
        <v>5000.0</v>
      </c>
      <c r="D72" s="5" t="s">
        <v>19886</v>
      </c>
      <c r="E72" s="5" t="s">
        <v>19887</v>
      </c>
    </row>
    <row r="73" ht="56.25" customHeight="1">
      <c r="A73" s="5" t="s">
        <v>20010</v>
      </c>
      <c r="B73" s="6" t="str">
        <f>image("https://i.imgur.com/BdBOQ2o.png")</f>
        <v/>
      </c>
      <c r="C73" s="6">
        <v>5000.0</v>
      </c>
      <c r="D73" s="5" t="s">
        <v>19886</v>
      </c>
      <c r="E73" s="5" t="s">
        <v>19887</v>
      </c>
    </row>
    <row r="74" ht="56.25" customHeight="1">
      <c r="A74" s="5" t="s">
        <v>20011</v>
      </c>
      <c r="B74" s="6" t="str">
        <f>image("https://i.imgur.com/6W6y2ia.png")</f>
        <v/>
      </c>
      <c r="C74" s="6">
        <v>5000.0</v>
      </c>
      <c r="D74" s="5" t="s">
        <v>19886</v>
      </c>
      <c r="E74" s="5" t="s">
        <v>19887</v>
      </c>
    </row>
    <row r="75" ht="56.25" customHeight="1">
      <c r="A75" s="5" t="s">
        <v>20013</v>
      </c>
      <c r="B75" s="6" t="str">
        <f>image("https://i.imgur.com/6nUZWmI.png")</f>
        <v/>
      </c>
      <c r="C75" s="6">
        <v>5000.0</v>
      </c>
      <c r="D75" s="5" t="s">
        <v>19886</v>
      </c>
      <c r="E75" s="5" t="s">
        <v>19887</v>
      </c>
    </row>
    <row r="76" ht="56.25" customHeight="1">
      <c r="A76" s="5" t="s">
        <v>20014</v>
      </c>
      <c r="B76" s="6" t="str">
        <f>image("https://i.imgur.com/Epv6oZK.png")</f>
        <v/>
      </c>
      <c r="C76" s="6">
        <v>5000.0</v>
      </c>
      <c r="D76" s="5" t="s">
        <v>19886</v>
      </c>
      <c r="E76" s="5" t="s">
        <v>19887</v>
      </c>
    </row>
    <row r="77" ht="56.25" customHeight="1">
      <c r="A77" s="5" t="s">
        <v>20015</v>
      </c>
      <c r="B77" s="6" t="str">
        <f>image("https://i.imgur.com/L08WdHg.png")</f>
        <v/>
      </c>
      <c r="C77" s="6">
        <v>5000.0</v>
      </c>
      <c r="D77" s="5" t="s">
        <v>19886</v>
      </c>
      <c r="E77" s="5" t="s">
        <v>19887</v>
      </c>
    </row>
    <row r="78" ht="56.25" customHeight="1">
      <c r="A78" s="5" t="s">
        <v>20017</v>
      </c>
      <c r="B78" s="6" t="str">
        <f>image("https://i.imgur.com/p8Y6Cq1.png")</f>
        <v/>
      </c>
      <c r="C78" s="6">
        <v>5000.0</v>
      </c>
      <c r="D78" s="5" t="s">
        <v>19886</v>
      </c>
      <c r="E78" s="5" t="s">
        <v>19887</v>
      </c>
    </row>
    <row r="79" ht="56.25" customHeight="1">
      <c r="A79" s="5" t="s">
        <v>20018</v>
      </c>
      <c r="B79" s="6" t="str">
        <f>image("https://i.imgur.com/Y1nRdjR.png")</f>
        <v/>
      </c>
      <c r="C79" s="6">
        <v>5000.0</v>
      </c>
      <c r="D79" s="5" t="s">
        <v>19886</v>
      </c>
      <c r="E79" s="5" t="s">
        <v>19887</v>
      </c>
    </row>
    <row r="80" ht="56.25" customHeight="1">
      <c r="A80" s="5" t="s">
        <v>20019</v>
      </c>
      <c r="B80" s="6" t="str">
        <f>image("https://i.imgur.com/lHtosvF.png")</f>
        <v/>
      </c>
      <c r="C80" s="6">
        <v>5000.0</v>
      </c>
      <c r="D80" s="5" t="s">
        <v>19886</v>
      </c>
      <c r="E80" s="5" t="s">
        <v>19887</v>
      </c>
    </row>
    <row r="81" ht="56.25" customHeight="1">
      <c r="A81" s="5" t="s">
        <v>20021</v>
      </c>
      <c r="B81" s="6" t="str">
        <f>image("https://i.imgur.com/AtVKHAq.png")</f>
        <v/>
      </c>
      <c r="C81" s="6">
        <v>5000.0</v>
      </c>
      <c r="D81" s="5" t="s">
        <v>19886</v>
      </c>
      <c r="E81" s="5" t="s">
        <v>19887</v>
      </c>
    </row>
    <row r="82" ht="56.25" customHeight="1">
      <c r="A82" s="5" t="s">
        <v>20024</v>
      </c>
      <c r="B82" s="6" t="str">
        <f>image("https://i.imgur.com/Ty9Sv4z.png")</f>
        <v/>
      </c>
      <c r="C82" s="6">
        <v>5000.0</v>
      </c>
      <c r="D82" s="5" t="s">
        <v>19886</v>
      </c>
      <c r="E82" s="5" t="s">
        <v>19887</v>
      </c>
    </row>
    <row r="83" ht="56.25" customHeight="1">
      <c r="A83" s="5" t="s">
        <v>20025</v>
      </c>
      <c r="B83" s="6" t="str">
        <f>image("https://i.imgur.com/q8EAtPt.png")</f>
        <v/>
      </c>
      <c r="C83" s="6">
        <v>5000.0</v>
      </c>
      <c r="D83" s="5" t="s">
        <v>19886</v>
      </c>
      <c r="E83" s="5" t="s">
        <v>19887</v>
      </c>
    </row>
    <row r="84" ht="56.25" customHeight="1">
      <c r="A84" s="5" t="s">
        <v>20028</v>
      </c>
      <c r="B84" s="6" t="str">
        <f>image("https://i.imgur.com/soaQM8h.png")</f>
        <v/>
      </c>
      <c r="C84" s="6">
        <v>5000.0</v>
      </c>
      <c r="D84" s="5" t="s">
        <v>19886</v>
      </c>
      <c r="E84" s="5" t="s">
        <v>19887</v>
      </c>
    </row>
    <row r="85" ht="56.25" customHeight="1">
      <c r="A85" s="5" t="s">
        <v>20030</v>
      </c>
      <c r="B85" s="6" t="str">
        <f>image("https://i.imgur.com/BxQxjpv.png")</f>
        <v/>
      </c>
      <c r="C85" s="6">
        <v>5000.0</v>
      </c>
      <c r="D85" s="5" t="s">
        <v>19886</v>
      </c>
      <c r="E85" s="5" t="s">
        <v>19887</v>
      </c>
    </row>
    <row r="86" ht="56.25" customHeight="1">
      <c r="A86" s="5" t="s">
        <v>20033</v>
      </c>
      <c r="B86" s="6" t="str">
        <f>image("https://i.imgur.com/9oDUWAZ.png")</f>
        <v/>
      </c>
      <c r="C86" s="6">
        <v>5000.0</v>
      </c>
      <c r="D86" s="5" t="s">
        <v>19886</v>
      </c>
      <c r="E86" s="5" t="s">
        <v>19887</v>
      </c>
    </row>
    <row r="87" ht="56.25" customHeight="1">
      <c r="A87" s="5" t="s">
        <v>20034</v>
      </c>
      <c r="B87" s="6" t="str">
        <f>image("https://i.imgur.com/ji1UWOy.png")</f>
        <v/>
      </c>
      <c r="C87" s="6">
        <v>5000.0</v>
      </c>
      <c r="D87" s="5" t="s">
        <v>19886</v>
      </c>
      <c r="E87" s="5" t="s">
        <v>19887</v>
      </c>
    </row>
    <row r="88" ht="56.25" customHeight="1">
      <c r="A88" s="5" t="s">
        <v>20036</v>
      </c>
      <c r="B88" s="6" t="str">
        <f>image("https://i.imgur.com/HMf9IK5.png")</f>
        <v/>
      </c>
      <c r="C88" s="6">
        <v>5000.0</v>
      </c>
      <c r="D88" s="5" t="s">
        <v>19886</v>
      </c>
      <c r="E88" s="5" t="s">
        <v>19887</v>
      </c>
    </row>
    <row r="89" ht="56.25" customHeight="1">
      <c r="A89" s="5" t="s">
        <v>20039</v>
      </c>
      <c r="B89" s="6" t="str">
        <f>image("https://i.imgur.com/dFXQoYY.png")</f>
        <v/>
      </c>
      <c r="C89" s="6">
        <v>5000.0</v>
      </c>
      <c r="D89" s="5" t="s">
        <v>19886</v>
      </c>
      <c r="E89" s="5" t="s">
        <v>19887</v>
      </c>
    </row>
    <row r="90" ht="56.25" customHeight="1">
      <c r="A90" s="5" t="s">
        <v>20041</v>
      </c>
      <c r="B90" s="6" t="str">
        <f>image("https://i.imgur.com/5pct8yQ.png")</f>
        <v/>
      </c>
      <c r="C90" s="6">
        <v>5000.0</v>
      </c>
      <c r="D90" s="5" t="s">
        <v>19886</v>
      </c>
      <c r="E90" s="5" t="s">
        <v>19887</v>
      </c>
    </row>
    <row r="91" ht="56.25" customHeight="1">
      <c r="A91" s="5" t="s">
        <v>20042</v>
      </c>
      <c r="B91" s="6" t="str">
        <f>image("https://i.imgur.com/rwBldBO.png")</f>
        <v/>
      </c>
      <c r="C91" s="6">
        <v>5000.0</v>
      </c>
      <c r="D91" s="5" t="s">
        <v>19886</v>
      </c>
      <c r="E91" s="5" t="s">
        <v>19887</v>
      </c>
    </row>
    <row r="92" ht="56.25" customHeight="1">
      <c r="A92" s="5" t="s">
        <v>20044</v>
      </c>
      <c r="B92" s="6" t="str">
        <f>image("https://i.imgur.com/ryKPnhB.png")</f>
        <v/>
      </c>
      <c r="C92" s="6">
        <v>5000.0</v>
      </c>
      <c r="D92" s="5" t="s">
        <v>19886</v>
      </c>
      <c r="E92" s="5" t="s">
        <v>19887</v>
      </c>
    </row>
    <row r="93" ht="56.25" customHeight="1">
      <c r="A93" s="5" t="s">
        <v>20048</v>
      </c>
      <c r="B93" s="6" t="str">
        <f>image("https://i.imgur.com/sJD8rT1.png")</f>
        <v/>
      </c>
      <c r="C93" s="6">
        <v>5000.0</v>
      </c>
      <c r="D93" s="5" t="s">
        <v>19886</v>
      </c>
      <c r="E93" s="5" t="s">
        <v>19887</v>
      </c>
    </row>
    <row r="94" ht="56.25" customHeight="1">
      <c r="A94" s="5" t="s">
        <v>20051</v>
      </c>
      <c r="B94" s="6" t="str">
        <f>image("https://i.imgur.com/ln6RRLO.png")</f>
        <v/>
      </c>
      <c r="C94" s="6">
        <v>5000.0</v>
      </c>
      <c r="D94" s="5" t="s">
        <v>19886</v>
      </c>
      <c r="E94" s="5" t="s">
        <v>19887</v>
      </c>
    </row>
    <row r="95" ht="56.25" customHeight="1">
      <c r="A95" s="5" t="s">
        <v>20053</v>
      </c>
      <c r="B95" s="6" t="str">
        <f>image("https://i.imgur.com/3yOpQGh.png")</f>
        <v/>
      </c>
      <c r="C95" s="6">
        <v>5000.0</v>
      </c>
      <c r="D95" s="5" t="s">
        <v>19886</v>
      </c>
      <c r="E95" s="5" t="s">
        <v>19887</v>
      </c>
    </row>
    <row r="96" ht="56.25" customHeight="1">
      <c r="A96" s="5" t="s">
        <v>20055</v>
      </c>
      <c r="B96" s="6" t="str">
        <f>image("https://i.imgur.com/DYFanfl.png")</f>
        <v/>
      </c>
      <c r="C96" s="6">
        <v>5000.0</v>
      </c>
      <c r="D96" s="5" t="s">
        <v>19886</v>
      </c>
      <c r="E96" s="5" t="s">
        <v>19887</v>
      </c>
    </row>
    <row r="97" ht="56.25" customHeight="1">
      <c r="A97" s="5" t="s">
        <v>20056</v>
      </c>
      <c r="B97" s="6" t="str">
        <f>image("https://i.imgur.com/Pilxe4Y.png")</f>
        <v/>
      </c>
      <c r="C97" s="6">
        <v>5000.0</v>
      </c>
      <c r="D97" s="5" t="s">
        <v>19886</v>
      </c>
      <c r="E97" s="5" t="s">
        <v>19887</v>
      </c>
    </row>
    <row r="98" ht="56.25" customHeight="1">
      <c r="A98" s="5" t="s">
        <v>20057</v>
      </c>
      <c r="B98" s="6" t="str">
        <f>image("https://i.imgur.com/TTF0ORG.png")</f>
        <v/>
      </c>
      <c r="C98" s="6">
        <v>5000.0</v>
      </c>
      <c r="D98" s="5" t="s">
        <v>19886</v>
      </c>
      <c r="E98" s="5" t="s">
        <v>19887</v>
      </c>
    </row>
    <row r="99" ht="56.25" customHeight="1">
      <c r="A99" s="5" t="s">
        <v>20059</v>
      </c>
      <c r="B99" s="6" t="str">
        <f>image("https://i.imgur.com/chzg8f3.png")</f>
        <v/>
      </c>
      <c r="C99" s="6">
        <v>5000.0</v>
      </c>
      <c r="D99" s="5" t="s">
        <v>19886</v>
      </c>
      <c r="E99" s="5" t="s">
        <v>19887</v>
      </c>
    </row>
    <row r="100" ht="56.25" customHeight="1">
      <c r="A100" s="5" t="s">
        <v>20062</v>
      </c>
      <c r="B100" s="6" t="str">
        <f>image("https://i.imgur.com/07A1prp.png")</f>
        <v/>
      </c>
      <c r="C100" s="6">
        <v>5000.0</v>
      </c>
      <c r="D100" s="5" t="s">
        <v>19886</v>
      </c>
      <c r="E100" s="5" t="s">
        <v>19887</v>
      </c>
    </row>
    <row r="101" ht="56.25" customHeight="1">
      <c r="A101" s="5" t="s">
        <v>20065</v>
      </c>
      <c r="B101" s="6" t="str">
        <f>image("https://i.imgur.com/ALvwPut.png")</f>
        <v/>
      </c>
      <c r="C101" s="6">
        <v>5000.0</v>
      </c>
      <c r="D101" s="5" t="s">
        <v>19886</v>
      </c>
      <c r="E101" s="5" t="s">
        <v>19887</v>
      </c>
    </row>
    <row r="102" ht="56.25" customHeight="1">
      <c r="A102" s="5" t="s">
        <v>20067</v>
      </c>
      <c r="B102" s="6" t="str">
        <f>image("https://i.imgur.com/6K8Fmf1.png")</f>
        <v/>
      </c>
      <c r="C102" s="6">
        <v>5000.0</v>
      </c>
      <c r="D102" s="5" t="s">
        <v>19886</v>
      </c>
      <c r="E102" s="5" t="s">
        <v>19887</v>
      </c>
    </row>
    <row r="103" ht="56.25" customHeight="1">
      <c r="A103" s="5" t="s">
        <v>20069</v>
      </c>
      <c r="B103" s="6" t="str">
        <f>image("https://i.imgur.com/9wveKHQ.png")</f>
        <v/>
      </c>
      <c r="C103" s="6">
        <v>5000.0</v>
      </c>
      <c r="D103" s="5" t="s">
        <v>19886</v>
      </c>
      <c r="E103" s="5" t="s">
        <v>19887</v>
      </c>
    </row>
    <row r="104" ht="56.25" customHeight="1">
      <c r="A104" s="5" t="s">
        <v>20071</v>
      </c>
      <c r="B104" s="6" t="str">
        <f>image("https://i.imgur.com/FiHHQvP.png")</f>
        <v/>
      </c>
      <c r="C104" s="6">
        <v>5000.0</v>
      </c>
      <c r="D104" s="5" t="s">
        <v>19886</v>
      </c>
      <c r="E104" s="5" t="s">
        <v>19887</v>
      </c>
    </row>
    <row r="105" ht="56.25" customHeight="1">
      <c r="A105" s="5" t="s">
        <v>20072</v>
      </c>
      <c r="B105" s="6" t="str">
        <f>image("https://i.imgur.com/eBRAjvs.png")</f>
        <v/>
      </c>
      <c r="C105" s="6">
        <v>5000.0</v>
      </c>
      <c r="D105" s="5" t="s">
        <v>19886</v>
      </c>
      <c r="E105" s="5" t="s">
        <v>19887</v>
      </c>
    </row>
    <row r="106" ht="56.25" customHeight="1">
      <c r="A106" s="5" t="s">
        <v>20073</v>
      </c>
      <c r="B106" s="6" t="str">
        <f>image("https://i.imgur.com/16jpIoc.png")</f>
        <v/>
      </c>
      <c r="C106" s="6">
        <v>5000.0</v>
      </c>
      <c r="D106" s="5" t="s">
        <v>19886</v>
      </c>
      <c r="E106" s="5" t="s">
        <v>19887</v>
      </c>
    </row>
    <row r="107" ht="56.25" customHeight="1">
      <c r="A107" s="5" t="s">
        <v>20075</v>
      </c>
      <c r="B107" s="6" t="str">
        <f>image("https://i.imgur.com/53scxWp.png")</f>
        <v/>
      </c>
      <c r="C107" s="6">
        <v>5000.0</v>
      </c>
      <c r="D107" s="5" t="s">
        <v>19886</v>
      </c>
      <c r="E107" s="5" t="s">
        <v>19887</v>
      </c>
    </row>
    <row r="108" ht="56.25" customHeight="1">
      <c r="A108" s="5" t="s">
        <v>20077</v>
      </c>
      <c r="B108" s="6" t="str">
        <f>image("https://i.imgur.com/qXPXQs9.png")</f>
        <v/>
      </c>
      <c r="C108" s="6">
        <v>5000.0</v>
      </c>
      <c r="D108" s="5" t="s">
        <v>19886</v>
      </c>
      <c r="E108" s="5" t="s">
        <v>19887</v>
      </c>
    </row>
    <row r="109" ht="56.25" customHeight="1">
      <c r="A109" s="5" t="s">
        <v>20079</v>
      </c>
      <c r="B109" s="6" t="str">
        <f>image("https://i.imgur.com/YglyN4R.png")</f>
        <v/>
      </c>
      <c r="C109" s="6">
        <v>5000.0</v>
      </c>
      <c r="D109" s="5" t="s">
        <v>19886</v>
      </c>
      <c r="E109" s="5" t="s">
        <v>19887</v>
      </c>
    </row>
    <row r="110" ht="56.25" customHeight="1">
      <c r="A110" s="5" t="s">
        <v>20082</v>
      </c>
      <c r="B110" s="6" t="str">
        <f>image("https://i.imgur.com/EjuG2kS.png")</f>
        <v/>
      </c>
      <c r="C110" s="6">
        <v>5000.0</v>
      </c>
      <c r="D110" s="5" t="s">
        <v>19886</v>
      </c>
      <c r="E110" s="5" t="s">
        <v>19887</v>
      </c>
    </row>
    <row r="111" ht="56.25" customHeight="1">
      <c r="A111" s="5" t="s">
        <v>20085</v>
      </c>
      <c r="B111" s="6" t="str">
        <f>image("https://i.imgur.com/AbOJlgE.png")</f>
        <v/>
      </c>
      <c r="C111" s="6">
        <v>5000.0</v>
      </c>
      <c r="D111" s="5" t="s">
        <v>19886</v>
      </c>
      <c r="E111" s="5" t="s">
        <v>19887</v>
      </c>
    </row>
    <row r="112" ht="56.25" customHeight="1">
      <c r="A112" s="5" t="s">
        <v>20089</v>
      </c>
      <c r="B112" s="6" t="str">
        <f>image("https://i.imgur.com/fKsVphq.png")</f>
        <v/>
      </c>
      <c r="C112" s="6">
        <v>5000.0</v>
      </c>
      <c r="D112" s="5" t="s">
        <v>19886</v>
      </c>
      <c r="E112" s="5" t="s">
        <v>19887</v>
      </c>
    </row>
    <row r="113" ht="56.25" customHeight="1">
      <c r="A113" s="5" t="s">
        <v>20093</v>
      </c>
      <c r="B113" s="6" t="str">
        <f>image("https://i.imgur.com/4hEs7AA.png")</f>
        <v/>
      </c>
      <c r="C113" s="6">
        <v>5000.0</v>
      </c>
      <c r="D113" s="5" t="s">
        <v>19886</v>
      </c>
      <c r="E113" s="5" t="s">
        <v>19887</v>
      </c>
    </row>
    <row r="114" ht="56.25" customHeight="1">
      <c r="A114" s="5" t="s">
        <v>20095</v>
      </c>
      <c r="B114" s="6" t="str">
        <f>image("https://i.imgur.com/GTliUfh.png")</f>
        <v/>
      </c>
      <c r="C114" s="6">
        <v>5000.0</v>
      </c>
      <c r="D114" s="5" t="s">
        <v>19886</v>
      </c>
      <c r="E114" s="5" t="s">
        <v>19887</v>
      </c>
    </row>
    <row r="115" ht="56.25" customHeight="1">
      <c r="A115" s="5" t="s">
        <v>20097</v>
      </c>
      <c r="B115" s="6" t="str">
        <f>image("https://i.imgur.com/DOkmwf6.png")</f>
        <v/>
      </c>
      <c r="C115" s="6">
        <v>5000.0</v>
      </c>
      <c r="D115" s="5" t="s">
        <v>19886</v>
      </c>
      <c r="E115" s="5" t="s">
        <v>19887</v>
      </c>
    </row>
    <row r="116" ht="56.25" customHeight="1">
      <c r="A116" s="5" t="s">
        <v>20100</v>
      </c>
      <c r="B116" s="6" t="str">
        <f>image("https://i.imgur.com/VEOu4sl.png")</f>
        <v/>
      </c>
      <c r="C116" s="6">
        <v>5000.0</v>
      </c>
      <c r="D116" s="5" t="s">
        <v>19886</v>
      </c>
      <c r="E116" s="5" t="s">
        <v>19887</v>
      </c>
    </row>
    <row r="117" ht="56.25" customHeight="1">
      <c r="A117" s="5" t="s">
        <v>20102</v>
      </c>
      <c r="B117" s="6" t="str">
        <f>image("https://i.imgur.com/mEXtIQt.png")</f>
        <v/>
      </c>
      <c r="C117" s="6">
        <v>5000.0</v>
      </c>
      <c r="D117" s="5" t="s">
        <v>19886</v>
      </c>
      <c r="E117" s="5" t="s">
        <v>19887</v>
      </c>
    </row>
    <row r="118" ht="56.25" customHeight="1">
      <c r="A118" s="5" t="s">
        <v>20103</v>
      </c>
      <c r="B118" s="6" t="str">
        <f>image("https://i.imgur.com/bVwiLZl.png")</f>
        <v/>
      </c>
      <c r="C118" s="6">
        <v>5000.0</v>
      </c>
      <c r="D118" s="5" t="s">
        <v>19886</v>
      </c>
      <c r="E118" s="5" t="s">
        <v>19887</v>
      </c>
    </row>
    <row r="119" ht="56.25" customHeight="1">
      <c r="A119" s="5" t="s">
        <v>20105</v>
      </c>
      <c r="B119" s="6" t="str">
        <f>image("https://i.imgur.com/DeiE5Yf.png")</f>
        <v/>
      </c>
      <c r="C119" s="6">
        <v>5000.0</v>
      </c>
      <c r="D119" s="5" t="s">
        <v>19886</v>
      </c>
      <c r="E119" s="5" t="s">
        <v>19887</v>
      </c>
    </row>
    <row r="120" ht="56.25" customHeight="1">
      <c r="A120" s="5" t="s">
        <v>20106</v>
      </c>
      <c r="B120" s="6" t="str">
        <f>image("https://i.imgur.com/ZwncxFI.png")</f>
        <v/>
      </c>
      <c r="C120" s="6">
        <v>5000.0</v>
      </c>
      <c r="D120" s="5" t="s">
        <v>19886</v>
      </c>
      <c r="E120" s="5" t="s">
        <v>19887</v>
      </c>
    </row>
    <row r="121" ht="56.25" customHeight="1">
      <c r="A121" s="5" t="s">
        <v>20108</v>
      </c>
      <c r="B121" s="6" t="str">
        <f>image("https://i.imgur.com/RBbI1PN.png")</f>
        <v/>
      </c>
      <c r="C121" s="6">
        <v>5000.0</v>
      </c>
      <c r="D121" s="5" t="s">
        <v>19886</v>
      </c>
      <c r="E121" s="5" t="s">
        <v>19887</v>
      </c>
    </row>
    <row r="122" ht="56.25" customHeight="1">
      <c r="A122" s="5" t="s">
        <v>20110</v>
      </c>
      <c r="B122" s="6" t="str">
        <f>image("https://i.imgur.com/23eepyV.png")</f>
        <v/>
      </c>
      <c r="C122" s="6">
        <v>5000.0</v>
      </c>
      <c r="D122" s="5" t="s">
        <v>19886</v>
      </c>
      <c r="E122" s="5" t="s">
        <v>19887</v>
      </c>
    </row>
    <row r="123" ht="56.25" customHeight="1">
      <c r="A123" s="5" t="s">
        <v>20111</v>
      </c>
      <c r="B123" s="6" t="str">
        <f>image("https://i.imgur.com/YtbQoEe.png")</f>
        <v/>
      </c>
      <c r="C123" s="6">
        <v>5000.0</v>
      </c>
      <c r="D123" s="5" t="s">
        <v>19886</v>
      </c>
      <c r="E123" s="5" t="s">
        <v>19887</v>
      </c>
    </row>
    <row r="124" ht="56.25" customHeight="1">
      <c r="A124" s="5" t="s">
        <v>20113</v>
      </c>
      <c r="B124" s="6" t="str">
        <f>image("https://i.imgur.com/lnQf0IT.png")</f>
        <v/>
      </c>
      <c r="C124" s="6">
        <v>5000.0</v>
      </c>
      <c r="D124" s="5" t="s">
        <v>19886</v>
      </c>
      <c r="E124" s="5" t="s">
        <v>19887</v>
      </c>
    </row>
    <row r="125" ht="56.25" customHeight="1">
      <c r="A125" s="5" t="s">
        <v>20116</v>
      </c>
      <c r="B125" s="6" t="str">
        <f>image("https://i.imgur.com/WzXEind.png")</f>
        <v/>
      </c>
      <c r="C125" s="6">
        <v>5000.0</v>
      </c>
      <c r="D125" s="5" t="s">
        <v>19886</v>
      </c>
      <c r="E125" s="5" t="s">
        <v>19887</v>
      </c>
    </row>
    <row r="126" ht="56.25" customHeight="1">
      <c r="A126" s="5" t="s">
        <v>20119</v>
      </c>
      <c r="B126" s="6" t="str">
        <f>image("https://i.imgur.com/754BdsF.png")</f>
        <v/>
      </c>
      <c r="C126" s="6">
        <v>5000.0</v>
      </c>
      <c r="D126" s="5" t="s">
        <v>19886</v>
      </c>
      <c r="E126" s="5" t="s">
        <v>19887</v>
      </c>
    </row>
    <row r="127" ht="56.25" customHeight="1">
      <c r="A127" s="5" t="s">
        <v>20121</v>
      </c>
      <c r="B127" s="6" t="str">
        <f>image("https://i.imgur.com/hFbfYX6.png")</f>
        <v/>
      </c>
      <c r="C127" s="6">
        <v>5000.0</v>
      </c>
      <c r="D127" s="5" t="s">
        <v>19886</v>
      </c>
      <c r="E127" s="5" t="s">
        <v>19887</v>
      </c>
    </row>
    <row r="128" ht="56.25" customHeight="1">
      <c r="A128" s="5" t="s">
        <v>20123</v>
      </c>
      <c r="B128" s="6" t="str">
        <f>image("https://i.imgur.com/OtOgUCH.png")</f>
        <v/>
      </c>
      <c r="C128" s="6">
        <v>5000.0</v>
      </c>
      <c r="D128" s="5" t="s">
        <v>19886</v>
      </c>
      <c r="E128" s="5" t="s">
        <v>19887</v>
      </c>
    </row>
    <row r="129" ht="56.25" customHeight="1">
      <c r="A129" s="5" t="s">
        <v>20124</v>
      </c>
      <c r="B129" s="6" t="str">
        <f>image("https://i.imgur.com/tSQWqy6.png")</f>
        <v/>
      </c>
      <c r="C129" s="6">
        <v>5000.0</v>
      </c>
      <c r="D129" s="5" t="s">
        <v>19886</v>
      </c>
      <c r="E129" s="5" t="s">
        <v>19887</v>
      </c>
    </row>
    <row r="130" ht="56.25" customHeight="1">
      <c r="A130" s="5" t="s">
        <v>20126</v>
      </c>
      <c r="B130" s="6" t="str">
        <f>image("https://i.imgur.com/4Y5GfJr.png")</f>
        <v/>
      </c>
      <c r="C130" s="6">
        <v>5000.0</v>
      </c>
      <c r="D130" s="5" t="s">
        <v>19886</v>
      </c>
      <c r="E130" s="5" t="s">
        <v>19887</v>
      </c>
    </row>
    <row r="131" ht="56.25" customHeight="1">
      <c r="A131" s="5" t="s">
        <v>20128</v>
      </c>
      <c r="B131" s="6" t="str">
        <f>image("https://i.imgur.com/qFaNTRM.png")</f>
        <v/>
      </c>
      <c r="C131" s="6">
        <v>5000.0</v>
      </c>
      <c r="D131" s="5" t="s">
        <v>19886</v>
      </c>
      <c r="E131" s="5" t="s">
        <v>19887</v>
      </c>
    </row>
    <row r="132" ht="56.25" customHeight="1">
      <c r="A132" s="5" t="s">
        <v>20130</v>
      </c>
      <c r="B132" s="6" t="str">
        <f>image("https://i.imgur.com/YkuPDlP.png")</f>
        <v/>
      </c>
      <c r="C132" s="6">
        <v>5000.0</v>
      </c>
      <c r="D132" s="5" t="s">
        <v>19886</v>
      </c>
      <c r="E132" s="5" t="s">
        <v>19887</v>
      </c>
    </row>
    <row r="133" ht="56.25" customHeight="1">
      <c r="A133" s="5" t="s">
        <v>20132</v>
      </c>
      <c r="B133" s="6" t="str">
        <f>image("https://i.imgur.com/rn5eF0n.png")</f>
        <v/>
      </c>
      <c r="C133" s="6">
        <v>5000.0</v>
      </c>
      <c r="D133" s="5" t="s">
        <v>20134</v>
      </c>
      <c r="E133" s="5" t="s">
        <v>20135</v>
      </c>
    </row>
    <row r="134" ht="56.25" customHeight="1">
      <c r="A134" s="5" t="s">
        <v>20136</v>
      </c>
      <c r="B134" s="6" t="str">
        <f>image("https://i.imgur.com/O1nuYMC.png")</f>
        <v/>
      </c>
      <c r="C134" s="6">
        <v>5000.0</v>
      </c>
      <c r="D134" s="5" t="s">
        <v>20134</v>
      </c>
      <c r="E134" s="5" t="s">
        <v>20135</v>
      </c>
    </row>
    <row r="135" ht="56.25" customHeight="1">
      <c r="A135" s="5" t="s">
        <v>20138</v>
      </c>
      <c r="B135" s="6" t="str">
        <f>image("https://i.imgur.com/kOPSBxj.png")</f>
        <v/>
      </c>
      <c r="C135" s="6">
        <v>5000.0</v>
      </c>
      <c r="D135" s="5" t="s">
        <v>20134</v>
      </c>
      <c r="E135" s="5" t="s">
        <v>20135</v>
      </c>
    </row>
    <row r="136" ht="56.25" customHeight="1">
      <c r="A136" s="5" t="s">
        <v>20140</v>
      </c>
      <c r="B136" s="6" t="str">
        <f>image("https://i.imgur.com/tsr1Xr4.png")</f>
        <v/>
      </c>
      <c r="C136" s="6">
        <v>5000.0</v>
      </c>
      <c r="D136" s="5" t="s">
        <v>20134</v>
      </c>
      <c r="E136" s="5" t="s">
        <v>20135</v>
      </c>
    </row>
    <row r="137" ht="56.25" customHeight="1">
      <c r="A137" s="5" t="s">
        <v>20142</v>
      </c>
      <c r="B137" s="6" t="str">
        <f>image("https://i.imgur.com/mXdXZWs.png")</f>
        <v/>
      </c>
      <c r="C137" s="6">
        <v>5000.0</v>
      </c>
      <c r="D137" s="5" t="s">
        <v>20134</v>
      </c>
      <c r="E137" s="5" t="s">
        <v>20135</v>
      </c>
    </row>
    <row r="138" ht="56.25" customHeight="1">
      <c r="A138" s="5" t="s">
        <v>20144</v>
      </c>
      <c r="B138" s="6" t="str">
        <f>image("https://i.imgur.com/6YEskL9.png")</f>
        <v/>
      </c>
      <c r="C138" s="6">
        <v>5000.0</v>
      </c>
      <c r="D138" s="5" t="s">
        <v>20134</v>
      </c>
      <c r="E138" s="5" t="s">
        <v>20135</v>
      </c>
    </row>
    <row r="139" ht="56.25" customHeight="1">
      <c r="A139" s="5" t="s">
        <v>20147</v>
      </c>
      <c r="B139" s="6" t="str">
        <f>image("https://i.imgur.com/R3sl1KO.png")</f>
        <v/>
      </c>
      <c r="C139" s="6">
        <v>5000.0</v>
      </c>
      <c r="D139" s="5" t="s">
        <v>20134</v>
      </c>
      <c r="E139" s="5" t="s">
        <v>20135</v>
      </c>
    </row>
    <row r="140" ht="56.25" customHeight="1">
      <c r="A140" s="5" t="s">
        <v>20149</v>
      </c>
      <c r="B140" s="6" t="str">
        <f>image("https://i.imgur.com/LhBfgyi.png")</f>
        <v/>
      </c>
      <c r="C140" s="6">
        <v>5000.0</v>
      </c>
      <c r="D140" s="5" t="s">
        <v>20134</v>
      </c>
      <c r="E140" s="5" t="s">
        <v>20135</v>
      </c>
    </row>
    <row r="141" ht="56.25" customHeight="1">
      <c r="A141" s="5" t="s">
        <v>20150</v>
      </c>
      <c r="B141" s="6" t="str">
        <f>image("https://i.imgur.com/X7mBWA5.png")</f>
        <v/>
      </c>
      <c r="C141" s="6">
        <v>5000.0</v>
      </c>
      <c r="D141" s="5" t="s">
        <v>20134</v>
      </c>
      <c r="E141" s="5" t="s">
        <v>20135</v>
      </c>
    </row>
    <row r="142" ht="56.25" customHeight="1">
      <c r="A142" s="5" t="s">
        <v>20153</v>
      </c>
      <c r="B142" s="6" t="str">
        <f>image("https://i.imgur.com/ReROX3z.png")</f>
        <v/>
      </c>
      <c r="C142" s="6">
        <v>5000.0</v>
      </c>
      <c r="D142" s="5" t="s">
        <v>20134</v>
      </c>
      <c r="E142" s="5" t="s">
        <v>20135</v>
      </c>
    </row>
    <row r="143" ht="56.25" customHeight="1">
      <c r="A143" s="5" t="s">
        <v>20155</v>
      </c>
      <c r="B143" s="6" t="str">
        <f>image("https://i.imgur.com/VAFXYFi.png")</f>
        <v/>
      </c>
      <c r="C143" s="6">
        <v>5000.0</v>
      </c>
      <c r="D143" s="5" t="s">
        <v>20134</v>
      </c>
      <c r="E143" s="5" t="s">
        <v>20135</v>
      </c>
    </row>
    <row r="144" ht="56.25" customHeight="1">
      <c r="A144" s="5" t="s">
        <v>20156</v>
      </c>
      <c r="B144" s="6" t="str">
        <f>image("https://i.imgur.com/BYrKJsO.png")</f>
        <v/>
      </c>
      <c r="C144" s="6">
        <v>5000.0</v>
      </c>
      <c r="D144" s="5" t="s">
        <v>20134</v>
      </c>
      <c r="E144" s="5" t="s">
        <v>20135</v>
      </c>
    </row>
    <row r="145" ht="56.25" customHeight="1">
      <c r="A145" s="5" t="s">
        <v>20157</v>
      </c>
      <c r="B145" s="6" t="str">
        <f>image("https://i.imgur.com/co7GMuw.png")</f>
        <v/>
      </c>
      <c r="C145" s="6">
        <v>5000.0</v>
      </c>
      <c r="D145" s="5" t="s">
        <v>20134</v>
      </c>
      <c r="E145" s="5" t="s">
        <v>20135</v>
      </c>
    </row>
    <row r="146" ht="56.25" customHeight="1">
      <c r="A146" s="5" t="s">
        <v>20158</v>
      </c>
      <c r="B146" s="6" t="str">
        <f>image("https://i.imgur.com/kUIjQUX.png")</f>
        <v/>
      </c>
      <c r="C146" s="6">
        <v>5000.0</v>
      </c>
      <c r="D146" s="5" t="s">
        <v>20134</v>
      </c>
      <c r="E146" s="5" t="s">
        <v>20135</v>
      </c>
    </row>
    <row r="147" ht="56.25" customHeight="1">
      <c r="A147" s="5" t="s">
        <v>20159</v>
      </c>
      <c r="B147" s="6" t="str">
        <f>image("https://i.imgur.com/MSfnLSe.png")</f>
        <v/>
      </c>
      <c r="C147" s="6">
        <v>5000.0</v>
      </c>
      <c r="D147" s="5" t="s">
        <v>20134</v>
      </c>
      <c r="E147" s="5" t="s">
        <v>20135</v>
      </c>
    </row>
    <row r="148" ht="56.25" customHeight="1">
      <c r="A148" s="5" t="s">
        <v>20160</v>
      </c>
      <c r="B148" s="6" t="str">
        <f>image("https://i.imgur.com/7T6X6Wz.png")</f>
        <v/>
      </c>
      <c r="C148" s="6">
        <v>5000.0</v>
      </c>
      <c r="D148" s="5" t="s">
        <v>20134</v>
      </c>
      <c r="E148" s="5" t="s">
        <v>20135</v>
      </c>
    </row>
    <row r="149" ht="56.25" customHeight="1">
      <c r="A149" s="5" t="s">
        <v>20161</v>
      </c>
      <c r="B149" s="6" t="str">
        <f>image("https://i.imgur.com/rA1E8gY.png")</f>
        <v/>
      </c>
      <c r="C149" s="6">
        <v>5000.0</v>
      </c>
      <c r="D149" s="5" t="s">
        <v>20134</v>
      </c>
      <c r="E149" s="5" t="s">
        <v>20135</v>
      </c>
    </row>
    <row r="150" ht="56.25" customHeight="1">
      <c r="A150" s="5" t="s">
        <v>20162</v>
      </c>
      <c r="B150" s="6" t="str">
        <f>image("https://i.imgur.com/ODXGzkv.png")</f>
        <v/>
      </c>
      <c r="C150" s="6">
        <v>5000.0</v>
      </c>
      <c r="D150" s="5" t="s">
        <v>20134</v>
      </c>
      <c r="E150" s="5" t="s">
        <v>20135</v>
      </c>
    </row>
    <row r="151" ht="56.25" customHeight="1">
      <c r="A151" s="5" t="s">
        <v>20168</v>
      </c>
      <c r="B151" s="6" t="str">
        <f>image("https://i.imgur.com/7bImGcv.png")</f>
        <v/>
      </c>
      <c r="C151" s="6">
        <v>5000.0</v>
      </c>
      <c r="D151" s="5" t="s">
        <v>20134</v>
      </c>
      <c r="E151" s="5" t="s">
        <v>20135</v>
      </c>
    </row>
    <row r="152" ht="56.25" customHeight="1">
      <c r="A152" s="5" t="s">
        <v>20182</v>
      </c>
      <c r="B152" s="6" t="str">
        <f>image("https://i.imgur.com/ZUkP327.png")</f>
        <v/>
      </c>
      <c r="C152" s="6">
        <v>5000.0</v>
      </c>
      <c r="D152" s="5" t="s">
        <v>20134</v>
      </c>
      <c r="E152" s="5" t="s">
        <v>20135</v>
      </c>
    </row>
    <row r="153" ht="56.25" customHeight="1">
      <c r="A153" s="5" t="s">
        <v>20185</v>
      </c>
      <c r="B153" s="6" t="str">
        <f>image("https://i.imgur.com/1rMilyr.png")</f>
        <v/>
      </c>
      <c r="C153" s="6">
        <v>5000.0</v>
      </c>
      <c r="D153" s="5" t="s">
        <v>20134</v>
      </c>
      <c r="E153" s="5" t="s">
        <v>20135</v>
      </c>
    </row>
    <row r="154" ht="56.25" customHeight="1">
      <c r="A154" s="5" t="s">
        <v>20189</v>
      </c>
      <c r="B154" s="6" t="str">
        <f>image("https://i.imgur.com/sKYy3Sm.png")</f>
        <v/>
      </c>
      <c r="C154" s="6">
        <v>5000.0</v>
      </c>
      <c r="D154" s="5" t="s">
        <v>20134</v>
      </c>
      <c r="E154" s="5" t="s">
        <v>20135</v>
      </c>
    </row>
    <row r="155" ht="56.25" customHeight="1">
      <c r="A155" s="5" t="s">
        <v>20192</v>
      </c>
      <c r="B155" s="6" t="str">
        <f>image("https://i.imgur.com/21RAz9s.png")</f>
        <v/>
      </c>
      <c r="C155" s="6">
        <v>5000.0</v>
      </c>
      <c r="D155" s="5" t="s">
        <v>20134</v>
      </c>
      <c r="E155" s="5" t="s">
        <v>20135</v>
      </c>
    </row>
    <row r="156" ht="56.25" customHeight="1">
      <c r="A156" s="5" t="s">
        <v>20194</v>
      </c>
      <c r="B156" s="6" t="str">
        <f>image("https://i.imgur.com/C8CgkuA.png")</f>
        <v/>
      </c>
      <c r="C156" s="6">
        <v>5000.0</v>
      </c>
      <c r="D156" s="5" t="s">
        <v>20134</v>
      </c>
      <c r="E156" s="5" t="s">
        <v>20135</v>
      </c>
    </row>
    <row r="157" ht="56.25" customHeight="1">
      <c r="A157" s="5" t="s">
        <v>20199</v>
      </c>
      <c r="B157" s="6" t="str">
        <f>image("https://i.imgur.com/oSRo85P.png")</f>
        <v/>
      </c>
      <c r="C157" s="6">
        <v>5000.0</v>
      </c>
      <c r="D157" s="5" t="s">
        <v>20134</v>
      </c>
      <c r="E157" s="5" t="s">
        <v>20135</v>
      </c>
    </row>
    <row r="158" ht="56.25" customHeight="1">
      <c r="A158" s="5" t="s">
        <v>20203</v>
      </c>
      <c r="B158" s="6" t="str">
        <f>image("https://i.imgur.com/cjLcK2x.png")</f>
        <v/>
      </c>
      <c r="C158" s="6">
        <v>5000.0</v>
      </c>
      <c r="D158" s="5" t="s">
        <v>20134</v>
      </c>
      <c r="E158" s="5" t="s">
        <v>20135</v>
      </c>
    </row>
    <row r="159" ht="56.25" customHeight="1">
      <c r="A159" s="5" t="s">
        <v>20207</v>
      </c>
      <c r="B159" s="6" t="str">
        <f>image("https://i.imgur.com/Zrckqv6.png")</f>
        <v/>
      </c>
      <c r="C159" s="6">
        <v>5000.0</v>
      </c>
      <c r="D159" s="5" t="s">
        <v>20134</v>
      </c>
      <c r="E159" s="5" t="s">
        <v>20135</v>
      </c>
    </row>
    <row r="160" ht="56.25" customHeight="1">
      <c r="A160" s="5" t="s">
        <v>20211</v>
      </c>
      <c r="B160" s="6" t="str">
        <f>image("https://i.imgur.com/xKKLfEa.png")</f>
        <v/>
      </c>
      <c r="C160" s="6">
        <v>5000.0</v>
      </c>
      <c r="D160" s="5" t="s">
        <v>20134</v>
      </c>
      <c r="E160" s="5" t="s">
        <v>20135</v>
      </c>
    </row>
    <row r="161" ht="56.25" customHeight="1">
      <c r="A161" s="5" t="s">
        <v>20215</v>
      </c>
      <c r="B161" s="6" t="str">
        <f>image("https://i.imgur.com/zZ3XNGM.png")</f>
        <v/>
      </c>
      <c r="C161" s="6">
        <v>5000.0</v>
      </c>
      <c r="D161" s="5" t="s">
        <v>20134</v>
      </c>
      <c r="E161" s="5" t="s">
        <v>20135</v>
      </c>
    </row>
    <row r="162" ht="56.25" customHeight="1">
      <c r="A162" s="5" t="s">
        <v>20219</v>
      </c>
      <c r="B162" s="6" t="str">
        <f>image("https://i.imgur.com/hmlasyQ.png")</f>
        <v/>
      </c>
      <c r="C162" s="6">
        <v>5000.0</v>
      </c>
      <c r="D162" s="5" t="s">
        <v>20134</v>
      </c>
      <c r="E162" s="5" t="s">
        <v>20135</v>
      </c>
    </row>
    <row r="163" ht="56.25" customHeight="1">
      <c r="A163" s="5" t="s">
        <v>20223</v>
      </c>
      <c r="B163" s="6" t="str">
        <f>image("https://i.imgur.com/XhROzwQ.png")</f>
        <v/>
      </c>
      <c r="C163" s="6">
        <v>5000.0</v>
      </c>
      <c r="D163" s="5" t="s">
        <v>20134</v>
      </c>
      <c r="E163" s="5" t="s">
        <v>20135</v>
      </c>
    </row>
    <row r="164" ht="56.25" customHeight="1">
      <c r="A164" s="5" t="s">
        <v>20227</v>
      </c>
      <c r="B164" s="6" t="str">
        <f>image("https://i.imgur.com/8NuAlas.png")</f>
        <v/>
      </c>
      <c r="C164" s="6">
        <v>5000.0</v>
      </c>
      <c r="D164" s="5" t="s">
        <v>20134</v>
      </c>
      <c r="E164" s="5" t="s">
        <v>20135</v>
      </c>
    </row>
    <row r="165" ht="56.25" customHeight="1">
      <c r="A165" s="5" t="s">
        <v>20231</v>
      </c>
      <c r="B165" s="6" t="str">
        <f>image("https://i.imgur.com/NiSlrYE.png")</f>
        <v/>
      </c>
      <c r="C165" s="6">
        <v>5000.0</v>
      </c>
      <c r="D165" s="5" t="s">
        <v>20134</v>
      </c>
      <c r="E165" s="5" t="s">
        <v>20135</v>
      </c>
    </row>
    <row r="166" ht="56.25" customHeight="1">
      <c r="A166" s="5" t="s">
        <v>20234</v>
      </c>
      <c r="B166" s="6" t="str">
        <f>image("https://i.imgur.com/xMeUNer.png")</f>
        <v/>
      </c>
      <c r="C166" s="6">
        <v>228000.0</v>
      </c>
      <c r="D166" s="5" t="s">
        <v>20236</v>
      </c>
      <c r="E166" s="5" t="s">
        <v>19871</v>
      </c>
    </row>
    <row r="167" ht="56.25" customHeight="1">
      <c r="A167" s="5" t="s">
        <v>20237</v>
      </c>
      <c r="B167" s="6" t="str">
        <f>image("https://i.imgur.com/6StQPIr.png")</f>
        <v/>
      </c>
      <c r="C167" s="6">
        <v>128000.0</v>
      </c>
      <c r="D167" s="5" t="s">
        <v>20236</v>
      </c>
      <c r="E167" s="5" t="s">
        <v>19871</v>
      </c>
    </row>
    <row r="168" ht="56.25" customHeight="1">
      <c r="A168" s="5" t="s">
        <v>20242</v>
      </c>
      <c r="B168" s="6" t="str">
        <f>image("https://i.imgur.com/6VOK8V0.png")</f>
        <v/>
      </c>
      <c r="C168" s="6">
        <v>198000.0</v>
      </c>
      <c r="D168" s="5" t="s">
        <v>20236</v>
      </c>
      <c r="E168" s="5" t="s">
        <v>19871</v>
      </c>
    </row>
    <row r="169" ht="56.25" customHeight="1">
      <c r="A169" s="5" t="s">
        <v>20246</v>
      </c>
      <c r="B169" s="6" t="str">
        <f>image("https://i.imgur.com/9swCznq.png")</f>
        <v/>
      </c>
      <c r="C169" s="6">
        <v>168000.0</v>
      </c>
      <c r="D169" s="5" t="s">
        <v>20236</v>
      </c>
      <c r="E169" s="5" t="s">
        <v>19871</v>
      </c>
    </row>
    <row r="170" ht="56.25" customHeight="1">
      <c r="A170" s="5" t="s">
        <v>20251</v>
      </c>
      <c r="B170" s="6" t="str">
        <f>image("https://i.imgur.com/aV1zcjN.png")</f>
        <v/>
      </c>
      <c r="C170" s="6">
        <v>98000.0</v>
      </c>
      <c r="D170" s="5" t="s">
        <v>20236</v>
      </c>
      <c r="E170" s="5" t="s">
        <v>19871</v>
      </c>
    </row>
    <row r="171" ht="56.25" customHeight="1">
      <c r="A171" s="5" t="s">
        <v>20255</v>
      </c>
      <c r="B171" s="6" t="str">
        <f>image("https://i.imgur.com/HRFQfBk.png")</f>
        <v/>
      </c>
      <c r="C171" s="6">
        <v>228000.0</v>
      </c>
      <c r="D171" s="5" t="s">
        <v>20236</v>
      </c>
      <c r="E171" s="5" t="s">
        <v>19871</v>
      </c>
    </row>
    <row r="172" ht="56.25" customHeight="1">
      <c r="A172" s="5" t="s">
        <v>20259</v>
      </c>
      <c r="B172" s="6" t="str">
        <f>image("https://i.imgur.com/IQVnYrE.png")</f>
        <v/>
      </c>
      <c r="C172" s="6">
        <v>168000.0</v>
      </c>
      <c r="D172" s="5" t="s">
        <v>20236</v>
      </c>
      <c r="E172" s="5" t="s">
        <v>19871</v>
      </c>
    </row>
    <row r="173" ht="56.25" customHeight="1">
      <c r="A173" s="5" t="s">
        <v>20262</v>
      </c>
      <c r="B173" s="6" t="str">
        <f>image("https://i.imgur.com/XyshDk0.png")</f>
        <v/>
      </c>
      <c r="C173" s="6">
        <v>128000.0</v>
      </c>
      <c r="D173" s="5" t="s">
        <v>20236</v>
      </c>
      <c r="E173" s="5" t="s">
        <v>19871</v>
      </c>
    </row>
    <row r="174" ht="56.25" customHeight="1">
      <c r="A174" s="5" t="s">
        <v>20266</v>
      </c>
      <c r="B174" s="6" t="str">
        <f>image("https://i.imgur.com/8pO2eYK.png")</f>
        <v/>
      </c>
      <c r="C174" s="6">
        <v>5000.0</v>
      </c>
      <c r="D174" s="5" t="s">
        <v>20268</v>
      </c>
      <c r="E174" s="5" t="s">
        <v>20135</v>
      </c>
    </row>
    <row r="175" ht="56.25" customHeight="1">
      <c r="A175" s="5" t="s">
        <v>20269</v>
      </c>
      <c r="B175" s="6" t="str">
        <f>image("https://i.imgur.com/oN3h6uN.png")</f>
        <v/>
      </c>
      <c r="C175" s="6">
        <v>5000.0</v>
      </c>
      <c r="D175" s="5" t="s">
        <v>20268</v>
      </c>
      <c r="E175" s="5" t="s">
        <v>20135</v>
      </c>
    </row>
    <row r="176" ht="56.25" customHeight="1">
      <c r="A176" s="5" t="s">
        <v>20273</v>
      </c>
      <c r="B176" s="6" t="str">
        <f>image("https://i.imgur.com/u5Syo82.png")</f>
        <v/>
      </c>
      <c r="C176" s="6">
        <v>5000.0</v>
      </c>
      <c r="D176" s="5" t="s">
        <v>20268</v>
      </c>
      <c r="E176" s="5" t="s">
        <v>20135</v>
      </c>
    </row>
    <row r="177" ht="56.25" customHeight="1">
      <c r="A177" s="5" t="s">
        <v>20276</v>
      </c>
      <c r="B177" s="6" t="str">
        <f>image("https://i.imgur.com/M9sbNZJ.png")</f>
        <v/>
      </c>
      <c r="C177" s="6">
        <v>5000.0</v>
      </c>
      <c r="D177" s="5" t="s">
        <v>20268</v>
      </c>
      <c r="E177" s="5" t="s">
        <v>20135</v>
      </c>
    </row>
    <row r="178" ht="56.25" customHeight="1">
      <c r="A178" s="5" t="s">
        <v>20278</v>
      </c>
      <c r="B178" s="6" t="str">
        <f>image("https://i.imgur.com/edeAXko.png")</f>
        <v/>
      </c>
      <c r="C178" s="6">
        <v>5000.0</v>
      </c>
      <c r="D178" s="5" t="s">
        <v>20268</v>
      </c>
      <c r="E178" s="5" t="s">
        <v>20135</v>
      </c>
    </row>
    <row r="179" ht="56.25" customHeight="1">
      <c r="A179" s="5" t="s">
        <v>20282</v>
      </c>
      <c r="B179" s="6" t="str">
        <f>image("https://i.imgur.com/kG87WiB.png")</f>
        <v/>
      </c>
      <c r="C179" s="6">
        <v>5000.0</v>
      </c>
      <c r="D179" s="5" t="s">
        <v>20268</v>
      </c>
      <c r="E179" s="5" t="s">
        <v>20135</v>
      </c>
    </row>
    <row r="180" ht="56.25" customHeight="1">
      <c r="A180" s="5" t="s">
        <v>20287</v>
      </c>
      <c r="B180" s="6" t="str">
        <f>image("https://i.imgur.com/hfWqVmq.png")</f>
        <v/>
      </c>
      <c r="C180" s="6">
        <v>5000.0</v>
      </c>
      <c r="D180" s="5" t="s">
        <v>20268</v>
      </c>
      <c r="E180" s="5" t="s">
        <v>20135</v>
      </c>
    </row>
    <row r="181" ht="56.25" customHeight="1">
      <c r="A181" s="5" t="s">
        <v>20291</v>
      </c>
      <c r="B181" s="6" t="str">
        <f>image("https://i.imgur.com/Qw9n7ng.png")</f>
        <v/>
      </c>
      <c r="C181" s="6">
        <v>5000.0</v>
      </c>
      <c r="D181" s="5" t="s">
        <v>20268</v>
      </c>
      <c r="E181" s="5" t="s">
        <v>20135</v>
      </c>
    </row>
    <row r="182" ht="56.25" customHeight="1">
      <c r="A182" s="5" t="s">
        <v>20295</v>
      </c>
      <c r="B182" s="6" t="str">
        <f>image("https://i.imgur.com/3xNdI7T.png")</f>
        <v/>
      </c>
      <c r="C182" s="6">
        <v>5000.0</v>
      </c>
      <c r="D182" s="5" t="s">
        <v>20268</v>
      </c>
      <c r="E182" s="5" t="s">
        <v>20135</v>
      </c>
    </row>
    <row r="183" ht="56.25" customHeight="1">
      <c r="A183" s="5" t="s">
        <v>20299</v>
      </c>
      <c r="B183" s="6" t="str">
        <f>image("https://i.imgur.com/TbzIX4X.png")</f>
        <v/>
      </c>
      <c r="C183" s="6">
        <v>5000.0</v>
      </c>
      <c r="D183" s="5" t="s">
        <v>20268</v>
      </c>
      <c r="E183" s="5" t="s">
        <v>20135</v>
      </c>
    </row>
    <row r="184" ht="56.25" customHeight="1">
      <c r="A184" s="5" t="s">
        <v>20303</v>
      </c>
      <c r="B184" s="6" t="str">
        <f>image("https://i.imgur.com/jLScjRg.png")</f>
        <v/>
      </c>
      <c r="C184" s="6">
        <v>5000.0</v>
      </c>
      <c r="D184" s="5" t="s">
        <v>20268</v>
      </c>
      <c r="E184" s="5" t="s">
        <v>20135</v>
      </c>
    </row>
    <row r="185" ht="56.25" customHeight="1">
      <c r="A185" s="5" t="s">
        <v>20307</v>
      </c>
      <c r="B185" s="6" t="str">
        <f>image("https://i.imgur.com/uHChIHw.png")</f>
        <v/>
      </c>
      <c r="C185" s="6">
        <v>5000.0</v>
      </c>
      <c r="D185" s="5" t="s">
        <v>20268</v>
      </c>
      <c r="E185" s="5" t="s">
        <v>20135</v>
      </c>
    </row>
    <row r="186" ht="56.25" customHeight="1">
      <c r="A186" s="5" t="s">
        <v>20311</v>
      </c>
      <c r="B186" s="6" t="str">
        <f>image("https://i.imgur.com/YmGbcG7.png")</f>
        <v/>
      </c>
      <c r="C186" s="6">
        <v>5000.0</v>
      </c>
      <c r="D186" s="5" t="s">
        <v>20268</v>
      </c>
      <c r="E186" s="5" t="s">
        <v>20135</v>
      </c>
    </row>
    <row r="187" ht="56.25" customHeight="1">
      <c r="A187" s="5" t="s">
        <v>20314</v>
      </c>
      <c r="B187" s="6" t="str">
        <f>image("https://i.imgur.com/qgOdilD.png")</f>
        <v/>
      </c>
      <c r="C187" s="6">
        <v>5000.0</v>
      </c>
      <c r="D187" s="5" t="s">
        <v>20268</v>
      </c>
      <c r="E187" s="5" t="s">
        <v>20135</v>
      </c>
    </row>
    <row r="188" ht="56.25" customHeight="1">
      <c r="A188" s="5" t="s">
        <v>20316</v>
      </c>
      <c r="B188" s="6" t="str">
        <f>image("https://i.imgur.com/pIPopf1.png")</f>
        <v/>
      </c>
      <c r="C188" s="6">
        <v>5000.0</v>
      </c>
      <c r="D188" s="5" t="s">
        <v>20268</v>
      </c>
      <c r="E188" s="5" t="s">
        <v>20135</v>
      </c>
    </row>
    <row r="189" ht="56.25" customHeight="1">
      <c r="A189" s="5" t="s">
        <v>20319</v>
      </c>
      <c r="B189" s="6" t="str">
        <f>image("https://i.imgur.com/zL1Fm8c.png")</f>
        <v/>
      </c>
      <c r="C189" s="6">
        <v>5000.0</v>
      </c>
      <c r="D189" s="5" t="s">
        <v>20268</v>
      </c>
      <c r="E189" s="5" t="s">
        <v>20135</v>
      </c>
    </row>
    <row r="190" ht="56.25" customHeight="1">
      <c r="A190" s="5" t="s">
        <v>20321</v>
      </c>
      <c r="B190" s="6" t="str">
        <f>image("https://i.imgur.com/v2Cha8e.png")</f>
        <v/>
      </c>
      <c r="C190" s="6">
        <v>5000.0</v>
      </c>
      <c r="D190" s="5" t="s">
        <v>20268</v>
      </c>
      <c r="E190" s="5" t="s">
        <v>20135</v>
      </c>
    </row>
    <row r="191" ht="56.25" customHeight="1">
      <c r="A191" s="5" t="s">
        <v>20326</v>
      </c>
      <c r="B191" s="6" t="str">
        <f>image("https://i.imgur.com/kfqlt96.png")</f>
        <v/>
      </c>
      <c r="C191" s="6">
        <v>5000.0</v>
      </c>
      <c r="D191" s="5" t="s">
        <v>20268</v>
      </c>
      <c r="E191" s="5" t="s">
        <v>20135</v>
      </c>
    </row>
    <row r="192" ht="56.25" customHeight="1">
      <c r="A192" s="5" t="s">
        <v>20329</v>
      </c>
      <c r="B192" s="6" t="str">
        <f>image("https://i.imgur.com/G6uxcSb.png")</f>
        <v/>
      </c>
      <c r="C192" s="6">
        <v>5000.0</v>
      </c>
      <c r="D192" s="5" t="s">
        <v>20268</v>
      </c>
      <c r="E192" s="5" t="s">
        <v>20135</v>
      </c>
    </row>
    <row r="193" ht="56.25" customHeight="1">
      <c r="A193" s="5" t="s">
        <v>20331</v>
      </c>
      <c r="B193" s="6" t="str">
        <f>image("https://i.imgur.com/jUrokbA.png")</f>
        <v/>
      </c>
      <c r="C193" s="6">
        <v>5000.0</v>
      </c>
      <c r="D193" s="5" t="s">
        <v>20268</v>
      </c>
      <c r="E193" s="5" t="s">
        <v>20135</v>
      </c>
    </row>
    <row r="194" ht="56.25" customHeight="1">
      <c r="A194" s="5" t="s">
        <v>20335</v>
      </c>
      <c r="B194" s="6" t="str">
        <f>image("https://i.imgur.com/0ylpl6v.png")</f>
        <v/>
      </c>
      <c r="C194" s="6">
        <v>5000.0</v>
      </c>
      <c r="D194" s="5" t="s">
        <v>20268</v>
      </c>
      <c r="E194" s="5" t="s">
        <v>20135</v>
      </c>
    </row>
    <row r="195" ht="56.25" customHeight="1">
      <c r="A195" s="5" t="s">
        <v>20338</v>
      </c>
      <c r="B195" s="6" t="str">
        <f>image("https://i.imgur.com/4gg2hZW.png")</f>
        <v/>
      </c>
      <c r="C195" s="6">
        <v>5000.0</v>
      </c>
      <c r="D195" s="5" t="s">
        <v>20268</v>
      </c>
      <c r="E195" s="5" t="s">
        <v>20135</v>
      </c>
    </row>
    <row r="196" ht="56.25" customHeight="1">
      <c r="A196" s="5" t="s">
        <v>20341</v>
      </c>
      <c r="B196" s="6" t="str">
        <f>image("https://i.imgur.com/ajfEJ5g.png")</f>
        <v/>
      </c>
      <c r="C196" s="6">
        <v>5000.0</v>
      </c>
      <c r="D196" s="5" t="s">
        <v>20268</v>
      </c>
      <c r="E196" s="5" t="s">
        <v>20135</v>
      </c>
    </row>
    <row r="197" ht="56.25" customHeight="1">
      <c r="A197" s="5" t="s">
        <v>20345</v>
      </c>
      <c r="B197" s="6" t="str">
        <f>image("https://i.imgur.com/vmgnybp.png")</f>
        <v/>
      </c>
      <c r="C197" s="6">
        <v>5000.0</v>
      </c>
      <c r="D197" s="5" t="s">
        <v>20268</v>
      </c>
      <c r="E197" s="5" t="s">
        <v>20135</v>
      </c>
    </row>
    <row r="198" ht="56.25" customHeight="1">
      <c r="A198" s="5" t="s">
        <v>20346</v>
      </c>
      <c r="B198" s="6" t="str">
        <f>image("https://i.imgur.com/1rsPKQz.png")</f>
        <v/>
      </c>
      <c r="C198" s="6">
        <v>5000.0</v>
      </c>
      <c r="D198" s="5" t="s">
        <v>20268</v>
      </c>
      <c r="E198" s="5" t="s">
        <v>20135</v>
      </c>
    </row>
    <row r="199" ht="56.25" customHeight="1">
      <c r="A199" s="5" t="s">
        <v>20350</v>
      </c>
      <c r="B199" s="6" t="str">
        <f>image("https://i.imgur.com/0fng3dU.png")</f>
        <v/>
      </c>
      <c r="C199" s="6">
        <v>5000.0</v>
      </c>
      <c r="D199" s="5" t="s">
        <v>20268</v>
      </c>
      <c r="E199" s="5" t="s">
        <v>20135</v>
      </c>
    </row>
    <row r="200" ht="56.25" customHeight="1">
      <c r="A200" s="5" t="s">
        <v>20353</v>
      </c>
      <c r="B200" s="6" t="str">
        <f>image("https://i.imgur.com/H2Rg912.png")</f>
        <v/>
      </c>
      <c r="C200" s="6">
        <v>5000.0</v>
      </c>
      <c r="D200" s="5" t="s">
        <v>20268</v>
      </c>
      <c r="E200" s="5" t="s">
        <v>20135</v>
      </c>
    </row>
    <row r="201" ht="56.25" customHeight="1">
      <c r="A201" s="5" t="s">
        <v>20357</v>
      </c>
      <c r="B201" s="6" t="str">
        <f>image("https://i.imgur.com/OSMzypV.png")</f>
        <v/>
      </c>
      <c r="C201" s="6">
        <v>5000.0</v>
      </c>
      <c r="D201" s="5" t="s">
        <v>20268</v>
      </c>
      <c r="E201" s="5" t="s">
        <v>20135</v>
      </c>
    </row>
    <row r="202" ht="56.25" customHeight="1">
      <c r="A202" s="5" t="s">
        <v>20360</v>
      </c>
      <c r="B202" s="6" t="str">
        <f>image("https://i.imgur.com/jc5Icua.png")</f>
        <v/>
      </c>
      <c r="C202" s="6">
        <v>5000.0</v>
      </c>
      <c r="D202" s="5" t="s">
        <v>20268</v>
      </c>
      <c r="E202" s="5" t="s">
        <v>20135</v>
      </c>
    </row>
    <row r="203" ht="56.25" customHeight="1">
      <c r="A203" s="5" t="s">
        <v>20365</v>
      </c>
      <c r="B203" s="6" t="str">
        <f>image("https://i.imgur.com/4udiIHY.png")</f>
        <v/>
      </c>
      <c r="C203" s="6">
        <v>5000.0</v>
      </c>
      <c r="D203" s="5" t="s">
        <v>20268</v>
      </c>
      <c r="E203" s="5" t="s">
        <v>20135</v>
      </c>
    </row>
    <row r="204" ht="56.25" customHeight="1">
      <c r="A204" s="5" t="s">
        <v>20370</v>
      </c>
      <c r="B204" s="6" t="str">
        <f>image("https://i.imgur.com/WAE03xa.png")</f>
        <v/>
      </c>
      <c r="C204" s="6">
        <v>5000.0</v>
      </c>
      <c r="D204" s="5" t="s">
        <v>20268</v>
      </c>
      <c r="E204" s="5" t="s">
        <v>20135</v>
      </c>
    </row>
    <row r="205" ht="56.25" customHeight="1">
      <c r="A205" s="5"/>
      <c r="B205" s="6" t="str">
        <f>image("https://i.imgur.com/O8dAQuU.png")</f>
        <v/>
      </c>
      <c r="C205" s="6">
        <v>5000.0</v>
      </c>
      <c r="D205" s="5" t="s">
        <v>20268</v>
      </c>
      <c r="E205" s="5" t="s">
        <v>20135</v>
      </c>
    </row>
    <row r="206" ht="56.25" customHeight="1">
      <c r="A206" s="5" t="s">
        <v>20375</v>
      </c>
      <c r="B206" s="6" t="str">
        <f>image("https://i.imgur.com/gQKYqNh.png")</f>
        <v/>
      </c>
      <c r="C206" s="6">
        <v>5000.0</v>
      </c>
      <c r="D206" s="5" t="s">
        <v>20379</v>
      </c>
      <c r="E206" s="5" t="s">
        <v>20380</v>
      </c>
    </row>
    <row r="207" ht="56.25" customHeight="1">
      <c r="A207" s="5" t="s">
        <v>20381</v>
      </c>
      <c r="B207" s="6" t="str">
        <f>image("https://i.imgur.com/fld93pU.png")</f>
        <v/>
      </c>
      <c r="C207" s="6">
        <v>5000.0</v>
      </c>
      <c r="D207" s="5" t="s">
        <v>20379</v>
      </c>
      <c r="E207" s="5" t="s">
        <v>20380</v>
      </c>
    </row>
    <row r="208" ht="56.25" customHeight="1">
      <c r="A208" s="5" t="s">
        <v>20385</v>
      </c>
      <c r="B208" s="6" t="str">
        <f>image("https://i.imgur.com/2TSboAm.png")</f>
        <v/>
      </c>
      <c r="C208" s="6">
        <v>5000.0</v>
      </c>
      <c r="D208" s="5" t="s">
        <v>20379</v>
      </c>
      <c r="E208" s="5" t="s">
        <v>20380</v>
      </c>
    </row>
    <row r="209" ht="56.25" customHeight="1">
      <c r="A209" s="5" t="s">
        <v>20389</v>
      </c>
      <c r="B209" s="6" t="str">
        <f>image("https://i.imgur.com/Bac8A9S.png")</f>
        <v/>
      </c>
      <c r="C209" s="6">
        <v>5000.0</v>
      </c>
      <c r="D209" s="5" t="s">
        <v>20379</v>
      </c>
      <c r="E209" s="5" t="s">
        <v>20380</v>
      </c>
    </row>
    <row r="210" ht="56.25" customHeight="1">
      <c r="A210" s="5" t="s">
        <v>20390</v>
      </c>
      <c r="B210" s="6" t="str">
        <f>image("https://i.imgur.com/LlzhLcO.png")</f>
        <v/>
      </c>
      <c r="C210" s="6">
        <v>5000.0</v>
      </c>
      <c r="D210" s="5" t="s">
        <v>20379</v>
      </c>
      <c r="E210" s="5" t="s">
        <v>20380</v>
      </c>
    </row>
    <row r="211" ht="56.25" customHeight="1">
      <c r="A211" s="5" t="s">
        <v>20393</v>
      </c>
      <c r="B211" s="6" t="str">
        <f>image("https://i.imgur.com/TK4pw4B.png")</f>
        <v/>
      </c>
      <c r="C211" s="6">
        <v>5000.0</v>
      </c>
      <c r="D211" s="5" t="s">
        <v>20379</v>
      </c>
      <c r="E211" s="5" t="s">
        <v>20380</v>
      </c>
    </row>
    <row r="212" ht="56.25" customHeight="1">
      <c r="A212" s="5" t="s">
        <v>20395</v>
      </c>
      <c r="B212" s="6" t="str">
        <f>image("https://i.imgur.com/UqEGnMG.png")</f>
        <v/>
      </c>
      <c r="C212" s="6">
        <v>5000.0</v>
      </c>
      <c r="D212" s="5" t="s">
        <v>20379</v>
      </c>
      <c r="E212" s="5" t="s">
        <v>20380</v>
      </c>
    </row>
    <row r="213" ht="56.25" customHeight="1">
      <c r="A213" s="5" t="s">
        <v>20399</v>
      </c>
      <c r="B213" s="6" t="str">
        <f>image("https://i.imgur.com/Rvi8f0w.png")</f>
        <v/>
      </c>
      <c r="C213" s="6">
        <v>5000.0</v>
      </c>
      <c r="D213" s="5" t="s">
        <v>20379</v>
      </c>
      <c r="E213" s="5" t="s">
        <v>20380</v>
      </c>
    </row>
    <row r="214" ht="56.25" customHeight="1">
      <c r="A214" s="5" t="s">
        <v>20403</v>
      </c>
      <c r="B214" s="6" t="str">
        <f>image("https://i.imgur.com/hG67nD4.png")</f>
        <v/>
      </c>
      <c r="C214" s="6">
        <v>5000.0</v>
      </c>
      <c r="D214" s="5" t="s">
        <v>20379</v>
      </c>
      <c r="E214" s="5" t="s">
        <v>20380</v>
      </c>
    </row>
    <row r="215" ht="56.25" customHeight="1">
      <c r="A215" s="5" t="s">
        <v>20407</v>
      </c>
      <c r="B215" s="6" t="str">
        <f>image("https://i.imgur.com/RrUd1B2.png")</f>
        <v/>
      </c>
      <c r="C215" s="6">
        <v>5000.0</v>
      </c>
      <c r="D215" s="5" t="s">
        <v>20379</v>
      </c>
      <c r="E215" s="5" t="s">
        <v>20380</v>
      </c>
    </row>
    <row r="216" ht="56.25" customHeight="1">
      <c r="A216" s="5" t="s">
        <v>20412</v>
      </c>
      <c r="B216" s="6" t="str">
        <f>image("https://i.imgur.com/lQRSqxD.png")</f>
        <v/>
      </c>
      <c r="C216" s="6">
        <v>5000.0</v>
      </c>
      <c r="D216" s="5" t="s">
        <v>20379</v>
      </c>
      <c r="E216" s="5" t="s">
        <v>20380</v>
      </c>
    </row>
    <row r="217" ht="56.25" customHeight="1">
      <c r="A217" s="5" t="s">
        <v>20413</v>
      </c>
      <c r="B217" s="6" t="str">
        <f>image("https://i.imgur.com/R3yOLhQ.png")</f>
        <v/>
      </c>
      <c r="C217" s="6">
        <v>5000.0</v>
      </c>
      <c r="D217" s="5" t="s">
        <v>20379</v>
      </c>
      <c r="E217" s="5" t="s">
        <v>20380</v>
      </c>
    </row>
    <row r="218" ht="56.25" customHeight="1">
      <c r="A218" s="5" t="s">
        <v>20418</v>
      </c>
      <c r="B218" s="6" t="str">
        <f>image("https://i.imgur.com/V8pSUog.png")</f>
        <v/>
      </c>
      <c r="C218" s="6">
        <v>5000.0</v>
      </c>
      <c r="D218" s="5" t="s">
        <v>20379</v>
      </c>
      <c r="E218" s="5" t="s">
        <v>20380</v>
      </c>
    </row>
    <row r="219" ht="56.25" customHeight="1">
      <c r="A219" s="5" t="s">
        <v>20419</v>
      </c>
      <c r="B219" s="6" t="str">
        <f>image("https://i.imgur.com/Cjkbymm.png")</f>
        <v/>
      </c>
      <c r="C219" s="6">
        <v>5000.0</v>
      </c>
      <c r="D219" s="5" t="s">
        <v>20379</v>
      </c>
      <c r="E219" s="5" t="s">
        <v>20380</v>
      </c>
    </row>
    <row r="220" ht="56.25" customHeight="1">
      <c r="A220" s="5" t="s">
        <v>20423</v>
      </c>
      <c r="B220" s="6" t="str">
        <f>image("https://i.imgur.com/AonQaFf.png")</f>
        <v/>
      </c>
      <c r="C220" s="6">
        <v>5000.0</v>
      </c>
      <c r="D220" s="5" t="s">
        <v>20379</v>
      </c>
      <c r="E220" s="5" t="s">
        <v>20380</v>
      </c>
    </row>
    <row r="221" ht="56.25" customHeight="1">
      <c r="A221" s="5" t="s">
        <v>20424</v>
      </c>
      <c r="B221" s="6" t="str">
        <f>image("https://i.imgur.com/0drXjap.png")</f>
        <v/>
      </c>
      <c r="C221" s="6">
        <v>5000.0</v>
      </c>
      <c r="D221" s="5" t="s">
        <v>20379</v>
      </c>
      <c r="E221" s="5" t="s">
        <v>20380</v>
      </c>
    </row>
    <row r="222" ht="56.25" customHeight="1">
      <c r="A222" s="5" t="s">
        <v>20427</v>
      </c>
      <c r="B222" s="6" t="str">
        <f>image("https://i.imgur.com/jOBmhEx.png")</f>
        <v/>
      </c>
      <c r="C222" s="6">
        <v>5000.0</v>
      </c>
      <c r="D222" s="5" t="s">
        <v>20379</v>
      </c>
      <c r="E222" s="5" t="s">
        <v>20380</v>
      </c>
    </row>
    <row r="223" ht="56.25" customHeight="1">
      <c r="A223" s="5" t="s">
        <v>20429</v>
      </c>
      <c r="B223" s="6" t="str">
        <f>image("https://i.imgur.com/9g30wx8.png")</f>
        <v/>
      </c>
      <c r="C223" s="6">
        <v>5000.0</v>
      </c>
      <c r="D223" s="5" t="s">
        <v>20379</v>
      </c>
      <c r="E223" s="5" t="s">
        <v>20380</v>
      </c>
    </row>
    <row r="224" ht="56.25" customHeight="1">
      <c r="A224" s="5" t="s">
        <v>20432</v>
      </c>
      <c r="B224" s="6" t="str">
        <f>image("https://i.imgur.com/Hl9uK5D.png")</f>
        <v/>
      </c>
      <c r="C224" s="6">
        <v>5000.0</v>
      </c>
      <c r="D224" s="5" t="s">
        <v>20379</v>
      </c>
      <c r="E224" s="5" t="s">
        <v>20380</v>
      </c>
    </row>
    <row r="225" ht="56.25" customHeight="1">
      <c r="A225" s="5" t="s">
        <v>20434</v>
      </c>
      <c r="B225" s="6" t="str">
        <f>image("https://i.imgur.com/Z0aKu8I.png")</f>
        <v/>
      </c>
      <c r="C225" s="6">
        <v>5000.0</v>
      </c>
      <c r="D225" s="5" t="s">
        <v>20379</v>
      </c>
      <c r="E225" s="5" t="s">
        <v>20380</v>
      </c>
    </row>
    <row r="226" ht="56.25" customHeight="1">
      <c r="A226" s="5" t="s">
        <v>20435</v>
      </c>
      <c r="B226" s="6" t="str">
        <f>image("https://i.imgur.com/o7MqgxU.png")</f>
        <v/>
      </c>
      <c r="C226" s="6">
        <v>5000.0</v>
      </c>
      <c r="D226" s="5" t="s">
        <v>20379</v>
      </c>
      <c r="E226" s="5" t="s">
        <v>20380</v>
      </c>
    </row>
    <row r="227" ht="56.25" customHeight="1">
      <c r="A227" s="5" t="s">
        <v>20438</v>
      </c>
      <c r="B227" s="6" t="str">
        <f>image("https://i.imgur.com/oxSsdDT.png")</f>
        <v/>
      </c>
      <c r="C227" s="6">
        <v>5000.0</v>
      </c>
      <c r="D227" s="5" t="s">
        <v>20379</v>
      </c>
      <c r="E227" s="5" t="s">
        <v>20380</v>
      </c>
    </row>
    <row r="228" ht="56.25" customHeight="1">
      <c r="A228" s="5" t="s">
        <v>20441</v>
      </c>
      <c r="B228" s="6" t="str">
        <f>image("https://i.imgur.com/VkDYoZj.png")</f>
        <v/>
      </c>
      <c r="C228" s="6">
        <v>5000.0</v>
      </c>
      <c r="D228" s="5" t="s">
        <v>20379</v>
      </c>
      <c r="E228" s="5" t="s">
        <v>20380</v>
      </c>
    </row>
    <row r="229" ht="56.25" customHeight="1">
      <c r="A229" s="5" t="s">
        <v>20444</v>
      </c>
      <c r="B229" s="6" t="str">
        <f>image("https://i.imgur.com/TCiAxBb.png")</f>
        <v/>
      </c>
      <c r="C229" s="6">
        <v>5000.0</v>
      </c>
      <c r="D229" s="5" t="s">
        <v>20379</v>
      </c>
      <c r="E229" s="5" t="s">
        <v>20380</v>
      </c>
    </row>
    <row r="230" ht="56.25" customHeight="1">
      <c r="A230" s="5" t="s">
        <v>20446</v>
      </c>
      <c r="B230" s="6" t="str">
        <f>image("https://i.imgur.com/aufmTQI.png")</f>
        <v/>
      </c>
      <c r="C230" s="6">
        <v>5000.0</v>
      </c>
      <c r="D230" s="5" t="s">
        <v>20379</v>
      </c>
      <c r="E230" s="5" t="s">
        <v>20380</v>
      </c>
    </row>
    <row r="231" ht="56.25" customHeight="1">
      <c r="A231" s="5" t="s">
        <v>20447</v>
      </c>
      <c r="B231" s="6" t="str">
        <f>image("https://i.imgur.com/lhaLqeQ.png")</f>
        <v/>
      </c>
      <c r="C231" s="6">
        <v>5000.0</v>
      </c>
      <c r="D231" s="5" t="s">
        <v>20379</v>
      </c>
      <c r="E231" s="5" t="s">
        <v>20380</v>
      </c>
    </row>
    <row r="232" ht="56.25" customHeight="1">
      <c r="A232" s="5" t="s">
        <v>20450</v>
      </c>
      <c r="B232" s="6" t="str">
        <f>image("https://i.imgur.com/uWAFVjP.png")</f>
        <v/>
      </c>
      <c r="C232" s="6">
        <v>5000.0</v>
      </c>
      <c r="D232" s="5" t="s">
        <v>20379</v>
      </c>
      <c r="E232" s="5" t="s">
        <v>20380</v>
      </c>
    </row>
    <row r="233" ht="56.25" customHeight="1">
      <c r="A233" s="5" t="s">
        <v>20452</v>
      </c>
      <c r="B233" s="6" t="str">
        <f>image("https://i.imgur.com/HwYzJVm.png")</f>
        <v/>
      </c>
      <c r="C233" s="6">
        <v>5000.0</v>
      </c>
      <c r="D233" s="5" t="s">
        <v>20379</v>
      </c>
      <c r="E233" s="5" t="s">
        <v>20380</v>
      </c>
    </row>
    <row r="234" ht="56.25" customHeight="1">
      <c r="A234" s="5" t="s">
        <v>20453</v>
      </c>
      <c r="B234" s="6" t="str">
        <f>image("https://i.imgur.com/XbdrU3n.png")</f>
        <v/>
      </c>
      <c r="C234" s="6">
        <v>5000.0</v>
      </c>
      <c r="D234" s="5" t="s">
        <v>20379</v>
      </c>
      <c r="E234" s="5" t="s">
        <v>20380</v>
      </c>
    </row>
    <row r="235" ht="56.25" customHeight="1">
      <c r="A235" s="5" t="s">
        <v>20456</v>
      </c>
      <c r="B235" s="6" t="str">
        <f>image("https://i.imgur.com/XjzUErF.png")</f>
        <v/>
      </c>
      <c r="C235" s="6">
        <v>5000.0</v>
      </c>
      <c r="D235" s="5" t="s">
        <v>20379</v>
      </c>
      <c r="E235" s="5" t="s">
        <v>20380</v>
      </c>
    </row>
    <row r="236" ht="56.25" customHeight="1">
      <c r="A236" s="5" t="s">
        <v>20458</v>
      </c>
      <c r="B236" s="6" t="str">
        <f>image("https://i.imgur.com/Nis0qQG.png")</f>
        <v/>
      </c>
      <c r="C236" s="6">
        <v>5000.0</v>
      </c>
      <c r="D236" s="5" t="s">
        <v>20379</v>
      </c>
      <c r="E236" s="5" t="s">
        <v>20380</v>
      </c>
    </row>
    <row r="237" ht="56.25" customHeight="1">
      <c r="A237" s="5" t="s">
        <v>20459</v>
      </c>
      <c r="B237" s="6" t="str">
        <f>image("https://i.imgur.com/Etixxi0.png")</f>
        <v/>
      </c>
      <c r="C237" s="6">
        <v>5000.0</v>
      </c>
      <c r="D237" s="5" t="s">
        <v>20379</v>
      </c>
      <c r="E237" s="5" t="s">
        <v>20380</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2" width="10.86"/>
    <col customWidth="1" min="3" max="3" width="6.57"/>
    <col customWidth="1" min="4" max="4" width="13.0"/>
    <col customWidth="1" min="5" max="6" width="10.86"/>
  </cols>
  <sheetData>
    <row r="1" ht="26.25" customHeight="1">
      <c r="A1" s="1" t="s">
        <v>0</v>
      </c>
      <c r="B1" s="1" t="s">
        <v>1</v>
      </c>
      <c r="C1" s="2" t="s">
        <v>20022</v>
      </c>
      <c r="D1" s="1" t="s">
        <v>19118</v>
      </c>
      <c r="E1" s="1" t="s">
        <v>27</v>
      </c>
      <c r="F1" s="2" t="s">
        <v>29</v>
      </c>
    </row>
    <row r="2" ht="56.25" customHeight="1">
      <c r="A2" s="5" t="s">
        <v>20023</v>
      </c>
      <c r="B2" s="5" t="str">
        <f>image("https://i.imgur.com/RZsW5np.png")</f>
        <v/>
      </c>
      <c r="C2" s="6">
        <v>2000.0</v>
      </c>
      <c r="D2" s="5"/>
      <c r="E2" s="5" t="s">
        <v>20026</v>
      </c>
      <c r="F2" s="6">
        <v>8776.0</v>
      </c>
    </row>
    <row r="3" ht="56.25" customHeight="1">
      <c r="A3" s="5" t="s">
        <v>5286</v>
      </c>
      <c r="B3" s="5" t="str">
        <f t="shared" ref="B3:B4" si="1">image("https://i.imgur.com/bK3wMxl.png")</f>
        <v/>
      </c>
      <c r="C3" s="6">
        <v>1000.0</v>
      </c>
      <c r="D3" s="5" t="s">
        <v>20029</v>
      </c>
      <c r="E3" s="5" t="s">
        <v>5292</v>
      </c>
      <c r="F3" s="6">
        <v>3403.0</v>
      </c>
    </row>
    <row r="4" ht="56.25" customHeight="1">
      <c r="A4" s="5" t="s">
        <v>5293</v>
      </c>
      <c r="B4" s="5" t="str">
        <f t="shared" si="1"/>
        <v/>
      </c>
      <c r="C4" s="6">
        <v>1000.0</v>
      </c>
      <c r="D4" s="5" t="s">
        <v>20029</v>
      </c>
      <c r="E4" s="5" t="s">
        <v>5294</v>
      </c>
      <c r="F4" s="6">
        <v>5213.0</v>
      </c>
    </row>
    <row r="5" ht="56.25" customHeight="1">
      <c r="A5" s="5" t="s">
        <v>20031</v>
      </c>
      <c r="B5" s="5" t="str">
        <f>image("https://i.imgur.com/NdMAOFh.png")</f>
        <v/>
      </c>
      <c r="C5" s="6">
        <v>500.0</v>
      </c>
      <c r="D5" s="5"/>
      <c r="E5" s="5" t="s">
        <v>20032</v>
      </c>
      <c r="F5" s="6">
        <v>9964.0</v>
      </c>
    </row>
    <row r="6" ht="56.25" customHeight="1">
      <c r="A6" s="5" t="s">
        <v>5295</v>
      </c>
      <c r="B6" s="5" t="str">
        <f>image("https://i.imgur.com/bK3wMxl.png")</f>
        <v/>
      </c>
      <c r="C6" s="6">
        <v>1000.0</v>
      </c>
      <c r="D6" s="5" t="s">
        <v>20029</v>
      </c>
      <c r="E6" s="5" t="s">
        <v>5299</v>
      </c>
      <c r="F6" s="6">
        <v>3080.0</v>
      </c>
    </row>
    <row r="7" ht="56.25" customHeight="1">
      <c r="A7" s="5" t="s">
        <v>20035</v>
      </c>
      <c r="B7" s="5" t="str">
        <f>image("https://i.imgur.com/RZsW5np.png")</f>
        <v/>
      </c>
      <c r="C7" s="6">
        <v>2000.0</v>
      </c>
      <c r="D7" s="5"/>
      <c r="E7" s="5" t="s">
        <v>20037</v>
      </c>
      <c r="F7" s="6">
        <v>8774.0</v>
      </c>
    </row>
    <row r="8" ht="56.25" customHeight="1">
      <c r="A8" s="5" t="s">
        <v>20038</v>
      </c>
      <c r="B8" s="5" t="str">
        <f>image("https://i.imgur.com/sNreCAw.png")</f>
        <v/>
      </c>
      <c r="C8" s="6">
        <v>6000.0</v>
      </c>
      <c r="D8" s="5"/>
      <c r="E8" s="5" t="s">
        <v>20040</v>
      </c>
      <c r="F8" s="6">
        <v>2543.0</v>
      </c>
    </row>
    <row r="9" ht="56.25" customHeight="1">
      <c r="A9" s="5" t="s">
        <v>5302</v>
      </c>
      <c r="B9" s="5" t="str">
        <f t="shared" ref="B9:B10" si="2">image("https://i.imgur.com/bK3wMxl.png")</f>
        <v/>
      </c>
      <c r="C9" s="6">
        <v>1000.0</v>
      </c>
      <c r="D9" s="5" t="s">
        <v>20029</v>
      </c>
      <c r="E9" s="5" t="s">
        <v>5305</v>
      </c>
      <c r="F9" s="6">
        <v>4349.0</v>
      </c>
    </row>
    <row r="10" ht="56.25" customHeight="1">
      <c r="A10" s="5" t="s">
        <v>5306</v>
      </c>
      <c r="B10" s="5" t="str">
        <f t="shared" si="2"/>
        <v/>
      </c>
      <c r="C10" s="6">
        <v>1000.0</v>
      </c>
      <c r="D10" s="5" t="s">
        <v>20029</v>
      </c>
      <c r="E10" s="5" t="s">
        <v>5307</v>
      </c>
      <c r="F10" s="6">
        <v>4350.0</v>
      </c>
    </row>
    <row r="11" ht="56.25" customHeight="1">
      <c r="A11" s="5" t="s">
        <v>20043</v>
      </c>
      <c r="B11" s="5" t="str">
        <f>image("https://i.imgur.com/RZsW5np.png")</f>
        <v/>
      </c>
      <c r="C11" s="6">
        <v>2800.0</v>
      </c>
      <c r="D11" s="5"/>
      <c r="E11" s="5" t="s">
        <v>20045</v>
      </c>
      <c r="F11" s="6">
        <v>9771.0</v>
      </c>
    </row>
    <row r="12" ht="56.25" customHeight="1">
      <c r="A12" s="5" t="s">
        <v>20046</v>
      </c>
      <c r="B12" s="5" t="str">
        <f>image("https://i.imgur.com/GHbUUKS.png")</f>
        <v/>
      </c>
      <c r="C12" s="6">
        <v>800.0</v>
      </c>
      <c r="D12" s="5"/>
      <c r="E12" s="5" t="s">
        <v>20047</v>
      </c>
      <c r="F12" s="6">
        <v>12185.0</v>
      </c>
    </row>
    <row r="13" ht="56.25" customHeight="1">
      <c r="A13" s="5" t="s">
        <v>20049</v>
      </c>
      <c r="B13" s="5" t="str">
        <f>image("https://i.imgur.com/wjkZITy.png")</f>
        <v/>
      </c>
      <c r="C13" s="6">
        <v>1800.0</v>
      </c>
      <c r="D13" s="5"/>
      <c r="E13" s="5" t="s">
        <v>20050</v>
      </c>
      <c r="F13" s="6">
        <v>8760.0</v>
      </c>
    </row>
    <row r="14" ht="56.25" customHeight="1">
      <c r="A14" s="5" t="s">
        <v>20052</v>
      </c>
      <c r="B14" s="5" t="str">
        <f>image("https://i.imgur.com/RZsW5np.png")</f>
        <v/>
      </c>
      <c r="C14" s="6">
        <v>2000.0</v>
      </c>
      <c r="D14" s="5"/>
      <c r="E14" s="5" t="s">
        <v>20054</v>
      </c>
      <c r="F14" s="6">
        <v>8775.0</v>
      </c>
    </row>
    <row r="15" ht="56.25" customHeight="1">
      <c r="A15" s="5" t="s">
        <v>5309</v>
      </c>
      <c r="B15" s="5" t="str">
        <f t="shared" ref="B15:B18" si="3">image("https://i.imgur.com/bK3wMxl.png")</f>
        <v/>
      </c>
      <c r="C15" s="6">
        <v>1000.0</v>
      </c>
      <c r="D15" s="5" t="s">
        <v>20029</v>
      </c>
      <c r="E15" s="5" t="s">
        <v>5312</v>
      </c>
      <c r="F15" s="6">
        <v>4354.0</v>
      </c>
    </row>
    <row r="16" ht="56.25" customHeight="1">
      <c r="A16" s="5" t="s">
        <v>5313</v>
      </c>
      <c r="B16" s="5" t="str">
        <f t="shared" si="3"/>
        <v/>
      </c>
      <c r="C16" s="6">
        <v>1000.0</v>
      </c>
      <c r="D16" s="5" t="s">
        <v>20029</v>
      </c>
      <c r="E16" s="5" t="s">
        <v>5314</v>
      </c>
      <c r="F16" s="6">
        <v>4357.0</v>
      </c>
    </row>
    <row r="17" ht="56.25" customHeight="1">
      <c r="A17" s="5" t="s">
        <v>5316</v>
      </c>
      <c r="B17" s="5" t="str">
        <f t="shared" si="3"/>
        <v/>
      </c>
      <c r="C17" s="6">
        <v>1000.0</v>
      </c>
      <c r="D17" s="5" t="s">
        <v>20029</v>
      </c>
      <c r="E17" s="5" t="s">
        <v>5318</v>
      </c>
      <c r="F17" s="6">
        <v>5206.0</v>
      </c>
    </row>
    <row r="18" ht="56.25" customHeight="1">
      <c r="A18" s="5" t="s">
        <v>5320</v>
      </c>
      <c r="B18" s="5" t="str">
        <f t="shared" si="3"/>
        <v/>
      </c>
      <c r="C18" s="6">
        <v>1000.0</v>
      </c>
      <c r="D18" s="5" t="s">
        <v>20029</v>
      </c>
      <c r="E18" s="5" t="s">
        <v>5323</v>
      </c>
      <c r="F18" s="6">
        <v>11712.0</v>
      </c>
    </row>
    <row r="19" ht="56.25" customHeight="1">
      <c r="A19" s="5" t="s">
        <v>20058</v>
      </c>
      <c r="B19" s="5" t="str">
        <f>image("https://i.imgur.com/5ccmHPa.png")</f>
        <v/>
      </c>
      <c r="C19" s="6">
        <v>2000.0</v>
      </c>
      <c r="D19" s="5"/>
      <c r="E19" s="5" t="s">
        <v>20060</v>
      </c>
      <c r="F19" s="6">
        <v>5851.0</v>
      </c>
    </row>
    <row r="20" ht="56.25" customHeight="1">
      <c r="A20" s="5" t="s">
        <v>20061</v>
      </c>
      <c r="B20" s="5" t="str">
        <f>image("https://i.imgur.com/Nwri4DI.png")</f>
        <v/>
      </c>
      <c r="C20" s="6">
        <v>5000.0</v>
      </c>
      <c r="D20" s="5"/>
      <c r="E20" s="5" t="s">
        <v>20063</v>
      </c>
      <c r="F20" s="6">
        <v>9052.0</v>
      </c>
    </row>
    <row r="21" ht="56.25" customHeight="1">
      <c r="A21" s="5" t="s">
        <v>20064</v>
      </c>
      <c r="B21" s="5" t="str">
        <f>image("https://i.imgur.com/ma78edH.png")</f>
        <v/>
      </c>
      <c r="C21" s="6">
        <v>3000.0</v>
      </c>
      <c r="D21" s="5"/>
      <c r="E21" s="5" t="s">
        <v>20066</v>
      </c>
      <c r="F21" s="6">
        <v>9221.0</v>
      </c>
    </row>
    <row r="22" ht="56.25" customHeight="1">
      <c r="A22" s="5" t="s">
        <v>5324</v>
      </c>
      <c r="B22" s="5" t="str">
        <f>image("https://i.imgur.com/bK3wMxl.png")</f>
        <v/>
      </c>
      <c r="C22" s="6">
        <v>1000.0</v>
      </c>
      <c r="D22" s="5" t="s">
        <v>20029</v>
      </c>
      <c r="E22" s="5" t="s">
        <v>5326</v>
      </c>
      <c r="F22" s="6">
        <v>4352.0</v>
      </c>
    </row>
    <row r="23" ht="56.25" customHeight="1">
      <c r="A23" s="5" t="s">
        <v>20068</v>
      </c>
      <c r="B23" s="5" t="str">
        <f>image("https://i.imgur.com/RZsW5np.png")</f>
        <v/>
      </c>
      <c r="C23" s="6">
        <v>2000.0</v>
      </c>
      <c r="D23" s="5"/>
      <c r="E23" s="5" t="s">
        <v>20070</v>
      </c>
      <c r="F23" s="6">
        <v>8777.0</v>
      </c>
    </row>
    <row r="24" ht="56.25" customHeight="1">
      <c r="A24" s="5" t="s">
        <v>5327</v>
      </c>
      <c r="B24" s="5" t="str">
        <f t="shared" ref="B24:B26" si="4">image("https://i.imgur.com/bK3wMxl.png")</f>
        <v/>
      </c>
      <c r="C24" s="6">
        <v>1000.0</v>
      </c>
      <c r="D24" s="5" t="s">
        <v>20029</v>
      </c>
      <c r="E24" s="5" t="s">
        <v>5328</v>
      </c>
      <c r="F24" s="6">
        <v>11711.0</v>
      </c>
    </row>
    <row r="25" ht="56.25" customHeight="1">
      <c r="A25" s="5" t="s">
        <v>5329</v>
      </c>
      <c r="B25" s="5" t="str">
        <f t="shared" si="4"/>
        <v/>
      </c>
      <c r="C25" s="6">
        <v>1000.0</v>
      </c>
      <c r="D25" s="5" t="s">
        <v>20029</v>
      </c>
      <c r="E25" s="5" t="s">
        <v>5333</v>
      </c>
      <c r="F25" s="6">
        <v>4358.0</v>
      </c>
    </row>
    <row r="26" ht="56.25" customHeight="1">
      <c r="A26" s="5" t="s">
        <v>5334</v>
      </c>
      <c r="B26" s="5" t="str">
        <f t="shared" si="4"/>
        <v/>
      </c>
      <c r="C26" s="6">
        <v>1000.0</v>
      </c>
      <c r="D26" s="5" t="s">
        <v>20029</v>
      </c>
      <c r="E26" s="5" t="s">
        <v>5335</v>
      </c>
      <c r="F26" s="6">
        <v>5212.0</v>
      </c>
    </row>
    <row r="27" ht="56.25" customHeight="1">
      <c r="A27" s="5" t="s">
        <v>20074</v>
      </c>
      <c r="B27" s="5" t="str">
        <f>image("https://i.imgur.com/RZsW5np.png")</f>
        <v/>
      </c>
      <c r="C27" s="6">
        <v>2000.0</v>
      </c>
      <c r="D27" s="5"/>
      <c r="E27" s="5" t="s">
        <v>20076</v>
      </c>
      <c r="F27" s="6">
        <v>8773.0</v>
      </c>
    </row>
    <row r="28" ht="56.25" customHeight="1">
      <c r="A28" s="5" t="s">
        <v>5337</v>
      </c>
      <c r="B28" s="5" t="str">
        <f>image("https://i.imgur.com/bK3wMxl.png")</f>
        <v/>
      </c>
      <c r="C28" s="6">
        <v>1000.0</v>
      </c>
      <c r="D28" s="5" t="s">
        <v>20029</v>
      </c>
      <c r="E28" s="5" t="s">
        <v>5341</v>
      </c>
      <c r="F28" s="6">
        <v>4356.0</v>
      </c>
    </row>
    <row r="29" ht="56.25" customHeight="1">
      <c r="A29" s="5" t="s">
        <v>20078</v>
      </c>
      <c r="B29" s="5" t="str">
        <f>image("https://i.imgur.com/RZsW5np.png")</f>
        <v/>
      </c>
      <c r="C29" s="6">
        <v>2000.0</v>
      </c>
      <c r="D29" s="5"/>
      <c r="E29" s="5" t="s">
        <v>20080</v>
      </c>
      <c r="F29" s="6">
        <v>8778.0</v>
      </c>
    </row>
    <row r="30" ht="56.25" customHeight="1">
      <c r="A30" s="5" t="s">
        <v>20081</v>
      </c>
      <c r="B30" s="5" t="str">
        <f>image("https://i.imgur.com/Nwri4DI.png")</f>
        <v/>
      </c>
      <c r="C30" s="6">
        <v>800.0</v>
      </c>
      <c r="D30" s="5"/>
      <c r="E30" s="5" t="s">
        <v>20083</v>
      </c>
      <c r="F30" s="6">
        <v>9616.0</v>
      </c>
    </row>
    <row r="31" ht="56.25" customHeight="1">
      <c r="A31" s="5" t="s">
        <v>20084</v>
      </c>
      <c r="B31" s="5" t="str">
        <f t="shared" ref="B31:B33" si="5">image("https://i.imgur.com/APjUcMR.png")</f>
        <v/>
      </c>
      <c r="C31" s="6">
        <v>2400.0</v>
      </c>
      <c r="D31" s="5"/>
      <c r="E31" s="5" t="s">
        <v>20086</v>
      </c>
      <c r="F31" s="6">
        <v>9050.0</v>
      </c>
    </row>
    <row r="32" ht="56.25" customHeight="1">
      <c r="A32" s="5" t="s">
        <v>20087</v>
      </c>
      <c r="B32" s="5" t="str">
        <f t="shared" si="5"/>
        <v/>
      </c>
      <c r="C32" s="6">
        <v>2400.0</v>
      </c>
      <c r="D32" s="5"/>
      <c r="E32" s="5" t="s">
        <v>20088</v>
      </c>
      <c r="F32" s="6">
        <v>9049.0</v>
      </c>
    </row>
    <row r="33" ht="56.25" customHeight="1">
      <c r="A33" s="5" t="s">
        <v>20090</v>
      </c>
      <c r="B33" s="5" t="str">
        <f t="shared" si="5"/>
        <v/>
      </c>
      <c r="C33" s="6">
        <v>3000.0</v>
      </c>
      <c r="D33" s="5"/>
      <c r="E33" s="5" t="s">
        <v>20091</v>
      </c>
      <c r="F33" s="6">
        <v>9051.0</v>
      </c>
    </row>
    <row r="34" ht="56.25" customHeight="1">
      <c r="A34" s="5" t="s">
        <v>20092</v>
      </c>
      <c r="B34" s="5" t="str">
        <f>image("https://i.imgur.com/Nwri4DI.png")</f>
        <v/>
      </c>
      <c r="C34" s="6">
        <v>8000.0</v>
      </c>
      <c r="D34" s="5"/>
      <c r="E34" s="5" t="s">
        <v>20094</v>
      </c>
      <c r="F34" s="6">
        <v>11140.0</v>
      </c>
    </row>
    <row r="35" ht="56.25" customHeight="1">
      <c r="A35" s="5" t="s">
        <v>5342</v>
      </c>
      <c r="B35" s="5" t="str">
        <f>image("https://i.imgur.com/bK3wMxl.png")</f>
        <v/>
      </c>
      <c r="C35" s="6">
        <v>1000.0</v>
      </c>
      <c r="D35" s="5" t="s">
        <v>20029</v>
      </c>
      <c r="E35" s="5" t="s">
        <v>5343</v>
      </c>
      <c r="F35" s="6">
        <v>3402.0</v>
      </c>
    </row>
    <row r="36" ht="56.25" customHeight="1">
      <c r="A36" s="5" t="s">
        <v>20096</v>
      </c>
      <c r="B36" s="5" t="str">
        <f>image("https://i.imgur.com/qX4Y5Lg.png")</f>
        <v/>
      </c>
      <c r="C36" s="6">
        <v>6000.0</v>
      </c>
      <c r="D36" s="5"/>
      <c r="E36" s="5" t="s">
        <v>20098</v>
      </c>
      <c r="F36" s="6">
        <v>3247.0</v>
      </c>
    </row>
    <row r="37" ht="56.25" customHeight="1">
      <c r="A37" s="5" t="s">
        <v>20099</v>
      </c>
      <c r="B37" s="5" t="str">
        <f>image("https://i.imgur.com/RZsW5np.png")</f>
        <v/>
      </c>
      <c r="C37" s="6">
        <v>2000.0</v>
      </c>
      <c r="D37" s="5"/>
      <c r="E37" s="5" t="s">
        <v>20101</v>
      </c>
      <c r="F37" s="6">
        <v>8779.0</v>
      </c>
    </row>
    <row r="38" ht="56.25" customHeight="1">
      <c r="A38" s="5" t="s">
        <v>5344</v>
      </c>
      <c r="B38" s="5" t="str">
        <f>image("https://i.imgur.com/bK3wMxl.png")</f>
        <v/>
      </c>
      <c r="C38" s="6">
        <v>1000.0</v>
      </c>
      <c r="D38" s="5" t="s">
        <v>20029</v>
      </c>
      <c r="E38" s="5" t="s">
        <v>5348</v>
      </c>
      <c r="F38" s="6">
        <v>5207.0</v>
      </c>
    </row>
    <row r="39" ht="56.25" customHeight="1">
      <c r="A39" s="5" t="s">
        <v>20104</v>
      </c>
      <c r="B39" s="5" t="str">
        <f>image("https://i.imgur.com/zNdiVQF.png")</f>
        <v/>
      </c>
      <c r="C39" s="6"/>
      <c r="D39" s="5"/>
      <c r="E39" s="5"/>
      <c r="F39" s="6"/>
    </row>
    <row r="40" ht="56.25" customHeight="1">
      <c r="A40" s="5" t="s">
        <v>2137</v>
      </c>
      <c r="B40" s="5" t="str">
        <f>IMAGE("https://storage.googleapis.com/acdb/housewares/FtrSignConstruction_Remake_0_0.png")</f>
        <v/>
      </c>
      <c r="C40" s="6">
        <v>1000.0</v>
      </c>
      <c r="D40" s="5" t="s">
        <v>19486</v>
      </c>
      <c r="E40" s="5" t="s">
        <v>20107</v>
      </c>
      <c r="F40" s="6">
        <v>9568.0</v>
      </c>
    </row>
    <row r="41" ht="56.25" customHeight="1">
      <c r="A41" s="5" t="s">
        <v>2182</v>
      </c>
      <c r="B41" s="5" t="str">
        <f>IMAGE("https://storage.googleapis.com/acdb/housewares/FtrCottoncandymachine_Remake_0_0.png")</f>
        <v/>
      </c>
      <c r="C41" s="6">
        <v>3000.0</v>
      </c>
      <c r="D41" s="5" t="s">
        <v>19486</v>
      </c>
      <c r="E41" s="5" t="s">
        <v>20109</v>
      </c>
      <c r="F41" s="6">
        <v>4412.0</v>
      </c>
    </row>
    <row r="42" ht="56.25" customHeight="1">
      <c r="A42" s="5" t="s">
        <v>3047</v>
      </c>
      <c r="B42" s="5" t="str">
        <f>IMAGE("https://storage.googleapis.com/acdb/housewares/FtrDrinkmachine_Remake_0_0.png")</f>
        <v/>
      </c>
      <c r="C42" s="6">
        <v>2000.0</v>
      </c>
      <c r="D42" s="5" t="s">
        <v>19486</v>
      </c>
      <c r="E42" s="5" t="s">
        <v>20112</v>
      </c>
      <c r="F42" s="6">
        <v>1802.0</v>
      </c>
    </row>
    <row r="43" ht="56.25" customHeight="1">
      <c r="A43" s="5" t="s">
        <v>6742</v>
      </c>
      <c r="B43" s="5" t="str">
        <f>IMAGE("https://storage.googleapis.com/acdb/housewares/FtrMonitoringchair_Remake_0_0.png")</f>
        <v/>
      </c>
      <c r="C43" s="6">
        <v>1000.0</v>
      </c>
      <c r="D43" s="5" t="s">
        <v>19486</v>
      </c>
      <c r="E43" s="5" t="s">
        <v>20115</v>
      </c>
      <c r="F43" s="6">
        <v>3345.0</v>
      </c>
    </row>
    <row r="44" ht="56.25" customHeight="1">
      <c r="A44" s="5" t="s">
        <v>6777</v>
      </c>
      <c r="B44" s="5" t="str">
        <f>IMAGE("https://storage.googleapis.com/acdb/housewares/FtrLighthouse_Remake_0_0.png")</f>
        <v/>
      </c>
      <c r="C44" s="6">
        <v>5000.0</v>
      </c>
      <c r="D44" s="5" t="s">
        <v>19486</v>
      </c>
      <c r="E44" s="5" t="s">
        <v>20117</v>
      </c>
      <c r="F44" s="6">
        <v>2335.0</v>
      </c>
    </row>
    <row r="45" ht="56.25" customHeight="1">
      <c r="A45" s="5" t="s">
        <v>8524</v>
      </c>
      <c r="B45" s="5" t="str">
        <f>IMAGE("https://storage.googleapis.com/acdb/housewares/FtrMonster_Remake_0_0.png")</f>
        <v/>
      </c>
      <c r="C45" s="6">
        <v>5000.0</v>
      </c>
      <c r="D45" s="5" t="s">
        <v>19486</v>
      </c>
      <c r="E45" s="5" t="s">
        <v>20120</v>
      </c>
      <c r="F45" s="6">
        <v>4722.0</v>
      </c>
    </row>
    <row r="46" ht="56.25" customHeight="1">
      <c r="A46" s="5" t="s">
        <v>9770</v>
      </c>
      <c r="B46" s="5" t="str">
        <f>IMAGE("https://storage.googleapis.com/acdb/housewares/FtrParabolicantenna_Remake_0_0.png")</f>
        <v/>
      </c>
      <c r="C46" s="6">
        <v>4000.0</v>
      </c>
      <c r="D46" s="5" t="s">
        <v>19486</v>
      </c>
      <c r="E46" s="5" t="s">
        <v>20122</v>
      </c>
      <c r="F46" s="6">
        <v>2352.0</v>
      </c>
    </row>
    <row r="47" ht="56.25" customHeight="1">
      <c r="A47" s="5" t="s">
        <v>9786</v>
      </c>
      <c r="B47" s="5" t="str">
        <f>IMAGE("https://storage.googleapis.com/acdb/housewares/FtrParkclock_Remake_0_0.png")</f>
        <v/>
      </c>
      <c r="C47" s="6">
        <v>2400.0</v>
      </c>
      <c r="D47" s="5" t="s">
        <v>19486</v>
      </c>
      <c r="E47" s="5" t="s">
        <v>20125</v>
      </c>
      <c r="F47" s="6">
        <v>3595.0</v>
      </c>
    </row>
    <row r="48" ht="56.25" customHeight="1">
      <c r="A48" s="5" t="s">
        <v>9931</v>
      </c>
      <c r="B48" s="5" t="str">
        <f>IMAGE("https://storage.googleapis.com/acdb/housewares/FtrTelephonebox_Remake_0_0.png")</f>
        <v/>
      </c>
      <c r="C48" s="6">
        <v>2400.0</v>
      </c>
      <c r="D48" s="5" t="s">
        <v>19486</v>
      </c>
      <c r="E48" s="5" t="s">
        <v>20127</v>
      </c>
      <c r="F48" s="6">
        <v>1185.0</v>
      </c>
    </row>
    <row r="49" ht="56.25" customHeight="1">
      <c r="A49" s="5" t="s">
        <v>10226</v>
      </c>
      <c r="B49" s="5" t="str">
        <f>IMAGE("https://storage.googleapis.com/acdb/housewares/FtrJunglegym_Remake_0_0.png")</f>
        <v/>
      </c>
      <c r="C49" s="6">
        <v>3000.0</v>
      </c>
      <c r="D49" s="5" t="s">
        <v>19486</v>
      </c>
      <c r="E49" s="5" t="s">
        <v>20129</v>
      </c>
      <c r="F49" s="6">
        <v>3430.0</v>
      </c>
    </row>
    <row r="50" ht="56.25" customHeight="1">
      <c r="A50" s="5" t="s">
        <v>10273</v>
      </c>
      <c r="B50" s="5" t="str">
        <f>IMAGE("https://storage.googleapis.com/acdb/housewares/FtrPool_Remake_0_0.png")</f>
        <v/>
      </c>
      <c r="C50" s="6">
        <v>5000.0</v>
      </c>
      <c r="D50" s="5" t="s">
        <v>19486</v>
      </c>
      <c r="E50" s="5" t="s">
        <v>20131</v>
      </c>
      <c r="F50" s="6">
        <v>3596.0</v>
      </c>
    </row>
    <row r="51" ht="56.25" customHeight="1">
      <c r="A51" s="5" t="s">
        <v>10386</v>
      </c>
      <c r="B51" s="5" t="str">
        <f>IMAGE("https://storage.googleapis.com/acdb/housewares/FtrWCPortable_Remake_0_0.png")</f>
        <v/>
      </c>
      <c r="C51" s="6">
        <v>1000.0</v>
      </c>
      <c r="D51" s="5" t="s">
        <v>19486</v>
      </c>
      <c r="E51" s="5" t="s">
        <v>20133</v>
      </c>
      <c r="F51" s="6">
        <v>1234.0</v>
      </c>
    </row>
    <row r="52" ht="56.25" customHeight="1">
      <c r="A52" s="5" t="s">
        <v>10406</v>
      </c>
      <c r="B52" s="5" t="str">
        <f>IMAGE("https://storage.googleapis.com/acdb/housewares/FtrPublicbench_Remake_0_0.png")</f>
        <v/>
      </c>
      <c r="C52" s="6">
        <v>2000.0</v>
      </c>
      <c r="D52" s="5" t="s">
        <v>19486</v>
      </c>
      <c r="E52" s="5" t="s">
        <v>20137</v>
      </c>
      <c r="F52" s="6">
        <v>3346.0</v>
      </c>
    </row>
    <row r="53" ht="56.25" customHeight="1">
      <c r="A53" s="5" t="s">
        <v>12380</v>
      </c>
      <c r="B53" s="5" t="str">
        <f>IMAGE("https://storage.googleapis.com/acdb/housewares/FtrFoodmachine_Remake_0_0.png")</f>
        <v/>
      </c>
      <c r="C53" s="6">
        <v>2000.0</v>
      </c>
      <c r="D53" s="5" t="s">
        <v>19486</v>
      </c>
      <c r="E53" s="5" t="s">
        <v>20139</v>
      </c>
      <c r="F53" s="6">
        <v>971.0</v>
      </c>
    </row>
    <row r="54" ht="56.25" customHeight="1">
      <c r="A54" s="5" t="s">
        <v>12395</v>
      </c>
      <c r="B54" s="5" t="str">
        <f>IMAGE("https://storage.googleapis.com/acdb/housewares/FtrSoccergoal.png")</f>
        <v/>
      </c>
      <c r="C54" s="6">
        <v>4000.0</v>
      </c>
      <c r="D54" s="5" t="s">
        <v>19486</v>
      </c>
      <c r="E54" s="5" t="s">
        <v>12401</v>
      </c>
      <c r="F54" s="6">
        <v>1149.0</v>
      </c>
    </row>
    <row r="55" ht="56.25" customHeight="1">
      <c r="A55" s="5" t="s">
        <v>12438</v>
      </c>
      <c r="B55" s="5" t="str">
        <f>IMAGE("https://storage.googleapis.com/acdb/housewares/FtrSolarpanel_Remake_0_0.png")</f>
        <v/>
      </c>
      <c r="C55" s="6">
        <v>4000.0</v>
      </c>
      <c r="D55" s="5" t="s">
        <v>19486</v>
      </c>
      <c r="E55" s="5" t="s">
        <v>20141</v>
      </c>
      <c r="F55" s="6">
        <v>2333.0</v>
      </c>
    </row>
    <row r="56" ht="56.25" customHeight="1">
      <c r="A56" s="5" t="s">
        <v>12480</v>
      </c>
      <c r="B56" s="5" t="str">
        <f>IMAGE("https://storage.googleapis.com/acdb/housewares/FtrSpringrider_Remake_0_0.png")</f>
        <v/>
      </c>
      <c r="C56" s="6">
        <v>2000.0</v>
      </c>
      <c r="D56" s="5" t="s">
        <v>19486</v>
      </c>
      <c r="E56" s="5" t="s">
        <v>20143</v>
      </c>
      <c r="F56" s="6">
        <v>4379.0</v>
      </c>
    </row>
    <row r="57" ht="56.25" customHeight="1">
      <c r="A57" s="5" t="s">
        <v>12824</v>
      </c>
      <c r="B57" s="5" t="str">
        <f>IMAGE("https://storage.googleapis.com/acdb/housewares/FtrStreetlamp_Remake_0_0.png")</f>
        <v/>
      </c>
      <c r="C57" s="6">
        <v>1000.0</v>
      </c>
      <c r="D57" s="5" t="s">
        <v>19486</v>
      </c>
      <c r="E57" s="5" t="s">
        <v>20146</v>
      </c>
      <c r="F57" s="6">
        <v>3816.0</v>
      </c>
    </row>
    <row r="58" ht="56.25" customHeight="1">
      <c r="A58" s="5" t="s">
        <v>13113</v>
      </c>
      <c r="B58" s="5" t="str">
        <f>IMAGE("https://storage.googleapis.com/acdb/housewares/FtrTurncup_Remake_0_0.png")</f>
        <v/>
      </c>
      <c r="C58" s="6">
        <v>5000.0</v>
      </c>
      <c r="D58" s="5" t="s">
        <v>19486</v>
      </c>
      <c r="E58" s="5" t="s">
        <v>20148</v>
      </c>
      <c r="F58" s="6">
        <v>1507.0</v>
      </c>
    </row>
    <row r="59" ht="56.25" customHeight="1">
      <c r="A59" s="5" t="s">
        <v>13583</v>
      </c>
      <c r="B59" s="5" t="str">
        <f>IMAGE("https://storage.googleapis.com/acdb/housewares/FtrTelescopeSightseeing_Remake_0_0.png")</f>
        <v/>
      </c>
      <c r="C59" s="6">
        <v>2000.0</v>
      </c>
      <c r="D59" s="5" t="s">
        <v>19486</v>
      </c>
      <c r="E59" s="5" t="s">
        <v>20151</v>
      </c>
      <c r="F59" s="6">
        <v>3078.0</v>
      </c>
    </row>
    <row r="60" ht="56.25" customHeight="1">
      <c r="A60" s="5" t="s">
        <v>13953</v>
      </c>
      <c r="B60" s="5" t="str">
        <f>IMAGE("https://storage.googleapis.com/acdb/housewares/FtrTelephonepole_Remake_0_0.png")</f>
        <v/>
      </c>
      <c r="C60" s="6">
        <v>1000.0</v>
      </c>
      <c r="D60" s="5" t="s">
        <v>19486</v>
      </c>
      <c r="E60" s="5" t="s">
        <v>20152</v>
      </c>
      <c r="F60" s="6">
        <v>9619.0</v>
      </c>
    </row>
    <row r="61" ht="56.25" customHeight="1">
      <c r="A61" s="5" t="s">
        <v>14339</v>
      </c>
      <c r="B61" s="5" t="str">
        <f>IMAGE("https://storage.googleapis.com/acdb/housewares/FtrWindturbine_Remake_0_0.png")</f>
        <v/>
      </c>
      <c r="C61" s="6">
        <v>4000.0</v>
      </c>
      <c r="D61" s="5" t="s">
        <v>19486</v>
      </c>
      <c r="E61" s="5" t="s">
        <v>20154</v>
      </c>
      <c r="F61" s="6">
        <v>7379.0</v>
      </c>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2" width="25.14"/>
    <col customWidth="1" min="3" max="3" width="3.0"/>
    <col customWidth="1" min="4" max="4" width="8.0"/>
    <col customWidth="1" min="5" max="5" width="9.43"/>
    <col customWidth="1" min="6" max="6" width="14.43"/>
    <col customWidth="1" min="7" max="7" width="7.29"/>
    <col customWidth="1" min="8" max="12" width="5.86"/>
    <col customWidth="1" min="13" max="18" width="8.71"/>
    <col customWidth="1" min="19" max="19" width="11.57"/>
  </cols>
  <sheetData>
    <row r="1" ht="26.25" customHeight="1">
      <c r="A1" s="1" t="s">
        <v>0</v>
      </c>
      <c r="B1" s="1" t="s">
        <v>20163</v>
      </c>
      <c r="C1" s="2" t="s">
        <v>19194</v>
      </c>
      <c r="D1" s="2" t="s">
        <v>29</v>
      </c>
      <c r="E1" s="1" t="s">
        <v>20164</v>
      </c>
      <c r="F1" s="1" t="s">
        <v>20165</v>
      </c>
      <c r="G1" s="2" t="s">
        <v>20166</v>
      </c>
      <c r="H1" s="2" t="s">
        <v>20167</v>
      </c>
      <c r="I1" s="2" t="s">
        <v>20169</v>
      </c>
      <c r="J1" s="2" t="s">
        <v>20170</v>
      </c>
      <c r="K1" s="2" t="s">
        <v>20171</v>
      </c>
      <c r="L1" s="2" t="s">
        <v>20172</v>
      </c>
      <c r="M1" s="2" t="s">
        <v>20173</v>
      </c>
      <c r="N1" s="2" t="s">
        <v>20174</v>
      </c>
      <c r="O1" s="2" t="s">
        <v>20175</v>
      </c>
      <c r="P1" s="2" t="s">
        <v>20176</v>
      </c>
      <c r="Q1" s="2" t="s">
        <v>20177</v>
      </c>
      <c r="R1" s="2" t="s">
        <v>20178</v>
      </c>
      <c r="S1" s="1" t="s">
        <v>20179</v>
      </c>
    </row>
    <row r="2" ht="56.25" customHeight="1">
      <c r="A2" s="5" t="s">
        <v>20180</v>
      </c>
      <c r="B2" s="5" t="s">
        <v>20181</v>
      </c>
      <c r="C2" s="6">
        <v>1.0</v>
      </c>
      <c r="D2" s="6">
        <v>53.0</v>
      </c>
      <c r="E2" s="5" t="s">
        <v>20183</v>
      </c>
      <c r="F2" s="5" t="s">
        <v>20184</v>
      </c>
      <c r="G2" s="6">
        <v>1.0</v>
      </c>
      <c r="H2" s="6">
        <v>1.0</v>
      </c>
      <c r="I2" s="6">
        <v>0.0</v>
      </c>
      <c r="J2" s="6">
        <v>0.0</v>
      </c>
      <c r="K2" s="6">
        <v>0.0</v>
      </c>
      <c r="L2" s="6">
        <v>0.0</v>
      </c>
      <c r="M2" s="6">
        <v>500.0</v>
      </c>
      <c r="N2" s="6">
        <v>500.0</v>
      </c>
      <c r="O2" s="6">
        <v>1000.0</v>
      </c>
      <c r="P2" s="6">
        <v>2000.0</v>
      </c>
      <c r="Q2" s="6">
        <v>3000.0</v>
      </c>
      <c r="R2" s="6">
        <v>0.0</v>
      </c>
      <c r="S2" s="5" t="s">
        <v>35</v>
      </c>
    </row>
    <row r="3" ht="56.25" customHeight="1">
      <c r="A3" s="5" t="s">
        <v>20186</v>
      </c>
      <c r="B3" s="5" t="s">
        <v>20187</v>
      </c>
      <c r="C3" s="6">
        <v>2.0</v>
      </c>
      <c r="D3" s="6">
        <v>0.0</v>
      </c>
      <c r="E3" s="5" t="s">
        <v>20188</v>
      </c>
      <c r="F3" s="5" t="s">
        <v>219</v>
      </c>
      <c r="G3" s="6">
        <v>5.0</v>
      </c>
      <c r="H3" s="6">
        <v>10.0</v>
      </c>
      <c r="I3" s="6">
        <v>100.0</v>
      </c>
      <c r="J3" s="6">
        <v>500.0</v>
      </c>
      <c r="K3" s="6">
        <v>2000.0</v>
      </c>
      <c r="L3" s="6">
        <v>5000.0</v>
      </c>
      <c r="M3" s="6">
        <v>300.0</v>
      </c>
      <c r="N3" s="6">
        <v>500.0</v>
      </c>
      <c r="O3" s="6">
        <v>1000.0</v>
      </c>
      <c r="P3" s="6">
        <v>2000.0</v>
      </c>
      <c r="Q3" s="6">
        <v>3000.0</v>
      </c>
      <c r="R3" s="6">
        <v>0.0</v>
      </c>
      <c r="S3" s="5" t="s">
        <v>35</v>
      </c>
    </row>
    <row r="4" ht="56.25" customHeight="1">
      <c r="A4" s="5" t="s">
        <v>20190</v>
      </c>
      <c r="B4" s="5" t="s">
        <v>20191</v>
      </c>
      <c r="C4" s="6">
        <v>3.0</v>
      </c>
      <c r="D4" s="6">
        <v>3.0</v>
      </c>
      <c r="E4" s="5" t="s">
        <v>20193</v>
      </c>
      <c r="F4" s="5" t="s">
        <v>219</v>
      </c>
      <c r="G4" s="6">
        <v>5.0</v>
      </c>
      <c r="H4" s="6">
        <v>10.0</v>
      </c>
      <c r="I4" s="6">
        <v>20.0</v>
      </c>
      <c r="J4" s="6">
        <v>40.0</v>
      </c>
      <c r="K4" s="6">
        <v>60.0</v>
      </c>
      <c r="L4" s="6">
        <v>80.0</v>
      </c>
      <c r="M4" s="6">
        <v>300.0</v>
      </c>
      <c r="N4" s="6">
        <v>500.0</v>
      </c>
      <c r="O4" s="6">
        <v>1000.0</v>
      </c>
      <c r="P4" s="6">
        <v>2000.0</v>
      </c>
      <c r="Q4" s="6">
        <v>3000.0</v>
      </c>
      <c r="R4" s="6">
        <v>0.0</v>
      </c>
      <c r="S4" s="5" t="s">
        <v>35</v>
      </c>
    </row>
    <row r="5" ht="56.25" customHeight="1">
      <c r="A5" s="5" t="s">
        <v>20195</v>
      </c>
      <c r="B5" s="5" t="s">
        <v>20196</v>
      </c>
      <c r="C5" s="6">
        <v>4.0</v>
      </c>
      <c r="D5" s="6">
        <v>68.0</v>
      </c>
      <c r="E5" s="5" t="s">
        <v>20197</v>
      </c>
      <c r="F5" s="5" t="s">
        <v>20198</v>
      </c>
      <c r="G5" s="6">
        <v>5.0</v>
      </c>
      <c r="H5" s="6">
        <v>1.0</v>
      </c>
      <c r="I5" s="6">
        <v>10.0</v>
      </c>
      <c r="J5" s="6">
        <v>20.0</v>
      </c>
      <c r="K5" s="6">
        <v>30.0</v>
      </c>
      <c r="L5" s="6">
        <v>50.0</v>
      </c>
      <c r="M5" s="6">
        <v>300.0</v>
      </c>
      <c r="N5" s="6">
        <v>500.0</v>
      </c>
      <c r="O5" s="6">
        <v>1000.0</v>
      </c>
      <c r="P5" s="6">
        <v>2000.0</v>
      </c>
      <c r="Q5" s="6">
        <v>3000.0</v>
      </c>
      <c r="R5" s="6">
        <v>0.0</v>
      </c>
      <c r="S5" s="5" t="s">
        <v>35</v>
      </c>
    </row>
    <row r="6" ht="56.25" customHeight="1">
      <c r="A6" s="5" t="s">
        <v>20200</v>
      </c>
      <c r="B6" s="5" t="s">
        <v>20201</v>
      </c>
      <c r="C6" s="6">
        <v>5.0</v>
      </c>
      <c r="D6" s="6">
        <v>1.0</v>
      </c>
      <c r="E6" s="5" t="s">
        <v>20202</v>
      </c>
      <c r="F6" s="5" t="s">
        <v>109</v>
      </c>
      <c r="G6" s="6">
        <v>5.0</v>
      </c>
      <c r="H6" s="6">
        <v>10.0</v>
      </c>
      <c r="I6" s="6">
        <v>100.0</v>
      </c>
      <c r="J6" s="6">
        <v>500.0</v>
      </c>
      <c r="K6" s="6">
        <v>2000.0</v>
      </c>
      <c r="L6" s="6">
        <v>5000.0</v>
      </c>
      <c r="M6" s="6">
        <v>300.0</v>
      </c>
      <c r="N6" s="6">
        <v>500.0</v>
      </c>
      <c r="O6" s="6">
        <v>1000.0</v>
      </c>
      <c r="P6" s="6">
        <v>2000.0</v>
      </c>
      <c r="Q6" s="6">
        <v>3000.0</v>
      </c>
      <c r="R6" s="6">
        <v>0.0</v>
      </c>
      <c r="S6" s="5" t="s">
        <v>35</v>
      </c>
    </row>
    <row r="7" ht="56.25" customHeight="1">
      <c r="A7" s="5" t="s">
        <v>20204</v>
      </c>
      <c r="B7" s="5" t="s">
        <v>20205</v>
      </c>
      <c r="C7" s="6">
        <v>6.0</v>
      </c>
      <c r="D7" s="6">
        <v>4.0</v>
      </c>
      <c r="E7" s="5" t="s">
        <v>20206</v>
      </c>
      <c r="F7" s="5" t="s">
        <v>109</v>
      </c>
      <c r="G7" s="6">
        <v>5.0</v>
      </c>
      <c r="H7" s="6">
        <v>10.0</v>
      </c>
      <c r="I7" s="6">
        <v>20.0</v>
      </c>
      <c r="J7" s="6">
        <v>40.0</v>
      </c>
      <c r="K7" s="6">
        <v>60.0</v>
      </c>
      <c r="L7" s="6">
        <v>80.0</v>
      </c>
      <c r="M7" s="6">
        <v>300.0</v>
      </c>
      <c r="N7" s="6">
        <v>500.0</v>
      </c>
      <c r="O7" s="6">
        <v>1000.0</v>
      </c>
      <c r="P7" s="6">
        <v>2000.0</v>
      </c>
      <c r="Q7" s="6">
        <v>3000.0</v>
      </c>
      <c r="R7" s="6">
        <v>0.0</v>
      </c>
      <c r="S7" s="5" t="s">
        <v>35</v>
      </c>
    </row>
    <row r="8" ht="56.25" customHeight="1">
      <c r="A8" s="5" t="s">
        <v>20208</v>
      </c>
      <c r="B8" s="5" t="s">
        <v>20209</v>
      </c>
      <c r="C8" s="6">
        <v>7.0</v>
      </c>
      <c r="D8" s="6">
        <v>55.0</v>
      </c>
      <c r="E8" s="5" t="s">
        <v>20210</v>
      </c>
      <c r="F8" s="5" t="s">
        <v>6</v>
      </c>
      <c r="G8" s="6">
        <v>5.0</v>
      </c>
      <c r="H8" s="6">
        <v>10.0</v>
      </c>
      <c r="I8" s="6">
        <v>50.0</v>
      </c>
      <c r="J8" s="6">
        <v>100.0</v>
      </c>
      <c r="K8" s="6">
        <v>150.0</v>
      </c>
      <c r="L8" s="6">
        <v>200.0</v>
      </c>
      <c r="M8" s="6">
        <v>300.0</v>
      </c>
      <c r="N8" s="6">
        <v>500.0</v>
      </c>
      <c r="O8" s="6">
        <v>1000.0</v>
      </c>
      <c r="P8" s="6">
        <v>2000.0</v>
      </c>
      <c r="Q8" s="6">
        <v>3000.0</v>
      </c>
      <c r="R8" s="6">
        <v>0.0</v>
      </c>
      <c r="S8" s="5" t="s">
        <v>35</v>
      </c>
    </row>
    <row r="9" ht="56.25" customHeight="1">
      <c r="A9" s="5" t="s">
        <v>20212</v>
      </c>
      <c r="B9" s="5" t="s">
        <v>20213</v>
      </c>
      <c r="C9" s="6">
        <v>8.0</v>
      </c>
      <c r="D9" s="6">
        <v>72.0</v>
      </c>
      <c r="E9" s="5" t="s">
        <v>20214</v>
      </c>
      <c r="F9" s="5" t="s">
        <v>6</v>
      </c>
      <c r="G9" s="6">
        <v>5.0</v>
      </c>
      <c r="H9" s="6">
        <v>5.0</v>
      </c>
      <c r="I9" s="6">
        <v>50.0</v>
      </c>
      <c r="J9" s="6">
        <v>200.0</v>
      </c>
      <c r="K9" s="6">
        <v>1000.0</v>
      </c>
      <c r="L9" s="6">
        <v>3000.0</v>
      </c>
      <c r="M9" s="6">
        <v>300.0</v>
      </c>
      <c r="N9" s="6">
        <v>500.0</v>
      </c>
      <c r="O9" s="6">
        <v>1000.0</v>
      </c>
      <c r="P9" s="6">
        <v>2000.0</v>
      </c>
      <c r="Q9" s="6">
        <v>3000.0</v>
      </c>
      <c r="R9" s="6">
        <v>0.0</v>
      </c>
      <c r="S9" s="5" t="s">
        <v>35</v>
      </c>
    </row>
    <row r="10" ht="56.25" customHeight="1">
      <c r="A10" s="5" t="s">
        <v>20216</v>
      </c>
      <c r="B10" s="5" t="s">
        <v>20217</v>
      </c>
      <c r="C10" s="6">
        <v>9.0</v>
      </c>
      <c r="D10" s="6">
        <v>73.0</v>
      </c>
      <c r="E10" s="5" t="s">
        <v>20218</v>
      </c>
      <c r="F10" s="5" t="s">
        <v>6</v>
      </c>
      <c r="G10" s="6">
        <v>5.0</v>
      </c>
      <c r="H10" s="6">
        <v>5.0</v>
      </c>
      <c r="I10" s="6">
        <v>50.0</v>
      </c>
      <c r="J10" s="6">
        <v>200.0</v>
      </c>
      <c r="K10" s="6">
        <v>1000.0</v>
      </c>
      <c r="L10" s="6">
        <v>3000.0</v>
      </c>
      <c r="M10" s="6">
        <v>300.0</v>
      </c>
      <c r="N10" s="6">
        <v>500.0</v>
      </c>
      <c r="O10" s="6">
        <v>1000.0</v>
      </c>
      <c r="P10" s="6">
        <v>2000.0</v>
      </c>
      <c r="Q10" s="6">
        <v>3000.0</v>
      </c>
      <c r="R10" s="6">
        <v>0.0</v>
      </c>
      <c r="S10" s="5" t="s">
        <v>35</v>
      </c>
    </row>
    <row r="11" ht="56.25" customHeight="1">
      <c r="A11" s="5" t="s">
        <v>20220</v>
      </c>
      <c r="B11" s="5" t="s">
        <v>20221</v>
      </c>
      <c r="C11" s="6">
        <v>10.0</v>
      </c>
      <c r="D11" s="6">
        <v>14.0</v>
      </c>
      <c r="E11" s="5" t="s">
        <v>20222</v>
      </c>
      <c r="F11" s="5" t="s">
        <v>6</v>
      </c>
      <c r="G11" s="6">
        <v>5.0</v>
      </c>
      <c r="H11" s="6">
        <v>5.0</v>
      </c>
      <c r="I11" s="6">
        <v>20.0</v>
      </c>
      <c r="J11" s="6">
        <v>50.0</v>
      </c>
      <c r="K11" s="6">
        <v>100.0</v>
      </c>
      <c r="L11" s="6">
        <v>200.0</v>
      </c>
      <c r="M11" s="6">
        <v>300.0</v>
      </c>
      <c r="N11" s="6">
        <v>500.0</v>
      </c>
      <c r="O11" s="6">
        <v>1000.0</v>
      </c>
      <c r="P11" s="6">
        <v>2000.0</v>
      </c>
      <c r="Q11" s="6">
        <v>3000.0</v>
      </c>
      <c r="R11" s="6">
        <v>0.0</v>
      </c>
      <c r="S11" s="5" t="s">
        <v>35</v>
      </c>
    </row>
    <row r="12" ht="56.25" customHeight="1">
      <c r="A12" s="5" t="s">
        <v>20224</v>
      </c>
      <c r="B12" s="5" t="s">
        <v>20225</v>
      </c>
      <c r="C12" s="6">
        <v>11.0</v>
      </c>
      <c r="D12" s="6">
        <v>67.0</v>
      </c>
      <c r="E12" s="5" t="s">
        <v>20226</v>
      </c>
      <c r="F12" s="5" t="s">
        <v>6</v>
      </c>
      <c r="G12" s="6">
        <v>5.0</v>
      </c>
      <c r="H12" s="6">
        <v>20.0</v>
      </c>
      <c r="I12" s="6">
        <v>100.0</v>
      </c>
      <c r="J12" s="6">
        <v>500.0</v>
      </c>
      <c r="K12" s="6">
        <v>2000.0</v>
      </c>
      <c r="L12" s="6">
        <v>5000.0</v>
      </c>
      <c r="M12" s="6">
        <v>300.0</v>
      </c>
      <c r="N12" s="6">
        <v>500.0</v>
      </c>
      <c r="O12" s="6">
        <v>1000.0</v>
      </c>
      <c r="P12" s="6">
        <v>2000.0</v>
      </c>
      <c r="Q12" s="6">
        <v>3000.0</v>
      </c>
      <c r="R12" s="6">
        <v>0.0</v>
      </c>
      <c r="S12" s="5" t="s">
        <v>35</v>
      </c>
    </row>
    <row r="13" ht="56.25" customHeight="1">
      <c r="A13" s="5" t="s">
        <v>20228</v>
      </c>
      <c r="B13" s="5" t="s">
        <v>20229</v>
      </c>
      <c r="C13" s="6">
        <v>12.0</v>
      </c>
      <c r="D13" s="6">
        <v>49.0</v>
      </c>
      <c r="E13" s="5" t="s">
        <v>20230</v>
      </c>
      <c r="F13" s="5" t="s">
        <v>423</v>
      </c>
      <c r="G13" s="6">
        <v>5.0</v>
      </c>
      <c r="H13" s="6">
        <v>1.0</v>
      </c>
      <c r="I13" s="6">
        <v>20.0</v>
      </c>
      <c r="J13" s="6">
        <v>50.0</v>
      </c>
      <c r="K13" s="6">
        <v>100.0</v>
      </c>
      <c r="L13" s="6">
        <v>200.0</v>
      </c>
      <c r="M13" s="6">
        <v>300.0</v>
      </c>
      <c r="N13" s="6">
        <v>500.0</v>
      </c>
      <c r="O13" s="6">
        <v>1000.0</v>
      </c>
      <c r="P13" s="6">
        <v>2000.0</v>
      </c>
      <c r="Q13" s="6">
        <v>3000.0</v>
      </c>
      <c r="R13" s="6">
        <v>0.0</v>
      </c>
      <c r="S13" s="5" t="s">
        <v>35</v>
      </c>
    </row>
    <row r="14" ht="56.25" customHeight="1">
      <c r="A14" s="5" t="s">
        <v>20232</v>
      </c>
      <c r="B14" s="5" t="s">
        <v>20233</v>
      </c>
      <c r="C14" s="6">
        <v>13.0</v>
      </c>
      <c r="D14" s="6">
        <v>57.0</v>
      </c>
      <c r="E14" s="5" t="s">
        <v>20235</v>
      </c>
      <c r="F14" s="5" t="s">
        <v>423</v>
      </c>
      <c r="G14" s="6">
        <v>1.0</v>
      </c>
      <c r="H14" s="6">
        <v>1.0</v>
      </c>
      <c r="I14" s="6">
        <v>0.0</v>
      </c>
      <c r="J14" s="6">
        <v>0.0</v>
      </c>
      <c r="K14" s="6">
        <v>0.0</v>
      </c>
      <c r="L14" s="6">
        <v>0.0</v>
      </c>
      <c r="M14" s="6">
        <v>500.0</v>
      </c>
      <c r="N14" s="6">
        <v>500.0</v>
      </c>
      <c r="O14" s="6">
        <v>1000.0</v>
      </c>
      <c r="P14" s="6">
        <v>2000.0</v>
      </c>
      <c r="Q14" s="6">
        <v>3000.0</v>
      </c>
      <c r="R14" s="6">
        <v>0.0</v>
      </c>
      <c r="S14" s="5" t="s">
        <v>35</v>
      </c>
    </row>
    <row r="15" ht="56.25" customHeight="1">
      <c r="A15" s="5" t="s">
        <v>20238</v>
      </c>
      <c r="B15" s="5" t="s">
        <v>20239</v>
      </c>
      <c r="C15" s="6">
        <v>14.0</v>
      </c>
      <c r="D15" s="6">
        <v>61.0</v>
      </c>
      <c r="E15" s="5" t="s">
        <v>20240</v>
      </c>
      <c r="F15" s="5" t="s">
        <v>423</v>
      </c>
      <c r="G15" s="6">
        <v>1.0</v>
      </c>
      <c r="H15" s="6">
        <v>1.0</v>
      </c>
      <c r="I15" s="6">
        <v>0.0</v>
      </c>
      <c r="J15" s="6">
        <v>0.0</v>
      </c>
      <c r="K15" s="6">
        <v>0.0</v>
      </c>
      <c r="L15" s="6">
        <v>0.0</v>
      </c>
      <c r="M15" s="6">
        <v>300.0</v>
      </c>
      <c r="N15" s="6">
        <v>500.0</v>
      </c>
      <c r="O15" s="6">
        <v>1000.0</v>
      </c>
      <c r="P15" s="6">
        <v>2000.0</v>
      </c>
      <c r="Q15" s="6">
        <v>3000.0</v>
      </c>
      <c r="R15" s="6">
        <v>0.0</v>
      </c>
      <c r="S15" s="5" t="s">
        <v>35</v>
      </c>
    </row>
    <row r="16" ht="56.25" customHeight="1">
      <c r="A16" s="5" t="s">
        <v>20243</v>
      </c>
      <c r="B16" s="5" t="s">
        <v>20244</v>
      </c>
      <c r="C16" s="6">
        <v>15.0</v>
      </c>
      <c r="D16" s="6">
        <v>62.0</v>
      </c>
      <c r="E16" s="5" t="s">
        <v>20245</v>
      </c>
      <c r="F16" s="5" t="s">
        <v>423</v>
      </c>
      <c r="G16" s="6">
        <v>5.0</v>
      </c>
      <c r="H16" s="6">
        <v>5.0</v>
      </c>
      <c r="I16" s="6">
        <v>30.0</v>
      </c>
      <c r="J16" s="6">
        <v>100.0</v>
      </c>
      <c r="K16" s="6">
        <v>300.0</v>
      </c>
      <c r="L16" s="6">
        <v>500.0</v>
      </c>
      <c r="M16" s="6">
        <v>300.0</v>
      </c>
      <c r="N16" s="6">
        <v>500.0</v>
      </c>
      <c r="O16" s="6">
        <v>1000.0</v>
      </c>
      <c r="P16" s="6">
        <v>2000.0</v>
      </c>
      <c r="Q16" s="6">
        <v>3000.0</v>
      </c>
      <c r="R16" s="6">
        <v>0.0</v>
      </c>
      <c r="S16" s="5" t="s">
        <v>35</v>
      </c>
    </row>
    <row r="17" ht="56.25" customHeight="1">
      <c r="A17" s="5" t="s">
        <v>20247</v>
      </c>
      <c r="B17" s="5" t="s">
        <v>20248</v>
      </c>
      <c r="C17" s="6">
        <v>16.0</v>
      </c>
      <c r="D17" s="6">
        <v>37.0</v>
      </c>
      <c r="E17" s="5" t="s">
        <v>20249</v>
      </c>
      <c r="F17" s="5" t="s">
        <v>20250</v>
      </c>
      <c r="G17" s="6">
        <v>5.0</v>
      </c>
      <c r="H17" s="6">
        <v>50.0</v>
      </c>
      <c r="I17" s="6">
        <v>200.0</v>
      </c>
      <c r="J17" s="6">
        <v>1000.0</v>
      </c>
      <c r="K17" s="6">
        <v>2000.0</v>
      </c>
      <c r="L17" s="6">
        <v>3000.0</v>
      </c>
      <c r="M17" s="6">
        <v>300.0</v>
      </c>
      <c r="N17" s="6">
        <v>500.0</v>
      </c>
      <c r="O17" s="6">
        <v>1000.0</v>
      </c>
      <c r="P17" s="6">
        <v>2000.0</v>
      </c>
      <c r="Q17" s="6">
        <v>3000.0</v>
      </c>
      <c r="R17" s="6">
        <v>0.0</v>
      </c>
      <c r="S17" s="5" t="s">
        <v>35</v>
      </c>
    </row>
    <row r="18" ht="56.25" customHeight="1">
      <c r="A18" s="5" t="s">
        <v>20252</v>
      </c>
      <c r="B18" s="5" t="s">
        <v>20253</v>
      </c>
      <c r="C18" s="6">
        <v>17.0</v>
      </c>
      <c r="D18" s="6">
        <v>6.0</v>
      </c>
      <c r="E18" s="5" t="s">
        <v>20254</v>
      </c>
      <c r="F18" s="5" t="s">
        <v>20250</v>
      </c>
      <c r="G18" s="6">
        <v>5.0</v>
      </c>
      <c r="H18" s="6">
        <v>10.0</v>
      </c>
      <c r="I18" s="6">
        <v>50.0</v>
      </c>
      <c r="J18" s="6">
        <v>100.0</v>
      </c>
      <c r="K18" s="6">
        <v>200.0</v>
      </c>
      <c r="L18" s="6">
        <v>300.0</v>
      </c>
      <c r="M18" s="6">
        <v>300.0</v>
      </c>
      <c r="N18" s="6">
        <v>500.0</v>
      </c>
      <c r="O18" s="6">
        <v>1000.0</v>
      </c>
      <c r="P18" s="6">
        <v>2000.0</v>
      </c>
      <c r="Q18" s="6">
        <v>3000.0</v>
      </c>
      <c r="R18" s="6">
        <v>0.0</v>
      </c>
      <c r="S18" s="5" t="s">
        <v>35</v>
      </c>
    </row>
    <row r="19" ht="56.25" customHeight="1">
      <c r="A19" s="5" t="s">
        <v>20256</v>
      </c>
      <c r="B19" s="5" t="s">
        <v>20257</v>
      </c>
      <c r="C19" s="6">
        <v>18.0</v>
      </c>
      <c r="D19" s="6">
        <v>23.0</v>
      </c>
      <c r="E19" s="5" t="s">
        <v>20258</v>
      </c>
      <c r="F19" s="5" t="s">
        <v>20250</v>
      </c>
      <c r="G19" s="6">
        <v>5.0</v>
      </c>
      <c r="H19" s="6">
        <v>10.0</v>
      </c>
      <c r="I19" s="6">
        <v>50.0</v>
      </c>
      <c r="J19" s="6">
        <v>100.0</v>
      </c>
      <c r="K19" s="6">
        <v>500.0</v>
      </c>
      <c r="L19" s="6">
        <v>1000.0</v>
      </c>
      <c r="M19" s="6">
        <v>300.0</v>
      </c>
      <c r="N19" s="6">
        <v>500.0</v>
      </c>
      <c r="O19" s="6">
        <v>1000.0</v>
      </c>
      <c r="P19" s="6">
        <v>2000.0</v>
      </c>
      <c r="Q19" s="6">
        <v>3000.0</v>
      </c>
      <c r="R19" s="6">
        <v>0.0</v>
      </c>
      <c r="S19" s="5" t="s">
        <v>35</v>
      </c>
    </row>
    <row r="20" ht="56.25" customHeight="1">
      <c r="A20" s="5" t="s">
        <v>20260</v>
      </c>
      <c r="B20" s="5" t="s">
        <v>20261</v>
      </c>
      <c r="C20" s="6">
        <v>19.0</v>
      </c>
      <c r="D20" s="6">
        <v>8.0</v>
      </c>
      <c r="E20" s="5" t="s">
        <v>20263</v>
      </c>
      <c r="F20" s="5" t="s">
        <v>20250</v>
      </c>
      <c r="G20" s="6">
        <v>3.0</v>
      </c>
      <c r="H20" s="6">
        <v>5.0</v>
      </c>
      <c r="I20" s="6">
        <v>10.0</v>
      </c>
      <c r="J20" s="6">
        <v>30.0</v>
      </c>
      <c r="K20" s="6">
        <v>0.0</v>
      </c>
      <c r="L20" s="6">
        <v>0.0</v>
      </c>
      <c r="M20" s="6">
        <v>300.0</v>
      </c>
      <c r="N20" s="6">
        <v>500.0</v>
      </c>
      <c r="O20" s="6">
        <v>1000.0</v>
      </c>
      <c r="P20" s="6">
        <v>2000.0</v>
      </c>
      <c r="Q20" s="6">
        <v>3000.0</v>
      </c>
      <c r="R20" s="6">
        <v>0.0</v>
      </c>
      <c r="S20" s="5" t="s">
        <v>35</v>
      </c>
    </row>
    <row r="21" ht="56.25" customHeight="1">
      <c r="A21" s="5" t="s">
        <v>20264</v>
      </c>
      <c r="B21" s="5" t="s">
        <v>20265</v>
      </c>
      <c r="C21" s="6">
        <v>20.0</v>
      </c>
      <c r="D21" s="6">
        <v>70.0</v>
      </c>
      <c r="E21" s="5" t="s">
        <v>20267</v>
      </c>
      <c r="F21" s="5" t="s">
        <v>20250</v>
      </c>
      <c r="G21" s="6">
        <v>5.0</v>
      </c>
      <c r="H21" s="6">
        <v>20.0</v>
      </c>
      <c r="I21" s="6">
        <v>100.0</v>
      </c>
      <c r="J21" s="6">
        <v>500.0</v>
      </c>
      <c r="K21" s="6">
        <v>1000.0</v>
      </c>
      <c r="L21" s="6">
        <v>3000.0</v>
      </c>
      <c r="M21" s="6">
        <v>300.0</v>
      </c>
      <c r="N21" s="6">
        <v>500.0</v>
      </c>
      <c r="O21" s="6">
        <v>1000.0</v>
      </c>
      <c r="P21" s="6">
        <v>2000.0</v>
      </c>
      <c r="Q21" s="6">
        <v>3000.0</v>
      </c>
      <c r="R21" s="6">
        <v>0.0</v>
      </c>
      <c r="S21" s="5" t="s">
        <v>35</v>
      </c>
    </row>
    <row r="22" ht="56.25" customHeight="1">
      <c r="A22" s="5" t="s">
        <v>20270</v>
      </c>
      <c r="B22" s="5" t="s">
        <v>20271</v>
      </c>
      <c r="C22" s="6">
        <v>21.0</v>
      </c>
      <c r="D22" s="6">
        <v>7.0</v>
      </c>
      <c r="E22" s="5" t="s">
        <v>20272</v>
      </c>
      <c r="F22" s="5" t="s">
        <v>20250</v>
      </c>
      <c r="G22" s="6">
        <v>6.0</v>
      </c>
      <c r="H22" s="6">
        <v>0.0</v>
      </c>
      <c r="I22" s="6">
        <v>0.0</v>
      </c>
      <c r="J22" s="6">
        <v>0.0</v>
      </c>
      <c r="K22" s="6">
        <v>0.0</v>
      </c>
      <c r="L22" s="6">
        <v>0.0</v>
      </c>
      <c r="M22" s="6">
        <v>100.0</v>
      </c>
      <c r="N22" s="6">
        <v>200.0</v>
      </c>
      <c r="O22" s="6">
        <v>300.0</v>
      </c>
      <c r="P22" s="6">
        <v>500.0</v>
      </c>
      <c r="Q22" s="6">
        <v>700.0</v>
      </c>
      <c r="R22" s="6">
        <v>1000.0</v>
      </c>
      <c r="S22" s="5" t="s">
        <v>36</v>
      </c>
    </row>
    <row r="23" ht="56.25" customHeight="1">
      <c r="A23" s="5" t="s">
        <v>20274</v>
      </c>
      <c r="B23" s="5" t="s">
        <v>20275</v>
      </c>
      <c r="C23" s="6">
        <v>22.0</v>
      </c>
      <c r="D23" s="6">
        <v>69.0</v>
      </c>
      <c r="E23" s="5" t="s">
        <v>20277</v>
      </c>
      <c r="F23" s="5" t="s">
        <v>219</v>
      </c>
      <c r="G23" s="6">
        <v>5.0</v>
      </c>
      <c r="H23" s="6">
        <v>10.0</v>
      </c>
      <c r="I23" s="6">
        <v>50.0</v>
      </c>
      <c r="J23" s="6">
        <v>200.0</v>
      </c>
      <c r="K23" s="6">
        <v>500.0</v>
      </c>
      <c r="L23" s="6">
        <v>1000.0</v>
      </c>
      <c r="M23" s="6">
        <v>300.0</v>
      </c>
      <c r="N23" s="6">
        <v>500.0</v>
      </c>
      <c r="O23" s="6">
        <v>1000.0</v>
      </c>
      <c r="P23" s="6">
        <v>2000.0</v>
      </c>
      <c r="Q23" s="6">
        <v>3000.0</v>
      </c>
      <c r="R23" s="6">
        <v>0.0</v>
      </c>
      <c r="S23" s="5" t="s">
        <v>35</v>
      </c>
    </row>
    <row r="24" ht="56.25" customHeight="1">
      <c r="A24" s="5" t="s">
        <v>20279</v>
      </c>
      <c r="B24" s="5" t="s">
        <v>20280</v>
      </c>
      <c r="C24" s="6">
        <v>23.0</v>
      </c>
      <c r="D24" s="6">
        <v>63.0</v>
      </c>
      <c r="E24" s="5" t="s">
        <v>20281</v>
      </c>
      <c r="F24" s="5" t="s">
        <v>219</v>
      </c>
      <c r="G24" s="6">
        <v>5.0</v>
      </c>
      <c r="H24" s="6">
        <v>5.0</v>
      </c>
      <c r="I24" s="6">
        <v>20.0</v>
      </c>
      <c r="J24" s="6">
        <v>50.0</v>
      </c>
      <c r="K24" s="6">
        <v>100.0</v>
      </c>
      <c r="L24" s="6">
        <v>200.0</v>
      </c>
      <c r="M24" s="6">
        <v>300.0</v>
      </c>
      <c r="N24" s="6">
        <v>500.0</v>
      </c>
      <c r="O24" s="6">
        <v>1000.0</v>
      </c>
      <c r="P24" s="6">
        <v>2000.0</v>
      </c>
      <c r="Q24" s="6">
        <v>3000.0</v>
      </c>
      <c r="R24" s="6">
        <v>0.0</v>
      </c>
      <c r="S24" s="5" t="s">
        <v>35</v>
      </c>
    </row>
    <row r="25" ht="56.25" customHeight="1">
      <c r="A25" s="5" t="s">
        <v>20283</v>
      </c>
      <c r="B25" s="5" t="s">
        <v>20284</v>
      </c>
      <c r="C25" s="6">
        <v>24.0</v>
      </c>
      <c r="D25" s="6">
        <v>32.0</v>
      </c>
      <c r="E25" s="5" t="s">
        <v>20286</v>
      </c>
      <c r="F25" s="5" t="s">
        <v>219</v>
      </c>
      <c r="G25" s="6">
        <v>3.0</v>
      </c>
      <c r="H25" s="6">
        <v>3.0</v>
      </c>
      <c r="I25" s="6">
        <v>10.0</v>
      </c>
      <c r="J25" s="6">
        <v>20.0</v>
      </c>
      <c r="K25" s="6">
        <v>0.0</v>
      </c>
      <c r="L25" s="6">
        <v>0.0</v>
      </c>
      <c r="M25" s="6">
        <v>300.0</v>
      </c>
      <c r="N25" s="6">
        <v>500.0</v>
      </c>
      <c r="O25" s="6">
        <v>1000.0</v>
      </c>
      <c r="P25" s="6">
        <v>2000.0</v>
      </c>
      <c r="Q25" s="6">
        <v>3000.0</v>
      </c>
      <c r="R25" s="6">
        <v>0.0</v>
      </c>
      <c r="S25" s="5" t="s">
        <v>35</v>
      </c>
    </row>
    <row r="26" ht="56.25" customHeight="1">
      <c r="A26" s="5" t="s">
        <v>20288</v>
      </c>
      <c r="B26" s="5" t="s">
        <v>20289</v>
      </c>
      <c r="C26" s="6">
        <v>25.0</v>
      </c>
      <c r="D26" s="6">
        <v>2.0</v>
      </c>
      <c r="E26" s="5" t="s">
        <v>20290</v>
      </c>
      <c r="F26" s="5" t="s">
        <v>219</v>
      </c>
      <c r="G26" s="6">
        <v>3.0</v>
      </c>
      <c r="H26" s="6">
        <v>10.0</v>
      </c>
      <c r="I26" s="6">
        <v>50.0</v>
      </c>
      <c r="J26" s="6">
        <v>100.0</v>
      </c>
      <c r="K26" s="6">
        <v>0.0</v>
      </c>
      <c r="L26" s="6">
        <v>0.0</v>
      </c>
      <c r="M26" s="6">
        <v>300.0</v>
      </c>
      <c r="N26" s="6">
        <v>500.0</v>
      </c>
      <c r="O26" s="6">
        <v>1000.0</v>
      </c>
      <c r="P26" s="6">
        <v>2000.0</v>
      </c>
      <c r="Q26" s="6">
        <v>3000.0</v>
      </c>
      <c r="R26" s="6">
        <v>0.0</v>
      </c>
      <c r="S26" s="5" t="s">
        <v>35</v>
      </c>
    </row>
    <row r="27" ht="56.25" customHeight="1">
      <c r="A27" s="5" t="s">
        <v>20292</v>
      </c>
      <c r="B27" s="5" t="s">
        <v>20293</v>
      </c>
      <c r="C27" s="6">
        <v>26.0</v>
      </c>
      <c r="D27" s="6">
        <v>82.0</v>
      </c>
      <c r="E27" s="5" t="s">
        <v>20294</v>
      </c>
      <c r="F27" s="5" t="s">
        <v>20184</v>
      </c>
      <c r="G27" s="6">
        <v>5.0</v>
      </c>
      <c r="H27" s="6">
        <v>1.0</v>
      </c>
      <c r="I27" s="6">
        <v>2.0</v>
      </c>
      <c r="J27" s="6">
        <v>5.0</v>
      </c>
      <c r="K27" s="6">
        <v>6.0</v>
      </c>
      <c r="L27" s="6">
        <v>7.0</v>
      </c>
      <c r="M27" s="6">
        <v>500.0</v>
      </c>
      <c r="N27" s="6">
        <v>1000.0</v>
      </c>
      <c r="O27" s="6">
        <v>2000.0</v>
      </c>
      <c r="P27" s="6">
        <v>3000.0</v>
      </c>
      <c r="Q27" s="6">
        <v>5000.0</v>
      </c>
      <c r="R27" s="6">
        <v>0.0</v>
      </c>
      <c r="S27" s="5" t="s">
        <v>35</v>
      </c>
    </row>
    <row r="28" ht="56.25" customHeight="1">
      <c r="A28" s="5" t="s">
        <v>20296</v>
      </c>
      <c r="B28" s="5" t="s">
        <v>20297</v>
      </c>
      <c r="C28" s="6">
        <v>27.0</v>
      </c>
      <c r="D28" s="6">
        <v>40.0</v>
      </c>
      <c r="E28" s="5" t="s">
        <v>20298</v>
      </c>
      <c r="F28" s="5" t="s">
        <v>20184</v>
      </c>
      <c r="G28" s="6">
        <v>1.0</v>
      </c>
      <c r="H28" s="6">
        <v>1.0</v>
      </c>
      <c r="I28" s="6">
        <v>0.0</v>
      </c>
      <c r="J28" s="6">
        <v>0.0</v>
      </c>
      <c r="K28" s="6">
        <v>0.0</v>
      </c>
      <c r="L28" s="6">
        <v>0.0</v>
      </c>
      <c r="M28" s="6">
        <v>1000.0</v>
      </c>
      <c r="N28" s="6">
        <v>500.0</v>
      </c>
      <c r="O28" s="6">
        <v>1000.0</v>
      </c>
      <c r="P28" s="6">
        <v>2000.0</v>
      </c>
      <c r="Q28" s="6">
        <v>3000.0</v>
      </c>
      <c r="R28" s="6">
        <v>0.0</v>
      </c>
      <c r="S28" s="5" t="s">
        <v>35</v>
      </c>
    </row>
    <row r="29" ht="56.25" customHeight="1">
      <c r="A29" s="5" t="s">
        <v>20300</v>
      </c>
      <c r="B29" s="5" t="s">
        <v>20301</v>
      </c>
      <c r="C29" s="6">
        <v>28.0</v>
      </c>
      <c r="D29" s="6">
        <v>78.0</v>
      </c>
      <c r="E29" s="5" t="s">
        <v>20302</v>
      </c>
      <c r="F29" s="5" t="s">
        <v>20184</v>
      </c>
      <c r="G29" s="6">
        <v>5.0</v>
      </c>
      <c r="H29" s="6">
        <v>5.0</v>
      </c>
      <c r="I29" s="6">
        <v>15.0</v>
      </c>
      <c r="J29" s="6">
        <v>30.0</v>
      </c>
      <c r="K29" s="6">
        <v>100.0</v>
      </c>
      <c r="L29" s="6">
        <v>150.0</v>
      </c>
      <c r="M29" s="6">
        <v>300.0</v>
      </c>
      <c r="N29" s="6">
        <v>1000.0</v>
      </c>
      <c r="O29" s="6">
        <v>2000.0</v>
      </c>
      <c r="P29" s="6">
        <v>3000.0</v>
      </c>
      <c r="Q29" s="6">
        <v>5000.0</v>
      </c>
      <c r="R29" s="6">
        <v>0.0</v>
      </c>
      <c r="S29" s="5" t="s">
        <v>35</v>
      </c>
    </row>
    <row r="30" ht="56.25" customHeight="1">
      <c r="A30" s="5" t="s">
        <v>20304</v>
      </c>
      <c r="B30" s="5" t="s">
        <v>20305</v>
      </c>
      <c r="C30" s="6">
        <v>29.0</v>
      </c>
      <c r="D30" s="6">
        <v>77.0</v>
      </c>
      <c r="E30" s="5" t="s">
        <v>20306</v>
      </c>
      <c r="F30" s="5" t="s">
        <v>20184</v>
      </c>
      <c r="G30" s="6">
        <v>5.0</v>
      </c>
      <c r="H30" s="6">
        <v>20.0</v>
      </c>
      <c r="I30" s="6">
        <v>50.0</v>
      </c>
      <c r="J30" s="6">
        <v>100.0</v>
      </c>
      <c r="K30" s="6">
        <v>200.0</v>
      </c>
      <c r="L30" s="6">
        <v>300.0</v>
      </c>
      <c r="M30" s="6">
        <v>300.0</v>
      </c>
      <c r="N30" s="6">
        <v>1000.0</v>
      </c>
      <c r="O30" s="6">
        <v>2000.0</v>
      </c>
      <c r="P30" s="6">
        <v>3000.0</v>
      </c>
      <c r="Q30" s="6">
        <v>5000.0</v>
      </c>
      <c r="R30" s="6">
        <v>0.0</v>
      </c>
      <c r="S30" s="5" t="s">
        <v>35</v>
      </c>
    </row>
    <row r="31" ht="56.25" customHeight="1">
      <c r="A31" s="5" t="s">
        <v>20308</v>
      </c>
      <c r="B31" s="5" t="s">
        <v>20309</v>
      </c>
      <c r="C31" s="6">
        <v>30.0</v>
      </c>
      <c r="D31" s="6">
        <v>81.0</v>
      </c>
      <c r="E31" s="5" t="s">
        <v>20310</v>
      </c>
      <c r="F31" s="5" t="s">
        <v>20184</v>
      </c>
      <c r="G31" s="6">
        <v>3.0</v>
      </c>
      <c r="H31" s="6">
        <v>1.0</v>
      </c>
      <c r="I31" s="6">
        <v>3.0</v>
      </c>
      <c r="J31" s="6">
        <v>5.0</v>
      </c>
      <c r="K31" s="6">
        <v>0.0</v>
      </c>
      <c r="L31" s="6">
        <v>0.0</v>
      </c>
      <c r="M31" s="6">
        <v>500.0</v>
      </c>
      <c r="N31" s="6">
        <v>1000.0</v>
      </c>
      <c r="O31" s="6">
        <v>2000.0</v>
      </c>
      <c r="P31" s="6">
        <v>3000.0</v>
      </c>
      <c r="Q31" s="6">
        <v>5000.0</v>
      </c>
      <c r="R31" s="6">
        <v>0.0</v>
      </c>
      <c r="S31" s="5" t="s">
        <v>35</v>
      </c>
    </row>
    <row r="32" ht="56.25" customHeight="1">
      <c r="A32" s="5" t="s">
        <v>20312</v>
      </c>
      <c r="B32" s="5" t="s">
        <v>20313</v>
      </c>
      <c r="C32" s="6">
        <v>31.0</v>
      </c>
      <c r="D32" s="6">
        <v>59.0</v>
      </c>
      <c r="E32" s="5" t="s">
        <v>20315</v>
      </c>
      <c r="F32" s="5" t="s">
        <v>20198</v>
      </c>
      <c r="G32" s="6">
        <v>5.0</v>
      </c>
      <c r="H32" s="6">
        <v>1.0</v>
      </c>
      <c r="I32" s="6">
        <v>10.0</v>
      </c>
      <c r="J32" s="6">
        <v>50.0</v>
      </c>
      <c r="K32" s="6">
        <v>100.0</v>
      </c>
      <c r="L32" s="6">
        <v>300.0</v>
      </c>
      <c r="M32" s="6">
        <v>300.0</v>
      </c>
      <c r="N32" s="6">
        <v>500.0</v>
      </c>
      <c r="O32" s="6">
        <v>1000.0</v>
      </c>
      <c r="P32" s="6">
        <v>2000.0</v>
      </c>
      <c r="Q32" s="6">
        <v>3000.0</v>
      </c>
      <c r="R32" s="6">
        <v>0.0</v>
      </c>
      <c r="S32" s="5" t="s">
        <v>35</v>
      </c>
    </row>
    <row r="33" ht="56.25" customHeight="1">
      <c r="A33" s="5" t="s">
        <v>20317</v>
      </c>
      <c r="B33" s="5" t="s">
        <v>20318</v>
      </c>
      <c r="C33" s="6">
        <v>32.0</v>
      </c>
      <c r="D33" s="6">
        <v>31.0</v>
      </c>
      <c r="E33" s="5" t="s">
        <v>20320</v>
      </c>
      <c r="F33" s="5" t="s">
        <v>20198</v>
      </c>
      <c r="G33" s="6">
        <v>5.0</v>
      </c>
      <c r="H33" s="6">
        <v>1.0</v>
      </c>
      <c r="I33" s="6">
        <v>10.0</v>
      </c>
      <c r="J33" s="6">
        <v>20.0</v>
      </c>
      <c r="K33" s="6">
        <v>30.0</v>
      </c>
      <c r="L33" s="6">
        <v>42.0</v>
      </c>
      <c r="M33" s="6">
        <v>300.0</v>
      </c>
      <c r="N33" s="6">
        <v>500.0</v>
      </c>
      <c r="O33" s="6">
        <v>1000.0</v>
      </c>
      <c r="P33" s="6">
        <v>2000.0</v>
      </c>
      <c r="Q33" s="6">
        <v>3000.0</v>
      </c>
      <c r="R33" s="6">
        <v>0.0</v>
      </c>
      <c r="S33" s="5" t="s">
        <v>35</v>
      </c>
    </row>
    <row r="34" ht="56.25" customHeight="1">
      <c r="A34" s="5" t="s">
        <v>20322</v>
      </c>
      <c r="B34" s="5" t="s">
        <v>20323</v>
      </c>
      <c r="C34" s="6">
        <v>33.0</v>
      </c>
      <c r="D34" s="6">
        <v>75.0</v>
      </c>
      <c r="E34" s="5" t="s">
        <v>20324</v>
      </c>
      <c r="F34" s="5" t="s">
        <v>20325</v>
      </c>
      <c r="G34" s="6">
        <v>1.0</v>
      </c>
      <c r="H34" s="6">
        <v>1.0</v>
      </c>
      <c r="I34" s="6">
        <v>0.0</v>
      </c>
      <c r="J34" s="6">
        <v>0.0</v>
      </c>
      <c r="K34" s="6">
        <v>0.0</v>
      </c>
      <c r="L34" s="6">
        <v>0.0</v>
      </c>
      <c r="M34" s="6">
        <v>300.0</v>
      </c>
      <c r="N34" s="6">
        <v>500.0</v>
      </c>
      <c r="O34" s="6">
        <v>1000.0</v>
      </c>
      <c r="P34" s="6">
        <v>2000.0</v>
      </c>
      <c r="Q34" s="6">
        <v>3000.0</v>
      </c>
      <c r="R34" s="6">
        <v>0.0</v>
      </c>
      <c r="S34" s="5" t="s">
        <v>35</v>
      </c>
    </row>
    <row r="35" ht="56.25" customHeight="1">
      <c r="A35" s="5" t="s">
        <v>20327</v>
      </c>
      <c r="B35" s="5" t="s">
        <v>20328</v>
      </c>
      <c r="C35" s="6">
        <v>34.0</v>
      </c>
      <c r="D35" s="6">
        <v>87.0</v>
      </c>
      <c r="E35" s="5" t="s">
        <v>20330</v>
      </c>
      <c r="F35" s="5" t="s">
        <v>20325</v>
      </c>
      <c r="G35" s="6">
        <v>1.0</v>
      </c>
      <c r="H35" s="6">
        <v>1.0</v>
      </c>
      <c r="I35" s="6">
        <v>0.0</v>
      </c>
      <c r="J35" s="6">
        <v>0.0</v>
      </c>
      <c r="K35" s="6">
        <v>0.0</v>
      </c>
      <c r="L35" s="6">
        <v>0.0</v>
      </c>
      <c r="M35" s="6">
        <v>300.0</v>
      </c>
      <c r="N35" s="6">
        <v>1000.0</v>
      </c>
      <c r="O35" s="6">
        <v>2000.0</v>
      </c>
      <c r="P35" s="6">
        <v>3000.0</v>
      </c>
      <c r="Q35" s="6">
        <v>5000.0</v>
      </c>
      <c r="R35" s="6">
        <v>0.0</v>
      </c>
      <c r="S35" s="5" t="s">
        <v>35</v>
      </c>
    </row>
    <row r="36" ht="56.25" customHeight="1">
      <c r="A36" s="5" t="s">
        <v>20332</v>
      </c>
      <c r="B36" s="5" t="s">
        <v>20333</v>
      </c>
      <c r="C36" s="6">
        <v>35.0</v>
      </c>
      <c r="D36" s="6">
        <v>76.0</v>
      </c>
      <c r="E36" s="5" t="s">
        <v>20334</v>
      </c>
      <c r="F36" s="5" t="s">
        <v>20325</v>
      </c>
      <c r="G36" s="6">
        <v>1.0</v>
      </c>
      <c r="H36" s="6">
        <v>10.0</v>
      </c>
      <c r="I36" s="6">
        <v>0.0</v>
      </c>
      <c r="J36" s="6">
        <v>0.0</v>
      </c>
      <c r="K36" s="6">
        <v>0.0</v>
      </c>
      <c r="L36" s="6">
        <v>0.0</v>
      </c>
      <c r="M36" s="6">
        <v>300.0</v>
      </c>
      <c r="N36" s="6">
        <v>500.0</v>
      </c>
      <c r="O36" s="6">
        <v>1000.0</v>
      </c>
      <c r="P36" s="6">
        <v>2000.0</v>
      </c>
      <c r="Q36" s="6">
        <v>3000.0</v>
      </c>
      <c r="R36" s="6">
        <v>0.0</v>
      </c>
      <c r="S36" s="5" t="s">
        <v>35</v>
      </c>
    </row>
    <row r="37" ht="56.25" customHeight="1">
      <c r="A37" s="5" t="s">
        <v>20336</v>
      </c>
      <c r="B37" s="5" t="s">
        <v>20337</v>
      </c>
      <c r="C37" s="6">
        <v>36.0</v>
      </c>
      <c r="D37" s="6">
        <v>56.0</v>
      </c>
      <c r="E37" s="5" t="s">
        <v>20339</v>
      </c>
      <c r="F37" s="5" t="s">
        <v>20325</v>
      </c>
      <c r="G37" s="6">
        <v>1.0</v>
      </c>
      <c r="H37" s="6">
        <v>1000.0</v>
      </c>
      <c r="I37" s="6">
        <v>0.0</v>
      </c>
      <c r="J37" s="6">
        <v>0.0</v>
      </c>
      <c r="K37" s="6">
        <v>0.0</v>
      </c>
      <c r="L37" s="6">
        <v>0.0</v>
      </c>
      <c r="M37" s="6">
        <v>1000.0</v>
      </c>
      <c r="N37" s="6">
        <v>500.0</v>
      </c>
      <c r="O37" s="6">
        <v>1000.0</v>
      </c>
      <c r="P37" s="6">
        <v>2000.0</v>
      </c>
      <c r="Q37" s="6">
        <v>3000.0</v>
      </c>
      <c r="R37" s="6">
        <v>0.0</v>
      </c>
      <c r="S37" s="5" t="s">
        <v>35</v>
      </c>
    </row>
    <row r="38" ht="56.25" customHeight="1">
      <c r="A38" s="5" t="s">
        <v>20342</v>
      </c>
      <c r="B38" s="5" t="s">
        <v>20343</v>
      </c>
      <c r="C38" s="6">
        <v>37.0</v>
      </c>
      <c r="D38" s="6">
        <v>16.0</v>
      </c>
      <c r="E38" s="5" t="s">
        <v>20344</v>
      </c>
      <c r="F38" s="5" t="s">
        <v>20325</v>
      </c>
      <c r="G38" s="6">
        <v>5.0</v>
      </c>
      <c r="H38" s="6">
        <v>1.0</v>
      </c>
      <c r="I38" s="6">
        <v>20.0</v>
      </c>
      <c r="J38" s="6">
        <v>50.0</v>
      </c>
      <c r="K38" s="6">
        <v>100.0</v>
      </c>
      <c r="L38" s="6">
        <v>200.0</v>
      </c>
      <c r="M38" s="6">
        <v>300.0</v>
      </c>
      <c r="N38" s="6">
        <v>500.0</v>
      </c>
      <c r="O38" s="6">
        <v>1000.0</v>
      </c>
      <c r="P38" s="6">
        <v>2000.0</v>
      </c>
      <c r="Q38" s="6">
        <v>3000.0</v>
      </c>
      <c r="R38" s="6">
        <v>0.0</v>
      </c>
      <c r="S38" s="5" t="s">
        <v>35</v>
      </c>
    </row>
    <row r="39" ht="56.25" customHeight="1">
      <c r="A39" s="5" t="s">
        <v>20347</v>
      </c>
      <c r="B39" s="5" t="s">
        <v>20348</v>
      </c>
      <c r="C39" s="6">
        <v>38.0</v>
      </c>
      <c r="D39" s="6">
        <v>15.0</v>
      </c>
      <c r="E39" s="5" t="s">
        <v>20349</v>
      </c>
      <c r="F39" s="5" t="s">
        <v>20325</v>
      </c>
      <c r="G39" s="6">
        <v>5.0</v>
      </c>
      <c r="H39" s="6">
        <v>100.0</v>
      </c>
      <c r="I39" s="6">
        <v>200.0</v>
      </c>
      <c r="J39" s="6">
        <v>300.0</v>
      </c>
      <c r="K39" s="6">
        <v>400.0</v>
      </c>
      <c r="L39" s="6">
        <v>500.0</v>
      </c>
      <c r="M39" s="6">
        <v>300.0</v>
      </c>
      <c r="N39" s="6">
        <v>500.0</v>
      </c>
      <c r="O39" s="6">
        <v>1000.0</v>
      </c>
      <c r="P39" s="6">
        <v>2000.0</v>
      </c>
      <c r="Q39" s="6">
        <v>3000.0</v>
      </c>
      <c r="R39" s="6">
        <v>0.0</v>
      </c>
      <c r="S39" s="5" t="s">
        <v>35</v>
      </c>
    </row>
    <row r="40" ht="56.25" customHeight="1">
      <c r="A40" s="5" t="s">
        <v>20351</v>
      </c>
      <c r="B40" s="5" t="s">
        <v>20352</v>
      </c>
      <c r="C40" s="6">
        <v>39.0</v>
      </c>
      <c r="D40" s="6">
        <v>58.0</v>
      </c>
      <c r="E40" s="5" t="s">
        <v>20354</v>
      </c>
      <c r="F40" s="5" t="s">
        <v>20325</v>
      </c>
      <c r="G40" s="6">
        <v>5.0</v>
      </c>
      <c r="H40" s="6">
        <v>5.0</v>
      </c>
      <c r="I40" s="6">
        <v>50.0</v>
      </c>
      <c r="J40" s="6">
        <v>200.0</v>
      </c>
      <c r="K40" s="6">
        <v>1000.0</v>
      </c>
      <c r="L40" s="6">
        <v>3000.0</v>
      </c>
      <c r="M40" s="6">
        <v>300.0</v>
      </c>
      <c r="N40" s="6">
        <v>500.0</v>
      </c>
      <c r="O40" s="6">
        <v>1000.0</v>
      </c>
      <c r="P40" s="6">
        <v>2000.0</v>
      </c>
      <c r="Q40" s="6">
        <v>3000.0</v>
      </c>
      <c r="R40" s="6">
        <v>0.0</v>
      </c>
      <c r="S40" s="5" t="s">
        <v>35</v>
      </c>
    </row>
    <row r="41" ht="56.25" customHeight="1">
      <c r="A41" s="5" t="s">
        <v>20355</v>
      </c>
      <c r="B41" s="5" t="s">
        <v>20356</v>
      </c>
      <c r="C41" s="6">
        <v>40.0</v>
      </c>
      <c r="D41" s="6">
        <v>12.0</v>
      </c>
      <c r="E41" s="5" t="s">
        <v>20358</v>
      </c>
      <c r="F41" s="5" t="s">
        <v>20359</v>
      </c>
      <c r="G41" s="6">
        <v>1.0</v>
      </c>
      <c r="H41" s="6">
        <v>1.0</v>
      </c>
      <c r="I41" s="6">
        <v>0.0</v>
      </c>
      <c r="J41" s="6">
        <v>0.0</v>
      </c>
      <c r="K41" s="6">
        <v>0.0</v>
      </c>
      <c r="L41" s="6">
        <v>0.0</v>
      </c>
      <c r="M41" s="6">
        <v>300.0</v>
      </c>
      <c r="N41" s="6">
        <v>500.0</v>
      </c>
      <c r="O41" s="6">
        <v>1000.0</v>
      </c>
      <c r="P41" s="6">
        <v>2000.0</v>
      </c>
      <c r="Q41" s="6">
        <v>3000.0</v>
      </c>
      <c r="R41" s="6">
        <v>0.0</v>
      </c>
      <c r="S41" s="5" t="s">
        <v>35</v>
      </c>
    </row>
    <row r="42" ht="56.25" customHeight="1">
      <c r="A42" s="5" t="s">
        <v>20361</v>
      </c>
      <c r="B42" s="5" t="s">
        <v>20362</v>
      </c>
      <c r="C42" s="6">
        <v>41.0</v>
      </c>
      <c r="D42" s="6">
        <v>13.0</v>
      </c>
      <c r="E42" s="5" t="s">
        <v>20363</v>
      </c>
      <c r="F42" s="5" t="s">
        <v>20359</v>
      </c>
      <c r="G42" s="6">
        <v>1.0</v>
      </c>
      <c r="H42" s="6">
        <v>1.0</v>
      </c>
      <c r="I42" s="6">
        <v>0.0</v>
      </c>
      <c r="J42" s="6">
        <v>0.0</v>
      </c>
      <c r="K42" s="6">
        <v>0.0</v>
      </c>
      <c r="L42" s="6">
        <v>0.0</v>
      </c>
      <c r="M42" s="6">
        <v>300.0</v>
      </c>
      <c r="N42" s="6">
        <v>500.0</v>
      </c>
      <c r="O42" s="6">
        <v>1000.0</v>
      </c>
      <c r="P42" s="6">
        <v>2000.0</v>
      </c>
      <c r="Q42" s="6">
        <v>3000.0</v>
      </c>
      <c r="R42" s="6">
        <v>0.0</v>
      </c>
      <c r="S42" s="5" t="s">
        <v>35</v>
      </c>
    </row>
    <row r="43" ht="56.25" customHeight="1">
      <c r="A43" s="5" t="s">
        <v>20364</v>
      </c>
      <c r="B43" s="5" t="s">
        <v>20366</v>
      </c>
      <c r="C43" s="6">
        <v>42.0</v>
      </c>
      <c r="D43" s="6">
        <v>33.0</v>
      </c>
      <c r="E43" s="5" t="s">
        <v>20367</v>
      </c>
      <c r="F43" s="5" t="s">
        <v>20359</v>
      </c>
      <c r="G43" s="6">
        <v>1.0</v>
      </c>
      <c r="H43" s="6">
        <v>1.0</v>
      </c>
      <c r="I43" s="6">
        <v>0.0</v>
      </c>
      <c r="J43" s="6">
        <v>0.0</v>
      </c>
      <c r="K43" s="6">
        <v>0.0</v>
      </c>
      <c r="L43" s="6">
        <v>0.0</v>
      </c>
      <c r="M43" s="6">
        <v>500.0</v>
      </c>
      <c r="N43" s="6">
        <v>500.0</v>
      </c>
      <c r="O43" s="6">
        <v>1000.0</v>
      </c>
      <c r="P43" s="6">
        <v>2000.0</v>
      </c>
      <c r="Q43" s="6">
        <v>3000.0</v>
      </c>
      <c r="R43" s="6">
        <v>0.0</v>
      </c>
      <c r="S43" s="5" t="s">
        <v>35</v>
      </c>
    </row>
    <row r="44" ht="56.25" customHeight="1">
      <c r="A44" s="5" t="s">
        <v>20368</v>
      </c>
      <c r="B44" s="5" t="s">
        <v>20369</v>
      </c>
      <c r="C44" s="6">
        <v>43.0</v>
      </c>
      <c r="D44" s="6">
        <v>11.0</v>
      </c>
      <c r="E44" s="5" t="s">
        <v>20371</v>
      </c>
      <c r="F44" s="5" t="s">
        <v>20359</v>
      </c>
      <c r="G44" s="6">
        <v>5.0</v>
      </c>
      <c r="H44" s="6">
        <v>5000.0</v>
      </c>
      <c r="I44" s="6">
        <v>50000.0</v>
      </c>
      <c r="J44" s="6">
        <v>500000.0</v>
      </c>
      <c r="K44" s="6">
        <v>2000000.0</v>
      </c>
      <c r="L44" s="6">
        <v>5000000.0</v>
      </c>
      <c r="M44" s="6">
        <v>300.0</v>
      </c>
      <c r="N44" s="6">
        <v>500.0</v>
      </c>
      <c r="O44" s="6">
        <v>1000.0</v>
      </c>
      <c r="P44" s="6">
        <v>2000.0</v>
      </c>
      <c r="Q44" s="6">
        <v>3000.0</v>
      </c>
      <c r="R44" s="6">
        <v>0.0</v>
      </c>
      <c r="S44" s="5" t="s">
        <v>35</v>
      </c>
    </row>
    <row r="45" ht="56.25" customHeight="1">
      <c r="A45" s="5" t="s">
        <v>20372</v>
      </c>
      <c r="B45" s="5" t="s">
        <v>20373</v>
      </c>
      <c r="C45" s="6">
        <v>44.0</v>
      </c>
      <c r="D45" s="6">
        <v>9.0</v>
      </c>
      <c r="E45" s="5" t="s">
        <v>20374</v>
      </c>
      <c r="F45" s="5" t="s">
        <v>20359</v>
      </c>
      <c r="G45" s="6">
        <v>1.0</v>
      </c>
      <c r="H45" s="6">
        <v>1.0</v>
      </c>
      <c r="I45" s="6">
        <v>0.0</v>
      </c>
      <c r="J45" s="6">
        <v>0.0</v>
      </c>
      <c r="K45" s="6">
        <v>0.0</v>
      </c>
      <c r="L45" s="6">
        <v>0.0</v>
      </c>
      <c r="M45" s="6">
        <v>300.0</v>
      </c>
      <c r="N45" s="6">
        <v>500.0</v>
      </c>
      <c r="O45" s="6">
        <v>1000.0</v>
      </c>
      <c r="P45" s="6">
        <v>2000.0</v>
      </c>
      <c r="Q45" s="6">
        <v>3000.0</v>
      </c>
      <c r="R45" s="6">
        <v>0.0</v>
      </c>
      <c r="S45" s="5" t="s">
        <v>35</v>
      </c>
    </row>
    <row r="46" ht="56.25" customHeight="1">
      <c r="A46" s="5" t="s">
        <v>20376</v>
      </c>
      <c r="B46" s="5" t="s">
        <v>20377</v>
      </c>
      <c r="C46" s="6">
        <v>45.0</v>
      </c>
      <c r="D46" s="6">
        <v>10.0</v>
      </c>
      <c r="E46" s="5" t="s">
        <v>20378</v>
      </c>
      <c r="F46" s="5" t="s">
        <v>20359</v>
      </c>
      <c r="G46" s="6">
        <v>5.0</v>
      </c>
      <c r="H46" s="6">
        <v>1000.0</v>
      </c>
      <c r="I46" s="6">
        <v>10000.0</v>
      </c>
      <c r="J46" s="6">
        <v>100000.0</v>
      </c>
      <c r="K46" s="6">
        <v>1000000.0</v>
      </c>
      <c r="L46" s="6">
        <v>1.0E7</v>
      </c>
      <c r="M46" s="6">
        <v>300.0</v>
      </c>
      <c r="N46" s="6">
        <v>500.0</v>
      </c>
      <c r="O46" s="6">
        <v>1000.0</v>
      </c>
      <c r="P46" s="6">
        <v>2000.0</v>
      </c>
      <c r="Q46" s="6">
        <v>3000.0</v>
      </c>
      <c r="R46" s="6">
        <v>0.0</v>
      </c>
      <c r="S46" s="5" t="s">
        <v>35</v>
      </c>
    </row>
    <row r="47" ht="56.25" customHeight="1">
      <c r="A47" s="5" t="s">
        <v>20382</v>
      </c>
      <c r="B47" s="5" t="s">
        <v>20383</v>
      </c>
      <c r="C47" s="6">
        <v>46.0</v>
      </c>
      <c r="D47" s="6">
        <v>34.0</v>
      </c>
      <c r="E47" s="5" t="s">
        <v>20384</v>
      </c>
      <c r="F47" s="5" t="s">
        <v>20359</v>
      </c>
      <c r="G47" s="6">
        <v>1.0</v>
      </c>
      <c r="H47" s="6">
        <v>1.0</v>
      </c>
      <c r="I47" s="6">
        <v>0.0</v>
      </c>
      <c r="J47" s="6">
        <v>0.0</v>
      </c>
      <c r="K47" s="6">
        <v>0.0</v>
      </c>
      <c r="L47" s="6">
        <v>0.0</v>
      </c>
      <c r="M47" s="6">
        <v>1000.0</v>
      </c>
      <c r="N47" s="6">
        <v>500.0</v>
      </c>
      <c r="O47" s="6">
        <v>1000.0</v>
      </c>
      <c r="P47" s="6">
        <v>2000.0</v>
      </c>
      <c r="Q47" s="6">
        <v>3000.0</v>
      </c>
      <c r="R47" s="6">
        <v>0.0</v>
      </c>
      <c r="S47" s="5" t="s">
        <v>35</v>
      </c>
    </row>
    <row r="48" ht="56.25" customHeight="1">
      <c r="A48" s="5" t="s">
        <v>20386</v>
      </c>
      <c r="B48" s="5" t="s">
        <v>20387</v>
      </c>
      <c r="C48" s="6">
        <v>47.0</v>
      </c>
      <c r="D48" s="6">
        <v>83.0</v>
      </c>
      <c r="E48" s="5" t="s">
        <v>20388</v>
      </c>
      <c r="F48" s="5" t="s">
        <v>20198</v>
      </c>
      <c r="G48" s="6">
        <v>1.0</v>
      </c>
      <c r="H48" s="6">
        <v>1.0</v>
      </c>
      <c r="I48" s="6">
        <v>0.0</v>
      </c>
      <c r="J48" s="6">
        <v>0.0</v>
      </c>
      <c r="K48" s="6">
        <v>0.0</v>
      </c>
      <c r="L48" s="6">
        <v>0.0</v>
      </c>
      <c r="M48" s="6">
        <v>300.0</v>
      </c>
      <c r="N48" s="6">
        <v>1000.0</v>
      </c>
      <c r="O48" s="6">
        <v>2000.0</v>
      </c>
      <c r="P48" s="6">
        <v>3000.0</v>
      </c>
      <c r="Q48" s="6">
        <v>5000.0</v>
      </c>
      <c r="R48" s="6">
        <v>0.0</v>
      </c>
      <c r="S48" s="5" t="s">
        <v>35</v>
      </c>
    </row>
    <row r="49" ht="56.25" customHeight="1">
      <c r="A49" s="5" t="s">
        <v>20391</v>
      </c>
      <c r="B49" s="5" t="s">
        <v>20392</v>
      </c>
      <c r="C49" s="6">
        <v>48.0</v>
      </c>
      <c r="D49" s="6">
        <v>50.0</v>
      </c>
      <c r="E49" s="5" t="s">
        <v>20394</v>
      </c>
      <c r="F49" s="5" t="s">
        <v>20198</v>
      </c>
      <c r="G49" s="6">
        <v>5.0</v>
      </c>
      <c r="H49" s="6">
        <v>5.0</v>
      </c>
      <c r="I49" s="6">
        <v>20.0</v>
      </c>
      <c r="J49" s="6">
        <v>50.0</v>
      </c>
      <c r="K49" s="6">
        <v>100.0</v>
      </c>
      <c r="L49" s="6">
        <v>200.0</v>
      </c>
      <c r="M49" s="6">
        <v>300.0</v>
      </c>
      <c r="N49" s="6">
        <v>500.0</v>
      </c>
      <c r="O49" s="6">
        <v>1000.0</v>
      </c>
      <c r="P49" s="6">
        <v>2000.0</v>
      </c>
      <c r="Q49" s="6">
        <v>3000.0</v>
      </c>
      <c r="R49" s="6">
        <v>0.0</v>
      </c>
      <c r="S49" s="5" t="s">
        <v>35</v>
      </c>
    </row>
    <row r="50" ht="56.25" customHeight="1">
      <c r="A50" s="5" t="s">
        <v>20396</v>
      </c>
      <c r="B50" s="5" t="s">
        <v>20397</v>
      </c>
      <c r="C50" s="6">
        <v>49.0</v>
      </c>
      <c r="D50" s="6">
        <v>26.0</v>
      </c>
      <c r="E50" s="5" t="s">
        <v>20398</v>
      </c>
      <c r="F50" s="5" t="s">
        <v>109</v>
      </c>
      <c r="G50" s="6">
        <v>3.0</v>
      </c>
      <c r="H50" s="6">
        <v>1.0</v>
      </c>
      <c r="I50" s="6">
        <v>5.0</v>
      </c>
      <c r="J50" s="6">
        <v>10.0</v>
      </c>
      <c r="K50" s="6">
        <v>0.0</v>
      </c>
      <c r="L50" s="6">
        <v>0.0</v>
      </c>
      <c r="M50" s="6">
        <v>300.0</v>
      </c>
      <c r="N50" s="6">
        <v>500.0</v>
      </c>
      <c r="O50" s="6">
        <v>1000.0</v>
      </c>
      <c r="P50" s="6">
        <v>2000.0</v>
      </c>
      <c r="Q50" s="6">
        <v>3000.0</v>
      </c>
      <c r="R50" s="6">
        <v>0.0</v>
      </c>
      <c r="S50" s="5" t="s">
        <v>35</v>
      </c>
    </row>
    <row r="51" ht="56.25" customHeight="1">
      <c r="A51" s="5" t="s">
        <v>20400</v>
      </c>
      <c r="B51" s="5" t="s">
        <v>20401</v>
      </c>
      <c r="C51" s="6">
        <v>50.0</v>
      </c>
      <c r="D51" s="6">
        <v>25.0</v>
      </c>
      <c r="E51" s="5" t="s">
        <v>20402</v>
      </c>
      <c r="F51" s="5" t="s">
        <v>109</v>
      </c>
      <c r="G51" s="6">
        <v>1.0</v>
      </c>
      <c r="H51" s="6">
        <v>1.0</v>
      </c>
      <c r="I51" s="6">
        <v>0.0</v>
      </c>
      <c r="J51" s="6">
        <v>0.0</v>
      </c>
      <c r="K51" s="6">
        <v>0.0</v>
      </c>
      <c r="L51" s="6">
        <v>0.0</v>
      </c>
      <c r="M51" s="6">
        <v>1000.0</v>
      </c>
      <c r="N51" s="6">
        <v>500.0</v>
      </c>
      <c r="O51" s="6">
        <v>1000.0</v>
      </c>
      <c r="P51" s="6">
        <v>2000.0</v>
      </c>
      <c r="Q51" s="6">
        <v>3000.0</v>
      </c>
      <c r="R51" s="6">
        <v>0.0</v>
      </c>
      <c r="S51" s="5" t="s">
        <v>35</v>
      </c>
    </row>
    <row r="52" ht="56.25" customHeight="1">
      <c r="A52" s="5" t="s">
        <v>20404</v>
      </c>
      <c r="B52" s="5" t="s">
        <v>20405</v>
      </c>
      <c r="C52" s="6">
        <v>51.0</v>
      </c>
      <c r="D52" s="6">
        <v>71.0</v>
      </c>
      <c r="E52" s="5" t="s">
        <v>20406</v>
      </c>
      <c r="F52" s="5" t="s">
        <v>109</v>
      </c>
      <c r="G52" s="6">
        <v>1.0</v>
      </c>
      <c r="H52" s="6">
        <v>1.0</v>
      </c>
      <c r="I52" s="6">
        <v>0.0</v>
      </c>
      <c r="J52" s="6">
        <v>0.0</v>
      </c>
      <c r="K52" s="6">
        <v>0.0</v>
      </c>
      <c r="L52" s="6">
        <v>0.0</v>
      </c>
      <c r="M52" s="6">
        <v>1000.0</v>
      </c>
      <c r="N52" s="6">
        <v>500.0</v>
      </c>
      <c r="O52" s="6">
        <v>1000.0</v>
      </c>
      <c r="P52" s="6">
        <v>2000.0</v>
      </c>
      <c r="Q52" s="6">
        <v>3000.0</v>
      </c>
      <c r="R52" s="6">
        <v>0.0</v>
      </c>
      <c r="S52" s="5" t="s">
        <v>35</v>
      </c>
    </row>
    <row r="53" ht="56.25" customHeight="1">
      <c r="A53" s="5" t="s">
        <v>20409</v>
      </c>
      <c r="B53" s="5" t="s">
        <v>20410</v>
      </c>
      <c r="C53" s="6">
        <v>52.0</v>
      </c>
      <c r="D53" s="6">
        <v>51.0</v>
      </c>
      <c r="E53" s="5" t="s">
        <v>20411</v>
      </c>
      <c r="F53" s="5" t="s">
        <v>423</v>
      </c>
      <c r="G53" s="6">
        <v>1.0</v>
      </c>
      <c r="H53" s="6">
        <v>1.0</v>
      </c>
      <c r="I53" s="6">
        <v>0.0</v>
      </c>
      <c r="J53" s="6">
        <v>0.0</v>
      </c>
      <c r="K53" s="6">
        <v>0.0</v>
      </c>
      <c r="L53" s="6">
        <v>0.0</v>
      </c>
      <c r="M53" s="6">
        <v>300.0</v>
      </c>
      <c r="N53" s="6">
        <v>500.0</v>
      </c>
      <c r="O53" s="6">
        <v>1000.0</v>
      </c>
      <c r="P53" s="6">
        <v>2000.0</v>
      </c>
      <c r="Q53" s="6">
        <v>3000.0</v>
      </c>
      <c r="R53" s="6">
        <v>0.0</v>
      </c>
      <c r="S53" s="5" t="s">
        <v>35</v>
      </c>
    </row>
    <row r="54" ht="56.25" customHeight="1">
      <c r="A54" s="5" t="s">
        <v>20414</v>
      </c>
      <c r="B54" s="5" t="s">
        <v>20415</v>
      </c>
      <c r="C54" s="6">
        <v>53.0</v>
      </c>
      <c r="D54" s="6">
        <v>24.0</v>
      </c>
      <c r="E54" s="5" t="s">
        <v>20416</v>
      </c>
      <c r="F54" s="5" t="s">
        <v>20417</v>
      </c>
      <c r="G54" s="6">
        <v>1.0</v>
      </c>
      <c r="H54" s="6">
        <v>1.0</v>
      </c>
      <c r="I54" s="6">
        <v>0.0</v>
      </c>
      <c r="J54" s="6">
        <v>0.0</v>
      </c>
      <c r="K54" s="6">
        <v>0.0</v>
      </c>
      <c r="L54" s="6">
        <v>0.0</v>
      </c>
      <c r="M54" s="6">
        <v>300.0</v>
      </c>
      <c r="N54" s="6">
        <v>500.0</v>
      </c>
      <c r="O54" s="6">
        <v>1000.0</v>
      </c>
      <c r="P54" s="6">
        <v>2000.0</v>
      </c>
      <c r="Q54" s="6">
        <v>3000.0</v>
      </c>
      <c r="R54" s="6">
        <v>0.0</v>
      </c>
      <c r="S54" s="5" t="s">
        <v>35</v>
      </c>
    </row>
    <row r="55" ht="56.25" customHeight="1">
      <c r="A55" s="5" t="s">
        <v>20420</v>
      </c>
      <c r="B55" s="5" t="s">
        <v>20421</v>
      </c>
      <c r="C55" s="6">
        <v>54.0</v>
      </c>
      <c r="D55" s="6">
        <v>27.0</v>
      </c>
      <c r="E55" s="5" t="s">
        <v>20422</v>
      </c>
      <c r="F55" s="5" t="s">
        <v>20417</v>
      </c>
      <c r="G55" s="6">
        <v>1.0</v>
      </c>
      <c r="H55" s="6">
        <v>1.0</v>
      </c>
      <c r="I55" s="6">
        <v>0.0</v>
      </c>
      <c r="J55" s="6">
        <v>0.0</v>
      </c>
      <c r="K55" s="6">
        <v>0.0</v>
      </c>
      <c r="L55" s="6">
        <v>0.0</v>
      </c>
      <c r="M55" s="6">
        <v>300.0</v>
      </c>
      <c r="N55" s="6">
        <v>500.0</v>
      </c>
      <c r="O55" s="6">
        <v>1000.0</v>
      </c>
      <c r="P55" s="6">
        <v>2000.0</v>
      </c>
      <c r="Q55" s="6">
        <v>3000.0</v>
      </c>
      <c r="R55" s="6">
        <v>0.0</v>
      </c>
      <c r="S55" s="5" t="s">
        <v>35</v>
      </c>
    </row>
    <row r="56" ht="56.25" customHeight="1">
      <c r="A56" s="5" t="s">
        <v>20425</v>
      </c>
      <c r="B56" s="5" t="s">
        <v>20426</v>
      </c>
      <c r="C56" s="6">
        <v>55.0</v>
      </c>
      <c r="D56" s="6">
        <v>52.0</v>
      </c>
      <c r="E56" s="5" t="s">
        <v>20428</v>
      </c>
      <c r="F56" s="5" t="s">
        <v>20417</v>
      </c>
      <c r="G56" s="6">
        <v>1.0</v>
      </c>
      <c r="H56" s="6">
        <v>1.0</v>
      </c>
      <c r="I56" s="6">
        <v>0.0</v>
      </c>
      <c r="J56" s="6">
        <v>0.0</v>
      </c>
      <c r="K56" s="6">
        <v>0.0</v>
      </c>
      <c r="L56" s="6">
        <v>0.0</v>
      </c>
      <c r="M56" s="6">
        <v>300.0</v>
      </c>
      <c r="N56" s="6">
        <v>500.0</v>
      </c>
      <c r="O56" s="6">
        <v>1000.0</v>
      </c>
      <c r="P56" s="6">
        <v>2000.0</v>
      </c>
      <c r="Q56" s="6">
        <v>3000.0</v>
      </c>
      <c r="R56" s="6">
        <v>0.0</v>
      </c>
      <c r="S56" s="5" t="s">
        <v>35</v>
      </c>
    </row>
    <row r="57" ht="56.25" customHeight="1">
      <c r="A57" s="5" t="s">
        <v>20430</v>
      </c>
      <c r="B57" s="5" t="s">
        <v>20431</v>
      </c>
      <c r="C57" s="6">
        <v>56.0</v>
      </c>
      <c r="D57" s="6">
        <v>80.0</v>
      </c>
      <c r="E57" s="5" t="s">
        <v>20433</v>
      </c>
      <c r="F57" s="5" t="s">
        <v>20417</v>
      </c>
      <c r="G57" s="6">
        <v>1.0</v>
      </c>
      <c r="H57" s="6">
        <v>1.0</v>
      </c>
      <c r="I57" s="6">
        <v>0.0</v>
      </c>
      <c r="J57" s="6">
        <v>0.0</v>
      </c>
      <c r="K57" s="6">
        <v>0.0</v>
      </c>
      <c r="L57" s="6">
        <v>0.0</v>
      </c>
      <c r="M57" s="6">
        <v>500.0</v>
      </c>
      <c r="N57" s="6">
        <v>1000.0</v>
      </c>
      <c r="O57" s="6">
        <v>2000.0</v>
      </c>
      <c r="P57" s="6">
        <v>3000.0</v>
      </c>
      <c r="Q57" s="6">
        <v>5000.0</v>
      </c>
      <c r="R57" s="6">
        <v>0.0</v>
      </c>
      <c r="S57" s="5" t="s">
        <v>35</v>
      </c>
    </row>
    <row r="58" ht="56.25" customHeight="1">
      <c r="A58" s="5" t="s">
        <v>20436</v>
      </c>
      <c r="B58" s="5" t="s">
        <v>20437</v>
      </c>
      <c r="C58" s="6">
        <v>57.0</v>
      </c>
      <c r="D58" s="6">
        <v>5.0</v>
      </c>
      <c r="E58" s="5" t="s">
        <v>20439</v>
      </c>
      <c r="F58" s="5" t="s">
        <v>20440</v>
      </c>
      <c r="G58" s="6">
        <v>5.0</v>
      </c>
      <c r="H58" s="6">
        <v>5.0</v>
      </c>
      <c r="I58" s="6">
        <v>20.0</v>
      </c>
      <c r="J58" s="6">
        <v>50.0</v>
      </c>
      <c r="K58" s="6">
        <v>100.0</v>
      </c>
      <c r="L58" s="6">
        <v>300.0</v>
      </c>
      <c r="M58" s="6">
        <v>300.0</v>
      </c>
      <c r="N58" s="6">
        <v>500.0</v>
      </c>
      <c r="O58" s="6">
        <v>1000.0</v>
      </c>
      <c r="P58" s="6">
        <v>2000.0</v>
      </c>
      <c r="Q58" s="6">
        <v>3000.0</v>
      </c>
      <c r="R58" s="6">
        <v>0.0</v>
      </c>
      <c r="S58" s="5" t="s">
        <v>35</v>
      </c>
    </row>
    <row r="59" ht="56.25" customHeight="1">
      <c r="A59" s="5" t="s">
        <v>20442</v>
      </c>
      <c r="B59" s="5" t="s">
        <v>20443</v>
      </c>
      <c r="C59" s="6">
        <v>58.0</v>
      </c>
      <c r="D59" s="6">
        <v>89.0</v>
      </c>
      <c r="E59" s="5" t="s">
        <v>20445</v>
      </c>
      <c r="F59" s="5" t="s">
        <v>20440</v>
      </c>
      <c r="G59" s="6">
        <v>1.0</v>
      </c>
      <c r="H59" s="6">
        <v>20.0</v>
      </c>
      <c r="I59" s="6">
        <v>0.0</v>
      </c>
      <c r="J59" s="6">
        <v>0.0</v>
      </c>
      <c r="K59" s="6">
        <v>0.0</v>
      </c>
      <c r="L59" s="6">
        <v>0.0</v>
      </c>
      <c r="M59" s="6">
        <v>500.0</v>
      </c>
      <c r="N59" s="6">
        <v>1000.0</v>
      </c>
      <c r="O59" s="6">
        <v>2000.0</v>
      </c>
      <c r="P59" s="6">
        <v>3000.0</v>
      </c>
      <c r="Q59" s="6">
        <v>5000.0</v>
      </c>
      <c r="R59" s="6">
        <v>0.0</v>
      </c>
      <c r="S59" s="5" t="s">
        <v>35</v>
      </c>
    </row>
    <row r="60" ht="56.25" customHeight="1">
      <c r="A60" s="5" t="s">
        <v>20448</v>
      </c>
      <c r="B60" s="5" t="s">
        <v>20449</v>
      </c>
      <c r="C60" s="6">
        <v>59.0</v>
      </c>
      <c r="D60" s="6">
        <v>45.0</v>
      </c>
      <c r="E60" s="5" t="s">
        <v>20451</v>
      </c>
      <c r="F60" s="5" t="s">
        <v>20440</v>
      </c>
      <c r="G60" s="6">
        <v>3.0</v>
      </c>
      <c r="H60" s="6">
        <v>1.0</v>
      </c>
      <c r="I60" s="6">
        <v>10.0</v>
      </c>
      <c r="J60" s="6">
        <v>20.0</v>
      </c>
      <c r="K60" s="6">
        <v>0.0</v>
      </c>
      <c r="L60" s="6">
        <v>0.0</v>
      </c>
      <c r="M60" s="6">
        <v>300.0</v>
      </c>
      <c r="N60" s="6">
        <v>500.0</v>
      </c>
      <c r="O60" s="6">
        <v>1000.0</v>
      </c>
      <c r="P60" s="6">
        <v>2000.0</v>
      </c>
      <c r="Q60" s="6">
        <v>3000.0</v>
      </c>
      <c r="R60" s="6">
        <v>0.0</v>
      </c>
      <c r="S60" s="5" t="s">
        <v>35</v>
      </c>
    </row>
    <row r="61" ht="56.25" customHeight="1">
      <c r="A61" s="5" t="s">
        <v>20454</v>
      </c>
      <c r="B61" s="5" t="s">
        <v>20455</v>
      </c>
      <c r="C61" s="6">
        <v>60.0</v>
      </c>
      <c r="D61" s="6">
        <v>85.0</v>
      </c>
      <c r="E61" s="5" t="s">
        <v>20457</v>
      </c>
      <c r="F61" s="5" t="s">
        <v>20440</v>
      </c>
      <c r="G61" s="6">
        <v>3.0</v>
      </c>
      <c r="H61" s="6">
        <v>1.0</v>
      </c>
      <c r="I61" s="6">
        <v>30.0</v>
      </c>
      <c r="J61" s="6">
        <v>200.0</v>
      </c>
      <c r="K61" s="6">
        <v>0.0</v>
      </c>
      <c r="L61" s="6">
        <v>0.0</v>
      </c>
      <c r="M61" s="6">
        <v>300.0</v>
      </c>
      <c r="N61" s="6">
        <v>1000.0</v>
      </c>
      <c r="O61" s="6">
        <v>2000.0</v>
      </c>
      <c r="P61" s="6">
        <v>3000.0</v>
      </c>
      <c r="Q61" s="6">
        <v>5000.0</v>
      </c>
      <c r="R61" s="6">
        <v>0.0</v>
      </c>
      <c r="S61" s="5" t="s">
        <v>35</v>
      </c>
    </row>
    <row r="62" ht="56.25" customHeight="1">
      <c r="A62" s="5" t="s">
        <v>20460</v>
      </c>
      <c r="B62" s="5" t="s">
        <v>20461</v>
      </c>
      <c r="C62" s="6">
        <v>61.0</v>
      </c>
      <c r="D62" s="6">
        <v>64.0</v>
      </c>
      <c r="E62" s="5" t="s">
        <v>20462</v>
      </c>
      <c r="F62" s="5" t="s">
        <v>20440</v>
      </c>
      <c r="G62" s="6">
        <v>1.0</v>
      </c>
      <c r="H62" s="6">
        <v>10.0</v>
      </c>
      <c r="I62" s="6">
        <v>0.0</v>
      </c>
      <c r="J62" s="6">
        <v>0.0</v>
      </c>
      <c r="K62" s="6">
        <v>0.0</v>
      </c>
      <c r="L62" s="6">
        <v>0.0</v>
      </c>
      <c r="M62" s="6">
        <v>300.0</v>
      </c>
      <c r="N62" s="6">
        <v>500.0</v>
      </c>
      <c r="O62" s="6">
        <v>1000.0</v>
      </c>
      <c r="P62" s="6">
        <v>2000.0</v>
      </c>
      <c r="Q62" s="6">
        <v>3000.0</v>
      </c>
      <c r="R62" s="6">
        <v>0.0</v>
      </c>
      <c r="S62" s="5" t="s">
        <v>35</v>
      </c>
    </row>
    <row r="63" ht="56.25" customHeight="1">
      <c r="A63" s="5" t="s">
        <v>20463</v>
      </c>
      <c r="B63" s="5" t="s">
        <v>20464</v>
      </c>
      <c r="C63" s="6">
        <v>62.0</v>
      </c>
      <c r="D63" s="6">
        <v>86.0</v>
      </c>
      <c r="E63" s="5" t="s">
        <v>20465</v>
      </c>
      <c r="F63" s="5" t="s">
        <v>20440</v>
      </c>
      <c r="G63" s="6">
        <v>2.0</v>
      </c>
      <c r="H63" s="6">
        <v>0.0</v>
      </c>
      <c r="I63" s="6">
        <v>0.0</v>
      </c>
      <c r="J63" s="6">
        <v>0.0</v>
      </c>
      <c r="K63" s="6">
        <v>0.0</v>
      </c>
      <c r="L63" s="6">
        <v>0.0</v>
      </c>
      <c r="M63" s="6">
        <v>500.0</v>
      </c>
      <c r="N63" s="6">
        <v>500.0</v>
      </c>
      <c r="O63" s="6">
        <v>2000.0</v>
      </c>
      <c r="P63" s="6">
        <v>3000.0</v>
      </c>
      <c r="Q63" s="6">
        <v>5000.0</v>
      </c>
      <c r="R63" s="6">
        <v>0.0</v>
      </c>
      <c r="S63" s="5" t="s">
        <v>36</v>
      </c>
    </row>
    <row r="64" ht="56.25" customHeight="1">
      <c r="A64" s="5" t="s">
        <v>20466</v>
      </c>
      <c r="B64" s="5" t="s">
        <v>20467</v>
      </c>
      <c r="C64" s="6">
        <v>63.0</v>
      </c>
      <c r="D64" s="6">
        <v>88.0</v>
      </c>
      <c r="E64" s="5" t="s">
        <v>20468</v>
      </c>
      <c r="F64" s="5" t="s">
        <v>20440</v>
      </c>
      <c r="G64" s="6">
        <v>3.0</v>
      </c>
      <c r="H64" s="6">
        <v>0.0</v>
      </c>
      <c r="I64" s="6">
        <v>0.0</v>
      </c>
      <c r="J64" s="6">
        <v>0.0</v>
      </c>
      <c r="K64" s="6">
        <v>0.0</v>
      </c>
      <c r="L64" s="6">
        <v>0.0</v>
      </c>
      <c r="M64" s="6">
        <v>500.0</v>
      </c>
      <c r="N64" s="6">
        <v>1000.0</v>
      </c>
      <c r="O64" s="6">
        <v>1000.0</v>
      </c>
      <c r="P64" s="6">
        <v>3000.0</v>
      </c>
      <c r="Q64" s="6">
        <v>5000.0</v>
      </c>
      <c r="R64" s="6">
        <v>0.0</v>
      </c>
      <c r="S64" s="5" t="s">
        <v>36</v>
      </c>
    </row>
    <row r="65" ht="56.25" customHeight="1">
      <c r="A65" s="5" t="s">
        <v>20470</v>
      </c>
      <c r="B65" s="5" t="s">
        <v>20471</v>
      </c>
      <c r="C65" s="6">
        <v>64.0</v>
      </c>
      <c r="D65" s="6">
        <v>44.0</v>
      </c>
      <c r="E65" s="5" t="s">
        <v>20472</v>
      </c>
      <c r="F65" s="5" t="s">
        <v>20198</v>
      </c>
      <c r="G65" s="6">
        <v>3.0</v>
      </c>
      <c r="H65" s="6">
        <v>1.0</v>
      </c>
      <c r="I65" s="6">
        <v>10.0</v>
      </c>
      <c r="J65" s="6">
        <v>20.0</v>
      </c>
      <c r="K65" s="6">
        <v>0.0</v>
      </c>
      <c r="L65" s="6">
        <v>0.0</v>
      </c>
      <c r="M65" s="6">
        <v>300.0</v>
      </c>
      <c r="N65" s="6">
        <v>500.0</v>
      </c>
      <c r="O65" s="6">
        <v>1000.0</v>
      </c>
      <c r="P65" s="6">
        <v>2000.0</v>
      </c>
      <c r="Q65" s="6">
        <v>3000.0</v>
      </c>
      <c r="R65" s="6">
        <v>0.0</v>
      </c>
      <c r="S65" s="5" t="s">
        <v>35</v>
      </c>
    </row>
    <row r="66" ht="56.25" customHeight="1">
      <c r="A66" s="5" t="s">
        <v>20473</v>
      </c>
      <c r="B66" s="5" t="s">
        <v>20474</v>
      </c>
      <c r="C66" s="6">
        <v>65.0</v>
      </c>
      <c r="D66" s="6">
        <v>43.0</v>
      </c>
      <c r="E66" s="5" t="s">
        <v>20475</v>
      </c>
      <c r="F66" s="5" t="s">
        <v>20198</v>
      </c>
      <c r="G66" s="6">
        <v>3.0</v>
      </c>
      <c r="H66" s="6">
        <v>1.0</v>
      </c>
      <c r="I66" s="6">
        <v>10.0</v>
      </c>
      <c r="J66" s="6">
        <v>20.0</v>
      </c>
      <c r="K66" s="6">
        <v>0.0</v>
      </c>
      <c r="L66" s="6">
        <v>0.0</v>
      </c>
      <c r="M66" s="6">
        <v>300.0</v>
      </c>
      <c r="N66" s="6">
        <v>500.0</v>
      </c>
      <c r="O66" s="6">
        <v>1000.0</v>
      </c>
      <c r="P66" s="6">
        <v>2000.0</v>
      </c>
      <c r="Q66" s="6">
        <v>3000.0</v>
      </c>
      <c r="R66" s="6">
        <v>0.0</v>
      </c>
      <c r="S66" s="5" t="s">
        <v>35</v>
      </c>
    </row>
    <row r="67" ht="56.25" customHeight="1">
      <c r="A67" s="5" t="s">
        <v>20476</v>
      </c>
      <c r="B67" s="5" t="s">
        <v>20477</v>
      </c>
      <c r="C67" s="6">
        <v>66.0</v>
      </c>
      <c r="D67" s="6">
        <v>17.0</v>
      </c>
      <c r="E67" s="5" t="s">
        <v>20478</v>
      </c>
      <c r="F67" s="5" t="s">
        <v>20198</v>
      </c>
      <c r="G67" s="6">
        <v>5.0</v>
      </c>
      <c r="H67" s="6">
        <v>1.0</v>
      </c>
      <c r="I67" s="6">
        <v>10.0</v>
      </c>
      <c r="J67" s="6">
        <v>30.0</v>
      </c>
      <c r="K67" s="6">
        <v>60.0</v>
      </c>
      <c r="L67" s="6">
        <v>100.0</v>
      </c>
      <c r="M67" s="6">
        <v>300.0</v>
      </c>
      <c r="N67" s="6">
        <v>500.0</v>
      </c>
      <c r="O67" s="6">
        <v>1000.0</v>
      </c>
      <c r="P67" s="6">
        <v>2000.0</v>
      </c>
      <c r="Q67" s="6">
        <v>3000.0</v>
      </c>
      <c r="R67" s="6">
        <v>0.0</v>
      </c>
      <c r="S67" s="5" t="s">
        <v>35</v>
      </c>
    </row>
    <row r="68" ht="56.25" customHeight="1">
      <c r="A68" s="5" t="s">
        <v>20479</v>
      </c>
      <c r="B68" s="5" t="s">
        <v>20480</v>
      </c>
      <c r="C68" s="6">
        <v>67.0</v>
      </c>
      <c r="D68" s="6">
        <v>54.0</v>
      </c>
      <c r="E68" s="5" t="s">
        <v>20481</v>
      </c>
      <c r="F68" s="5" t="s">
        <v>20198</v>
      </c>
      <c r="G68" s="6">
        <v>3.0</v>
      </c>
      <c r="H68" s="6">
        <v>1.0</v>
      </c>
      <c r="I68" s="6">
        <v>2.0</v>
      </c>
      <c r="J68" s="6">
        <v>3.0</v>
      </c>
      <c r="K68" s="6">
        <v>0.0</v>
      </c>
      <c r="L68" s="6">
        <v>0.0</v>
      </c>
      <c r="M68" s="6">
        <v>300.0</v>
      </c>
      <c r="N68" s="6">
        <v>500.0</v>
      </c>
      <c r="O68" s="6">
        <v>1000.0</v>
      </c>
      <c r="P68" s="6">
        <v>2000.0</v>
      </c>
      <c r="Q68" s="6">
        <v>3000.0</v>
      </c>
      <c r="R68" s="6">
        <v>0.0</v>
      </c>
      <c r="S68" s="5" t="s">
        <v>35</v>
      </c>
    </row>
    <row r="69" ht="56.25" customHeight="1">
      <c r="A69" s="5" t="s">
        <v>20482</v>
      </c>
      <c r="B69" s="5" t="s">
        <v>20483</v>
      </c>
      <c r="C69" s="6">
        <v>68.0</v>
      </c>
      <c r="D69" s="6">
        <v>47.0</v>
      </c>
      <c r="E69" s="5" t="s">
        <v>20484</v>
      </c>
      <c r="F69" s="5" t="s">
        <v>20198</v>
      </c>
      <c r="G69" s="6">
        <v>3.0</v>
      </c>
      <c r="H69" s="6">
        <v>1.0</v>
      </c>
      <c r="I69" s="6">
        <v>10.0</v>
      </c>
      <c r="J69" s="6">
        <v>20.0</v>
      </c>
      <c r="K69" s="6">
        <v>0.0</v>
      </c>
      <c r="L69" s="6">
        <v>0.0</v>
      </c>
      <c r="M69" s="6">
        <v>300.0</v>
      </c>
      <c r="N69" s="6">
        <v>500.0</v>
      </c>
      <c r="O69" s="6">
        <v>1000.0</v>
      </c>
      <c r="P69" s="6">
        <v>2000.0</v>
      </c>
      <c r="Q69" s="6">
        <v>3000.0</v>
      </c>
      <c r="R69" s="6">
        <v>0.0</v>
      </c>
      <c r="S69" s="5" t="s">
        <v>35</v>
      </c>
    </row>
    <row r="70" ht="56.25" customHeight="1">
      <c r="A70" s="5" t="s">
        <v>20485</v>
      </c>
      <c r="B70" s="5" t="s">
        <v>20486</v>
      </c>
      <c r="C70" s="6">
        <v>69.0</v>
      </c>
      <c r="D70" s="6">
        <v>46.0</v>
      </c>
      <c r="E70" s="5" t="s">
        <v>20487</v>
      </c>
      <c r="F70" s="5" t="s">
        <v>20184</v>
      </c>
      <c r="G70" s="6">
        <v>1.0</v>
      </c>
      <c r="H70" s="6">
        <v>1.0</v>
      </c>
      <c r="I70" s="6">
        <v>0.0</v>
      </c>
      <c r="J70" s="6">
        <v>0.0</v>
      </c>
      <c r="K70" s="6">
        <v>0.0</v>
      </c>
      <c r="L70" s="6">
        <v>0.0</v>
      </c>
      <c r="M70" s="6">
        <v>2000.0</v>
      </c>
      <c r="N70" s="6">
        <v>500.0</v>
      </c>
      <c r="O70" s="6">
        <v>1000.0</v>
      </c>
      <c r="P70" s="6">
        <v>2000.0</v>
      </c>
      <c r="Q70" s="6">
        <v>3000.0</v>
      </c>
      <c r="R70" s="6">
        <v>0.0</v>
      </c>
      <c r="S70" s="5" t="s">
        <v>35</v>
      </c>
    </row>
    <row r="71" ht="56.25" customHeight="1">
      <c r="A71" s="5" t="s">
        <v>20490</v>
      </c>
      <c r="B71" s="5" t="s">
        <v>20491</v>
      </c>
      <c r="C71" s="6">
        <v>70.0</v>
      </c>
      <c r="D71" s="6">
        <v>41.0</v>
      </c>
      <c r="E71" s="5" t="s">
        <v>20492</v>
      </c>
      <c r="F71" s="5" t="s">
        <v>219</v>
      </c>
      <c r="G71" s="6">
        <v>4.0</v>
      </c>
      <c r="H71" s="6">
        <v>0.0</v>
      </c>
      <c r="I71" s="6">
        <v>0.0</v>
      </c>
      <c r="J71" s="6">
        <v>0.0</v>
      </c>
      <c r="K71" s="6">
        <v>0.0</v>
      </c>
      <c r="L71" s="6">
        <v>0.0</v>
      </c>
      <c r="M71" s="6">
        <v>300.0</v>
      </c>
      <c r="N71" s="6">
        <v>500.0</v>
      </c>
      <c r="O71" s="6">
        <v>1000.0</v>
      </c>
      <c r="P71" s="6">
        <v>2000.0</v>
      </c>
      <c r="Q71" s="6">
        <v>3000.0</v>
      </c>
      <c r="R71" s="6">
        <v>5000.0</v>
      </c>
      <c r="S71" s="5" t="s">
        <v>36</v>
      </c>
    </row>
    <row r="72" ht="56.25" customHeight="1">
      <c r="A72" s="5" t="s">
        <v>20496</v>
      </c>
      <c r="B72" s="5" t="s">
        <v>20497</v>
      </c>
      <c r="C72" s="6">
        <v>71.0</v>
      </c>
      <c r="D72" s="6">
        <v>42.0</v>
      </c>
      <c r="E72" s="5" t="s">
        <v>20499</v>
      </c>
      <c r="F72" s="5" t="s">
        <v>109</v>
      </c>
      <c r="G72" s="6">
        <v>4.0</v>
      </c>
      <c r="H72" s="6">
        <v>0.0</v>
      </c>
      <c r="I72" s="6">
        <v>0.0</v>
      </c>
      <c r="J72" s="6">
        <v>0.0</v>
      </c>
      <c r="K72" s="6">
        <v>0.0</v>
      </c>
      <c r="L72" s="6">
        <v>0.0</v>
      </c>
      <c r="M72" s="6">
        <v>300.0</v>
      </c>
      <c r="N72" s="6">
        <v>500.0</v>
      </c>
      <c r="O72" s="6">
        <v>1000.0</v>
      </c>
      <c r="P72" s="6">
        <v>2000.0</v>
      </c>
      <c r="Q72" s="6">
        <v>3000.0</v>
      </c>
      <c r="R72" s="6">
        <v>5000.0</v>
      </c>
      <c r="S72" s="5" t="s">
        <v>36</v>
      </c>
    </row>
    <row r="73" ht="56.25" customHeight="1">
      <c r="A73" s="5" t="s">
        <v>20502</v>
      </c>
      <c r="B73" s="5" t="s">
        <v>20503</v>
      </c>
      <c r="C73" s="6">
        <v>72.0</v>
      </c>
      <c r="D73" s="6">
        <v>48.0</v>
      </c>
      <c r="E73" s="5" t="s">
        <v>20505</v>
      </c>
      <c r="F73" s="5" t="s">
        <v>20184</v>
      </c>
      <c r="G73" s="6">
        <v>1.0</v>
      </c>
      <c r="H73" s="6">
        <v>1.0</v>
      </c>
      <c r="I73" s="6">
        <v>0.0</v>
      </c>
      <c r="J73" s="6">
        <v>0.0</v>
      </c>
      <c r="K73" s="6">
        <v>0.0</v>
      </c>
      <c r="L73" s="6">
        <v>0.0</v>
      </c>
      <c r="M73" s="6">
        <v>1000.0</v>
      </c>
      <c r="N73" s="6">
        <v>500.0</v>
      </c>
      <c r="O73" s="6">
        <v>1000.0</v>
      </c>
      <c r="P73" s="6">
        <v>2000.0</v>
      </c>
      <c r="Q73" s="6">
        <v>3000.0</v>
      </c>
      <c r="R73" s="6">
        <v>0.0</v>
      </c>
      <c r="S73" s="5" t="s">
        <v>35</v>
      </c>
    </row>
    <row r="74" ht="56.25" customHeight="1">
      <c r="A74" s="5" t="s">
        <v>20509</v>
      </c>
      <c r="B74" s="5" t="s">
        <v>20510</v>
      </c>
      <c r="C74" s="6">
        <v>73.0</v>
      </c>
      <c r="D74" s="6">
        <v>84.0</v>
      </c>
      <c r="E74" s="5" t="s">
        <v>20511</v>
      </c>
      <c r="F74" s="5" t="s">
        <v>20512</v>
      </c>
      <c r="G74" s="6">
        <v>1.0</v>
      </c>
      <c r="H74" s="6">
        <v>1.0</v>
      </c>
      <c r="I74" s="6">
        <v>0.0</v>
      </c>
      <c r="J74" s="6">
        <v>0.0</v>
      </c>
      <c r="K74" s="6">
        <v>0.0</v>
      </c>
      <c r="L74" s="6">
        <v>0.0</v>
      </c>
      <c r="M74" s="6">
        <v>500.0</v>
      </c>
      <c r="N74" s="6">
        <v>1000.0</v>
      </c>
      <c r="O74" s="6">
        <v>2000.0</v>
      </c>
      <c r="P74" s="6">
        <v>3000.0</v>
      </c>
      <c r="Q74" s="6">
        <v>5000.0</v>
      </c>
      <c r="R74" s="6">
        <v>0.0</v>
      </c>
      <c r="S74" s="5" t="s">
        <v>35</v>
      </c>
    </row>
    <row r="75" ht="56.25" customHeight="1">
      <c r="A75" s="5" t="s">
        <v>20513</v>
      </c>
      <c r="B75" s="5" t="s">
        <v>20514</v>
      </c>
      <c r="C75" s="6">
        <v>74.0</v>
      </c>
      <c r="D75" s="6">
        <v>35.0</v>
      </c>
      <c r="E75" s="5" t="s">
        <v>20516</v>
      </c>
      <c r="F75" s="5" t="s">
        <v>20512</v>
      </c>
      <c r="G75" s="6">
        <v>1.0</v>
      </c>
      <c r="H75" s="6">
        <v>1.0</v>
      </c>
      <c r="I75" s="6">
        <v>0.0</v>
      </c>
      <c r="J75" s="6">
        <v>0.0</v>
      </c>
      <c r="K75" s="6">
        <v>0.0</v>
      </c>
      <c r="L75" s="6">
        <v>0.0</v>
      </c>
      <c r="M75" s="6">
        <v>500.0</v>
      </c>
      <c r="N75" s="6">
        <v>500.0</v>
      </c>
      <c r="O75" s="6">
        <v>1000.0</v>
      </c>
      <c r="P75" s="6">
        <v>2000.0</v>
      </c>
      <c r="Q75" s="6">
        <v>3000.0</v>
      </c>
      <c r="R75" s="6">
        <v>0.0</v>
      </c>
      <c r="S75" s="5" t="s">
        <v>35</v>
      </c>
    </row>
    <row r="76" ht="56.25" customHeight="1">
      <c r="A76" s="5" t="s">
        <v>20519</v>
      </c>
      <c r="B76" s="5" t="s">
        <v>20521</v>
      </c>
      <c r="C76" s="6">
        <v>75.0</v>
      </c>
      <c r="D76" s="6">
        <v>36.0</v>
      </c>
      <c r="E76" s="5" t="s">
        <v>20522</v>
      </c>
      <c r="F76" s="5" t="s">
        <v>20512</v>
      </c>
      <c r="G76" s="6">
        <v>1.0</v>
      </c>
      <c r="H76" s="6">
        <v>1.0</v>
      </c>
      <c r="I76" s="6">
        <v>0.0</v>
      </c>
      <c r="J76" s="6">
        <v>0.0</v>
      </c>
      <c r="K76" s="6">
        <v>0.0</v>
      </c>
      <c r="L76" s="6">
        <v>0.0</v>
      </c>
      <c r="M76" s="6">
        <v>300.0</v>
      </c>
      <c r="N76" s="6">
        <v>500.0</v>
      </c>
      <c r="O76" s="6">
        <v>1000.0</v>
      </c>
      <c r="P76" s="6">
        <v>2000.0</v>
      </c>
      <c r="Q76" s="6">
        <v>3000.0</v>
      </c>
      <c r="R76" s="6">
        <v>0.0</v>
      </c>
      <c r="S76" s="5" t="s">
        <v>35</v>
      </c>
    </row>
    <row r="77" ht="56.25" customHeight="1">
      <c r="A77" s="5" t="s">
        <v>20525</v>
      </c>
      <c r="B77" s="5" t="s">
        <v>20526</v>
      </c>
      <c r="C77" s="6">
        <v>76.0</v>
      </c>
      <c r="D77" s="6">
        <v>60.0</v>
      </c>
      <c r="E77" s="5" t="s">
        <v>20527</v>
      </c>
      <c r="F77" s="5" t="s">
        <v>20359</v>
      </c>
      <c r="G77" s="6">
        <v>1.0</v>
      </c>
      <c r="H77" s="6">
        <v>1.0</v>
      </c>
      <c r="I77" s="6">
        <v>0.0</v>
      </c>
      <c r="J77" s="6">
        <v>0.0</v>
      </c>
      <c r="K77" s="6">
        <v>0.0</v>
      </c>
      <c r="L77" s="6">
        <v>0.0</v>
      </c>
      <c r="M77" s="6">
        <v>300.0</v>
      </c>
      <c r="N77" s="6">
        <v>500.0</v>
      </c>
      <c r="O77" s="6">
        <v>1000.0</v>
      </c>
      <c r="P77" s="6">
        <v>2000.0</v>
      </c>
      <c r="Q77" s="6">
        <v>3000.0</v>
      </c>
      <c r="R77" s="6">
        <v>0.0</v>
      </c>
      <c r="S77" s="5" t="s">
        <v>35</v>
      </c>
    </row>
    <row r="78" ht="56.25" customHeight="1">
      <c r="A78" s="5" t="s">
        <v>20530</v>
      </c>
      <c r="B78" s="5" t="s">
        <v>20532</v>
      </c>
      <c r="C78" s="6">
        <v>77.0</v>
      </c>
      <c r="D78" s="6">
        <v>79.0</v>
      </c>
      <c r="E78" s="5" t="s">
        <v>20533</v>
      </c>
      <c r="F78" s="5" t="s">
        <v>20250</v>
      </c>
      <c r="G78" s="6">
        <v>5.0</v>
      </c>
      <c r="H78" s="6">
        <v>1.0</v>
      </c>
      <c r="I78" s="6">
        <v>10.0</v>
      </c>
      <c r="J78" s="6">
        <v>20.0</v>
      </c>
      <c r="K78" s="6">
        <v>50.0</v>
      </c>
      <c r="L78" s="6">
        <v>100.0</v>
      </c>
      <c r="M78" s="6">
        <v>300.0</v>
      </c>
      <c r="N78" s="6">
        <v>1000.0</v>
      </c>
      <c r="O78" s="6">
        <v>2000.0</v>
      </c>
      <c r="P78" s="6">
        <v>3000.0</v>
      </c>
      <c r="Q78" s="6">
        <v>5000.0</v>
      </c>
      <c r="R78" s="6">
        <v>0.0</v>
      </c>
      <c r="S78" s="5" t="s">
        <v>35</v>
      </c>
    </row>
    <row r="79" ht="56.25" customHeight="1">
      <c r="A79" s="5" t="s">
        <v>20535</v>
      </c>
      <c r="B79" s="5" t="s">
        <v>20536</v>
      </c>
      <c r="C79" s="6">
        <v>78.0</v>
      </c>
      <c r="D79" s="6">
        <v>39.0</v>
      </c>
      <c r="E79" s="5" t="s">
        <v>20537</v>
      </c>
      <c r="F79" s="5" t="s">
        <v>423</v>
      </c>
      <c r="G79" s="6">
        <v>6.0</v>
      </c>
      <c r="H79" s="6">
        <v>0.0</v>
      </c>
      <c r="I79" s="6">
        <v>0.0</v>
      </c>
      <c r="J79" s="6">
        <v>0.0</v>
      </c>
      <c r="K79" s="6">
        <v>0.0</v>
      </c>
      <c r="L79" s="6">
        <v>0.0</v>
      </c>
      <c r="M79" s="6">
        <v>300.0</v>
      </c>
      <c r="N79" s="6">
        <v>500.0</v>
      </c>
      <c r="O79" s="6">
        <v>1000.0</v>
      </c>
      <c r="P79" s="6">
        <v>2000.0</v>
      </c>
      <c r="Q79" s="6">
        <v>3000.0</v>
      </c>
      <c r="R79" s="6">
        <v>5000.0</v>
      </c>
      <c r="S79" s="5" t="s">
        <v>36</v>
      </c>
    </row>
    <row r="80" ht="56.25" customHeight="1">
      <c r="A80" s="5" t="s">
        <v>20540</v>
      </c>
      <c r="B80" s="5" t="s">
        <v>20541</v>
      </c>
      <c r="C80" s="6">
        <v>79.0</v>
      </c>
      <c r="D80" s="6">
        <v>18.0</v>
      </c>
      <c r="E80" s="5" t="s">
        <v>20543</v>
      </c>
      <c r="F80" s="5" t="s">
        <v>20198</v>
      </c>
      <c r="G80" s="6">
        <v>3.0</v>
      </c>
      <c r="H80" s="6">
        <v>1.0</v>
      </c>
      <c r="I80" s="6">
        <v>5.0</v>
      </c>
      <c r="J80" s="6">
        <v>10.0</v>
      </c>
      <c r="K80" s="6">
        <v>0.0</v>
      </c>
      <c r="L80" s="6">
        <v>0.0</v>
      </c>
      <c r="M80" s="6">
        <v>300.0</v>
      </c>
      <c r="N80" s="6">
        <v>500.0</v>
      </c>
      <c r="O80" s="6">
        <v>1000.0</v>
      </c>
      <c r="P80" s="6">
        <v>2000.0</v>
      </c>
      <c r="Q80" s="6">
        <v>3000.0</v>
      </c>
      <c r="R80" s="6">
        <v>0.0</v>
      </c>
      <c r="S80" s="5" t="s">
        <v>35</v>
      </c>
    </row>
    <row r="81" ht="56.25" customHeight="1">
      <c r="A81" s="5" t="s">
        <v>20545</v>
      </c>
      <c r="B81" s="5" t="s">
        <v>20546</v>
      </c>
      <c r="C81" s="6">
        <v>80.0</v>
      </c>
      <c r="D81" s="6">
        <v>19.0</v>
      </c>
      <c r="E81" s="5" t="s">
        <v>20547</v>
      </c>
      <c r="F81" s="5" t="s">
        <v>20198</v>
      </c>
      <c r="G81" s="6">
        <v>3.0</v>
      </c>
      <c r="H81" s="6">
        <v>1.0</v>
      </c>
      <c r="I81" s="6">
        <v>5.0</v>
      </c>
      <c r="J81" s="6">
        <v>10.0</v>
      </c>
      <c r="K81" s="6">
        <v>0.0</v>
      </c>
      <c r="L81" s="6">
        <v>0.0</v>
      </c>
      <c r="M81" s="6">
        <v>300.0</v>
      </c>
      <c r="N81" s="6">
        <v>500.0</v>
      </c>
      <c r="O81" s="6">
        <v>1000.0</v>
      </c>
      <c r="P81" s="6">
        <v>2000.0</v>
      </c>
      <c r="Q81" s="6">
        <v>3000.0</v>
      </c>
      <c r="R81" s="6">
        <v>0.0</v>
      </c>
      <c r="S81" s="5" t="s">
        <v>35</v>
      </c>
    </row>
    <row r="82" ht="56.25" customHeight="1">
      <c r="A82" s="5" t="s">
        <v>20548</v>
      </c>
      <c r="B82" s="5" t="s">
        <v>20549</v>
      </c>
      <c r="C82" s="6">
        <v>81.0</v>
      </c>
      <c r="D82" s="6">
        <v>21.0</v>
      </c>
      <c r="E82" s="5" t="s">
        <v>20551</v>
      </c>
      <c r="F82" s="5" t="s">
        <v>20184</v>
      </c>
      <c r="G82" s="6">
        <v>5.0</v>
      </c>
      <c r="H82" s="6">
        <v>3.0</v>
      </c>
      <c r="I82" s="6">
        <v>20.0</v>
      </c>
      <c r="J82" s="6">
        <v>50.0</v>
      </c>
      <c r="K82" s="6">
        <v>100.0</v>
      </c>
      <c r="L82" s="6">
        <v>300.0</v>
      </c>
      <c r="M82" s="6">
        <v>300.0</v>
      </c>
      <c r="N82" s="6">
        <v>500.0</v>
      </c>
      <c r="O82" s="6">
        <v>1000.0</v>
      </c>
      <c r="P82" s="6">
        <v>2000.0</v>
      </c>
      <c r="Q82" s="6">
        <v>3000.0</v>
      </c>
      <c r="R82" s="6">
        <v>0.0</v>
      </c>
      <c r="S82" s="5" t="s">
        <v>35</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2" width="10.86"/>
    <col customWidth="1" min="3" max="4" width="5.86"/>
    <col customWidth="1" min="5" max="5" width="12.29"/>
    <col customWidth="1" min="6" max="6" width="25.14"/>
    <col customWidth="1" min="7" max="7" width="11.57"/>
    <col customWidth="1" min="8" max="8" width="8.0"/>
    <col customWidth="1" min="9" max="9" width="10.86"/>
    <col customWidth="1" min="10" max="10" width="8.0"/>
  </cols>
  <sheetData>
    <row r="1" ht="26.25" customHeight="1">
      <c r="A1" s="1" t="s">
        <v>0</v>
      </c>
      <c r="B1" s="2" t="s">
        <v>1</v>
      </c>
      <c r="C1" s="2" t="s">
        <v>10</v>
      </c>
      <c r="D1" s="2" t="s">
        <v>11</v>
      </c>
      <c r="E1" s="1" t="s">
        <v>15</v>
      </c>
      <c r="F1" s="1" t="s">
        <v>16</v>
      </c>
      <c r="G1" s="1" t="s">
        <v>23</v>
      </c>
      <c r="H1" s="2" t="s">
        <v>17</v>
      </c>
      <c r="I1" s="1" t="s">
        <v>27</v>
      </c>
      <c r="J1" s="2" t="s">
        <v>29</v>
      </c>
    </row>
    <row r="2" ht="56.25" customHeight="1">
      <c r="A2" s="5" t="s">
        <v>19132</v>
      </c>
      <c r="B2" s="6" t="str">
        <f>IMAGE("https://storage.googleapis.com/acdb/other/DIYAcorn.png")</f>
        <v/>
      </c>
      <c r="C2" s="6" t="s">
        <v>37</v>
      </c>
      <c r="D2" s="6">
        <v>200.0</v>
      </c>
      <c r="E2" s="5" t="s">
        <v>20488</v>
      </c>
      <c r="F2" s="5"/>
      <c r="G2" s="5" t="s">
        <v>34</v>
      </c>
      <c r="H2" s="6" t="s">
        <v>42</v>
      </c>
      <c r="I2" s="5" t="s">
        <v>20489</v>
      </c>
      <c r="J2" s="6">
        <v>5727.0</v>
      </c>
    </row>
    <row r="3" ht="56.25" customHeight="1">
      <c r="A3" s="5" t="s">
        <v>339</v>
      </c>
      <c r="B3" s="6" t="str">
        <f>IMAGE("https://storage.googleapis.com/acdb/other/Apple.png")</f>
        <v/>
      </c>
      <c r="C3" s="6">
        <v>400.0</v>
      </c>
      <c r="D3" s="6">
        <v>500.0</v>
      </c>
      <c r="E3" s="5" t="s">
        <v>20493</v>
      </c>
      <c r="F3" s="5"/>
      <c r="G3" s="5" t="s">
        <v>34</v>
      </c>
      <c r="H3" s="6" t="s">
        <v>42</v>
      </c>
      <c r="I3" s="5" t="s">
        <v>567</v>
      </c>
      <c r="J3" s="6">
        <v>2213.0</v>
      </c>
    </row>
    <row r="4" ht="56.25" customHeight="1">
      <c r="A4" s="5" t="s">
        <v>20494</v>
      </c>
      <c r="B4" s="6" t="str">
        <f>IMAGE("https://storage.googleapis.com/acdb/other/PltApple.png")</f>
        <v/>
      </c>
      <c r="C4" s="6" t="s">
        <v>37</v>
      </c>
      <c r="D4" s="6">
        <v>300.0</v>
      </c>
      <c r="E4" s="5" t="s">
        <v>20495</v>
      </c>
      <c r="F4" s="5"/>
      <c r="G4" s="5" t="s">
        <v>244</v>
      </c>
      <c r="H4" s="6" t="s">
        <v>42</v>
      </c>
      <c r="I4" s="5" t="s">
        <v>20498</v>
      </c>
      <c r="J4" s="6">
        <v>3360.0</v>
      </c>
    </row>
    <row r="5" ht="56.25" customHeight="1">
      <c r="A5" s="5" t="s">
        <v>19490</v>
      </c>
      <c r="B5" s="6" t="str">
        <f>IMAGE("https://storage.googleapis.com/acdb/other/StarpieceAquarius.png")</f>
        <v/>
      </c>
      <c r="C5" s="6" t="s">
        <v>37</v>
      </c>
      <c r="D5" s="6">
        <v>500.0</v>
      </c>
      <c r="E5" s="5" t="s">
        <v>20500</v>
      </c>
      <c r="F5" s="5"/>
      <c r="G5" s="5" t="s">
        <v>34</v>
      </c>
      <c r="H5" s="6" t="s">
        <v>42</v>
      </c>
      <c r="I5" s="5" t="s">
        <v>20501</v>
      </c>
      <c r="J5" s="6">
        <v>5986.0</v>
      </c>
    </row>
    <row r="6" ht="56.25" customHeight="1">
      <c r="A6" s="5" t="s">
        <v>19491</v>
      </c>
      <c r="B6" s="6" t="str">
        <f>IMAGE("https://storage.googleapis.com/acdb/other/StarpieceAries.png")</f>
        <v/>
      </c>
      <c r="C6" s="6" t="s">
        <v>37</v>
      </c>
      <c r="D6" s="6">
        <v>500.0</v>
      </c>
      <c r="E6" s="5" t="s">
        <v>20504</v>
      </c>
      <c r="F6" s="5"/>
      <c r="G6" s="5" t="s">
        <v>34</v>
      </c>
      <c r="H6" s="6" t="s">
        <v>42</v>
      </c>
      <c r="I6" s="5" t="s">
        <v>20506</v>
      </c>
      <c r="J6" s="6">
        <v>5988.0</v>
      </c>
    </row>
    <row r="7" ht="56.25" customHeight="1">
      <c r="A7" s="5" t="s">
        <v>19280</v>
      </c>
      <c r="B7" s="6" t="str">
        <f>IMAGE("https://storage.googleapis.com/acdb/other/DIYBamboo.png")</f>
        <v/>
      </c>
      <c r="C7" s="6" t="s">
        <v>37</v>
      </c>
      <c r="D7" s="6">
        <v>80.0</v>
      </c>
      <c r="E7" s="5" t="s">
        <v>20507</v>
      </c>
      <c r="F7" s="5"/>
      <c r="G7" s="5" t="s">
        <v>34</v>
      </c>
      <c r="H7" s="6" t="s">
        <v>42</v>
      </c>
      <c r="I7" s="5" t="s">
        <v>20508</v>
      </c>
      <c r="J7" s="6">
        <v>2501.0</v>
      </c>
    </row>
    <row r="8" ht="56.25" customHeight="1">
      <c r="A8" s="5" t="s">
        <v>19760</v>
      </c>
      <c r="B8" s="6" t="str">
        <f>IMAGE("https://storage.googleapis.com/acdb/other/BambooShoot.png")</f>
        <v/>
      </c>
      <c r="C8" s="6" t="s">
        <v>37</v>
      </c>
      <c r="D8" s="6">
        <v>250.0</v>
      </c>
      <c r="E8" s="5" t="s">
        <v>20515</v>
      </c>
      <c r="F8" s="5"/>
      <c r="G8" s="5" t="s">
        <v>34</v>
      </c>
      <c r="H8" s="6" t="s">
        <v>42</v>
      </c>
      <c r="I8" s="5" t="s">
        <v>20517</v>
      </c>
      <c r="J8" s="6">
        <v>2295.0</v>
      </c>
    </row>
    <row r="9" ht="56.25" customHeight="1">
      <c r="A9" s="5" t="s">
        <v>20518</v>
      </c>
      <c r="B9" s="6" t="str">
        <f>IMAGE("https://storage.googleapis.com/acdb/other/PltBamboo.png")</f>
        <v/>
      </c>
      <c r="C9" s="6" t="s">
        <v>37</v>
      </c>
      <c r="D9" s="6">
        <v>1500.0</v>
      </c>
      <c r="E9" s="5" t="s">
        <v>20520</v>
      </c>
      <c r="F9" s="5"/>
      <c r="G9" s="5" t="s">
        <v>244</v>
      </c>
      <c r="H9" s="6" t="s">
        <v>42</v>
      </c>
      <c r="I9" s="5" t="s">
        <v>20523</v>
      </c>
      <c r="J9" s="6">
        <v>2815.0</v>
      </c>
    </row>
    <row r="10" ht="56.25" customHeight="1">
      <c r="A10" s="5" t="s">
        <v>20524</v>
      </c>
      <c r="B10" s="6" t="str">
        <f>IMAGE("https://storage.googleapis.com/acdb/other/PhotoStudioBellBag.png")</f>
        <v/>
      </c>
      <c r="C10" s="6" t="s">
        <v>37</v>
      </c>
      <c r="D10" s="6" t="s">
        <v>34</v>
      </c>
      <c r="E10" s="5" t="s">
        <v>20528</v>
      </c>
      <c r="F10" s="5"/>
      <c r="G10" s="5" t="s">
        <v>34</v>
      </c>
      <c r="H10" s="6" t="s">
        <v>42</v>
      </c>
      <c r="I10" s="5" t="s">
        <v>20529</v>
      </c>
      <c r="J10" s="6">
        <v>7731.0</v>
      </c>
    </row>
    <row r="11" ht="56.25" customHeight="1">
      <c r="A11" s="5" t="s">
        <v>20531</v>
      </c>
      <c r="B11" s="6" t="str">
        <f>IMAGE("https://storage.googleapis.com/acdb/other/BirthdayCupcake.png")</f>
        <v/>
      </c>
      <c r="C11" s="6" t="s">
        <v>37</v>
      </c>
      <c r="D11" s="6">
        <v>200.0</v>
      </c>
      <c r="E11" s="5" t="s">
        <v>588</v>
      </c>
      <c r="F11" s="5"/>
      <c r="G11" s="5" t="s">
        <v>590</v>
      </c>
      <c r="H11" s="6" t="s">
        <v>42</v>
      </c>
      <c r="I11" s="5" t="s">
        <v>20534</v>
      </c>
      <c r="J11" s="6">
        <v>2779.0</v>
      </c>
    </row>
    <row r="12" ht="56.25" customHeight="1">
      <c r="A12" s="5" t="s">
        <v>19423</v>
      </c>
      <c r="B12" s="6" t="str">
        <f>IMAGE("https://storage.googleapis.com/acdb/other/FlwCosmosBlack.png")</f>
        <v/>
      </c>
      <c r="C12" s="6" t="s">
        <v>37</v>
      </c>
      <c r="D12" s="6">
        <v>240.0</v>
      </c>
      <c r="E12" s="5" t="s">
        <v>20538</v>
      </c>
      <c r="F12" s="5"/>
      <c r="G12" s="5" t="s">
        <v>244</v>
      </c>
      <c r="H12" s="6" t="s">
        <v>42</v>
      </c>
      <c r="I12" s="5" t="s">
        <v>20539</v>
      </c>
      <c r="J12" s="6">
        <v>2875.0</v>
      </c>
    </row>
    <row r="13" ht="56.25" customHeight="1">
      <c r="A13" s="5" t="s">
        <v>19424</v>
      </c>
      <c r="B13" s="6" t="str">
        <f>IMAGE("https://storage.googleapis.com/acdb/other/FlwYuriBlack.png")</f>
        <v/>
      </c>
      <c r="C13" s="6" t="s">
        <v>37</v>
      </c>
      <c r="D13" s="6">
        <v>80.0</v>
      </c>
      <c r="E13" s="5" t="s">
        <v>20538</v>
      </c>
      <c r="F13" s="5"/>
      <c r="G13" s="5" t="s">
        <v>244</v>
      </c>
      <c r="H13" s="6" t="s">
        <v>42</v>
      </c>
      <c r="I13" s="5" t="s">
        <v>20542</v>
      </c>
      <c r="J13" s="6">
        <v>2999.0</v>
      </c>
    </row>
    <row r="14" ht="56.25" customHeight="1">
      <c r="A14" s="5" t="s">
        <v>19393</v>
      </c>
      <c r="B14" s="6" t="str">
        <f>IMAGE("https://storage.googleapis.com/acdb/other/FlwRoseBlack.png")</f>
        <v/>
      </c>
      <c r="C14" s="6" t="s">
        <v>37</v>
      </c>
      <c r="D14" s="6">
        <v>240.0</v>
      </c>
      <c r="E14" s="5" t="s">
        <v>20538</v>
      </c>
      <c r="F14" s="5"/>
      <c r="G14" s="5" t="s">
        <v>244</v>
      </c>
      <c r="H14" s="6" t="s">
        <v>42</v>
      </c>
      <c r="I14" s="5" t="s">
        <v>20544</v>
      </c>
      <c r="J14" s="6">
        <v>2955.0</v>
      </c>
    </row>
    <row r="15" ht="56.25" customHeight="1">
      <c r="A15" s="5" t="s">
        <v>19427</v>
      </c>
      <c r="B15" s="6" t="str">
        <f>IMAGE("https://storage.googleapis.com/acdb/other/FlwTulipBlack.png")</f>
        <v/>
      </c>
      <c r="C15" s="6" t="s">
        <v>37</v>
      </c>
      <c r="D15" s="6">
        <v>80.0</v>
      </c>
      <c r="E15" s="5" t="s">
        <v>20538</v>
      </c>
      <c r="F15" s="5"/>
      <c r="G15" s="5" t="s">
        <v>244</v>
      </c>
      <c r="H15" s="6" t="s">
        <v>42</v>
      </c>
      <c r="I15" s="5" t="s">
        <v>20550</v>
      </c>
      <c r="J15" s="6">
        <v>2903.0</v>
      </c>
    </row>
    <row r="16" ht="56.25" customHeight="1">
      <c r="A16" s="5" t="s">
        <v>20552</v>
      </c>
      <c r="B16" s="6" t="str">
        <f>IMAGE("https://storage.googleapis.com/acdb/other/WPaperBlack.png")</f>
        <v/>
      </c>
      <c r="C16" s="6">
        <v>160.0</v>
      </c>
      <c r="D16" s="6">
        <v>40.0</v>
      </c>
      <c r="E16" s="5" t="s">
        <v>59</v>
      </c>
      <c r="F16" s="5"/>
      <c r="G16" s="5" t="s">
        <v>34</v>
      </c>
      <c r="H16" s="6" t="s">
        <v>42</v>
      </c>
      <c r="I16" s="5" t="s">
        <v>20553</v>
      </c>
      <c r="J16" s="6">
        <v>7698.0</v>
      </c>
    </row>
    <row r="17" ht="56.25" customHeight="1">
      <c r="A17" s="5" t="s">
        <v>20554</v>
      </c>
      <c r="B17" s="6" t="str">
        <f>IMAGE("https://storage.googleapis.com/acdb/other/PltCosmos5.png")</f>
        <v/>
      </c>
      <c r="C17" s="6" t="s">
        <v>37</v>
      </c>
      <c r="D17" s="6">
        <v>240.0</v>
      </c>
      <c r="E17" s="5" t="s">
        <v>20555</v>
      </c>
      <c r="F17" s="5"/>
      <c r="G17" s="5" t="s">
        <v>244</v>
      </c>
      <c r="H17" s="6" t="s">
        <v>42</v>
      </c>
      <c r="I17" s="5" t="s">
        <v>20556</v>
      </c>
      <c r="J17" s="6">
        <v>3834.0</v>
      </c>
    </row>
    <row r="18" ht="56.25" customHeight="1">
      <c r="A18" s="5" t="s">
        <v>20557</v>
      </c>
      <c r="B18" s="6" t="str">
        <f>IMAGE("https://storage.googleapis.com/acdb/other/PltYuri5.png")</f>
        <v/>
      </c>
      <c r="C18" s="6" t="s">
        <v>37</v>
      </c>
      <c r="D18" s="6">
        <v>80.0</v>
      </c>
      <c r="E18" s="5" t="s">
        <v>20558</v>
      </c>
      <c r="F18" s="5"/>
      <c r="G18" s="5" t="s">
        <v>244</v>
      </c>
      <c r="H18" s="6" t="s">
        <v>42</v>
      </c>
      <c r="I18" s="5" t="s">
        <v>20559</v>
      </c>
      <c r="J18" s="6">
        <v>3896.0</v>
      </c>
    </row>
    <row r="19" ht="56.25" customHeight="1">
      <c r="A19" s="5" t="s">
        <v>20560</v>
      </c>
      <c r="B19" s="6" t="str">
        <f>IMAGE("https://storage.googleapis.com/acdb/other/PltRose6.png")</f>
        <v/>
      </c>
      <c r="C19" s="6" t="s">
        <v>37</v>
      </c>
      <c r="D19" s="6">
        <v>240.0</v>
      </c>
      <c r="E19" s="5" t="s">
        <v>20561</v>
      </c>
      <c r="F19" s="5"/>
      <c r="G19" s="5" t="s">
        <v>244</v>
      </c>
      <c r="H19" s="6" t="s">
        <v>42</v>
      </c>
      <c r="I19" s="5" t="s">
        <v>20562</v>
      </c>
      <c r="J19" s="6">
        <v>3874.0</v>
      </c>
    </row>
    <row r="20" ht="56.25" customHeight="1">
      <c r="A20" s="5" t="s">
        <v>20563</v>
      </c>
      <c r="B20" s="6" t="str">
        <f>IMAGE("https://storage.googleapis.com/acdb/other/PltTurip5.png")</f>
        <v/>
      </c>
      <c r="C20" s="6" t="s">
        <v>37</v>
      </c>
      <c r="D20" s="6">
        <v>80.0</v>
      </c>
      <c r="E20" s="5" t="s">
        <v>20564</v>
      </c>
      <c r="F20" s="5"/>
      <c r="G20" s="5" t="s">
        <v>244</v>
      </c>
      <c r="H20" s="6" t="s">
        <v>42</v>
      </c>
      <c r="I20" s="5" t="s">
        <v>20565</v>
      </c>
      <c r="J20" s="6">
        <v>3848.0</v>
      </c>
    </row>
    <row r="21" ht="56.25" customHeight="1">
      <c r="A21" s="5" t="s">
        <v>20566</v>
      </c>
      <c r="B21" s="6" t="str">
        <f>IMAGE("https://storage.googleapis.com/acdb/other/TentWhite.png")</f>
        <v/>
      </c>
      <c r="C21" s="6" t="s">
        <v>37</v>
      </c>
      <c r="D21" s="6" t="s">
        <v>34</v>
      </c>
      <c r="E21" s="5" t="s">
        <v>19537</v>
      </c>
      <c r="F21" s="5"/>
      <c r="G21" s="5" t="s">
        <v>34</v>
      </c>
      <c r="H21" s="6" t="s">
        <v>42</v>
      </c>
      <c r="I21" s="5" t="s">
        <v>20567</v>
      </c>
      <c r="J21" s="6">
        <v>2755.0</v>
      </c>
    </row>
    <row r="22" ht="56.25" customHeight="1">
      <c r="A22" s="5" t="s">
        <v>19399</v>
      </c>
      <c r="B22" s="6" t="str">
        <f>IMAGE("https://storage.googleapis.com/acdb/other/FlwHyacinthBlue.png")</f>
        <v/>
      </c>
      <c r="C22" s="6" t="s">
        <v>37</v>
      </c>
      <c r="D22" s="6">
        <v>80.0</v>
      </c>
      <c r="E22" s="5" t="s">
        <v>20538</v>
      </c>
      <c r="F22" s="5"/>
      <c r="G22" s="5" t="s">
        <v>244</v>
      </c>
      <c r="H22" s="6" t="s">
        <v>42</v>
      </c>
      <c r="I22" s="5" t="s">
        <v>20568</v>
      </c>
      <c r="J22" s="6">
        <v>3748.0</v>
      </c>
    </row>
    <row r="23" ht="56.25" customHeight="1">
      <c r="A23" s="5" t="s">
        <v>19511</v>
      </c>
      <c r="B23" s="6" t="str">
        <f>IMAGE("https://storage.googleapis.com/acdb/other/DIYOrnamentBlue.png")</f>
        <v/>
      </c>
      <c r="C23" s="6" t="s">
        <v>37</v>
      </c>
      <c r="D23" s="6">
        <v>50.0</v>
      </c>
      <c r="E23" s="5" t="s">
        <v>20572</v>
      </c>
      <c r="F23" s="5"/>
      <c r="G23" s="5" t="s">
        <v>34</v>
      </c>
      <c r="H23" s="6" t="s">
        <v>42</v>
      </c>
      <c r="I23" s="5" t="s">
        <v>20573</v>
      </c>
      <c r="J23" s="6">
        <v>5731.0</v>
      </c>
    </row>
    <row r="24" ht="56.25" customHeight="1">
      <c r="A24" s="5" t="s">
        <v>19405</v>
      </c>
      <c r="B24" s="6" t="str">
        <f>IMAGE("https://storage.googleapis.com/acdb/other/FlwPansyBlue.png")</f>
        <v/>
      </c>
      <c r="C24" s="6" t="s">
        <v>37</v>
      </c>
      <c r="D24" s="6">
        <v>80.0</v>
      </c>
      <c r="E24" s="5" t="s">
        <v>20538</v>
      </c>
      <c r="F24" s="5"/>
      <c r="G24" s="5" t="s">
        <v>244</v>
      </c>
      <c r="H24" s="6" t="s">
        <v>42</v>
      </c>
      <c r="I24" s="5" t="s">
        <v>20575</v>
      </c>
      <c r="J24" s="6">
        <v>2927.0</v>
      </c>
    </row>
    <row r="25" ht="56.25" customHeight="1">
      <c r="A25" s="5" t="s">
        <v>19382</v>
      </c>
      <c r="B25" s="6" t="str">
        <f>IMAGE("https://storage.googleapis.com/acdb/other/FlwRoseBlue.png")</f>
        <v/>
      </c>
      <c r="C25" s="6" t="s">
        <v>37</v>
      </c>
      <c r="D25" s="6">
        <v>1000.0</v>
      </c>
      <c r="E25" s="5" t="s">
        <v>20538</v>
      </c>
      <c r="F25" s="5"/>
      <c r="G25" s="5" t="s">
        <v>244</v>
      </c>
      <c r="H25" s="6" t="s">
        <v>42</v>
      </c>
      <c r="I25" s="5" t="s">
        <v>20579</v>
      </c>
      <c r="J25" s="6">
        <v>2959.0</v>
      </c>
    </row>
    <row r="26" ht="56.25" customHeight="1">
      <c r="A26" s="5" t="s">
        <v>19407</v>
      </c>
      <c r="B26" s="6" t="str">
        <f>IMAGE("https://storage.googleapis.com/acdb/other/FlwAnemonesBlue.png")</f>
        <v/>
      </c>
      <c r="C26" s="6" t="s">
        <v>37</v>
      </c>
      <c r="D26" s="6">
        <v>80.0</v>
      </c>
      <c r="E26" s="5" t="s">
        <v>20538</v>
      </c>
      <c r="F26" s="5"/>
      <c r="G26" s="5" t="s">
        <v>244</v>
      </c>
      <c r="H26" s="6" t="s">
        <v>42</v>
      </c>
      <c r="I26" s="5" t="s">
        <v>20584</v>
      </c>
      <c r="J26" s="6">
        <v>3717.0</v>
      </c>
    </row>
    <row r="27" ht="56.25" customHeight="1">
      <c r="A27" s="5" t="s">
        <v>20585</v>
      </c>
      <c r="B27" s="6" t="str">
        <f>IMAGE("https://storage.googleapis.com/acdb/other/WPaperBlue.png")</f>
        <v/>
      </c>
      <c r="C27" s="6">
        <v>160.0</v>
      </c>
      <c r="D27" s="6">
        <v>40.0</v>
      </c>
      <c r="E27" s="5" t="s">
        <v>59</v>
      </c>
      <c r="F27" s="5"/>
      <c r="G27" s="5" t="s">
        <v>34</v>
      </c>
      <c r="H27" s="6" t="s">
        <v>42</v>
      </c>
      <c r="I27" s="5" t="s">
        <v>20586</v>
      </c>
      <c r="J27" s="6">
        <v>7692.0</v>
      </c>
    </row>
    <row r="28" ht="56.25" customHeight="1">
      <c r="A28" s="5" t="s">
        <v>20587</v>
      </c>
      <c r="B28" s="6" t="str">
        <f>IMAGE("https://storage.googleapis.com/acdb/other/PltHyacinth6.png")</f>
        <v/>
      </c>
      <c r="C28" s="6" t="s">
        <v>37</v>
      </c>
      <c r="D28" s="6">
        <v>80.0</v>
      </c>
      <c r="E28" s="5" t="s">
        <v>20588</v>
      </c>
      <c r="F28" s="5"/>
      <c r="G28" s="5" t="s">
        <v>244</v>
      </c>
      <c r="H28" s="6" t="s">
        <v>42</v>
      </c>
      <c r="I28" s="5" t="s">
        <v>20589</v>
      </c>
      <c r="J28" s="6">
        <v>3920.0</v>
      </c>
    </row>
    <row r="29" ht="56.25" customHeight="1">
      <c r="A29" s="5" t="s">
        <v>20590</v>
      </c>
      <c r="B29" s="6" t="str">
        <f>IMAGE("https://storage.googleapis.com/acdb/other/PltPansi5.png")</f>
        <v/>
      </c>
      <c r="C29" s="6" t="s">
        <v>37</v>
      </c>
      <c r="D29" s="6">
        <v>80.0</v>
      </c>
      <c r="E29" s="5" t="s">
        <v>20593</v>
      </c>
      <c r="F29" s="5"/>
      <c r="G29" s="5" t="s">
        <v>244</v>
      </c>
      <c r="H29" s="6" t="s">
        <v>42</v>
      </c>
      <c r="I29" s="5" t="s">
        <v>20594</v>
      </c>
      <c r="J29" s="6">
        <v>3860.0</v>
      </c>
    </row>
    <row r="30" ht="56.25" customHeight="1">
      <c r="A30" s="5" t="s">
        <v>20595</v>
      </c>
      <c r="B30" s="6" t="str">
        <f>IMAGE("https://storage.googleapis.com/acdb/other/PltRose7.png")</f>
        <v/>
      </c>
      <c r="C30" s="6" t="s">
        <v>37</v>
      </c>
      <c r="D30" s="6">
        <v>1000.0</v>
      </c>
      <c r="E30" s="5" t="s">
        <v>20598</v>
      </c>
      <c r="F30" s="5"/>
      <c r="G30" s="5" t="s">
        <v>244</v>
      </c>
      <c r="H30" s="6" t="s">
        <v>42</v>
      </c>
      <c r="I30" s="5" t="s">
        <v>20599</v>
      </c>
      <c r="J30" s="6">
        <v>3876.0</v>
      </c>
    </row>
    <row r="31" ht="56.25" customHeight="1">
      <c r="A31" s="5" t="s">
        <v>20600</v>
      </c>
      <c r="B31" s="6" t="str">
        <f>IMAGE("https://storage.googleapis.com/acdb/other/PltAnemone5.png")</f>
        <v/>
      </c>
      <c r="C31" s="6" t="s">
        <v>37</v>
      </c>
      <c r="D31" s="6">
        <v>80.0</v>
      </c>
      <c r="E31" s="5" t="s">
        <v>20606</v>
      </c>
      <c r="F31" s="5"/>
      <c r="G31" s="5" t="s">
        <v>244</v>
      </c>
      <c r="H31" s="6" t="s">
        <v>42</v>
      </c>
      <c r="I31" s="5" t="s">
        <v>20607</v>
      </c>
      <c r="J31" s="6">
        <v>3902.0</v>
      </c>
    </row>
    <row r="32" ht="56.25" customHeight="1">
      <c r="A32" s="5" t="s">
        <v>19346</v>
      </c>
      <c r="B32" s="6" t="str">
        <f>IMAGE("https://storage.googleapis.com/acdb/other/TrashBoot.png")</f>
        <v/>
      </c>
      <c r="C32" s="6">
        <v>40.0</v>
      </c>
      <c r="D32" s="6">
        <v>10.0</v>
      </c>
      <c r="E32" s="5" t="s">
        <v>20610</v>
      </c>
      <c r="F32" s="5" t="s">
        <v>20612</v>
      </c>
      <c r="G32" s="5" t="s">
        <v>34</v>
      </c>
      <c r="H32" s="6" t="s">
        <v>42</v>
      </c>
      <c r="I32" s="5" t="s">
        <v>20614</v>
      </c>
      <c r="J32" s="6">
        <v>3469.0</v>
      </c>
    </row>
    <row r="33" ht="56.25" customHeight="1">
      <c r="A33" s="5" t="s">
        <v>19846</v>
      </c>
      <c r="B33" s="6" t="str">
        <f t="shared" ref="B33:B34" si="1">IMAGE("https://storage.googleapis.com/acdb/other/TentWhite.png")</f>
        <v/>
      </c>
      <c r="C33" s="6" t="s">
        <v>37</v>
      </c>
      <c r="D33" s="6" t="s">
        <v>34</v>
      </c>
      <c r="E33" s="5" t="s">
        <v>19537</v>
      </c>
      <c r="F33" s="5"/>
      <c r="G33" s="5" t="s">
        <v>767</v>
      </c>
      <c r="H33" s="6" t="s">
        <v>42</v>
      </c>
      <c r="I33" s="5" t="s">
        <v>20616</v>
      </c>
      <c r="J33" s="6">
        <v>7211.0</v>
      </c>
    </row>
    <row r="34" ht="56.25" customHeight="1">
      <c r="A34" s="5" t="s">
        <v>20617</v>
      </c>
      <c r="B34" s="6" t="str">
        <f t="shared" si="1"/>
        <v/>
      </c>
      <c r="C34" s="6" t="s">
        <v>37</v>
      </c>
      <c r="D34" s="6" t="s">
        <v>34</v>
      </c>
      <c r="E34" s="5" t="s">
        <v>19537</v>
      </c>
      <c r="F34" s="5"/>
      <c r="G34" s="5" t="s">
        <v>34</v>
      </c>
      <c r="H34" s="6" t="s">
        <v>42</v>
      </c>
      <c r="I34" s="5" t="s">
        <v>20622</v>
      </c>
      <c r="J34" s="6">
        <v>4310.0</v>
      </c>
    </row>
    <row r="35" ht="56.25" customHeight="1">
      <c r="A35" s="5" t="s">
        <v>20623</v>
      </c>
      <c r="B35" s="6" t="str">
        <f>IMAGE("https://storage.googleapis.com/acdb/other/WPaperBrown.png")</f>
        <v/>
      </c>
      <c r="C35" s="6">
        <v>160.0</v>
      </c>
      <c r="D35" s="6">
        <v>40.0</v>
      </c>
      <c r="E35" s="5" t="s">
        <v>59</v>
      </c>
      <c r="F35" s="5"/>
      <c r="G35" s="5" t="s">
        <v>34</v>
      </c>
      <c r="H35" s="6" t="s">
        <v>42</v>
      </c>
      <c r="I35" s="5" t="s">
        <v>20628</v>
      </c>
      <c r="J35" s="6">
        <v>7696.0</v>
      </c>
    </row>
    <row r="36" ht="56.25" customHeight="1">
      <c r="A36" s="5" t="s">
        <v>19851</v>
      </c>
      <c r="B36" s="6" t="str">
        <f t="shared" ref="B36:B37" si="2">IMAGE("https://storage.googleapis.com/acdb/other/TentWhite.png")</f>
        <v/>
      </c>
      <c r="C36" s="6" t="s">
        <v>37</v>
      </c>
      <c r="D36" s="6" t="s">
        <v>34</v>
      </c>
      <c r="E36" s="5" t="s">
        <v>19537</v>
      </c>
      <c r="F36" s="5"/>
      <c r="G36" s="5" t="s">
        <v>34</v>
      </c>
      <c r="H36" s="6" t="s">
        <v>42</v>
      </c>
      <c r="I36" s="5" t="s">
        <v>20633</v>
      </c>
      <c r="J36" s="6">
        <v>5166.0</v>
      </c>
    </row>
    <row r="37" ht="56.25" customHeight="1">
      <c r="A37" s="5" t="s">
        <v>20636</v>
      </c>
      <c r="B37" s="6" t="str">
        <f t="shared" si="2"/>
        <v/>
      </c>
      <c r="C37" s="6" t="s">
        <v>37</v>
      </c>
      <c r="D37" s="6" t="s">
        <v>34</v>
      </c>
      <c r="E37" s="5" t="s">
        <v>19537</v>
      </c>
      <c r="F37" s="5"/>
      <c r="G37" s="5" t="s">
        <v>34</v>
      </c>
      <c r="H37" s="6" t="s">
        <v>42</v>
      </c>
      <c r="I37" s="5" t="s">
        <v>20639</v>
      </c>
      <c r="J37" s="6">
        <v>6841.0</v>
      </c>
    </row>
    <row r="38" ht="56.25" customHeight="1">
      <c r="A38" s="5" t="s">
        <v>19538</v>
      </c>
      <c r="B38" s="6" t="str">
        <f>IMAGE("https://storage.googleapis.com/acdb/other/StarpieceCancer.png")</f>
        <v/>
      </c>
      <c r="C38" s="6" t="s">
        <v>37</v>
      </c>
      <c r="D38" s="6">
        <v>500.0</v>
      </c>
      <c r="E38" s="5" t="s">
        <v>20646</v>
      </c>
      <c r="F38" s="5"/>
      <c r="G38" s="5" t="s">
        <v>34</v>
      </c>
      <c r="H38" s="6" t="s">
        <v>42</v>
      </c>
      <c r="I38" s="5" t="s">
        <v>20649</v>
      </c>
      <c r="J38" s="6">
        <v>5991.0</v>
      </c>
    </row>
    <row r="39" ht="56.25" customHeight="1">
      <c r="A39" s="5" t="s">
        <v>19541</v>
      </c>
      <c r="B39" s="6" t="str">
        <f>IMAGE("https://storage.googleapis.com/acdb/other/StarpieceCapricornus.png")</f>
        <v/>
      </c>
      <c r="C39" s="6" t="s">
        <v>37</v>
      </c>
      <c r="D39" s="6">
        <v>500.0</v>
      </c>
      <c r="E39" s="5" t="s">
        <v>20652</v>
      </c>
      <c r="F39" s="5"/>
      <c r="G39" s="5" t="s">
        <v>34</v>
      </c>
      <c r="H39" s="6" t="s">
        <v>42</v>
      </c>
      <c r="I39" s="5" t="s">
        <v>20655</v>
      </c>
      <c r="J39" s="6">
        <v>5985.0</v>
      </c>
    </row>
    <row r="40" ht="56.25" customHeight="1">
      <c r="A40" s="5" t="s">
        <v>20656</v>
      </c>
      <c r="B40" s="6" t="str">
        <f>IMAGE("https://storage.googleapis.com/acdb/other/SeedCedar.png")</f>
        <v/>
      </c>
      <c r="C40" s="6">
        <v>640.0</v>
      </c>
      <c r="D40" s="6">
        <v>160.0</v>
      </c>
      <c r="E40" s="5" t="s">
        <v>59</v>
      </c>
      <c r="F40" s="5"/>
      <c r="G40" s="5" t="s">
        <v>244</v>
      </c>
      <c r="H40" s="6" t="s">
        <v>42</v>
      </c>
      <c r="I40" s="5" t="s">
        <v>20663</v>
      </c>
      <c r="J40" s="6">
        <v>2800.0</v>
      </c>
    </row>
    <row r="41" ht="56.25" customHeight="1">
      <c r="A41" s="5" t="s">
        <v>20666</v>
      </c>
      <c r="B41" s="6" t="str">
        <f>IMAGE("https://storage.googleapis.com/acdb/other/PltConifer.png")</f>
        <v/>
      </c>
      <c r="C41" s="6" t="s">
        <v>37</v>
      </c>
      <c r="D41" s="6">
        <v>240.0</v>
      </c>
      <c r="E41" s="5" t="s">
        <v>20671</v>
      </c>
      <c r="F41" s="5"/>
      <c r="G41" s="5" t="s">
        <v>244</v>
      </c>
      <c r="H41" s="6" t="s">
        <v>42</v>
      </c>
      <c r="I41" s="5" t="s">
        <v>20672</v>
      </c>
      <c r="J41" s="6">
        <v>2805.0</v>
      </c>
    </row>
    <row r="42" ht="56.25" customHeight="1">
      <c r="A42" s="5" t="s">
        <v>20675</v>
      </c>
      <c r="B42" s="6" t="str">
        <f>IMAGE("https://storage.googleapis.com/acdb/other/WPaperLightGreen.png")</f>
        <v/>
      </c>
      <c r="C42" s="6">
        <v>160.0</v>
      </c>
      <c r="D42" s="6">
        <v>40.0</v>
      </c>
      <c r="E42" s="5" t="s">
        <v>59</v>
      </c>
      <c r="F42" s="5"/>
      <c r="G42" s="5" t="s">
        <v>34</v>
      </c>
      <c r="H42" s="6" t="s">
        <v>42</v>
      </c>
      <c r="I42" s="5" t="s">
        <v>20682</v>
      </c>
      <c r="J42" s="6">
        <v>7686.0</v>
      </c>
    </row>
    <row r="43" ht="56.25" customHeight="1">
      <c r="A43" s="5" t="s">
        <v>501</v>
      </c>
      <c r="B43" s="6" t="str">
        <f>IMAGE("https://storage.googleapis.com/acdb/other/Cherry.png")</f>
        <v/>
      </c>
      <c r="C43" s="6">
        <v>400.0</v>
      </c>
      <c r="D43" s="6">
        <v>500.0</v>
      </c>
      <c r="E43" s="5" t="s">
        <v>20687</v>
      </c>
      <c r="F43" s="5"/>
      <c r="G43" s="5" t="s">
        <v>34</v>
      </c>
      <c r="H43" s="6" t="s">
        <v>42</v>
      </c>
      <c r="I43" s="5" t="s">
        <v>51</v>
      </c>
      <c r="J43" s="6">
        <v>2287.0</v>
      </c>
    </row>
    <row r="44" ht="56.25" customHeight="1">
      <c r="A44" s="5" t="s">
        <v>20688</v>
      </c>
      <c r="B44" s="6" t="str">
        <f>IMAGE("https://storage.googleapis.com/acdb/other/PltCherry.png")</f>
        <v/>
      </c>
      <c r="C44" s="6" t="s">
        <v>37</v>
      </c>
      <c r="D44" s="6">
        <v>300.0</v>
      </c>
      <c r="E44" s="5" t="s">
        <v>20693</v>
      </c>
      <c r="F44" s="5"/>
      <c r="G44" s="5" t="s">
        <v>244</v>
      </c>
      <c r="H44" s="6" t="s">
        <v>42</v>
      </c>
      <c r="I44" s="5" t="s">
        <v>20696</v>
      </c>
      <c r="J44" s="6">
        <v>3381.0</v>
      </c>
    </row>
    <row r="45" ht="56.25" customHeight="1">
      <c r="A45" s="5" t="s">
        <v>19153</v>
      </c>
      <c r="B45" s="6" t="str">
        <f>IMAGE("https://storage.googleapis.com/acdb/other/Sakurapetal.png")</f>
        <v/>
      </c>
      <c r="C45" s="6" t="s">
        <v>37</v>
      </c>
      <c r="D45" s="6" t="s">
        <v>34</v>
      </c>
      <c r="E45" s="5" t="s">
        <v>20702</v>
      </c>
      <c r="F45" s="5"/>
      <c r="G45" s="5" t="s">
        <v>34</v>
      </c>
      <c r="H45" s="6" t="s">
        <v>42</v>
      </c>
      <c r="I45" s="5" t="s">
        <v>20704</v>
      </c>
      <c r="J45" s="6">
        <v>5859.0</v>
      </c>
    </row>
    <row r="46" ht="56.25" customHeight="1">
      <c r="A46" s="5" t="s">
        <v>19289</v>
      </c>
      <c r="B46" s="6" t="str">
        <f>IMAGE("https://storage.googleapis.com/acdb/other/DIYClay.png")</f>
        <v/>
      </c>
      <c r="C46" s="6" t="s">
        <v>37</v>
      </c>
      <c r="D46" s="6">
        <v>100.0</v>
      </c>
      <c r="E46" s="5" t="s">
        <v>20709</v>
      </c>
      <c r="F46" s="5"/>
      <c r="G46" s="5" t="s">
        <v>34</v>
      </c>
      <c r="H46" s="6" t="s">
        <v>42</v>
      </c>
      <c r="I46" s="5" t="s">
        <v>20713</v>
      </c>
      <c r="J46" s="6">
        <v>3090.0</v>
      </c>
    </row>
    <row r="47" ht="56.25" customHeight="1">
      <c r="A47" s="5" t="s">
        <v>19122</v>
      </c>
      <c r="B47" s="6" t="str">
        <f>IMAGE("https://storage.googleapis.com/acdb/other/PltWeed.png")</f>
        <v/>
      </c>
      <c r="C47" s="6" t="s">
        <v>37</v>
      </c>
      <c r="D47" s="6">
        <v>10.0</v>
      </c>
      <c r="E47" s="5" t="s">
        <v>20718</v>
      </c>
      <c r="F47" s="5"/>
      <c r="G47" s="5" t="s">
        <v>244</v>
      </c>
      <c r="H47" s="6" t="s">
        <v>42</v>
      </c>
      <c r="I47" s="5" t="s">
        <v>20720</v>
      </c>
      <c r="J47" s="6">
        <v>2624.0</v>
      </c>
    </row>
    <row r="48" ht="56.25" customHeight="1">
      <c r="A48" s="5" t="s">
        <v>19654</v>
      </c>
      <c r="B48" s="6" t="str">
        <f>IMAGE("https://storage.googleapis.com/acdb/other/Coconut.png")</f>
        <v/>
      </c>
      <c r="C48" s="6" t="s">
        <v>37</v>
      </c>
      <c r="D48" s="6">
        <v>250.0</v>
      </c>
      <c r="E48" s="5" t="s">
        <v>20724</v>
      </c>
      <c r="F48" s="5"/>
      <c r="G48" s="5" t="s">
        <v>34</v>
      </c>
      <c r="H48" s="6" t="s">
        <v>42</v>
      </c>
      <c r="I48" s="5" t="s">
        <v>20726</v>
      </c>
      <c r="J48" s="6">
        <v>2288.0</v>
      </c>
    </row>
    <row r="49" ht="56.25" customHeight="1">
      <c r="A49" s="5" t="s">
        <v>20727</v>
      </c>
      <c r="B49" s="6" t="str">
        <f>IMAGE("https://storage.googleapis.com/acdb/other/PltPalm.png")</f>
        <v/>
      </c>
      <c r="C49" s="6" t="s">
        <v>37</v>
      </c>
      <c r="D49" s="6">
        <v>500.0</v>
      </c>
      <c r="E49" s="5" t="s">
        <v>20730</v>
      </c>
      <c r="F49" s="5"/>
      <c r="G49" s="5" t="s">
        <v>244</v>
      </c>
      <c r="H49" s="6" t="s">
        <v>42</v>
      </c>
      <c r="I49" s="5" t="s">
        <v>20732</v>
      </c>
      <c r="J49" s="6">
        <v>2810.0</v>
      </c>
    </row>
    <row r="50" ht="56.25" customHeight="1">
      <c r="A50" s="5" t="s">
        <v>20734</v>
      </c>
      <c r="B50" s="6" t="str">
        <f>IMAGE("https://storage.googleapis.com/acdb/other/PhotoStudioBell.png")</f>
        <v/>
      </c>
      <c r="C50" s="6" t="s">
        <v>37</v>
      </c>
      <c r="D50" s="6">
        <v>0.0</v>
      </c>
      <c r="E50" s="5" t="s">
        <v>20736</v>
      </c>
      <c r="F50" s="5"/>
      <c r="G50" s="5" t="s">
        <v>34</v>
      </c>
      <c r="H50" s="6" t="s">
        <v>42</v>
      </c>
      <c r="I50" s="5" t="s">
        <v>20738</v>
      </c>
      <c r="J50" s="6">
        <v>7730.0</v>
      </c>
    </row>
    <row r="51" ht="56.25" customHeight="1">
      <c r="A51" s="5" t="s">
        <v>20741</v>
      </c>
      <c r="B51" s="6" t="str">
        <f>IMAGE("https://storage.googleapis.com/acdb/other/JohnyParts.png")</f>
        <v/>
      </c>
      <c r="C51" s="6" t="s">
        <v>37</v>
      </c>
      <c r="D51" s="6">
        <v>20.0</v>
      </c>
      <c r="E51" s="5" t="s">
        <v>20742</v>
      </c>
      <c r="F51" s="5"/>
      <c r="G51" s="5" t="s">
        <v>34</v>
      </c>
      <c r="H51" s="6" t="s">
        <v>42</v>
      </c>
      <c r="I51" s="5" t="s">
        <v>20745</v>
      </c>
      <c r="J51" s="6">
        <v>2381.0</v>
      </c>
    </row>
    <row r="52" ht="56.25" customHeight="1">
      <c r="A52" s="5" t="s">
        <v>19687</v>
      </c>
      <c r="B52" s="6" t="str">
        <f>IMAGE("https://storage.googleapis.com/acdb/other/ShellDriftHora.png")</f>
        <v/>
      </c>
      <c r="C52" s="6" t="s">
        <v>37</v>
      </c>
      <c r="D52" s="6">
        <v>700.0</v>
      </c>
      <c r="E52" s="5" t="s">
        <v>20748</v>
      </c>
      <c r="F52" s="5"/>
      <c r="G52" s="5" t="s">
        <v>34</v>
      </c>
      <c r="H52" s="6" t="s">
        <v>42</v>
      </c>
      <c r="I52" s="5" t="s">
        <v>20751</v>
      </c>
      <c r="J52" s="6">
        <v>1376.0</v>
      </c>
    </row>
    <row r="53" ht="56.25" customHeight="1">
      <c r="A53" s="5" t="s">
        <v>19368</v>
      </c>
      <c r="B53" s="6" t="str">
        <f>IMAGE("https://storage.googleapis.com/acdb/other/ShellDriftSango.png")</f>
        <v/>
      </c>
      <c r="C53" s="6" t="s">
        <v>37</v>
      </c>
      <c r="D53" s="6">
        <v>500.0</v>
      </c>
      <c r="E53" s="5" t="s">
        <v>20748</v>
      </c>
      <c r="F53" s="5"/>
      <c r="G53" s="5" t="s">
        <v>34</v>
      </c>
      <c r="H53" s="6" t="s">
        <v>42</v>
      </c>
      <c r="I53" s="5" t="s">
        <v>20755</v>
      </c>
      <c r="J53" s="6">
        <v>1380.0</v>
      </c>
    </row>
    <row r="54" ht="56.25" customHeight="1">
      <c r="A54" s="5" t="s">
        <v>19370</v>
      </c>
      <c r="B54" s="6" t="str">
        <f>IMAGE("https://storage.googleapis.com/acdb/other/ShellDriftTakara.png")</f>
        <v/>
      </c>
      <c r="C54" s="6" t="s">
        <v>37</v>
      </c>
      <c r="D54" s="6">
        <v>60.0</v>
      </c>
      <c r="E54" s="5" t="s">
        <v>20748</v>
      </c>
      <c r="F54" s="5"/>
      <c r="G54" s="5" t="s">
        <v>34</v>
      </c>
      <c r="H54" s="6" t="s">
        <v>42</v>
      </c>
      <c r="I54" s="5" t="s">
        <v>20759</v>
      </c>
      <c r="J54" s="6">
        <v>1382.0</v>
      </c>
    </row>
    <row r="55" ht="56.25" customHeight="1">
      <c r="A55" s="5" t="s">
        <v>20762</v>
      </c>
      <c r="B55" s="6" t="str">
        <f>IMAGE("https://storage.googleapis.com/acdb/other/RemakeKit.png")</f>
        <v/>
      </c>
      <c r="C55" s="6">
        <v>600.0</v>
      </c>
      <c r="D55" s="6">
        <v>150.0</v>
      </c>
      <c r="E55" s="5" t="s">
        <v>59</v>
      </c>
      <c r="F55" s="5"/>
      <c r="G55" s="5" t="s">
        <v>432</v>
      </c>
      <c r="H55" s="6" t="s">
        <v>42</v>
      </c>
      <c r="I55" s="5" t="s">
        <v>20765</v>
      </c>
      <c r="J55" s="6">
        <v>2513.0</v>
      </c>
    </row>
    <row r="56" ht="56.25" customHeight="1">
      <c r="A56" s="5" t="s">
        <v>20766</v>
      </c>
      <c r="B56" s="6" t="str">
        <f>IMAGE("https://storage.googleapis.com/acdb/other/Cardboard.png")</f>
        <v/>
      </c>
      <c r="C56" s="6" t="s">
        <v>37</v>
      </c>
      <c r="D56" s="6">
        <v>222.0</v>
      </c>
      <c r="E56" s="5" t="s">
        <v>20771</v>
      </c>
      <c r="F56" s="5"/>
      <c r="G56" s="5" t="s">
        <v>34</v>
      </c>
      <c r="H56" s="6" t="s">
        <v>42</v>
      </c>
      <c r="I56" s="5" t="s">
        <v>20772</v>
      </c>
      <c r="J56" s="6">
        <v>4645.0</v>
      </c>
    </row>
    <row r="57" ht="56.25" customHeight="1">
      <c r="A57" s="5" t="s">
        <v>20773</v>
      </c>
      <c r="B57" s="6" t="str">
        <f>IMAGE("https://storage.googleapis.com/acdb/other/Present2.png")</f>
        <v/>
      </c>
      <c r="C57" s="6" t="s">
        <v>37</v>
      </c>
      <c r="D57" s="6" t="s">
        <v>34</v>
      </c>
      <c r="E57" s="5" t="s">
        <v>20777</v>
      </c>
      <c r="F57" s="5"/>
      <c r="G57" s="5" t="s">
        <v>34</v>
      </c>
      <c r="H57" s="6" t="s">
        <v>42</v>
      </c>
      <c r="I57" s="5" t="s">
        <v>20779</v>
      </c>
      <c r="J57" s="6">
        <v>4245.0</v>
      </c>
    </row>
    <row r="58" ht="56.25" customHeight="1">
      <c r="A58" s="5" t="s">
        <v>20780</v>
      </c>
      <c r="B58" s="6" t="str">
        <f>IMAGE("https://storage.googleapis.com/acdb/other/DIYbook1.png")</f>
        <v/>
      </c>
      <c r="C58" s="6">
        <v>480.0</v>
      </c>
      <c r="D58" s="6" t="s">
        <v>34</v>
      </c>
      <c r="E58" s="5" t="s">
        <v>59</v>
      </c>
      <c r="F58" s="5"/>
      <c r="G58" s="5" t="s">
        <v>34</v>
      </c>
      <c r="H58" s="6" t="s">
        <v>42</v>
      </c>
      <c r="I58" s="5" t="s">
        <v>20785</v>
      </c>
      <c r="J58" s="6">
        <v>5603.0</v>
      </c>
    </row>
    <row r="59" ht="56.25" customHeight="1">
      <c r="A59" s="5" t="s">
        <v>19142</v>
      </c>
      <c r="B59" s="6" t="str">
        <f>IMAGE("https://storage.googleapis.com/acdb/other/EggGround.png")</f>
        <v/>
      </c>
      <c r="C59" s="6" t="s">
        <v>37</v>
      </c>
      <c r="D59" s="6">
        <v>200.0</v>
      </c>
      <c r="E59" s="5" t="s">
        <v>20788</v>
      </c>
      <c r="F59" s="5"/>
      <c r="G59" s="5" t="s">
        <v>34</v>
      </c>
      <c r="H59" s="6" t="s">
        <v>1410</v>
      </c>
      <c r="I59" s="5" t="s">
        <v>20791</v>
      </c>
      <c r="J59" s="6">
        <v>12509.0</v>
      </c>
    </row>
    <row r="60" ht="56.25" customHeight="1">
      <c r="A60" s="5" t="s">
        <v>20792</v>
      </c>
      <c r="B60" s="6" t="str">
        <f>IMAGE("https://storage.googleapis.com/acdb/other/MessageBottleEgg.png")</f>
        <v/>
      </c>
      <c r="C60" s="6" t="s">
        <v>37</v>
      </c>
      <c r="D60" s="6" t="s">
        <v>34</v>
      </c>
      <c r="E60" s="5" t="s">
        <v>20793</v>
      </c>
      <c r="F60" s="5"/>
      <c r="G60" s="5" t="s">
        <v>34</v>
      </c>
      <c r="H60" s="6" t="s">
        <v>1410</v>
      </c>
      <c r="I60" s="5" t="s">
        <v>20796</v>
      </c>
      <c r="J60" s="6">
        <v>12544.0</v>
      </c>
    </row>
    <row r="61" ht="56.25" customHeight="1">
      <c r="A61" s="5" t="s">
        <v>20469</v>
      </c>
      <c r="B61" s="6" t="str">
        <f>IMAGE("https://storage.googleapis.com/acdb/other/MushSplendid.png")</f>
        <v/>
      </c>
      <c r="C61" s="6" t="s">
        <v>37</v>
      </c>
      <c r="D61" s="6">
        <v>10000.0</v>
      </c>
      <c r="E61" s="5" t="s">
        <v>20799</v>
      </c>
      <c r="F61" s="5"/>
      <c r="G61" s="5" t="s">
        <v>34</v>
      </c>
      <c r="H61" s="6" t="s">
        <v>42</v>
      </c>
      <c r="I61" s="5" t="s">
        <v>20801</v>
      </c>
      <c r="J61" s="6">
        <v>3276.0</v>
      </c>
    </row>
    <row r="62" ht="56.25" customHeight="1">
      <c r="A62" s="5" t="s">
        <v>19345</v>
      </c>
      <c r="B62" s="6" t="str">
        <f>IMAGE("https://storage.googleapis.com/acdb/other/TrashCan.png")</f>
        <v/>
      </c>
      <c r="C62" s="6" t="s">
        <v>37</v>
      </c>
      <c r="D62" s="6">
        <v>10.0</v>
      </c>
      <c r="E62" s="5" t="s">
        <v>20610</v>
      </c>
      <c r="F62" s="5" t="s">
        <v>20806</v>
      </c>
      <c r="G62" s="5" t="s">
        <v>34</v>
      </c>
      <c r="H62" s="6" t="s">
        <v>42</v>
      </c>
      <c r="I62" s="5" t="s">
        <v>20807</v>
      </c>
      <c r="J62" s="6">
        <v>3466.0</v>
      </c>
    </row>
    <row r="63" ht="56.25" customHeight="1">
      <c r="A63" s="5" t="s">
        <v>19853</v>
      </c>
      <c r="B63" s="6" t="str">
        <f>IMAGE("https://storage.googleapis.com/acdb/other/FishBait.png")</f>
        <v/>
      </c>
      <c r="C63" s="6" t="s">
        <v>37</v>
      </c>
      <c r="D63" s="6">
        <v>200.0</v>
      </c>
      <c r="E63" s="5" t="s">
        <v>20812</v>
      </c>
      <c r="F63" s="5"/>
      <c r="G63" s="5" t="s">
        <v>34</v>
      </c>
      <c r="H63" s="6" t="s">
        <v>42</v>
      </c>
      <c r="I63" s="5" t="s">
        <v>20813</v>
      </c>
      <c r="J63" s="6">
        <v>4549.0</v>
      </c>
    </row>
    <row r="64" ht="56.25" customHeight="1">
      <c r="A64" s="5" t="s">
        <v>19339</v>
      </c>
      <c r="B64" s="6" t="str">
        <f>IMAGE("https://storage.googleapis.com/acdb/other/MushFlat.png")</f>
        <v/>
      </c>
      <c r="C64" s="6" t="s">
        <v>37</v>
      </c>
      <c r="D64" s="6">
        <v>200.0</v>
      </c>
      <c r="E64" s="5" t="s">
        <v>20799</v>
      </c>
      <c r="F64" s="5"/>
      <c r="G64" s="5" t="s">
        <v>34</v>
      </c>
      <c r="H64" s="6" t="s">
        <v>42</v>
      </c>
      <c r="I64" s="5" t="s">
        <v>20818</v>
      </c>
      <c r="J64" s="6">
        <v>3279.0</v>
      </c>
    </row>
    <row r="65" ht="56.25" customHeight="1">
      <c r="A65" s="5" t="s">
        <v>20819</v>
      </c>
      <c r="B65" s="6" t="str">
        <f>IMAGE("https://storage.googleapis.com/acdb/other/DIYRecipeAxeWood.png")</f>
        <v/>
      </c>
      <c r="C65" s="6">
        <v>280.0</v>
      </c>
      <c r="D65" s="6">
        <v>200.0</v>
      </c>
      <c r="E65" s="5" t="s">
        <v>59</v>
      </c>
      <c r="F65" s="5" t="s">
        <v>8137</v>
      </c>
      <c r="G65" s="5" t="s">
        <v>34</v>
      </c>
      <c r="H65" s="6" t="s">
        <v>42</v>
      </c>
      <c r="I65" s="5" t="s">
        <v>20822</v>
      </c>
      <c r="J65" s="6">
        <v>12294.0</v>
      </c>
    </row>
    <row r="66" ht="56.25" customHeight="1">
      <c r="A66" s="5" t="s">
        <v>20824</v>
      </c>
      <c r="B66" s="6" t="str">
        <f>IMAGE("https://storage.googleapis.com/acdb/other/DIYRecipeScoopWood.png")</f>
        <v/>
      </c>
      <c r="C66" s="6">
        <v>280.0</v>
      </c>
      <c r="D66" s="6">
        <v>200.0</v>
      </c>
      <c r="E66" s="5" t="s">
        <v>59</v>
      </c>
      <c r="F66" s="5" t="s">
        <v>8150</v>
      </c>
      <c r="G66" s="5" t="s">
        <v>34</v>
      </c>
      <c r="H66" s="6" t="s">
        <v>42</v>
      </c>
      <c r="I66" s="5" t="s">
        <v>20828</v>
      </c>
      <c r="J66" s="6">
        <v>9047.0</v>
      </c>
    </row>
    <row r="67" ht="56.25" customHeight="1">
      <c r="A67" s="5" t="s">
        <v>20829</v>
      </c>
      <c r="B67" s="6" t="str">
        <f>IMAGE("https://storage.googleapis.com/acdb/other/DIYRecipeWateringWood.png")</f>
        <v/>
      </c>
      <c r="C67" s="6">
        <v>280.0</v>
      </c>
      <c r="D67" s="6">
        <v>200.0</v>
      </c>
      <c r="E67" s="5" t="s">
        <v>59</v>
      </c>
      <c r="F67" s="5"/>
      <c r="G67" s="5" t="s">
        <v>34</v>
      </c>
      <c r="H67" s="6" t="s">
        <v>42</v>
      </c>
      <c r="I67" s="5" t="s">
        <v>20833</v>
      </c>
      <c r="J67" s="6">
        <v>9048.0</v>
      </c>
    </row>
    <row r="68" ht="56.25" customHeight="1">
      <c r="A68" s="5" t="s">
        <v>20241</v>
      </c>
      <c r="B68" s="6" t="str">
        <f>IMAGE("https://storage.googleapis.com/acdb/other/Fossil.png")</f>
        <v/>
      </c>
      <c r="C68" s="6" t="s">
        <v>37</v>
      </c>
      <c r="D68" s="6">
        <v>100.0</v>
      </c>
      <c r="E68" s="5" t="s">
        <v>19765</v>
      </c>
      <c r="F68" s="5"/>
      <c r="G68" s="5" t="s">
        <v>34</v>
      </c>
      <c r="H68" s="6" t="s">
        <v>42</v>
      </c>
      <c r="I68" s="5" t="s">
        <v>20837</v>
      </c>
      <c r="J68" s="6">
        <v>2579.0</v>
      </c>
    </row>
    <row r="69" ht="56.25" customHeight="1">
      <c r="A69" s="5" t="s">
        <v>19571</v>
      </c>
      <c r="B69" s="6" t="str">
        <f>IMAGE("https://storage.googleapis.com/acdb/other/StarpieceGemini.png")</f>
        <v/>
      </c>
      <c r="C69" s="6" t="s">
        <v>37</v>
      </c>
      <c r="D69" s="6">
        <v>500.0</v>
      </c>
      <c r="E69" s="5" t="s">
        <v>20842</v>
      </c>
      <c r="F69" s="5"/>
      <c r="G69" s="5" t="s">
        <v>34</v>
      </c>
      <c r="H69" s="6" t="s">
        <v>42</v>
      </c>
      <c r="I69" s="5" t="s">
        <v>20843</v>
      </c>
      <c r="J69" s="6">
        <v>5990.0</v>
      </c>
    </row>
    <row r="70" ht="56.25" customHeight="1">
      <c r="A70" s="5" t="s">
        <v>19180</v>
      </c>
      <c r="B70" s="6" t="str">
        <f>IMAGE("https://storage.googleapis.com/acdb/other/ShellDriftSyako.png")</f>
        <v/>
      </c>
      <c r="C70" s="6" t="s">
        <v>37</v>
      </c>
      <c r="D70" s="6">
        <v>900.0</v>
      </c>
      <c r="E70" s="5" t="s">
        <v>20748</v>
      </c>
      <c r="F70" s="5"/>
      <c r="G70" s="5" t="s">
        <v>34</v>
      </c>
      <c r="H70" s="6" t="s">
        <v>42</v>
      </c>
      <c r="I70" s="5" t="s">
        <v>20848</v>
      </c>
      <c r="J70" s="6">
        <v>1381.0</v>
      </c>
    </row>
    <row r="71" ht="56.25" customHeight="1">
      <c r="A71" s="5" t="s">
        <v>19229</v>
      </c>
      <c r="B71" s="6" t="str">
        <f>IMAGE("https://storage.googleapis.com/acdb/other/DIYGold.png")</f>
        <v/>
      </c>
      <c r="C71" s="6" t="s">
        <v>37</v>
      </c>
      <c r="D71" s="6">
        <v>10000.0</v>
      </c>
      <c r="E71" s="5" t="s">
        <v>20709</v>
      </c>
      <c r="F71" s="5"/>
      <c r="G71" s="5" t="s">
        <v>34</v>
      </c>
      <c r="H71" s="6" t="s">
        <v>42</v>
      </c>
      <c r="I71" s="5" t="s">
        <v>20853</v>
      </c>
      <c r="J71" s="6">
        <v>2505.0</v>
      </c>
    </row>
    <row r="72" ht="56.25" customHeight="1">
      <c r="A72" s="5" t="s">
        <v>19512</v>
      </c>
      <c r="B72" s="6" t="str">
        <f>IMAGE("https://storage.googleapis.com/acdb/other/DIYOrnamentGold.png")</f>
        <v/>
      </c>
      <c r="C72" s="6" t="s">
        <v>37</v>
      </c>
      <c r="D72" s="6">
        <v>50.0</v>
      </c>
      <c r="E72" s="5" t="s">
        <v>20572</v>
      </c>
      <c r="F72" s="5"/>
      <c r="G72" s="5" t="s">
        <v>34</v>
      </c>
      <c r="H72" s="6" t="s">
        <v>42</v>
      </c>
      <c r="I72" s="5" t="s">
        <v>20856</v>
      </c>
      <c r="J72" s="6">
        <v>5732.0</v>
      </c>
    </row>
    <row r="73" ht="56.25" customHeight="1">
      <c r="A73" s="5" t="s">
        <v>19432</v>
      </c>
      <c r="B73" s="6" t="str">
        <f>IMAGE("https://storage.googleapis.com/acdb/other/FlwRoseGold.png")</f>
        <v/>
      </c>
      <c r="C73" s="6" t="s">
        <v>37</v>
      </c>
      <c r="D73" s="6">
        <v>1000.0</v>
      </c>
      <c r="E73" s="5" t="s">
        <v>20538</v>
      </c>
      <c r="F73" s="5"/>
      <c r="G73" s="5" t="s">
        <v>244</v>
      </c>
      <c r="H73" s="6" t="s">
        <v>42</v>
      </c>
      <c r="I73" s="5" t="s">
        <v>20863</v>
      </c>
      <c r="J73" s="6">
        <v>2963.0</v>
      </c>
    </row>
    <row r="74" ht="56.25" customHeight="1">
      <c r="A74" s="5" t="s">
        <v>20864</v>
      </c>
      <c r="B74" s="6" t="str">
        <f>IMAGE("https://storage.googleapis.com/acdb/other/WPaperGold.png")</f>
        <v/>
      </c>
      <c r="C74" s="6">
        <v>160.0</v>
      </c>
      <c r="D74" s="6">
        <v>40.0</v>
      </c>
      <c r="E74" s="5" t="s">
        <v>59</v>
      </c>
      <c r="F74" s="5"/>
      <c r="G74" s="5" t="s">
        <v>34</v>
      </c>
      <c r="H74" s="6" t="s">
        <v>42</v>
      </c>
      <c r="I74" s="5" t="s">
        <v>20868</v>
      </c>
      <c r="J74" s="6">
        <v>7695.0</v>
      </c>
    </row>
    <row r="75" ht="56.25" customHeight="1">
      <c r="A75" s="5" t="s">
        <v>20870</v>
      </c>
      <c r="B75" s="6" t="str">
        <f>IMAGE("https://storage.googleapis.com/acdb/other/PltGoldenRose.png")</f>
        <v/>
      </c>
      <c r="C75" s="6" t="s">
        <v>37</v>
      </c>
      <c r="D75" s="6">
        <v>1000.0</v>
      </c>
      <c r="E75" s="5" t="s">
        <v>20873</v>
      </c>
      <c r="F75" s="5"/>
      <c r="G75" s="5" t="s">
        <v>244</v>
      </c>
      <c r="H75" s="6" t="s">
        <v>42</v>
      </c>
      <c r="I75" s="5" t="s">
        <v>20876</v>
      </c>
      <c r="J75" s="6">
        <v>3878.0</v>
      </c>
    </row>
    <row r="76" ht="56.25" customHeight="1">
      <c r="A76" s="5" t="s">
        <v>20877</v>
      </c>
      <c r="B76" s="6" t="str">
        <f>IMAGE("https://storage.googleapis.com/acdb/other/WPaperGray.png")</f>
        <v/>
      </c>
      <c r="C76" s="6">
        <v>160.0</v>
      </c>
      <c r="D76" s="6">
        <v>40.0</v>
      </c>
      <c r="E76" s="5" t="s">
        <v>59</v>
      </c>
      <c r="F76" s="5"/>
      <c r="G76" s="5" t="s">
        <v>34</v>
      </c>
      <c r="H76" s="6" t="s">
        <v>42</v>
      </c>
      <c r="I76" s="5" t="s">
        <v>20880</v>
      </c>
      <c r="J76" s="6">
        <v>7697.0</v>
      </c>
    </row>
    <row r="77" ht="56.25" customHeight="1">
      <c r="A77" s="5" t="s">
        <v>19468</v>
      </c>
      <c r="B77" s="6" t="str">
        <f>IMAGE("https://storage.googleapis.com/acdb/other/FlwMumGreen.png")</f>
        <v/>
      </c>
      <c r="C77" s="6" t="s">
        <v>37</v>
      </c>
      <c r="D77" s="6">
        <v>240.0</v>
      </c>
      <c r="E77" s="5" t="s">
        <v>20538</v>
      </c>
      <c r="F77" s="5"/>
      <c r="G77" s="5" t="s">
        <v>244</v>
      </c>
      <c r="H77" s="6" t="s">
        <v>42</v>
      </c>
      <c r="I77" s="5" t="s">
        <v>20883</v>
      </c>
      <c r="J77" s="6">
        <v>5175.0</v>
      </c>
    </row>
    <row r="78" ht="56.25" customHeight="1">
      <c r="A78" s="5" t="s">
        <v>20886</v>
      </c>
      <c r="B78" s="6" t="str">
        <f>IMAGE("https://storage.googleapis.com/acdb/other/WPaperGreen.png")</f>
        <v/>
      </c>
      <c r="C78" s="6">
        <v>160.0</v>
      </c>
      <c r="D78" s="6">
        <v>40.0</v>
      </c>
      <c r="E78" s="5" t="s">
        <v>59</v>
      </c>
      <c r="F78" s="5"/>
      <c r="G78" s="5" t="s">
        <v>34</v>
      </c>
      <c r="H78" s="6" t="s">
        <v>42</v>
      </c>
      <c r="I78" s="5" t="s">
        <v>20889</v>
      </c>
      <c r="J78" s="6">
        <v>7687.0</v>
      </c>
    </row>
    <row r="79" ht="56.25" customHeight="1">
      <c r="A79" s="5" t="s">
        <v>20890</v>
      </c>
      <c r="B79" s="6" t="str">
        <f>IMAGE("https://storage.googleapis.com/acdb/other/PltMum4.png")</f>
        <v/>
      </c>
      <c r="C79" s="6" t="s">
        <v>37</v>
      </c>
      <c r="D79" s="6">
        <v>240.0</v>
      </c>
      <c r="E79" s="5" t="s">
        <v>20895</v>
      </c>
      <c r="F79" s="5"/>
      <c r="G79" s="5" t="s">
        <v>244</v>
      </c>
      <c r="H79" s="6" t="s">
        <v>42</v>
      </c>
      <c r="I79" s="5" t="s">
        <v>20896</v>
      </c>
      <c r="J79" s="6">
        <v>3934.0</v>
      </c>
    </row>
    <row r="80" ht="56.25" customHeight="1">
      <c r="A80" s="5" t="s">
        <v>19166</v>
      </c>
      <c r="B80" s="6" t="str">
        <f>IMAGE("https://storage.googleapis.com/acdb/other/DIYWoodHard.png")</f>
        <v/>
      </c>
      <c r="C80" s="6" t="s">
        <v>37</v>
      </c>
      <c r="D80" s="6">
        <v>60.0</v>
      </c>
      <c r="E80" s="5" t="s">
        <v>20898</v>
      </c>
      <c r="F80" s="5"/>
      <c r="G80" s="5" t="s">
        <v>34</v>
      </c>
      <c r="H80" s="6" t="s">
        <v>42</v>
      </c>
      <c r="I80" s="5" t="s">
        <v>20900</v>
      </c>
      <c r="J80" s="6">
        <v>2769.0</v>
      </c>
    </row>
    <row r="81" ht="56.25" customHeight="1">
      <c r="A81" s="5" t="s">
        <v>20902</v>
      </c>
      <c r="B81" s="6" t="str">
        <f>IMAGE("https://storage.googleapis.com/acdb/other/PltOak.png")</f>
        <v/>
      </c>
      <c r="C81" s="6" t="s">
        <v>37</v>
      </c>
      <c r="D81" s="6">
        <v>240.0</v>
      </c>
      <c r="E81" s="5" t="s">
        <v>20904</v>
      </c>
      <c r="F81" s="5"/>
      <c r="G81" s="5" t="s">
        <v>244</v>
      </c>
      <c r="H81" s="6" t="s">
        <v>42</v>
      </c>
      <c r="I81" s="5" t="s">
        <v>20907</v>
      </c>
      <c r="J81" s="6">
        <v>2799.0</v>
      </c>
    </row>
    <row r="82" ht="56.25" customHeight="1">
      <c r="A82" s="5" t="s">
        <v>20908</v>
      </c>
      <c r="B82" s="6" t="str">
        <f>IMAGE("https://storage.googleapis.com/acdb/other/NnpcNewHousingkit.png")</f>
        <v/>
      </c>
      <c r="C82" s="6" t="s">
        <v>37</v>
      </c>
      <c r="D82" s="6" t="s">
        <v>34</v>
      </c>
      <c r="E82" s="5" t="s">
        <v>19537</v>
      </c>
      <c r="F82" s="5"/>
      <c r="G82" s="5" t="s">
        <v>34</v>
      </c>
      <c r="H82" s="6" t="s">
        <v>42</v>
      </c>
      <c r="I82" s="5" t="s">
        <v>20913</v>
      </c>
      <c r="J82" s="6">
        <v>3349.0</v>
      </c>
    </row>
    <row r="83" ht="56.25" customHeight="1">
      <c r="A83" s="5" t="s">
        <v>20914</v>
      </c>
      <c r="B83" s="6" t="str">
        <f>IMAGE("https://storage.googleapis.com/acdb/other/SlopeReserveKit.png")</f>
        <v/>
      </c>
      <c r="C83" s="6" t="s">
        <v>37</v>
      </c>
      <c r="D83" s="6" t="s">
        <v>34</v>
      </c>
      <c r="E83" s="5" t="s">
        <v>19537</v>
      </c>
      <c r="F83" s="5"/>
      <c r="G83" s="5" t="s">
        <v>34</v>
      </c>
      <c r="H83" s="6" t="s">
        <v>42</v>
      </c>
      <c r="I83" s="5" t="s">
        <v>20918</v>
      </c>
      <c r="J83" s="6">
        <v>4311.0</v>
      </c>
    </row>
    <row r="84" ht="56.25" customHeight="1">
      <c r="A84" s="5" t="s">
        <v>19234</v>
      </c>
      <c r="B84" s="6" t="str">
        <f>IMAGE("https://storage.googleapis.com/acdb/other/DIYIron.png")</f>
        <v/>
      </c>
      <c r="C84" s="6" t="s">
        <v>37</v>
      </c>
      <c r="D84" s="6">
        <v>375.0</v>
      </c>
      <c r="E84" s="5" t="s">
        <v>20709</v>
      </c>
      <c r="F84" s="5"/>
      <c r="G84" s="5" t="s">
        <v>34</v>
      </c>
      <c r="H84" s="6" t="s">
        <v>42</v>
      </c>
      <c r="I84" s="5" t="s">
        <v>20926</v>
      </c>
      <c r="J84" s="6">
        <v>2511.0</v>
      </c>
    </row>
    <row r="85" ht="56.25" customHeight="1">
      <c r="A85" s="5" t="s">
        <v>20927</v>
      </c>
      <c r="B85" s="6" t="str">
        <f>IMAGE("https://storage.googleapis.com/acdb/other/DIYRecipeLadder.png")</f>
        <v/>
      </c>
      <c r="C85" s="6">
        <v>500.0</v>
      </c>
      <c r="D85" s="6">
        <v>200.0</v>
      </c>
      <c r="E85" s="5" t="s">
        <v>59</v>
      </c>
      <c r="F85" s="5" t="s">
        <v>20932</v>
      </c>
      <c r="G85" s="5" t="s">
        <v>34</v>
      </c>
      <c r="H85" s="6" t="s">
        <v>42</v>
      </c>
      <c r="I85" s="5" t="s">
        <v>20933</v>
      </c>
      <c r="J85" s="6">
        <v>12327.0</v>
      </c>
    </row>
    <row r="86" ht="56.25" customHeight="1">
      <c r="A86" s="5" t="s">
        <v>19352</v>
      </c>
      <c r="B86" s="6" t="str">
        <f>IMAGE("https://storage.googleapis.com/acdb/other/SnowCrystalLarge.png")</f>
        <v/>
      </c>
      <c r="C86" s="6" t="s">
        <v>37</v>
      </c>
      <c r="D86" s="6" t="s">
        <v>34</v>
      </c>
      <c r="E86" s="5" t="s">
        <v>20938</v>
      </c>
      <c r="F86" s="5"/>
      <c r="G86" s="5" t="s">
        <v>34</v>
      </c>
      <c r="H86" s="6" t="s">
        <v>42</v>
      </c>
      <c r="I86" s="5" t="s">
        <v>20941</v>
      </c>
      <c r="J86" s="6">
        <v>3540.0</v>
      </c>
    </row>
    <row r="87" ht="56.25" customHeight="1">
      <c r="A87" s="5" t="s">
        <v>19342</v>
      </c>
      <c r="B87" s="6" t="str">
        <f>IMAGE("https://storage.googleapis.com/acdb/other/StarpieceRare.png")</f>
        <v/>
      </c>
      <c r="C87" s="6" t="s">
        <v>37</v>
      </c>
      <c r="D87" s="6">
        <v>2500.0</v>
      </c>
      <c r="E87" s="5" t="s">
        <v>20946</v>
      </c>
      <c r="F87" s="5"/>
      <c r="G87" s="5" t="s">
        <v>34</v>
      </c>
      <c r="H87" s="6" t="s">
        <v>42</v>
      </c>
      <c r="I87" s="5" t="s">
        <v>20949</v>
      </c>
      <c r="J87" s="6">
        <v>5984.0</v>
      </c>
    </row>
    <row r="88" ht="56.25" customHeight="1">
      <c r="A88" s="5" t="s">
        <v>19145</v>
      </c>
      <c r="B88" s="6" t="str">
        <f>IMAGE("https://storage.googleapis.com/acdb/other/EggLeaf.png")</f>
        <v/>
      </c>
      <c r="C88" s="6" t="s">
        <v>37</v>
      </c>
      <c r="D88" s="6">
        <v>200.0</v>
      </c>
      <c r="E88" s="5" t="s">
        <v>20954</v>
      </c>
      <c r="F88" s="5"/>
      <c r="G88" s="5" t="s">
        <v>34</v>
      </c>
      <c r="H88" s="6" t="s">
        <v>1410</v>
      </c>
      <c r="I88" s="5" t="s">
        <v>20955</v>
      </c>
      <c r="J88" s="6">
        <v>12511.0</v>
      </c>
    </row>
    <row r="89" ht="56.25" customHeight="1">
      <c r="A89" s="5" t="s">
        <v>20285</v>
      </c>
      <c r="B89" s="6" t="str">
        <f>IMAGE("https://storage.googleapis.com/acdb/other/StarpieceLeo.png")</f>
        <v/>
      </c>
      <c r="C89" s="6" t="s">
        <v>37</v>
      </c>
      <c r="D89" s="6">
        <v>500.0</v>
      </c>
      <c r="E89" s="5" t="s">
        <v>20959</v>
      </c>
      <c r="F89" s="5"/>
      <c r="G89" s="5" t="s">
        <v>34</v>
      </c>
      <c r="H89" s="6" t="s">
        <v>42</v>
      </c>
      <c r="I89" s="5" t="s">
        <v>20960</v>
      </c>
      <c r="J89" s="6">
        <v>5992.0</v>
      </c>
    </row>
    <row r="90" ht="56.25" customHeight="1">
      <c r="A90" s="5" t="s">
        <v>19784</v>
      </c>
      <c r="B90" s="6" t="str">
        <f>IMAGE("https://storage.googleapis.com/acdb/other/StarpieceLibra.png")</f>
        <v/>
      </c>
      <c r="C90" s="6" t="s">
        <v>37</v>
      </c>
      <c r="D90" s="6">
        <v>500.0</v>
      </c>
      <c r="E90" s="5" t="s">
        <v>20966</v>
      </c>
      <c r="F90" s="5"/>
      <c r="G90" s="5" t="s">
        <v>34</v>
      </c>
      <c r="H90" s="6" t="s">
        <v>42</v>
      </c>
      <c r="I90" s="5" t="s">
        <v>20970</v>
      </c>
      <c r="J90" s="6">
        <v>5994.0</v>
      </c>
    </row>
    <row r="91" ht="56.25" customHeight="1">
      <c r="A91" s="5" t="s">
        <v>20971</v>
      </c>
      <c r="B91" s="6" t="str">
        <f>IMAGE("https://storage.googleapis.com/acdb/other/WPaperLightBlue.png")</f>
        <v/>
      </c>
      <c r="C91" s="6">
        <v>160.0</v>
      </c>
      <c r="D91" s="6">
        <v>40.0</v>
      </c>
      <c r="E91" s="5" t="s">
        <v>59</v>
      </c>
      <c r="F91" s="5"/>
      <c r="G91" s="5" t="s">
        <v>34</v>
      </c>
      <c r="H91" s="6" t="s">
        <v>42</v>
      </c>
      <c r="I91" s="5" t="s">
        <v>20975</v>
      </c>
      <c r="J91" s="6">
        <v>7689.0</v>
      </c>
    </row>
    <row r="92" ht="56.25" customHeight="1">
      <c r="A92" s="5" t="s">
        <v>20977</v>
      </c>
      <c r="B92" s="6" t="str">
        <f>IMAGE("https://storage.googleapis.com/acdb/other/PltSuzuran.png")</f>
        <v/>
      </c>
      <c r="C92" s="6" t="s">
        <v>37</v>
      </c>
      <c r="D92" s="6">
        <v>222.0</v>
      </c>
      <c r="E92" s="5" t="s">
        <v>20981</v>
      </c>
      <c r="F92" s="5"/>
      <c r="G92" s="5" t="s">
        <v>244</v>
      </c>
      <c r="H92" s="6" t="s">
        <v>42</v>
      </c>
      <c r="I92" s="5" t="s">
        <v>20984</v>
      </c>
      <c r="J92" s="6">
        <v>7651.0</v>
      </c>
    </row>
    <row r="93" ht="56.25" customHeight="1">
      <c r="A93" s="5" t="s">
        <v>20987</v>
      </c>
      <c r="B93" s="6" t="str">
        <f>IMAGE("https://storage.googleapis.com/acdb/other/LostQuestBagDust.png")</f>
        <v/>
      </c>
      <c r="C93" s="6" t="s">
        <v>37</v>
      </c>
      <c r="D93" s="6" t="s">
        <v>34</v>
      </c>
      <c r="E93" s="5" t="s">
        <v>20718</v>
      </c>
      <c r="F93" s="5"/>
      <c r="G93" s="5" t="s">
        <v>34</v>
      </c>
      <c r="H93" s="6" t="s">
        <v>42</v>
      </c>
      <c r="I93" s="5" t="s">
        <v>20992</v>
      </c>
      <c r="J93" s="6">
        <v>2374.0</v>
      </c>
    </row>
    <row r="94" ht="56.25" customHeight="1">
      <c r="A94" s="5" t="s">
        <v>20987</v>
      </c>
      <c r="B94" s="6" t="str">
        <f>IMAGE("https://storage.googleapis.com/acdb/other/LostQuestBookDust.png")</f>
        <v/>
      </c>
      <c r="C94" s="6" t="s">
        <v>37</v>
      </c>
      <c r="D94" s="6" t="s">
        <v>34</v>
      </c>
      <c r="E94" s="5" t="s">
        <v>20718</v>
      </c>
      <c r="F94" s="5"/>
      <c r="G94" s="5" t="s">
        <v>34</v>
      </c>
      <c r="H94" s="6" t="s">
        <v>42</v>
      </c>
      <c r="I94" s="5" t="s">
        <v>20997</v>
      </c>
      <c r="J94" s="6">
        <v>2375.0</v>
      </c>
    </row>
    <row r="95" ht="56.25" customHeight="1">
      <c r="A95" s="5" t="s">
        <v>20987</v>
      </c>
      <c r="B95" s="6" t="str">
        <f>IMAGE("https://storage.googleapis.com/acdb/other/LostQuestNoteDust.png")</f>
        <v/>
      </c>
      <c r="C95" s="6" t="s">
        <v>37</v>
      </c>
      <c r="D95" s="6" t="s">
        <v>34</v>
      </c>
      <c r="E95" s="5" t="s">
        <v>20718</v>
      </c>
      <c r="F95" s="5"/>
      <c r="G95" s="5" t="s">
        <v>34</v>
      </c>
      <c r="H95" s="6" t="s">
        <v>42</v>
      </c>
      <c r="I95" s="5" t="s">
        <v>21004</v>
      </c>
      <c r="J95" s="6">
        <v>5426.0</v>
      </c>
    </row>
    <row r="96" ht="56.25" customHeight="1">
      <c r="A96" s="5" t="s">
        <v>19855</v>
      </c>
      <c r="B96" s="6" t="str">
        <f>IMAGE("https://storage.googleapis.com/acdb/other/FtrShellFishAsari.png")</f>
        <v/>
      </c>
      <c r="C96" s="6" t="s">
        <v>37</v>
      </c>
      <c r="D96" s="6">
        <v>100.0</v>
      </c>
      <c r="E96" s="5" t="s">
        <v>21009</v>
      </c>
      <c r="F96" s="5"/>
      <c r="G96" s="5" t="s">
        <v>34</v>
      </c>
      <c r="H96" s="6" t="s">
        <v>42</v>
      </c>
      <c r="I96" s="5" t="s">
        <v>21010</v>
      </c>
      <c r="J96" s="6">
        <v>2567.0</v>
      </c>
    </row>
    <row r="97" ht="56.25" customHeight="1">
      <c r="A97" s="5" t="s">
        <v>19172</v>
      </c>
      <c r="B97" s="6" t="str">
        <f>IMAGE("https://storage.googleapis.com/acdb/other/AutumnLeaf.png")</f>
        <v/>
      </c>
      <c r="C97" s="6" t="s">
        <v>37</v>
      </c>
      <c r="D97" s="6" t="s">
        <v>34</v>
      </c>
      <c r="E97" s="5" t="s">
        <v>21015</v>
      </c>
      <c r="F97" s="5"/>
      <c r="G97" s="5" t="s">
        <v>34</v>
      </c>
      <c r="H97" s="6" t="s">
        <v>42</v>
      </c>
      <c r="I97" s="5" t="s">
        <v>21018</v>
      </c>
      <c r="J97" s="6">
        <v>7374.0</v>
      </c>
    </row>
    <row r="98" ht="56.25" customHeight="1">
      <c r="A98" s="5" t="s">
        <v>19858</v>
      </c>
      <c r="B98" s="6" t="str">
        <f>IMAGE("https://storage.googleapis.com/acdb/other/ItemMedicine.png")</f>
        <v/>
      </c>
      <c r="C98" s="6">
        <v>400.0</v>
      </c>
      <c r="D98" s="6">
        <v>100.0</v>
      </c>
      <c r="E98" s="5" t="s">
        <v>59</v>
      </c>
      <c r="F98" s="5"/>
      <c r="G98" s="5" t="s">
        <v>131</v>
      </c>
      <c r="H98" s="6" t="s">
        <v>42</v>
      </c>
      <c r="I98" s="5" t="s">
        <v>21025</v>
      </c>
      <c r="J98" s="6">
        <v>2777.0</v>
      </c>
    </row>
    <row r="99" ht="56.25" customHeight="1">
      <c r="A99" s="5" t="s">
        <v>21026</v>
      </c>
      <c r="B99" s="6" t="str">
        <f>IMAGE("https://storage.googleapis.com/acdb/other/BottleRecipe.png")</f>
        <v/>
      </c>
      <c r="C99" s="6" t="s">
        <v>37</v>
      </c>
      <c r="D99" s="6" t="s">
        <v>34</v>
      </c>
      <c r="E99" s="5" t="s">
        <v>20748</v>
      </c>
      <c r="F99" s="5"/>
      <c r="G99" s="5" t="s">
        <v>34</v>
      </c>
      <c r="H99" s="6" t="s">
        <v>42</v>
      </c>
      <c r="I99" s="5" t="s">
        <v>21031</v>
      </c>
      <c r="J99" s="6">
        <v>5793.0</v>
      </c>
    </row>
    <row r="100" ht="56.25" customHeight="1">
      <c r="A100" s="5" t="s">
        <v>21033</v>
      </c>
      <c r="B100" s="6" t="str">
        <f>IMAGE("https://storage.googleapis.com/acdb/other/WPaperMint.png")</f>
        <v/>
      </c>
      <c r="C100" s="6">
        <v>160.0</v>
      </c>
      <c r="D100" s="6">
        <v>40.0</v>
      </c>
      <c r="E100" s="5" t="s">
        <v>59</v>
      </c>
      <c r="F100" s="5"/>
      <c r="G100" s="5" t="s">
        <v>34</v>
      </c>
      <c r="H100" s="6" t="s">
        <v>42</v>
      </c>
      <c r="I100" s="5" t="s">
        <v>21037</v>
      </c>
      <c r="J100" s="6">
        <v>7688.0</v>
      </c>
    </row>
    <row r="101" ht="56.25" customHeight="1">
      <c r="A101" s="5" t="s">
        <v>21038</v>
      </c>
      <c r="B101" s="6" t="str">
        <f>IMAGE("https://storage.googleapis.com/acdb/other/PltMoney.png")</f>
        <v/>
      </c>
      <c r="C101" s="6" t="s">
        <v>37</v>
      </c>
      <c r="D101" s="6">
        <v>240.0</v>
      </c>
      <c r="E101" s="5" t="s">
        <v>21043</v>
      </c>
      <c r="F101" s="5"/>
      <c r="G101" s="5" t="s">
        <v>244</v>
      </c>
      <c r="H101" s="6" t="s">
        <v>42</v>
      </c>
      <c r="I101" s="5" t="s">
        <v>21044</v>
      </c>
      <c r="J101" s="6">
        <v>4426.0</v>
      </c>
    </row>
    <row r="102" ht="56.25" customHeight="1">
      <c r="A102" s="5" t="s">
        <v>21047</v>
      </c>
      <c r="B102" s="6" t="str">
        <f>IMAGE("https://storage.googleapis.com/acdb/other/MovingKitPlayer.png")</f>
        <v/>
      </c>
      <c r="C102" s="6" t="s">
        <v>37</v>
      </c>
      <c r="D102" s="6" t="s">
        <v>34</v>
      </c>
      <c r="E102" s="5" t="s">
        <v>19537</v>
      </c>
      <c r="F102" s="5"/>
      <c r="G102" s="5" t="s">
        <v>34</v>
      </c>
      <c r="H102" s="6" t="s">
        <v>42</v>
      </c>
      <c r="I102" s="5" t="s">
        <v>21054</v>
      </c>
      <c r="J102" s="6">
        <v>5358.0</v>
      </c>
    </row>
    <row r="103" ht="56.25" customHeight="1">
      <c r="A103" s="5" t="s">
        <v>21055</v>
      </c>
      <c r="B103" s="6" t="str">
        <f>IMAGE("https://storage.googleapis.com/acdb/other/MovingKitMuseum.png")</f>
        <v/>
      </c>
      <c r="C103" s="6" t="s">
        <v>37</v>
      </c>
      <c r="D103" s="6" t="s">
        <v>34</v>
      </c>
      <c r="E103" s="5" t="s">
        <v>19537</v>
      </c>
      <c r="F103" s="5"/>
      <c r="G103" s="5" t="s">
        <v>34</v>
      </c>
      <c r="H103" s="6" t="s">
        <v>42</v>
      </c>
      <c r="I103" s="5" t="s">
        <v>21061</v>
      </c>
      <c r="J103" s="6">
        <v>5361.0</v>
      </c>
    </row>
    <row r="104" ht="56.25" customHeight="1">
      <c r="A104" s="5" t="s">
        <v>21062</v>
      </c>
      <c r="B104" s="6" t="str">
        <f>IMAGE("https://storage.googleapis.com/acdb/other/WPaperNavy.png")</f>
        <v/>
      </c>
      <c r="C104" s="6">
        <v>160.0</v>
      </c>
      <c r="D104" s="6">
        <v>40.0</v>
      </c>
      <c r="E104" s="5" t="s">
        <v>59</v>
      </c>
      <c r="F104" s="5"/>
      <c r="G104" s="5" t="s">
        <v>34</v>
      </c>
      <c r="H104" s="6" t="s">
        <v>42</v>
      </c>
      <c r="I104" s="5" t="s">
        <v>21069</v>
      </c>
      <c r="J104" s="6">
        <v>7691.0</v>
      </c>
    </row>
    <row r="105" ht="56.25" customHeight="1">
      <c r="A105" s="5" t="s">
        <v>19347</v>
      </c>
      <c r="B105" s="6" t="str">
        <f>IMAGE("https://storage.googleapis.com/acdb/other/TrashTire.png")</f>
        <v/>
      </c>
      <c r="C105" s="6" t="s">
        <v>37</v>
      </c>
      <c r="D105" s="6">
        <v>10.0</v>
      </c>
      <c r="E105" s="5" t="s">
        <v>20610</v>
      </c>
      <c r="F105" s="5" t="s">
        <v>21076</v>
      </c>
      <c r="G105" s="5" t="s">
        <v>34</v>
      </c>
      <c r="H105" s="6" t="s">
        <v>42</v>
      </c>
      <c r="I105" s="5" t="s">
        <v>21077</v>
      </c>
      <c r="J105" s="6">
        <v>3470.0</v>
      </c>
    </row>
    <row r="106" ht="56.25" customHeight="1">
      <c r="A106" s="5" t="s">
        <v>1801</v>
      </c>
      <c r="B106" s="6" t="str">
        <f>IMAGE("https://storage.googleapis.com/acdb/other/Orange.png")</f>
        <v/>
      </c>
      <c r="C106" s="6">
        <v>400.0</v>
      </c>
      <c r="D106" s="6">
        <v>500.0</v>
      </c>
      <c r="E106" s="5" t="s">
        <v>21081</v>
      </c>
      <c r="F106" s="5"/>
      <c r="G106" s="5" t="s">
        <v>34</v>
      </c>
      <c r="H106" s="6" t="s">
        <v>42</v>
      </c>
      <c r="I106" s="5" t="s">
        <v>142</v>
      </c>
      <c r="J106" s="6">
        <v>2214.0</v>
      </c>
    </row>
    <row r="107" ht="56.25" customHeight="1">
      <c r="A107" s="5" t="s">
        <v>19446</v>
      </c>
      <c r="B107" s="6" t="str">
        <f>IMAGE("https://storage.googleapis.com/acdb/other/FlwCosmosOrange.png")</f>
        <v/>
      </c>
      <c r="C107" s="6" t="s">
        <v>37</v>
      </c>
      <c r="D107" s="6">
        <v>80.0</v>
      </c>
      <c r="E107" s="5" t="s">
        <v>20538</v>
      </c>
      <c r="F107" s="5"/>
      <c r="G107" s="5" t="s">
        <v>244</v>
      </c>
      <c r="H107" s="6" t="s">
        <v>42</v>
      </c>
      <c r="I107" s="5" t="s">
        <v>21089</v>
      </c>
      <c r="J107" s="6">
        <v>2871.0</v>
      </c>
    </row>
    <row r="108" ht="56.25" customHeight="1">
      <c r="A108" s="5" t="s">
        <v>19401</v>
      </c>
      <c r="B108" s="6" t="str">
        <f>IMAGE("https://storage.googleapis.com/acdb/other/FlwHyacinthOrange.png")</f>
        <v/>
      </c>
      <c r="C108" s="6" t="s">
        <v>37</v>
      </c>
      <c r="D108" s="6">
        <v>80.0</v>
      </c>
      <c r="E108" s="5" t="s">
        <v>20538</v>
      </c>
      <c r="F108" s="5"/>
      <c r="G108" s="5" t="s">
        <v>244</v>
      </c>
      <c r="H108" s="6" t="s">
        <v>42</v>
      </c>
      <c r="I108" s="5" t="s">
        <v>21095</v>
      </c>
      <c r="J108" s="6">
        <v>3741.0</v>
      </c>
    </row>
    <row r="109" ht="56.25" customHeight="1">
      <c r="A109" s="5" t="s">
        <v>19415</v>
      </c>
      <c r="B109" s="6" t="str">
        <f>IMAGE("https://storage.googleapis.com/acdb/other/FlwYuriOrange.png")</f>
        <v/>
      </c>
      <c r="C109" s="6" t="s">
        <v>37</v>
      </c>
      <c r="D109" s="6">
        <v>80.0</v>
      </c>
      <c r="E109" s="5" t="s">
        <v>20538</v>
      </c>
      <c r="F109" s="5"/>
      <c r="G109" s="5" t="s">
        <v>244</v>
      </c>
      <c r="H109" s="6" t="s">
        <v>42</v>
      </c>
      <c r="I109" s="5" t="s">
        <v>21100</v>
      </c>
      <c r="J109" s="6">
        <v>2995.0</v>
      </c>
    </row>
    <row r="110" ht="56.25" customHeight="1">
      <c r="A110" s="5" t="s">
        <v>19404</v>
      </c>
      <c r="B110" s="6" t="str">
        <f>IMAGE("https://storage.googleapis.com/acdb/other/FlwPansyRedYellow.png")</f>
        <v/>
      </c>
      <c r="C110" s="6" t="s">
        <v>37</v>
      </c>
      <c r="D110" s="6">
        <v>80.0</v>
      </c>
      <c r="E110" s="5" t="s">
        <v>20538</v>
      </c>
      <c r="F110" s="5"/>
      <c r="G110" s="5" t="s">
        <v>244</v>
      </c>
      <c r="H110" s="6" t="s">
        <v>42</v>
      </c>
      <c r="I110" s="5" t="s">
        <v>21108</v>
      </c>
      <c r="J110" s="6">
        <v>2919.0</v>
      </c>
    </row>
    <row r="111" ht="56.25" customHeight="1">
      <c r="A111" s="5" t="s">
        <v>19420</v>
      </c>
      <c r="B111" s="6" t="str">
        <f>IMAGE("https://storage.googleapis.com/acdb/other/FlwRoseOrange.png")</f>
        <v/>
      </c>
      <c r="C111" s="6" t="s">
        <v>37</v>
      </c>
      <c r="D111" s="6">
        <v>80.0</v>
      </c>
      <c r="E111" s="5" t="s">
        <v>20538</v>
      </c>
      <c r="F111" s="5"/>
      <c r="G111" s="5" t="s">
        <v>244</v>
      </c>
      <c r="H111" s="6" t="s">
        <v>42</v>
      </c>
      <c r="I111" s="5" t="s">
        <v>21115</v>
      </c>
      <c r="J111" s="6">
        <v>2947.0</v>
      </c>
    </row>
    <row r="112" ht="56.25" customHeight="1">
      <c r="A112" s="5" t="s">
        <v>21117</v>
      </c>
      <c r="B112" s="6" t="str">
        <f>IMAGE("https://storage.googleapis.com/acdb/other/PltOrange.png")</f>
        <v/>
      </c>
      <c r="C112" s="6" t="s">
        <v>37</v>
      </c>
      <c r="D112" s="6">
        <v>300.0</v>
      </c>
      <c r="E112" s="5" t="s">
        <v>21121</v>
      </c>
      <c r="F112" s="5"/>
      <c r="G112" s="5" t="s">
        <v>244</v>
      </c>
      <c r="H112" s="6" t="s">
        <v>42</v>
      </c>
      <c r="I112" s="5" t="s">
        <v>21124</v>
      </c>
      <c r="J112" s="6">
        <v>3365.0</v>
      </c>
    </row>
    <row r="113" ht="56.25" customHeight="1">
      <c r="A113" s="5" t="s">
        <v>19398</v>
      </c>
      <c r="B113" s="6" t="str">
        <f>IMAGE("https://storage.googleapis.com/acdb/other/FlwTulipOrange.png")</f>
        <v/>
      </c>
      <c r="C113" s="6" t="s">
        <v>37</v>
      </c>
      <c r="D113" s="6">
        <v>80.0</v>
      </c>
      <c r="E113" s="5" t="s">
        <v>20538</v>
      </c>
      <c r="F113" s="5"/>
      <c r="G113" s="5" t="s">
        <v>244</v>
      </c>
      <c r="H113" s="6" t="s">
        <v>42</v>
      </c>
      <c r="I113" s="5" t="s">
        <v>21128</v>
      </c>
      <c r="J113" s="6">
        <v>2895.0</v>
      </c>
    </row>
    <row r="114" ht="56.25" customHeight="1">
      <c r="A114" s="5" t="s">
        <v>19481</v>
      </c>
      <c r="B114" s="6" t="str">
        <f>IMAGE("https://storage.googleapis.com/acdb/other/FlwAnemonesOrange.png")</f>
        <v/>
      </c>
      <c r="C114" s="6" t="s">
        <v>37</v>
      </c>
      <c r="D114" s="6">
        <v>40.0</v>
      </c>
      <c r="E114" s="5" t="s">
        <v>20538</v>
      </c>
      <c r="F114" s="5"/>
      <c r="G114" s="5" t="s">
        <v>244</v>
      </c>
      <c r="H114" s="6" t="s">
        <v>42</v>
      </c>
      <c r="I114" s="5" t="s">
        <v>21133</v>
      </c>
      <c r="J114" s="6">
        <v>3713.0</v>
      </c>
    </row>
    <row r="115" ht="56.25" customHeight="1">
      <c r="A115" s="5" t="s">
        <v>21134</v>
      </c>
      <c r="B115" s="6" t="str">
        <f>IMAGE("https://storage.googleapis.com/acdb/other/WPaperOrange.png")</f>
        <v/>
      </c>
      <c r="C115" s="6">
        <v>160.0</v>
      </c>
      <c r="D115" s="6">
        <v>40.0</v>
      </c>
      <c r="E115" s="5" t="s">
        <v>59</v>
      </c>
      <c r="F115" s="5"/>
      <c r="G115" s="5" t="s">
        <v>34</v>
      </c>
      <c r="H115" s="6" t="s">
        <v>42</v>
      </c>
      <c r="I115" s="5" t="s">
        <v>21139</v>
      </c>
      <c r="J115" s="6">
        <v>7685.0</v>
      </c>
    </row>
    <row r="116" ht="56.25" customHeight="1">
      <c r="A116" s="5" t="s">
        <v>21140</v>
      </c>
      <c r="B116" s="6" t="str">
        <f>IMAGE("https://storage.googleapis.com/acdb/other/PltCosmosOrange3.png")</f>
        <v/>
      </c>
      <c r="C116" s="6" t="s">
        <v>37</v>
      </c>
      <c r="D116" s="6">
        <v>80.0</v>
      </c>
      <c r="E116" s="5" t="s">
        <v>21145</v>
      </c>
      <c r="F116" s="5"/>
      <c r="G116" s="5" t="s">
        <v>244</v>
      </c>
      <c r="H116" s="6" t="s">
        <v>42</v>
      </c>
      <c r="I116" s="5" t="s">
        <v>21146</v>
      </c>
      <c r="J116" s="6">
        <v>3832.0</v>
      </c>
    </row>
    <row r="117" ht="56.25" customHeight="1">
      <c r="A117" s="5" t="s">
        <v>21147</v>
      </c>
      <c r="B117" s="6" t="str">
        <f>IMAGE("https://storage.googleapis.com/acdb/other/PltHyacinthOrange3.png")</f>
        <v/>
      </c>
      <c r="C117" s="6" t="s">
        <v>37</v>
      </c>
      <c r="D117" s="6">
        <v>80.0</v>
      </c>
      <c r="E117" s="5" t="s">
        <v>21152</v>
      </c>
      <c r="F117" s="5"/>
      <c r="G117" s="5" t="s">
        <v>244</v>
      </c>
      <c r="H117" s="6" t="s">
        <v>42</v>
      </c>
      <c r="I117" s="5" t="s">
        <v>21153</v>
      </c>
      <c r="J117" s="6">
        <v>3916.0</v>
      </c>
    </row>
    <row r="118" ht="56.25" customHeight="1">
      <c r="A118" s="5" t="s">
        <v>21154</v>
      </c>
      <c r="B118" s="6" t="str">
        <f>IMAGE("https://storage.googleapis.com/acdb/other/PltYuriOrange3.png")</f>
        <v/>
      </c>
      <c r="C118" s="6" t="s">
        <v>37</v>
      </c>
      <c r="D118" s="6">
        <v>80.0</v>
      </c>
      <c r="E118" s="5" t="s">
        <v>21159</v>
      </c>
      <c r="F118" s="5"/>
      <c r="G118" s="5" t="s">
        <v>244</v>
      </c>
      <c r="H118" s="6" t="s">
        <v>42</v>
      </c>
      <c r="I118" s="5" t="s">
        <v>21160</v>
      </c>
      <c r="J118" s="6">
        <v>3894.0</v>
      </c>
    </row>
    <row r="119" ht="56.25" customHeight="1">
      <c r="A119" s="5" t="s">
        <v>21161</v>
      </c>
      <c r="B119" s="6" t="str">
        <f>IMAGE("https://storage.googleapis.com/acdb/other/PltPansyRedYellow3.png")</f>
        <v/>
      </c>
      <c r="C119" s="6" t="s">
        <v>37</v>
      </c>
      <c r="D119" s="6">
        <v>80.0</v>
      </c>
      <c r="E119" s="5" t="s">
        <v>21168</v>
      </c>
      <c r="F119" s="5"/>
      <c r="G119" s="5" t="s">
        <v>244</v>
      </c>
      <c r="H119" s="6" t="s">
        <v>42</v>
      </c>
      <c r="I119" s="5" t="s">
        <v>21171</v>
      </c>
      <c r="J119" s="6">
        <v>3856.0</v>
      </c>
    </row>
    <row r="120" ht="56.25" customHeight="1">
      <c r="A120" s="5" t="s">
        <v>21173</v>
      </c>
      <c r="B120" s="6" t="str">
        <f>IMAGE("https://storage.googleapis.com/acdb/other/PltRoseOrange3.png")</f>
        <v/>
      </c>
      <c r="C120" s="6" t="s">
        <v>37</v>
      </c>
      <c r="D120" s="6">
        <v>80.0</v>
      </c>
      <c r="E120" s="5" t="s">
        <v>21178</v>
      </c>
      <c r="F120" s="5"/>
      <c r="G120" s="5" t="s">
        <v>244</v>
      </c>
      <c r="H120" s="6" t="s">
        <v>42</v>
      </c>
      <c r="I120" s="5" t="s">
        <v>21179</v>
      </c>
      <c r="J120" s="6">
        <v>3870.0</v>
      </c>
    </row>
    <row r="121" ht="56.25" customHeight="1">
      <c r="A121" s="5" t="s">
        <v>21182</v>
      </c>
      <c r="B121" s="6" t="str">
        <f>IMAGE("https://storage.googleapis.com/acdb/other/PltTulipOrange3.png")</f>
        <v/>
      </c>
      <c r="C121" s="6" t="s">
        <v>37</v>
      </c>
      <c r="D121" s="6">
        <v>80.0</v>
      </c>
      <c r="E121" s="5" t="s">
        <v>21187</v>
      </c>
      <c r="F121" s="5"/>
      <c r="G121" s="5" t="s">
        <v>244</v>
      </c>
      <c r="H121" s="6" t="s">
        <v>42</v>
      </c>
      <c r="I121" s="5" t="s">
        <v>21190</v>
      </c>
      <c r="J121" s="6">
        <v>3844.0</v>
      </c>
    </row>
    <row r="122" ht="56.25" customHeight="1">
      <c r="A122" s="5" t="s">
        <v>21191</v>
      </c>
      <c r="B122" s="6" t="str">
        <f>IMAGE("https://storage.googleapis.com/acdb/other/SeedAnemonesOrange.png")</f>
        <v/>
      </c>
      <c r="C122" s="6">
        <v>240.0</v>
      </c>
      <c r="D122" s="6">
        <v>60.0</v>
      </c>
      <c r="E122" s="5" t="s">
        <v>59</v>
      </c>
      <c r="F122" s="5"/>
      <c r="G122" s="5" t="s">
        <v>244</v>
      </c>
      <c r="H122" s="6" t="s">
        <v>42</v>
      </c>
      <c r="I122" s="5" t="s">
        <v>21196</v>
      </c>
      <c r="J122" s="6">
        <v>3714.0</v>
      </c>
    </row>
    <row r="123" ht="56.25" customHeight="1">
      <c r="A123" s="5" t="s">
        <v>21197</v>
      </c>
      <c r="B123" s="6" t="str">
        <f>IMAGE("https://storage.googleapis.com/acdb/other/PltAnemonesOrange3.png")</f>
        <v/>
      </c>
      <c r="C123" s="6" t="s">
        <v>37</v>
      </c>
      <c r="D123" s="6">
        <v>40.0</v>
      </c>
      <c r="E123" s="5" t="s">
        <v>21201</v>
      </c>
      <c r="F123" s="5"/>
      <c r="G123" s="5" t="s">
        <v>244</v>
      </c>
      <c r="H123" s="6" t="s">
        <v>42</v>
      </c>
      <c r="I123" s="5" t="s">
        <v>21202</v>
      </c>
      <c r="J123" s="6">
        <v>3900.0</v>
      </c>
    </row>
    <row r="124" ht="56.25" customHeight="1">
      <c r="A124" s="5" t="s">
        <v>4063</v>
      </c>
      <c r="B124" s="6" t="str">
        <f>IMAGE("https://storage.googleapis.com/acdb/other/Peach.png")</f>
        <v/>
      </c>
      <c r="C124" s="6">
        <v>400.0</v>
      </c>
      <c r="D124" s="6">
        <v>500.0</v>
      </c>
      <c r="E124" s="5" t="s">
        <v>21206</v>
      </c>
      <c r="F124" s="5"/>
      <c r="G124" s="5" t="s">
        <v>34</v>
      </c>
      <c r="H124" s="6" t="s">
        <v>42</v>
      </c>
      <c r="I124" s="5" t="s">
        <v>4501</v>
      </c>
      <c r="J124" s="6">
        <v>2286.0</v>
      </c>
    </row>
    <row r="125" ht="56.25" customHeight="1">
      <c r="A125" s="5" t="s">
        <v>21208</v>
      </c>
      <c r="B125" s="6" t="str">
        <f>IMAGE("https://storage.googleapis.com/acdb/other/PltPeach4.png")</f>
        <v/>
      </c>
      <c r="C125" s="6" t="s">
        <v>37</v>
      </c>
      <c r="D125" s="6">
        <v>300.0</v>
      </c>
      <c r="E125" s="5" t="s">
        <v>21211</v>
      </c>
      <c r="F125" s="5"/>
      <c r="G125" s="5" t="s">
        <v>244</v>
      </c>
      <c r="H125" s="6" t="s">
        <v>42</v>
      </c>
      <c r="I125" s="5" t="s">
        <v>21214</v>
      </c>
      <c r="J125" s="6">
        <v>3375.0</v>
      </c>
    </row>
    <row r="126" ht="56.25" customHeight="1">
      <c r="A126" s="5" t="s">
        <v>9827</v>
      </c>
      <c r="B126" s="6" t="str">
        <f>IMAGE("https://storage.googleapis.com/acdb/other/Pear.png")</f>
        <v/>
      </c>
      <c r="C126" s="6">
        <v>400.0</v>
      </c>
      <c r="D126" s="6">
        <v>500.0</v>
      </c>
      <c r="E126" s="5" t="s">
        <v>21219</v>
      </c>
      <c r="F126" s="5"/>
      <c r="G126" s="5" t="s">
        <v>34</v>
      </c>
      <c r="H126" s="6" t="s">
        <v>42</v>
      </c>
      <c r="I126" s="5" t="s">
        <v>21220</v>
      </c>
      <c r="J126" s="6">
        <v>2285.0</v>
      </c>
    </row>
    <row r="127" ht="56.25" customHeight="1">
      <c r="A127" s="5" t="s">
        <v>21223</v>
      </c>
      <c r="B127" s="6" t="str">
        <f>IMAGE("https://storage.googleapis.com/acdb/other/PltPear4.png")</f>
        <v/>
      </c>
      <c r="C127" s="6" t="s">
        <v>37</v>
      </c>
      <c r="D127" s="6">
        <v>300.0</v>
      </c>
      <c r="E127" s="5" t="s">
        <v>21226</v>
      </c>
      <c r="F127" s="5"/>
      <c r="G127" s="5" t="s">
        <v>244</v>
      </c>
      <c r="H127" s="6" t="s">
        <v>42</v>
      </c>
      <c r="I127" s="5" t="s">
        <v>21230</v>
      </c>
      <c r="J127" s="6">
        <v>3370.0</v>
      </c>
    </row>
    <row r="128" ht="56.25" customHeight="1">
      <c r="A128" s="5" t="s">
        <v>19611</v>
      </c>
      <c r="B128" s="6" t="str">
        <f>IMAGE("https://storage.googleapis.com/acdb/other/DIYPinecone.png")</f>
        <v/>
      </c>
      <c r="C128" s="6" t="s">
        <v>37</v>
      </c>
      <c r="D128" s="6">
        <v>200.0</v>
      </c>
      <c r="E128" s="5" t="s">
        <v>21236</v>
      </c>
      <c r="F128" s="5"/>
      <c r="G128" s="5" t="s">
        <v>34</v>
      </c>
      <c r="H128" s="6" t="s">
        <v>42</v>
      </c>
      <c r="I128" s="5" t="s">
        <v>21237</v>
      </c>
      <c r="J128" s="6">
        <v>5728.0</v>
      </c>
    </row>
    <row r="129" ht="56.25" customHeight="1">
      <c r="A129" s="5" t="s">
        <v>19445</v>
      </c>
      <c r="B129" s="6" t="str">
        <f>IMAGE("https://storage.googleapis.com/acdb/other/FlwCosmosPink.png")</f>
        <v/>
      </c>
      <c r="C129" s="6" t="s">
        <v>37</v>
      </c>
      <c r="D129" s="6">
        <v>80.0</v>
      </c>
      <c r="E129" s="5" t="s">
        <v>20538</v>
      </c>
      <c r="F129" s="5"/>
      <c r="G129" s="5" t="s">
        <v>244</v>
      </c>
      <c r="H129" s="6" t="s">
        <v>42</v>
      </c>
      <c r="I129" s="5" t="s">
        <v>21243</v>
      </c>
      <c r="J129" s="6">
        <v>2867.0</v>
      </c>
    </row>
    <row r="130" ht="56.25" customHeight="1">
      <c r="A130" s="5" t="s">
        <v>19400</v>
      </c>
      <c r="B130" s="6" t="str">
        <f>IMAGE("https://storage.googleapis.com/acdb/other/FlwHyacinthPink.png")</f>
        <v/>
      </c>
      <c r="C130" s="6" t="s">
        <v>37</v>
      </c>
      <c r="D130" s="6">
        <v>80.0</v>
      </c>
      <c r="E130" s="5" t="s">
        <v>20538</v>
      </c>
      <c r="F130" s="5"/>
      <c r="G130" s="5" t="s">
        <v>244</v>
      </c>
      <c r="H130" s="6" t="s">
        <v>42</v>
      </c>
      <c r="I130" s="5" t="s">
        <v>21251</v>
      </c>
      <c r="J130" s="6">
        <v>3738.0</v>
      </c>
    </row>
    <row r="131" ht="56.25" customHeight="1">
      <c r="A131" s="5" t="s">
        <v>19414</v>
      </c>
      <c r="B131" s="6" t="str">
        <f>IMAGE("https://storage.googleapis.com/acdb/other/FlwYuriPink.png")</f>
        <v/>
      </c>
      <c r="C131" s="6" t="s">
        <v>37</v>
      </c>
      <c r="D131" s="6">
        <v>80.0</v>
      </c>
      <c r="E131" s="5" t="s">
        <v>20538</v>
      </c>
      <c r="F131" s="5"/>
      <c r="G131" s="5" t="s">
        <v>244</v>
      </c>
      <c r="H131" s="6" t="s">
        <v>42</v>
      </c>
      <c r="I131" s="5" t="s">
        <v>21259</v>
      </c>
      <c r="J131" s="6">
        <v>2991.0</v>
      </c>
    </row>
    <row r="132" ht="56.25" customHeight="1">
      <c r="A132" s="5" t="s">
        <v>19389</v>
      </c>
      <c r="B132" s="6" t="str">
        <f>IMAGE("https://storage.googleapis.com/acdb/other/FlwMumPink.png")</f>
        <v/>
      </c>
      <c r="C132" s="6" t="s">
        <v>37</v>
      </c>
      <c r="D132" s="6">
        <v>80.0</v>
      </c>
      <c r="E132" s="5" t="s">
        <v>20538</v>
      </c>
      <c r="F132" s="5"/>
      <c r="G132" s="5" t="s">
        <v>244</v>
      </c>
      <c r="H132" s="6" t="s">
        <v>42</v>
      </c>
      <c r="I132" s="5" t="s">
        <v>21265</v>
      </c>
      <c r="J132" s="6">
        <v>3765.0</v>
      </c>
    </row>
    <row r="133" ht="56.25" customHeight="1">
      <c r="A133" s="5" t="s">
        <v>19419</v>
      </c>
      <c r="B133" s="6" t="str">
        <f>IMAGE("https://storage.googleapis.com/acdb/other/FlwRosePink.png")</f>
        <v/>
      </c>
      <c r="C133" s="6" t="s">
        <v>37</v>
      </c>
      <c r="D133" s="6">
        <v>80.0</v>
      </c>
      <c r="E133" s="5" t="s">
        <v>20538</v>
      </c>
      <c r="F133" s="5"/>
      <c r="G133" s="5" t="s">
        <v>244</v>
      </c>
      <c r="H133" s="6" t="s">
        <v>42</v>
      </c>
      <c r="I133" s="5" t="s">
        <v>21272</v>
      </c>
      <c r="J133" s="6">
        <v>2943.0</v>
      </c>
    </row>
    <row r="134" ht="56.25" customHeight="1">
      <c r="A134" s="5" t="s">
        <v>19397</v>
      </c>
      <c r="B134" s="6" t="str">
        <f>IMAGE("https://storage.googleapis.com/acdb/other/FlwTulipPink.png")</f>
        <v/>
      </c>
      <c r="C134" s="6" t="s">
        <v>37</v>
      </c>
      <c r="D134" s="6">
        <v>80.0</v>
      </c>
      <c r="E134" s="5" t="s">
        <v>20538</v>
      </c>
      <c r="F134" s="5"/>
      <c r="G134" s="5" t="s">
        <v>244</v>
      </c>
      <c r="H134" s="6" t="s">
        <v>42</v>
      </c>
      <c r="I134" s="5" t="s">
        <v>21279</v>
      </c>
      <c r="J134" s="6">
        <v>2891.0</v>
      </c>
    </row>
    <row r="135" ht="56.25" customHeight="1">
      <c r="A135" s="5" t="s">
        <v>19408</v>
      </c>
      <c r="B135" s="6" t="str">
        <f>IMAGE("https://storage.googleapis.com/acdb/other/FlwAnemonesPink.png")</f>
        <v/>
      </c>
      <c r="C135" s="6" t="s">
        <v>37</v>
      </c>
      <c r="D135" s="6">
        <v>80.0</v>
      </c>
      <c r="E135" s="5" t="s">
        <v>20538</v>
      </c>
      <c r="F135" s="5"/>
      <c r="G135" s="5" t="s">
        <v>244</v>
      </c>
      <c r="H135" s="6" t="s">
        <v>42</v>
      </c>
      <c r="I135" s="5" t="s">
        <v>21285</v>
      </c>
      <c r="J135" s="6">
        <v>3720.0</v>
      </c>
    </row>
    <row r="136" ht="56.25" customHeight="1">
      <c r="A136" s="5" t="s">
        <v>21287</v>
      </c>
      <c r="B136" s="6" t="str">
        <f>IMAGE("https://storage.googleapis.com/acdb/other/WPaperPink.png")</f>
        <v/>
      </c>
      <c r="C136" s="6">
        <v>160.0</v>
      </c>
      <c r="D136" s="6">
        <v>40.0</v>
      </c>
      <c r="E136" s="5" t="s">
        <v>59</v>
      </c>
      <c r="F136" s="5"/>
      <c r="G136" s="5" t="s">
        <v>34</v>
      </c>
      <c r="H136" s="6" t="s">
        <v>42</v>
      </c>
      <c r="I136" s="5" t="s">
        <v>21293</v>
      </c>
      <c r="J136" s="6">
        <v>7684.0</v>
      </c>
    </row>
    <row r="137" ht="56.25" customHeight="1">
      <c r="A137" s="5" t="s">
        <v>21294</v>
      </c>
      <c r="B137" s="6" t="str">
        <f>IMAGE("https://storage.googleapis.com/acdb/other/PltCosmos3.png")</f>
        <v/>
      </c>
      <c r="C137" s="6" t="s">
        <v>37</v>
      </c>
      <c r="D137" s="6">
        <v>80.0</v>
      </c>
      <c r="E137" s="5" t="s">
        <v>21299</v>
      </c>
      <c r="F137" s="5"/>
      <c r="G137" s="5" t="s">
        <v>244</v>
      </c>
      <c r="H137" s="6" t="s">
        <v>42</v>
      </c>
      <c r="I137" s="5" t="s">
        <v>21301</v>
      </c>
      <c r="J137" s="6">
        <v>3830.0</v>
      </c>
    </row>
    <row r="138" ht="56.25" customHeight="1">
      <c r="A138" s="5" t="s">
        <v>21304</v>
      </c>
      <c r="B138" s="6" t="str">
        <f>IMAGE("https://storage.googleapis.com/acdb/other/PltHyacinth4.png")</f>
        <v/>
      </c>
      <c r="C138" s="6" t="s">
        <v>37</v>
      </c>
      <c r="D138" s="6">
        <v>80.0</v>
      </c>
      <c r="E138" s="5" t="s">
        <v>21308</v>
      </c>
      <c r="F138" s="5"/>
      <c r="G138" s="5" t="s">
        <v>244</v>
      </c>
      <c r="H138" s="6" t="s">
        <v>42</v>
      </c>
      <c r="I138" s="5" t="s">
        <v>21311</v>
      </c>
      <c r="J138" s="6">
        <v>3914.0</v>
      </c>
    </row>
    <row r="139" ht="56.25" customHeight="1">
      <c r="A139" s="5" t="s">
        <v>21312</v>
      </c>
      <c r="B139" s="6" t="str">
        <f>IMAGE("https://storage.googleapis.com/acdb/other/PltYuri4.png")</f>
        <v/>
      </c>
      <c r="C139" s="6" t="s">
        <v>37</v>
      </c>
      <c r="D139" s="6">
        <v>80.0</v>
      </c>
      <c r="E139" s="5" t="s">
        <v>21317</v>
      </c>
      <c r="F139" s="5"/>
      <c r="G139" s="5" t="s">
        <v>244</v>
      </c>
      <c r="H139" s="6" t="s">
        <v>42</v>
      </c>
      <c r="I139" s="5" t="s">
        <v>21318</v>
      </c>
      <c r="J139" s="6">
        <v>3892.0</v>
      </c>
    </row>
    <row r="140" ht="56.25" customHeight="1">
      <c r="A140" s="5" t="s">
        <v>21320</v>
      </c>
      <c r="B140" s="6" t="str">
        <f>IMAGE("https://storage.googleapis.com/acdb/other/PltMum3.png")</f>
        <v/>
      </c>
      <c r="C140" s="6" t="s">
        <v>37</v>
      </c>
      <c r="D140" s="6">
        <v>80.0</v>
      </c>
      <c r="E140" s="5" t="s">
        <v>21324</v>
      </c>
      <c r="F140" s="5"/>
      <c r="G140" s="5" t="s">
        <v>244</v>
      </c>
      <c r="H140" s="6" t="s">
        <v>42</v>
      </c>
      <c r="I140" s="5" t="s">
        <v>21327</v>
      </c>
      <c r="J140" s="6">
        <v>3930.0</v>
      </c>
    </row>
    <row r="141" ht="56.25" customHeight="1">
      <c r="A141" s="5" t="s">
        <v>21330</v>
      </c>
      <c r="B141" s="6" t="str">
        <f>IMAGE("https://storage.googleapis.com/acdb/other/PltRose3.png")</f>
        <v/>
      </c>
      <c r="C141" s="6" t="s">
        <v>37</v>
      </c>
      <c r="D141" s="6">
        <v>80.0</v>
      </c>
      <c r="E141" s="5" t="s">
        <v>21333</v>
      </c>
      <c r="F141" s="5"/>
      <c r="G141" s="5" t="s">
        <v>244</v>
      </c>
      <c r="H141" s="6" t="s">
        <v>42</v>
      </c>
      <c r="I141" s="5" t="s">
        <v>21336</v>
      </c>
      <c r="J141" s="6">
        <v>3868.0</v>
      </c>
    </row>
    <row r="142" ht="56.25" customHeight="1">
      <c r="A142" s="5" t="s">
        <v>21337</v>
      </c>
      <c r="B142" s="6" t="str">
        <f>IMAGE("https://storage.googleapis.com/acdb/other/PltTurip3.png")</f>
        <v/>
      </c>
      <c r="C142" s="6" t="s">
        <v>37</v>
      </c>
      <c r="D142" s="6">
        <v>80.0</v>
      </c>
      <c r="E142" s="5" t="s">
        <v>21341</v>
      </c>
      <c r="F142" s="5"/>
      <c r="G142" s="5" t="s">
        <v>244</v>
      </c>
      <c r="H142" s="6" t="s">
        <v>42</v>
      </c>
      <c r="I142" s="5" t="s">
        <v>21343</v>
      </c>
      <c r="J142" s="6">
        <v>3842.0</v>
      </c>
    </row>
    <row r="143" ht="56.25" customHeight="1">
      <c r="A143" s="5" t="s">
        <v>21344</v>
      </c>
      <c r="B143" s="6" t="str">
        <f>IMAGE("https://storage.googleapis.com/acdb/other/PltAnemone3.png")</f>
        <v/>
      </c>
      <c r="C143" s="6" t="s">
        <v>37</v>
      </c>
      <c r="D143" s="6">
        <v>80.0</v>
      </c>
      <c r="E143" s="5" t="s">
        <v>21349</v>
      </c>
      <c r="F143" s="5"/>
      <c r="G143" s="5" t="s">
        <v>244</v>
      </c>
      <c r="H143" s="6" t="s">
        <v>42</v>
      </c>
      <c r="I143" s="5" t="s">
        <v>21352</v>
      </c>
      <c r="J143" s="6">
        <v>3904.0</v>
      </c>
    </row>
    <row r="144" ht="56.25" customHeight="1">
      <c r="A144" s="5" t="s">
        <v>19666</v>
      </c>
      <c r="B144" s="6" t="str">
        <f>IMAGE("https://storage.googleapis.com/acdb/other/StarpiecePisces.png")</f>
        <v/>
      </c>
      <c r="C144" s="6" t="s">
        <v>37</v>
      </c>
      <c r="D144" s="6">
        <v>500.0</v>
      </c>
      <c r="E144" s="5" t="s">
        <v>21358</v>
      </c>
      <c r="F144" s="5"/>
      <c r="G144" s="5" t="s">
        <v>34</v>
      </c>
      <c r="H144" s="6" t="s">
        <v>42</v>
      </c>
      <c r="I144" s="5" t="s">
        <v>21360</v>
      </c>
      <c r="J144" s="6">
        <v>5987.0</v>
      </c>
    </row>
    <row r="145" ht="56.25" customHeight="1">
      <c r="A145" s="5" t="s">
        <v>19862</v>
      </c>
      <c r="B145" s="6" t="str">
        <f>IMAGE("https://storage.googleapis.com/acdb/other/PitfallSeed.png")</f>
        <v/>
      </c>
      <c r="C145" s="6" t="s">
        <v>37</v>
      </c>
      <c r="D145" s="6">
        <v>140.0</v>
      </c>
      <c r="E145" s="5" t="s">
        <v>41</v>
      </c>
      <c r="F145" s="5"/>
      <c r="G145" s="5" t="s">
        <v>34</v>
      </c>
      <c r="H145" s="6" t="s">
        <v>42</v>
      </c>
      <c r="I145" s="5" t="s">
        <v>21363</v>
      </c>
      <c r="J145" s="6">
        <v>2578.0</v>
      </c>
    </row>
    <row r="146" ht="56.25" customHeight="1">
      <c r="A146" s="5" t="s">
        <v>21365</v>
      </c>
      <c r="B146" s="6" t="str">
        <f>IMAGE("https://storage.googleapis.com/acdb/other/HousingKitRcoQuestA.png")</f>
        <v/>
      </c>
      <c r="C146" s="6" t="s">
        <v>37</v>
      </c>
      <c r="D146" s="6" t="s">
        <v>34</v>
      </c>
      <c r="E146" s="5" t="s">
        <v>19537</v>
      </c>
      <c r="F146" s="5"/>
      <c r="G146" s="5" t="s">
        <v>34</v>
      </c>
      <c r="H146" s="6" t="s">
        <v>42</v>
      </c>
      <c r="I146" s="5" t="s">
        <v>21368</v>
      </c>
      <c r="J146" s="6">
        <v>5827.0</v>
      </c>
    </row>
    <row r="147" ht="56.25" customHeight="1">
      <c r="A147" s="5" t="s">
        <v>21370</v>
      </c>
      <c r="B147" s="6" t="str">
        <f>IMAGE("https://storage.googleapis.com/acdb/other/HousingKitRcoQuestB.png")</f>
        <v/>
      </c>
      <c r="C147" s="6" t="s">
        <v>37</v>
      </c>
      <c r="D147" s="6" t="s">
        <v>34</v>
      </c>
      <c r="E147" s="5" t="s">
        <v>19537</v>
      </c>
      <c r="F147" s="5"/>
      <c r="G147" s="5" t="s">
        <v>34</v>
      </c>
      <c r="H147" s="6" t="s">
        <v>42</v>
      </c>
      <c r="I147" s="5" t="s">
        <v>21374</v>
      </c>
      <c r="J147" s="6">
        <v>5828.0</v>
      </c>
    </row>
    <row r="148" ht="56.25" customHeight="1">
      <c r="A148" s="5" t="s">
        <v>21376</v>
      </c>
      <c r="B148" s="6" t="str">
        <f>IMAGE("https://storage.googleapis.com/acdb/other/HousingKitRcoQuestC.png")</f>
        <v/>
      </c>
      <c r="C148" s="6" t="s">
        <v>37</v>
      </c>
      <c r="D148" s="6" t="s">
        <v>34</v>
      </c>
      <c r="E148" s="5" t="s">
        <v>19537</v>
      </c>
      <c r="F148" s="5"/>
      <c r="G148" s="5" t="s">
        <v>34</v>
      </c>
      <c r="H148" s="6" t="s">
        <v>42</v>
      </c>
      <c r="I148" s="5" t="s">
        <v>21379</v>
      </c>
      <c r="J148" s="6">
        <v>5829.0</v>
      </c>
    </row>
    <row r="149" ht="56.25" customHeight="1">
      <c r="A149" s="5" t="s">
        <v>21381</v>
      </c>
      <c r="B149" s="6" t="str">
        <f>IMAGE("https://storage.googleapis.com/acdb/other/DummyPresentbox.png")</f>
        <v/>
      </c>
      <c r="C149" s="6" t="s">
        <v>37</v>
      </c>
      <c r="D149" s="6">
        <v>222.0</v>
      </c>
      <c r="E149" s="5" t="s">
        <v>21384</v>
      </c>
      <c r="F149" s="5"/>
      <c r="G149" s="5" t="s">
        <v>590</v>
      </c>
      <c r="H149" s="6" t="s">
        <v>42</v>
      </c>
      <c r="I149" s="5" t="s">
        <v>21385</v>
      </c>
      <c r="J149" s="6">
        <v>4480.0</v>
      </c>
    </row>
    <row r="150" ht="56.25" customHeight="1">
      <c r="A150" s="5" t="s">
        <v>21387</v>
      </c>
      <c r="B150" s="6" t="str">
        <f>image("https://i.imgur.com/RtaEdXn.png")</f>
        <v/>
      </c>
      <c r="C150" s="6" t="s">
        <v>37</v>
      </c>
      <c r="D150" s="6" t="s">
        <v>34</v>
      </c>
      <c r="E150" s="5" t="s">
        <v>21390</v>
      </c>
      <c r="F150" s="5"/>
      <c r="G150" s="5" t="s">
        <v>34</v>
      </c>
      <c r="H150" s="6" t="s">
        <v>42</v>
      </c>
      <c r="I150" s="5" t="s">
        <v>21391</v>
      </c>
      <c r="J150" s="6">
        <v>7714.0</v>
      </c>
    </row>
    <row r="151" ht="56.25" customHeight="1">
      <c r="A151" s="5" t="s">
        <v>21394</v>
      </c>
      <c r="B151" s="6" t="str">
        <f>image("https://i.imgur.com/yt4bCpO.png")</f>
        <v/>
      </c>
      <c r="C151" s="6" t="s">
        <v>37</v>
      </c>
      <c r="D151" s="6" t="s">
        <v>34</v>
      </c>
      <c r="E151" s="5" t="s">
        <v>21390</v>
      </c>
      <c r="F151" s="5"/>
      <c r="G151" s="5" t="s">
        <v>34</v>
      </c>
      <c r="H151" s="6" t="s">
        <v>42</v>
      </c>
      <c r="I151" s="5" t="s">
        <v>21397</v>
      </c>
      <c r="J151" s="6">
        <v>7708.0</v>
      </c>
    </row>
    <row r="152" ht="56.25" customHeight="1">
      <c r="A152" s="5" t="s">
        <v>21398</v>
      </c>
      <c r="B152" s="6" t="str">
        <f>image("https://i.imgur.com/QYaGizh.png")</f>
        <v/>
      </c>
      <c r="C152" s="6" t="s">
        <v>37</v>
      </c>
      <c r="D152" s="6" t="s">
        <v>34</v>
      </c>
      <c r="E152" s="5" t="s">
        <v>21390</v>
      </c>
      <c r="F152" s="5"/>
      <c r="G152" s="5" t="s">
        <v>34</v>
      </c>
      <c r="H152" s="6" t="s">
        <v>42</v>
      </c>
      <c r="I152" s="5" t="s">
        <v>21403</v>
      </c>
      <c r="J152" s="6">
        <v>7712.0</v>
      </c>
    </row>
    <row r="153" ht="56.25" customHeight="1">
      <c r="A153" s="5" t="s">
        <v>21406</v>
      </c>
      <c r="B153" s="6" t="str">
        <f>image("https://i.imgur.com/U61WFkq.png")</f>
        <v/>
      </c>
      <c r="C153" s="6" t="s">
        <v>37</v>
      </c>
      <c r="D153" s="6" t="s">
        <v>34</v>
      </c>
      <c r="E153" s="5" t="s">
        <v>21390</v>
      </c>
      <c r="F153" s="5"/>
      <c r="G153" s="5" t="s">
        <v>34</v>
      </c>
      <c r="H153" s="6" t="s">
        <v>42</v>
      </c>
      <c r="I153" s="5" t="s">
        <v>21414</v>
      </c>
      <c r="J153" s="6">
        <v>7702.0</v>
      </c>
    </row>
    <row r="154" ht="56.25" customHeight="1">
      <c r="A154" s="5" t="s">
        <v>21417</v>
      </c>
      <c r="B154" s="6" t="str">
        <f>image("https://i.imgur.com/b3pz9Z6.png")</f>
        <v/>
      </c>
      <c r="C154" s="6" t="s">
        <v>37</v>
      </c>
      <c r="D154" s="6" t="s">
        <v>34</v>
      </c>
      <c r="E154" s="5" t="s">
        <v>21390</v>
      </c>
      <c r="F154" s="5"/>
      <c r="G154" s="5" t="s">
        <v>34</v>
      </c>
      <c r="H154" s="6" t="s">
        <v>42</v>
      </c>
      <c r="I154" s="5" t="s">
        <v>21420</v>
      </c>
      <c r="J154" s="6">
        <v>7711.0</v>
      </c>
    </row>
    <row r="155" ht="56.25" customHeight="1">
      <c r="A155" s="5" t="s">
        <v>21422</v>
      </c>
      <c r="B155" s="6" t="str">
        <f>image("https://i.imgur.com/EiIU9iU.png")</f>
        <v/>
      </c>
      <c r="C155" s="6" t="s">
        <v>37</v>
      </c>
      <c r="D155" s="6" t="s">
        <v>34</v>
      </c>
      <c r="E155" s="5" t="s">
        <v>21390</v>
      </c>
      <c r="F155" s="5"/>
      <c r="G155" s="5" t="s">
        <v>34</v>
      </c>
      <c r="H155" s="6" t="s">
        <v>42</v>
      </c>
      <c r="I155" s="5" t="s">
        <v>21426</v>
      </c>
      <c r="J155" s="6">
        <v>7713.0</v>
      </c>
    </row>
    <row r="156" ht="56.25" customHeight="1">
      <c r="A156" s="5" t="s">
        <v>21427</v>
      </c>
      <c r="B156" s="6" t="str">
        <f>image("https://i.imgur.com/HoRDwx2.png")</f>
        <v/>
      </c>
      <c r="C156" s="6" t="s">
        <v>37</v>
      </c>
      <c r="D156" s="6" t="s">
        <v>34</v>
      </c>
      <c r="E156" s="5" t="s">
        <v>21390</v>
      </c>
      <c r="F156" s="5"/>
      <c r="G156" s="5" t="s">
        <v>34</v>
      </c>
      <c r="H156" s="6" t="s">
        <v>42</v>
      </c>
      <c r="I156" s="5" t="s">
        <v>21430</v>
      </c>
      <c r="J156" s="6">
        <v>7703.0</v>
      </c>
    </row>
    <row r="157" ht="56.25" customHeight="1">
      <c r="A157" s="5" t="s">
        <v>21433</v>
      </c>
      <c r="B157" s="6" t="str">
        <f>image("https://i.imgur.com/49iyxnO.png")</f>
        <v/>
      </c>
      <c r="C157" s="6" t="s">
        <v>37</v>
      </c>
      <c r="D157" s="6" t="s">
        <v>34</v>
      </c>
      <c r="E157" s="5" t="s">
        <v>21390</v>
      </c>
      <c r="F157" s="5"/>
      <c r="G157" s="5" t="s">
        <v>34</v>
      </c>
      <c r="H157" s="6" t="s">
        <v>42</v>
      </c>
      <c r="I157" s="5" t="s">
        <v>21438</v>
      </c>
      <c r="J157" s="6">
        <v>7705.0</v>
      </c>
    </row>
    <row r="158" ht="56.25" customHeight="1">
      <c r="A158" s="5" t="s">
        <v>21440</v>
      </c>
      <c r="B158" s="6" t="str">
        <f>image("https://i.imgur.com/LXEk0k6.png")</f>
        <v/>
      </c>
      <c r="C158" s="6" t="s">
        <v>37</v>
      </c>
      <c r="D158" s="6" t="s">
        <v>34</v>
      </c>
      <c r="E158" s="5" t="s">
        <v>21390</v>
      </c>
      <c r="F158" s="5"/>
      <c r="G158" s="5" t="s">
        <v>34</v>
      </c>
      <c r="H158" s="6" t="s">
        <v>42</v>
      </c>
      <c r="I158" s="5" t="s">
        <v>21446</v>
      </c>
      <c r="J158" s="6">
        <v>7704.0</v>
      </c>
    </row>
    <row r="159" ht="56.25" customHeight="1">
      <c r="A159" s="5" t="s">
        <v>21449</v>
      </c>
      <c r="B159" s="6" t="str">
        <f>image("https://i.imgur.com/QFnDYnu.png")</f>
        <v/>
      </c>
      <c r="C159" s="6" t="s">
        <v>37</v>
      </c>
      <c r="D159" s="6" t="s">
        <v>34</v>
      </c>
      <c r="E159" s="5" t="s">
        <v>21390</v>
      </c>
      <c r="F159" s="5"/>
      <c r="G159" s="5" t="s">
        <v>34</v>
      </c>
      <c r="H159" s="6" t="s">
        <v>42</v>
      </c>
      <c r="I159" s="5" t="s">
        <v>21454</v>
      </c>
      <c r="J159" s="6">
        <v>7707.0</v>
      </c>
    </row>
    <row r="160" ht="56.25" customHeight="1">
      <c r="A160" s="5" t="s">
        <v>21455</v>
      </c>
      <c r="B160" s="6" t="str">
        <f>image("https://i.imgur.com/U1FVhzh.png")</f>
        <v/>
      </c>
      <c r="C160" s="6" t="s">
        <v>37</v>
      </c>
      <c r="D160" s="6" t="s">
        <v>34</v>
      </c>
      <c r="E160" s="5" t="s">
        <v>21390</v>
      </c>
      <c r="F160" s="5"/>
      <c r="G160" s="5" t="s">
        <v>34</v>
      </c>
      <c r="H160" s="6" t="s">
        <v>42</v>
      </c>
      <c r="I160" s="5" t="s">
        <v>21462</v>
      </c>
      <c r="J160" s="6">
        <v>7701.0</v>
      </c>
    </row>
    <row r="161" ht="56.25" customHeight="1">
      <c r="A161" s="5" t="s">
        <v>21464</v>
      </c>
      <c r="B161" s="6" t="str">
        <f>image("https://i.imgur.com/lLM0PHx.png")</f>
        <v/>
      </c>
      <c r="C161" s="6" t="s">
        <v>37</v>
      </c>
      <c r="D161" s="6" t="s">
        <v>34</v>
      </c>
      <c r="E161" s="5" t="s">
        <v>21390</v>
      </c>
      <c r="F161" s="5"/>
      <c r="G161" s="5" t="s">
        <v>34</v>
      </c>
      <c r="H161" s="6" t="s">
        <v>42</v>
      </c>
      <c r="I161" s="5" t="s">
        <v>21469</v>
      </c>
      <c r="J161" s="6">
        <v>7700.0</v>
      </c>
    </row>
    <row r="162" ht="56.25" customHeight="1">
      <c r="A162" s="5" t="s">
        <v>21470</v>
      </c>
      <c r="B162" s="6" t="str">
        <f>image("https://i.imgur.com/Evtdku2.png")</f>
        <v/>
      </c>
      <c r="C162" s="6" t="s">
        <v>37</v>
      </c>
      <c r="D162" s="6" t="s">
        <v>34</v>
      </c>
      <c r="E162" s="5" t="s">
        <v>21390</v>
      </c>
      <c r="F162" s="5"/>
      <c r="G162" s="5" t="s">
        <v>34</v>
      </c>
      <c r="H162" s="6" t="s">
        <v>42</v>
      </c>
      <c r="I162" s="5" t="s">
        <v>21475</v>
      </c>
      <c r="J162" s="6">
        <v>7706.0</v>
      </c>
    </row>
    <row r="163" ht="56.25" customHeight="1">
      <c r="A163" s="5" t="s">
        <v>21476</v>
      </c>
      <c r="B163" s="6" t="str">
        <f>image("https://i.imgur.com/QJgSvKP.png")</f>
        <v/>
      </c>
      <c r="C163" s="6" t="s">
        <v>37</v>
      </c>
      <c r="D163" s="6" t="s">
        <v>34</v>
      </c>
      <c r="E163" s="5" t="s">
        <v>21390</v>
      </c>
      <c r="F163" s="5"/>
      <c r="G163" s="5" t="s">
        <v>34</v>
      </c>
      <c r="H163" s="6" t="s">
        <v>42</v>
      </c>
      <c r="I163" s="5" t="s">
        <v>21481</v>
      </c>
      <c r="J163" s="6">
        <v>7710.0</v>
      </c>
    </row>
    <row r="164" ht="56.25" customHeight="1">
      <c r="A164" s="5" t="s">
        <v>21482</v>
      </c>
      <c r="B164" s="6" t="str">
        <f>image("https://i.imgur.com/lh5MDNv.png")</f>
        <v/>
      </c>
      <c r="C164" s="6" t="s">
        <v>37</v>
      </c>
      <c r="D164" s="6" t="s">
        <v>34</v>
      </c>
      <c r="E164" s="5" t="s">
        <v>21390</v>
      </c>
      <c r="F164" s="5"/>
      <c r="G164" s="5" t="s">
        <v>34</v>
      </c>
      <c r="H164" s="6" t="s">
        <v>42</v>
      </c>
      <c r="I164" s="5" t="s">
        <v>21485</v>
      </c>
      <c r="J164" s="6">
        <v>7709.0</v>
      </c>
    </row>
    <row r="165" ht="56.25" customHeight="1">
      <c r="A165" s="5" t="s">
        <v>21487</v>
      </c>
      <c r="B165" s="6" t="str">
        <f>image("https://i.imgur.com/BVZrZvm.png")</f>
        <v/>
      </c>
      <c r="C165" s="6" t="s">
        <v>37</v>
      </c>
      <c r="D165" s="6" t="s">
        <v>34</v>
      </c>
      <c r="E165" s="5" t="s">
        <v>21390</v>
      </c>
      <c r="F165" s="5"/>
      <c r="G165" s="5" t="s">
        <v>34</v>
      </c>
      <c r="H165" s="6" t="s">
        <v>42</v>
      </c>
      <c r="I165" s="5" t="s">
        <v>21489</v>
      </c>
      <c r="J165" s="6">
        <v>7699.0</v>
      </c>
    </row>
    <row r="166" ht="56.25" customHeight="1">
      <c r="A166" s="5" t="s">
        <v>19459</v>
      </c>
      <c r="B166" s="6" t="str">
        <f>IMAGE("https://storage.googleapis.com/acdb/other/FlwHyacinthPurple.png")</f>
        <v/>
      </c>
      <c r="C166" s="6" t="s">
        <v>37</v>
      </c>
      <c r="D166" s="6">
        <v>240.0</v>
      </c>
      <c r="E166" s="5" t="s">
        <v>20538</v>
      </c>
      <c r="F166" s="5"/>
      <c r="G166" s="5" t="s">
        <v>244</v>
      </c>
      <c r="H166" s="6" t="s">
        <v>42</v>
      </c>
      <c r="I166" s="5" t="s">
        <v>21494</v>
      </c>
      <c r="J166" s="6">
        <v>3751.0</v>
      </c>
    </row>
    <row r="167" ht="56.25" customHeight="1">
      <c r="A167" s="5" t="s">
        <v>19388</v>
      </c>
      <c r="B167" s="6" t="str">
        <f>IMAGE("https://storage.googleapis.com/acdb/other/FlwMumPurple.png")</f>
        <v/>
      </c>
      <c r="C167" s="6" t="s">
        <v>37</v>
      </c>
      <c r="D167" s="6">
        <v>80.0</v>
      </c>
      <c r="E167" s="5" t="s">
        <v>20538</v>
      </c>
      <c r="F167" s="5"/>
      <c r="G167" s="5" t="s">
        <v>244</v>
      </c>
      <c r="H167" s="6" t="s">
        <v>42</v>
      </c>
      <c r="I167" s="5" t="s">
        <v>21499</v>
      </c>
      <c r="J167" s="6">
        <v>3762.0</v>
      </c>
    </row>
    <row r="168" ht="56.25" customHeight="1">
      <c r="A168" s="5" t="s">
        <v>19460</v>
      </c>
      <c r="B168" s="6" t="str">
        <f>IMAGE("https://storage.googleapis.com/acdb/other/FlwPansyPurple.png")</f>
        <v/>
      </c>
      <c r="C168" s="6" t="s">
        <v>37</v>
      </c>
      <c r="D168" s="6">
        <v>240.0</v>
      </c>
      <c r="E168" s="5" t="s">
        <v>20538</v>
      </c>
      <c r="F168" s="5"/>
      <c r="G168" s="5" t="s">
        <v>244</v>
      </c>
      <c r="H168" s="6" t="s">
        <v>42</v>
      </c>
      <c r="I168" s="5" t="s">
        <v>21500</v>
      </c>
      <c r="J168" s="6">
        <v>2923.0</v>
      </c>
    </row>
    <row r="169" ht="56.25" customHeight="1">
      <c r="A169" s="5" t="s">
        <v>19392</v>
      </c>
      <c r="B169" s="6" t="str">
        <f>IMAGE("https://storage.googleapis.com/acdb/other/FlwRosePurple.png")</f>
        <v/>
      </c>
      <c r="C169" s="6" t="s">
        <v>37</v>
      </c>
      <c r="D169" s="6">
        <v>240.0</v>
      </c>
      <c r="E169" s="5" t="s">
        <v>20538</v>
      </c>
      <c r="F169" s="5"/>
      <c r="G169" s="5" t="s">
        <v>244</v>
      </c>
      <c r="H169" s="6" t="s">
        <v>42</v>
      </c>
      <c r="I169" s="5" t="s">
        <v>21505</v>
      </c>
      <c r="J169" s="6">
        <v>2951.0</v>
      </c>
    </row>
    <row r="170" ht="56.25" customHeight="1">
      <c r="A170" s="5" t="s">
        <v>19396</v>
      </c>
      <c r="B170" s="6" t="str">
        <f>IMAGE("https://storage.googleapis.com/acdb/other/FlwTulipPurple.png")</f>
        <v/>
      </c>
      <c r="C170" s="6" t="s">
        <v>37</v>
      </c>
      <c r="D170" s="6">
        <v>240.0</v>
      </c>
      <c r="E170" s="5" t="s">
        <v>20538</v>
      </c>
      <c r="F170" s="5"/>
      <c r="G170" s="5" t="s">
        <v>244</v>
      </c>
      <c r="H170" s="6" t="s">
        <v>42</v>
      </c>
      <c r="I170" s="5" t="s">
        <v>21510</v>
      </c>
      <c r="J170" s="6">
        <v>2899.0</v>
      </c>
    </row>
    <row r="171" ht="56.25" customHeight="1">
      <c r="A171" s="5" t="s">
        <v>19463</v>
      </c>
      <c r="B171" s="6" t="str">
        <f>IMAGE("https://storage.googleapis.com/acdb/other/FlwAnemonesPurple.png")</f>
        <v/>
      </c>
      <c r="C171" s="6" t="s">
        <v>37</v>
      </c>
      <c r="D171" s="6">
        <v>240.0</v>
      </c>
      <c r="E171" s="5" t="s">
        <v>20538</v>
      </c>
      <c r="F171" s="5"/>
      <c r="G171" s="5" t="s">
        <v>244</v>
      </c>
      <c r="H171" s="6" t="s">
        <v>42</v>
      </c>
      <c r="I171" s="5" t="s">
        <v>21514</v>
      </c>
      <c r="J171" s="6">
        <v>3727.0</v>
      </c>
    </row>
    <row r="172" ht="56.25" customHeight="1">
      <c r="A172" s="5" t="s">
        <v>21516</v>
      </c>
      <c r="B172" s="6" t="str">
        <f>IMAGE("https://storage.googleapis.com/acdb/other/WPaperPurple.png")</f>
        <v/>
      </c>
      <c r="C172" s="6">
        <v>160.0</v>
      </c>
      <c r="D172" s="6">
        <v>40.0</v>
      </c>
      <c r="E172" s="5" t="s">
        <v>59</v>
      </c>
      <c r="F172" s="5"/>
      <c r="G172" s="5" t="s">
        <v>34</v>
      </c>
      <c r="H172" s="6" t="s">
        <v>42</v>
      </c>
      <c r="I172" s="5" t="s">
        <v>21518</v>
      </c>
      <c r="J172" s="6">
        <v>7690.0</v>
      </c>
    </row>
    <row r="173" ht="56.25" customHeight="1">
      <c r="A173" s="5" t="s">
        <v>21519</v>
      </c>
      <c r="B173" s="6" t="str">
        <f>IMAGE("https://storage.googleapis.com/acdb/other/PltHyacinthPurple3.png")</f>
        <v/>
      </c>
      <c r="C173" s="6" t="s">
        <v>37</v>
      </c>
      <c r="D173" s="6">
        <v>240.0</v>
      </c>
      <c r="E173" s="5" t="s">
        <v>21522</v>
      </c>
      <c r="F173" s="5"/>
      <c r="G173" s="5" t="s">
        <v>244</v>
      </c>
      <c r="H173" s="6" t="s">
        <v>42</v>
      </c>
      <c r="I173" s="5" t="s">
        <v>21523</v>
      </c>
      <c r="J173" s="6">
        <v>3922.0</v>
      </c>
    </row>
    <row r="174" ht="56.25" customHeight="1">
      <c r="A174" s="5" t="s">
        <v>21524</v>
      </c>
      <c r="B174" s="6" t="str">
        <f>IMAGE("https://storage.googleapis.com/acdb/other/PltMum5.png")</f>
        <v/>
      </c>
      <c r="C174" s="6" t="s">
        <v>37</v>
      </c>
      <c r="D174" s="6">
        <v>80.0</v>
      </c>
      <c r="E174" s="5" t="s">
        <v>21526</v>
      </c>
      <c r="F174" s="5"/>
      <c r="G174" s="5" t="s">
        <v>244</v>
      </c>
      <c r="H174" s="6" t="s">
        <v>42</v>
      </c>
      <c r="I174" s="5" t="s">
        <v>21528</v>
      </c>
      <c r="J174" s="6">
        <v>3928.0</v>
      </c>
    </row>
    <row r="175" ht="56.25" customHeight="1">
      <c r="A175" s="5" t="s">
        <v>21531</v>
      </c>
      <c r="B175" s="6" t="str">
        <f>IMAGE("https://storage.googleapis.com/acdb/other/PltPansyPurple3.png")</f>
        <v/>
      </c>
      <c r="C175" s="6" t="s">
        <v>37</v>
      </c>
      <c r="D175" s="6">
        <v>240.0</v>
      </c>
      <c r="E175" s="5" t="s">
        <v>21532</v>
      </c>
      <c r="F175" s="5"/>
      <c r="G175" s="5" t="s">
        <v>244</v>
      </c>
      <c r="H175" s="6" t="s">
        <v>42</v>
      </c>
      <c r="I175" s="5" t="s">
        <v>21535</v>
      </c>
      <c r="J175" s="6">
        <v>3858.0</v>
      </c>
    </row>
    <row r="176" ht="56.25" customHeight="1">
      <c r="A176" s="5" t="s">
        <v>21536</v>
      </c>
      <c r="B176" s="6" t="str">
        <f>IMAGE("https://storage.googleapis.com/acdb/other/PltRosePurple3.png")</f>
        <v/>
      </c>
      <c r="C176" s="6" t="s">
        <v>37</v>
      </c>
      <c r="D176" s="6">
        <v>240.0</v>
      </c>
      <c r="E176" s="5" t="s">
        <v>21539</v>
      </c>
      <c r="F176" s="5"/>
      <c r="G176" s="5" t="s">
        <v>244</v>
      </c>
      <c r="H176" s="6" t="s">
        <v>42</v>
      </c>
      <c r="I176" s="5" t="s">
        <v>21541</v>
      </c>
      <c r="J176" s="6">
        <v>3872.0</v>
      </c>
    </row>
    <row r="177" ht="56.25" customHeight="1">
      <c r="A177" s="5" t="s">
        <v>21543</v>
      </c>
      <c r="B177" s="6" t="str">
        <f>IMAGE("https://storage.googleapis.com/acdb/other/PltTulipPurple3.png")</f>
        <v/>
      </c>
      <c r="C177" s="6" t="s">
        <v>37</v>
      </c>
      <c r="D177" s="6">
        <v>240.0</v>
      </c>
      <c r="E177" s="5" t="s">
        <v>21546</v>
      </c>
      <c r="F177" s="5"/>
      <c r="G177" s="5" t="s">
        <v>244</v>
      </c>
      <c r="H177" s="6" t="s">
        <v>42</v>
      </c>
      <c r="I177" s="5" t="s">
        <v>21547</v>
      </c>
      <c r="J177" s="6">
        <v>3846.0</v>
      </c>
    </row>
    <row r="178" ht="56.25" customHeight="1">
      <c r="A178" s="5" t="s">
        <v>21550</v>
      </c>
      <c r="B178" s="6" t="str">
        <f>IMAGE("https://storage.googleapis.com/acdb/other/PltAnemonesPurple3.png")</f>
        <v/>
      </c>
      <c r="C178" s="6" t="s">
        <v>37</v>
      </c>
      <c r="D178" s="6">
        <v>240.0</v>
      </c>
      <c r="E178" s="5" t="s">
        <v>21553</v>
      </c>
      <c r="F178" s="5"/>
      <c r="G178" s="5" t="s">
        <v>244</v>
      </c>
      <c r="H178" s="6" t="s">
        <v>42</v>
      </c>
      <c r="I178" s="5" t="s">
        <v>21554</v>
      </c>
      <c r="J178" s="6">
        <v>3908.0</v>
      </c>
    </row>
    <row r="179" ht="56.25" customHeight="1">
      <c r="A179" s="5" t="s">
        <v>19336</v>
      </c>
      <c r="B179" s="6" t="str">
        <f>IMAGE("https://storage.googleapis.com/acdb/other/MushRare.png")</f>
        <v/>
      </c>
      <c r="C179" s="6" t="s">
        <v>37</v>
      </c>
      <c r="D179" s="6">
        <v>16000.0</v>
      </c>
      <c r="E179" s="5" t="s">
        <v>20799</v>
      </c>
      <c r="F179" s="5"/>
      <c r="G179" s="5" t="s">
        <v>34</v>
      </c>
      <c r="H179" s="6" t="s">
        <v>42</v>
      </c>
      <c r="I179" s="5" t="s">
        <v>21559</v>
      </c>
      <c r="J179" s="6">
        <v>3280.0</v>
      </c>
    </row>
    <row r="180" ht="56.25" customHeight="1">
      <c r="A180" s="5" t="s">
        <v>19411</v>
      </c>
      <c r="B180" s="6" t="str">
        <f>IMAGE("https://storage.googleapis.com/acdb/other/FlwCosmosRed.png")</f>
        <v/>
      </c>
      <c r="C180" s="6" t="s">
        <v>37</v>
      </c>
      <c r="D180" s="6">
        <v>40.0</v>
      </c>
      <c r="E180" s="5" t="s">
        <v>20538</v>
      </c>
      <c r="F180" s="5"/>
      <c r="G180" s="5" t="s">
        <v>244</v>
      </c>
      <c r="H180" s="6" t="s">
        <v>42</v>
      </c>
      <c r="I180" s="5" t="s">
        <v>21564</v>
      </c>
      <c r="J180" s="6">
        <v>2304.0</v>
      </c>
    </row>
    <row r="181" ht="56.25" customHeight="1">
      <c r="A181" s="5" t="s">
        <v>19435</v>
      </c>
      <c r="B181" s="6" t="str">
        <f>IMAGE("https://storage.googleapis.com/acdb/other/FlwHyacinthRed.png")</f>
        <v/>
      </c>
      <c r="C181" s="6" t="s">
        <v>37</v>
      </c>
      <c r="D181" s="6">
        <v>40.0</v>
      </c>
      <c r="E181" s="5" t="s">
        <v>20538</v>
      </c>
      <c r="F181" s="5"/>
      <c r="G181" s="5" t="s">
        <v>244</v>
      </c>
      <c r="H181" s="6" t="s">
        <v>42</v>
      </c>
      <c r="I181" s="5" t="s">
        <v>21569</v>
      </c>
      <c r="J181" s="6">
        <v>3744.0</v>
      </c>
    </row>
    <row r="182" ht="56.25" customHeight="1">
      <c r="A182" s="5" t="s">
        <v>19443</v>
      </c>
      <c r="B182" s="6" t="str">
        <f>IMAGE("https://storage.googleapis.com/acdb/other/FlwYuriRed.png")</f>
        <v/>
      </c>
      <c r="C182" s="6" t="s">
        <v>37</v>
      </c>
      <c r="D182" s="6">
        <v>40.0</v>
      </c>
      <c r="E182" s="5" t="s">
        <v>20538</v>
      </c>
      <c r="F182" s="5"/>
      <c r="G182" s="5" t="s">
        <v>244</v>
      </c>
      <c r="H182" s="6" t="s">
        <v>42</v>
      </c>
      <c r="I182" s="5" t="s">
        <v>21573</v>
      </c>
      <c r="J182" s="6">
        <v>2983.0</v>
      </c>
    </row>
    <row r="183" ht="56.25" customHeight="1">
      <c r="A183" s="5" t="s">
        <v>19448</v>
      </c>
      <c r="B183" s="6" t="str">
        <f>IMAGE("https://storage.googleapis.com/acdb/other/FlwMumRed.png")</f>
        <v/>
      </c>
      <c r="C183" s="6" t="s">
        <v>37</v>
      </c>
      <c r="D183" s="6">
        <v>40.0</v>
      </c>
      <c r="E183" s="5" t="s">
        <v>20538</v>
      </c>
      <c r="F183" s="5"/>
      <c r="G183" s="5" t="s">
        <v>244</v>
      </c>
      <c r="H183" s="6" t="s">
        <v>42</v>
      </c>
      <c r="I183" s="5" t="s">
        <v>21577</v>
      </c>
      <c r="J183" s="6">
        <v>3768.0</v>
      </c>
    </row>
    <row r="184" ht="56.25" customHeight="1">
      <c r="A184" s="5" t="s">
        <v>19510</v>
      </c>
      <c r="B184" s="6" t="str">
        <f>IMAGE("https://storage.googleapis.com/acdb/other/DIYOrnamentRed.png")</f>
        <v/>
      </c>
      <c r="C184" s="6" t="s">
        <v>37</v>
      </c>
      <c r="D184" s="6">
        <v>50.0</v>
      </c>
      <c r="E184" s="5" t="s">
        <v>20572</v>
      </c>
      <c r="F184" s="5"/>
      <c r="G184" s="5" t="s">
        <v>34</v>
      </c>
      <c r="H184" s="6" t="s">
        <v>42</v>
      </c>
      <c r="I184" s="5" t="s">
        <v>21581</v>
      </c>
      <c r="J184" s="6">
        <v>5730.0</v>
      </c>
    </row>
    <row r="185" ht="56.25" customHeight="1">
      <c r="A185" s="5" t="s">
        <v>19453</v>
      </c>
      <c r="B185" s="6" t="str">
        <f>IMAGE("https://storage.googleapis.com/acdb/other/FlwPansyRed.png")</f>
        <v/>
      </c>
      <c r="C185" s="6" t="s">
        <v>37</v>
      </c>
      <c r="D185" s="6">
        <v>40.0</v>
      </c>
      <c r="E185" s="5" t="s">
        <v>20538</v>
      </c>
      <c r="F185" s="5"/>
      <c r="G185" s="5" t="s">
        <v>244</v>
      </c>
      <c r="H185" s="6" t="s">
        <v>42</v>
      </c>
      <c r="I185" s="5" t="s">
        <v>21586</v>
      </c>
      <c r="J185" s="6">
        <v>2911.0</v>
      </c>
    </row>
    <row r="186" ht="56.25" customHeight="1">
      <c r="A186" s="5" t="s">
        <v>19464</v>
      </c>
      <c r="B186" s="6" t="str">
        <f>IMAGE("https://storage.googleapis.com/acdb/other/FlwRoseRed.png")</f>
        <v/>
      </c>
      <c r="C186" s="6" t="s">
        <v>37</v>
      </c>
      <c r="D186" s="6">
        <v>40.0</v>
      </c>
      <c r="E186" s="5" t="s">
        <v>20538</v>
      </c>
      <c r="F186" s="5"/>
      <c r="G186" s="5" t="s">
        <v>244</v>
      </c>
      <c r="H186" s="6" t="s">
        <v>42</v>
      </c>
      <c r="I186" s="5" t="s">
        <v>21592</v>
      </c>
      <c r="J186" s="6">
        <v>2935.0</v>
      </c>
    </row>
    <row r="187" ht="56.25" customHeight="1">
      <c r="A187" s="5" t="s">
        <v>19475</v>
      </c>
      <c r="B187" s="6" t="str">
        <f>IMAGE("https://storage.googleapis.com/acdb/other/FlwTulipRed.png")</f>
        <v/>
      </c>
      <c r="C187" s="6" t="s">
        <v>37</v>
      </c>
      <c r="D187" s="6">
        <v>40.0</v>
      </c>
      <c r="E187" s="5" t="s">
        <v>20538</v>
      </c>
      <c r="F187" s="5"/>
      <c r="G187" s="5" t="s">
        <v>244</v>
      </c>
      <c r="H187" s="6" t="s">
        <v>42</v>
      </c>
      <c r="I187" s="5" t="s">
        <v>21599</v>
      </c>
      <c r="J187" s="6">
        <v>2883.0</v>
      </c>
    </row>
    <row r="188" ht="56.25" customHeight="1">
      <c r="A188" s="5" t="s">
        <v>19480</v>
      </c>
      <c r="B188" s="6" t="str">
        <f>IMAGE("https://storage.googleapis.com/acdb/other/FlwAnemonesRed.png")</f>
        <v/>
      </c>
      <c r="C188" s="6" t="s">
        <v>37</v>
      </c>
      <c r="D188" s="6">
        <v>40.0</v>
      </c>
      <c r="E188" s="5" t="s">
        <v>20538</v>
      </c>
      <c r="F188" s="5"/>
      <c r="G188" s="5" t="s">
        <v>244</v>
      </c>
      <c r="H188" s="6" t="s">
        <v>42</v>
      </c>
      <c r="I188" s="5" t="s">
        <v>21604</v>
      </c>
      <c r="J188" s="6">
        <v>3723.0</v>
      </c>
    </row>
    <row r="189" ht="56.25" customHeight="1">
      <c r="A189" s="5" t="s">
        <v>21607</v>
      </c>
      <c r="B189" s="6" t="str">
        <f>IMAGE("https://storage.googleapis.com/acdb/other/WPaperRed.png")</f>
        <v/>
      </c>
      <c r="C189" s="6">
        <v>160.0</v>
      </c>
      <c r="D189" s="6">
        <v>40.0</v>
      </c>
      <c r="E189" s="5" t="s">
        <v>59</v>
      </c>
      <c r="F189" s="5"/>
      <c r="G189" s="5" t="s">
        <v>34</v>
      </c>
      <c r="H189" s="6" t="s">
        <v>42</v>
      </c>
      <c r="I189" s="5" t="s">
        <v>21614</v>
      </c>
      <c r="J189" s="6">
        <v>7694.0</v>
      </c>
    </row>
    <row r="190" ht="56.25" customHeight="1">
      <c r="A190" s="5" t="s">
        <v>21615</v>
      </c>
      <c r="B190" s="6" t="str">
        <f>IMAGE("https://storage.googleapis.com/acdb/other/SeedCosmosRed.png")</f>
        <v/>
      </c>
      <c r="C190" s="6">
        <v>240.0</v>
      </c>
      <c r="D190" s="6">
        <v>60.0</v>
      </c>
      <c r="E190" s="5" t="s">
        <v>59</v>
      </c>
      <c r="F190" s="5"/>
      <c r="G190" s="5" t="s">
        <v>244</v>
      </c>
      <c r="H190" s="6" t="s">
        <v>42</v>
      </c>
      <c r="I190" s="5" t="s">
        <v>21620</v>
      </c>
      <c r="J190" s="6">
        <v>2626.0</v>
      </c>
    </row>
    <row r="191" ht="56.25" customHeight="1">
      <c r="A191" s="5" t="s">
        <v>21622</v>
      </c>
      <c r="B191" s="6" t="str">
        <f>IMAGE("https://storage.googleapis.com/acdb/other/PltCosmosRed3.png")</f>
        <v/>
      </c>
      <c r="C191" s="6" t="s">
        <v>37</v>
      </c>
      <c r="D191" s="6">
        <v>40.0</v>
      </c>
      <c r="E191" s="5" t="s">
        <v>21201</v>
      </c>
      <c r="F191" s="5"/>
      <c r="G191" s="5" t="s">
        <v>244</v>
      </c>
      <c r="H191" s="6" t="s">
        <v>42</v>
      </c>
      <c r="I191" s="5" t="s">
        <v>21628</v>
      </c>
      <c r="J191" s="6">
        <v>3824.0</v>
      </c>
    </row>
    <row r="192" ht="56.25" customHeight="1">
      <c r="A192" s="5" t="s">
        <v>21630</v>
      </c>
      <c r="B192" s="6" t="str">
        <f>IMAGE("https://storage.googleapis.com/acdb/other/SeedHyacinthRed.png")</f>
        <v/>
      </c>
      <c r="C192" s="6">
        <v>240.0</v>
      </c>
      <c r="D192" s="6">
        <v>60.0</v>
      </c>
      <c r="E192" s="5" t="s">
        <v>59</v>
      </c>
      <c r="F192" s="5"/>
      <c r="G192" s="5" t="s">
        <v>244</v>
      </c>
      <c r="H192" s="6" t="s">
        <v>42</v>
      </c>
      <c r="I192" s="5" t="s">
        <v>21633</v>
      </c>
      <c r="J192" s="6">
        <v>3745.0</v>
      </c>
    </row>
    <row r="193" ht="56.25" customHeight="1">
      <c r="A193" s="5" t="s">
        <v>21634</v>
      </c>
      <c r="B193" s="6" t="str">
        <f>IMAGE("https://storage.googleapis.com/acdb/other/PltHyacinthRed3.png")</f>
        <v/>
      </c>
      <c r="C193" s="6" t="s">
        <v>37</v>
      </c>
      <c r="D193" s="6">
        <v>40.0</v>
      </c>
      <c r="E193" s="5" t="s">
        <v>21201</v>
      </c>
      <c r="F193" s="5"/>
      <c r="G193" s="5" t="s">
        <v>244</v>
      </c>
      <c r="H193" s="6" t="s">
        <v>42</v>
      </c>
      <c r="I193" s="5" t="s">
        <v>21640</v>
      </c>
      <c r="J193" s="6">
        <v>3918.0</v>
      </c>
    </row>
    <row r="194" ht="56.25" customHeight="1">
      <c r="A194" s="5" t="s">
        <v>21642</v>
      </c>
      <c r="B194" s="6" t="str">
        <f>IMAGE("https://storage.googleapis.com/acdb/other/SeedYuriRed.png")</f>
        <v/>
      </c>
      <c r="C194" s="6">
        <v>240.0</v>
      </c>
      <c r="D194" s="6">
        <v>60.0</v>
      </c>
      <c r="E194" s="5" t="s">
        <v>59</v>
      </c>
      <c r="F194" s="5"/>
      <c r="G194" s="5" t="s">
        <v>244</v>
      </c>
      <c r="H194" s="6" t="s">
        <v>42</v>
      </c>
      <c r="I194" s="5" t="s">
        <v>21647</v>
      </c>
      <c r="J194" s="6">
        <v>2984.0</v>
      </c>
    </row>
    <row r="195" ht="56.25" customHeight="1">
      <c r="A195" s="5" t="s">
        <v>21648</v>
      </c>
      <c r="B195" s="6" t="str">
        <f>IMAGE("https://storage.googleapis.com/acdb/other/PltYuriRed3.png")</f>
        <v/>
      </c>
      <c r="C195" s="6" t="s">
        <v>37</v>
      </c>
      <c r="D195" s="6">
        <v>40.0</v>
      </c>
      <c r="E195" s="5" t="s">
        <v>21201</v>
      </c>
      <c r="F195" s="5"/>
      <c r="G195" s="5" t="s">
        <v>244</v>
      </c>
      <c r="H195" s="6" t="s">
        <v>42</v>
      </c>
      <c r="I195" s="5" t="s">
        <v>21654</v>
      </c>
      <c r="J195" s="6">
        <v>3888.0</v>
      </c>
    </row>
    <row r="196" ht="56.25" customHeight="1">
      <c r="A196" s="5" t="s">
        <v>21656</v>
      </c>
      <c r="B196" s="6" t="str">
        <f>IMAGE("https://storage.googleapis.com/acdb/other/SeedMumRed.png")</f>
        <v/>
      </c>
      <c r="C196" s="6">
        <v>240.0</v>
      </c>
      <c r="D196" s="6">
        <v>60.0</v>
      </c>
      <c r="E196" s="5" t="s">
        <v>59</v>
      </c>
      <c r="F196" s="5"/>
      <c r="G196" s="5" t="s">
        <v>244</v>
      </c>
      <c r="H196" s="6" t="s">
        <v>42</v>
      </c>
      <c r="I196" s="5" t="s">
        <v>21663</v>
      </c>
      <c r="J196" s="6">
        <v>3769.0</v>
      </c>
    </row>
    <row r="197" ht="56.25" customHeight="1">
      <c r="A197" s="5" t="s">
        <v>21664</v>
      </c>
      <c r="B197" s="6" t="str">
        <f>IMAGE("https://storage.googleapis.com/acdb/other/PltMum2.png")</f>
        <v/>
      </c>
      <c r="C197" s="6" t="s">
        <v>37</v>
      </c>
      <c r="D197" s="6">
        <v>40.0</v>
      </c>
      <c r="E197" s="5" t="s">
        <v>21201</v>
      </c>
      <c r="F197" s="5"/>
      <c r="G197" s="5" t="s">
        <v>244</v>
      </c>
      <c r="H197" s="6" t="s">
        <v>42</v>
      </c>
      <c r="I197" s="5" t="s">
        <v>21670</v>
      </c>
      <c r="J197" s="6">
        <v>3932.0</v>
      </c>
    </row>
    <row r="198" ht="56.25" customHeight="1">
      <c r="A198" s="5" t="s">
        <v>21673</v>
      </c>
      <c r="B198" s="6" t="str">
        <f>IMAGE("https://storage.googleapis.com/acdb/other/SeedPansyRed.png")</f>
        <v/>
      </c>
      <c r="C198" s="6">
        <v>240.0</v>
      </c>
      <c r="D198" s="6">
        <v>60.0</v>
      </c>
      <c r="E198" s="5" t="s">
        <v>59</v>
      </c>
      <c r="F198" s="5"/>
      <c r="G198" s="5" t="s">
        <v>244</v>
      </c>
      <c r="H198" s="6" t="s">
        <v>42</v>
      </c>
      <c r="I198" s="5" t="s">
        <v>21679</v>
      </c>
      <c r="J198" s="6">
        <v>2912.0</v>
      </c>
    </row>
    <row r="199" ht="56.25" customHeight="1">
      <c r="A199" s="5" t="s">
        <v>21680</v>
      </c>
      <c r="B199" s="6" t="str">
        <f>IMAGE("https://storage.googleapis.com/acdb/other/PltPansyRed3.png")</f>
        <v/>
      </c>
      <c r="C199" s="6" t="s">
        <v>37</v>
      </c>
      <c r="D199" s="6">
        <v>40.0</v>
      </c>
      <c r="E199" s="5" t="s">
        <v>21201</v>
      </c>
      <c r="F199" s="5"/>
      <c r="G199" s="5" t="s">
        <v>244</v>
      </c>
      <c r="H199" s="6" t="s">
        <v>42</v>
      </c>
      <c r="I199" s="5" t="s">
        <v>21688</v>
      </c>
      <c r="J199" s="6">
        <v>3852.0</v>
      </c>
    </row>
    <row r="200" ht="56.25" customHeight="1">
      <c r="A200" s="5" t="s">
        <v>21690</v>
      </c>
      <c r="B200" s="6" t="str">
        <f>IMAGE("https://storage.googleapis.com/acdb/other/SeedRoseRed.png")</f>
        <v/>
      </c>
      <c r="C200" s="6">
        <v>240.0</v>
      </c>
      <c r="D200" s="6">
        <v>60.0</v>
      </c>
      <c r="E200" s="5" t="s">
        <v>59</v>
      </c>
      <c r="F200" s="5"/>
      <c r="G200" s="5" t="s">
        <v>244</v>
      </c>
      <c r="H200" s="6" t="s">
        <v>42</v>
      </c>
      <c r="I200" s="5" t="s">
        <v>21695</v>
      </c>
      <c r="J200" s="6">
        <v>2936.0</v>
      </c>
    </row>
    <row r="201" ht="56.25" customHeight="1">
      <c r="A201" s="5" t="s">
        <v>21698</v>
      </c>
      <c r="B201" s="6" t="str">
        <f>IMAGE("https://storage.googleapis.com/acdb/other/PltRoseRed3.png")</f>
        <v/>
      </c>
      <c r="C201" s="6" t="s">
        <v>37</v>
      </c>
      <c r="D201" s="6">
        <v>40.0</v>
      </c>
      <c r="E201" s="5" t="s">
        <v>21201</v>
      </c>
      <c r="F201" s="5"/>
      <c r="G201" s="5" t="s">
        <v>244</v>
      </c>
      <c r="H201" s="6" t="s">
        <v>42</v>
      </c>
      <c r="I201" s="5" t="s">
        <v>21705</v>
      </c>
      <c r="J201" s="6">
        <v>3864.0</v>
      </c>
    </row>
    <row r="202" ht="56.25" customHeight="1">
      <c r="A202" s="5" t="s">
        <v>21706</v>
      </c>
      <c r="B202" s="6" t="str">
        <f>IMAGE("https://storage.googleapis.com/acdb/other/SeedTulipRed.png")</f>
        <v/>
      </c>
      <c r="C202" s="6">
        <v>240.0</v>
      </c>
      <c r="D202" s="6">
        <v>60.0</v>
      </c>
      <c r="E202" s="5" t="s">
        <v>59</v>
      </c>
      <c r="F202" s="5"/>
      <c r="G202" s="5" t="s">
        <v>244</v>
      </c>
      <c r="H202" s="6" t="s">
        <v>42</v>
      </c>
      <c r="I202" s="5" t="s">
        <v>21711</v>
      </c>
      <c r="J202" s="6">
        <v>2884.0</v>
      </c>
    </row>
    <row r="203" ht="56.25" customHeight="1">
      <c r="A203" s="5" t="s">
        <v>21712</v>
      </c>
      <c r="B203" s="6" t="str">
        <f>IMAGE("https://storage.googleapis.com/acdb/other/PltTulipRed3.png")</f>
        <v/>
      </c>
      <c r="C203" s="6" t="s">
        <v>37</v>
      </c>
      <c r="D203" s="6">
        <v>40.0</v>
      </c>
      <c r="E203" s="5" t="s">
        <v>21201</v>
      </c>
      <c r="F203" s="5"/>
      <c r="G203" s="5" t="s">
        <v>244</v>
      </c>
      <c r="H203" s="6" t="s">
        <v>42</v>
      </c>
      <c r="I203" s="5" t="s">
        <v>21717</v>
      </c>
      <c r="J203" s="6">
        <v>3838.0</v>
      </c>
    </row>
    <row r="204" ht="56.25" customHeight="1">
      <c r="A204" s="5" t="s">
        <v>21718</v>
      </c>
      <c r="B204" s="6" t="str">
        <f>IMAGE("https://storage.googleapis.com/acdb/other/SeedAnemonesRed.png")</f>
        <v/>
      </c>
      <c r="C204" s="6">
        <v>240.0</v>
      </c>
      <c r="D204" s="6">
        <v>60.0</v>
      </c>
      <c r="E204" s="5" t="s">
        <v>59</v>
      </c>
      <c r="F204" s="5"/>
      <c r="G204" s="5" t="s">
        <v>244</v>
      </c>
      <c r="H204" s="6" t="s">
        <v>42</v>
      </c>
      <c r="I204" s="5" t="s">
        <v>21724</v>
      </c>
      <c r="J204" s="6">
        <v>3724.0</v>
      </c>
    </row>
    <row r="205" ht="56.25" customHeight="1">
      <c r="A205" s="5" t="s">
        <v>21725</v>
      </c>
      <c r="B205" s="6" t="str">
        <f>IMAGE("https://storage.googleapis.com/acdb/other/PltAnemonesRed3.png")</f>
        <v/>
      </c>
      <c r="C205" s="6" t="s">
        <v>37</v>
      </c>
      <c r="D205" s="6">
        <v>40.0</v>
      </c>
      <c r="E205" s="5" t="s">
        <v>21201</v>
      </c>
      <c r="F205" s="5"/>
      <c r="G205" s="5" t="s">
        <v>244</v>
      </c>
      <c r="H205" s="6" t="s">
        <v>42</v>
      </c>
      <c r="I205" s="5" t="s">
        <v>21730</v>
      </c>
      <c r="J205" s="6">
        <v>3906.0</v>
      </c>
    </row>
    <row r="206" ht="56.25" customHeight="1">
      <c r="A206" s="5" t="s">
        <v>19337</v>
      </c>
      <c r="B206" s="6" t="str">
        <f>IMAGE("https://storage.googleapis.com/acdb/other/MushRound.png")</f>
        <v/>
      </c>
      <c r="C206" s="6" t="s">
        <v>37</v>
      </c>
      <c r="D206" s="6">
        <v>200.0</v>
      </c>
      <c r="E206" s="5" t="s">
        <v>20799</v>
      </c>
      <c r="F206" s="5"/>
      <c r="G206" s="5" t="s">
        <v>34</v>
      </c>
      <c r="H206" s="6" t="s">
        <v>42</v>
      </c>
      <c r="I206" s="5" t="s">
        <v>21737</v>
      </c>
      <c r="J206" s="6">
        <v>3277.0</v>
      </c>
    </row>
    <row r="207" ht="56.25" customHeight="1">
      <c r="A207" s="5" t="s">
        <v>19672</v>
      </c>
      <c r="B207" s="6" t="str">
        <f>IMAGE("https://storage.googleapis.com/acdb/other/JohnnyQuestDust1.png")</f>
        <v/>
      </c>
      <c r="C207" s="6" t="s">
        <v>37</v>
      </c>
      <c r="D207" s="6">
        <v>10.0</v>
      </c>
      <c r="E207" s="5" t="s">
        <v>21740</v>
      </c>
      <c r="F207" s="5"/>
      <c r="G207" s="5" t="s">
        <v>34</v>
      </c>
      <c r="H207" s="6" t="s">
        <v>42</v>
      </c>
      <c r="I207" s="5" t="s">
        <v>21744</v>
      </c>
      <c r="J207" s="6">
        <v>2389.0</v>
      </c>
    </row>
    <row r="208" ht="56.25" customHeight="1">
      <c r="A208" s="5" t="s">
        <v>20340</v>
      </c>
      <c r="B208" s="6" t="str">
        <f>IMAGE("https://storage.googleapis.com/acdb/other/StarpieceSagittarius.png")</f>
        <v/>
      </c>
      <c r="C208" s="6" t="s">
        <v>37</v>
      </c>
      <c r="D208" s="6">
        <v>500.0</v>
      </c>
      <c r="E208" s="5" t="s">
        <v>21748</v>
      </c>
      <c r="F208" s="5"/>
      <c r="G208" s="5" t="s">
        <v>34</v>
      </c>
      <c r="H208" s="6" t="s">
        <v>42</v>
      </c>
      <c r="I208" s="5" t="s">
        <v>21750</v>
      </c>
      <c r="J208" s="6">
        <v>5996.0</v>
      </c>
    </row>
    <row r="209" ht="56.25" customHeight="1">
      <c r="A209" s="5" t="s">
        <v>21752</v>
      </c>
      <c r="B209" s="6" t="str">
        <f>IMAGE("https://storage.googleapis.com/acdb/other/RollanTicket.png")</f>
        <v/>
      </c>
      <c r="C209" s="6" t="s">
        <v>37</v>
      </c>
      <c r="D209" s="6">
        <v>100.0</v>
      </c>
      <c r="E209" s="5" t="s">
        <v>2800</v>
      </c>
      <c r="F209" s="5"/>
      <c r="G209" s="5" t="s">
        <v>34</v>
      </c>
      <c r="H209" s="6" t="s">
        <v>42</v>
      </c>
      <c r="I209" s="5" t="s">
        <v>21761</v>
      </c>
      <c r="J209" s="6">
        <v>9261.0</v>
      </c>
    </row>
    <row r="210" ht="56.25" customHeight="1">
      <c r="A210" s="5" t="s">
        <v>19367</v>
      </c>
      <c r="B210" s="6" t="str">
        <f>IMAGE("https://storage.googleapis.com/acdb/other/ShellDriftSanddollar.png")</f>
        <v/>
      </c>
      <c r="C210" s="6" t="s">
        <v>37</v>
      </c>
      <c r="D210" s="6">
        <v>120.0</v>
      </c>
      <c r="E210" s="5" t="s">
        <v>20748</v>
      </c>
      <c r="F210" s="5"/>
      <c r="G210" s="5" t="s">
        <v>34</v>
      </c>
      <c r="H210" s="6" t="s">
        <v>42</v>
      </c>
      <c r="I210" s="5" t="s">
        <v>21766</v>
      </c>
      <c r="J210" s="6">
        <v>1379.0</v>
      </c>
    </row>
    <row r="211" ht="56.25" customHeight="1">
      <c r="A211" s="5" t="s">
        <v>21769</v>
      </c>
      <c r="B211" s="6" t="str">
        <f>IMAGE("https://storage.googleapis.com/acdb/other/SeedOak.png")</f>
        <v/>
      </c>
      <c r="C211" s="6">
        <v>640.0</v>
      </c>
      <c r="D211" s="6">
        <v>160.0</v>
      </c>
      <c r="E211" s="5" t="s">
        <v>59</v>
      </c>
      <c r="F211" s="5"/>
      <c r="G211" s="5" t="s">
        <v>244</v>
      </c>
      <c r="H211" s="6" t="s">
        <v>42</v>
      </c>
      <c r="I211" s="5" t="s">
        <v>21776</v>
      </c>
      <c r="J211" s="6">
        <v>2794.0</v>
      </c>
    </row>
    <row r="212" ht="56.25" customHeight="1">
      <c r="A212" s="5" t="s">
        <v>19802</v>
      </c>
      <c r="B212" s="6" t="str">
        <f>IMAGE("https://storage.googleapis.com/acdb/other/StarpieceScorpio.png")</f>
        <v/>
      </c>
      <c r="C212" s="6" t="s">
        <v>37</v>
      </c>
      <c r="D212" s="6">
        <v>500.0</v>
      </c>
      <c r="E212" s="5" t="s">
        <v>21781</v>
      </c>
      <c r="F212" s="5"/>
      <c r="G212" s="5" t="s">
        <v>34</v>
      </c>
      <c r="H212" s="6" t="s">
        <v>42</v>
      </c>
      <c r="I212" s="5" t="s">
        <v>21782</v>
      </c>
      <c r="J212" s="6">
        <v>5995.0</v>
      </c>
    </row>
    <row r="213" ht="56.25" customHeight="1">
      <c r="A213" s="5" t="s">
        <v>19365</v>
      </c>
      <c r="B213" s="6" t="str">
        <f>IMAGE("https://storage.googleapis.com/acdb/other/ShellDriftEbisu.png")</f>
        <v/>
      </c>
      <c r="C213" s="6" t="s">
        <v>37</v>
      </c>
      <c r="D213" s="6">
        <v>180.0</v>
      </c>
      <c r="E213" s="5" t="s">
        <v>20748</v>
      </c>
      <c r="F213" s="5"/>
      <c r="G213" s="5" t="s">
        <v>34</v>
      </c>
      <c r="H213" s="6" t="s">
        <v>42</v>
      </c>
      <c r="I213" s="5" t="s">
        <v>21790</v>
      </c>
      <c r="J213" s="6">
        <v>1374.0</v>
      </c>
    </row>
    <row r="214" ht="56.25" customHeight="1">
      <c r="A214" s="5" t="s">
        <v>21791</v>
      </c>
      <c r="B214" s="6" t="str">
        <f>IMAGE("https://storage.googleapis.com/acdb/other/ShopTent.png")</f>
        <v/>
      </c>
      <c r="C214" s="6" t="s">
        <v>37</v>
      </c>
      <c r="D214" s="6" t="s">
        <v>34</v>
      </c>
      <c r="E214" s="5" t="s">
        <v>19537</v>
      </c>
      <c r="F214" s="5"/>
      <c r="G214" s="5" t="s">
        <v>34</v>
      </c>
      <c r="H214" s="6" t="s">
        <v>42</v>
      </c>
      <c r="I214" s="5" t="s">
        <v>21798</v>
      </c>
      <c r="J214" s="6">
        <v>2756.0</v>
      </c>
    </row>
    <row r="215" ht="56.25" customHeight="1">
      <c r="A215" s="5" t="s">
        <v>21800</v>
      </c>
      <c r="B215" s="6" t="str">
        <f>IMAGE("https://storage.googleapis.com/acdb/other/MovingKitShop.png")</f>
        <v/>
      </c>
      <c r="C215" s="6" t="s">
        <v>37</v>
      </c>
      <c r="D215" s="6" t="s">
        <v>34</v>
      </c>
      <c r="E215" s="5" t="s">
        <v>19537</v>
      </c>
      <c r="F215" s="5"/>
      <c r="G215" s="5" t="s">
        <v>34</v>
      </c>
      <c r="H215" s="6" t="s">
        <v>42</v>
      </c>
      <c r="I215" s="5" t="s">
        <v>21806</v>
      </c>
      <c r="J215" s="6">
        <v>5360.0</v>
      </c>
    </row>
    <row r="216" ht="56.25" customHeight="1">
      <c r="A216" s="5" t="s">
        <v>19338</v>
      </c>
      <c r="B216" s="6" t="str">
        <f>IMAGE("https://storage.googleapis.com/acdb/other/MushSlender.png")</f>
        <v/>
      </c>
      <c r="C216" s="6" t="s">
        <v>37</v>
      </c>
      <c r="D216" s="6">
        <v>300.0</v>
      </c>
      <c r="E216" s="5" t="s">
        <v>20799</v>
      </c>
      <c r="F216" s="5"/>
      <c r="G216" s="5" t="s">
        <v>34</v>
      </c>
      <c r="H216" s="6" t="s">
        <v>42</v>
      </c>
      <c r="I216" s="5" t="s">
        <v>21812</v>
      </c>
      <c r="J216" s="6">
        <v>3278.0</v>
      </c>
    </row>
    <row r="217" ht="56.25" customHeight="1">
      <c r="A217" s="5" t="s">
        <v>19147</v>
      </c>
      <c r="B217" s="6" t="str">
        <f>IMAGE("https://storage.googleapis.com/acdb/other/EggSky.png")</f>
        <v/>
      </c>
      <c r="C217" s="6" t="s">
        <v>37</v>
      </c>
      <c r="D217" s="6">
        <v>200.0</v>
      </c>
      <c r="E217" s="5" t="s">
        <v>21816</v>
      </c>
      <c r="F217" s="5"/>
      <c r="G217" s="5" t="s">
        <v>34</v>
      </c>
      <c r="H217" s="6" t="s">
        <v>1410</v>
      </c>
      <c r="I217" s="5" t="s">
        <v>21820</v>
      </c>
      <c r="J217" s="6">
        <v>12513.0</v>
      </c>
    </row>
    <row r="218" ht="56.25" customHeight="1">
      <c r="A218" s="5" t="s">
        <v>21825</v>
      </c>
      <c r="B218" s="6" t="str">
        <f>IMAGE("https://storage.googleapis.com/acdb/other/DIYRecipeSlingShot.png")</f>
        <v/>
      </c>
      <c r="C218" s="6">
        <v>300.0</v>
      </c>
      <c r="D218" s="6">
        <v>200.0</v>
      </c>
      <c r="E218" s="5" t="s">
        <v>59</v>
      </c>
      <c r="F218" s="5"/>
      <c r="G218" s="5" t="s">
        <v>34</v>
      </c>
      <c r="H218" s="6" t="s">
        <v>42</v>
      </c>
      <c r="I218" s="5" t="s">
        <v>21829</v>
      </c>
      <c r="J218" s="6">
        <v>10309.0</v>
      </c>
    </row>
    <row r="219" ht="56.25" customHeight="1">
      <c r="A219" s="5" t="s">
        <v>19185</v>
      </c>
      <c r="B219" s="6" t="str">
        <f>IMAGE("https://storage.googleapis.com/acdb/other/SnowCrystal.png")</f>
        <v/>
      </c>
      <c r="C219" s="6" t="s">
        <v>37</v>
      </c>
      <c r="D219" s="6">
        <v>200.0</v>
      </c>
      <c r="E219" s="5" t="s">
        <v>21835</v>
      </c>
      <c r="F219" s="5"/>
      <c r="G219" s="5" t="s">
        <v>34</v>
      </c>
      <c r="H219" s="6" t="s">
        <v>42</v>
      </c>
      <c r="I219" s="5" t="s">
        <v>21838</v>
      </c>
      <c r="J219" s="6">
        <v>3539.0</v>
      </c>
    </row>
    <row r="220" ht="56.25" customHeight="1">
      <c r="A220" s="5" t="s">
        <v>19303</v>
      </c>
      <c r="B220" s="6" t="str">
        <f>IMAGE("https://storage.googleapis.com/acdb/other/DIYWoodSoft.png")</f>
        <v/>
      </c>
      <c r="C220" s="6" t="s">
        <v>37</v>
      </c>
      <c r="D220" s="6">
        <v>60.0</v>
      </c>
      <c r="E220" s="5" t="s">
        <v>20898</v>
      </c>
      <c r="F220" s="5"/>
      <c r="G220" s="5" t="s">
        <v>34</v>
      </c>
      <c r="H220" s="6" t="s">
        <v>42</v>
      </c>
      <c r="I220" s="5" t="s">
        <v>21845</v>
      </c>
      <c r="J220" s="6">
        <v>2767.0</v>
      </c>
    </row>
    <row r="221" ht="56.25" customHeight="1">
      <c r="A221" s="5" t="s">
        <v>21846</v>
      </c>
      <c r="B221" s="6" t="str">
        <f>IMAGE("https://storage.googleapis.com/acdb/other/Kabu_Spoil.png")</f>
        <v/>
      </c>
      <c r="C221" s="6" t="s">
        <v>37</v>
      </c>
      <c r="D221" s="6">
        <v>100.0</v>
      </c>
      <c r="E221" s="5" t="s">
        <v>21849</v>
      </c>
      <c r="F221" s="5"/>
      <c r="G221" s="5" t="s">
        <v>34</v>
      </c>
      <c r="H221" s="6" t="s">
        <v>42</v>
      </c>
      <c r="I221" s="5" t="s">
        <v>21850</v>
      </c>
      <c r="J221" s="6">
        <v>2642.0</v>
      </c>
    </row>
    <row r="222" ht="56.25" customHeight="1">
      <c r="A222" s="5" t="s">
        <v>19188</v>
      </c>
      <c r="B222" s="6" t="str">
        <f>IMAGE("https://storage.googleapis.com/acdb/other/Starpiece.png")</f>
        <v/>
      </c>
      <c r="C222" s="6" t="s">
        <v>37</v>
      </c>
      <c r="D222" s="6">
        <v>250.0</v>
      </c>
      <c r="E222" s="5" t="s">
        <v>20946</v>
      </c>
      <c r="F222" s="5"/>
      <c r="G222" s="5" t="s">
        <v>34</v>
      </c>
      <c r="H222" s="6" t="s">
        <v>42</v>
      </c>
      <c r="I222" s="5" t="s">
        <v>21855</v>
      </c>
      <c r="J222" s="6">
        <v>5983.0</v>
      </c>
    </row>
    <row r="223" ht="56.25" customHeight="1">
      <c r="A223" s="5" t="s">
        <v>12762</v>
      </c>
      <c r="B223" s="6" t="str">
        <f>IMAGE("https://storage.googleapis.com/acdb/other/DIYStone.png")</f>
        <v/>
      </c>
      <c r="C223" s="6" t="s">
        <v>37</v>
      </c>
      <c r="D223" s="6">
        <v>75.0</v>
      </c>
      <c r="E223" s="5" t="s">
        <v>21858</v>
      </c>
      <c r="F223" s="5" t="s">
        <v>21860</v>
      </c>
      <c r="G223" s="5" t="s">
        <v>34</v>
      </c>
      <c r="H223" s="6" t="s">
        <v>42</v>
      </c>
      <c r="I223" s="5" t="s">
        <v>21862</v>
      </c>
      <c r="J223" s="6">
        <v>2502.0</v>
      </c>
    </row>
    <row r="224" ht="56.25" customHeight="1">
      <c r="A224" s="5" t="s">
        <v>19144</v>
      </c>
      <c r="B224" s="6" t="str">
        <f>IMAGE("https://storage.googleapis.com/acdb/other/EggRock.png")</f>
        <v/>
      </c>
      <c r="C224" s="6" t="s">
        <v>37</v>
      </c>
      <c r="D224" s="6">
        <v>200.0</v>
      </c>
      <c r="E224" s="5" t="s">
        <v>21870</v>
      </c>
      <c r="F224" s="5"/>
      <c r="G224" s="5" t="s">
        <v>34</v>
      </c>
      <c r="H224" s="6" t="s">
        <v>1410</v>
      </c>
      <c r="I224" s="5" t="s">
        <v>21871</v>
      </c>
      <c r="J224" s="6">
        <v>12510.0</v>
      </c>
    </row>
    <row r="225" ht="56.25" customHeight="1">
      <c r="A225" s="5" t="s">
        <v>19181</v>
      </c>
      <c r="B225" s="6" t="str">
        <f>IMAGE("https://storage.googleapis.com/acdb/other/ShellDriftSummer.png")</f>
        <v/>
      </c>
      <c r="C225" s="6" t="s">
        <v>37</v>
      </c>
      <c r="D225" s="6">
        <v>600.0</v>
      </c>
      <c r="E225" s="5" t="s">
        <v>21878</v>
      </c>
      <c r="F225" s="5"/>
      <c r="G225" s="5" t="s">
        <v>34</v>
      </c>
      <c r="H225" s="6" t="s">
        <v>42</v>
      </c>
      <c r="I225" s="5" t="s">
        <v>21882</v>
      </c>
      <c r="J225" s="6">
        <v>5982.0</v>
      </c>
    </row>
    <row r="226" ht="56.25" customHeight="1">
      <c r="A226" s="5" t="s">
        <v>21885</v>
      </c>
      <c r="B226" s="6" t="str">
        <f>IMAGE("https://storage.googleapis.com/acdb/other/HousingKitTailor.png")</f>
        <v/>
      </c>
      <c r="C226" s="6" t="s">
        <v>37</v>
      </c>
      <c r="D226" s="6" t="s">
        <v>34</v>
      </c>
      <c r="E226" s="5" t="s">
        <v>19537</v>
      </c>
      <c r="F226" s="5"/>
      <c r="G226" s="5" t="s">
        <v>34</v>
      </c>
      <c r="H226" s="6" t="s">
        <v>42</v>
      </c>
      <c r="I226" s="5" t="s">
        <v>21888</v>
      </c>
      <c r="J226" s="6">
        <v>4411.0</v>
      </c>
    </row>
    <row r="227" ht="56.25" customHeight="1">
      <c r="A227" s="5" t="s">
        <v>21890</v>
      </c>
      <c r="B227" s="6" t="str">
        <f>IMAGE("https://storage.googleapis.com/acdb/other/MovingKitTailor.png")</f>
        <v/>
      </c>
      <c r="C227" s="6" t="s">
        <v>37</v>
      </c>
      <c r="D227" s="6" t="s">
        <v>34</v>
      </c>
      <c r="E227" s="5" t="s">
        <v>19537</v>
      </c>
      <c r="F227" s="5"/>
      <c r="G227" s="5" t="s">
        <v>34</v>
      </c>
      <c r="H227" s="6" t="s">
        <v>42</v>
      </c>
      <c r="I227" s="5" t="s">
        <v>21894</v>
      </c>
      <c r="J227" s="6">
        <v>5359.0</v>
      </c>
    </row>
    <row r="228" ht="56.25" customHeight="1">
      <c r="A228" s="5" t="s">
        <v>21896</v>
      </c>
      <c r="B228" s="6" t="str">
        <f>IMAGE("https://storage.googleapis.com/acdb/other/TailorTicket.png")</f>
        <v/>
      </c>
      <c r="C228" s="6" t="s">
        <v>37</v>
      </c>
      <c r="D228" s="6">
        <v>250.0</v>
      </c>
      <c r="E228" s="5" t="s">
        <v>21899</v>
      </c>
      <c r="F228" s="5"/>
      <c r="G228" s="5" t="s">
        <v>34</v>
      </c>
      <c r="H228" s="6" t="s">
        <v>42</v>
      </c>
      <c r="I228" s="5" t="s">
        <v>21902</v>
      </c>
      <c r="J228" s="6">
        <v>5932.0</v>
      </c>
    </row>
    <row r="229" ht="56.25" customHeight="1">
      <c r="A229" s="5" t="s">
        <v>19709</v>
      </c>
      <c r="B229" s="6" t="str">
        <f>IMAGE("https://storage.googleapis.com/acdb/other/StarpieceTaurus.png")</f>
        <v/>
      </c>
      <c r="C229" s="6" t="s">
        <v>37</v>
      </c>
      <c r="D229" s="6">
        <v>500.0</v>
      </c>
      <c r="E229" s="5" t="s">
        <v>21905</v>
      </c>
      <c r="F229" s="5"/>
      <c r="G229" s="5" t="s">
        <v>34</v>
      </c>
      <c r="H229" s="6" t="s">
        <v>42</v>
      </c>
      <c r="I229" s="5" t="s">
        <v>21908</v>
      </c>
      <c r="J229" s="6">
        <v>5989.0</v>
      </c>
    </row>
    <row r="230" ht="56.25" customHeight="1">
      <c r="A230" s="5" t="s">
        <v>21911</v>
      </c>
      <c r="B230" s="6" t="str">
        <f>IMAGE("https://storage.googleapis.com/acdb/other/Tent.png")</f>
        <v/>
      </c>
      <c r="C230" s="6" t="s">
        <v>37</v>
      </c>
      <c r="D230" s="6" t="s">
        <v>34</v>
      </c>
      <c r="E230" s="5" t="s">
        <v>19537</v>
      </c>
      <c r="F230" s="5"/>
      <c r="G230" s="5" t="s">
        <v>34</v>
      </c>
      <c r="H230" s="6" t="s">
        <v>42</v>
      </c>
      <c r="I230" s="5" t="s">
        <v>21916</v>
      </c>
      <c r="J230" s="6">
        <v>2750.0</v>
      </c>
    </row>
    <row r="231" ht="56.25" customHeight="1">
      <c r="A231" s="5" t="s">
        <v>21917</v>
      </c>
      <c r="B231" s="6" t="str">
        <f>IMAGE("https://storage.googleapis.com/acdb/other/DIYbook2.png")</f>
        <v/>
      </c>
      <c r="C231" s="6">
        <v>2680.0</v>
      </c>
      <c r="D231" s="6" t="s">
        <v>34</v>
      </c>
      <c r="E231" s="5" t="s">
        <v>59</v>
      </c>
      <c r="F231" s="5"/>
      <c r="G231" s="5" t="s">
        <v>34</v>
      </c>
      <c r="H231" s="6" t="s">
        <v>42</v>
      </c>
      <c r="I231" s="5" t="s">
        <v>21924</v>
      </c>
      <c r="J231" s="6">
        <v>5604.0</v>
      </c>
    </row>
    <row r="232" ht="56.25" customHeight="1">
      <c r="A232" s="5" t="s">
        <v>21926</v>
      </c>
      <c r="B232" s="6" t="str">
        <f>IMAGE("https://storage.googleapis.com/acdb/other/Present2.png")</f>
        <v/>
      </c>
      <c r="C232" s="6" t="s">
        <v>37</v>
      </c>
      <c r="D232" s="6">
        <v>0.0</v>
      </c>
      <c r="E232" s="5" t="s">
        <v>21931</v>
      </c>
      <c r="F232" s="5"/>
      <c r="G232" s="5" t="s">
        <v>34</v>
      </c>
      <c r="H232" s="6" t="s">
        <v>42</v>
      </c>
      <c r="I232" s="5" t="s">
        <v>21934</v>
      </c>
      <c r="J232" s="6">
        <v>2545.0</v>
      </c>
    </row>
    <row r="233" ht="56.25" customHeight="1">
      <c r="A233" s="5" t="s">
        <v>19534</v>
      </c>
      <c r="B233" s="6" t="str">
        <f>IMAGE("https://storage.googleapis.com/acdb/other/DIYBranch.png")</f>
        <v/>
      </c>
      <c r="C233" s="6" t="s">
        <v>37</v>
      </c>
      <c r="D233" s="6">
        <v>5.0</v>
      </c>
      <c r="E233" s="5" t="s">
        <v>21939</v>
      </c>
      <c r="F233" s="5"/>
      <c r="G233" s="5" t="s">
        <v>34</v>
      </c>
      <c r="H233" s="6" t="s">
        <v>42</v>
      </c>
      <c r="I233" s="5" t="s">
        <v>21941</v>
      </c>
      <c r="J233" s="6">
        <v>2500.0</v>
      </c>
    </row>
    <row r="234" ht="56.25" customHeight="1">
      <c r="A234" s="5" t="s">
        <v>21943</v>
      </c>
      <c r="B234" s="6" t="str">
        <f>IMAGE("https://storage.googleapis.com/acdb/other/PhotoStudioKabu.png")</f>
        <v/>
      </c>
      <c r="C234" s="6" t="s">
        <v>37</v>
      </c>
      <c r="D234" s="6">
        <v>0.0</v>
      </c>
      <c r="E234" s="5" t="s">
        <v>21948</v>
      </c>
      <c r="F234" s="5"/>
      <c r="G234" s="5" t="s">
        <v>34</v>
      </c>
      <c r="H234" s="6" t="s">
        <v>42</v>
      </c>
      <c r="I234" s="5" t="s">
        <v>21951</v>
      </c>
      <c r="J234" s="6">
        <v>7734.0</v>
      </c>
    </row>
    <row r="235" ht="56.25" customHeight="1">
      <c r="A235" s="5" t="s">
        <v>21952</v>
      </c>
      <c r="B235" s="6" t="str">
        <f>IMAGE("https://storage.googleapis.com/acdb/other/DIYRecipeLongWoodenStick.png")</f>
        <v/>
      </c>
      <c r="C235" s="6">
        <v>500.0</v>
      </c>
      <c r="D235" s="6">
        <v>200.0</v>
      </c>
      <c r="E235" s="5" t="s">
        <v>59</v>
      </c>
      <c r="F235" s="5"/>
      <c r="G235" s="5" t="s">
        <v>34</v>
      </c>
      <c r="H235" s="6" t="s">
        <v>42</v>
      </c>
      <c r="I235" s="5" t="s">
        <v>21959</v>
      </c>
      <c r="J235" s="6">
        <v>9046.0</v>
      </c>
    </row>
    <row r="236" ht="56.25" customHeight="1">
      <c r="A236" s="5" t="s">
        <v>19366</v>
      </c>
      <c r="B236" s="6" t="str">
        <f>IMAGE("https://storage.googleapis.com/acdb/other/ShellDriftHone.png")</f>
        <v/>
      </c>
      <c r="C236" s="6" t="s">
        <v>37</v>
      </c>
      <c r="D236" s="6">
        <v>300.0</v>
      </c>
      <c r="E236" s="5" t="s">
        <v>20748</v>
      </c>
      <c r="F236" s="5"/>
      <c r="G236" s="5" t="s">
        <v>34</v>
      </c>
      <c r="H236" s="6" t="s">
        <v>42</v>
      </c>
      <c r="I236" s="5" t="s">
        <v>21966</v>
      </c>
      <c r="J236" s="6">
        <v>1375.0</v>
      </c>
    </row>
    <row r="237" ht="56.25" customHeight="1">
      <c r="A237" s="5" t="s">
        <v>19724</v>
      </c>
      <c r="B237" s="6" t="str">
        <f>IMAGE("https://storage.googleapis.com/acdb/other/StarpieceVirgo.png")</f>
        <v/>
      </c>
      <c r="C237" s="6" t="s">
        <v>37</v>
      </c>
      <c r="D237" s="6">
        <v>500.0</v>
      </c>
      <c r="E237" s="5" t="s">
        <v>21974</v>
      </c>
      <c r="F237" s="5"/>
      <c r="G237" s="5" t="s">
        <v>34</v>
      </c>
      <c r="H237" s="6" t="s">
        <v>42</v>
      </c>
      <c r="I237" s="5" t="s">
        <v>21978</v>
      </c>
      <c r="J237" s="6">
        <v>5993.0</v>
      </c>
    </row>
    <row r="238" ht="56.25" customHeight="1">
      <c r="A238" s="5" t="s">
        <v>19349</v>
      </c>
      <c r="B238" s="6" t="str">
        <f>IMAGE("https://storage.googleapis.com/acdb/other/Honeycomb.png")</f>
        <v/>
      </c>
      <c r="C238" s="6" t="s">
        <v>37</v>
      </c>
      <c r="D238" s="6">
        <v>300.0</v>
      </c>
      <c r="E238" s="5" t="s">
        <v>21939</v>
      </c>
      <c r="F238" s="5"/>
      <c r="G238" s="5" t="s">
        <v>395</v>
      </c>
      <c r="H238" s="6" t="s">
        <v>42</v>
      </c>
      <c r="I238" s="5" t="s">
        <v>2995</v>
      </c>
      <c r="J238" s="6">
        <v>3263.0</v>
      </c>
    </row>
    <row r="239" ht="56.25" customHeight="1">
      <c r="A239" s="5" t="s">
        <v>19148</v>
      </c>
      <c r="B239" s="6" t="str">
        <f>IMAGE("https://storage.googleapis.com/acdb/other/EggFish.png")</f>
        <v/>
      </c>
      <c r="C239" s="6" t="s">
        <v>37</v>
      </c>
      <c r="D239" s="6">
        <v>200.0</v>
      </c>
      <c r="E239" s="5" t="s">
        <v>21987</v>
      </c>
      <c r="F239" s="5"/>
      <c r="G239" s="5" t="s">
        <v>34</v>
      </c>
      <c r="H239" s="6" t="s">
        <v>1410</v>
      </c>
      <c r="I239" s="5" t="s">
        <v>21990</v>
      </c>
      <c r="J239" s="6">
        <v>12514.0</v>
      </c>
    </row>
    <row r="240" ht="56.25" customHeight="1">
      <c r="A240" s="5" t="s">
        <v>21992</v>
      </c>
      <c r="B240" s="6" t="str">
        <f>IMAGE("https://storage.googleapis.com/acdb/other/LostQuestBagDust.png")</f>
        <v/>
      </c>
      <c r="C240" s="6" t="s">
        <v>37</v>
      </c>
      <c r="D240" s="6" t="s">
        <v>34</v>
      </c>
      <c r="E240" s="5" t="s">
        <v>21996</v>
      </c>
      <c r="F240" s="5"/>
      <c r="G240" s="5" t="s">
        <v>34</v>
      </c>
      <c r="H240" s="6" t="s">
        <v>42</v>
      </c>
      <c r="I240" s="5" t="s">
        <v>21997</v>
      </c>
      <c r="J240" s="6">
        <v>4642.0</v>
      </c>
    </row>
    <row r="241" ht="56.25" customHeight="1">
      <c r="A241" s="5" t="s">
        <v>21992</v>
      </c>
      <c r="B241" s="6" t="str">
        <f>IMAGE("https://storage.googleapis.com/acdb/other/LostQuestBookDust.png")</f>
        <v/>
      </c>
      <c r="C241" s="6" t="s">
        <v>37</v>
      </c>
      <c r="D241" s="6" t="s">
        <v>34</v>
      </c>
      <c r="E241" s="5" t="s">
        <v>21996</v>
      </c>
      <c r="F241" s="5"/>
      <c r="G241" s="5" t="s">
        <v>34</v>
      </c>
      <c r="H241" s="6" t="s">
        <v>42</v>
      </c>
      <c r="I241" s="5" t="s">
        <v>22003</v>
      </c>
      <c r="J241" s="6">
        <v>4643.0</v>
      </c>
    </row>
    <row r="242" ht="56.25" customHeight="1">
      <c r="A242" s="5" t="s">
        <v>21992</v>
      </c>
      <c r="B242" s="6" t="str">
        <f>IMAGE("https://storage.googleapis.com/acdb/other/LostQuestNoteDust.png")</f>
        <v/>
      </c>
      <c r="C242" s="6" t="s">
        <v>37</v>
      </c>
      <c r="D242" s="6" t="s">
        <v>34</v>
      </c>
      <c r="E242" s="5" t="s">
        <v>21996</v>
      </c>
      <c r="F242" s="5"/>
      <c r="G242" s="5" t="s">
        <v>34</v>
      </c>
      <c r="H242" s="6" t="s">
        <v>42</v>
      </c>
      <c r="I242" s="5" t="s">
        <v>22008</v>
      </c>
      <c r="J242" s="6">
        <v>5427.0</v>
      </c>
    </row>
    <row r="243" ht="56.25" customHeight="1">
      <c r="A243" s="5" t="s">
        <v>19413</v>
      </c>
      <c r="B243" s="6" t="str">
        <f>IMAGE("https://storage.googleapis.com/acdb/other/FlwCosmosWhite.png")</f>
        <v/>
      </c>
      <c r="C243" s="6" t="s">
        <v>37</v>
      </c>
      <c r="D243" s="6">
        <v>40.0</v>
      </c>
      <c r="E243" s="5" t="s">
        <v>20538</v>
      </c>
      <c r="F243" s="5"/>
      <c r="G243" s="5" t="s">
        <v>244</v>
      </c>
      <c r="H243" s="6" t="s">
        <v>42</v>
      </c>
      <c r="I243" s="5" t="s">
        <v>22013</v>
      </c>
      <c r="J243" s="6">
        <v>2305.0</v>
      </c>
    </row>
    <row r="244" ht="56.25" customHeight="1">
      <c r="A244" s="5" t="s">
        <v>19438</v>
      </c>
      <c r="B244" s="6" t="str">
        <f>IMAGE("https://storage.googleapis.com/acdb/other/FlwHyacinthWhite.png")</f>
        <v/>
      </c>
      <c r="C244" s="6" t="s">
        <v>37</v>
      </c>
      <c r="D244" s="6">
        <v>40.0</v>
      </c>
      <c r="E244" s="5" t="s">
        <v>20538</v>
      </c>
      <c r="F244" s="5"/>
      <c r="G244" s="5" t="s">
        <v>244</v>
      </c>
      <c r="H244" s="6" t="s">
        <v>42</v>
      </c>
      <c r="I244" s="5" t="s">
        <v>22018</v>
      </c>
      <c r="J244" s="6">
        <v>3730.0</v>
      </c>
    </row>
    <row r="245" ht="56.25" customHeight="1">
      <c r="A245" s="5" t="s">
        <v>19416</v>
      </c>
      <c r="B245" s="6" t="str">
        <f>IMAGE("https://storage.googleapis.com/acdb/other/FlwYuriWhite.png")</f>
        <v/>
      </c>
      <c r="C245" s="6" t="s">
        <v>37</v>
      </c>
      <c r="D245" s="6">
        <v>40.0</v>
      </c>
      <c r="E245" s="5" t="s">
        <v>20538</v>
      </c>
      <c r="F245" s="5"/>
      <c r="G245" s="5" t="s">
        <v>244</v>
      </c>
      <c r="H245" s="6" t="s">
        <v>42</v>
      </c>
      <c r="I245" s="5" t="s">
        <v>22023</v>
      </c>
      <c r="J245" s="6">
        <v>2979.0</v>
      </c>
    </row>
    <row r="246" ht="56.25" customHeight="1">
      <c r="A246" s="5" t="s">
        <v>19451</v>
      </c>
      <c r="B246" s="6" t="str">
        <f>IMAGE("https://storage.googleapis.com/acdb/other/FlwMumWhite.png")</f>
        <v/>
      </c>
      <c r="C246" s="6" t="s">
        <v>37</v>
      </c>
      <c r="D246" s="6">
        <v>40.0</v>
      </c>
      <c r="E246" s="5" t="s">
        <v>20538</v>
      </c>
      <c r="F246" s="5"/>
      <c r="G246" s="5" t="s">
        <v>244</v>
      </c>
      <c r="H246" s="6" t="s">
        <v>42</v>
      </c>
      <c r="I246" s="5" t="s">
        <v>22028</v>
      </c>
      <c r="J246" s="6">
        <v>3754.0</v>
      </c>
    </row>
    <row r="247" ht="56.25" customHeight="1">
      <c r="A247" s="5" t="s">
        <v>19456</v>
      </c>
      <c r="B247" s="6" t="str">
        <f>IMAGE("https://storage.googleapis.com/acdb/other/FlwPansyWhite.png")</f>
        <v/>
      </c>
      <c r="C247" s="6" t="s">
        <v>37</v>
      </c>
      <c r="D247" s="6">
        <v>40.0</v>
      </c>
      <c r="E247" s="5" t="s">
        <v>20538</v>
      </c>
      <c r="F247" s="5"/>
      <c r="G247" s="5" t="s">
        <v>244</v>
      </c>
      <c r="H247" s="6" t="s">
        <v>42</v>
      </c>
      <c r="I247" s="5" t="s">
        <v>22032</v>
      </c>
      <c r="J247" s="6">
        <v>2907.0</v>
      </c>
    </row>
    <row r="248" ht="56.25" customHeight="1">
      <c r="A248" s="5" t="s">
        <v>19466</v>
      </c>
      <c r="B248" s="6" t="str">
        <f>IMAGE("https://storage.googleapis.com/acdb/other/FlwRoseWhite.png")</f>
        <v/>
      </c>
      <c r="C248" s="6" t="s">
        <v>37</v>
      </c>
      <c r="D248" s="6">
        <v>40.0</v>
      </c>
      <c r="E248" s="5" t="s">
        <v>20538</v>
      </c>
      <c r="F248" s="5"/>
      <c r="G248" s="5" t="s">
        <v>244</v>
      </c>
      <c r="H248" s="6" t="s">
        <v>42</v>
      </c>
      <c r="I248" s="5" t="s">
        <v>22036</v>
      </c>
      <c r="J248" s="6">
        <v>2931.0</v>
      </c>
    </row>
    <row r="249" ht="56.25" customHeight="1">
      <c r="A249" s="5" t="s">
        <v>19477</v>
      </c>
      <c r="B249" s="6" t="str">
        <f>IMAGE("https://storage.googleapis.com/acdb/other/FlwTulipWhite.png")</f>
        <v/>
      </c>
      <c r="C249" s="6" t="s">
        <v>37</v>
      </c>
      <c r="D249" s="6">
        <v>40.0</v>
      </c>
      <c r="E249" s="5" t="s">
        <v>20538</v>
      </c>
      <c r="F249" s="5"/>
      <c r="G249" s="5" t="s">
        <v>244</v>
      </c>
      <c r="H249" s="6" t="s">
        <v>42</v>
      </c>
      <c r="I249" s="5" t="s">
        <v>22041</v>
      </c>
      <c r="J249" s="6">
        <v>2879.0</v>
      </c>
    </row>
    <row r="250" ht="56.25" customHeight="1">
      <c r="A250" s="5" t="s">
        <v>19483</v>
      </c>
      <c r="B250" s="6" t="str">
        <f>IMAGE("https://storage.googleapis.com/acdb/other/FlwAnemonesWhite.png")</f>
        <v/>
      </c>
      <c r="C250" s="6" t="s">
        <v>37</v>
      </c>
      <c r="D250" s="6">
        <v>40.0</v>
      </c>
      <c r="E250" s="5" t="s">
        <v>20538</v>
      </c>
      <c r="F250" s="5"/>
      <c r="G250" s="5" t="s">
        <v>244</v>
      </c>
      <c r="H250" s="6" t="s">
        <v>42</v>
      </c>
      <c r="I250" s="5" t="s">
        <v>22046</v>
      </c>
      <c r="J250" s="6">
        <v>3709.0</v>
      </c>
    </row>
    <row r="251" ht="56.25" customHeight="1">
      <c r="A251" s="5" t="s">
        <v>22048</v>
      </c>
      <c r="B251" s="6" t="str">
        <f>IMAGE("https://storage.googleapis.com/acdb/other/WPaperWhite.png")</f>
        <v/>
      </c>
      <c r="C251" s="6">
        <v>160.0</v>
      </c>
      <c r="D251" s="6">
        <v>40.0</v>
      </c>
      <c r="E251" s="5" t="s">
        <v>59</v>
      </c>
      <c r="F251" s="5"/>
      <c r="G251" s="5" t="s">
        <v>34</v>
      </c>
      <c r="H251" s="6" t="s">
        <v>42</v>
      </c>
      <c r="I251" s="5" t="s">
        <v>22053</v>
      </c>
      <c r="J251" s="6">
        <v>7693.0</v>
      </c>
    </row>
    <row r="252" ht="56.25" customHeight="1">
      <c r="A252" s="5" t="s">
        <v>22054</v>
      </c>
      <c r="B252" s="6" t="str">
        <f>IMAGE("https://storage.googleapis.com/acdb/other/SeedCosmosWhite.png")</f>
        <v/>
      </c>
      <c r="C252" s="6">
        <v>240.0</v>
      </c>
      <c r="D252" s="6">
        <v>60.0</v>
      </c>
      <c r="E252" s="5" t="s">
        <v>59</v>
      </c>
      <c r="F252" s="5"/>
      <c r="G252" s="5" t="s">
        <v>244</v>
      </c>
      <c r="H252" s="6" t="s">
        <v>42</v>
      </c>
      <c r="I252" s="5" t="s">
        <v>22057</v>
      </c>
      <c r="J252" s="6">
        <v>2629.0</v>
      </c>
    </row>
    <row r="253" ht="56.25" customHeight="1">
      <c r="A253" s="5" t="s">
        <v>22058</v>
      </c>
      <c r="B253" s="6" t="str">
        <f>IMAGE("https://storage.googleapis.com/acdb/other/PltCosmos0.png")</f>
        <v/>
      </c>
      <c r="C253" s="6" t="s">
        <v>37</v>
      </c>
      <c r="D253" s="6">
        <v>40.0</v>
      </c>
      <c r="E253" s="5" t="s">
        <v>21201</v>
      </c>
      <c r="F253" s="5"/>
      <c r="G253" s="5" t="s">
        <v>244</v>
      </c>
      <c r="H253" s="6" t="s">
        <v>42</v>
      </c>
      <c r="I253" s="5" t="s">
        <v>22063</v>
      </c>
      <c r="J253" s="6">
        <v>3826.0</v>
      </c>
    </row>
    <row r="254" ht="56.25" customHeight="1">
      <c r="A254" s="5" t="s">
        <v>22064</v>
      </c>
      <c r="B254" s="6" t="str">
        <f>IMAGE("https://storage.googleapis.com/acdb/other/SeedHyacinthWhite.png")</f>
        <v/>
      </c>
      <c r="C254" s="6">
        <v>240.0</v>
      </c>
      <c r="D254" s="6">
        <v>60.0</v>
      </c>
      <c r="E254" s="5" t="s">
        <v>59</v>
      </c>
      <c r="F254" s="5"/>
      <c r="G254" s="5" t="s">
        <v>244</v>
      </c>
      <c r="H254" s="6" t="s">
        <v>42</v>
      </c>
      <c r="I254" s="5" t="s">
        <v>22069</v>
      </c>
      <c r="J254" s="6">
        <v>3731.0</v>
      </c>
    </row>
    <row r="255" ht="56.25" customHeight="1">
      <c r="A255" s="5" t="s">
        <v>22070</v>
      </c>
      <c r="B255" s="6" t="str">
        <f>IMAGE("https://storage.googleapis.com/acdb/other/PltHyacinth0.png")</f>
        <v/>
      </c>
      <c r="C255" s="6" t="s">
        <v>37</v>
      </c>
      <c r="D255" s="6">
        <v>40.0</v>
      </c>
      <c r="E255" s="5" t="s">
        <v>21201</v>
      </c>
      <c r="F255" s="5"/>
      <c r="G255" s="5" t="s">
        <v>244</v>
      </c>
      <c r="H255" s="6" t="s">
        <v>42</v>
      </c>
      <c r="I255" s="5" t="s">
        <v>22075</v>
      </c>
      <c r="J255" s="6">
        <v>3910.0</v>
      </c>
    </row>
    <row r="256" ht="56.25" customHeight="1">
      <c r="A256" s="5" t="s">
        <v>22076</v>
      </c>
      <c r="B256" s="6" t="str">
        <f>IMAGE("https://storage.googleapis.com/acdb/other/SeedYuriWhite.png")</f>
        <v/>
      </c>
      <c r="C256" s="6">
        <v>240.0</v>
      </c>
      <c r="D256" s="6">
        <v>60.0</v>
      </c>
      <c r="E256" s="5" t="s">
        <v>59</v>
      </c>
      <c r="F256" s="5"/>
      <c r="G256" s="5" t="s">
        <v>244</v>
      </c>
      <c r="H256" s="6" t="s">
        <v>42</v>
      </c>
      <c r="I256" s="5" t="s">
        <v>22081</v>
      </c>
      <c r="J256" s="6">
        <v>2980.0</v>
      </c>
    </row>
    <row r="257" ht="56.25" customHeight="1">
      <c r="A257" s="5" t="s">
        <v>22082</v>
      </c>
      <c r="B257" s="6" t="str">
        <f>IMAGE("https://storage.googleapis.com/acdb/other/PltYuri0.png")</f>
        <v/>
      </c>
      <c r="C257" s="6" t="s">
        <v>37</v>
      </c>
      <c r="D257" s="6">
        <v>40.0</v>
      </c>
      <c r="E257" s="5" t="s">
        <v>21201</v>
      </c>
      <c r="F257" s="5"/>
      <c r="G257" s="5" t="s">
        <v>244</v>
      </c>
      <c r="H257" s="6" t="s">
        <v>42</v>
      </c>
      <c r="I257" s="5" t="s">
        <v>22086</v>
      </c>
      <c r="J257" s="6">
        <v>3886.0</v>
      </c>
    </row>
    <row r="258" ht="56.25" customHeight="1">
      <c r="A258" s="5" t="s">
        <v>22087</v>
      </c>
      <c r="B258" s="6" t="str">
        <f>IMAGE("https://storage.googleapis.com/acdb/other/SeedMumWhite.png")</f>
        <v/>
      </c>
      <c r="C258" s="6">
        <v>240.0</v>
      </c>
      <c r="D258" s="6">
        <v>60.0</v>
      </c>
      <c r="E258" s="5" t="s">
        <v>59</v>
      </c>
      <c r="F258" s="5"/>
      <c r="G258" s="5" t="s">
        <v>244</v>
      </c>
      <c r="H258" s="6" t="s">
        <v>42</v>
      </c>
      <c r="I258" s="5" t="s">
        <v>22094</v>
      </c>
      <c r="J258" s="6">
        <v>3755.0</v>
      </c>
    </row>
    <row r="259" ht="56.25" customHeight="1">
      <c r="A259" s="5" t="s">
        <v>22096</v>
      </c>
      <c r="B259" s="6" t="str">
        <f>IMAGE("https://storage.googleapis.com/acdb/other/PltMum0.png")</f>
        <v/>
      </c>
      <c r="C259" s="6" t="s">
        <v>37</v>
      </c>
      <c r="D259" s="6">
        <v>40.0</v>
      </c>
      <c r="E259" s="5" t="s">
        <v>21201</v>
      </c>
      <c r="F259" s="5"/>
      <c r="G259" s="5" t="s">
        <v>244</v>
      </c>
      <c r="H259" s="6" t="s">
        <v>42</v>
      </c>
      <c r="I259" s="5" t="s">
        <v>22102</v>
      </c>
      <c r="J259" s="6">
        <v>3924.0</v>
      </c>
    </row>
    <row r="260" ht="56.25" customHeight="1">
      <c r="A260" s="5" t="s">
        <v>22105</v>
      </c>
      <c r="B260" s="6" t="str">
        <f>IMAGE("https://storage.googleapis.com/acdb/other/SeedPansyWhite.png")</f>
        <v/>
      </c>
      <c r="C260" s="6">
        <v>240.0</v>
      </c>
      <c r="D260" s="6">
        <v>60.0</v>
      </c>
      <c r="E260" s="5" t="s">
        <v>59</v>
      </c>
      <c r="F260" s="5"/>
      <c r="G260" s="5" t="s">
        <v>244</v>
      </c>
      <c r="H260" s="6" t="s">
        <v>42</v>
      </c>
      <c r="I260" s="5" t="s">
        <v>22112</v>
      </c>
      <c r="J260" s="6">
        <v>2908.0</v>
      </c>
    </row>
    <row r="261" ht="56.25" customHeight="1">
      <c r="A261" s="5" t="s">
        <v>22115</v>
      </c>
      <c r="B261" s="6" t="str">
        <f>IMAGE("https://storage.googleapis.com/acdb/other/PltPansi0.png")</f>
        <v/>
      </c>
      <c r="C261" s="6" t="s">
        <v>37</v>
      </c>
      <c r="D261" s="6">
        <v>40.0</v>
      </c>
      <c r="E261" s="5" t="s">
        <v>21201</v>
      </c>
      <c r="F261" s="5"/>
      <c r="G261" s="5" t="s">
        <v>244</v>
      </c>
      <c r="H261" s="6" t="s">
        <v>42</v>
      </c>
      <c r="I261" s="5" t="s">
        <v>22120</v>
      </c>
      <c r="J261" s="6">
        <v>3850.0</v>
      </c>
    </row>
    <row r="262" ht="56.25" customHeight="1">
      <c r="A262" s="5" t="s">
        <v>22121</v>
      </c>
      <c r="B262" s="6" t="str">
        <f>IMAGE("https://storage.googleapis.com/acdb/other/SeedRoseWhite.png")</f>
        <v/>
      </c>
      <c r="C262" s="6">
        <v>240.0</v>
      </c>
      <c r="D262" s="6">
        <v>60.0</v>
      </c>
      <c r="E262" s="5" t="s">
        <v>59</v>
      </c>
      <c r="F262" s="5"/>
      <c r="G262" s="5" t="s">
        <v>244</v>
      </c>
      <c r="H262" s="6" t="s">
        <v>42</v>
      </c>
      <c r="I262" s="5" t="s">
        <v>22126</v>
      </c>
      <c r="J262" s="6">
        <v>2932.0</v>
      </c>
    </row>
    <row r="263" ht="56.25" customHeight="1">
      <c r="A263" s="5" t="s">
        <v>22127</v>
      </c>
      <c r="B263" s="6" t="str">
        <f>IMAGE("https://storage.googleapis.com/acdb/other/PltRose1.png")</f>
        <v/>
      </c>
      <c r="C263" s="6" t="s">
        <v>37</v>
      </c>
      <c r="D263" s="6">
        <v>40.0</v>
      </c>
      <c r="E263" s="5" t="s">
        <v>21201</v>
      </c>
      <c r="F263" s="5"/>
      <c r="G263" s="5" t="s">
        <v>244</v>
      </c>
      <c r="H263" s="6" t="s">
        <v>42</v>
      </c>
      <c r="I263" s="5" t="s">
        <v>22132</v>
      </c>
      <c r="J263" s="6">
        <v>3862.0</v>
      </c>
    </row>
    <row r="264" ht="56.25" customHeight="1">
      <c r="A264" s="5" t="s">
        <v>22135</v>
      </c>
      <c r="B264" s="6" t="str">
        <f>IMAGE("https://storage.googleapis.com/acdb/other/SeedTulipWhite.png")</f>
        <v/>
      </c>
      <c r="C264" s="6">
        <v>240.0</v>
      </c>
      <c r="D264" s="6">
        <v>60.0</v>
      </c>
      <c r="E264" s="5" t="s">
        <v>59</v>
      </c>
      <c r="F264" s="5"/>
      <c r="G264" s="5" t="s">
        <v>244</v>
      </c>
      <c r="H264" s="6" t="s">
        <v>42</v>
      </c>
      <c r="I264" s="5" t="s">
        <v>22138</v>
      </c>
      <c r="J264" s="6">
        <v>2880.0</v>
      </c>
    </row>
    <row r="265" ht="56.25" customHeight="1">
      <c r="A265" s="5" t="s">
        <v>22140</v>
      </c>
      <c r="B265" s="6" t="str">
        <f>IMAGE("https://storage.googleapis.com/acdb/other/PltTurip1.png")</f>
        <v/>
      </c>
      <c r="C265" s="6" t="s">
        <v>37</v>
      </c>
      <c r="D265" s="6">
        <v>40.0</v>
      </c>
      <c r="E265" s="5" t="s">
        <v>21201</v>
      </c>
      <c r="F265" s="5"/>
      <c r="G265" s="5" t="s">
        <v>244</v>
      </c>
      <c r="H265" s="6" t="s">
        <v>42</v>
      </c>
      <c r="I265" s="5" t="s">
        <v>22145</v>
      </c>
      <c r="J265" s="6">
        <v>3836.0</v>
      </c>
    </row>
    <row r="266" ht="56.25" customHeight="1">
      <c r="A266" s="5" t="s">
        <v>22146</v>
      </c>
      <c r="B266" s="6" t="str">
        <f>IMAGE("https://storage.googleapis.com/acdb/other/SeedAnemonesWhite.png")</f>
        <v/>
      </c>
      <c r="C266" s="6">
        <v>240.0</v>
      </c>
      <c r="D266" s="6">
        <v>60.0</v>
      </c>
      <c r="E266" s="5" t="s">
        <v>59</v>
      </c>
      <c r="F266" s="5"/>
      <c r="G266" s="5" t="s">
        <v>244</v>
      </c>
      <c r="H266" s="6" t="s">
        <v>42</v>
      </c>
      <c r="I266" s="5" t="s">
        <v>22150</v>
      </c>
      <c r="J266" s="6">
        <v>3710.0</v>
      </c>
    </row>
    <row r="267" ht="56.25" customHeight="1">
      <c r="A267" s="5" t="s">
        <v>22153</v>
      </c>
      <c r="B267" s="6" t="str">
        <f>IMAGE("https://storage.googleapis.com/acdb/other/PltAnemone0.png")</f>
        <v/>
      </c>
      <c r="C267" s="6" t="s">
        <v>37</v>
      </c>
      <c r="D267" s="6">
        <v>40.0</v>
      </c>
      <c r="E267" s="5" t="s">
        <v>21201</v>
      </c>
      <c r="F267" s="5"/>
      <c r="G267" s="5" t="s">
        <v>244</v>
      </c>
      <c r="H267" s="6" t="s">
        <v>42</v>
      </c>
      <c r="I267" s="5" t="s">
        <v>22156</v>
      </c>
      <c r="J267" s="6">
        <v>3898.0</v>
      </c>
    </row>
    <row r="268" ht="56.25" customHeight="1">
      <c r="A268" s="5" t="s">
        <v>22158</v>
      </c>
      <c r="B268" s="6" t="str">
        <f>IMAGE("https://storage.googleapis.com/acdb/other/DIYbook3.png")</f>
        <v/>
      </c>
      <c r="C268" s="6">
        <v>6980.0</v>
      </c>
      <c r="D268" s="6" t="s">
        <v>34</v>
      </c>
      <c r="E268" s="5" t="s">
        <v>59</v>
      </c>
      <c r="F268" s="5"/>
      <c r="G268" s="5" t="s">
        <v>34</v>
      </c>
      <c r="H268" s="6" t="s">
        <v>42</v>
      </c>
      <c r="I268" s="5" t="s">
        <v>22162</v>
      </c>
      <c r="J268" s="6">
        <v>5605.0</v>
      </c>
    </row>
    <row r="269" ht="56.25" customHeight="1">
      <c r="A269" s="5" t="s">
        <v>22163</v>
      </c>
      <c r="B269" s="6" t="str">
        <f>IMAGE("https://storage.googleapis.com/acdb/other/YutaroWisp.png")</f>
        <v/>
      </c>
      <c r="C269" s="6" t="s">
        <v>37</v>
      </c>
      <c r="D269" s="6" t="s">
        <v>34</v>
      </c>
      <c r="E269" s="5" t="s">
        <v>22164</v>
      </c>
      <c r="F269" s="5"/>
      <c r="G269" s="5" t="s">
        <v>34</v>
      </c>
      <c r="H269" s="6" t="s">
        <v>42</v>
      </c>
      <c r="I269" s="5" t="s">
        <v>22165</v>
      </c>
      <c r="J269" s="6">
        <v>4702.0</v>
      </c>
    </row>
    <row r="270" ht="56.25" customHeight="1">
      <c r="A270" s="5" t="s">
        <v>19164</v>
      </c>
      <c r="B270" s="6" t="str">
        <f>IMAGE("https://storage.googleapis.com/acdb/other/DIYWoodNormal.png")</f>
        <v/>
      </c>
      <c r="C270" s="6" t="s">
        <v>37</v>
      </c>
      <c r="D270" s="6">
        <v>60.0</v>
      </c>
      <c r="E270" s="5" t="s">
        <v>20898</v>
      </c>
      <c r="F270" s="5"/>
      <c r="G270" s="5" t="s">
        <v>34</v>
      </c>
      <c r="H270" s="6" t="s">
        <v>42</v>
      </c>
      <c r="I270" s="5" t="s">
        <v>22170</v>
      </c>
      <c r="J270" s="6">
        <v>2768.0</v>
      </c>
    </row>
    <row r="271" ht="56.25" customHeight="1">
      <c r="A271" s="5" t="s">
        <v>19146</v>
      </c>
      <c r="B271" s="6" t="str">
        <f>IMAGE("https://storage.googleapis.com/acdb/other/EggForest.png")</f>
        <v/>
      </c>
      <c r="C271" s="6" t="s">
        <v>37</v>
      </c>
      <c r="D271" s="6">
        <v>200.0</v>
      </c>
      <c r="E271" s="5" t="s">
        <v>22171</v>
      </c>
      <c r="F271" s="5"/>
      <c r="G271" s="5" t="s">
        <v>34</v>
      </c>
      <c r="H271" s="6" t="s">
        <v>1410</v>
      </c>
      <c r="I271" s="5" t="s">
        <v>22172</v>
      </c>
      <c r="J271" s="6">
        <v>12512.0</v>
      </c>
    </row>
    <row r="272" ht="56.25" customHeight="1">
      <c r="A272" s="5" t="s">
        <v>19412</v>
      </c>
      <c r="B272" s="6" t="str">
        <f>IMAGE("https://storage.googleapis.com/acdb/other/FlwCosmosYellow.png")</f>
        <v/>
      </c>
      <c r="C272" s="6" t="s">
        <v>37</v>
      </c>
      <c r="D272" s="6">
        <v>40.0</v>
      </c>
      <c r="E272" s="5" t="s">
        <v>20538</v>
      </c>
      <c r="F272" s="5"/>
      <c r="G272" s="5" t="s">
        <v>244</v>
      </c>
      <c r="H272" s="6" t="s">
        <v>42</v>
      </c>
      <c r="I272" s="5" t="s">
        <v>22176</v>
      </c>
      <c r="J272" s="6">
        <v>2863.0</v>
      </c>
    </row>
    <row r="273" ht="56.25" customHeight="1">
      <c r="A273" s="5" t="s">
        <v>19437</v>
      </c>
      <c r="B273" s="6" t="str">
        <f>IMAGE("https://storage.googleapis.com/acdb/other/FlwHyacinthYellow.png")</f>
        <v/>
      </c>
      <c r="C273" s="6" t="s">
        <v>37</v>
      </c>
      <c r="D273" s="6">
        <v>40.0</v>
      </c>
      <c r="E273" s="5" t="s">
        <v>20538</v>
      </c>
      <c r="F273" s="5"/>
      <c r="G273" s="5" t="s">
        <v>244</v>
      </c>
      <c r="H273" s="6" t="s">
        <v>42</v>
      </c>
      <c r="I273" s="5" t="s">
        <v>22181</v>
      </c>
      <c r="J273" s="6">
        <v>3734.0</v>
      </c>
    </row>
    <row r="274" ht="56.25" customHeight="1">
      <c r="A274" s="5" t="s">
        <v>19444</v>
      </c>
      <c r="B274" s="6" t="str">
        <f>IMAGE("https://storage.googleapis.com/acdb/other/FlwYuriYellow.png")</f>
        <v/>
      </c>
      <c r="C274" s="6" t="s">
        <v>37</v>
      </c>
      <c r="D274" s="6">
        <v>40.0</v>
      </c>
      <c r="E274" s="5" t="s">
        <v>20538</v>
      </c>
      <c r="F274" s="5"/>
      <c r="G274" s="5" t="s">
        <v>244</v>
      </c>
      <c r="H274" s="6" t="s">
        <v>42</v>
      </c>
      <c r="I274" s="5" t="s">
        <v>22186</v>
      </c>
      <c r="J274" s="6">
        <v>2987.0</v>
      </c>
    </row>
    <row r="275" ht="56.25" customHeight="1">
      <c r="A275" s="5" t="s">
        <v>19450</v>
      </c>
      <c r="B275" s="6" t="str">
        <f>IMAGE("https://storage.googleapis.com/acdb/other/FlwMumYellow.png")</f>
        <v/>
      </c>
      <c r="C275" s="6" t="s">
        <v>37</v>
      </c>
      <c r="D275" s="6">
        <v>40.0</v>
      </c>
      <c r="E275" s="5" t="s">
        <v>20538</v>
      </c>
      <c r="F275" s="5"/>
      <c r="G275" s="5" t="s">
        <v>244</v>
      </c>
      <c r="H275" s="6" t="s">
        <v>42</v>
      </c>
      <c r="I275" s="5" t="s">
        <v>22188</v>
      </c>
      <c r="J275" s="6">
        <v>3758.0</v>
      </c>
    </row>
    <row r="276" ht="56.25" customHeight="1">
      <c r="A276" s="5" t="s">
        <v>19455</v>
      </c>
      <c r="B276" s="6" t="str">
        <f>IMAGE("https://storage.googleapis.com/acdb/other/FlwPansyYellow.png")</f>
        <v/>
      </c>
      <c r="C276" s="6" t="s">
        <v>37</v>
      </c>
      <c r="D276" s="6">
        <v>40.0</v>
      </c>
      <c r="E276" s="5" t="s">
        <v>20538</v>
      </c>
      <c r="F276" s="5"/>
      <c r="G276" s="5" t="s">
        <v>244</v>
      </c>
      <c r="H276" s="6" t="s">
        <v>42</v>
      </c>
      <c r="I276" s="5" t="s">
        <v>22192</v>
      </c>
      <c r="J276" s="6">
        <v>2915.0</v>
      </c>
    </row>
    <row r="277" ht="56.25" customHeight="1">
      <c r="A277" s="5" t="s">
        <v>19465</v>
      </c>
      <c r="B277" s="6" t="str">
        <f>IMAGE("https://storage.googleapis.com/acdb/other/FlwRoseYellow.png")</f>
        <v/>
      </c>
      <c r="C277" s="6" t="s">
        <v>37</v>
      </c>
      <c r="D277" s="6">
        <v>40.0</v>
      </c>
      <c r="E277" s="5" t="s">
        <v>20538</v>
      </c>
      <c r="F277" s="5"/>
      <c r="G277" s="5" t="s">
        <v>244</v>
      </c>
      <c r="H277" s="6" t="s">
        <v>42</v>
      </c>
      <c r="I277" s="5" t="s">
        <v>22197</v>
      </c>
      <c r="J277" s="6">
        <v>2939.0</v>
      </c>
    </row>
    <row r="278" ht="56.25" customHeight="1">
      <c r="A278" s="5" t="s">
        <v>19476</v>
      </c>
      <c r="B278" s="6" t="str">
        <f>IMAGE("https://storage.googleapis.com/acdb/other/FlwTulipYellow.png")</f>
        <v/>
      </c>
      <c r="C278" s="6" t="s">
        <v>37</v>
      </c>
      <c r="D278" s="6">
        <v>40.0</v>
      </c>
      <c r="E278" s="5" t="s">
        <v>20538</v>
      </c>
      <c r="F278" s="5"/>
      <c r="G278" s="5" t="s">
        <v>244</v>
      </c>
      <c r="H278" s="6" t="s">
        <v>42</v>
      </c>
      <c r="I278" s="5" t="s">
        <v>22198</v>
      </c>
      <c r="J278" s="6">
        <v>2887.0</v>
      </c>
    </row>
    <row r="279" ht="56.25" customHeight="1">
      <c r="A279" s="5" t="s">
        <v>22200</v>
      </c>
      <c r="B279" s="6" t="str">
        <f>IMAGE("https://storage.googleapis.com/acdb/other/WPaperYellow.png")</f>
        <v/>
      </c>
      <c r="C279" s="6">
        <v>160.0</v>
      </c>
      <c r="D279" s="6">
        <v>40.0</v>
      </c>
      <c r="E279" s="5" t="s">
        <v>59</v>
      </c>
      <c r="F279" s="5"/>
      <c r="G279" s="5" t="s">
        <v>34</v>
      </c>
      <c r="H279" s="6" t="s">
        <v>42</v>
      </c>
      <c r="I279" s="5" t="s">
        <v>22203</v>
      </c>
      <c r="J279" s="6">
        <v>7683.0</v>
      </c>
    </row>
    <row r="280" ht="56.25" customHeight="1">
      <c r="A280" s="5" t="s">
        <v>22204</v>
      </c>
      <c r="B280" s="6" t="str">
        <f>IMAGE("https://storage.googleapis.com/acdb/other/SeedCosmosYellow.png")</f>
        <v/>
      </c>
      <c r="C280" s="6">
        <v>240.0</v>
      </c>
      <c r="D280" s="6">
        <v>60.0</v>
      </c>
      <c r="E280" s="5" t="s">
        <v>59</v>
      </c>
      <c r="F280" s="5"/>
      <c r="G280" s="5" t="s">
        <v>244</v>
      </c>
      <c r="H280" s="6" t="s">
        <v>42</v>
      </c>
      <c r="I280" s="5" t="s">
        <v>22206</v>
      </c>
      <c r="J280" s="6">
        <v>2864.0</v>
      </c>
    </row>
    <row r="281" ht="56.25" customHeight="1">
      <c r="A281" s="5" t="s">
        <v>22208</v>
      </c>
      <c r="B281" s="6" t="str">
        <f>IMAGE("https://storage.googleapis.com/acdb/other/PltCosmos2.png")</f>
        <v/>
      </c>
      <c r="C281" s="6" t="s">
        <v>37</v>
      </c>
      <c r="D281" s="6">
        <v>40.0</v>
      </c>
      <c r="E281" s="5" t="s">
        <v>21201</v>
      </c>
      <c r="F281" s="5"/>
      <c r="G281" s="5" t="s">
        <v>244</v>
      </c>
      <c r="H281" s="6" t="s">
        <v>42</v>
      </c>
      <c r="I281" s="5" t="s">
        <v>22211</v>
      </c>
      <c r="J281" s="6">
        <v>3828.0</v>
      </c>
    </row>
    <row r="282" ht="56.25" customHeight="1">
      <c r="A282" s="5" t="s">
        <v>22213</v>
      </c>
      <c r="B282" s="6" t="str">
        <f>IMAGE("https://storage.googleapis.com/acdb/other/SeedHyacinthYellow.png")</f>
        <v/>
      </c>
      <c r="C282" s="6">
        <v>240.0</v>
      </c>
      <c r="D282" s="6">
        <v>60.0</v>
      </c>
      <c r="E282" s="5" t="s">
        <v>59</v>
      </c>
      <c r="F282" s="5"/>
      <c r="G282" s="5" t="s">
        <v>244</v>
      </c>
      <c r="H282" s="6" t="s">
        <v>42</v>
      </c>
      <c r="I282" s="5" t="s">
        <v>22217</v>
      </c>
      <c r="J282" s="6">
        <v>3735.0</v>
      </c>
    </row>
    <row r="283" ht="56.25" customHeight="1">
      <c r="A283" s="5" t="s">
        <v>22218</v>
      </c>
      <c r="B283" s="6" t="str">
        <f>IMAGE("https://storage.googleapis.com/acdb/other/PltHyacinth1.png")</f>
        <v/>
      </c>
      <c r="C283" s="6" t="s">
        <v>37</v>
      </c>
      <c r="D283" s="6">
        <v>40.0</v>
      </c>
      <c r="E283" s="5" t="s">
        <v>21201</v>
      </c>
      <c r="F283" s="5"/>
      <c r="G283" s="5" t="s">
        <v>244</v>
      </c>
      <c r="H283" s="6" t="s">
        <v>42</v>
      </c>
      <c r="I283" s="5" t="s">
        <v>22223</v>
      </c>
      <c r="J283" s="6">
        <v>3912.0</v>
      </c>
    </row>
    <row r="284" ht="56.25" customHeight="1">
      <c r="A284" s="5" t="s">
        <v>22224</v>
      </c>
      <c r="B284" s="6" t="str">
        <f>IMAGE("https://storage.googleapis.com/acdb/other/SeedYuriYellow.png")</f>
        <v/>
      </c>
      <c r="C284" s="6">
        <v>240.0</v>
      </c>
      <c r="D284" s="6">
        <v>60.0</v>
      </c>
      <c r="E284" s="5" t="s">
        <v>59</v>
      </c>
      <c r="F284" s="5"/>
      <c r="G284" s="5" t="s">
        <v>244</v>
      </c>
      <c r="H284" s="6" t="s">
        <v>42</v>
      </c>
      <c r="I284" s="5" t="s">
        <v>22229</v>
      </c>
      <c r="J284" s="6">
        <v>2988.0</v>
      </c>
    </row>
    <row r="285" ht="56.25" customHeight="1">
      <c r="A285" s="5" t="s">
        <v>22230</v>
      </c>
      <c r="B285" s="6" t="str">
        <f>IMAGE("https://storage.googleapis.com/acdb/other/PltYuri1.png")</f>
        <v/>
      </c>
      <c r="C285" s="6" t="s">
        <v>37</v>
      </c>
      <c r="D285" s="6">
        <v>40.0</v>
      </c>
      <c r="E285" s="5" t="s">
        <v>21201</v>
      </c>
      <c r="F285" s="5"/>
      <c r="G285" s="5" t="s">
        <v>244</v>
      </c>
      <c r="H285" s="6" t="s">
        <v>42</v>
      </c>
      <c r="I285" s="5" t="s">
        <v>22233</v>
      </c>
      <c r="J285" s="6">
        <v>3890.0</v>
      </c>
    </row>
    <row r="286" ht="56.25" customHeight="1">
      <c r="A286" s="5" t="s">
        <v>22235</v>
      </c>
      <c r="B286" s="6" t="str">
        <f>IMAGE("https://storage.googleapis.com/acdb/other/SeedMumYellow.png")</f>
        <v/>
      </c>
      <c r="C286" s="6">
        <v>240.0</v>
      </c>
      <c r="D286" s="6">
        <v>60.0</v>
      </c>
      <c r="E286" s="5" t="s">
        <v>59</v>
      </c>
      <c r="F286" s="5"/>
      <c r="G286" s="5" t="s">
        <v>244</v>
      </c>
      <c r="H286" s="6" t="s">
        <v>42</v>
      </c>
      <c r="I286" s="5" t="s">
        <v>22239</v>
      </c>
      <c r="J286" s="6">
        <v>3759.0</v>
      </c>
    </row>
    <row r="287" ht="56.25" customHeight="1">
      <c r="A287" s="5" t="s">
        <v>22241</v>
      </c>
      <c r="B287" s="6" t="str">
        <f>IMAGE("https://storage.googleapis.com/acdb/other/PltMum1.png")</f>
        <v/>
      </c>
      <c r="C287" s="6" t="s">
        <v>37</v>
      </c>
      <c r="D287" s="6">
        <v>40.0</v>
      </c>
      <c r="E287" s="5" t="s">
        <v>21201</v>
      </c>
      <c r="F287" s="5"/>
      <c r="G287" s="5" t="s">
        <v>244</v>
      </c>
      <c r="H287" s="6" t="s">
        <v>42</v>
      </c>
      <c r="I287" s="5" t="s">
        <v>22243</v>
      </c>
      <c r="J287" s="6">
        <v>3926.0</v>
      </c>
    </row>
    <row r="288" ht="56.25" customHeight="1">
      <c r="A288" s="5" t="s">
        <v>22244</v>
      </c>
      <c r="B288" s="6" t="str">
        <f>IMAGE("https://storage.googleapis.com/acdb/other/SeedPansyYellow.png")</f>
        <v/>
      </c>
      <c r="C288" s="6">
        <v>240.0</v>
      </c>
      <c r="D288" s="6">
        <v>60.0</v>
      </c>
      <c r="E288" s="5" t="s">
        <v>59</v>
      </c>
      <c r="F288" s="5"/>
      <c r="G288" s="5" t="s">
        <v>244</v>
      </c>
      <c r="H288" s="6" t="s">
        <v>42</v>
      </c>
      <c r="I288" s="5" t="s">
        <v>22249</v>
      </c>
      <c r="J288" s="6">
        <v>2916.0</v>
      </c>
    </row>
    <row r="289" ht="56.25" customHeight="1">
      <c r="A289" s="5" t="s">
        <v>22250</v>
      </c>
      <c r="B289" s="6" t="str">
        <f>IMAGE("https://storage.googleapis.com/acdb/other/PltPansi1.png")</f>
        <v/>
      </c>
      <c r="C289" s="6" t="s">
        <v>37</v>
      </c>
      <c r="D289" s="6">
        <v>40.0</v>
      </c>
      <c r="E289" s="5" t="s">
        <v>21201</v>
      </c>
      <c r="F289" s="5"/>
      <c r="G289" s="5" t="s">
        <v>244</v>
      </c>
      <c r="H289" s="6" t="s">
        <v>42</v>
      </c>
      <c r="I289" s="5" t="s">
        <v>22254</v>
      </c>
      <c r="J289" s="6">
        <v>3854.0</v>
      </c>
    </row>
    <row r="290" ht="56.25" customHeight="1">
      <c r="A290" s="5" t="s">
        <v>22256</v>
      </c>
      <c r="B290" s="6" t="str">
        <f>IMAGE("https://storage.googleapis.com/acdb/other/SeedRoseYellow.png")</f>
        <v/>
      </c>
      <c r="C290" s="6">
        <v>240.0</v>
      </c>
      <c r="D290" s="6">
        <v>60.0</v>
      </c>
      <c r="E290" s="5" t="s">
        <v>59</v>
      </c>
      <c r="F290" s="5"/>
      <c r="G290" s="5" t="s">
        <v>244</v>
      </c>
      <c r="H290" s="6" t="s">
        <v>42</v>
      </c>
      <c r="I290" s="5" t="s">
        <v>22259</v>
      </c>
      <c r="J290" s="6">
        <v>2940.0</v>
      </c>
    </row>
    <row r="291" ht="56.25" customHeight="1">
      <c r="A291" s="5" t="s">
        <v>22261</v>
      </c>
      <c r="B291" s="6" t="str">
        <f>IMAGE("https://storage.googleapis.com/acdb/other/PltRose2.png")</f>
        <v/>
      </c>
      <c r="C291" s="6" t="s">
        <v>37</v>
      </c>
      <c r="D291" s="6">
        <v>40.0</v>
      </c>
      <c r="E291" s="5" t="s">
        <v>21201</v>
      </c>
      <c r="F291" s="5"/>
      <c r="G291" s="5" t="s">
        <v>244</v>
      </c>
      <c r="H291" s="6" t="s">
        <v>42</v>
      </c>
      <c r="I291" s="5" t="s">
        <v>22263</v>
      </c>
      <c r="J291" s="6">
        <v>3866.0</v>
      </c>
    </row>
    <row r="292" ht="56.25" customHeight="1">
      <c r="A292" s="5" t="s">
        <v>22264</v>
      </c>
      <c r="B292" s="6" t="str">
        <f>IMAGE("https://storage.googleapis.com/acdb/other/SeedTulipYellow.png")</f>
        <v/>
      </c>
      <c r="C292" s="6">
        <v>240.0</v>
      </c>
      <c r="D292" s="6">
        <v>60.0</v>
      </c>
      <c r="E292" s="5" t="s">
        <v>59</v>
      </c>
      <c r="F292" s="5"/>
      <c r="G292" s="5" t="s">
        <v>244</v>
      </c>
      <c r="H292" s="6" t="s">
        <v>42</v>
      </c>
      <c r="I292" s="5" t="s">
        <v>22268</v>
      </c>
      <c r="J292" s="6">
        <v>2888.0</v>
      </c>
    </row>
    <row r="293" ht="56.25" customHeight="1">
      <c r="A293" s="5" t="s">
        <v>22270</v>
      </c>
      <c r="B293" s="6" t="str">
        <f>IMAGE("https://storage.googleapis.com/acdb/other/PltTurip2.png")</f>
        <v/>
      </c>
      <c r="C293" s="6" t="s">
        <v>37</v>
      </c>
      <c r="D293" s="6">
        <v>40.0</v>
      </c>
      <c r="E293" s="5" t="s">
        <v>21201</v>
      </c>
      <c r="F293" s="5"/>
      <c r="G293" s="5" t="s">
        <v>244</v>
      </c>
      <c r="H293" s="6" t="s">
        <v>42</v>
      </c>
      <c r="I293" s="5" t="s">
        <v>22271</v>
      </c>
      <c r="J293" s="6">
        <v>3840.0</v>
      </c>
    </row>
    <row r="294" ht="56.25" customHeight="1">
      <c r="A294" s="5" t="s">
        <v>19138</v>
      </c>
      <c r="B294" s="6" t="str">
        <f>IMAGE("https://storage.googleapis.com/acdb/other/DIYBambooSpring.png")</f>
        <v/>
      </c>
      <c r="C294" s="6" t="s">
        <v>37</v>
      </c>
      <c r="D294" s="6">
        <v>200.0</v>
      </c>
      <c r="E294" s="5" t="s">
        <v>22275</v>
      </c>
      <c r="F294" s="5"/>
      <c r="G294" s="5" t="s">
        <v>34</v>
      </c>
      <c r="H294" s="6" t="s">
        <v>42</v>
      </c>
      <c r="I294" s="5" t="s">
        <v>22276</v>
      </c>
      <c r="J294" s="6">
        <v>5729.0</v>
      </c>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2" width="10.86"/>
    <col customWidth="1" min="3" max="3" width="8.71"/>
    <col customWidth="1" min="4" max="4" width="8.0"/>
    <col customWidth="1" min="5" max="5" width="11.57"/>
    <col customWidth="1" min="6" max="6" width="9.43"/>
    <col customWidth="1" min="7" max="7" width="12.29"/>
    <col customWidth="1" min="8" max="9" width="9.43"/>
    <col customWidth="1" min="10" max="10" width="10.86"/>
  </cols>
  <sheetData>
    <row r="1" ht="26.25" customHeight="1">
      <c r="A1" s="1" t="s">
        <v>0</v>
      </c>
      <c r="B1" s="2" t="s">
        <v>1</v>
      </c>
      <c r="C1" s="4" t="s">
        <v>20569</v>
      </c>
      <c r="D1" s="4" t="s">
        <v>20570</v>
      </c>
      <c r="E1" s="4" t="s">
        <v>20571</v>
      </c>
      <c r="F1" s="52" t="s">
        <v>588</v>
      </c>
      <c r="G1" s="53" t="s">
        <v>20574</v>
      </c>
      <c r="H1" s="52" t="s">
        <v>20576</v>
      </c>
      <c r="I1" s="52" t="s">
        <v>20577</v>
      </c>
      <c r="J1" s="53" t="s">
        <v>27</v>
      </c>
    </row>
    <row r="2" ht="56.25" customHeight="1">
      <c r="A2" s="5" t="s">
        <v>20578</v>
      </c>
      <c r="B2" s="6" t="str">
        <f>IMAGE("https://storage.googleapis.com/acdb/villagers/ant00.png")</f>
        <v/>
      </c>
      <c r="C2" s="8" t="s">
        <v>20580</v>
      </c>
      <c r="D2" s="8" t="s">
        <v>20581</v>
      </c>
      <c r="E2" s="8" t="s">
        <v>19238</v>
      </c>
      <c r="F2" s="54" t="s">
        <v>20582</v>
      </c>
      <c r="G2" s="55" t="s">
        <v>20583</v>
      </c>
      <c r="H2" s="56" t="s">
        <v>1952</v>
      </c>
      <c r="I2" s="57" t="s">
        <v>8746</v>
      </c>
      <c r="J2" s="55" t="s">
        <v>20591</v>
      </c>
    </row>
    <row r="3" ht="56.25" customHeight="1">
      <c r="A3" s="5" t="s">
        <v>20592</v>
      </c>
      <c r="B3" s="6" t="str">
        <f>IMAGE("https://storage.googleapis.com/acdb/villagers/ant01.png")</f>
        <v/>
      </c>
      <c r="C3" s="8" t="s">
        <v>20580</v>
      </c>
      <c r="D3" s="8" t="s">
        <v>20581</v>
      </c>
      <c r="E3" s="8" t="s">
        <v>19128</v>
      </c>
      <c r="F3" s="17" t="s">
        <v>20596</v>
      </c>
      <c r="G3" s="55" t="s">
        <v>20597</v>
      </c>
      <c r="H3" s="58" t="s">
        <v>995</v>
      </c>
      <c r="I3" s="58" t="s">
        <v>995</v>
      </c>
      <c r="J3" s="55" t="s">
        <v>20601</v>
      </c>
    </row>
    <row r="4" ht="56.25" customHeight="1">
      <c r="A4" s="5" t="s">
        <v>20602</v>
      </c>
      <c r="B4" s="6" t="str">
        <f>IMAGE("https://storage.googleapis.com/acdb/villagers/ant02.png")</f>
        <v/>
      </c>
      <c r="C4" s="8" t="s">
        <v>20580</v>
      </c>
      <c r="D4" s="8" t="s">
        <v>20603</v>
      </c>
      <c r="E4" s="8" t="s">
        <v>19196</v>
      </c>
      <c r="F4" s="17" t="s">
        <v>20604</v>
      </c>
      <c r="G4" s="55" t="s">
        <v>20605</v>
      </c>
      <c r="H4" s="59" t="s">
        <v>1059</v>
      </c>
      <c r="I4" s="56" t="s">
        <v>1952</v>
      </c>
      <c r="J4" s="55" t="s">
        <v>20608</v>
      </c>
    </row>
    <row r="5" ht="56.25" customHeight="1">
      <c r="A5" s="5" t="s">
        <v>20609</v>
      </c>
      <c r="B5" s="6" t="str">
        <f>IMAGE("https://storage.googleapis.com/acdb/villagers/ant03.png")</f>
        <v/>
      </c>
      <c r="C5" s="8" t="s">
        <v>20580</v>
      </c>
      <c r="D5" s="8" t="s">
        <v>20603</v>
      </c>
      <c r="E5" s="8" t="s">
        <v>19196</v>
      </c>
      <c r="F5" s="17" t="s">
        <v>20611</v>
      </c>
      <c r="G5" s="55" t="s">
        <v>20613</v>
      </c>
      <c r="H5" s="60" t="s">
        <v>1959</v>
      </c>
      <c r="I5" s="58" t="s">
        <v>995</v>
      </c>
      <c r="J5" s="55" t="s">
        <v>20615</v>
      </c>
    </row>
    <row r="6" ht="56.25" customHeight="1">
      <c r="A6" s="5" t="s">
        <v>19361</v>
      </c>
      <c r="B6" s="6" t="str">
        <f>IMAGE("https://storage.googleapis.com/acdb/villagers/ant06.png")</f>
        <v/>
      </c>
      <c r="C6" s="8" t="s">
        <v>20580</v>
      </c>
      <c r="D6" s="8" t="s">
        <v>20603</v>
      </c>
      <c r="E6" s="8" t="s">
        <v>19361</v>
      </c>
      <c r="F6" s="17" t="s">
        <v>20618</v>
      </c>
      <c r="G6" s="55" t="s">
        <v>20619</v>
      </c>
      <c r="H6" s="58" t="s">
        <v>995</v>
      </c>
      <c r="I6" s="58" t="s">
        <v>995</v>
      </c>
      <c r="J6" s="55" t="s">
        <v>20620</v>
      </c>
    </row>
    <row r="7" ht="56.25" customHeight="1">
      <c r="A7" s="5" t="s">
        <v>20621</v>
      </c>
      <c r="B7" s="6" t="str">
        <f>IMAGE("https://storage.googleapis.com/acdb/villagers/ant08.png")</f>
        <v/>
      </c>
      <c r="C7" s="8" t="s">
        <v>20580</v>
      </c>
      <c r="D7" s="8" t="s">
        <v>20603</v>
      </c>
      <c r="E7" s="8" t="s">
        <v>19161</v>
      </c>
      <c r="F7" s="17" t="s">
        <v>20624</v>
      </c>
      <c r="G7" s="55" t="s">
        <v>20625</v>
      </c>
      <c r="H7" s="59" t="s">
        <v>1059</v>
      </c>
      <c r="I7" s="61" t="s">
        <v>612</v>
      </c>
      <c r="J7" s="55" t="s">
        <v>20626</v>
      </c>
    </row>
    <row r="8" ht="56.25" customHeight="1">
      <c r="A8" s="5" t="s">
        <v>20627</v>
      </c>
      <c r="B8" s="6" t="str">
        <f>IMAGE("https://storage.googleapis.com/acdb/villagers/ant09.png")</f>
        <v/>
      </c>
      <c r="C8" s="8" t="s">
        <v>20580</v>
      </c>
      <c r="D8" s="8" t="s">
        <v>20581</v>
      </c>
      <c r="E8" s="8" t="s">
        <v>19232</v>
      </c>
      <c r="F8" s="17" t="s">
        <v>20629</v>
      </c>
      <c r="G8" s="55" t="s">
        <v>20630</v>
      </c>
      <c r="H8" s="59" t="s">
        <v>1059</v>
      </c>
      <c r="I8" s="61" t="s">
        <v>612</v>
      </c>
      <c r="J8" s="55" t="s">
        <v>20631</v>
      </c>
    </row>
    <row r="9" ht="56.25" customHeight="1">
      <c r="A9" s="5" t="s">
        <v>20632</v>
      </c>
      <c r="B9" s="6" t="str">
        <f>IMAGE("https://storage.googleapis.com/acdb/villagers/bea00.png")</f>
        <v/>
      </c>
      <c r="C9" s="8" t="s">
        <v>442</v>
      </c>
      <c r="D9" s="8" t="s">
        <v>20581</v>
      </c>
      <c r="E9" s="8" t="s">
        <v>19128</v>
      </c>
      <c r="F9" s="17" t="s">
        <v>20634</v>
      </c>
      <c r="G9" s="55" t="s">
        <v>20635</v>
      </c>
      <c r="H9" s="58" t="s">
        <v>995</v>
      </c>
      <c r="I9" s="58" t="s">
        <v>995</v>
      </c>
      <c r="J9" s="55" t="s">
        <v>20637</v>
      </c>
    </row>
    <row r="10" ht="56.25" customHeight="1">
      <c r="A10" s="5" t="s">
        <v>20638</v>
      </c>
      <c r="B10" s="6" t="str">
        <f>IMAGE("https://storage.googleapis.com/acdb/villagers/bea01.png")</f>
        <v/>
      </c>
      <c r="C10" s="8" t="s">
        <v>442</v>
      </c>
      <c r="D10" s="8" t="s">
        <v>20603</v>
      </c>
      <c r="E10" s="8" t="s">
        <v>19196</v>
      </c>
      <c r="F10" s="17" t="s">
        <v>20640</v>
      </c>
      <c r="G10" s="55" t="s">
        <v>20641</v>
      </c>
      <c r="H10" s="60" t="s">
        <v>1959</v>
      </c>
      <c r="I10" s="58" t="s">
        <v>995</v>
      </c>
      <c r="J10" s="55" t="s">
        <v>20642</v>
      </c>
    </row>
    <row r="11" ht="56.25" customHeight="1">
      <c r="A11" s="5" t="s">
        <v>20643</v>
      </c>
      <c r="B11" s="6" t="str">
        <f>IMAGE("https://storage.googleapis.com/acdb/villagers/bea02.png")</f>
        <v/>
      </c>
      <c r="C11" s="8" t="s">
        <v>442</v>
      </c>
      <c r="D11" s="8" t="s">
        <v>20581</v>
      </c>
      <c r="E11" s="8" t="s">
        <v>19238</v>
      </c>
      <c r="F11" s="17" t="s">
        <v>20644</v>
      </c>
      <c r="G11" s="55" t="s">
        <v>20645</v>
      </c>
      <c r="H11" s="56" t="s">
        <v>1952</v>
      </c>
      <c r="I11" s="56" t="s">
        <v>1952</v>
      </c>
      <c r="J11" s="55" t="s">
        <v>20647</v>
      </c>
    </row>
    <row r="12" ht="56.25" customHeight="1">
      <c r="A12" s="5" t="s">
        <v>20648</v>
      </c>
      <c r="B12" s="6" t="str">
        <f>IMAGE("https://storage.googleapis.com/acdb/villagers/bea03.png")</f>
        <v/>
      </c>
      <c r="C12" s="8" t="s">
        <v>442</v>
      </c>
      <c r="D12" s="8" t="s">
        <v>20581</v>
      </c>
      <c r="E12" s="8" t="s">
        <v>19238</v>
      </c>
      <c r="F12" s="17" t="s">
        <v>20650</v>
      </c>
      <c r="G12" s="55" t="s">
        <v>20651</v>
      </c>
      <c r="H12" s="56" t="s">
        <v>1952</v>
      </c>
      <c r="I12" s="61" t="s">
        <v>612</v>
      </c>
      <c r="J12" s="55" t="s">
        <v>20653</v>
      </c>
    </row>
    <row r="13" ht="56.25" customHeight="1">
      <c r="A13" s="5" t="s">
        <v>20654</v>
      </c>
      <c r="B13" s="6" t="str">
        <f>IMAGE("https://storage.googleapis.com/acdb/villagers/bea05.png")</f>
        <v/>
      </c>
      <c r="C13" s="8" t="s">
        <v>442</v>
      </c>
      <c r="D13" s="8" t="s">
        <v>20581</v>
      </c>
      <c r="E13" s="8" t="s">
        <v>19243</v>
      </c>
      <c r="F13" s="17" t="s">
        <v>20657</v>
      </c>
      <c r="G13" s="55" t="s">
        <v>20658</v>
      </c>
      <c r="H13" s="58" t="s">
        <v>995</v>
      </c>
      <c r="I13" s="58" t="s">
        <v>995</v>
      </c>
      <c r="J13" s="55" t="s">
        <v>20659</v>
      </c>
    </row>
    <row r="14" ht="56.25" customHeight="1">
      <c r="A14" s="5" t="s">
        <v>20660</v>
      </c>
      <c r="B14" s="6" t="str">
        <f>IMAGE("https://storage.googleapis.com/acdb/villagers/bea06.png")</f>
        <v/>
      </c>
      <c r="C14" s="8" t="s">
        <v>442</v>
      </c>
      <c r="D14" s="8" t="s">
        <v>20581</v>
      </c>
      <c r="E14" s="8" t="s">
        <v>19238</v>
      </c>
      <c r="F14" s="17" t="s">
        <v>20661</v>
      </c>
      <c r="G14" s="55" t="s">
        <v>20662</v>
      </c>
      <c r="H14" s="56" t="s">
        <v>1952</v>
      </c>
      <c r="I14" s="58" t="s">
        <v>995</v>
      </c>
      <c r="J14" s="55" t="s">
        <v>20664</v>
      </c>
    </row>
    <row r="15" ht="56.25" customHeight="1">
      <c r="A15" s="5" t="s">
        <v>20665</v>
      </c>
      <c r="B15" s="6" t="str">
        <f>IMAGE("https://storage.googleapis.com/acdb/villagers/bea07.png")</f>
        <v/>
      </c>
      <c r="C15" s="8" t="s">
        <v>442</v>
      </c>
      <c r="D15" s="8" t="s">
        <v>20603</v>
      </c>
      <c r="E15" s="8" t="s">
        <v>19196</v>
      </c>
      <c r="F15" s="17" t="s">
        <v>20667</v>
      </c>
      <c r="G15" s="55" t="s">
        <v>20668</v>
      </c>
      <c r="H15" s="60" t="s">
        <v>1959</v>
      </c>
      <c r="I15" s="58" t="s">
        <v>995</v>
      </c>
      <c r="J15" s="55" t="s">
        <v>20669</v>
      </c>
    </row>
    <row r="16" ht="56.25" customHeight="1">
      <c r="A16" s="5" t="s">
        <v>20670</v>
      </c>
      <c r="B16" s="6" t="str">
        <f>IMAGE("https://storage.googleapis.com/acdb/villagers/bea08.png")</f>
        <v/>
      </c>
      <c r="C16" s="8" t="s">
        <v>442</v>
      </c>
      <c r="D16" s="8" t="s">
        <v>20603</v>
      </c>
      <c r="E16" s="8" t="s">
        <v>19205</v>
      </c>
      <c r="F16" s="17" t="s">
        <v>20673</v>
      </c>
      <c r="G16" s="55" t="s">
        <v>20674</v>
      </c>
      <c r="H16" s="58" t="s">
        <v>995</v>
      </c>
      <c r="I16" s="60" t="s">
        <v>1959</v>
      </c>
      <c r="J16" s="55" t="s">
        <v>20676</v>
      </c>
    </row>
    <row r="17" ht="56.25" customHeight="1">
      <c r="A17" s="5" t="s">
        <v>20677</v>
      </c>
      <c r="B17" s="6" t="str">
        <f>IMAGE("https://storage.googleapis.com/acdb/villagers/bea09.png")</f>
        <v/>
      </c>
      <c r="C17" s="8" t="s">
        <v>442</v>
      </c>
      <c r="D17" s="8" t="s">
        <v>20581</v>
      </c>
      <c r="E17" s="8" t="s">
        <v>19238</v>
      </c>
      <c r="F17" s="17" t="s">
        <v>20678</v>
      </c>
      <c r="G17" s="55" t="s">
        <v>20679</v>
      </c>
      <c r="H17" s="56" t="s">
        <v>1952</v>
      </c>
      <c r="I17" s="58" t="s">
        <v>995</v>
      </c>
      <c r="J17" s="55" t="s">
        <v>20680</v>
      </c>
    </row>
    <row r="18" ht="56.25" customHeight="1">
      <c r="A18" s="5" t="s">
        <v>20681</v>
      </c>
      <c r="B18" s="6" t="str">
        <f>IMAGE("https://storage.googleapis.com/acdb/villagers/bea10.png")</f>
        <v/>
      </c>
      <c r="C18" s="8" t="s">
        <v>442</v>
      </c>
      <c r="D18" s="8" t="s">
        <v>20603</v>
      </c>
      <c r="E18" s="8" t="s">
        <v>19205</v>
      </c>
      <c r="F18" s="17" t="s">
        <v>20683</v>
      </c>
      <c r="G18" s="55" t="s">
        <v>20684</v>
      </c>
      <c r="H18" s="60" t="s">
        <v>1959</v>
      </c>
      <c r="I18" s="57" t="s">
        <v>8746</v>
      </c>
      <c r="J18" s="55" t="s">
        <v>20685</v>
      </c>
    </row>
    <row r="19" ht="56.25" customHeight="1">
      <c r="A19" s="5" t="s">
        <v>20686</v>
      </c>
      <c r="B19" s="6" t="str">
        <f>IMAGE("https://storage.googleapis.com/acdb/villagers/bea11.png")</f>
        <v/>
      </c>
      <c r="C19" s="8" t="s">
        <v>442</v>
      </c>
      <c r="D19" s="8" t="s">
        <v>20581</v>
      </c>
      <c r="E19" s="8" t="s">
        <v>19238</v>
      </c>
      <c r="F19" s="17" t="s">
        <v>20689</v>
      </c>
      <c r="G19" s="55" t="s">
        <v>20690</v>
      </c>
      <c r="H19" s="56" t="s">
        <v>1952</v>
      </c>
      <c r="I19" s="56" t="s">
        <v>1952</v>
      </c>
      <c r="J19" s="55" t="s">
        <v>20691</v>
      </c>
    </row>
    <row r="20" ht="56.25" customHeight="1">
      <c r="A20" s="5" t="s">
        <v>20692</v>
      </c>
      <c r="B20" s="6" t="str">
        <f>IMAGE("https://storage.googleapis.com/acdb/villagers/bea12.png")</f>
        <v/>
      </c>
      <c r="C20" s="8" t="s">
        <v>442</v>
      </c>
      <c r="D20" s="8" t="s">
        <v>20603</v>
      </c>
      <c r="E20" s="8" t="s">
        <v>19205</v>
      </c>
      <c r="F20" s="17" t="s">
        <v>20694</v>
      </c>
      <c r="G20" s="55" t="s">
        <v>20695</v>
      </c>
      <c r="H20" s="57" t="s">
        <v>8746</v>
      </c>
      <c r="I20" s="60" t="s">
        <v>1959</v>
      </c>
      <c r="J20" s="55" t="s">
        <v>20697</v>
      </c>
    </row>
    <row r="21" ht="56.25" customHeight="1">
      <c r="A21" s="5" t="s">
        <v>20698</v>
      </c>
      <c r="B21" s="6" t="str">
        <f>IMAGE("https://storage.googleapis.com/acdb/villagers/bea13.png")</f>
        <v/>
      </c>
      <c r="C21" s="8" t="s">
        <v>442</v>
      </c>
      <c r="D21" s="8" t="s">
        <v>20581</v>
      </c>
      <c r="E21" s="8" t="s">
        <v>19232</v>
      </c>
      <c r="F21" s="17" t="s">
        <v>20699</v>
      </c>
      <c r="G21" s="55" t="s">
        <v>20700</v>
      </c>
      <c r="H21" s="59" t="s">
        <v>1059</v>
      </c>
      <c r="I21" s="59" t="s">
        <v>1059</v>
      </c>
      <c r="J21" s="55" t="s">
        <v>20701</v>
      </c>
    </row>
    <row r="22" ht="56.25" customHeight="1">
      <c r="A22" s="5" t="s">
        <v>20703</v>
      </c>
      <c r="B22" s="6" t="str">
        <f>IMAGE("https://storage.googleapis.com/acdb/villagers/bea14.png")</f>
        <v/>
      </c>
      <c r="C22" s="8" t="s">
        <v>442</v>
      </c>
      <c r="D22" s="8" t="s">
        <v>20581</v>
      </c>
      <c r="E22" s="8" t="s">
        <v>19232</v>
      </c>
      <c r="F22" s="17" t="s">
        <v>20705</v>
      </c>
      <c r="G22" s="55" t="s">
        <v>20706</v>
      </c>
      <c r="H22" s="58" t="s">
        <v>995</v>
      </c>
      <c r="I22" s="58" t="s">
        <v>995</v>
      </c>
      <c r="J22" s="55" t="s">
        <v>20707</v>
      </c>
    </row>
    <row r="23" ht="56.25" customHeight="1">
      <c r="A23" s="5" t="s">
        <v>20708</v>
      </c>
      <c r="B23" s="6" t="str">
        <f>IMAGE("https://storage.googleapis.com/acdb/villagers/bea15.png")</f>
        <v/>
      </c>
      <c r="C23" s="8" t="s">
        <v>442</v>
      </c>
      <c r="D23" s="8" t="s">
        <v>20603</v>
      </c>
      <c r="E23" s="8" t="s">
        <v>19161</v>
      </c>
      <c r="F23" s="17" t="s">
        <v>20710</v>
      </c>
      <c r="G23" s="55" t="s">
        <v>20711</v>
      </c>
      <c r="H23" s="60" t="s">
        <v>1959</v>
      </c>
      <c r="I23" s="58" t="s">
        <v>995</v>
      </c>
      <c r="J23" s="55" t="s">
        <v>20712</v>
      </c>
    </row>
    <row r="24" ht="56.25" customHeight="1">
      <c r="A24" s="5" t="s">
        <v>20714</v>
      </c>
      <c r="B24" s="6" t="str">
        <f>IMAGE("https://storage.googleapis.com/acdb/villagers/brd00.png")</f>
        <v/>
      </c>
      <c r="C24" s="8" t="s">
        <v>1210</v>
      </c>
      <c r="D24" s="8" t="s">
        <v>20581</v>
      </c>
      <c r="E24" s="8" t="s">
        <v>19128</v>
      </c>
      <c r="F24" s="17" t="s">
        <v>20715</v>
      </c>
      <c r="G24" s="55" t="s">
        <v>20716</v>
      </c>
      <c r="H24" s="57" t="s">
        <v>8746</v>
      </c>
      <c r="I24" s="57" t="s">
        <v>8746</v>
      </c>
      <c r="J24" s="55" t="s">
        <v>20717</v>
      </c>
    </row>
    <row r="25" ht="56.25" customHeight="1">
      <c r="A25" s="5" t="s">
        <v>20719</v>
      </c>
      <c r="B25" s="6" t="str">
        <f>IMAGE("https://storage.googleapis.com/acdb/villagers/brd01.png")</f>
        <v/>
      </c>
      <c r="C25" s="8" t="s">
        <v>1210</v>
      </c>
      <c r="D25" s="8" t="s">
        <v>20603</v>
      </c>
      <c r="E25" s="8" t="s">
        <v>19361</v>
      </c>
      <c r="F25" s="17" t="s">
        <v>20721</v>
      </c>
      <c r="G25" s="55" t="s">
        <v>20722</v>
      </c>
      <c r="H25" s="59" t="s">
        <v>1059</v>
      </c>
      <c r="I25" s="56" t="s">
        <v>1952</v>
      </c>
      <c r="J25" s="55" t="s">
        <v>20723</v>
      </c>
    </row>
    <row r="26" ht="56.25" customHeight="1">
      <c r="A26" s="5" t="s">
        <v>20725</v>
      </c>
      <c r="B26" s="6" t="str">
        <f>IMAGE("https://storage.googleapis.com/acdb/villagers/brd02.png")</f>
        <v/>
      </c>
      <c r="C26" s="8" t="s">
        <v>1210</v>
      </c>
      <c r="D26" s="8" t="s">
        <v>20581</v>
      </c>
      <c r="E26" s="8" t="s">
        <v>19243</v>
      </c>
      <c r="F26" s="17" t="s">
        <v>20728</v>
      </c>
      <c r="G26" s="55" t="s">
        <v>20729</v>
      </c>
      <c r="H26" s="58" t="s">
        <v>995</v>
      </c>
      <c r="I26" s="58" t="s">
        <v>995</v>
      </c>
      <c r="J26" s="55" t="s">
        <v>20731</v>
      </c>
    </row>
    <row r="27" ht="56.25" customHeight="1">
      <c r="A27" s="5" t="s">
        <v>20733</v>
      </c>
      <c r="B27" s="6" t="str">
        <f>IMAGE("https://storage.googleapis.com/acdb/villagers/brd03.png")</f>
        <v/>
      </c>
      <c r="C27" s="8" t="s">
        <v>1210</v>
      </c>
      <c r="D27" s="8" t="s">
        <v>20603</v>
      </c>
      <c r="E27" s="8" t="s">
        <v>19196</v>
      </c>
      <c r="F27" s="17" t="s">
        <v>20735</v>
      </c>
      <c r="G27" s="55" t="s">
        <v>20737</v>
      </c>
      <c r="H27" s="58" t="s">
        <v>995</v>
      </c>
      <c r="I27" s="60" t="s">
        <v>1959</v>
      </c>
      <c r="J27" s="55" t="s">
        <v>20739</v>
      </c>
    </row>
    <row r="28" ht="56.25" customHeight="1">
      <c r="A28" s="5" t="s">
        <v>20740</v>
      </c>
      <c r="B28" s="6" t="str">
        <f>IMAGE("https://storage.googleapis.com/acdb/villagers/brd04.png")</f>
        <v/>
      </c>
      <c r="C28" s="8" t="s">
        <v>1210</v>
      </c>
      <c r="D28" s="8" t="s">
        <v>20581</v>
      </c>
      <c r="E28" s="8" t="s">
        <v>19128</v>
      </c>
      <c r="F28" s="17" t="s">
        <v>20743</v>
      </c>
      <c r="G28" s="55" t="s">
        <v>20744</v>
      </c>
      <c r="H28" s="57" t="s">
        <v>8746</v>
      </c>
      <c r="I28" s="57" t="s">
        <v>8746</v>
      </c>
      <c r="J28" s="55" t="s">
        <v>20746</v>
      </c>
    </row>
    <row r="29" ht="56.25" customHeight="1">
      <c r="A29" s="5" t="s">
        <v>20747</v>
      </c>
      <c r="B29" s="6" t="str">
        <f>IMAGE("https://storage.googleapis.com/acdb/villagers/brd05.png")</f>
        <v/>
      </c>
      <c r="C29" s="8" t="s">
        <v>1210</v>
      </c>
      <c r="D29" s="8" t="s">
        <v>20603</v>
      </c>
      <c r="E29" s="8" t="s">
        <v>19196</v>
      </c>
      <c r="F29" s="17" t="s">
        <v>20749</v>
      </c>
      <c r="G29" s="55" t="s">
        <v>20750</v>
      </c>
      <c r="H29" s="59" t="s">
        <v>1059</v>
      </c>
      <c r="I29" s="61" t="s">
        <v>612</v>
      </c>
      <c r="J29" s="55" t="s">
        <v>20752</v>
      </c>
    </row>
    <row r="30" ht="56.25" customHeight="1">
      <c r="A30" s="5" t="s">
        <v>20753</v>
      </c>
      <c r="B30" s="6" t="str">
        <f>IMAGE("https://storage.googleapis.com/acdb/villagers/brd06.png")</f>
        <v/>
      </c>
      <c r="C30" s="8" t="s">
        <v>1210</v>
      </c>
      <c r="D30" s="8" t="s">
        <v>20581</v>
      </c>
      <c r="E30" s="8" t="s">
        <v>19238</v>
      </c>
      <c r="F30" s="17" t="s">
        <v>20754</v>
      </c>
      <c r="G30" s="55" t="s">
        <v>20756</v>
      </c>
      <c r="H30" s="56" t="s">
        <v>1952</v>
      </c>
      <c r="I30" s="56" t="s">
        <v>1952</v>
      </c>
      <c r="J30" s="55" t="s">
        <v>20757</v>
      </c>
    </row>
    <row r="31" ht="56.25" customHeight="1">
      <c r="A31" s="5" t="s">
        <v>20758</v>
      </c>
      <c r="B31" s="6" t="str">
        <f>IMAGE("https://storage.googleapis.com/acdb/villagers/brd08.png")</f>
        <v/>
      </c>
      <c r="C31" s="8" t="s">
        <v>1210</v>
      </c>
      <c r="D31" s="8" t="s">
        <v>20603</v>
      </c>
      <c r="E31" s="8" t="s">
        <v>19161</v>
      </c>
      <c r="F31" s="17" t="s">
        <v>20760</v>
      </c>
      <c r="G31" s="55" t="s">
        <v>20761</v>
      </c>
      <c r="H31" s="60" t="s">
        <v>1959</v>
      </c>
      <c r="I31" s="58" t="s">
        <v>995</v>
      </c>
      <c r="J31" s="55" t="s">
        <v>20763</v>
      </c>
    </row>
    <row r="32" ht="56.25" customHeight="1">
      <c r="A32" s="5" t="s">
        <v>20764</v>
      </c>
      <c r="B32" s="6" t="str">
        <f>IMAGE("https://storage.googleapis.com/acdb/villagers/brd11.png")</f>
        <v/>
      </c>
      <c r="C32" s="8" t="s">
        <v>1210</v>
      </c>
      <c r="D32" s="8" t="s">
        <v>20581</v>
      </c>
      <c r="E32" s="8" t="s">
        <v>19243</v>
      </c>
      <c r="F32" s="17" t="s">
        <v>20767</v>
      </c>
      <c r="G32" s="55" t="s">
        <v>20768</v>
      </c>
      <c r="H32" s="58" t="s">
        <v>995</v>
      </c>
      <c r="I32" s="58" t="s">
        <v>995</v>
      </c>
      <c r="J32" s="55" t="s">
        <v>20769</v>
      </c>
    </row>
    <row r="33" ht="56.25" customHeight="1">
      <c r="A33" s="5" t="s">
        <v>20770</v>
      </c>
      <c r="B33" s="6" t="str">
        <f>IMAGE("https://storage.googleapis.com/acdb/villagers/brd15.png")</f>
        <v/>
      </c>
      <c r="C33" s="8" t="s">
        <v>1210</v>
      </c>
      <c r="D33" s="8" t="s">
        <v>20581</v>
      </c>
      <c r="E33" s="8" t="s">
        <v>19232</v>
      </c>
      <c r="F33" s="17" t="s">
        <v>20774</v>
      </c>
      <c r="G33" s="55" t="s">
        <v>20775</v>
      </c>
      <c r="H33" s="57" t="s">
        <v>8746</v>
      </c>
      <c r="I33" s="56" t="s">
        <v>1952</v>
      </c>
      <c r="J33" s="55" t="s">
        <v>20776</v>
      </c>
    </row>
    <row r="34" ht="56.25" customHeight="1">
      <c r="A34" s="5" t="s">
        <v>20778</v>
      </c>
      <c r="B34" s="6" t="str">
        <f>IMAGE("https://storage.googleapis.com/acdb/villagers/brd16.png")</f>
        <v/>
      </c>
      <c r="C34" s="8" t="s">
        <v>1210</v>
      </c>
      <c r="D34" s="8" t="s">
        <v>20581</v>
      </c>
      <c r="E34" s="8" t="s">
        <v>19232</v>
      </c>
      <c r="F34" s="17" t="s">
        <v>20781</v>
      </c>
      <c r="G34" s="55" t="s">
        <v>20782</v>
      </c>
      <c r="H34" s="56" t="s">
        <v>1952</v>
      </c>
      <c r="I34" s="58" t="s">
        <v>995</v>
      </c>
      <c r="J34" s="55" t="s">
        <v>20783</v>
      </c>
    </row>
    <row r="35" ht="56.25" customHeight="1">
      <c r="A35" s="5" t="s">
        <v>20784</v>
      </c>
      <c r="B35" s="6" t="str">
        <f>IMAGE("https://storage.googleapis.com/acdb/villagers/brd17.png")</f>
        <v/>
      </c>
      <c r="C35" s="8" t="s">
        <v>1210</v>
      </c>
      <c r="D35" s="8" t="s">
        <v>20581</v>
      </c>
      <c r="E35" s="8" t="s">
        <v>19128</v>
      </c>
      <c r="F35" s="17" t="s">
        <v>20786</v>
      </c>
      <c r="G35" s="55" t="s">
        <v>20787</v>
      </c>
      <c r="H35" s="58" t="s">
        <v>995</v>
      </c>
      <c r="I35" s="57" t="s">
        <v>8746</v>
      </c>
      <c r="J35" s="55" t="s">
        <v>20789</v>
      </c>
    </row>
    <row r="36" ht="56.25" customHeight="1">
      <c r="A36" s="5" t="s">
        <v>20790</v>
      </c>
      <c r="B36" s="6" t="str">
        <f>IMAGE("https://storage.googleapis.com/acdb/villagers/brd18.png")</f>
        <v/>
      </c>
      <c r="C36" s="8" t="s">
        <v>1210</v>
      </c>
      <c r="D36" s="8" t="s">
        <v>20581</v>
      </c>
      <c r="E36" s="8" t="s">
        <v>19128</v>
      </c>
      <c r="F36" s="17" t="s">
        <v>20794</v>
      </c>
      <c r="G36" s="55" t="s">
        <v>20795</v>
      </c>
      <c r="H36" s="57" t="s">
        <v>8746</v>
      </c>
      <c r="I36" s="58" t="s">
        <v>995</v>
      </c>
      <c r="J36" s="55" t="s">
        <v>20797</v>
      </c>
    </row>
    <row r="37" ht="56.25" customHeight="1">
      <c r="A37" s="5" t="s">
        <v>20798</v>
      </c>
      <c r="B37" s="6" t="str">
        <f>IMAGE("https://storage.googleapis.com/acdb/villagers/bul00.png")</f>
        <v/>
      </c>
      <c r="C37" s="8" t="s">
        <v>20800</v>
      </c>
      <c r="D37" s="8" t="s">
        <v>20581</v>
      </c>
      <c r="E37" s="8" t="s">
        <v>19238</v>
      </c>
      <c r="F37" s="17" t="s">
        <v>20802</v>
      </c>
      <c r="G37" s="55" t="s">
        <v>20803</v>
      </c>
      <c r="H37" s="56" t="s">
        <v>1952</v>
      </c>
      <c r="I37" s="56" t="s">
        <v>1952</v>
      </c>
      <c r="J37" s="55" t="s">
        <v>20804</v>
      </c>
    </row>
    <row r="38" ht="56.25" customHeight="1">
      <c r="A38" s="5" t="s">
        <v>20805</v>
      </c>
      <c r="B38" s="6" t="str">
        <f>IMAGE("https://storage.googleapis.com/acdb/villagers/bul01.png")</f>
        <v/>
      </c>
      <c r="C38" s="8" t="s">
        <v>20800</v>
      </c>
      <c r="D38" s="8" t="s">
        <v>20581</v>
      </c>
      <c r="E38" s="8" t="s">
        <v>19243</v>
      </c>
      <c r="F38" s="17" t="s">
        <v>20808</v>
      </c>
      <c r="G38" s="55" t="s">
        <v>20809</v>
      </c>
      <c r="H38" s="58" t="s">
        <v>995</v>
      </c>
      <c r="I38" s="56" t="s">
        <v>1952</v>
      </c>
      <c r="J38" s="55" t="s">
        <v>20810</v>
      </c>
    </row>
    <row r="39" ht="56.25" customHeight="1">
      <c r="A39" s="5" t="s">
        <v>20811</v>
      </c>
      <c r="B39" s="6" t="str">
        <f>IMAGE("https://storage.googleapis.com/acdb/villagers/bul03.png")</f>
        <v/>
      </c>
      <c r="C39" s="8" t="s">
        <v>20800</v>
      </c>
      <c r="D39" s="8" t="s">
        <v>20581</v>
      </c>
      <c r="E39" s="8" t="s">
        <v>19243</v>
      </c>
      <c r="F39" s="17" t="s">
        <v>20814</v>
      </c>
      <c r="G39" s="55" t="s">
        <v>20815</v>
      </c>
      <c r="H39" s="58" t="s">
        <v>995</v>
      </c>
      <c r="I39" s="58" t="s">
        <v>995</v>
      </c>
      <c r="J39" s="55" t="s">
        <v>20816</v>
      </c>
    </row>
    <row r="40" ht="56.25" customHeight="1">
      <c r="A40" s="5" t="s">
        <v>20817</v>
      </c>
      <c r="B40" s="6" t="str">
        <f>IMAGE("https://storage.googleapis.com/acdb/villagers/bul05.png")</f>
        <v/>
      </c>
      <c r="C40" s="8" t="s">
        <v>20800</v>
      </c>
      <c r="D40" s="8" t="s">
        <v>20581</v>
      </c>
      <c r="E40" s="8" t="s">
        <v>19238</v>
      </c>
      <c r="F40" s="17" t="s">
        <v>20820</v>
      </c>
      <c r="G40" s="55" t="s">
        <v>20821</v>
      </c>
      <c r="H40" s="56" t="s">
        <v>1952</v>
      </c>
      <c r="I40" s="58" t="s">
        <v>995</v>
      </c>
      <c r="J40" s="55" t="s">
        <v>20823</v>
      </c>
    </row>
    <row r="41" ht="56.25" customHeight="1">
      <c r="A41" s="5" t="s">
        <v>20825</v>
      </c>
      <c r="B41" s="6" t="str">
        <f>IMAGE("https://storage.googleapis.com/acdb/villagers/bul07.png")</f>
        <v/>
      </c>
      <c r="C41" s="8" t="s">
        <v>20800</v>
      </c>
      <c r="D41" s="8" t="s">
        <v>20581</v>
      </c>
      <c r="E41" s="8" t="s">
        <v>19128</v>
      </c>
      <c r="F41" s="17" t="s">
        <v>20826</v>
      </c>
      <c r="G41" s="55" t="s">
        <v>20827</v>
      </c>
      <c r="H41" s="57" t="s">
        <v>8746</v>
      </c>
      <c r="I41" s="57" t="s">
        <v>8746</v>
      </c>
      <c r="J41" s="55" t="s">
        <v>20830</v>
      </c>
    </row>
    <row r="42" ht="56.25" customHeight="1">
      <c r="A42" s="5" t="s">
        <v>20831</v>
      </c>
      <c r="B42" s="6" t="str">
        <f>IMAGE("https://storage.googleapis.com/acdb/villagers/bul08.png")</f>
        <v/>
      </c>
      <c r="C42" s="8" t="s">
        <v>20800</v>
      </c>
      <c r="D42" s="8" t="s">
        <v>20581</v>
      </c>
      <c r="E42" s="8" t="s">
        <v>19238</v>
      </c>
      <c r="F42" s="17" t="s">
        <v>20832</v>
      </c>
      <c r="G42" s="55" t="s">
        <v>20834</v>
      </c>
      <c r="H42" s="56" t="s">
        <v>1952</v>
      </c>
      <c r="I42" s="57" t="s">
        <v>8746</v>
      </c>
      <c r="J42" s="55" t="s">
        <v>20835</v>
      </c>
    </row>
    <row r="43" ht="56.25" customHeight="1">
      <c r="A43" s="5" t="s">
        <v>20836</v>
      </c>
      <c r="B43" s="6" t="str">
        <f>IMAGE("https://storage.googleapis.com/acdb/villagers/cat00.png")</f>
        <v/>
      </c>
      <c r="C43" s="8" t="s">
        <v>3406</v>
      </c>
      <c r="D43" s="8" t="s">
        <v>20581</v>
      </c>
      <c r="E43" s="8" t="s">
        <v>19243</v>
      </c>
      <c r="F43" s="17" t="s">
        <v>20838</v>
      </c>
      <c r="G43" s="55" t="s">
        <v>20839</v>
      </c>
      <c r="H43" s="58" t="s">
        <v>995</v>
      </c>
      <c r="I43" s="60" t="s">
        <v>1959</v>
      </c>
      <c r="J43" s="55" t="s">
        <v>20840</v>
      </c>
    </row>
    <row r="44" ht="56.25" customHeight="1">
      <c r="A44" s="5" t="s">
        <v>20841</v>
      </c>
      <c r="B44" s="6" t="str">
        <f>IMAGE("https://storage.googleapis.com/acdb/villagers/cat01.png")</f>
        <v/>
      </c>
      <c r="C44" s="8" t="s">
        <v>3406</v>
      </c>
      <c r="D44" s="8" t="s">
        <v>20603</v>
      </c>
      <c r="E44" s="8" t="s">
        <v>19161</v>
      </c>
      <c r="F44" s="17" t="s">
        <v>20844</v>
      </c>
      <c r="G44" s="55" t="s">
        <v>20845</v>
      </c>
      <c r="H44" s="58" t="s">
        <v>995</v>
      </c>
      <c r="I44" s="58" t="s">
        <v>995</v>
      </c>
      <c r="J44" s="55" t="s">
        <v>20846</v>
      </c>
    </row>
    <row r="45" ht="56.25" customHeight="1">
      <c r="A45" s="5" t="s">
        <v>20847</v>
      </c>
      <c r="B45" s="6" t="str">
        <f>IMAGE("https://storage.googleapis.com/acdb/villagers/cat02.png")</f>
        <v/>
      </c>
      <c r="C45" s="8" t="s">
        <v>3406</v>
      </c>
      <c r="D45" s="8" t="s">
        <v>20603</v>
      </c>
      <c r="E45" s="8" t="s">
        <v>19196</v>
      </c>
      <c r="F45" s="17" t="s">
        <v>20849</v>
      </c>
      <c r="G45" s="55" t="s">
        <v>20850</v>
      </c>
      <c r="H45" s="60" t="s">
        <v>1959</v>
      </c>
      <c r="I45" s="60" t="s">
        <v>1959</v>
      </c>
      <c r="J45" s="55" t="s">
        <v>20851</v>
      </c>
    </row>
    <row r="46" ht="56.25" customHeight="1">
      <c r="A46" s="5" t="s">
        <v>20852</v>
      </c>
      <c r="B46" s="6" t="str">
        <f>IMAGE("https://storage.googleapis.com/acdb/villagers/cat03.png")</f>
        <v/>
      </c>
      <c r="C46" s="8" t="s">
        <v>3406</v>
      </c>
      <c r="D46" s="8" t="s">
        <v>20603</v>
      </c>
      <c r="E46" s="8" t="s">
        <v>19361</v>
      </c>
      <c r="F46" s="17" t="s">
        <v>20854</v>
      </c>
      <c r="G46" s="55" t="s">
        <v>20855</v>
      </c>
      <c r="H46" s="56" t="s">
        <v>1952</v>
      </c>
      <c r="I46" s="59" t="s">
        <v>1059</v>
      </c>
      <c r="J46" s="55" t="s">
        <v>20857</v>
      </c>
    </row>
    <row r="47" ht="56.25" customHeight="1">
      <c r="A47" s="5" t="s">
        <v>20858</v>
      </c>
      <c r="B47" s="6" t="str">
        <f>IMAGE("https://storage.googleapis.com/acdb/villagers/cat04.png")</f>
        <v/>
      </c>
      <c r="C47" s="8" t="s">
        <v>3406</v>
      </c>
      <c r="D47" s="8" t="s">
        <v>20603</v>
      </c>
      <c r="E47" s="8" t="s">
        <v>19161</v>
      </c>
      <c r="F47" s="17" t="s">
        <v>20859</v>
      </c>
      <c r="G47" s="55" t="s">
        <v>20860</v>
      </c>
      <c r="H47" s="58" t="s">
        <v>995</v>
      </c>
      <c r="I47" s="58" t="s">
        <v>995</v>
      </c>
      <c r="J47" s="55" t="s">
        <v>20861</v>
      </c>
    </row>
    <row r="48" ht="56.25" customHeight="1">
      <c r="A48" s="5" t="s">
        <v>20862</v>
      </c>
      <c r="B48" s="6" t="str">
        <f>IMAGE("https://storage.googleapis.com/acdb/villagers/cat05.png")</f>
        <v/>
      </c>
      <c r="C48" s="8" t="s">
        <v>3406</v>
      </c>
      <c r="D48" s="8" t="s">
        <v>20603</v>
      </c>
      <c r="E48" s="8" t="s">
        <v>19196</v>
      </c>
      <c r="F48" s="17" t="s">
        <v>20865</v>
      </c>
      <c r="G48" s="55" t="s">
        <v>20866</v>
      </c>
      <c r="H48" s="58" t="s">
        <v>995</v>
      </c>
      <c r="I48" s="60" t="s">
        <v>1959</v>
      </c>
      <c r="J48" s="55" t="s">
        <v>20867</v>
      </c>
    </row>
    <row r="49" ht="56.25" customHeight="1">
      <c r="A49" s="5" t="s">
        <v>20869</v>
      </c>
      <c r="B49" s="6" t="str">
        <f>IMAGE("https://storage.googleapis.com/acdb/villagers/cat06.png")</f>
        <v/>
      </c>
      <c r="C49" s="8" t="s">
        <v>3406</v>
      </c>
      <c r="D49" s="8" t="s">
        <v>20581</v>
      </c>
      <c r="E49" s="8" t="s">
        <v>19243</v>
      </c>
      <c r="F49" s="17" t="s">
        <v>20871</v>
      </c>
      <c r="G49" s="55" t="s">
        <v>20872</v>
      </c>
      <c r="H49" s="58" t="s">
        <v>995</v>
      </c>
      <c r="I49" s="58" t="s">
        <v>995</v>
      </c>
      <c r="J49" s="55" t="s">
        <v>20874</v>
      </c>
    </row>
    <row r="50" ht="56.25" customHeight="1">
      <c r="A50" s="5" t="s">
        <v>20875</v>
      </c>
      <c r="B50" s="6" t="str">
        <f>IMAGE("https://storage.googleapis.com/acdb/villagers/cat07.png")</f>
        <v/>
      </c>
      <c r="C50" s="8" t="s">
        <v>3406</v>
      </c>
      <c r="D50" s="8" t="s">
        <v>20603</v>
      </c>
      <c r="E50" s="8" t="s">
        <v>19361</v>
      </c>
      <c r="F50" s="17" t="s">
        <v>20878</v>
      </c>
      <c r="G50" s="55" t="s">
        <v>20879</v>
      </c>
      <c r="H50" s="56" t="s">
        <v>1952</v>
      </c>
      <c r="I50" s="59" t="s">
        <v>1059</v>
      </c>
      <c r="J50" s="55" t="s">
        <v>20881</v>
      </c>
    </row>
    <row r="51" ht="56.25" customHeight="1">
      <c r="A51" s="5" t="s">
        <v>20882</v>
      </c>
      <c r="B51" s="6" t="str">
        <f>IMAGE("https://storage.googleapis.com/acdb/villagers/cat08.png")</f>
        <v/>
      </c>
      <c r="C51" s="8" t="s">
        <v>3406</v>
      </c>
      <c r="D51" s="8" t="s">
        <v>20581</v>
      </c>
      <c r="E51" s="8" t="s">
        <v>19243</v>
      </c>
      <c r="F51" s="17" t="s">
        <v>20884</v>
      </c>
      <c r="G51" s="55" t="s">
        <v>20885</v>
      </c>
      <c r="H51" s="57" t="s">
        <v>8746</v>
      </c>
      <c r="I51" s="58" t="s">
        <v>995</v>
      </c>
      <c r="J51" s="55" t="s">
        <v>20887</v>
      </c>
    </row>
    <row r="52" ht="56.25" customHeight="1">
      <c r="A52" s="5" t="s">
        <v>20888</v>
      </c>
      <c r="B52" s="6" t="str">
        <f>IMAGE("https://storage.googleapis.com/acdb/villagers/cat09.png")</f>
        <v/>
      </c>
      <c r="C52" s="8" t="s">
        <v>3406</v>
      </c>
      <c r="D52" s="8" t="s">
        <v>20581</v>
      </c>
      <c r="E52" s="8" t="s">
        <v>19238</v>
      </c>
      <c r="F52" s="17" t="s">
        <v>20891</v>
      </c>
      <c r="G52" s="55" t="s">
        <v>20892</v>
      </c>
      <c r="H52" s="58" t="s">
        <v>995</v>
      </c>
      <c r="I52" s="58" t="s">
        <v>995</v>
      </c>
      <c r="J52" s="55" t="s">
        <v>20893</v>
      </c>
    </row>
    <row r="53" ht="56.25" customHeight="1">
      <c r="A53" s="5" t="s">
        <v>20894</v>
      </c>
      <c r="B53" s="6" t="str">
        <f>IMAGE("https://storage.googleapis.com/acdb/villagers/cat10.png")</f>
        <v/>
      </c>
      <c r="C53" s="8" t="s">
        <v>3406</v>
      </c>
      <c r="D53" s="8" t="s">
        <v>20581</v>
      </c>
      <c r="E53" s="8" t="s">
        <v>19128</v>
      </c>
      <c r="F53" s="17" t="s">
        <v>20897</v>
      </c>
      <c r="G53" s="55" t="s">
        <v>20899</v>
      </c>
      <c r="H53" s="57" t="s">
        <v>8746</v>
      </c>
      <c r="I53" s="58" t="s">
        <v>995</v>
      </c>
      <c r="J53" s="55" t="s">
        <v>20901</v>
      </c>
    </row>
    <row r="54" ht="56.25" customHeight="1">
      <c r="A54" s="5" t="s">
        <v>20903</v>
      </c>
      <c r="B54" s="6" t="str">
        <f>IMAGE("https://storage.googleapis.com/acdb/villagers/cat11.png")</f>
        <v/>
      </c>
      <c r="C54" s="8" t="s">
        <v>3406</v>
      </c>
      <c r="D54" s="8" t="s">
        <v>20603</v>
      </c>
      <c r="E54" s="8" t="s">
        <v>19361</v>
      </c>
      <c r="F54" s="17" t="s">
        <v>20905</v>
      </c>
      <c r="G54" s="55" t="s">
        <v>20906</v>
      </c>
      <c r="H54" s="61" t="s">
        <v>612</v>
      </c>
      <c r="I54" s="59" t="s">
        <v>1059</v>
      </c>
      <c r="J54" s="55" t="s">
        <v>20909</v>
      </c>
    </row>
    <row r="55" ht="56.25" customHeight="1">
      <c r="A55" s="5" t="s">
        <v>20910</v>
      </c>
      <c r="B55" s="6" t="str">
        <f>IMAGE("https://storage.googleapis.com/acdb/villagers/cat12.png")</f>
        <v/>
      </c>
      <c r="C55" s="8" t="s">
        <v>3406</v>
      </c>
      <c r="D55" s="8" t="s">
        <v>20603</v>
      </c>
      <c r="E55" s="8" t="s">
        <v>19196</v>
      </c>
      <c r="F55" s="17" t="s">
        <v>20911</v>
      </c>
      <c r="G55" s="55" t="s">
        <v>20912</v>
      </c>
      <c r="H55" s="57" t="s">
        <v>8746</v>
      </c>
      <c r="I55" s="56" t="s">
        <v>1952</v>
      </c>
      <c r="J55" s="55" t="s">
        <v>20915</v>
      </c>
    </row>
    <row r="56" ht="56.25" customHeight="1">
      <c r="A56" s="5" t="s">
        <v>20916</v>
      </c>
      <c r="B56" s="6" t="str">
        <f>IMAGE("https://storage.googleapis.com/acdb/villagers/cat13.png")</f>
        <v/>
      </c>
      <c r="C56" s="8" t="s">
        <v>3406</v>
      </c>
      <c r="D56" s="8" t="s">
        <v>20581</v>
      </c>
      <c r="E56" s="8" t="s">
        <v>19128</v>
      </c>
      <c r="F56" s="17" t="s">
        <v>20917</v>
      </c>
      <c r="G56" s="55" t="s">
        <v>20919</v>
      </c>
      <c r="H56" s="57" t="s">
        <v>8746</v>
      </c>
      <c r="I56" s="58" t="s">
        <v>995</v>
      </c>
      <c r="J56" s="55" t="s">
        <v>20920</v>
      </c>
    </row>
    <row r="57" ht="56.25" customHeight="1">
      <c r="A57" s="5" t="s">
        <v>20921</v>
      </c>
      <c r="B57" s="6" t="str">
        <f>IMAGE("https://storage.googleapis.com/acdb/villagers/cat14.png")</f>
        <v/>
      </c>
      <c r="C57" s="8" t="s">
        <v>3406</v>
      </c>
      <c r="D57" s="8" t="s">
        <v>20603</v>
      </c>
      <c r="E57" s="8" t="s">
        <v>19361</v>
      </c>
      <c r="F57" s="17" t="s">
        <v>20922</v>
      </c>
      <c r="G57" s="55" t="s">
        <v>20923</v>
      </c>
      <c r="H57" s="59" t="s">
        <v>1059</v>
      </c>
      <c r="I57" s="61" t="s">
        <v>612</v>
      </c>
      <c r="J57" s="55" t="s">
        <v>20924</v>
      </c>
    </row>
    <row r="58" ht="56.25" customHeight="1">
      <c r="A58" s="5" t="s">
        <v>20925</v>
      </c>
      <c r="B58" s="6" t="str">
        <f>IMAGE("https://storage.googleapis.com/acdb/villagers/cat15.png")</f>
        <v/>
      </c>
      <c r="C58" s="8" t="s">
        <v>3406</v>
      </c>
      <c r="D58" s="8" t="s">
        <v>20581</v>
      </c>
      <c r="E58" s="8" t="s">
        <v>19238</v>
      </c>
      <c r="F58" s="17" t="s">
        <v>20928</v>
      </c>
      <c r="G58" s="55" t="s">
        <v>20929</v>
      </c>
      <c r="H58" s="56" t="s">
        <v>1952</v>
      </c>
      <c r="I58" s="58" t="s">
        <v>995</v>
      </c>
      <c r="J58" s="55" t="s">
        <v>20930</v>
      </c>
    </row>
    <row r="59" ht="56.25" customHeight="1">
      <c r="A59" s="5" t="s">
        <v>20931</v>
      </c>
      <c r="B59" s="6" t="str">
        <f>IMAGE("https://storage.googleapis.com/acdb/villagers/cat16.png")</f>
        <v/>
      </c>
      <c r="C59" s="8" t="s">
        <v>3406</v>
      </c>
      <c r="D59" s="8" t="s">
        <v>20603</v>
      </c>
      <c r="E59" s="8" t="s">
        <v>19196</v>
      </c>
      <c r="F59" s="17" t="s">
        <v>20934</v>
      </c>
      <c r="G59" s="55" t="s">
        <v>20935</v>
      </c>
      <c r="H59" s="60" t="s">
        <v>1959</v>
      </c>
      <c r="I59" s="60" t="s">
        <v>1959</v>
      </c>
      <c r="J59" s="55" t="s">
        <v>20936</v>
      </c>
    </row>
    <row r="60" ht="56.25" customHeight="1">
      <c r="A60" s="5" t="s">
        <v>20937</v>
      </c>
      <c r="B60" s="6" t="str">
        <f>IMAGE("https://storage.googleapis.com/acdb/villagers/cat17.png")</f>
        <v/>
      </c>
      <c r="C60" s="8" t="s">
        <v>3406</v>
      </c>
      <c r="D60" s="8" t="s">
        <v>20603</v>
      </c>
      <c r="E60" s="8" t="s">
        <v>19196</v>
      </c>
      <c r="F60" s="17" t="s">
        <v>20939</v>
      </c>
      <c r="G60" s="55" t="s">
        <v>20940</v>
      </c>
      <c r="H60" s="60" t="s">
        <v>1959</v>
      </c>
      <c r="I60" s="60" t="s">
        <v>1959</v>
      </c>
      <c r="J60" s="55" t="s">
        <v>20942</v>
      </c>
    </row>
    <row r="61" ht="56.25" customHeight="1">
      <c r="A61" s="5" t="s">
        <v>20943</v>
      </c>
      <c r="B61" s="6" t="str">
        <f>IMAGE("https://storage.googleapis.com/acdb/villagers/cat18.png")</f>
        <v/>
      </c>
      <c r="C61" s="8" t="s">
        <v>3406</v>
      </c>
      <c r="D61" s="8" t="s">
        <v>20603</v>
      </c>
      <c r="E61" s="8" t="s">
        <v>19161</v>
      </c>
      <c r="F61" s="17" t="s">
        <v>20944</v>
      </c>
      <c r="G61" s="55" t="s">
        <v>20945</v>
      </c>
      <c r="H61" s="58" t="s">
        <v>995</v>
      </c>
      <c r="I61" s="58" t="s">
        <v>995</v>
      </c>
      <c r="J61" s="55" t="s">
        <v>20947</v>
      </c>
    </row>
    <row r="62" ht="56.25" customHeight="1">
      <c r="A62" s="5" t="s">
        <v>20948</v>
      </c>
      <c r="B62" s="6" t="str">
        <f>IMAGE("https://storage.googleapis.com/acdb/villagers/cat19.png")</f>
        <v/>
      </c>
      <c r="C62" s="8" t="s">
        <v>3406</v>
      </c>
      <c r="D62" s="8" t="s">
        <v>20603</v>
      </c>
      <c r="E62" s="8" t="s">
        <v>19361</v>
      </c>
      <c r="F62" s="17" t="s">
        <v>20950</v>
      </c>
      <c r="G62" s="55" t="s">
        <v>20951</v>
      </c>
      <c r="H62" s="61" t="s">
        <v>612</v>
      </c>
      <c r="I62" s="58" t="s">
        <v>995</v>
      </c>
      <c r="J62" s="55" t="s">
        <v>20952</v>
      </c>
    </row>
    <row r="63" ht="56.25" customHeight="1">
      <c r="A63" s="5" t="s">
        <v>20953</v>
      </c>
      <c r="B63" s="6" t="str">
        <f>IMAGE("https://storage.googleapis.com/acdb/villagers/cat20.png")</f>
        <v/>
      </c>
      <c r="C63" s="8" t="s">
        <v>3406</v>
      </c>
      <c r="D63" s="8" t="s">
        <v>20581</v>
      </c>
      <c r="E63" s="8" t="s">
        <v>19128</v>
      </c>
      <c r="F63" s="17" t="s">
        <v>20956</v>
      </c>
      <c r="G63" s="55" t="s">
        <v>1786</v>
      </c>
      <c r="H63" s="57" t="s">
        <v>8746</v>
      </c>
      <c r="I63" s="58" t="s">
        <v>995</v>
      </c>
      <c r="J63" s="55" t="s">
        <v>20957</v>
      </c>
    </row>
    <row r="64" ht="56.25" customHeight="1">
      <c r="A64" s="5" t="s">
        <v>20958</v>
      </c>
      <c r="B64" s="6" t="str">
        <f>IMAGE("https://storage.googleapis.com/acdb/villagers/cat21.png")</f>
        <v/>
      </c>
      <c r="C64" s="8" t="s">
        <v>3406</v>
      </c>
      <c r="D64" s="8" t="s">
        <v>20603</v>
      </c>
      <c r="E64" s="8" t="s">
        <v>19205</v>
      </c>
      <c r="F64" s="17" t="s">
        <v>20961</v>
      </c>
      <c r="G64" s="55" t="s">
        <v>20962</v>
      </c>
      <c r="H64" s="56" t="s">
        <v>1952</v>
      </c>
      <c r="I64" s="56" t="s">
        <v>1952</v>
      </c>
      <c r="J64" s="55" t="s">
        <v>20963</v>
      </c>
    </row>
    <row r="65" ht="56.25" customHeight="1">
      <c r="A65" s="5" t="s">
        <v>20964</v>
      </c>
      <c r="B65" s="6" t="str">
        <f>IMAGE("https://storage.googleapis.com/acdb/villagers/cat23.png")</f>
        <v/>
      </c>
      <c r="C65" s="8" t="s">
        <v>3406</v>
      </c>
      <c r="D65" s="8" t="s">
        <v>20581</v>
      </c>
      <c r="E65" s="8" t="s">
        <v>19232</v>
      </c>
      <c r="F65" s="17" t="s">
        <v>20965</v>
      </c>
      <c r="G65" s="55" t="s">
        <v>20967</v>
      </c>
      <c r="H65" s="59" t="s">
        <v>1059</v>
      </c>
      <c r="I65" s="56" t="s">
        <v>1952</v>
      </c>
      <c r="J65" s="55" t="s">
        <v>20968</v>
      </c>
    </row>
    <row r="66" ht="56.25" customHeight="1">
      <c r="A66" s="5" t="s">
        <v>20969</v>
      </c>
      <c r="B66" s="6" t="str">
        <f>IMAGE("https://storage.googleapis.com/acdb/villagers/cbr00.png")</f>
        <v/>
      </c>
      <c r="C66" s="8" t="s">
        <v>20972</v>
      </c>
      <c r="D66" s="8" t="s">
        <v>20603</v>
      </c>
      <c r="E66" s="8" t="s">
        <v>19196</v>
      </c>
      <c r="F66" s="17" t="s">
        <v>20973</v>
      </c>
      <c r="G66" s="55" t="s">
        <v>4063</v>
      </c>
      <c r="H66" s="60" t="s">
        <v>1959</v>
      </c>
      <c r="I66" s="58" t="s">
        <v>995</v>
      </c>
      <c r="J66" s="55" t="s">
        <v>20974</v>
      </c>
    </row>
    <row r="67" ht="56.25" customHeight="1">
      <c r="A67" s="5" t="s">
        <v>13923</v>
      </c>
      <c r="B67" s="6" t="str">
        <f>IMAGE("https://storage.googleapis.com/acdb/villagers/cbr01.png")</f>
        <v/>
      </c>
      <c r="C67" s="8" t="s">
        <v>20972</v>
      </c>
      <c r="D67" s="8" t="s">
        <v>20603</v>
      </c>
      <c r="E67" s="8" t="s">
        <v>19161</v>
      </c>
      <c r="F67" s="17" t="s">
        <v>20976</v>
      </c>
      <c r="G67" s="55" t="s">
        <v>20978</v>
      </c>
      <c r="H67" s="58" t="s">
        <v>995</v>
      </c>
      <c r="I67" s="60" t="s">
        <v>1959</v>
      </c>
      <c r="J67" s="55" t="s">
        <v>20979</v>
      </c>
    </row>
    <row r="68" ht="56.25" customHeight="1">
      <c r="A68" s="5" t="s">
        <v>20980</v>
      </c>
      <c r="B68" s="6" t="str">
        <f>IMAGE("https://storage.googleapis.com/acdb/villagers/cbr02.png")</f>
        <v/>
      </c>
      <c r="C68" s="8" t="s">
        <v>20972</v>
      </c>
      <c r="D68" s="8" t="s">
        <v>20581</v>
      </c>
      <c r="E68" s="8" t="s">
        <v>19128</v>
      </c>
      <c r="F68" s="17" t="s">
        <v>20982</v>
      </c>
      <c r="G68" s="55" t="s">
        <v>20983</v>
      </c>
      <c r="H68" s="58" t="s">
        <v>995</v>
      </c>
      <c r="I68" s="58" t="s">
        <v>995</v>
      </c>
      <c r="J68" s="55" t="s">
        <v>20985</v>
      </c>
    </row>
    <row r="69" ht="56.25" customHeight="1">
      <c r="A69" s="5" t="s">
        <v>20986</v>
      </c>
      <c r="B69" s="6" t="str">
        <f>IMAGE("https://storage.googleapis.com/acdb/villagers/cbr03.png")</f>
        <v/>
      </c>
      <c r="C69" s="8" t="s">
        <v>20972</v>
      </c>
      <c r="D69" s="8" t="s">
        <v>20581</v>
      </c>
      <c r="E69" s="8" t="s">
        <v>19243</v>
      </c>
      <c r="F69" s="17" t="s">
        <v>20988</v>
      </c>
      <c r="G69" s="55" t="s">
        <v>20989</v>
      </c>
      <c r="H69" s="58" t="s">
        <v>995</v>
      </c>
      <c r="I69" s="58" t="s">
        <v>995</v>
      </c>
      <c r="J69" s="55" t="s">
        <v>20990</v>
      </c>
    </row>
    <row r="70" ht="56.25" customHeight="1">
      <c r="A70" s="5" t="s">
        <v>20991</v>
      </c>
      <c r="B70" s="6" t="str">
        <f>IMAGE("https://storage.googleapis.com/acdb/villagers/cbr04.png")</f>
        <v/>
      </c>
      <c r="C70" s="8" t="s">
        <v>20972</v>
      </c>
      <c r="D70" s="8" t="s">
        <v>20581</v>
      </c>
      <c r="E70" s="8" t="s">
        <v>19128</v>
      </c>
      <c r="F70" s="17" t="s">
        <v>20993</v>
      </c>
      <c r="G70" s="55" t="s">
        <v>20994</v>
      </c>
      <c r="H70" s="57" t="s">
        <v>8746</v>
      </c>
      <c r="I70" s="58" t="s">
        <v>995</v>
      </c>
      <c r="J70" s="55" t="s">
        <v>20995</v>
      </c>
    </row>
    <row r="71" ht="56.25" customHeight="1">
      <c r="A71" s="5" t="s">
        <v>20996</v>
      </c>
      <c r="B71" s="6" t="str">
        <f>IMAGE("https://storage.googleapis.com/acdb/villagers/cbr05.png")</f>
        <v/>
      </c>
      <c r="C71" s="8" t="s">
        <v>20972</v>
      </c>
      <c r="D71" s="8" t="s">
        <v>20581</v>
      </c>
      <c r="E71" s="8" t="s">
        <v>19243</v>
      </c>
      <c r="F71" s="17" t="s">
        <v>20998</v>
      </c>
      <c r="G71" s="55" t="s">
        <v>20999</v>
      </c>
      <c r="H71" s="58" t="s">
        <v>995</v>
      </c>
      <c r="I71" s="60" t="s">
        <v>1959</v>
      </c>
      <c r="J71" s="55" t="s">
        <v>21000</v>
      </c>
    </row>
    <row r="72" ht="56.25" customHeight="1">
      <c r="A72" s="5" t="s">
        <v>21001</v>
      </c>
      <c r="B72" s="6" t="str">
        <f>IMAGE("https://storage.googleapis.com/acdb/villagers/cbr06.png")</f>
        <v/>
      </c>
      <c r="C72" s="8" t="s">
        <v>20972</v>
      </c>
      <c r="D72" s="8" t="s">
        <v>20581</v>
      </c>
      <c r="E72" s="8" t="s">
        <v>19238</v>
      </c>
      <c r="F72" s="17" t="s">
        <v>21002</v>
      </c>
      <c r="G72" s="55" t="s">
        <v>21003</v>
      </c>
      <c r="H72" s="58" t="s">
        <v>995</v>
      </c>
      <c r="I72" s="56" t="s">
        <v>1952</v>
      </c>
      <c r="J72" s="55" t="s">
        <v>21005</v>
      </c>
    </row>
    <row r="73" ht="56.25" customHeight="1">
      <c r="A73" s="5" t="s">
        <v>21006</v>
      </c>
      <c r="B73" s="6" t="str">
        <f>IMAGE("https://storage.googleapis.com/acdb/villagers/cbr07.png")</f>
        <v/>
      </c>
      <c r="C73" s="8" t="s">
        <v>20972</v>
      </c>
      <c r="D73" s="8" t="s">
        <v>20581</v>
      </c>
      <c r="E73" s="8" t="s">
        <v>19238</v>
      </c>
      <c r="F73" s="17" t="s">
        <v>20832</v>
      </c>
      <c r="G73" s="55" t="s">
        <v>21007</v>
      </c>
      <c r="H73" s="58" t="s">
        <v>995</v>
      </c>
      <c r="I73" s="56" t="s">
        <v>1952</v>
      </c>
      <c r="J73" s="55" t="s">
        <v>21008</v>
      </c>
    </row>
    <row r="74" ht="56.25" customHeight="1">
      <c r="A74" s="5" t="s">
        <v>10757</v>
      </c>
      <c r="B74" s="6" t="str">
        <f>IMAGE("https://storage.googleapis.com/acdb/villagers/cbr09.png")</f>
        <v/>
      </c>
      <c r="C74" s="8" t="s">
        <v>20972</v>
      </c>
      <c r="D74" s="8" t="s">
        <v>20603</v>
      </c>
      <c r="E74" s="8" t="s">
        <v>19161</v>
      </c>
      <c r="F74" s="17" t="s">
        <v>21011</v>
      </c>
      <c r="G74" s="55" t="s">
        <v>21012</v>
      </c>
      <c r="H74" s="58" t="s">
        <v>995</v>
      </c>
      <c r="I74" s="58" t="s">
        <v>995</v>
      </c>
      <c r="J74" s="55" t="s">
        <v>21013</v>
      </c>
    </row>
    <row r="75" ht="56.25" customHeight="1">
      <c r="A75" s="5" t="s">
        <v>21014</v>
      </c>
      <c r="B75" s="6" t="str">
        <f>IMAGE("https://storage.googleapis.com/acdb/villagers/cbr10.png")</f>
        <v/>
      </c>
      <c r="C75" s="8" t="s">
        <v>20972</v>
      </c>
      <c r="D75" s="8" t="s">
        <v>20603</v>
      </c>
      <c r="E75" s="8" t="s">
        <v>19196</v>
      </c>
      <c r="F75" s="17" t="s">
        <v>21016</v>
      </c>
      <c r="G75" s="55" t="s">
        <v>21017</v>
      </c>
      <c r="H75" s="58" t="s">
        <v>995</v>
      </c>
      <c r="I75" s="60" t="s">
        <v>1959</v>
      </c>
      <c r="J75" s="55" t="s">
        <v>21019</v>
      </c>
    </row>
    <row r="76" ht="56.25" customHeight="1">
      <c r="A76" s="5" t="s">
        <v>21020</v>
      </c>
      <c r="B76" s="6" t="str">
        <f>IMAGE("https://storage.googleapis.com/acdb/villagers/cbr13.png")</f>
        <v/>
      </c>
      <c r="C76" s="8" t="s">
        <v>20972</v>
      </c>
      <c r="D76" s="8" t="s">
        <v>20603</v>
      </c>
      <c r="E76" s="8" t="s">
        <v>19161</v>
      </c>
      <c r="F76" s="17" t="s">
        <v>21021</v>
      </c>
      <c r="G76" s="55" t="s">
        <v>21022</v>
      </c>
      <c r="H76" s="60" t="s">
        <v>1959</v>
      </c>
      <c r="I76" s="58" t="s">
        <v>995</v>
      </c>
      <c r="J76" s="55" t="s">
        <v>21023</v>
      </c>
    </row>
    <row r="77" ht="56.25" customHeight="1">
      <c r="A77" s="5" t="s">
        <v>21024</v>
      </c>
      <c r="B77" s="6" t="str">
        <f>IMAGE("https://storage.googleapis.com/acdb/villagers/cbr14.png")</f>
        <v/>
      </c>
      <c r="C77" s="8" t="s">
        <v>20972</v>
      </c>
      <c r="D77" s="8" t="s">
        <v>20603</v>
      </c>
      <c r="E77" s="8" t="s">
        <v>19161</v>
      </c>
      <c r="F77" s="17" t="s">
        <v>21027</v>
      </c>
      <c r="G77" s="55" t="s">
        <v>21028</v>
      </c>
      <c r="H77" s="59" t="s">
        <v>1059</v>
      </c>
      <c r="I77" s="60" t="s">
        <v>1959</v>
      </c>
      <c r="J77" s="55" t="s">
        <v>21029</v>
      </c>
    </row>
    <row r="78" ht="56.25" customHeight="1">
      <c r="A78" s="5" t="s">
        <v>21030</v>
      </c>
      <c r="B78" s="6" t="str">
        <f>IMAGE("https://storage.googleapis.com/acdb/villagers/cbr15.png")</f>
        <v/>
      </c>
      <c r="C78" s="8" t="s">
        <v>20972</v>
      </c>
      <c r="D78" s="8" t="s">
        <v>20581</v>
      </c>
      <c r="E78" s="8" t="s">
        <v>19243</v>
      </c>
      <c r="F78" s="17" t="s">
        <v>21032</v>
      </c>
      <c r="G78" s="55" t="s">
        <v>21034</v>
      </c>
      <c r="H78" s="58" t="s">
        <v>995</v>
      </c>
      <c r="I78" s="58" t="s">
        <v>995</v>
      </c>
      <c r="J78" s="55" t="s">
        <v>21035</v>
      </c>
    </row>
    <row r="79" ht="56.25" customHeight="1">
      <c r="A79" s="5" t="s">
        <v>21036</v>
      </c>
      <c r="B79" s="6" t="str">
        <f>IMAGE("https://storage.googleapis.com/acdb/villagers/cbr16.png")</f>
        <v/>
      </c>
      <c r="C79" s="8" t="s">
        <v>20972</v>
      </c>
      <c r="D79" s="8" t="s">
        <v>20581</v>
      </c>
      <c r="E79" s="8" t="s">
        <v>19243</v>
      </c>
      <c r="F79" s="17" t="s">
        <v>21039</v>
      </c>
      <c r="G79" s="55" t="s">
        <v>21040</v>
      </c>
      <c r="H79" s="58" t="s">
        <v>995</v>
      </c>
      <c r="I79" s="56" t="s">
        <v>1952</v>
      </c>
      <c r="J79" s="55" t="s">
        <v>21041</v>
      </c>
    </row>
    <row r="80" ht="56.25" customHeight="1">
      <c r="A80" s="5" t="s">
        <v>21042</v>
      </c>
      <c r="B80" s="6" t="str">
        <f>IMAGE("https://storage.googleapis.com/acdb/villagers/cbr17.png")</f>
        <v/>
      </c>
      <c r="C80" s="8" t="s">
        <v>20972</v>
      </c>
      <c r="D80" s="8" t="s">
        <v>20603</v>
      </c>
      <c r="E80" s="8" t="s">
        <v>19205</v>
      </c>
      <c r="F80" s="17" t="s">
        <v>21045</v>
      </c>
      <c r="G80" s="55" t="s">
        <v>21046</v>
      </c>
      <c r="H80" s="56" t="s">
        <v>1952</v>
      </c>
      <c r="I80" s="57" t="s">
        <v>8746</v>
      </c>
      <c r="J80" s="55" t="s">
        <v>21048</v>
      </c>
    </row>
    <row r="81" ht="56.25" customHeight="1">
      <c r="A81" s="5" t="s">
        <v>21049</v>
      </c>
      <c r="B81" s="6" t="str">
        <f>IMAGE("https://storage.googleapis.com/acdb/villagers/cbr19.png")</f>
        <v/>
      </c>
      <c r="C81" s="8" t="s">
        <v>20972</v>
      </c>
      <c r="D81" s="8" t="s">
        <v>20603</v>
      </c>
      <c r="E81" s="8" t="s">
        <v>19361</v>
      </c>
      <c r="F81" s="17" t="s">
        <v>21050</v>
      </c>
      <c r="G81" s="55" t="s">
        <v>21051</v>
      </c>
      <c r="H81" s="60" t="s">
        <v>1959</v>
      </c>
      <c r="I81" s="59" t="s">
        <v>1059</v>
      </c>
      <c r="J81" s="55" t="s">
        <v>21052</v>
      </c>
    </row>
    <row r="82" ht="56.25" customHeight="1">
      <c r="A82" s="5" t="s">
        <v>21053</v>
      </c>
      <c r="B82" s="6" t="str">
        <f>IMAGE("https://storage.googleapis.com/acdb/villagers/chn00.png")</f>
        <v/>
      </c>
      <c r="C82" s="8" t="s">
        <v>21056</v>
      </c>
      <c r="D82" s="8" t="s">
        <v>20581</v>
      </c>
      <c r="E82" s="8" t="s">
        <v>19128</v>
      </c>
      <c r="F82" s="17" t="s">
        <v>21057</v>
      </c>
      <c r="G82" s="55" t="s">
        <v>21058</v>
      </c>
      <c r="H82" s="58" t="s">
        <v>995</v>
      </c>
      <c r="I82" s="57" t="s">
        <v>8746</v>
      </c>
      <c r="J82" s="55" t="s">
        <v>21059</v>
      </c>
    </row>
    <row r="83" ht="56.25" customHeight="1">
      <c r="A83" s="5" t="s">
        <v>21060</v>
      </c>
      <c r="B83" s="6" t="str">
        <f>IMAGE("https://storage.googleapis.com/acdb/villagers/chn01.png")</f>
        <v/>
      </c>
      <c r="C83" s="8" t="s">
        <v>21056</v>
      </c>
      <c r="D83" s="8" t="s">
        <v>20581</v>
      </c>
      <c r="E83" s="8" t="s">
        <v>19243</v>
      </c>
      <c r="F83" s="17" t="s">
        <v>21063</v>
      </c>
      <c r="G83" s="55" t="s">
        <v>21064</v>
      </c>
      <c r="H83" s="58" t="s">
        <v>995</v>
      </c>
      <c r="I83" s="58" t="s">
        <v>995</v>
      </c>
      <c r="J83" s="55" t="s">
        <v>21065</v>
      </c>
    </row>
    <row r="84" ht="56.25" customHeight="1">
      <c r="A84" s="5" t="s">
        <v>21066</v>
      </c>
      <c r="B84" s="6" t="str">
        <f>IMAGE("https://storage.googleapis.com/acdb/villagers/chn02.png")</f>
        <v/>
      </c>
      <c r="C84" s="8" t="s">
        <v>21056</v>
      </c>
      <c r="D84" s="8" t="s">
        <v>20581</v>
      </c>
      <c r="E84" s="8" t="s">
        <v>19243</v>
      </c>
      <c r="F84" s="17" t="s">
        <v>21067</v>
      </c>
      <c r="G84" s="55" t="s">
        <v>21068</v>
      </c>
      <c r="H84" s="58" t="s">
        <v>995</v>
      </c>
      <c r="I84" s="58" t="s">
        <v>995</v>
      </c>
      <c r="J84" s="55" t="s">
        <v>21070</v>
      </c>
    </row>
    <row r="85" ht="56.25" customHeight="1">
      <c r="A85" s="5" t="s">
        <v>21071</v>
      </c>
      <c r="B85" s="6" t="str">
        <f>IMAGE("https://storage.googleapis.com/acdb/villagers/chn05.png")</f>
        <v/>
      </c>
      <c r="C85" s="8" t="s">
        <v>21056</v>
      </c>
      <c r="D85" s="8" t="s">
        <v>20603</v>
      </c>
      <c r="E85" s="8" t="s">
        <v>19161</v>
      </c>
      <c r="F85" s="17" t="s">
        <v>21072</v>
      </c>
      <c r="G85" s="55" t="s">
        <v>21073</v>
      </c>
      <c r="H85" s="59" t="s">
        <v>1059</v>
      </c>
      <c r="I85" s="60" t="s">
        <v>1959</v>
      </c>
      <c r="J85" s="55" t="s">
        <v>21074</v>
      </c>
    </row>
    <row r="86" ht="56.25" customHeight="1">
      <c r="A86" s="5" t="s">
        <v>21075</v>
      </c>
      <c r="B86" s="6" t="str">
        <f>IMAGE("https://storage.googleapis.com/acdb/villagers/chn09.png")</f>
        <v/>
      </c>
      <c r="C86" s="8" t="s">
        <v>21056</v>
      </c>
      <c r="D86" s="8" t="s">
        <v>20603</v>
      </c>
      <c r="E86" s="8" t="s">
        <v>19361</v>
      </c>
      <c r="F86" s="17" t="s">
        <v>21078</v>
      </c>
      <c r="G86" s="55" t="s">
        <v>21079</v>
      </c>
      <c r="H86" s="61" t="s">
        <v>612</v>
      </c>
      <c r="I86" s="59" t="s">
        <v>1059</v>
      </c>
      <c r="J86" s="55" t="s">
        <v>21080</v>
      </c>
    </row>
    <row r="87" ht="56.25" customHeight="1">
      <c r="A87" s="5" t="s">
        <v>21082</v>
      </c>
      <c r="B87" s="6" t="str">
        <f>IMAGE("https://storage.googleapis.com/acdb/villagers/chn10.png")</f>
        <v/>
      </c>
      <c r="C87" s="8" t="s">
        <v>21056</v>
      </c>
      <c r="D87" s="8" t="s">
        <v>20603</v>
      </c>
      <c r="E87" s="8" t="s">
        <v>19205</v>
      </c>
      <c r="F87" s="17" t="s">
        <v>21083</v>
      </c>
      <c r="G87" s="55" t="s">
        <v>21084</v>
      </c>
      <c r="H87" s="56" t="s">
        <v>1952</v>
      </c>
      <c r="I87" s="58" t="s">
        <v>995</v>
      </c>
      <c r="J87" s="55" t="s">
        <v>21085</v>
      </c>
    </row>
    <row r="88" ht="56.25" customHeight="1">
      <c r="A88" s="5" t="s">
        <v>21086</v>
      </c>
      <c r="B88" s="6" t="str">
        <f>IMAGE("https://storage.googleapis.com/acdb/villagers/chn11.png")</f>
        <v/>
      </c>
      <c r="C88" s="8" t="s">
        <v>21056</v>
      </c>
      <c r="D88" s="8" t="s">
        <v>20581</v>
      </c>
      <c r="E88" s="8" t="s">
        <v>19238</v>
      </c>
      <c r="F88" s="17" t="s">
        <v>21087</v>
      </c>
      <c r="G88" s="55" t="s">
        <v>21088</v>
      </c>
      <c r="H88" s="59" t="s">
        <v>1059</v>
      </c>
      <c r="I88" s="61" t="s">
        <v>612</v>
      </c>
      <c r="J88" s="55" t="s">
        <v>21090</v>
      </c>
    </row>
    <row r="89" ht="56.25" customHeight="1">
      <c r="A89" s="5" t="s">
        <v>21091</v>
      </c>
      <c r="B89" s="6" t="str">
        <f>IMAGE("https://storage.googleapis.com/acdb/villagers/chn12.png")</f>
        <v/>
      </c>
      <c r="C89" s="8" t="s">
        <v>21056</v>
      </c>
      <c r="D89" s="8" t="s">
        <v>20603</v>
      </c>
      <c r="E89" s="8" t="s">
        <v>19361</v>
      </c>
      <c r="F89" s="17" t="s">
        <v>20618</v>
      </c>
      <c r="G89" s="55" t="s">
        <v>21092</v>
      </c>
      <c r="H89" s="61" t="s">
        <v>612</v>
      </c>
      <c r="I89" s="59" t="s">
        <v>1059</v>
      </c>
      <c r="J89" s="55" t="s">
        <v>21093</v>
      </c>
    </row>
    <row r="90" ht="56.25" customHeight="1">
      <c r="A90" s="5" t="s">
        <v>21094</v>
      </c>
      <c r="B90" s="6" t="str">
        <f>IMAGE("https://storage.googleapis.com/acdb/villagers/chn13.png")</f>
        <v/>
      </c>
      <c r="C90" s="8" t="s">
        <v>21056</v>
      </c>
      <c r="D90" s="8" t="s">
        <v>20581</v>
      </c>
      <c r="E90" s="8" t="s">
        <v>19232</v>
      </c>
      <c r="F90" s="17" t="s">
        <v>21096</v>
      </c>
      <c r="G90" s="55" t="s">
        <v>21097</v>
      </c>
      <c r="H90" s="56" t="s">
        <v>1952</v>
      </c>
      <c r="I90" s="58" t="s">
        <v>995</v>
      </c>
      <c r="J90" s="55" t="s">
        <v>21098</v>
      </c>
    </row>
    <row r="91" ht="56.25" customHeight="1">
      <c r="A91" s="5" t="s">
        <v>21099</v>
      </c>
      <c r="B91" s="6" t="str">
        <f>IMAGE("https://storage.googleapis.com/acdb/villagers/cow00.png")</f>
        <v/>
      </c>
      <c r="C91" s="8" t="s">
        <v>21101</v>
      </c>
      <c r="D91" s="8" t="s">
        <v>20603</v>
      </c>
      <c r="E91" s="8" t="s">
        <v>19196</v>
      </c>
      <c r="F91" s="17" t="s">
        <v>21102</v>
      </c>
      <c r="G91" s="55" t="s">
        <v>21103</v>
      </c>
      <c r="H91" s="58" t="s">
        <v>995</v>
      </c>
      <c r="I91" s="60" t="s">
        <v>1959</v>
      </c>
      <c r="J91" s="55" t="s">
        <v>21104</v>
      </c>
    </row>
    <row r="92" ht="56.25" customHeight="1">
      <c r="A92" s="5" t="s">
        <v>21105</v>
      </c>
      <c r="B92" s="6" t="str">
        <f>IMAGE("https://storage.googleapis.com/acdb/villagers/cow01.png")</f>
        <v/>
      </c>
      <c r="C92" s="8" t="s">
        <v>21101</v>
      </c>
      <c r="D92" s="8" t="s">
        <v>20603</v>
      </c>
      <c r="E92" s="8" t="s">
        <v>19361</v>
      </c>
      <c r="F92" s="17" t="s">
        <v>21106</v>
      </c>
      <c r="G92" s="55" t="s">
        <v>21107</v>
      </c>
      <c r="H92" s="61" t="s">
        <v>612</v>
      </c>
      <c r="I92" s="60" t="s">
        <v>1959</v>
      </c>
      <c r="J92" s="55" t="s">
        <v>21109</v>
      </c>
    </row>
    <row r="93" ht="56.25" customHeight="1">
      <c r="A93" s="5" t="s">
        <v>21110</v>
      </c>
      <c r="B93" s="6" t="str">
        <f>IMAGE("https://storage.googleapis.com/acdb/villagers/cow06.png")</f>
        <v/>
      </c>
      <c r="C93" s="8" t="s">
        <v>21101</v>
      </c>
      <c r="D93" s="8" t="s">
        <v>20603</v>
      </c>
      <c r="E93" s="8" t="s">
        <v>19161</v>
      </c>
      <c r="F93" s="17" t="s">
        <v>21111</v>
      </c>
      <c r="G93" s="55" t="s">
        <v>21112</v>
      </c>
      <c r="H93" s="60" t="s">
        <v>1959</v>
      </c>
      <c r="I93" s="58" t="s">
        <v>995</v>
      </c>
      <c r="J93" s="55" t="s">
        <v>21113</v>
      </c>
    </row>
    <row r="94" ht="56.25" customHeight="1">
      <c r="A94" s="5" t="s">
        <v>21114</v>
      </c>
      <c r="B94" s="6" t="str">
        <f>IMAGE("https://storage.googleapis.com/acdb/villagers/cow07.png")</f>
        <v/>
      </c>
      <c r="C94" s="8" t="s">
        <v>21101</v>
      </c>
      <c r="D94" s="8" t="s">
        <v>20603</v>
      </c>
      <c r="E94" s="8" t="s">
        <v>19361</v>
      </c>
      <c r="F94" s="17" t="s">
        <v>21116</v>
      </c>
      <c r="G94" s="55" t="s">
        <v>21118</v>
      </c>
      <c r="H94" s="59" t="s">
        <v>1059</v>
      </c>
      <c r="I94" s="61" t="s">
        <v>612</v>
      </c>
      <c r="J94" s="55" t="s">
        <v>21119</v>
      </c>
    </row>
    <row r="95" ht="56.25" customHeight="1">
      <c r="A95" s="5" t="s">
        <v>21120</v>
      </c>
      <c r="B95" s="6" t="str">
        <f>IMAGE("https://storage.googleapis.com/acdb/villagers/crd00.png")</f>
        <v/>
      </c>
      <c r="C95" s="8" t="s">
        <v>21122</v>
      </c>
      <c r="D95" s="8" t="s">
        <v>20581</v>
      </c>
      <c r="E95" s="8" t="s">
        <v>19243</v>
      </c>
      <c r="F95" s="17" t="s">
        <v>21123</v>
      </c>
      <c r="G95" s="55" t="s">
        <v>21125</v>
      </c>
      <c r="H95" s="58" t="s">
        <v>995</v>
      </c>
      <c r="I95" s="58" t="s">
        <v>995</v>
      </c>
      <c r="J95" s="55" t="s">
        <v>21126</v>
      </c>
    </row>
    <row r="96" ht="56.25" customHeight="1">
      <c r="A96" s="5" t="s">
        <v>21127</v>
      </c>
      <c r="B96" s="6" t="str">
        <f>IMAGE("https://storage.googleapis.com/acdb/villagers/crd01.png")</f>
        <v/>
      </c>
      <c r="C96" s="8" t="s">
        <v>21122</v>
      </c>
      <c r="D96" s="8" t="s">
        <v>20603</v>
      </c>
      <c r="E96" s="8" t="s">
        <v>19361</v>
      </c>
      <c r="F96" s="17" t="s">
        <v>21129</v>
      </c>
      <c r="G96" s="55" t="s">
        <v>21130</v>
      </c>
      <c r="H96" s="61" t="s">
        <v>612</v>
      </c>
      <c r="I96" s="59" t="s">
        <v>1059</v>
      </c>
      <c r="J96" s="55" t="s">
        <v>21131</v>
      </c>
    </row>
    <row r="97" ht="56.25" customHeight="1">
      <c r="A97" s="5" t="s">
        <v>21132</v>
      </c>
      <c r="B97" s="6" t="str">
        <f>IMAGE("https://storage.googleapis.com/acdb/villagers/crd02.png")</f>
        <v/>
      </c>
      <c r="C97" s="8" t="s">
        <v>21122</v>
      </c>
      <c r="D97" s="8" t="s">
        <v>20581</v>
      </c>
      <c r="E97" s="8" t="s">
        <v>19128</v>
      </c>
      <c r="F97" s="17" t="s">
        <v>21135</v>
      </c>
      <c r="G97" s="55" t="s">
        <v>21136</v>
      </c>
      <c r="H97" s="61" t="s">
        <v>612</v>
      </c>
      <c r="I97" s="57" t="s">
        <v>8746</v>
      </c>
      <c r="J97" s="55" t="s">
        <v>21137</v>
      </c>
    </row>
    <row r="98" ht="56.25" customHeight="1">
      <c r="A98" s="5" t="s">
        <v>21138</v>
      </c>
      <c r="B98" s="6" t="str">
        <f>IMAGE("https://storage.googleapis.com/acdb/villagers/crd04.png")</f>
        <v/>
      </c>
      <c r="C98" s="8" t="s">
        <v>21122</v>
      </c>
      <c r="D98" s="8" t="s">
        <v>20581</v>
      </c>
      <c r="E98" s="8" t="s">
        <v>19238</v>
      </c>
      <c r="F98" s="17" t="s">
        <v>21141</v>
      </c>
      <c r="G98" s="55" t="s">
        <v>21142</v>
      </c>
      <c r="H98" s="56" t="s">
        <v>1952</v>
      </c>
      <c r="I98" s="58" t="s">
        <v>995</v>
      </c>
      <c r="J98" s="55" t="s">
        <v>21143</v>
      </c>
    </row>
    <row r="99" ht="56.25" customHeight="1">
      <c r="A99" s="5" t="s">
        <v>21144</v>
      </c>
      <c r="B99" s="6" t="str">
        <f>IMAGE("https://storage.googleapis.com/acdb/villagers/crd06.png")</f>
        <v/>
      </c>
      <c r="C99" s="8" t="s">
        <v>21122</v>
      </c>
      <c r="D99" s="8" t="s">
        <v>20581</v>
      </c>
      <c r="E99" s="8" t="s">
        <v>19128</v>
      </c>
      <c r="F99" s="17" t="s">
        <v>21148</v>
      </c>
      <c r="G99" s="55" t="s">
        <v>21149</v>
      </c>
      <c r="H99" s="56" t="s">
        <v>1952</v>
      </c>
      <c r="I99" s="58" t="s">
        <v>995</v>
      </c>
      <c r="J99" s="55" t="s">
        <v>21150</v>
      </c>
    </row>
    <row r="100" ht="56.25" customHeight="1">
      <c r="A100" s="5" t="s">
        <v>21151</v>
      </c>
      <c r="B100" s="6" t="str">
        <f>IMAGE("https://storage.googleapis.com/acdb/villagers/crd07.png")</f>
        <v/>
      </c>
      <c r="C100" s="8" t="s">
        <v>21122</v>
      </c>
      <c r="D100" s="8" t="s">
        <v>20603</v>
      </c>
      <c r="E100" s="8" t="s">
        <v>19161</v>
      </c>
      <c r="F100" s="17" t="s">
        <v>21155</v>
      </c>
      <c r="G100" s="55" t="s">
        <v>21156</v>
      </c>
      <c r="H100" s="60" t="s">
        <v>1959</v>
      </c>
      <c r="I100" s="60" t="s">
        <v>1959</v>
      </c>
      <c r="J100" s="55" t="s">
        <v>21157</v>
      </c>
    </row>
    <row r="101" ht="56.25" customHeight="1">
      <c r="A101" s="5" t="s">
        <v>21158</v>
      </c>
      <c r="B101" s="6" t="str">
        <f>IMAGE("https://storage.googleapis.com/acdb/villagers/crd08.png")</f>
        <v/>
      </c>
      <c r="C101" s="8" t="s">
        <v>21122</v>
      </c>
      <c r="D101" s="8" t="s">
        <v>20581</v>
      </c>
      <c r="E101" s="8" t="s">
        <v>19243</v>
      </c>
      <c r="F101" s="17" t="s">
        <v>21162</v>
      </c>
      <c r="G101" s="55" t="s">
        <v>21163</v>
      </c>
      <c r="H101" s="59" t="s">
        <v>1059</v>
      </c>
      <c r="I101" s="61" t="s">
        <v>612</v>
      </c>
      <c r="J101" s="55" t="s">
        <v>21164</v>
      </c>
    </row>
    <row r="102" ht="56.25" customHeight="1">
      <c r="A102" s="5" t="s">
        <v>21165</v>
      </c>
      <c r="B102" s="6" t="str">
        <f>IMAGE("https://storage.googleapis.com/acdb/villagers/der00.png")</f>
        <v/>
      </c>
      <c r="C102" s="8" t="s">
        <v>21166</v>
      </c>
      <c r="D102" s="8" t="s">
        <v>20603</v>
      </c>
      <c r="E102" s="8" t="s">
        <v>19161</v>
      </c>
      <c r="F102" s="17" t="s">
        <v>21167</v>
      </c>
      <c r="G102" s="55" t="s">
        <v>21169</v>
      </c>
      <c r="H102" s="58" t="s">
        <v>995</v>
      </c>
      <c r="I102" s="60" t="s">
        <v>1959</v>
      </c>
      <c r="J102" s="55" t="s">
        <v>21170</v>
      </c>
    </row>
    <row r="103" ht="56.25" customHeight="1">
      <c r="A103" s="5" t="s">
        <v>21172</v>
      </c>
      <c r="B103" s="6" t="str">
        <f>IMAGE("https://storage.googleapis.com/acdb/villagers/der01.png")</f>
        <v/>
      </c>
      <c r="C103" s="8" t="s">
        <v>21166</v>
      </c>
      <c r="D103" s="8" t="s">
        <v>20581</v>
      </c>
      <c r="E103" s="8" t="s">
        <v>19128</v>
      </c>
      <c r="F103" s="17" t="s">
        <v>21174</v>
      </c>
      <c r="G103" s="55" t="s">
        <v>21175</v>
      </c>
      <c r="H103" s="57" t="s">
        <v>8746</v>
      </c>
      <c r="I103" s="58" t="s">
        <v>995</v>
      </c>
      <c r="J103" s="55" t="s">
        <v>21176</v>
      </c>
    </row>
    <row r="104" ht="56.25" customHeight="1">
      <c r="A104" s="5" t="s">
        <v>21177</v>
      </c>
      <c r="B104" s="6" t="str">
        <f>IMAGE("https://storage.googleapis.com/acdb/villagers/der02.png")</f>
        <v/>
      </c>
      <c r="C104" s="8" t="s">
        <v>21166</v>
      </c>
      <c r="D104" s="8" t="s">
        <v>20581</v>
      </c>
      <c r="E104" s="8" t="s">
        <v>19232</v>
      </c>
      <c r="F104" s="17" t="s">
        <v>21180</v>
      </c>
      <c r="G104" s="55" t="s">
        <v>21181</v>
      </c>
      <c r="H104" s="56" t="s">
        <v>1952</v>
      </c>
      <c r="I104" s="61" t="s">
        <v>612</v>
      </c>
      <c r="J104" s="55" t="s">
        <v>21183</v>
      </c>
    </row>
    <row r="105" ht="56.25" customHeight="1">
      <c r="A105" s="5" t="s">
        <v>21184</v>
      </c>
      <c r="B105" s="6" t="str">
        <f>IMAGE("https://storage.googleapis.com/acdb/villagers/der03.png")</f>
        <v/>
      </c>
      <c r="C105" s="8" t="s">
        <v>21166</v>
      </c>
      <c r="D105" s="8" t="s">
        <v>20581</v>
      </c>
      <c r="E105" s="8" t="s">
        <v>19238</v>
      </c>
      <c r="F105" s="17" t="s">
        <v>21185</v>
      </c>
      <c r="G105" s="55" t="s">
        <v>21186</v>
      </c>
      <c r="H105" s="56" t="s">
        <v>1952</v>
      </c>
      <c r="I105" s="58" t="s">
        <v>995</v>
      </c>
      <c r="J105" s="55" t="s">
        <v>21188</v>
      </c>
    </row>
    <row r="106" ht="56.25" customHeight="1">
      <c r="A106" s="5" t="s">
        <v>21189</v>
      </c>
      <c r="B106" s="6" t="str">
        <f>IMAGE("https://storage.googleapis.com/acdb/villagers/der04.png")</f>
        <v/>
      </c>
      <c r="C106" s="8" t="s">
        <v>21166</v>
      </c>
      <c r="D106" s="8" t="s">
        <v>20603</v>
      </c>
      <c r="E106" s="8" t="s">
        <v>19205</v>
      </c>
      <c r="F106" s="17" t="s">
        <v>21192</v>
      </c>
      <c r="G106" s="55" t="s">
        <v>21193</v>
      </c>
      <c r="H106" s="58" t="s">
        <v>995</v>
      </c>
      <c r="I106" s="58" t="s">
        <v>995</v>
      </c>
      <c r="J106" s="55" t="s">
        <v>21194</v>
      </c>
    </row>
    <row r="107" ht="56.25" customHeight="1">
      <c r="A107" s="5" t="s">
        <v>21195</v>
      </c>
      <c r="B107" s="6" t="str">
        <f>IMAGE("https://storage.googleapis.com/acdb/villagers/der05.png")</f>
        <v/>
      </c>
      <c r="C107" s="8" t="s">
        <v>21166</v>
      </c>
      <c r="D107" s="8" t="s">
        <v>20581</v>
      </c>
      <c r="E107" s="8" t="s">
        <v>19232</v>
      </c>
      <c r="F107" s="17" t="s">
        <v>21198</v>
      </c>
      <c r="G107" s="55" t="s">
        <v>21199</v>
      </c>
      <c r="H107" s="61" t="s">
        <v>612</v>
      </c>
      <c r="I107" s="61" t="s">
        <v>612</v>
      </c>
      <c r="J107" s="55" t="s">
        <v>21200</v>
      </c>
    </row>
    <row r="108" ht="56.25" customHeight="1">
      <c r="A108" s="5" t="s">
        <v>14710</v>
      </c>
      <c r="B108" s="6" t="str">
        <f>IMAGE("https://storage.googleapis.com/acdb/villagers/der06.png")</f>
        <v/>
      </c>
      <c r="C108" s="8" t="s">
        <v>21166</v>
      </c>
      <c r="D108" s="8" t="s">
        <v>20603</v>
      </c>
      <c r="E108" s="8" t="s">
        <v>19205</v>
      </c>
      <c r="F108" s="17" t="s">
        <v>21203</v>
      </c>
      <c r="G108" s="55" t="s">
        <v>21204</v>
      </c>
      <c r="H108" s="56" t="s">
        <v>1952</v>
      </c>
      <c r="I108" s="56" t="s">
        <v>1952</v>
      </c>
      <c r="J108" s="55" t="s">
        <v>21205</v>
      </c>
    </row>
    <row r="109" ht="56.25" customHeight="1">
      <c r="A109" s="5" t="s">
        <v>21207</v>
      </c>
      <c r="B109" s="6" t="str">
        <f>IMAGE("https://storage.googleapis.com/acdb/villagers/der07.png")</f>
        <v/>
      </c>
      <c r="C109" s="8" t="s">
        <v>21166</v>
      </c>
      <c r="D109" s="8" t="s">
        <v>20581</v>
      </c>
      <c r="E109" s="8" t="s">
        <v>19243</v>
      </c>
      <c r="F109" s="17" t="s">
        <v>21209</v>
      </c>
      <c r="G109" s="55" t="s">
        <v>21210</v>
      </c>
      <c r="H109" s="58" t="s">
        <v>995</v>
      </c>
      <c r="I109" s="60" t="s">
        <v>1959</v>
      </c>
      <c r="J109" s="55" t="s">
        <v>21212</v>
      </c>
    </row>
    <row r="110" ht="56.25" customHeight="1">
      <c r="A110" s="5" t="s">
        <v>21213</v>
      </c>
      <c r="B110" s="6" t="str">
        <f>IMAGE("https://storage.googleapis.com/acdb/villagers/der08.png")</f>
        <v/>
      </c>
      <c r="C110" s="8" t="s">
        <v>21166</v>
      </c>
      <c r="D110" s="8" t="s">
        <v>20603</v>
      </c>
      <c r="E110" s="8" t="s">
        <v>19361</v>
      </c>
      <c r="F110" s="17" t="s">
        <v>21215</v>
      </c>
      <c r="G110" s="55" t="s">
        <v>21216</v>
      </c>
      <c r="H110" s="59" t="s">
        <v>1059</v>
      </c>
      <c r="I110" s="61" t="s">
        <v>612</v>
      </c>
      <c r="J110" s="55" t="s">
        <v>21217</v>
      </c>
    </row>
    <row r="111" ht="56.25" customHeight="1">
      <c r="A111" s="5" t="s">
        <v>21218</v>
      </c>
      <c r="B111" s="6" t="str">
        <f>IMAGE("https://storage.googleapis.com/acdb/villagers/der09.png")</f>
        <v/>
      </c>
      <c r="C111" s="8" t="s">
        <v>21166</v>
      </c>
      <c r="D111" s="8" t="s">
        <v>20581</v>
      </c>
      <c r="E111" s="8" t="s">
        <v>19243</v>
      </c>
      <c r="F111" s="17" t="s">
        <v>21221</v>
      </c>
      <c r="G111" s="55" t="s">
        <v>21222</v>
      </c>
      <c r="H111" s="58" t="s">
        <v>995</v>
      </c>
      <c r="I111" s="58" t="s">
        <v>995</v>
      </c>
      <c r="J111" s="55" t="s">
        <v>21224</v>
      </c>
    </row>
    <row r="112" ht="56.25" customHeight="1">
      <c r="A112" s="5" t="s">
        <v>21225</v>
      </c>
      <c r="B112" s="6" t="str">
        <f>IMAGE("https://storage.googleapis.com/acdb/villagers/dog00.png")</f>
        <v/>
      </c>
      <c r="C112" s="8" t="s">
        <v>1714</v>
      </c>
      <c r="D112" s="8" t="s">
        <v>20603</v>
      </c>
      <c r="E112" s="8" t="s">
        <v>19161</v>
      </c>
      <c r="F112" s="17" t="s">
        <v>21227</v>
      </c>
      <c r="G112" s="55" t="s">
        <v>21228</v>
      </c>
      <c r="H112" s="58" t="s">
        <v>995</v>
      </c>
      <c r="I112" s="60" t="s">
        <v>1959</v>
      </c>
      <c r="J112" s="55" t="s">
        <v>21229</v>
      </c>
    </row>
    <row r="113" ht="56.25" customHeight="1">
      <c r="A113" s="5" t="s">
        <v>21231</v>
      </c>
      <c r="B113" s="6" t="str">
        <f>IMAGE("https://storage.googleapis.com/acdb/villagers/dog01.png")</f>
        <v/>
      </c>
      <c r="C113" s="8" t="s">
        <v>1714</v>
      </c>
      <c r="D113" s="8" t="s">
        <v>20581</v>
      </c>
      <c r="E113" s="8" t="s">
        <v>19238</v>
      </c>
      <c r="F113" s="17" t="s">
        <v>21232</v>
      </c>
      <c r="G113" s="55" t="s">
        <v>21233</v>
      </c>
      <c r="H113" s="56" t="s">
        <v>1952</v>
      </c>
      <c r="I113" s="58" t="s">
        <v>995</v>
      </c>
      <c r="J113" s="55" t="s">
        <v>21234</v>
      </c>
    </row>
    <row r="114" ht="56.25" customHeight="1">
      <c r="A114" s="5" t="s">
        <v>21235</v>
      </c>
      <c r="B114" s="6" t="str">
        <f>IMAGE("https://storage.googleapis.com/acdb/villagers/dog02.png")</f>
        <v/>
      </c>
      <c r="C114" s="8" t="s">
        <v>1714</v>
      </c>
      <c r="D114" s="8" t="s">
        <v>20581</v>
      </c>
      <c r="E114" s="8" t="s">
        <v>19243</v>
      </c>
      <c r="F114" s="17" t="s">
        <v>21238</v>
      </c>
      <c r="G114" s="55" t="s">
        <v>21239</v>
      </c>
      <c r="H114" s="58" t="s">
        <v>995</v>
      </c>
      <c r="I114" s="58" t="s">
        <v>995</v>
      </c>
      <c r="J114" s="55" t="s">
        <v>21240</v>
      </c>
    </row>
    <row r="115" ht="56.25" customHeight="1">
      <c r="A115" s="5" t="s">
        <v>21241</v>
      </c>
      <c r="B115" s="6" t="str">
        <f>IMAGE("https://storage.googleapis.com/acdb/villagers/dog03.png")</f>
        <v/>
      </c>
      <c r="C115" s="8" t="s">
        <v>1714</v>
      </c>
      <c r="D115" s="8" t="s">
        <v>20581</v>
      </c>
      <c r="E115" s="8" t="s">
        <v>19243</v>
      </c>
      <c r="F115" s="17" t="s">
        <v>21242</v>
      </c>
      <c r="G115" s="55" t="s">
        <v>21244</v>
      </c>
      <c r="H115" s="61" t="s">
        <v>612</v>
      </c>
      <c r="I115" s="58" t="s">
        <v>995</v>
      </c>
      <c r="J115" s="55" t="s">
        <v>21245</v>
      </c>
    </row>
    <row r="116" ht="56.25" customHeight="1">
      <c r="A116" s="5" t="s">
        <v>21246</v>
      </c>
      <c r="B116" s="6" t="str">
        <f>IMAGE("https://storage.googleapis.com/acdb/villagers/dog04.png")</f>
        <v/>
      </c>
      <c r="C116" s="8" t="s">
        <v>1714</v>
      </c>
      <c r="D116" s="8" t="s">
        <v>20581</v>
      </c>
      <c r="E116" s="8" t="s">
        <v>19243</v>
      </c>
      <c r="F116" s="17" t="s">
        <v>21247</v>
      </c>
      <c r="G116" s="55" t="s">
        <v>21248</v>
      </c>
      <c r="H116" s="58" t="s">
        <v>995</v>
      </c>
      <c r="I116" s="60" t="s">
        <v>1959</v>
      </c>
      <c r="J116" s="55" t="s">
        <v>21249</v>
      </c>
    </row>
    <row r="117" ht="56.25" customHeight="1">
      <c r="A117" s="5" t="s">
        <v>21250</v>
      </c>
      <c r="B117" s="6" t="str">
        <f>IMAGE("https://storage.googleapis.com/acdb/villagers/dog05.png")</f>
        <v/>
      </c>
      <c r="C117" s="8" t="s">
        <v>1714</v>
      </c>
      <c r="D117" s="8" t="s">
        <v>20603</v>
      </c>
      <c r="E117" s="8" t="s">
        <v>19361</v>
      </c>
      <c r="F117" s="17" t="s">
        <v>21252</v>
      </c>
      <c r="G117" s="55" t="s">
        <v>21253</v>
      </c>
      <c r="H117" s="59" t="s">
        <v>1059</v>
      </c>
      <c r="I117" s="61" t="s">
        <v>612</v>
      </c>
      <c r="J117" s="55" t="s">
        <v>21254</v>
      </c>
    </row>
    <row r="118" ht="56.25" customHeight="1">
      <c r="A118" s="5" t="s">
        <v>21255</v>
      </c>
      <c r="B118" s="6" t="str">
        <f>IMAGE("https://storage.googleapis.com/acdb/villagers/dog06.png")</f>
        <v/>
      </c>
      <c r="C118" s="8" t="s">
        <v>1714</v>
      </c>
      <c r="D118" s="8" t="s">
        <v>20581</v>
      </c>
      <c r="E118" s="8" t="s">
        <v>19243</v>
      </c>
      <c r="F118" s="17" t="s">
        <v>21256</v>
      </c>
      <c r="G118" s="55" t="s">
        <v>21257</v>
      </c>
      <c r="H118" s="58" t="s">
        <v>995</v>
      </c>
      <c r="I118" s="58" t="s">
        <v>995</v>
      </c>
      <c r="J118" s="55" t="s">
        <v>21258</v>
      </c>
    </row>
    <row r="119" ht="56.25" customHeight="1">
      <c r="A119" s="5" t="s">
        <v>21260</v>
      </c>
      <c r="B119" s="6" t="str">
        <f>IMAGE("https://storage.googleapis.com/acdb/villagers/dog07.png")</f>
        <v/>
      </c>
      <c r="C119" s="8" t="s">
        <v>1714</v>
      </c>
      <c r="D119" s="8" t="s">
        <v>20603</v>
      </c>
      <c r="E119" s="8" t="s">
        <v>19161</v>
      </c>
      <c r="F119" s="17" t="s">
        <v>21261</v>
      </c>
      <c r="G119" s="55" t="s">
        <v>21262</v>
      </c>
      <c r="H119" s="58" t="s">
        <v>995</v>
      </c>
      <c r="I119" s="60" t="s">
        <v>1959</v>
      </c>
      <c r="J119" s="55" t="s">
        <v>21263</v>
      </c>
    </row>
    <row r="120" ht="56.25" customHeight="1">
      <c r="A120" s="5" t="s">
        <v>21264</v>
      </c>
      <c r="B120" s="6" t="str">
        <f>IMAGE("https://storage.googleapis.com/acdb/villagers/dog08.png")</f>
        <v/>
      </c>
      <c r="C120" s="8" t="s">
        <v>1714</v>
      </c>
      <c r="D120" s="8" t="s">
        <v>20603</v>
      </c>
      <c r="E120" s="8" t="s">
        <v>19196</v>
      </c>
      <c r="F120" s="17" t="s">
        <v>21266</v>
      </c>
      <c r="G120" s="55" t="s">
        <v>21267</v>
      </c>
      <c r="H120" s="60" t="s">
        <v>1959</v>
      </c>
      <c r="I120" s="60" t="s">
        <v>1959</v>
      </c>
      <c r="J120" s="55" t="s">
        <v>21268</v>
      </c>
    </row>
    <row r="121" ht="56.25" customHeight="1">
      <c r="A121" s="5" t="s">
        <v>21269</v>
      </c>
      <c r="B121" s="6" t="str">
        <f>IMAGE("https://storage.googleapis.com/acdb/villagers/dog09.png")</f>
        <v/>
      </c>
      <c r="C121" s="8" t="s">
        <v>1714</v>
      </c>
      <c r="D121" s="8" t="s">
        <v>20603</v>
      </c>
      <c r="E121" s="8" t="s">
        <v>19196</v>
      </c>
      <c r="F121" s="17" t="s">
        <v>21270</v>
      </c>
      <c r="G121" s="55" t="s">
        <v>21271</v>
      </c>
      <c r="H121" s="58" t="s">
        <v>995</v>
      </c>
      <c r="I121" s="60" t="s">
        <v>1959</v>
      </c>
      <c r="J121" s="55" t="s">
        <v>21273</v>
      </c>
    </row>
    <row r="122" ht="56.25" customHeight="1">
      <c r="A122" s="5" t="s">
        <v>21274</v>
      </c>
      <c r="B122" s="6" t="str">
        <f>IMAGE("https://storage.googleapis.com/acdb/villagers/dog10.png")</f>
        <v/>
      </c>
      <c r="C122" s="8" t="s">
        <v>1714</v>
      </c>
      <c r="D122" s="8" t="s">
        <v>20603</v>
      </c>
      <c r="E122" s="8" t="s">
        <v>19161</v>
      </c>
      <c r="F122" s="17" t="s">
        <v>21275</v>
      </c>
      <c r="G122" s="55" t="s">
        <v>21276</v>
      </c>
      <c r="H122" s="58" t="s">
        <v>995</v>
      </c>
      <c r="I122" s="56" t="s">
        <v>1952</v>
      </c>
      <c r="J122" s="55" t="s">
        <v>21277</v>
      </c>
    </row>
    <row r="123" ht="56.25" customHeight="1">
      <c r="A123" s="5" t="s">
        <v>21278</v>
      </c>
      <c r="B123" s="6" t="str">
        <f>IMAGE("https://storage.googleapis.com/acdb/villagers/dog14.png")</f>
        <v/>
      </c>
      <c r="C123" s="8" t="s">
        <v>1714</v>
      </c>
      <c r="D123" s="8" t="s">
        <v>20581</v>
      </c>
      <c r="E123" s="8" t="s">
        <v>19128</v>
      </c>
      <c r="F123" s="17" t="s">
        <v>21280</v>
      </c>
      <c r="G123" s="55" t="s">
        <v>21281</v>
      </c>
      <c r="H123" s="57" t="s">
        <v>8746</v>
      </c>
      <c r="I123" s="56" t="s">
        <v>1952</v>
      </c>
      <c r="J123" s="55" t="s">
        <v>21282</v>
      </c>
    </row>
    <row r="124" ht="56.25" customHeight="1">
      <c r="A124" s="5" t="s">
        <v>21283</v>
      </c>
      <c r="B124" s="6" t="str">
        <f>IMAGE("https://storage.googleapis.com/acdb/villagers/dog15.png")</f>
        <v/>
      </c>
      <c r="C124" s="8" t="s">
        <v>1714</v>
      </c>
      <c r="D124" s="8" t="s">
        <v>20581</v>
      </c>
      <c r="E124" s="8" t="s">
        <v>19243</v>
      </c>
      <c r="F124" s="17" t="s">
        <v>21284</v>
      </c>
      <c r="G124" s="55" t="s">
        <v>21286</v>
      </c>
      <c r="H124" s="58" t="s">
        <v>995</v>
      </c>
      <c r="I124" s="56" t="s">
        <v>1952</v>
      </c>
      <c r="J124" s="55" t="s">
        <v>21288</v>
      </c>
    </row>
    <row r="125" ht="56.25" customHeight="1">
      <c r="A125" s="5" t="s">
        <v>21289</v>
      </c>
      <c r="B125" s="6" t="str">
        <f>IMAGE("https://storage.googleapis.com/acdb/villagers/dog16.png")</f>
        <v/>
      </c>
      <c r="C125" s="8" t="s">
        <v>1714</v>
      </c>
      <c r="D125" s="8" t="s">
        <v>20581</v>
      </c>
      <c r="E125" s="8" t="s">
        <v>19243</v>
      </c>
      <c r="F125" s="17" t="s">
        <v>21290</v>
      </c>
      <c r="G125" s="55" t="s">
        <v>21291</v>
      </c>
      <c r="H125" s="58" t="s">
        <v>995</v>
      </c>
      <c r="I125" s="58" t="s">
        <v>995</v>
      </c>
      <c r="J125" s="55" t="s">
        <v>21292</v>
      </c>
    </row>
    <row r="126" ht="56.25" customHeight="1">
      <c r="A126" s="5" t="s">
        <v>51</v>
      </c>
      <c r="B126" s="6" t="str">
        <f>IMAGE("https://storage.googleapis.com/acdb/villagers/dog17.png")</f>
        <v/>
      </c>
      <c r="C126" s="8" t="s">
        <v>1714</v>
      </c>
      <c r="D126" s="8" t="s">
        <v>20603</v>
      </c>
      <c r="E126" s="8" t="s">
        <v>19205</v>
      </c>
      <c r="F126" s="17" t="s">
        <v>21295</v>
      </c>
      <c r="G126" s="55" t="s">
        <v>21296</v>
      </c>
      <c r="H126" s="56" t="s">
        <v>1952</v>
      </c>
      <c r="I126" s="59" t="s">
        <v>1059</v>
      </c>
      <c r="J126" s="55" t="s">
        <v>21297</v>
      </c>
    </row>
    <row r="127" ht="56.25" customHeight="1">
      <c r="A127" s="5" t="s">
        <v>21298</v>
      </c>
      <c r="B127" s="6" t="str">
        <f>IMAGE("https://storage.googleapis.com/acdb/villagers/dog18.png")</f>
        <v/>
      </c>
      <c r="C127" s="8" t="s">
        <v>1714</v>
      </c>
      <c r="D127" s="8" t="s">
        <v>20581</v>
      </c>
      <c r="E127" s="8" t="s">
        <v>19232</v>
      </c>
      <c r="F127" s="17" t="s">
        <v>21300</v>
      </c>
      <c r="G127" s="55" t="s">
        <v>21302</v>
      </c>
      <c r="H127" s="58" t="s">
        <v>995</v>
      </c>
      <c r="I127" s="56" t="s">
        <v>1952</v>
      </c>
      <c r="J127" s="55" t="s">
        <v>21303</v>
      </c>
    </row>
    <row r="128" ht="56.25" customHeight="1">
      <c r="A128" s="5" t="s">
        <v>21305</v>
      </c>
      <c r="B128" s="6" t="str">
        <f>IMAGE("https://storage.googleapis.com/acdb/villagers/duk00.png")</f>
        <v/>
      </c>
      <c r="C128" s="8" t="s">
        <v>1328</v>
      </c>
      <c r="D128" s="8" t="s">
        <v>20581</v>
      </c>
      <c r="E128" s="8" t="s">
        <v>19128</v>
      </c>
      <c r="F128" s="17" t="s">
        <v>21306</v>
      </c>
      <c r="G128" s="55" t="s">
        <v>21307</v>
      </c>
      <c r="H128" s="57" t="s">
        <v>8746</v>
      </c>
      <c r="I128" s="57" t="s">
        <v>8746</v>
      </c>
      <c r="J128" s="55" t="s">
        <v>21309</v>
      </c>
    </row>
    <row r="129" ht="56.25" customHeight="1">
      <c r="A129" s="5" t="s">
        <v>21310</v>
      </c>
      <c r="B129" s="6" t="str">
        <f>IMAGE("https://storage.googleapis.com/acdb/villagers/duk01.png")</f>
        <v/>
      </c>
      <c r="C129" s="8" t="s">
        <v>1328</v>
      </c>
      <c r="D129" s="8" t="s">
        <v>20581</v>
      </c>
      <c r="E129" s="8" t="s">
        <v>19243</v>
      </c>
      <c r="F129" s="17" t="s">
        <v>21313</v>
      </c>
      <c r="G129" s="55" t="s">
        <v>21314</v>
      </c>
      <c r="H129" s="58" t="s">
        <v>995</v>
      </c>
      <c r="I129" s="58" t="s">
        <v>995</v>
      </c>
      <c r="J129" s="55" t="s">
        <v>21315</v>
      </c>
    </row>
    <row r="130" ht="56.25" customHeight="1">
      <c r="A130" s="5" t="s">
        <v>21316</v>
      </c>
      <c r="B130" s="6" t="str">
        <f>IMAGE("https://storage.googleapis.com/acdb/villagers/duk02.png")</f>
        <v/>
      </c>
      <c r="C130" s="8" t="s">
        <v>1328</v>
      </c>
      <c r="D130" s="8" t="s">
        <v>20603</v>
      </c>
      <c r="E130" s="8" t="s">
        <v>19196</v>
      </c>
      <c r="F130" s="17" t="s">
        <v>21319</v>
      </c>
      <c r="G130" s="55" t="s">
        <v>21321</v>
      </c>
      <c r="H130" s="58" t="s">
        <v>995</v>
      </c>
      <c r="I130" s="60" t="s">
        <v>1959</v>
      </c>
      <c r="J130" s="55" t="s">
        <v>21322</v>
      </c>
    </row>
    <row r="131" ht="56.25" customHeight="1">
      <c r="A131" s="5" t="s">
        <v>21323</v>
      </c>
      <c r="B131" s="6" t="str">
        <f>IMAGE("https://storage.googleapis.com/acdb/villagers/duk03.png")</f>
        <v/>
      </c>
      <c r="C131" s="8" t="s">
        <v>1328</v>
      </c>
      <c r="D131" s="8" t="s">
        <v>20603</v>
      </c>
      <c r="E131" s="8" t="s">
        <v>19361</v>
      </c>
      <c r="F131" s="17" t="s">
        <v>21325</v>
      </c>
      <c r="G131" s="55" t="s">
        <v>21326</v>
      </c>
      <c r="H131" s="56" t="s">
        <v>1952</v>
      </c>
      <c r="I131" s="58" t="s">
        <v>995</v>
      </c>
      <c r="J131" s="55" t="s">
        <v>21328</v>
      </c>
    </row>
    <row r="132" ht="56.25" customHeight="1">
      <c r="A132" s="5" t="s">
        <v>21329</v>
      </c>
      <c r="B132" s="6" t="str">
        <f>IMAGE("https://storage.googleapis.com/acdb/villagers/duk04.png")</f>
        <v/>
      </c>
      <c r="C132" s="8" t="s">
        <v>1328</v>
      </c>
      <c r="D132" s="8" t="s">
        <v>20603</v>
      </c>
      <c r="E132" s="8" t="s">
        <v>19161</v>
      </c>
      <c r="F132" s="17" t="s">
        <v>21331</v>
      </c>
      <c r="G132" s="55" t="s">
        <v>21332</v>
      </c>
      <c r="H132" s="58" t="s">
        <v>995</v>
      </c>
      <c r="I132" s="60" t="s">
        <v>1959</v>
      </c>
      <c r="J132" s="55" t="s">
        <v>21334</v>
      </c>
    </row>
    <row r="133" ht="56.25" customHeight="1">
      <c r="A133" s="5" t="s">
        <v>21335</v>
      </c>
      <c r="B133" s="6" t="str">
        <f>IMAGE("https://storage.googleapis.com/acdb/villagers/duk05.png")</f>
        <v/>
      </c>
      <c r="C133" s="8" t="s">
        <v>1328</v>
      </c>
      <c r="D133" s="8" t="s">
        <v>20603</v>
      </c>
      <c r="E133" s="8" t="s">
        <v>19196</v>
      </c>
      <c r="F133" s="17" t="s">
        <v>21338</v>
      </c>
      <c r="G133" s="55" t="s">
        <v>21339</v>
      </c>
      <c r="H133" s="60" t="s">
        <v>1959</v>
      </c>
      <c r="I133" s="58" t="s">
        <v>995</v>
      </c>
      <c r="J133" s="55" t="s">
        <v>21340</v>
      </c>
    </row>
    <row r="134" ht="56.25" customHeight="1">
      <c r="A134" s="5" t="s">
        <v>21342</v>
      </c>
      <c r="B134" s="6" t="str">
        <f>IMAGE("https://storage.googleapis.com/acdb/villagers/duk06.png")</f>
        <v/>
      </c>
      <c r="C134" s="8" t="s">
        <v>1328</v>
      </c>
      <c r="D134" s="8" t="s">
        <v>20603</v>
      </c>
      <c r="E134" s="8" t="s">
        <v>19361</v>
      </c>
      <c r="F134" s="17" t="s">
        <v>21345</v>
      </c>
      <c r="G134" s="55" t="s">
        <v>21346</v>
      </c>
      <c r="H134" s="56" t="s">
        <v>1952</v>
      </c>
      <c r="I134" s="61" t="s">
        <v>612</v>
      </c>
      <c r="J134" s="55" t="s">
        <v>21347</v>
      </c>
    </row>
    <row r="135" ht="56.25" customHeight="1">
      <c r="A135" s="5" t="s">
        <v>21348</v>
      </c>
      <c r="B135" s="6" t="str">
        <f>IMAGE("https://storage.googleapis.com/acdb/villagers/duk07.png")</f>
        <v/>
      </c>
      <c r="C135" s="8" t="s">
        <v>1328</v>
      </c>
      <c r="D135" s="8" t="s">
        <v>20603</v>
      </c>
      <c r="E135" s="8" t="s">
        <v>19196</v>
      </c>
      <c r="F135" s="17" t="s">
        <v>21350</v>
      </c>
      <c r="G135" s="55" t="s">
        <v>21351</v>
      </c>
      <c r="H135" s="58" t="s">
        <v>995</v>
      </c>
      <c r="I135" s="60" t="s">
        <v>1959</v>
      </c>
      <c r="J135" s="55" t="s">
        <v>21353</v>
      </c>
    </row>
    <row r="136" ht="56.25" customHeight="1">
      <c r="A136" s="5" t="s">
        <v>21354</v>
      </c>
      <c r="B136" s="6" t="str">
        <f>IMAGE("https://storage.googleapis.com/acdb/villagers/duk08.png")</f>
        <v/>
      </c>
      <c r="C136" s="8" t="s">
        <v>1328</v>
      </c>
      <c r="D136" s="8" t="s">
        <v>20581</v>
      </c>
      <c r="E136" s="8" t="s">
        <v>19243</v>
      </c>
      <c r="F136" s="17" t="s">
        <v>21355</v>
      </c>
      <c r="G136" s="55" t="s">
        <v>21356</v>
      </c>
      <c r="H136" s="58" t="s">
        <v>995</v>
      </c>
      <c r="I136" s="59" t="s">
        <v>1059</v>
      </c>
      <c r="J136" s="55" t="s">
        <v>21357</v>
      </c>
    </row>
    <row r="137" ht="56.25" customHeight="1">
      <c r="A137" s="5" t="s">
        <v>21359</v>
      </c>
      <c r="B137" s="6" t="str">
        <f>IMAGE("https://storage.googleapis.com/acdb/villagers/duk09.png")</f>
        <v/>
      </c>
      <c r="C137" s="8" t="s">
        <v>1328</v>
      </c>
      <c r="D137" s="8" t="s">
        <v>20581</v>
      </c>
      <c r="E137" s="8" t="s">
        <v>19243</v>
      </c>
      <c r="F137" s="17" t="s">
        <v>21361</v>
      </c>
      <c r="G137" s="55" t="s">
        <v>21307</v>
      </c>
      <c r="H137" s="56" t="s">
        <v>1952</v>
      </c>
      <c r="I137" s="58" t="s">
        <v>995</v>
      </c>
      <c r="J137" s="55" t="s">
        <v>21362</v>
      </c>
    </row>
    <row r="138" ht="56.25" customHeight="1">
      <c r="A138" s="5" t="s">
        <v>21364</v>
      </c>
      <c r="B138" s="6" t="str">
        <f>IMAGE("https://storage.googleapis.com/acdb/villagers/duk10.png")</f>
        <v/>
      </c>
      <c r="C138" s="8" t="s">
        <v>1328</v>
      </c>
      <c r="D138" s="8" t="s">
        <v>20581</v>
      </c>
      <c r="E138" s="8" t="s">
        <v>19128</v>
      </c>
      <c r="F138" s="17" t="s">
        <v>21366</v>
      </c>
      <c r="G138" s="55" t="s">
        <v>21367</v>
      </c>
      <c r="H138" s="57" t="s">
        <v>8746</v>
      </c>
      <c r="I138" s="58" t="s">
        <v>995</v>
      </c>
      <c r="J138" s="55" t="s">
        <v>21369</v>
      </c>
    </row>
    <row r="139" ht="56.25" customHeight="1">
      <c r="A139" s="5" t="s">
        <v>21371</v>
      </c>
      <c r="B139" s="6" t="str">
        <f>IMAGE("https://storage.googleapis.com/acdb/villagers/duk11.png")</f>
        <v/>
      </c>
      <c r="C139" s="8" t="s">
        <v>1328</v>
      </c>
      <c r="D139" s="8" t="s">
        <v>20581</v>
      </c>
      <c r="E139" s="8" t="s">
        <v>19243</v>
      </c>
      <c r="F139" s="17" t="s">
        <v>21372</v>
      </c>
      <c r="G139" s="55" t="s">
        <v>21373</v>
      </c>
      <c r="H139" s="56" t="s">
        <v>1952</v>
      </c>
      <c r="I139" s="58" t="s">
        <v>995</v>
      </c>
      <c r="J139" s="55" t="s">
        <v>21375</v>
      </c>
    </row>
    <row r="140" ht="56.25" customHeight="1">
      <c r="A140" s="5" t="s">
        <v>21377</v>
      </c>
      <c r="B140" s="6" t="str">
        <f>IMAGE("https://storage.googleapis.com/acdb/villagers/duk12.png")</f>
        <v/>
      </c>
      <c r="C140" s="8" t="s">
        <v>1328</v>
      </c>
      <c r="D140" s="8" t="s">
        <v>20603</v>
      </c>
      <c r="E140" s="8" t="s">
        <v>19361</v>
      </c>
      <c r="F140" s="17" t="s">
        <v>21378</v>
      </c>
      <c r="G140" s="55" t="s">
        <v>21380</v>
      </c>
      <c r="H140" s="59" t="s">
        <v>1059</v>
      </c>
      <c r="I140" s="61" t="s">
        <v>612</v>
      </c>
      <c r="J140" s="55" t="s">
        <v>21382</v>
      </c>
    </row>
    <row r="141" ht="56.25" customHeight="1">
      <c r="A141" s="5" t="s">
        <v>21383</v>
      </c>
      <c r="B141" s="6" t="str">
        <f>IMAGE("https://storage.googleapis.com/acdb/villagers/duk13.png")</f>
        <v/>
      </c>
      <c r="C141" s="8" t="s">
        <v>1328</v>
      </c>
      <c r="D141" s="8" t="s">
        <v>20603</v>
      </c>
      <c r="E141" s="8" t="s">
        <v>19196</v>
      </c>
      <c r="F141" s="17" t="s">
        <v>21221</v>
      </c>
      <c r="G141" s="55" t="s">
        <v>21386</v>
      </c>
      <c r="H141" s="60" t="s">
        <v>1959</v>
      </c>
      <c r="I141" s="60" t="s">
        <v>1959</v>
      </c>
      <c r="J141" s="55" t="s">
        <v>21388</v>
      </c>
    </row>
    <row r="142" ht="56.25" customHeight="1">
      <c r="A142" s="5" t="s">
        <v>21389</v>
      </c>
      <c r="B142" s="6" t="str">
        <f>IMAGE("https://storage.googleapis.com/acdb/villagers/duk15.png")</f>
        <v/>
      </c>
      <c r="C142" s="8" t="s">
        <v>1328</v>
      </c>
      <c r="D142" s="8" t="s">
        <v>20603</v>
      </c>
      <c r="E142" s="8" t="s">
        <v>19361</v>
      </c>
      <c r="F142" s="17" t="s">
        <v>21392</v>
      </c>
      <c r="G142" s="55" t="s">
        <v>21393</v>
      </c>
      <c r="H142" s="61" t="s">
        <v>612</v>
      </c>
      <c r="I142" s="59" t="s">
        <v>1059</v>
      </c>
      <c r="J142" s="55" t="s">
        <v>21395</v>
      </c>
    </row>
    <row r="143" ht="56.25" customHeight="1">
      <c r="A143" s="5" t="s">
        <v>21396</v>
      </c>
      <c r="B143" s="6" t="str">
        <f>IMAGE("https://storage.googleapis.com/acdb/villagers/duk16.png")</f>
        <v/>
      </c>
      <c r="C143" s="8" t="s">
        <v>1328</v>
      </c>
      <c r="D143" s="8" t="s">
        <v>20603</v>
      </c>
      <c r="E143" s="8" t="s">
        <v>19161</v>
      </c>
      <c r="F143" s="17" t="s">
        <v>21399</v>
      </c>
      <c r="G143" s="55" t="s">
        <v>21400</v>
      </c>
      <c r="H143" s="60" t="s">
        <v>1959</v>
      </c>
      <c r="I143" s="58" t="s">
        <v>995</v>
      </c>
      <c r="J143" s="55" t="s">
        <v>21401</v>
      </c>
    </row>
    <row r="144" ht="56.25" customHeight="1">
      <c r="A144" s="5" t="s">
        <v>21402</v>
      </c>
      <c r="B144" s="6" t="str">
        <f>IMAGE("https://storage.googleapis.com/acdb/villagers/duk17.png")</f>
        <v/>
      </c>
      <c r="C144" s="8" t="s">
        <v>1328</v>
      </c>
      <c r="D144" s="8" t="s">
        <v>20581</v>
      </c>
      <c r="E144" s="8" t="s">
        <v>19232</v>
      </c>
      <c r="F144" s="17" t="s">
        <v>21404</v>
      </c>
      <c r="G144" s="55" t="s">
        <v>21405</v>
      </c>
      <c r="H144" s="59" t="s">
        <v>1059</v>
      </c>
      <c r="I144" s="56" t="s">
        <v>1952</v>
      </c>
      <c r="J144" s="55" t="s">
        <v>21407</v>
      </c>
    </row>
    <row r="145" ht="56.25" customHeight="1">
      <c r="A145" s="5" t="s">
        <v>21408</v>
      </c>
      <c r="B145" s="6" t="str">
        <f>IMAGE("https://storage.googleapis.com/acdb/villagers/elp00.png")</f>
        <v/>
      </c>
      <c r="C145" s="8" t="s">
        <v>21409</v>
      </c>
      <c r="D145" s="8" t="s">
        <v>20603</v>
      </c>
      <c r="E145" s="8" t="s">
        <v>19361</v>
      </c>
      <c r="F145" s="17" t="s">
        <v>21410</v>
      </c>
      <c r="G145" s="55" t="s">
        <v>21411</v>
      </c>
      <c r="H145" s="59" t="s">
        <v>1059</v>
      </c>
      <c r="I145" s="56" t="s">
        <v>1952</v>
      </c>
      <c r="J145" s="55" t="s">
        <v>21412</v>
      </c>
    </row>
    <row r="146" ht="56.25" customHeight="1">
      <c r="A146" s="5" t="s">
        <v>21413</v>
      </c>
      <c r="B146" s="6" t="str">
        <f>IMAGE("https://storage.googleapis.com/acdb/villagers/elp01.png")</f>
        <v/>
      </c>
      <c r="C146" s="8" t="s">
        <v>21409</v>
      </c>
      <c r="D146" s="8" t="s">
        <v>20581</v>
      </c>
      <c r="E146" s="8" t="s">
        <v>19243</v>
      </c>
      <c r="F146" s="17" t="s">
        <v>21415</v>
      </c>
      <c r="G146" s="55" t="s">
        <v>21416</v>
      </c>
      <c r="H146" s="58" t="s">
        <v>995</v>
      </c>
      <c r="I146" s="58" t="s">
        <v>995</v>
      </c>
      <c r="J146" s="55" t="s">
        <v>21418</v>
      </c>
    </row>
    <row r="147" ht="56.25" customHeight="1">
      <c r="A147" s="5" t="s">
        <v>21419</v>
      </c>
      <c r="B147" s="6" t="str">
        <f>IMAGE("https://storage.googleapis.com/acdb/villagers/elp02.png")</f>
        <v/>
      </c>
      <c r="C147" s="8" t="s">
        <v>21409</v>
      </c>
      <c r="D147" s="8" t="s">
        <v>20581</v>
      </c>
      <c r="E147" s="8" t="s">
        <v>19243</v>
      </c>
      <c r="F147" s="17" t="s">
        <v>21421</v>
      </c>
      <c r="G147" s="55" t="s">
        <v>21423</v>
      </c>
      <c r="H147" s="58" t="s">
        <v>995</v>
      </c>
      <c r="I147" s="57" t="s">
        <v>8746</v>
      </c>
      <c r="J147" s="55" t="s">
        <v>21424</v>
      </c>
    </row>
    <row r="148" ht="56.25" customHeight="1">
      <c r="A148" s="5" t="s">
        <v>21425</v>
      </c>
      <c r="B148" s="6" t="str">
        <f>IMAGE("https://storage.googleapis.com/acdb/villagers/elp03.png")</f>
        <v/>
      </c>
      <c r="C148" s="8" t="s">
        <v>21409</v>
      </c>
      <c r="D148" s="8" t="s">
        <v>20603</v>
      </c>
      <c r="E148" s="8" t="s">
        <v>19361</v>
      </c>
      <c r="F148" s="17" t="s">
        <v>21428</v>
      </c>
      <c r="G148" s="55" t="s">
        <v>21429</v>
      </c>
      <c r="H148" s="59" t="s">
        <v>1059</v>
      </c>
      <c r="I148" s="58" t="s">
        <v>995</v>
      </c>
      <c r="J148" s="55" t="s">
        <v>21431</v>
      </c>
    </row>
    <row r="149" ht="56.25" customHeight="1">
      <c r="A149" s="5" t="s">
        <v>21432</v>
      </c>
      <c r="B149" s="6" t="str">
        <f>IMAGE("https://storage.googleapis.com/acdb/villagers/elp04.png")</f>
        <v/>
      </c>
      <c r="C149" s="8" t="s">
        <v>21409</v>
      </c>
      <c r="D149" s="8" t="s">
        <v>20603</v>
      </c>
      <c r="E149" s="8" t="s">
        <v>19161</v>
      </c>
      <c r="F149" s="17" t="s">
        <v>21434</v>
      </c>
      <c r="G149" s="55" t="s">
        <v>21435</v>
      </c>
      <c r="H149" s="59" t="s">
        <v>1059</v>
      </c>
      <c r="I149" s="60" t="s">
        <v>1959</v>
      </c>
      <c r="J149" s="55" t="s">
        <v>21436</v>
      </c>
    </row>
    <row r="150" ht="56.25" customHeight="1">
      <c r="A150" s="5" t="s">
        <v>21437</v>
      </c>
      <c r="B150" s="6" t="str">
        <f>IMAGE("https://storage.googleapis.com/acdb/villagers/elp05.png")</f>
        <v/>
      </c>
      <c r="C150" s="8" t="s">
        <v>21409</v>
      </c>
      <c r="D150" s="8" t="s">
        <v>20581</v>
      </c>
      <c r="E150" s="8" t="s">
        <v>19243</v>
      </c>
      <c r="F150" s="17" t="s">
        <v>21439</v>
      </c>
      <c r="G150" s="55" t="s">
        <v>21441</v>
      </c>
      <c r="H150" s="58" t="s">
        <v>995</v>
      </c>
      <c r="I150" s="59" t="s">
        <v>1059</v>
      </c>
      <c r="J150" s="55" t="s">
        <v>21442</v>
      </c>
    </row>
    <row r="151" ht="56.25" customHeight="1">
      <c r="A151" s="5" t="s">
        <v>21443</v>
      </c>
      <c r="B151" s="6" t="str">
        <f>IMAGE("https://storage.googleapis.com/acdb/villagers/elp06.png")</f>
        <v/>
      </c>
      <c r="C151" s="8" t="s">
        <v>21409</v>
      </c>
      <c r="D151" s="8" t="s">
        <v>20581</v>
      </c>
      <c r="E151" s="8" t="s">
        <v>19128</v>
      </c>
      <c r="F151" s="17" t="s">
        <v>21444</v>
      </c>
      <c r="G151" s="55" t="s">
        <v>21445</v>
      </c>
      <c r="H151" s="57" t="s">
        <v>8746</v>
      </c>
      <c r="I151" s="58" t="s">
        <v>995</v>
      </c>
      <c r="J151" s="55" t="s">
        <v>21447</v>
      </c>
    </row>
    <row r="152" ht="56.25" customHeight="1">
      <c r="A152" s="5" t="s">
        <v>21448</v>
      </c>
      <c r="B152" s="6" t="str">
        <f>IMAGE("https://storage.googleapis.com/acdb/villagers/elp07.png")</f>
        <v/>
      </c>
      <c r="C152" s="8" t="s">
        <v>21409</v>
      </c>
      <c r="D152" s="8" t="s">
        <v>20603</v>
      </c>
      <c r="E152" s="8" t="s">
        <v>19161</v>
      </c>
      <c r="F152" s="17" t="s">
        <v>21450</v>
      </c>
      <c r="G152" s="55" t="s">
        <v>21451</v>
      </c>
      <c r="H152" s="58" t="s">
        <v>995</v>
      </c>
      <c r="I152" s="60" t="s">
        <v>1959</v>
      </c>
      <c r="J152" s="55" t="s">
        <v>21452</v>
      </c>
    </row>
    <row r="153" ht="56.25" customHeight="1">
      <c r="A153" s="5" t="s">
        <v>21453</v>
      </c>
      <c r="B153" s="6" t="str">
        <f>IMAGE("https://storage.googleapis.com/acdb/villagers/elp09.png")</f>
        <v/>
      </c>
      <c r="C153" s="8" t="s">
        <v>21409</v>
      </c>
      <c r="D153" s="8" t="s">
        <v>20581</v>
      </c>
      <c r="E153" s="8" t="s">
        <v>19243</v>
      </c>
      <c r="F153" s="17" t="s">
        <v>21456</v>
      </c>
      <c r="G153" s="55" t="s">
        <v>21457</v>
      </c>
      <c r="H153" s="57" t="s">
        <v>8746</v>
      </c>
      <c r="I153" s="58" t="s">
        <v>995</v>
      </c>
      <c r="J153" s="55" t="s">
        <v>21458</v>
      </c>
    </row>
    <row r="154" ht="56.25" customHeight="1">
      <c r="A154" s="5" t="s">
        <v>21459</v>
      </c>
      <c r="B154" s="6" t="str">
        <f>IMAGE("https://storage.googleapis.com/acdb/villagers/elp10.png")</f>
        <v/>
      </c>
      <c r="C154" s="8" t="s">
        <v>21409</v>
      </c>
      <c r="D154" s="8" t="s">
        <v>20603</v>
      </c>
      <c r="E154" s="8" t="s">
        <v>19161</v>
      </c>
      <c r="F154" s="17" t="s">
        <v>21460</v>
      </c>
      <c r="G154" s="55" t="s">
        <v>21461</v>
      </c>
      <c r="H154" s="60" t="s">
        <v>1959</v>
      </c>
      <c r="I154" s="59" t="s">
        <v>1059</v>
      </c>
      <c r="J154" s="55" t="s">
        <v>21463</v>
      </c>
    </row>
    <row r="155" ht="56.25" customHeight="1">
      <c r="A155" s="5" t="s">
        <v>21465</v>
      </c>
      <c r="B155" s="6" t="str">
        <f>IMAGE("https://storage.googleapis.com/acdb/villagers/elp12.png")</f>
        <v/>
      </c>
      <c r="C155" s="8" t="s">
        <v>21409</v>
      </c>
      <c r="D155" s="8" t="s">
        <v>20581</v>
      </c>
      <c r="E155" s="8" t="s">
        <v>19238</v>
      </c>
      <c r="F155" s="17" t="s">
        <v>21123</v>
      </c>
      <c r="G155" s="55" t="s">
        <v>21466</v>
      </c>
      <c r="H155" s="56" t="s">
        <v>1952</v>
      </c>
      <c r="I155" s="57" t="s">
        <v>8746</v>
      </c>
      <c r="J155" s="55" t="s">
        <v>21467</v>
      </c>
    </row>
    <row r="156" ht="56.25" customHeight="1">
      <c r="A156" s="5" t="s">
        <v>21468</v>
      </c>
      <c r="B156" s="6" t="str">
        <f>IMAGE("https://storage.googleapis.com/acdb/villagers/flg00.png")</f>
        <v/>
      </c>
      <c r="C156" s="8" t="s">
        <v>10014</v>
      </c>
      <c r="D156" s="8" t="s">
        <v>20603</v>
      </c>
      <c r="E156" s="8" t="s">
        <v>19161</v>
      </c>
      <c r="F156" s="17" t="s">
        <v>21471</v>
      </c>
      <c r="G156" s="55" t="s">
        <v>21472</v>
      </c>
      <c r="H156" s="60" t="s">
        <v>1959</v>
      </c>
      <c r="I156" s="58" t="s">
        <v>995</v>
      </c>
      <c r="J156" s="55" t="s">
        <v>21473</v>
      </c>
    </row>
    <row r="157" ht="56.25" customHeight="1">
      <c r="A157" s="5" t="s">
        <v>21474</v>
      </c>
      <c r="B157" s="6" t="str">
        <f>IMAGE("https://storage.googleapis.com/acdb/villagers/flg01.png")</f>
        <v/>
      </c>
      <c r="C157" s="8" t="s">
        <v>10014</v>
      </c>
      <c r="D157" s="8" t="s">
        <v>20581</v>
      </c>
      <c r="E157" s="8" t="s">
        <v>19128</v>
      </c>
      <c r="F157" s="17" t="s">
        <v>21477</v>
      </c>
      <c r="G157" s="55" t="s">
        <v>21478</v>
      </c>
      <c r="H157" s="58" t="s">
        <v>995</v>
      </c>
      <c r="I157" s="57" t="s">
        <v>8746</v>
      </c>
      <c r="J157" s="55" t="s">
        <v>21479</v>
      </c>
    </row>
    <row r="158" ht="56.25" customHeight="1">
      <c r="A158" s="5" t="s">
        <v>21480</v>
      </c>
      <c r="B158" s="6" t="str">
        <f>IMAGE("https://storage.googleapis.com/acdb/villagers/flg02.png")</f>
        <v/>
      </c>
      <c r="C158" s="8" t="s">
        <v>10014</v>
      </c>
      <c r="D158" s="8" t="s">
        <v>20581</v>
      </c>
      <c r="E158" s="8" t="s">
        <v>19128</v>
      </c>
      <c r="F158" s="17" t="s">
        <v>21483</v>
      </c>
      <c r="G158" s="55" t="s">
        <v>21484</v>
      </c>
      <c r="H158" s="57" t="s">
        <v>8746</v>
      </c>
      <c r="I158" s="58" t="s">
        <v>995</v>
      </c>
      <c r="J158" s="55" t="s">
        <v>21486</v>
      </c>
    </row>
    <row r="159" ht="56.25" customHeight="1">
      <c r="A159" s="5" t="s">
        <v>21488</v>
      </c>
      <c r="B159" s="6" t="str">
        <f>IMAGE("https://storage.googleapis.com/acdb/villagers/flg03.png")</f>
        <v/>
      </c>
      <c r="C159" s="8" t="s">
        <v>10014</v>
      </c>
      <c r="D159" s="8" t="s">
        <v>20581</v>
      </c>
      <c r="E159" s="8" t="s">
        <v>19238</v>
      </c>
      <c r="F159" s="17" t="s">
        <v>21490</v>
      </c>
      <c r="G159" s="55" t="s">
        <v>21491</v>
      </c>
      <c r="H159" s="56" t="s">
        <v>1952</v>
      </c>
      <c r="I159" s="57" t="s">
        <v>8746</v>
      </c>
      <c r="J159" s="55" t="s">
        <v>21492</v>
      </c>
    </row>
    <row r="160" ht="56.25" customHeight="1">
      <c r="A160" s="5" t="s">
        <v>21493</v>
      </c>
      <c r="B160" s="6" t="str">
        <f>IMAGE("https://storage.googleapis.com/acdb/villagers/flg04.png")</f>
        <v/>
      </c>
      <c r="C160" s="8" t="s">
        <v>10014</v>
      </c>
      <c r="D160" s="8" t="s">
        <v>20581</v>
      </c>
      <c r="E160" s="8" t="s">
        <v>19128</v>
      </c>
      <c r="F160" s="17" t="s">
        <v>21495</v>
      </c>
      <c r="G160" s="55" t="s">
        <v>21496</v>
      </c>
      <c r="H160" s="58" t="s">
        <v>995</v>
      </c>
      <c r="I160" s="57" t="s">
        <v>8746</v>
      </c>
      <c r="J160" s="55" t="s">
        <v>21497</v>
      </c>
    </row>
    <row r="161" ht="56.25" customHeight="1">
      <c r="A161" s="5" t="s">
        <v>21498</v>
      </c>
      <c r="B161" s="6" t="str">
        <f>IMAGE("https://storage.googleapis.com/acdb/villagers/flg05.png")</f>
        <v/>
      </c>
      <c r="C161" s="8" t="s">
        <v>10014</v>
      </c>
      <c r="D161" s="8" t="s">
        <v>20581</v>
      </c>
      <c r="E161" s="8" t="s">
        <v>19238</v>
      </c>
      <c r="F161" s="17" t="s">
        <v>21501</v>
      </c>
      <c r="G161" s="55" t="s">
        <v>21502</v>
      </c>
      <c r="H161" s="58" t="s">
        <v>995</v>
      </c>
      <c r="I161" s="58" t="s">
        <v>995</v>
      </c>
      <c r="J161" s="55" t="s">
        <v>21503</v>
      </c>
    </row>
    <row r="162" ht="56.25" customHeight="1">
      <c r="A162" s="5" t="s">
        <v>21504</v>
      </c>
      <c r="B162" s="6" t="str">
        <f>IMAGE("https://storage.googleapis.com/acdb/villagers/flg06.png")</f>
        <v/>
      </c>
      <c r="C162" s="8" t="s">
        <v>10014</v>
      </c>
      <c r="D162" s="8" t="s">
        <v>20603</v>
      </c>
      <c r="E162" s="8" t="s">
        <v>19196</v>
      </c>
      <c r="F162" s="17" t="s">
        <v>21506</v>
      </c>
      <c r="G162" s="55" t="s">
        <v>21507</v>
      </c>
      <c r="H162" s="60" t="s">
        <v>1959</v>
      </c>
      <c r="I162" s="61" t="s">
        <v>612</v>
      </c>
      <c r="J162" s="55" t="s">
        <v>21508</v>
      </c>
    </row>
    <row r="163" ht="56.25" customHeight="1">
      <c r="A163" s="5" t="s">
        <v>21509</v>
      </c>
      <c r="B163" s="6" t="str">
        <f>IMAGE("https://storage.googleapis.com/acdb/villagers/flg07.png")</f>
        <v/>
      </c>
      <c r="C163" s="8" t="s">
        <v>10014</v>
      </c>
      <c r="D163" s="8" t="s">
        <v>20581</v>
      </c>
      <c r="E163" s="8" t="s">
        <v>19243</v>
      </c>
      <c r="F163" s="17" t="s">
        <v>21511</v>
      </c>
      <c r="G163" s="55" t="s">
        <v>21512</v>
      </c>
      <c r="H163" s="58" t="s">
        <v>995</v>
      </c>
      <c r="I163" s="58" t="s">
        <v>995</v>
      </c>
      <c r="J163" s="55" t="s">
        <v>21513</v>
      </c>
    </row>
    <row r="164" ht="56.25" customHeight="1">
      <c r="A164" s="5" t="s">
        <v>21515</v>
      </c>
      <c r="B164" s="6" t="str">
        <f>IMAGE("https://storage.googleapis.com/acdb/villagers/flg09.png")</f>
        <v/>
      </c>
      <c r="C164" s="8" t="s">
        <v>10014</v>
      </c>
      <c r="D164" s="8" t="s">
        <v>20581</v>
      </c>
      <c r="E164" s="8" t="s">
        <v>19128</v>
      </c>
      <c r="F164" s="17" t="s">
        <v>21290</v>
      </c>
      <c r="G164" s="55" t="s">
        <v>21517</v>
      </c>
      <c r="H164" s="57" t="s">
        <v>8746</v>
      </c>
      <c r="I164" s="58" t="s">
        <v>995</v>
      </c>
      <c r="J164" s="55" t="s">
        <v>21520</v>
      </c>
    </row>
    <row r="165" ht="56.25" customHeight="1">
      <c r="A165" s="5" t="s">
        <v>21521</v>
      </c>
      <c r="B165" s="6" t="str">
        <f>IMAGE("https://storage.googleapis.com/acdb/villagers/flg10.png")</f>
        <v/>
      </c>
      <c r="C165" s="8" t="s">
        <v>10014</v>
      </c>
      <c r="D165" s="8" t="s">
        <v>20581</v>
      </c>
      <c r="E165" s="8" t="s">
        <v>19128</v>
      </c>
      <c r="F165" s="17" t="s">
        <v>21525</v>
      </c>
      <c r="G165" s="55" t="s">
        <v>21527</v>
      </c>
      <c r="H165" s="59" t="s">
        <v>1059</v>
      </c>
      <c r="I165" s="61" t="s">
        <v>612</v>
      </c>
      <c r="J165" s="55" t="s">
        <v>21529</v>
      </c>
    </row>
    <row r="166" ht="56.25" customHeight="1">
      <c r="A166" s="5" t="s">
        <v>21530</v>
      </c>
      <c r="B166" s="6" t="str">
        <f>IMAGE("https://storage.googleapis.com/acdb/villagers/flg11.png")</f>
        <v/>
      </c>
      <c r="C166" s="8" t="s">
        <v>10014</v>
      </c>
      <c r="D166" s="8" t="s">
        <v>20581</v>
      </c>
      <c r="E166" s="8" t="s">
        <v>19232</v>
      </c>
      <c r="F166" s="17" t="s">
        <v>21533</v>
      </c>
      <c r="G166" s="55" t="s">
        <v>21534</v>
      </c>
      <c r="H166" s="58" t="s">
        <v>995</v>
      </c>
      <c r="I166" s="56" t="s">
        <v>1952</v>
      </c>
      <c r="J166" s="55" t="s">
        <v>21537</v>
      </c>
    </row>
    <row r="167" ht="56.25" customHeight="1">
      <c r="A167" s="5" t="s">
        <v>21538</v>
      </c>
      <c r="B167" s="6" t="str">
        <f>IMAGE("https://storage.googleapis.com/acdb/villagers/flg12.png")</f>
        <v/>
      </c>
      <c r="C167" s="8" t="s">
        <v>10014</v>
      </c>
      <c r="D167" s="8" t="s">
        <v>20581</v>
      </c>
      <c r="E167" s="8" t="s">
        <v>19243</v>
      </c>
      <c r="F167" s="17" t="s">
        <v>21540</v>
      </c>
      <c r="G167" s="55" t="s">
        <v>21542</v>
      </c>
      <c r="H167" s="58" t="s">
        <v>995</v>
      </c>
      <c r="I167" s="57" t="s">
        <v>8746</v>
      </c>
      <c r="J167" s="55" t="s">
        <v>21544</v>
      </c>
    </row>
    <row r="168" ht="56.25" customHeight="1">
      <c r="A168" s="5" t="s">
        <v>21545</v>
      </c>
      <c r="B168" s="6" t="str">
        <f>IMAGE("https://storage.googleapis.com/acdb/villagers/flg13.png")</f>
        <v/>
      </c>
      <c r="C168" s="8" t="s">
        <v>10014</v>
      </c>
      <c r="D168" s="8" t="s">
        <v>20603</v>
      </c>
      <c r="E168" s="8" t="s">
        <v>19161</v>
      </c>
      <c r="F168" s="17" t="s">
        <v>21548</v>
      </c>
      <c r="G168" s="55" t="s">
        <v>21549</v>
      </c>
      <c r="H168" s="56" t="s">
        <v>1952</v>
      </c>
      <c r="I168" s="56" t="s">
        <v>1952</v>
      </c>
      <c r="J168" s="55" t="s">
        <v>21551</v>
      </c>
    </row>
    <row r="169" ht="56.25" customHeight="1">
      <c r="A169" s="5" t="s">
        <v>21552</v>
      </c>
      <c r="B169" s="6" t="str">
        <f>IMAGE("https://storage.googleapis.com/acdb/villagers/flg15.png")</f>
        <v/>
      </c>
      <c r="C169" s="8" t="s">
        <v>10014</v>
      </c>
      <c r="D169" s="8" t="s">
        <v>20581</v>
      </c>
      <c r="E169" s="8" t="s">
        <v>19243</v>
      </c>
      <c r="F169" s="17" t="s">
        <v>21555</v>
      </c>
      <c r="G169" s="55" t="s">
        <v>21556</v>
      </c>
      <c r="H169" s="59" t="s">
        <v>1059</v>
      </c>
      <c r="I169" s="58" t="s">
        <v>995</v>
      </c>
      <c r="J169" s="55" t="s">
        <v>21557</v>
      </c>
    </row>
    <row r="170" ht="56.25" customHeight="1">
      <c r="A170" s="5" t="s">
        <v>21558</v>
      </c>
      <c r="B170" s="6" t="str">
        <f>IMAGE("https://storage.googleapis.com/acdb/villagers/flg16.png")</f>
        <v/>
      </c>
      <c r="C170" s="8" t="s">
        <v>10014</v>
      </c>
      <c r="D170" s="8" t="s">
        <v>20603</v>
      </c>
      <c r="E170" s="8" t="s">
        <v>19361</v>
      </c>
      <c r="F170" s="17" t="s">
        <v>21560</v>
      </c>
      <c r="G170" s="55" t="s">
        <v>21561</v>
      </c>
      <c r="H170" s="61" t="s">
        <v>612</v>
      </c>
      <c r="I170" s="59" t="s">
        <v>1059</v>
      </c>
      <c r="J170" s="55" t="s">
        <v>21562</v>
      </c>
    </row>
    <row r="171" ht="56.25" customHeight="1">
      <c r="A171" s="5" t="s">
        <v>21563</v>
      </c>
      <c r="B171" s="6" t="str">
        <f>IMAGE("https://storage.googleapis.com/acdb/villagers/flg17.png")</f>
        <v/>
      </c>
      <c r="C171" s="8" t="s">
        <v>10014</v>
      </c>
      <c r="D171" s="8" t="s">
        <v>20581</v>
      </c>
      <c r="E171" s="8" t="s">
        <v>19238</v>
      </c>
      <c r="F171" s="17" t="s">
        <v>21565</v>
      </c>
      <c r="G171" s="55" t="s">
        <v>21566</v>
      </c>
      <c r="H171" s="59" t="s">
        <v>1059</v>
      </c>
      <c r="I171" s="56" t="s">
        <v>1952</v>
      </c>
      <c r="J171" s="55" t="s">
        <v>21567</v>
      </c>
    </row>
    <row r="172" ht="56.25" customHeight="1">
      <c r="A172" s="5" t="s">
        <v>21568</v>
      </c>
      <c r="B172" s="6" t="str">
        <f>IMAGE("https://storage.googleapis.com/acdb/villagers/flg18.png")</f>
        <v/>
      </c>
      <c r="C172" s="8" t="s">
        <v>10014</v>
      </c>
      <c r="D172" s="8" t="s">
        <v>20603</v>
      </c>
      <c r="E172" s="8" t="s">
        <v>19205</v>
      </c>
      <c r="F172" s="17" t="s">
        <v>21570</v>
      </c>
      <c r="G172" s="55" t="s">
        <v>21571</v>
      </c>
      <c r="H172" s="61" t="s">
        <v>612</v>
      </c>
      <c r="I172" s="59" t="s">
        <v>1059</v>
      </c>
      <c r="J172" s="55" t="s">
        <v>21572</v>
      </c>
    </row>
    <row r="173" ht="56.25" customHeight="1">
      <c r="A173" s="5" t="s">
        <v>21574</v>
      </c>
      <c r="B173" s="6" t="str">
        <f>IMAGE("https://storage.googleapis.com/acdb/villagers/flg19.png")</f>
        <v/>
      </c>
      <c r="C173" s="8" t="s">
        <v>10014</v>
      </c>
      <c r="D173" s="8" t="s">
        <v>20581</v>
      </c>
      <c r="E173" s="8" t="s">
        <v>19232</v>
      </c>
      <c r="F173" s="17" t="s">
        <v>21575</v>
      </c>
      <c r="G173" s="55" t="s">
        <v>21576</v>
      </c>
      <c r="H173" s="56" t="s">
        <v>1952</v>
      </c>
      <c r="I173" s="58" t="s">
        <v>995</v>
      </c>
      <c r="J173" s="55" t="s">
        <v>21578</v>
      </c>
    </row>
    <row r="174" ht="56.25" customHeight="1">
      <c r="A174" s="5" t="s">
        <v>21579</v>
      </c>
      <c r="B174" s="6" t="str">
        <f>IMAGE("https://storage.googleapis.com/acdb/villagers/goa00.png")</f>
        <v/>
      </c>
      <c r="C174" s="8" t="s">
        <v>21580</v>
      </c>
      <c r="D174" s="8" t="s">
        <v>20603</v>
      </c>
      <c r="E174" s="8" t="s">
        <v>19161</v>
      </c>
      <c r="F174" s="17" t="s">
        <v>21582</v>
      </c>
      <c r="G174" s="55" t="s">
        <v>21583</v>
      </c>
      <c r="H174" s="60" t="s">
        <v>1959</v>
      </c>
      <c r="I174" s="59" t="s">
        <v>1059</v>
      </c>
      <c r="J174" s="55" t="s">
        <v>21584</v>
      </c>
    </row>
    <row r="175" ht="56.25" customHeight="1">
      <c r="A175" s="5" t="s">
        <v>21585</v>
      </c>
      <c r="B175" s="6" t="str">
        <f>IMAGE("https://storage.googleapis.com/acdb/villagers/goa01.png")</f>
        <v/>
      </c>
      <c r="C175" s="8" t="s">
        <v>21580</v>
      </c>
      <c r="D175" s="8" t="s">
        <v>20603</v>
      </c>
      <c r="E175" s="8" t="s">
        <v>19161</v>
      </c>
      <c r="F175" s="17" t="s">
        <v>20767</v>
      </c>
      <c r="G175" s="55" t="s">
        <v>21587</v>
      </c>
      <c r="H175" s="58" t="s">
        <v>995</v>
      </c>
      <c r="I175" s="59" t="s">
        <v>1059</v>
      </c>
      <c r="J175" s="55" t="s">
        <v>21588</v>
      </c>
    </row>
    <row r="176" ht="56.25" customHeight="1">
      <c r="A176" s="5" t="s">
        <v>21589</v>
      </c>
      <c r="B176" s="6" t="str">
        <f>IMAGE("https://storage.googleapis.com/acdb/villagers/goa02.png")</f>
        <v/>
      </c>
      <c r="C176" s="8" t="s">
        <v>21580</v>
      </c>
      <c r="D176" s="8" t="s">
        <v>20581</v>
      </c>
      <c r="E176" s="8" t="s">
        <v>19128</v>
      </c>
      <c r="F176" s="17" t="s">
        <v>21590</v>
      </c>
      <c r="G176" s="55" t="s">
        <v>21591</v>
      </c>
      <c r="H176" s="58" t="s">
        <v>995</v>
      </c>
      <c r="I176" s="57" t="s">
        <v>8746</v>
      </c>
      <c r="J176" s="55" t="s">
        <v>21593</v>
      </c>
    </row>
    <row r="177" ht="56.25" customHeight="1">
      <c r="A177" s="5" t="s">
        <v>21594</v>
      </c>
      <c r="B177" s="6" t="str">
        <f>IMAGE("https://storage.googleapis.com/acdb/villagers/goa04.png")</f>
        <v/>
      </c>
      <c r="C177" s="8" t="s">
        <v>21580</v>
      </c>
      <c r="D177" s="8" t="s">
        <v>20581</v>
      </c>
      <c r="E177" s="8" t="s">
        <v>19238</v>
      </c>
      <c r="F177" s="17" t="s">
        <v>21595</v>
      </c>
      <c r="G177" s="55" t="s">
        <v>21596</v>
      </c>
      <c r="H177" s="56" t="s">
        <v>1952</v>
      </c>
      <c r="I177" s="61" t="s">
        <v>612</v>
      </c>
      <c r="J177" s="55" t="s">
        <v>21597</v>
      </c>
    </row>
    <row r="178" ht="56.25" customHeight="1">
      <c r="A178" s="5" t="s">
        <v>21598</v>
      </c>
      <c r="B178" s="6" t="str">
        <f>IMAGE("https://storage.googleapis.com/acdb/villagers/goa06.png")</f>
        <v/>
      </c>
      <c r="C178" s="8" t="s">
        <v>21580</v>
      </c>
      <c r="D178" s="8" t="s">
        <v>20603</v>
      </c>
      <c r="E178" s="8" t="s">
        <v>19361</v>
      </c>
      <c r="F178" s="17" t="s">
        <v>21600</v>
      </c>
      <c r="G178" s="55" t="s">
        <v>21601</v>
      </c>
      <c r="H178" s="59" t="s">
        <v>1059</v>
      </c>
      <c r="I178" s="61" t="s">
        <v>612</v>
      </c>
      <c r="J178" s="55" t="s">
        <v>21602</v>
      </c>
    </row>
    <row r="179" ht="56.25" customHeight="1">
      <c r="A179" s="5" t="s">
        <v>21603</v>
      </c>
      <c r="B179" s="6" t="str">
        <f>IMAGE("https://storage.googleapis.com/acdb/villagers/goa07.png")</f>
        <v/>
      </c>
      <c r="C179" s="8" t="s">
        <v>21580</v>
      </c>
      <c r="D179" s="8" t="s">
        <v>20581</v>
      </c>
      <c r="E179" s="8" t="s">
        <v>19232</v>
      </c>
      <c r="F179" s="17" t="s">
        <v>21605</v>
      </c>
      <c r="G179" s="55" t="s">
        <v>21606</v>
      </c>
      <c r="H179" s="59" t="s">
        <v>1059</v>
      </c>
      <c r="I179" s="56" t="s">
        <v>1952</v>
      </c>
      <c r="J179" s="55" t="s">
        <v>21608</v>
      </c>
    </row>
    <row r="180" ht="56.25" customHeight="1">
      <c r="A180" s="5" t="s">
        <v>21609</v>
      </c>
      <c r="B180" s="6" t="str">
        <f>IMAGE("https://storage.googleapis.com/acdb/villagers/goa08.png")</f>
        <v/>
      </c>
      <c r="C180" s="8" t="s">
        <v>21580</v>
      </c>
      <c r="D180" s="8" t="s">
        <v>20603</v>
      </c>
      <c r="E180" s="8" t="s">
        <v>19205</v>
      </c>
      <c r="F180" s="17" t="s">
        <v>21610</v>
      </c>
      <c r="G180" s="55" t="s">
        <v>21611</v>
      </c>
      <c r="H180" s="56" t="s">
        <v>1952</v>
      </c>
      <c r="I180" s="59" t="s">
        <v>1059</v>
      </c>
      <c r="J180" s="55" t="s">
        <v>21612</v>
      </c>
    </row>
    <row r="181" ht="56.25" customHeight="1">
      <c r="A181" s="5" t="s">
        <v>21613</v>
      </c>
      <c r="B181" s="6" t="str">
        <f>IMAGE("https://storage.googleapis.com/acdb/villagers/goa09.png")</f>
        <v/>
      </c>
      <c r="C181" s="8" t="s">
        <v>21580</v>
      </c>
      <c r="D181" s="8" t="s">
        <v>20581</v>
      </c>
      <c r="E181" s="8" t="s">
        <v>19243</v>
      </c>
      <c r="F181" s="17" t="s">
        <v>21616</v>
      </c>
      <c r="G181" s="55" t="s">
        <v>21617</v>
      </c>
      <c r="H181" s="58" t="s">
        <v>995</v>
      </c>
      <c r="I181" s="60" t="s">
        <v>1959</v>
      </c>
      <c r="J181" s="55" t="s">
        <v>21618</v>
      </c>
    </row>
    <row r="182" ht="56.25" customHeight="1">
      <c r="A182" s="5" t="s">
        <v>21619</v>
      </c>
      <c r="B182" s="6" t="str">
        <f>IMAGE("https://storage.googleapis.com/acdb/villagers/gor00.png")</f>
        <v/>
      </c>
      <c r="C182" s="8" t="s">
        <v>21621</v>
      </c>
      <c r="D182" s="8" t="s">
        <v>20581</v>
      </c>
      <c r="E182" s="8" t="s">
        <v>19238</v>
      </c>
      <c r="F182" s="17" t="s">
        <v>21623</v>
      </c>
      <c r="G182" s="55" t="s">
        <v>21624</v>
      </c>
      <c r="H182" s="56" t="s">
        <v>1952</v>
      </c>
      <c r="I182" s="59" t="s">
        <v>1059</v>
      </c>
      <c r="J182" s="55" t="s">
        <v>21625</v>
      </c>
    </row>
    <row r="183" ht="56.25" customHeight="1">
      <c r="A183" s="5" t="s">
        <v>21626</v>
      </c>
      <c r="B183" s="6" t="str">
        <f>IMAGE("https://storage.googleapis.com/acdb/villagers/gor01.png")</f>
        <v/>
      </c>
      <c r="C183" s="8" t="s">
        <v>21621</v>
      </c>
      <c r="D183" s="8" t="s">
        <v>20581</v>
      </c>
      <c r="E183" s="8" t="s">
        <v>19238</v>
      </c>
      <c r="F183" s="17" t="s">
        <v>21627</v>
      </c>
      <c r="G183" s="55" t="s">
        <v>21629</v>
      </c>
      <c r="H183" s="57" t="s">
        <v>8746</v>
      </c>
      <c r="I183" s="56" t="s">
        <v>1952</v>
      </c>
      <c r="J183" s="55" t="s">
        <v>21631</v>
      </c>
    </row>
    <row r="184" ht="56.25" customHeight="1">
      <c r="A184" s="5" t="s">
        <v>21632</v>
      </c>
      <c r="B184" s="6" t="str">
        <f>IMAGE("https://storage.googleapis.com/acdb/villagers/gor02.png")</f>
        <v/>
      </c>
      <c r="C184" s="8" t="s">
        <v>21621</v>
      </c>
      <c r="D184" s="8" t="s">
        <v>20581</v>
      </c>
      <c r="E184" s="8" t="s">
        <v>19128</v>
      </c>
      <c r="F184" s="17" t="s">
        <v>21635</v>
      </c>
      <c r="G184" s="55" t="s">
        <v>21636</v>
      </c>
      <c r="H184" s="59" t="s">
        <v>1059</v>
      </c>
      <c r="I184" s="56" t="s">
        <v>1952</v>
      </c>
      <c r="J184" s="55" t="s">
        <v>21637</v>
      </c>
    </row>
    <row r="185" ht="56.25" customHeight="1">
      <c r="A185" s="5" t="s">
        <v>21638</v>
      </c>
      <c r="B185" s="6" t="str">
        <f>IMAGE("https://storage.googleapis.com/acdb/villagers/gor04.png")</f>
        <v/>
      </c>
      <c r="C185" s="8" t="s">
        <v>21621</v>
      </c>
      <c r="D185" s="8" t="s">
        <v>20581</v>
      </c>
      <c r="E185" s="8" t="s">
        <v>19128</v>
      </c>
      <c r="F185" s="17" t="s">
        <v>21167</v>
      </c>
      <c r="G185" s="55" t="s">
        <v>21639</v>
      </c>
      <c r="H185" s="57" t="s">
        <v>8746</v>
      </c>
      <c r="I185" s="58" t="s">
        <v>995</v>
      </c>
      <c r="J185" s="55" t="s">
        <v>21641</v>
      </c>
    </row>
    <row r="186" ht="56.25" customHeight="1">
      <c r="A186" s="5" t="s">
        <v>21643</v>
      </c>
      <c r="B186" s="6" t="str">
        <f>IMAGE("https://storage.googleapis.com/acdb/villagers/gor05.png")</f>
        <v/>
      </c>
      <c r="C186" s="8" t="s">
        <v>21621</v>
      </c>
      <c r="D186" s="8" t="s">
        <v>20581</v>
      </c>
      <c r="E186" s="8" t="s">
        <v>19238</v>
      </c>
      <c r="F186" s="17" t="s">
        <v>20965</v>
      </c>
      <c r="G186" s="55" t="s">
        <v>21644</v>
      </c>
      <c r="H186" s="58" t="s">
        <v>995</v>
      </c>
      <c r="I186" s="56" t="s">
        <v>1952</v>
      </c>
      <c r="J186" s="55" t="s">
        <v>21645</v>
      </c>
    </row>
    <row r="187" ht="56.25" customHeight="1">
      <c r="A187" s="5" t="s">
        <v>21646</v>
      </c>
      <c r="B187" s="6" t="str">
        <f>IMAGE("https://storage.googleapis.com/acdb/villagers/gor07.png")</f>
        <v/>
      </c>
      <c r="C187" s="8" t="s">
        <v>21621</v>
      </c>
      <c r="D187" s="8" t="s">
        <v>20603</v>
      </c>
      <c r="E187" s="8" t="s">
        <v>19361</v>
      </c>
      <c r="F187" s="17" t="s">
        <v>21649</v>
      </c>
      <c r="G187" s="55" t="s">
        <v>21650</v>
      </c>
      <c r="H187" s="61" t="s">
        <v>612</v>
      </c>
      <c r="I187" s="56" t="s">
        <v>1952</v>
      </c>
      <c r="J187" s="55" t="s">
        <v>21651</v>
      </c>
    </row>
    <row r="188" ht="56.25" customHeight="1">
      <c r="A188" s="5" t="s">
        <v>21652</v>
      </c>
      <c r="B188" s="6" t="str">
        <f>IMAGE("https://storage.googleapis.com/acdb/villagers/gor08.png")</f>
        <v/>
      </c>
      <c r="C188" s="8" t="s">
        <v>21621</v>
      </c>
      <c r="D188" s="8" t="s">
        <v>20581</v>
      </c>
      <c r="E188" s="8" t="s">
        <v>19243</v>
      </c>
      <c r="F188" s="17" t="s">
        <v>21653</v>
      </c>
      <c r="G188" s="55" t="s">
        <v>21655</v>
      </c>
      <c r="H188" s="57" t="s">
        <v>8746</v>
      </c>
      <c r="I188" s="57" t="s">
        <v>8746</v>
      </c>
      <c r="J188" s="55" t="s">
        <v>21657</v>
      </c>
    </row>
    <row r="189" ht="56.25" customHeight="1">
      <c r="A189" s="5" t="s">
        <v>21658</v>
      </c>
      <c r="B189" s="6" t="str">
        <f>IMAGE("https://storage.googleapis.com/acdb/villagers/gor09.png")</f>
        <v/>
      </c>
      <c r="C189" s="8" t="s">
        <v>21621</v>
      </c>
      <c r="D189" s="8" t="s">
        <v>20603</v>
      </c>
      <c r="E189" s="8" t="s">
        <v>19205</v>
      </c>
      <c r="F189" s="17" t="s">
        <v>21659</v>
      </c>
      <c r="G189" s="55" t="s">
        <v>21660</v>
      </c>
      <c r="H189" s="57" t="s">
        <v>8746</v>
      </c>
      <c r="I189" s="56" t="s">
        <v>1952</v>
      </c>
      <c r="J189" s="55" t="s">
        <v>21661</v>
      </c>
    </row>
    <row r="190" ht="56.25" customHeight="1">
      <c r="A190" s="5" t="s">
        <v>21662</v>
      </c>
      <c r="B190" s="6" t="str">
        <f>IMAGE("https://storage.googleapis.com/acdb/villagers/gor10.png")</f>
        <v/>
      </c>
      <c r="C190" s="8" t="s">
        <v>21621</v>
      </c>
      <c r="D190" s="8" t="s">
        <v>20581</v>
      </c>
      <c r="E190" s="8" t="s">
        <v>19232</v>
      </c>
      <c r="F190" s="17" t="s">
        <v>21665</v>
      </c>
      <c r="G190" s="55" t="s">
        <v>21666</v>
      </c>
      <c r="H190" s="59" t="s">
        <v>1059</v>
      </c>
      <c r="I190" s="61" t="s">
        <v>612</v>
      </c>
      <c r="J190" s="55" t="s">
        <v>21667</v>
      </c>
    </row>
    <row r="191" ht="56.25" customHeight="1">
      <c r="A191" s="5" t="s">
        <v>21668</v>
      </c>
      <c r="B191" s="6" t="str">
        <f>IMAGE("https://storage.googleapis.com/acdb/villagers/ham00.png")</f>
        <v/>
      </c>
      <c r="C191" s="8" t="s">
        <v>21669</v>
      </c>
      <c r="D191" s="8" t="s">
        <v>20581</v>
      </c>
      <c r="E191" s="8" t="s">
        <v>19128</v>
      </c>
      <c r="F191" s="17" t="s">
        <v>21671</v>
      </c>
      <c r="G191" s="55" t="s">
        <v>21672</v>
      </c>
      <c r="H191" s="58" t="s">
        <v>995</v>
      </c>
      <c r="I191" s="57" t="s">
        <v>8746</v>
      </c>
      <c r="J191" s="55" t="s">
        <v>21674</v>
      </c>
    </row>
    <row r="192" ht="56.25" customHeight="1">
      <c r="A192" s="5" t="s">
        <v>567</v>
      </c>
      <c r="B192" s="6" t="str">
        <f>IMAGE("https://storage.googleapis.com/acdb/villagers/ham01.png")</f>
        <v/>
      </c>
      <c r="C192" s="8" t="s">
        <v>21669</v>
      </c>
      <c r="D192" s="8" t="s">
        <v>20603</v>
      </c>
      <c r="E192" s="8" t="s">
        <v>19196</v>
      </c>
      <c r="F192" s="17" t="s">
        <v>21675</v>
      </c>
      <c r="G192" s="55" t="s">
        <v>21676</v>
      </c>
      <c r="H192" s="60" t="s">
        <v>1959</v>
      </c>
      <c r="I192" s="58" t="s">
        <v>995</v>
      </c>
      <c r="J192" s="55" t="s">
        <v>21677</v>
      </c>
    </row>
    <row r="193" ht="56.25" customHeight="1">
      <c r="A193" s="5" t="s">
        <v>21678</v>
      </c>
      <c r="B193" s="6" t="str">
        <f>IMAGE("https://storage.googleapis.com/acdb/villagers/ham02.png")</f>
        <v/>
      </c>
      <c r="C193" s="8" t="s">
        <v>21669</v>
      </c>
      <c r="D193" s="8" t="s">
        <v>20581</v>
      </c>
      <c r="E193" s="8" t="s">
        <v>19232</v>
      </c>
      <c r="F193" s="17" t="s">
        <v>21681</v>
      </c>
      <c r="G193" s="55" t="s">
        <v>21682</v>
      </c>
      <c r="H193" s="58" t="s">
        <v>995</v>
      </c>
      <c r="I193" s="56" t="s">
        <v>1952</v>
      </c>
      <c r="J193" s="55" t="s">
        <v>21683</v>
      </c>
    </row>
    <row r="194" ht="56.25" customHeight="1">
      <c r="A194" s="5" t="s">
        <v>21684</v>
      </c>
      <c r="B194" s="6" t="str">
        <f>IMAGE("https://storage.googleapis.com/acdb/villagers/ham03.png")</f>
        <v/>
      </c>
      <c r="C194" s="8" t="s">
        <v>21669</v>
      </c>
      <c r="D194" s="8" t="s">
        <v>20581</v>
      </c>
      <c r="E194" s="8" t="s">
        <v>19232</v>
      </c>
      <c r="F194" s="17" t="s">
        <v>21685</v>
      </c>
      <c r="G194" s="55" t="s">
        <v>21686</v>
      </c>
      <c r="H194" s="61" t="s">
        <v>612</v>
      </c>
      <c r="I194" s="56" t="s">
        <v>1952</v>
      </c>
      <c r="J194" s="55" t="s">
        <v>21687</v>
      </c>
    </row>
    <row r="195" ht="56.25" customHeight="1">
      <c r="A195" s="5" t="s">
        <v>21689</v>
      </c>
      <c r="B195" s="6" t="str">
        <f>IMAGE("https://storage.googleapis.com/acdb/villagers/ham04.png")</f>
        <v/>
      </c>
      <c r="C195" s="8" t="s">
        <v>21669</v>
      </c>
      <c r="D195" s="8" t="s">
        <v>20603</v>
      </c>
      <c r="E195" s="8" t="s">
        <v>19361</v>
      </c>
      <c r="F195" s="17" t="s">
        <v>21691</v>
      </c>
      <c r="G195" s="55" t="s">
        <v>21692</v>
      </c>
      <c r="H195" s="56" t="s">
        <v>1952</v>
      </c>
      <c r="I195" s="61" t="s">
        <v>612</v>
      </c>
      <c r="J195" s="55" t="s">
        <v>21693</v>
      </c>
    </row>
    <row r="196" ht="56.25" customHeight="1">
      <c r="A196" s="5" t="s">
        <v>21694</v>
      </c>
      <c r="B196" s="6" t="str">
        <f>IMAGE("https://storage.googleapis.com/acdb/villagers/ham05.png")</f>
        <v/>
      </c>
      <c r="C196" s="8" t="s">
        <v>21669</v>
      </c>
      <c r="D196" s="8" t="s">
        <v>20581</v>
      </c>
      <c r="E196" s="8" t="s">
        <v>19243</v>
      </c>
      <c r="F196" s="17" t="s">
        <v>21696</v>
      </c>
      <c r="G196" s="55" t="s">
        <v>21697</v>
      </c>
      <c r="H196" s="59" t="s">
        <v>1059</v>
      </c>
      <c r="I196" s="58" t="s">
        <v>995</v>
      </c>
      <c r="J196" s="55" t="s">
        <v>21699</v>
      </c>
    </row>
    <row r="197" ht="56.25" customHeight="1">
      <c r="A197" s="5" t="s">
        <v>21700</v>
      </c>
      <c r="B197" s="6" t="str">
        <f>IMAGE("https://storage.googleapis.com/acdb/villagers/ham06.png")</f>
        <v/>
      </c>
      <c r="C197" s="8" t="s">
        <v>21669</v>
      </c>
      <c r="D197" s="8" t="s">
        <v>20603</v>
      </c>
      <c r="E197" s="8" t="s">
        <v>19161</v>
      </c>
      <c r="F197" s="17" t="s">
        <v>21701</v>
      </c>
      <c r="G197" s="55" t="s">
        <v>21702</v>
      </c>
      <c r="H197" s="59" t="s">
        <v>1059</v>
      </c>
      <c r="I197" s="60" t="s">
        <v>1959</v>
      </c>
      <c r="J197" s="55" t="s">
        <v>21703</v>
      </c>
    </row>
    <row r="198" ht="56.25" customHeight="1">
      <c r="A198" s="5" t="s">
        <v>21704</v>
      </c>
      <c r="B198" s="6" t="str">
        <f>IMAGE("https://storage.googleapis.com/acdb/villagers/ham07.png")</f>
        <v/>
      </c>
      <c r="C198" s="8" t="s">
        <v>21669</v>
      </c>
      <c r="D198" s="8" t="s">
        <v>20581</v>
      </c>
      <c r="E198" s="8" t="s">
        <v>19238</v>
      </c>
      <c r="F198" s="17" t="s">
        <v>21707</v>
      </c>
      <c r="G198" s="55" t="s">
        <v>21708</v>
      </c>
      <c r="H198" s="56" t="s">
        <v>1952</v>
      </c>
      <c r="I198" s="58" t="s">
        <v>995</v>
      </c>
      <c r="J198" s="55" t="s">
        <v>21709</v>
      </c>
    </row>
    <row r="199" ht="56.25" customHeight="1">
      <c r="A199" s="5" t="s">
        <v>21710</v>
      </c>
      <c r="B199" s="6" t="str">
        <f>IMAGE("https://storage.googleapis.com/acdb/villagers/hip00.png")</f>
        <v/>
      </c>
      <c r="C199" s="8" t="s">
        <v>21669</v>
      </c>
      <c r="D199" s="8" t="s">
        <v>20581</v>
      </c>
      <c r="E199" s="8" t="s">
        <v>19238</v>
      </c>
      <c r="F199" s="17" t="s">
        <v>21713</v>
      </c>
      <c r="G199" s="55" t="s">
        <v>21714</v>
      </c>
      <c r="H199" s="58" t="s">
        <v>995</v>
      </c>
      <c r="I199" s="56" t="s">
        <v>1952</v>
      </c>
      <c r="J199" s="55" t="s">
        <v>21715</v>
      </c>
    </row>
    <row r="200" ht="56.25" customHeight="1">
      <c r="A200" s="5" t="s">
        <v>21716</v>
      </c>
      <c r="B200" s="6" t="str">
        <f>IMAGE("https://storage.googleapis.com/acdb/villagers/hip02.png")</f>
        <v/>
      </c>
      <c r="C200" s="8" t="s">
        <v>21719</v>
      </c>
      <c r="D200" s="8" t="s">
        <v>20603</v>
      </c>
      <c r="E200" s="8" t="s">
        <v>19196</v>
      </c>
      <c r="F200" s="17" t="s">
        <v>21720</v>
      </c>
      <c r="G200" s="55" t="s">
        <v>21721</v>
      </c>
      <c r="H200" s="57" t="s">
        <v>8746</v>
      </c>
      <c r="I200" s="60" t="s">
        <v>1959</v>
      </c>
      <c r="J200" s="55" t="s">
        <v>21722</v>
      </c>
    </row>
    <row r="201" ht="56.25" customHeight="1">
      <c r="A201" s="5" t="s">
        <v>21723</v>
      </c>
      <c r="B201" s="6" t="str">
        <f>IMAGE("https://storage.googleapis.com/acdb/villagers/hip03.png")</f>
        <v/>
      </c>
      <c r="C201" s="8" t="s">
        <v>21719</v>
      </c>
      <c r="D201" s="8" t="s">
        <v>20603</v>
      </c>
      <c r="E201" s="8" t="s">
        <v>19161</v>
      </c>
      <c r="F201" s="17" t="s">
        <v>21726</v>
      </c>
      <c r="G201" s="55" t="s">
        <v>21727</v>
      </c>
      <c r="H201" s="60" t="s">
        <v>1959</v>
      </c>
      <c r="I201" s="59" t="s">
        <v>1059</v>
      </c>
      <c r="J201" s="55" t="s">
        <v>21728</v>
      </c>
    </row>
    <row r="202" ht="56.25" customHeight="1">
      <c r="A202" s="5" t="s">
        <v>21729</v>
      </c>
      <c r="B202" s="6" t="str">
        <f>IMAGE("https://storage.googleapis.com/acdb/villagers/hip04.png")</f>
        <v/>
      </c>
      <c r="C202" s="8" t="s">
        <v>21719</v>
      </c>
      <c r="D202" s="8" t="s">
        <v>20581</v>
      </c>
      <c r="E202" s="8" t="s">
        <v>19128</v>
      </c>
      <c r="F202" s="17" t="s">
        <v>21731</v>
      </c>
      <c r="G202" s="55" t="s">
        <v>21732</v>
      </c>
      <c r="H202" s="61" t="s">
        <v>612</v>
      </c>
      <c r="I202" s="57" t="s">
        <v>8746</v>
      </c>
      <c r="J202" s="55" t="s">
        <v>21733</v>
      </c>
    </row>
    <row r="203" ht="56.25" customHeight="1">
      <c r="A203" s="5" t="s">
        <v>21734</v>
      </c>
      <c r="B203" s="6" t="str">
        <f>IMAGE("https://storage.googleapis.com/acdb/villagers/hip05.png")</f>
        <v/>
      </c>
      <c r="C203" s="8" t="s">
        <v>21719</v>
      </c>
      <c r="D203" s="8" t="s">
        <v>20603</v>
      </c>
      <c r="E203" s="8" t="s">
        <v>19361</v>
      </c>
      <c r="F203" s="17" t="s">
        <v>21735</v>
      </c>
      <c r="G203" s="55" t="s">
        <v>21736</v>
      </c>
      <c r="H203" s="60" t="s">
        <v>1959</v>
      </c>
      <c r="I203" s="59" t="s">
        <v>1059</v>
      </c>
      <c r="J203" s="55" t="s">
        <v>21738</v>
      </c>
    </row>
    <row r="204" ht="56.25" customHeight="1">
      <c r="A204" s="5" t="s">
        <v>21739</v>
      </c>
      <c r="B204" s="6" t="str">
        <f>IMAGE("https://storage.googleapis.com/acdb/villagers/hip08.png")</f>
        <v/>
      </c>
      <c r="C204" s="8" t="s">
        <v>21719</v>
      </c>
      <c r="D204" s="8" t="s">
        <v>20581</v>
      </c>
      <c r="E204" s="8" t="s">
        <v>19238</v>
      </c>
      <c r="F204" s="17" t="s">
        <v>21741</v>
      </c>
      <c r="G204" s="55" t="s">
        <v>21742</v>
      </c>
      <c r="H204" s="56" t="s">
        <v>1952</v>
      </c>
      <c r="I204" s="58" t="s">
        <v>995</v>
      </c>
      <c r="J204" s="55" t="s">
        <v>21743</v>
      </c>
    </row>
    <row r="205" ht="56.25" customHeight="1">
      <c r="A205" s="5" t="s">
        <v>21745</v>
      </c>
      <c r="B205" s="6" t="str">
        <f>IMAGE("https://storage.googleapis.com/acdb/villagers/hip09.png")</f>
        <v/>
      </c>
      <c r="C205" s="8" t="s">
        <v>21719</v>
      </c>
      <c r="D205" s="8" t="s">
        <v>20581</v>
      </c>
      <c r="E205" s="8" t="s">
        <v>19232</v>
      </c>
      <c r="F205" s="17" t="s">
        <v>21275</v>
      </c>
      <c r="G205" s="55" t="s">
        <v>21746</v>
      </c>
      <c r="H205" s="59" t="s">
        <v>1059</v>
      </c>
      <c r="I205" s="61" t="s">
        <v>612</v>
      </c>
      <c r="J205" s="55" t="s">
        <v>21747</v>
      </c>
    </row>
    <row r="206" ht="56.25" customHeight="1">
      <c r="A206" s="5" t="s">
        <v>21749</v>
      </c>
      <c r="B206" s="6" t="str">
        <f>IMAGE("https://storage.googleapis.com/acdb/villagers/hrs00.png")</f>
        <v/>
      </c>
      <c r="C206" s="8" t="s">
        <v>21751</v>
      </c>
      <c r="D206" s="8" t="s">
        <v>20581</v>
      </c>
      <c r="E206" s="8" t="s">
        <v>19128</v>
      </c>
      <c r="F206" s="17" t="s">
        <v>21753</v>
      </c>
      <c r="G206" s="55" t="s">
        <v>21754</v>
      </c>
      <c r="H206" s="57" t="s">
        <v>8746</v>
      </c>
      <c r="I206" s="58" t="s">
        <v>995</v>
      </c>
      <c r="J206" s="55" t="s">
        <v>21755</v>
      </c>
    </row>
    <row r="207" ht="56.25" customHeight="1">
      <c r="A207" s="5" t="s">
        <v>21756</v>
      </c>
      <c r="B207" s="6" t="str">
        <f>IMAGE("https://storage.googleapis.com/acdb/villagers/hrs01.png")</f>
        <v/>
      </c>
      <c r="C207" s="8" t="s">
        <v>21751</v>
      </c>
      <c r="D207" s="8" t="s">
        <v>20603</v>
      </c>
      <c r="E207" s="8" t="s">
        <v>19196</v>
      </c>
      <c r="F207" s="17" t="s">
        <v>21757</v>
      </c>
      <c r="G207" s="55" t="s">
        <v>21758</v>
      </c>
      <c r="H207" s="57" t="s">
        <v>8746</v>
      </c>
      <c r="I207" s="58" t="s">
        <v>995</v>
      </c>
      <c r="J207" s="55" t="s">
        <v>21759</v>
      </c>
    </row>
    <row r="208" ht="56.25" customHeight="1">
      <c r="A208" s="5" t="s">
        <v>21760</v>
      </c>
      <c r="B208" s="6" t="str">
        <f>IMAGE("https://storage.googleapis.com/acdb/villagers/hrs02.png")</f>
        <v/>
      </c>
      <c r="C208" s="8" t="s">
        <v>21751</v>
      </c>
      <c r="D208" s="8" t="s">
        <v>20603</v>
      </c>
      <c r="E208" s="8" t="s">
        <v>19161</v>
      </c>
      <c r="F208" s="17" t="s">
        <v>21762</v>
      </c>
      <c r="G208" s="55" t="s">
        <v>21763</v>
      </c>
      <c r="H208" s="56" t="s">
        <v>1952</v>
      </c>
      <c r="I208" s="58" t="s">
        <v>995</v>
      </c>
      <c r="J208" s="55" t="s">
        <v>21764</v>
      </c>
    </row>
    <row r="209" ht="56.25" customHeight="1">
      <c r="A209" s="5" t="s">
        <v>21765</v>
      </c>
      <c r="B209" s="6" t="str">
        <f>IMAGE("https://storage.googleapis.com/acdb/villagers/hrs03.png")</f>
        <v/>
      </c>
      <c r="C209" s="8" t="s">
        <v>21751</v>
      </c>
      <c r="D209" s="8" t="s">
        <v>20581</v>
      </c>
      <c r="E209" s="8" t="s">
        <v>19243</v>
      </c>
      <c r="F209" s="17" t="s">
        <v>21767</v>
      </c>
      <c r="G209" s="55" t="s">
        <v>21768</v>
      </c>
      <c r="H209" s="58" t="s">
        <v>995</v>
      </c>
      <c r="I209" s="56" t="s">
        <v>1952</v>
      </c>
      <c r="J209" s="55" t="s">
        <v>21770</v>
      </c>
    </row>
    <row r="210" ht="56.25" customHeight="1">
      <c r="A210" s="5" t="s">
        <v>21771</v>
      </c>
      <c r="B210" s="6" t="str">
        <f>IMAGE("https://storage.googleapis.com/acdb/villagers/hrs04.png")</f>
        <v/>
      </c>
      <c r="C210" s="8" t="s">
        <v>21751</v>
      </c>
      <c r="D210" s="8" t="s">
        <v>20581</v>
      </c>
      <c r="E210" s="8" t="s">
        <v>19238</v>
      </c>
      <c r="F210" s="17" t="s">
        <v>21772</v>
      </c>
      <c r="G210" s="55" t="s">
        <v>21773</v>
      </c>
      <c r="H210" s="56" t="s">
        <v>1952</v>
      </c>
      <c r="I210" s="61" t="s">
        <v>612</v>
      </c>
      <c r="J210" s="55" t="s">
        <v>21774</v>
      </c>
    </row>
    <row r="211" ht="56.25" customHeight="1">
      <c r="A211" s="5" t="s">
        <v>21775</v>
      </c>
      <c r="B211" s="6" t="str">
        <f>IMAGE("https://storage.googleapis.com/acdb/villagers/hrs05.png")</f>
        <v/>
      </c>
      <c r="C211" s="8" t="s">
        <v>21751</v>
      </c>
      <c r="D211" s="8" t="s">
        <v>20603</v>
      </c>
      <c r="E211" s="8" t="s">
        <v>19196</v>
      </c>
      <c r="F211" s="17" t="s">
        <v>21777</v>
      </c>
      <c r="G211" s="55" t="s">
        <v>21778</v>
      </c>
      <c r="H211" s="56" t="s">
        <v>1952</v>
      </c>
      <c r="I211" s="58" t="s">
        <v>995</v>
      </c>
      <c r="J211" s="55" t="s">
        <v>21779</v>
      </c>
    </row>
    <row r="212" ht="56.25" customHeight="1">
      <c r="A212" s="5" t="s">
        <v>21780</v>
      </c>
      <c r="B212" s="6" t="str">
        <f>IMAGE("https://storage.googleapis.com/acdb/villagers/hrs06.png")</f>
        <v/>
      </c>
      <c r="C212" s="8" t="s">
        <v>21751</v>
      </c>
      <c r="D212" s="8" t="s">
        <v>20581</v>
      </c>
      <c r="E212" s="8" t="s">
        <v>19232</v>
      </c>
      <c r="F212" s="17" t="s">
        <v>21783</v>
      </c>
      <c r="G212" s="55" t="s">
        <v>21784</v>
      </c>
      <c r="H212" s="61" t="s">
        <v>612</v>
      </c>
      <c r="I212" s="59" t="s">
        <v>1059</v>
      </c>
      <c r="J212" s="55" t="s">
        <v>21785</v>
      </c>
    </row>
    <row r="213" ht="56.25" customHeight="1">
      <c r="A213" s="5" t="s">
        <v>21786</v>
      </c>
      <c r="B213" s="6" t="str">
        <f>IMAGE("https://storage.googleapis.com/acdb/villagers/hrs07.png")</f>
        <v/>
      </c>
      <c r="C213" s="8" t="s">
        <v>21751</v>
      </c>
      <c r="D213" s="8" t="s">
        <v>20603</v>
      </c>
      <c r="E213" s="8" t="s">
        <v>19361</v>
      </c>
      <c r="F213" s="17" t="s">
        <v>21787</v>
      </c>
      <c r="G213" s="55" t="s">
        <v>21788</v>
      </c>
      <c r="H213" s="60" t="s">
        <v>1959</v>
      </c>
      <c r="I213" s="59" t="s">
        <v>1059</v>
      </c>
      <c r="J213" s="55" t="s">
        <v>21789</v>
      </c>
    </row>
    <row r="214" ht="56.25" customHeight="1">
      <c r="A214" s="5" t="s">
        <v>831</v>
      </c>
      <c r="B214" s="6" t="str">
        <f>IMAGE("https://storage.googleapis.com/acdb/villagers/hrs08.png")</f>
        <v/>
      </c>
      <c r="C214" s="8" t="s">
        <v>21751</v>
      </c>
      <c r="D214" s="8" t="s">
        <v>20603</v>
      </c>
      <c r="E214" s="8" t="s">
        <v>19161</v>
      </c>
      <c r="F214" s="17" t="s">
        <v>21792</v>
      </c>
      <c r="G214" s="55" t="s">
        <v>21793</v>
      </c>
      <c r="H214" s="60" t="s">
        <v>1959</v>
      </c>
      <c r="I214" s="58" t="s">
        <v>995</v>
      </c>
      <c r="J214" s="55" t="s">
        <v>21794</v>
      </c>
    </row>
    <row r="215" ht="56.25" customHeight="1">
      <c r="A215" s="5" t="s">
        <v>21795</v>
      </c>
      <c r="B215" s="6" t="str">
        <f>IMAGE("https://storage.googleapis.com/acdb/villagers/hrs09.png")</f>
        <v/>
      </c>
      <c r="C215" s="8" t="s">
        <v>21751</v>
      </c>
      <c r="D215" s="8" t="s">
        <v>20603</v>
      </c>
      <c r="E215" s="8" t="s">
        <v>19361</v>
      </c>
      <c r="F215" s="17" t="s">
        <v>21796</v>
      </c>
      <c r="G215" s="55" t="s">
        <v>21797</v>
      </c>
      <c r="H215" s="59" t="s">
        <v>1059</v>
      </c>
      <c r="I215" s="57" t="s">
        <v>8746</v>
      </c>
      <c r="J215" s="55" t="s">
        <v>21799</v>
      </c>
    </row>
    <row r="216" ht="56.25" customHeight="1">
      <c r="A216" s="5" t="s">
        <v>21801</v>
      </c>
      <c r="B216" s="6" t="str">
        <f>IMAGE("https://storage.googleapis.com/acdb/villagers/hrs10.png")</f>
        <v/>
      </c>
      <c r="C216" s="8" t="s">
        <v>21751</v>
      </c>
      <c r="D216" s="8" t="s">
        <v>20581</v>
      </c>
      <c r="E216" s="8" t="s">
        <v>19243</v>
      </c>
      <c r="F216" s="17" t="s">
        <v>21802</v>
      </c>
      <c r="G216" s="55" t="s">
        <v>21803</v>
      </c>
      <c r="H216" s="58" t="s">
        <v>995</v>
      </c>
      <c r="I216" s="60" t="s">
        <v>1959</v>
      </c>
      <c r="J216" s="55" t="s">
        <v>21804</v>
      </c>
    </row>
    <row r="217" ht="56.25" customHeight="1">
      <c r="A217" s="5" t="s">
        <v>21805</v>
      </c>
      <c r="B217" s="6" t="str">
        <f>IMAGE("https://storage.googleapis.com/acdb/villagers/hrs11.png")</f>
        <v/>
      </c>
      <c r="C217" s="8" t="s">
        <v>21751</v>
      </c>
      <c r="D217" s="8" t="s">
        <v>20581</v>
      </c>
      <c r="E217" s="8" t="s">
        <v>19232</v>
      </c>
      <c r="F217" s="17" t="s">
        <v>21807</v>
      </c>
      <c r="G217" s="55" t="s">
        <v>21808</v>
      </c>
      <c r="H217" s="61" t="s">
        <v>612</v>
      </c>
      <c r="I217" s="59" t="s">
        <v>1059</v>
      </c>
      <c r="J217" s="55" t="s">
        <v>21809</v>
      </c>
    </row>
    <row r="218" ht="56.25" customHeight="1">
      <c r="A218" s="5" t="s">
        <v>21810</v>
      </c>
      <c r="B218" s="6" t="str">
        <f>IMAGE("https://storage.googleapis.com/acdb/villagers/hrs12.png")</f>
        <v/>
      </c>
      <c r="C218" s="8" t="s">
        <v>21751</v>
      </c>
      <c r="D218" s="8" t="s">
        <v>20581</v>
      </c>
      <c r="E218" s="8" t="s">
        <v>19243</v>
      </c>
      <c r="F218" s="17" t="s">
        <v>21811</v>
      </c>
      <c r="G218" s="55" t="s">
        <v>21813</v>
      </c>
      <c r="H218" s="58" t="s">
        <v>995</v>
      </c>
      <c r="I218" s="58" t="s">
        <v>995</v>
      </c>
      <c r="J218" s="55" t="s">
        <v>21814</v>
      </c>
    </row>
    <row r="219" ht="56.25" customHeight="1">
      <c r="A219" s="5" t="s">
        <v>21815</v>
      </c>
      <c r="B219" s="6" t="str">
        <f>IMAGE("https://storage.googleapis.com/acdb/villagers/hrs13.png")</f>
        <v/>
      </c>
      <c r="C219" s="8" t="s">
        <v>21751</v>
      </c>
      <c r="D219" s="8" t="s">
        <v>20581</v>
      </c>
      <c r="E219" s="8" t="s">
        <v>19232</v>
      </c>
      <c r="F219" s="17" t="s">
        <v>21817</v>
      </c>
      <c r="G219" s="55" t="s">
        <v>21818</v>
      </c>
      <c r="H219" s="61" t="s">
        <v>612</v>
      </c>
      <c r="I219" s="56" t="s">
        <v>1952</v>
      </c>
      <c r="J219" s="55" t="s">
        <v>21819</v>
      </c>
    </row>
    <row r="220" ht="56.25" customHeight="1">
      <c r="A220" s="5" t="s">
        <v>21821</v>
      </c>
      <c r="B220" s="6" t="str">
        <f>IMAGE("https://storage.googleapis.com/acdb/villagers/hrs16.png")</f>
        <v/>
      </c>
      <c r="C220" s="8" t="s">
        <v>21751</v>
      </c>
      <c r="D220" s="8" t="s">
        <v>20603</v>
      </c>
      <c r="E220" s="8" t="s">
        <v>19205</v>
      </c>
      <c r="F220" s="17" t="s">
        <v>21822</v>
      </c>
      <c r="G220" s="55" t="s">
        <v>21823</v>
      </c>
      <c r="H220" s="56" t="s">
        <v>1952</v>
      </c>
      <c r="I220" s="61" t="s">
        <v>612</v>
      </c>
      <c r="J220" s="55" t="s">
        <v>21824</v>
      </c>
    </row>
    <row r="221" ht="56.25" customHeight="1">
      <c r="A221" s="5" t="s">
        <v>21826</v>
      </c>
      <c r="B221" s="6" t="str">
        <f>IMAGE("https://storage.googleapis.com/acdb/villagers/kal00.png")</f>
        <v/>
      </c>
      <c r="C221" s="8" t="s">
        <v>21827</v>
      </c>
      <c r="D221" s="8" t="s">
        <v>20603</v>
      </c>
      <c r="E221" s="8" t="s">
        <v>19361</v>
      </c>
      <c r="F221" s="17" t="s">
        <v>21828</v>
      </c>
      <c r="G221" s="55" t="s">
        <v>21830</v>
      </c>
      <c r="H221" s="56" t="s">
        <v>1952</v>
      </c>
      <c r="I221" s="59" t="s">
        <v>1059</v>
      </c>
      <c r="J221" s="55" t="s">
        <v>21831</v>
      </c>
    </row>
    <row r="222" ht="56.25" customHeight="1">
      <c r="A222" s="5" t="s">
        <v>21832</v>
      </c>
      <c r="B222" s="6" t="str">
        <f>IMAGE("https://storage.googleapis.com/acdb/villagers/kal01.png")</f>
        <v/>
      </c>
      <c r="C222" s="8" t="s">
        <v>21827</v>
      </c>
      <c r="D222" s="8" t="s">
        <v>20603</v>
      </c>
      <c r="E222" s="8" t="s">
        <v>19161</v>
      </c>
      <c r="F222" s="17" t="s">
        <v>21833</v>
      </c>
      <c r="G222" s="55" t="s">
        <v>21834</v>
      </c>
      <c r="H222" s="60" t="s">
        <v>1959</v>
      </c>
      <c r="I222" s="60" t="s">
        <v>1959</v>
      </c>
      <c r="J222" s="55" t="s">
        <v>21836</v>
      </c>
    </row>
    <row r="223" ht="56.25" customHeight="1">
      <c r="A223" s="5" t="s">
        <v>21837</v>
      </c>
      <c r="B223" s="6" t="str">
        <f>IMAGE("https://storage.googleapis.com/acdb/villagers/kal02.png")</f>
        <v/>
      </c>
      <c r="C223" s="8" t="s">
        <v>21827</v>
      </c>
      <c r="D223" s="8" t="s">
        <v>20603</v>
      </c>
      <c r="E223" s="8" t="s">
        <v>19161</v>
      </c>
      <c r="F223" s="17" t="s">
        <v>21839</v>
      </c>
      <c r="G223" s="55" t="s">
        <v>21840</v>
      </c>
      <c r="H223" s="60" t="s">
        <v>1959</v>
      </c>
      <c r="I223" s="60" t="s">
        <v>1959</v>
      </c>
      <c r="J223" s="55" t="s">
        <v>21841</v>
      </c>
    </row>
    <row r="224" ht="56.25" customHeight="1">
      <c r="A224" s="5" t="s">
        <v>21842</v>
      </c>
      <c r="B224" s="6" t="str">
        <f>IMAGE("https://storage.googleapis.com/acdb/villagers/kal03.png")</f>
        <v/>
      </c>
      <c r="C224" s="8" t="s">
        <v>21827</v>
      </c>
      <c r="D224" s="8" t="s">
        <v>20603</v>
      </c>
      <c r="E224" s="8" t="s">
        <v>19161</v>
      </c>
      <c r="F224" s="17" t="s">
        <v>21843</v>
      </c>
      <c r="G224" s="55" t="s">
        <v>21844</v>
      </c>
      <c r="H224" s="60" t="s">
        <v>1959</v>
      </c>
      <c r="I224" s="58" t="s">
        <v>995</v>
      </c>
      <c r="J224" s="55" t="s">
        <v>21847</v>
      </c>
    </row>
    <row r="225" ht="56.25" customHeight="1">
      <c r="A225" s="5" t="s">
        <v>21848</v>
      </c>
      <c r="B225" s="6" t="str">
        <f>IMAGE("https://storage.googleapis.com/acdb/villagers/kal04.png")</f>
        <v/>
      </c>
      <c r="C225" s="8" t="s">
        <v>21827</v>
      </c>
      <c r="D225" s="8" t="s">
        <v>20581</v>
      </c>
      <c r="E225" s="8" t="s">
        <v>19238</v>
      </c>
      <c r="F225" s="17" t="s">
        <v>21851</v>
      </c>
      <c r="G225" s="55" t="s">
        <v>21852</v>
      </c>
      <c r="H225" s="58" t="s">
        <v>995</v>
      </c>
      <c r="I225" s="56" t="s">
        <v>1952</v>
      </c>
      <c r="J225" s="55" t="s">
        <v>21853</v>
      </c>
    </row>
    <row r="226" ht="56.25" customHeight="1">
      <c r="A226" s="5" t="s">
        <v>21854</v>
      </c>
      <c r="B226" s="6" t="str">
        <f>IMAGE("https://storage.googleapis.com/acdb/villagers/kal05.png")</f>
        <v/>
      </c>
      <c r="C226" s="8" t="s">
        <v>21827</v>
      </c>
      <c r="D226" s="8" t="s">
        <v>20581</v>
      </c>
      <c r="E226" s="8" t="s">
        <v>19243</v>
      </c>
      <c r="F226" s="17" t="s">
        <v>21856</v>
      </c>
      <c r="G226" s="55" t="s">
        <v>21857</v>
      </c>
      <c r="H226" s="58" t="s">
        <v>995</v>
      </c>
      <c r="I226" s="60" t="s">
        <v>1959</v>
      </c>
      <c r="J226" s="55" t="s">
        <v>21859</v>
      </c>
    </row>
    <row r="227" ht="56.25" customHeight="1">
      <c r="A227" s="5" t="s">
        <v>21861</v>
      </c>
      <c r="B227" s="6" t="str">
        <f>IMAGE("https://storage.googleapis.com/acdb/villagers/kal08.png")</f>
        <v/>
      </c>
      <c r="C227" s="8" t="s">
        <v>21827</v>
      </c>
      <c r="D227" s="8" t="s">
        <v>20603</v>
      </c>
      <c r="E227" s="8" t="s">
        <v>19205</v>
      </c>
      <c r="F227" s="17" t="s">
        <v>21863</v>
      </c>
      <c r="G227" s="55" t="s">
        <v>21864</v>
      </c>
      <c r="H227" s="57" t="s">
        <v>8746</v>
      </c>
      <c r="I227" s="56" t="s">
        <v>1952</v>
      </c>
      <c r="J227" s="55" t="s">
        <v>21865</v>
      </c>
    </row>
    <row r="228" ht="56.25" customHeight="1">
      <c r="A228" s="5" t="s">
        <v>21866</v>
      </c>
      <c r="B228" s="6" t="str">
        <f>IMAGE("https://storage.googleapis.com/acdb/villagers/kal09.png")</f>
        <v/>
      </c>
      <c r="C228" s="8" t="s">
        <v>21827</v>
      </c>
      <c r="D228" s="8" t="s">
        <v>20581</v>
      </c>
      <c r="E228" s="8" t="s">
        <v>19128</v>
      </c>
      <c r="F228" s="17" t="s">
        <v>21083</v>
      </c>
      <c r="G228" s="55" t="s">
        <v>21867</v>
      </c>
      <c r="H228" s="58" t="s">
        <v>995</v>
      </c>
      <c r="I228" s="57" t="s">
        <v>8746</v>
      </c>
      <c r="J228" s="55" t="s">
        <v>21868</v>
      </c>
    </row>
    <row r="229" ht="56.25" customHeight="1">
      <c r="A229" s="5" t="s">
        <v>21869</v>
      </c>
      <c r="B229" s="6" t="str">
        <f>IMAGE("https://storage.googleapis.com/acdb/villagers/kal10.png")</f>
        <v/>
      </c>
      <c r="C229" s="8" t="s">
        <v>21827</v>
      </c>
      <c r="D229" s="8" t="s">
        <v>20581</v>
      </c>
      <c r="E229" s="8" t="s">
        <v>19232</v>
      </c>
      <c r="F229" s="17" t="s">
        <v>21872</v>
      </c>
      <c r="G229" s="55" t="s">
        <v>21873</v>
      </c>
      <c r="H229" s="56" t="s">
        <v>1952</v>
      </c>
      <c r="I229" s="61" t="s">
        <v>612</v>
      </c>
      <c r="J229" s="55" t="s">
        <v>21874</v>
      </c>
    </row>
    <row r="230" ht="56.25" customHeight="1">
      <c r="A230" s="5" t="s">
        <v>21875</v>
      </c>
      <c r="B230" s="6" t="str">
        <f>IMAGE("https://storage.googleapis.com/acdb/villagers/kgr00.png")</f>
        <v/>
      </c>
      <c r="C230" s="8" t="s">
        <v>21876</v>
      </c>
      <c r="D230" s="8" t="s">
        <v>20603</v>
      </c>
      <c r="E230" s="8" t="s">
        <v>19161</v>
      </c>
      <c r="F230" s="17" t="s">
        <v>21877</v>
      </c>
      <c r="G230" s="55" t="s">
        <v>21879</v>
      </c>
      <c r="H230" s="59" t="s">
        <v>1059</v>
      </c>
      <c r="I230" s="58" t="s">
        <v>995</v>
      </c>
      <c r="J230" s="55" t="s">
        <v>21880</v>
      </c>
    </row>
    <row r="231" ht="56.25" customHeight="1">
      <c r="A231" s="5" t="s">
        <v>21881</v>
      </c>
      <c r="B231" s="6" t="str">
        <f>IMAGE("https://storage.googleapis.com/acdb/villagers/kgr01.png")</f>
        <v/>
      </c>
      <c r="C231" s="8" t="s">
        <v>21876</v>
      </c>
      <c r="D231" s="8" t="s">
        <v>20603</v>
      </c>
      <c r="E231" s="8" t="s">
        <v>19361</v>
      </c>
      <c r="F231" s="17" t="s">
        <v>21883</v>
      </c>
      <c r="G231" s="55" t="s">
        <v>21884</v>
      </c>
      <c r="H231" s="56" t="s">
        <v>1952</v>
      </c>
      <c r="I231" s="61" t="s">
        <v>612</v>
      </c>
      <c r="J231" s="55" t="s">
        <v>21886</v>
      </c>
    </row>
    <row r="232" ht="56.25" customHeight="1">
      <c r="A232" s="5" t="s">
        <v>21887</v>
      </c>
      <c r="B232" s="6" t="str">
        <f>IMAGE("https://storage.googleapis.com/acdb/villagers/kgr02.png")</f>
        <v/>
      </c>
      <c r="C232" s="8" t="s">
        <v>21876</v>
      </c>
      <c r="D232" s="8" t="s">
        <v>20603</v>
      </c>
      <c r="E232" s="8" t="s">
        <v>19161</v>
      </c>
      <c r="F232" s="17" t="s">
        <v>21665</v>
      </c>
      <c r="G232" s="55" t="s">
        <v>21889</v>
      </c>
      <c r="H232" s="60" t="s">
        <v>1959</v>
      </c>
      <c r="I232" s="60" t="s">
        <v>1959</v>
      </c>
      <c r="J232" s="55" t="s">
        <v>21891</v>
      </c>
    </row>
    <row r="233" ht="56.25" customHeight="1">
      <c r="A233" s="5" t="s">
        <v>21892</v>
      </c>
      <c r="B233" s="6" t="str">
        <f>IMAGE("https://storage.googleapis.com/acdb/villagers/kgr05.png")</f>
        <v/>
      </c>
      <c r="C233" s="8" t="s">
        <v>21876</v>
      </c>
      <c r="D233" s="8" t="s">
        <v>20603</v>
      </c>
      <c r="E233" s="8" t="s">
        <v>19361</v>
      </c>
      <c r="F233" s="17" t="s">
        <v>21893</v>
      </c>
      <c r="G233" s="55" t="s">
        <v>21895</v>
      </c>
      <c r="H233" s="56" t="s">
        <v>1952</v>
      </c>
      <c r="I233" s="57" t="s">
        <v>8746</v>
      </c>
      <c r="J233" s="55" t="s">
        <v>21897</v>
      </c>
    </row>
    <row r="234" ht="56.25" customHeight="1">
      <c r="A234" s="5" t="s">
        <v>21898</v>
      </c>
      <c r="B234" s="6" t="str">
        <f>IMAGE("https://storage.googleapis.com/acdb/villagers/kgr06.png")</f>
        <v/>
      </c>
      <c r="C234" s="8" t="s">
        <v>21876</v>
      </c>
      <c r="D234" s="8" t="s">
        <v>20603</v>
      </c>
      <c r="E234" s="8" t="s">
        <v>19205</v>
      </c>
      <c r="F234" s="17" t="s">
        <v>21900</v>
      </c>
      <c r="G234" s="55" t="s">
        <v>21901</v>
      </c>
      <c r="H234" s="58" t="s">
        <v>995</v>
      </c>
      <c r="I234" s="61" t="s">
        <v>612</v>
      </c>
      <c r="J234" s="55" t="s">
        <v>21903</v>
      </c>
    </row>
    <row r="235" ht="56.25" customHeight="1">
      <c r="A235" s="5" t="s">
        <v>21904</v>
      </c>
      <c r="B235" s="6" t="str">
        <f>IMAGE("https://storage.googleapis.com/acdb/villagers/kgr08.png")</f>
        <v/>
      </c>
      <c r="C235" s="8" t="s">
        <v>21876</v>
      </c>
      <c r="D235" s="8" t="s">
        <v>20581</v>
      </c>
      <c r="E235" s="8" t="s">
        <v>19238</v>
      </c>
      <c r="F235" s="17" t="s">
        <v>21906</v>
      </c>
      <c r="G235" s="55" t="s">
        <v>21907</v>
      </c>
      <c r="H235" s="56" t="s">
        <v>1952</v>
      </c>
      <c r="I235" s="56" t="s">
        <v>1952</v>
      </c>
      <c r="J235" s="55" t="s">
        <v>21909</v>
      </c>
    </row>
    <row r="236" ht="56.25" customHeight="1">
      <c r="A236" s="5" t="s">
        <v>21910</v>
      </c>
      <c r="B236" s="6" t="str">
        <f>IMAGE("https://storage.googleapis.com/acdb/villagers/kgr09.png")</f>
        <v/>
      </c>
      <c r="C236" s="8" t="s">
        <v>21876</v>
      </c>
      <c r="D236" s="8" t="s">
        <v>20581</v>
      </c>
      <c r="E236" s="8" t="s">
        <v>19238</v>
      </c>
      <c r="F236" s="17" t="s">
        <v>21912</v>
      </c>
      <c r="G236" s="55" t="s">
        <v>21913</v>
      </c>
      <c r="H236" s="57" t="s">
        <v>8746</v>
      </c>
      <c r="I236" s="57" t="s">
        <v>8746</v>
      </c>
      <c r="J236" s="55" t="s">
        <v>21914</v>
      </c>
    </row>
    <row r="237" ht="56.25" customHeight="1">
      <c r="A237" s="5" t="s">
        <v>21915</v>
      </c>
      <c r="B237" s="6" t="str">
        <f>IMAGE("https://storage.googleapis.com/acdb/villagers/kgr10.png")</f>
        <v/>
      </c>
      <c r="C237" s="8" t="s">
        <v>21876</v>
      </c>
      <c r="D237" s="8" t="s">
        <v>20603</v>
      </c>
      <c r="E237" s="8" t="s">
        <v>19161</v>
      </c>
      <c r="F237" s="17" t="s">
        <v>21918</v>
      </c>
      <c r="G237" s="55" t="s">
        <v>21919</v>
      </c>
      <c r="H237" s="60" t="s">
        <v>1959</v>
      </c>
      <c r="I237" s="59" t="s">
        <v>1059</v>
      </c>
      <c r="J237" s="55" t="s">
        <v>21920</v>
      </c>
    </row>
    <row r="238" ht="56.25" customHeight="1">
      <c r="A238" s="5" t="s">
        <v>21921</v>
      </c>
      <c r="B238" s="6" t="str">
        <f>IMAGE("https://storage.googleapis.com/acdb/villagers/lon00.png")</f>
        <v/>
      </c>
      <c r="C238" s="8" t="s">
        <v>21922</v>
      </c>
      <c r="D238" s="8" t="s">
        <v>20581</v>
      </c>
      <c r="E238" s="8" t="s">
        <v>19128</v>
      </c>
      <c r="F238" s="17" t="s">
        <v>21923</v>
      </c>
      <c r="G238" s="55" t="s">
        <v>21925</v>
      </c>
      <c r="H238" s="57" t="s">
        <v>8746</v>
      </c>
      <c r="I238" s="58" t="s">
        <v>995</v>
      </c>
      <c r="J238" s="55" t="s">
        <v>21927</v>
      </c>
    </row>
    <row r="239" ht="56.25" customHeight="1">
      <c r="A239" s="5" t="s">
        <v>21928</v>
      </c>
      <c r="B239" s="6" t="str">
        <f>IMAGE("https://storage.googleapis.com/acdb/villagers/lon01.png")</f>
        <v/>
      </c>
      <c r="C239" s="8" t="s">
        <v>21922</v>
      </c>
      <c r="D239" s="8" t="s">
        <v>20581</v>
      </c>
      <c r="E239" s="8" t="s">
        <v>19238</v>
      </c>
      <c r="F239" s="17" t="s">
        <v>21929</v>
      </c>
      <c r="G239" s="55" t="s">
        <v>21930</v>
      </c>
      <c r="H239" s="61" t="s">
        <v>612</v>
      </c>
      <c r="I239" s="59" t="s">
        <v>1059</v>
      </c>
      <c r="J239" s="55" t="s">
        <v>21932</v>
      </c>
    </row>
    <row r="240" ht="56.25" customHeight="1">
      <c r="A240" s="5" t="s">
        <v>21933</v>
      </c>
      <c r="B240" s="6" t="str">
        <f>IMAGE("https://storage.googleapis.com/acdb/villagers/lon02.png")</f>
        <v/>
      </c>
      <c r="C240" s="8" t="s">
        <v>21922</v>
      </c>
      <c r="D240" s="8" t="s">
        <v>20581</v>
      </c>
      <c r="E240" s="8" t="s">
        <v>19243</v>
      </c>
      <c r="F240" s="17" t="s">
        <v>21935</v>
      </c>
      <c r="G240" s="55" t="s">
        <v>21936</v>
      </c>
      <c r="H240" s="58" t="s">
        <v>995</v>
      </c>
      <c r="I240" s="60" t="s">
        <v>1959</v>
      </c>
      <c r="J240" s="55" t="s">
        <v>21937</v>
      </c>
    </row>
    <row r="241" ht="56.25" customHeight="1">
      <c r="A241" s="5" t="s">
        <v>21938</v>
      </c>
      <c r="B241" s="6" t="str">
        <f>IMAGE("https://storage.googleapis.com/acdb/villagers/lon04.png")</f>
        <v/>
      </c>
      <c r="C241" s="8" t="s">
        <v>21922</v>
      </c>
      <c r="D241" s="8" t="s">
        <v>20581</v>
      </c>
      <c r="E241" s="8" t="s">
        <v>19232</v>
      </c>
      <c r="F241" s="17" t="s">
        <v>21940</v>
      </c>
      <c r="G241" s="55" t="s">
        <v>21942</v>
      </c>
      <c r="H241" s="59" t="s">
        <v>1059</v>
      </c>
      <c r="I241" s="61" t="s">
        <v>612</v>
      </c>
      <c r="J241" s="55" t="s">
        <v>21944</v>
      </c>
    </row>
    <row r="242" ht="56.25" customHeight="1">
      <c r="A242" s="5" t="s">
        <v>21945</v>
      </c>
      <c r="B242" s="6" t="str">
        <f>IMAGE("https://storage.googleapis.com/acdb/villagers/lon06.png")</f>
        <v/>
      </c>
      <c r="C242" s="8" t="s">
        <v>21922</v>
      </c>
      <c r="D242" s="8" t="s">
        <v>20581</v>
      </c>
      <c r="E242" s="8" t="s">
        <v>19128</v>
      </c>
      <c r="F242" s="17" t="s">
        <v>21946</v>
      </c>
      <c r="G242" s="55" t="s">
        <v>21947</v>
      </c>
      <c r="H242" s="57" t="s">
        <v>8746</v>
      </c>
      <c r="I242" s="59" t="s">
        <v>1059</v>
      </c>
      <c r="J242" s="55" t="s">
        <v>21949</v>
      </c>
    </row>
    <row r="243" ht="56.25" customHeight="1">
      <c r="A243" s="5" t="s">
        <v>21950</v>
      </c>
      <c r="B243" s="6" t="str">
        <f>IMAGE("https://storage.googleapis.com/acdb/villagers/lon07.png")</f>
        <v/>
      </c>
      <c r="C243" s="8" t="s">
        <v>21922</v>
      </c>
      <c r="D243" s="8" t="s">
        <v>20581</v>
      </c>
      <c r="E243" s="8" t="s">
        <v>19128</v>
      </c>
      <c r="F243" s="17" t="s">
        <v>21135</v>
      </c>
      <c r="G243" s="55" t="s">
        <v>21953</v>
      </c>
      <c r="H243" s="58" t="s">
        <v>995</v>
      </c>
      <c r="I243" s="57" t="s">
        <v>8746</v>
      </c>
      <c r="J243" s="55" t="s">
        <v>21954</v>
      </c>
    </row>
    <row r="244" ht="56.25" customHeight="1">
      <c r="A244" s="5" t="s">
        <v>21955</v>
      </c>
      <c r="B244" s="6" t="str">
        <f>IMAGE("https://storage.googleapis.com/acdb/villagers/lon08.png")</f>
        <v/>
      </c>
      <c r="C244" s="8" t="s">
        <v>21922</v>
      </c>
      <c r="D244" s="8" t="s">
        <v>20581</v>
      </c>
      <c r="E244" s="8" t="s">
        <v>19232</v>
      </c>
      <c r="F244" s="17" t="s">
        <v>21956</v>
      </c>
      <c r="G244" s="55" t="s">
        <v>21957</v>
      </c>
      <c r="H244" s="61" t="s">
        <v>612</v>
      </c>
      <c r="I244" s="57" t="s">
        <v>8746</v>
      </c>
      <c r="J244" s="55" t="s">
        <v>21958</v>
      </c>
    </row>
    <row r="245" ht="56.25" customHeight="1">
      <c r="A245" s="5" t="s">
        <v>21960</v>
      </c>
      <c r="B245" s="6" t="str">
        <f>IMAGE("https://storage.googleapis.com/acdb/villagers/mnk01.png")</f>
        <v/>
      </c>
      <c r="C245" s="8" t="s">
        <v>21961</v>
      </c>
      <c r="D245" s="8" t="s">
        <v>20603</v>
      </c>
      <c r="E245" s="8" t="s">
        <v>19161</v>
      </c>
      <c r="F245" s="17" t="s">
        <v>21962</v>
      </c>
      <c r="G245" s="55" t="s">
        <v>21963</v>
      </c>
      <c r="H245" s="60" t="s">
        <v>1959</v>
      </c>
      <c r="I245" s="60" t="s">
        <v>1959</v>
      </c>
      <c r="J245" s="55" t="s">
        <v>21964</v>
      </c>
    </row>
    <row r="246" ht="56.25" customHeight="1">
      <c r="A246" s="5" t="s">
        <v>21965</v>
      </c>
      <c r="B246" s="6" t="str">
        <f>IMAGE("https://storage.googleapis.com/acdb/villagers/mnk02.png")</f>
        <v/>
      </c>
      <c r="C246" s="8" t="s">
        <v>21961</v>
      </c>
      <c r="D246" s="8" t="s">
        <v>20581</v>
      </c>
      <c r="E246" s="8" t="s">
        <v>19243</v>
      </c>
      <c r="F246" s="17" t="s">
        <v>21967</v>
      </c>
      <c r="G246" s="55" t="s">
        <v>21968</v>
      </c>
      <c r="H246" s="58" t="s">
        <v>995</v>
      </c>
      <c r="I246" s="57" t="s">
        <v>8746</v>
      </c>
      <c r="J246" s="55" t="s">
        <v>21969</v>
      </c>
    </row>
    <row r="247" ht="56.25" customHeight="1">
      <c r="A247" s="5" t="s">
        <v>21970</v>
      </c>
      <c r="B247" s="6" t="str">
        <f>IMAGE("https://storage.googleapis.com/acdb/villagers/mnk03.png")</f>
        <v/>
      </c>
      <c r="C247" s="8" t="s">
        <v>21961</v>
      </c>
      <c r="D247" s="8" t="s">
        <v>20603</v>
      </c>
      <c r="E247" s="8" t="s">
        <v>19196</v>
      </c>
      <c r="F247" s="17" t="s">
        <v>21971</v>
      </c>
      <c r="G247" s="55" t="s">
        <v>21972</v>
      </c>
      <c r="H247" s="60" t="s">
        <v>1959</v>
      </c>
      <c r="I247" s="57" t="s">
        <v>8746</v>
      </c>
      <c r="J247" s="55" t="s">
        <v>21973</v>
      </c>
    </row>
    <row r="248" ht="56.25" customHeight="1">
      <c r="A248" s="5" t="s">
        <v>21975</v>
      </c>
      <c r="B248" s="6" t="str">
        <f>IMAGE("https://storage.googleapis.com/acdb/villagers/mnk04.png")</f>
        <v/>
      </c>
      <c r="C248" s="8" t="s">
        <v>21961</v>
      </c>
      <c r="D248" s="8" t="s">
        <v>20581</v>
      </c>
      <c r="E248" s="8" t="s">
        <v>19238</v>
      </c>
      <c r="F248" s="17" t="s">
        <v>21976</v>
      </c>
      <c r="G248" s="55" t="s">
        <v>21977</v>
      </c>
      <c r="H248" s="56" t="s">
        <v>1952</v>
      </c>
      <c r="I248" s="56" t="s">
        <v>1952</v>
      </c>
      <c r="J248" s="55" t="s">
        <v>21979</v>
      </c>
    </row>
    <row r="249" ht="56.25" customHeight="1">
      <c r="A249" s="5" t="s">
        <v>21980</v>
      </c>
      <c r="B249" s="6" t="str">
        <f>IMAGE("https://storage.googleapis.com/acdb/villagers/mnk05.png")</f>
        <v/>
      </c>
      <c r="C249" s="8" t="s">
        <v>21961</v>
      </c>
      <c r="D249" s="8" t="s">
        <v>20603</v>
      </c>
      <c r="E249" s="8" t="s">
        <v>19361</v>
      </c>
      <c r="F249" s="17" t="s">
        <v>21981</v>
      </c>
      <c r="G249" s="55" t="s">
        <v>21982</v>
      </c>
      <c r="H249" s="59" t="s">
        <v>1059</v>
      </c>
      <c r="I249" s="61" t="s">
        <v>612</v>
      </c>
      <c r="J249" s="55" t="s">
        <v>21983</v>
      </c>
    </row>
    <row r="250" ht="56.25" customHeight="1">
      <c r="A250" s="5" t="s">
        <v>21984</v>
      </c>
      <c r="B250" s="6" t="str">
        <f>IMAGE("https://storage.googleapis.com/acdb/villagers/mnk06.png")</f>
        <v/>
      </c>
      <c r="C250" s="8" t="s">
        <v>21961</v>
      </c>
      <c r="D250" s="8" t="s">
        <v>20581</v>
      </c>
      <c r="E250" s="8" t="s">
        <v>19128</v>
      </c>
      <c r="F250" s="17" t="s">
        <v>21985</v>
      </c>
      <c r="G250" s="55" t="s">
        <v>21986</v>
      </c>
      <c r="H250" s="57" t="s">
        <v>8746</v>
      </c>
      <c r="I250" s="58" t="s">
        <v>995</v>
      </c>
      <c r="J250" s="55" t="s">
        <v>21988</v>
      </c>
    </row>
    <row r="251" ht="56.25" customHeight="1">
      <c r="A251" s="5" t="s">
        <v>21989</v>
      </c>
      <c r="B251" s="6" t="str">
        <f>IMAGE("https://storage.googleapis.com/acdb/villagers/mnk07.png")</f>
        <v/>
      </c>
      <c r="C251" s="8" t="s">
        <v>21961</v>
      </c>
      <c r="D251" s="8" t="s">
        <v>20603</v>
      </c>
      <c r="E251" s="8" t="s">
        <v>19205</v>
      </c>
      <c r="F251" s="17" t="s">
        <v>21991</v>
      </c>
      <c r="G251" s="55" t="s">
        <v>21993</v>
      </c>
      <c r="H251" s="60" t="s">
        <v>1959</v>
      </c>
      <c r="I251" s="57" t="s">
        <v>8746</v>
      </c>
      <c r="J251" s="55" t="s">
        <v>21994</v>
      </c>
    </row>
    <row r="252" ht="56.25" customHeight="1">
      <c r="A252" s="5" t="s">
        <v>21995</v>
      </c>
      <c r="B252" s="6" t="str">
        <f>IMAGE("https://storage.googleapis.com/acdb/villagers/mnk08.png")</f>
        <v/>
      </c>
      <c r="C252" s="8" t="s">
        <v>21961</v>
      </c>
      <c r="D252" s="8" t="s">
        <v>20581</v>
      </c>
      <c r="E252" s="8" t="s">
        <v>19243</v>
      </c>
      <c r="F252" s="17" t="s">
        <v>21998</v>
      </c>
      <c r="G252" s="55" t="s">
        <v>21999</v>
      </c>
      <c r="H252" s="61" t="s">
        <v>612</v>
      </c>
      <c r="I252" s="59" t="s">
        <v>1059</v>
      </c>
      <c r="J252" s="55" t="s">
        <v>22000</v>
      </c>
    </row>
    <row r="253" ht="56.25" customHeight="1">
      <c r="A253" s="5" t="s">
        <v>22001</v>
      </c>
      <c r="B253" s="6" t="str">
        <f>IMAGE("https://storage.googleapis.com/acdb/villagers/mus00.png")</f>
        <v/>
      </c>
      <c r="C253" s="8" t="s">
        <v>22002</v>
      </c>
      <c r="D253" s="8" t="s">
        <v>20603</v>
      </c>
      <c r="E253" s="8" t="s">
        <v>19161</v>
      </c>
      <c r="F253" s="17" t="s">
        <v>22004</v>
      </c>
      <c r="G253" s="55" t="s">
        <v>22005</v>
      </c>
      <c r="H253" s="58" t="s">
        <v>995</v>
      </c>
      <c r="I253" s="59" t="s">
        <v>1059</v>
      </c>
      <c r="J253" s="55" t="s">
        <v>22006</v>
      </c>
    </row>
    <row r="254" ht="56.25" customHeight="1">
      <c r="A254" s="5" t="s">
        <v>22007</v>
      </c>
      <c r="B254" s="6" t="str">
        <f>IMAGE("https://storage.googleapis.com/acdb/villagers/mus01.png")</f>
        <v/>
      </c>
      <c r="C254" s="8" t="s">
        <v>22002</v>
      </c>
      <c r="D254" s="8" t="s">
        <v>20581</v>
      </c>
      <c r="E254" s="8" t="s">
        <v>19238</v>
      </c>
      <c r="F254" s="17" t="s">
        <v>22009</v>
      </c>
      <c r="G254" s="55" t="s">
        <v>22010</v>
      </c>
      <c r="H254" s="58" t="s">
        <v>995</v>
      </c>
      <c r="I254" s="56" t="s">
        <v>1952</v>
      </c>
      <c r="J254" s="55" t="s">
        <v>22011</v>
      </c>
    </row>
    <row r="255" ht="56.25" customHeight="1">
      <c r="A255" s="5" t="s">
        <v>22012</v>
      </c>
      <c r="B255" s="6" t="str">
        <f>IMAGE("https://storage.googleapis.com/acdb/villagers/mus02.png")</f>
        <v/>
      </c>
      <c r="C255" s="8" t="s">
        <v>22002</v>
      </c>
      <c r="D255" s="8" t="s">
        <v>20603</v>
      </c>
      <c r="E255" s="8" t="s">
        <v>19196</v>
      </c>
      <c r="F255" s="17" t="s">
        <v>22014</v>
      </c>
      <c r="G255" s="55" t="s">
        <v>22015</v>
      </c>
      <c r="H255" s="56" t="s">
        <v>1952</v>
      </c>
      <c r="I255" s="57" t="s">
        <v>8746</v>
      </c>
      <c r="J255" s="55" t="s">
        <v>22016</v>
      </c>
    </row>
    <row r="256" ht="56.25" customHeight="1">
      <c r="A256" s="5" t="s">
        <v>22017</v>
      </c>
      <c r="B256" s="6" t="str">
        <f>IMAGE("https://storage.googleapis.com/acdb/villagers/mus03.png")</f>
        <v/>
      </c>
      <c r="C256" s="8" t="s">
        <v>22002</v>
      </c>
      <c r="D256" s="8" t="s">
        <v>20603</v>
      </c>
      <c r="E256" s="8" t="s">
        <v>19361</v>
      </c>
      <c r="F256" s="17" t="s">
        <v>22019</v>
      </c>
      <c r="G256" s="55" t="s">
        <v>22020</v>
      </c>
      <c r="H256" s="59" t="s">
        <v>1059</v>
      </c>
      <c r="I256" s="61" t="s">
        <v>612</v>
      </c>
      <c r="J256" s="55" t="s">
        <v>22021</v>
      </c>
    </row>
    <row r="257" ht="56.25" customHeight="1">
      <c r="A257" s="5" t="s">
        <v>22022</v>
      </c>
      <c r="B257" s="6" t="str">
        <f>IMAGE("https://storage.googleapis.com/acdb/villagers/mus04.png")</f>
        <v/>
      </c>
      <c r="C257" s="8" t="s">
        <v>22002</v>
      </c>
      <c r="D257" s="8" t="s">
        <v>20581</v>
      </c>
      <c r="E257" s="8" t="s">
        <v>19128</v>
      </c>
      <c r="F257" s="17" t="s">
        <v>22024</v>
      </c>
      <c r="G257" s="55" t="s">
        <v>22025</v>
      </c>
      <c r="H257" s="58" t="s">
        <v>995</v>
      </c>
      <c r="I257" s="57" t="s">
        <v>8746</v>
      </c>
      <c r="J257" s="55" t="s">
        <v>22026</v>
      </c>
    </row>
    <row r="258" ht="56.25" customHeight="1">
      <c r="A258" s="5" t="s">
        <v>22027</v>
      </c>
      <c r="B258" s="6" t="str">
        <f>IMAGE("https://storage.googleapis.com/acdb/villagers/mus05.png")</f>
        <v/>
      </c>
      <c r="C258" s="8" t="s">
        <v>22002</v>
      </c>
      <c r="D258" s="8" t="s">
        <v>20581</v>
      </c>
      <c r="E258" s="8" t="s">
        <v>19128</v>
      </c>
      <c r="F258" s="17" t="s">
        <v>21940</v>
      </c>
      <c r="G258" s="55" t="s">
        <v>22029</v>
      </c>
      <c r="H258" s="57" t="s">
        <v>8746</v>
      </c>
      <c r="I258" s="56" t="s">
        <v>1952</v>
      </c>
      <c r="J258" s="55" t="s">
        <v>22030</v>
      </c>
    </row>
    <row r="259" ht="56.25" customHeight="1">
      <c r="A259" s="5" t="s">
        <v>22031</v>
      </c>
      <c r="B259" s="6" t="str">
        <f>IMAGE("https://storage.googleapis.com/acdb/villagers/mus08.png")</f>
        <v/>
      </c>
      <c r="C259" s="8" t="s">
        <v>22002</v>
      </c>
      <c r="D259" s="8" t="s">
        <v>20603</v>
      </c>
      <c r="E259" s="8" t="s">
        <v>19196</v>
      </c>
      <c r="F259" s="17" t="s">
        <v>22033</v>
      </c>
      <c r="G259" s="55" t="s">
        <v>21650</v>
      </c>
      <c r="H259" s="58" t="s">
        <v>995</v>
      </c>
      <c r="I259" s="60" t="s">
        <v>1959</v>
      </c>
      <c r="J259" s="55" t="s">
        <v>22034</v>
      </c>
    </row>
    <row r="260" ht="56.25" customHeight="1">
      <c r="A260" s="5" t="s">
        <v>22035</v>
      </c>
      <c r="B260" s="6" t="str">
        <f>IMAGE("https://storage.googleapis.com/acdb/villagers/mus09.png")</f>
        <v/>
      </c>
      <c r="C260" s="8" t="s">
        <v>22002</v>
      </c>
      <c r="D260" s="8" t="s">
        <v>20581</v>
      </c>
      <c r="E260" s="8" t="s">
        <v>19238</v>
      </c>
      <c r="F260" s="17" t="s">
        <v>22037</v>
      </c>
      <c r="G260" s="55" t="s">
        <v>22038</v>
      </c>
      <c r="H260" s="58" t="s">
        <v>995</v>
      </c>
      <c r="I260" s="56" t="s">
        <v>1952</v>
      </c>
      <c r="J260" s="55" t="s">
        <v>22039</v>
      </c>
    </row>
    <row r="261" ht="56.25" customHeight="1">
      <c r="A261" s="5" t="s">
        <v>22040</v>
      </c>
      <c r="B261" s="6" t="str">
        <f>IMAGE("https://storage.googleapis.com/acdb/villagers/mus10.png")</f>
        <v/>
      </c>
      <c r="C261" s="8" t="s">
        <v>22002</v>
      </c>
      <c r="D261" s="8" t="s">
        <v>20603</v>
      </c>
      <c r="E261" s="8" t="s">
        <v>19196</v>
      </c>
      <c r="F261" s="17" t="s">
        <v>22042</v>
      </c>
      <c r="G261" s="55" t="s">
        <v>22043</v>
      </c>
      <c r="H261" s="58" t="s">
        <v>995</v>
      </c>
      <c r="I261" s="59" t="s">
        <v>1059</v>
      </c>
      <c r="J261" s="55" t="s">
        <v>22044</v>
      </c>
    </row>
    <row r="262" ht="56.25" customHeight="1">
      <c r="A262" s="5" t="s">
        <v>22045</v>
      </c>
      <c r="B262" s="6" t="str">
        <f>IMAGE("https://storage.googleapis.com/acdb/villagers/mus12.png")</f>
        <v/>
      </c>
      <c r="C262" s="8" t="s">
        <v>22002</v>
      </c>
      <c r="D262" s="8" t="s">
        <v>20581</v>
      </c>
      <c r="E262" s="8" t="s">
        <v>19243</v>
      </c>
      <c r="F262" s="17" t="s">
        <v>21372</v>
      </c>
      <c r="G262" s="55" t="s">
        <v>22047</v>
      </c>
      <c r="H262" s="58" t="s">
        <v>995</v>
      </c>
      <c r="I262" s="60" t="s">
        <v>1959</v>
      </c>
      <c r="J262" s="55" t="s">
        <v>22049</v>
      </c>
    </row>
    <row r="263" ht="56.25" customHeight="1">
      <c r="A263" s="5" t="s">
        <v>22050</v>
      </c>
      <c r="B263" s="6" t="str">
        <f>IMAGE("https://storage.googleapis.com/acdb/villagers/mus14.png")</f>
        <v/>
      </c>
      <c r="C263" s="8" t="s">
        <v>22002</v>
      </c>
      <c r="D263" s="8" t="s">
        <v>20581</v>
      </c>
      <c r="E263" s="8" t="s">
        <v>19128</v>
      </c>
      <c r="F263" s="17" t="s">
        <v>22051</v>
      </c>
      <c r="G263" s="55" t="s">
        <v>22052</v>
      </c>
      <c r="H263" s="56" t="s">
        <v>1952</v>
      </c>
      <c r="I263" s="61" t="s">
        <v>612</v>
      </c>
      <c r="J263" s="55" t="s">
        <v>22055</v>
      </c>
    </row>
    <row r="264" ht="56.25" customHeight="1">
      <c r="A264" s="5" t="s">
        <v>22056</v>
      </c>
      <c r="B264" s="6" t="str">
        <f>IMAGE("https://storage.googleapis.com/acdb/villagers/mus15.png")</f>
        <v/>
      </c>
      <c r="C264" s="8" t="s">
        <v>22002</v>
      </c>
      <c r="D264" s="8" t="s">
        <v>20603</v>
      </c>
      <c r="E264" s="8" t="s">
        <v>19161</v>
      </c>
      <c r="F264" s="17" t="s">
        <v>22059</v>
      </c>
      <c r="G264" s="55" t="s">
        <v>22060</v>
      </c>
      <c r="H264" s="58" t="s">
        <v>995</v>
      </c>
      <c r="I264" s="59" t="s">
        <v>1059</v>
      </c>
      <c r="J264" s="55" t="s">
        <v>22061</v>
      </c>
    </row>
    <row r="265" ht="56.25" customHeight="1">
      <c r="A265" s="5" t="s">
        <v>22062</v>
      </c>
      <c r="B265" s="6" t="str">
        <f>IMAGE("https://storage.googleapis.com/acdb/villagers/mus16.png")</f>
        <v/>
      </c>
      <c r="C265" s="8" t="s">
        <v>22002</v>
      </c>
      <c r="D265" s="8" t="s">
        <v>20603</v>
      </c>
      <c r="E265" s="8" t="s">
        <v>19361</v>
      </c>
      <c r="F265" s="17" t="s">
        <v>22065</v>
      </c>
      <c r="G265" s="55" t="s">
        <v>22066</v>
      </c>
      <c r="H265" s="59" t="s">
        <v>1059</v>
      </c>
      <c r="I265" s="58" t="s">
        <v>995</v>
      </c>
      <c r="J265" s="55" t="s">
        <v>22067</v>
      </c>
    </row>
    <row r="266" ht="56.25" customHeight="1">
      <c r="A266" s="5" t="s">
        <v>22068</v>
      </c>
      <c r="B266" s="6" t="str">
        <f>IMAGE("https://storage.googleapis.com/acdb/villagers/mus17.png")</f>
        <v/>
      </c>
      <c r="C266" s="8" t="s">
        <v>22002</v>
      </c>
      <c r="D266" s="8" t="s">
        <v>20603</v>
      </c>
      <c r="E266" s="8" t="s">
        <v>19196</v>
      </c>
      <c r="F266" s="17" t="s">
        <v>22071</v>
      </c>
      <c r="G266" s="55" t="s">
        <v>22072</v>
      </c>
      <c r="H266" s="60" t="s">
        <v>1959</v>
      </c>
      <c r="I266" s="61" t="s">
        <v>612</v>
      </c>
      <c r="J266" s="55" t="s">
        <v>22073</v>
      </c>
    </row>
    <row r="267" ht="56.25" customHeight="1">
      <c r="A267" s="5" t="s">
        <v>22074</v>
      </c>
      <c r="B267" s="6" t="str">
        <f>IMAGE("https://storage.googleapis.com/acdb/villagers/mus18.png")</f>
        <v/>
      </c>
      <c r="C267" s="8" t="s">
        <v>22002</v>
      </c>
      <c r="D267" s="8" t="s">
        <v>20581</v>
      </c>
      <c r="E267" s="8" t="s">
        <v>19232</v>
      </c>
      <c r="F267" s="17" t="s">
        <v>22077</v>
      </c>
      <c r="G267" s="55" t="s">
        <v>22078</v>
      </c>
      <c r="H267" s="59" t="s">
        <v>1059</v>
      </c>
      <c r="I267" s="61" t="s">
        <v>612</v>
      </c>
      <c r="J267" s="55" t="s">
        <v>22079</v>
      </c>
    </row>
    <row r="268" ht="56.25" customHeight="1">
      <c r="A268" s="5" t="s">
        <v>22080</v>
      </c>
      <c r="B268" s="6" t="str">
        <f>IMAGE("https://storage.googleapis.com/acdb/villagers/ocp00.png")</f>
        <v/>
      </c>
      <c r="C268" s="8" t="s">
        <v>4258</v>
      </c>
      <c r="D268" s="8" t="s">
        <v>20581</v>
      </c>
      <c r="E268" s="8" t="s">
        <v>19238</v>
      </c>
      <c r="F268" s="17" t="s">
        <v>21111</v>
      </c>
      <c r="G268" s="55" t="s">
        <v>22083</v>
      </c>
      <c r="H268" s="56" t="s">
        <v>1952</v>
      </c>
      <c r="I268" s="58" t="s">
        <v>995</v>
      </c>
      <c r="J268" s="55" t="s">
        <v>22084</v>
      </c>
    </row>
    <row r="269" ht="56.25" customHeight="1">
      <c r="A269" s="5" t="s">
        <v>22085</v>
      </c>
      <c r="B269" s="6" t="str">
        <f>IMAGE("https://storage.googleapis.com/acdb/villagers/ocp01.png")</f>
        <v/>
      </c>
      <c r="C269" s="8" t="s">
        <v>4258</v>
      </c>
      <c r="D269" s="8" t="s">
        <v>20603</v>
      </c>
      <c r="E269" s="8" t="s">
        <v>19161</v>
      </c>
      <c r="F269" s="17" t="s">
        <v>22088</v>
      </c>
      <c r="G269" s="55" t="s">
        <v>22089</v>
      </c>
      <c r="H269" s="60" t="s">
        <v>1959</v>
      </c>
      <c r="I269" s="60" t="s">
        <v>1959</v>
      </c>
      <c r="J269" s="55" t="s">
        <v>22090</v>
      </c>
    </row>
    <row r="270" ht="56.25" customHeight="1">
      <c r="A270" s="5" t="s">
        <v>22091</v>
      </c>
      <c r="B270" s="6" t="str">
        <f>IMAGE("https://storage.googleapis.com/acdb/villagers/ocp02.png")</f>
        <v/>
      </c>
      <c r="C270" s="8" t="s">
        <v>4258</v>
      </c>
      <c r="D270" s="8" t="s">
        <v>20581</v>
      </c>
      <c r="E270" s="8" t="s">
        <v>19243</v>
      </c>
      <c r="F270" s="17" t="s">
        <v>22092</v>
      </c>
      <c r="G270" s="55" t="s">
        <v>21727</v>
      </c>
      <c r="H270" s="58" t="s">
        <v>995</v>
      </c>
      <c r="I270" s="60" t="s">
        <v>1959</v>
      </c>
      <c r="J270" s="55" t="s">
        <v>22093</v>
      </c>
    </row>
    <row r="271" ht="56.25" customHeight="1">
      <c r="A271" s="5" t="s">
        <v>22095</v>
      </c>
      <c r="B271" s="6" t="str">
        <f>IMAGE("https://storage.googleapis.com/acdb/villagers/ost00.png")</f>
        <v/>
      </c>
      <c r="C271" s="8" t="s">
        <v>22097</v>
      </c>
      <c r="D271" s="8" t="s">
        <v>20603</v>
      </c>
      <c r="E271" s="8" t="s">
        <v>19361</v>
      </c>
      <c r="F271" s="17" t="s">
        <v>22098</v>
      </c>
      <c r="G271" s="55" t="s">
        <v>22099</v>
      </c>
      <c r="H271" s="61" t="s">
        <v>612</v>
      </c>
      <c r="I271" s="59" t="s">
        <v>1059</v>
      </c>
      <c r="J271" s="55" t="s">
        <v>22100</v>
      </c>
    </row>
    <row r="272" ht="56.25" customHeight="1">
      <c r="A272" s="5" t="s">
        <v>22101</v>
      </c>
      <c r="B272" s="6" t="str">
        <f>IMAGE("https://storage.googleapis.com/acdb/villagers/ost01.png")</f>
        <v/>
      </c>
      <c r="C272" s="8" t="s">
        <v>22097</v>
      </c>
      <c r="D272" s="8" t="s">
        <v>20603</v>
      </c>
      <c r="E272" s="8" t="s">
        <v>19161</v>
      </c>
      <c r="F272" s="17" t="s">
        <v>22103</v>
      </c>
      <c r="G272" s="55" t="s">
        <v>22104</v>
      </c>
      <c r="H272" s="59" t="s">
        <v>1059</v>
      </c>
      <c r="I272" s="60" t="s">
        <v>1959</v>
      </c>
      <c r="J272" s="55" t="s">
        <v>22106</v>
      </c>
    </row>
    <row r="273" ht="56.25" customHeight="1">
      <c r="A273" s="5" t="s">
        <v>22107</v>
      </c>
      <c r="B273" s="6" t="str">
        <f>IMAGE("https://storage.googleapis.com/acdb/villagers/ost02.png")</f>
        <v/>
      </c>
      <c r="C273" s="8" t="s">
        <v>22097</v>
      </c>
      <c r="D273" s="8" t="s">
        <v>20603</v>
      </c>
      <c r="E273" s="8" t="s">
        <v>19161</v>
      </c>
      <c r="F273" s="17" t="s">
        <v>22108</v>
      </c>
      <c r="G273" s="55" t="s">
        <v>22109</v>
      </c>
      <c r="H273" s="58" t="s">
        <v>995</v>
      </c>
      <c r="I273" s="56" t="s">
        <v>1952</v>
      </c>
      <c r="J273" s="55" t="s">
        <v>22110</v>
      </c>
    </row>
    <row r="274" ht="56.25" customHeight="1">
      <c r="A274" s="5" t="s">
        <v>22111</v>
      </c>
      <c r="B274" s="6" t="str">
        <f>IMAGE("https://storage.googleapis.com/acdb/villagers/ost03.png")</f>
        <v/>
      </c>
      <c r="C274" s="8" t="s">
        <v>22097</v>
      </c>
      <c r="D274" s="8" t="s">
        <v>20581</v>
      </c>
      <c r="E274" s="8" t="s">
        <v>19128</v>
      </c>
      <c r="F274" s="17" t="s">
        <v>21912</v>
      </c>
      <c r="G274" s="55" t="s">
        <v>22113</v>
      </c>
      <c r="H274" s="58" t="s">
        <v>995</v>
      </c>
      <c r="I274" s="57" t="s">
        <v>8746</v>
      </c>
      <c r="J274" s="55" t="s">
        <v>22114</v>
      </c>
    </row>
    <row r="275" ht="56.25" customHeight="1">
      <c r="A275" s="5" t="s">
        <v>22116</v>
      </c>
      <c r="B275" s="6" t="str">
        <f>IMAGE("https://storage.googleapis.com/acdb/villagers/ost05.png")</f>
        <v/>
      </c>
      <c r="C275" s="8" t="s">
        <v>22097</v>
      </c>
      <c r="D275" s="8" t="s">
        <v>20603</v>
      </c>
      <c r="E275" s="8" t="s">
        <v>19361</v>
      </c>
      <c r="F275" s="17" t="s">
        <v>20678</v>
      </c>
      <c r="G275" s="55" t="s">
        <v>22117</v>
      </c>
      <c r="H275" s="59" t="s">
        <v>1059</v>
      </c>
      <c r="I275" s="61" t="s">
        <v>612</v>
      </c>
      <c r="J275" s="55" t="s">
        <v>22118</v>
      </c>
    </row>
    <row r="276" ht="56.25" customHeight="1">
      <c r="A276" s="5" t="s">
        <v>22119</v>
      </c>
      <c r="B276" s="6" t="str">
        <f>IMAGE("https://storage.googleapis.com/acdb/villagers/ost06.png")</f>
        <v/>
      </c>
      <c r="C276" s="8" t="s">
        <v>22097</v>
      </c>
      <c r="D276" s="8" t="s">
        <v>20581</v>
      </c>
      <c r="E276" s="8" t="s">
        <v>19243</v>
      </c>
      <c r="F276" s="17" t="s">
        <v>22122</v>
      </c>
      <c r="G276" s="55" t="s">
        <v>22123</v>
      </c>
      <c r="H276" s="58" t="s">
        <v>995</v>
      </c>
      <c r="I276" s="56" t="s">
        <v>1952</v>
      </c>
      <c r="J276" s="55" t="s">
        <v>22124</v>
      </c>
    </row>
    <row r="277" ht="56.25" customHeight="1">
      <c r="A277" s="5" t="s">
        <v>22125</v>
      </c>
      <c r="B277" s="6" t="str">
        <f>IMAGE("https://storage.googleapis.com/acdb/villagers/ost07.png")</f>
        <v/>
      </c>
      <c r="C277" s="8" t="s">
        <v>22097</v>
      </c>
      <c r="D277" s="8" t="s">
        <v>20581</v>
      </c>
      <c r="E277" s="8" t="s">
        <v>19232</v>
      </c>
      <c r="F277" s="17" t="s">
        <v>22128</v>
      </c>
      <c r="G277" s="55" t="s">
        <v>22129</v>
      </c>
      <c r="H277" s="59" t="s">
        <v>1059</v>
      </c>
      <c r="I277" s="56" t="s">
        <v>1952</v>
      </c>
      <c r="J277" s="55" t="s">
        <v>22130</v>
      </c>
    </row>
    <row r="278" ht="56.25" customHeight="1">
      <c r="A278" s="5" t="s">
        <v>22131</v>
      </c>
      <c r="B278" s="6" t="str">
        <f>IMAGE("https://storage.googleapis.com/acdb/villagers/ost08.png")</f>
        <v/>
      </c>
      <c r="C278" s="8" t="s">
        <v>22097</v>
      </c>
      <c r="D278" s="8" t="s">
        <v>20603</v>
      </c>
      <c r="E278" s="8" t="s">
        <v>19361</v>
      </c>
      <c r="F278" s="17" t="s">
        <v>22133</v>
      </c>
      <c r="G278" s="55" t="s">
        <v>22134</v>
      </c>
      <c r="H278" s="59" t="s">
        <v>1059</v>
      </c>
      <c r="I278" s="61" t="s">
        <v>612</v>
      </c>
      <c r="J278" s="55" t="s">
        <v>22136</v>
      </c>
    </row>
    <row r="279" ht="56.25" customHeight="1">
      <c r="A279" s="5" t="s">
        <v>22137</v>
      </c>
      <c r="B279" s="6" t="str">
        <f>IMAGE("https://storage.googleapis.com/acdb/villagers/ost09.png")</f>
        <v/>
      </c>
      <c r="C279" s="8" t="s">
        <v>22097</v>
      </c>
      <c r="D279" s="8" t="s">
        <v>20603</v>
      </c>
      <c r="E279" s="8" t="s">
        <v>19196</v>
      </c>
      <c r="F279" s="17" t="s">
        <v>21787</v>
      </c>
      <c r="G279" s="55" t="s">
        <v>22139</v>
      </c>
      <c r="H279" s="60" t="s">
        <v>1959</v>
      </c>
      <c r="I279" s="57" t="s">
        <v>8746</v>
      </c>
      <c r="J279" s="55" t="s">
        <v>22141</v>
      </c>
    </row>
    <row r="280" ht="56.25" customHeight="1">
      <c r="A280" s="5" t="s">
        <v>22142</v>
      </c>
      <c r="B280" s="6" t="str">
        <f>IMAGE("https://storage.googleapis.com/acdb/villagers/ost10.png")</f>
        <v/>
      </c>
      <c r="C280" s="8" t="s">
        <v>22097</v>
      </c>
      <c r="D280" s="8" t="s">
        <v>20603</v>
      </c>
      <c r="E280" s="8" t="s">
        <v>19205</v>
      </c>
      <c r="F280" s="17" t="s">
        <v>22143</v>
      </c>
      <c r="G280" s="55" t="s">
        <v>22144</v>
      </c>
      <c r="H280" s="61" t="s">
        <v>612</v>
      </c>
      <c r="I280" s="56" t="s">
        <v>1952</v>
      </c>
      <c r="J280" s="55" t="s">
        <v>22147</v>
      </c>
    </row>
    <row r="281" ht="56.25" customHeight="1">
      <c r="A281" s="5" t="s">
        <v>22148</v>
      </c>
      <c r="B281" s="6" t="str">
        <f>IMAGE("https://storage.googleapis.com/acdb/villagers/pbr00.png")</f>
        <v/>
      </c>
      <c r="C281" s="8" t="s">
        <v>22149</v>
      </c>
      <c r="D281" s="8" t="s">
        <v>20581</v>
      </c>
      <c r="E281" s="8" t="s">
        <v>19238</v>
      </c>
      <c r="F281" s="17" t="s">
        <v>22151</v>
      </c>
      <c r="G281" s="55" t="s">
        <v>22152</v>
      </c>
      <c r="H281" s="56" t="s">
        <v>1952</v>
      </c>
      <c r="I281" s="58" t="s">
        <v>995</v>
      </c>
      <c r="J281" s="55" t="s">
        <v>22154</v>
      </c>
    </row>
    <row r="282" ht="56.25" customHeight="1">
      <c r="A282" s="5" t="s">
        <v>22155</v>
      </c>
      <c r="B282" s="6" t="str">
        <f>IMAGE("https://storage.googleapis.com/acdb/villagers/pbr01.png")</f>
        <v/>
      </c>
      <c r="C282" s="8" t="s">
        <v>22149</v>
      </c>
      <c r="D282" s="8" t="s">
        <v>20603</v>
      </c>
      <c r="E282" s="8" t="s">
        <v>19361</v>
      </c>
      <c r="F282" s="17" t="s">
        <v>22157</v>
      </c>
      <c r="G282" s="55" t="s">
        <v>22159</v>
      </c>
      <c r="H282" s="56" t="s">
        <v>1952</v>
      </c>
      <c r="I282" s="59" t="s">
        <v>1059</v>
      </c>
      <c r="J282" s="55" t="s">
        <v>22160</v>
      </c>
    </row>
    <row r="283" ht="56.25" customHeight="1">
      <c r="A283" s="5" t="s">
        <v>22161</v>
      </c>
      <c r="B283" s="6" t="str">
        <f>IMAGE("https://storage.googleapis.com/acdb/villagers/pbr02.png")</f>
        <v/>
      </c>
      <c r="C283" s="8" t="s">
        <v>22149</v>
      </c>
      <c r="D283" s="8" t="s">
        <v>20581</v>
      </c>
      <c r="E283" s="8" t="s">
        <v>19128</v>
      </c>
      <c r="F283" s="17" t="s">
        <v>22166</v>
      </c>
      <c r="G283" s="55" t="s">
        <v>22167</v>
      </c>
      <c r="H283" s="59" t="s">
        <v>1059</v>
      </c>
      <c r="I283" s="57" t="s">
        <v>8746</v>
      </c>
      <c r="J283" s="55" t="s">
        <v>22168</v>
      </c>
    </row>
    <row r="284" ht="56.25" customHeight="1">
      <c r="A284" s="5" t="s">
        <v>22169</v>
      </c>
      <c r="B284" s="6" t="str">
        <f>IMAGE("https://storage.googleapis.com/acdb/villagers/pbr03.png")</f>
        <v/>
      </c>
      <c r="C284" s="8" t="s">
        <v>22149</v>
      </c>
      <c r="D284" s="8" t="s">
        <v>20581</v>
      </c>
      <c r="E284" s="8" t="s">
        <v>19238</v>
      </c>
      <c r="F284" s="17" t="s">
        <v>21976</v>
      </c>
      <c r="G284" s="55" t="s">
        <v>22173</v>
      </c>
      <c r="H284" s="58" t="s">
        <v>995</v>
      </c>
      <c r="I284" s="57" t="s">
        <v>8746</v>
      </c>
      <c r="J284" s="55" t="s">
        <v>22174</v>
      </c>
    </row>
    <row r="285" ht="56.25" customHeight="1">
      <c r="A285" s="5" t="s">
        <v>22175</v>
      </c>
      <c r="B285" s="6" t="str">
        <f>IMAGE("https://storage.googleapis.com/acdb/villagers/pbr05.png")</f>
        <v/>
      </c>
      <c r="C285" s="8" t="s">
        <v>22149</v>
      </c>
      <c r="D285" s="8" t="s">
        <v>20581</v>
      </c>
      <c r="E285" s="8" t="s">
        <v>19238</v>
      </c>
      <c r="F285" s="17" t="s">
        <v>22177</v>
      </c>
      <c r="G285" s="55" t="s">
        <v>22178</v>
      </c>
      <c r="H285" s="58" t="s">
        <v>995</v>
      </c>
      <c r="I285" s="61" t="s">
        <v>612</v>
      </c>
      <c r="J285" s="55" t="s">
        <v>22179</v>
      </c>
    </row>
    <row r="286" ht="56.25" customHeight="1">
      <c r="A286" s="5" t="s">
        <v>22180</v>
      </c>
      <c r="B286" s="6" t="str">
        <f>IMAGE("https://storage.googleapis.com/acdb/villagers/pbr06.png")</f>
        <v/>
      </c>
      <c r="C286" s="8" t="s">
        <v>22149</v>
      </c>
      <c r="D286" s="8" t="s">
        <v>20581</v>
      </c>
      <c r="E286" s="8" t="s">
        <v>19238</v>
      </c>
      <c r="F286" s="17" t="s">
        <v>22182</v>
      </c>
      <c r="G286" s="55" t="s">
        <v>22183</v>
      </c>
      <c r="H286" s="61" t="s">
        <v>612</v>
      </c>
      <c r="I286" s="56" t="s">
        <v>1952</v>
      </c>
      <c r="J286" s="55" t="s">
        <v>22184</v>
      </c>
    </row>
    <row r="287" ht="56.25" customHeight="1">
      <c r="A287" s="5" t="s">
        <v>22185</v>
      </c>
      <c r="B287" s="6" t="str">
        <f>IMAGE("https://storage.googleapis.com/acdb/villagers/pbr07.png")</f>
        <v/>
      </c>
      <c r="C287" s="8" t="s">
        <v>22149</v>
      </c>
      <c r="D287" s="8" t="s">
        <v>20581</v>
      </c>
      <c r="E287" s="8" t="s">
        <v>19128</v>
      </c>
      <c r="F287" s="17" t="s">
        <v>22187</v>
      </c>
      <c r="G287" s="55" t="s">
        <v>22189</v>
      </c>
      <c r="H287" s="58" t="s">
        <v>995</v>
      </c>
      <c r="I287" s="59" t="s">
        <v>1059</v>
      </c>
      <c r="J287" s="55" t="s">
        <v>22190</v>
      </c>
    </row>
    <row r="288" ht="56.25" customHeight="1">
      <c r="A288" s="5" t="s">
        <v>22191</v>
      </c>
      <c r="B288" s="6" t="str">
        <f>IMAGE("https://storage.googleapis.com/acdb/villagers/pbr08.png")</f>
        <v/>
      </c>
      <c r="C288" s="8" t="s">
        <v>22149</v>
      </c>
      <c r="D288" s="8" t="s">
        <v>20581</v>
      </c>
      <c r="E288" s="8" t="s">
        <v>19232</v>
      </c>
      <c r="F288" s="17" t="s">
        <v>22193</v>
      </c>
      <c r="G288" s="55" t="s">
        <v>22194</v>
      </c>
      <c r="H288" s="61" t="s">
        <v>612</v>
      </c>
      <c r="I288" s="56" t="s">
        <v>1952</v>
      </c>
      <c r="J288" s="55" t="s">
        <v>22195</v>
      </c>
    </row>
    <row r="289" ht="56.25" customHeight="1">
      <c r="A289" s="5" t="s">
        <v>22196</v>
      </c>
      <c r="B289" s="6" t="str">
        <f>IMAGE("https://storage.googleapis.com/acdb/villagers/pbr09.png")</f>
        <v/>
      </c>
      <c r="C289" s="8" t="s">
        <v>22149</v>
      </c>
      <c r="D289" s="8" t="s">
        <v>20603</v>
      </c>
      <c r="E289" s="8" t="s">
        <v>19161</v>
      </c>
      <c r="F289" s="17" t="s">
        <v>21590</v>
      </c>
      <c r="G289" s="55" t="s">
        <v>22199</v>
      </c>
      <c r="H289" s="59" t="s">
        <v>1059</v>
      </c>
      <c r="I289" s="60" t="s">
        <v>1959</v>
      </c>
      <c r="J289" s="55" t="s">
        <v>22201</v>
      </c>
    </row>
    <row r="290" ht="56.25" customHeight="1">
      <c r="A290" s="5" t="s">
        <v>22202</v>
      </c>
      <c r="B290" s="6" t="str">
        <f>IMAGE("https://storage.googleapis.com/acdb/villagers/pgn00.png")</f>
        <v/>
      </c>
      <c r="C290" s="8" t="s">
        <v>22205</v>
      </c>
      <c r="D290" s="8" t="s">
        <v>20603</v>
      </c>
      <c r="E290" s="8" t="s">
        <v>19161</v>
      </c>
      <c r="F290" s="17" t="s">
        <v>20754</v>
      </c>
      <c r="G290" s="55" t="s">
        <v>22207</v>
      </c>
      <c r="H290" s="60" t="s">
        <v>1959</v>
      </c>
      <c r="I290" s="59" t="s">
        <v>1059</v>
      </c>
      <c r="J290" s="55" t="s">
        <v>22209</v>
      </c>
    </row>
    <row r="291" ht="56.25" customHeight="1">
      <c r="A291" s="5" t="s">
        <v>22210</v>
      </c>
      <c r="B291" s="6" t="str">
        <f>IMAGE("https://storage.googleapis.com/acdb/villagers/pgn01.png")</f>
        <v/>
      </c>
      <c r="C291" s="8" t="s">
        <v>22205</v>
      </c>
      <c r="D291" s="8" t="s">
        <v>20581</v>
      </c>
      <c r="E291" s="8" t="s">
        <v>19128</v>
      </c>
      <c r="F291" s="17" t="s">
        <v>22212</v>
      </c>
      <c r="G291" s="55" t="s">
        <v>22214</v>
      </c>
      <c r="H291" s="57" t="s">
        <v>8746</v>
      </c>
      <c r="I291" s="58" t="s">
        <v>995</v>
      </c>
      <c r="J291" s="55" t="s">
        <v>22215</v>
      </c>
    </row>
    <row r="292" ht="56.25" customHeight="1">
      <c r="A292" s="5" t="s">
        <v>22216</v>
      </c>
      <c r="B292" s="6" t="str">
        <f>IMAGE("https://storage.googleapis.com/acdb/villagers/pgn02.png")</f>
        <v/>
      </c>
      <c r="C292" s="8" t="s">
        <v>22205</v>
      </c>
      <c r="D292" s="8" t="s">
        <v>20581</v>
      </c>
      <c r="E292" s="8" t="s">
        <v>19243</v>
      </c>
      <c r="F292" s="17" t="s">
        <v>22219</v>
      </c>
      <c r="G292" s="55" t="s">
        <v>22220</v>
      </c>
      <c r="H292" s="58" t="s">
        <v>995</v>
      </c>
      <c r="I292" s="60" t="s">
        <v>1959</v>
      </c>
      <c r="J292" s="55" t="s">
        <v>22221</v>
      </c>
    </row>
    <row r="293" ht="56.25" customHeight="1">
      <c r="A293" s="5" t="s">
        <v>22222</v>
      </c>
      <c r="B293" s="6" t="str">
        <f>IMAGE("https://storage.googleapis.com/acdb/villagers/pgn03.png")</f>
        <v/>
      </c>
      <c r="C293" s="8" t="s">
        <v>22205</v>
      </c>
      <c r="D293" s="8" t="s">
        <v>20581</v>
      </c>
      <c r="E293" s="8" t="s">
        <v>19238</v>
      </c>
      <c r="F293" s="17" t="s">
        <v>22225</v>
      </c>
      <c r="G293" s="55" t="s">
        <v>22226</v>
      </c>
      <c r="H293" s="56" t="s">
        <v>1952</v>
      </c>
      <c r="I293" s="58" t="s">
        <v>995</v>
      </c>
      <c r="J293" s="55" t="s">
        <v>22227</v>
      </c>
    </row>
    <row r="294" ht="56.25" customHeight="1">
      <c r="A294" s="5" t="s">
        <v>22228</v>
      </c>
      <c r="B294" s="6" t="str">
        <f>IMAGE("https://storage.googleapis.com/acdb/villagers/pgn04.png")</f>
        <v/>
      </c>
      <c r="C294" s="8" t="s">
        <v>22205</v>
      </c>
      <c r="D294" s="8" t="s">
        <v>20603</v>
      </c>
      <c r="E294" s="8" t="s">
        <v>19361</v>
      </c>
      <c r="F294" s="17" t="s">
        <v>22231</v>
      </c>
      <c r="G294" s="55" t="s">
        <v>22232</v>
      </c>
      <c r="H294" s="59" t="s">
        <v>1059</v>
      </c>
      <c r="I294" s="61" t="s">
        <v>612</v>
      </c>
      <c r="J294" s="55" t="s">
        <v>22234</v>
      </c>
    </row>
    <row r="295" ht="56.25" customHeight="1">
      <c r="A295" s="5" t="s">
        <v>22236</v>
      </c>
      <c r="B295" s="6" t="str">
        <f>IMAGE("https://storage.googleapis.com/acdb/villagers/pgn05.png")</f>
        <v/>
      </c>
      <c r="C295" s="8" t="s">
        <v>22205</v>
      </c>
      <c r="D295" s="8" t="s">
        <v>20603</v>
      </c>
      <c r="E295" s="8" t="s">
        <v>19361</v>
      </c>
      <c r="F295" s="17" t="s">
        <v>22237</v>
      </c>
      <c r="G295" s="55" t="s">
        <v>22238</v>
      </c>
      <c r="H295" s="61" t="s">
        <v>612</v>
      </c>
      <c r="I295" s="59" t="s">
        <v>1059</v>
      </c>
      <c r="J295" s="55" t="s">
        <v>22240</v>
      </c>
    </row>
    <row r="296" ht="56.25" customHeight="1">
      <c r="A296" s="5" t="s">
        <v>22242</v>
      </c>
      <c r="B296" s="6" t="str">
        <f>IMAGE("https://storage.googleapis.com/acdb/villagers/pgn06.png")</f>
        <v/>
      </c>
      <c r="C296" s="8" t="s">
        <v>22205</v>
      </c>
      <c r="D296" s="8" t="s">
        <v>20581</v>
      </c>
      <c r="E296" s="8" t="s">
        <v>19243</v>
      </c>
      <c r="F296" s="17" t="s">
        <v>22245</v>
      </c>
      <c r="G296" s="55" t="s">
        <v>22246</v>
      </c>
      <c r="H296" s="57" t="s">
        <v>8746</v>
      </c>
      <c r="I296" s="58" t="s">
        <v>995</v>
      </c>
      <c r="J296" s="55" t="s">
        <v>22247</v>
      </c>
    </row>
    <row r="297" ht="56.25" customHeight="1">
      <c r="A297" s="5" t="s">
        <v>22248</v>
      </c>
      <c r="B297" s="6" t="str">
        <f>IMAGE("https://storage.googleapis.com/acdb/villagers/pgn09.png")</f>
        <v/>
      </c>
      <c r="C297" s="8" t="s">
        <v>22205</v>
      </c>
      <c r="D297" s="8" t="s">
        <v>20581</v>
      </c>
      <c r="E297" s="8" t="s">
        <v>19243</v>
      </c>
      <c r="F297" s="17" t="s">
        <v>22251</v>
      </c>
      <c r="G297" s="55" t="s">
        <v>22252</v>
      </c>
      <c r="H297" s="58" t="s">
        <v>995</v>
      </c>
      <c r="I297" s="61" t="s">
        <v>612</v>
      </c>
      <c r="J297" s="55" t="s">
        <v>22253</v>
      </c>
    </row>
    <row r="298" ht="56.25" customHeight="1">
      <c r="A298" s="5" t="s">
        <v>22255</v>
      </c>
      <c r="B298" s="6" t="str">
        <f>IMAGE("https://storage.googleapis.com/acdb/villagers/pgn10.png")</f>
        <v/>
      </c>
      <c r="C298" s="8" t="s">
        <v>22205</v>
      </c>
      <c r="D298" s="8" t="s">
        <v>20581</v>
      </c>
      <c r="E298" s="8" t="s">
        <v>19243</v>
      </c>
      <c r="F298" s="17" t="s">
        <v>22257</v>
      </c>
      <c r="G298" s="55" t="s">
        <v>22258</v>
      </c>
      <c r="H298" s="58" t="s">
        <v>995</v>
      </c>
      <c r="I298" s="56" t="s">
        <v>1952</v>
      </c>
      <c r="J298" s="55" t="s">
        <v>22260</v>
      </c>
    </row>
    <row r="299" ht="56.25" customHeight="1">
      <c r="A299" s="5" t="s">
        <v>22262</v>
      </c>
      <c r="B299" s="6" t="str">
        <f>IMAGE("https://storage.googleapis.com/acdb/villagers/pgn11.png")</f>
        <v/>
      </c>
      <c r="C299" s="8" t="s">
        <v>22205</v>
      </c>
      <c r="D299" s="8" t="s">
        <v>20581</v>
      </c>
      <c r="E299" s="8" t="s">
        <v>19128</v>
      </c>
      <c r="F299" s="17" t="s">
        <v>22265</v>
      </c>
      <c r="G299" s="55" t="s">
        <v>22266</v>
      </c>
      <c r="H299" s="57" t="s">
        <v>8746</v>
      </c>
      <c r="I299" s="58" t="s">
        <v>995</v>
      </c>
      <c r="J299" s="55" t="s">
        <v>22267</v>
      </c>
    </row>
    <row r="300" ht="56.25" customHeight="1">
      <c r="A300" s="5" t="s">
        <v>22269</v>
      </c>
      <c r="B300" s="6" t="str">
        <f>IMAGE("https://storage.googleapis.com/acdb/villagers/pgn12.png")</f>
        <v/>
      </c>
      <c r="C300" s="8" t="s">
        <v>22205</v>
      </c>
      <c r="D300" s="8" t="s">
        <v>20581</v>
      </c>
      <c r="E300" s="8" t="s">
        <v>19232</v>
      </c>
      <c r="F300" s="17" t="s">
        <v>21735</v>
      </c>
      <c r="G300" s="55" t="s">
        <v>22272</v>
      </c>
      <c r="H300" s="56" t="s">
        <v>1952</v>
      </c>
      <c r="I300" s="59" t="s">
        <v>1059</v>
      </c>
      <c r="J300" s="55" t="s">
        <v>22273</v>
      </c>
    </row>
    <row r="301" ht="56.25" customHeight="1">
      <c r="A301" s="5" t="s">
        <v>22274</v>
      </c>
      <c r="B301" s="6" t="str">
        <f>IMAGE("https://storage.googleapis.com/acdb/villagers/pgn13.png")</f>
        <v/>
      </c>
      <c r="C301" s="8" t="s">
        <v>22205</v>
      </c>
      <c r="D301" s="8" t="s">
        <v>20603</v>
      </c>
      <c r="E301" s="8" t="s">
        <v>19205</v>
      </c>
      <c r="F301" s="17" t="s">
        <v>22277</v>
      </c>
      <c r="G301" s="55" t="s">
        <v>22278</v>
      </c>
      <c r="H301" s="56" t="s">
        <v>1952</v>
      </c>
      <c r="I301" s="61" t="s">
        <v>612</v>
      </c>
      <c r="J301" s="55" t="s">
        <v>22279</v>
      </c>
    </row>
    <row r="302" ht="56.25" customHeight="1">
      <c r="A302" s="5" t="s">
        <v>22280</v>
      </c>
      <c r="B302" s="6" t="str">
        <f>IMAGE("https://storage.googleapis.com/acdb/villagers/pgn14.png")</f>
        <v/>
      </c>
      <c r="C302" s="8" t="s">
        <v>22205</v>
      </c>
      <c r="D302" s="8" t="s">
        <v>20603</v>
      </c>
      <c r="E302" s="8" t="s">
        <v>19196</v>
      </c>
      <c r="F302" s="17" t="s">
        <v>22281</v>
      </c>
      <c r="G302" s="55" t="s">
        <v>22282</v>
      </c>
      <c r="H302" s="60" t="s">
        <v>1959</v>
      </c>
      <c r="I302" s="59" t="s">
        <v>1059</v>
      </c>
      <c r="J302" s="55" t="s">
        <v>22283</v>
      </c>
    </row>
    <row r="303" ht="56.25" customHeight="1">
      <c r="A303" s="5" t="s">
        <v>22284</v>
      </c>
      <c r="B303" s="6" t="str">
        <f>IMAGE("https://storage.googleapis.com/acdb/villagers/pig00.png")</f>
        <v/>
      </c>
      <c r="C303" s="8" t="s">
        <v>22205</v>
      </c>
      <c r="D303" s="8" t="s">
        <v>20581</v>
      </c>
      <c r="E303" s="8" t="s">
        <v>19128</v>
      </c>
      <c r="F303" s="17" t="s">
        <v>22285</v>
      </c>
      <c r="G303" s="55" t="s">
        <v>22286</v>
      </c>
      <c r="H303" s="58" t="s">
        <v>995</v>
      </c>
      <c r="I303" s="57" t="s">
        <v>8746</v>
      </c>
      <c r="J303" s="55" t="s">
        <v>22287</v>
      </c>
    </row>
    <row r="304" ht="56.25" customHeight="1">
      <c r="A304" s="5" t="s">
        <v>22288</v>
      </c>
      <c r="B304" s="6" t="str">
        <f>IMAGE("https://storage.googleapis.com/acdb/villagers/pig01.png")</f>
        <v/>
      </c>
      <c r="C304" s="8" t="s">
        <v>22289</v>
      </c>
      <c r="D304" s="8" t="s">
        <v>20603</v>
      </c>
      <c r="E304" s="8" t="s">
        <v>19196</v>
      </c>
      <c r="F304" s="17" t="s">
        <v>22290</v>
      </c>
      <c r="G304" s="55" t="s">
        <v>22291</v>
      </c>
      <c r="H304" s="60" t="s">
        <v>1959</v>
      </c>
      <c r="I304" s="61" t="s">
        <v>612</v>
      </c>
      <c r="J304" s="55" t="s">
        <v>22292</v>
      </c>
    </row>
    <row r="305" ht="56.25" customHeight="1">
      <c r="A305" s="5" t="s">
        <v>22293</v>
      </c>
      <c r="B305" s="6" t="str">
        <f>IMAGE("https://storage.googleapis.com/acdb/villagers/pig02.png")</f>
        <v/>
      </c>
      <c r="C305" s="8" t="s">
        <v>22289</v>
      </c>
      <c r="D305" s="8" t="s">
        <v>20581</v>
      </c>
      <c r="E305" s="8" t="s">
        <v>19238</v>
      </c>
      <c r="F305" s="17" t="s">
        <v>22294</v>
      </c>
      <c r="G305" s="55" t="s">
        <v>22295</v>
      </c>
      <c r="H305" s="56" t="s">
        <v>1952</v>
      </c>
      <c r="I305" s="58" t="s">
        <v>995</v>
      </c>
      <c r="J305" s="55" t="s">
        <v>22296</v>
      </c>
    </row>
    <row r="306" ht="56.25" customHeight="1">
      <c r="A306" s="5" t="s">
        <v>22297</v>
      </c>
      <c r="B306" s="6" t="str">
        <f>IMAGE("https://storage.googleapis.com/acdb/villagers/pig03.png")</f>
        <v/>
      </c>
      <c r="C306" s="8" t="s">
        <v>22289</v>
      </c>
      <c r="D306" s="8" t="s">
        <v>20581</v>
      </c>
      <c r="E306" s="8" t="s">
        <v>19243</v>
      </c>
      <c r="F306" s="17" t="s">
        <v>22298</v>
      </c>
      <c r="G306" s="55" t="s">
        <v>22299</v>
      </c>
      <c r="H306" s="58" t="s">
        <v>995</v>
      </c>
      <c r="I306" s="57" t="s">
        <v>8746</v>
      </c>
      <c r="J306" s="55" t="s">
        <v>22300</v>
      </c>
    </row>
    <row r="307" ht="56.25" customHeight="1">
      <c r="A307" s="5" t="s">
        <v>22301</v>
      </c>
      <c r="B307" s="6" t="str">
        <f>IMAGE("https://storage.googleapis.com/acdb/villagers/pig04.png")</f>
        <v/>
      </c>
      <c r="C307" s="8" t="s">
        <v>22289</v>
      </c>
      <c r="D307" s="8" t="s">
        <v>20603</v>
      </c>
      <c r="E307" s="8" t="s">
        <v>19161</v>
      </c>
      <c r="F307" s="17" t="s">
        <v>22302</v>
      </c>
      <c r="G307" s="55" t="s">
        <v>22303</v>
      </c>
      <c r="H307" s="60" t="s">
        <v>1959</v>
      </c>
      <c r="I307" s="59" t="s">
        <v>1059</v>
      </c>
      <c r="J307" s="55" t="s">
        <v>22304</v>
      </c>
    </row>
    <row r="308" ht="56.25" customHeight="1">
      <c r="A308" s="5" t="s">
        <v>22305</v>
      </c>
      <c r="B308" s="6" t="str">
        <f>IMAGE("https://storage.googleapis.com/acdb/villagers/pig05.png")</f>
        <v/>
      </c>
      <c r="C308" s="8" t="s">
        <v>22289</v>
      </c>
      <c r="D308" s="8" t="s">
        <v>20581</v>
      </c>
      <c r="E308" s="8" t="s">
        <v>19243</v>
      </c>
      <c r="F308" s="17" t="s">
        <v>22306</v>
      </c>
      <c r="G308" s="55" t="s">
        <v>22307</v>
      </c>
      <c r="H308" s="58" t="s">
        <v>995</v>
      </c>
      <c r="I308" s="57" t="s">
        <v>8746</v>
      </c>
      <c r="J308" s="55" t="s">
        <v>22308</v>
      </c>
    </row>
    <row r="309" ht="56.25" customHeight="1">
      <c r="A309" s="5" t="s">
        <v>22309</v>
      </c>
      <c r="B309" s="6" t="str">
        <f>IMAGE("https://storage.googleapis.com/acdb/villagers/pig08.png")</f>
        <v/>
      </c>
      <c r="C309" s="8" t="s">
        <v>22289</v>
      </c>
      <c r="D309" s="8" t="s">
        <v>20581</v>
      </c>
      <c r="E309" s="8" t="s">
        <v>19128</v>
      </c>
      <c r="F309" s="17" t="s">
        <v>22310</v>
      </c>
      <c r="G309" s="55" t="s">
        <v>22311</v>
      </c>
      <c r="H309" s="58" t="s">
        <v>995</v>
      </c>
      <c r="I309" s="57" t="s">
        <v>8746</v>
      </c>
      <c r="J309" s="55" t="s">
        <v>22312</v>
      </c>
    </row>
    <row r="310" ht="56.25" customHeight="1">
      <c r="A310" s="5" t="s">
        <v>22313</v>
      </c>
      <c r="B310" s="6" t="str">
        <f>IMAGE("https://storage.googleapis.com/acdb/villagers/pig09.png")</f>
        <v/>
      </c>
      <c r="C310" s="8" t="s">
        <v>22289</v>
      </c>
      <c r="D310" s="8" t="s">
        <v>20581</v>
      </c>
      <c r="E310" s="8" t="s">
        <v>19238</v>
      </c>
      <c r="F310" s="17" t="s">
        <v>22314</v>
      </c>
      <c r="G310" s="55" t="s">
        <v>22315</v>
      </c>
      <c r="H310" s="56" t="s">
        <v>1952</v>
      </c>
      <c r="I310" s="61" t="s">
        <v>612</v>
      </c>
      <c r="J310" s="55" t="s">
        <v>22316</v>
      </c>
    </row>
    <row r="311" ht="56.25" customHeight="1">
      <c r="A311" s="5" t="s">
        <v>22317</v>
      </c>
      <c r="B311" s="6" t="str">
        <f>IMAGE("https://storage.googleapis.com/acdb/villagers/pig10.png")</f>
        <v/>
      </c>
      <c r="C311" s="8" t="s">
        <v>22289</v>
      </c>
      <c r="D311" s="8" t="s">
        <v>20603</v>
      </c>
      <c r="E311" s="8" t="s">
        <v>19161</v>
      </c>
      <c r="F311" s="17" t="s">
        <v>22306</v>
      </c>
      <c r="G311" s="55" t="s">
        <v>22318</v>
      </c>
      <c r="H311" s="60" t="s">
        <v>1959</v>
      </c>
      <c r="I311" s="59" t="s">
        <v>1059</v>
      </c>
      <c r="J311" s="55" t="s">
        <v>22319</v>
      </c>
    </row>
    <row r="312" ht="56.25" customHeight="1">
      <c r="A312" s="5" t="s">
        <v>22320</v>
      </c>
      <c r="B312" s="6" t="str">
        <f>IMAGE("https://storage.googleapis.com/acdb/villagers/pig11.png")</f>
        <v/>
      </c>
      <c r="C312" s="8" t="s">
        <v>22289</v>
      </c>
      <c r="D312" s="8" t="s">
        <v>20603</v>
      </c>
      <c r="E312" s="8" t="s">
        <v>19196</v>
      </c>
      <c r="F312" s="17" t="s">
        <v>22321</v>
      </c>
      <c r="G312" s="55" t="s">
        <v>22322</v>
      </c>
      <c r="H312" s="60" t="s">
        <v>1959</v>
      </c>
      <c r="I312" s="57" t="s">
        <v>8746</v>
      </c>
      <c r="J312" s="55" t="s">
        <v>22323</v>
      </c>
    </row>
    <row r="313" ht="56.25" customHeight="1">
      <c r="A313" s="5" t="s">
        <v>22324</v>
      </c>
      <c r="B313" s="6" t="str">
        <f>IMAGE("https://storage.googleapis.com/acdb/villagers/pig13.png")</f>
        <v/>
      </c>
      <c r="C313" s="8" t="s">
        <v>22289</v>
      </c>
      <c r="D313" s="8" t="s">
        <v>20603</v>
      </c>
      <c r="E313" s="8" t="s">
        <v>19161</v>
      </c>
      <c r="F313" s="17" t="s">
        <v>22325</v>
      </c>
      <c r="G313" s="55" t="s">
        <v>22326</v>
      </c>
      <c r="H313" s="60" t="s">
        <v>1959</v>
      </c>
      <c r="I313" s="59" t="s">
        <v>1059</v>
      </c>
      <c r="J313" s="55" t="s">
        <v>22327</v>
      </c>
    </row>
    <row r="314" ht="56.25" customHeight="1">
      <c r="A314" s="5" t="s">
        <v>22328</v>
      </c>
      <c r="B314" s="6" t="str">
        <f>IMAGE("https://storage.googleapis.com/acdb/villagers/pig14.png")</f>
        <v/>
      </c>
      <c r="C314" s="8" t="s">
        <v>22289</v>
      </c>
      <c r="D314" s="8" t="s">
        <v>20581</v>
      </c>
      <c r="E314" s="8" t="s">
        <v>19232</v>
      </c>
      <c r="F314" s="17" t="s">
        <v>21851</v>
      </c>
      <c r="G314" s="55" t="s">
        <v>22329</v>
      </c>
      <c r="H314" s="61" t="s">
        <v>612</v>
      </c>
      <c r="I314" s="59" t="s">
        <v>1059</v>
      </c>
      <c r="J314" s="55" t="s">
        <v>22330</v>
      </c>
    </row>
    <row r="315" ht="56.25" customHeight="1">
      <c r="A315" s="5" t="s">
        <v>22331</v>
      </c>
      <c r="B315" s="6" t="str">
        <f>IMAGE("https://storage.googleapis.com/acdb/villagers/pig15.png")</f>
        <v/>
      </c>
      <c r="C315" s="8" t="s">
        <v>22289</v>
      </c>
      <c r="D315" s="8" t="s">
        <v>20581</v>
      </c>
      <c r="E315" s="8" t="s">
        <v>19128</v>
      </c>
      <c r="F315" s="17" t="s">
        <v>22332</v>
      </c>
      <c r="G315" s="55" t="s">
        <v>22333</v>
      </c>
      <c r="H315" s="57" t="s">
        <v>8746</v>
      </c>
      <c r="I315" s="58" t="s">
        <v>995</v>
      </c>
      <c r="J315" s="55" t="s">
        <v>22334</v>
      </c>
    </row>
    <row r="316" ht="56.25" customHeight="1">
      <c r="A316" s="5" t="s">
        <v>22335</v>
      </c>
      <c r="B316" s="6" t="str">
        <f>IMAGE("https://storage.googleapis.com/acdb/villagers/pig16.png")</f>
        <v/>
      </c>
      <c r="C316" s="8" t="s">
        <v>22289</v>
      </c>
      <c r="D316" s="8" t="s">
        <v>20603</v>
      </c>
      <c r="E316" s="8" t="s">
        <v>19361</v>
      </c>
      <c r="F316" s="17" t="s">
        <v>22336</v>
      </c>
      <c r="G316" s="55" t="s">
        <v>22337</v>
      </c>
      <c r="H316" s="60" t="s">
        <v>1959</v>
      </c>
      <c r="I316" s="61" t="s">
        <v>612</v>
      </c>
      <c r="J316" s="55" t="s">
        <v>22338</v>
      </c>
    </row>
    <row r="317" ht="56.25" customHeight="1">
      <c r="A317" s="5" t="s">
        <v>22339</v>
      </c>
      <c r="B317" s="6" t="str">
        <f>IMAGE("https://storage.googleapis.com/acdb/villagers/pig17.png")</f>
        <v/>
      </c>
      <c r="C317" s="8" t="s">
        <v>22289</v>
      </c>
      <c r="D317" s="8" t="s">
        <v>20603</v>
      </c>
      <c r="E317" s="8" t="s">
        <v>19205</v>
      </c>
      <c r="F317" s="17" t="s">
        <v>22340</v>
      </c>
      <c r="G317" s="55" t="s">
        <v>22341</v>
      </c>
      <c r="H317" s="58" t="s">
        <v>995</v>
      </c>
      <c r="I317" s="59" t="s">
        <v>1059</v>
      </c>
      <c r="J317" s="55" t="s">
        <v>22342</v>
      </c>
    </row>
    <row r="318" ht="56.25" customHeight="1">
      <c r="A318" s="5" t="s">
        <v>22343</v>
      </c>
      <c r="B318" s="6" t="str">
        <f>IMAGE("https://storage.googleapis.com/acdb/villagers/rbt00.png")</f>
        <v/>
      </c>
      <c r="C318" s="8" t="s">
        <v>22344</v>
      </c>
      <c r="D318" s="8" t="s">
        <v>20603</v>
      </c>
      <c r="E318" s="8" t="s">
        <v>19196</v>
      </c>
      <c r="F318" s="17" t="s">
        <v>22345</v>
      </c>
      <c r="G318" s="55" t="s">
        <v>22346</v>
      </c>
      <c r="H318" s="60" t="s">
        <v>1959</v>
      </c>
      <c r="I318" s="60" t="s">
        <v>1959</v>
      </c>
      <c r="J318" s="55" t="s">
        <v>22347</v>
      </c>
    </row>
    <row r="319" ht="56.25" customHeight="1">
      <c r="A319" s="5" t="s">
        <v>22348</v>
      </c>
      <c r="B319" s="6" t="str">
        <f>IMAGE("https://storage.googleapis.com/acdb/villagers/rbt01.png")</f>
        <v/>
      </c>
      <c r="C319" s="8" t="s">
        <v>22344</v>
      </c>
      <c r="D319" s="8" t="s">
        <v>20603</v>
      </c>
      <c r="E319" s="8" t="s">
        <v>19196</v>
      </c>
      <c r="F319" s="17" t="s">
        <v>22349</v>
      </c>
      <c r="G319" s="55" t="s">
        <v>22350</v>
      </c>
      <c r="H319" s="58" t="s">
        <v>995</v>
      </c>
      <c r="I319" s="60" t="s">
        <v>1959</v>
      </c>
      <c r="J319" s="55" t="s">
        <v>22351</v>
      </c>
    </row>
    <row r="320" ht="56.25" customHeight="1">
      <c r="A320" s="5" t="s">
        <v>22352</v>
      </c>
      <c r="B320" s="6" t="str">
        <f>IMAGE("https://storage.googleapis.com/acdb/villagers/rbt02.png")</f>
        <v/>
      </c>
      <c r="C320" s="8" t="s">
        <v>22344</v>
      </c>
      <c r="D320" s="8" t="s">
        <v>20603</v>
      </c>
      <c r="E320" s="8" t="s">
        <v>19161</v>
      </c>
      <c r="F320" s="17" t="s">
        <v>22353</v>
      </c>
      <c r="G320" s="55" t="s">
        <v>22354</v>
      </c>
      <c r="H320" s="58" t="s">
        <v>995</v>
      </c>
      <c r="I320" s="60" t="s">
        <v>1959</v>
      </c>
      <c r="J320" s="55" t="s">
        <v>22355</v>
      </c>
    </row>
    <row r="321" ht="56.25" customHeight="1">
      <c r="A321" s="5" t="s">
        <v>22356</v>
      </c>
      <c r="B321" s="6" t="str">
        <f>IMAGE("https://storage.googleapis.com/acdb/villagers/rbt03.png")</f>
        <v/>
      </c>
      <c r="C321" s="8" t="s">
        <v>22344</v>
      </c>
      <c r="D321" s="8" t="s">
        <v>20581</v>
      </c>
      <c r="E321" s="8" t="s">
        <v>19128</v>
      </c>
      <c r="F321" s="17" t="s">
        <v>22357</v>
      </c>
      <c r="G321" s="55" t="s">
        <v>22358</v>
      </c>
      <c r="H321" s="57" t="s">
        <v>8746</v>
      </c>
      <c r="I321" s="58" t="s">
        <v>995</v>
      </c>
      <c r="J321" s="55" t="s">
        <v>22359</v>
      </c>
    </row>
    <row r="322" ht="56.25" customHeight="1">
      <c r="A322" s="5" t="s">
        <v>22360</v>
      </c>
      <c r="B322" s="6" t="str">
        <f>IMAGE("https://storage.googleapis.com/acdb/villagers/rbt04.png")</f>
        <v/>
      </c>
      <c r="C322" s="8" t="s">
        <v>22344</v>
      </c>
      <c r="D322" s="8" t="s">
        <v>20581</v>
      </c>
      <c r="E322" s="8" t="s">
        <v>19238</v>
      </c>
      <c r="F322" s="17" t="s">
        <v>22361</v>
      </c>
      <c r="G322" s="55" t="s">
        <v>22362</v>
      </c>
      <c r="H322" s="58" t="s">
        <v>995</v>
      </c>
      <c r="I322" s="61" t="s">
        <v>612</v>
      </c>
      <c r="J322" s="55" t="s">
        <v>22363</v>
      </c>
    </row>
    <row r="323" ht="56.25" customHeight="1">
      <c r="A323" s="5" t="s">
        <v>22364</v>
      </c>
      <c r="B323" s="6" t="str">
        <f>IMAGE("https://storage.googleapis.com/acdb/villagers/rbt05.png")</f>
        <v/>
      </c>
      <c r="C323" s="8" t="s">
        <v>22344</v>
      </c>
      <c r="D323" s="8" t="s">
        <v>20603</v>
      </c>
      <c r="E323" s="8" t="s">
        <v>19196</v>
      </c>
      <c r="F323" s="17" t="s">
        <v>22365</v>
      </c>
      <c r="G323" s="55" t="s">
        <v>22366</v>
      </c>
      <c r="H323" s="60" t="s">
        <v>1959</v>
      </c>
      <c r="I323" s="61" t="s">
        <v>612</v>
      </c>
      <c r="J323" s="55" t="s">
        <v>22367</v>
      </c>
    </row>
    <row r="324" ht="56.25" customHeight="1">
      <c r="A324" s="5" t="s">
        <v>22368</v>
      </c>
      <c r="B324" s="6" t="str">
        <f>IMAGE("https://storage.googleapis.com/acdb/villagers/rbt06.png")</f>
        <v/>
      </c>
      <c r="C324" s="8" t="s">
        <v>22344</v>
      </c>
      <c r="D324" s="8" t="s">
        <v>20603</v>
      </c>
      <c r="E324" s="8" t="s">
        <v>19196</v>
      </c>
      <c r="F324" s="17" t="s">
        <v>22369</v>
      </c>
      <c r="G324" s="55" t="s">
        <v>22370</v>
      </c>
      <c r="H324" s="60" t="s">
        <v>1959</v>
      </c>
      <c r="I324" s="58" t="s">
        <v>995</v>
      </c>
      <c r="J324" s="55" t="s">
        <v>22371</v>
      </c>
    </row>
    <row r="325" ht="56.25" customHeight="1">
      <c r="A325" s="5" t="s">
        <v>22372</v>
      </c>
      <c r="B325" s="6" t="str">
        <f>IMAGE("https://storage.googleapis.com/acdb/villagers/rbt07.png")</f>
        <v/>
      </c>
      <c r="C325" s="8" t="s">
        <v>22344</v>
      </c>
      <c r="D325" s="8" t="s">
        <v>20603</v>
      </c>
      <c r="E325" s="8" t="s">
        <v>19361</v>
      </c>
      <c r="F325" s="17" t="s">
        <v>22373</v>
      </c>
      <c r="G325" s="55" t="s">
        <v>22374</v>
      </c>
      <c r="H325" s="61" t="s">
        <v>612</v>
      </c>
      <c r="I325" s="56" t="s">
        <v>1952</v>
      </c>
      <c r="J325" s="55" t="s">
        <v>22375</v>
      </c>
    </row>
    <row r="326" ht="56.25" customHeight="1">
      <c r="A326" s="5" t="s">
        <v>22376</v>
      </c>
      <c r="B326" s="6" t="str">
        <f>IMAGE("https://storage.googleapis.com/acdb/villagers/rbt08.png")</f>
        <v/>
      </c>
      <c r="C326" s="8" t="s">
        <v>22344</v>
      </c>
      <c r="D326" s="8" t="s">
        <v>20581</v>
      </c>
      <c r="E326" s="8" t="s">
        <v>19128</v>
      </c>
      <c r="F326" s="17" t="s">
        <v>22377</v>
      </c>
      <c r="G326" s="55" t="s">
        <v>22378</v>
      </c>
      <c r="H326" s="59" t="s">
        <v>1059</v>
      </c>
      <c r="I326" s="58" t="s">
        <v>995</v>
      </c>
      <c r="J326" s="55" t="s">
        <v>22379</v>
      </c>
    </row>
    <row r="327" ht="56.25" customHeight="1">
      <c r="A327" s="5" t="s">
        <v>22380</v>
      </c>
      <c r="B327" s="6" t="str">
        <f>IMAGE("https://storage.googleapis.com/acdb/villagers/rbt09.png")</f>
        <v/>
      </c>
      <c r="C327" s="8" t="s">
        <v>22344</v>
      </c>
      <c r="D327" s="8" t="s">
        <v>20603</v>
      </c>
      <c r="E327" s="8" t="s">
        <v>19196</v>
      </c>
      <c r="F327" s="17" t="s">
        <v>22381</v>
      </c>
      <c r="G327" s="55" t="s">
        <v>22382</v>
      </c>
      <c r="H327" s="60" t="s">
        <v>1959</v>
      </c>
      <c r="I327" s="57" t="s">
        <v>8746</v>
      </c>
      <c r="J327" s="55" t="s">
        <v>22383</v>
      </c>
    </row>
    <row r="328" ht="56.25" customHeight="1">
      <c r="A328" s="5" t="s">
        <v>22384</v>
      </c>
      <c r="B328" s="6" t="str">
        <f>IMAGE("https://storage.googleapis.com/acdb/villagers/rbt10.png")</f>
        <v/>
      </c>
      <c r="C328" s="8" t="s">
        <v>22344</v>
      </c>
      <c r="D328" s="8" t="s">
        <v>20581</v>
      </c>
      <c r="E328" s="8" t="s">
        <v>19243</v>
      </c>
      <c r="F328" s="17" t="s">
        <v>22385</v>
      </c>
      <c r="G328" s="55" t="s">
        <v>22386</v>
      </c>
      <c r="H328" s="58" t="s">
        <v>995</v>
      </c>
      <c r="I328" s="59" t="s">
        <v>1059</v>
      </c>
      <c r="J328" s="55" t="s">
        <v>22387</v>
      </c>
    </row>
    <row r="329" ht="56.25" customHeight="1">
      <c r="A329" s="5" t="s">
        <v>22388</v>
      </c>
      <c r="B329" s="6" t="str">
        <f>IMAGE("https://storage.googleapis.com/acdb/villagers/rbt11.png")</f>
        <v/>
      </c>
      <c r="C329" s="8" t="s">
        <v>22344</v>
      </c>
      <c r="D329" s="8" t="s">
        <v>20581</v>
      </c>
      <c r="E329" s="8" t="s">
        <v>19243</v>
      </c>
      <c r="F329" s="17" t="s">
        <v>22389</v>
      </c>
      <c r="G329" s="55" t="s">
        <v>22390</v>
      </c>
      <c r="H329" s="58" t="s">
        <v>995</v>
      </c>
      <c r="I329" s="58" t="s">
        <v>995</v>
      </c>
      <c r="J329" s="55" t="s">
        <v>22391</v>
      </c>
    </row>
    <row r="330" ht="56.25" customHeight="1">
      <c r="A330" s="5" t="s">
        <v>22392</v>
      </c>
      <c r="B330" s="6" t="str">
        <f>IMAGE("https://storage.googleapis.com/acdb/villagers/rbt12.png")</f>
        <v/>
      </c>
      <c r="C330" s="8" t="s">
        <v>22344</v>
      </c>
      <c r="D330" s="8" t="s">
        <v>20603</v>
      </c>
      <c r="E330" s="8" t="s">
        <v>19361</v>
      </c>
      <c r="F330" s="17" t="s">
        <v>22393</v>
      </c>
      <c r="G330" s="55" t="s">
        <v>22394</v>
      </c>
      <c r="H330" s="59" t="s">
        <v>1059</v>
      </c>
      <c r="I330" s="61" t="s">
        <v>612</v>
      </c>
      <c r="J330" s="55" t="s">
        <v>22395</v>
      </c>
    </row>
    <row r="331" ht="56.25" customHeight="1">
      <c r="A331" s="5" t="s">
        <v>22396</v>
      </c>
      <c r="B331" s="6" t="str">
        <f>IMAGE("https://storage.googleapis.com/acdb/villagers/rbt13.png")</f>
        <v/>
      </c>
      <c r="C331" s="8" t="s">
        <v>22344</v>
      </c>
      <c r="D331" s="8" t="s">
        <v>20603</v>
      </c>
      <c r="E331" s="8" t="s">
        <v>19196</v>
      </c>
      <c r="F331" s="17" t="s">
        <v>22397</v>
      </c>
      <c r="G331" s="55" t="s">
        <v>22398</v>
      </c>
      <c r="H331" s="60" t="s">
        <v>1959</v>
      </c>
      <c r="I331" s="60" t="s">
        <v>1959</v>
      </c>
      <c r="J331" s="55" t="s">
        <v>22399</v>
      </c>
    </row>
    <row r="332" ht="56.25" customHeight="1">
      <c r="A332" s="5" t="s">
        <v>22400</v>
      </c>
      <c r="B332" s="6" t="str">
        <f>IMAGE("https://storage.googleapis.com/acdb/villagers/rbt14.png")</f>
        <v/>
      </c>
      <c r="C332" s="8" t="s">
        <v>22344</v>
      </c>
      <c r="D332" s="8" t="s">
        <v>20581</v>
      </c>
      <c r="E332" s="8" t="s">
        <v>19243</v>
      </c>
      <c r="F332" s="17" t="s">
        <v>22401</v>
      </c>
      <c r="G332" s="55" t="s">
        <v>22402</v>
      </c>
      <c r="H332" s="58" t="s">
        <v>995</v>
      </c>
      <c r="I332" s="57" t="s">
        <v>8746</v>
      </c>
      <c r="J332" s="55" t="s">
        <v>22403</v>
      </c>
    </row>
    <row r="333" ht="56.25" customHeight="1">
      <c r="A333" s="5" t="s">
        <v>22404</v>
      </c>
      <c r="B333" s="6" t="str">
        <f>IMAGE("https://storage.googleapis.com/acdb/villagers/rbt15.png")</f>
        <v/>
      </c>
      <c r="C333" s="8" t="s">
        <v>22344</v>
      </c>
      <c r="D333" s="8" t="s">
        <v>20581</v>
      </c>
      <c r="E333" s="8" t="s">
        <v>19232</v>
      </c>
      <c r="F333" s="17" t="s">
        <v>21935</v>
      </c>
      <c r="G333" s="55" t="s">
        <v>22405</v>
      </c>
      <c r="H333" s="57" t="s">
        <v>8746</v>
      </c>
      <c r="I333" s="56" t="s">
        <v>1952</v>
      </c>
      <c r="J333" s="55" t="s">
        <v>22406</v>
      </c>
    </row>
    <row r="334" ht="56.25" customHeight="1">
      <c r="A334" s="5" t="s">
        <v>22407</v>
      </c>
      <c r="B334" s="6" t="str">
        <f>IMAGE("https://storage.googleapis.com/acdb/villagers/rbt16.png")</f>
        <v/>
      </c>
      <c r="C334" s="8" t="s">
        <v>22344</v>
      </c>
      <c r="D334" s="8" t="s">
        <v>20603</v>
      </c>
      <c r="E334" s="8" t="s">
        <v>19196</v>
      </c>
      <c r="F334" s="17" t="s">
        <v>22408</v>
      </c>
      <c r="G334" s="55" t="s">
        <v>22409</v>
      </c>
      <c r="H334" s="59" t="s">
        <v>1059</v>
      </c>
      <c r="I334" s="60" t="s">
        <v>1959</v>
      </c>
      <c r="J334" s="55" t="s">
        <v>22410</v>
      </c>
    </row>
    <row r="335" ht="56.25" customHeight="1">
      <c r="A335" s="5" t="s">
        <v>22411</v>
      </c>
      <c r="B335" s="6" t="str">
        <f>IMAGE("https://storage.googleapis.com/acdb/villagers/rbt17.png")</f>
        <v/>
      </c>
      <c r="C335" s="8" t="s">
        <v>22344</v>
      </c>
      <c r="D335" s="8" t="s">
        <v>20603</v>
      </c>
      <c r="E335" s="8" t="s">
        <v>19196</v>
      </c>
      <c r="F335" s="17" t="s">
        <v>22412</v>
      </c>
      <c r="G335" s="55" t="s">
        <v>22413</v>
      </c>
      <c r="H335" s="60" t="s">
        <v>1959</v>
      </c>
      <c r="I335" s="59" t="s">
        <v>1059</v>
      </c>
      <c r="J335" s="55" t="s">
        <v>22414</v>
      </c>
    </row>
    <row r="336" ht="56.25" customHeight="1">
      <c r="A336" s="5" t="s">
        <v>22415</v>
      </c>
      <c r="B336" s="6" t="str">
        <f>IMAGE("https://storage.googleapis.com/acdb/villagers/rbt18.png")</f>
        <v/>
      </c>
      <c r="C336" s="8" t="s">
        <v>22344</v>
      </c>
      <c r="D336" s="8" t="s">
        <v>20581</v>
      </c>
      <c r="E336" s="8" t="s">
        <v>19243</v>
      </c>
      <c r="F336" s="17" t="s">
        <v>22416</v>
      </c>
      <c r="G336" s="55" t="s">
        <v>22417</v>
      </c>
      <c r="H336" s="58" t="s">
        <v>995</v>
      </c>
      <c r="I336" s="60" t="s">
        <v>1959</v>
      </c>
      <c r="J336" s="55" t="s">
        <v>22418</v>
      </c>
    </row>
    <row r="337" ht="56.25" customHeight="1">
      <c r="A337" s="5" t="s">
        <v>22419</v>
      </c>
      <c r="B337" s="6" t="str">
        <f>IMAGE("https://storage.googleapis.com/acdb/villagers/rbt19.png")</f>
        <v/>
      </c>
      <c r="C337" s="8" t="s">
        <v>22344</v>
      </c>
      <c r="D337" s="8" t="s">
        <v>20603</v>
      </c>
      <c r="E337" s="8" t="s">
        <v>19205</v>
      </c>
      <c r="F337" s="17" t="s">
        <v>22420</v>
      </c>
      <c r="G337" s="55" t="s">
        <v>22421</v>
      </c>
      <c r="H337" s="57" t="s">
        <v>8746</v>
      </c>
      <c r="I337" s="56" t="s">
        <v>1952</v>
      </c>
      <c r="J337" s="55" t="s">
        <v>22422</v>
      </c>
    </row>
    <row r="338" ht="56.25" customHeight="1">
      <c r="A338" s="5" t="s">
        <v>22423</v>
      </c>
      <c r="B338" s="6" t="str">
        <f>IMAGE("https://storage.googleapis.com/acdb/villagers/rhn00.png")</f>
        <v/>
      </c>
      <c r="C338" s="8" t="s">
        <v>22424</v>
      </c>
      <c r="D338" s="8" t="s">
        <v>20581</v>
      </c>
      <c r="E338" s="8" t="s">
        <v>19128</v>
      </c>
      <c r="F338" s="17" t="s">
        <v>22425</v>
      </c>
      <c r="G338" s="55" t="s">
        <v>22426</v>
      </c>
      <c r="H338" s="57" t="s">
        <v>8746</v>
      </c>
      <c r="I338" s="58" t="s">
        <v>995</v>
      </c>
      <c r="J338" s="55" t="s">
        <v>22427</v>
      </c>
    </row>
    <row r="339" ht="56.25" customHeight="1">
      <c r="A339" s="5" t="s">
        <v>22428</v>
      </c>
      <c r="B339" s="6" t="str">
        <f>IMAGE("https://storage.googleapis.com/acdb/villagers/rhn01.png")</f>
        <v/>
      </c>
      <c r="C339" s="8" t="s">
        <v>22424</v>
      </c>
      <c r="D339" s="8" t="s">
        <v>20603</v>
      </c>
      <c r="E339" s="8" t="s">
        <v>19161</v>
      </c>
      <c r="F339" s="17" t="s">
        <v>22429</v>
      </c>
      <c r="G339" s="55" t="s">
        <v>22430</v>
      </c>
      <c r="H339" s="59" t="s">
        <v>1059</v>
      </c>
      <c r="I339" s="61" t="s">
        <v>612</v>
      </c>
      <c r="J339" s="55" t="s">
        <v>22431</v>
      </c>
    </row>
    <row r="340" ht="56.25" customHeight="1">
      <c r="A340" s="5" t="s">
        <v>22432</v>
      </c>
      <c r="B340" s="6" t="str">
        <f>IMAGE("https://storage.googleapis.com/acdb/villagers/rhn02.png")</f>
        <v/>
      </c>
      <c r="C340" s="8" t="s">
        <v>22424</v>
      </c>
      <c r="D340" s="8" t="s">
        <v>20581</v>
      </c>
      <c r="E340" s="8" t="s">
        <v>19238</v>
      </c>
      <c r="F340" s="17" t="s">
        <v>20865</v>
      </c>
      <c r="G340" s="55" t="s">
        <v>22433</v>
      </c>
      <c r="H340" s="56" t="s">
        <v>1952</v>
      </c>
      <c r="I340" s="61" t="s">
        <v>612</v>
      </c>
      <c r="J340" s="55" t="s">
        <v>22434</v>
      </c>
    </row>
    <row r="341" ht="56.25" customHeight="1">
      <c r="A341" s="5" t="s">
        <v>22435</v>
      </c>
      <c r="B341" s="6" t="str">
        <f>IMAGE("https://storage.googleapis.com/acdb/villagers/rhn04.png")</f>
        <v/>
      </c>
      <c r="C341" s="8" t="s">
        <v>22424</v>
      </c>
      <c r="D341" s="8" t="s">
        <v>20581</v>
      </c>
      <c r="E341" s="8" t="s">
        <v>19243</v>
      </c>
      <c r="F341" s="17" t="s">
        <v>22436</v>
      </c>
      <c r="G341" s="55" t="s">
        <v>22437</v>
      </c>
      <c r="H341" s="58" t="s">
        <v>995</v>
      </c>
      <c r="I341" s="58" t="s">
        <v>995</v>
      </c>
      <c r="J341" s="55" t="s">
        <v>22438</v>
      </c>
    </row>
    <row r="342" ht="56.25" customHeight="1">
      <c r="A342" s="5" t="s">
        <v>22439</v>
      </c>
      <c r="B342" s="6" t="str">
        <f>IMAGE("https://storage.googleapis.com/acdb/villagers/rhn07.png")</f>
        <v/>
      </c>
      <c r="C342" s="8" t="s">
        <v>22424</v>
      </c>
      <c r="D342" s="8" t="s">
        <v>20603</v>
      </c>
      <c r="E342" s="8" t="s">
        <v>19161</v>
      </c>
      <c r="F342" s="17" t="s">
        <v>22440</v>
      </c>
      <c r="G342" s="55" t="s">
        <v>22441</v>
      </c>
      <c r="H342" s="60" t="s">
        <v>1959</v>
      </c>
      <c r="I342" s="58" t="s">
        <v>995</v>
      </c>
      <c r="J342" s="55" t="s">
        <v>22442</v>
      </c>
    </row>
    <row r="343" ht="56.25" customHeight="1">
      <c r="A343" s="5" t="s">
        <v>22443</v>
      </c>
      <c r="B343" s="6" t="str">
        <f>IMAGE("https://storage.googleapis.com/acdb/villagers/rhn08.png")</f>
        <v/>
      </c>
      <c r="C343" s="8" t="s">
        <v>22424</v>
      </c>
      <c r="D343" s="8" t="s">
        <v>20603</v>
      </c>
      <c r="E343" s="8" t="s">
        <v>19205</v>
      </c>
      <c r="F343" s="17" t="s">
        <v>22444</v>
      </c>
      <c r="G343" s="55" t="s">
        <v>22445</v>
      </c>
      <c r="H343" s="56" t="s">
        <v>1952</v>
      </c>
      <c r="I343" s="57" t="s">
        <v>8746</v>
      </c>
      <c r="J343" s="55" t="s">
        <v>22446</v>
      </c>
    </row>
    <row r="344" ht="56.25" customHeight="1">
      <c r="A344" s="5" t="s">
        <v>22447</v>
      </c>
      <c r="B344" s="6" t="str">
        <f>IMAGE("https://storage.googleapis.com/acdb/villagers/shp00.png")</f>
        <v/>
      </c>
      <c r="C344" s="8" t="s">
        <v>1658</v>
      </c>
      <c r="D344" s="8" t="s">
        <v>20603</v>
      </c>
      <c r="E344" s="8" t="s">
        <v>19161</v>
      </c>
      <c r="F344" s="17" t="s">
        <v>22448</v>
      </c>
      <c r="G344" s="55" t="s">
        <v>22449</v>
      </c>
      <c r="H344" s="58" t="s">
        <v>995</v>
      </c>
      <c r="I344" s="60" t="s">
        <v>1959</v>
      </c>
      <c r="J344" s="55" t="s">
        <v>22450</v>
      </c>
    </row>
    <row r="345" ht="56.25" customHeight="1">
      <c r="A345" s="5" t="s">
        <v>22451</v>
      </c>
      <c r="B345" s="6" t="str">
        <f>IMAGE("https://storage.googleapis.com/acdb/villagers/shp01.png")</f>
        <v/>
      </c>
      <c r="C345" s="8" t="s">
        <v>1658</v>
      </c>
      <c r="D345" s="8" t="s">
        <v>20603</v>
      </c>
      <c r="E345" s="8" t="s">
        <v>19361</v>
      </c>
      <c r="F345" s="17" t="s">
        <v>22452</v>
      </c>
      <c r="G345" s="55" t="s">
        <v>22453</v>
      </c>
      <c r="H345" s="61" t="s">
        <v>612</v>
      </c>
      <c r="I345" s="59" t="s">
        <v>1059</v>
      </c>
      <c r="J345" s="55" t="s">
        <v>22454</v>
      </c>
    </row>
    <row r="346" ht="56.25" customHeight="1">
      <c r="A346" s="5" t="s">
        <v>22455</v>
      </c>
      <c r="B346" s="6" t="str">
        <f>IMAGE("https://storage.googleapis.com/acdb/villagers/shp02.png")</f>
        <v/>
      </c>
      <c r="C346" s="8" t="s">
        <v>1658</v>
      </c>
      <c r="D346" s="8" t="s">
        <v>20603</v>
      </c>
      <c r="E346" s="8" t="s">
        <v>19161</v>
      </c>
      <c r="F346" s="17" t="s">
        <v>22456</v>
      </c>
      <c r="G346" s="55" t="s">
        <v>22457</v>
      </c>
      <c r="H346" s="58" t="s">
        <v>995</v>
      </c>
      <c r="I346" s="59" t="s">
        <v>1059</v>
      </c>
      <c r="J346" s="55" t="s">
        <v>22458</v>
      </c>
    </row>
    <row r="347" ht="56.25" customHeight="1">
      <c r="A347" s="5" t="s">
        <v>22459</v>
      </c>
      <c r="B347" s="6" t="str">
        <f>IMAGE("https://storage.googleapis.com/acdb/villagers/shp03.png")</f>
        <v/>
      </c>
      <c r="C347" s="8" t="s">
        <v>1658</v>
      </c>
      <c r="D347" s="8" t="s">
        <v>20603</v>
      </c>
      <c r="E347" s="8" t="s">
        <v>19161</v>
      </c>
      <c r="F347" s="17" t="s">
        <v>22460</v>
      </c>
      <c r="G347" s="55" t="s">
        <v>22461</v>
      </c>
      <c r="H347" s="58" t="s">
        <v>995</v>
      </c>
      <c r="I347" s="58" t="s">
        <v>995</v>
      </c>
      <c r="J347" s="55" t="s">
        <v>22462</v>
      </c>
    </row>
    <row r="348" ht="56.25" customHeight="1">
      <c r="A348" s="5" t="s">
        <v>22463</v>
      </c>
      <c r="B348" s="6" t="str">
        <f>IMAGE("https://storage.googleapis.com/acdb/villagers/shp04.png")</f>
        <v/>
      </c>
      <c r="C348" s="8" t="s">
        <v>1658</v>
      </c>
      <c r="D348" s="8" t="s">
        <v>20603</v>
      </c>
      <c r="E348" s="8" t="s">
        <v>19361</v>
      </c>
      <c r="F348" s="17" t="s">
        <v>21971</v>
      </c>
      <c r="G348" s="55" t="s">
        <v>22464</v>
      </c>
      <c r="H348" s="61" t="s">
        <v>612</v>
      </c>
      <c r="I348" s="59" t="s">
        <v>1059</v>
      </c>
      <c r="J348" s="55" t="s">
        <v>22465</v>
      </c>
    </row>
    <row r="349" ht="56.25" customHeight="1">
      <c r="A349" s="5" t="s">
        <v>22466</v>
      </c>
      <c r="B349" s="6" t="str">
        <f>IMAGE("https://storage.googleapis.com/acdb/villagers/shp07.png")</f>
        <v/>
      </c>
      <c r="C349" s="8" t="s">
        <v>1658</v>
      </c>
      <c r="D349" s="8" t="s">
        <v>20603</v>
      </c>
      <c r="E349" s="8" t="s">
        <v>19361</v>
      </c>
      <c r="F349" s="17" t="s">
        <v>22467</v>
      </c>
      <c r="G349" s="55" t="s">
        <v>22468</v>
      </c>
      <c r="H349" s="60" t="s">
        <v>1959</v>
      </c>
      <c r="I349" s="61" t="s">
        <v>612</v>
      </c>
      <c r="J349" s="55" t="s">
        <v>22469</v>
      </c>
    </row>
    <row r="350" ht="56.25" customHeight="1">
      <c r="A350" s="5" t="s">
        <v>22470</v>
      </c>
      <c r="B350" s="6" t="str">
        <f>IMAGE("https://storage.googleapis.com/acdb/villagers/shp08.png")</f>
        <v/>
      </c>
      <c r="C350" s="8" t="s">
        <v>1658</v>
      </c>
      <c r="D350" s="8" t="s">
        <v>20581</v>
      </c>
      <c r="E350" s="8" t="s">
        <v>19232</v>
      </c>
      <c r="F350" s="17" t="s">
        <v>22471</v>
      </c>
      <c r="G350" s="55" t="s">
        <v>22472</v>
      </c>
      <c r="H350" s="57" t="s">
        <v>8746</v>
      </c>
      <c r="I350" s="61" t="s">
        <v>612</v>
      </c>
      <c r="J350" s="55" t="s">
        <v>22473</v>
      </c>
    </row>
    <row r="351" ht="56.25" customHeight="1">
      <c r="A351" s="5" t="s">
        <v>22474</v>
      </c>
      <c r="B351" s="6" t="str">
        <f>IMAGE("https://storage.googleapis.com/acdb/villagers/shp09.png")</f>
        <v/>
      </c>
      <c r="C351" s="8" t="s">
        <v>1658</v>
      </c>
      <c r="D351" s="8" t="s">
        <v>20603</v>
      </c>
      <c r="E351" s="8" t="s">
        <v>19196</v>
      </c>
      <c r="F351" s="17" t="s">
        <v>22475</v>
      </c>
      <c r="G351" s="55" t="s">
        <v>22476</v>
      </c>
      <c r="H351" s="56" t="s">
        <v>1952</v>
      </c>
      <c r="I351" s="61" t="s">
        <v>612</v>
      </c>
      <c r="J351" s="55" t="s">
        <v>22477</v>
      </c>
    </row>
    <row r="352" ht="56.25" customHeight="1">
      <c r="A352" s="5" t="s">
        <v>22478</v>
      </c>
      <c r="B352" s="6" t="str">
        <f>IMAGE("https://storage.googleapis.com/acdb/villagers/shp10.png")</f>
        <v/>
      </c>
      <c r="C352" s="8" t="s">
        <v>1658</v>
      </c>
      <c r="D352" s="8" t="s">
        <v>20603</v>
      </c>
      <c r="E352" s="8" t="s">
        <v>19361</v>
      </c>
      <c r="F352" s="17" t="s">
        <v>22108</v>
      </c>
      <c r="G352" s="55" t="s">
        <v>22479</v>
      </c>
      <c r="H352" s="59" t="s">
        <v>1059</v>
      </c>
      <c r="I352" s="61" t="s">
        <v>612</v>
      </c>
      <c r="J352" s="55" t="s">
        <v>22480</v>
      </c>
    </row>
    <row r="353" ht="56.25" customHeight="1">
      <c r="A353" s="5" t="s">
        <v>22481</v>
      </c>
      <c r="B353" s="6" t="str">
        <f>IMAGE("https://storage.googleapis.com/acdb/villagers/shp11.png")</f>
        <v/>
      </c>
      <c r="C353" s="8" t="s">
        <v>1658</v>
      </c>
      <c r="D353" s="8" t="s">
        <v>20603</v>
      </c>
      <c r="E353" s="8" t="s">
        <v>19205</v>
      </c>
      <c r="F353" s="17" t="s">
        <v>22482</v>
      </c>
      <c r="G353" s="55" t="s">
        <v>22483</v>
      </c>
      <c r="H353" s="57" t="s">
        <v>8746</v>
      </c>
      <c r="I353" s="60" t="s">
        <v>1959</v>
      </c>
      <c r="J353" s="55" t="s">
        <v>22484</v>
      </c>
    </row>
    <row r="354" ht="56.25" customHeight="1">
      <c r="A354" s="5" t="s">
        <v>22485</v>
      </c>
      <c r="B354" s="6" t="str">
        <f>IMAGE("https://storage.googleapis.com/acdb/villagers/shp12.png")</f>
        <v/>
      </c>
      <c r="C354" s="8" t="s">
        <v>1658</v>
      </c>
      <c r="D354" s="8" t="s">
        <v>20603</v>
      </c>
      <c r="E354" s="8" t="s">
        <v>19205</v>
      </c>
      <c r="F354" s="17" t="s">
        <v>22486</v>
      </c>
      <c r="G354" s="55" t="s">
        <v>22487</v>
      </c>
      <c r="H354" s="61" t="s">
        <v>612</v>
      </c>
      <c r="I354" s="59" t="s">
        <v>1059</v>
      </c>
      <c r="J354" s="55" t="s">
        <v>22488</v>
      </c>
    </row>
    <row r="355" ht="56.25" customHeight="1">
      <c r="A355" s="5" t="s">
        <v>22489</v>
      </c>
      <c r="B355" s="6" t="str">
        <f>IMAGE("https://storage.googleapis.com/acdb/villagers/shp13.png")</f>
        <v/>
      </c>
      <c r="C355" s="8" t="s">
        <v>1658</v>
      </c>
      <c r="D355" s="8" t="s">
        <v>20581</v>
      </c>
      <c r="E355" s="8" t="s">
        <v>19232</v>
      </c>
      <c r="F355" s="17" t="s">
        <v>22490</v>
      </c>
      <c r="G355" s="55" t="s">
        <v>22491</v>
      </c>
      <c r="H355" s="61" t="s">
        <v>612</v>
      </c>
      <c r="I355" s="58" t="s">
        <v>995</v>
      </c>
      <c r="J355" s="55" t="s">
        <v>22492</v>
      </c>
    </row>
    <row r="356" ht="56.25" customHeight="1">
      <c r="A356" s="5" t="s">
        <v>22493</v>
      </c>
      <c r="B356" s="6" t="str">
        <f>IMAGE("https://storage.googleapis.com/acdb/villagers/shp15.png")</f>
        <v/>
      </c>
      <c r="C356" s="8" t="s">
        <v>1658</v>
      </c>
      <c r="D356" s="8" t="s">
        <v>20581</v>
      </c>
      <c r="E356" s="8" t="s">
        <v>19128</v>
      </c>
      <c r="F356" s="17" t="s">
        <v>22494</v>
      </c>
      <c r="G356" s="55" t="s">
        <v>22495</v>
      </c>
      <c r="H356" s="57" t="s">
        <v>8746</v>
      </c>
      <c r="I356" s="60" t="s">
        <v>1959</v>
      </c>
      <c r="J356" s="55" t="s">
        <v>22496</v>
      </c>
    </row>
    <row r="357" ht="56.25" customHeight="1">
      <c r="A357" s="5" t="s">
        <v>22497</v>
      </c>
      <c r="B357" s="6" t="str">
        <f>IMAGE("https://storage.googleapis.com/acdb/villagers/squ00.png")</f>
        <v/>
      </c>
      <c r="C357" s="8" t="s">
        <v>22498</v>
      </c>
      <c r="D357" s="8" t="s">
        <v>20603</v>
      </c>
      <c r="E357" s="8" t="s">
        <v>19196</v>
      </c>
      <c r="F357" s="17" t="s">
        <v>22499</v>
      </c>
      <c r="G357" s="55" t="s">
        <v>22500</v>
      </c>
      <c r="H357" s="60" t="s">
        <v>1959</v>
      </c>
      <c r="I357" s="60" t="s">
        <v>1959</v>
      </c>
      <c r="J357" s="55" t="s">
        <v>22501</v>
      </c>
    </row>
    <row r="358" ht="56.25" customHeight="1">
      <c r="A358" s="5" t="s">
        <v>22502</v>
      </c>
      <c r="B358" s="6" t="str">
        <f>IMAGE("https://storage.googleapis.com/acdb/villagers/squ01.png")</f>
        <v/>
      </c>
      <c r="C358" s="8" t="s">
        <v>22498</v>
      </c>
      <c r="D358" s="8" t="s">
        <v>20603</v>
      </c>
      <c r="E358" s="8" t="s">
        <v>19361</v>
      </c>
      <c r="F358" s="17" t="s">
        <v>22503</v>
      </c>
      <c r="G358" s="55" t="s">
        <v>22504</v>
      </c>
      <c r="H358" s="61" t="s">
        <v>612</v>
      </c>
      <c r="I358" s="59" t="s">
        <v>1059</v>
      </c>
      <c r="J358" s="55" t="s">
        <v>22505</v>
      </c>
    </row>
    <row r="359" ht="56.25" customHeight="1">
      <c r="A359" s="5" t="s">
        <v>22506</v>
      </c>
      <c r="B359" s="6" t="str">
        <f>IMAGE("https://storage.googleapis.com/acdb/villagers/squ02.png")</f>
        <v/>
      </c>
      <c r="C359" s="8" t="s">
        <v>22498</v>
      </c>
      <c r="D359" s="8" t="s">
        <v>20581</v>
      </c>
      <c r="E359" s="8" t="s">
        <v>19243</v>
      </c>
      <c r="F359" s="17" t="s">
        <v>22507</v>
      </c>
      <c r="G359" s="55" t="s">
        <v>22508</v>
      </c>
      <c r="H359" s="58" t="s">
        <v>995</v>
      </c>
      <c r="I359" s="60" t="s">
        <v>1959</v>
      </c>
      <c r="J359" s="55" t="s">
        <v>22509</v>
      </c>
    </row>
    <row r="360" ht="56.25" customHeight="1">
      <c r="A360" s="5" t="s">
        <v>22510</v>
      </c>
      <c r="B360" s="6" t="str">
        <f>IMAGE("https://storage.googleapis.com/acdb/villagers/squ03.png")</f>
        <v/>
      </c>
      <c r="C360" s="8" t="s">
        <v>22498</v>
      </c>
      <c r="D360" s="8" t="s">
        <v>20603</v>
      </c>
      <c r="E360" s="8" t="s">
        <v>19361</v>
      </c>
      <c r="F360" s="17" t="s">
        <v>22511</v>
      </c>
      <c r="G360" s="55" t="s">
        <v>22512</v>
      </c>
      <c r="H360" s="59" t="s">
        <v>1059</v>
      </c>
      <c r="I360" s="61" t="s">
        <v>612</v>
      </c>
      <c r="J360" s="55" t="s">
        <v>22513</v>
      </c>
    </row>
    <row r="361" ht="56.25" customHeight="1">
      <c r="A361" s="5" t="s">
        <v>22514</v>
      </c>
      <c r="B361" s="6" t="str">
        <f>IMAGE("https://storage.googleapis.com/acdb/villagers/squ04.png")</f>
        <v/>
      </c>
      <c r="C361" s="8" t="s">
        <v>22498</v>
      </c>
      <c r="D361" s="8" t="s">
        <v>20603</v>
      </c>
      <c r="E361" s="8" t="s">
        <v>19196</v>
      </c>
      <c r="F361" s="17" t="s">
        <v>22515</v>
      </c>
      <c r="G361" s="55" t="s">
        <v>22516</v>
      </c>
      <c r="H361" s="60" t="s">
        <v>1959</v>
      </c>
      <c r="I361" s="57" t="s">
        <v>8746</v>
      </c>
      <c r="J361" s="55" t="s">
        <v>22517</v>
      </c>
    </row>
    <row r="362" ht="56.25" customHeight="1">
      <c r="A362" s="5" t="s">
        <v>22518</v>
      </c>
      <c r="B362" s="6" t="str">
        <f>IMAGE("https://storage.googleapis.com/acdb/villagers/squ05.png")</f>
        <v/>
      </c>
      <c r="C362" s="8" t="s">
        <v>22498</v>
      </c>
      <c r="D362" s="8" t="s">
        <v>20603</v>
      </c>
      <c r="E362" s="8" t="s">
        <v>19196</v>
      </c>
      <c r="F362" s="17" t="s">
        <v>22519</v>
      </c>
      <c r="G362" s="55" t="s">
        <v>22520</v>
      </c>
      <c r="H362" s="57" t="s">
        <v>8746</v>
      </c>
      <c r="I362" s="58" t="s">
        <v>995</v>
      </c>
      <c r="J362" s="55" t="s">
        <v>22521</v>
      </c>
    </row>
    <row r="363" ht="56.25" customHeight="1">
      <c r="A363" s="5" t="s">
        <v>22522</v>
      </c>
      <c r="B363" s="6" t="str">
        <f>IMAGE("https://storage.googleapis.com/acdb/villagers/squ06.png")</f>
        <v/>
      </c>
      <c r="C363" s="8" t="s">
        <v>22498</v>
      </c>
      <c r="D363" s="8" t="s">
        <v>20603</v>
      </c>
      <c r="E363" s="8" t="s">
        <v>19161</v>
      </c>
      <c r="F363" s="17" t="s">
        <v>22523</v>
      </c>
      <c r="G363" s="55" t="s">
        <v>22524</v>
      </c>
      <c r="H363" s="60" t="s">
        <v>1959</v>
      </c>
      <c r="I363" s="61" t="s">
        <v>612</v>
      </c>
      <c r="J363" s="55" t="s">
        <v>22525</v>
      </c>
    </row>
    <row r="364" ht="56.25" customHeight="1">
      <c r="A364" s="5" t="s">
        <v>22526</v>
      </c>
      <c r="B364" s="6" t="str">
        <f>IMAGE("https://storage.googleapis.com/acdb/villagers/squ07.png")</f>
        <v/>
      </c>
      <c r="C364" s="8" t="s">
        <v>22498</v>
      </c>
      <c r="D364" s="8" t="s">
        <v>20603</v>
      </c>
      <c r="E364" s="8" t="s">
        <v>19161</v>
      </c>
      <c r="F364" s="17" t="s">
        <v>22527</v>
      </c>
      <c r="G364" s="55" t="s">
        <v>22528</v>
      </c>
      <c r="H364" s="58" t="s">
        <v>995</v>
      </c>
      <c r="I364" s="59" t="s">
        <v>1059</v>
      </c>
      <c r="J364" s="55" t="s">
        <v>22529</v>
      </c>
    </row>
    <row r="365" ht="56.25" customHeight="1">
      <c r="A365" s="5" t="s">
        <v>22530</v>
      </c>
      <c r="B365" s="6" t="str">
        <f>IMAGE("https://storage.googleapis.com/acdb/villagers/squ08.png")</f>
        <v/>
      </c>
      <c r="C365" s="8" t="s">
        <v>22498</v>
      </c>
      <c r="D365" s="8" t="s">
        <v>20581</v>
      </c>
      <c r="E365" s="8" t="s">
        <v>19238</v>
      </c>
      <c r="F365" s="17" t="s">
        <v>21533</v>
      </c>
      <c r="G365" s="55" t="s">
        <v>22531</v>
      </c>
      <c r="H365" s="56" t="s">
        <v>1952</v>
      </c>
      <c r="I365" s="57" t="s">
        <v>8746</v>
      </c>
      <c r="J365" s="55" t="s">
        <v>22532</v>
      </c>
    </row>
    <row r="366" ht="56.25" customHeight="1">
      <c r="A366" s="5" t="s">
        <v>9021</v>
      </c>
      <c r="B366" s="6" t="str">
        <f>IMAGE("https://storage.googleapis.com/acdb/villagers/squ09.png")</f>
        <v/>
      </c>
      <c r="C366" s="8" t="s">
        <v>22498</v>
      </c>
      <c r="D366" s="8" t="s">
        <v>20603</v>
      </c>
      <c r="E366" s="8" t="s">
        <v>19361</v>
      </c>
      <c r="F366" s="17" t="s">
        <v>22533</v>
      </c>
      <c r="G366" s="55" t="s">
        <v>22534</v>
      </c>
      <c r="H366" s="61" t="s">
        <v>612</v>
      </c>
      <c r="I366" s="60" t="s">
        <v>1959</v>
      </c>
      <c r="J366" s="55" t="s">
        <v>22535</v>
      </c>
    </row>
    <row r="367" ht="56.25" customHeight="1">
      <c r="A367" s="5" t="s">
        <v>22536</v>
      </c>
      <c r="B367" s="6" t="str">
        <f>IMAGE("https://storage.googleapis.com/acdb/villagers/squ10.png")</f>
        <v/>
      </c>
      <c r="C367" s="8" t="s">
        <v>22498</v>
      </c>
      <c r="D367" s="8" t="s">
        <v>20581</v>
      </c>
      <c r="E367" s="8" t="s">
        <v>19238</v>
      </c>
      <c r="F367" s="17" t="s">
        <v>22537</v>
      </c>
      <c r="G367" s="55" t="s">
        <v>22538</v>
      </c>
      <c r="H367" s="56" t="s">
        <v>1952</v>
      </c>
      <c r="I367" s="58" t="s">
        <v>995</v>
      </c>
      <c r="J367" s="55" t="s">
        <v>22539</v>
      </c>
    </row>
    <row r="368" ht="56.25" customHeight="1">
      <c r="A368" s="5" t="s">
        <v>22540</v>
      </c>
      <c r="B368" s="6" t="str">
        <f>IMAGE("https://storage.googleapis.com/acdb/villagers/squ11.png")</f>
        <v/>
      </c>
      <c r="C368" s="8" t="s">
        <v>22498</v>
      </c>
      <c r="D368" s="8" t="s">
        <v>20603</v>
      </c>
      <c r="E368" s="8" t="s">
        <v>19161</v>
      </c>
      <c r="F368" s="17" t="s">
        <v>22541</v>
      </c>
      <c r="G368" s="55" t="s">
        <v>22542</v>
      </c>
      <c r="H368" s="60" t="s">
        <v>1959</v>
      </c>
      <c r="I368" s="59" t="s">
        <v>1059</v>
      </c>
      <c r="J368" s="55" t="s">
        <v>22543</v>
      </c>
    </row>
    <row r="369" ht="56.25" customHeight="1">
      <c r="A369" s="5" t="s">
        <v>22544</v>
      </c>
      <c r="B369" s="6" t="str">
        <f>IMAGE("https://storage.googleapis.com/acdb/villagers/squ13.png")</f>
        <v/>
      </c>
      <c r="C369" s="8" t="s">
        <v>22498</v>
      </c>
      <c r="D369" s="8" t="s">
        <v>20603</v>
      </c>
      <c r="E369" s="8" t="s">
        <v>19361</v>
      </c>
      <c r="F369" s="17" t="s">
        <v>22545</v>
      </c>
      <c r="G369" s="55" t="s">
        <v>22546</v>
      </c>
      <c r="H369" s="59" t="s">
        <v>1059</v>
      </c>
      <c r="I369" s="61" t="s">
        <v>612</v>
      </c>
      <c r="J369" s="55" t="s">
        <v>22547</v>
      </c>
    </row>
    <row r="370" ht="56.25" customHeight="1">
      <c r="A370" s="5" t="s">
        <v>22548</v>
      </c>
      <c r="B370" s="6" t="str">
        <f>IMAGE("https://storage.googleapis.com/acdb/villagers/squ14.png")</f>
        <v/>
      </c>
      <c r="C370" s="8" t="s">
        <v>22498</v>
      </c>
      <c r="D370" s="8" t="s">
        <v>20603</v>
      </c>
      <c r="E370" s="8" t="s">
        <v>19161</v>
      </c>
      <c r="F370" s="17" t="s">
        <v>22549</v>
      </c>
      <c r="G370" s="55" t="s">
        <v>22550</v>
      </c>
      <c r="H370" s="60" t="s">
        <v>1959</v>
      </c>
      <c r="I370" s="58" t="s">
        <v>995</v>
      </c>
      <c r="J370" s="55" t="s">
        <v>22551</v>
      </c>
    </row>
    <row r="371" ht="56.25" customHeight="1">
      <c r="A371" s="5" t="s">
        <v>22552</v>
      </c>
      <c r="B371" s="6" t="str">
        <f>IMAGE("https://storage.googleapis.com/acdb/villagers/squ15.png")</f>
        <v/>
      </c>
      <c r="C371" s="8" t="s">
        <v>22498</v>
      </c>
      <c r="D371" s="8" t="s">
        <v>20603</v>
      </c>
      <c r="E371" s="8" t="s">
        <v>19161</v>
      </c>
      <c r="F371" s="17" t="s">
        <v>22553</v>
      </c>
      <c r="G371" s="55" t="s">
        <v>22554</v>
      </c>
      <c r="H371" s="60" t="s">
        <v>1959</v>
      </c>
      <c r="I371" s="59" t="s">
        <v>1059</v>
      </c>
      <c r="J371" s="55" t="s">
        <v>22555</v>
      </c>
    </row>
    <row r="372" ht="56.25" customHeight="1">
      <c r="A372" s="5" t="s">
        <v>22556</v>
      </c>
      <c r="B372" s="6" t="str">
        <f>IMAGE("https://storage.googleapis.com/acdb/villagers/squ16.png")</f>
        <v/>
      </c>
      <c r="C372" s="8" t="s">
        <v>22498</v>
      </c>
      <c r="D372" s="8" t="s">
        <v>20581</v>
      </c>
      <c r="E372" s="8" t="s">
        <v>19128</v>
      </c>
      <c r="F372" s="17" t="s">
        <v>22557</v>
      </c>
      <c r="G372" s="55" t="s">
        <v>22558</v>
      </c>
      <c r="H372" s="57" t="s">
        <v>8746</v>
      </c>
      <c r="I372" s="56" t="s">
        <v>1952</v>
      </c>
      <c r="J372" s="55" t="s">
        <v>22559</v>
      </c>
    </row>
    <row r="373" ht="56.25" customHeight="1">
      <c r="A373" s="5" t="s">
        <v>22560</v>
      </c>
      <c r="B373" s="6" t="str">
        <f>IMAGE("https://storage.googleapis.com/acdb/villagers/squ17.png")</f>
        <v/>
      </c>
      <c r="C373" s="8" t="s">
        <v>22498</v>
      </c>
      <c r="D373" s="8" t="s">
        <v>20581</v>
      </c>
      <c r="E373" s="8" t="s">
        <v>19232</v>
      </c>
      <c r="F373" s="17" t="s">
        <v>22561</v>
      </c>
      <c r="G373" s="55" t="s">
        <v>22562</v>
      </c>
      <c r="H373" s="59" t="s">
        <v>1059</v>
      </c>
      <c r="I373" s="56" t="s">
        <v>1952</v>
      </c>
      <c r="J373" s="55" t="s">
        <v>22563</v>
      </c>
    </row>
    <row r="374" ht="56.25" customHeight="1">
      <c r="A374" s="5" t="s">
        <v>22564</v>
      </c>
      <c r="B374" s="6" t="str">
        <f>IMAGE("https://storage.googleapis.com/acdb/villagers/squ18.png")</f>
        <v/>
      </c>
      <c r="C374" s="8" t="s">
        <v>22498</v>
      </c>
      <c r="D374" s="8" t="s">
        <v>20603</v>
      </c>
      <c r="E374" s="8" t="s">
        <v>19205</v>
      </c>
      <c r="F374" s="17" t="s">
        <v>22565</v>
      </c>
      <c r="G374" s="55" t="s">
        <v>22566</v>
      </c>
      <c r="H374" s="57" t="s">
        <v>8746</v>
      </c>
      <c r="I374" s="60" t="s">
        <v>1959</v>
      </c>
      <c r="J374" s="55" t="s">
        <v>22567</v>
      </c>
    </row>
    <row r="375" ht="56.25" customHeight="1">
      <c r="A375" s="5" t="s">
        <v>22568</v>
      </c>
      <c r="B375" s="6" t="str">
        <f>IMAGE("https://storage.googleapis.com/acdb/villagers/tig00.png")</f>
        <v/>
      </c>
      <c r="C375" s="8" t="s">
        <v>8630</v>
      </c>
      <c r="D375" s="8" t="s">
        <v>20581</v>
      </c>
      <c r="E375" s="8" t="s">
        <v>19238</v>
      </c>
      <c r="F375" s="17" t="s">
        <v>22569</v>
      </c>
      <c r="G375" s="55" t="s">
        <v>22570</v>
      </c>
      <c r="H375" s="56" t="s">
        <v>1952</v>
      </c>
      <c r="I375" s="57" t="s">
        <v>8746</v>
      </c>
      <c r="J375" s="55" t="s">
        <v>22571</v>
      </c>
    </row>
    <row r="376" ht="56.25" customHeight="1">
      <c r="A376" s="5" t="s">
        <v>22572</v>
      </c>
      <c r="B376" s="6" t="str">
        <f>IMAGE("https://storage.googleapis.com/acdb/villagers/tig01.png")</f>
        <v/>
      </c>
      <c r="C376" s="8" t="s">
        <v>8630</v>
      </c>
      <c r="D376" s="8" t="s">
        <v>20581</v>
      </c>
      <c r="E376" s="8" t="s">
        <v>19128</v>
      </c>
      <c r="F376" s="17" t="s">
        <v>22573</v>
      </c>
      <c r="G376" s="55" t="s">
        <v>22574</v>
      </c>
      <c r="H376" s="57" t="s">
        <v>8746</v>
      </c>
      <c r="I376" s="58" t="s">
        <v>995</v>
      </c>
      <c r="J376" s="55" t="s">
        <v>22575</v>
      </c>
    </row>
    <row r="377" ht="56.25" customHeight="1">
      <c r="A377" s="5" t="s">
        <v>22576</v>
      </c>
      <c r="B377" s="6" t="str">
        <f>IMAGE("https://storage.googleapis.com/acdb/villagers/tig02.png")</f>
        <v/>
      </c>
      <c r="C377" s="8" t="s">
        <v>8630</v>
      </c>
      <c r="D377" s="8" t="s">
        <v>20581</v>
      </c>
      <c r="E377" s="8" t="s">
        <v>19128</v>
      </c>
      <c r="F377" s="17" t="s">
        <v>21833</v>
      </c>
      <c r="G377" s="55" t="s">
        <v>22577</v>
      </c>
      <c r="H377" s="57" t="s">
        <v>8746</v>
      </c>
      <c r="I377" s="58" t="s">
        <v>995</v>
      </c>
      <c r="J377" s="55" t="s">
        <v>22578</v>
      </c>
    </row>
    <row r="378" ht="56.25" customHeight="1">
      <c r="A378" s="5" t="s">
        <v>22579</v>
      </c>
      <c r="B378" s="6" t="str">
        <f>IMAGE("https://storage.googleapis.com/acdb/villagers/tig03.png")</f>
        <v/>
      </c>
      <c r="C378" s="8" t="s">
        <v>8630</v>
      </c>
      <c r="D378" s="8" t="s">
        <v>20603</v>
      </c>
      <c r="E378" s="8" t="s">
        <v>19196</v>
      </c>
      <c r="F378" s="17" t="s">
        <v>22580</v>
      </c>
      <c r="G378" s="55" t="s">
        <v>22581</v>
      </c>
      <c r="H378" s="61" t="s">
        <v>612</v>
      </c>
      <c r="I378" s="60" t="s">
        <v>1959</v>
      </c>
      <c r="J378" s="55" t="s">
        <v>22582</v>
      </c>
    </row>
    <row r="379" ht="56.25" customHeight="1">
      <c r="A379" s="5" t="s">
        <v>22583</v>
      </c>
      <c r="B379" s="6" t="str">
        <f>IMAGE("https://storage.googleapis.com/acdb/villagers/tig04.png")</f>
        <v/>
      </c>
      <c r="C379" s="8" t="s">
        <v>8630</v>
      </c>
      <c r="D379" s="8" t="s">
        <v>20581</v>
      </c>
      <c r="E379" s="8" t="s">
        <v>19128</v>
      </c>
      <c r="F379" s="17" t="s">
        <v>22584</v>
      </c>
      <c r="G379" s="55" t="s">
        <v>22585</v>
      </c>
      <c r="H379" s="57" t="s">
        <v>8746</v>
      </c>
      <c r="I379" s="61" t="s">
        <v>612</v>
      </c>
      <c r="J379" s="55" t="s">
        <v>22586</v>
      </c>
    </row>
    <row r="380" ht="56.25" customHeight="1">
      <c r="A380" s="5" t="s">
        <v>22587</v>
      </c>
      <c r="B380" s="6" t="str">
        <f>IMAGE("https://storage.googleapis.com/acdb/villagers/tig05.png")</f>
        <v/>
      </c>
      <c r="C380" s="8" t="s">
        <v>8630</v>
      </c>
      <c r="D380" s="8" t="s">
        <v>20603</v>
      </c>
      <c r="E380" s="8" t="s">
        <v>19361</v>
      </c>
      <c r="F380" s="17" t="s">
        <v>22588</v>
      </c>
      <c r="G380" s="55" t="s">
        <v>22589</v>
      </c>
      <c r="H380" s="61" t="s">
        <v>612</v>
      </c>
      <c r="I380" s="59" t="s">
        <v>1059</v>
      </c>
      <c r="J380" s="55" t="s">
        <v>22590</v>
      </c>
    </row>
    <row r="381" ht="56.25" customHeight="1">
      <c r="A381" s="5" t="s">
        <v>22591</v>
      </c>
      <c r="B381" s="6" t="str">
        <f>IMAGE("https://storage.googleapis.com/acdb/villagers/tig06.png")</f>
        <v/>
      </c>
      <c r="C381" s="8" t="s">
        <v>8630</v>
      </c>
      <c r="D381" s="8" t="s">
        <v>20603</v>
      </c>
      <c r="E381" s="8" t="s">
        <v>19196</v>
      </c>
      <c r="F381" s="17" t="s">
        <v>22592</v>
      </c>
      <c r="G381" s="55" t="s">
        <v>22593</v>
      </c>
      <c r="H381" s="60" t="s">
        <v>1959</v>
      </c>
      <c r="I381" s="60" t="s">
        <v>1959</v>
      </c>
      <c r="J381" s="55" t="s">
        <v>22594</v>
      </c>
    </row>
    <row r="382" ht="56.25" customHeight="1">
      <c r="A382" s="5" t="s">
        <v>22595</v>
      </c>
      <c r="B382" s="6" t="str">
        <f>IMAGE("https://storage.googleapis.com/acdb/villagers/wol00.png")</f>
        <v/>
      </c>
      <c r="C382" s="8" t="s">
        <v>22596</v>
      </c>
      <c r="D382" s="8" t="s">
        <v>20581</v>
      </c>
      <c r="E382" s="8" t="s">
        <v>19238</v>
      </c>
      <c r="F382" s="17" t="s">
        <v>22597</v>
      </c>
      <c r="G382" s="55" t="s">
        <v>22598</v>
      </c>
      <c r="H382" s="56" t="s">
        <v>1952</v>
      </c>
      <c r="I382" s="58" t="s">
        <v>995</v>
      </c>
      <c r="J382" s="55" t="s">
        <v>22599</v>
      </c>
    </row>
    <row r="383" ht="56.25" customHeight="1">
      <c r="A383" s="5" t="s">
        <v>22600</v>
      </c>
      <c r="B383" s="6" t="str">
        <f>IMAGE("https://storage.googleapis.com/acdb/villagers/wol01.png")</f>
        <v/>
      </c>
      <c r="C383" s="8" t="s">
        <v>22596</v>
      </c>
      <c r="D383" s="8" t="s">
        <v>20581</v>
      </c>
      <c r="E383" s="8" t="s">
        <v>19238</v>
      </c>
      <c r="F383" s="17" t="s">
        <v>22601</v>
      </c>
      <c r="G383" s="55" t="s">
        <v>22602</v>
      </c>
      <c r="H383" s="56" t="s">
        <v>1952</v>
      </c>
      <c r="I383" s="57" t="s">
        <v>8746</v>
      </c>
      <c r="J383" s="55" t="s">
        <v>22603</v>
      </c>
    </row>
    <row r="384" ht="56.25" customHeight="1">
      <c r="A384" s="5" t="s">
        <v>22604</v>
      </c>
      <c r="B384" s="6" t="str">
        <f>IMAGE("https://storage.googleapis.com/acdb/villagers/wol02.png")</f>
        <v/>
      </c>
      <c r="C384" s="8" t="s">
        <v>22596</v>
      </c>
      <c r="D384" s="8" t="s">
        <v>20581</v>
      </c>
      <c r="E384" s="8" t="s">
        <v>19238</v>
      </c>
      <c r="F384" s="17" t="s">
        <v>22605</v>
      </c>
      <c r="G384" s="55" t="s">
        <v>22606</v>
      </c>
      <c r="H384" s="56" t="s">
        <v>1952</v>
      </c>
      <c r="I384" s="57" t="s">
        <v>8746</v>
      </c>
      <c r="J384" s="55" t="s">
        <v>22607</v>
      </c>
    </row>
    <row r="385" ht="56.25" customHeight="1">
      <c r="A385" s="5" t="s">
        <v>22608</v>
      </c>
      <c r="B385" s="6" t="str">
        <f>IMAGE("https://storage.googleapis.com/acdb/villagers/wol03.png")</f>
        <v/>
      </c>
      <c r="C385" s="8" t="s">
        <v>22596</v>
      </c>
      <c r="D385" s="8" t="s">
        <v>20603</v>
      </c>
      <c r="E385" s="8" t="s">
        <v>19361</v>
      </c>
      <c r="F385" s="17" t="s">
        <v>22609</v>
      </c>
      <c r="G385" s="55" t="s">
        <v>22610</v>
      </c>
      <c r="H385" s="59" t="s">
        <v>1059</v>
      </c>
      <c r="I385" s="56" t="s">
        <v>1952</v>
      </c>
      <c r="J385" s="55" t="s">
        <v>22611</v>
      </c>
    </row>
    <row r="386" ht="56.25" customHeight="1">
      <c r="A386" s="5" t="s">
        <v>22612</v>
      </c>
      <c r="B386" s="6" t="str">
        <f>IMAGE("https://storage.googleapis.com/acdb/villagers/wol04.png")</f>
        <v/>
      </c>
      <c r="C386" s="8" t="s">
        <v>22596</v>
      </c>
      <c r="D386" s="8" t="s">
        <v>20581</v>
      </c>
      <c r="E386" s="8" t="s">
        <v>19238</v>
      </c>
      <c r="F386" s="17" t="s">
        <v>22613</v>
      </c>
      <c r="G386" s="55" t="s">
        <v>22614</v>
      </c>
      <c r="H386" s="58" t="s">
        <v>995</v>
      </c>
      <c r="I386" s="56" t="s">
        <v>1952</v>
      </c>
      <c r="J386" s="55" t="s">
        <v>22615</v>
      </c>
    </row>
    <row r="387" ht="56.25" customHeight="1">
      <c r="A387" s="5" t="s">
        <v>22616</v>
      </c>
      <c r="B387" s="6" t="str">
        <f>IMAGE("https://storage.googleapis.com/acdb/villagers/wol05.png")</f>
        <v/>
      </c>
      <c r="C387" s="8" t="s">
        <v>22596</v>
      </c>
      <c r="D387" s="8" t="s">
        <v>20603</v>
      </c>
      <c r="E387" s="8" t="s">
        <v>19361</v>
      </c>
      <c r="F387" s="17" t="s">
        <v>22617</v>
      </c>
      <c r="G387" s="55" t="s">
        <v>22618</v>
      </c>
      <c r="H387" s="59" t="s">
        <v>1059</v>
      </c>
      <c r="I387" s="56" t="s">
        <v>1952</v>
      </c>
      <c r="J387" s="55" t="s">
        <v>22619</v>
      </c>
    </row>
    <row r="388" ht="56.25" customHeight="1">
      <c r="A388" s="5" t="s">
        <v>22620</v>
      </c>
      <c r="B388" s="6" t="str">
        <f>IMAGE("https://storage.googleapis.com/acdb/villagers/wol06.png")</f>
        <v/>
      </c>
      <c r="C388" s="8" t="s">
        <v>22596</v>
      </c>
      <c r="D388" s="8" t="s">
        <v>20581</v>
      </c>
      <c r="E388" s="8" t="s">
        <v>19238</v>
      </c>
      <c r="F388" s="17" t="s">
        <v>22621</v>
      </c>
      <c r="G388" s="55" t="s">
        <v>22622</v>
      </c>
      <c r="H388" s="58" t="s">
        <v>995</v>
      </c>
      <c r="I388" s="56" t="s">
        <v>1952</v>
      </c>
      <c r="J388" s="55" t="s">
        <v>22623</v>
      </c>
    </row>
    <row r="389" ht="56.25" customHeight="1">
      <c r="A389" s="5" t="s">
        <v>22624</v>
      </c>
      <c r="B389" s="6" t="str">
        <f>IMAGE("https://storage.googleapis.com/acdb/villagers/wol08.png")</f>
        <v/>
      </c>
      <c r="C389" s="8" t="s">
        <v>22596</v>
      </c>
      <c r="D389" s="8" t="s">
        <v>20603</v>
      </c>
      <c r="E389" s="8" t="s">
        <v>19361</v>
      </c>
      <c r="F389" s="17" t="s">
        <v>22625</v>
      </c>
      <c r="G389" s="55" t="s">
        <v>22626</v>
      </c>
      <c r="H389" s="61" t="s">
        <v>612</v>
      </c>
      <c r="I389" s="59" t="s">
        <v>1059</v>
      </c>
      <c r="J389" s="55" t="s">
        <v>22627</v>
      </c>
    </row>
    <row r="390" ht="56.25" customHeight="1">
      <c r="A390" s="5" t="s">
        <v>22628</v>
      </c>
      <c r="B390" s="6" t="str">
        <f>IMAGE("https://storage.googleapis.com/acdb/villagers/wol09.png")</f>
        <v/>
      </c>
      <c r="C390" s="8" t="s">
        <v>22596</v>
      </c>
      <c r="D390" s="8" t="s">
        <v>20603</v>
      </c>
      <c r="E390" s="8" t="s">
        <v>19161</v>
      </c>
      <c r="F390" s="17" t="s">
        <v>22629</v>
      </c>
      <c r="G390" s="55" t="s">
        <v>22630</v>
      </c>
      <c r="H390" s="60" t="s">
        <v>1959</v>
      </c>
      <c r="I390" s="60" t="s">
        <v>1959</v>
      </c>
      <c r="J390" s="55" t="s">
        <v>22631</v>
      </c>
    </row>
    <row r="391" ht="56.25" customHeight="1">
      <c r="A391" s="5" t="s">
        <v>22632</v>
      </c>
      <c r="B391" s="6" t="str">
        <f>IMAGE("https://storage.googleapis.com/acdb/villagers/wol10.png")</f>
        <v/>
      </c>
      <c r="C391" s="8" t="s">
        <v>22596</v>
      </c>
      <c r="D391" s="8" t="s">
        <v>20581</v>
      </c>
      <c r="E391" s="8" t="s">
        <v>19232</v>
      </c>
      <c r="F391" s="17" t="s">
        <v>22633</v>
      </c>
      <c r="G391" s="55" t="s">
        <v>22634</v>
      </c>
      <c r="H391" s="61" t="s">
        <v>612</v>
      </c>
      <c r="I391" s="56" t="s">
        <v>1952</v>
      </c>
      <c r="J391" s="55" t="s">
        <v>22635</v>
      </c>
    </row>
    <row r="392" ht="56.25" customHeight="1">
      <c r="A392" s="5" t="s">
        <v>22636</v>
      </c>
      <c r="B392" s="6" t="str">
        <f>IMAGE("https://storage.googleapis.com/acdb/villagers/wol12.png")</f>
        <v/>
      </c>
      <c r="C392" s="8" t="s">
        <v>22596</v>
      </c>
      <c r="D392" s="8" t="s">
        <v>20603</v>
      </c>
      <c r="E392" s="8" t="s">
        <v>19196</v>
      </c>
      <c r="F392" s="17" t="s">
        <v>22637</v>
      </c>
      <c r="G392" s="55" t="s">
        <v>22638</v>
      </c>
      <c r="H392" s="60" t="s">
        <v>1959</v>
      </c>
      <c r="I392" s="57" t="s">
        <v>8746</v>
      </c>
      <c r="J392" s="55" t="s">
        <v>22639</v>
      </c>
    </row>
  </sheetData>
  <drawing r:id="rId1"/>
</worksheet>
</file>